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drawings/drawing11.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worksheets/sheet1.xml" ContentType="application/vnd.openxmlformats-officedocument.spreadsheetml.worksheet+xml"/>
  <Override PartName="/xl/drawings/drawing10.xml" ContentType="application/vnd.openxmlformats-officedocument.drawing+xml"/>
  <Override PartName="/xl/worksheets/sheet2.xml" ContentType="application/vnd.openxmlformats-officedocument.spreadsheetml.worksheet+xml"/>
  <Override PartName="/xl/drawings/drawing7.xml" ContentType="application/vnd.openxmlformats-officedocument.drawing+xml"/>
  <Override PartName="/xl/drawings/drawing2.xml" ContentType="application/vnd.openxmlformats-officedocument.drawing+xml"/>
  <Override PartName="/xl/theme/theme1.xml" ContentType="application/vnd.openxmlformats-officedocument.theme+xml"/>
  <Override PartName="/xl/worksheets/sheet17.xml" ContentType="application/vnd.openxmlformats-officedocument.spreadsheetml.worksheet+xml"/>
  <Override PartName="/xl/drawings/drawing4.xml" ContentType="application/vnd.openxmlformats-officedocument.drawing+xml"/>
  <Override PartName="/xl/worksheets/sheet16.xml" ContentType="application/vnd.openxmlformats-officedocument.spreadsheetml.worksheet+xml"/>
  <Override PartName="/xl/worksheets/sheet15.xml" ContentType="application/vnd.openxmlformats-officedocument.spreadsheetml.worksheet+xml"/>
  <Override PartName="/xl/styles.xml" ContentType="application/vnd.openxmlformats-officedocument.spreadsheetml.styles+xml"/>
  <Override PartName="/xl/drawings/drawing3.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worksheets/sheet14.xml" ContentType="application/vnd.openxmlformats-officedocument.spreadsheetml.worksheet+xml"/>
  <Override PartName="/xl/worksheets/sheet13.xml" ContentType="application/vnd.openxmlformats-officedocument.spreadsheetml.worksheet+xml"/>
  <Override PartName="/xl/worksheets/sheet7.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worksheets/sheet5.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2.xml" ContentType="application/vnd.openxmlformats-officedocument.spreadsheetml.worksheet+xml"/>
  <Override PartName="/xl/worksheets/sheet9.xml" ContentType="application/vnd.openxmlformats-officedocument.spreadsheetml.worksheet+xml"/>
  <Override PartName="/xl/drawings/drawing5.xml" ContentType="application/vnd.openxmlformats-officedocument.drawing+xml"/>
  <Override PartName="/xl/worksheets/sheet11.xml" ContentType="application/vnd.openxmlformats-officedocument.spreadsheetml.worksheet+xml"/>
  <Override PartName="/xl/comments5.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comments9.xml" ContentType="application/vnd.openxmlformats-officedocument.spreadsheetml.comments+xml"/>
  <Override PartName="/xl/comments8.xml" ContentType="application/vnd.openxmlformats-officedocument.spreadsheetml.comment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xl/comments11.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xl/threadedComments/threadedComment2.xml" ContentType="application/vnd.ms-excel.threadedcomments+xml"/>
  <Override PartName="/xl/threadedComments/threadedComment1.xml" ContentType="application/vnd.ms-excel.threaded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680" yWindow="-120" windowWidth="29040" windowHeight="15840" tabRatio="821"/>
  </bookViews>
  <sheets>
    <sheet name="ReadME" sheetId="14" r:id="rId1"/>
    <sheet name="Deemed Savings Tbl Revision Log" sheetId="1" r:id="rId2"/>
    <sheet name="Lighting Deemed Table" sheetId="3" r:id="rId3"/>
    <sheet name="Efficient Products Deemed Table" sheetId="16" r:id="rId4"/>
    <sheet name="Energy Effic. Kits Deemed Table" sheetId="5" r:id="rId5"/>
    <sheet name="HVAC Deemed Table" sheetId="6" r:id="rId6"/>
    <sheet name="Income Eligible Deemed Table" sheetId="7" r:id="rId7"/>
    <sheet name="Home Energy Report Deemed Table" sheetId="8" r:id="rId8"/>
    <sheet name="MFMR Deemed Table " sheetId="9" r:id="rId9"/>
    <sheet name="Appliance Recycle Deemed Table" sheetId="10" r:id="rId10"/>
    <sheet name="Demand Response Deemed Table" sheetId="11" r:id="rId11"/>
    <sheet name="BUS Deemed Savings Table" sheetId="2" r:id="rId12"/>
    <sheet name=" Measure INDEX" sheetId="15" r:id="rId13"/>
    <sheet name="Avoided Cost Benefits" sheetId="13" r:id="rId14"/>
    <sheet name="CP FACTORS" sheetId="12" r:id="rId15"/>
    <sheet name="index check" sheetId="20" state="hidden" r:id="rId16"/>
    <sheet name="2020_02_Updates_CleanUp_Items" sheetId="19" state="hidden" r:id="rId17"/>
  </sheets>
  <definedNames>
    <definedName name="_xlnm._FilterDatabase" localSheetId="12" hidden="1">' Measure INDEX'!$B$8:$AU$732</definedName>
    <definedName name="_xlnm._FilterDatabase" localSheetId="13" hidden="1">'Avoided Cost Benefits'!$A$3:$G$857</definedName>
    <definedName name="_xlnm._FilterDatabase" localSheetId="5" hidden="1">'HVAC Deemed Table'!$B$1406:$B$1781</definedName>
    <definedName name="_xlnm._FilterDatabase" localSheetId="15" hidden="1">'index check'!$A$1:$L$662</definedName>
    <definedName name="_ftn1" localSheetId="11">'BUS Deemed Savings Table'!$H$838</definedName>
    <definedName name="_ftn1" localSheetId="3">'Efficient Products Deemed Table'!$C$298</definedName>
    <definedName name="_ftn10" localSheetId="11">'BUS Deemed Savings Table'!$H$847</definedName>
    <definedName name="_ftn11" localSheetId="11">'BUS Deemed Savings Table'!$H$848</definedName>
    <definedName name="_ftn12" localSheetId="11">'BUS Deemed Savings Table'!$H$849</definedName>
    <definedName name="_ftn2" localSheetId="11">'BUS Deemed Savings Table'!$H$839</definedName>
    <definedName name="_ftn2" localSheetId="3">'Efficient Products Deemed Table'!$C$299</definedName>
    <definedName name="_ftn3" localSheetId="11">'BUS Deemed Savings Table'!$H$840</definedName>
    <definedName name="_ftn4" localSheetId="11">'BUS Deemed Savings Table'!$H$841</definedName>
    <definedName name="_ftn5" localSheetId="11">'BUS Deemed Savings Table'!$H$842</definedName>
    <definedName name="_ftn6" localSheetId="11">'BUS Deemed Savings Table'!$H$843</definedName>
    <definedName name="_ftn7" localSheetId="11">'BUS Deemed Savings Table'!$H$844</definedName>
    <definedName name="_ftn8" localSheetId="11">'BUS Deemed Savings Table'!$H$845</definedName>
    <definedName name="_ftn9" localSheetId="11">'BUS Deemed Savings Table'!$H$846</definedName>
    <definedName name="_ftnref1" localSheetId="11">'BUS Deemed Savings Table'!$H$409</definedName>
    <definedName name="_ftnref1" localSheetId="3">'Efficient Products Deemed Table'!$D$287</definedName>
    <definedName name="_ftnref10" localSheetId="11">'BUS Deemed Savings Table'!$K$691</definedName>
    <definedName name="_ftnref11" localSheetId="11">'BUS Deemed Savings Table'!$H$781</definedName>
    <definedName name="_ftnref12" localSheetId="11">'BUS Deemed Savings Table'!#REF!</definedName>
    <definedName name="_ftnref2" localSheetId="3">'Efficient Products Deemed Table'!$C$295</definedName>
    <definedName name="_ftnref3" localSheetId="11">'BUS Deemed Savings Table'!$J$415</definedName>
    <definedName name="_ftnref4" localSheetId="11">'BUS Deemed Savings Table'!$H$424</definedName>
    <definedName name="_ftnref5" localSheetId="11">'BUS Deemed Savings Table'!$H$439</definedName>
    <definedName name="_ftnref6" localSheetId="11">'BUS Deemed Savings Table'!$K$461</definedName>
    <definedName name="_ftnref7" localSheetId="11">'BUS Deemed Savings Table'!$I$556</definedName>
    <definedName name="_ftnref8" localSheetId="11">'BUS Deemed Savings Table'!#REF!</definedName>
    <definedName name="_ftnref9" localSheetId="11">'BUS Deemed Savings Table'!$H$662</definedName>
    <definedName name="_Key1" hidden="1">#REF!</definedName>
    <definedName name="_key2" hidden="1">#REF!</definedName>
    <definedName name="_Order1" hidden="1">255</definedName>
    <definedName name="_Sort" hidden="1">#REF!</definedName>
    <definedName name="_Toc477945843" localSheetId="11">'BUS Deemed Savings Table'!$H$390</definedName>
    <definedName name="abase" localSheetId="1">#REF!</definedName>
    <definedName name="abase" localSheetId="10">#REF!</definedName>
    <definedName name="abase">#REF!</definedName>
    <definedName name="APPK_profile" localSheetId="1">#REF!</definedName>
    <definedName name="APPK_profile" localSheetId="10">#REF!</definedName>
    <definedName name="APPK_profile">#REF!</definedName>
    <definedName name="APPK_profilekW" localSheetId="1">#REF!</definedName>
    <definedName name="APPK_profilekW" localSheetId="10">#REF!</definedName>
    <definedName name="APPK_profilekW">#REF!</definedName>
    <definedName name="AVGcool" localSheetId="1">#REF!</definedName>
    <definedName name="AVGcool" localSheetId="10">#REF!</definedName>
    <definedName name="AVGcool">#REF!</definedName>
    <definedName name="AVGheat" localSheetId="1">#REF!</definedName>
    <definedName name="AVGheat" localSheetId="10">#REF!</definedName>
    <definedName name="AVGheat">#REF!</definedName>
    <definedName name="AvoidedCost" localSheetId="1">#REF!</definedName>
    <definedName name="AvoidedCost" localSheetId="10">#REF!</definedName>
    <definedName name="AvoidedCost">#REF!</definedName>
    <definedName name="awrap" localSheetId="1">#REF!</definedName>
    <definedName name="awrap" localSheetId="10">#REF!</definedName>
    <definedName name="awrap">#REF!</definedName>
    <definedName name="CF" localSheetId="1">#REF!</definedName>
    <definedName name="CF" localSheetId="10">#REF!</definedName>
    <definedName name="CF">#REF!</definedName>
    <definedName name="CFlighting" localSheetId="1">#REF!</definedName>
    <definedName name="CFlighting" localSheetId="10">#REF!</definedName>
    <definedName name="CFlighting">#REF!</definedName>
    <definedName name="Changing_Cell" localSheetId="1">#REF!</definedName>
    <definedName name="Changing_Cell" localSheetId="10">#REF!</definedName>
    <definedName name="Changing_Cell">#REF!</definedName>
    <definedName name="chart_title" localSheetId="1">#REF!</definedName>
    <definedName name="chart_title" localSheetId="10">#REF!</definedName>
    <definedName name="chart_title">#REF!</definedName>
    <definedName name="ConF" localSheetId="1">#REF!</definedName>
    <definedName name="ConF" localSheetId="10">#REF!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10">#REF!</definedName>
    <definedName name="Cp">#REF!</definedName>
    <definedName name="DAYS" localSheetId="1">#REF!</definedName>
    <definedName name="DAYS" localSheetId="10">#REF!</definedName>
    <definedName name="DAYS">#REF!</definedName>
    <definedName name="DeltaGPM" localSheetId="1">#REF!</definedName>
    <definedName name="DeltaGPM" localSheetId="10">#REF!</definedName>
    <definedName name="DeltaGPM">#REF!</definedName>
    <definedName name="deltaT" localSheetId="1">#REF!</definedName>
    <definedName name="deltaT" localSheetId="10">#REF!</definedName>
    <definedName name="deltaT">#REF!</definedName>
    <definedName name="den" localSheetId="1">#REF!</definedName>
    <definedName name="den" localSheetId="10">#REF!</definedName>
    <definedName name="den">#REF!</definedName>
    <definedName name="DesignDetails" localSheetId="1">#REF!</definedName>
    <definedName name="DesignDetails" localSheetId="10">#REF!</definedName>
    <definedName name="DesignDetails">#REF!</definedName>
    <definedName name="Diameter" localSheetId="1">#REF!</definedName>
    <definedName name="Diameter" localSheetId="10">#REF!</definedName>
    <definedName name="Diameter">#REF!</definedName>
    <definedName name="ductRESULTS" localSheetId="1">#REF!</definedName>
    <definedName name="ductRESULTS" localSheetId="10">#REF!</definedName>
    <definedName name="ductRESULTS">#REF!</definedName>
    <definedName name="EDR" localSheetId="1">#REF!</definedName>
    <definedName name="EDR" localSheetId="10">#REF!</definedName>
    <definedName name="EDR">#REF!</definedName>
    <definedName name="EERafter" localSheetId="1">#REF!</definedName>
    <definedName name="EERafter" localSheetId="10">#REF!</definedName>
    <definedName name="EERafter">#REF!</definedName>
    <definedName name="EERBefore" localSheetId="1">#REF!</definedName>
    <definedName name="EERBefore" localSheetId="10">#REF!</definedName>
    <definedName name="EERBefore">#REF!</definedName>
    <definedName name="EFbase" localSheetId="1">#REF!</definedName>
    <definedName name="EFbase" localSheetId="10">#REF!</definedName>
    <definedName name="EFbase">#REF!</definedName>
    <definedName name="EndRef" localSheetId="1">#REF!</definedName>
    <definedName name="EndRef" localSheetId="10">#REF!</definedName>
    <definedName name="EndRef">#REF!</definedName>
    <definedName name="Endrow" localSheetId="1">#REF!</definedName>
    <definedName name="Endrow" localSheetId="10">#REF!</definedName>
    <definedName name="Endrow">#REF!</definedName>
    <definedName name="ESFcool" localSheetId="1">#REF!</definedName>
    <definedName name="ESFcool" localSheetId="10">#REF!</definedName>
    <definedName name="ESFcool">#REF!</definedName>
    <definedName name="ESFheat" localSheetId="1">#REF!</definedName>
    <definedName name="ESFheat" localSheetId="10">#REF!</definedName>
    <definedName name="ESFheat">#REF!</definedName>
    <definedName name="EUEx" localSheetId="1">#REF!</definedName>
    <definedName name="EUEx" localSheetId="10">#REF!</definedName>
    <definedName name="EUEx">#REF!</definedName>
    <definedName name="EUNew" localSheetId="1">#REF!</definedName>
    <definedName name="EUNew" localSheetId="10">#REF!</definedName>
    <definedName name="EUNew">#REF!</definedName>
    <definedName name="FAdays" localSheetId="1">#REF!</definedName>
    <definedName name="FAdays" localSheetId="10">#REF!</definedName>
    <definedName name="FAdays">#REF!</definedName>
    <definedName name="FAdeltaGPM" localSheetId="1">#REF!</definedName>
    <definedName name="FAdeltaGPM" localSheetId="10">#REF!</definedName>
    <definedName name="FAdeltaGPM">#REF!</definedName>
    <definedName name="FauCp" localSheetId="1">#REF!</definedName>
    <definedName name="FauCp" localSheetId="10">#REF!</definedName>
    <definedName name="FauCp">#REF!</definedName>
    <definedName name="FaucTime" localSheetId="1">#REF!</definedName>
    <definedName name="FaucTime" localSheetId="10">#REF!</definedName>
    <definedName name="FaucTime">#REF!</definedName>
    <definedName name="FauDen" localSheetId="1">#REF!</definedName>
    <definedName name="FauDen" localSheetId="10">#REF!</definedName>
    <definedName name="FauDen">#REF!</definedName>
    <definedName name="FauRE" localSheetId="1">#REF!</definedName>
    <definedName name="FauRE" localSheetId="10">#REF!</definedName>
    <definedName name="FauRE">#REF!</definedName>
    <definedName name="FauTin" localSheetId="1">#REF!</definedName>
    <definedName name="FauTin" localSheetId="10">#REF!</definedName>
    <definedName name="FauTin">#REF!</definedName>
    <definedName name="HCIFd" localSheetId="1">#REF!</definedName>
    <definedName name="HCIFd" localSheetId="10">#REF!</definedName>
    <definedName name="HCIFd">#REF!</definedName>
    <definedName name="HCIFe" localSheetId="1">#REF!</definedName>
    <definedName name="HCIFe" localSheetId="10">#REF!</definedName>
    <definedName name="HCIFe">#REF!</definedName>
    <definedName name="HDD" localSheetId="1">#REF!</definedName>
    <definedName name="HDD" localSheetId="10">#REF!</definedName>
    <definedName name="HDD">#REF!</definedName>
    <definedName name="Height" localSheetId="1">#REF!</definedName>
    <definedName name="Height" localSheetId="10">#REF!</definedName>
    <definedName name="Height">#REF!</definedName>
    <definedName name="HOURRES" localSheetId="1">#REF!</definedName>
    <definedName name="HOURRES" localSheetId="10">#REF!</definedName>
    <definedName name="HOURRES">#REF!</definedName>
    <definedName name="HOURSNRES" localSheetId="1">#REF!</definedName>
    <definedName name="HOURSNRES" localSheetId="10">#REF!</definedName>
    <definedName name="HOURSNRES">#REF!</definedName>
    <definedName name="HP" localSheetId="1">#REF!</definedName>
    <definedName name="HP" localSheetId="10">#REF!</definedName>
    <definedName name="HP">#REF!</definedName>
    <definedName name="HPfive" localSheetId="1">#REF!</definedName>
    <definedName name="HPfive" localSheetId="10">#REF!</definedName>
    <definedName name="HPfive">#REF!</definedName>
    <definedName name="HPfour" localSheetId="1">#REF!</definedName>
    <definedName name="HPfour" localSheetId="10">#REF!</definedName>
    <definedName name="HPfour">#REF!</definedName>
    <definedName name="HPfpur" localSheetId="1">#REF!</definedName>
    <definedName name="HPfpur" localSheetId="10">#REF!</definedName>
    <definedName name="HPfpur">#REF!</definedName>
    <definedName name="HPsix" localSheetId="1">#REF!</definedName>
    <definedName name="HPsix" localSheetId="10">#REF!</definedName>
    <definedName name="HPsix">#REF!</definedName>
    <definedName name="HPthree" localSheetId="1">#REF!</definedName>
    <definedName name="HPthree" localSheetId="10">#REF!</definedName>
    <definedName name="HPthree">#REF!</definedName>
    <definedName name="HPtwo" localSheetId="1">#REF!</definedName>
    <definedName name="HPtwo" localSheetId="10">#REF!</definedName>
    <definedName name="HPtwo">#REF!</definedName>
    <definedName name="ISR" localSheetId="1">#REF!</definedName>
    <definedName name="ISR" localSheetId="10">#REF!</definedName>
    <definedName name="ISR">#REF!</definedName>
    <definedName name="L" localSheetId="1">#REF!</definedName>
    <definedName name="L" localSheetId="10">#REF!</definedName>
    <definedName name="L">#REF!</definedName>
    <definedName name="Ldays" localSheetId="1">#REF!</definedName>
    <definedName name="Ldays" localSheetId="10">#REF!</definedName>
    <definedName name="Ldays">#REF!</definedName>
    <definedName name="LHours" localSheetId="1">#REF!</definedName>
    <definedName name="LHours" localSheetId="10">#REF!</definedName>
    <definedName name="LHours">#REF!</definedName>
    <definedName name="LKG" localSheetId="1">#REF!</definedName>
    <definedName name="LKG" localSheetId="10">#REF!</definedName>
    <definedName name="LKG">#REF!</definedName>
    <definedName name="LWHF" localSheetId="1">#REF!</definedName>
    <definedName name="LWHF" localSheetId="10">#REF!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10">#REF!</definedName>
    <definedName name="MM_BldgType">#REF!</definedName>
    <definedName name="MM_CompAirList" localSheetId="1">#REF!</definedName>
    <definedName name="MM_CompAirList" localSheetId="10">#REF!</definedName>
    <definedName name="MM_CompAirList">#REF!</definedName>
    <definedName name="MM_EMSList" localSheetId="1">#REF!</definedName>
    <definedName name="MM_EMSList" localSheetId="10">#REF!</definedName>
    <definedName name="MM_EMSList">#REF!</definedName>
    <definedName name="MM_EndUseList" localSheetId="1">#REF!</definedName>
    <definedName name="MM_EndUseList" localSheetId="10">#REF!</definedName>
    <definedName name="MM_EndUseList">#REF!</definedName>
    <definedName name="MM_EnvList" localSheetId="1">#REF!</definedName>
    <definedName name="MM_EnvList" localSheetId="10">#REF!</definedName>
    <definedName name="MM_EnvList">#REF!</definedName>
    <definedName name="MM_FoodServList" localSheetId="1">#REF!</definedName>
    <definedName name="MM_FoodServList" localSheetId="10">#REF!</definedName>
    <definedName name="MM_FoodServList">#REF!</definedName>
    <definedName name="MM_FuelList" localSheetId="1">#REF!</definedName>
    <definedName name="MM_FuelList" localSheetId="10">#REF!</definedName>
    <definedName name="MM_FuelList">#REF!</definedName>
    <definedName name="MM_HVACList" localSheetId="1">#REF!</definedName>
    <definedName name="MM_HVACList" localSheetId="10">#REF!</definedName>
    <definedName name="MM_HVACList">#REF!</definedName>
    <definedName name="MM_IncentChangeList" localSheetId="1">#REF!</definedName>
    <definedName name="MM_IncentChangeList" localSheetId="10">#REF!</definedName>
    <definedName name="MM_IncentChangeList">#REF!</definedName>
    <definedName name="MM_IncentiveDistribution" localSheetId="1">#REF!</definedName>
    <definedName name="MM_IncentiveDistribution" localSheetId="10">#REF!</definedName>
    <definedName name="MM_IncentiveDistribution">#REF!</definedName>
    <definedName name="MM_IncentList" localSheetId="1">#REF!</definedName>
    <definedName name="MM_IncentList" localSheetId="10">#REF!</definedName>
    <definedName name="MM_IncentList">#REF!</definedName>
    <definedName name="MM_LaudryList" localSheetId="1">#REF!</definedName>
    <definedName name="MM_LaudryList" localSheetId="10">#REF!</definedName>
    <definedName name="MM_LaudryList">#REF!</definedName>
    <definedName name="MM_LgtList" localSheetId="1">#REF!</definedName>
    <definedName name="MM_LgtList" localSheetId="10">#REF!</definedName>
    <definedName name="MM_LgtList">#REF!</definedName>
    <definedName name="MM_OtherList" localSheetId="1">#REF!</definedName>
    <definedName name="MM_OtherList" localSheetId="10">#REF!</definedName>
    <definedName name="MM_OtherList">#REF!</definedName>
    <definedName name="MM_ProcessList" localSheetId="1">#REF!</definedName>
    <definedName name="MM_ProcessList" localSheetId="10">#REF!</definedName>
    <definedName name="MM_ProcessList">#REF!</definedName>
    <definedName name="MM_ProgTypeList" localSheetId="1">#REF!</definedName>
    <definedName name="MM_ProgTypeList" localSheetId="10">#REF!</definedName>
    <definedName name="MM_ProgTypeList">#REF!</definedName>
    <definedName name="MM_RefList" localSheetId="1">#REF!</definedName>
    <definedName name="MM_RefList" localSheetId="10">#REF!</definedName>
    <definedName name="MM_RefList">#REF!</definedName>
    <definedName name="MM_ReplacementType" localSheetId="1">#REF!</definedName>
    <definedName name="MM_ReplacementType" localSheetId="10">#REF!</definedName>
    <definedName name="MM_ReplacementType">#REF!</definedName>
    <definedName name="MM_SysTypeList" localSheetId="1">#REF!</definedName>
    <definedName name="MM_SysTypeList" localSheetId="10">#REF!</definedName>
    <definedName name="MM_SysTypeList">#REF!</definedName>
    <definedName name="MM_TRMList" localSheetId="1">#REF!</definedName>
    <definedName name="MM_TRMList" localSheetId="10">#REF!</definedName>
    <definedName name="MM_TRMList">#REF!</definedName>
    <definedName name="MM_WHList" localSheetId="1">#REF!</definedName>
    <definedName name="MM_WHList" localSheetId="10">#REF!</definedName>
    <definedName name="MM_WHList">#REF!</definedName>
    <definedName name="MM_YesNoList" localSheetId="1">#REF!</definedName>
    <definedName name="MM_YesNoList" localSheetId="10">#REF!</definedName>
    <definedName name="MM_YesNoList">#REF!</definedName>
    <definedName name="Month" localSheetId="1">#REF!</definedName>
    <definedName name="Month" localSheetId="10">#REF!</definedName>
    <definedName name="Month">#REF!</definedName>
    <definedName name="NoFauc" localSheetId="1">#REF!</definedName>
    <definedName name="NoFauc" localSheetId="10">#REF!</definedName>
    <definedName name="NoFauc">#REF!</definedName>
    <definedName name="NonIncent_Elec" localSheetId="1">#REF!</definedName>
    <definedName name="NonIncent_Elec" localSheetId="10">#REF!</definedName>
    <definedName name="NonIncent_Elec">#REF!</definedName>
    <definedName name="NonIncent_Gas" localSheetId="1">#REF!</definedName>
    <definedName name="NonIncent_Gas" localSheetId="10">#REF!</definedName>
    <definedName name="NonIncent_Gas">#REF!</definedName>
    <definedName name="NoPpl">#REF!</definedName>
    <definedName name="P" localSheetId="1">#REF!</definedName>
    <definedName name="P" localSheetId="10">#REF!</definedName>
    <definedName name="P">#REF!</definedName>
    <definedName name="PerDays" localSheetId="1">#REF!</definedName>
    <definedName name="PerDays" localSheetId="10">#REF!</definedName>
    <definedName name="PerDays">#REF!</definedName>
    <definedName name="PonBase" localSheetId="1">#REF!</definedName>
    <definedName name="PonBase" localSheetId="10">#REF!</definedName>
    <definedName name="PonBase">#REF!</definedName>
    <definedName name="_xlnm.Print_Area" localSheetId="9">'Appliance Recycle Deemed Table'!$A$1:$AI$75</definedName>
    <definedName name="_xlnm.Print_Area" localSheetId="11">'BUS Deemed Savings Table'!$A$1:$DI$841</definedName>
    <definedName name="_xlnm.Print_Area" localSheetId="1">'Deemed Savings Tbl Revision Log'!$A$1:$G$39</definedName>
    <definedName name="_xlnm.Print_Area" localSheetId="10">'Demand Response Deemed Table'!$A$1:$R$15</definedName>
    <definedName name="_xlnm.Print_Area" localSheetId="3">'Efficient Products Deemed Table'!$A$1:$AU$331</definedName>
    <definedName name="_xlnm.Print_Area" localSheetId="4">'Energy Effic. Kits Deemed Table'!$A$1:$BR$348</definedName>
    <definedName name="_xlnm.Print_Area" localSheetId="7">'Home Energy Report Deemed Table'!$A$1:$BE$16</definedName>
    <definedName name="_xlnm.Print_Area" localSheetId="5">'HVAC Deemed Table'!$A$1:$AK$4234</definedName>
    <definedName name="_xlnm.Print_Area" localSheetId="6">'Income Eligible Deemed Table'!$A$1:$BQ$1331</definedName>
    <definedName name="_xlnm.Print_Area" localSheetId="2">'Lighting Deemed Table'!$A$1:$BH$119</definedName>
    <definedName name="_xlnm.Print_Area" localSheetId="8">'MFMR Deemed Table '!$A$1:$BF$618</definedName>
    <definedName name="_xlnm.Print_Titles" localSheetId="9">'Appliance Recycle Deemed Table'!$1:$1</definedName>
    <definedName name="_xlnm.Print_Titles" localSheetId="11">'BUS Deemed Savings Table'!$3:$5</definedName>
    <definedName name="_xlnm.Print_Titles" localSheetId="10">'Demand Response Deemed Table'!$1:$1</definedName>
    <definedName name="_xlnm.Print_Titles" localSheetId="3">'Efficient Products Deemed Table'!$1:$1</definedName>
    <definedName name="_xlnm.Print_Titles" localSheetId="4">'Energy Effic. Kits Deemed Table'!$1:$1</definedName>
    <definedName name="_xlnm.Print_Titles" localSheetId="7">'Home Energy Report Deemed Table'!$1:$1</definedName>
    <definedName name="_xlnm.Print_Titles" localSheetId="5">'HVAC Deemed Table'!$1:$1</definedName>
    <definedName name="_xlnm.Print_Titles" localSheetId="6">'Income Eligible Deemed Table'!$1:$1</definedName>
    <definedName name="_xlnm.Print_Titles" localSheetId="2">'Lighting Deemed Table'!$1:$1</definedName>
    <definedName name="_xlnm.Print_Titles" localSheetId="8">'MFMR Deemed Table '!$1:$1</definedName>
    <definedName name="PusePer" localSheetId="1">#REF!</definedName>
    <definedName name="PusePer" localSheetId="10">#REF!</definedName>
    <definedName name="PusePer">#REF!</definedName>
    <definedName name="qout" localSheetId="1">#REF!</definedName>
    <definedName name="qout" localSheetId="10">#REF!</definedName>
    <definedName name="qout">#REF!</definedName>
    <definedName name="Rair" localSheetId="1">#REF!</definedName>
    <definedName name="Rair" localSheetId="10">#REF!</definedName>
    <definedName name="Rair">#REF!</definedName>
    <definedName name="Rduct" localSheetId="1">#REF!</definedName>
    <definedName name="Rduct" localSheetId="10">#REF!</definedName>
    <definedName name="Rduct">#REF!</definedName>
    <definedName name="RE" localSheetId="1">#REF!</definedName>
    <definedName name="RE" localSheetId="10">#REF!</definedName>
    <definedName name="RE">#REF!</definedName>
    <definedName name="REbase" localSheetId="1">#REF!</definedName>
    <definedName name="REbase" localSheetId="10">#REF!</definedName>
    <definedName name="REbase">#REF!</definedName>
    <definedName name="RESPCT" localSheetId="1">#REF!</definedName>
    <definedName name="RESPCT" localSheetId="10">#REF!</definedName>
    <definedName name="RESPCT">#REF!</definedName>
    <definedName name="Rexist" localSheetId="1">#REF!</definedName>
    <definedName name="Rexist" localSheetId="10">#REF!</definedName>
    <definedName name="Rexist">#REF!</definedName>
    <definedName name="Rnew" localSheetId="1">#REF!</definedName>
    <definedName name="Rnew" localSheetId="10">#REF!</definedName>
    <definedName name="Rnew">#REF!</definedName>
    <definedName name="Rwrap" localSheetId="1">#REF!</definedName>
    <definedName name="Rwrap" localSheetId="10">#REF!</definedName>
    <definedName name="Rwrap">#REF!</definedName>
    <definedName name="SEER" localSheetId="1">#REF!</definedName>
    <definedName name="SEER" localSheetId="10">#REF!</definedName>
    <definedName name="SEER">#REF!</definedName>
    <definedName name="Set_Cell" localSheetId="1">#REF!</definedName>
    <definedName name="Set_Cell" localSheetId="10">#REF!</definedName>
    <definedName name="Set_Cell">#REF!</definedName>
    <definedName name="SHCp" localSheetId="1">#REF!</definedName>
    <definedName name="SHCp" localSheetId="10">#REF!</definedName>
    <definedName name="SHCp">#REF!</definedName>
    <definedName name="SHdays" localSheetId="1">#REF!</definedName>
    <definedName name="SHdays" localSheetId="10">#REF!</definedName>
    <definedName name="SHdays">#REF!</definedName>
    <definedName name="SHDen" localSheetId="1">#REF!</definedName>
    <definedName name="SHDen" localSheetId="10">#REF!</definedName>
    <definedName name="SHDen">#REF!</definedName>
    <definedName name="Showerheads" localSheetId="1">#REF!</definedName>
    <definedName name="Showerheads" localSheetId="10">#REF!</definedName>
    <definedName name="Showerheads">#REF!</definedName>
    <definedName name="SHRE" localSheetId="1">#REF!</definedName>
    <definedName name="SHRE" localSheetId="10">#REF!</definedName>
    <definedName name="SHRE">#REF!</definedName>
    <definedName name="SHtime" localSheetId="1">#REF!</definedName>
    <definedName name="SHtime" localSheetId="10">#REF!</definedName>
    <definedName name="SHtime">#REF!</definedName>
    <definedName name="SHTin" localSheetId="1">#REF!</definedName>
    <definedName name="SHTin" localSheetId="10">#REF!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11" hidden="1">1</definedName>
    <definedName name="solver_neg" localSheetId="11" hidden="1">1</definedName>
    <definedName name="solver_num" localSheetId="11" hidden="1">0</definedName>
    <definedName name="solver_opt" localSheetId="11" hidden="1">'BUS Deemed Savings Table'!$F$442</definedName>
    <definedName name="solver_typ" localSheetId="11" hidden="1">3</definedName>
    <definedName name="solver_val" localSheetId="11" hidden="1">411</definedName>
    <definedName name="solver_ver" localSheetId="11" hidden="1">3</definedName>
    <definedName name="Tamb" localSheetId="1">#REF!</definedName>
    <definedName name="Tamb" localSheetId="10">#REF!</definedName>
    <definedName name="Tamb">#REF!</definedName>
    <definedName name="TFauc" localSheetId="1">#REF!</definedName>
    <definedName name="TFauc" localSheetId="10">#REF!</definedName>
    <definedName name="TFauc">#REF!</definedName>
    <definedName name="Tin" localSheetId="1">#REF!</definedName>
    <definedName name="Tin" localSheetId="10">#REF!</definedName>
    <definedName name="Tin">#REF!</definedName>
    <definedName name="Tshower" localSheetId="1">#REF!</definedName>
    <definedName name="Tshower" localSheetId="10">#REF!</definedName>
    <definedName name="Tshower">#REF!</definedName>
    <definedName name="TTank" localSheetId="1">#REF!</definedName>
    <definedName name="TTank" localSheetId="10">#REF!</definedName>
    <definedName name="TTank">#REF!</definedName>
    <definedName name="TuneEFLHcool" localSheetId="1">#REF!</definedName>
    <definedName name="TuneEFLHcool" localSheetId="10">#REF!</definedName>
    <definedName name="TuneEFLHcool">#REF!</definedName>
    <definedName name="UABase" localSheetId="1">#REF!</definedName>
    <definedName name="UABase" localSheetId="10">#REF!</definedName>
    <definedName name="UABase">#REF!</definedName>
    <definedName name="ubase" localSheetId="1">#REF!</definedName>
    <definedName name="ubase" localSheetId="10">#REF!</definedName>
    <definedName name="ubase">#REF!</definedName>
    <definedName name="UnitTons" localSheetId="1">#REF!</definedName>
    <definedName name="UnitTons" localSheetId="10">#REF!</definedName>
    <definedName name="UnitTons">#REF!</definedName>
    <definedName name="usage" localSheetId="1">#REF!</definedName>
    <definedName name="usage" localSheetId="10">#REF!</definedName>
    <definedName name="usage">#REF!</definedName>
    <definedName name="Va" localSheetId="1">#REF!</definedName>
    <definedName name="Va" localSheetId="10">#REF!</definedName>
    <definedName name="Va">#REF!</definedName>
    <definedName name="Vs" localSheetId="1">#REF!</definedName>
    <definedName name="Vs" localSheetId="10">#REF!</definedName>
    <definedName name="Vs">#REF!</definedName>
    <definedName name="WB_10.5W" localSheetId="1">#REF!</definedName>
    <definedName name="WB_10.5W" localSheetId="10">#REF!</definedName>
    <definedName name="WB_10.5W">#REF!</definedName>
    <definedName name="WB_10W" localSheetId="1">#REF!</definedName>
    <definedName name="WB_10W" localSheetId="10">#REF!</definedName>
    <definedName name="WB_10W">#REF!</definedName>
    <definedName name="WB_12W" localSheetId="1">#REF!</definedName>
    <definedName name="WB_12W" localSheetId="10">#REF!</definedName>
    <definedName name="WB_12W">#REF!</definedName>
    <definedName name="WB_15W" localSheetId="1">#REF!</definedName>
    <definedName name="WB_15W" localSheetId="10">#REF!</definedName>
    <definedName name="WB_15W">#REF!</definedName>
    <definedName name="WB_15WFlood" localSheetId="1">#REF!</definedName>
    <definedName name="WB_15WFlood" localSheetId="10">#REF!</definedName>
    <definedName name="WB_15WFlood">#REF!</definedName>
    <definedName name="WB_18WFlood" localSheetId="1">#REF!</definedName>
    <definedName name="WB_18WFlood" localSheetId="10">#REF!</definedName>
    <definedName name="WB_18WFlood">#REF!</definedName>
    <definedName name="WB_20W" localSheetId="1">#REF!</definedName>
    <definedName name="WB_20W" localSheetId="10">#REF!</definedName>
    <definedName name="WB_20W">#REF!</definedName>
    <definedName name="WB_4W" localSheetId="1">#REF!</definedName>
    <definedName name="WB_4W" localSheetId="10">#REF!</definedName>
    <definedName name="WB_4W">#REF!</definedName>
    <definedName name="WB_8W" localSheetId="1">#REF!</definedName>
    <definedName name="WB_8W" localSheetId="10">#REF!</definedName>
    <definedName name="WB_8W">#REF!</definedName>
    <definedName name="Wcfl13" localSheetId="1">#REF!</definedName>
    <definedName name="Wcfl13" localSheetId="10">#REF!</definedName>
    <definedName name="Wcfl13">#REF!</definedName>
    <definedName name="Wcfl18" localSheetId="1">#REF!</definedName>
    <definedName name="Wcfl18" localSheetId="10">#REF!</definedName>
    <definedName name="Wcfl18">#REF!</definedName>
    <definedName name="Wcfl23" localSheetId="1">#REF!</definedName>
    <definedName name="Wcfl23" localSheetId="10">#REF!</definedName>
    <definedName name="Wcfl23">#REF!</definedName>
    <definedName name="WE_10.5W" localSheetId="1">#REF!</definedName>
    <definedName name="WE_10.5W" localSheetId="10">#REF!</definedName>
    <definedName name="WE_10.5W">#REF!</definedName>
    <definedName name="WE_10W" localSheetId="1">#REF!</definedName>
    <definedName name="WE_10W" localSheetId="10">#REF!</definedName>
    <definedName name="WE_10W">#REF!</definedName>
    <definedName name="WE_12W" localSheetId="1">#REF!</definedName>
    <definedName name="WE_12W" localSheetId="10">#REF!</definedName>
    <definedName name="WE_12W">#REF!</definedName>
    <definedName name="WE_15W" localSheetId="1">#REF!</definedName>
    <definedName name="WE_15W" localSheetId="10">#REF!</definedName>
    <definedName name="WE_15W">#REF!</definedName>
    <definedName name="WE_15WFlood" localSheetId="1">#REF!</definedName>
    <definedName name="WE_15WFlood" localSheetId="10">#REF!</definedName>
    <definedName name="WE_15WFlood">#REF!</definedName>
    <definedName name="WE_18WFlood" localSheetId="1">#REF!</definedName>
    <definedName name="WE_18WFlood" localSheetId="10">#REF!</definedName>
    <definedName name="WE_18WFlood">#REF!</definedName>
    <definedName name="WE_20W" localSheetId="1">#REF!</definedName>
    <definedName name="WE_20W" localSheetId="10">#REF!</definedName>
    <definedName name="WE_20W">#REF!</definedName>
    <definedName name="WE_4W" localSheetId="1">#REF!</definedName>
    <definedName name="WE_4W" localSheetId="10">#REF!</definedName>
    <definedName name="WE_4W">#REF!</definedName>
    <definedName name="WE_8W" localSheetId="1">#REF!</definedName>
    <definedName name="WE_8W" localSheetId="10">#REF!</definedName>
    <definedName name="WE_8W">#REF!</definedName>
    <definedName name="WHC" localSheetId="1">#REF!</definedName>
    <definedName name="WHC" localSheetId="10">#REF!</definedName>
    <definedName name="WHC">#REF!</definedName>
    <definedName name="WHFNRES" localSheetId="1">#REF!</definedName>
    <definedName name="WHFNRES" localSheetId="10">#REF!</definedName>
    <definedName name="WHFNRES">#REF!</definedName>
    <definedName name="WHFRES" localSheetId="1">#REF!</definedName>
    <definedName name="WHFRES" localSheetId="10">#REF!</definedName>
    <definedName name="WHFRES">#REF!</definedName>
    <definedName name="WHFRES_Coupon">#REF!</definedName>
    <definedName name="WHFRES_Markdown">#REF!</definedName>
    <definedName name="WHFRES_SMD">#REF!</definedName>
    <definedName name="Winc100" localSheetId="1">#REF!</definedName>
    <definedName name="Winc100" localSheetId="10">#REF!</definedName>
    <definedName name="Winc100">#REF!</definedName>
    <definedName name="Winc60" localSheetId="1">#REF!</definedName>
    <definedName name="Winc60" localSheetId="10">#REF!</definedName>
    <definedName name="Winc60">#REF!</definedName>
    <definedName name="Winc75" localSheetId="1">#REF!</definedName>
    <definedName name="Winc75" localSheetId="10">#REF!</definedName>
    <definedName name="Winc75">#REF!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E598" i="7" l="1"/>
  <c r="BA22" i="8" l="1"/>
  <c r="BA23" i="8"/>
  <c r="BA24" i="8"/>
  <c r="BA25" i="8"/>
  <c r="BA20" i="8"/>
  <c r="BA21" i="8"/>
  <c r="N7" i="6"/>
  <c r="N8" i="6"/>
  <c r="BC1146" i="7"/>
  <c r="BC1147" i="7"/>
  <c r="BC1145" i="7"/>
  <c r="A519" i="15"/>
  <c r="AI682" i="15"/>
  <c r="AD682" i="15"/>
  <c r="AB682" i="15"/>
  <c r="X682" i="15"/>
  <c r="Z682" i="15" s="1"/>
  <c r="P682" i="15"/>
  <c r="J682" i="15"/>
  <c r="H682" i="15"/>
  <c r="G682" i="15"/>
  <c r="C682" i="15"/>
  <c r="AM682" i="15" s="1"/>
  <c r="B682" i="15"/>
  <c r="A682" i="15" s="1"/>
  <c r="AI617" i="15"/>
  <c r="AB617" i="15"/>
  <c r="X617" i="15"/>
  <c r="O617" i="15"/>
  <c r="I617" i="15"/>
  <c r="H617" i="15"/>
  <c r="G617" i="15"/>
  <c r="C617" i="15"/>
  <c r="AM617" i="15" s="1"/>
  <c r="AN617" i="15" s="1"/>
  <c r="AO617" i="15" s="1"/>
  <c r="B617" i="15"/>
  <c r="A617" i="15" s="1"/>
  <c r="AD617" i="15"/>
  <c r="Z617" i="15"/>
  <c r="W617" i="15" s="1"/>
  <c r="V617" i="15" s="1"/>
  <c r="U617" i="15" s="1"/>
  <c r="AI616" i="15"/>
  <c r="AD616" i="15"/>
  <c r="AB616" i="15"/>
  <c r="O616" i="15"/>
  <c r="H616" i="15"/>
  <c r="G616" i="15"/>
  <c r="C616" i="15"/>
  <c r="AM616" i="15" s="1"/>
  <c r="B616" i="15"/>
  <c r="A616" i="15" s="1"/>
  <c r="AI614" i="15"/>
  <c r="AD614" i="15"/>
  <c r="AB614" i="15"/>
  <c r="O614" i="15"/>
  <c r="H614" i="15"/>
  <c r="G614" i="15"/>
  <c r="C614" i="15"/>
  <c r="AM614" i="15" s="1"/>
  <c r="B614" i="15"/>
  <c r="A614" i="15" s="1"/>
  <c r="AI611" i="15"/>
  <c r="AD611" i="15"/>
  <c r="AB611" i="15"/>
  <c r="O611" i="15"/>
  <c r="H611" i="15"/>
  <c r="G611" i="15"/>
  <c r="C611" i="15"/>
  <c r="AM611" i="15" s="1"/>
  <c r="B611" i="15"/>
  <c r="A611" i="15" s="1"/>
  <c r="AI608" i="15"/>
  <c r="AD608" i="15"/>
  <c r="AB608" i="15"/>
  <c r="O608" i="15"/>
  <c r="H608" i="15"/>
  <c r="G608" i="15"/>
  <c r="C608" i="15"/>
  <c r="AM608" i="15" s="1"/>
  <c r="B608" i="15"/>
  <c r="A608" i="15" s="1"/>
  <c r="AI590" i="15"/>
  <c r="AE590" i="15"/>
  <c r="AC590" i="15" s="1"/>
  <c r="AD590" i="15"/>
  <c r="AB590" i="15"/>
  <c r="AA590" i="15"/>
  <c r="X590" i="15"/>
  <c r="Z590" i="15" s="1"/>
  <c r="O590" i="15"/>
  <c r="I590" i="15"/>
  <c r="H590" i="15"/>
  <c r="G590" i="15"/>
  <c r="C590" i="15"/>
  <c r="B590" i="15"/>
  <c r="A590" i="15" s="1"/>
  <c r="AI581" i="15"/>
  <c r="AD581" i="15"/>
  <c r="H581" i="15"/>
  <c r="G581" i="15"/>
  <c r="C581" i="15"/>
  <c r="AM581" i="15" s="1"/>
  <c r="B581" i="15"/>
  <c r="A581" i="15" s="1"/>
  <c r="AI560" i="15"/>
  <c r="AD560" i="15"/>
  <c r="AB560" i="15"/>
  <c r="X560" i="15"/>
  <c r="Z560" i="15" s="1"/>
  <c r="H560" i="15"/>
  <c r="G560" i="15"/>
  <c r="C560" i="15"/>
  <c r="AM560" i="15" s="1"/>
  <c r="B560" i="15"/>
  <c r="A560" i="15" s="1"/>
  <c r="D531" i="15"/>
  <c r="D530" i="15"/>
  <c r="AI531" i="15"/>
  <c r="AD531" i="15"/>
  <c r="X531" i="15"/>
  <c r="Z531" i="15" s="1"/>
  <c r="P531" i="15"/>
  <c r="J531" i="15"/>
  <c r="H531" i="15"/>
  <c r="G531" i="15"/>
  <c r="C531" i="15"/>
  <c r="AM531" i="15" s="1"/>
  <c r="B531" i="15"/>
  <c r="A531" i="15" s="1"/>
  <c r="AI530" i="15"/>
  <c r="AD530" i="15"/>
  <c r="X530" i="15"/>
  <c r="Z530" i="15" s="1"/>
  <c r="P530" i="15"/>
  <c r="J530" i="15"/>
  <c r="H530" i="15"/>
  <c r="G530" i="15"/>
  <c r="C530" i="15"/>
  <c r="AM530" i="15" s="1"/>
  <c r="B530" i="15"/>
  <c r="A530" i="15" s="1"/>
  <c r="AI529" i="15"/>
  <c r="AD529" i="15"/>
  <c r="X529" i="15"/>
  <c r="Z529" i="15" s="1"/>
  <c r="Q529" i="15"/>
  <c r="O529" i="15" s="1"/>
  <c r="U529" i="15" s="1"/>
  <c r="P529" i="15"/>
  <c r="J529" i="15"/>
  <c r="H529" i="15"/>
  <c r="G529" i="15"/>
  <c r="C529" i="15"/>
  <c r="AM529" i="15" s="1"/>
  <c r="B529" i="15"/>
  <c r="A529" i="15" s="1"/>
  <c r="AI528" i="15"/>
  <c r="AD528" i="15"/>
  <c r="X528" i="15"/>
  <c r="Z528" i="15" s="1"/>
  <c r="Q528" i="15"/>
  <c r="O528" i="15" s="1"/>
  <c r="U528" i="15" s="1"/>
  <c r="P528" i="15"/>
  <c r="J528" i="15"/>
  <c r="H528" i="15"/>
  <c r="G528" i="15"/>
  <c r="C528" i="15"/>
  <c r="AM528" i="15" s="1"/>
  <c r="B528" i="15"/>
  <c r="A528" i="15" s="1"/>
  <c r="BD7" i="8" l="1"/>
  <c r="BD25" i="8"/>
  <c r="BD24" i="8"/>
  <c r="BD23" i="8"/>
  <c r="BD22" i="8"/>
  <c r="BD21" i="8"/>
  <c r="BC23" i="8"/>
  <c r="BC24" i="8" s="1"/>
  <c r="BC22" i="8"/>
  <c r="BB22" i="8" s="1"/>
  <c r="BC21" i="8"/>
  <c r="BE22" i="8"/>
  <c r="BB23" i="8"/>
  <c r="BE23" i="8"/>
  <c r="BE24" i="8"/>
  <c r="BE25" i="8"/>
  <c r="BE21" i="8"/>
  <c r="BB21" i="8"/>
  <c r="AI469" i="15"/>
  <c r="AD469" i="15"/>
  <c r="X469" i="15"/>
  <c r="Z469" i="15" s="1"/>
  <c r="H469" i="15"/>
  <c r="G469" i="15"/>
  <c r="C469" i="15"/>
  <c r="AM469" i="15" s="1"/>
  <c r="B469" i="15"/>
  <c r="A469" i="15" s="1"/>
  <c r="AI467" i="15"/>
  <c r="AD467" i="15"/>
  <c r="X467" i="15"/>
  <c r="Z467" i="15" s="1"/>
  <c r="H467" i="15"/>
  <c r="G467" i="15"/>
  <c r="C467" i="15"/>
  <c r="AM467" i="15" s="1"/>
  <c r="B467" i="15"/>
  <c r="A467" i="15" s="1"/>
  <c r="AI411" i="15"/>
  <c r="AD411" i="15"/>
  <c r="P411" i="15"/>
  <c r="J411" i="15"/>
  <c r="H411" i="15"/>
  <c r="G411" i="15"/>
  <c r="D411" i="15"/>
  <c r="C411" i="15"/>
  <c r="AM411" i="15" s="1"/>
  <c r="B411" i="15"/>
  <c r="A411" i="15" s="1"/>
  <c r="AI410" i="15"/>
  <c r="AD410" i="15"/>
  <c r="P410" i="15"/>
  <c r="J410" i="15"/>
  <c r="H410" i="15"/>
  <c r="G410" i="15"/>
  <c r="D410" i="15"/>
  <c r="C410" i="15"/>
  <c r="AM410" i="15" s="1"/>
  <c r="B410" i="15"/>
  <c r="A410" i="15" s="1"/>
  <c r="AI409" i="15"/>
  <c r="AD409" i="15"/>
  <c r="P409" i="15"/>
  <c r="J409" i="15"/>
  <c r="H409" i="15"/>
  <c r="G409" i="15"/>
  <c r="D409" i="15"/>
  <c r="C409" i="15"/>
  <c r="AM409" i="15" s="1"/>
  <c r="B409" i="15"/>
  <c r="A409" i="15" s="1"/>
  <c r="AI334" i="15"/>
  <c r="AD334" i="15"/>
  <c r="P334" i="15"/>
  <c r="J334" i="15"/>
  <c r="H334" i="15"/>
  <c r="G334" i="15"/>
  <c r="C334" i="15"/>
  <c r="AM334" i="15" s="1"/>
  <c r="B334" i="15"/>
  <c r="A334" i="15" s="1"/>
  <c r="AI333" i="15"/>
  <c r="AD333" i="15"/>
  <c r="P333" i="15"/>
  <c r="J333" i="15"/>
  <c r="H333" i="15"/>
  <c r="G333" i="15"/>
  <c r="C333" i="15"/>
  <c r="AM333" i="15" s="1"/>
  <c r="B333" i="15"/>
  <c r="A333" i="15" s="1"/>
  <c r="AI332" i="15"/>
  <c r="AD332" i="15"/>
  <c r="P332" i="15"/>
  <c r="J332" i="15"/>
  <c r="H332" i="15"/>
  <c r="G332" i="15"/>
  <c r="C332" i="15"/>
  <c r="AM332" i="15" s="1"/>
  <c r="B332" i="15"/>
  <c r="A332" i="15" s="1"/>
  <c r="AD307" i="15"/>
  <c r="P307" i="15"/>
  <c r="J307" i="15"/>
  <c r="H307" i="15"/>
  <c r="G307" i="15"/>
  <c r="D307" i="15"/>
  <c r="C307" i="15"/>
  <c r="AM307" i="15" s="1"/>
  <c r="B307" i="15"/>
  <c r="A307" i="15" s="1"/>
  <c r="AD306" i="15"/>
  <c r="P306" i="15"/>
  <c r="L306" i="15"/>
  <c r="J306" i="15"/>
  <c r="H306" i="15"/>
  <c r="G306" i="15"/>
  <c r="D306" i="15"/>
  <c r="C306" i="15"/>
  <c r="AM306" i="15" s="1"/>
  <c r="B306" i="15"/>
  <c r="A306" i="15" s="1"/>
  <c r="L299" i="15"/>
  <c r="H299" i="15"/>
  <c r="G299" i="15"/>
  <c r="F299" i="15"/>
  <c r="E299" i="15"/>
  <c r="D299" i="15"/>
  <c r="C299" i="15"/>
  <c r="AM299" i="15" s="1"/>
  <c r="B299" i="15"/>
  <c r="A299" i="15" s="1"/>
  <c r="N298" i="15"/>
  <c r="L298" i="15"/>
  <c r="H298" i="15"/>
  <c r="G298" i="15"/>
  <c r="F298" i="15"/>
  <c r="E298" i="15"/>
  <c r="D298" i="15"/>
  <c r="C298" i="15"/>
  <c r="AM298" i="15" s="1"/>
  <c r="B298" i="15"/>
  <c r="A298" i="15" s="1"/>
  <c r="L291" i="15"/>
  <c r="H291" i="15"/>
  <c r="G291" i="15"/>
  <c r="F291" i="15"/>
  <c r="E291" i="15"/>
  <c r="D291" i="15"/>
  <c r="C291" i="15"/>
  <c r="AM291" i="15" s="1"/>
  <c r="B291" i="15"/>
  <c r="A291" i="15" s="1"/>
  <c r="N290" i="15"/>
  <c r="L290" i="15"/>
  <c r="H290" i="15"/>
  <c r="G290" i="15"/>
  <c r="F290" i="15"/>
  <c r="E290" i="15"/>
  <c r="D290" i="15"/>
  <c r="C290" i="15"/>
  <c r="AM290" i="15" s="1"/>
  <c r="B290" i="15"/>
  <c r="A290" i="15" s="1"/>
  <c r="L287" i="15"/>
  <c r="H287" i="15"/>
  <c r="G287" i="15"/>
  <c r="F287" i="15"/>
  <c r="E287" i="15"/>
  <c r="D287" i="15"/>
  <c r="C287" i="15"/>
  <c r="AM287" i="15" s="1"/>
  <c r="B287" i="15"/>
  <c r="A287" i="15" s="1"/>
  <c r="L283" i="15"/>
  <c r="H283" i="15"/>
  <c r="G283" i="15"/>
  <c r="F283" i="15"/>
  <c r="E283" i="15"/>
  <c r="D283" i="15"/>
  <c r="C283" i="15"/>
  <c r="AM283" i="15" s="1"/>
  <c r="B283" i="15"/>
  <c r="A283" i="15" s="1"/>
  <c r="N282" i="15"/>
  <c r="L282" i="15"/>
  <c r="H282" i="15"/>
  <c r="G282" i="15"/>
  <c r="F282" i="15"/>
  <c r="E282" i="15"/>
  <c r="D282" i="15"/>
  <c r="C282" i="15"/>
  <c r="AM282" i="15" s="1"/>
  <c r="B282" i="15"/>
  <c r="A282" i="15" s="1"/>
  <c r="L279" i="15"/>
  <c r="H279" i="15"/>
  <c r="G279" i="15"/>
  <c r="F279" i="15"/>
  <c r="E279" i="15"/>
  <c r="D279" i="15"/>
  <c r="C279" i="15"/>
  <c r="AM279" i="15" s="1"/>
  <c r="B279" i="15"/>
  <c r="A279" i="15" s="1"/>
  <c r="L275" i="15"/>
  <c r="H275" i="15"/>
  <c r="G275" i="15"/>
  <c r="F275" i="15"/>
  <c r="E275" i="15"/>
  <c r="D275" i="15"/>
  <c r="C275" i="15"/>
  <c r="AM275" i="15" s="1"/>
  <c r="B275" i="15"/>
  <c r="A275" i="15" s="1"/>
  <c r="N274" i="15"/>
  <c r="L274" i="15"/>
  <c r="H274" i="15"/>
  <c r="G274" i="15"/>
  <c r="F274" i="15"/>
  <c r="E274" i="15"/>
  <c r="D274" i="15"/>
  <c r="C274" i="15"/>
  <c r="AM274" i="15" s="1"/>
  <c r="B274" i="15"/>
  <c r="A274" i="15" s="1"/>
  <c r="L271" i="15"/>
  <c r="H271" i="15"/>
  <c r="G271" i="15"/>
  <c r="F271" i="15"/>
  <c r="E271" i="15"/>
  <c r="D271" i="15"/>
  <c r="C271" i="15"/>
  <c r="AM271" i="15" s="1"/>
  <c r="B271" i="15"/>
  <c r="A271" i="15" s="1"/>
  <c r="AD263" i="15"/>
  <c r="P263" i="15"/>
  <c r="J263" i="15"/>
  <c r="H263" i="15"/>
  <c r="G263" i="15"/>
  <c r="D263" i="15"/>
  <c r="C263" i="15"/>
  <c r="AM263" i="15" s="1"/>
  <c r="B263" i="15"/>
  <c r="A263" i="15" s="1"/>
  <c r="AD262" i="15"/>
  <c r="P262" i="15"/>
  <c r="L262" i="15"/>
  <c r="J262" i="15"/>
  <c r="H262" i="15"/>
  <c r="G262" i="15"/>
  <c r="D262" i="15"/>
  <c r="C262" i="15"/>
  <c r="AM262" i="15" s="1"/>
  <c r="B262" i="15"/>
  <c r="A262" i="15" s="1"/>
  <c r="L258" i="15"/>
  <c r="H258" i="15"/>
  <c r="G258" i="15"/>
  <c r="F258" i="15"/>
  <c r="E258" i="15"/>
  <c r="D258" i="15"/>
  <c r="C258" i="15"/>
  <c r="AM258" i="15" s="1"/>
  <c r="B258" i="15"/>
  <c r="A258" i="15" s="1"/>
  <c r="N257" i="15"/>
  <c r="L257" i="15"/>
  <c r="H257" i="15"/>
  <c r="G257" i="15"/>
  <c r="F257" i="15"/>
  <c r="E257" i="15"/>
  <c r="D257" i="15"/>
  <c r="C257" i="15"/>
  <c r="AM257" i="15" s="1"/>
  <c r="B257" i="15"/>
  <c r="A257" i="15" s="1"/>
  <c r="L254" i="15"/>
  <c r="H254" i="15"/>
  <c r="G254" i="15"/>
  <c r="F254" i="15"/>
  <c r="E254" i="15"/>
  <c r="D254" i="15"/>
  <c r="C254" i="15"/>
  <c r="AM254" i="15" s="1"/>
  <c r="B254" i="15"/>
  <c r="A254" i="15" s="1"/>
  <c r="AD252" i="15"/>
  <c r="P252" i="15"/>
  <c r="J252" i="15"/>
  <c r="H252" i="15"/>
  <c r="G252" i="15"/>
  <c r="D252" i="15"/>
  <c r="C252" i="15"/>
  <c r="AM252" i="15" s="1"/>
  <c r="B252" i="15"/>
  <c r="A252" i="15" s="1"/>
  <c r="AD251" i="15"/>
  <c r="P251" i="15"/>
  <c r="L251" i="15"/>
  <c r="J251" i="15"/>
  <c r="H251" i="15"/>
  <c r="G251" i="15"/>
  <c r="D251" i="15"/>
  <c r="C251" i="15"/>
  <c r="AM251" i="15" s="1"/>
  <c r="B251" i="15"/>
  <c r="A251" i="15" s="1"/>
  <c r="L247" i="15"/>
  <c r="H247" i="15"/>
  <c r="G247" i="15"/>
  <c r="F247" i="15"/>
  <c r="E247" i="15"/>
  <c r="D247" i="15"/>
  <c r="C247" i="15"/>
  <c r="AM247" i="15" s="1"/>
  <c r="B247" i="15"/>
  <c r="A247" i="15" s="1"/>
  <c r="AD245" i="15"/>
  <c r="P245" i="15"/>
  <c r="L245" i="15"/>
  <c r="J245" i="15"/>
  <c r="H245" i="15"/>
  <c r="G245" i="15"/>
  <c r="D245" i="15"/>
  <c r="C245" i="15"/>
  <c r="AM245" i="15" s="1"/>
  <c r="B245" i="15"/>
  <c r="A245" i="15" s="1"/>
  <c r="AD244" i="15"/>
  <c r="P244" i="15"/>
  <c r="L244" i="15"/>
  <c r="J244" i="15"/>
  <c r="H244" i="15"/>
  <c r="G244" i="15"/>
  <c r="D244" i="15"/>
  <c r="C244" i="15"/>
  <c r="AM244" i="15" s="1"/>
  <c r="B244" i="15"/>
  <c r="A244" i="15" s="1"/>
  <c r="AD240" i="15"/>
  <c r="P240" i="15"/>
  <c r="J240" i="15"/>
  <c r="H240" i="15"/>
  <c r="G240" i="15"/>
  <c r="D240" i="15"/>
  <c r="C240" i="15"/>
  <c r="AM240" i="15" s="1"/>
  <c r="B240" i="15"/>
  <c r="A240" i="15" s="1"/>
  <c r="AD239" i="15"/>
  <c r="P239" i="15"/>
  <c r="L239" i="15"/>
  <c r="J239" i="15"/>
  <c r="H239" i="15"/>
  <c r="G239" i="15"/>
  <c r="D239" i="15"/>
  <c r="C239" i="15"/>
  <c r="AM239" i="15" s="1"/>
  <c r="B239" i="15"/>
  <c r="A239" i="15" s="1"/>
  <c r="AD235" i="15"/>
  <c r="P235" i="15"/>
  <c r="J235" i="15"/>
  <c r="H235" i="15"/>
  <c r="G235" i="15"/>
  <c r="D235" i="15"/>
  <c r="C235" i="15"/>
  <c r="AM235" i="15" s="1"/>
  <c r="B235" i="15"/>
  <c r="A235" i="15" s="1"/>
  <c r="AD234" i="15"/>
  <c r="P234" i="15"/>
  <c r="L234" i="15"/>
  <c r="J234" i="15"/>
  <c r="H234" i="15"/>
  <c r="G234" i="15"/>
  <c r="D234" i="15"/>
  <c r="C234" i="15"/>
  <c r="AM234" i="15" s="1"/>
  <c r="B234" i="15"/>
  <c r="A234" i="15" s="1"/>
  <c r="L228" i="15"/>
  <c r="H228" i="15"/>
  <c r="G228" i="15"/>
  <c r="F228" i="15"/>
  <c r="E228" i="15"/>
  <c r="D228" i="15"/>
  <c r="C228" i="15"/>
  <c r="AM228" i="15" s="1"/>
  <c r="B228" i="15"/>
  <c r="A228" i="15" s="1"/>
  <c r="N227" i="15"/>
  <c r="L227" i="15"/>
  <c r="H227" i="15"/>
  <c r="G227" i="15"/>
  <c r="F227" i="15"/>
  <c r="E227" i="15"/>
  <c r="D227" i="15"/>
  <c r="C227" i="15"/>
  <c r="AM227" i="15" s="1"/>
  <c r="B227" i="15"/>
  <c r="A227" i="15" s="1"/>
  <c r="AD224" i="15"/>
  <c r="P224" i="15"/>
  <c r="J224" i="15"/>
  <c r="H224" i="15"/>
  <c r="G224" i="15"/>
  <c r="D224" i="15"/>
  <c r="C224" i="15"/>
  <c r="AM224" i="15" s="1"/>
  <c r="B224" i="15"/>
  <c r="A224" i="15" s="1"/>
  <c r="AD223" i="15"/>
  <c r="P223" i="15"/>
  <c r="L223" i="15"/>
  <c r="J223" i="15"/>
  <c r="H223" i="15"/>
  <c r="G223" i="15"/>
  <c r="D223" i="15"/>
  <c r="C223" i="15"/>
  <c r="AM223" i="15" s="1"/>
  <c r="B223" i="15"/>
  <c r="A223" i="15" s="1"/>
  <c r="AD216" i="15"/>
  <c r="P216" i="15"/>
  <c r="J216" i="15"/>
  <c r="H216" i="15"/>
  <c r="G216" i="15"/>
  <c r="D216" i="15"/>
  <c r="C216" i="15"/>
  <c r="AM216" i="15" s="1"/>
  <c r="B216" i="15"/>
  <c r="A216" i="15" s="1"/>
  <c r="AD215" i="15"/>
  <c r="P215" i="15"/>
  <c r="L215" i="15"/>
  <c r="J215" i="15"/>
  <c r="H215" i="15"/>
  <c r="G215" i="15"/>
  <c r="D215" i="15"/>
  <c r="C215" i="15"/>
  <c r="AM215" i="15" s="1"/>
  <c r="B215" i="15"/>
  <c r="A215" i="15" s="1"/>
  <c r="H212" i="15"/>
  <c r="G212" i="15"/>
  <c r="F212" i="15"/>
  <c r="E212" i="15"/>
  <c r="D212" i="15"/>
  <c r="C212" i="15"/>
  <c r="AM212" i="15" s="1"/>
  <c r="B212" i="15"/>
  <c r="A212" i="15" s="1"/>
  <c r="H211" i="15"/>
  <c r="G211" i="15"/>
  <c r="F211" i="15"/>
  <c r="E211" i="15"/>
  <c r="D211" i="15"/>
  <c r="C211" i="15"/>
  <c r="AM211" i="15" s="1"/>
  <c r="B211" i="15"/>
  <c r="A211" i="15" s="1"/>
  <c r="L203" i="15"/>
  <c r="H203" i="15"/>
  <c r="G203" i="15"/>
  <c r="F203" i="15"/>
  <c r="E203" i="15"/>
  <c r="D203" i="15"/>
  <c r="C203" i="15"/>
  <c r="AM203" i="15" s="1"/>
  <c r="B203" i="15"/>
  <c r="A203" i="15" s="1"/>
  <c r="AD200" i="15"/>
  <c r="P200" i="15"/>
  <c r="J200" i="15"/>
  <c r="H200" i="15"/>
  <c r="G200" i="15"/>
  <c r="D200" i="15"/>
  <c r="C200" i="15"/>
  <c r="AM200" i="15" s="1"/>
  <c r="B200" i="15"/>
  <c r="A200" i="15" s="1"/>
  <c r="H197" i="15"/>
  <c r="G197" i="15"/>
  <c r="F197" i="15"/>
  <c r="E197" i="15"/>
  <c r="D197" i="15"/>
  <c r="C197" i="15"/>
  <c r="AM197" i="15" s="1"/>
  <c r="B197" i="15"/>
  <c r="A197" i="15" s="1"/>
  <c r="B198" i="15"/>
  <c r="A198" i="15" s="1"/>
  <c r="C198" i="15"/>
  <c r="AM198" i="15" s="1"/>
  <c r="D198" i="15"/>
  <c r="E198" i="15"/>
  <c r="F198" i="15"/>
  <c r="G198" i="15"/>
  <c r="H198" i="15"/>
  <c r="BB24" i="8" l="1"/>
  <c r="BC25" i="8"/>
  <c r="BB25" i="8" s="1"/>
  <c r="AI81" i="15" l="1"/>
  <c r="H81" i="15"/>
  <c r="G81" i="15"/>
  <c r="C81" i="15"/>
  <c r="AM81" i="15" s="1"/>
  <c r="B81" i="15"/>
  <c r="A81" i="15" s="1"/>
  <c r="AI50" i="15"/>
  <c r="H50" i="15"/>
  <c r="G50" i="15"/>
  <c r="C50" i="15"/>
  <c r="AM50" i="15" s="1"/>
  <c r="B50" i="15"/>
  <c r="A50" i="15" s="1"/>
  <c r="AI34" i="15"/>
  <c r="AB34" i="15"/>
  <c r="H34" i="15"/>
  <c r="G34" i="15"/>
  <c r="C34" i="15"/>
  <c r="AM34" i="15" s="1"/>
  <c r="B34" i="15"/>
  <c r="A34" i="15" s="1"/>
  <c r="AI32" i="15"/>
  <c r="AB32" i="15"/>
  <c r="H32" i="15"/>
  <c r="G32" i="15"/>
  <c r="C32" i="15"/>
  <c r="AM32" i="15" s="1"/>
  <c r="B32" i="15"/>
  <c r="A32" i="15" s="1"/>
  <c r="J9" i="5" l="1"/>
  <c r="I9" i="5"/>
  <c r="AO212" i="16"/>
  <c r="AO213" i="16"/>
  <c r="AO214" i="16"/>
  <c r="AO201" i="16"/>
  <c r="K174" i="16"/>
  <c r="AB50" i="15" s="1"/>
  <c r="M542" i="9"/>
  <c r="K16" i="9"/>
  <c r="AC754" i="7"/>
  <c r="K19" i="7"/>
  <c r="AB332" i="15" s="1"/>
  <c r="R745" i="7"/>
  <c r="R744" i="7"/>
  <c r="R746" i="7"/>
  <c r="R747" i="7"/>
  <c r="R748" i="7"/>
  <c r="F47" i="9"/>
  <c r="K531" i="15" s="1"/>
  <c r="F45" i="9"/>
  <c r="K530" i="15" s="1"/>
  <c r="BC46" i="9"/>
  <c r="BC47" i="9"/>
  <c r="BD47" i="9" s="1"/>
  <c r="AE531" i="15" s="1"/>
  <c r="BC48" i="9"/>
  <c r="AC57" i="9"/>
  <c r="AC58" i="9"/>
  <c r="AC59" i="9"/>
  <c r="AC60" i="9"/>
  <c r="AC61" i="9"/>
  <c r="AC62" i="9"/>
  <c r="AC63" i="9"/>
  <c r="AC65" i="9"/>
  <c r="AC66" i="9"/>
  <c r="AC67" i="9"/>
  <c r="AC56" i="9"/>
  <c r="V68" i="9"/>
  <c r="V66" i="9"/>
  <c r="V65" i="9"/>
  <c r="V64" i="9"/>
  <c r="V62" i="9"/>
  <c r="V60" i="9"/>
  <c r="G64" i="9"/>
  <c r="F46" i="9" s="1"/>
  <c r="L530" i="15" s="1"/>
  <c r="D67" i="9"/>
  <c r="V67" i="9" s="1"/>
  <c r="H46" i="9"/>
  <c r="H47" i="9"/>
  <c r="H48" i="9"/>
  <c r="H45" i="9"/>
  <c r="K46" i="9"/>
  <c r="BE46" i="9" s="1"/>
  <c r="K48" i="9"/>
  <c r="BE48" i="9" s="1"/>
  <c r="V45" i="9"/>
  <c r="V47" i="9" s="1"/>
  <c r="V48" i="9" s="1"/>
  <c r="BC45" i="9"/>
  <c r="BC15" i="9"/>
  <c r="BC16" i="9"/>
  <c r="AC26" i="9"/>
  <c r="AC32" i="9"/>
  <c r="V61" i="9"/>
  <c r="V59" i="9"/>
  <c r="V58" i="9"/>
  <c r="AG55" i="9"/>
  <c r="AF55" i="9"/>
  <c r="AE55" i="9"/>
  <c r="AD55" i="9"/>
  <c r="AC55" i="9"/>
  <c r="AB55" i="9"/>
  <c r="AA55" i="9"/>
  <c r="Z55" i="9"/>
  <c r="Y55" i="9"/>
  <c r="X55" i="9"/>
  <c r="W55" i="9"/>
  <c r="V42" i="9"/>
  <c r="F16" i="9"/>
  <c r="F15" i="9"/>
  <c r="AC721" i="7"/>
  <c r="AC722" i="7"/>
  <c r="AC723" i="7"/>
  <c r="AC724" i="7"/>
  <c r="AC725" i="7"/>
  <c r="AC726" i="7"/>
  <c r="AC727" i="7"/>
  <c r="AC729" i="7"/>
  <c r="AC730" i="7"/>
  <c r="AC731" i="7"/>
  <c r="AC732" i="7"/>
  <c r="AC733" i="7"/>
  <c r="AC734" i="7"/>
  <c r="AC735" i="7"/>
  <c r="AC736" i="7"/>
  <c r="AC738" i="7"/>
  <c r="AC739" i="7"/>
  <c r="AC740" i="7"/>
  <c r="AC741" i="7"/>
  <c r="AC742" i="7"/>
  <c r="AC744" i="7"/>
  <c r="AC745" i="7"/>
  <c r="AC746" i="7"/>
  <c r="AC747" i="7"/>
  <c r="AC748" i="7"/>
  <c r="AC749" i="7"/>
  <c r="AC750" i="7"/>
  <c r="AC751" i="7"/>
  <c r="AC752" i="7"/>
  <c r="AC753" i="7"/>
  <c r="AC720" i="7"/>
  <c r="G737" i="7"/>
  <c r="AC737" i="7" s="1"/>
  <c r="K20" i="7"/>
  <c r="AB333" i="15" s="1"/>
  <c r="AC30" i="7"/>
  <c r="G31" i="7"/>
  <c r="AC31" i="7" s="1"/>
  <c r="DE365" i="2"/>
  <c r="DC365" i="2"/>
  <c r="DE364" i="2"/>
  <c r="DD364" i="2"/>
  <c r="DC364" i="2"/>
  <c r="DB364" i="2"/>
  <c r="AP92" i="2"/>
  <c r="BB92" i="2"/>
  <c r="BE91" i="2"/>
  <c r="BD91" i="2"/>
  <c r="BC91" i="2"/>
  <c r="BB91" i="2"/>
  <c r="BA91" i="2"/>
  <c r="AZ91" i="2"/>
  <c r="AY91" i="2"/>
  <c r="AX91" i="2"/>
  <c r="AW91" i="2"/>
  <c r="AV91" i="2"/>
  <c r="CK74" i="2"/>
  <c r="BB67" i="2"/>
  <c r="BB68" i="2"/>
  <c r="BB69" i="2"/>
  <c r="BB70" i="2"/>
  <c r="BB71" i="2"/>
  <c r="BB72" i="2"/>
  <c r="BB73" i="2"/>
  <c r="BB74" i="2"/>
  <c r="BB66" i="2"/>
  <c r="BB65" i="2"/>
  <c r="AU48" i="2"/>
  <c r="AP74" i="2"/>
  <c r="AP72" i="2"/>
  <c r="AP69" i="2"/>
  <c r="AP66" i="2"/>
  <c r="AC74" i="2"/>
  <c r="AC72" i="2"/>
  <c r="AC69" i="2"/>
  <c r="AC66" i="2"/>
  <c r="AI48" i="2"/>
  <c r="DC443" i="2"/>
  <c r="DE443" i="2"/>
  <c r="BB443" i="2"/>
  <c r="BB34" i="2"/>
  <c r="BC542" i="9" l="1"/>
  <c r="X581" i="15"/>
  <c r="Z581" i="15" s="1"/>
  <c r="AC16" i="9"/>
  <c r="K529" i="15"/>
  <c r="I529" i="15" s="1"/>
  <c r="AN529" i="15" s="1"/>
  <c r="AO529" i="15" s="1"/>
  <c r="I530" i="15"/>
  <c r="AN530" i="15" s="1"/>
  <c r="AC15" i="9"/>
  <c r="K528" i="15"/>
  <c r="I528" i="15" s="1"/>
  <c r="AN528" i="15" s="1"/>
  <c r="AO528" i="15" s="1"/>
  <c r="BE16" i="9"/>
  <c r="AB529" i="15"/>
  <c r="BD46" i="9"/>
  <c r="AF530" i="15" s="1"/>
  <c r="V46" i="9"/>
  <c r="AC64" i="9"/>
  <c r="I47" i="9"/>
  <c r="Q531" i="15" s="1"/>
  <c r="F48" i="9"/>
  <c r="G68" i="9"/>
  <c r="AC68" i="9" s="1"/>
  <c r="BD16" i="9"/>
  <c r="I46" i="9"/>
  <c r="R530" i="15" s="1"/>
  <c r="BD45" i="9"/>
  <c r="AE530" i="15" s="1"/>
  <c r="AC530" i="15" s="1"/>
  <c r="I45" i="9"/>
  <c r="Q530" i="15" s="1"/>
  <c r="AC39" i="9"/>
  <c r="BD15" i="9"/>
  <c r="AE528" i="15" s="1"/>
  <c r="AC528" i="15" s="1"/>
  <c r="K15" i="9"/>
  <c r="K21" i="7"/>
  <c r="K702" i="7"/>
  <c r="K700" i="7"/>
  <c r="K698" i="7"/>
  <c r="G728" i="7"/>
  <c r="G743" i="7"/>
  <c r="BE703" i="7"/>
  <c r="BE701" i="7"/>
  <c r="BE699" i="7"/>
  <c r="V698" i="7"/>
  <c r="V699" i="7"/>
  <c r="V700" i="7"/>
  <c r="V701" i="7"/>
  <c r="V702" i="7"/>
  <c r="V703" i="7"/>
  <c r="J698" i="7"/>
  <c r="J699" i="7"/>
  <c r="BC699" i="7" s="1"/>
  <c r="J700" i="7"/>
  <c r="J701" i="7"/>
  <c r="BC701" i="7" s="1"/>
  <c r="J702" i="7"/>
  <c r="J703" i="7"/>
  <c r="BC703" i="7" s="1"/>
  <c r="H699" i="7"/>
  <c r="H700" i="7"/>
  <c r="H701" i="7"/>
  <c r="H702" i="7"/>
  <c r="H703" i="7"/>
  <c r="H698" i="7"/>
  <c r="BE20" i="7"/>
  <c r="BE19" i="7"/>
  <c r="AC53" i="7"/>
  <c r="AC52" i="7"/>
  <c r="J20" i="7"/>
  <c r="J21" i="7"/>
  <c r="J19" i="7"/>
  <c r="H20" i="7"/>
  <c r="H21" i="7"/>
  <c r="H19" i="7"/>
  <c r="G36" i="7"/>
  <c r="AC36" i="7" s="1"/>
  <c r="J275" i="6"/>
  <c r="K275" i="6" s="1"/>
  <c r="I1116" i="6"/>
  <c r="I1115" i="6"/>
  <c r="I1114" i="6"/>
  <c r="I1113" i="6"/>
  <c r="I1112" i="6"/>
  <c r="I1111" i="6"/>
  <c r="I1110" i="6"/>
  <c r="I1109" i="6"/>
  <c r="I1108" i="6"/>
  <c r="I1107" i="6"/>
  <c r="I1106" i="6"/>
  <c r="I1105" i="6"/>
  <c r="I1104" i="6"/>
  <c r="I1103" i="6"/>
  <c r="I1102" i="6"/>
  <c r="I1101" i="6"/>
  <c r="I1100" i="6"/>
  <c r="I1099" i="6"/>
  <c r="I1098" i="6"/>
  <c r="I1097" i="6"/>
  <c r="I1149" i="6" s="1"/>
  <c r="I1183" i="6" s="1"/>
  <c r="I1096" i="6"/>
  <c r="I1148" i="6" s="1"/>
  <c r="I1182" i="6" s="1"/>
  <c r="I1095" i="6"/>
  <c r="I1147" i="6" s="1"/>
  <c r="I1181" i="6" s="1"/>
  <c r="I1094" i="6"/>
  <c r="I1093" i="6"/>
  <c r="I1145" i="6" s="1"/>
  <c r="I1179" i="6" s="1"/>
  <c r="I1092" i="6"/>
  <c r="I1091" i="6"/>
  <c r="I1143" i="6" s="1"/>
  <c r="I1177" i="6" s="1"/>
  <c r="I1090" i="6"/>
  <c r="I1142" i="6" s="1"/>
  <c r="I1176" i="6" s="1"/>
  <c r="I1089" i="6"/>
  <c r="I1088" i="6"/>
  <c r="I1140" i="6" s="1"/>
  <c r="I1174" i="6" s="1"/>
  <c r="I1087" i="6"/>
  <c r="I1139" i="6" s="1"/>
  <c r="I1173" i="6" s="1"/>
  <c r="I1086" i="6"/>
  <c r="I1085" i="6"/>
  <c r="I1137" i="6" s="1"/>
  <c r="I1171" i="6" s="1"/>
  <c r="I1084" i="6"/>
  <c r="I1083" i="6"/>
  <c r="I1135" i="6" s="1"/>
  <c r="I1169" i="6" s="1"/>
  <c r="I1082" i="6"/>
  <c r="I1134" i="6" s="1"/>
  <c r="I1168" i="6" s="1"/>
  <c r="I1081" i="6"/>
  <c r="I1133" i="6" s="1"/>
  <c r="I1167" i="6" s="1"/>
  <c r="I1080" i="6"/>
  <c r="I1079" i="6"/>
  <c r="I1131" i="6" s="1"/>
  <c r="I1165" i="6" s="1"/>
  <c r="I1078" i="6"/>
  <c r="I1077" i="6"/>
  <c r="I1129" i="6" s="1"/>
  <c r="I1163" i="6" s="1"/>
  <c r="I1076" i="6"/>
  <c r="I1075" i="6"/>
  <c r="I1074" i="6"/>
  <c r="I1126" i="6" s="1"/>
  <c r="I1160" i="6" s="1"/>
  <c r="I1073" i="6"/>
  <c r="I1072" i="6"/>
  <c r="I1124" i="6" s="1"/>
  <c r="I1158" i="6" s="1"/>
  <c r="I1071" i="6"/>
  <c r="I1123" i="6" s="1"/>
  <c r="I1157" i="6" s="1"/>
  <c r="I1070" i="6"/>
  <c r="I1122" i="6" s="1"/>
  <c r="I1156" i="6" s="1"/>
  <c r="I1069" i="6"/>
  <c r="I1121" i="6" s="1"/>
  <c r="I1155" i="6" s="1"/>
  <c r="I1068" i="6"/>
  <c r="I1067" i="6"/>
  <c r="I1119" i="6" s="1"/>
  <c r="I1153" i="6" s="1"/>
  <c r="I1066" i="6"/>
  <c r="I1118" i="6" s="1"/>
  <c r="I1152" i="6" s="1"/>
  <c r="I1138" i="6"/>
  <c r="I1172" i="6" s="1"/>
  <c r="F676" i="7"/>
  <c r="AC676" i="7" s="1"/>
  <c r="H676" i="7"/>
  <c r="J676" i="7"/>
  <c r="BC676" i="7" s="1"/>
  <c r="K676" i="7"/>
  <c r="BE676" i="7" s="1"/>
  <c r="V676" i="7"/>
  <c r="BE174" i="16"/>
  <c r="BE290" i="9"/>
  <c r="BC290" i="9"/>
  <c r="I1146" i="6"/>
  <c r="I1180" i="6" s="1"/>
  <c r="I1132" i="6"/>
  <c r="I1166" i="6" s="1"/>
  <c r="I1130" i="6"/>
  <c r="I1164" i="6" s="1"/>
  <c r="I1151" i="6"/>
  <c r="I1185" i="6" s="1"/>
  <c r="I1150" i="6"/>
  <c r="I1184" i="6" s="1"/>
  <c r="I1144" i="6"/>
  <c r="I1178" i="6" s="1"/>
  <c r="I1141" i="6"/>
  <c r="I1175" i="6" s="1"/>
  <c r="I1136" i="6"/>
  <c r="I1170" i="6" s="1"/>
  <c r="I1128" i="6"/>
  <c r="I1162" i="6" s="1"/>
  <c r="I1127" i="6"/>
  <c r="I1161" i="6" s="1"/>
  <c r="I1125" i="6"/>
  <c r="I1159" i="6" s="1"/>
  <c r="I1120" i="6"/>
  <c r="I1154" i="6" s="1"/>
  <c r="I876" i="6"/>
  <c r="I897" i="6" s="1"/>
  <c r="I918" i="6" s="1"/>
  <c r="I939" i="6" s="1"/>
  <c r="I960" i="6" s="1"/>
  <c r="I981" i="6" s="1"/>
  <c r="I1002" i="6" s="1"/>
  <c r="I1023" i="6" s="1"/>
  <c r="I1044" i="6" s="1"/>
  <c r="I1065" i="6" s="1"/>
  <c r="I875" i="6"/>
  <c r="I896" i="6" s="1"/>
  <c r="I917" i="6" s="1"/>
  <c r="I938" i="6" s="1"/>
  <c r="I959" i="6" s="1"/>
  <c r="I980" i="6" s="1"/>
  <c r="I1001" i="6" s="1"/>
  <c r="I1022" i="6" s="1"/>
  <c r="I1043" i="6" s="1"/>
  <c r="I1064" i="6" s="1"/>
  <c r="I874" i="6"/>
  <c r="I895" i="6" s="1"/>
  <c r="I916" i="6" s="1"/>
  <c r="I937" i="6" s="1"/>
  <c r="I958" i="6" s="1"/>
  <c r="I979" i="6" s="1"/>
  <c r="I1000" i="6" s="1"/>
  <c r="I1021" i="6" s="1"/>
  <c r="I1042" i="6" s="1"/>
  <c r="I1063" i="6" s="1"/>
  <c r="I873" i="6"/>
  <c r="I894" i="6" s="1"/>
  <c r="I915" i="6" s="1"/>
  <c r="I936" i="6" s="1"/>
  <c r="I957" i="6" s="1"/>
  <c r="I978" i="6" s="1"/>
  <c r="I999" i="6" s="1"/>
  <c r="I1020" i="6" s="1"/>
  <c r="I1041" i="6" s="1"/>
  <c r="I1062" i="6" s="1"/>
  <c r="I872" i="6"/>
  <c r="I893" i="6" s="1"/>
  <c r="I914" i="6" s="1"/>
  <c r="I935" i="6" s="1"/>
  <c r="I956" i="6" s="1"/>
  <c r="I977" i="6" s="1"/>
  <c r="I998" i="6" s="1"/>
  <c r="I1019" i="6" s="1"/>
  <c r="I1040" i="6" s="1"/>
  <c r="I1061" i="6" s="1"/>
  <c r="I871" i="6"/>
  <c r="I892" i="6" s="1"/>
  <c r="I913" i="6" s="1"/>
  <c r="I934" i="6" s="1"/>
  <c r="I955" i="6" s="1"/>
  <c r="I976" i="6" s="1"/>
  <c r="I997" i="6" s="1"/>
  <c r="I1018" i="6" s="1"/>
  <c r="I1039" i="6" s="1"/>
  <c r="I1060" i="6" s="1"/>
  <c r="I870" i="6"/>
  <c r="I891" i="6" s="1"/>
  <c r="I912" i="6" s="1"/>
  <c r="I933" i="6" s="1"/>
  <c r="I954" i="6" s="1"/>
  <c r="I975" i="6" s="1"/>
  <c r="I996" i="6" s="1"/>
  <c r="I1017" i="6" s="1"/>
  <c r="I1038" i="6" s="1"/>
  <c r="I1059" i="6" s="1"/>
  <c r="I869" i="6"/>
  <c r="I890" i="6" s="1"/>
  <c r="I911" i="6" s="1"/>
  <c r="I932" i="6" s="1"/>
  <c r="I953" i="6" s="1"/>
  <c r="I974" i="6" s="1"/>
  <c r="I995" i="6" s="1"/>
  <c r="I1016" i="6" s="1"/>
  <c r="I1037" i="6" s="1"/>
  <c r="I1058" i="6" s="1"/>
  <c r="I868" i="6"/>
  <c r="I889" i="6" s="1"/>
  <c r="I910" i="6" s="1"/>
  <c r="I931" i="6" s="1"/>
  <c r="I952" i="6" s="1"/>
  <c r="I973" i="6" s="1"/>
  <c r="I994" i="6" s="1"/>
  <c r="I1015" i="6" s="1"/>
  <c r="I1036" i="6" s="1"/>
  <c r="I1057" i="6" s="1"/>
  <c r="I867" i="6"/>
  <c r="I888" i="6" s="1"/>
  <c r="I909" i="6" s="1"/>
  <c r="I930" i="6" s="1"/>
  <c r="I951" i="6" s="1"/>
  <c r="I972" i="6" s="1"/>
  <c r="I993" i="6" s="1"/>
  <c r="I1014" i="6" s="1"/>
  <c r="I1035" i="6" s="1"/>
  <c r="I1056" i="6" s="1"/>
  <c r="I866" i="6"/>
  <c r="I887" i="6" s="1"/>
  <c r="I908" i="6" s="1"/>
  <c r="I929" i="6" s="1"/>
  <c r="I950" i="6" s="1"/>
  <c r="I971" i="6" s="1"/>
  <c r="I992" i="6" s="1"/>
  <c r="I1013" i="6" s="1"/>
  <c r="I1034" i="6" s="1"/>
  <c r="I1055" i="6" s="1"/>
  <c r="I865" i="6"/>
  <c r="I886" i="6" s="1"/>
  <c r="I907" i="6" s="1"/>
  <c r="I928" i="6" s="1"/>
  <c r="I949" i="6" s="1"/>
  <c r="I970" i="6" s="1"/>
  <c r="I991" i="6" s="1"/>
  <c r="I1012" i="6" s="1"/>
  <c r="I1033" i="6" s="1"/>
  <c r="I1054" i="6" s="1"/>
  <c r="I864" i="6"/>
  <c r="I885" i="6" s="1"/>
  <c r="I906" i="6" s="1"/>
  <c r="I927" i="6" s="1"/>
  <c r="I948" i="6" s="1"/>
  <c r="I969" i="6" s="1"/>
  <c r="I990" i="6" s="1"/>
  <c r="I1011" i="6" s="1"/>
  <c r="I1032" i="6" s="1"/>
  <c r="I1053" i="6" s="1"/>
  <c r="I863" i="6"/>
  <c r="I884" i="6" s="1"/>
  <c r="I905" i="6" s="1"/>
  <c r="I926" i="6" s="1"/>
  <c r="I947" i="6" s="1"/>
  <c r="I968" i="6" s="1"/>
  <c r="I989" i="6" s="1"/>
  <c r="I1010" i="6" s="1"/>
  <c r="I1031" i="6" s="1"/>
  <c r="I1052" i="6" s="1"/>
  <c r="I862" i="6"/>
  <c r="I883" i="6" s="1"/>
  <c r="I904" i="6" s="1"/>
  <c r="I925" i="6" s="1"/>
  <c r="I946" i="6" s="1"/>
  <c r="I967" i="6" s="1"/>
  <c r="I988" i="6" s="1"/>
  <c r="I1009" i="6" s="1"/>
  <c r="I1030" i="6" s="1"/>
  <c r="I1051" i="6" s="1"/>
  <c r="I861" i="6"/>
  <c r="I882" i="6" s="1"/>
  <c r="I903" i="6" s="1"/>
  <c r="I924" i="6" s="1"/>
  <c r="I945" i="6" s="1"/>
  <c r="I966" i="6" s="1"/>
  <c r="I987" i="6" s="1"/>
  <c r="I1008" i="6" s="1"/>
  <c r="I1029" i="6" s="1"/>
  <c r="I1050" i="6" s="1"/>
  <c r="I860" i="6"/>
  <c r="I881" i="6" s="1"/>
  <c r="I902" i="6" s="1"/>
  <c r="I923" i="6" s="1"/>
  <c r="I944" i="6" s="1"/>
  <c r="I965" i="6" s="1"/>
  <c r="I986" i="6" s="1"/>
  <c r="I1007" i="6" s="1"/>
  <c r="I1028" i="6" s="1"/>
  <c r="I1049" i="6" s="1"/>
  <c r="I859" i="6"/>
  <c r="I880" i="6" s="1"/>
  <c r="I901" i="6" s="1"/>
  <c r="I922" i="6" s="1"/>
  <c r="I943" i="6" s="1"/>
  <c r="I964" i="6" s="1"/>
  <c r="I985" i="6" s="1"/>
  <c r="I1006" i="6" s="1"/>
  <c r="I1027" i="6" s="1"/>
  <c r="I1048" i="6" s="1"/>
  <c r="I858" i="6"/>
  <c r="I879" i="6" s="1"/>
  <c r="I900" i="6" s="1"/>
  <c r="I921" i="6" s="1"/>
  <c r="I942" i="6" s="1"/>
  <c r="I963" i="6" s="1"/>
  <c r="I984" i="6" s="1"/>
  <c r="I1005" i="6" s="1"/>
  <c r="I1026" i="6" s="1"/>
  <c r="I1047" i="6" s="1"/>
  <c r="I857" i="6"/>
  <c r="I878" i="6" s="1"/>
  <c r="I899" i="6" s="1"/>
  <c r="I920" i="6" s="1"/>
  <c r="I941" i="6" s="1"/>
  <c r="I962" i="6" s="1"/>
  <c r="I983" i="6" s="1"/>
  <c r="I1004" i="6" s="1"/>
  <c r="I1025" i="6" s="1"/>
  <c r="I1046" i="6" s="1"/>
  <c r="I856" i="6"/>
  <c r="I877" i="6" s="1"/>
  <c r="I898" i="6" s="1"/>
  <c r="I919" i="6" s="1"/>
  <c r="I940" i="6" s="1"/>
  <c r="I961" i="6" s="1"/>
  <c r="I982" i="6" s="1"/>
  <c r="I1003" i="6" s="1"/>
  <c r="I1024" i="6" s="1"/>
  <c r="I1045" i="6" s="1"/>
  <c r="K856" i="6"/>
  <c r="K857" i="6"/>
  <c r="K858" i="6"/>
  <c r="K859" i="6"/>
  <c r="K860" i="6"/>
  <c r="K861" i="6"/>
  <c r="K862" i="6"/>
  <c r="J863" i="6"/>
  <c r="K863" i="6" s="1"/>
  <c r="J864" i="6"/>
  <c r="K864" i="6" s="1"/>
  <c r="J865" i="6"/>
  <c r="K865" i="6" s="1"/>
  <c r="J866" i="6"/>
  <c r="K866" i="6" s="1"/>
  <c r="J867" i="6"/>
  <c r="K867" i="6" s="1"/>
  <c r="J868" i="6"/>
  <c r="K868" i="6" s="1"/>
  <c r="J869" i="6"/>
  <c r="K869" i="6" s="1"/>
  <c r="J870" i="6"/>
  <c r="K870" i="6" s="1"/>
  <c r="J871" i="6"/>
  <c r="K871" i="6" s="1"/>
  <c r="J872" i="6"/>
  <c r="K872" i="6" s="1"/>
  <c r="J873" i="6"/>
  <c r="K873" i="6" s="1"/>
  <c r="J874" i="6"/>
  <c r="K874" i="6" s="1"/>
  <c r="J875" i="6"/>
  <c r="K875" i="6" s="1"/>
  <c r="J876" i="6"/>
  <c r="K876" i="6" s="1"/>
  <c r="BC20" i="7" l="1"/>
  <c r="X333" i="15"/>
  <c r="Z333" i="15" s="1"/>
  <c r="BC702" i="7"/>
  <c r="X411" i="15"/>
  <c r="Z411" i="15" s="1"/>
  <c r="BC698" i="7"/>
  <c r="X409" i="15"/>
  <c r="Z409" i="15" s="1"/>
  <c r="BE698" i="7"/>
  <c r="AB409" i="15"/>
  <c r="BE700" i="7"/>
  <c r="AB410" i="15"/>
  <c r="BC19" i="7"/>
  <c r="X332" i="15"/>
  <c r="Z332" i="15" s="1"/>
  <c r="BC700" i="7"/>
  <c r="X410" i="15"/>
  <c r="Z410" i="15" s="1"/>
  <c r="BE702" i="7"/>
  <c r="AB411" i="15"/>
  <c r="BC21" i="7"/>
  <c r="X334" i="15"/>
  <c r="Z334" i="15" s="1"/>
  <c r="BE21" i="7"/>
  <c r="AB334" i="15"/>
  <c r="O530" i="15"/>
  <c r="U530" i="15" s="1"/>
  <c r="BE15" i="9"/>
  <c r="AB528" i="15"/>
  <c r="AO530" i="15"/>
  <c r="BD48" i="9"/>
  <c r="AF531" i="15" s="1"/>
  <c r="AC531" i="15" s="1"/>
  <c r="L531" i="15"/>
  <c r="I531" i="15" s="1"/>
  <c r="AN531" i="15" s="1"/>
  <c r="BB16" i="9"/>
  <c r="AA529" i="15" s="1"/>
  <c r="AE529" i="15"/>
  <c r="AC529" i="15" s="1"/>
  <c r="AC743" i="7"/>
  <c r="P745" i="7"/>
  <c r="P744" i="7"/>
  <c r="P746" i="7"/>
  <c r="P747" i="7"/>
  <c r="P748" i="7"/>
  <c r="AC728" i="7"/>
  <c r="P733" i="7"/>
  <c r="P729" i="7"/>
  <c r="P730" i="7"/>
  <c r="P732" i="7"/>
  <c r="P731" i="7"/>
  <c r="I48" i="9"/>
  <c r="R531" i="15" s="1"/>
  <c r="O531" i="15" s="1"/>
  <c r="U531" i="15" s="1"/>
  <c r="K45" i="9"/>
  <c r="K47" i="9"/>
  <c r="BB15" i="9"/>
  <c r="AA528" i="15" s="1"/>
  <c r="F701" i="7"/>
  <c r="F703" i="7"/>
  <c r="F702" i="7"/>
  <c r="F700" i="7"/>
  <c r="BD700" i="7" s="1"/>
  <c r="AE410" i="15" s="1"/>
  <c r="F698" i="7"/>
  <c r="BD701" i="7"/>
  <c r="AF410" i="15" s="1"/>
  <c r="BD698" i="7"/>
  <c r="AE409" i="15" s="1"/>
  <c r="F699" i="7"/>
  <c r="BD676" i="7"/>
  <c r="I676" i="7"/>
  <c r="AP112" i="2"/>
  <c r="AP111" i="2"/>
  <c r="AC112" i="2"/>
  <c r="AC111" i="2"/>
  <c r="DE34" i="2"/>
  <c r="DE32" i="2"/>
  <c r="DE29" i="2"/>
  <c r="DE26" i="2"/>
  <c r="H454" i="2"/>
  <c r="E454" i="2"/>
  <c r="D454" i="2"/>
  <c r="H443" i="2"/>
  <c r="E92" i="2"/>
  <c r="V92" i="2" s="1"/>
  <c r="D92" i="2"/>
  <c r="BR90" i="2"/>
  <c r="BQ90" i="2"/>
  <c r="BP90" i="2"/>
  <c r="BO90" i="2"/>
  <c r="BN90" i="2"/>
  <c r="BL90" i="2"/>
  <c r="BK90" i="2"/>
  <c r="BJ90" i="2"/>
  <c r="BI90" i="2"/>
  <c r="BH90" i="2"/>
  <c r="AO90" i="2"/>
  <c r="AG90" i="2"/>
  <c r="AF90" i="2"/>
  <c r="BE90" i="2" s="1"/>
  <c r="AE90" i="2"/>
  <c r="BD90" i="2" s="1"/>
  <c r="AD90" i="2"/>
  <c r="AQ90" i="2" s="1"/>
  <c r="AC90" i="2"/>
  <c r="BB90" i="2" s="1"/>
  <c r="AA90" i="2"/>
  <c r="AZ90" i="2" s="1"/>
  <c r="Z90" i="2"/>
  <c r="AM90" i="2" s="1"/>
  <c r="Y90" i="2"/>
  <c r="AX90" i="2" s="1"/>
  <c r="X90" i="2"/>
  <c r="AW90" i="2" s="1"/>
  <c r="W90" i="2"/>
  <c r="AV90" i="2" s="1"/>
  <c r="DE80" i="2"/>
  <c r="DC80" i="2"/>
  <c r="DD80" i="2" s="1"/>
  <c r="DE79" i="2"/>
  <c r="DD79" i="2"/>
  <c r="DC79" i="2"/>
  <c r="DB79" i="2"/>
  <c r="AO79" i="2"/>
  <c r="AG79" i="2"/>
  <c r="AF79" i="2"/>
  <c r="BE79" i="2" s="1"/>
  <c r="AE79" i="2"/>
  <c r="BD79" i="2" s="1"/>
  <c r="AD79" i="2"/>
  <c r="BC79" i="2" s="1"/>
  <c r="AC79" i="2"/>
  <c r="AP79" i="2" s="1"/>
  <c r="AA79" i="2"/>
  <c r="AN79" i="2" s="1"/>
  <c r="Z79" i="2"/>
  <c r="AM79" i="2" s="1"/>
  <c r="Y79" i="2"/>
  <c r="AL79" i="2" s="1"/>
  <c r="X79" i="2"/>
  <c r="AW79" i="2" s="1"/>
  <c r="W79" i="2"/>
  <c r="AV79" i="2" s="1"/>
  <c r="V77" i="2"/>
  <c r="J32" i="2"/>
  <c r="X614" i="15" s="1"/>
  <c r="Z614" i="15" s="1"/>
  <c r="W614" i="15" s="1"/>
  <c r="V614" i="15" s="1"/>
  <c r="U614" i="15" s="1"/>
  <c r="J29" i="2"/>
  <c r="J26" i="2"/>
  <c r="X608" i="15" s="1"/>
  <c r="Z608" i="15" s="1"/>
  <c r="W608" i="15" s="1"/>
  <c r="V608" i="15" s="1"/>
  <c r="U608" i="15" s="1"/>
  <c r="D72" i="2"/>
  <c r="D69" i="2"/>
  <c r="E50" i="2"/>
  <c r="E51" i="2"/>
  <c r="E52" i="2"/>
  <c r="E53" i="2"/>
  <c r="E54" i="2"/>
  <c r="E55" i="2"/>
  <c r="E56" i="2"/>
  <c r="E57" i="2"/>
  <c r="E58" i="2"/>
  <c r="E59" i="2"/>
  <c r="E60" i="2"/>
  <c r="E61" i="2"/>
  <c r="E62" i="2"/>
  <c r="E63" i="2"/>
  <c r="E64" i="2"/>
  <c r="V64" i="2" s="1"/>
  <c r="E65" i="2"/>
  <c r="V65" i="2" s="1"/>
  <c r="E66" i="2"/>
  <c r="V66" i="2" s="1"/>
  <c r="E67" i="2"/>
  <c r="V67" i="2" s="1"/>
  <c r="E68" i="2"/>
  <c r="V68" i="2" s="1"/>
  <c r="E69" i="2"/>
  <c r="V69" i="2" s="1"/>
  <c r="E70" i="2"/>
  <c r="V70" i="2" s="1"/>
  <c r="E71" i="2"/>
  <c r="V71" i="2" s="1"/>
  <c r="E72" i="2"/>
  <c r="V72" i="2" s="1"/>
  <c r="E73" i="2"/>
  <c r="D66" i="2"/>
  <c r="J10" i="2"/>
  <c r="J11" i="2"/>
  <c r="J12" i="2"/>
  <c r="J13" i="2"/>
  <c r="J14" i="2"/>
  <c r="J15" i="2"/>
  <c r="J16" i="2"/>
  <c r="J17" i="2"/>
  <c r="J18" i="2"/>
  <c r="J19" i="2"/>
  <c r="J20" i="2"/>
  <c r="J21" i="2"/>
  <c r="J22" i="2"/>
  <c r="J23" i="2"/>
  <c r="J24" i="2"/>
  <c r="J25" i="2"/>
  <c r="J27" i="2"/>
  <c r="J28" i="2"/>
  <c r="J30" i="2"/>
  <c r="J31" i="2"/>
  <c r="J33" i="2"/>
  <c r="J34" i="2"/>
  <c r="X616" i="15" s="1"/>
  <c r="Z616" i="15" s="1"/>
  <c r="W616" i="15" s="1"/>
  <c r="V616" i="15" s="1"/>
  <c r="U616" i="15" s="1"/>
  <c r="J9" i="2"/>
  <c r="Q49" i="2"/>
  <c r="Q50" i="2"/>
  <c r="Q51" i="2"/>
  <c r="D74" i="2"/>
  <c r="E74" i="2"/>
  <c r="V74" i="2" s="1"/>
  <c r="AC700" i="7" l="1"/>
  <c r="K410" i="15"/>
  <c r="AC410" i="15"/>
  <c r="AC702" i="7"/>
  <c r="K411" i="15"/>
  <c r="AC703" i="7"/>
  <c r="L411" i="15"/>
  <c r="AC699" i="7"/>
  <c r="L409" i="15"/>
  <c r="AC698" i="7"/>
  <c r="K409" i="15"/>
  <c r="AC701" i="7"/>
  <c r="L410" i="15"/>
  <c r="DB80" i="2"/>
  <c r="AA617" i="15" s="1"/>
  <c r="AE617" i="15"/>
  <c r="AC617" i="15" s="1"/>
  <c r="DC29" i="2"/>
  <c r="X611" i="15"/>
  <c r="Z611" i="15" s="1"/>
  <c r="W611" i="15" s="1"/>
  <c r="V611" i="15" s="1"/>
  <c r="U611" i="15" s="1"/>
  <c r="BE47" i="9"/>
  <c r="BB47" i="9" s="1"/>
  <c r="AA531" i="15" s="1"/>
  <c r="AB531" i="15"/>
  <c r="BE45" i="9"/>
  <c r="BB45" i="9" s="1"/>
  <c r="AA530" i="15" s="1"/>
  <c r="AB530" i="15"/>
  <c r="AO531" i="15"/>
  <c r="BD699" i="7"/>
  <c r="BD702" i="7"/>
  <c r="AE411" i="15" s="1"/>
  <c r="I702" i="7"/>
  <c r="Q411" i="15" s="1"/>
  <c r="BD703" i="7"/>
  <c r="I703" i="7"/>
  <c r="R411" i="15" s="1"/>
  <c r="I701" i="7"/>
  <c r="R410" i="15" s="1"/>
  <c r="BB700" i="7"/>
  <c r="AA410" i="15" s="1"/>
  <c r="I699" i="7"/>
  <c r="R409" i="15" s="1"/>
  <c r="I698" i="7"/>
  <c r="Q409" i="15" s="1"/>
  <c r="O409" i="15" s="1"/>
  <c r="I700" i="7"/>
  <c r="Q410" i="15" s="1"/>
  <c r="O410" i="15" s="1"/>
  <c r="DC34" i="2"/>
  <c r="AP34" i="2"/>
  <c r="DC26" i="2"/>
  <c r="DC32" i="2"/>
  <c r="F443" i="2"/>
  <c r="AX79" i="2"/>
  <c r="AY79" i="2"/>
  <c r="AJ90" i="2"/>
  <c r="AS90" i="2"/>
  <c r="AZ79" i="2"/>
  <c r="AY90" i="2"/>
  <c r="BB79" i="2"/>
  <c r="BC90" i="2"/>
  <c r="AQ79" i="2"/>
  <c r="AN90" i="2"/>
  <c r="AR79" i="2"/>
  <c r="AP90" i="2"/>
  <c r="AR90" i="2"/>
  <c r="AK90" i="2"/>
  <c r="AJ79" i="2"/>
  <c r="AK79" i="2"/>
  <c r="AS79" i="2"/>
  <c r="AL90" i="2"/>
  <c r="R52" i="2"/>
  <c r="BB698" i="7" l="1"/>
  <c r="AA409" i="15" s="1"/>
  <c r="AF409" i="15"/>
  <c r="AC409" i="15" s="1"/>
  <c r="I409" i="15"/>
  <c r="AN409" i="15"/>
  <c r="AO409" i="15" s="1"/>
  <c r="BB702" i="7"/>
  <c r="AA411" i="15" s="1"/>
  <c r="AF411" i="15"/>
  <c r="AC411" i="15" s="1"/>
  <c r="AN410" i="15"/>
  <c r="AO410" i="15" s="1"/>
  <c r="I410" i="15"/>
  <c r="O411" i="15"/>
  <c r="AN411" i="15"/>
  <c r="I411" i="15"/>
  <c r="DD443" i="2"/>
  <c r="K682" i="15"/>
  <c r="I682" i="15" s="1"/>
  <c r="AN682" i="15" s="1"/>
  <c r="I443" i="2"/>
  <c r="Q682" i="15" s="1"/>
  <c r="O682" i="15" s="1"/>
  <c r="W682" i="15" s="1"/>
  <c r="V682" i="15" s="1"/>
  <c r="U682" i="15" s="1"/>
  <c r="L49" i="2"/>
  <c r="F9" i="2" s="1"/>
  <c r="L68" i="2"/>
  <c r="F28" i="2" s="1"/>
  <c r="L69" i="2"/>
  <c r="F29" i="2" s="1"/>
  <c r="I611" i="15" s="1"/>
  <c r="AN611" i="15" s="1"/>
  <c r="AO611" i="15" s="1"/>
  <c r="L70" i="2"/>
  <c r="F30" i="2" s="1"/>
  <c r="L71" i="2"/>
  <c r="F31" i="2" s="1"/>
  <c r="L72" i="2"/>
  <c r="L73" i="2"/>
  <c r="F33" i="2" s="1"/>
  <c r="L66" i="2"/>
  <c r="F26" i="2" s="1"/>
  <c r="I608" i="15" s="1"/>
  <c r="AN608" i="15" s="1"/>
  <c r="AO608" i="15" s="1"/>
  <c r="L74" i="2"/>
  <c r="F34" i="2" s="1"/>
  <c r="I616" i="15" s="1"/>
  <c r="AN616" i="15" s="1"/>
  <c r="AO616" i="15" s="1"/>
  <c r="L67" i="2"/>
  <c r="F27" i="2" s="1"/>
  <c r="L58" i="2"/>
  <c r="F18" i="2" s="1"/>
  <c r="L59" i="2"/>
  <c r="F19" i="2" s="1"/>
  <c r="L62" i="2"/>
  <c r="F22" i="2" s="1"/>
  <c r="L64" i="2"/>
  <c r="F24" i="2" s="1"/>
  <c r="L60" i="2"/>
  <c r="F20" i="2" s="1"/>
  <c r="L55" i="2"/>
  <c r="F15" i="2" s="1"/>
  <c r="L61" i="2"/>
  <c r="F21" i="2" s="1"/>
  <c r="L65" i="2"/>
  <c r="F25" i="2" s="1"/>
  <c r="L63" i="2"/>
  <c r="F23" i="2" s="1"/>
  <c r="L53" i="2"/>
  <c r="F13" i="2" s="1"/>
  <c r="L51" i="2"/>
  <c r="F11" i="2" s="1"/>
  <c r="L57" i="2"/>
  <c r="F17" i="2" s="1"/>
  <c r="L52" i="2"/>
  <c r="F12" i="2" s="1"/>
  <c r="L54" i="2"/>
  <c r="F14" i="2" s="1"/>
  <c r="L56" i="2"/>
  <c r="F16" i="2" s="1"/>
  <c r="L50" i="2"/>
  <c r="F10" i="2" s="1"/>
  <c r="AO411" i="15" l="1"/>
  <c r="AO682" i="15"/>
  <c r="DB443" i="2"/>
  <c r="AA682" i="15" s="1"/>
  <c r="AE682" i="15"/>
  <c r="AC682" i="15" s="1"/>
  <c r="F32" i="2"/>
  <c r="DD34" i="2"/>
  <c r="DD26" i="2"/>
  <c r="DD29" i="2"/>
  <c r="DB29" i="2" l="1"/>
  <c r="AA611" i="15" s="1"/>
  <c r="AE611" i="15"/>
  <c r="AC611" i="15" s="1"/>
  <c r="DB34" i="2"/>
  <c r="AA616" i="15" s="1"/>
  <c r="AE616" i="15"/>
  <c r="AC616" i="15" s="1"/>
  <c r="DB26" i="2"/>
  <c r="AA608" i="15" s="1"/>
  <c r="AE608" i="15"/>
  <c r="AC608" i="15" s="1"/>
  <c r="DD32" i="2"/>
  <c r="I614" i="15"/>
  <c r="AN614" i="15" s="1"/>
  <c r="AO614" i="15" s="1"/>
  <c r="K4215" i="6"/>
  <c r="DB32" i="2" l="1"/>
  <c r="AA614" i="15" s="1"/>
  <c r="AE614" i="15"/>
  <c r="AC614" i="15" s="1"/>
  <c r="K3973" i="6"/>
  <c r="K3971" i="6"/>
  <c r="K3969" i="6"/>
  <c r="K3963" i="6"/>
  <c r="K3943" i="6"/>
  <c r="K3941" i="6"/>
  <c r="K3939" i="6"/>
  <c r="K3935" i="6"/>
  <c r="K3923" i="6"/>
  <c r="K3921" i="6"/>
  <c r="K3919" i="6"/>
  <c r="K3871" i="6"/>
  <c r="K3873" i="6"/>
  <c r="M3862" i="6"/>
  <c r="M3861" i="6"/>
  <c r="M3868" i="6"/>
  <c r="M3869" i="6"/>
  <c r="M3870" i="6"/>
  <c r="F1681" i="6" l="1"/>
  <c r="K287" i="15" s="1"/>
  <c r="F1649" i="6"/>
  <c r="K279" i="15" s="1"/>
  <c r="F1631" i="6"/>
  <c r="M274" i="15" s="1"/>
  <c r="J274" i="15" s="1"/>
  <c r="F1629" i="6"/>
  <c r="K274" i="15" s="1"/>
  <c r="F1617" i="6"/>
  <c r="K271" i="15" s="1"/>
  <c r="F1565" i="6"/>
  <c r="K254" i="15" s="1"/>
  <c r="F1547" i="6"/>
  <c r="K247" i="15" s="1"/>
  <c r="F1489" i="6"/>
  <c r="K223" i="15" s="1"/>
  <c r="F1469" i="6"/>
  <c r="K215" i="15" s="1"/>
  <c r="F1457" i="6"/>
  <c r="K211" i="15" s="1"/>
  <c r="F1429" i="6"/>
  <c r="K203" i="15" s="1"/>
  <c r="F1421" i="6"/>
  <c r="K200" i="15" s="1"/>
  <c r="F1752" i="6"/>
  <c r="L307" i="15" s="1"/>
  <c r="F1730" i="6"/>
  <c r="N299" i="15" s="1"/>
  <c r="F1700" i="6"/>
  <c r="N291" i="15" s="1"/>
  <c r="F1684" i="6"/>
  <c r="N287" i="15" s="1"/>
  <c r="F1668" i="6"/>
  <c r="N283" i="15" s="1"/>
  <c r="F1652" i="6"/>
  <c r="N279" i="15" s="1"/>
  <c r="F1636" i="6"/>
  <c r="N275" i="15" s="1"/>
  <c r="F1620" i="6"/>
  <c r="N271" i="15" s="1"/>
  <c r="F1594" i="6"/>
  <c r="L263" i="15" s="1"/>
  <c r="F1584" i="6"/>
  <c r="N258" i="15" s="1"/>
  <c r="F1568" i="6"/>
  <c r="N254" i="15" s="1"/>
  <c r="F1560" i="6"/>
  <c r="L252" i="15" s="1"/>
  <c r="F1550" i="6"/>
  <c r="N247" i="15" s="1"/>
  <c r="F1532" i="6"/>
  <c r="L240" i="15" s="1"/>
  <c r="F1522" i="6"/>
  <c r="L235" i="15" s="1"/>
  <c r="F1508" i="6"/>
  <c r="N228" i="15" s="1"/>
  <c r="F1492" i="6"/>
  <c r="L224" i="15" s="1"/>
  <c r="F1472" i="6"/>
  <c r="L216" i="15" s="1"/>
  <c r="F1464" i="6"/>
  <c r="N212" i="15" s="1"/>
  <c r="F1462" i="6"/>
  <c r="L212" i="15" s="1"/>
  <c r="F1460" i="6"/>
  <c r="N211" i="15" s="1"/>
  <c r="F1458" i="6"/>
  <c r="L211" i="15" s="1"/>
  <c r="F1432" i="6"/>
  <c r="N203" i="15" s="1"/>
  <c r="F1422" i="6"/>
  <c r="L200" i="15" s="1"/>
  <c r="F1414" i="6"/>
  <c r="N197" i="15" s="1"/>
  <c r="F1412" i="6"/>
  <c r="L197" i="15" s="1"/>
  <c r="F1411" i="6"/>
  <c r="K197" i="15" s="1"/>
  <c r="F542" i="9"/>
  <c r="F541" i="9"/>
  <c r="N542" i="9"/>
  <c r="K542" i="9"/>
  <c r="J542" i="9"/>
  <c r="I542" i="9"/>
  <c r="H542" i="9"/>
  <c r="I200" i="15" l="1"/>
  <c r="AN200" i="15"/>
  <c r="AN223" i="15"/>
  <c r="I223" i="15"/>
  <c r="I274" i="15"/>
  <c r="AN274" i="15"/>
  <c r="AN203" i="15"/>
  <c r="I203" i="15"/>
  <c r="AN247" i="15"/>
  <c r="I247" i="15"/>
  <c r="AN211" i="15"/>
  <c r="I211" i="15"/>
  <c r="AN254" i="15"/>
  <c r="I254" i="15"/>
  <c r="AN279" i="15"/>
  <c r="I279" i="15"/>
  <c r="I197" i="15"/>
  <c r="AN197" i="15"/>
  <c r="I215" i="15"/>
  <c r="AN215" i="15"/>
  <c r="AN271" i="15"/>
  <c r="I271" i="15"/>
  <c r="I287" i="15"/>
  <c r="AN287" i="15"/>
  <c r="BD542" i="9"/>
  <c r="AE581" i="15" s="1"/>
  <c r="AC581" i="15" s="1"/>
  <c r="I581" i="15"/>
  <c r="AN581" i="15" s="1"/>
  <c r="BE542" i="9"/>
  <c r="AB581" i="15"/>
  <c r="L542" i="9"/>
  <c r="O581" i="15" s="1"/>
  <c r="V581" i="15" s="1"/>
  <c r="G11" i="8"/>
  <c r="G16" i="8" s="1"/>
  <c r="AC493" i="9"/>
  <c r="AC492" i="9"/>
  <c r="K228" i="9"/>
  <c r="J228" i="9"/>
  <c r="I228" i="9"/>
  <c r="V8" i="11"/>
  <c r="BB542" i="9" l="1"/>
  <c r="AA581" i="15" s="1"/>
  <c r="AO581" i="15"/>
  <c r="F7" i="8"/>
  <c r="AC1041" i="7"/>
  <c r="AC1039" i="7"/>
  <c r="K605" i="7"/>
  <c r="L606" i="7"/>
  <c r="L608" i="7"/>
  <c r="J608" i="7"/>
  <c r="J606" i="7"/>
  <c r="J605" i="7"/>
  <c r="K603" i="7"/>
  <c r="L602" i="7"/>
  <c r="J603" i="7"/>
  <c r="J602" i="7"/>
  <c r="L600" i="7"/>
  <c r="J600" i="7"/>
  <c r="K599" i="7"/>
  <c r="J599" i="7"/>
  <c r="K597" i="7"/>
  <c r="J597" i="7"/>
  <c r="I608" i="7"/>
  <c r="I606" i="7"/>
  <c r="I605" i="7"/>
  <c r="I603" i="7"/>
  <c r="I602" i="7"/>
  <c r="I600" i="7"/>
  <c r="I599" i="7"/>
  <c r="I597" i="7"/>
  <c r="AC481" i="7"/>
  <c r="AC473" i="7"/>
  <c r="AC469" i="7"/>
  <c r="AC464" i="7"/>
  <c r="AC3483" i="6"/>
  <c r="AC3481" i="6"/>
  <c r="AC3479" i="6"/>
  <c r="AC3475" i="6"/>
  <c r="AC3473" i="6"/>
  <c r="AC3472" i="6"/>
  <c r="AC3468" i="6"/>
  <c r="AC3467" i="6"/>
  <c r="AC3469" i="6" s="1"/>
  <c r="AC3462" i="6"/>
  <c r="AC3461" i="6"/>
  <c r="AC3454" i="6"/>
  <c r="AC3456" i="6" s="1"/>
  <c r="AC3458" i="6" s="1"/>
  <c r="AC3453" i="6"/>
  <c r="AC3455" i="6" s="1"/>
  <c r="AC3457" i="6" s="1"/>
  <c r="AC3447" i="6"/>
  <c r="AC3446" i="6"/>
  <c r="AC3439" i="6"/>
  <c r="AC3441" i="6" s="1"/>
  <c r="AC3443" i="6" s="1"/>
  <c r="AC3438" i="6"/>
  <c r="AC3440" i="6" s="1"/>
  <c r="AC3442" i="6" s="1"/>
  <c r="AC3431" i="6"/>
  <c r="AC3430" i="6"/>
  <c r="AC3423" i="6"/>
  <c r="AC3425" i="6" s="1"/>
  <c r="AC3427" i="6" s="1"/>
  <c r="AC3422" i="6"/>
  <c r="AC3424" i="6" s="1"/>
  <c r="AC3426" i="6" s="1"/>
  <c r="AC3415" i="6"/>
  <c r="AC3414" i="6"/>
  <c r="AC3411" i="6"/>
  <c r="AC3410" i="6"/>
  <c r="AC3407" i="6"/>
  <c r="AC3406" i="6"/>
  <c r="AC3389" i="6"/>
  <c r="AC3390" i="6" s="1"/>
  <c r="AC3381" i="6"/>
  <c r="AC3382" i="6" s="1"/>
  <c r="AC3383" i="6" s="1"/>
  <c r="AC3384" i="6" s="1"/>
  <c r="AC3385" i="6" s="1"/>
  <c r="AC3380" i="6"/>
  <c r="AC3371" i="6"/>
  <c r="AC3372" i="6" s="1"/>
  <c r="AC3373" i="6" s="1"/>
  <c r="AC3362" i="6"/>
  <c r="AC3363" i="6" s="1"/>
  <c r="AC3364" i="6" s="1"/>
  <c r="AC3357" i="6"/>
  <c r="AC3358" i="6" s="1"/>
  <c r="AC3359" i="6" s="1"/>
  <c r="AC3352" i="6"/>
  <c r="AC3353" i="6" s="1"/>
  <c r="AC3354" i="6" s="1"/>
  <c r="AC3349" i="6"/>
  <c r="AC3343" i="6"/>
  <c r="AC3344" i="6" s="1"/>
  <c r="AC3345" i="6" s="1"/>
  <c r="AC3346" i="6" s="1"/>
  <c r="AC3347" i="6" s="1"/>
  <c r="AC3342" i="6"/>
  <c r="AC3339" i="6"/>
  <c r="AC3337" i="6"/>
  <c r="AC3335" i="6"/>
  <c r="AC3333" i="6"/>
  <c r="AC3332" i="6"/>
  <c r="AC3325" i="6"/>
  <c r="AC3324" i="6"/>
  <c r="AC3321" i="6"/>
  <c r="AC3320" i="6"/>
  <c r="AC3317" i="6"/>
  <c r="AC3316" i="6"/>
  <c r="AC3277" i="6"/>
  <c r="AC3262" i="6"/>
  <c r="AC3248" i="6"/>
  <c r="AC3246" i="6"/>
  <c r="AC3244" i="6"/>
  <c r="AC3242" i="6"/>
  <c r="AC3238" i="6"/>
  <c r="AC3239" i="6" s="1"/>
  <c r="AC3240" i="6" s="1"/>
  <c r="AC3234" i="6"/>
  <c r="AC3235" i="6" s="1"/>
  <c r="AC3236" i="6" s="1"/>
  <c r="AC3232" i="6"/>
  <c r="AC3230" i="6"/>
  <c r="AC3216" i="6"/>
  <c r="AC3214" i="6"/>
  <c r="AC3211" i="6"/>
  <c r="AC3208" i="6"/>
  <c r="AC3205" i="6"/>
  <c r="AC3190" i="6"/>
  <c r="AC3188" i="6"/>
  <c r="AC3181" i="6"/>
  <c r="AC3179" i="6"/>
  <c r="AC3172" i="6"/>
  <c r="AC3170" i="6"/>
  <c r="AC3158" i="6"/>
  <c r="AC3159" i="6" s="1"/>
  <c r="AC3160" i="6" s="1"/>
  <c r="AC3154" i="6"/>
  <c r="AC3155" i="6" s="1"/>
  <c r="AC3156" i="6" s="1"/>
  <c r="AC3152" i="6"/>
  <c r="AC3150" i="6"/>
  <c r="AC3144" i="6"/>
  <c r="AC3136" i="6"/>
  <c r="AC3132" i="6"/>
  <c r="AC3128" i="6"/>
  <c r="AC3129" i="6" s="1"/>
  <c r="AC3130" i="6" s="1"/>
  <c r="AC3124" i="6"/>
  <c r="AC3122" i="6"/>
  <c r="AC3120" i="6"/>
  <c r="AC3115" i="6"/>
  <c r="AC3113" i="6"/>
  <c r="AC3111" i="6"/>
  <c r="AC2922" i="6"/>
  <c r="AC2920" i="6"/>
  <c r="AC2918" i="6"/>
  <c r="AC2916" i="6"/>
  <c r="AC2914" i="6"/>
  <c r="AC2912" i="6"/>
  <c r="AC2911" i="6"/>
  <c r="AC2908" i="6"/>
  <c r="AC2906" i="6"/>
  <c r="AC2901" i="6"/>
  <c r="AC2900" i="6"/>
  <c r="AC2897" i="6"/>
  <c r="AC2896" i="6"/>
  <c r="AC2893" i="6"/>
  <c r="AC2892" i="6"/>
  <c r="AC2886" i="6"/>
  <c r="AC2885" i="6"/>
  <c r="AC2882" i="6"/>
  <c r="AC2881" i="6"/>
  <c r="AC2878" i="6"/>
  <c r="AC2877" i="6"/>
  <c r="AC2870" i="6"/>
  <c r="AC2869" i="6"/>
  <c r="AC2866" i="6"/>
  <c r="AC2865" i="6"/>
  <c r="AC2862" i="6"/>
  <c r="AC2861" i="6"/>
  <c r="AC2854" i="6"/>
  <c r="AC2853" i="6"/>
  <c r="AC2850" i="6"/>
  <c r="AC2849" i="6"/>
  <c r="AC2846" i="6"/>
  <c r="AC2845" i="6"/>
  <c r="AC2824" i="6"/>
  <c r="AC2823" i="6"/>
  <c r="AC2820" i="6"/>
  <c r="AC2819" i="6"/>
  <c r="AC2812" i="6"/>
  <c r="AC2810" i="6"/>
  <c r="AC2803" i="6"/>
  <c r="AC2801" i="6"/>
  <c r="AC2798" i="6"/>
  <c r="AC2796" i="6"/>
  <c r="AC2793" i="6"/>
  <c r="AC2791" i="6"/>
  <c r="AC2788" i="6"/>
  <c r="AC2786" i="6"/>
  <c r="AC2785" i="6"/>
  <c r="AC2782" i="6"/>
  <c r="AC2781" i="6"/>
  <c r="AC2778" i="6"/>
  <c r="AC2776" i="6"/>
  <c r="AC2774" i="6"/>
  <c r="AC2772" i="6"/>
  <c r="AC2771" i="6"/>
  <c r="AC2768" i="6"/>
  <c r="AC2766" i="6"/>
  <c r="AC2764" i="6"/>
  <c r="AC2763" i="6"/>
  <c r="AC2760" i="6"/>
  <c r="AC2759" i="6"/>
  <c r="AC2756" i="6"/>
  <c r="AC2735" i="6"/>
  <c r="AC2733" i="6"/>
  <c r="AC2731" i="6"/>
  <c r="AC2729" i="6"/>
  <c r="AC2727" i="6"/>
  <c r="AC2725" i="6"/>
  <c r="AC2724" i="6"/>
  <c r="AC2721" i="6"/>
  <c r="AC2719" i="6"/>
  <c r="AC2716" i="6"/>
  <c r="AC2714" i="6"/>
  <c r="AC2713" i="6"/>
  <c r="AC2710" i="6"/>
  <c r="AC2709" i="6"/>
  <c r="AC2706" i="6"/>
  <c r="AC2705" i="6"/>
  <c r="AC2701" i="6"/>
  <c r="AC2699" i="6"/>
  <c r="AC2698" i="6"/>
  <c r="AC2695" i="6"/>
  <c r="AC2694" i="6"/>
  <c r="AC2691" i="6"/>
  <c r="AC2690" i="6"/>
  <c r="AC2687" i="6"/>
  <c r="AC2685" i="6"/>
  <c r="AC2682" i="6"/>
  <c r="AC2681" i="6"/>
  <c r="AC2683" i="6" s="1"/>
  <c r="AC2678" i="6"/>
  <c r="AC2677" i="6"/>
  <c r="AC2679" i="6" s="1"/>
  <c r="AC2674" i="6"/>
  <c r="AC2673" i="6"/>
  <c r="AC2675" i="6" s="1"/>
  <c r="AC2671" i="6"/>
  <c r="AC2669" i="6"/>
  <c r="AC2667" i="6"/>
  <c r="AC2666" i="6"/>
  <c r="AC2663" i="6"/>
  <c r="AC2662" i="6"/>
  <c r="AC2659" i="6"/>
  <c r="AC2658" i="6"/>
  <c r="AC2650" i="6"/>
  <c r="AC2647" i="6"/>
  <c r="AC2644" i="6"/>
  <c r="AC2637" i="6"/>
  <c r="AC2636" i="6"/>
  <c r="AC2633" i="6"/>
  <c r="AC2632" i="6"/>
  <c r="AC2629" i="6"/>
  <c r="AC2627" i="6"/>
  <c r="AC2625" i="6"/>
  <c r="AC2623" i="6"/>
  <c r="AC2620" i="6"/>
  <c r="AC2618" i="6"/>
  <c r="AC2616" i="6"/>
  <c r="AC2614" i="6"/>
  <c r="AC2611" i="6"/>
  <c r="AC2609" i="6"/>
  <c r="AC2606" i="6"/>
  <c r="AC2604" i="6"/>
  <c r="AC2601" i="6"/>
  <c r="AC2598" i="6"/>
  <c r="AC2597" i="6"/>
  <c r="AC2599" i="6" s="1"/>
  <c r="AC2594" i="6"/>
  <c r="AC2593" i="6"/>
  <c r="AC2595" i="6" s="1"/>
  <c r="AC2591" i="6"/>
  <c r="AC2589" i="6"/>
  <c r="AC2587" i="6"/>
  <c r="AC2584" i="6"/>
  <c r="AC2583" i="6"/>
  <c r="AC2585" i="6" s="1"/>
  <c r="AC2581" i="6"/>
  <c r="AC2579" i="6"/>
  <c r="AC2576" i="6"/>
  <c r="AC2575" i="6"/>
  <c r="AC2577" i="6" s="1"/>
  <c r="AC2572" i="6"/>
  <c r="AC2571" i="6"/>
  <c r="AC2573" i="6" s="1"/>
  <c r="AC2568" i="6"/>
  <c r="AC2567" i="6"/>
  <c r="AC2569" i="6" s="1"/>
  <c r="AC2563" i="6"/>
  <c r="AC2561" i="6"/>
  <c r="AC2559" i="6"/>
  <c r="AC2554" i="6"/>
  <c r="AC2552" i="6"/>
  <c r="AC2550" i="6"/>
  <c r="AC2529" i="6"/>
  <c r="AC2514" i="6"/>
  <c r="AC2500" i="6"/>
  <c r="AC2498" i="6"/>
  <c r="AC2494" i="6"/>
  <c r="AC2491" i="6"/>
  <c r="AC2490" i="6"/>
  <c r="AC2492" i="6" s="1"/>
  <c r="AC2487" i="6"/>
  <c r="AC2486" i="6"/>
  <c r="AC2488" i="6" s="1"/>
  <c r="AC2484" i="6"/>
  <c r="AC2482" i="6"/>
  <c r="AC2468" i="6"/>
  <c r="AC2466" i="6"/>
  <c r="AC2463" i="6"/>
  <c r="AC2460" i="6"/>
  <c r="AC2457" i="6"/>
  <c r="AC2442" i="6"/>
  <c r="AC2440" i="6"/>
  <c r="AC2433" i="6"/>
  <c r="AC2431" i="6"/>
  <c r="AC2410" i="6"/>
  <c r="AC2406" i="6"/>
  <c r="AC2404" i="6"/>
  <c r="AC2402" i="6"/>
  <c r="AC2400" i="6"/>
  <c r="AC2397" i="6"/>
  <c r="AC2396" i="6"/>
  <c r="AC2398" i="6" s="1"/>
  <c r="AC2394" i="6"/>
  <c r="AC2392" i="6"/>
  <c r="AC2389" i="6"/>
  <c r="AC2388" i="6"/>
  <c r="AC2390" i="6" s="1"/>
  <c r="AC2385" i="6"/>
  <c r="AC2384" i="6"/>
  <c r="AC2386" i="6" s="1"/>
  <c r="AC2381" i="6"/>
  <c r="AC2380" i="6"/>
  <c r="AC2382" i="6" s="1"/>
  <c r="AC2376" i="6"/>
  <c r="AC2374" i="6"/>
  <c r="AC2372" i="6"/>
  <c r="AC2367" i="6"/>
  <c r="AC2365" i="6"/>
  <c r="AC2363" i="6"/>
  <c r="AC1987" i="6"/>
  <c r="AC1985" i="6"/>
  <c r="AC1983" i="6"/>
  <c r="AC1981" i="6"/>
  <c r="AC1979" i="6"/>
  <c r="AC1977" i="6"/>
  <c r="AC1976" i="6"/>
  <c r="AC1973" i="6"/>
  <c r="AC1971" i="6"/>
  <c r="AC1968" i="6"/>
  <c r="AC1966" i="6"/>
  <c r="AC1965" i="6"/>
  <c r="AC1962" i="6"/>
  <c r="AC1961" i="6"/>
  <c r="AC1958" i="6"/>
  <c r="AC1957" i="6"/>
  <c r="AC1953" i="6"/>
  <c r="AC1951" i="6"/>
  <c r="AC1950" i="6"/>
  <c r="AC1947" i="6"/>
  <c r="AC1946" i="6"/>
  <c r="AC1943" i="6"/>
  <c r="AC1942" i="6"/>
  <c r="AC1939" i="6"/>
  <c r="AC1937" i="6"/>
  <c r="AC1934" i="6"/>
  <c r="AC1933" i="6"/>
  <c r="AC1935" i="6" s="1"/>
  <c r="AC1930" i="6"/>
  <c r="AC1929" i="6"/>
  <c r="AC1931" i="6" s="1"/>
  <c r="AC1926" i="6"/>
  <c r="AC1925" i="6"/>
  <c r="AC1927" i="6" s="1"/>
  <c r="AC1923" i="6"/>
  <c r="AC1921" i="6"/>
  <c r="AC1919" i="6"/>
  <c r="AC1918" i="6"/>
  <c r="AC1915" i="6"/>
  <c r="AC1914" i="6"/>
  <c r="AC1911" i="6"/>
  <c r="AC1910" i="6"/>
  <c r="AC1902" i="6"/>
  <c r="AC1899" i="6"/>
  <c r="AC1896" i="6"/>
  <c r="AC1889" i="6"/>
  <c r="AC1888" i="6"/>
  <c r="AC1885" i="6"/>
  <c r="AC1884" i="6"/>
  <c r="AC1881" i="6"/>
  <c r="AC1879" i="6"/>
  <c r="AC1877" i="6"/>
  <c r="AC1875" i="6"/>
  <c r="AC1872" i="6"/>
  <c r="AC1870" i="6"/>
  <c r="AC1868" i="6"/>
  <c r="AC1866" i="6"/>
  <c r="AC1863" i="6"/>
  <c r="AC1861" i="6"/>
  <c r="AC1858" i="6"/>
  <c r="AC1856" i="6"/>
  <c r="AC1853" i="6"/>
  <c r="AC1850" i="6"/>
  <c r="AC1849" i="6"/>
  <c r="AC1851" i="6" s="1"/>
  <c r="AC1846" i="6"/>
  <c r="AC1845" i="6"/>
  <c r="AC1847" i="6" s="1"/>
  <c r="AC1843" i="6"/>
  <c r="AC1841" i="6"/>
  <c r="AC1839" i="6"/>
  <c r="AC1836" i="6"/>
  <c r="AC1835" i="6"/>
  <c r="AC1837" i="6" s="1"/>
  <c r="AC1833" i="6"/>
  <c r="AC1831" i="6"/>
  <c r="AC1828" i="6"/>
  <c r="AC1827" i="6"/>
  <c r="AC1829" i="6" s="1"/>
  <c r="AC1824" i="6"/>
  <c r="AC1823" i="6"/>
  <c r="AC1825" i="6" s="1"/>
  <c r="AC1820" i="6"/>
  <c r="AC1819" i="6"/>
  <c r="AC1821" i="6" s="1"/>
  <c r="AC1815" i="6"/>
  <c r="AC1813" i="6"/>
  <c r="AC1811" i="6"/>
  <c r="AC1806" i="6"/>
  <c r="AC1804" i="6"/>
  <c r="AC1802" i="6"/>
  <c r="K2500" i="6"/>
  <c r="K2491" i="6"/>
  <c r="K2490" i="6"/>
  <c r="K2492" i="6" s="1"/>
  <c r="K2484" i="6"/>
  <c r="K2468" i="6"/>
  <c r="K2442" i="6"/>
  <c r="K2433" i="6"/>
  <c r="K2410" i="6"/>
  <c r="K2404" i="6"/>
  <c r="K2394" i="6"/>
  <c r="K2390" i="6"/>
  <c r="K2389" i="6"/>
  <c r="K2388" i="6"/>
  <c r="K2374" i="6"/>
  <c r="K2365" i="6"/>
  <c r="K1973" i="6"/>
  <c r="K1962" i="6"/>
  <c r="L1962" i="6" s="1"/>
  <c r="K1961" i="6"/>
  <c r="L1961" i="6" s="1"/>
  <c r="L1727" i="6" s="1"/>
  <c r="AJ299" i="15" s="1"/>
  <c r="K1947" i="6"/>
  <c r="L1947" i="6" s="1"/>
  <c r="K1946" i="6"/>
  <c r="K1939" i="6"/>
  <c r="K1930" i="6"/>
  <c r="K1929" i="6"/>
  <c r="K1931" i="6" s="1"/>
  <c r="L1931" i="6" s="1"/>
  <c r="K1923" i="6"/>
  <c r="K1915" i="6"/>
  <c r="L1915" i="6" s="1"/>
  <c r="K1914" i="6"/>
  <c r="L1914" i="6" s="1"/>
  <c r="L1633" i="6" s="1"/>
  <c r="AJ275" i="15" s="1"/>
  <c r="K1889" i="6"/>
  <c r="L1889" i="6" s="1"/>
  <c r="K1888" i="6"/>
  <c r="K1881" i="6"/>
  <c r="K1877" i="6"/>
  <c r="K1872" i="6"/>
  <c r="K1868" i="6"/>
  <c r="K1863" i="6"/>
  <c r="K1858" i="6"/>
  <c r="L1858" i="6" s="1"/>
  <c r="L1521" i="6" s="1"/>
  <c r="AJ235" i="15" s="1"/>
  <c r="K1850" i="6"/>
  <c r="L1850" i="6" s="1"/>
  <c r="L1505" i="6" s="1"/>
  <c r="AJ228" i="15" s="1"/>
  <c r="K1849" i="6"/>
  <c r="K1851" i="6" s="1"/>
  <c r="L1851" i="6" s="1"/>
  <c r="K1843" i="6"/>
  <c r="K1833" i="6"/>
  <c r="K1828" i="6"/>
  <c r="L1828" i="6" s="1"/>
  <c r="L1461" i="6" s="1"/>
  <c r="AJ212" i="15" s="1"/>
  <c r="K1827" i="6"/>
  <c r="K1829" i="6" s="1"/>
  <c r="L1829" i="6" s="1"/>
  <c r="K1813" i="6"/>
  <c r="L1813" i="6" s="1"/>
  <c r="K1804" i="6"/>
  <c r="L1804" i="6" s="1"/>
  <c r="L1986" i="6"/>
  <c r="L1984" i="6"/>
  <c r="L1982" i="6"/>
  <c r="L1980" i="6"/>
  <c r="L1978" i="6"/>
  <c r="L1975" i="6"/>
  <c r="L1974" i="6"/>
  <c r="L1973" i="6"/>
  <c r="L1751" i="6" s="1"/>
  <c r="AJ307" i="15" s="1"/>
  <c r="L1972" i="6"/>
  <c r="L1749" i="6" s="1"/>
  <c r="AJ306" i="15" s="1"/>
  <c r="L1970" i="6"/>
  <c r="L1969" i="6"/>
  <c r="L1967" i="6"/>
  <c r="L1964" i="6"/>
  <c r="L1963" i="6"/>
  <c r="L1960" i="6"/>
  <c r="L1959" i="6"/>
  <c r="L1723" i="6" s="1"/>
  <c r="AJ298" i="15" s="1"/>
  <c r="L1956" i="6"/>
  <c r="L1955" i="6"/>
  <c r="L1954" i="6"/>
  <c r="L1952" i="6"/>
  <c r="L1949" i="6"/>
  <c r="L1948" i="6"/>
  <c r="L1946" i="6"/>
  <c r="L1697" i="6" s="1"/>
  <c r="AJ291" i="15" s="1"/>
  <c r="L1945" i="6"/>
  <c r="L1944" i="6"/>
  <c r="L1693" i="6" s="1"/>
  <c r="AJ290" i="15" s="1"/>
  <c r="L1941" i="6"/>
  <c r="L1940" i="6"/>
  <c r="L1939" i="6"/>
  <c r="L1938" i="6"/>
  <c r="L1681" i="6" s="1"/>
  <c r="AJ287" i="15" s="1"/>
  <c r="L1936" i="6"/>
  <c r="L1932" i="6"/>
  <c r="L1930" i="6"/>
  <c r="L1665" i="6" s="1"/>
  <c r="AJ283" i="15" s="1"/>
  <c r="L1928" i="6"/>
  <c r="L1661" i="6" s="1"/>
  <c r="AJ282" i="15" s="1"/>
  <c r="L1924" i="6"/>
  <c r="L1923" i="6"/>
  <c r="L1922" i="6"/>
  <c r="L1649" i="6" s="1"/>
  <c r="AJ279" i="15" s="1"/>
  <c r="L1920" i="6"/>
  <c r="L1917" i="6"/>
  <c r="L1916" i="6"/>
  <c r="L1913" i="6"/>
  <c r="L1912" i="6"/>
  <c r="L1629" i="6" s="1"/>
  <c r="AJ274" i="15" s="1"/>
  <c r="L1909" i="6"/>
  <c r="L1908" i="6"/>
  <c r="L1907" i="6"/>
  <c r="L1906" i="6"/>
  <c r="L1617" i="6" s="1"/>
  <c r="AJ271" i="15" s="1"/>
  <c r="L1905" i="6"/>
  <c r="L1904" i="6"/>
  <c r="L1903" i="6"/>
  <c r="L1901" i="6"/>
  <c r="L1900" i="6"/>
  <c r="L1898" i="6"/>
  <c r="L1897" i="6"/>
  <c r="L1895" i="6"/>
  <c r="L1894" i="6"/>
  <c r="L1593" i="6" s="1"/>
  <c r="AJ263" i="15" s="1"/>
  <c r="L1893" i="6"/>
  <c r="L1591" i="6" s="1"/>
  <c r="AJ262" i="15" s="1"/>
  <c r="L1892" i="6"/>
  <c r="L1589" i="6" s="1"/>
  <c r="L1891" i="6"/>
  <c r="L1890" i="6"/>
  <c r="L1888" i="6"/>
  <c r="L1581" i="6" s="1"/>
  <c r="AJ258" i="15" s="1"/>
  <c r="L1887" i="6"/>
  <c r="L1886" i="6"/>
  <c r="L1577" i="6" s="1"/>
  <c r="AJ257" i="15" s="1"/>
  <c r="L1883" i="6"/>
  <c r="L1882" i="6"/>
  <c r="L1881" i="6"/>
  <c r="L1880" i="6"/>
  <c r="L1565" i="6" s="1"/>
  <c r="AJ254" i="15" s="1"/>
  <c r="L1878" i="6"/>
  <c r="L1877" i="6"/>
  <c r="L1559" i="6" s="1"/>
  <c r="AJ252" i="15" s="1"/>
  <c r="L1876" i="6"/>
  <c r="L1557" i="6" s="1"/>
  <c r="AJ251" i="15" s="1"/>
  <c r="L1874" i="6"/>
  <c r="L1873" i="6"/>
  <c r="L1872" i="6"/>
  <c r="L1871" i="6"/>
  <c r="L1547" i="6" s="1"/>
  <c r="AJ247" i="15" s="1"/>
  <c r="L1869" i="6"/>
  <c r="L1868" i="6"/>
  <c r="L1541" i="6" s="1"/>
  <c r="AJ245" i="15" s="1"/>
  <c r="L1867" i="6"/>
  <c r="L1539" i="6" s="1"/>
  <c r="AJ244" i="15" s="1"/>
  <c r="L1865" i="6"/>
  <c r="L1864" i="6"/>
  <c r="L1863" i="6"/>
  <c r="L1531" i="6" s="1"/>
  <c r="AJ240" i="15" s="1"/>
  <c r="L1862" i="6"/>
  <c r="L1529" i="6" s="1"/>
  <c r="AJ239" i="15" s="1"/>
  <c r="L1860" i="6"/>
  <c r="L1859" i="6"/>
  <c r="L1857" i="6"/>
  <c r="L1519" i="6" s="1"/>
  <c r="AJ234" i="15" s="1"/>
  <c r="L1855" i="6"/>
  <c r="L1854" i="6"/>
  <c r="L1852" i="6"/>
  <c r="L1849" i="6"/>
  <c r="L1848" i="6"/>
  <c r="L1501" i="6" s="1"/>
  <c r="AJ227" i="15" s="1"/>
  <c r="L1844" i="6"/>
  <c r="L1843" i="6"/>
  <c r="L1491" i="6" s="1"/>
  <c r="AJ224" i="15" s="1"/>
  <c r="L1842" i="6"/>
  <c r="L1489" i="6" s="1"/>
  <c r="AJ223" i="15" s="1"/>
  <c r="L1840" i="6"/>
  <c r="L1838" i="6"/>
  <c r="L1834" i="6"/>
  <c r="L1833" i="6"/>
  <c r="L1471" i="6" s="1"/>
  <c r="AJ216" i="15" s="1"/>
  <c r="L1832" i="6"/>
  <c r="L1469" i="6" s="1"/>
  <c r="AJ215" i="15" s="1"/>
  <c r="L1830" i="6"/>
  <c r="L1827" i="6"/>
  <c r="L1826" i="6"/>
  <c r="L1457" i="6" s="1"/>
  <c r="AJ211" i="15" s="1"/>
  <c r="L1822" i="6"/>
  <c r="L1818" i="6"/>
  <c r="L1817" i="6"/>
  <c r="L1816" i="6"/>
  <c r="L1814" i="6"/>
  <c r="L1812" i="6"/>
  <c r="L1429" i="6" s="1"/>
  <c r="AJ203" i="15" s="1"/>
  <c r="L1810" i="6"/>
  <c r="L1809" i="6"/>
  <c r="L1808" i="6"/>
  <c r="L1421" i="6" s="1"/>
  <c r="AJ200" i="15" s="1"/>
  <c r="L1807" i="6"/>
  <c r="L1419" i="6" s="1"/>
  <c r="L1805" i="6"/>
  <c r="L1803" i="6"/>
  <c r="L1411" i="6" s="1"/>
  <c r="AJ197" i="15" s="1"/>
  <c r="K1780" i="6"/>
  <c r="BE1780" i="6" s="1"/>
  <c r="J1780" i="6"/>
  <c r="J1779" i="6"/>
  <c r="K1778" i="6"/>
  <c r="BE1778" i="6" s="1"/>
  <c r="J1778" i="6"/>
  <c r="J1777" i="6"/>
  <c r="K1776" i="6"/>
  <c r="BE1776" i="6" s="1"/>
  <c r="J1776" i="6"/>
  <c r="J1775" i="6"/>
  <c r="K1774" i="6"/>
  <c r="BE1774" i="6" s="1"/>
  <c r="J1774" i="6"/>
  <c r="J1773" i="6"/>
  <c r="K1772" i="6"/>
  <c r="BE1772" i="6" s="1"/>
  <c r="J1772" i="6"/>
  <c r="J1771" i="6"/>
  <c r="K1770" i="6"/>
  <c r="BE1770" i="6" s="1"/>
  <c r="J1770" i="6"/>
  <c r="J1769" i="6"/>
  <c r="K1768" i="6"/>
  <c r="BE1768" i="6" s="1"/>
  <c r="J1768" i="6"/>
  <c r="J1767" i="6"/>
  <c r="K1766" i="6"/>
  <c r="BE1766" i="6" s="1"/>
  <c r="J1766" i="6"/>
  <c r="J1765" i="6"/>
  <c r="K1764" i="6"/>
  <c r="BE1764" i="6" s="1"/>
  <c r="J1764" i="6"/>
  <c r="K1763" i="6"/>
  <c r="BE1763" i="6" s="1"/>
  <c r="J1763" i="6"/>
  <c r="K1762" i="6"/>
  <c r="BE1762" i="6" s="1"/>
  <c r="J1762" i="6"/>
  <c r="J1761" i="6"/>
  <c r="K1760" i="6"/>
  <c r="BE1760" i="6" s="1"/>
  <c r="J1760" i="6"/>
  <c r="K1759" i="6"/>
  <c r="BE1759" i="6" s="1"/>
  <c r="J1759" i="6"/>
  <c r="K1758" i="6"/>
  <c r="BE1758" i="6" s="1"/>
  <c r="J1758" i="6"/>
  <c r="J1757" i="6"/>
  <c r="K1756" i="6"/>
  <c r="BE1756" i="6" s="1"/>
  <c r="J1756" i="6"/>
  <c r="BC1756" i="6" s="1"/>
  <c r="K1755" i="6"/>
  <c r="BE1755" i="6" s="1"/>
  <c r="J1755" i="6"/>
  <c r="BC1755" i="6" s="1"/>
  <c r="K1754" i="6"/>
  <c r="BE1754" i="6" s="1"/>
  <c r="J1754" i="6"/>
  <c r="BC1754" i="6" s="1"/>
  <c r="J1753" i="6"/>
  <c r="BC1753" i="6" s="1"/>
  <c r="K1752" i="6"/>
  <c r="BE1752" i="6" s="1"/>
  <c r="J1752" i="6"/>
  <c r="BC1752" i="6" s="1"/>
  <c r="BD1752" i="6" s="1"/>
  <c r="AF307" i="15" s="1"/>
  <c r="J1751" i="6"/>
  <c r="K1750" i="6"/>
  <c r="BE1750" i="6" s="1"/>
  <c r="J1750" i="6"/>
  <c r="BC1750" i="6" s="1"/>
  <c r="BD1750" i="6" s="1"/>
  <c r="AF306" i="15" s="1"/>
  <c r="J1749" i="6"/>
  <c r="K1748" i="6"/>
  <c r="BE1748" i="6" s="1"/>
  <c r="J1748" i="6"/>
  <c r="J1747" i="6"/>
  <c r="K1746" i="6"/>
  <c r="BE1746" i="6" s="1"/>
  <c r="J1746" i="6"/>
  <c r="BC1746" i="6" s="1"/>
  <c r="J1745" i="6"/>
  <c r="BC1745" i="6" s="1"/>
  <c r="K1744" i="6"/>
  <c r="BE1744" i="6" s="1"/>
  <c r="J1744" i="6"/>
  <c r="BC1744" i="6" s="1"/>
  <c r="J1743" i="6"/>
  <c r="BC1743" i="6" s="1"/>
  <c r="K1742" i="6"/>
  <c r="BE1742" i="6" s="1"/>
  <c r="J1742" i="6"/>
  <c r="BC1742" i="6" s="1"/>
  <c r="K1741" i="6"/>
  <c r="BE1741" i="6" s="1"/>
  <c r="J1741" i="6"/>
  <c r="BC1741" i="6" s="1"/>
  <c r="K1740" i="6"/>
  <c r="BE1740" i="6" s="1"/>
  <c r="J1740" i="6"/>
  <c r="BC1740" i="6" s="1"/>
  <c r="J1739" i="6"/>
  <c r="BC1739" i="6" s="1"/>
  <c r="K1738" i="6"/>
  <c r="BE1738" i="6" s="1"/>
  <c r="J1738" i="6"/>
  <c r="K1737" i="6"/>
  <c r="BE1737" i="6" s="1"/>
  <c r="J1737" i="6"/>
  <c r="K1736" i="6"/>
  <c r="BE1736" i="6" s="1"/>
  <c r="J1736" i="6"/>
  <c r="J1735" i="6"/>
  <c r="K1734" i="6"/>
  <c r="BE1734" i="6" s="1"/>
  <c r="J1734" i="6"/>
  <c r="BC1734" i="6" s="1"/>
  <c r="K1733" i="6"/>
  <c r="BE1733" i="6" s="1"/>
  <c r="J1733" i="6"/>
  <c r="BC1733" i="6" s="1"/>
  <c r="K1732" i="6"/>
  <c r="BE1732" i="6" s="1"/>
  <c r="J1732" i="6"/>
  <c r="BC1732" i="6" s="1"/>
  <c r="J1731" i="6"/>
  <c r="BC1731" i="6" s="1"/>
  <c r="K1730" i="6"/>
  <c r="BE1730" i="6" s="1"/>
  <c r="J1730" i="6"/>
  <c r="BC1730" i="6" s="1"/>
  <c r="BD1730" i="6" s="1"/>
  <c r="AH299" i="15" s="1"/>
  <c r="K1729" i="6"/>
  <c r="BE1729" i="6" s="1"/>
  <c r="J1729" i="6"/>
  <c r="K1728" i="6"/>
  <c r="BE1728" i="6" s="1"/>
  <c r="J1728" i="6"/>
  <c r="BC1728" i="6" s="1"/>
  <c r="BD1728" i="6" s="1"/>
  <c r="AF299" i="15" s="1"/>
  <c r="J1727" i="6"/>
  <c r="K1726" i="6"/>
  <c r="BE1726" i="6" s="1"/>
  <c r="J1726" i="6"/>
  <c r="BC1726" i="6" s="1"/>
  <c r="BD1726" i="6" s="1"/>
  <c r="AH298" i="15" s="1"/>
  <c r="K1725" i="6"/>
  <c r="BE1725" i="6" s="1"/>
  <c r="J1725" i="6"/>
  <c r="K1724" i="6"/>
  <c r="BE1724" i="6" s="1"/>
  <c r="J1724" i="6"/>
  <c r="BC1724" i="6" s="1"/>
  <c r="BD1724" i="6" s="1"/>
  <c r="AF298" i="15" s="1"/>
  <c r="J1723" i="6"/>
  <c r="K1722" i="6"/>
  <c r="BE1722" i="6" s="1"/>
  <c r="J1722" i="6"/>
  <c r="K1721" i="6"/>
  <c r="BE1721" i="6" s="1"/>
  <c r="J1721" i="6"/>
  <c r="K1720" i="6"/>
  <c r="BE1720" i="6" s="1"/>
  <c r="J1720" i="6"/>
  <c r="J1719" i="6"/>
  <c r="K1718" i="6"/>
  <c r="BE1718" i="6" s="1"/>
  <c r="J1718" i="6"/>
  <c r="BC1718" i="6" s="1"/>
  <c r="K1717" i="6"/>
  <c r="BE1717" i="6" s="1"/>
  <c r="J1717" i="6"/>
  <c r="BC1717" i="6" s="1"/>
  <c r="K1716" i="6"/>
  <c r="BE1716" i="6" s="1"/>
  <c r="J1716" i="6"/>
  <c r="BC1716" i="6" s="1"/>
  <c r="J1715" i="6"/>
  <c r="BC1715" i="6" s="1"/>
  <c r="K1714" i="6"/>
  <c r="BE1714" i="6" s="1"/>
  <c r="J1714" i="6"/>
  <c r="BC1714" i="6" s="1"/>
  <c r="J1713" i="6"/>
  <c r="BC1713" i="6" s="1"/>
  <c r="K1712" i="6"/>
  <c r="BE1712" i="6" s="1"/>
  <c r="J1712" i="6"/>
  <c r="BC1712" i="6" s="1"/>
  <c r="K1711" i="6"/>
  <c r="BE1711" i="6" s="1"/>
  <c r="J1711" i="6"/>
  <c r="BC1711" i="6" s="1"/>
  <c r="K1710" i="6"/>
  <c r="BE1710" i="6" s="1"/>
  <c r="J1710" i="6"/>
  <c r="BC1710" i="6" s="1"/>
  <c r="J1709" i="6"/>
  <c r="BC1709" i="6" s="1"/>
  <c r="K1708" i="6"/>
  <c r="BE1708" i="6" s="1"/>
  <c r="J1708" i="6"/>
  <c r="K1707" i="6"/>
  <c r="BE1707" i="6" s="1"/>
  <c r="J1707" i="6"/>
  <c r="K1706" i="6"/>
  <c r="BE1706" i="6" s="1"/>
  <c r="J1706" i="6"/>
  <c r="J1705" i="6"/>
  <c r="K1704" i="6"/>
  <c r="BE1704" i="6" s="1"/>
  <c r="J1704" i="6"/>
  <c r="BC1704" i="6" s="1"/>
  <c r="K1703" i="6"/>
  <c r="BE1703" i="6" s="1"/>
  <c r="J1703" i="6"/>
  <c r="BC1703" i="6" s="1"/>
  <c r="K1702" i="6"/>
  <c r="BE1702" i="6" s="1"/>
  <c r="J1702" i="6"/>
  <c r="BC1702" i="6" s="1"/>
  <c r="J1701" i="6"/>
  <c r="BC1701" i="6" s="1"/>
  <c r="K1700" i="6"/>
  <c r="BE1700" i="6" s="1"/>
  <c r="J1700" i="6"/>
  <c r="BC1700" i="6" s="1"/>
  <c r="BD1700" i="6" s="1"/>
  <c r="AH291" i="15" s="1"/>
  <c r="K1699" i="6"/>
  <c r="BE1699" i="6" s="1"/>
  <c r="J1699" i="6"/>
  <c r="K1698" i="6"/>
  <c r="BE1698" i="6" s="1"/>
  <c r="J1698" i="6"/>
  <c r="BC1698" i="6" s="1"/>
  <c r="BD1698" i="6" s="1"/>
  <c r="AF291" i="15" s="1"/>
  <c r="J1697" i="6"/>
  <c r="K1696" i="6"/>
  <c r="BE1696" i="6" s="1"/>
  <c r="J1696" i="6"/>
  <c r="BC1696" i="6" s="1"/>
  <c r="BD1696" i="6" s="1"/>
  <c r="AH290" i="15" s="1"/>
  <c r="K1695" i="6"/>
  <c r="BE1695" i="6" s="1"/>
  <c r="J1695" i="6"/>
  <c r="K1694" i="6"/>
  <c r="BE1694" i="6" s="1"/>
  <c r="J1694" i="6"/>
  <c r="BC1694" i="6" s="1"/>
  <c r="BD1694" i="6" s="1"/>
  <c r="AF290" i="15" s="1"/>
  <c r="J1693" i="6"/>
  <c r="K1692" i="6"/>
  <c r="BE1692" i="6" s="1"/>
  <c r="J1692" i="6"/>
  <c r="K1691" i="6"/>
  <c r="BE1691" i="6" s="1"/>
  <c r="J1691" i="6"/>
  <c r="K1690" i="6"/>
  <c r="BE1690" i="6" s="1"/>
  <c r="J1690" i="6"/>
  <c r="J1689" i="6"/>
  <c r="K1688" i="6"/>
  <c r="BE1688" i="6" s="1"/>
  <c r="J1688" i="6"/>
  <c r="BC1688" i="6" s="1"/>
  <c r="K1687" i="6"/>
  <c r="BE1687" i="6" s="1"/>
  <c r="J1687" i="6"/>
  <c r="BC1687" i="6" s="1"/>
  <c r="K1686" i="6"/>
  <c r="BE1686" i="6" s="1"/>
  <c r="J1686" i="6"/>
  <c r="BC1686" i="6" s="1"/>
  <c r="J1685" i="6"/>
  <c r="BC1685" i="6" s="1"/>
  <c r="K1684" i="6"/>
  <c r="BE1684" i="6" s="1"/>
  <c r="J1684" i="6"/>
  <c r="BC1684" i="6" s="1"/>
  <c r="BD1684" i="6" s="1"/>
  <c r="AH287" i="15" s="1"/>
  <c r="K1683" i="6"/>
  <c r="BE1683" i="6" s="1"/>
  <c r="J1683" i="6"/>
  <c r="K1682" i="6"/>
  <c r="BE1682" i="6" s="1"/>
  <c r="J1682" i="6"/>
  <c r="BC1682" i="6" s="1"/>
  <c r="BD1682" i="6" s="1"/>
  <c r="AF287" i="15" s="1"/>
  <c r="J1681" i="6"/>
  <c r="K1680" i="6"/>
  <c r="BE1680" i="6" s="1"/>
  <c r="J1680" i="6"/>
  <c r="BC1680" i="6" s="1"/>
  <c r="K1679" i="6"/>
  <c r="BE1679" i="6" s="1"/>
  <c r="J1679" i="6"/>
  <c r="BC1679" i="6" s="1"/>
  <c r="K1678" i="6"/>
  <c r="BE1678" i="6" s="1"/>
  <c r="J1678" i="6"/>
  <c r="BC1678" i="6" s="1"/>
  <c r="J1677" i="6"/>
  <c r="BC1677" i="6" s="1"/>
  <c r="K1676" i="6"/>
  <c r="BE1676" i="6" s="1"/>
  <c r="J1676" i="6"/>
  <c r="K1675" i="6"/>
  <c r="BE1675" i="6" s="1"/>
  <c r="J1675" i="6"/>
  <c r="K1674" i="6"/>
  <c r="BE1674" i="6" s="1"/>
  <c r="J1674" i="6"/>
  <c r="J1673" i="6"/>
  <c r="K1672" i="6"/>
  <c r="BE1672" i="6" s="1"/>
  <c r="J1672" i="6"/>
  <c r="BC1672" i="6" s="1"/>
  <c r="K1671" i="6"/>
  <c r="BE1671" i="6" s="1"/>
  <c r="J1671" i="6"/>
  <c r="BC1671" i="6" s="1"/>
  <c r="K1670" i="6"/>
  <c r="BE1670" i="6" s="1"/>
  <c r="J1670" i="6"/>
  <c r="BC1670" i="6" s="1"/>
  <c r="J1669" i="6"/>
  <c r="BC1669" i="6" s="1"/>
  <c r="K1668" i="6"/>
  <c r="BE1668" i="6" s="1"/>
  <c r="J1668" i="6"/>
  <c r="BC1668" i="6" s="1"/>
  <c r="BD1668" i="6" s="1"/>
  <c r="AH283" i="15" s="1"/>
  <c r="K1667" i="6"/>
  <c r="BE1667" i="6" s="1"/>
  <c r="J1667" i="6"/>
  <c r="K1666" i="6"/>
  <c r="BE1666" i="6" s="1"/>
  <c r="J1666" i="6"/>
  <c r="BC1666" i="6" s="1"/>
  <c r="BD1666" i="6" s="1"/>
  <c r="AF283" i="15" s="1"/>
  <c r="J1665" i="6"/>
  <c r="K1664" i="6"/>
  <c r="BE1664" i="6" s="1"/>
  <c r="J1664" i="6"/>
  <c r="BC1664" i="6" s="1"/>
  <c r="BD1664" i="6" s="1"/>
  <c r="AH282" i="15" s="1"/>
  <c r="K1663" i="6"/>
  <c r="BE1663" i="6" s="1"/>
  <c r="J1663" i="6"/>
  <c r="K1662" i="6"/>
  <c r="BE1662" i="6" s="1"/>
  <c r="J1662" i="6"/>
  <c r="BC1662" i="6" s="1"/>
  <c r="BD1662" i="6" s="1"/>
  <c r="AF282" i="15" s="1"/>
  <c r="J1661" i="6"/>
  <c r="K1660" i="6"/>
  <c r="BE1660" i="6" s="1"/>
  <c r="J1660" i="6"/>
  <c r="K1659" i="6"/>
  <c r="BE1659" i="6" s="1"/>
  <c r="J1659" i="6"/>
  <c r="K1658" i="6"/>
  <c r="BE1658" i="6" s="1"/>
  <c r="J1658" i="6"/>
  <c r="J1657" i="6"/>
  <c r="K1656" i="6"/>
  <c r="BE1656" i="6" s="1"/>
  <c r="J1656" i="6"/>
  <c r="BC1656" i="6" s="1"/>
  <c r="K1655" i="6"/>
  <c r="BE1655" i="6" s="1"/>
  <c r="J1655" i="6"/>
  <c r="BC1655" i="6" s="1"/>
  <c r="K1654" i="6"/>
  <c r="BE1654" i="6" s="1"/>
  <c r="J1654" i="6"/>
  <c r="BC1654" i="6" s="1"/>
  <c r="J1653" i="6"/>
  <c r="BC1653" i="6" s="1"/>
  <c r="K1652" i="6"/>
  <c r="BE1652" i="6" s="1"/>
  <c r="J1652" i="6"/>
  <c r="BC1652" i="6" s="1"/>
  <c r="BD1652" i="6" s="1"/>
  <c r="AH279" i="15" s="1"/>
  <c r="K1651" i="6"/>
  <c r="BE1651" i="6" s="1"/>
  <c r="J1651" i="6"/>
  <c r="K1650" i="6"/>
  <c r="BE1650" i="6" s="1"/>
  <c r="J1650" i="6"/>
  <c r="BC1650" i="6" s="1"/>
  <c r="BD1650" i="6" s="1"/>
  <c r="AF279" i="15" s="1"/>
  <c r="J1649" i="6"/>
  <c r="K1648" i="6"/>
  <c r="BE1648" i="6" s="1"/>
  <c r="J1648" i="6"/>
  <c r="BC1648" i="6" s="1"/>
  <c r="K1647" i="6"/>
  <c r="BE1647" i="6" s="1"/>
  <c r="J1647" i="6"/>
  <c r="BC1647" i="6" s="1"/>
  <c r="K1646" i="6"/>
  <c r="BE1646" i="6" s="1"/>
  <c r="J1646" i="6"/>
  <c r="BC1646" i="6" s="1"/>
  <c r="J1645" i="6"/>
  <c r="BC1645" i="6" s="1"/>
  <c r="K1644" i="6"/>
  <c r="BE1644" i="6" s="1"/>
  <c r="J1644" i="6"/>
  <c r="K1643" i="6"/>
  <c r="BE1643" i="6" s="1"/>
  <c r="J1643" i="6"/>
  <c r="K1642" i="6"/>
  <c r="BE1642" i="6" s="1"/>
  <c r="J1642" i="6"/>
  <c r="J1641" i="6"/>
  <c r="K1640" i="6"/>
  <c r="BE1640" i="6" s="1"/>
  <c r="J1640" i="6"/>
  <c r="BC1640" i="6" s="1"/>
  <c r="K1639" i="6"/>
  <c r="BE1639" i="6" s="1"/>
  <c r="J1639" i="6"/>
  <c r="BC1639" i="6" s="1"/>
  <c r="K1638" i="6"/>
  <c r="BE1638" i="6" s="1"/>
  <c r="J1638" i="6"/>
  <c r="BC1638" i="6" s="1"/>
  <c r="J1637" i="6"/>
  <c r="BC1637" i="6" s="1"/>
  <c r="K1636" i="6"/>
  <c r="BE1636" i="6" s="1"/>
  <c r="J1636" i="6"/>
  <c r="BC1636" i="6" s="1"/>
  <c r="BD1636" i="6" s="1"/>
  <c r="AH275" i="15" s="1"/>
  <c r="K1635" i="6"/>
  <c r="BE1635" i="6" s="1"/>
  <c r="J1635" i="6"/>
  <c r="K1634" i="6"/>
  <c r="BE1634" i="6" s="1"/>
  <c r="J1634" i="6"/>
  <c r="BC1634" i="6" s="1"/>
  <c r="BD1634" i="6" s="1"/>
  <c r="AF275" i="15" s="1"/>
  <c r="J1633" i="6"/>
  <c r="K1632" i="6"/>
  <c r="BE1632" i="6" s="1"/>
  <c r="J1632" i="6"/>
  <c r="BC1632" i="6" s="1"/>
  <c r="BD1632" i="6" s="1"/>
  <c r="AH274" i="15" s="1"/>
  <c r="K1631" i="6"/>
  <c r="BE1631" i="6" s="1"/>
  <c r="J1631" i="6"/>
  <c r="K1630" i="6"/>
  <c r="BE1630" i="6" s="1"/>
  <c r="J1630" i="6"/>
  <c r="BC1630" i="6" s="1"/>
  <c r="BD1630" i="6" s="1"/>
  <c r="AF274" i="15" s="1"/>
  <c r="J1629" i="6"/>
  <c r="K1628" i="6"/>
  <c r="BE1628" i="6" s="1"/>
  <c r="J1628" i="6"/>
  <c r="K1627" i="6"/>
  <c r="BE1627" i="6" s="1"/>
  <c r="J1627" i="6"/>
  <c r="K1626" i="6"/>
  <c r="BE1626" i="6" s="1"/>
  <c r="J1626" i="6"/>
  <c r="J1625" i="6"/>
  <c r="K1624" i="6"/>
  <c r="BE1624" i="6" s="1"/>
  <c r="J1624" i="6"/>
  <c r="BC1624" i="6" s="1"/>
  <c r="K1623" i="6"/>
  <c r="BE1623" i="6" s="1"/>
  <c r="J1623" i="6"/>
  <c r="BC1623" i="6" s="1"/>
  <c r="K1622" i="6"/>
  <c r="BE1622" i="6" s="1"/>
  <c r="J1622" i="6"/>
  <c r="BC1622" i="6" s="1"/>
  <c r="J1621" i="6"/>
  <c r="BC1621" i="6" s="1"/>
  <c r="K1620" i="6"/>
  <c r="BE1620" i="6" s="1"/>
  <c r="J1620" i="6"/>
  <c r="BC1620" i="6" s="1"/>
  <c r="BD1620" i="6" s="1"/>
  <c r="AH271" i="15" s="1"/>
  <c r="K1619" i="6"/>
  <c r="BE1619" i="6" s="1"/>
  <c r="J1619" i="6"/>
  <c r="K1618" i="6"/>
  <c r="BE1618" i="6" s="1"/>
  <c r="J1618" i="6"/>
  <c r="BC1618" i="6" s="1"/>
  <c r="BD1618" i="6" s="1"/>
  <c r="AF271" i="15" s="1"/>
  <c r="J1617" i="6"/>
  <c r="K1616" i="6"/>
  <c r="BE1616" i="6" s="1"/>
  <c r="J1616" i="6"/>
  <c r="BC1616" i="6" s="1"/>
  <c r="K1615" i="6"/>
  <c r="BE1615" i="6" s="1"/>
  <c r="J1615" i="6"/>
  <c r="BC1615" i="6" s="1"/>
  <c r="K1614" i="6"/>
  <c r="BE1614" i="6" s="1"/>
  <c r="J1614" i="6"/>
  <c r="BC1614" i="6" s="1"/>
  <c r="J1613" i="6"/>
  <c r="BC1613" i="6" s="1"/>
  <c r="K1612" i="6"/>
  <c r="BE1612" i="6" s="1"/>
  <c r="J1612" i="6"/>
  <c r="BC1612" i="6" s="1"/>
  <c r="J1611" i="6"/>
  <c r="BC1611" i="6" s="1"/>
  <c r="K1610" i="6"/>
  <c r="BE1610" i="6" s="1"/>
  <c r="J1610" i="6"/>
  <c r="BC1610" i="6" s="1"/>
  <c r="K1609" i="6"/>
  <c r="BE1609" i="6" s="1"/>
  <c r="J1609" i="6"/>
  <c r="BC1609" i="6" s="1"/>
  <c r="K1608" i="6"/>
  <c r="BE1608" i="6" s="1"/>
  <c r="J1608" i="6"/>
  <c r="BC1608" i="6" s="1"/>
  <c r="J1607" i="6"/>
  <c r="BC1607" i="6" s="1"/>
  <c r="K1606" i="6"/>
  <c r="BE1606" i="6" s="1"/>
  <c r="J1606" i="6"/>
  <c r="BC1606" i="6" s="1"/>
  <c r="J1605" i="6"/>
  <c r="BC1605" i="6" s="1"/>
  <c r="K1604" i="6"/>
  <c r="BE1604" i="6" s="1"/>
  <c r="J1604" i="6"/>
  <c r="BC1604" i="6" s="1"/>
  <c r="K1603" i="6"/>
  <c r="BE1603" i="6" s="1"/>
  <c r="J1603" i="6"/>
  <c r="BC1603" i="6" s="1"/>
  <c r="K1602" i="6"/>
  <c r="BE1602" i="6" s="1"/>
  <c r="J1602" i="6"/>
  <c r="BC1602" i="6" s="1"/>
  <c r="J1601" i="6"/>
  <c r="BC1601" i="6" s="1"/>
  <c r="K1600" i="6"/>
  <c r="BE1600" i="6" s="1"/>
  <c r="J1600" i="6"/>
  <c r="BC1600" i="6" s="1"/>
  <c r="J1599" i="6"/>
  <c r="BC1599" i="6" s="1"/>
  <c r="K1598" i="6"/>
  <c r="BE1598" i="6" s="1"/>
  <c r="J1598" i="6"/>
  <c r="BC1598" i="6" s="1"/>
  <c r="K1597" i="6"/>
  <c r="BE1597" i="6" s="1"/>
  <c r="J1597" i="6"/>
  <c r="BC1597" i="6" s="1"/>
  <c r="K1596" i="6"/>
  <c r="BE1596" i="6" s="1"/>
  <c r="J1596" i="6"/>
  <c r="BC1596" i="6" s="1"/>
  <c r="J1595" i="6"/>
  <c r="BC1595" i="6" s="1"/>
  <c r="K1594" i="6"/>
  <c r="BE1594" i="6" s="1"/>
  <c r="J1594" i="6"/>
  <c r="BC1594" i="6" s="1"/>
  <c r="BD1594" i="6" s="1"/>
  <c r="AF263" i="15" s="1"/>
  <c r="J1593" i="6"/>
  <c r="K1592" i="6"/>
  <c r="BE1592" i="6" s="1"/>
  <c r="J1592" i="6"/>
  <c r="BC1592" i="6" s="1"/>
  <c r="BD1592" i="6" s="1"/>
  <c r="AF262" i="15" s="1"/>
  <c r="J1591" i="6"/>
  <c r="K1590" i="6"/>
  <c r="BE1590" i="6" s="1"/>
  <c r="J1590" i="6"/>
  <c r="BC1590" i="6" s="1"/>
  <c r="J1589" i="6"/>
  <c r="BC1589" i="6" s="1"/>
  <c r="K1588" i="6"/>
  <c r="BE1588" i="6" s="1"/>
  <c r="J1588" i="6"/>
  <c r="BC1588" i="6" s="1"/>
  <c r="J1587" i="6"/>
  <c r="BC1587" i="6" s="1"/>
  <c r="K1586" i="6"/>
  <c r="BE1586" i="6" s="1"/>
  <c r="J1586" i="6"/>
  <c r="BC1586" i="6" s="1"/>
  <c r="J1585" i="6"/>
  <c r="BC1585" i="6" s="1"/>
  <c r="K1584" i="6"/>
  <c r="BE1584" i="6" s="1"/>
  <c r="J1584" i="6"/>
  <c r="BC1584" i="6" s="1"/>
  <c r="BD1584" i="6" s="1"/>
  <c r="AH258" i="15" s="1"/>
  <c r="K1583" i="6"/>
  <c r="BE1583" i="6" s="1"/>
  <c r="J1583" i="6"/>
  <c r="K1582" i="6"/>
  <c r="BE1582" i="6" s="1"/>
  <c r="J1582" i="6"/>
  <c r="BC1582" i="6" s="1"/>
  <c r="BD1582" i="6" s="1"/>
  <c r="AF258" i="15" s="1"/>
  <c r="J1581" i="6"/>
  <c r="K1580" i="6"/>
  <c r="BE1580" i="6" s="1"/>
  <c r="J1580" i="6"/>
  <c r="BC1580" i="6" s="1"/>
  <c r="BD1580" i="6" s="1"/>
  <c r="AH257" i="15" s="1"/>
  <c r="K1579" i="6"/>
  <c r="BE1579" i="6" s="1"/>
  <c r="J1579" i="6"/>
  <c r="K1578" i="6"/>
  <c r="BE1578" i="6" s="1"/>
  <c r="J1578" i="6"/>
  <c r="BC1578" i="6" s="1"/>
  <c r="BD1578" i="6" s="1"/>
  <c r="AF257" i="15" s="1"/>
  <c r="J1577" i="6"/>
  <c r="K1576" i="6"/>
  <c r="BE1576" i="6" s="1"/>
  <c r="J1576" i="6"/>
  <c r="K1575" i="6"/>
  <c r="BE1575" i="6" s="1"/>
  <c r="J1575" i="6"/>
  <c r="K1574" i="6"/>
  <c r="BE1574" i="6" s="1"/>
  <c r="J1574" i="6"/>
  <c r="J1573" i="6"/>
  <c r="K1572" i="6"/>
  <c r="BE1572" i="6" s="1"/>
  <c r="J1572" i="6"/>
  <c r="BC1572" i="6" s="1"/>
  <c r="K1571" i="6"/>
  <c r="BE1571" i="6" s="1"/>
  <c r="J1571" i="6"/>
  <c r="BC1571" i="6" s="1"/>
  <c r="K1570" i="6"/>
  <c r="BE1570" i="6" s="1"/>
  <c r="J1570" i="6"/>
  <c r="BC1570" i="6" s="1"/>
  <c r="J1569" i="6"/>
  <c r="BC1569" i="6" s="1"/>
  <c r="K1568" i="6"/>
  <c r="BE1568" i="6" s="1"/>
  <c r="J1568" i="6"/>
  <c r="BC1568" i="6" s="1"/>
  <c r="BD1568" i="6" s="1"/>
  <c r="AH254" i="15" s="1"/>
  <c r="K1567" i="6"/>
  <c r="BE1567" i="6" s="1"/>
  <c r="J1567" i="6"/>
  <c r="K1566" i="6"/>
  <c r="BE1566" i="6" s="1"/>
  <c r="J1566" i="6"/>
  <c r="BC1566" i="6" s="1"/>
  <c r="BD1566" i="6" s="1"/>
  <c r="AF254" i="15" s="1"/>
  <c r="J1565" i="6"/>
  <c r="K1564" i="6"/>
  <c r="BE1564" i="6" s="1"/>
  <c r="J1564" i="6"/>
  <c r="BC1564" i="6" s="1"/>
  <c r="K1563" i="6"/>
  <c r="BE1563" i="6" s="1"/>
  <c r="J1563" i="6"/>
  <c r="BC1563" i="6" s="1"/>
  <c r="K1562" i="6"/>
  <c r="BE1562" i="6" s="1"/>
  <c r="J1562" i="6"/>
  <c r="BC1562" i="6" s="1"/>
  <c r="J1561" i="6"/>
  <c r="BC1561" i="6" s="1"/>
  <c r="K1560" i="6"/>
  <c r="BE1560" i="6" s="1"/>
  <c r="J1560" i="6"/>
  <c r="BC1560" i="6" s="1"/>
  <c r="BD1560" i="6" s="1"/>
  <c r="AF252" i="15" s="1"/>
  <c r="J1559" i="6"/>
  <c r="K1558" i="6"/>
  <c r="BE1558" i="6" s="1"/>
  <c r="J1558" i="6"/>
  <c r="BC1558" i="6" s="1"/>
  <c r="BD1558" i="6" s="1"/>
  <c r="AF251" i="15" s="1"/>
  <c r="J1557" i="6"/>
  <c r="K1556" i="6"/>
  <c r="BE1556" i="6" s="1"/>
  <c r="J1556" i="6"/>
  <c r="J1555" i="6"/>
  <c r="K1554" i="6"/>
  <c r="BE1554" i="6" s="1"/>
  <c r="J1554" i="6"/>
  <c r="BC1554" i="6" s="1"/>
  <c r="J1553" i="6"/>
  <c r="BC1553" i="6" s="1"/>
  <c r="K1552" i="6"/>
  <c r="BE1552" i="6" s="1"/>
  <c r="J1552" i="6"/>
  <c r="BC1552" i="6" s="1"/>
  <c r="J1551" i="6"/>
  <c r="BC1551" i="6" s="1"/>
  <c r="K1550" i="6"/>
  <c r="BE1550" i="6" s="1"/>
  <c r="J1550" i="6"/>
  <c r="BC1550" i="6" s="1"/>
  <c r="BD1550" i="6" s="1"/>
  <c r="AH247" i="15" s="1"/>
  <c r="K1549" i="6"/>
  <c r="BE1549" i="6" s="1"/>
  <c r="J1549" i="6"/>
  <c r="K1548" i="6"/>
  <c r="BE1548" i="6" s="1"/>
  <c r="J1548" i="6"/>
  <c r="BC1548" i="6" s="1"/>
  <c r="BD1548" i="6" s="1"/>
  <c r="AF247" i="15" s="1"/>
  <c r="J1547" i="6"/>
  <c r="K1546" i="6"/>
  <c r="BE1546" i="6" s="1"/>
  <c r="J1546" i="6"/>
  <c r="BC1546" i="6" s="1"/>
  <c r="K1545" i="6"/>
  <c r="BE1545" i="6" s="1"/>
  <c r="J1545" i="6"/>
  <c r="BC1545" i="6" s="1"/>
  <c r="K1544" i="6"/>
  <c r="BE1544" i="6" s="1"/>
  <c r="J1544" i="6"/>
  <c r="BC1544" i="6" s="1"/>
  <c r="J1543" i="6"/>
  <c r="BC1543" i="6" s="1"/>
  <c r="K1542" i="6"/>
  <c r="BE1542" i="6" s="1"/>
  <c r="J1542" i="6"/>
  <c r="BC1542" i="6" s="1"/>
  <c r="BD1542" i="6" s="1"/>
  <c r="AF245" i="15" s="1"/>
  <c r="J1541" i="6"/>
  <c r="K1540" i="6"/>
  <c r="BE1540" i="6" s="1"/>
  <c r="J1540" i="6"/>
  <c r="BC1540" i="6" s="1"/>
  <c r="BD1540" i="6" s="1"/>
  <c r="AF244" i="15" s="1"/>
  <c r="J1539" i="6"/>
  <c r="K1538" i="6"/>
  <c r="BE1538" i="6" s="1"/>
  <c r="J1538" i="6"/>
  <c r="J1537" i="6"/>
  <c r="K1536" i="6"/>
  <c r="BE1536" i="6" s="1"/>
  <c r="J1536" i="6"/>
  <c r="BC1536" i="6" s="1"/>
  <c r="J1535" i="6"/>
  <c r="BC1535" i="6" s="1"/>
  <c r="K1534" i="6"/>
  <c r="BE1534" i="6" s="1"/>
  <c r="J1534" i="6"/>
  <c r="BC1534" i="6" s="1"/>
  <c r="J1533" i="6"/>
  <c r="BC1533" i="6" s="1"/>
  <c r="K1532" i="6"/>
  <c r="BE1532" i="6" s="1"/>
  <c r="J1532" i="6"/>
  <c r="BC1532" i="6" s="1"/>
  <c r="BD1532" i="6" s="1"/>
  <c r="AF240" i="15" s="1"/>
  <c r="J1531" i="6"/>
  <c r="K1530" i="6"/>
  <c r="BE1530" i="6" s="1"/>
  <c r="J1530" i="6"/>
  <c r="BC1530" i="6" s="1"/>
  <c r="BD1530" i="6" s="1"/>
  <c r="AF239" i="15" s="1"/>
  <c r="J1529" i="6"/>
  <c r="K1528" i="6"/>
  <c r="BE1528" i="6" s="1"/>
  <c r="J1528" i="6"/>
  <c r="J1527" i="6"/>
  <c r="K1526" i="6"/>
  <c r="BE1526" i="6" s="1"/>
  <c r="J1526" i="6"/>
  <c r="BC1526" i="6" s="1"/>
  <c r="J1525" i="6"/>
  <c r="BC1525" i="6" s="1"/>
  <c r="K1524" i="6"/>
  <c r="BE1524" i="6" s="1"/>
  <c r="J1524" i="6"/>
  <c r="BC1524" i="6" s="1"/>
  <c r="J1523" i="6"/>
  <c r="BC1523" i="6" s="1"/>
  <c r="K1522" i="6"/>
  <c r="BE1522" i="6" s="1"/>
  <c r="J1522" i="6"/>
  <c r="BC1522" i="6" s="1"/>
  <c r="BD1522" i="6" s="1"/>
  <c r="AF235" i="15" s="1"/>
  <c r="K1521" i="6"/>
  <c r="J1521" i="6"/>
  <c r="K1520" i="6"/>
  <c r="BE1520" i="6" s="1"/>
  <c r="J1520" i="6"/>
  <c r="BC1520" i="6" s="1"/>
  <c r="BD1520" i="6" s="1"/>
  <c r="AF234" i="15" s="1"/>
  <c r="K1519" i="6"/>
  <c r="J1519" i="6"/>
  <c r="K1518" i="6"/>
  <c r="BE1518" i="6" s="1"/>
  <c r="J1518" i="6"/>
  <c r="K1517" i="6"/>
  <c r="BE1517" i="6" s="1"/>
  <c r="J1517" i="6"/>
  <c r="K1516" i="6"/>
  <c r="BE1516" i="6" s="1"/>
  <c r="J1516" i="6"/>
  <c r="BC1516" i="6" s="1"/>
  <c r="J1515" i="6"/>
  <c r="BC1515" i="6" s="1"/>
  <c r="K1514" i="6"/>
  <c r="BE1514" i="6" s="1"/>
  <c r="J1514" i="6"/>
  <c r="BC1514" i="6" s="1"/>
  <c r="J1513" i="6"/>
  <c r="BC1513" i="6" s="1"/>
  <c r="K1512" i="6"/>
  <c r="BE1512" i="6" s="1"/>
  <c r="J1512" i="6"/>
  <c r="K1511" i="6"/>
  <c r="BE1511" i="6" s="1"/>
  <c r="J1511" i="6"/>
  <c r="K1510" i="6"/>
  <c r="BE1510" i="6" s="1"/>
  <c r="J1510" i="6"/>
  <c r="BC1510" i="6" s="1"/>
  <c r="J1509" i="6"/>
  <c r="BC1509" i="6" s="1"/>
  <c r="K1508" i="6"/>
  <c r="BE1508" i="6" s="1"/>
  <c r="J1508" i="6"/>
  <c r="BC1508" i="6" s="1"/>
  <c r="BD1508" i="6" s="1"/>
  <c r="AH228" i="15" s="1"/>
  <c r="K1507" i="6"/>
  <c r="BE1507" i="6" s="1"/>
  <c r="J1507" i="6"/>
  <c r="K1506" i="6"/>
  <c r="BE1506" i="6" s="1"/>
  <c r="J1506" i="6"/>
  <c r="BC1506" i="6" s="1"/>
  <c r="BD1506" i="6" s="1"/>
  <c r="AF228" i="15" s="1"/>
  <c r="J1505" i="6"/>
  <c r="K1504" i="6"/>
  <c r="BE1504" i="6" s="1"/>
  <c r="J1504" i="6"/>
  <c r="BC1504" i="6" s="1"/>
  <c r="BD1504" i="6" s="1"/>
  <c r="AH227" i="15" s="1"/>
  <c r="K1503" i="6"/>
  <c r="BE1503" i="6" s="1"/>
  <c r="J1503" i="6"/>
  <c r="K1502" i="6"/>
  <c r="BE1502" i="6" s="1"/>
  <c r="J1502" i="6"/>
  <c r="BC1502" i="6" s="1"/>
  <c r="BD1502" i="6" s="1"/>
  <c r="AF227" i="15" s="1"/>
  <c r="J1501" i="6"/>
  <c r="K1500" i="6"/>
  <c r="BE1500" i="6" s="1"/>
  <c r="J1500" i="6"/>
  <c r="K1499" i="6"/>
  <c r="BE1499" i="6" s="1"/>
  <c r="J1499" i="6"/>
  <c r="K1498" i="6"/>
  <c r="BE1498" i="6" s="1"/>
  <c r="J1498" i="6"/>
  <c r="J1497" i="6"/>
  <c r="K1496" i="6"/>
  <c r="BE1496" i="6" s="1"/>
  <c r="J1496" i="6"/>
  <c r="BC1496" i="6" s="1"/>
  <c r="K1495" i="6"/>
  <c r="BE1495" i="6" s="1"/>
  <c r="J1495" i="6"/>
  <c r="BC1495" i="6" s="1"/>
  <c r="K1494" i="6"/>
  <c r="BE1494" i="6" s="1"/>
  <c r="J1494" i="6"/>
  <c r="BC1494" i="6" s="1"/>
  <c r="J1493" i="6"/>
  <c r="BC1493" i="6" s="1"/>
  <c r="K1492" i="6"/>
  <c r="BE1492" i="6" s="1"/>
  <c r="J1492" i="6"/>
  <c r="BC1492" i="6" s="1"/>
  <c r="BD1492" i="6" s="1"/>
  <c r="AF224" i="15" s="1"/>
  <c r="K1491" i="6"/>
  <c r="J1491" i="6"/>
  <c r="K1490" i="6"/>
  <c r="BE1490" i="6" s="1"/>
  <c r="J1490" i="6"/>
  <c r="BC1490" i="6" s="1"/>
  <c r="BD1490" i="6" s="1"/>
  <c r="AF223" i="15" s="1"/>
  <c r="K1489" i="6"/>
  <c r="J1489" i="6"/>
  <c r="K1488" i="6"/>
  <c r="BE1488" i="6" s="1"/>
  <c r="J1488" i="6"/>
  <c r="K1487" i="6"/>
  <c r="BE1487" i="6" s="1"/>
  <c r="J1487" i="6"/>
  <c r="K1486" i="6"/>
  <c r="BE1486" i="6" s="1"/>
  <c r="J1486" i="6"/>
  <c r="BC1486" i="6" s="1"/>
  <c r="J1485" i="6"/>
  <c r="BC1485" i="6" s="1"/>
  <c r="K1484" i="6"/>
  <c r="BE1484" i="6" s="1"/>
  <c r="J1484" i="6"/>
  <c r="K1483" i="6"/>
  <c r="BE1483" i="6" s="1"/>
  <c r="J1483" i="6"/>
  <c r="K1482" i="6"/>
  <c r="BE1482" i="6" s="1"/>
  <c r="J1482" i="6"/>
  <c r="BC1482" i="6" s="1"/>
  <c r="J1481" i="6"/>
  <c r="BC1481" i="6" s="1"/>
  <c r="K1480" i="6"/>
  <c r="BE1480" i="6" s="1"/>
  <c r="J1480" i="6"/>
  <c r="K1479" i="6"/>
  <c r="BE1479" i="6" s="1"/>
  <c r="J1479" i="6"/>
  <c r="K1478" i="6"/>
  <c r="BE1478" i="6" s="1"/>
  <c r="J1478" i="6"/>
  <c r="J1477" i="6"/>
  <c r="K1476" i="6"/>
  <c r="BE1476" i="6" s="1"/>
  <c r="J1476" i="6"/>
  <c r="BC1476" i="6" s="1"/>
  <c r="K1475" i="6"/>
  <c r="BE1475" i="6" s="1"/>
  <c r="J1475" i="6"/>
  <c r="BC1475" i="6" s="1"/>
  <c r="K1474" i="6"/>
  <c r="BE1474" i="6" s="1"/>
  <c r="J1474" i="6"/>
  <c r="BC1474" i="6" s="1"/>
  <c r="J1473" i="6"/>
  <c r="BC1473" i="6" s="1"/>
  <c r="K1472" i="6"/>
  <c r="BE1472" i="6" s="1"/>
  <c r="J1472" i="6"/>
  <c r="BC1472" i="6" s="1"/>
  <c r="BD1472" i="6" s="1"/>
  <c r="AF216" i="15" s="1"/>
  <c r="K1471" i="6"/>
  <c r="J1471" i="6"/>
  <c r="K1470" i="6"/>
  <c r="BE1470" i="6" s="1"/>
  <c r="J1470" i="6"/>
  <c r="BC1470" i="6" s="1"/>
  <c r="BD1470" i="6" s="1"/>
  <c r="AF215" i="15" s="1"/>
  <c r="K1469" i="6"/>
  <c r="J1469" i="6"/>
  <c r="K1468" i="6"/>
  <c r="BE1468" i="6" s="1"/>
  <c r="J1468" i="6"/>
  <c r="K1467" i="6"/>
  <c r="BE1467" i="6" s="1"/>
  <c r="J1467" i="6"/>
  <c r="K1466" i="6"/>
  <c r="BE1466" i="6" s="1"/>
  <c r="J1466" i="6"/>
  <c r="BC1466" i="6" s="1"/>
  <c r="J1465" i="6"/>
  <c r="BC1465" i="6" s="1"/>
  <c r="K1464" i="6"/>
  <c r="BE1464" i="6" s="1"/>
  <c r="J1464" i="6"/>
  <c r="BC1464" i="6" s="1"/>
  <c r="BD1464" i="6" s="1"/>
  <c r="AH212" i="15" s="1"/>
  <c r="K1463" i="6"/>
  <c r="BE1463" i="6" s="1"/>
  <c r="J1463" i="6"/>
  <c r="K1462" i="6"/>
  <c r="BE1462" i="6" s="1"/>
  <c r="J1462" i="6"/>
  <c r="BC1462" i="6" s="1"/>
  <c r="BD1462" i="6" s="1"/>
  <c r="AF212" i="15" s="1"/>
  <c r="J1461" i="6"/>
  <c r="K1460" i="6"/>
  <c r="BE1460" i="6" s="1"/>
  <c r="J1460" i="6"/>
  <c r="BC1460" i="6" s="1"/>
  <c r="BD1460" i="6" s="1"/>
  <c r="AH211" i="15" s="1"/>
  <c r="K1459" i="6"/>
  <c r="BE1459" i="6" s="1"/>
  <c r="J1459" i="6"/>
  <c r="K1458" i="6"/>
  <c r="BE1458" i="6" s="1"/>
  <c r="J1458" i="6"/>
  <c r="BC1458" i="6" s="1"/>
  <c r="BD1458" i="6" s="1"/>
  <c r="AF211" i="15" s="1"/>
  <c r="J1457" i="6"/>
  <c r="K1456" i="6"/>
  <c r="BE1456" i="6" s="1"/>
  <c r="J1456" i="6"/>
  <c r="K1455" i="6"/>
  <c r="BE1455" i="6" s="1"/>
  <c r="J1455" i="6"/>
  <c r="K1454" i="6"/>
  <c r="BE1454" i="6" s="1"/>
  <c r="J1454" i="6"/>
  <c r="J1453" i="6"/>
  <c r="K1452" i="6"/>
  <c r="BE1452" i="6" s="1"/>
  <c r="J1452" i="6"/>
  <c r="BC1452" i="6" s="1"/>
  <c r="K1451" i="6"/>
  <c r="BE1451" i="6" s="1"/>
  <c r="J1451" i="6"/>
  <c r="K1450" i="6"/>
  <c r="BE1450" i="6" s="1"/>
  <c r="J1450" i="6"/>
  <c r="J1449" i="6"/>
  <c r="K1448" i="6"/>
  <c r="BE1448" i="6" s="1"/>
  <c r="J1448" i="6"/>
  <c r="K1447" i="6"/>
  <c r="BE1447" i="6" s="1"/>
  <c r="J1447" i="6"/>
  <c r="K1446" i="6"/>
  <c r="BE1446" i="6" s="1"/>
  <c r="J1446" i="6"/>
  <c r="J1445" i="6"/>
  <c r="K1444" i="6"/>
  <c r="BE1444" i="6" s="1"/>
  <c r="J1444" i="6"/>
  <c r="K1443" i="6"/>
  <c r="BE1443" i="6" s="1"/>
  <c r="J1443" i="6"/>
  <c r="K1442" i="6"/>
  <c r="BE1442" i="6" s="1"/>
  <c r="J1442" i="6"/>
  <c r="J1441" i="6"/>
  <c r="K1440" i="6"/>
  <c r="BE1440" i="6" s="1"/>
  <c r="J1440" i="6"/>
  <c r="J1439" i="6"/>
  <c r="K1438" i="6"/>
  <c r="BE1438" i="6" s="1"/>
  <c r="J1438" i="6"/>
  <c r="J1437" i="6"/>
  <c r="K1436" i="6"/>
  <c r="BE1436" i="6" s="1"/>
  <c r="J1436" i="6"/>
  <c r="K1435" i="6"/>
  <c r="BE1435" i="6" s="1"/>
  <c r="J1435" i="6"/>
  <c r="K1434" i="6"/>
  <c r="BE1434" i="6" s="1"/>
  <c r="J1434" i="6"/>
  <c r="J1433" i="6"/>
  <c r="K1432" i="6"/>
  <c r="BE1432" i="6" s="1"/>
  <c r="J1432" i="6"/>
  <c r="BC1432" i="6" s="1"/>
  <c r="BD1432" i="6" s="1"/>
  <c r="AH203" i="15" s="1"/>
  <c r="K1431" i="6"/>
  <c r="BE1431" i="6" s="1"/>
  <c r="J1431" i="6"/>
  <c r="K1430" i="6"/>
  <c r="BE1430" i="6" s="1"/>
  <c r="J1430" i="6"/>
  <c r="BC1430" i="6" s="1"/>
  <c r="BD1430" i="6" s="1"/>
  <c r="AF203" i="15" s="1"/>
  <c r="J1429" i="6"/>
  <c r="K1428" i="6"/>
  <c r="BE1428" i="6" s="1"/>
  <c r="J1428" i="6"/>
  <c r="BC1428" i="6" s="1"/>
  <c r="K1427" i="6"/>
  <c r="BE1427" i="6" s="1"/>
  <c r="J1427" i="6"/>
  <c r="BC1427" i="6" s="1"/>
  <c r="K1426" i="6"/>
  <c r="BE1426" i="6" s="1"/>
  <c r="J1426" i="6"/>
  <c r="BC1426" i="6" s="1"/>
  <c r="J1425" i="6"/>
  <c r="BC1425" i="6" s="1"/>
  <c r="K1424" i="6"/>
  <c r="BE1424" i="6" s="1"/>
  <c r="J1424" i="6"/>
  <c r="BC1424" i="6" s="1"/>
  <c r="J1423" i="6"/>
  <c r="BC1423" i="6" s="1"/>
  <c r="K1422" i="6"/>
  <c r="BE1422" i="6" s="1"/>
  <c r="J1422" i="6"/>
  <c r="BC1422" i="6" s="1"/>
  <c r="BD1422" i="6" s="1"/>
  <c r="AF200" i="15" s="1"/>
  <c r="K1421" i="6"/>
  <c r="J1421" i="6"/>
  <c r="J1420" i="6"/>
  <c r="BC1420" i="6" s="1"/>
  <c r="K1419" i="6"/>
  <c r="J1419" i="6"/>
  <c r="BC1419" i="6" s="1"/>
  <c r="K1418" i="6"/>
  <c r="J1418" i="6"/>
  <c r="BC1418" i="6" s="1"/>
  <c r="K1417" i="6"/>
  <c r="J1417" i="6"/>
  <c r="K1416" i="6"/>
  <c r="J1416" i="6"/>
  <c r="BC1416" i="6" s="1"/>
  <c r="J1415" i="6"/>
  <c r="K1414" i="6"/>
  <c r="BE1414" i="6" s="1"/>
  <c r="J1414" i="6"/>
  <c r="BC1414" i="6" s="1"/>
  <c r="BD1414" i="6" s="1"/>
  <c r="AH197" i="15" s="1"/>
  <c r="K1413" i="6"/>
  <c r="BE1413" i="6" s="1"/>
  <c r="J1413" i="6"/>
  <c r="K1412" i="6"/>
  <c r="BE1412" i="6" s="1"/>
  <c r="J1412" i="6"/>
  <c r="BC1412" i="6" s="1"/>
  <c r="BD1412" i="6" s="1"/>
  <c r="AF197" i="15" s="1"/>
  <c r="J1411" i="6"/>
  <c r="K1410" i="6"/>
  <c r="J1410" i="6"/>
  <c r="K1409" i="6"/>
  <c r="J1409" i="6"/>
  <c r="K1408" i="6"/>
  <c r="J1408" i="6"/>
  <c r="F4232" i="6"/>
  <c r="F3867" i="6"/>
  <c r="F3868" i="6"/>
  <c r="F3869" i="6"/>
  <c r="F3870" i="6"/>
  <c r="F3871" i="6"/>
  <c r="F3872" i="6"/>
  <c r="F3873" i="6"/>
  <c r="F3874" i="6"/>
  <c r="F3875" i="6"/>
  <c r="F3876" i="6"/>
  <c r="F3877" i="6"/>
  <c r="F3878" i="6"/>
  <c r="F3879" i="6"/>
  <c r="F3880" i="6"/>
  <c r="F3881" i="6"/>
  <c r="F3882" i="6"/>
  <c r="F3883" i="6"/>
  <c r="F3884" i="6"/>
  <c r="F3885" i="6"/>
  <c r="F3886" i="6"/>
  <c r="F3887" i="6"/>
  <c r="F3888" i="6"/>
  <c r="F3889" i="6"/>
  <c r="F3890" i="6"/>
  <c r="F3891" i="6"/>
  <c r="F3892" i="6"/>
  <c r="F3893" i="6"/>
  <c r="F3894" i="6"/>
  <c r="F3895" i="6"/>
  <c r="F3896" i="6"/>
  <c r="F3897" i="6"/>
  <c r="F3898" i="6"/>
  <c r="F3899" i="6"/>
  <c r="F3900" i="6"/>
  <c r="F3901" i="6"/>
  <c r="F3902" i="6"/>
  <c r="F3903" i="6"/>
  <c r="F3904" i="6"/>
  <c r="F3905" i="6"/>
  <c r="F3906" i="6"/>
  <c r="F3907" i="6"/>
  <c r="F3908" i="6"/>
  <c r="F3909" i="6"/>
  <c r="F3910" i="6"/>
  <c r="F3911" i="6"/>
  <c r="F3912" i="6"/>
  <c r="F3913" i="6"/>
  <c r="F3914" i="6"/>
  <c r="F3915" i="6"/>
  <c r="F3916" i="6"/>
  <c r="F3917" i="6"/>
  <c r="F3918" i="6"/>
  <c r="F3919" i="6"/>
  <c r="F3920" i="6"/>
  <c r="F3921" i="6"/>
  <c r="F3922" i="6"/>
  <c r="F3923" i="6"/>
  <c r="F3924" i="6"/>
  <c r="F3925" i="6"/>
  <c r="F3926" i="6"/>
  <c r="F3927" i="6"/>
  <c r="F3928" i="6"/>
  <c r="F3929" i="6"/>
  <c r="F3930" i="6"/>
  <c r="F3931" i="6"/>
  <c r="F3932" i="6"/>
  <c r="F3933" i="6"/>
  <c r="F3934" i="6"/>
  <c r="F3935" i="6"/>
  <c r="F3936" i="6"/>
  <c r="F3937" i="6"/>
  <c r="F3938" i="6"/>
  <c r="F3939" i="6"/>
  <c r="F3940" i="6"/>
  <c r="F3941" i="6"/>
  <c r="F3942" i="6"/>
  <c r="F3943" i="6"/>
  <c r="F3944" i="6"/>
  <c r="F3945" i="6"/>
  <c r="F3946" i="6"/>
  <c r="F3947" i="6"/>
  <c r="F3948" i="6"/>
  <c r="F3949" i="6"/>
  <c r="F3950" i="6"/>
  <c r="F3951" i="6"/>
  <c r="F3952" i="6"/>
  <c r="F3953" i="6"/>
  <c r="F3954" i="6"/>
  <c r="F3955" i="6"/>
  <c r="F3956" i="6"/>
  <c r="F3957" i="6"/>
  <c r="F3958" i="6"/>
  <c r="F3959" i="6"/>
  <c r="F3960" i="6"/>
  <c r="F3961" i="6"/>
  <c r="F3962" i="6"/>
  <c r="F3963" i="6"/>
  <c r="F3964" i="6"/>
  <c r="F3965" i="6"/>
  <c r="F3966" i="6"/>
  <c r="F3967" i="6"/>
  <c r="F3968" i="6"/>
  <c r="F3969" i="6"/>
  <c r="F3970" i="6"/>
  <c r="F3971" i="6"/>
  <c r="F3972" i="6"/>
  <c r="F3973" i="6"/>
  <c r="F3974" i="6"/>
  <c r="F3975" i="6"/>
  <c r="F3976" i="6"/>
  <c r="F3977" i="6"/>
  <c r="F3978" i="6"/>
  <c r="F3979" i="6"/>
  <c r="F3980" i="6"/>
  <c r="F3981" i="6"/>
  <c r="F3982" i="6"/>
  <c r="F3983" i="6"/>
  <c r="F3984" i="6"/>
  <c r="F3985" i="6"/>
  <c r="F3986" i="6"/>
  <c r="F3987" i="6"/>
  <c r="F3988" i="6"/>
  <c r="F3989" i="6"/>
  <c r="F3990" i="6"/>
  <c r="F3991" i="6"/>
  <c r="F3992" i="6"/>
  <c r="F3993" i="6"/>
  <c r="F3994" i="6"/>
  <c r="F3995" i="6"/>
  <c r="F3996" i="6"/>
  <c r="F3997" i="6"/>
  <c r="F3998" i="6"/>
  <c r="F3999" i="6"/>
  <c r="F4000" i="6"/>
  <c r="F4001" i="6"/>
  <c r="F4002" i="6"/>
  <c r="F4003" i="6"/>
  <c r="F4004" i="6"/>
  <c r="F4005" i="6"/>
  <c r="F4006" i="6"/>
  <c r="F4007" i="6"/>
  <c r="F4008" i="6"/>
  <c r="F4009" i="6"/>
  <c r="F4010" i="6"/>
  <c r="F4011" i="6"/>
  <c r="F4012" i="6"/>
  <c r="F4013" i="6"/>
  <c r="F4014" i="6"/>
  <c r="F4015" i="6"/>
  <c r="F4016" i="6"/>
  <c r="F4017" i="6"/>
  <c r="F4018" i="6"/>
  <c r="F4019" i="6"/>
  <c r="F4020" i="6"/>
  <c r="F4021" i="6"/>
  <c r="F4022" i="6"/>
  <c r="F4023" i="6"/>
  <c r="F4024" i="6"/>
  <c r="F4025" i="6"/>
  <c r="F4026" i="6"/>
  <c r="F4027" i="6"/>
  <c r="F4028" i="6"/>
  <c r="F4029" i="6"/>
  <c r="F4030" i="6"/>
  <c r="F4031" i="6"/>
  <c r="F4032" i="6"/>
  <c r="F4033" i="6"/>
  <c r="F4034" i="6"/>
  <c r="F4035" i="6"/>
  <c r="F4036" i="6"/>
  <c r="F4037" i="6"/>
  <c r="F4038" i="6"/>
  <c r="F4039" i="6"/>
  <c r="F4040" i="6"/>
  <c r="F4041" i="6"/>
  <c r="F4042" i="6"/>
  <c r="F4043" i="6"/>
  <c r="F4044" i="6"/>
  <c r="F4045" i="6"/>
  <c r="F4046" i="6"/>
  <c r="F4047" i="6"/>
  <c r="F4048" i="6"/>
  <c r="F4049" i="6"/>
  <c r="F4050" i="6"/>
  <c r="F4051" i="6"/>
  <c r="F4052" i="6"/>
  <c r="F4053" i="6"/>
  <c r="F4054" i="6"/>
  <c r="F4055" i="6"/>
  <c r="F4056" i="6"/>
  <c r="F4057" i="6"/>
  <c r="F4058" i="6"/>
  <c r="F4059" i="6"/>
  <c r="F4060" i="6"/>
  <c r="F4061" i="6"/>
  <c r="F4062" i="6"/>
  <c r="F4063" i="6"/>
  <c r="F4064" i="6"/>
  <c r="F4065" i="6"/>
  <c r="F4066" i="6"/>
  <c r="F4067" i="6"/>
  <c r="F4068" i="6"/>
  <c r="F4069" i="6"/>
  <c r="F4070" i="6"/>
  <c r="F4071" i="6"/>
  <c r="F4072" i="6"/>
  <c r="F4073" i="6"/>
  <c r="F4074" i="6"/>
  <c r="F4075" i="6"/>
  <c r="F4076" i="6"/>
  <c r="F4077" i="6"/>
  <c r="F4078" i="6"/>
  <c r="F4079" i="6"/>
  <c r="F4080" i="6"/>
  <c r="F4081" i="6"/>
  <c r="F4082" i="6"/>
  <c r="F4083" i="6"/>
  <c r="F4084" i="6"/>
  <c r="F4085" i="6"/>
  <c r="F4086" i="6"/>
  <c r="F4087" i="6"/>
  <c r="F4088" i="6"/>
  <c r="F4089" i="6"/>
  <c r="F4090" i="6"/>
  <c r="F4091" i="6"/>
  <c r="F4092" i="6"/>
  <c r="F4093" i="6"/>
  <c r="F4094" i="6"/>
  <c r="F4095" i="6"/>
  <c r="F4096" i="6"/>
  <c r="F4097" i="6"/>
  <c r="F4098" i="6"/>
  <c r="F4099" i="6"/>
  <c r="F4100" i="6"/>
  <c r="F4101" i="6"/>
  <c r="F4102" i="6"/>
  <c r="F4103" i="6"/>
  <c r="F4104" i="6"/>
  <c r="F4105" i="6"/>
  <c r="F4106" i="6"/>
  <c r="F4107" i="6"/>
  <c r="F4108" i="6"/>
  <c r="F4109" i="6"/>
  <c r="F4110" i="6"/>
  <c r="F4111" i="6"/>
  <c r="F4112" i="6"/>
  <c r="F4113" i="6"/>
  <c r="F4114" i="6"/>
  <c r="F4115" i="6"/>
  <c r="F4116" i="6"/>
  <c r="F4117" i="6"/>
  <c r="F4118" i="6"/>
  <c r="F4119" i="6"/>
  <c r="F4120" i="6"/>
  <c r="F4121" i="6"/>
  <c r="F4122" i="6"/>
  <c r="F4123" i="6"/>
  <c r="F4124" i="6"/>
  <c r="F4125" i="6"/>
  <c r="F4126" i="6"/>
  <c r="F4127" i="6"/>
  <c r="F4128" i="6"/>
  <c r="F4129" i="6"/>
  <c r="F4130" i="6"/>
  <c r="F4131" i="6"/>
  <c r="F4132" i="6"/>
  <c r="F4133" i="6"/>
  <c r="F4134" i="6"/>
  <c r="F4135" i="6"/>
  <c r="F4136" i="6"/>
  <c r="F4137" i="6"/>
  <c r="F4138" i="6"/>
  <c r="F4139" i="6"/>
  <c r="F4140" i="6"/>
  <c r="F4141" i="6"/>
  <c r="F4142" i="6"/>
  <c r="F4143" i="6"/>
  <c r="F4144" i="6"/>
  <c r="F4145" i="6"/>
  <c r="F4146" i="6"/>
  <c r="F4147" i="6"/>
  <c r="F4148" i="6"/>
  <c r="F4149" i="6"/>
  <c r="F4150" i="6"/>
  <c r="F4151" i="6"/>
  <c r="F4152" i="6"/>
  <c r="F4153" i="6"/>
  <c r="F4154" i="6"/>
  <c r="F4155" i="6"/>
  <c r="F4156" i="6"/>
  <c r="F4157" i="6"/>
  <c r="F4158" i="6"/>
  <c r="F4159" i="6"/>
  <c r="F4160" i="6"/>
  <c r="F4161" i="6"/>
  <c r="F4162" i="6"/>
  <c r="F4163" i="6"/>
  <c r="F4164" i="6"/>
  <c r="F4165" i="6"/>
  <c r="F4166" i="6"/>
  <c r="F4167" i="6"/>
  <c r="F4168" i="6"/>
  <c r="F4169" i="6"/>
  <c r="F4170" i="6"/>
  <c r="F4171" i="6"/>
  <c r="F4172" i="6"/>
  <c r="F4173" i="6"/>
  <c r="F4174" i="6"/>
  <c r="F4175" i="6"/>
  <c r="F4176" i="6"/>
  <c r="F4177" i="6"/>
  <c r="F4178" i="6"/>
  <c r="F4179" i="6"/>
  <c r="F4180" i="6"/>
  <c r="F4181" i="6"/>
  <c r="F4182" i="6"/>
  <c r="F4183" i="6"/>
  <c r="F4184" i="6"/>
  <c r="F4185" i="6"/>
  <c r="F4186" i="6"/>
  <c r="F4187" i="6"/>
  <c r="F4188" i="6"/>
  <c r="F4189" i="6"/>
  <c r="F4190" i="6"/>
  <c r="F4191" i="6"/>
  <c r="F4192" i="6"/>
  <c r="F4193" i="6"/>
  <c r="F4194" i="6"/>
  <c r="F4195" i="6"/>
  <c r="F4196" i="6"/>
  <c r="F4197" i="6"/>
  <c r="F4198" i="6"/>
  <c r="F4199" i="6"/>
  <c r="F4200" i="6"/>
  <c r="F4201" i="6"/>
  <c r="F4202" i="6"/>
  <c r="F4203" i="6"/>
  <c r="F4204" i="6"/>
  <c r="F4205" i="6"/>
  <c r="F4206" i="6"/>
  <c r="F4207" i="6"/>
  <c r="F4208" i="6"/>
  <c r="F4209" i="6"/>
  <c r="F4210" i="6"/>
  <c r="F4211" i="6"/>
  <c r="F4212" i="6"/>
  <c r="F4213" i="6"/>
  <c r="F4214" i="6"/>
  <c r="F4215" i="6"/>
  <c r="F4216" i="6"/>
  <c r="F4217" i="6"/>
  <c r="F4218" i="6"/>
  <c r="F4219" i="6"/>
  <c r="F4220" i="6"/>
  <c r="F4221" i="6"/>
  <c r="F4222" i="6"/>
  <c r="F4223" i="6"/>
  <c r="F4224" i="6"/>
  <c r="F4225" i="6"/>
  <c r="F4226" i="6"/>
  <c r="F4227" i="6"/>
  <c r="F4228" i="6"/>
  <c r="F4229" i="6"/>
  <c r="F4230" i="6"/>
  <c r="F4231" i="6"/>
  <c r="F3863" i="6"/>
  <c r="F3864" i="6"/>
  <c r="F3865" i="6"/>
  <c r="F3866" i="6"/>
  <c r="F3857" i="6"/>
  <c r="F3858" i="6"/>
  <c r="F3499" i="6"/>
  <c r="F3500" i="6"/>
  <c r="F3501" i="6"/>
  <c r="F3502" i="6"/>
  <c r="F3503" i="6"/>
  <c r="F3504" i="6"/>
  <c r="F3505" i="6"/>
  <c r="F3506" i="6"/>
  <c r="F3507" i="6"/>
  <c r="F3508" i="6"/>
  <c r="F3509" i="6"/>
  <c r="F3510" i="6"/>
  <c r="F3511" i="6"/>
  <c r="F3512" i="6"/>
  <c r="F3513" i="6"/>
  <c r="F3514" i="6"/>
  <c r="F3515" i="6"/>
  <c r="F3516" i="6"/>
  <c r="F3517" i="6"/>
  <c r="F3518" i="6"/>
  <c r="F3519" i="6"/>
  <c r="F3520" i="6"/>
  <c r="F3521" i="6"/>
  <c r="F3522" i="6"/>
  <c r="F3523" i="6"/>
  <c r="F3524" i="6"/>
  <c r="F3525" i="6"/>
  <c r="F3526" i="6"/>
  <c r="F3527" i="6"/>
  <c r="F3528" i="6"/>
  <c r="F3529" i="6"/>
  <c r="F3530" i="6"/>
  <c r="F3531" i="6"/>
  <c r="F3532" i="6"/>
  <c r="F3533" i="6"/>
  <c r="F3534" i="6"/>
  <c r="F3535" i="6"/>
  <c r="F3536" i="6"/>
  <c r="F3537" i="6"/>
  <c r="F3538" i="6"/>
  <c r="F3539" i="6"/>
  <c r="F3540" i="6"/>
  <c r="F3541" i="6"/>
  <c r="F3542" i="6"/>
  <c r="F3543" i="6"/>
  <c r="F3544" i="6"/>
  <c r="F3545" i="6"/>
  <c r="F3546" i="6"/>
  <c r="F3547" i="6"/>
  <c r="F3548" i="6"/>
  <c r="F3549" i="6"/>
  <c r="F3550" i="6"/>
  <c r="F3551" i="6"/>
  <c r="F3552" i="6"/>
  <c r="F3553" i="6"/>
  <c r="F3554" i="6"/>
  <c r="F3555" i="6"/>
  <c r="F3556" i="6"/>
  <c r="F3557" i="6"/>
  <c r="F3558" i="6"/>
  <c r="F3559" i="6"/>
  <c r="F3560" i="6"/>
  <c r="F3561" i="6"/>
  <c r="F3562" i="6"/>
  <c r="F3563" i="6"/>
  <c r="F3564" i="6"/>
  <c r="F3565" i="6"/>
  <c r="F3566" i="6"/>
  <c r="F3567" i="6"/>
  <c r="F3568" i="6"/>
  <c r="F3569" i="6"/>
  <c r="F3570" i="6"/>
  <c r="F3571" i="6"/>
  <c r="F3572" i="6"/>
  <c r="F3573" i="6"/>
  <c r="F3574" i="6"/>
  <c r="F3575" i="6"/>
  <c r="F3576" i="6"/>
  <c r="F3577" i="6"/>
  <c r="F3578" i="6"/>
  <c r="F3579" i="6"/>
  <c r="F3580" i="6"/>
  <c r="F3581" i="6"/>
  <c r="F3582" i="6"/>
  <c r="F3583" i="6"/>
  <c r="F3584" i="6"/>
  <c r="F3585" i="6"/>
  <c r="F3586" i="6"/>
  <c r="F3587" i="6"/>
  <c r="F3588" i="6"/>
  <c r="F3589" i="6"/>
  <c r="F3590" i="6"/>
  <c r="F3591" i="6"/>
  <c r="F3592" i="6"/>
  <c r="F3593" i="6"/>
  <c r="F3594" i="6"/>
  <c r="F3595" i="6"/>
  <c r="F3596" i="6"/>
  <c r="F3597" i="6"/>
  <c r="F3598" i="6"/>
  <c r="F3599" i="6"/>
  <c r="F3600" i="6"/>
  <c r="F3601" i="6"/>
  <c r="F3602" i="6"/>
  <c r="F3603" i="6"/>
  <c r="F3604" i="6"/>
  <c r="F3605" i="6"/>
  <c r="F3606" i="6"/>
  <c r="F3607" i="6"/>
  <c r="F3608" i="6"/>
  <c r="F3609" i="6"/>
  <c r="F3610" i="6"/>
  <c r="F3611" i="6"/>
  <c r="F3612" i="6"/>
  <c r="F3613" i="6"/>
  <c r="F3614" i="6"/>
  <c r="F3615" i="6"/>
  <c r="F3616" i="6"/>
  <c r="F3617" i="6"/>
  <c r="F3618" i="6"/>
  <c r="F3619" i="6"/>
  <c r="F3620" i="6"/>
  <c r="F3621" i="6"/>
  <c r="F3622" i="6"/>
  <c r="F3623" i="6"/>
  <c r="F3624" i="6"/>
  <c r="F3625" i="6"/>
  <c r="F3626" i="6"/>
  <c r="F3627" i="6"/>
  <c r="F3628" i="6"/>
  <c r="F3629" i="6"/>
  <c r="F3630" i="6"/>
  <c r="F3631" i="6"/>
  <c r="F3632" i="6"/>
  <c r="F3633" i="6"/>
  <c r="F3634" i="6"/>
  <c r="F3635" i="6"/>
  <c r="F3636" i="6"/>
  <c r="F3637" i="6"/>
  <c r="F3638" i="6"/>
  <c r="F3639" i="6"/>
  <c r="F3640" i="6"/>
  <c r="F3641" i="6"/>
  <c r="F3642" i="6"/>
  <c r="F3643" i="6"/>
  <c r="F3644" i="6"/>
  <c r="F3645" i="6"/>
  <c r="F3646" i="6"/>
  <c r="F3647" i="6"/>
  <c r="F3648" i="6"/>
  <c r="F3649" i="6"/>
  <c r="F3650" i="6"/>
  <c r="F3651" i="6"/>
  <c r="F3652" i="6"/>
  <c r="F3653" i="6"/>
  <c r="F3654" i="6"/>
  <c r="F3655" i="6"/>
  <c r="F3656" i="6"/>
  <c r="F3657" i="6"/>
  <c r="F3658" i="6"/>
  <c r="F3659" i="6"/>
  <c r="F3660" i="6"/>
  <c r="F3661" i="6"/>
  <c r="F3662" i="6"/>
  <c r="F3663" i="6"/>
  <c r="F3664" i="6"/>
  <c r="F3665" i="6"/>
  <c r="F3666" i="6"/>
  <c r="F3667" i="6"/>
  <c r="F3668" i="6"/>
  <c r="F3669" i="6"/>
  <c r="F3670" i="6"/>
  <c r="F3671" i="6"/>
  <c r="F3672" i="6"/>
  <c r="F3673" i="6"/>
  <c r="F3674" i="6"/>
  <c r="F3675" i="6"/>
  <c r="F3676" i="6"/>
  <c r="F3677" i="6"/>
  <c r="F3678" i="6"/>
  <c r="F3679" i="6"/>
  <c r="F3680" i="6"/>
  <c r="F3681" i="6"/>
  <c r="F3682" i="6"/>
  <c r="F3683" i="6"/>
  <c r="F3684" i="6"/>
  <c r="F3685" i="6"/>
  <c r="F3686" i="6"/>
  <c r="F3687" i="6"/>
  <c r="F3688" i="6"/>
  <c r="F3689" i="6"/>
  <c r="F3690" i="6"/>
  <c r="F3691" i="6"/>
  <c r="F3692" i="6"/>
  <c r="F3693" i="6"/>
  <c r="F3694" i="6"/>
  <c r="F3695" i="6"/>
  <c r="F3696" i="6"/>
  <c r="F3697" i="6"/>
  <c r="F3698" i="6"/>
  <c r="F3699" i="6"/>
  <c r="F3700" i="6"/>
  <c r="F3701" i="6"/>
  <c r="F3702" i="6"/>
  <c r="F3703" i="6"/>
  <c r="F3704" i="6"/>
  <c r="F3705" i="6"/>
  <c r="F3706" i="6"/>
  <c r="F3707" i="6"/>
  <c r="F3708" i="6"/>
  <c r="F3709" i="6"/>
  <c r="F3710" i="6"/>
  <c r="F3711" i="6"/>
  <c r="F3712" i="6"/>
  <c r="F3713" i="6"/>
  <c r="F3714" i="6"/>
  <c r="F3715" i="6"/>
  <c r="F3716" i="6"/>
  <c r="F3717" i="6"/>
  <c r="F3718" i="6"/>
  <c r="F3719" i="6"/>
  <c r="F3720" i="6"/>
  <c r="F3721" i="6"/>
  <c r="F3722" i="6"/>
  <c r="F3723" i="6"/>
  <c r="F3724" i="6"/>
  <c r="F3725" i="6"/>
  <c r="F3726" i="6"/>
  <c r="F3727" i="6"/>
  <c r="F3728" i="6"/>
  <c r="F3729" i="6"/>
  <c r="F3730" i="6"/>
  <c r="F3731" i="6"/>
  <c r="F3732" i="6"/>
  <c r="F3733" i="6"/>
  <c r="F3734" i="6"/>
  <c r="F3735" i="6"/>
  <c r="F3736" i="6"/>
  <c r="F3737" i="6"/>
  <c r="F3738" i="6"/>
  <c r="F3739" i="6"/>
  <c r="F3740" i="6"/>
  <c r="F3741" i="6"/>
  <c r="F3742" i="6"/>
  <c r="F3743" i="6"/>
  <c r="F3744" i="6"/>
  <c r="F3745" i="6"/>
  <c r="F3746" i="6"/>
  <c r="F3747" i="6"/>
  <c r="F3748" i="6"/>
  <c r="F3749" i="6"/>
  <c r="F3750" i="6"/>
  <c r="F3751" i="6"/>
  <c r="F3752" i="6"/>
  <c r="F3753" i="6"/>
  <c r="F3754" i="6"/>
  <c r="F3755" i="6"/>
  <c r="F3756" i="6"/>
  <c r="F3757" i="6"/>
  <c r="F3758" i="6"/>
  <c r="F3759" i="6"/>
  <c r="F3760" i="6"/>
  <c r="F3761" i="6"/>
  <c r="F3762" i="6"/>
  <c r="F3763" i="6"/>
  <c r="F3764" i="6"/>
  <c r="F3765" i="6"/>
  <c r="F3766" i="6"/>
  <c r="F3767" i="6"/>
  <c r="F3768" i="6"/>
  <c r="F3769" i="6"/>
  <c r="F3770" i="6"/>
  <c r="F3771" i="6"/>
  <c r="F3772" i="6"/>
  <c r="F3773" i="6"/>
  <c r="F3774" i="6"/>
  <c r="F3775" i="6"/>
  <c r="F3776" i="6"/>
  <c r="F3777" i="6"/>
  <c r="F3778" i="6"/>
  <c r="F3779" i="6"/>
  <c r="F3780" i="6"/>
  <c r="F3781" i="6"/>
  <c r="F3782" i="6"/>
  <c r="F3783" i="6"/>
  <c r="F3784" i="6"/>
  <c r="F3785" i="6"/>
  <c r="F3786" i="6"/>
  <c r="F3787" i="6"/>
  <c r="F3788" i="6"/>
  <c r="F3789" i="6"/>
  <c r="F3790" i="6"/>
  <c r="F3791" i="6"/>
  <c r="F3792" i="6"/>
  <c r="F3793" i="6"/>
  <c r="F3794" i="6"/>
  <c r="F3795" i="6"/>
  <c r="F3796" i="6"/>
  <c r="F3797" i="6"/>
  <c r="F3798" i="6"/>
  <c r="F3799" i="6"/>
  <c r="F3800" i="6"/>
  <c r="F3801" i="6"/>
  <c r="F3802" i="6"/>
  <c r="F3803" i="6"/>
  <c r="F3804" i="6"/>
  <c r="F3805" i="6"/>
  <c r="F3806" i="6"/>
  <c r="F3807" i="6"/>
  <c r="F3808" i="6"/>
  <c r="F3809" i="6"/>
  <c r="F3810" i="6"/>
  <c r="F3811" i="6"/>
  <c r="F3812" i="6"/>
  <c r="F3813" i="6"/>
  <c r="F3814" i="6"/>
  <c r="F3815" i="6"/>
  <c r="F3816" i="6"/>
  <c r="F3817" i="6"/>
  <c r="F3818" i="6"/>
  <c r="F3819" i="6"/>
  <c r="F3820" i="6"/>
  <c r="F3821" i="6"/>
  <c r="F3822" i="6"/>
  <c r="F3823" i="6"/>
  <c r="F3824" i="6"/>
  <c r="F3825" i="6"/>
  <c r="F3826" i="6"/>
  <c r="F3827" i="6"/>
  <c r="F3828" i="6"/>
  <c r="F3829" i="6"/>
  <c r="F3830" i="6"/>
  <c r="F3831" i="6"/>
  <c r="F3832" i="6"/>
  <c r="F3833" i="6"/>
  <c r="F3834" i="6"/>
  <c r="F3835" i="6"/>
  <c r="F3836" i="6"/>
  <c r="F3837" i="6"/>
  <c r="F3838" i="6"/>
  <c r="F3839" i="6"/>
  <c r="F3840" i="6"/>
  <c r="F3841" i="6"/>
  <c r="F3842" i="6"/>
  <c r="F3843" i="6"/>
  <c r="F3844" i="6"/>
  <c r="F3845" i="6"/>
  <c r="F3846" i="6"/>
  <c r="F3847" i="6"/>
  <c r="F3848" i="6"/>
  <c r="F3849" i="6"/>
  <c r="F3850" i="6"/>
  <c r="F3851" i="6"/>
  <c r="F3852" i="6"/>
  <c r="F3853" i="6"/>
  <c r="F3854" i="6"/>
  <c r="F3855" i="6"/>
  <c r="F3856" i="6"/>
  <c r="F3489" i="6"/>
  <c r="F3490" i="6"/>
  <c r="F3491" i="6"/>
  <c r="F3492" i="6"/>
  <c r="F3486" i="6"/>
  <c r="F3487" i="6"/>
  <c r="F3488" i="6"/>
  <c r="F3485" i="6"/>
  <c r="F3493" i="6"/>
  <c r="F3494" i="6"/>
  <c r="F3495" i="6"/>
  <c r="F3496" i="6"/>
  <c r="F3497" i="6"/>
  <c r="F3498" i="6"/>
  <c r="F3859" i="6"/>
  <c r="F3860" i="6"/>
  <c r="F3861" i="6"/>
  <c r="F3862" i="6"/>
  <c r="F3483" i="6"/>
  <c r="F3482" i="6"/>
  <c r="F3481" i="6"/>
  <c r="F3480" i="6"/>
  <c r="F3479" i="6"/>
  <c r="F3478" i="6"/>
  <c r="F3477" i="6"/>
  <c r="F3476" i="6"/>
  <c r="F3475" i="6"/>
  <c r="F3474" i="6"/>
  <c r="F3473" i="6"/>
  <c r="F3472" i="6"/>
  <c r="F3471" i="6"/>
  <c r="F3470" i="6"/>
  <c r="F3469" i="6"/>
  <c r="F3468" i="6"/>
  <c r="F3467" i="6"/>
  <c r="F3466" i="6"/>
  <c r="F3465" i="6"/>
  <c r="F3464" i="6"/>
  <c r="F3463" i="6"/>
  <c r="F3462" i="6"/>
  <c r="F3461" i="6"/>
  <c r="F3460" i="6"/>
  <c r="F3459" i="6"/>
  <c r="F3458" i="6"/>
  <c r="F3457" i="6"/>
  <c r="F3456" i="6"/>
  <c r="F3455" i="6"/>
  <c r="F3454" i="6"/>
  <c r="F3453" i="6"/>
  <c r="F3452" i="6"/>
  <c r="F3451" i="6"/>
  <c r="F3450" i="6"/>
  <c r="F3449" i="6"/>
  <c r="F3448" i="6"/>
  <c r="F3447" i="6"/>
  <c r="F3446" i="6"/>
  <c r="F3445" i="6"/>
  <c r="F3444" i="6"/>
  <c r="F3443" i="6"/>
  <c r="F3442" i="6"/>
  <c r="F3441" i="6"/>
  <c r="F3440" i="6"/>
  <c r="F3439" i="6"/>
  <c r="F3438" i="6"/>
  <c r="F3437" i="6"/>
  <c r="F3436" i="6"/>
  <c r="F3435" i="6"/>
  <c r="F3434" i="6"/>
  <c r="F3433" i="6"/>
  <c r="F3432" i="6"/>
  <c r="F3431" i="6"/>
  <c r="F3430" i="6"/>
  <c r="F3429" i="6"/>
  <c r="F3428" i="6"/>
  <c r="F3427" i="6"/>
  <c r="F3426" i="6"/>
  <c r="F3425" i="6"/>
  <c r="F3424" i="6"/>
  <c r="F3423" i="6"/>
  <c r="F3422" i="6"/>
  <c r="F3421" i="6"/>
  <c r="F3420" i="6"/>
  <c r="F3419" i="6"/>
  <c r="F3418" i="6"/>
  <c r="F3417" i="6"/>
  <c r="F3416" i="6"/>
  <c r="F3415" i="6"/>
  <c r="F3414" i="6"/>
  <c r="F3413" i="6"/>
  <c r="F3412" i="6"/>
  <c r="F3411" i="6"/>
  <c r="F3410" i="6"/>
  <c r="F3409" i="6"/>
  <c r="F3408" i="6"/>
  <c r="F3407" i="6"/>
  <c r="F3406" i="6"/>
  <c r="F3405" i="6"/>
  <c r="F3404" i="6"/>
  <c r="F3403" i="6"/>
  <c r="F3402" i="6"/>
  <c r="F3401" i="6"/>
  <c r="F3400" i="6"/>
  <c r="F3399" i="6"/>
  <c r="F3398" i="6"/>
  <c r="F3397" i="6"/>
  <c r="F3396" i="6"/>
  <c r="F3395" i="6"/>
  <c r="F3394" i="6"/>
  <c r="F3393" i="6"/>
  <c r="F3392" i="6"/>
  <c r="F3391" i="6"/>
  <c r="F3390" i="6"/>
  <c r="F3389" i="6"/>
  <c r="F3388" i="6"/>
  <c r="F3387" i="6"/>
  <c r="F3386" i="6"/>
  <c r="F3385" i="6"/>
  <c r="F3384" i="6"/>
  <c r="F3383" i="6"/>
  <c r="F3382" i="6"/>
  <c r="F3381" i="6"/>
  <c r="F3380" i="6"/>
  <c r="F3379" i="6"/>
  <c r="F3378" i="6"/>
  <c r="F3377" i="6"/>
  <c r="F3376" i="6"/>
  <c r="F3375" i="6"/>
  <c r="F3374" i="6"/>
  <c r="F3373" i="6"/>
  <c r="F3372" i="6"/>
  <c r="F3371" i="6"/>
  <c r="F3370" i="6"/>
  <c r="F3369" i="6"/>
  <c r="F3368" i="6"/>
  <c r="F3367" i="6"/>
  <c r="F3366" i="6"/>
  <c r="F3365" i="6"/>
  <c r="F3364" i="6"/>
  <c r="F3363" i="6"/>
  <c r="F3362" i="6"/>
  <c r="F3361" i="6"/>
  <c r="F3360" i="6"/>
  <c r="F3359" i="6"/>
  <c r="F3358" i="6"/>
  <c r="F3357" i="6"/>
  <c r="F3356" i="6"/>
  <c r="F3355" i="6"/>
  <c r="F3354" i="6"/>
  <c r="F3353" i="6"/>
  <c r="F3352" i="6"/>
  <c r="F3351" i="6"/>
  <c r="F3350" i="6"/>
  <c r="F3349" i="6"/>
  <c r="F3348" i="6"/>
  <c r="F3347" i="6"/>
  <c r="F3346" i="6"/>
  <c r="F3345" i="6"/>
  <c r="F3344" i="6"/>
  <c r="F3343" i="6"/>
  <c r="F3342" i="6"/>
  <c r="F3341" i="6"/>
  <c r="F3340" i="6"/>
  <c r="F3339" i="6"/>
  <c r="F3338" i="6"/>
  <c r="F3337" i="6"/>
  <c r="F3336" i="6"/>
  <c r="F3335" i="6"/>
  <c r="F3334" i="6"/>
  <c r="F3333" i="6"/>
  <c r="F3332" i="6"/>
  <c r="F3331" i="6"/>
  <c r="F3330" i="6"/>
  <c r="F3329" i="6"/>
  <c r="F3328" i="6"/>
  <c r="F3327" i="6"/>
  <c r="F3326" i="6"/>
  <c r="F3325" i="6"/>
  <c r="F3324" i="6"/>
  <c r="F3323" i="6"/>
  <c r="F3322" i="6"/>
  <c r="F3321" i="6"/>
  <c r="F3320" i="6"/>
  <c r="F3319" i="6"/>
  <c r="F3318" i="6"/>
  <c r="F3317" i="6"/>
  <c r="F3316" i="6"/>
  <c r="F3315" i="6"/>
  <c r="F3314" i="6"/>
  <c r="F3313" i="6"/>
  <c r="F3312" i="6"/>
  <c r="F3311" i="6"/>
  <c r="F3310" i="6"/>
  <c r="F3309" i="6"/>
  <c r="F3308" i="6"/>
  <c r="F3307" i="6"/>
  <c r="F3306" i="6"/>
  <c r="F3305" i="6"/>
  <c r="F3304" i="6"/>
  <c r="F3303" i="6"/>
  <c r="F3302" i="6"/>
  <c r="F3301" i="6"/>
  <c r="F3300" i="6"/>
  <c r="F3299" i="6"/>
  <c r="F3298" i="6"/>
  <c r="F3297" i="6"/>
  <c r="F3296" i="6"/>
  <c r="F3295" i="6"/>
  <c r="F3294" i="6"/>
  <c r="F3293" i="6"/>
  <c r="F3292" i="6"/>
  <c r="F3291" i="6"/>
  <c r="F3290" i="6"/>
  <c r="F3289" i="6"/>
  <c r="F3288" i="6"/>
  <c r="F3287" i="6"/>
  <c r="F3286" i="6"/>
  <c r="F3285" i="6"/>
  <c r="F3284" i="6"/>
  <c r="F3283" i="6"/>
  <c r="F3282" i="6"/>
  <c r="F3281" i="6"/>
  <c r="F3280" i="6"/>
  <c r="F3279" i="6"/>
  <c r="F3278" i="6"/>
  <c r="F3277" i="6"/>
  <c r="F3276" i="6"/>
  <c r="F3275" i="6"/>
  <c r="F3274" i="6"/>
  <c r="F3273" i="6"/>
  <c r="F3272" i="6"/>
  <c r="F3271" i="6"/>
  <c r="F3270" i="6"/>
  <c r="F3269" i="6"/>
  <c r="F3268" i="6"/>
  <c r="F3267" i="6"/>
  <c r="F3266" i="6"/>
  <c r="F3265" i="6"/>
  <c r="F3264" i="6"/>
  <c r="F3263" i="6"/>
  <c r="F3262" i="6"/>
  <c r="F3261" i="6"/>
  <c r="F3260" i="6"/>
  <c r="F3259" i="6"/>
  <c r="F3258" i="6"/>
  <c r="F3257" i="6"/>
  <c r="F3256" i="6"/>
  <c r="F3255" i="6"/>
  <c r="F3254" i="6"/>
  <c r="F3253" i="6"/>
  <c r="F3252" i="6"/>
  <c r="F3251" i="6"/>
  <c r="F3250" i="6"/>
  <c r="F3249" i="6"/>
  <c r="F3248" i="6"/>
  <c r="F3247" i="6"/>
  <c r="F3246" i="6"/>
  <c r="F3245" i="6"/>
  <c r="F3244" i="6"/>
  <c r="F3243" i="6"/>
  <c r="F3242" i="6"/>
  <c r="F3241" i="6"/>
  <c r="F3240" i="6"/>
  <c r="F3239" i="6"/>
  <c r="F3238" i="6"/>
  <c r="F3237" i="6"/>
  <c r="F3236" i="6"/>
  <c r="F3235" i="6"/>
  <c r="F3234" i="6"/>
  <c r="F3233" i="6"/>
  <c r="F3232" i="6"/>
  <c r="F3231" i="6"/>
  <c r="F3230" i="6"/>
  <c r="F3229" i="6"/>
  <c r="F3228" i="6"/>
  <c r="F3227" i="6"/>
  <c r="F3226" i="6"/>
  <c r="F3225" i="6"/>
  <c r="F3224" i="6"/>
  <c r="F3223" i="6"/>
  <c r="F3222" i="6"/>
  <c r="F3221" i="6"/>
  <c r="F3220" i="6"/>
  <c r="F3219" i="6"/>
  <c r="F3218" i="6"/>
  <c r="F3217" i="6"/>
  <c r="F3216" i="6"/>
  <c r="F3215" i="6"/>
  <c r="F3214" i="6"/>
  <c r="F3213" i="6"/>
  <c r="F3212" i="6"/>
  <c r="F3211" i="6"/>
  <c r="F3210" i="6"/>
  <c r="F3209" i="6"/>
  <c r="F3208" i="6"/>
  <c r="F3207" i="6"/>
  <c r="F3206" i="6"/>
  <c r="F3205" i="6"/>
  <c r="F3204" i="6"/>
  <c r="F3203" i="6"/>
  <c r="F3202" i="6"/>
  <c r="F3201" i="6"/>
  <c r="F3200" i="6"/>
  <c r="F3199" i="6"/>
  <c r="F3198" i="6"/>
  <c r="F3197" i="6"/>
  <c r="F3196" i="6"/>
  <c r="F3195" i="6"/>
  <c r="F3194" i="6"/>
  <c r="F3193" i="6"/>
  <c r="F3192" i="6"/>
  <c r="F3191" i="6"/>
  <c r="F3190" i="6"/>
  <c r="F3189" i="6"/>
  <c r="F3188" i="6"/>
  <c r="F3187" i="6"/>
  <c r="F3186" i="6"/>
  <c r="F3185" i="6"/>
  <c r="F3184" i="6"/>
  <c r="F3183" i="6"/>
  <c r="F3182" i="6"/>
  <c r="F3181" i="6"/>
  <c r="F3180" i="6"/>
  <c r="F3179" i="6"/>
  <c r="F3178" i="6"/>
  <c r="F3177" i="6"/>
  <c r="F3176" i="6"/>
  <c r="F3175" i="6"/>
  <c r="F3174" i="6"/>
  <c r="F3173" i="6"/>
  <c r="F3172" i="6"/>
  <c r="F3171" i="6"/>
  <c r="F3170" i="6"/>
  <c r="F3169" i="6"/>
  <c r="F3168" i="6"/>
  <c r="F3167" i="6"/>
  <c r="F3166" i="6"/>
  <c r="F3165" i="6"/>
  <c r="F3164" i="6"/>
  <c r="F3163" i="6"/>
  <c r="F3162" i="6"/>
  <c r="F3161" i="6"/>
  <c r="F3160" i="6"/>
  <c r="F3159" i="6"/>
  <c r="F3158" i="6"/>
  <c r="F3157" i="6"/>
  <c r="F3156" i="6"/>
  <c r="F3155" i="6"/>
  <c r="F3154" i="6"/>
  <c r="F3153" i="6"/>
  <c r="F3152" i="6"/>
  <c r="F3151" i="6"/>
  <c r="F3150" i="6"/>
  <c r="F3149" i="6"/>
  <c r="F3148" i="6"/>
  <c r="F3147" i="6"/>
  <c r="F3146" i="6"/>
  <c r="F3145" i="6"/>
  <c r="F3144" i="6"/>
  <c r="F3143" i="6"/>
  <c r="F3142" i="6"/>
  <c r="F3141" i="6"/>
  <c r="F3140" i="6"/>
  <c r="F3139" i="6"/>
  <c r="F3138" i="6"/>
  <c r="F3137" i="6"/>
  <c r="F3136" i="6"/>
  <c r="F3135" i="6"/>
  <c r="F3134" i="6"/>
  <c r="F3133" i="6"/>
  <c r="F3132" i="6"/>
  <c r="F3131" i="6"/>
  <c r="F3130" i="6"/>
  <c r="F3129" i="6"/>
  <c r="F3128" i="6"/>
  <c r="F3127" i="6"/>
  <c r="F3126" i="6"/>
  <c r="F3125" i="6"/>
  <c r="F3124" i="6"/>
  <c r="F3123" i="6"/>
  <c r="F3122" i="6"/>
  <c r="F3121" i="6"/>
  <c r="F3120" i="6"/>
  <c r="F3119" i="6"/>
  <c r="F3118" i="6"/>
  <c r="F3117" i="6"/>
  <c r="F3116" i="6"/>
  <c r="F3115" i="6"/>
  <c r="F3114" i="6"/>
  <c r="F3113" i="6"/>
  <c r="F3112" i="6"/>
  <c r="F3111" i="6"/>
  <c r="F3110" i="6"/>
  <c r="F3109" i="6"/>
  <c r="F3108" i="6"/>
  <c r="F3107" i="6"/>
  <c r="F3106" i="6"/>
  <c r="F3105" i="6"/>
  <c r="F3104" i="6"/>
  <c r="F3103" i="6"/>
  <c r="F3102" i="6"/>
  <c r="F3101" i="6"/>
  <c r="F3100" i="6"/>
  <c r="F3099" i="6"/>
  <c r="F3098" i="6"/>
  <c r="F3097" i="6"/>
  <c r="F3096" i="6"/>
  <c r="F3095" i="6"/>
  <c r="F3094" i="6"/>
  <c r="F3093" i="6"/>
  <c r="F3092" i="6"/>
  <c r="F3091" i="6"/>
  <c r="F3090" i="6"/>
  <c r="F3089" i="6"/>
  <c r="F3088" i="6"/>
  <c r="F3087" i="6"/>
  <c r="F3086" i="6"/>
  <c r="F3085" i="6"/>
  <c r="F3084" i="6"/>
  <c r="F3083" i="6"/>
  <c r="F3082" i="6"/>
  <c r="F3081" i="6"/>
  <c r="F3080" i="6"/>
  <c r="F3079" i="6"/>
  <c r="F3078" i="6"/>
  <c r="F3077" i="6"/>
  <c r="F3076" i="6"/>
  <c r="F3075" i="6"/>
  <c r="F3074" i="6"/>
  <c r="F3073" i="6"/>
  <c r="F3072" i="6"/>
  <c r="F3071" i="6"/>
  <c r="F3070" i="6"/>
  <c r="F3069" i="6"/>
  <c r="F3068" i="6"/>
  <c r="F3067" i="6"/>
  <c r="F3066" i="6"/>
  <c r="F3065" i="6"/>
  <c r="F3064" i="6"/>
  <c r="F3063" i="6"/>
  <c r="F3062" i="6"/>
  <c r="F3061" i="6"/>
  <c r="F3060" i="6"/>
  <c r="F3059" i="6"/>
  <c r="F3058" i="6"/>
  <c r="F3057" i="6"/>
  <c r="F3056" i="6"/>
  <c r="F3055" i="6"/>
  <c r="F3054" i="6"/>
  <c r="F3053" i="6"/>
  <c r="F3052" i="6"/>
  <c r="F3051" i="6"/>
  <c r="F3050" i="6"/>
  <c r="F3049" i="6"/>
  <c r="F3048" i="6"/>
  <c r="F3047" i="6"/>
  <c r="F3046" i="6"/>
  <c r="F3045" i="6"/>
  <c r="F3044" i="6"/>
  <c r="F3043" i="6"/>
  <c r="F3042" i="6"/>
  <c r="F3041" i="6"/>
  <c r="F3040" i="6"/>
  <c r="F3039" i="6"/>
  <c r="F3038" i="6"/>
  <c r="F3037" i="6"/>
  <c r="F3036" i="6"/>
  <c r="F3035" i="6"/>
  <c r="F3034" i="6"/>
  <c r="F3033" i="6"/>
  <c r="F3032" i="6"/>
  <c r="F3031" i="6"/>
  <c r="F3030" i="6"/>
  <c r="F3029" i="6"/>
  <c r="F3028" i="6"/>
  <c r="F3027" i="6"/>
  <c r="F3026" i="6"/>
  <c r="F3025" i="6"/>
  <c r="F3024" i="6"/>
  <c r="F3023" i="6"/>
  <c r="F3022" i="6"/>
  <c r="F3021" i="6"/>
  <c r="F3020" i="6"/>
  <c r="F3019" i="6"/>
  <c r="F3018" i="6"/>
  <c r="F3017" i="6"/>
  <c r="F3016" i="6"/>
  <c r="F3015" i="6"/>
  <c r="F3014" i="6"/>
  <c r="F3013" i="6"/>
  <c r="F3012" i="6"/>
  <c r="F3011" i="6"/>
  <c r="F3010" i="6"/>
  <c r="F3009" i="6"/>
  <c r="F3008" i="6"/>
  <c r="F3007" i="6"/>
  <c r="F3006" i="6"/>
  <c r="F3005" i="6"/>
  <c r="F3004" i="6"/>
  <c r="F3003" i="6"/>
  <c r="F3002" i="6"/>
  <c r="F3001" i="6"/>
  <c r="F3000" i="6"/>
  <c r="F2999" i="6"/>
  <c r="F2998" i="6"/>
  <c r="F2997" i="6"/>
  <c r="F2996" i="6"/>
  <c r="F2995" i="6"/>
  <c r="F2994" i="6"/>
  <c r="F2993" i="6"/>
  <c r="F2992" i="6"/>
  <c r="F2991" i="6"/>
  <c r="F2990" i="6"/>
  <c r="F2989" i="6"/>
  <c r="F2988" i="6"/>
  <c r="F2987" i="6"/>
  <c r="F2986" i="6"/>
  <c r="F2985" i="6"/>
  <c r="F2984" i="6"/>
  <c r="F2983" i="6"/>
  <c r="F2982" i="6"/>
  <c r="F2981" i="6"/>
  <c r="F2980" i="6"/>
  <c r="F2979" i="6"/>
  <c r="F2978" i="6"/>
  <c r="F2977" i="6"/>
  <c r="F2976" i="6"/>
  <c r="F2975" i="6"/>
  <c r="F2974" i="6"/>
  <c r="F2973" i="6"/>
  <c r="F2972" i="6"/>
  <c r="F2971" i="6"/>
  <c r="F2970" i="6"/>
  <c r="F2969" i="6"/>
  <c r="F2968" i="6"/>
  <c r="F2967" i="6"/>
  <c r="F2966" i="6"/>
  <c r="F2965" i="6"/>
  <c r="F2964" i="6"/>
  <c r="F2963" i="6"/>
  <c r="F2962" i="6"/>
  <c r="F2961" i="6"/>
  <c r="F2960" i="6"/>
  <c r="F2959" i="6"/>
  <c r="F2958" i="6"/>
  <c r="F2957" i="6"/>
  <c r="F2956" i="6"/>
  <c r="F2955" i="6"/>
  <c r="F2954" i="6"/>
  <c r="F2953" i="6"/>
  <c r="F2952" i="6"/>
  <c r="F2951" i="6"/>
  <c r="F2950" i="6"/>
  <c r="F2949" i="6"/>
  <c r="F2948" i="6"/>
  <c r="F2947" i="6"/>
  <c r="F2946" i="6"/>
  <c r="F2945" i="6"/>
  <c r="F2944" i="6"/>
  <c r="F2943" i="6"/>
  <c r="F2942" i="6"/>
  <c r="F2941" i="6"/>
  <c r="F2940" i="6"/>
  <c r="F2939" i="6"/>
  <c r="F2938" i="6"/>
  <c r="F2937" i="6"/>
  <c r="F2936" i="6"/>
  <c r="F2935" i="6"/>
  <c r="F2934" i="6"/>
  <c r="F2933" i="6"/>
  <c r="F2932" i="6"/>
  <c r="F2931" i="6"/>
  <c r="F2930" i="6"/>
  <c r="F2929" i="6"/>
  <c r="F2928" i="6"/>
  <c r="F2927" i="6"/>
  <c r="F2926" i="6"/>
  <c r="F2925" i="6"/>
  <c r="F2924" i="6"/>
  <c r="F2923" i="6"/>
  <c r="F2922" i="6"/>
  <c r="F2921" i="6"/>
  <c r="F2920" i="6"/>
  <c r="F2919" i="6"/>
  <c r="F2918" i="6"/>
  <c r="F2917" i="6"/>
  <c r="F2916" i="6"/>
  <c r="F2915" i="6"/>
  <c r="F2914" i="6"/>
  <c r="F2913" i="6"/>
  <c r="F2912" i="6"/>
  <c r="F2911" i="6"/>
  <c r="F2910" i="6"/>
  <c r="F2909" i="6"/>
  <c r="F2908" i="6"/>
  <c r="F2907" i="6"/>
  <c r="F2906" i="6"/>
  <c r="F2905" i="6"/>
  <c r="F2904" i="6"/>
  <c r="F2903" i="6"/>
  <c r="F2902" i="6"/>
  <c r="F2901" i="6"/>
  <c r="F2900" i="6"/>
  <c r="F2899" i="6"/>
  <c r="F2898" i="6"/>
  <c r="F2897" i="6"/>
  <c r="F2896" i="6"/>
  <c r="F2895" i="6"/>
  <c r="F2894" i="6"/>
  <c r="F2893" i="6"/>
  <c r="F2892" i="6"/>
  <c r="F2891" i="6"/>
  <c r="F2890" i="6"/>
  <c r="F2889" i="6"/>
  <c r="F2888" i="6"/>
  <c r="F2887" i="6"/>
  <c r="F2886" i="6"/>
  <c r="F2885" i="6"/>
  <c r="F2884" i="6"/>
  <c r="F2883" i="6"/>
  <c r="F2882" i="6"/>
  <c r="F2881" i="6"/>
  <c r="F2880" i="6"/>
  <c r="F2879" i="6"/>
  <c r="F2878" i="6"/>
  <c r="F2877" i="6"/>
  <c r="F2876" i="6"/>
  <c r="F2875" i="6"/>
  <c r="F2874" i="6"/>
  <c r="F2873" i="6"/>
  <c r="F2872" i="6"/>
  <c r="F2871" i="6"/>
  <c r="F2870" i="6"/>
  <c r="F2869" i="6"/>
  <c r="F2868" i="6"/>
  <c r="F2867" i="6"/>
  <c r="F2866" i="6"/>
  <c r="F2865" i="6"/>
  <c r="F2864" i="6"/>
  <c r="F2863" i="6"/>
  <c r="F2862" i="6"/>
  <c r="F2861" i="6"/>
  <c r="F2860" i="6"/>
  <c r="F2859" i="6"/>
  <c r="F2858" i="6"/>
  <c r="F2857" i="6"/>
  <c r="F2856" i="6"/>
  <c r="F2855" i="6"/>
  <c r="F2854" i="6"/>
  <c r="F2853" i="6"/>
  <c r="F2852" i="6"/>
  <c r="F2851" i="6"/>
  <c r="F2850" i="6"/>
  <c r="F2849" i="6"/>
  <c r="F2848" i="6"/>
  <c r="F2847" i="6"/>
  <c r="F2846" i="6"/>
  <c r="F2845" i="6"/>
  <c r="F2844" i="6"/>
  <c r="F2843" i="6"/>
  <c r="F2842" i="6"/>
  <c r="F2841" i="6"/>
  <c r="F2840" i="6"/>
  <c r="F2839" i="6"/>
  <c r="F2838" i="6"/>
  <c r="F2837" i="6"/>
  <c r="F2836" i="6"/>
  <c r="F2835" i="6"/>
  <c r="F2834" i="6"/>
  <c r="F2833" i="6"/>
  <c r="F2832" i="6"/>
  <c r="F2831" i="6"/>
  <c r="F2830" i="6"/>
  <c r="F2829" i="6"/>
  <c r="F2828" i="6"/>
  <c r="F2827" i="6"/>
  <c r="F2826" i="6"/>
  <c r="F2825" i="6"/>
  <c r="F2824" i="6"/>
  <c r="F2823" i="6"/>
  <c r="F2822" i="6"/>
  <c r="F2821" i="6"/>
  <c r="F2820" i="6"/>
  <c r="F2819" i="6"/>
  <c r="F2818" i="6"/>
  <c r="F2817" i="6"/>
  <c r="F2816" i="6"/>
  <c r="F2815" i="6"/>
  <c r="F2814" i="6"/>
  <c r="F2813" i="6"/>
  <c r="F2812" i="6"/>
  <c r="F2811" i="6"/>
  <c r="F2810" i="6"/>
  <c r="F2809" i="6"/>
  <c r="F2808" i="6"/>
  <c r="F2807" i="6"/>
  <c r="F2806" i="6"/>
  <c r="F2805" i="6"/>
  <c r="F2804" i="6"/>
  <c r="F2803" i="6"/>
  <c r="F2802" i="6"/>
  <c r="F2801" i="6"/>
  <c r="F2800" i="6"/>
  <c r="F2799" i="6"/>
  <c r="F2798" i="6"/>
  <c r="F2797" i="6"/>
  <c r="F2796" i="6"/>
  <c r="F2795" i="6"/>
  <c r="F2794" i="6"/>
  <c r="F2793" i="6"/>
  <c r="F2792" i="6"/>
  <c r="F2791" i="6"/>
  <c r="F2790" i="6"/>
  <c r="F2789" i="6"/>
  <c r="F2788" i="6"/>
  <c r="F2787" i="6"/>
  <c r="F2786" i="6"/>
  <c r="F2785" i="6"/>
  <c r="F2784" i="6"/>
  <c r="F2783" i="6"/>
  <c r="F2782" i="6"/>
  <c r="F2781" i="6"/>
  <c r="F2780" i="6"/>
  <c r="F2779" i="6"/>
  <c r="F2778" i="6"/>
  <c r="F2777" i="6"/>
  <c r="F2776" i="6"/>
  <c r="F2775" i="6"/>
  <c r="F2774" i="6"/>
  <c r="F2773" i="6"/>
  <c r="F2772" i="6"/>
  <c r="F2771" i="6"/>
  <c r="F2770" i="6"/>
  <c r="F2769" i="6"/>
  <c r="F2768" i="6"/>
  <c r="F2767" i="6"/>
  <c r="F2766" i="6"/>
  <c r="F2765" i="6"/>
  <c r="F2764" i="6"/>
  <c r="F2763" i="6"/>
  <c r="F2762" i="6"/>
  <c r="F2761" i="6"/>
  <c r="F2760" i="6"/>
  <c r="F2759" i="6"/>
  <c r="F2758" i="6"/>
  <c r="F2757" i="6"/>
  <c r="F2756" i="6"/>
  <c r="F2755" i="6"/>
  <c r="F2754" i="6"/>
  <c r="F2753" i="6"/>
  <c r="F2752" i="6"/>
  <c r="F2751" i="6"/>
  <c r="F2750" i="6"/>
  <c r="F2749" i="6"/>
  <c r="F2748" i="6"/>
  <c r="F2747" i="6"/>
  <c r="F2746" i="6"/>
  <c r="F2745" i="6"/>
  <c r="F2744" i="6"/>
  <c r="F2743" i="6"/>
  <c r="F2742" i="6"/>
  <c r="F2741" i="6"/>
  <c r="F2740" i="6"/>
  <c r="F2739" i="6"/>
  <c r="F2738" i="6"/>
  <c r="F2737" i="6"/>
  <c r="F2736" i="6"/>
  <c r="F2735" i="6"/>
  <c r="F2734" i="6"/>
  <c r="F2733" i="6"/>
  <c r="F2732" i="6"/>
  <c r="F2731" i="6"/>
  <c r="F2730" i="6"/>
  <c r="F2729" i="6"/>
  <c r="F2728" i="6"/>
  <c r="F2727" i="6"/>
  <c r="F2726" i="6"/>
  <c r="F2725" i="6"/>
  <c r="F2724" i="6"/>
  <c r="F2723" i="6"/>
  <c r="F2722" i="6"/>
  <c r="F2721" i="6"/>
  <c r="F2720" i="6"/>
  <c r="F2719" i="6"/>
  <c r="F2718" i="6"/>
  <c r="F2717" i="6"/>
  <c r="F2716" i="6"/>
  <c r="F2715" i="6"/>
  <c r="F2714" i="6"/>
  <c r="F2713" i="6"/>
  <c r="F2712" i="6"/>
  <c r="F2711" i="6"/>
  <c r="F2710" i="6"/>
  <c r="F2709" i="6"/>
  <c r="F2708" i="6"/>
  <c r="F2707" i="6"/>
  <c r="F2706" i="6"/>
  <c r="F2705" i="6"/>
  <c r="F2704" i="6"/>
  <c r="F2703" i="6"/>
  <c r="F2702" i="6"/>
  <c r="F2701" i="6"/>
  <c r="F2700" i="6"/>
  <c r="F2699" i="6"/>
  <c r="F2698" i="6"/>
  <c r="F2697" i="6"/>
  <c r="F2696" i="6"/>
  <c r="F2695" i="6"/>
  <c r="F2694" i="6"/>
  <c r="F2693" i="6"/>
  <c r="F2692" i="6"/>
  <c r="F2691" i="6"/>
  <c r="F2690" i="6"/>
  <c r="F2689" i="6"/>
  <c r="F2688" i="6"/>
  <c r="F2687" i="6"/>
  <c r="F2686" i="6"/>
  <c r="F2685" i="6"/>
  <c r="F2684" i="6"/>
  <c r="F2683" i="6"/>
  <c r="F2682" i="6"/>
  <c r="F2681" i="6"/>
  <c r="F2680" i="6"/>
  <c r="F2679" i="6"/>
  <c r="F2678" i="6"/>
  <c r="F2677" i="6"/>
  <c r="F2676" i="6"/>
  <c r="F2675" i="6"/>
  <c r="F2674" i="6"/>
  <c r="F2673" i="6"/>
  <c r="F2672" i="6"/>
  <c r="F2671" i="6"/>
  <c r="F2670" i="6"/>
  <c r="F2669" i="6"/>
  <c r="F2668" i="6"/>
  <c r="F2667" i="6"/>
  <c r="F2666" i="6"/>
  <c r="F2665" i="6"/>
  <c r="F2664" i="6"/>
  <c r="F2663" i="6"/>
  <c r="F2662" i="6"/>
  <c r="F2661" i="6"/>
  <c r="F2660" i="6"/>
  <c r="F2659" i="6"/>
  <c r="F2658" i="6"/>
  <c r="F2657" i="6"/>
  <c r="F2656" i="6"/>
  <c r="F2655" i="6"/>
  <c r="F2654" i="6"/>
  <c r="F2653" i="6"/>
  <c r="F2652" i="6"/>
  <c r="F2651" i="6"/>
  <c r="F2650" i="6"/>
  <c r="F2649" i="6"/>
  <c r="F2648" i="6"/>
  <c r="F2647" i="6"/>
  <c r="F2646" i="6"/>
  <c r="F2645" i="6"/>
  <c r="F2644" i="6"/>
  <c r="F2643" i="6"/>
  <c r="F2642" i="6"/>
  <c r="F2641" i="6"/>
  <c r="F2640" i="6"/>
  <c r="F2639" i="6"/>
  <c r="F2638" i="6"/>
  <c r="F2637" i="6"/>
  <c r="F2636" i="6"/>
  <c r="F2635" i="6"/>
  <c r="F2634" i="6"/>
  <c r="F2633" i="6"/>
  <c r="F2632" i="6"/>
  <c r="F2631" i="6"/>
  <c r="F2630" i="6"/>
  <c r="F2629" i="6"/>
  <c r="F2628" i="6"/>
  <c r="F2627" i="6"/>
  <c r="F2626" i="6"/>
  <c r="F2625" i="6"/>
  <c r="F2624" i="6"/>
  <c r="F2623" i="6"/>
  <c r="F2622" i="6"/>
  <c r="F2621" i="6"/>
  <c r="F2620" i="6"/>
  <c r="F2619" i="6"/>
  <c r="F2618" i="6"/>
  <c r="F2617" i="6"/>
  <c r="F2616" i="6"/>
  <c r="F2615" i="6"/>
  <c r="F2614" i="6"/>
  <c r="F2613" i="6"/>
  <c r="F2612" i="6"/>
  <c r="F2611" i="6"/>
  <c r="F2610" i="6"/>
  <c r="F2609" i="6"/>
  <c r="F2608" i="6"/>
  <c r="F2607" i="6"/>
  <c r="F2606" i="6"/>
  <c r="F2605" i="6"/>
  <c r="F2604" i="6"/>
  <c r="F2603" i="6"/>
  <c r="F2602" i="6"/>
  <c r="F2601" i="6"/>
  <c r="F2600" i="6"/>
  <c r="F2599" i="6"/>
  <c r="F2598" i="6"/>
  <c r="F2597" i="6"/>
  <c r="F2596" i="6"/>
  <c r="F2595" i="6"/>
  <c r="F2594" i="6"/>
  <c r="F2593" i="6"/>
  <c r="F2592" i="6"/>
  <c r="F2591" i="6"/>
  <c r="F2590" i="6"/>
  <c r="F2589" i="6"/>
  <c r="F2588" i="6"/>
  <c r="F2587" i="6"/>
  <c r="F2586" i="6"/>
  <c r="F2585" i="6"/>
  <c r="F2584" i="6"/>
  <c r="F2583" i="6"/>
  <c r="F2582" i="6"/>
  <c r="F2581" i="6"/>
  <c r="F2580" i="6"/>
  <c r="F2579" i="6"/>
  <c r="F2578" i="6"/>
  <c r="F2577" i="6"/>
  <c r="F2576" i="6"/>
  <c r="F2575" i="6"/>
  <c r="F2574" i="6"/>
  <c r="F2573" i="6"/>
  <c r="F2572" i="6"/>
  <c r="F2571" i="6"/>
  <c r="F2570" i="6"/>
  <c r="F2569" i="6"/>
  <c r="F2568" i="6"/>
  <c r="F2567" i="6"/>
  <c r="F2566" i="6"/>
  <c r="F2565" i="6"/>
  <c r="F2564" i="6"/>
  <c r="F2563" i="6"/>
  <c r="F2562" i="6"/>
  <c r="F2561" i="6"/>
  <c r="F2560" i="6"/>
  <c r="F2559" i="6"/>
  <c r="F2558" i="6"/>
  <c r="F2557" i="6"/>
  <c r="F2556" i="6"/>
  <c r="F2555" i="6"/>
  <c r="F2554" i="6"/>
  <c r="F2553" i="6"/>
  <c r="F2552" i="6"/>
  <c r="F2551" i="6"/>
  <c r="F2550" i="6"/>
  <c r="F2549" i="6"/>
  <c r="F2548" i="6"/>
  <c r="F2547" i="6"/>
  <c r="F2546" i="6"/>
  <c r="F2545" i="6"/>
  <c r="F2544" i="6"/>
  <c r="F2543" i="6"/>
  <c r="F2542" i="6"/>
  <c r="F2541" i="6"/>
  <c r="F2540" i="6"/>
  <c r="F2539" i="6"/>
  <c r="F2538" i="6"/>
  <c r="F2537" i="6"/>
  <c r="F2536" i="6"/>
  <c r="F2535" i="6"/>
  <c r="F2534" i="6"/>
  <c r="F2533" i="6"/>
  <c r="F2532" i="6"/>
  <c r="F2531" i="6"/>
  <c r="F2530" i="6"/>
  <c r="F2529" i="6"/>
  <c r="F2528" i="6"/>
  <c r="F2527" i="6"/>
  <c r="F2526" i="6"/>
  <c r="F2525" i="6"/>
  <c r="F2524" i="6"/>
  <c r="F2523" i="6"/>
  <c r="F2522" i="6"/>
  <c r="F2521" i="6"/>
  <c r="F2520" i="6"/>
  <c r="F2519" i="6"/>
  <c r="F2518" i="6"/>
  <c r="F2517" i="6"/>
  <c r="F2516" i="6"/>
  <c r="F2515" i="6"/>
  <c r="F2514" i="6"/>
  <c r="F2513" i="6"/>
  <c r="F2512" i="6"/>
  <c r="F2511" i="6"/>
  <c r="F2510" i="6"/>
  <c r="F2509" i="6"/>
  <c r="F2508" i="6"/>
  <c r="F2507" i="6"/>
  <c r="F2506" i="6"/>
  <c r="F2505" i="6"/>
  <c r="F2504" i="6"/>
  <c r="F2503" i="6"/>
  <c r="F2502" i="6"/>
  <c r="F2501" i="6"/>
  <c r="F2500" i="6"/>
  <c r="F2499" i="6"/>
  <c r="F2498" i="6"/>
  <c r="F2497" i="6"/>
  <c r="F2496" i="6"/>
  <c r="F2495" i="6"/>
  <c r="F2494" i="6"/>
  <c r="F2493" i="6"/>
  <c r="F2492" i="6"/>
  <c r="F2491" i="6"/>
  <c r="F2490" i="6"/>
  <c r="F2489" i="6"/>
  <c r="F2488" i="6"/>
  <c r="F2487" i="6"/>
  <c r="F2486" i="6"/>
  <c r="F2485" i="6"/>
  <c r="F2484" i="6"/>
  <c r="F2483" i="6"/>
  <c r="F2482" i="6"/>
  <c r="F2481" i="6"/>
  <c r="F2480" i="6"/>
  <c r="F2479" i="6"/>
  <c r="F2478" i="6"/>
  <c r="F2477" i="6"/>
  <c r="F2476" i="6"/>
  <c r="F2475" i="6"/>
  <c r="F2474" i="6"/>
  <c r="F2473" i="6"/>
  <c r="F2472" i="6"/>
  <c r="F2471" i="6"/>
  <c r="F2470" i="6"/>
  <c r="F2469" i="6"/>
  <c r="F2468" i="6"/>
  <c r="F2467" i="6"/>
  <c r="F2466" i="6"/>
  <c r="F2465" i="6"/>
  <c r="F2464" i="6"/>
  <c r="F2463" i="6"/>
  <c r="F2462" i="6"/>
  <c r="F2461" i="6"/>
  <c r="F2460" i="6"/>
  <c r="F2459" i="6"/>
  <c r="F2458" i="6"/>
  <c r="F2457" i="6"/>
  <c r="F2456" i="6"/>
  <c r="F2455" i="6"/>
  <c r="F2454" i="6"/>
  <c r="F2453" i="6"/>
  <c r="F2452" i="6"/>
  <c r="F2451" i="6"/>
  <c r="F2450" i="6"/>
  <c r="F2449" i="6"/>
  <c r="F2448" i="6"/>
  <c r="F2447" i="6"/>
  <c r="F2446" i="6"/>
  <c r="F2445" i="6"/>
  <c r="F2444" i="6"/>
  <c r="F2443" i="6"/>
  <c r="F2442" i="6"/>
  <c r="F2441" i="6"/>
  <c r="F2440" i="6"/>
  <c r="F2439" i="6"/>
  <c r="F2438" i="6"/>
  <c r="F2437" i="6"/>
  <c r="F2436" i="6"/>
  <c r="F2435" i="6"/>
  <c r="F2434" i="6"/>
  <c r="F2433" i="6"/>
  <c r="F2432" i="6"/>
  <c r="F2431" i="6"/>
  <c r="F2430" i="6"/>
  <c r="F2429" i="6"/>
  <c r="F2428" i="6"/>
  <c r="F2427" i="6"/>
  <c r="F2426" i="6"/>
  <c r="F2425" i="6"/>
  <c r="F2424" i="6"/>
  <c r="F2423" i="6"/>
  <c r="F2422" i="6"/>
  <c r="F2421" i="6"/>
  <c r="F2420" i="6"/>
  <c r="F2419" i="6"/>
  <c r="F2418" i="6"/>
  <c r="F2417" i="6"/>
  <c r="F2416" i="6"/>
  <c r="F2415" i="6"/>
  <c r="F2414" i="6"/>
  <c r="F2413" i="6"/>
  <c r="F2412" i="6"/>
  <c r="F2411" i="6"/>
  <c r="F2410" i="6"/>
  <c r="F2409" i="6"/>
  <c r="F2408" i="6"/>
  <c r="F2407" i="6"/>
  <c r="F2406" i="6"/>
  <c r="F2405" i="6"/>
  <c r="F2404" i="6"/>
  <c r="F2403" i="6"/>
  <c r="F2402" i="6"/>
  <c r="F2401" i="6"/>
  <c r="F2400" i="6"/>
  <c r="F2399" i="6"/>
  <c r="F2398" i="6"/>
  <c r="F2397" i="6"/>
  <c r="F2396" i="6"/>
  <c r="F2395" i="6"/>
  <c r="F2394" i="6"/>
  <c r="F2393" i="6"/>
  <c r="F2392" i="6"/>
  <c r="F2391" i="6"/>
  <c r="F2390" i="6"/>
  <c r="F2389" i="6"/>
  <c r="F2388" i="6"/>
  <c r="F2387" i="6"/>
  <c r="F2386" i="6"/>
  <c r="F2385" i="6"/>
  <c r="F2384" i="6"/>
  <c r="F2383" i="6"/>
  <c r="F2382" i="6"/>
  <c r="F2381" i="6"/>
  <c r="F2380" i="6"/>
  <c r="F2379" i="6"/>
  <c r="F2378" i="6"/>
  <c r="F2377" i="6"/>
  <c r="F2376" i="6"/>
  <c r="F2375" i="6"/>
  <c r="F2374" i="6"/>
  <c r="F2373" i="6"/>
  <c r="F2372" i="6"/>
  <c r="F2371" i="6"/>
  <c r="F2370" i="6"/>
  <c r="F2369" i="6"/>
  <c r="F2368" i="6"/>
  <c r="F2367" i="6"/>
  <c r="F2366" i="6"/>
  <c r="F2365" i="6"/>
  <c r="F2364" i="6"/>
  <c r="F2363" i="6"/>
  <c r="F2362" i="6"/>
  <c r="F2361" i="6"/>
  <c r="F2360" i="6"/>
  <c r="F2359" i="6"/>
  <c r="F2358" i="6"/>
  <c r="F2357" i="6"/>
  <c r="F2356" i="6"/>
  <c r="F2355" i="6"/>
  <c r="F2354" i="6"/>
  <c r="F2353" i="6"/>
  <c r="F2352" i="6"/>
  <c r="F2351" i="6"/>
  <c r="F2350" i="6"/>
  <c r="F2349" i="6"/>
  <c r="F2348" i="6"/>
  <c r="F2347" i="6"/>
  <c r="F2346" i="6"/>
  <c r="F2345" i="6"/>
  <c r="F2344" i="6"/>
  <c r="F2343" i="6"/>
  <c r="F2342" i="6"/>
  <c r="F2341" i="6"/>
  <c r="F2340" i="6"/>
  <c r="F2339" i="6"/>
  <c r="F2338" i="6"/>
  <c r="F2337" i="6"/>
  <c r="F2336" i="6"/>
  <c r="F2335" i="6"/>
  <c r="F2334" i="6"/>
  <c r="F2333" i="6"/>
  <c r="F2332" i="6"/>
  <c r="F2331" i="6"/>
  <c r="F2330" i="6"/>
  <c r="F2329" i="6"/>
  <c r="F2328" i="6"/>
  <c r="F2327" i="6"/>
  <c r="F2326" i="6"/>
  <c r="F2325" i="6"/>
  <c r="F2324" i="6"/>
  <c r="F2323" i="6"/>
  <c r="F2322" i="6"/>
  <c r="F2321" i="6"/>
  <c r="F2320" i="6"/>
  <c r="F2319" i="6"/>
  <c r="F2318" i="6"/>
  <c r="F2317" i="6"/>
  <c r="F2316" i="6"/>
  <c r="F2315" i="6"/>
  <c r="F2314" i="6"/>
  <c r="F2313" i="6"/>
  <c r="F2312" i="6"/>
  <c r="F2311" i="6"/>
  <c r="F2310" i="6"/>
  <c r="F2309" i="6"/>
  <c r="F2308" i="6"/>
  <c r="F2307" i="6"/>
  <c r="F2306" i="6"/>
  <c r="F2305" i="6"/>
  <c r="F2304" i="6"/>
  <c r="F2303" i="6"/>
  <c r="F2302" i="6"/>
  <c r="F2301" i="6"/>
  <c r="F2300" i="6"/>
  <c r="F2299" i="6"/>
  <c r="F2298" i="6"/>
  <c r="F2297" i="6"/>
  <c r="F2296" i="6"/>
  <c r="F2295" i="6"/>
  <c r="F2294" i="6"/>
  <c r="F2293" i="6"/>
  <c r="F2292" i="6"/>
  <c r="F2291" i="6"/>
  <c r="F2290" i="6"/>
  <c r="F2289" i="6"/>
  <c r="F2288" i="6"/>
  <c r="F2287" i="6"/>
  <c r="F2286" i="6"/>
  <c r="F2285" i="6"/>
  <c r="F2284" i="6"/>
  <c r="F2283" i="6"/>
  <c r="F2282" i="6"/>
  <c r="F2281" i="6"/>
  <c r="F2280" i="6"/>
  <c r="F2279" i="6"/>
  <c r="F2278" i="6"/>
  <c r="F2277" i="6"/>
  <c r="F2276" i="6"/>
  <c r="F2275" i="6"/>
  <c r="F2274" i="6"/>
  <c r="F2273" i="6"/>
  <c r="F2272" i="6"/>
  <c r="F2271" i="6"/>
  <c r="F2270" i="6"/>
  <c r="F2269" i="6"/>
  <c r="F2268" i="6"/>
  <c r="F2267" i="6"/>
  <c r="F2266" i="6"/>
  <c r="F2265" i="6"/>
  <c r="F2264" i="6"/>
  <c r="F2263" i="6"/>
  <c r="F2262" i="6"/>
  <c r="F2261" i="6"/>
  <c r="F2260" i="6"/>
  <c r="F2259" i="6"/>
  <c r="F2258" i="6"/>
  <c r="F2257" i="6"/>
  <c r="F2256" i="6"/>
  <c r="F2255" i="6"/>
  <c r="F2254" i="6"/>
  <c r="F2253" i="6"/>
  <c r="F2252" i="6"/>
  <c r="F2251" i="6"/>
  <c r="F2250" i="6"/>
  <c r="F2249" i="6"/>
  <c r="F2248" i="6"/>
  <c r="F2247" i="6"/>
  <c r="F2246" i="6"/>
  <c r="F2245" i="6"/>
  <c r="F2244" i="6"/>
  <c r="F2243" i="6"/>
  <c r="F2242" i="6"/>
  <c r="F2241" i="6"/>
  <c r="F2240" i="6"/>
  <c r="F2239" i="6"/>
  <c r="F2238" i="6"/>
  <c r="F2237" i="6"/>
  <c r="F2236" i="6"/>
  <c r="F2235" i="6"/>
  <c r="F2234" i="6"/>
  <c r="F2233" i="6"/>
  <c r="F2232" i="6"/>
  <c r="F2231" i="6"/>
  <c r="F2230" i="6"/>
  <c r="F2229" i="6"/>
  <c r="F2228" i="6"/>
  <c r="F2227" i="6"/>
  <c r="F2226" i="6"/>
  <c r="F2225" i="6"/>
  <c r="F2224" i="6"/>
  <c r="F2223" i="6"/>
  <c r="F2222" i="6"/>
  <c r="F2221" i="6"/>
  <c r="F2220" i="6"/>
  <c r="F2219" i="6"/>
  <c r="F2218" i="6"/>
  <c r="F2217" i="6"/>
  <c r="F2216" i="6"/>
  <c r="F2215" i="6"/>
  <c r="F2214" i="6"/>
  <c r="F2213" i="6"/>
  <c r="F2212" i="6"/>
  <c r="F2211" i="6"/>
  <c r="F2210" i="6"/>
  <c r="F2209" i="6"/>
  <c r="F2208" i="6"/>
  <c r="F2207" i="6"/>
  <c r="F2206" i="6"/>
  <c r="F2205" i="6"/>
  <c r="F2204" i="6"/>
  <c r="F2203" i="6"/>
  <c r="F2202" i="6"/>
  <c r="F2201" i="6"/>
  <c r="F2200" i="6"/>
  <c r="F2199" i="6"/>
  <c r="F2198" i="6"/>
  <c r="F2197" i="6"/>
  <c r="F2196" i="6"/>
  <c r="F2195" i="6"/>
  <c r="F2194" i="6"/>
  <c r="F2193" i="6"/>
  <c r="F2192" i="6"/>
  <c r="F2191" i="6"/>
  <c r="F2190" i="6"/>
  <c r="F2189" i="6"/>
  <c r="F2188" i="6"/>
  <c r="F2187" i="6"/>
  <c r="F2186" i="6"/>
  <c r="F2185" i="6"/>
  <c r="F2184" i="6"/>
  <c r="F2183" i="6"/>
  <c r="F2182" i="6"/>
  <c r="F2181" i="6"/>
  <c r="F2180" i="6"/>
  <c r="F2179" i="6"/>
  <c r="F2178" i="6"/>
  <c r="F2177" i="6"/>
  <c r="F2176" i="6"/>
  <c r="F2175" i="6"/>
  <c r="F2174" i="6"/>
  <c r="F2173" i="6"/>
  <c r="F2172" i="6"/>
  <c r="F2171" i="6"/>
  <c r="F2170" i="6"/>
  <c r="F2169" i="6"/>
  <c r="F2168" i="6"/>
  <c r="F2167" i="6"/>
  <c r="F2166" i="6"/>
  <c r="F2165" i="6"/>
  <c r="F2164" i="6"/>
  <c r="F2163" i="6"/>
  <c r="F2162" i="6"/>
  <c r="F2161" i="6"/>
  <c r="F2160" i="6"/>
  <c r="F2159" i="6"/>
  <c r="F2158" i="6"/>
  <c r="F2157" i="6"/>
  <c r="F2156" i="6"/>
  <c r="F2155" i="6"/>
  <c r="F2154" i="6"/>
  <c r="F2153" i="6"/>
  <c r="F2152" i="6"/>
  <c r="F2151" i="6"/>
  <c r="F2150" i="6"/>
  <c r="F2149" i="6"/>
  <c r="F2148" i="6"/>
  <c r="F2147" i="6"/>
  <c r="F2146" i="6"/>
  <c r="F2145" i="6"/>
  <c r="F2144" i="6"/>
  <c r="F2143" i="6"/>
  <c r="F2142" i="6"/>
  <c r="F2141" i="6"/>
  <c r="F2140" i="6"/>
  <c r="F2139" i="6"/>
  <c r="F2138" i="6"/>
  <c r="F2137" i="6"/>
  <c r="F2136" i="6"/>
  <c r="F2135" i="6"/>
  <c r="F2134" i="6"/>
  <c r="F2133" i="6"/>
  <c r="F2132" i="6"/>
  <c r="F2131" i="6"/>
  <c r="F2130" i="6"/>
  <c r="F2129" i="6"/>
  <c r="F2128" i="6"/>
  <c r="F2127" i="6"/>
  <c r="F2126" i="6"/>
  <c r="F2125" i="6"/>
  <c r="F2124" i="6"/>
  <c r="F2123" i="6"/>
  <c r="F2122" i="6"/>
  <c r="F2121" i="6"/>
  <c r="F2120" i="6"/>
  <c r="F2119" i="6"/>
  <c r="F2118" i="6"/>
  <c r="F2117" i="6"/>
  <c r="F2116" i="6"/>
  <c r="F2115" i="6"/>
  <c r="F2114" i="6"/>
  <c r="F2113" i="6"/>
  <c r="F2112" i="6"/>
  <c r="F2111" i="6"/>
  <c r="F2110" i="6"/>
  <c r="F2109" i="6"/>
  <c r="F2108" i="6"/>
  <c r="F2107" i="6"/>
  <c r="F2106" i="6"/>
  <c r="F2105" i="6"/>
  <c r="F2104" i="6"/>
  <c r="F2103" i="6"/>
  <c r="F2102" i="6"/>
  <c r="F2101" i="6"/>
  <c r="F2100" i="6"/>
  <c r="F2099" i="6"/>
  <c r="F2098" i="6"/>
  <c r="F2097" i="6"/>
  <c r="F2096" i="6"/>
  <c r="F2095" i="6"/>
  <c r="F2094" i="6"/>
  <c r="F2093" i="6"/>
  <c r="F2092" i="6"/>
  <c r="F2091" i="6"/>
  <c r="F2090" i="6"/>
  <c r="F2089" i="6"/>
  <c r="F2088" i="6"/>
  <c r="F2087" i="6"/>
  <c r="F2086" i="6"/>
  <c r="F2085" i="6"/>
  <c r="F2084" i="6"/>
  <c r="F2083" i="6"/>
  <c r="F2082" i="6"/>
  <c r="F2081" i="6"/>
  <c r="F2080" i="6"/>
  <c r="F2079" i="6"/>
  <c r="F2078" i="6"/>
  <c r="F2077" i="6"/>
  <c r="F2076" i="6"/>
  <c r="F2075" i="6"/>
  <c r="F2074" i="6"/>
  <c r="F2073" i="6"/>
  <c r="F2072" i="6"/>
  <c r="F2071" i="6"/>
  <c r="F2070" i="6"/>
  <c r="F2069" i="6"/>
  <c r="F2068" i="6"/>
  <c r="F2067" i="6"/>
  <c r="F2066" i="6"/>
  <c r="F2065" i="6"/>
  <c r="F2064" i="6"/>
  <c r="F2063" i="6"/>
  <c r="F2062" i="6"/>
  <c r="F2061" i="6"/>
  <c r="F2060" i="6"/>
  <c r="F2059" i="6"/>
  <c r="F2058" i="6"/>
  <c r="F2057" i="6"/>
  <c r="F2056" i="6"/>
  <c r="F2055" i="6"/>
  <c r="F2054" i="6"/>
  <c r="F2053" i="6"/>
  <c r="F2052" i="6"/>
  <c r="F2051" i="6"/>
  <c r="F2050" i="6"/>
  <c r="F2049" i="6"/>
  <c r="F2048" i="6"/>
  <c r="F2047" i="6"/>
  <c r="F2046" i="6"/>
  <c r="F2045" i="6"/>
  <c r="F2044" i="6"/>
  <c r="F2043" i="6"/>
  <c r="F2042" i="6"/>
  <c r="F2041" i="6"/>
  <c r="F2040" i="6"/>
  <c r="F2039" i="6"/>
  <c r="F2038" i="6"/>
  <c r="F2037" i="6"/>
  <c r="F2036" i="6"/>
  <c r="F2035" i="6"/>
  <c r="F2034" i="6"/>
  <c r="F2033" i="6"/>
  <c r="F2032" i="6"/>
  <c r="F2031" i="6"/>
  <c r="F2030" i="6"/>
  <c r="F2029" i="6"/>
  <c r="F2028" i="6"/>
  <c r="F2027" i="6"/>
  <c r="F2026" i="6"/>
  <c r="F2025" i="6"/>
  <c r="F2024" i="6"/>
  <c r="F2023" i="6"/>
  <c r="F2022" i="6"/>
  <c r="F2021" i="6"/>
  <c r="F2020" i="6"/>
  <c r="F2019" i="6"/>
  <c r="F2018" i="6"/>
  <c r="F2017" i="6"/>
  <c r="F2016" i="6"/>
  <c r="F2015" i="6"/>
  <c r="F2014" i="6"/>
  <c r="F2013" i="6"/>
  <c r="F2012" i="6"/>
  <c r="F2011" i="6"/>
  <c r="F2010" i="6"/>
  <c r="F2009" i="6"/>
  <c r="F2008" i="6"/>
  <c r="F2007" i="6"/>
  <c r="F2006" i="6"/>
  <c r="F2005" i="6"/>
  <c r="F2004" i="6"/>
  <c r="F2003" i="6"/>
  <c r="F2002" i="6"/>
  <c r="F2001" i="6"/>
  <c r="F2000" i="6"/>
  <c r="F1999" i="6"/>
  <c r="F1998" i="6"/>
  <c r="F1997" i="6"/>
  <c r="F1996" i="6"/>
  <c r="F1995" i="6"/>
  <c r="F1994" i="6"/>
  <c r="F1993" i="6"/>
  <c r="F1992" i="6"/>
  <c r="F1991" i="6"/>
  <c r="F1990" i="6"/>
  <c r="F1989" i="6"/>
  <c r="F1988" i="6"/>
  <c r="F1987" i="6"/>
  <c r="F1986" i="6"/>
  <c r="F1985" i="6"/>
  <c r="F1984" i="6"/>
  <c r="F1983" i="6"/>
  <c r="F1982" i="6"/>
  <c r="F1981" i="6"/>
  <c r="F1980" i="6"/>
  <c r="F1979" i="6"/>
  <c r="F1978" i="6"/>
  <c r="F1977" i="6"/>
  <c r="F1976" i="6"/>
  <c r="F1975" i="6"/>
  <c r="F1974" i="6"/>
  <c r="F1973" i="6"/>
  <c r="F1972" i="6"/>
  <c r="F1971" i="6"/>
  <c r="F1970" i="6"/>
  <c r="F1969" i="6"/>
  <c r="F1968" i="6"/>
  <c r="F1967" i="6"/>
  <c r="F1966" i="6"/>
  <c r="F1965" i="6"/>
  <c r="F1964" i="6"/>
  <c r="F1963" i="6"/>
  <c r="F1962" i="6"/>
  <c r="F1961" i="6"/>
  <c r="F1960" i="6"/>
  <c r="F1959" i="6"/>
  <c r="F1958" i="6"/>
  <c r="F1957" i="6"/>
  <c r="F1956" i="6"/>
  <c r="F1955" i="6"/>
  <c r="F1954" i="6"/>
  <c r="F1953" i="6"/>
  <c r="F1952" i="6"/>
  <c r="F1951" i="6"/>
  <c r="F1950" i="6"/>
  <c r="F1949" i="6"/>
  <c r="F1948" i="6"/>
  <c r="F1947" i="6"/>
  <c r="F1946" i="6"/>
  <c r="F1945" i="6"/>
  <c r="F1944" i="6"/>
  <c r="F1943" i="6"/>
  <c r="F1942" i="6"/>
  <c r="F1941" i="6"/>
  <c r="F1940" i="6"/>
  <c r="F1939" i="6"/>
  <c r="F1938" i="6"/>
  <c r="F1937" i="6"/>
  <c r="F1936" i="6"/>
  <c r="F1935" i="6"/>
  <c r="F1934" i="6"/>
  <c r="F1933" i="6"/>
  <c r="F1932" i="6"/>
  <c r="F1931" i="6"/>
  <c r="F1930" i="6"/>
  <c r="F1929" i="6"/>
  <c r="F1928" i="6"/>
  <c r="F1927" i="6"/>
  <c r="F1926" i="6"/>
  <c r="F1925" i="6"/>
  <c r="F1924" i="6"/>
  <c r="F1923" i="6"/>
  <c r="F1922" i="6"/>
  <c r="F1921" i="6"/>
  <c r="F1920" i="6"/>
  <c r="F1919" i="6"/>
  <c r="F1918" i="6"/>
  <c r="F1917" i="6"/>
  <c r="F1916" i="6"/>
  <c r="F1915" i="6"/>
  <c r="F1914" i="6"/>
  <c r="F1913" i="6"/>
  <c r="F1912" i="6"/>
  <c r="F1911" i="6"/>
  <c r="F1910" i="6"/>
  <c r="F1909" i="6"/>
  <c r="F1908" i="6"/>
  <c r="F1907" i="6"/>
  <c r="F1906" i="6"/>
  <c r="F1905" i="6"/>
  <c r="F1904" i="6"/>
  <c r="F1903" i="6"/>
  <c r="F1902" i="6"/>
  <c r="F1901" i="6"/>
  <c r="F1900" i="6"/>
  <c r="F1899" i="6"/>
  <c r="F1898" i="6"/>
  <c r="F1897" i="6"/>
  <c r="F1896" i="6"/>
  <c r="F1895" i="6"/>
  <c r="F1894" i="6"/>
  <c r="F1893" i="6"/>
  <c r="F1892" i="6"/>
  <c r="F1891" i="6"/>
  <c r="F1890" i="6"/>
  <c r="F1889" i="6"/>
  <c r="F1888" i="6"/>
  <c r="F1887" i="6"/>
  <c r="F1886" i="6"/>
  <c r="F1885" i="6"/>
  <c r="F1884" i="6"/>
  <c r="F1883" i="6"/>
  <c r="F1882" i="6"/>
  <c r="F1881" i="6"/>
  <c r="F1880" i="6"/>
  <c r="F1879" i="6"/>
  <c r="F1878" i="6"/>
  <c r="F1877" i="6"/>
  <c r="F1876" i="6"/>
  <c r="F1875" i="6"/>
  <c r="F1874" i="6"/>
  <c r="F1873" i="6"/>
  <c r="F1872" i="6"/>
  <c r="F1871" i="6"/>
  <c r="F1870" i="6"/>
  <c r="F1869" i="6"/>
  <c r="F1868" i="6"/>
  <c r="F1867" i="6"/>
  <c r="F1866" i="6"/>
  <c r="F1865" i="6"/>
  <c r="F1864" i="6"/>
  <c r="F1863" i="6"/>
  <c r="F1862" i="6"/>
  <c r="F1861" i="6"/>
  <c r="F1860" i="6"/>
  <c r="F1859" i="6"/>
  <c r="F1858" i="6"/>
  <c r="F1857" i="6"/>
  <c r="F1856" i="6"/>
  <c r="F1855" i="6"/>
  <c r="F1854" i="6"/>
  <c r="F1853" i="6"/>
  <c r="F1852" i="6"/>
  <c r="F1851" i="6"/>
  <c r="F1850" i="6"/>
  <c r="F1849" i="6"/>
  <c r="F1848" i="6"/>
  <c r="F1847" i="6"/>
  <c r="F1846" i="6"/>
  <c r="F1845" i="6"/>
  <c r="F1844" i="6"/>
  <c r="F1843" i="6"/>
  <c r="F1842" i="6"/>
  <c r="F1841" i="6"/>
  <c r="F1840" i="6"/>
  <c r="F1839" i="6"/>
  <c r="F1838" i="6"/>
  <c r="F1837" i="6"/>
  <c r="F1836" i="6"/>
  <c r="F1835" i="6"/>
  <c r="F1834" i="6"/>
  <c r="F1833" i="6"/>
  <c r="F1832" i="6"/>
  <c r="F1831" i="6"/>
  <c r="F1830" i="6"/>
  <c r="F1829" i="6"/>
  <c r="F1828" i="6"/>
  <c r="F1827" i="6"/>
  <c r="F1826" i="6"/>
  <c r="F1825" i="6"/>
  <c r="F1824" i="6"/>
  <c r="F1823" i="6"/>
  <c r="F1822" i="6"/>
  <c r="F1821" i="6"/>
  <c r="F1820" i="6"/>
  <c r="F1819" i="6"/>
  <c r="F1818" i="6"/>
  <c r="F1817" i="6"/>
  <c r="F1816" i="6"/>
  <c r="F1815" i="6"/>
  <c r="F1814" i="6"/>
  <c r="F1813" i="6"/>
  <c r="F1812" i="6"/>
  <c r="F1811" i="6"/>
  <c r="F1810" i="6"/>
  <c r="F1809" i="6"/>
  <c r="F1808" i="6"/>
  <c r="F1807" i="6"/>
  <c r="F1806" i="6"/>
  <c r="F1805" i="6"/>
  <c r="F1804" i="6"/>
  <c r="F1803" i="6"/>
  <c r="F1802" i="6"/>
  <c r="F1801" i="6"/>
  <c r="J4231" i="6"/>
  <c r="J4227" i="6"/>
  <c r="J4223" i="6"/>
  <c r="J4219" i="6"/>
  <c r="J4215" i="6"/>
  <c r="J4209" i="6"/>
  <c r="J4204" i="6"/>
  <c r="J4203" i="6"/>
  <c r="J4202" i="6"/>
  <c r="J4201" i="6"/>
  <c r="J4199" i="6"/>
  <c r="J4187" i="6"/>
  <c r="J4182" i="6"/>
  <c r="J4181" i="6"/>
  <c r="J4180" i="6"/>
  <c r="J4179" i="6"/>
  <c r="J4178" i="6"/>
  <c r="J4177" i="6"/>
  <c r="J4176" i="6"/>
  <c r="J4175" i="6"/>
  <c r="J4171" i="6"/>
  <c r="J4157" i="6"/>
  <c r="J4152" i="6"/>
  <c r="J4151" i="6"/>
  <c r="J4150" i="6"/>
  <c r="J4149" i="6"/>
  <c r="J4148" i="6"/>
  <c r="J4147" i="6"/>
  <c r="J4146" i="6"/>
  <c r="J4145" i="6"/>
  <c r="J4141" i="6"/>
  <c r="J4136" i="6"/>
  <c r="J4135" i="6"/>
  <c r="J4134" i="6"/>
  <c r="J4133" i="6"/>
  <c r="J4125" i="6"/>
  <c r="J4120" i="6"/>
  <c r="J4119" i="6"/>
  <c r="J4118" i="6"/>
  <c r="J4117" i="6"/>
  <c r="J4116" i="6"/>
  <c r="J4115" i="6"/>
  <c r="J4114" i="6"/>
  <c r="J4113" i="6"/>
  <c r="J4109" i="6"/>
  <c r="J4104" i="6"/>
  <c r="J4103" i="6"/>
  <c r="J4102" i="6"/>
  <c r="J4101" i="6"/>
  <c r="J4093" i="6"/>
  <c r="J4088" i="6"/>
  <c r="J4087" i="6"/>
  <c r="J4086" i="6"/>
  <c r="J4085" i="6"/>
  <c r="J4084" i="6"/>
  <c r="J4083" i="6"/>
  <c r="J4082" i="6"/>
  <c r="J4081" i="6"/>
  <c r="J4077" i="6"/>
  <c r="J4072" i="6"/>
  <c r="J4071" i="6"/>
  <c r="J4070" i="6"/>
  <c r="J4069" i="6"/>
  <c r="J4046" i="6"/>
  <c r="J4045" i="6"/>
  <c r="J4044" i="6"/>
  <c r="J4043" i="6"/>
  <c r="J4041" i="6"/>
  <c r="J4042" i="6"/>
  <c r="J4036" i="6"/>
  <c r="J4035" i="6"/>
  <c r="J4034" i="6"/>
  <c r="J4033" i="6"/>
  <c r="J4032" i="6"/>
  <c r="J4031" i="6"/>
  <c r="J4030" i="6"/>
  <c r="J4029" i="6"/>
  <c r="J4025" i="6"/>
  <c r="J4017" i="6"/>
  <c r="J4018" i="6"/>
  <c r="J4019" i="6"/>
  <c r="J4020" i="6"/>
  <c r="J4012" i="6"/>
  <c r="J4011" i="6"/>
  <c r="J4010" i="6"/>
  <c r="J4009" i="6"/>
  <c r="J4007" i="6"/>
  <c r="J4002" i="6"/>
  <c r="J4001" i="6"/>
  <c r="J4000" i="6"/>
  <c r="J3999" i="6"/>
  <c r="J3994" i="6"/>
  <c r="J3993" i="6"/>
  <c r="J3992" i="6"/>
  <c r="J3991" i="6"/>
  <c r="J3989" i="6"/>
  <c r="J3984" i="6"/>
  <c r="J3983" i="6"/>
  <c r="J3982" i="6"/>
  <c r="J3981" i="6"/>
  <c r="J3979" i="6"/>
  <c r="J3974" i="6"/>
  <c r="J3973" i="6"/>
  <c r="J3972" i="6"/>
  <c r="J3971" i="6"/>
  <c r="J3969" i="6"/>
  <c r="J3963" i="6"/>
  <c r="J3960" i="6"/>
  <c r="J3959" i="6"/>
  <c r="J3958" i="6"/>
  <c r="J3957" i="6"/>
  <c r="J3956" i="6"/>
  <c r="J3955" i="6"/>
  <c r="J3954" i="6"/>
  <c r="J3953" i="6"/>
  <c r="J3949" i="6"/>
  <c r="J3961" i="6"/>
  <c r="J3944" i="6"/>
  <c r="J3943" i="6"/>
  <c r="J3942" i="6"/>
  <c r="J3941" i="6"/>
  <c r="J3939" i="6"/>
  <c r="J3935" i="6"/>
  <c r="J3929" i="6"/>
  <c r="J3924" i="6"/>
  <c r="J3923" i="6"/>
  <c r="J3922" i="6"/>
  <c r="J3921" i="6"/>
  <c r="J3919" i="6"/>
  <c r="J3916" i="6"/>
  <c r="J3915" i="6"/>
  <c r="J3914" i="6"/>
  <c r="J3913" i="6"/>
  <c r="J3912" i="6"/>
  <c r="J3911" i="6"/>
  <c r="J3910" i="6"/>
  <c r="J3909" i="6"/>
  <c r="J3905" i="6"/>
  <c r="J3897" i="6"/>
  <c r="J3884" i="6"/>
  <c r="J3883" i="6"/>
  <c r="J3882" i="6"/>
  <c r="J3881" i="6"/>
  <c r="J3874" i="6"/>
  <c r="J3873" i="6"/>
  <c r="J3866" i="6"/>
  <c r="J3865" i="6"/>
  <c r="J3864" i="6"/>
  <c r="J3863" i="6"/>
  <c r="J3857" i="6"/>
  <c r="J3853" i="6"/>
  <c r="J3849" i="6"/>
  <c r="J3845" i="6"/>
  <c r="J3841" i="6"/>
  <c r="J3835" i="6"/>
  <c r="J3830" i="6"/>
  <c r="J3829" i="6"/>
  <c r="J3828" i="6"/>
  <c r="J3827" i="6"/>
  <c r="J3825" i="6"/>
  <c r="J3813" i="6"/>
  <c r="J3808" i="6"/>
  <c r="J3807" i="6"/>
  <c r="J3806" i="6"/>
  <c r="J3805" i="6"/>
  <c r="J3804" i="6"/>
  <c r="J3803" i="6"/>
  <c r="J3802" i="6"/>
  <c r="J3801" i="6"/>
  <c r="J3797" i="6"/>
  <c r="J3783" i="6"/>
  <c r="J3778" i="6"/>
  <c r="J3777" i="6"/>
  <c r="J3776" i="6"/>
  <c r="J3775" i="6"/>
  <c r="J3774" i="6"/>
  <c r="J3773" i="6"/>
  <c r="J3772" i="6"/>
  <c r="J3771" i="6"/>
  <c r="J3767" i="6"/>
  <c r="J3762" i="6"/>
  <c r="J3761" i="6"/>
  <c r="J3760" i="6"/>
  <c r="J3759" i="6"/>
  <c r="J3751" i="6"/>
  <c r="J3746" i="6"/>
  <c r="J3745" i="6"/>
  <c r="J3744" i="6"/>
  <c r="J3743" i="6"/>
  <c r="J3742" i="6"/>
  <c r="J3741" i="6"/>
  <c r="J3740" i="6"/>
  <c r="J3739" i="6"/>
  <c r="J3735" i="6"/>
  <c r="J3730" i="6"/>
  <c r="J3729" i="6"/>
  <c r="J3728" i="6"/>
  <c r="J3727" i="6"/>
  <c r="J3719" i="6"/>
  <c r="J3714" i="6"/>
  <c r="J3713" i="6"/>
  <c r="J3712" i="6"/>
  <c r="J3711" i="6"/>
  <c r="J3710" i="6"/>
  <c r="J3709" i="6"/>
  <c r="J3708" i="6"/>
  <c r="J3707" i="6"/>
  <c r="J3703" i="6"/>
  <c r="J3698" i="6"/>
  <c r="J3697" i="6"/>
  <c r="J3696" i="6"/>
  <c r="J3695" i="6"/>
  <c r="J3672" i="6"/>
  <c r="J3671" i="6"/>
  <c r="J3670" i="6"/>
  <c r="J3669" i="6"/>
  <c r="J3667" i="6"/>
  <c r="J3668" i="6"/>
  <c r="J3662" i="6"/>
  <c r="J3661" i="6"/>
  <c r="J3660" i="6"/>
  <c r="J3659" i="6"/>
  <c r="J3658" i="6"/>
  <c r="J3657" i="6"/>
  <c r="J3656" i="6"/>
  <c r="J3655" i="6"/>
  <c r="J3651" i="6"/>
  <c r="J3646" i="6"/>
  <c r="J3645" i="6"/>
  <c r="J3644" i="6"/>
  <c r="J3643" i="6"/>
  <c r="J3638" i="6"/>
  <c r="J3637" i="6"/>
  <c r="J3636" i="6"/>
  <c r="J3635" i="6"/>
  <c r="J3633" i="6"/>
  <c r="J3628" i="6"/>
  <c r="J3627" i="6"/>
  <c r="J3626" i="6"/>
  <c r="J3625" i="6"/>
  <c r="J3620" i="6"/>
  <c r="J3619" i="6"/>
  <c r="J3618" i="6"/>
  <c r="J3617" i="6"/>
  <c r="J3615" i="6"/>
  <c r="J3610" i="6"/>
  <c r="J3609" i="6"/>
  <c r="J3608" i="6"/>
  <c r="J3607" i="6"/>
  <c r="J3605" i="6"/>
  <c r="J3600" i="6"/>
  <c r="J3599" i="6"/>
  <c r="J3598" i="6"/>
  <c r="J3597" i="6"/>
  <c r="J3595" i="6"/>
  <c r="J3589" i="6"/>
  <c r="J3586" i="6"/>
  <c r="J3585" i="6"/>
  <c r="J3584" i="6"/>
  <c r="J3583" i="6"/>
  <c r="J3582" i="6"/>
  <c r="J3581" i="6"/>
  <c r="J3580" i="6"/>
  <c r="J3579" i="6"/>
  <c r="J3575" i="6"/>
  <c r="J3570" i="6"/>
  <c r="J3569" i="6"/>
  <c r="J3568" i="6"/>
  <c r="J3567" i="6"/>
  <c r="J3565" i="6"/>
  <c r="J3561" i="6"/>
  <c r="J3555" i="6"/>
  <c r="J3550" i="6"/>
  <c r="J3549" i="6"/>
  <c r="J3548" i="6"/>
  <c r="J3547" i="6"/>
  <c r="J3545" i="6"/>
  <c r="J3542" i="6"/>
  <c r="J3541" i="6"/>
  <c r="J3540" i="6"/>
  <c r="J3539" i="6"/>
  <c r="J3538" i="6"/>
  <c r="J3537" i="6"/>
  <c r="J3536" i="6"/>
  <c r="J3535" i="6"/>
  <c r="J3531" i="6"/>
  <c r="J3523" i="6"/>
  <c r="J3510" i="6"/>
  <c r="J3509" i="6"/>
  <c r="J3508" i="6"/>
  <c r="J3507" i="6"/>
  <c r="J3499" i="6"/>
  <c r="J3500" i="6"/>
  <c r="J3488" i="6"/>
  <c r="J3489" i="6"/>
  <c r="J3490" i="6"/>
  <c r="J3491" i="6"/>
  <c r="J3492" i="6"/>
  <c r="J3493" i="6"/>
  <c r="J3494" i="6"/>
  <c r="J3495" i="6"/>
  <c r="J3496" i="6"/>
  <c r="J3497" i="6"/>
  <c r="J3498" i="6"/>
  <c r="J3501" i="6"/>
  <c r="J3502" i="6"/>
  <c r="J3503" i="6"/>
  <c r="J3504" i="6"/>
  <c r="J3505" i="6"/>
  <c r="J3506" i="6"/>
  <c r="J3511" i="6"/>
  <c r="J3512" i="6"/>
  <c r="J3513" i="6"/>
  <c r="J3514" i="6"/>
  <c r="J3515" i="6"/>
  <c r="J3516" i="6"/>
  <c r="J3517" i="6"/>
  <c r="J3518" i="6"/>
  <c r="J3519" i="6"/>
  <c r="J3520" i="6"/>
  <c r="J3521" i="6"/>
  <c r="J3522" i="6"/>
  <c r="J3527" i="6"/>
  <c r="J3528" i="6"/>
  <c r="J3529" i="6"/>
  <c r="J3530" i="6"/>
  <c r="J3543" i="6"/>
  <c r="J3544" i="6"/>
  <c r="J3551" i="6"/>
  <c r="J3552" i="6"/>
  <c r="J3553" i="6"/>
  <c r="J3554" i="6"/>
  <c r="J3559" i="6"/>
  <c r="J3560" i="6"/>
  <c r="J3563" i="6"/>
  <c r="J3564" i="6"/>
  <c r="J3571" i="6"/>
  <c r="J3572" i="6"/>
  <c r="J3573" i="6"/>
  <c r="J3574" i="6"/>
  <c r="J3587" i="6"/>
  <c r="J3588" i="6"/>
  <c r="J3591" i="6"/>
  <c r="J3592" i="6"/>
  <c r="J3593" i="6"/>
  <c r="J3594" i="6"/>
  <c r="J3601" i="6"/>
  <c r="J3602" i="6"/>
  <c r="J3603" i="6"/>
  <c r="J3604" i="6"/>
  <c r="J3611" i="6"/>
  <c r="J3612" i="6"/>
  <c r="J3613" i="6"/>
  <c r="J3614" i="6"/>
  <c r="J3621" i="6"/>
  <c r="J3622" i="6"/>
  <c r="J3623" i="6"/>
  <c r="J3624" i="6"/>
  <c r="J3629" i="6"/>
  <c r="J3630" i="6"/>
  <c r="J3631" i="6"/>
  <c r="J3632" i="6"/>
  <c r="J3639" i="6"/>
  <c r="J3640" i="6"/>
  <c r="J3641" i="6"/>
  <c r="J3642" i="6"/>
  <c r="J3647" i="6"/>
  <c r="J3648" i="6"/>
  <c r="J3649" i="6"/>
  <c r="J3650" i="6"/>
  <c r="J3663" i="6"/>
  <c r="J3664" i="6"/>
  <c r="J3665" i="6"/>
  <c r="J3666" i="6"/>
  <c r="J3673" i="6"/>
  <c r="J3674" i="6"/>
  <c r="J3675" i="6"/>
  <c r="J3676" i="6"/>
  <c r="J3677" i="6"/>
  <c r="J3678" i="6"/>
  <c r="J3679" i="6"/>
  <c r="J3680" i="6"/>
  <c r="J3681" i="6"/>
  <c r="J3682" i="6"/>
  <c r="J3683" i="6"/>
  <c r="J3684" i="6"/>
  <c r="J3685" i="6"/>
  <c r="J3686" i="6"/>
  <c r="J3687" i="6"/>
  <c r="J3688" i="6"/>
  <c r="J3689" i="6"/>
  <c r="J3690" i="6"/>
  <c r="J3691" i="6"/>
  <c r="J3692" i="6"/>
  <c r="J3693" i="6"/>
  <c r="J3694" i="6"/>
  <c r="J3699" i="6"/>
  <c r="J3700" i="6"/>
  <c r="J3701" i="6"/>
  <c r="J3702" i="6"/>
  <c r="J3715" i="6"/>
  <c r="J3716" i="6"/>
  <c r="J3717" i="6"/>
  <c r="J3718" i="6"/>
  <c r="J3723" i="6"/>
  <c r="J3724" i="6"/>
  <c r="J3725" i="6"/>
  <c r="J3726" i="6"/>
  <c r="J3731" i="6"/>
  <c r="J3732" i="6"/>
  <c r="J3733" i="6"/>
  <c r="J3734" i="6"/>
  <c r="J3747" i="6"/>
  <c r="J3748" i="6"/>
  <c r="J3749" i="6"/>
  <c r="J3750" i="6"/>
  <c r="J3755" i="6"/>
  <c r="J3756" i="6"/>
  <c r="J3757" i="6"/>
  <c r="J3758" i="6"/>
  <c r="J3763" i="6"/>
  <c r="J3764" i="6"/>
  <c r="J3765" i="6"/>
  <c r="J3766" i="6"/>
  <c r="J3779" i="6"/>
  <c r="J3780" i="6"/>
  <c r="J3781" i="6"/>
  <c r="J3782" i="6"/>
  <c r="J3787" i="6"/>
  <c r="J3788" i="6"/>
  <c r="J3789" i="6"/>
  <c r="J3790" i="6"/>
  <c r="J3791" i="6"/>
  <c r="J3792" i="6"/>
  <c r="J3793" i="6"/>
  <c r="J3794" i="6"/>
  <c r="J3795" i="6"/>
  <c r="J3796" i="6"/>
  <c r="J3809" i="6"/>
  <c r="J3810" i="6"/>
  <c r="J3811" i="6"/>
  <c r="J3812" i="6"/>
  <c r="J3817" i="6"/>
  <c r="J3818" i="6"/>
  <c r="J3819" i="6"/>
  <c r="J3820" i="6"/>
  <c r="J3821" i="6"/>
  <c r="J3822" i="6"/>
  <c r="J3823" i="6"/>
  <c r="J3824" i="6"/>
  <c r="J3831" i="6"/>
  <c r="J3832" i="6"/>
  <c r="J3833" i="6"/>
  <c r="J3834" i="6"/>
  <c r="J3839" i="6"/>
  <c r="J3840" i="6"/>
  <c r="J3843" i="6"/>
  <c r="J3844" i="6"/>
  <c r="J3847" i="6"/>
  <c r="J3848" i="6"/>
  <c r="J3851" i="6"/>
  <c r="J3852" i="6"/>
  <c r="J3855" i="6"/>
  <c r="J3856" i="6"/>
  <c r="J3483" i="6"/>
  <c r="J3482" i="6"/>
  <c r="J3481" i="6"/>
  <c r="J3480" i="6"/>
  <c r="J3479" i="6"/>
  <c r="J3478" i="6"/>
  <c r="J3477" i="6"/>
  <c r="J3476" i="6"/>
  <c r="J3475" i="6"/>
  <c r="J3474" i="6"/>
  <c r="J3472" i="6"/>
  <c r="J3471" i="6"/>
  <c r="J3470" i="6"/>
  <c r="J3469" i="6"/>
  <c r="J3468" i="6"/>
  <c r="J3467" i="6"/>
  <c r="J3466" i="6"/>
  <c r="J3465" i="6"/>
  <c r="J3464" i="6"/>
  <c r="J3463" i="6"/>
  <c r="J3461" i="6"/>
  <c r="J3460" i="6"/>
  <c r="J3459" i="6"/>
  <c r="J3458" i="6"/>
  <c r="J3457" i="6"/>
  <c r="J3456" i="6"/>
  <c r="J3455" i="6"/>
  <c r="J3453" i="6"/>
  <c r="J3452" i="6"/>
  <c r="J3451" i="6"/>
  <c r="J3450" i="6"/>
  <c r="J3449" i="6"/>
  <c r="J3448" i="6"/>
  <c r="J3446" i="6"/>
  <c r="J3445" i="6"/>
  <c r="J3444" i="6"/>
  <c r="J3443" i="6"/>
  <c r="J3442" i="6"/>
  <c r="J3441" i="6"/>
  <c r="J3440" i="6"/>
  <c r="J3438" i="6"/>
  <c r="J3437" i="6"/>
  <c r="J3436" i="6"/>
  <c r="J3435" i="6"/>
  <c r="J3434" i="6"/>
  <c r="J3433" i="6"/>
  <c r="J3432" i="6"/>
  <c r="J3430" i="6"/>
  <c r="J3429" i="6"/>
  <c r="J3428" i="6"/>
  <c r="J3427" i="6"/>
  <c r="J3426" i="6"/>
  <c r="J3425" i="6"/>
  <c r="J3424" i="6"/>
  <c r="J3422" i="6"/>
  <c r="J3421" i="6"/>
  <c r="J3420" i="6"/>
  <c r="J3419" i="6"/>
  <c r="J3418" i="6"/>
  <c r="J3417" i="6"/>
  <c r="J3416" i="6"/>
  <c r="J3414" i="6"/>
  <c r="J3413" i="6"/>
  <c r="J3412" i="6"/>
  <c r="J3411" i="6"/>
  <c r="J3410" i="6"/>
  <c r="J3409" i="6"/>
  <c r="J3408" i="6"/>
  <c r="J3406" i="6"/>
  <c r="J3405" i="6"/>
  <c r="J3404" i="6"/>
  <c r="J3403" i="6"/>
  <c r="J3402" i="6"/>
  <c r="J3401" i="6"/>
  <c r="J3400" i="6"/>
  <c r="J3399" i="6"/>
  <c r="J3398" i="6"/>
  <c r="J3397" i="6"/>
  <c r="J3396" i="6"/>
  <c r="J3395" i="6"/>
  <c r="J3394" i="6"/>
  <c r="J3393" i="6"/>
  <c r="J3392" i="6"/>
  <c r="J3391" i="6"/>
  <c r="J3390" i="6"/>
  <c r="J3389" i="6"/>
  <c r="J3388" i="6"/>
  <c r="J3387" i="6"/>
  <c r="J3386" i="6"/>
  <c r="J3385" i="6"/>
  <c r="J3384" i="6"/>
  <c r="J3383" i="6"/>
  <c r="J3382" i="6"/>
  <c r="J3380" i="6"/>
  <c r="J3379" i="6"/>
  <c r="J3378" i="6"/>
  <c r="J3377" i="6"/>
  <c r="J3376" i="6"/>
  <c r="J3375" i="6"/>
  <c r="J3374" i="6"/>
  <c r="J3373" i="6"/>
  <c r="J3372" i="6"/>
  <c r="J3371" i="6"/>
  <c r="J3370" i="6"/>
  <c r="J3369" i="6"/>
  <c r="J3368" i="6"/>
  <c r="J3367" i="6"/>
  <c r="J3366" i="6"/>
  <c r="J3365" i="6"/>
  <c r="J3364" i="6"/>
  <c r="J3363" i="6"/>
  <c r="J3362" i="6"/>
  <c r="J3361" i="6"/>
  <c r="J3360" i="6"/>
  <c r="J3359" i="6"/>
  <c r="J3358" i="6"/>
  <c r="J3357" i="6"/>
  <c r="J3356" i="6"/>
  <c r="J3355" i="6"/>
  <c r="J3354" i="6"/>
  <c r="J3353" i="6"/>
  <c r="J3352" i="6"/>
  <c r="J3351" i="6"/>
  <c r="J3350" i="6"/>
  <c r="J3349" i="6"/>
  <c r="J3348" i="6"/>
  <c r="J3347" i="6"/>
  <c r="J3346" i="6"/>
  <c r="J3345" i="6"/>
  <c r="J3344" i="6"/>
  <c r="J3342" i="6"/>
  <c r="J3341" i="6"/>
  <c r="J3340" i="6"/>
  <c r="J3339" i="6"/>
  <c r="J3338" i="6"/>
  <c r="J3337" i="6"/>
  <c r="J3336" i="6"/>
  <c r="J3335" i="6"/>
  <c r="J3334" i="6"/>
  <c r="J3332" i="6"/>
  <c r="J3331" i="6"/>
  <c r="J3330" i="6"/>
  <c r="J3329" i="6"/>
  <c r="J3328" i="6"/>
  <c r="J3327" i="6"/>
  <c r="J3326" i="6"/>
  <c r="J3325" i="6"/>
  <c r="J3324" i="6"/>
  <c r="J3323" i="6"/>
  <c r="J3322" i="6"/>
  <c r="J3320" i="6"/>
  <c r="J3319" i="6"/>
  <c r="J3318" i="6"/>
  <c r="J3316" i="6"/>
  <c r="J3315" i="6"/>
  <c r="J3314" i="6"/>
  <c r="J3313" i="6"/>
  <c r="J3312" i="6"/>
  <c r="J3311" i="6"/>
  <c r="J3310" i="6"/>
  <c r="J3309" i="6"/>
  <c r="J3308" i="6"/>
  <c r="J3307" i="6"/>
  <c r="J3306" i="6"/>
  <c r="J3305" i="6"/>
  <c r="J3304" i="6"/>
  <c r="J3303" i="6"/>
  <c r="J3302" i="6"/>
  <c r="J3301" i="6"/>
  <c r="J3300" i="6"/>
  <c r="J3299" i="6"/>
  <c r="J3298" i="6"/>
  <c r="J3297" i="6"/>
  <c r="J3296" i="6"/>
  <c r="J3295" i="6"/>
  <c r="J3294" i="6"/>
  <c r="J3293" i="6"/>
  <c r="J3292" i="6"/>
  <c r="J3291" i="6"/>
  <c r="J3290" i="6"/>
  <c r="J3289" i="6"/>
  <c r="J3288" i="6"/>
  <c r="J3287" i="6"/>
  <c r="J3285" i="6"/>
  <c r="J3284" i="6"/>
  <c r="J3283" i="6"/>
  <c r="J3282" i="6"/>
  <c r="J3281" i="6"/>
  <c r="J3280" i="6"/>
  <c r="J3279" i="6"/>
  <c r="J3278" i="6"/>
  <c r="J3277" i="6"/>
  <c r="J3276" i="6"/>
  <c r="J3274" i="6"/>
  <c r="J3273" i="6"/>
  <c r="J3272" i="6"/>
  <c r="J3271" i="6"/>
  <c r="J3270" i="6"/>
  <c r="J3269" i="6"/>
  <c r="J3268" i="6"/>
  <c r="J3266" i="6"/>
  <c r="J3265" i="6"/>
  <c r="J3264" i="6"/>
  <c r="J3263" i="6"/>
  <c r="J3262" i="6"/>
  <c r="J3261" i="6"/>
  <c r="J3259" i="6"/>
  <c r="J3258" i="6"/>
  <c r="J3257" i="6"/>
  <c r="J3256" i="6"/>
  <c r="J3255" i="6"/>
  <c r="J3254" i="6"/>
  <c r="J3253" i="6"/>
  <c r="J3251" i="6"/>
  <c r="J3250" i="6"/>
  <c r="J3249" i="6"/>
  <c r="J3248" i="6"/>
  <c r="J3247" i="6"/>
  <c r="J3246" i="6"/>
  <c r="J3245" i="6"/>
  <c r="J3243" i="6"/>
  <c r="J3242" i="6"/>
  <c r="J3241" i="6"/>
  <c r="J3240" i="6"/>
  <c r="J3239" i="6"/>
  <c r="J3238" i="6"/>
  <c r="J3237" i="6"/>
  <c r="J3235" i="6"/>
  <c r="J3234" i="6"/>
  <c r="J3233" i="6"/>
  <c r="J3232" i="6"/>
  <c r="J3231" i="6"/>
  <c r="J3230" i="6"/>
  <c r="J3229" i="6"/>
  <c r="J3227" i="6"/>
  <c r="J3226" i="6"/>
  <c r="J3225" i="6"/>
  <c r="J3224" i="6"/>
  <c r="J3223" i="6"/>
  <c r="J3222" i="6"/>
  <c r="J3221" i="6"/>
  <c r="J3219" i="6"/>
  <c r="J3218" i="6"/>
  <c r="J3217" i="6"/>
  <c r="J3216" i="6"/>
  <c r="J3215" i="6"/>
  <c r="J3214" i="6"/>
  <c r="J3213" i="6"/>
  <c r="J3212" i="6"/>
  <c r="J3211" i="6"/>
  <c r="J3210" i="6"/>
  <c r="J3209" i="6"/>
  <c r="J3208" i="6"/>
  <c r="J3207" i="6"/>
  <c r="J3206" i="6"/>
  <c r="J3205" i="6"/>
  <c r="J3204" i="6"/>
  <c r="J3203" i="6"/>
  <c r="J3202" i="6"/>
  <c r="J3201" i="6"/>
  <c r="J3200" i="6"/>
  <c r="J3199" i="6"/>
  <c r="J3198" i="6"/>
  <c r="J3197" i="6"/>
  <c r="J3196" i="6"/>
  <c r="J3195" i="6"/>
  <c r="J3193" i="6"/>
  <c r="J3192" i="6"/>
  <c r="J3191" i="6"/>
  <c r="J3190" i="6"/>
  <c r="J3189" i="6"/>
  <c r="J3188" i="6"/>
  <c r="J3187" i="6"/>
  <c r="J3186" i="6"/>
  <c r="J3185" i="6"/>
  <c r="J3184" i="6"/>
  <c r="J3183" i="6"/>
  <c r="J3182" i="6"/>
  <c r="J3181" i="6"/>
  <c r="J3180" i="6"/>
  <c r="J3179" i="6"/>
  <c r="J3178" i="6"/>
  <c r="J3177" i="6"/>
  <c r="J3176" i="6"/>
  <c r="J3175" i="6"/>
  <c r="J3174" i="6"/>
  <c r="J3173" i="6"/>
  <c r="J3172" i="6"/>
  <c r="J3171" i="6"/>
  <c r="J3170" i="6"/>
  <c r="J3169" i="6"/>
  <c r="J3168" i="6"/>
  <c r="J3167" i="6"/>
  <c r="J3166" i="6"/>
  <c r="J3165" i="6"/>
  <c r="J3164" i="6"/>
  <c r="J3163" i="6"/>
  <c r="J3162" i="6"/>
  <c r="J3161" i="6"/>
  <c r="J3160" i="6"/>
  <c r="J3159" i="6"/>
  <c r="J3158" i="6"/>
  <c r="J3157" i="6"/>
  <c r="J3155" i="6"/>
  <c r="J3154" i="6"/>
  <c r="J3153" i="6"/>
  <c r="J3152" i="6"/>
  <c r="J3151" i="6"/>
  <c r="J3150" i="6"/>
  <c r="J3149" i="6"/>
  <c r="J3148" i="6"/>
  <c r="J3147" i="6"/>
  <c r="J3145" i="6"/>
  <c r="J3144" i="6"/>
  <c r="J3143" i="6"/>
  <c r="J3142" i="6"/>
  <c r="J3141" i="6"/>
  <c r="J3140" i="6"/>
  <c r="J3139" i="6"/>
  <c r="J3138" i="6"/>
  <c r="J3137" i="6"/>
  <c r="J3136" i="6"/>
  <c r="J3135" i="6"/>
  <c r="J3133" i="6"/>
  <c r="J3132" i="6"/>
  <c r="J3131" i="6"/>
  <c r="J3129" i="6"/>
  <c r="J3128" i="6"/>
  <c r="J3127" i="6"/>
  <c r="J3126" i="6"/>
  <c r="J3125" i="6"/>
  <c r="J3124" i="6"/>
  <c r="J3123" i="6"/>
  <c r="J3122" i="6"/>
  <c r="J3121" i="6"/>
  <c r="J3120" i="6"/>
  <c r="J3119" i="6"/>
  <c r="J3118" i="6"/>
  <c r="J3117" i="6"/>
  <c r="J3116" i="6"/>
  <c r="J3115" i="6"/>
  <c r="J3114" i="6"/>
  <c r="J3113" i="6"/>
  <c r="J3112" i="6"/>
  <c r="J3111" i="6"/>
  <c r="J3110" i="6"/>
  <c r="J3109" i="6"/>
  <c r="J3108" i="6"/>
  <c r="J3107" i="6"/>
  <c r="J3106" i="6"/>
  <c r="J3105" i="6"/>
  <c r="J3104" i="6"/>
  <c r="J3103" i="6"/>
  <c r="J3102" i="6"/>
  <c r="J3101" i="6"/>
  <c r="J3100" i="6"/>
  <c r="J3098" i="6"/>
  <c r="J3097" i="6"/>
  <c r="J3096" i="6"/>
  <c r="J3095" i="6"/>
  <c r="J3094" i="6"/>
  <c r="J3093" i="6"/>
  <c r="J3092" i="6"/>
  <c r="J3091" i="6"/>
  <c r="J3090" i="6"/>
  <c r="J3089" i="6"/>
  <c r="J3087" i="6"/>
  <c r="J3086" i="6"/>
  <c r="J3085" i="6"/>
  <c r="J3084" i="6"/>
  <c r="J3083" i="6"/>
  <c r="J3082" i="6"/>
  <c r="J3081" i="6"/>
  <c r="J3079" i="6"/>
  <c r="J3078" i="6"/>
  <c r="J3077" i="6"/>
  <c r="J3076" i="6"/>
  <c r="J3075" i="6"/>
  <c r="J3074" i="6"/>
  <c r="J3072" i="6"/>
  <c r="J3071" i="6"/>
  <c r="J3070" i="6"/>
  <c r="J3069" i="6"/>
  <c r="J3068" i="6"/>
  <c r="J3067" i="6"/>
  <c r="J3066" i="6"/>
  <c r="J3064" i="6"/>
  <c r="J3063" i="6"/>
  <c r="J3062" i="6"/>
  <c r="J3061" i="6"/>
  <c r="J3060" i="6"/>
  <c r="J3059" i="6"/>
  <c r="J3058" i="6"/>
  <c r="J3056" i="6"/>
  <c r="J3055" i="6"/>
  <c r="J3054" i="6"/>
  <c r="J3053" i="6"/>
  <c r="J3052" i="6"/>
  <c r="J3051" i="6"/>
  <c r="J3050" i="6"/>
  <c r="J3048" i="6"/>
  <c r="J3047" i="6"/>
  <c r="J3046" i="6"/>
  <c r="J3045" i="6"/>
  <c r="J3044" i="6"/>
  <c r="J3043" i="6"/>
  <c r="J3042" i="6"/>
  <c r="J3040" i="6"/>
  <c r="J3039" i="6"/>
  <c r="J3038" i="6"/>
  <c r="J3037" i="6"/>
  <c r="J3036" i="6"/>
  <c r="J3035" i="6"/>
  <c r="J3034" i="6"/>
  <c r="J3032" i="6"/>
  <c r="J3031" i="6"/>
  <c r="J3030" i="6"/>
  <c r="J3029" i="6"/>
  <c r="J3028" i="6"/>
  <c r="J3027" i="6"/>
  <c r="J3026" i="6"/>
  <c r="J3025" i="6"/>
  <c r="J3024" i="6"/>
  <c r="J3023" i="6"/>
  <c r="J3022" i="6"/>
  <c r="J3021" i="6"/>
  <c r="J3020" i="6"/>
  <c r="J3019" i="6"/>
  <c r="J3018" i="6"/>
  <c r="J3017" i="6"/>
  <c r="J3016" i="6"/>
  <c r="J3015" i="6"/>
  <c r="J3014" i="6"/>
  <c r="J3013" i="6"/>
  <c r="J3012" i="6"/>
  <c r="J3011" i="6"/>
  <c r="J3010" i="6"/>
  <c r="J3009" i="6"/>
  <c r="J3008" i="6"/>
  <c r="J3006" i="6"/>
  <c r="J3005" i="6"/>
  <c r="J3004" i="6"/>
  <c r="J3003" i="6"/>
  <c r="J3002" i="6"/>
  <c r="J3001" i="6"/>
  <c r="J3000" i="6"/>
  <c r="J2999" i="6"/>
  <c r="J2998" i="6"/>
  <c r="J2997" i="6"/>
  <c r="J2996" i="6"/>
  <c r="J2995" i="6"/>
  <c r="J2994" i="6"/>
  <c r="J2993" i="6"/>
  <c r="J2992" i="6"/>
  <c r="J2991" i="6"/>
  <c r="J2990" i="6"/>
  <c r="J2989" i="6"/>
  <c r="J2988" i="6"/>
  <c r="J2987" i="6"/>
  <c r="J2986" i="6"/>
  <c r="J2985" i="6"/>
  <c r="J2984" i="6"/>
  <c r="J2983" i="6"/>
  <c r="J2982" i="6"/>
  <c r="J2981" i="6"/>
  <c r="J2980" i="6"/>
  <c r="J2979" i="6"/>
  <c r="J2978" i="6"/>
  <c r="J2977" i="6"/>
  <c r="J2976" i="6"/>
  <c r="J2975" i="6"/>
  <c r="J2974" i="6"/>
  <c r="J2973" i="6"/>
  <c r="J2972" i="6"/>
  <c r="J2971" i="6"/>
  <c r="J2970" i="6"/>
  <c r="J2968" i="6"/>
  <c r="J2967" i="6"/>
  <c r="J2966" i="6"/>
  <c r="J2965" i="6"/>
  <c r="J2964" i="6"/>
  <c r="J2963" i="6"/>
  <c r="J2962" i="6"/>
  <c r="J2961" i="6"/>
  <c r="J2960" i="6"/>
  <c r="J2958" i="6"/>
  <c r="J2957" i="6"/>
  <c r="J2956" i="6"/>
  <c r="J2955" i="6"/>
  <c r="J2954" i="6"/>
  <c r="J2953" i="6"/>
  <c r="J2952" i="6"/>
  <c r="J2951" i="6"/>
  <c r="J2950" i="6"/>
  <c r="J2949" i="6"/>
  <c r="J2948" i="6"/>
  <c r="J2946" i="6"/>
  <c r="J2945" i="6"/>
  <c r="J2944" i="6"/>
  <c r="J2942" i="6"/>
  <c r="J2941" i="6"/>
  <c r="J2940" i="6"/>
  <c r="J2939" i="6"/>
  <c r="J2938" i="6"/>
  <c r="J2937" i="6"/>
  <c r="J2936" i="6"/>
  <c r="J2935" i="6"/>
  <c r="J2934" i="6"/>
  <c r="J2933" i="6"/>
  <c r="J2932" i="6"/>
  <c r="J2931" i="6"/>
  <c r="J2930" i="6"/>
  <c r="J2929" i="6"/>
  <c r="J2928" i="6"/>
  <c r="J2927" i="6"/>
  <c r="J2926" i="6"/>
  <c r="J2925" i="6"/>
  <c r="J2924" i="6"/>
  <c r="J2923" i="6"/>
  <c r="J2922" i="6"/>
  <c r="J2921" i="6"/>
  <c r="J2920" i="6"/>
  <c r="J2919" i="6"/>
  <c r="J2918" i="6"/>
  <c r="J2917" i="6"/>
  <c r="J2916" i="6"/>
  <c r="J2915" i="6"/>
  <c r="J2914" i="6"/>
  <c r="J2913" i="6"/>
  <c r="J2911" i="6"/>
  <c r="J2910" i="6"/>
  <c r="J2909" i="6"/>
  <c r="J2908" i="6"/>
  <c r="J2907" i="6"/>
  <c r="J2906" i="6"/>
  <c r="J2905" i="6"/>
  <c r="J2904" i="6"/>
  <c r="J2903" i="6"/>
  <c r="J2902" i="6"/>
  <c r="J2900" i="6"/>
  <c r="J2899" i="6"/>
  <c r="J2898" i="6"/>
  <c r="J2897" i="6"/>
  <c r="J2896" i="6"/>
  <c r="J2895" i="6"/>
  <c r="J2894" i="6"/>
  <c r="J2892" i="6"/>
  <c r="J2891" i="6"/>
  <c r="J2890" i="6"/>
  <c r="J2889" i="6"/>
  <c r="J2888" i="6"/>
  <c r="J2887" i="6"/>
  <c r="J2885" i="6"/>
  <c r="J2884" i="6"/>
  <c r="J2883" i="6"/>
  <c r="J2882" i="6"/>
  <c r="J2881" i="6"/>
  <c r="J2880" i="6"/>
  <c r="J2879" i="6"/>
  <c r="J2877" i="6"/>
  <c r="J2876" i="6"/>
  <c r="J2875" i="6"/>
  <c r="J2874" i="6"/>
  <c r="J2873" i="6"/>
  <c r="J2872" i="6"/>
  <c r="J2871" i="6"/>
  <c r="J2869" i="6"/>
  <c r="J2868" i="6"/>
  <c r="J2867" i="6"/>
  <c r="J2866" i="6"/>
  <c r="J2865" i="6"/>
  <c r="J2864" i="6"/>
  <c r="J2863" i="6"/>
  <c r="J2861" i="6"/>
  <c r="J2860" i="6"/>
  <c r="J2859" i="6"/>
  <c r="J2858" i="6"/>
  <c r="J2857" i="6"/>
  <c r="J2856" i="6"/>
  <c r="J2855" i="6"/>
  <c r="J2853" i="6"/>
  <c r="J2852" i="6"/>
  <c r="J2851" i="6"/>
  <c r="J2850" i="6"/>
  <c r="J2849" i="6"/>
  <c r="J2848" i="6"/>
  <c r="J2847" i="6"/>
  <c r="J2845" i="6"/>
  <c r="J2844" i="6"/>
  <c r="J2843" i="6"/>
  <c r="J2842" i="6"/>
  <c r="J2841" i="6"/>
  <c r="J2840" i="6"/>
  <c r="J2839" i="6"/>
  <c r="J2838" i="6"/>
  <c r="J2837" i="6"/>
  <c r="J2836" i="6"/>
  <c r="J2835" i="6"/>
  <c r="J2834" i="6"/>
  <c r="J2833" i="6"/>
  <c r="J2832" i="6"/>
  <c r="J2831" i="6"/>
  <c r="J2830" i="6"/>
  <c r="J2829" i="6"/>
  <c r="J2828" i="6"/>
  <c r="J2827" i="6"/>
  <c r="J2826" i="6"/>
  <c r="J2825" i="6"/>
  <c r="J2824" i="6"/>
  <c r="J2823" i="6"/>
  <c r="J2822" i="6"/>
  <c r="J2821" i="6"/>
  <c r="J2819" i="6"/>
  <c r="J2818" i="6"/>
  <c r="J2817" i="6"/>
  <c r="J2816" i="6"/>
  <c r="J2815" i="6"/>
  <c r="J2814" i="6"/>
  <c r="J2813" i="6"/>
  <c r="J2812" i="6"/>
  <c r="J2811" i="6"/>
  <c r="J2810" i="6"/>
  <c r="J2809" i="6"/>
  <c r="J2808" i="6"/>
  <c r="J2807" i="6"/>
  <c r="J2806" i="6"/>
  <c r="J2805" i="6"/>
  <c r="J2804" i="6"/>
  <c r="J2803" i="6"/>
  <c r="J2802" i="6"/>
  <c r="J2801" i="6"/>
  <c r="J2800" i="6"/>
  <c r="J2799" i="6"/>
  <c r="J2798" i="6"/>
  <c r="J2797" i="6"/>
  <c r="J2796" i="6"/>
  <c r="J2795" i="6"/>
  <c r="J2794" i="6"/>
  <c r="J2793" i="6"/>
  <c r="J2792" i="6"/>
  <c r="J2791" i="6"/>
  <c r="J2790" i="6"/>
  <c r="J2789" i="6"/>
  <c r="J2788" i="6"/>
  <c r="J2787" i="6"/>
  <c r="J2786" i="6"/>
  <c r="J2785" i="6"/>
  <c r="J2784" i="6"/>
  <c r="J2783" i="6"/>
  <c r="J2781" i="6"/>
  <c r="J2780" i="6"/>
  <c r="J2779" i="6"/>
  <c r="J2778" i="6"/>
  <c r="J2777" i="6"/>
  <c r="J2776" i="6"/>
  <c r="J2775" i="6"/>
  <c r="J2774" i="6"/>
  <c r="J2773" i="6"/>
  <c r="J2771" i="6"/>
  <c r="J2770" i="6"/>
  <c r="J2769" i="6"/>
  <c r="J2768" i="6"/>
  <c r="J2767" i="6"/>
  <c r="J2766" i="6"/>
  <c r="J2765" i="6"/>
  <c r="J2764" i="6"/>
  <c r="J2763" i="6"/>
  <c r="J2762" i="6"/>
  <c r="J2761" i="6"/>
  <c r="J2759" i="6"/>
  <c r="J2758" i="6"/>
  <c r="J2757" i="6"/>
  <c r="J2755" i="6"/>
  <c r="J2754" i="6"/>
  <c r="J2753" i="6"/>
  <c r="J2752" i="6"/>
  <c r="J2751" i="6"/>
  <c r="J2750" i="6"/>
  <c r="J2749" i="6"/>
  <c r="J2748" i="6"/>
  <c r="J2747" i="6"/>
  <c r="J2746" i="6"/>
  <c r="J2745" i="6"/>
  <c r="J2744" i="6"/>
  <c r="J2743" i="6"/>
  <c r="J2742" i="6"/>
  <c r="J2741" i="6"/>
  <c r="J2740" i="6"/>
  <c r="J2739" i="6"/>
  <c r="J2738" i="6"/>
  <c r="J2737" i="6"/>
  <c r="J2736" i="6"/>
  <c r="J2735" i="6"/>
  <c r="J2734" i="6"/>
  <c r="J2733" i="6"/>
  <c r="J2732" i="6"/>
  <c r="J2731" i="6"/>
  <c r="J2730" i="6"/>
  <c r="J2729" i="6"/>
  <c r="J2728" i="6"/>
  <c r="J2727" i="6"/>
  <c r="J2726" i="6"/>
  <c r="J2724" i="6"/>
  <c r="J2723" i="6"/>
  <c r="J2722" i="6"/>
  <c r="J2721" i="6"/>
  <c r="J2720" i="6"/>
  <c r="J2719" i="6"/>
  <c r="J2718" i="6"/>
  <c r="J2717" i="6"/>
  <c r="J2716" i="6"/>
  <c r="J2715" i="6"/>
  <c r="J2713" i="6"/>
  <c r="J2712" i="6"/>
  <c r="J2711" i="6"/>
  <c r="J2710" i="6"/>
  <c r="J2709" i="6"/>
  <c r="J2708" i="6"/>
  <c r="J2707" i="6"/>
  <c r="J2705" i="6"/>
  <c r="J2704" i="6"/>
  <c r="J2703" i="6"/>
  <c r="J2702" i="6"/>
  <c r="J2701" i="6"/>
  <c r="J2700" i="6"/>
  <c r="J2698" i="6"/>
  <c r="J2697" i="6"/>
  <c r="J2696" i="6"/>
  <c r="J2695" i="6"/>
  <c r="J2694" i="6"/>
  <c r="J2693" i="6"/>
  <c r="J2692" i="6"/>
  <c r="J2690" i="6"/>
  <c r="J2689" i="6"/>
  <c r="J2688" i="6"/>
  <c r="J2687" i="6"/>
  <c r="J2686" i="6"/>
  <c r="J2685" i="6"/>
  <c r="J2684" i="6"/>
  <c r="J2682" i="6"/>
  <c r="J2681" i="6"/>
  <c r="J2680" i="6"/>
  <c r="J2679" i="6"/>
  <c r="J2678" i="6"/>
  <c r="J2677" i="6"/>
  <c r="J2676" i="6"/>
  <c r="J2674" i="6"/>
  <c r="J2673" i="6"/>
  <c r="J2672" i="6"/>
  <c r="J2671" i="6"/>
  <c r="J2670" i="6"/>
  <c r="J2669" i="6"/>
  <c r="J2668" i="6"/>
  <c r="J2666" i="6"/>
  <c r="J2665" i="6"/>
  <c r="J2664" i="6"/>
  <c r="J2663" i="6"/>
  <c r="J2662" i="6"/>
  <c r="J2661" i="6"/>
  <c r="J2660" i="6"/>
  <c r="J2658" i="6"/>
  <c r="J2657" i="6"/>
  <c r="J2656" i="6"/>
  <c r="J2655" i="6"/>
  <c r="J2654" i="6"/>
  <c r="J2653" i="6"/>
  <c r="J2652" i="6"/>
  <c r="J2651" i="6"/>
  <c r="J2650" i="6"/>
  <c r="J2649" i="6"/>
  <c r="J2648" i="6"/>
  <c r="J2647" i="6"/>
  <c r="J2646" i="6"/>
  <c r="J2645" i="6"/>
  <c r="J2644" i="6"/>
  <c r="J2643" i="6"/>
  <c r="J2642" i="6"/>
  <c r="J2641" i="6"/>
  <c r="J2640" i="6"/>
  <c r="J2639" i="6"/>
  <c r="J2638" i="6"/>
  <c r="J2637" i="6"/>
  <c r="J2636" i="6"/>
  <c r="J2635" i="6"/>
  <c r="J2634" i="6"/>
  <c r="J2632" i="6"/>
  <c r="J2631" i="6"/>
  <c r="J2630" i="6"/>
  <c r="J2629" i="6"/>
  <c r="J2628" i="6"/>
  <c r="J2627" i="6"/>
  <c r="J2626" i="6"/>
  <c r="J2625" i="6"/>
  <c r="J2624" i="6"/>
  <c r="J2623" i="6"/>
  <c r="J2622" i="6"/>
  <c r="J2621" i="6"/>
  <c r="J2620" i="6"/>
  <c r="J2619" i="6"/>
  <c r="J2618" i="6"/>
  <c r="J2617" i="6"/>
  <c r="J2616" i="6"/>
  <c r="J2615" i="6"/>
  <c r="J2614" i="6"/>
  <c r="J2613" i="6"/>
  <c r="J2612" i="6"/>
  <c r="J2611" i="6"/>
  <c r="J2610" i="6"/>
  <c r="J2609" i="6"/>
  <c r="J2608" i="6"/>
  <c r="J2607" i="6"/>
  <c r="J2606" i="6"/>
  <c r="J2605" i="6"/>
  <c r="J2604" i="6"/>
  <c r="J2603" i="6"/>
  <c r="J2602" i="6"/>
  <c r="J2601" i="6"/>
  <c r="J2600" i="6"/>
  <c r="J2599" i="6"/>
  <c r="J2598" i="6"/>
  <c r="J2597" i="6"/>
  <c r="J2596" i="6"/>
  <c r="J2594" i="6"/>
  <c r="J2593" i="6"/>
  <c r="J2592" i="6"/>
  <c r="J2591" i="6"/>
  <c r="J2590" i="6"/>
  <c r="J2589" i="6"/>
  <c r="J2588" i="6"/>
  <c r="J2587" i="6"/>
  <c r="J2586" i="6"/>
  <c r="J2584" i="6"/>
  <c r="J2583" i="6"/>
  <c r="J2582" i="6"/>
  <c r="J2581" i="6"/>
  <c r="J2580" i="6"/>
  <c r="J2579" i="6"/>
  <c r="J2578" i="6"/>
  <c r="J2577" i="6"/>
  <c r="J2576" i="6"/>
  <c r="J2575" i="6"/>
  <c r="J2574" i="6"/>
  <c r="J2572" i="6"/>
  <c r="J2571" i="6"/>
  <c r="J2570" i="6"/>
  <c r="J2568" i="6"/>
  <c r="J2567" i="6"/>
  <c r="J2566" i="6"/>
  <c r="J2565" i="6"/>
  <c r="J2564" i="6"/>
  <c r="J2563" i="6"/>
  <c r="J2562" i="6"/>
  <c r="J2561" i="6"/>
  <c r="J2560" i="6"/>
  <c r="J2559" i="6"/>
  <c r="J2558" i="6"/>
  <c r="J2557" i="6"/>
  <c r="J2556" i="6"/>
  <c r="J2555" i="6"/>
  <c r="J2554" i="6"/>
  <c r="J2553" i="6"/>
  <c r="J2552" i="6"/>
  <c r="J2551" i="6"/>
  <c r="J2550" i="6"/>
  <c r="J2549" i="6"/>
  <c r="J2548" i="6"/>
  <c r="J2547" i="6"/>
  <c r="J2546" i="6"/>
  <c r="J2545" i="6"/>
  <c r="J2544" i="6"/>
  <c r="J2543" i="6"/>
  <c r="J2542" i="6"/>
  <c r="J2541" i="6"/>
  <c r="J2540" i="6"/>
  <c r="J2539" i="6"/>
  <c r="J2537" i="6"/>
  <c r="J2536" i="6"/>
  <c r="J2535" i="6"/>
  <c r="J2534" i="6"/>
  <c r="J2533" i="6"/>
  <c r="J2532" i="6"/>
  <c r="J2531" i="6"/>
  <c r="J2530" i="6"/>
  <c r="J2529" i="6"/>
  <c r="J2528" i="6"/>
  <c r="J2526" i="6"/>
  <c r="J2525" i="6"/>
  <c r="J2524" i="6"/>
  <c r="J2523" i="6"/>
  <c r="J2522" i="6"/>
  <c r="J2521" i="6"/>
  <c r="J2520" i="6"/>
  <c r="J2518" i="6"/>
  <c r="J2517" i="6"/>
  <c r="J2516" i="6"/>
  <c r="J2515" i="6"/>
  <c r="J2514" i="6"/>
  <c r="J2513" i="6"/>
  <c r="J2511" i="6"/>
  <c r="J2510" i="6"/>
  <c r="J2509" i="6"/>
  <c r="J2508" i="6"/>
  <c r="J2507" i="6"/>
  <c r="J2506" i="6"/>
  <c r="J2505" i="6"/>
  <c r="J2503" i="6"/>
  <c r="J2502" i="6"/>
  <c r="J2501" i="6"/>
  <c r="J2500" i="6"/>
  <c r="J2499" i="6"/>
  <c r="J2498" i="6"/>
  <c r="J2497" i="6"/>
  <c r="J2495" i="6"/>
  <c r="J2494" i="6"/>
  <c r="J2493" i="6"/>
  <c r="J2492" i="6"/>
  <c r="J2491" i="6"/>
  <c r="J2490" i="6"/>
  <c r="J2489" i="6"/>
  <c r="J2487" i="6"/>
  <c r="J2486" i="6"/>
  <c r="J2485" i="6"/>
  <c r="J2484" i="6"/>
  <c r="J2483" i="6"/>
  <c r="J2482" i="6"/>
  <c r="J2481" i="6"/>
  <c r="J2479" i="6"/>
  <c r="J2478" i="6"/>
  <c r="J2477" i="6"/>
  <c r="J2476" i="6"/>
  <c r="J2475" i="6"/>
  <c r="J2474" i="6"/>
  <c r="J2473" i="6"/>
  <c r="J2471" i="6"/>
  <c r="J2470" i="6"/>
  <c r="J2469" i="6"/>
  <c r="J2468" i="6"/>
  <c r="J2467" i="6"/>
  <c r="J2466" i="6"/>
  <c r="J2465" i="6"/>
  <c r="J2464" i="6"/>
  <c r="J2463" i="6"/>
  <c r="J2462" i="6"/>
  <c r="J2461" i="6"/>
  <c r="J2460" i="6"/>
  <c r="J2459" i="6"/>
  <c r="J2458" i="6"/>
  <c r="J2457" i="6"/>
  <c r="J2456" i="6"/>
  <c r="J2455" i="6"/>
  <c r="J2454" i="6"/>
  <c r="J2453" i="6"/>
  <c r="J2452" i="6"/>
  <c r="J2451" i="6"/>
  <c r="J2450" i="6"/>
  <c r="J2449" i="6"/>
  <c r="J2448" i="6"/>
  <c r="J2447" i="6"/>
  <c r="J2445" i="6"/>
  <c r="J2444" i="6"/>
  <c r="J2443" i="6"/>
  <c r="J2442" i="6"/>
  <c r="J2441" i="6"/>
  <c r="J2440" i="6"/>
  <c r="J2439" i="6"/>
  <c r="J2438" i="6"/>
  <c r="J2437" i="6"/>
  <c r="J2436" i="6"/>
  <c r="J2435" i="6"/>
  <c r="J2434" i="6"/>
  <c r="J2433" i="6"/>
  <c r="J2432" i="6"/>
  <c r="J2431" i="6"/>
  <c r="J2430" i="6"/>
  <c r="J2429" i="6"/>
  <c r="J2428" i="6"/>
  <c r="J2427" i="6"/>
  <c r="J2426" i="6"/>
  <c r="J2425" i="6"/>
  <c r="J2424" i="6"/>
  <c r="J2423" i="6"/>
  <c r="J2422" i="6"/>
  <c r="J2421" i="6"/>
  <c r="J2420" i="6"/>
  <c r="J2419" i="6"/>
  <c r="J2418" i="6"/>
  <c r="J2417" i="6"/>
  <c r="J2416" i="6"/>
  <c r="J2415" i="6"/>
  <c r="J2414" i="6"/>
  <c r="J2413" i="6"/>
  <c r="J2412" i="6"/>
  <c r="J2411" i="6"/>
  <c r="J2410" i="6"/>
  <c r="J2409" i="6"/>
  <c r="J2407" i="6"/>
  <c r="J2406" i="6"/>
  <c r="J2405" i="6"/>
  <c r="J2404" i="6"/>
  <c r="J2403" i="6"/>
  <c r="J2402" i="6"/>
  <c r="J2401" i="6"/>
  <c r="J2400" i="6"/>
  <c r="J2399" i="6"/>
  <c r="J2397" i="6"/>
  <c r="J2396" i="6"/>
  <c r="J2395" i="6"/>
  <c r="J2394" i="6"/>
  <c r="J2393" i="6"/>
  <c r="J2392" i="6"/>
  <c r="J2391" i="6"/>
  <c r="J2390" i="6"/>
  <c r="J2389" i="6"/>
  <c r="J2388" i="6"/>
  <c r="J2387" i="6"/>
  <c r="J2385" i="6"/>
  <c r="J2384" i="6"/>
  <c r="J2383" i="6"/>
  <c r="J2381" i="6"/>
  <c r="J2380" i="6"/>
  <c r="J2379" i="6"/>
  <c r="J2378" i="6"/>
  <c r="J2377" i="6"/>
  <c r="J2376" i="6"/>
  <c r="J2375" i="6"/>
  <c r="J2374" i="6"/>
  <c r="J2373" i="6"/>
  <c r="J2372" i="6"/>
  <c r="J2371" i="6"/>
  <c r="J2370" i="6"/>
  <c r="J2369" i="6"/>
  <c r="J2368" i="6"/>
  <c r="J2367" i="6"/>
  <c r="J2366" i="6"/>
  <c r="J2365" i="6"/>
  <c r="J2364" i="6"/>
  <c r="J2363" i="6"/>
  <c r="J2362" i="6"/>
  <c r="J2361" i="6"/>
  <c r="J2360" i="6"/>
  <c r="J2359" i="6"/>
  <c r="J2358" i="6"/>
  <c r="J2357" i="6"/>
  <c r="J2356" i="6"/>
  <c r="J2355" i="6"/>
  <c r="J2354" i="6"/>
  <c r="J2353" i="6"/>
  <c r="J2352" i="6"/>
  <c r="J2350" i="6"/>
  <c r="J2349" i="6"/>
  <c r="J2348" i="6"/>
  <c r="J2347" i="6"/>
  <c r="J2346" i="6"/>
  <c r="J2345" i="6"/>
  <c r="J2344" i="6"/>
  <c r="J2343" i="6"/>
  <c r="J2342" i="6"/>
  <c r="J2341" i="6"/>
  <c r="J2339" i="6"/>
  <c r="J2338" i="6"/>
  <c r="J2337" i="6"/>
  <c r="J2336" i="6"/>
  <c r="J2335" i="6"/>
  <c r="J2334" i="6"/>
  <c r="J2333" i="6"/>
  <c r="J2331" i="6"/>
  <c r="J2330" i="6"/>
  <c r="J2329" i="6"/>
  <c r="J2328" i="6"/>
  <c r="J2327" i="6"/>
  <c r="J2326" i="6"/>
  <c r="J2324" i="6"/>
  <c r="J2323" i="6"/>
  <c r="J2322" i="6"/>
  <c r="J2321" i="6"/>
  <c r="J2320" i="6"/>
  <c r="J2319" i="6"/>
  <c r="J2318" i="6"/>
  <c r="J2316" i="6"/>
  <c r="J2315" i="6"/>
  <c r="J2314" i="6"/>
  <c r="J2313" i="6"/>
  <c r="J2312" i="6"/>
  <c r="J2311" i="6"/>
  <c r="J2310" i="6"/>
  <c r="J2308" i="6"/>
  <c r="J2307" i="6"/>
  <c r="J2306" i="6"/>
  <c r="J2305" i="6"/>
  <c r="J2304" i="6"/>
  <c r="J2303" i="6"/>
  <c r="J2302" i="6"/>
  <c r="J2300" i="6"/>
  <c r="J2299" i="6"/>
  <c r="J2298" i="6"/>
  <c r="J2297" i="6"/>
  <c r="J2296" i="6"/>
  <c r="J2295" i="6"/>
  <c r="J2294" i="6"/>
  <c r="J2292" i="6"/>
  <c r="J2291" i="6"/>
  <c r="J2290" i="6"/>
  <c r="J2289" i="6"/>
  <c r="J2288" i="6"/>
  <c r="J2287" i="6"/>
  <c r="J2286" i="6"/>
  <c r="J2284" i="6"/>
  <c r="J2283" i="6"/>
  <c r="J2282" i="6"/>
  <c r="J2281" i="6"/>
  <c r="J2280" i="6"/>
  <c r="J2279" i="6"/>
  <c r="J2278" i="6"/>
  <c r="J2277" i="6"/>
  <c r="J2276" i="6"/>
  <c r="J2275" i="6"/>
  <c r="J2274" i="6"/>
  <c r="J2273" i="6"/>
  <c r="J2272" i="6"/>
  <c r="J2271" i="6"/>
  <c r="J2270" i="6"/>
  <c r="J2269" i="6"/>
  <c r="J2268" i="6"/>
  <c r="J2267" i="6"/>
  <c r="J2266" i="6"/>
  <c r="J2265" i="6"/>
  <c r="J2264" i="6"/>
  <c r="J2263" i="6"/>
  <c r="J2262" i="6"/>
  <c r="J2261" i="6"/>
  <c r="J2260" i="6"/>
  <c r="J2258" i="6"/>
  <c r="J2257" i="6"/>
  <c r="J2256" i="6"/>
  <c r="J2255" i="6"/>
  <c r="J2254" i="6"/>
  <c r="J2253" i="6"/>
  <c r="J2252" i="6"/>
  <c r="J2251" i="6"/>
  <c r="J2250" i="6"/>
  <c r="J2249" i="6"/>
  <c r="J2248" i="6"/>
  <c r="J2247" i="6"/>
  <c r="J2246" i="6"/>
  <c r="J2245" i="6"/>
  <c r="J2244" i="6"/>
  <c r="J2243" i="6"/>
  <c r="J2242" i="6"/>
  <c r="J2241" i="6"/>
  <c r="J2240" i="6"/>
  <c r="J2239" i="6"/>
  <c r="J2238" i="6"/>
  <c r="J2237" i="6"/>
  <c r="J2236" i="6"/>
  <c r="J2235" i="6"/>
  <c r="J2234" i="6"/>
  <c r="J2233" i="6"/>
  <c r="J2232" i="6"/>
  <c r="J2231" i="6"/>
  <c r="J2230" i="6"/>
  <c r="J2229" i="6"/>
  <c r="J2228" i="6"/>
  <c r="J2227" i="6"/>
  <c r="J2226" i="6"/>
  <c r="J2225" i="6"/>
  <c r="J2224" i="6"/>
  <c r="J2223" i="6"/>
  <c r="J2222" i="6"/>
  <c r="J2220" i="6"/>
  <c r="J2219" i="6"/>
  <c r="J2218" i="6"/>
  <c r="J2217" i="6"/>
  <c r="J2216" i="6"/>
  <c r="J2215" i="6"/>
  <c r="J2214" i="6"/>
  <c r="J2213" i="6"/>
  <c r="J2212" i="6"/>
  <c r="J2210" i="6"/>
  <c r="J2209" i="6"/>
  <c r="J2208" i="6"/>
  <c r="J2207" i="6"/>
  <c r="J2206" i="6"/>
  <c r="J2205" i="6"/>
  <c r="J2204" i="6"/>
  <c r="J2203" i="6"/>
  <c r="J2202" i="6"/>
  <c r="J2201" i="6"/>
  <c r="J2200" i="6"/>
  <c r="J2198" i="6"/>
  <c r="J2197" i="6"/>
  <c r="J2196" i="6"/>
  <c r="J2194" i="6"/>
  <c r="J2193" i="6"/>
  <c r="J2192" i="6"/>
  <c r="J2191" i="6"/>
  <c r="J2190" i="6"/>
  <c r="J2189" i="6"/>
  <c r="J2188" i="6"/>
  <c r="J2187" i="6"/>
  <c r="J2186" i="6"/>
  <c r="J2185" i="6"/>
  <c r="J2184" i="6"/>
  <c r="J2183" i="6"/>
  <c r="J2182" i="6"/>
  <c r="J2181" i="6"/>
  <c r="J2180" i="6"/>
  <c r="J2179" i="6"/>
  <c r="J2178" i="6"/>
  <c r="J2177" i="6"/>
  <c r="J2176" i="6"/>
  <c r="J2175" i="6"/>
  <c r="J2174" i="6"/>
  <c r="J2173" i="6"/>
  <c r="J2172" i="6"/>
  <c r="J2171" i="6"/>
  <c r="J2170" i="6"/>
  <c r="J2169" i="6"/>
  <c r="J2168" i="6"/>
  <c r="J2167" i="6"/>
  <c r="J2166" i="6"/>
  <c r="J2165" i="6"/>
  <c r="J2163" i="6"/>
  <c r="J2162" i="6"/>
  <c r="J2161" i="6"/>
  <c r="J2160" i="6"/>
  <c r="J2159" i="6"/>
  <c r="J2158" i="6"/>
  <c r="J2157" i="6"/>
  <c r="J2156" i="6"/>
  <c r="J2155" i="6"/>
  <c r="J2154" i="6"/>
  <c r="J2152" i="6"/>
  <c r="J2151" i="6"/>
  <c r="J2150" i="6"/>
  <c r="J2149" i="6"/>
  <c r="J2148" i="6"/>
  <c r="J2147" i="6"/>
  <c r="J2146" i="6"/>
  <c r="J2144" i="6"/>
  <c r="J2143" i="6"/>
  <c r="J2142" i="6"/>
  <c r="J2141" i="6"/>
  <c r="J2140" i="6"/>
  <c r="J2139" i="6"/>
  <c r="J2137" i="6"/>
  <c r="J2136" i="6"/>
  <c r="J2135" i="6"/>
  <c r="J2134" i="6"/>
  <c r="J2133" i="6"/>
  <c r="J2132" i="6"/>
  <c r="J2131" i="6"/>
  <c r="J2129" i="6"/>
  <c r="J2128" i="6"/>
  <c r="J2127" i="6"/>
  <c r="J2126" i="6"/>
  <c r="J2125" i="6"/>
  <c r="J2124" i="6"/>
  <c r="J2123" i="6"/>
  <c r="J2121" i="6"/>
  <c r="J2120" i="6"/>
  <c r="J2119" i="6"/>
  <c r="J2118" i="6"/>
  <c r="J2117" i="6"/>
  <c r="J2116" i="6"/>
  <c r="J2115" i="6"/>
  <c r="J2113" i="6"/>
  <c r="J2112" i="6"/>
  <c r="J2111" i="6"/>
  <c r="J2110" i="6"/>
  <c r="J2109" i="6"/>
  <c r="J2108" i="6"/>
  <c r="J2107" i="6"/>
  <c r="J2105" i="6"/>
  <c r="J2104" i="6"/>
  <c r="J2103" i="6"/>
  <c r="J2102" i="6"/>
  <c r="J2101" i="6"/>
  <c r="J2100" i="6"/>
  <c r="J2099" i="6"/>
  <c r="J2097" i="6"/>
  <c r="J2096" i="6"/>
  <c r="J2095" i="6"/>
  <c r="J2094" i="6"/>
  <c r="J2093" i="6"/>
  <c r="J2092" i="6"/>
  <c r="J2091" i="6"/>
  <c r="J2090" i="6"/>
  <c r="J2089" i="6"/>
  <c r="J2088" i="6"/>
  <c r="J2087" i="6"/>
  <c r="J2086" i="6"/>
  <c r="J2085" i="6"/>
  <c r="J2084" i="6"/>
  <c r="J2083" i="6"/>
  <c r="J2082" i="6"/>
  <c r="J2081" i="6"/>
  <c r="J2080" i="6"/>
  <c r="J2079" i="6"/>
  <c r="J2078" i="6"/>
  <c r="J2077" i="6"/>
  <c r="J2076" i="6"/>
  <c r="J2075" i="6"/>
  <c r="J2074" i="6"/>
  <c r="J2073" i="6"/>
  <c r="J2071" i="6"/>
  <c r="J2070" i="6"/>
  <c r="J2069" i="6"/>
  <c r="J2068" i="6"/>
  <c r="J2067" i="6"/>
  <c r="J2066" i="6"/>
  <c r="J2065" i="6"/>
  <c r="J2064" i="6"/>
  <c r="J2063" i="6"/>
  <c r="J2062" i="6"/>
  <c r="J2061" i="6"/>
  <c r="J2060" i="6"/>
  <c r="J2059" i="6"/>
  <c r="J2058" i="6"/>
  <c r="J2057" i="6"/>
  <c r="J2056" i="6"/>
  <c r="J2055" i="6"/>
  <c r="J2054" i="6"/>
  <c r="J2053" i="6"/>
  <c r="J2052" i="6"/>
  <c r="J2051" i="6"/>
  <c r="J2050" i="6"/>
  <c r="J2049" i="6"/>
  <c r="J2048" i="6"/>
  <c r="J2047" i="6"/>
  <c r="J2046" i="6"/>
  <c r="J2045" i="6"/>
  <c r="J2044" i="6"/>
  <c r="J2043" i="6"/>
  <c r="J2042" i="6"/>
  <c r="J2041" i="6"/>
  <c r="J2040" i="6"/>
  <c r="J2039" i="6"/>
  <c r="J2038" i="6"/>
  <c r="J2037" i="6"/>
  <c r="J2036" i="6"/>
  <c r="J2035" i="6"/>
  <c r="J2033" i="6"/>
  <c r="J2032" i="6"/>
  <c r="J2031" i="6"/>
  <c r="J2030" i="6"/>
  <c r="J2029" i="6"/>
  <c r="J2028" i="6"/>
  <c r="J2027" i="6"/>
  <c r="J2026" i="6"/>
  <c r="J2025" i="6"/>
  <c r="J2023" i="6"/>
  <c r="J2022" i="6"/>
  <c r="J2021" i="6"/>
  <c r="J2020" i="6"/>
  <c r="J2019" i="6"/>
  <c r="J2018" i="6"/>
  <c r="J2017" i="6"/>
  <c r="J2016" i="6"/>
  <c r="J2015" i="6"/>
  <c r="J2014" i="6"/>
  <c r="J2013" i="6"/>
  <c r="J2011" i="6"/>
  <c r="J2010" i="6"/>
  <c r="J2009" i="6"/>
  <c r="J2007" i="6"/>
  <c r="J2006" i="6"/>
  <c r="J2005" i="6"/>
  <c r="J2004" i="6"/>
  <c r="J2003" i="6"/>
  <c r="J2002" i="6"/>
  <c r="J2001" i="6"/>
  <c r="J2000" i="6"/>
  <c r="J1999" i="6"/>
  <c r="J1998" i="6"/>
  <c r="J1997" i="6"/>
  <c r="J1996" i="6"/>
  <c r="J1995" i="6"/>
  <c r="J1994" i="6"/>
  <c r="J1993" i="6"/>
  <c r="J1992" i="6"/>
  <c r="J1991" i="6"/>
  <c r="J1990" i="6"/>
  <c r="J1989" i="6"/>
  <c r="J1988" i="6"/>
  <c r="J1973" i="6"/>
  <c r="J1972" i="6"/>
  <c r="J1962" i="6"/>
  <c r="J1961" i="6"/>
  <c r="J1960" i="6"/>
  <c r="J1959" i="6"/>
  <c r="J1947" i="6"/>
  <c r="J1946" i="6"/>
  <c r="J1945" i="6"/>
  <c r="J1944" i="6"/>
  <c r="J1939" i="6"/>
  <c r="J1938" i="6"/>
  <c r="J1931" i="6"/>
  <c r="J1930" i="6"/>
  <c r="J1929" i="6"/>
  <c r="J1928" i="6"/>
  <c r="J1923" i="6"/>
  <c r="J1922" i="6"/>
  <c r="J1915" i="6"/>
  <c r="J1914" i="6"/>
  <c r="J1913" i="6"/>
  <c r="J1912" i="6"/>
  <c r="J1907" i="6"/>
  <c r="J1906" i="6"/>
  <c r="J1894" i="6"/>
  <c r="J1893" i="6"/>
  <c r="J1889" i="6"/>
  <c r="J1888" i="6"/>
  <c r="J1887" i="6"/>
  <c r="J1886" i="6"/>
  <c r="J1881" i="6"/>
  <c r="J1880" i="6"/>
  <c r="J1877" i="6"/>
  <c r="J1876" i="6"/>
  <c r="J1874" i="6"/>
  <c r="J1873" i="6"/>
  <c r="J1872" i="6"/>
  <c r="J1871" i="6"/>
  <c r="H7" i="6"/>
  <c r="A7" i="6"/>
  <c r="J1868" i="6"/>
  <c r="J1867" i="6"/>
  <c r="J1863" i="6"/>
  <c r="J1862" i="6"/>
  <c r="J1858" i="6"/>
  <c r="J1857" i="6"/>
  <c r="J1851" i="6"/>
  <c r="J1850" i="6"/>
  <c r="J1849" i="6"/>
  <c r="J1848" i="6"/>
  <c r="J1843" i="6"/>
  <c r="J1842" i="6"/>
  <c r="BC1417" i="6" l="1"/>
  <c r="Y198" i="15"/>
  <c r="BE1421" i="6"/>
  <c r="AB200" i="15"/>
  <c r="BC1431" i="6"/>
  <c r="Y203" i="15"/>
  <c r="BC1459" i="6"/>
  <c r="Y211" i="15"/>
  <c r="BC1461" i="6"/>
  <c r="X212" i="15"/>
  <c r="BC1501" i="6"/>
  <c r="X227" i="15"/>
  <c r="BE1519" i="6"/>
  <c r="AB234" i="15"/>
  <c r="BE1521" i="6"/>
  <c r="AB235" i="15"/>
  <c r="BC1529" i="6"/>
  <c r="X239" i="15"/>
  <c r="Z239" i="15" s="1"/>
  <c r="BC1547" i="6"/>
  <c r="BD1547" i="6" s="1"/>
  <c r="AE247" i="15" s="1"/>
  <c r="AC247" i="15" s="1"/>
  <c r="X247" i="15"/>
  <c r="BC1557" i="6"/>
  <c r="X251" i="15"/>
  <c r="Z251" i="15" s="1"/>
  <c r="BC1567" i="6"/>
  <c r="Y254" i="15"/>
  <c r="BC1583" i="6"/>
  <c r="Y258" i="15"/>
  <c r="BC1593" i="6"/>
  <c r="X263" i="15"/>
  <c r="Z263" i="15" s="1"/>
  <c r="BC1617" i="6"/>
  <c r="BD1617" i="6" s="1"/>
  <c r="AE271" i="15" s="1"/>
  <c r="AC271" i="15" s="1"/>
  <c r="X271" i="15"/>
  <c r="BC1631" i="6"/>
  <c r="BD1631" i="6" s="1"/>
  <c r="AG274" i="15" s="1"/>
  <c r="AD274" i="15" s="1"/>
  <c r="Y274" i="15"/>
  <c r="BC1633" i="6"/>
  <c r="X275" i="15"/>
  <c r="BC1649" i="6"/>
  <c r="BD1649" i="6" s="1"/>
  <c r="AE279" i="15" s="1"/>
  <c r="AC279" i="15" s="1"/>
  <c r="X279" i="15"/>
  <c r="BC1663" i="6"/>
  <c r="Y282" i="15"/>
  <c r="BC1665" i="6"/>
  <c r="X283" i="15"/>
  <c r="BC1681" i="6"/>
  <c r="BD1681" i="6" s="1"/>
  <c r="AE287" i="15" s="1"/>
  <c r="AC287" i="15" s="1"/>
  <c r="X287" i="15"/>
  <c r="BC1695" i="6"/>
  <c r="Y290" i="15"/>
  <c r="BC1697" i="6"/>
  <c r="X291" i="15"/>
  <c r="BC1725" i="6"/>
  <c r="Y298" i="15"/>
  <c r="BC1727" i="6"/>
  <c r="X299" i="15"/>
  <c r="BC1751" i="6"/>
  <c r="X307" i="15"/>
  <c r="Z307" i="15" s="1"/>
  <c r="BC1413" i="6"/>
  <c r="Y197" i="15"/>
  <c r="BC1415" i="6"/>
  <c r="X198" i="15"/>
  <c r="BC1429" i="6"/>
  <c r="BD1429" i="6" s="1"/>
  <c r="AE203" i="15" s="1"/>
  <c r="AC203" i="15" s="1"/>
  <c r="X203" i="15"/>
  <c r="BC1457" i="6"/>
  <c r="BD1457" i="6" s="1"/>
  <c r="AE211" i="15" s="1"/>
  <c r="AC211" i="15" s="1"/>
  <c r="X211" i="15"/>
  <c r="BC1565" i="6"/>
  <c r="BD1565" i="6" s="1"/>
  <c r="AE254" i="15" s="1"/>
  <c r="AC254" i="15" s="1"/>
  <c r="X254" i="15"/>
  <c r="BC1579" i="6"/>
  <c r="Y257" i="15"/>
  <c r="BC1581" i="6"/>
  <c r="X258" i="15"/>
  <c r="BC1591" i="6"/>
  <c r="X262" i="15"/>
  <c r="Z262" i="15" s="1"/>
  <c r="BC1629" i="6"/>
  <c r="BD1629" i="6" s="1"/>
  <c r="AE274" i="15" s="1"/>
  <c r="AC274" i="15" s="1"/>
  <c r="X274" i="15"/>
  <c r="BC1661" i="6"/>
  <c r="X282" i="15"/>
  <c r="BC1693" i="6"/>
  <c r="X290" i="15"/>
  <c r="BC1723" i="6"/>
  <c r="X298" i="15"/>
  <c r="BC1749" i="6"/>
  <c r="X306" i="15"/>
  <c r="Z306" i="15" s="1"/>
  <c r="BC1411" i="6"/>
  <c r="BD1411" i="6" s="1"/>
  <c r="AE197" i="15" s="1"/>
  <c r="AC197" i="15" s="1"/>
  <c r="X197" i="15"/>
  <c r="BC1469" i="6"/>
  <c r="BD1469" i="6" s="1"/>
  <c r="AE215" i="15" s="1"/>
  <c r="AC215" i="15" s="1"/>
  <c r="X215" i="15"/>
  <c r="Z215" i="15" s="1"/>
  <c r="BC1471" i="6"/>
  <c r="X216" i="15"/>
  <c r="Z216" i="15" s="1"/>
  <c r="BC1489" i="6"/>
  <c r="BD1489" i="6" s="1"/>
  <c r="AE223" i="15" s="1"/>
  <c r="AC223" i="15" s="1"/>
  <c r="X223" i="15"/>
  <c r="Z223" i="15" s="1"/>
  <c r="BC1491" i="6"/>
  <c r="X224" i="15"/>
  <c r="Z224" i="15" s="1"/>
  <c r="BC1507" i="6"/>
  <c r="Y228" i="15"/>
  <c r="BC1541" i="6"/>
  <c r="X245" i="15"/>
  <c r="Z245" i="15" s="1"/>
  <c r="BC1577" i="6"/>
  <c r="X257" i="15"/>
  <c r="BC1421" i="6"/>
  <c r="BD1421" i="6" s="1"/>
  <c r="AE200" i="15" s="1"/>
  <c r="AC200" i="15" s="1"/>
  <c r="X200" i="15"/>
  <c r="Z200" i="15" s="1"/>
  <c r="BC1463" i="6"/>
  <c r="Y212" i="15"/>
  <c r="Z212" i="15" s="1"/>
  <c r="BE1469" i="6"/>
  <c r="AB215" i="15"/>
  <c r="BE1471" i="6"/>
  <c r="AB216" i="15"/>
  <c r="BE1489" i="6"/>
  <c r="AB223" i="15"/>
  <c r="BE1491" i="6"/>
  <c r="AB224" i="15"/>
  <c r="BC1503" i="6"/>
  <c r="Y227" i="15"/>
  <c r="Z227" i="15" s="1"/>
  <c r="BC1505" i="6"/>
  <c r="X228" i="15"/>
  <c r="BC1519" i="6"/>
  <c r="X234" i="15"/>
  <c r="Z234" i="15" s="1"/>
  <c r="BC1521" i="6"/>
  <c r="X235" i="15"/>
  <c r="Z235" i="15" s="1"/>
  <c r="BC1531" i="6"/>
  <c r="X240" i="15"/>
  <c r="Z240" i="15" s="1"/>
  <c r="BC1539" i="6"/>
  <c r="X244" i="15"/>
  <c r="Z244" i="15" s="1"/>
  <c r="BC1549" i="6"/>
  <c r="Y247" i="15"/>
  <c r="Z247" i="15" s="1"/>
  <c r="BC1559" i="6"/>
  <c r="X252" i="15"/>
  <c r="Z252" i="15" s="1"/>
  <c r="BC1619" i="6"/>
  <c r="Y271" i="15"/>
  <c r="Z271" i="15" s="1"/>
  <c r="BC1635" i="6"/>
  <c r="Y275" i="15"/>
  <c r="Z275" i="15" s="1"/>
  <c r="BC1651" i="6"/>
  <c r="Y279" i="15"/>
  <c r="Z279" i="15" s="1"/>
  <c r="BC1667" i="6"/>
  <c r="Y283" i="15"/>
  <c r="Z283" i="15" s="1"/>
  <c r="BC1683" i="6"/>
  <c r="Y287" i="15"/>
  <c r="Z287" i="15" s="1"/>
  <c r="BC1699" i="6"/>
  <c r="Y291" i="15"/>
  <c r="Z291" i="15" s="1"/>
  <c r="BC1729" i="6"/>
  <c r="Y299" i="15"/>
  <c r="Z299" i="15" s="1"/>
  <c r="M3863" i="6"/>
  <c r="M3873" i="6"/>
  <c r="M3881" i="6"/>
  <c r="L1929" i="6"/>
  <c r="BB1469" i="6" l="1"/>
  <c r="AA215" i="15" s="1"/>
  <c r="Z257" i="15"/>
  <c r="BB1489" i="6"/>
  <c r="AA223" i="15" s="1"/>
  <c r="Z298" i="15"/>
  <c r="Z290" i="15"/>
  <c r="Z274" i="15"/>
  <c r="Z254" i="15"/>
  <c r="Z211" i="15"/>
  <c r="BB1421" i="6"/>
  <c r="AA200" i="15" s="1"/>
  <c r="Z228" i="15"/>
  <c r="Z197" i="15"/>
  <c r="Z282" i="15"/>
  <c r="Z258" i="15"/>
  <c r="Z203" i="15"/>
  <c r="Z198" i="15"/>
  <c r="J1833" i="6"/>
  <c r="J1832" i="6"/>
  <c r="J1829" i="6"/>
  <c r="J1828" i="6"/>
  <c r="J1827" i="6"/>
  <c r="J1826" i="6"/>
  <c r="J1813" i="6"/>
  <c r="J1812" i="6"/>
  <c r="J1808" i="6"/>
  <c r="J1804" i="6"/>
  <c r="J1803" i="6"/>
  <c r="K3468" i="6"/>
  <c r="F1749" i="6" s="1"/>
  <c r="K3411" i="6"/>
  <c r="K3410" i="6"/>
  <c r="K3389" i="6"/>
  <c r="K3339" i="6"/>
  <c r="K3325" i="6"/>
  <c r="K3324" i="6"/>
  <c r="K3248" i="6"/>
  <c r="K3238" i="6"/>
  <c r="K3239" i="6" s="1"/>
  <c r="K3240" i="6" s="1"/>
  <c r="K3232" i="6"/>
  <c r="K3216" i="6"/>
  <c r="F1619" i="6" s="1"/>
  <c r="K3190" i="6"/>
  <c r="K3181" i="6"/>
  <c r="K3172" i="6"/>
  <c r="K3158" i="6"/>
  <c r="K3159" i="6" s="1"/>
  <c r="K3160" i="6" s="1"/>
  <c r="K3152" i="6"/>
  <c r="K3136" i="6"/>
  <c r="K3122" i="6"/>
  <c r="K3113" i="6"/>
  <c r="K2908" i="6"/>
  <c r="K2897" i="6"/>
  <c r="K2896" i="6"/>
  <c r="K2882" i="6"/>
  <c r="K2881" i="6"/>
  <c r="K2866" i="6"/>
  <c r="K2865" i="6"/>
  <c r="K2850" i="6"/>
  <c r="K2849" i="6"/>
  <c r="K2824" i="6"/>
  <c r="K2823" i="6"/>
  <c r="K2812" i="6"/>
  <c r="K2803" i="6"/>
  <c r="K2798" i="6"/>
  <c r="K2793" i="6"/>
  <c r="K2786" i="6"/>
  <c r="K2785" i="6"/>
  <c r="K2778" i="6"/>
  <c r="K2768" i="6"/>
  <c r="K2764" i="6"/>
  <c r="K2763" i="6"/>
  <c r="K2721" i="6"/>
  <c r="K2710" i="6"/>
  <c r="K2709" i="6"/>
  <c r="K2695" i="6"/>
  <c r="K2694" i="6"/>
  <c r="K2687" i="6"/>
  <c r="F1683" i="6" s="1"/>
  <c r="K2678" i="6"/>
  <c r="K2677" i="6"/>
  <c r="K2671" i="6"/>
  <c r="K2663" i="6"/>
  <c r="K2662" i="6"/>
  <c r="K2637" i="6"/>
  <c r="K2636" i="6"/>
  <c r="K2629" i="6"/>
  <c r="F1567" i="6" s="1"/>
  <c r="K2625" i="6"/>
  <c r="K2620" i="6"/>
  <c r="K2616" i="6"/>
  <c r="K2611" i="6"/>
  <c r="K2606" i="6"/>
  <c r="K2598" i="6"/>
  <c r="K2597" i="6"/>
  <c r="K2591" i="6"/>
  <c r="F1491" i="6" s="1"/>
  <c r="K2581" i="6"/>
  <c r="K2576" i="6"/>
  <c r="K2575" i="6"/>
  <c r="K2561" i="6"/>
  <c r="F1431" i="6" s="1"/>
  <c r="K2552" i="6"/>
  <c r="F1413" i="6" s="1"/>
  <c r="BD1431" i="6" l="1"/>
  <c r="AG203" i="15" s="1"/>
  <c r="AD203" i="15" s="1"/>
  <c r="M203" i="15"/>
  <c r="J203" i="15" s="1"/>
  <c r="BD1619" i="6"/>
  <c r="AG271" i="15" s="1"/>
  <c r="AD271" i="15" s="1"/>
  <c r="M271" i="15"/>
  <c r="J271" i="15" s="1"/>
  <c r="BD1567" i="6"/>
  <c r="AG254" i="15" s="1"/>
  <c r="AD254" i="15" s="1"/>
  <c r="M254" i="15"/>
  <c r="J254" i="15" s="1"/>
  <c r="BD1683" i="6"/>
  <c r="AG287" i="15" s="1"/>
  <c r="AD287" i="15" s="1"/>
  <c r="M287" i="15"/>
  <c r="J287" i="15" s="1"/>
  <c r="BD1413" i="6"/>
  <c r="AG197" i="15" s="1"/>
  <c r="AD197" i="15" s="1"/>
  <c r="M197" i="15"/>
  <c r="J197" i="15" s="1"/>
  <c r="BD1491" i="6"/>
  <c r="K224" i="15"/>
  <c r="BD1749" i="6"/>
  <c r="AE306" i="15" s="1"/>
  <c r="AC306" i="15" s="1"/>
  <c r="K306" i="15"/>
  <c r="F1633" i="6"/>
  <c r="F1471" i="6"/>
  <c r="K2599" i="6"/>
  <c r="K3390" i="6"/>
  <c r="F1593" i="6" s="1"/>
  <c r="F1591" i="6"/>
  <c r="F1635" i="6"/>
  <c r="K2577" i="6"/>
  <c r="F1463" i="6" s="1"/>
  <c r="F1459" i="6"/>
  <c r="F1651" i="6"/>
  <c r="F1461" i="6"/>
  <c r="F1549" i="6"/>
  <c r="K2679" i="6"/>
  <c r="H1778" i="6"/>
  <c r="H1777" i="6"/>
  <c r="H1774" i="6"/>
  <c r="H1773" i="6"/>
  <c r="H1770" i="6"/>
  <c r="H1769" i="6"/>
  <c r="H1766" i="6"/>
  <c r="H1765" i="6"/>
  <c r="H1762" i="6"/>
  <c r="H1761" i="6"/>
  <c r="H1756" i="6"/>
  <c r="H1755" i="6"/>
  <c r="H1754" i="6"/>
  <c r="H1753" i="6"/>
  <c r="H1752" i="6"/>
  <c r="I1752" i="6" s="1"/>
  <c r="R307" i="15" s="1"/>
  <c r="H1751" i="6"/>
  <c r="H1750" i="6"/>
  <c r="I1750" i="6" s="1"/>
  <c r="R306" i="15" s="1"/>
  <c r="H1749" i="6"/>
  <c r="I1749" i="6" s="1"/>
  <c r="Q306" i="15" s="1"/>
  <c r="H1746" i="6"/>
  <c r="H1745" i="6"/>
  <c r="H1744" i="6"/>
  <c r="H1743" i="6"/>
  <c r="H1742" i="6"/>
  <c r="H1741" i="6"/>
  <c r="H1740" i="6"/>
  <c r="H1739" i="6"/>
  <c r="H1734" i="6"/>
  <c r="H1733" i="6"/>
  <c r="H1732" i="6"/>
  <c r="H1731" i="6"/>
  <c r="H1730" i="6"/>
  <c r="I1730" i="6" s="1"/>
  <c r="T299" i="15" s="1"/>
  <c r="H1729" i="6"/>
  <c r="H1728" i="6"/>
  <c r="I1728" i="6" s="1"/>
  <c r="R299" i="15" s="1"/>
  <c r="H1727" i="6"/>
  <c r="H1726" i="6"/>
  <c r="I1726" i="6" s="1"/>
  <c r="T298" i="15" s="1"/>
  <c r="H1725" i="6"/>
  <c r="H1724" i="6"/>
  <c r="I1724" i="6" s="1"/>
  <c r="R298" i="15" s="1"/>
  <c r="H1723" i="6"/>
  <c r="H1718" i="6"/>
  <c r="H1717" i="6"/>
  <c r="H1716" i="6"/>
  <c r="H1715" i="6"/>
  <c r="H1714" i="6"/>
  <c r="H1713" i="6"/>
  <c r="H1712" i="6"/>
  <c r="H1711" i="6"/>
  <c r="H1710" i="6"/>
  <c r="H1709" i="6"/>
  <c r="H1704" i="6"/>
  <c r="H1703" i="6"/>
  <c r="H1702" i="6"/>
  <c r="H1701" i="6"/>
  <c r="H1700" i="6"/>
  <c r="I1700" i="6" s="1"/>
  <c r="T291" i="15" s="1"/>
  <c r="H1699" i="6"/>
  <c r="H1698" i="6"/>
  <c r="I1698" i="6" s="1"/>
  <c r="R291" i="15" s="1"/>
  <c r="H1697" i="6"/>
  <c r="H1696" i="6"/>
  <c r="I1696" i="6" s="1"/>
  <c r="T290" i="15" s="1"/>
  <c r="H1695" i="6"/>
  <c r="H1694" i="6"/>
  <c r="I1694" i="6" s="1"/>
  <c r="R290" i="15" s="1"/>
  <c r="H1693" i="6"/>
  <c r="H1688" i="6"/>
  <c r="H1687" i="6"/>
  <c r="H1686" i="6"/>
  <c r="H1685" i="6"/>
  <c r="H1684" i="6"/>
  <c r="I1684" i="6" s="1"/>
  <c r="T287" i="15" s="1"/>
  <c r="H1683" i="6"/>
  <c r="I1683" i="6" s="1"/>
  <c r="S287" i="15" s="1"/>
  <c r="H1682" i="6"/>
  <c r="I1682" i="6" s="1"/>
  <c r="R287" i="15" s="1"/>
  <c r="H1681" i="6"/>
  <c r="I1681" i="6" s="1"/>
  <c r="Q287" i="15" s="1"/>
  <c r="H1680" i="6"/>
  <c r="H1679" i="6"/>
  <c r="H1678" i="6"/>
  <c r="H1677" i="6"/>
  <c r="H1672" i="6"/>
  <c r="H1671" i="6"/>
  <c r="H1670" i="6"/>
  <c r="H1669" i="6"/>
  <c r="H1668" i="6"/>
  <c r="I1668" i="6" s="1"/>
  <c r="T283" i="15" s="1"/>
  <c r="H1667" i="6"/>
  <c r="H1666" i="6"/>
  <c r="I1666" i="6" s="1"/>
  <c r="R283" i="15" s="1"/>
  <c r="H1665" i="6"/>
  <c r="H1664" i="6"/>
  <c r="I1664" i="6" s="1"/>
  <c r="T282" i="15" s="1"/>
  <c r="H1663" i="6"/>
  <c r="H1662" i="6"/>
  <c r="I1662" i="6" s="1"/>
  <c r="R282" i="15" s="1"/>
  <c r="H1661" i="6"/>
  <c r="H1656" i="6"/>
  <c r="H1655" i="6"/>
  <c r="H1654" i="6"/>
  <c r="H1653" i="6"/>
  <c r="H1652" i="6"/>
  <c r="I1652" i="6" s="1"/>
  <c r="T279" i="15" s="1"/>
  <c r="H1651" i="6"/>
  <c r="H1650" i="6"/>
  <c r="I1650" i="6" s="1"/>
  <c r="R279" i="15" s="1"/>
  <c r="H1649" i="6"/>
  <c r="I1649" i="6" s="1"/>
  <c r="Q279" i="15" s="1"/>
  <c r="H1648" i="6"/>
  <c r="H1647" i="6"/>
  <c r="H1646" i="6"/>
  <c r="H1645" i="6"/>
  <c r="H1640" i="6"/>
  <c r="H1639" i="6"/>
  <c r="H1638" i="6"/>
  <c r="H1637" i="6"/>
  <c r="H1636" i="6"/>
  <c r="I1636" i="6" s="1"/>
  <c r="T275" i="15" s="1"/>
  <c r="H1635" i="6"/>
  <c r="I1635" i="6" s="1"/>
  <c r="S275" i="15" s="1"/>
  <c r="H1634" i="6"/>
  <c r="I1634" i="6" s="1"/>
  <c r="R275" i="15" s="1"/>
  <c r="H1633" i="6"/>
  <c r="H1632" i="6"/>
  <c r="I1632" i="6" s="1"/>
  <c r="T274" i="15" s="1"/>
  <c r="H1631" i="6"/>
  <c r="I1631" i="6" s="1"/>
  <c r="S274" i="15" s="1"/>
  <c r="H1630" i="6"/>
  <c r="I1630" i="6" s="1"/>
  <c r="R274" i="15" s="1"/>
  <c r="H1629" i="6"/>
  <c r="I1629" i="6" s="1"/>
  <c r="Q274" i="15" s="1"/>
  <c r="H1624" i="6"/>
  <c r="H1623" i="6"/>
  <c r="H1622" i="6"/>
  <c r="H1621" i="6"/>
  <c r="H1620" i="6"/>
  <c r="I1620" i="6" s="1"/>
  <c r="T271" i="15" s="1"/>
  <c r="H1619" i="6"/>
  <c r="I1619" i="6" s="1"/>
  <c r="S271" i="15" s="1"/>
  <c r="H1618" i="6"/>
  <c r="I1618" i="6" s="1"/>
  <c r="R271" i="15" s="1"/>
  <c r="H1617" i="6"/>
  <c r="I1617" i="6" s="1"/>
  <c r="Q271" i="15" s="1"/>
  <c r="H1616" i="6"/>
  <c r="H1615" i="6"/>
  <c r="H1614" i="6"/>
  <c r="H1613" i="6"/>
  <c r="H1612" i="6"/>
  <c r="H1611" i="6"/>
  <c r="H1610" i="6"/>
  <c r="H1609" i="6"/>
  <c r="H1608" i="6"/>
  <c r="H1607" i="6"/>
  <c r="H1606" i="6"/>
  <c r="H1605" i="6"/>
  <c r="H1604" i="6"/>
  <c r="H1603" i="6"/>
  <c r="H1602" i="6"/>
  <c r="H1601" i="6"/>
  <c r="H1600" i="6"/>
  <c r="H1599" i="6"/>
  <c r="H1598" i="6"/>
  <c r="H1597" i="6"/>
  <c r="H1596" i="6"/>
  <c r="H1595" i="6"/>
  <c r="H1594" i="6"/>
  <c r="I1594" i="6" s="1"/>
  <c r="R263" i="15" s="1"/>
  <c r="H1593" i="6"/>
  <c r="I1593" i="6" s="1"/>
  <c r="Q263" i="15" s="1"/>
  <c r="H1592" i="6"/>
  <c r="I1592" i="6" s="1"/>
  <c r="R262" i="15" s="1"/>
  <c r="H1591" i="6"/>
  <c r="I1591" i="6" s="1"/>
  <c r="Q262" i="15" s="1"/>
  <c r="H1590" i="6"/>
  <c r="H1589" i="6"/>
  <c r="H1588" i="6"/>
  <c r="H1587" i="6"/>
  <c r="H1586" i="6"/>
  <c r="H1585" i="6"/>
  <c r="H1584" i="6"/>
  <c r="I1584" i="6" s="1"/>
  <c r="T258" i="15" s="1"/>
  <c r="H1583" i="6"/>
  <c r="H1582" i="6"/>
  <c r="I1582" i="6" s="1"/>
  <c r="R258" i="15" s="1"/>
  <c r="H1581" i="6"/>
  <c r="H1580" i="6"/>
  <c r="I1580" i="6" s="1"/>
  <c r="T257" i="15" s="1"/>
  <c r="H1579" i="6"/>
  <c r="H1578" i="6"/>
  <c r="I1578" i="6" s="1"/>
  <c r="R257" i="15" s="1"/>
  <c r="H1577" i="6"/>
  <c r="H1572" i="6"/>
  <c r="H1571" i="6"/>
  <c r="H1570" i="6"/>
  <c r="H1569" i="6"/>
  <c r="H1568" i="6"/>
  <c r="I1568" i="6" s="1"/>
  <c r="T254" i="15" s="1"/>
  <c r="H1567" i="6"/>
  <c r="I1567" i="6" s="1"/>
  <c r="S254" i="15" s="1"/>
  <c r="H1566" i="6"/>
  <c r="I1566" i="6" s="1"/>
  <c r="R254" i="15" s="1"/>
  <c r="H1565" i="6"/>
  <c r="I1565" i="6" s="1"/>
  <c r="Q254" i="15" s="1"/>
  <c r="H1564" i="6"/>
  <c r="H1563" i="6"/>
  <c r="H1562" i="6"/>
  <c r="H1561" i="6"/>
  <c r="H1560" i="6"/>
  <c r="I1560" i="6" s="1"/>
  <c r="R252" i="15" s="1"/>
  <c r="H1559" i="6"/>
  <c r="H1558" i="6"/>
  <c r="I1558" i="6" s="1"/>
  <c r="R251" i="15" s="1"/>
  <c r="H1557" i="6"/>
  <c r="H1554" i="6"/>
  <c r="H1553" i="6"/>
  <c r="H1552" i="6"/>
  <c r="H1551" i="6"/>
  <c r="H1550" i="6"/>
  <c r="I1550" i="6" s="1"/>
  <c r="T247" i="15" s="1"/>
  <c r="H1549" i="6"/>
  <c r="I1549" i="6" s="1"/>
  <c r="S247" i="15" s="1"/>
  <c r="H1548" i="6"/>
  <c r="I1548" i="6" s="1"/>
  <c r="R247" i="15" s="1"/>
  <c r="H1547" i="6"/>
  <c r="I1547" i="6" s="1"/>
  <c r="Q247" i="15" s="1"/>
  <c r="H1546" i="6"/>
  <c r="H1545" i="6"/>
  <c r="H1544" i="6"/>
  <c r="H1543" i="6"/>
  <c r="H1542" i="6"/>
  <c r="I1542" i="6" s="1"/>
  <c r="R245" i="15" s="1"/>
  <c r="H1541" i="6"/>
  <c r="H1540" i="6"/>
  <c r="I1540" i="6" s="1"/>
  <c r="R244" i="15" s="1"/>
  <c r="H1539" i="6"/>
  <c r="H1536" i="6"/>
  <c r="H1535" i="6"/>
  <c r="H1534" i="6"/>
  <c r="H1533" i="6"/>
  <c r="H1532" i="6"/>
  <c r="I1532" i="6" s="1"/>
  <c r="R240" i="15" s="1"/>
  <c r="H1531" i="6"/>
  <c r="H1530" i="6"/>
  <c r="I1530" i="6" s="1"/>
  <c r="R239" i="15" s="1"/>
  <c r="H1529" i="6"/>
  <c r="H1526" i="6"/>
  <c r="H1525" i="6"/>
  <c r="H1524" i="6"/>
  <c r="H1523" i="6"/>
  <c r="H1522" i="6"/>
  <c r="I1522" i="6" s="1"/>
  <c r="R235" i="15" s="1"/>
  <c r="H1521" i="6"/>
  <c r="H1520" i="6"/>
  <c r="I1520" i="6" s="1"/>
  <c r="R234" i="15" s="1"/>
  <c r="H1519" i="6"/>
  <c r="H1516" i="6"/>
  <c r="H1515" i="6"/>
  <c r="H1514" i="6"/>
  <c r="H1513" i="6"/>
  <c r="H1510" i="6"/>
  <c r="H1509" i="6"/>
  <c r="H1508" i="6"/>
  <c r="I1508" i="6" s="1"/>
  <c r="T228" i="15" s="1"/>
  <c r="H1507" i="6"/>
  <c r="H1506" i="6"/>
  <c r="I1506" i="6" s="1"/>
  <c r="R228" i="15" s="1"/>
  <c r="H1505" i="6"/>
  <c r="H1504" i="6"/>
  <c r="I1504" i="6" s="1"/>
  <c r="T227" i="15" s="1"/>
  <c r="H1503" i="6"/>
  <c r="H1502" i="6"/>
  <c r="I1502" i="6" s="1"/>
  <c r="R227" i="15" s="1"/>
  <c r="H1501" i="6"/>
  <c r="H1496" i="6"/>
  <c r="H1495" i="6"/>
  <c r="H1494" i="6"/>
  <c r="H1493" i="6"/>
  <c r="H1492" i="6"/>
  <c r="I1492" i="6" s="1"/>
  <c r="R224" i="15" s="1"/>
  <c r="H1491" i="6"/>
  <c r="I1491" i="6" s="1"/>
  <c r="Q224" i="15" s="1"/>
  <c r="H1490" i="6"/>
  <c r="I1490" i="6" s="1"/>
  <c r="R223" i="15" s="1"/>
  <c r="H1489" i="6"/>
  <c r="I1489" i="6" s="1"/>
  <c r="Q223" i="15" s="1"/>
  <c r="H1486" i="6"/>
  <c r="H1485" i="6"/>
  <c r="H1482" i="6"/>
  <c r="H1481" i="6"/>
  <c r="H1476" i="6"/>
  <c r="H1475" i="6"/>
  <c r="H1474" i="6"/>
  <c r="H1473" i="6"/>
  <c r="H1472" i="6"/>
  <c r="I1472" i="6" s="1"/>
  <c r="R216" i="15" s="1"/>
  <c r="H1471" i="6"/>
  <c r="I1471" i="6" s="1"/>
  <c r="Q216" i="15" s="1"/>
  <c r="H1470" i="6"/>
  <c r="I1470" i="6" s="1"/>
  <c r="R215" i="15" s="1"/>
  <c r="H1469" i="6"/>
  <c r="I1469" i="6" s="1"/>
  <c r="Q215" i="15" s="1"/>
  <c r="H1466" i="6"/>
  <c r="H1465" i="6"/>
  <c r="H1464" i="6"/>
  <c r="I1464" i="6" s="1"/>
  <c r="T212" i="15" s="1"/>
  <c r="H1463" i="6"/>
  <c r="H1462" i="6"/>
  <c r="I1462" i="6" s="1"/>
  <c r="R212" i="15" s="1"/>
  <c r="H1461" i="6"/>
  <c r="I1461" i="6" s="1"/>
  <c r="Q212" i="15" s="1"/>
  <c r="H1460" i="6"/>
  <c r="I1460" i="6" s="1"/>
  <c r="T211" i="15" s="1"/>
  <c r="H1459" i="6"/>
  <c r="H1458" i="6"/>
  <c r="I1458" i="6" s="1"/>
  <c r="R211" i="15" s="1"/>
  <c r="H1457" i="6"/>
  <c r="I1457" i="6" s="1"/>
  <c r="Q211" i="15" s="1"/>
  <c r="H1452" i="6"/>
  <c r="H1451" i="6"/>
  <c r="H1450" i="6"/>
  <c r="H1449" i="6"/>
  <c r="H1444" i="6"/>
  <c r="H1443" i="6"/>
  <c r="H1442" i="6"/>
  <c r="H1441" i="6"/>
  <c r="H1440" i="6"/>
  <c r="H1439" i="6"/>
  <c r="H1438" i="6"/>
  <c r="H1437" i="6"/>
  <c r="H1436" i="6"/>
  <c r="H1435" i="6"/>
  <c r="H1434" i="6"/>
  <c r="H1433" i="6"/>
  <c r="H1432" i="6"/>
  <c r="I1432" i="6" s="1"/>
  <c r="T203" i="15" s="1"/>
  <c r="H1431" i="6"/>
  <c r="I1431" i="6" s="1"/>
  <c r="S203" i="15" s="1"/>
  <c r="H1430" i="6"/>
  <c r="I1430" i="6" s="1"/>
  <c r="R203" i="15" s="1"/>
  <c r="H1429" i="6"/>
  <c r="I1429" i="6" s="1"/>
  <c r="Q203" i="15" s="1"/>
  <c r="H1428" i="6"/>
  <c r="H1427" i="6"/>
  <c r="H1426" i="6"/>
  <c r="H1425" i="6"/>
  <c r="H1424" i="6"/>
  <c r="H1423" i="6"/>
  <c r="H1422" i="6"/>
  <c r="I1422" i="6" s="1"/>
  <c r="R200" i="15" s="1"/>
  <c r="H1421" i="6"/>
  <c r="I1421" i="6" s="1"/>
  <c r="Q200" i="15" s="1"/>
  <c r="H1415" i="6"/>
  <c r="H1416" i="6"/>
  <c r="H1417" i="6"/>
  <c r="H1418" i="6"/>
  <c r="H1419" i="6"/>
  <c r="H1420" i="6"/>
  <c r="H1411" i="6"/>
  <c r="I1411" i="6" s="1"/>
  <c r="Q197" i="15" s="1"/>
  <c r="O197" i="15" s="1"/>
  <c r="AO197" i="15" s="1"/>
  <c r="H1412" i="6"/>
  <c r="I1412" i="6" s="1"/>
  <c r="R197" i="15" s="1"/>
  <c r="H1413" i="6"/>
  <c r="I1413" i="6" s="1"/>
  <c r="S197" i="15" s="1"/>
  <c r="H1414" i="6"/>
  <c r="I1414" i="6" s="1"/>
  <c r="T197" i="15" s="1"/>
  <c r="P197" i="15" l="1"/>
  <c r="W197" i="15" s="1"/>
  <c r="P203" i="15"/>
  <c r="W203" i="15" s="1"/>
  <c r="O215" i="15"/>
  <c r="O223" i="15"/>
  <c r="P247" i="15"/>
  <c r="W247" i="15" s="1"/>
  <c r="P254" i="15"/>
  <c r="W254" i="15" s="1"/>
  <c r="O262" i="15"/>
  <c r="W262" i="15" s="1"/>
  <c r="P271" i="15"/>
  <c r="W271" i="15" s="1"/>
  <c r="P274" i="15"/>
  <c r="W274" i="15" s="1"/>
  <c r="P275" i="15"/>
  <c r="W275" i="15" s="1"/>
  <c r="P287" i="15"/>
  <c r="W287" i="15" s="1"/>
  <c r="O306" i="15"/>
  <c r="W306" i="15" s="1"/>
  <c r="BD1461" i="6"/>
  <c r="AE212" i="15" s="1"/>
  <c r="AC212" i="15" s="1"/>
  <c r="K212" i="15"/>
  <c r="BD1635" i="6"/>
  <c r="AG275" i="15" s="1"/>
  <c r="AD275" i="15" s="1"/>
  <c r="M275" i="15"/>
  <c r="J275" i="15" s="1"/>
  <c r="BD1471" i="6"/>
  <c r="K216" i="15"/>
  <c r="I224" i="15"/>
  <c r="AN224" i="15"/>
  <c r="BD1651" i="6"/>
  <c r="AG279" i="15" s="1"/>
  <c r="AD279" i="15" s="1"/>
  <c r="M279" i="15"/>
  <c r="J279" i="15" s="1"/>
  <c r="BD1591" i="6"/>
  <c r="AE262" i="15" s="1"/>
  <c r="AC262" i="15" s="1"/>
  <c r="K262" i="15"/>
  <c r="BD1633" i="6"/>
  <c r="AE275" i="15" s="1"/>
  <c r="AC275" i="15" s="1"/>
  <c r="K275" i="15"/>
  <c r="BB1491" i="6"/>
  <c r="AA224" i="15" s="1"/>
  <c r="AE224" i="15"/>
  <c r="AC224" i="15" s="1"/>
  <c r="O200" i="15"/>
  <c r="O203" i="15"/>
  <c r="AO203" i="15" s="1"/>
  <c r="O211" i="15"/>
  <c r="AO211" i="15" s="1"/>
  <c r="AP211" i="15" s="1"/>
  <c r="O212" i="15"/>
  <c r="O216" i="15"/>
  <c r="W216" i="15" s="1"/>
  <c r="O224" i="15"/>
  <c r="W224" i="15" s="1"/>
  <c r="O247" i="15"/>
  <c r="AO247" i="15" s="1"/>
  <c r="O254" i="15"/>
  <c r="AO254" i="15" s="1"/>
  <c r="O263" i="15"/>
  <c r="W263" i="15" s="1"/>
  <c r="O271" i="15"/>
  <c r="AO271" i="15" s="1"/>
  <c r="O274" i="15"/>
  <c r="AO274" i="15" s="1"/>
  <c r="AP274" i="15" s="1"/>
  <c r="O279" i="15"/>
  <c r="AO279" i="15" s="1"/>
  <c r="O287" i="15"/>
  <c r="AO287" i="15" s="1"/>
  <c r="BD1459" i="6"/>
  <c r="AG211" i="15" s="1"/>
  <c r="AD211" i="15" s="1"/>
  <c r="M211" i="15"/>
  <c r="J211" i="15" s="1"/>
  <c r="BD1593" i="6"/>
  <c r="AE263" i="15" s="1"/>
  <c r="AC263" i="15" s="1"/>
  <c r="K263" i="15"/>
  <c r="I306" i="15"/>
  <c r="AN306" i="15"/>
  <c r="AO306" i="15" s="1"/>
  <c r="AP306" i="15" s="1"/>
  <c r="BD1549" i="6"/>
  <c r="AG247" i="15" s="1"/>
  <c r="AD247" i="15" s="1"/>
  <c r="M247" i="15"/>
  <c r="J247" i="15" s="1"/>
  <c r="BD1463" i="6"/>
  <c r="AG212" i="15" s="1"/>
  <c r="AD212" i="15" s="1"/>
  <c r="M212" i="15"/>
  <c r="J212" i="15" s="1"/>
  <c r="I1463" i="6"/>
  <c r="S212" i="15" s="1"/>
  <c r="P212" i="15" s="1"/>
  <c r="W212" i="15" s="1"/>
  <c r="I1651" i="6"/>
  <c r="S279" i="15" s="1"/>
  <c r="P279" i="15" s="1"/>
  <c r="W279" i="15" s="1"/>
  <c r="I1633" i="6"/>
  <c r="Q275" i="15" s="1"/>
  <c r="O275" i="15" s="1"/>
  <c r="I1459" i="6"/>
  <c r="S211" i="15" s="1"/>
  <c r="P211" i="15" s="1"/>
  <c r="W211" i="15" s="1"/>
  <c r="F1364" i="6"/>
  <c r="F1365" i="6"/>
  <c r="F1366" i="6"/>
  <c r="F1367" i="6"/>
  <c r="F1368" i="6"/>
  <c r="F1369" i="6"/>
  <c r="F1351" i="6"/>
  <c r="F1350" i="6"/>
  <c r="F1349" i="6"/>
  <c r="F1348" i="6"/>
  <c r="F1347" i="6"/>
  <c r="F1346" i="6"/>
  <c r="F1345" i="6"/>
  <c r="F1344" i="6"/>
  <c r="F1343" i="6"/>
  <c r="F1342" i="6"/>
  <c r="F1341" i="6"/>
  <c r="F1340" i="6"/>
  <c r="F1339" i="6"/>
  <c r="F1338" i="6"/>
  <c r="F1337" i="6"/>
  <c r="F1336" i="6"/>
  <c r="F1335" i="6"/>
  <c r="F1334" i="6"/>
  <c r="AO224" i="15" l="1"/>
  <c r="AP224" i="15" s="1"/>
  <c r="AN263" i="15"/>
  <c r="AO263" i="15" s="1"/>
  <c r="I263" i="15"/>
  <c r="W200" i="15"/>
  <c r="AO200" i="15"/>
  <c r="BB1471" i="6"/>
  <c r="AA216" i="15" s="1"/>
  <c r="AE216" i="15"/>
  <c r="AC216" i="15" s="1"/>
  <c r="AN262" i="15"/>
  <c r="AO262" i="15" s="1"/>
  <c r="I262" i="15"/>
  <c r="W223" i="15"/>
  <c r="AO223" i="15"/>
  <c r="AP223" i="15" s="1"/>
  <c r="W215" i="15"/>
  <c r="AO215" i="15"/>
  <c r="AP215" i="15" s="1"/>
  <c r="AN275" i="15"/>
  <c r="AO275" i="15" s="1"/>
  <c r="AP275" i="15" s="1"/>
  <c r="I275" i="15"/>
  <c r="AN216" i="15"/>
  <c r="AO216" i="15" s="1"/>
  <c r="AP216" i="15" s="1"/>
  <c r="I216" i="15"/>
  <c r="AN212" i="15"/>
  <c r="AO212" i="15" s="1"/>
  <c r="AP212" i="15" s="1"/>
  <c r="I212" i="15"/>
  <c r="L14" i="6"/>
  <c r="L13" i="6"/>
  <c r="J14" i="6"/>
  <c r="I14" i="6"/>
  <c r="J13" i="6"/>
  <c r="I13" i="6"/>
  <c r="K8" i="6"/>
  <c r="K7" i="6"/>
  <c r="J8" i="6"/>
  <c r="J7" i="6"/>
  <c r="I8" i="6"/>
  <c r="I7" i="6"/>
  <c r="K12" i="6"/>
  <c r="K10" i="6"/>
  <c r="J10" i="6"/>
  <c r="J12" i="6"/>
  <c r="J16" i="6"/>
  <c r="J18" i="6"/>
  <c r="I18" i="6"/>
  <c r="I16" i="6"/>
  <c r="I12" i="6"/>
  <c r="I10" i="6"/>
  <c r="AG269" i="5"/>
  <c r="AF269" i="5"/>
  <c r="AE269" i="5"/>
  <c r="AD269" i="5"/>
  <c r="AC269" i="5"/>
  <c r="AB269" i="5"/>
  <c r="AA269" i="5"/>
  <c r="Z269" i="5"/>
  <c r="Y269" i="5"/>
  <c r="X269" i="5"/>
  <c r="W269" i="5"/>
  <c r="G252" i="5"/>
  <c r="H67" i="3"/>
  <c r="H68" i="3"/>
  <c r="H69" i="3"/>
  <c r="DE785" i="2" l="1"/>
  <c r="DE768" i="2"/>
  <c r="DE767" i="2"/>
  <c r="DE751" i="2"/>
  <c r="DE733" i="2"/>
  <c r="DE732" i="2"/>
  <c r="DE731" i="2"/>
  <c r="DE715" i="2"/>
  <c r="DE699" i="2"/>
  <c r="DE683" i="2"/>
  <c r="DE667" i="2"/>
  <c r="DE650" i="2"/>
  <c r="DE649" i="2"/>
  <c r="DE633" i="2"/>
  <c r="DE616" i="2"/>
  <c r="DE615" i="2"/>
  <c r="DE598" i="2"/>
  <c r="DE597" i="2"/>
  <c r="DE575" i="2"/>
  <c r="DE574" i="2"/>
  <c r="DE558" i="2"/>
  <c r="DE538" i="2"/>
  <c r="DE537" i="2"/>
  <c r="DE536" i="2"/>
  <c r="DE535" i="2"/>
  <c r="DE534" i="2"/>
  <c r="DE533" i="2"/>
  <c r="DE532" i="2"/>
  <c r="DE512" i="2"/>
  <c r="DE511" i="2"/>
  <c r="DE510" i="2"/>
  <c r="DE509" i="2"/>
  <c r="DE508" i="2"/>
  <c r="DE507" i="2"/>
  <c r="DE506" i="2"/>
  <c r="DE486" i="2"/>
  <c r="DE485" i="2"/>
  <c r="DE484" i="2"/>
  <c r="DE483" i="2"/>
  <c r="DE482" i="2"/>
  <c r="DE465" i="2"/>
  <c r="DE464" i="2"/>
  <c r="DE463" i="2"/>
  <c r="DE462" i="2"/>
  <c r="DE442" i="2"/>
  <c r="DE422" i="2"/>
  <c r="DE421" i="2"/>
  <c r="DE420" i="2"/>
  <c r="DE419" i="2"/>
  <c r="DE418" i="2"/>
  <c r="DE417" i="2"/>
  <c r="DE399" i="2"/>
  <c r="DE398" i="2"/>
  <c r="DE397" i="2"/>
  <c r="DE396" i="2"/>
  <c r="DE395" i="2"/>
  <c r="DE348" i="2"/>
  <c r="DE347" i="2"/>
  <c r="DE345" i="2"/>
  <c r="DE331" i="2"/>
  <c r="DE313" i="2"/>
  <c r="DE312" i="2"/>
  <c r="DE311" i="2"/>
  <c r="DE292" i="2"/>
  <c r="DE291" i="2"/>
  <c r="DE290" i="2"/>
  <c r="DE289" i="2"/>
  <c r="DE273" i="2"/>
  <c r="DE242" i="2"/>
  <c r="DE241" i="2"/>
  <c r="DE221" i="2"/>
  <c r="DE220" i="2"/>
  <c r="DE219" i="2"/>
  <c r="DE218" i="2"/>
  <c r="DE217" i="2"/>
  <c r="DE198" i="2"/>
  <c r="DE197" i="2"/>
  <c r="DE169" i="2"/>
  <c r="DE168" i="2"/>
  <c r="DE167" i="2"/>
  <c r="DE166" i="2"/>
  <c r="DE165" i="2"/>
  <c r="DE164" i="2"/>
  <c r="DE163" i="2"/>
  <c r="DE162" i="2"/>
  <c r="DE161" i="2"/>
  <c r="DE160" i="2"/>
  <c r="DE159" i="2"/>
  <c r="DE158" i="2"/>
  <c r="DE157" i="2"/>
  <c r="DE156" i="2"/>
  <c r="DE155" i="2"/>
  <c r="DE154" i="2"/>
  <c r="DE153" i="2"/>
  <c r="DE152" i="2"/>
  <c r="DE126" i="2"/>
  <c r="DE125" i="2"/>
  <c r="DE124" i="2"/>
  <c r="DE123" i="2"/>
  <c r="DE122" i="2"/>
  <c r="DE121" i="2"/>
  <c r="DE120" i="2"/>
  <c r="DE119" i="2"/>
  <c r="DE99" i="2"/>
  <c r="DE98" i="2"/>
  <c r="DE33" i="2"/>
  <c r="DE31" i="2"/>
  <c r="DE30" i="2"/>
  <c r="DE28" i="2"/>
  <c r="DE27" i="2"/>
  <c r="DE25" i="2"/>
  <c r="DE24" i="2"/>
  <c r="DE23" i="2"/>
  <c r="DE22" i="2"/>
  <c r="DE21" i="2"/>
  <c r="DE20" i="2"/>
  <c r="DE19" i="2"/>
  <c r="DE18" i="2"/>
  <c r="DE17" i="2"/>
  <c r="DE16" i="2"/>
  <c r="DE15" i="2"/>
  <c r="DE14" i="2"/>
  <c r="DE13" i="2"/>
  <c r="DE12" i="2"/>
  <c r="DE11" i="2"/>
  <c r="DE10" i="2"/>
  <c r="DE9" i="2"/>
  <c r="BE22" i="10"/>
  <c r="BE8" i="10"/>
  <c r="BE7" i="10"/>
  <c r="BE291" i="9"/>
  <c r="BE289" i="9"/>
  <c r="BE288" i="9"/>
  <c r="BE287" i="9"/>
  <c r="BE286" i="9"/>
  <c r="BE285" i="9"/>
  <c r="BE284" i="9"/>
  <c r="BE283" i="9"/>
  <c r="BE282" i="9"/>
  <c r="BE281" i="9"/>
  <c r="BE280" i="9"/>
  <c r="BE279" i="9"/>
  <c r="BE278" i="9"/>
  <c r="BE277" i="9"/>
  <c r="BE276" i="9"/>
  <c r="BE275" i="9"/>
  <c r="BE228" i="9"/>
  <c r="BE1303" i="7"/>
  <c r="BE1301" i="7"/>
  <c r="BE935" i="7"/>
  <c r="BE933" i="7"/>
  <c r="BE931" i="7"/>
  <c r="BE929" i="7"/>
  <c r="BE927" i="7"/>
  <c r="BE925" i="7"/>
  <c r="BE923" i="7"/>
  <c r="BE921" i="7"/>
  <c r="BE919" i="7"/>
  <c r="BE917" i="7"/>
  <c r="BE915" i="7"/>
  <c r="BE913" i="7"/>
  <c r="BE697" i="7"/>
  <c r="BE695" i="7"/>
  <c r="BE693" i="7"/>
  <c r="BE691" i="7"/>
  <c r="BE689" i="7"/>
  <c r="BE687" i="7"/>
  <c r="BE685" i="7"/>
  <c r="BE683" i="7"/>
  <c r="BE681" i="7"/>
  <c r="BE679" i="7"/>
  <c r="BE677" i="7"/>
  <c r="BE15" i="7"/>
  <c r="BE1307" i="6"/>
  <c r="BE1306" i="6"/>
  <c r="BE1305" i="6"/>
  <c r="BE1304" i="6"/>
  <c r="BE1303" i="6"/>
  <c r="BE1302" i="6"/>
  <c r="BE1301" i="6"/>
  <c r="BE1300" i="6"/>
  <c r="BE1299" i="6"/>
  <c r="BE1298" i="6"/>
  <c r="BE1297" i="6"/>
  <c r="BE1296" i="6"/>
  <c r="BE1203" i="6"/>
  <c r="BE1201" i="6"/>
  <c r="BE1199" i="6"/>
  <c r="BE1197" i="6"/>
  <c r="BE1195" i="6"/>
  <c r="BE1193" i="6"/>
  <c r="BE172" i="16"/>
  <c r="BE80" i="16"/>
  <c r="BE78" i="16"/>
  <c r="BE76" i="16"/>
  <c r="BE74" i="16"/>
  <c r="BE72" i="16"/>
  <c r="BE70" i="16"/>
  <c r="BE68" i="16"/>
  <c r="BE66" i="16"/>
  <c r="BE64" i="16"/>
  <c r="BE62" i="16"/>
  <c r="BE60" i="16"/>
  <c r="BE58" i="16"/>
  <c r="BE7" i="8"/>
  <c r="BE591" i="9"/>
  <c r="BE58" i="10"/>
  <c r="BE36" i="10"/>
  <c r="BE35" i="10"/>
  <c r="BE7" i="11"/>
  <c r="DE821" i="2"/>
  <c r="DE820" i="2"/>
  <c r="DE819" i="2"/>
  <c r="DE803" i="2"/>
  <c r="DE786" i="2"/>
  <c r="F172" i="16"/>
  <c r="J173" i="16"/>
  <c r="J174" i="16"/>
  <c r="F173" i="16"/>
  <c r="F174" i="16"/>
  <c r="I50" i="15" s="1"/>
  <c r="AN50" i="15" s="1"/>
  <c r="V200" i="16"/>
  <c r="V199" i="16"/>
  <c r="V198" i="16"/>
  <c r="V197" i="16"/>
  <c r="V196" i="16"/>
  <c r="H174" i="16"/>
  <c r="AC127" i="16"/>
  <c r="AC118" i="16"/>
  <c r="AC115" i="16"/>
  <c r="AC111" i="16"/>
  <c r="AC109" i="16"/>
  <c r="BC174" i="16" l="1"/>
  <c r="BD174" i="16" s="1"/>
  <c r="X50" i="15"/>
  <c r="Z50" i="15" s="1"/>
  <c r="I174" i="16"/>
  <c r="O50" i="15" s="1"/>
  <c r="V50" i="15" s="1"/>
  <c r="H20" i="8"/>
  <c r="I8" i="5"/>
  <c r="J483" i="6"/>
  <c r="J477" i="6"/>
  <c r="J474" i="6"/>
  <c r="J465" i="6"/>
  <c r="J459" i="6"/>
  <c r="J505" i="6"/>
  <c r="J346" i="6"/>
  <c r="J344" i="6"/>
  <c r="J343" i="6"/>
  <c r="J337" i="6"/>
  <c r="J334" i="6"/>
  <c r="J328" i="6"/>
  <c r="J326" i="6"/>
  <c r="J325" i="6"/>
  <c r="J319" i="6"/>
  <c r="J316" i="6"/>
  <c r="J310" i="6"/>
  <c r="J307" i="6"/>
  <c r="J301" i="6"/>
  <c r="J298" i="6"/>
  <c r="J292" i="6"/>
  <c r="J289" i="6"/>
  <c r="J283" i="6"/>
  <c r="J281" i="6"/>
  <c r="J280" i="6"/>
  <c r="J339" i="6"/>
  <c r="J333" i="6"/>
  <c r="J335" i="6" s="1"/>
  <c r="J330" i="6"/>
  <c r="J321" i="6"/>
  <c r="J315" i="6"/>
  <c r="J317" i="6" s="1"/>
  <c r="J312" i="6"/>
  <c r="BB174" i="16" l="1"/>
  <c r="AA50" i="15" s="1"/>
  <c r="AE50" i="15"/>
  <c r="AC50" i="15" s="1"/>
  <c r="AO50" i="15"/>
  <c r="L291" i="9"/>
  <c r="K291" i="9"/>
  <c r="H290" i="9"/>
  <c r="J290" i="9"/>
  <c r="O290" i="9"/>
  <c r="H291" i="9"/>
  <c r="J291" i="9"/>
  <c r="O291" i="9"/>
  <c r="F364" i="9"/>
  <c r="E363" i="9"/>
  <c r="E364" i="9"/>
  <c r="F348" i="9"/>
  <c r="F319" i="9"/>
  <c r="K290" i="9" s="1"/>
  <c r="L1147" i="7"/>
  <c r="K1147" i="7"/>
  <c r="J1145" i="7"/>
  <c r="O1145" i="7"/>
  <c r="J1146" i="7"/>
  <c r="K1146" i="7"/>
  <c r="L1146" i="7"/>
  <c r="O1146" i="7"/>
  <c r="P1146" i="7"/>
  <c r="BE1146" i="7" s="1"/>
  <c r="Q1146" i="7"/>
  <c r="J1147" i="7"/>
  <c r="O1147" i="7"/>
  <c r="F1224" i="7"/>
  <c r="F1181" i="7"/>
  <c r="K1145" i="7" s="1"/>
  <c r="H1147" i="7"/>
  <c r="H1145" i="7"/>
  <c r="L1145" i="7" l="1"/>
  <c r="F1145" i="7" s="1"/>
  <c r="L290" i="9"/>
  <c r="F290" i="9" s="1"/>
  <c r="I560" i="15" s="1"/>
  <c r="AN560" i="15" s="1"/>
  <c r="F291" i="9"/>
  <c r="M291" i="9" s="1"/>
  <c r="F1147" i="7"/>
  <c r="M1147" i="7" l="1"/>
  <c r="O469" i="15" s="1"/>
  <c r="W469" i="15" s="1"/>
  <c r="BD1147" i="7"/>
  <c r="I469" i="15"/>
  <c r="AN469" i="15" s="1"/>
  <c r="AO469" i="15" s="1"/>
  <c r="M1145" i="7"/>
  <c r="O467" i="15" s="1"/>
  <c r="W467" i="15" s="1"/>
  <c r="BD1145" i="7"/>
  <c r="I467" i="15"/>
  <c r="AN467" i="15" s="1"/>
  <c r="M290" i="9"/>
  <c r="O560" i="15" s="1"/>
  <c r="W560" i="15" s="1"/>
  <c r="BD290" i="9"/>
  <c r="F57" i="5"/>
  <c r="I81" i="15" s="1"/>
  <c r="AN81" i="15" s="1"/>
  <c r="G99" i="5"/>
  <c r="H57" i="5"/>
  <c r="J57" i="5"/>
  <c r="K57" i="5"/>
  <c r="AO467" i="15" l="1"/>
  <c r="BE57" i="5"/>
  <c r="AB81" i="15"/>
  <c r="BC57" i="5"/>
  <c r="BD57" i="5" s="1"/>
  <c r="X81" i="15"/>
  <c r="Z81" i="15" s="1"/>
  <c r="AE469" i="15"/>
  <c r="AC469" i="15" s="1"/>
  <c r="AE467" i="15"/>
  <c r="AC467" i="15" s="1"/>
  <c r="BB290" i="9"/>
  <c r="AA560" i="15" s="1"/>
  <c r="AE560" i="15"/>
  <c r="AC560" i="15" s="1"/>
  <c r="AO560" i="15"/>
  <c r="K3277" i="6"/>
  <c r="K3262" i="6"/>
  <c r="K3244" i="6"/>
  <c r="K3246" i="6"/>
  <c r="K3242" i="6"/>
  <c r="K3214" i="6"/>
  <c r="K3211" i="6"/>
  <c r="K3208" i="6"/>
  <c r="K3205" i="6"/>
  <c r="K3188" i="6"/>
  <c r="K3179" i="6"/>
  <c r="K3144" i="6"/>
  <c r="K3132" i="6"/>
  <c r="BB57" i="5" l="1"/>
  <c r="AA81" i="15" s="1"/>
  <c r="AE81" i="15"/>
  <c r="AC81" i="15" s="1"/>
  <c r="P32" i="3"/>
  <c r="Q32" i="3"/>
  <c r="P30" i="3"/>
  <c r="Q30" i="3"/>
  <c r="X34" i="15" l="1"/>
  <c r="Z34" i="15" s="1"/>
  <c r="BC32" i="3"/>
  <c r="X32" i="15"/>
  <c r="Z32" i="15" s="1"/>
  <c r="BC30" i="3"/>
  <c r="H88" i="3"/>
  <c r="H89" i="3"/>
  <c r="H90" i="3"/>
  <c r="H91" i="3"/>
  <c r="H92" i="3"/>
  <c r="H93" i="3"/>
  <c r="H94" i="3"/>
  <c r="H95" i="3"/>
  <c r="F93" i="3"/>
  <c r="F94" i="3"/>
  <c r="F95" i="3"/>
  <c r="G67" i="3"/>
  <c r="K30" i="3"/>
  <c r="K31" i="3"/>
  <c r="K32" i="3"/>
  <c r="I30" i="3"/>
  <c r="I31" i="3"/>
  <c r="I32" i="3"/>
  <c r="J563" i="7" l="1"/>
  <c r="J561" i="7"/>
  <c r="J559" i="7"/>
  <c r="K2529" i="6"/>
  <c r="K2514" i="6"/>
  <c r="K2498" i="6"/>
  <c r="K2494" i="6"/>
  <c r="K2466" i="6"/>
  <c r="K2463" i="6"/>
  <c r="K2457" i="6"/>
  <c r="K2440" i="6"/>
  <c r="K2431" i="6"/>
  <c r="K2406" i="6"/>
  <c r="K2392" i="6"/>
  <c r="K2400" i="6"/>
  <c r="K2397" i="6"/>
  <c r="K2396" i="6"/>
  <c r="K2398" i="6" s="1"/>
  <c r="K2381" i="6"/>
  <c r="K2367" i="6"/>
  <c r="K2735" i="6"/>
  <c r="K2733" i="6"/>
  <c r="K2731" i="6"/>
  <c r="K2729" i="6"/>
  <c r="K2727" i="6"/>
  <c r="K2725" i="6"/>
  <c r="K2724" i="6"/>
  <c r="K2719" i="6"/>
  <c r="K2716" i="6"/>
  <c r="K2714" i="6"/>
  <c r="K2713" i="6"/>
  <c r="K2706" i="6"/>
  <c r="K2705" i="6"/>
  <c r="K2701" i="6"/>
  <c r="K2699" i="6"/>
  <c r="K2698" i="6"/>
  <c r="K2691" i="6"/>
  <c r="K2690" i="6"/>
  <c r="K2685" i="6"/>
  <c r="K2682" i="6"/>
  <c r="K2681" i="6"/>
  <c r="K2683" i="6" s="1"/>
  <c r="K2674" i="6"/>
  <c r="K2673" i="6"/>
  <c r="K2675" i="6" s="1"/>
  <c r="K2669" i="6"/>
  <c r="K2667" i="6"/>
  <c r="K2666" i="6"/>
  <c r="K2659" i="6"/>
  <c r="K2658" i="6"/>
  <c r="K2650" i="6"/>
  <c r="K2647" i="6"/>
  <c r="K2644" i="6"/>
  <c r="K2633" i="6"/>
  <c r="K2632" i="6"/>
  <c r="K2627" i="6"/>
  <c r="K2623" i="6"/>
  <c r="K2618" i="6"/>
  <c r="K2614" i="6"/>
  <c r="K2609" i="6"/>
  <c r="K2604" i="6"/>
  <c r="K2601" i="6"/>
  <c r="K2594" i="6"/>
  <c r="K2593" i="6"/>
  <c r="K2595" i="6" s="1"/>
  <c r="K2589" i="6"/>
  <c r="K2587" i="6"/>
  <c r="K2584" i="6"/>
  <c r="K2583" i="6"/>
  <c r="K2585" i="6" s="1"/>
  <c r="K2579" i="6"/>
  <c r="K2572" i="6"/>
  <c r="K2571" i="6"/>
  <c r="K2573" i="6" s="1"/>
  <c r="K2568" i="6"/>
  <c r="K2567" i="6"/>
  <c r="K2569" i="6" s="1"/>
  <c r="K2563" i="6"/>
  <c r="K2559" i="6"/>
  <c r="K2554" i="6"/>
  <c r="K2550" i="6"/>
  <c r="K1968" i="6"/>
  <c r="L1968" i="6" s="1"/>
  <c r="K1953" i="6" l="1"/>
  <c r="L1953" i="6" s="1"/>
  <c r="K1937" i="6"/>
  <c r="L1937" i="6" s="1"/>
  <c r="K1933" i="6"/>
  <c r="L1933" i="6" s="1"/>
  <c r="K1902" i="6"/>
  <c r="L1902" i="6" s="1"/>
  <c r="K1896" i="6"/>
  <c r="L1896" i="6" s="1"/>
  <c r="K1879" i="6"/>
  <c r="L1879" i="6" s="1"/>
  <c r="K1870" i="6"/>
  <c r="L1870" i="6" s="1"/>
  <c r="K1835" i="6"/>
  <c r="L1835" i="6" s="1"/>
  <c r="K1819" i="6"/>
  <c r="L1819" i="6" s="1"/>
  <c r="K1815" i="6"/>
  <c r="L1815" i="6" s="1"/>
  <c r="K1811" i="6"/>
  <c r="L1811" i="6" s="1"/>
  <c r="K1806" i="6"/>
  <c r="L1806" i="6" s="1"/>
  <c r="K1802" i="6"/>
  <c r="L1802" i="6" s="1"/>
  <c r="J1332" i="6" l="1"/>
  <c r="F1358" i="7" l="1"/>
  <c r="F1357" i="7"/>
  <c r="F1356" i="7"/>
  <c r="F1355" i="7"/>
  <c r="F1354" i="7"/>
  <c r="F1353" i="7"/>
  <c r="F1352" i="7"/>
  <c r="F1351" i="7"/>
  <c r="F1350" i="7"/>
  <c r="F1349" i="7"/>
  <c r="F1348" i="7"/>
  <c r="F1347" i="7"/>
  <c r="F1346" i="7"/>
  <c r="F1345" i="7"/>
  <c r="F1344" i="7"/>
  <c r="F1343" i="7"/>
  <c r="F1342" i="7"/>
  <c r="F1341" i="7"/>
  <c r="F1340" i="7"/>
  <c r="F1339" i="7"/>
  <c r="F1338" i="7"/>
  <c r="F1337" i="7"/>
  <c r="F1336" i="7"/>
  <c r="F1335" i="7"/>
  <c r="F1296" i="6"/>
  <c r="F1298" i="6"/>
  <c r="L1128" i="7"/>
  <c r="K1128" i="7"/>
  <c r="AB303" i="9"/>
  <c r="AB23" i="9"/>
  <c r="AB93" i="9"/>
  <c r="O289" i="9"/>
  <c r="O285" i="9"/>
  <c r="O286" i="9"/>
  <c r="J289" i="9"/>
  <c r="J285" i="9"/>
  <c r="J286" i="9"/>
  <c r="L1141" i="7"/>
  <c r="J1141" i="7"/>
  <c r="J1128" i="7"/>
  <c r="L841" i="7"/>
  <c r="BE841" i="7" s="1"/>
  <c r="J562" i="7"/>
  <c r="N559" i="7"/>
  <c r="N560" i="7"/>
  <c r="N561" i="7"/>
  <c r="N562" i="7"/>
  <c r="N563" i="7"/>
  <c r="N558" i="7"/>
  <c r="K173" i="16" l="1"/>
  <c r="BE173" i="16" s="1"/>
  <c r="J172" i="16"/>
  <c r="L8" i="5"/>
  <c r="L9" i="5"/>
  <c r="L10" i="5"/>
  <c r="L11" i="5"/>
  <c r="M8" i="5"/>
  <c r="BE8" i="5" s="1"/>
  <c r="M9" i="5"/>
  <c r="BE9" i="5" s="1"/>
  <c r="M7" i="5"/>
  <c r="BE7" i="5" s="1"/>
  <c r="J302" i="5"/>
  <c r="J303" i="5"/>
  <c r="J304" i="5"/>
  <c r="J305" i="5"/>
  <c r="J306" i="5"/>
  <c r="J307" i="5"/>
  <c r="J308" i="5"/>
  <c r="J309" i="5"/>
  <c r="K106" i="5"/>
  <c r="K107" i="5"/>
  <c r="K108" i="5"/>
  <c r="K105" i="5"/>
  <c r="J49" i="5"/>
  <c r="J50" i="5"/>
  <c r="J51" i="5"/>
  <c r="J52" i="5"/>
  <c r="J53" i="5"/>
  <c r="J54" i="5"/>
  <c r="J55" i="5"/>
  <c r="J56" i="5"/>
  <c r="J8" i="5"/>
  <c r="H285" i="9"/>
  <c r="H286" i="9"/>
  <c r="H287" i="9"/>
  <c r="H288" i="9"/>
  <c r="H289" i="9"/>
  <c r="K1141" i="7"/>
  <c r="F1141" i="7" s="1"/>
  <c r="F1128" i="7"/>
  <c r="AI107" i="15" l="1"/>
  <c r="H107" i="15"/>
  <c r="G107" i="15"/>
  <c r="C107" i="15"/>
  <c r="AM107" i="15" s="1"/>
  <c r="B107" i="15"/>
  <c r="A107" i="15" s="1"/>
  <c r="J337" i="5"/>
  <c r="X107" i="15" s="1"/>
  <c r="Z107" i="15" s="1"/>
  <c r="G84" i="5" l="1"/>
  <c r="G106" i="3"/>
  <c r="F48" i="5" l="1"/>
  <c r="I57" i="5"/>
  <c r="O81" i="15" s="1"/>
  <c r="F56" i="5"/>
  <c r="F55" i="5"/>
  <c r="F54" i="5"/>
  <c r="F53" i="5"/>
  <c r="F52" i="5"/>
  <c r="F51" i="5"/>
  <c r="F50" i="5"/>
  <c r="F49" i="5"/>
  <c r="F47" i="5"/>
  <c r="F46" i="5"/>
  <c r="W81" i="15" l="1"/>
  <c r="AO81" i="15"/>
  <c r="BC337" i="5"/>
  <c r="K337" i="5"/>
  <c r="H337" i="5"/>
  <c r="G324" i="5"/>
  <c r="G325" i="5"/>
  <c r="G326" i="5"/>
  <c r="G323" i="5"/>
  <c r="V95" i="2"/>
  <c r="V116" i="2"/>
  <c r="W109" i="2"/>
  <c r="AJ109" i="2" s="1"/>
  <c r="X109" i="2"/>
  <c r="AK109" i="2" s="1"/>
  <c r="Y109" i="2"/>
  <c r="AX109" i="2" s="1"/>
  <c r="Z109" i="2"/>
  <c r="AY109" i="2" s="1"/>
  <c r="AA109" i="2"/>
  <c r="AN109" i="2" s="1"/>
  <c r="AC109" i="2"/>
  <c r="BB109" i="2" s="1"/>
  <c r="AD109" i="2"/>
  <c r="BC109" i="2" s="1"/>
  <c r="AE109" i="2"/>
  <c r="AR109" i="2" s="1"/>
  <c r="AF109" i="2"/>
  <c r="AS109" i="2" s="1"/>
  <c r="AG109" i="2"/>
  <c r="AO109" i="2"/>
  <c r="BH109" i="2"/>
  <c r="BI109" i="2"/>
  <c r="BJ109" i="2"/>
  <c r="BK109" i="2"/>
  <c r="BL109" i="2"/>
  <c r="BN109" i="2"/>
  <c r="BO109" i="2"/>
  <c r="BP109" i="2"/>
  <c r="BQ109" i="2"/>
  <c r="BR109" i="2"/>
  <c r="AZ109" i="2" l="1"/>
  <c r="AP109" i="2"/>
  <c r="AM109" i="2"/>
  <c r="AB107" i="15"/>
  <c r="BE337" i="5"/>
  <c r="AL109" i="2"/>
  <c r="AQ109" i="2"/>
  <c r="F301" i="5"/>
  <c r="AW109" i="2"/>
  <c r="BE109" i="2"/>
  <c r="AV109" i="2"/>
  <c r="BD109" i="2"/>
  <c r="H144" i="2"/>
  <c r="H141" i="2"/>
  <c r="H139" i="2"/>
  <c r="H137" i="2"/>
  <c r="J124" i="2"/>
  <c r="J123" i="2"/>
  <c r="J122" i="2"/>
  <c r="J121" i="2"/>
  <c r="J119" i="2"/>
  <c r="AO8" i="2" l="1"/>
  <c r="BA47" i="2"/>
  <c r="BA8" i="2"/>
  <c r="A1" i="20"/>
  <c r="AI561" i="15"/>
  <c r="AD561" i="15"/>
  <c r="AB561" i="15"/>
  <c r="X561" i="15"/>
  <c r="Z561" i="15" s="1"/>
  <c r="H561" i="15"/>
  <c r="G561" i="15"/>
  <c r="C561" i="15"/>
  <c r="AM561" i="15" s="1"/>
  <c r="B561" i="15"/>
  <c r="A561" i="15" s="1"/>
  <c r="AI74" i="15"/>
  <c r="X74" i="15"/>
  <c r="Z74" i="15" s="1"/>
  <c r="H74" i="15"/>
  <c r="G74" i="15"/>
  <c r="C74" i="15"/>
  <c r="AM74" i="15" s="1"/>
  <c r="B74" i="15"/>
  <c r="A74" i="15" s="1"/>
  <c r="AI73" i="15"/>
  <c r="X73" i="15"/>
  <c r="Z73" i="15" s="1"/>
  <c r="H73" i="15"/>
  <c r="G73" i="15"/>
  <c r="C73" i="15"/>
  <c r="AM73" i="15" s="1"/>
  <c r="B73" i="15"/>
  <c r="A73" i="15" s="1"/>
  <c r="J1" i="20"/>
  <c r="K1" i="20"/>
  <c r="L1" i="20"/>
  <c r="G1" i="20"/>
  <c r="H1" i="20"/>
  <c r="I1" i="20"/>
  <c r="D1" i="20"/>
  <c r="E1" i="20"/>
  <c r="F1" i="20"/>
  <c r="C1" i="20"/>
  <c r="AI627" i="15"/>
  <c r="AD627" i="15"/>
  <c r="AB627" i="15"/>
  <c r="H627" i="15"/>
  <c r="G627" i="15"/>
  <c r="C627" i="15"/>
  <c r="AM627" i="15" s="1"/>
  <c r="B627" i="15"/>
  <c r="A627" i="15" s="1"/>
  <c r="AI626" i="15"/>
  <c r="AD626" i="15"/>
  <c r="AB626" i="15"/>
  <c r="H626" i="15"/>
  <c r="G626" i="15"/>
  <c r="C626" i="15"/>
  <c r="AM626" i="15" s="1"/>
  <c r="B626" i="15"/>
  <c r="A626" i="15" s="1"/>
  <c r="AI625" i="15"/>
  <c r="AD625" i="15"/>
  <c r="AB625" i="15"/>
  <c r="H625" i="15"/>
  <c r="G625" i="15"/>
  <c r="C625" i="15"/>
  <c r="AM625" i="15" s="1"/>
  <c r="B625" i="15"/>
  <c r="A625" i="15" s="1"/>
  <c r="AI624" i="15"/>
  <c r="AD624" i="15"/>
  <c r="AB624" i="15"/>
  <c r="H624" i="15"/>
  <c r="G624" i="15"/>
  <c r="C624" i="15"/>
  <c r="AM624" i="15" s="1"/>
  <c r="B624" i="15"/>
  <c r="A624" i="15" s="1"/>
  <c r="AI623" i="15"/>
  <c r="AD623" i="15"/>
  <c r="AB623" i="15"/>
  <c r="H623" i="15"/>
  <c r="G623" i="15"/>
  <c r="C623" i="15"/>
  <c r="AM623" i="15" s="1"/>
  <c r="B623" i="15"/>
  <c r="A623" i="15" s="1"/>
  <c r="AI622" i="15"/>
  <c r="AD622" i="15"/>
  <c r="AB622" i="15"/>
  <c r="H622" i="15"/>
  <c r="G622" i="15"/>
  <c r="C622" i="15"/>
  <c r="AM622" i="15" s="1"/>
  <c r="B622" i="15"/>
  <c r="A622" i="15" s="1"/>
  <c r="AI621" i="15"/>
  <c r="AD621" i="15"/>
  <c r="AB621" i="15"/>
  <c r="H621" i="15"/>
  <c r="G621" i="15"/>
  <c r="C621" i="15"/>
  <c r="AM621" i="15" s="1"/>
  <c r="B621" i="15"/>
  <c r="A621" i="15" s="1"/>
  <c r="AI620" i="15"/>
  <c r="AD620" i="15"/>
  <c r="AB620" i="15"/>
  <c r="H620" i="15"/>
  <c r="G620" i="15"/>
  <c r="C620" i="15"/>
  <c r="AM620" i="15" s="1"/>
  <c r="B620" i="15"/>
  <c r="A620" i="15" s="1"/>
  <c r="AI613" i="15"/>
  <c r="AD613" i="15"/>
  <c r="AB613" i="15"/>
  <c r="X613" i="15"/>
  <c r="Z613" i="15" s="1"/>
  <c r="H613" i="15"/>
  <c r="G613" i="15"/>
  <c r="C613" i="15"/>
  <c r="AM613" i="15" s="1"/>
  <c r="B613" i="15"/>
  <c r="A613" i="15" s="1"/>
  <c r="AI610" i="15"/>
  <c r="AD610" i="15"/>
  <c r="AB610" i="15"/>
  <c r="X610" i="15"/>
  <c r="Z610" i="15" s="1"/>
  <c r="H610" i="15"/>
  <c r="G610" i="15"/>
  <c r="C610" i="15"/>
  <c r="AM610" i="15" s="1"/>
  <c r="B610" i="15"/>
  <c r="A610" i="15" s="1"/>
  <c r="AI607" i="15"/>
  <c r="AD607" i="15"/>
  <c r="AB607" i="15"/>
  <c r="X607" i="15"/>
  <c r="Z607" i="15" s="1"/>
  <c r="H607" i="15"/>
  <c r="G607" i="15"/>
  <c r="C607" i="15"/>
  <c r="AM607" i="15" s="1"/>
  <c r="B607" i="15"/>
  <c r="A607" i="15" s="1"/>
  <c r="J509" i="9"/>
  <c r="J510" i="9"/>
  <c r="J511" i="9"/>
  <c r="J512" i="9"/>
  <c r="J513" i="9"/>
  <c r="J514" i="9"/>
  <c r="J515" i="9"/>
  <c r="J516" i="9"/>
  <c r="J508" i="9"/>
  <c r="BC285" i="9"/>
  <c r="BC286" i="9"/>
  <c r="BC287" i="9"/>
  <c r="BC288" i="9"/>
  <c r="BC289" i="9"/>
  <c r="AI559" i="15"/>
  <c r="AD559" i="15"/>
  <c r="AB559" i="15"/>
  <c r="X559" i="15"/>
  <c r="Z559" i="15" s="1"/>
  <c r="H559" i="15"/>
  <c r="G559" i="15"/>
  <c r="C559" i="15"/>
  <c r="AM559" i="15" s="1"/>
  <c r="B559" i="15"/>
  <c r="A559" i="15" s="1"/>
  <c r="AI556" i="15"/>
  <c r="AD556" i="15"/>
  <c r="AB556" i="15"/>
  <c r="X556" i="15"/>
  <c r="Z556" i="15" s="1"/>
  <c r="H556" i="15"/>
  <c r="G556" i="15"/>
  <c r="C556" i="15"/>
  <c r="AM556" i="15" s="1"/>
  <c r="B556" i="15"/>
  <c r="A556" i="15" s="1"/>
  <c r="AI555" i="15"/>
  <c r="AD555" i="15"/>
  <c r="AB555" i="15"/>
  <c r="X555" i="15"/>
  <c r="Z555" i="15" s="1"/>
  <c r="H555" i="15"/>
  <c r="G555" i="15"/>
  <c r="C555" i="15"/>
  <c r="AM555" i="15" s="1"/>
  <c r="B555" i="15"/>
  <c r="A555" i="15" s="1"/>
  <c r="AI520" i="15"/>
  <c r="AD520" i="15"/>
  <c r="P520" i="15"/>
  <c r="J520" i="15"/>
  <c r="H520" i="15"/>
  <c r="G520" i="15"/>
  <c r="C520" i="15"/>
  <c r="AM520" i="15" s="1"/>
  <c r="B520" i="15"/>
  <c r="A520" i="15" s="1"/>
  <c r="AI521" i="15"/>
  <c r="AD521" i="15"/>
  <c r="P521" i="15"/>
  <c r="J521" i="15"/>
  <c r="H521" i="15"/>
  <c r="C521" i="15"/>
  <c r="AM521" i="15" s="1"/>
  <c r="B521" i="15"/>
  <c r="A521" i="15" s="1"/>
  <c r="AI522" i="15"/>
  <c r="AD522" i="15"/>
  <c r="P522" i="15"/>
  <c r="J522" i="15"/>
  <c r="H522" i="15"/>
  <c r="G522" i="15"/>
  <c r="C522" i="15"/>
  <c r="AM522" i="15" s="1"/>
  <c r="B522" i="15"/>
  <c r="A522" i="15" s="1"/>
  <c r="AI519" i="15"/>
  <c r="AD519" i="15"/>
  <c r="AB519" i="15"/>
  <c r="X519" i="15"/>
  <c r="Z519" i="15" s="1"/>
  <c r="H519" i="15"/>
  <c r="G519" i="15"/>
  <c r="C519" i="15"/>
  <c r="B519" i="15"/>
  <c r="AI471" i="15"/>
  <c r="AD471" i="15"/>
  <c r="X471" i="15"/>
  <c r="Z471" i="15" s="1"/>
  <c r="H471" i="15"/>
  <c r="G471" i="15"/>
  <c r="C471" i="15"/>
  <c r="AM471" i="15" s="1"/>
  <c r="B471" i="15"/>
  <c r="A471" i="15" s="1"/>
  <c r="BE1388" i="7"/>
  <c r="BD1388" i="7"/>
  <c r="BC1388" i="7"/>
  <c r="BB1388" i="7"/>
  <c r="B507" i="15"/>
  <c r="A507" i="15" s="1"/>
  <c r="C507" i="15"/>
  <c r="AM507" i="15" s="1"/>
  <c r="G507" i="15"/>
  <c r="H507" i="15"/>
  <c r="AD507" i="15"/>
  <c r="AI507" i="15"/>
  <c r="AI518" i="15"/>
  <c r="AD518" i="15"/>
  <c r="H518" i="15"/>
  <c r="G518" i="15"/>
  <c r="C518" i="15"/>
  <c r="AM518" i="15" s="1"/>
  <c r="B518" i="15"/>
  <c r="A518" i="15" s="1"/>
  <c r="AI517" i="15"/>
  <c r="AD517" i="15"/>
  <c r="H517" i="15"/>
  <c r="G517" i="15"/>
  <c r="C517" i="15"/>
  <c r="AM517" i="15" s="1"/>
  <c r="B517" i="15"/>
  <c r="A517" i="15" s="1"/>
  <c r="AI516" i="15"/>
  <c r="AD516" i="15"/>
  <c r="H516" i="15"/>
  <c r="G516" i="15"/>
  <c r="C516" i="15"/>
  <c r="AM516" i="15" s="1"/>
  <c r="B516" i="15"/>
  <c r="A516" i="15" s="1"/>
  <c r="AI515" i="15"/>
  <c r="AD515" i="15"/>
  <c r="H515" i="15"/>
  <c r="G515" i="15"/>
  <c r="C515" i="15"/>
  <c r="AM515" i="15" s="1"/>
  <c r="B515" i="15"/>
  <c r="A515" i="15" s="1"/>
  <c r="AI514" i="15"/>
  <c r="AD514" i="15"/>
  <c r="H514" i="15"/>
  <c r="G514" i="15"/>
  <c r="C514" i="15"/>
  <c r="AM514" i="15" s="1"/>
  <c r="B514" i="15"/>
  <c r="A514" i="15" s="1"/>
  <c r="AI513" i="15"/>
  <c r="AD513" i="15"/>
  <c r="H513" i="15"/>
  <c r="G513" i="15"/>
  <c r="C513" i="15"/>
  <c r="AM513" i="15" s="1"/>
  <c r="B513" i="15"/>
  <c r="A513" i="15" s="1"/>
  <c r="AI512" i="15"/>
  <c r="AD512" i="15"/>
  <c r="H512" i="15"/>
  <c r="G512" i="15"/>
  <c r="C512" i="15"/>
  <c r="AM512" i="15" s="1"/>
  <c r="B512" i="15"/>
  <c r="A512" i="15" s="1"/>
  <c r="AI511" i="15"/>
  <c r="AD511" i="15"/>
  <c r="H511" i="15"/>
  <c r="G511" i="15"/>
  <c r="C511" i="15"/>
  <c r="AM511" i="15" s="1"/>
  <c r="B511" i="15"/>
  <c r="A511" i="15" s="1"/>
  <c r="AI510" i="15"/>
  <c r="AD510" i="15"/>
  <c r="H510" i="15"/>
  <c r="G510" i="15"/>
  <c r="C510" i="15"/>
  <c r="AM510" i="15" s="1"/>
  <c r="B510" i="15"/>
  <c r="A510" i="15" s="1"/>
  <c r="AI509" i="15"/>
  <c r="AD509" i="15"/>
  <c r="H509" i="15"/>
  <c r="G509" i="15"/>
  <c r="C509" i="15"/>
  <c r="AM509" i="15" s="1"/>
  <c r="B509" i="15"/>
  <c r="A509" i="15" s="1"/>
  <c r="AI508" i="15"/>
  <c r="AD508" i="15"/>
  <c r="H508" i="15"/>
  <c r="G508" i="15"/>
  <c r="C508" i="15"/>
  <c r="AM508" i="15" s="1"/>
  <c r="B508" i="15"/>
  <c r="A508" i="15" s="1"/>
  <c r="AI480" i="15"/>
  <c r="AD480" i="15"/>
  <c r="X480" i="15"/>
  <c r="Z480" i="15" s="1"/>
  <c r="H480" i="15"/>
  <c r="G480" i="15"/>
  <c r="C480" i="15"/>
  <c r="AM480" i="15" s="1"/>
  <c r="B480" i="15"/>
  <c r="A480" i="15" s="1"/>
  <c r="AI477" i="15"/>
  <c r="AD477" i="15"/>
  <c r="X477" i="15"/>
  <c r="Z477" i="15" s="1"/>
  <c r="H477" i="15"/>
  <c r="G477" i="15"/>
  <c r="C477" i="15"/>
  <c r="AM477" i="15" s="1"/>
  <c r="B477" i="15"/>
  <c r="A477" i="15" s="1"/>
  <c r="AI474" i="15"/>
  <c r="AD474" i="15"/>
  <c r="X474" i="15"/>
  <c r="Z474" i="15" s="1"/>
  <c r="H474" i="15"/>
  <c r="G474" i="15"/>
  <c r="C474" i="15"/>
  <c r="AM474" i="15" s="1"/>
  <c r="B474" i="15"/>
  <c r="A474" i="15" s="1"/>
  <c r="BC1266" i="7"/>
  <c r="BC1267" i="7"/>
  <c r="BC1268" i="7"/>
  <c r="BC1269" i="7"/>
  <c r="BC1260" i="7"/>
  <c r="BC1261" i="7"/>
  <c r="BC1262" i="7"/>
  <c r="BC1263" i="7"/>
  <c r="BC1264" i="7"/>
  <c r="BC1265" i="7"/>
  <c r="K1269" i="7"/>
  <c r="K1266" i="7"/>
  <c r="K1263" i="7"/>
  <c r="BE1263" i="7" s="1"/>
  <c r="K1267" i="7"/>
  <c r="BE1267" i="7" s="1"/>
  <c r="K1265" i="7"/>
  <c r="BE1265" i="7" s="1"/>
  <c r="K1264" i="7"/>
  <c r="BE1264" i="7" s="1"/>
  <c r="K1262" i="7"/>
  <c r="BE1262" i="7" s="1"/>
  <c r="K1261" i="7"/>
  <c r="BE1261" i="7" s="1"/>
  <c r="K1260" i="7"/>
  <c r="K1259" i="7"/>
  <c r="BE1259" i="7" s="1"/>
  <c r="BC1141" i="7"/>
  <c r="BD1141" i="7" s="1"/>
  <c r="BC1142" i="7"/>
  <c r="BC1143" i="7"/>
  <c r="BC1144" i="7"/>
  <c r="BC1128" i="7"/>
  <c r="BD1128" i="7" s="1"/>
  <c r="AI468" i="15"/>
  <c r="AD468" i="15"/>
  <c r="X468" i="15"/>
  <c r="Z468" i="15" s="1"/>
  <c r="H468" i="15"/>
  <c r="G468" i="15"/>
  <c r="C468" i="15"/>
  <c r="AM468" i="15" s="1"/>
  <c r="B468" i="15"/>
  <c r="A468" i="15" s="1"/>
  <c r="AI463" i="15"/>
  <c r="AD463" i="15"/>
  <c r="X463" i="15"/>
  <c r="Z463" i="15" s="1"/>
  <c r="I463" i="15"/>
  <c r="H463" i="15"/>
  <c r="G463" i="15"/>
  <c r="C463" i="15"/>
  <c r="AM463" i="15" s="1"/>
  <c r="B463" i="15"/>
  <c r="A463" i="15" s="1"/>
  <c r="AI450" i="15"/>
  <c r="AD450" i="15"/>
  <c r="X450" i="15"/>
  <c r="Z450" i="15" s="1"/>
  <c r="I450" i="15"/>
  <c r="H450" i="15"/>
  <c r="G450" i="15"/>
  <c r="C450" i="15"/>
  <c r="AM450" i="15" s="1"/>
  <c r="B450" i="15"/>
  <c r="A450" i="15" s="1"/>
  <c r="L799" i="7"/>
  <c r="BE799" i="7" s="1"/>
  <c r="L798" i="7"/>
  <c r="L800" i="7"/>
  <c r="L801" i="7"/>
  <c r="K799" i="7"/>
  <c r="X417" i="15" s="1"/>
  <c r="Z417" i="15" s="1"/>
  <c r="K800" i="7"/>
  <c r="X418" i="15" s="1"/>
  <c r="Z418" i="15" s="1"/>
  <c r="K801" i="7"/>
  <c r="X419" i="15" s="1"/>
  <c r="Z419" i="15" s="1"/>
  <c r="K798" i="7"/>
  <c r="X416" i="15" s="1"/>
  <c r="Z416" i="15" s="1"/>
  <c r="AI419" i="15"/>
  <c r="AD419" i="15"/>
  <c r="H419" i="15"/>
  <c r="G419" i="15"/>
  <c r="C419" i="15"/>
  <c r="AM419" i="15" s="1"/>
  <c r="B419" i="15"/>
  <c r="A419" i="15" s="1"/>
  <c r="AI418" i="15"/>
  <c r="AD418" i="15"/>
  <c r="H418" i="15"/>
  <c r="G418" i="15"/>
  <c r="C418" i="15"/>
  <c r="AM418" i="15" s="1"/>
  <c r="B418" i="15"/>
  <c r="A418" i="15" s="1"/>
  <c r="AI416" i="15"/>
  <c r="AD416" i="15"/>
  <c r="H416" i="15"/>
  <c r="G416" i="15"/>
  <c r="C416" i="15"/>
  <c r="AM416" i="15" s="1"/>
  <c r="B416" i="15"/>
  <c r="A416" i="15" s="1"/>
  <c r="AI417" i="15"/>
  <c r="AD417" i="15"/>
  <c r="H417" i="15"/>
  <c r="G417" i="15"/>
  <c r="C417" i="15"/>
  <c r="AM417" i="15" s="1"/>
  <c r="B417" i="15"/>
  <c r="A417" i="15" s="1"/>
  <c r="AI413" i="15"/>
  <c r="AD413" i="15"/>
  <c r="H413" i="15"/>
  <c r="G413" i="15"/>
  <c r="C413" i="15"/>
  <c r="AM413" i="15" s="1"/>
  <c r="B413" i="15"/>
  <c r="A413" i="15" s="1"/>
  <c r="AD387" i="15"/>
  <c r="J387" i="15"/>
  <c r="H387" i="15"/>
  <c r="G387" i="15"/>
  <c r="C387" i="15"/>
  <c r="AM387" i="15" s="1"/>
  <c r="B387" i="15"/>
  <c r="A387" i="15" s="1"/>
  <c r="AD386" i="15"/>
  <c r="J386" i="15"/>
  <c r="H386" i="15"/>
  <c r="G386" i="15"/>
  <c r="C386" i="15"/>
  <c r="AM386" i="15" s="1"/>
  <c r="B386" i="15"/>
  <c r="A386" i="15" s="1"/>
  <c r="AI108" i="15"/>
  <c r="H108" i="15"/>
  <c r="G108" i="15"/>
  <c r="C108" i="15"/>
  <c r="AM108" i="15" s="1"/>
  <c r="B108" i="15"/>
  <c r="A108" i="15" s="1"/>
  <c r="AI105" i="15"/>
  <c r="X105" i="15"/>
  <c r="Z105" i="15" s="1"/>
  <c r="H105" i="15"/>
  <c r="G105" i="15"/>
  <c r="C105" i="15"/>
  <c r="AM105" i="15" s="1"/>
  <c r="B105" i="15"/>
  <c r="A105" i="15" s="1"/>
  <c r="AI102" i="15"/>
  <c r="X102" i="15"/>
  <c r="Z102" i="15" s="1"/>
  <c r="H102" i="15"/>
  <c r="G102" i="15"/>
  <c r="C102" i="15"/>
  <c r="AM102" i="15" s="1"/>
  <c r="B102" i="15"/>
  <c r="A102" i="15" s="1"/>
  <c r="AI99" i="15"/>
  <c r="X99" i="15"/>
  <c r="Z99" i="15" s="1"/>
  <c r="H99" i="15"/>
  <c r="G99" i="15"/>
  <c r="C99" i="15"/>
  <c r="AM99" i="15" s="1"/>
  <c r="B99" i="15"/>
  <c r="A99" i="15" s="1"/>
  <c r="AI97" i="15"/>
  <c r="H97" i="15"/>
  <c r="G97" i="15"/>
  <c r="C97" i="15"/>
  <c r="AM97" i="15" s="1"/>
  <c r="B97" i="15"/>
  <c r="A97" i="15" s="1"/>
  <c r="AI95" i="15"/>
  <c r="H95" i="15"/>
  <c r="G95" i="15"/>
  <c r="C95" i="15"/>
  <c r="AM95" i="15" s="1"/>
  <c r="B95" i="15"/>
  <c r="A95" i="15" s="1"/>
  <c r="AI93" i="15"/>
  <c r="H93" i="15"/>
  <c r="G93" i="15"/>
  <c r="C93" i="15"/>
  <c r="AM93" i="15" s="1"/>
  <c r="B93" i="15"/>
  <c r="A93" i="15" s="1"/>
  <c r="AI91" i="15"/>
  <c r="H91" i="15"/>
  <c r="G91" i="15"/>
  <c r="C91" i="15"/>
  <c r="AM91" i="15" s="1"/>
  <c r="B91" i="15"/>
  <c r="A91" i="15" s="1"/>
  <c r="AI89" i="15"/>
  <c r="H89" i="15"/>
  <c r="G89" i="15"/>
  <c r="C89" i="15"/>
  <c r="AM89" i="15" s="1"/>
  <c r="B89" i="15"/>
  <c r="A89" i="15" s="1"/>
  <c r="AI87" i="15"/>
  <c r="H87" i="15"/>
  <c r="G87" i="15"/>
  <c r="C87" i="15"/>
  <c r="AM87" i="15" s="1"/>
  <c r="B87" i="15"/>
  <c r="A87" i="15" s="1"/>
  <c r="AI85" i="15"/>
  <c r="X85" i="15"/>
  <c r="Z85" i="15" s="1"/>
  <c r="H85" i="15"/>
  <c r="G85" i="15"/>
  <c r="C85" i="15"/>
  <c r="AM85" i="15" s="1"/>
  <c r="B85" i="15"/>
  <c r="A85" i="15" s="1"/>
  <c r="AI83" i="15"/>
  <c r="X83" i="15"/>
  <c r="Z83" i="15" s="1"/>
  <c r="H83" i="15"/>
  <c r="G83" i="15"/>
  <c r="C83" i="15"/>
  <c r="AM83" i="15" s="1"/>
  <c r="B83" i="15"/>
  <c r="A83" i="15" s="1"/>
  <c r="BC108" i="5"/>
  <c r="BE336" i="5"/>
  <c r="BD336" i="5"/>
  <c r="BC336" i="5"/>
  <c r="BB336" i="5"/>
  <c r="BC54" i="5"/>
  <c r="BC55" i="5"/>
  <c r="BC56" i="5"/>
  <c r="AI80" i="15"/>
  <c r="X80" i="15"/>
  <c r="Z80" i="15" s="1"/>
  <c r="H80" i="15"/>
  <c r="G80" i="15"/>
  <c r="C80" i="15"/>
  <c r="AM80" i="15" s="1"/>
  <c r="B80" i="15"/>
  <c r="A80" i="15" s="1"/>
  <c r="AI79" i="15"/>
  <c r="X79" i="15"/>
  <c r="Z79" i="15" s="1"/>
  <c r="H79" i="15"/>
  <c r="G79" i="15"/>
  <c r="C79" i="15"/>
  <c r="AM79" i="15" s="1"/>
  <c r="B79" i="15"/>
  <c r="A79" i="15" s="1"/>
  <c r="AI78" i="15"/>
  <c r="X78" i="15"/>
  <c r="Z78" i="15" s="1"/>
  <c r="H78" i="15"/>
  <c r="G78" i="15"/>
  <c r="C78" i="15"/>
  <c r="AM78" i="15" s="1"/>
  <c r="B78" i="15"/>
  <c r="A78" i="15" s="1"/>
  <c r="AI67" i="15"/>
  <c r="AB67" i="15"/>
  <c r="X67" i="15"/>
  <c r="Z67" i="15" s="1"/>
  <c r="H67" i="15"/>
  <c r="G67" i="15"/>
  <c r="C67" i="15"/>
  <c r="AM67" i="15" s="1"/>
  <c r="B67" i="15"/>
  <c r="A67" i="15" s="1"/>
  <c r="BC305" i="5"/>
  <c r="BC308" i="5"/>
  <c r="BC302" i="5"/>
  <c r="BC106" i="5"/>
  <c r="BC49" i="5"/>
  <c r="BC50" i="5"/>
  <c r="BC8" i="5"/>
  <c r="BC9" i="5"/>
  <c r="AI66" i="15"/>
  <c r="AB66" i="15"/>
  <c r="X66" i="15"/>
  <c r="Z66" i="15" s="1"/>
  <c r="H66" i="15"/>
  <c r="G66" i="15"/>
  <c r="C66" i="15"/>
  <c r="AM66" i="15" s="1"/>
  <c r="B66" i="15"/>
  <c r="A66" i="15" s="1"/>
  <c r="K229" i="16"/>
  <c r="BE229" i="16" s="1"/>
  <c r="K228" i="16"/>
  <c r="BE228" i="16" s="1"/>
  <c r="K221" i="16"/>
  <c r="BE221" i="16" s="1"/>
  <c r="K222" i="16"/>
  <c r="BE222" i="16" s="1"/>
  <c r="K223" i="16"/>
  <c r="BE223" i="16" s="1"/>
  <c r="K224" i="16"/>
  <c r="BE224" i="16" s="1"/>
  <c r="K225" i="16"/>
  <c r="BE225" i="16" s="1"/>
  <c r="K226" i="16"/>
  <c r="BE226" i="16" s="1"/>
  <c r="K227" i="16"/>
  <c r="BE227" i="16" s="1"/>
  <c r="K220" i="16"/>
  <c r="BE220" i="16" s="1"/>
  <c r="J221" i="16"/>
  <c r="J222" i="16"/>
  <c r="J223" i="16"/>
  <c r="J224" i="16"/>
  <c r="J225" i="16"/>
  <c r="J226" i="16"/>
  <c r="J227" i="16"/>
  <c r="J228" i="16"/>
  <c r="J229" i="16"/>
  <c r="BC229" i="16" s="1"/>
  <c r="J220" i="16"/>
  <c r="AI60" i="15"/>
  <c r="AB60" i="15"/>
  <c r="H60" i="15"/>
  <c r="G60" i="15"/>
  <c r="C60" i="15"/>
  <c r="AM60" i="15" s="1"/>
  <c r="B60" i="15"/>
  <c r="A60" i="15" s="1"/>
  <c r="AI18" i="15"/>
  <c r="AB18" i="15"/>
  <c r="H18" i="15"/>
  <c r="G18" i="15"/>
  <c r="C18" i="15"/>
  <c r="AM18" i="15" s="1"/>
  <c r="B18" i="15"/>
  <c r="A18" i="15" s="1"/>
  <c r="AI17" i="15"/>
  <c r="AB17" i="15"/>
  <c r="H17" i="15"/>
  <c r="G17" i="15"/>
  <c r="C17" i="15"/>
  <c r="AM17" i="15" s="1"/>
  <c r="B17" i="15"/>
  <c r="A17" i="15" s="1"/>
  <c r="H138" i="2"/>
  <c r="H140" i="2"/>
  <c r="H142" i="2"/>
  <c r="J120" i="2"/>
  <c r="X622" i="15"/>
  <c r="Z622" i="15" s="1"/>
  <c r="X623" i="15"/>
  <c r="Z623" i="15" s="1"/>
  <c r="X624" i="15"/>
  <c r="Z624" i="15" s="1"/>
  <c r="X625" i="15"/>
  <c r="Z625" i="15" s="1"/>
  <c r="X620" i="15"/>
  <c r="Z620" i="15" s="1"/>
  <c r="DE118" i="2"/>
  <c r="DD118" i="2"/>
  <c r="DC118" i="2"/>
  <c r="DB118" i="2"/>
  <c r="AG118" i="2"/>
  <c r="AF118" i="2"/>
  <c r="AS118" i="2" s="1"/>
  <c r="AE118" i="2"/>
  <c r="AR118" i="2" s="1"/>
  <c r="AD118" i="2"/>
  <c r="BC118" i="2" s="1"/>
  <c r="AC118" i="2"/>
  <c r="BB118" i="2" s="1"/>
  <c r="AO118" i="2"/>
  <c r="AA118" i="2"/>
  <c r="AN118" i="2" s="1"/>
  <c r="Z118" i="2"/>
  <c r="AY118" i="2" s="1"/>
  <c r="Y118" i="2"/>
  <c r="AX118" i="2" s="1"/>
  <c r="X118" i="2"/>
  <c r="AK118" i="2" s="1"/>
  <c r="W118" i="2"/>
  <c r="AJ118" i="2" s="1"/>
  <c r="BE137" i="2"/>
  <c r="BD137" i="2"/>
  <c r="BC137" i="2"/>
  <c r="BB137" i="2"/>
  <c r="AZ137" i="2"/>
  <c r="AY137" i="2"/>
  <c r="AX137" i="2"/>
  <c r="AW137" i="2"/>
  <c r="AV137" i="2"/>
  <c r="AU137" i="2"/>
  <c r="AS137" i="2"/>
  <c r="AR137" i="2"/>
  <c r="AQ137" i="2"/>
  <c r="AP137" i="2"/>
  <c r="AO137" i="2"/>
  <c r="AN137" i="2"/>
  <c r="AM137" i="2"/>
  <c r="AL137" i="2"/>
  <c r="AK137" i="2"/>
  <c r="AJ137" i="2"/>
  <c r="AI137" i="2"/>
  <c r="BR136" i="2"/>
  <c r="BQ136" i="2"/>
  <c r="BP136" i="2"/>
  <c r="BO136" i="2"/>
  <c r="BN136" i="2"/>
  <c r="BL136" i="2"/>
  <c r="BK136" i="2"/>
  <c r="BJ136" i="2"/>
  <c r="BI136" i="2"/>
  <c r="BH136" i="2"/>
  <c r="AG136" i="2"/>
  <c r="AF136" i="2"/>
  <c r="BE136" i="2" s="1"/>
  <c r="AE136" i="2"/>
  <c r="BD136" i="2" s="1"/>
  <c r="AD136" i="2"/>
  <c r="AQ136" i="2" s="1"/>
  <c r="AC136" i="2"/>
  <c r="BB136" i="2" s="1"/>
  <c r="AA136" i="2"/>
  <c r="AZ136" i="2" s="1"/>
  <c r="Z136" i="2"/>
  <c r="AM136" i="2" s="1"/>
  <c r="Y136" i="2"/>
  <c r="AX136" i="2" s="1"/>
  <c r="X136" i="2"/>
  <c r="AW136" i="2" s="1"/>
  <c r="W136" i="2"/>
  <c r="AV136" i="2" s="1"/>
  <c r="H143" i="2"/>
  <c r="X621" i="15" l="1"/>
  <c r="Z621" i="15" s="1"/>
  <c r="AB419" i="15"/>
  <c r="BE801" i="7"/>
  <c r="AB418" i="15"/>
  <c r="BE800" i="7"/>
  <c r="AB477" i="15"/>
  <c r="BE1266" i="7"/>
  <c r="AB416" i="15"/>
  <c r="BE798" i="7"/>
  <c r="AB471" i="15"/>
  <c r="BE1260" i="7"/>
  <c r="AB480" i="15"/>
  <c r="BE1269" i="7"/>
  <c r="X60" i="15"/>
  <c r="Z60" i="15" s="1"/>
  <c r="BC799" i="7"/>
  <c r="AB417" i="15"/>
  <c r="AP118" i="2"/>
  <c r="AK136" i="2"/>
  <c r="AP136" i="2"/>
  <c r="AB474" i="15"/>
  <c r="X627" i="15"/>
  <c r="Z627" i="15" s="1"/>
  <c r="AL136" i="2"/>
  <c r="AR136" i="2"/>
  <c r="AV118" i="2"/>
  <c r="AN136" i="2"/>
  <c r="AS136" i="2"/>
  <c r="AZ118" i="2"/>
  <c r="X626" i="15"/>
  <c r="Z626" i="15" s="1"/>
  <c r="AJ136" i="2"/>
  <c r="AO136" i="2"/>
  <c r="AL118" i="2"/>
  <c r="BD118" i="2"/>
  <c r="AN463" i="15"/>
  <c r="AE463" i="15"/>
  <c r="AC463" i="15" s="1"/>
  <c r="AE450" i="15"/>
  <c r="AC450" i="15" s="1"/>
  <c r="AN450" i="15"/>
  <c r="AM118" i="2"/>
  <c r="AQ118" i="2"/>
  <c r="AW118" i="2"/>
  <c r="BE118" i="2"/>
  <c r="AY136" i="2"/>
  <c r="BC136" i="2"/>
  <c r="H120" i="2"/>
  <c r="H121" i="2"/>
  <c r="H122" i="2"/>
  <c r="H123" i="2"/>
  <c r="H124" i="2"/>
  <c r="H125" i="2"/>
  <c r="H126" i="2"/>
  <c r="H119" i="2"/>
  <c r="D144" i="2"/>
  <c r="D143" i="2"/>
  <c r="D142" i="2"/>
  <c r="D141" i="2"/>
  <c r="D140" i="2"/>
  <c r="D139" i="2"/>
  <c r="D138" i="2"/>
  <c r="D137" i="2"/>
  <c r="DC126" i="2"/>
  <c r="F126" i="2"/>
  <c r="DC125" i="2"/>
  <c r="F125" i="2"/>
  <c r="DC124" i="2"/>
  <c r="F124" i="2"/>
  <c r="DC123" i="2"/>
  <c r="F123" i="2"/>
  <c r="DC122" i="2"/>
  <c r="F122" i="2"/>
  <c r="DC121" i="2"/>
  <c r="F121" i="2"/>
  <c r="DC120" i="2"/>
  <c r="F120" i="2"/>
  <c r="DC119" i="2"/>
  <c r="F119" i="2"/>
  <c r="I625" i="15" l="1"/>
  <c r="AN625" i="15" s="1"/>
  <c r="I621" i="15"/>
  <c r="AN621" i="15" s="1"/>
  <c r="I626" i="15"/>
  <c r="AN626" i="15" s="1"/>
  <c r="I623" i="15"/>
  <c r="AN623" i="15" s="1"/>
  <c r="I627" i="15"/>
  <c r="AN627" i="15" s="1"/>
  <c r="DD119" i="2"/>
  <c r="DB119" i="2" s="1"/>
  <c r="AA620" i="15" s="1"/>
  <c r="DD120" i="2"/>
  <c r="DB120" i="2" s="1"/>
  <c r="AA621" i="15" s="1"/>
  <c r="DD121" i="2"/>
  <c r="DD122" i="2"/>
  <c r="DD123" i="2"/>
  <c r="DD124" i="2"/>
  <c r="DD125" i="2"/>
  <c r="DD126" i="2"/>
  <c r="I622" i="15"/>
  <c r="AN622" i="15" s="1"/>
  <c r="I620" i="15"/>
  <c r="AN620" i="15" s="1"/>
  <c r="I624" i="15"/>
  <c r="AN624" i="15" s="1"/>
  <c r="I126" i="2"/>
  <c r="O627" i="15" s="1"/>
  <c r="I125" i="2"/>
  <c r="O626" i="15" s="1"/>
  <c r="I121" i="2"/>
  <c r="O622" i="15" s="1"/>
  <c r="I120" i="2"/>
  <c r="O621" i="15" s="1"/>
  <c r="W621" i="15" s="1"/>
  <c r="V621" i="15" s="1"/>
  <c r="U621" i="15" s="1"/>
  <c r="I122" i="2"/>
  <c r="O623" i="15" s="1"/>
  <c r="W623" i="15" s="1"/>
  <c r="V623" i="15" s="1"/>
  <c r="U623" i="15" s="1"/>
  <c r="I124" i="2"/>
  <c r="O625" i="15" s="1"/>
  <c r="W625" i="15" s="1"/>
  <c r="V625" i="15" s="1"/>
  <c r="U625" i="15" s="1"/>
  <c r="I123" i="2"/>
  <c r="O624" i="15" s="1"/>
  <c r="I119" i="2"/>
  <c r="O620" i="15" s="1"/>
  <c r="AO627" i="15" l="1"/>
  <c r="W626" i="15"/>
  <c r="V626" i="15" s="1"/>
  <c r="U626" i="15" s="1"/>
  <c r="W627" i="15"/>
  <c r="V627" i="15" s="1"/>
  <c r="U627" i="15" s="1"/>
  <c r="AE620" i="15"/>
  <c r="AC620" i="15" s="1"/>
  <c r="AE621" i="15"/>
  <c r="AC621" i="15" s="1"/>
  <c r="W624" i="15"/>
  <c r="V624" i="15" s="1"/>
  <c r="U624" i="15" s="1"/>
  <c r="W622" i="15"/>
  <c r="V622" i="15" s="1"/>
  <c r="U622" i="15" s="1"/>
  <c r="W620" i="15"/>
  <c r="V620" i="15" s="1"/>
  <c r="U620" i="15" s="1"/>
  <c r="AO620" i="15"/>
  <c r="AO624" i="15"/>
  <c r="AO621" i="15"/>
  <c r="DB121" i="2"/>
  <c r="AA622" i="15" s="1"/>
  <c r="AE622" i="15"/>
  <c r="AC622" i="15" s="1"/>
  <c r="AO625" i="15"/>
  <c r="DB126" i="2"/>
  <c r="AA627" i="15" s="1"/>
  <c r="AE627" i="15"/>
  <c r="AC627" i="15" s="1"/>
  <c r="DB122" i="2"/>
  <c r="AA623" i="15" s="1"/>
  <c r="AE623" i="15"/>
  <c r="AC623" i="15" s="1"/>
  <c r="AO622" i="15"/>
  <c r="AO626" i="15"/>
  <c r="DB124" i="2"/>
  <c r="AA625" i="15" s="1"/>
  <c r="AE625" i="15"/>
  <c r="AC625" i="15" s="1"/>
  <c r="DB123" i="2"/>
  <c r="AA624" i="15" s="1"/>
  <c r="AE624" i="15"/>
  <c r="AC624" i="15" s="1"/>
  <c r="DB125" i="2"/>
  <c r="AA626" i="15" s="1"/>
  <c r="AE626" i="15"/>
  <c r="AC626" i="15" s="1"/>
  <c r="AO623" i="15"/>
  <c r="G1292" i="7" l="1"/>
  <c r="K1268" i="7" s="1"/>
  <c r="BE1268" i="7" s="1"/>
  <c r="DD416" i="2"/>
  <c r="H761" i="7"/>
  <c r="H801" i="7"/>
  <c r="H800" i="7"/>
  <c r="H799" i="7"/>
  <c r="H798" i="7"/>
  <c r="H1128" i="7"/>
  <c r="M1128" i="7" s="1"/>
  <c r="O450" i="15" s="1"/>
  <c r="H1141" i="7"/>
  <c r="M1141" i="7" s="1"/>
  <c r="O463" i="15" s="1"/>
  <c r="H1146" i="7"/>
  <c r="H1390" i="7"/>
  <c r="H1391" i="7"/>
  <c r="H1392" i="7"/>
  <c r="H1393" i="7"/>
  <c r="H1394" i="7"/>
  <c r="H1395" i="7"/>
  <c r="H1396" i="7"/>
  <c r="H1397" i="7"/>
  <c r="H1398" i="7"/>
  <c r="H1399" i="7"/>
  <c r="H1400" i="7"/>
  <c r="H1389" i="7"/>
  <c r="H9" i="5"/>
  <c r="H8" i="5"/>
  <c r="H56" i="5"/>
  <c r="I56" i="5" s="1"/>
  <c r="O80" i="15" s="1"/>
  <c r="W80" i="15" s="1"/>
  <c r="H55" i="5"/>
  <c r="I55" i="5" s="1"/>
  <c r="O79" i="15" s="1"/>
  <c r="W79" i="15" s="1"/>
  <c r="H54" i="5"/>
  <c r="I54" i="5" s="1"/>
  <c r="O78" i="15" s="1"/>
  <c r="W78" i="15" s="1"/>
  <c r="H50" i="5"/>
  <c r="I50" i="5" s="1"/>
  <c r="O74" i="15" s="1"/>
  <c r="W74" i="15" s="1"/>
  <c r="H49" i="5"/>
  <c r="I49" i="5" s="1"/>
  <c r="O73" i="15" s="1"/>
  <c r="W73" i="15" s="1"/>
  <c r="H108" i="5"/>
  <c r="H106" i="5"/>
  <c r="H263" i="5"/>
  <c r="H261" i="5"/>
  <c r="H338" i="5"/>
  <c r="H308" i="5"/>
  <c r="H305" i="5"/>
  <c r="H302" i="5"/>
  <c r="W463" i="15" l="1"/>
  <c r="AO463" i="15"/>
  <c r="W450" i="15"/>
  <c r="AO450" i="15"/>
  <c r="G357" i="5"/>
  <c r="G359" i="5"/>
  <c r="G360" i="5" s="1"/>
  <c r="G358" i="5"/>
  <c r="V1285" i="6"/>
  <c r="V1279" i="6"/>
  <c r="AE589" i="15"/>
  <c r="AI589" i="15"/>
  <c r="AB589" i="15"/>
  <c r="X589" i="15"/>
  <c r="O589" i="15"/>
  <c r="I589" i="15"/>
  <c r="H589" i="15"/>
  <c r="G589" i="15"/>
  <c r="C589" i="15"/>
  <c r="B589" i="15"/>
  <c r="A589" i="15" s="1"/>
  <c r="BC7" i="8"/>
  <c r="Z7" i="10"/>
  <c r="AA7" i="10"/>
  <c r="X7" i="10"/>
  <c r="Y7" i="10"/>
  <c r="W7" i="10"/>
  <c r="K509" i="9"/>
  <c r="BE509" i="9" s="1"/>
  <c r="K510" i="9"/>
  <c r="BE510" i="9" s="1"/>
  <c r="K511" i="9"/>
  <c r="BE511" i="9" s="1"/>
  <c r="K512" i="9"/>
  <c r="BE512" i="9" s="1"/>
  <c r="K513" i="9"/>
  <c r="BE513" i="9" s="1"/>
  <c r="K514" i="9"/>
  <c r="BE514" i="9" s="1"/>
  <c r="K515" i="9"/>
  <c r="BE515" i="9" s="1"/>
  <c r="K516" i="9"/>
  <c r="BE516" i="9" s="1"/>
  <c r="K508" i="9"/>
  <c r="BE508" i="9" s="1"/>
  <c r="J261" i="5"/>
  <c r="J262" i="5"/>
  <c r="J263" i="5"/>
  <c r="J260" i="5"/>
  <c r="K263" i="5"/>
  <c r="BE263" i="5" s="1"/>
  <c r="K262" i="5"/>
  <c r="BE262" i="5" s="1"/>
  <c r="K261" i="5"/>
  <c r="BE261" i="5" s="1"/>
  <c r="K260" i="5"/>
  <c r="BE260" i="5" s="1"/>
  <c r="F337" i="5" l="1"/>
  <c r="F338" i="5"/>
  <c r="AB97" i="15"/>
  <c r="X95" i="15"/>
  <c r="Z95" i="15" s="1"/>
  <c r="BC261" i="5"/>
  <c r="AB95" i="15"/>
  <c r="X97" i="15"/>
  <c r="Z97" i="15" s="1"/>
  <c r="BC263" i="5"/>
  <c r="I107" i="15" l="1"/>
  <c r="AN107" i="15" s="1"/>
  <c r="BD337" i="5"/>
  <c r="I337" i="5"/>
  <c r="O107" i="15" s="1"/>
  <c r="V107" i="15" s="1"/>
  <c r="F127" i="16"/>
  <c r="BL49" i="2"/>
  <c r="I110" i="2"/>
  <c r="BP91" i="2" l="1"/>
  <c r="BO91" i="2"/>
  <c r="BN91" i="2"/>
  <c r="BL91" i="2"/>
  <c r="BK91" i="2"/>
  <c r="BJ91" i="2"/>
  <c r="BR91" i="2"/>
  <c r="BI91" i="2"/>
  <c r="BQ91" i="2"/>
  <c r="BH91" i="2"/>
  <c r="AC139" i="16"/>
  <c r="AC138" i="16"/>
  <c r="AC133" i="16"/>
  <c r="AC140" i="16"/>
  <c r="AC137" i="16"/>
  <c r="AC136" i="16"/>
  <c r="AC135" i="16"/>
  <c r="AC134" i="16"/>
  <c r="BB337" i="5"/>
  <c r="AA107" i="15" s="1"/>
  <c r="AE107" i="15"/>
  <c r="AC107" i="15" s="1"/>
  <c r="AO107" i="15"/>
  <c r="BR137" i="2"/>
  <c r="BN137" i="2"/>
  <c r="BJ137" i="2"/>
  <c r="BO137" i="2"/>
  <c r="BK137" i="2"/>
  <c r="BQ137" i="2"/>
  <c r="BI137" i="2"/>
  <c r="BP137" i="2"/>
  <c r="BL137" i="2"/>
  <c r="BH137" i="2"/>
  <c r="AA532" i="9"/>
  <c r="Z532" i="9"/>
  <c r="Y532" i="9"/>
  <c r="X532" i="9"/>
  <c r="W532" i="9"/>
  <c r="F509" i="9"/>
  <c r="F510" i="9"/>
  <c r="F511" i="9"/>
  <c r="F512" i="9"/>
  <c r="F513" i="9"/>
  <c r="F514" i="9"/>
  <c r="F515" i="9"/>
  <c r="F508" i="9"/>
  <c r="G532" i="9"/>
  <c r="F516" i="9" s="1"/>
  <c r="AA343" i="9"/>
  <c r="Z343" i="9"/>
  <c r="AA340" i="9"/>
  <c r="Z340" i="9"/>
  <c r="K227" i="9"/>
  <c r="J227" i="9"/>
  <c r="I227" i="9"/>
  <c r="Z195" i="9"/>
  <c r="AA195" i="9"/>
  <c r="AA190" i="9"/>
  <c r="Z190" i="9"/>
  <c r="AA189" i="9"/>
  <c r="Z189" i="9"/>
  <c r="AA188" i="9"/>
  <c r="Z188" i="9"/>
  <c r="AA187" i="9"/>
  <c r="Z187" i="9"/>
  <c r="AA186" i="9"/>
  <c r="Z186" i="9"/>
  <c r="AA185" i="9"/>
  <c r="Z185" i="9"/>
  <c r="AA184" i="9"/>
  <c r="Z184" i="9"/>
  <c r="AA183" i="9"/>
  <c r="Z183" i="9"/>
  <c r="AA182" i="9"/>
  <c r="Z182" i="9"/>
  <c r="AA181" i="9"/>
  <c r="Z181" i="9"/>
  <c r="AA156" i="9"/>
  <c r="Z156" i="9"/>
  <c r="AA155" i="9"/>
  <c r="Z155" i="9"/>
  <c r="AA154" i="9"/>
  <c r="Z154" i="9"/>
  <c r="AA153" i="9"/>
  <c r="Z153" i="9"/>
  <c r="AA152" i="9"/>
  <c r="Z152" i="9"/>
  <c r="AA151" i="9"/>
  <c r="Z151" i="9"/>
  <c r="AA150" i="9"/>
  <c r="Z150" i="9"/>
  <c r="AA149" i="9"/>
  <c r="Z149" i="9"/>
  <c r="AA148" i="9"/>
  <c r="Z148" i="9"/>
  <c r="AA147" i="9"/>
  <c r="Z147" i="9"/>
  <c r="AA31" i="9"/>
  <c r="Z31" i="9"/>
  <c r="AA30" i="9"/>
  <c r="Z30" i="9"/>
  <c r="AA29" i="9"/>
  <c r="Z29" i="9"/>
  <c r="AA28" i="9"/>
  <c r="Z28" i="9"/>
  <c r="G1423" i="7"/>
  <c r="K1390" i="7" s="1"/>
  <c r="BE1390" i="7" s="1"/>
  <c r="G1419" i="7"/>
  <c r="G1417" i="7"/>
  <c r="G1416" i="7"/>
  <c r="G1415" i="7"/>
  <c r="G1414" i="7"/>
  <c r="G1412" i="7"/>
  <c r="G1411" i="7"/>
  <c r="G1410" i="7"/>
  <c r="F1394" i="7" s="1"/>
  <c r="I512" i="15" s="1"/>
  <c r="AN512" i="15" s="1"/>
  <c r="G1409" i="7"/>
  <c r="F1391" i="7" s="1"/>
  <c r="I509" i="15" s="1"/>
  <c r="AN509" i="15" s="1"/>
  <c r="AG1407" i="7"/>
  <c r="AF1407" i="7"/>
  <c r="AE1407" i="7"/>
  <c r="AD1407" i="7"/>
  <c r="AC1407" i="7"/>
  <c r="AB1407" i="7"/>
  <c r="AA1407" i="7"/>
  <c r="Z1407" i="7"/>
  <c r="Y1407" i="7"/>
  <c r="X1407" i="7"/>
  <c r="J1400" i="7"/>
  <c r="J1399" i="7"/>
  <c r="J1398" i="7"/>
  <c r="J1397" i="7"/>
  <c r="J1396" i="7"/>
  <c r="J1395" i="7"/>
  <c r="J1394" i="7"/>
  <c r="J1393" i="7"/>
  <c r="J1392" i="7"/>
  <c r="J1391" i="7"/>
  <c r="J1390" i="7"/>
  <c r="J1389" i="7"/>
  <c r="AG1388" i="7"/>
  <c r="AF1388" i="7"/>
  <c r="AE1388" i="7"/>
  <c r="AD1388" i="7"/>
  <c r="AC1388" i="7"/>
  <c r="AB1388" i="7"/>
  <c r="AA1388" i="7"/>
  <c r="Z1388" i="7"/>
  <c r="Y1388" i="7"/>
  <c r="X1388" i="7"/>
  <c r="A1387" i="7"/>
  <c r="V1386" i="7"/>
  <c r="A1386" i="7"/>
  <c r="V1260" i="7"/>
  <c r="V1261" i="7"/>
  <c r="V1262" i="7"/>
  <c r="V1263" i="7"/>
  <c r="V1264" i="7"/>
  <c r="V1265" i="7"/>
  <c r="V1266" i="7"/>
  <c r="V1267" i="7"/>
  <c r="V1269" i="7"/>
  <c r="F1264" i="7"/>
  <c r="BD1264" i="7" s="1"/>
  <c r="BB1264" i="7" s="1"/>
  <c r="F1263" i="7"/>
  <c r="F1262" i="7"/>
  <c r="BD1262" i="7" s="1"/>
  <c r="BB1262" i="7" s="1"/>
  <c r="F1261" i="7"/>
  <c r="BD1261" i="7" s="1"/>
  <c r="BB1261" i="7" s="1"/>
  <c r="F1260" i="7"/>
  <c r="F1259" i="7"/>
  <c r="G1282" i="7"/>
  <c r="F1267" i="7" s="1"/>
  <c r="BD1267" i="7" s="1"/>
  <c r="BB1267" i="7" s="1"/>
  <c r="G1281" i="7"/>
  <c r="F1266" i="7" s="1"/>
  <c r="W1275" i="7"/>
  <c r="X1275" i="7"/>
  <c r="Y1275" i="7"/>
  <c r="Z1275" i="7"/>
  <c r="AA1275" i="7"/>
  <c r="AB1275" i="7"/>
  <c r="AC1275" i="7"/>
  <c r="AD1275" i="7"/>
  <c r="AE1275" i="7"/>
  <c r="AF1275" i="7"/>
  <c r="AG1275" i="7"/>
  <c r="H1260" i="7"/>
  <c r="H1261" i="7"/>
  <c r="H1262" i="7"/>
  <c r="H1263" i="7"/>
  <c r="H1264" i="7"/>
  <c r="H1265" i="7"/>
  <c r="H1266" i="7"/>
  <c r="H1267" i="7"/>
  <c r="H1268" i="7"/>
  <c r="H1269" i="7"/>
  <c r="AA1250" i="7"/>
  <c r="AM1250" i="7"/>
  <c r="AN1252" i="7"/>
  <c r="AN1250" i="7"/>
  <c r="AN1249" i="7"/>
  <c r="AN1245" i="7"/>
  <c r="AN1244" i="7"/>
  <c r="AN1240" i="7"/>
  <c r="AN1238" i="7"/>
  <c r="Q1141" i="7"/>
  <c r="P1141" i="7"/>
  <c r="BE1141" i="7" s="1"/>
  <c r="O1141" i="7"/>
  <c r="O1128" i="7"/>
  <c r="Q1128" i="7"/>
  <c r="P1128" i="7"/>
  <c r="BE1128" i="7" s="1"/>
  <c r="V830" i="7"/>
  <c r="V829" i="7"/>
  <c r="I801" i="7"/>
  <c r="F801" i="7" s="1"/>
  <c r="I419" i="15" s="1"/>
  <c r="AN419" i="15" s="1"/>
  <c r="I800" i="7"/>
  <c r="F800" i="7" s="1"/>
  <c r="I418" i="15" s="1"/>
  <c r="AN418" i="15" s="1"/>
  <c r="I799" i="7"/>
  <c r="I798" i="7"/>
  <c r="BC801" i="7"/>
  <c r="BC800" i="7"/>
  <c r="BC798" i="7"/>
  <c r="AG810" i="7"/>
  <c r="AF810" i="7"/>
  <c r="AE810" i="7"/>
  <c r="AD810" i="7"/>
  <c r="AC810" i="7"/>
  <c r="AB810" i="7"/>
  <c r="AA810" i="7"/>
  <c r="Z810" i="7"/>
  <c r="Y810" i="7"/>
  <c r="X810" i="7"/>
  <c r="W810" i="7"/>
  <c r="V798" i="7"/>
  <c r="V799" i="7" s="1"/>
  <c r="V800" i="7" s="1"/>
  <c r="V801" i="7" s="1"/>
  <c r="BE797" i="7"/>
  <c r="BD797" i="7"/>
  <c r="BC797" i="7"/>
  <c r="BB797" i="7"/>
  <c r="AG797" i="7"/>
  <c r="AF797" i="7"/>
  <c r="AE797" i="7"/>
  <c r="AD797" i="7"/>
  <c r="AC797" i="7"/>
  <c r="AB797" i="7"/>
  <c r="AA797" i="7"/>
  <c r="Z797" i="7"/>
  <c r="Y797" i="7"/>
  <c r="X797" i="7"/>
  <c r="W797" i="7"/>
  <c r="V795" i="7"/>
  <c r="L761" i="7"/>
  <c r="K761" i="7"/>
  <c r="I761" i="7"/>
  <c r="I762" i="7"/>
  <c r="I763" i="7"/>
  <c r="I760" i="7"/>
  <c r="F761" i="7" s="1"/>
  <c r="I413" i="15" s="1"/>
  <c r="AN413" i="15" s="1"/>
  <c r="L607" i="7"/>
  <c r="L601" i="7"/>
  <c r="K604" i="7"/>
  <c r="K598" i="7"/>
  <c r="J607" i="7"/>
  <c r="J604" i="7"/>
  <c r="J601" i="7"/>
  <c r="J598" i="7"/>
  <c r="I607" i="7"/>
  <c r="I604" i="7"/>
  <c r="I601" i="7"/>
  <c r="I598" i="7"/>
  <c r="V560" i="7"/>
  <c r="V561" i="7"/>
  <c r="L560" i="7"/>
  <c r="L561" i="7"/>
  <c r="I561" i="7"/>
  <c r="J560" i="7"/>
  <c r="I560" i="7"/>
  <c r="H560" i="7"/>
  <c r="H561" i="7"/>
  <c r="AA1041" i="7"/>
  <c r="Z1041" i="7"/>
  <c r="AA1039" i="7"/>
  <c r="Z1039" i="7"/>
  <c r="AA669" i="7"/>
  <c r="Z669" i="7"/>
  <c r="AA668" i="7"/>
  <c r="Z668" i="7"/>
  <c r="AA666" i="7"/>
  <c r="Z666" i="7"/>
  <c r="AA665" i="7"/>
  <c r="Z665" i="7"/>
  <c r="AA552" i="7"/>
  <c r="Z552" i="7"/>
  <c r="AA535" i="7"/>
  <c r="Z535" i="7"/>
  <c r="AA534" i="7"/>
  <c r="Z534" i="7"/>
  <c r="Z74" i="7"/>
  <c r="V66" i="7"/>
  <c r="V65" i="7"/>
  <c r="V64" i="7"/>
  <c r="V63" i="7"/>
  <c r="V62" i="7"/>
  <c r="V61" i="7"/>
  <c r="V60" i="7"/>
  <c r="AA40" i="7"/>
  <c r="Z40" i="7"/>
  <c r="AA39" i="7"/>
  <c r="Z39" i="7"/>
  <c r="AA38" i="7"/>
  <c r="Z38" i="7"/>
  <c r="AA37" i="7"/>
  <c r="Z37" i="7"/>
  <c r="X413" i="15" l="1"/>
  <c r="Z413" i="15" s="1"/>
  <c r="BC761" i="7"/>
  <c r="BD761" i="7" s="1"/>
  <c r="AB413" i="15"/>
  <c r="BE761" i="7"/>
  <c r="K1398" i="7"/>
  <c r="BE1398" i="7" s="1"/>
  <c r="K1394" i="7"/>
  <c r="K1391" i="7"/>
  <c r="K1395" i="7"/>
  <c r="BE1395" i="7" s="1"/>
  <c r="K1399" i="7"/>
  <c r="K1392" i="7"/>
  <c r="K1396" i="7"/>
  <c r="K1400" i="7"/>
  <c r="K1389" i="7"/>
  <c r="K1393" i="7"/>
  <c r="K1397" i="7"/>
  <c r="BE1397" i="7" s="1"/>
  <c r="F798" i="7"/>
  <c r="F799" i="7"/>
  <c r="BD799" i="7" s="1"/>
  <c r="F1398" i="7"/>
  <c r="I516" i="15" s="1"/>
  <c r="AN516" i="15" s="1"/>
  <c r="F1392" i="7"/>
  <c r="I510" i="15" s="1"/>
  <c r="AN510" i="15" s="1"/>
  <c r="X386" i="15"/>
  <c r="Z386" i="15" s="1"/>
  <c r="BC560" i="7"/>
  <c r="AB450" i="15"/>
  <c r="BB1128" i="7"/>
  <c r="AA450" i="15" s="1"/>
  <c r="BB1141" i="7"/>
  <c r="AA463" i="15" s="1"/>
  <c r="AB463" i="15"/>
  <c r="I474" i="15"/>
  <c r="AN474" i="15" s="1"/>
  <c r="BD1263" i="7"/>
  <c r="BC1395" i="7"/>
  <c r="X513" i="15"/>
  <c r="Z513" i="15" s="1"/>
  <c r="BC1397" i="7"/>
  <c r="X515" i="15"/>
  <c r="Z515" i="15" s="1"/>
  <c r="BC1399" i="7"/>
  <c r="X517" i="15"/>
  <c r="Z517" i="15" s="1"/>
  <c r="BD801" i="7"/>
  <c r="AE419" i="15" s="1"/>
  <c r="AC419" i="15" s="1"/>
  <c r="I471" i="15"/>
  <c r="AN471" i="15" s="1"/>
  <c r="BD1260" i="7"/>
  <c r="X508" i="15"/>
  <c r="Z508" i="15" s="1"/>
  <c r="BC1390" i="7"/>
  <c r="X510" i="15"/>
  <c r="Z510" i="15" s="1"/>
  <c r="BC1392" i="7"/>
  <c r="I477" i="15"/>
  <c r="AN477" i="15" s="1"/>
  <c r="BD1266" i="7"/>
  <c r="AB508" i="15"/>
  <c r="X512" i="15"/>
  <c r="Z512" i="15" s="1"/>
  <c r="BC1394" i="7"/>
  <c r="BD1394" i="7" s="1"/>
  <c r="X514" i="15"/>
  <c r="Z514" i="15" s="1"/>
  <c r="BC1396" i="7"/>
  <c r="X516" i="15"/>
  <c r="Z516" i="15" s="1"/>
  <c r="BC1398" i="7"/>
  <c r="BC1400" i="7"/>
  <c r="X518" i="15"/>
  <c r="Z518" i="15" s="1"/>
  <c r="X387" i="15"/>
  <c r="Z387" i="15" s="1"/>
  <c r="BC561" i="7"/>
  <c r="BC1389" i="7"/>
  <c r="X507" i="15"/>
  <c r="Z507" i="15" s="1"/>
  <c r="BC1391" i="7"/>
  <c r="BD1391" i="7" s="1"/>
  <c r="X509" i="15"/>
  <c r="Z509" i="15" s="1"/>
  <c r="BC1393" i="7"/>
  <c r="X511" i="15"/>
  <c r="Z511" i="15" s="1"/>
  <c r="F1393" i="7"/>
  <c r="F1395" i="7"/>
  <c r="J801" i="7"/>
  <c r="O419" i="15" s="1"/>
  <c r="V419" i="15" s="1"/>
  <c r="F1265" i="7"/>
  <c r="BD1265" i="7" s="1"/>
  <c r="BB1265" i="7" s="1"/>
  <c r="F1389" i="7"/>
  <c r="F1390" i="7"/>
  <c r="I1391" i="7"/>
  <c r="O509" i="15" s="1"/>
  <c r="W509" i="15" s="1"/>
  <c r="F1399" i="7"/>
  <c r="F1397" i="7"/>
  <c r="I515" i="15" s="1"/>
  <c r="AN515" i="15" s="1"/>
  <c r="I1394" i="7"/>
  <c r="O512" i="15" s="1"/>
  <c r="W512" i="15" s="1"/>
  <c r="F1396" i="7"/>
  <c r="I514" i="15" s="1"/>
  <c r="AN514" i="15" s="1"/>
  <c r="F1400" i="7"/>
  <c r="I518" i="15" s="1"/>
  <c r="AN518" i="15" s="1"/>
  <c r="I1266" i="7"/>
  <c r="O477" i="15" s="1"/>
  <c r="V477" i="15" s="1"/>
  <c r="I1263" i="7"/>
  <c r="O474" i="15" s="1"/>
  <c r="V474" i="15" s="1"/>
  <c r="F561" i="7"/>
  <c r="I1260" i="7"/>
  <c r="O471" i="15" s="1"/>
  <c r="V471" i="15" s="1"/>
  <c r="J800" i="7"/>
  <c r="O418" i="15" s="1"/>
  <c r="V418" i="15" s="1"/>
  <c r="BD800" i="7"/>
  <c r="J761" i="7"/>
  <c r="O413" i="15" s="1"/>
  <c r="V413" i="15" s="1"/>
  <c r="F560" i="7"/>
  <c r="BB761" i="7" l="1"/>
  <c r="AA413" i="15" s="1"/>
  <c r="AE413" i="15"/>
  <c r="AC413" i="15" s="1"/>
  <c r="AB516" i="15"/>
  <c r="BD1398" i="7"/>
  <c r="AE516" i="15" s="1"/>
  <c r="AC516" i="15" s="1"/>
  <c r="AB518" i="15"/>
  <c r="BE1400" i="7"/>
  <c r="AB514" i="15"/>
  <c r="BE1396" i="7"/>
  <c r="AB510" i="15"/>
  <c r="BE1392" i="7"/>
  <c r="AB517" i="15"/>
  <c r="BE1399" i="7"/>
  <c r="AB509" i="15"/>
  <c r="BE1391" i="7"/>
  <c r="BB1391" i="7" s="1"/>
  <c r="AA509" i="15" s="1"/>
  <c r="AB511" i="15"/>
  <c r="BE1393" i="7"/>
  <c r="AB512" i="15"/>
  <c r="BE1394" i="7"/>
  <c r="BB1394" i="7" s="1"/>
  <c r="AA512" i="15" s="1"/>
  <c r="AB507" i="15"/>
  <c r="BE1389" i="7"/>
  <c r="I1392" i="7"/>
  <c r="O510" i="15" s="1"/>
  <c r="W510" i="15" s="1"/>
  <c r="AB515" i="15"/>
  <c r="AB513" i="15"/>
  <c r="I417" i="15"/>
  <c r="AN417" i="15" s="1"/>
  <c r="I1398" i="7"/>
  <c r="O516" i="15" s="1"/>
  <c r="W516" i="15" s="1"/>
  <c r="J799" i="7"/>
  <c r="O417" i="15" s="1"/>
  <c r="V417" i="15" s="1"/>
  <c r="BD1392" i="7"/>
  <c r="BB801" i="7"/>
  <c r="AA419" i="15" s="1"/>
  <c r="BD561" i="7"/>
  <c r="AE387" i="15" s="1"/>
  <c r="AC387" i="15" s="1"/>
  <c r="BD1400" i="7"/>
  <c r="AO477" i="15"/>
  <c r="BD1390" i="7"/>
  <c r="BD1397" i="7"/>
  <c r="I1390" i="7"/>
  <c r="O508" i="15" s="1"/>
  <c r="W508" i="15" s="1"/>
  <c r="I508" i="15"/>
  <c r="AN508" i="15" s="1"/>
  <c r="I1395" i="7"/>
  <c r="O513" i="15" s="1"/>
  <c r="W513" i="15" s="1"/>
  <c r="I513" i="15"/>
  <c r="AN513" i="15" s="1"/>
  <c r="AE512" i="15"/>
  <c r="AC512" i="15" s="1"/>
  <c r="AO418" i="15"/>
  <c r="AO512" i="15"/>
  <c r="BB1263" i="7"/>
  <c r="AA474" i="15" s="1"/>
  <c r="AE474" i="15"/>
  <c r="AC474" i="15" s="1"/>
  <c r="BD560" i="7"/>
  <c r="K560" i="7"/>
  <c r="O386" i="15" s="1"/>
  <c r="W386" i="15" s="1"/>
  <c r="I386" i="15"/>
  <c r="AN386" i="15" s="1"/>
  <c r="AE509" i="15"/>
  <c r="AC509" i="15" s="1"/>
  <c r="J798" i="7"/>
  <c r="O416" i="15" s="1"/>
  <c r="V416" i="15" s="1"/>
  <c r="I416" i="15"/>
  <c r="AN416" i="15" s="1"/>
  <c r="K561" i="7"/>
  <c r="O387" i="15" s="1"/>
  <c r="W387" i="15" s="1"/>
  <c r="I387" i="15"/>
  <c r="AN387" i="15" s="1"/>
  <c r="I1389" i="7"/>
  <c r="O507" i="15" s="1"/>
  <c r="W507" i="15" s="1"/>
  <c r="I507" i="15"/>
  <c r="AN507" i="15" s="1"/>
  <c r="BD1393" i="7"/>
  <c r="BD1389" i="7"/>
  <c r="AO509" i="15"/>
  <c r="BB1260" i="7"/>
  <c r="AA471" i="15" s="1"/>
  <c r="AE471" i="15"/>
  <c r="AC471" i="15" s="1"/>
  <c r="BD1399" i="7"/>
  <c r="BD1395" i="7"/>
  <c r="AO474" i="15"/>
  <c r="I1399" i="7"/>
  <c r="O517" i="15" s="1"/>
  <c r="W517" i="15" s="1"/>
  <c r="I517" i="15"/>
  <c r="AN517" i="15" s="1"/>
  <c r="I1393" i="7"/>
  <c r="O511" i="15" s="1"/>
  <c r="W511" i="15" s="1"/>
  <c r="I511" i="15"/>
  <c r="AN511" i="15" s="1"/>
  <c r="AO413" i="15"/>
  <c r="BD1396" i="7"/>
  <c r="BB1266" i="7"/>
  <c r="AA477" i="15" s="1"/>
  <c r="AE477" i="15"/>
  <c r="AC477" i="15" s="1"/>
  <c r="AO471" i="15"/>
  <c r="BB799" i="7"/>
  <c r="AA417" i="15" s="1"/>
  <c r="AE417" i="15"/>
  <c r="AC417" i="15" s="1"/>
  <c r="AO419" i="15"/>
  <c r="BB800" i="7"/>
  <c r="AA418" i="15" s="1"/>
  <c r="AE418" i="15"/>
  <c r="AC418" i="15" s="1"/>
  <c r="BD798" i="7"/>
  <c r="I1396" i="7"/>
  <c r="O514" i="15" s="1"/>
  <c r="W514" i="15" s="1"/>
  <c r="I1400" i="7"/>
  <c r="O518" i="15" s="1"/>
  <c r="W518" i="15" s="1"/>
  <c r="I1397" i="7"/>
  <c r="O515" i="15" s="1"/>
  <c r="W515" i="15" s="1"/>
  <c r="BB1398" i="7" l="1"/>
  <c r="AA516" i="15" s="1"/>
  <c r="BB1392" i="7"/>
  <c r="AA510" i="15" s="1"/>
  <c r="AO510" i="15"/>
  <c r="AE510" i="15"/>
  <c r="AC510" i="15" s="1"/>
  <c r="AO516" i="15"/>
  <c r="AO417" i="15"/>
  <c r="AO517" i="15"/>
  <c r="AO513" i="15"/>
  <c r="AO416" i="15"/>
  <c r="AO386" i="15"/>
  <c r="AO511" i="15"/>
  <c r="AO508" i="15"/>
  <c r="AE386" i="15"/>
  <c r="AC386" i="15" s="1"/>
  <c r="AE513" i="15"/>
  <c r="AC513" i="15" s="1"/>
  <c r="BB1395" i="7"/>
  <c r="AA513" i="15" s="1"/>
  <c r="AE507" i="15"/>
  <c r="AC507" i="15" s="1"/>
  <c r="BB1389" i="7"/>
  <c r="AA507" i="15" s="1"/>
  <c r="AO515" i="15"/>
  <c r="AO514" i="15"/>
  <c r="BB1400" i="7"/>
  <c r="AA518" i="15" s="1"/>
  <c r="AE518" i="15"/>
  <c r="AC518" i="15" s="1"/>
  <c r="AE517" i="15"/>
  <c r="AC517" i="15" s="1"/>
  <c r="BB1399" i="7"/>
  <c r="AA517" i="15" s="1"/>
  <c r="BB1393" i="7"/>
  <c r="AA511" i="15" s="1"/>
  <c r="AE511" i="15"/>
  <c r="AC511" i="15" s="1"/>
  <c r="AO518" i="15"/>
  <c r="AE515" i="15"/>
  <c r="AC515" i="15" s="1"/>
  <c r="BB1397" i="7"/>
  <c r="AA515" i="15" s="1"/>
  <c r="AE514" i="15"/>
  <c r="AC514" i="15" s="1"/>
  <c r="BB1396" i="7"/>
  <c r="AA514" i="15" s="1"/>
  <c r="AO507" i="15"/>
  <c r="AO387" i="15"/>
  <c r="AE508" i="15"/>
  <c r="AC508" i="15" s="1"/>
  <c r="BB1390" i="7"/>
  <c r="AA508" i="15" s="1"/>
  <c r="BB798" i="7"/>
  <c r="AA416" i="15" s="1"/>
  <c r="AE416" i="15"/>
  <c r="AC416" i="15" s="1"/>
  <c r="F1778" i="6"/>
  <c r="I1778" i="6" s="1"/>
  <c r="F1777" i="6"/>
  <c r="I1777" i="6" s="1"/>
  <c r="F1774" i="6"/>
  <c r="I1774" i="6" s="1"/>
  <c r="F1773" i="6"/>
  <c r="I1773" i="6" s="1"/>
  <c r="F1770" i="6"/>
  <c r="I1770" i="6" s="1"/>
  <c r="F1769" i="6"/>
  <c r="I1769" i="6" s="1"/>
  <c r="F1766" i="6"/>
  <c r="I1766" i="6" s="1"/>
  <c r="F1765" i="6"/>
  <c r="I1765" i="6" s="1"/>
  <c r="F1762" i="6"/>
  <c r="I1762" i="6" s="1"/>
  <c r="F1761" i="6"/>
  <c r="I1761" i="6" s="1"/>
  <c r="F1756" i="6"/>
  <c r="F1755" i="6"/>
  <c r="F1754" i="6"/>
  <c r="F1753" i="6"/>
  <c r="F1746" i="6"/>
  <c r="F1745" i="6"/>
  <c r="F1744" i="6"/>
  <c r="F1743" i="6"/>
  <c r="F1742" i="6"/>
  <c r="F1741" i="6"/>
  <c r="F1740" i="6"/>
  <c r="F1739" i="6"/>
  <c r="F1734" i="6"/>
  <c r="F1733" i="6"/>
  <c r="F1732" i="6"/>
  <c r="F1731" i="6"/>
  <c r="F1718" i="6"/>
  <c r="F1717" i="6"/>
  <c r="F1716" i="6"/>
  <c r="F1715" i="6"/>
  <c r="F1714" i="6"/>
  <c r="F1713" i="6"/>
  <c r="F1712" i="6"/>
  <c r="F1711" i="6"/>
  <c r="F1710" i="6"/>
  <c r="F1709" i="6"/>
  <c r="F1704" i="6"/>
  <c r="F1703" i="6"/>
  <c r="F1702" i="6"/>
  <c r="F1701" i="6"/>
  <c r="F1688" i="6"/>
  <c r="F1687" i="6"/>
  <c r="F1686" i="6"/>
  <c r="F1685" i="6"/>
  <c r="F1680" i="6"/>
  <c r="F1679" i="6"/>
  <c r="F1678" i="6"/>
  <c r="F1677" i="6"/>
  <c r="F1672" i="6"/>
  <c r="F1671" i="6"/>
  <c r="F1670" i="6"/>
  <c r="F1669" i="6"/>
  <c r="F1654" i="6"/>
  <c r="F1653" i="6"/>
  <c r="F1646" i="6"/>
  <c r="F1645" i="6"/>
  <c r="F1640" i="6"/>
  <c r="F1639" i="6"/>
  <c r="F1638" i="6"/>
  <c r="F1637" i="6"/>
  <c r="F1624" i="6"/>
  <c r="F1623" i="6"/>
  <c r="F1622" i="6"/>
  <c r="F1621" i="6"/>
  <c r="F1616" i="6"/>
  <c r="F1615" i="6"/>
  <c r="F1614" i="6"/>
  <c r="F1613" i="6"/>
  <c r="F1612" i="6"/>
  <c r="F1611" i="6"/>
  <c r="F1610" i="6"/>
  <c r="F1609" i="6"/>
  <c r="F1608" i="6"/>
  <c r="F1607" i="6"/>
  <c r="F1606" i="6"/>
  <c r="F1605" i="6"/>
  <c r="F1602" i="6"/>
  <c r="F1601" i="6"/>
  <c r="F1600" i="6"/>
  <c r="F1599" i="6"/>
  <c r="F1598" i="6"/>
  <c r="F1597" i="6"/>
  <c r="F1596" i="6"/>
  <c r="F1595" i="6"/>
  <c r="F1590" i="6"/>
  <c r="F1589" i="6"/>
  <c r="F1588" i="6"/>
  <c r="F1587" i="6"/>
  <c r="F1586" i="6"/>
  <c r="F1585" i="6"/>
  <c r="F1572" i="6"/>
  <c r="F1571" i="6"/>
  <c r="F1570" i="6"/>
  <c r="F1569" i="6"/>
  <c r="F1564" i="6"/>
  <c r="F1563" i="6"/>
  <c r="F1562" i="6"/>
  <c r="F1561" i="6"/>
  <c r="F1554" i="6"/>
  <c r="F1553" i="6"/>
  <c r="F1552" i="6"/>
  <c r="F1551" i="6"/>
  <c r="F1546" i="6"/>
  <c r="F1545" i="6"/>
  <c r="F1544" i="6"/>
  <c r="F1543" i="6"/>
  <c r="F1536" i="6"/>
  <c r="F1535" i="6"/>
  <c r="F1534" i="6"/>
  <c r="F1533" i="6"/>
  <c r="F1526" i="6"/>
  <c r="F1525" i="6"/>
  <c r="F1524" i="6"/>
  <c r="F1523" i="6"/>
  <c r="F1516" i="6"/>
  <c r="F1515" i="6"/>
  <c r="F1514" i="6"/>
  <c r="F1513" i="6"/>
  <c r="F1510" i="6"/>
  <c r="F1509" i="6"/>
  <c r="F1494" i="6"/>
  <c r="F1493" i="6"/>
  <c r="F1486" i="6"/>
  <c r="F1485" i="6"/>
  <c r="F1482" i="6"/>
  <c r="F1481" i="6"/>
  <c r="F1476" i="6"/>
  <c r="F1475" i="6"/>
  <c r="F1474" i="6"/>
  <c r="F1473" i="6"/>
  <c r="F1466" i="6"/>
  <c r="F1465" i="6"/>
  <c r="F1450" i="6"/>
  <c r="I1450" i="6" s="1"/>
  <c r="F1449" i="6"/>
  <c r="I1449" i="6" s="1"/>
  <c r="F1442" i="6"/>
  <c r="I1442" i="6" s="1"/>
  <c r="F1441" i="6"/>
  <c r="I1441" i="6" s="1"/>
  <c r="F1438" i="6"/>
  <c r="I1438" i="6" s="1"/>
  <c r="F1434" i="6"/>
  <c r="I1434" i="6" s="1"/>
  <c r="F1426" i="6"/>
  <c r="F1420" i="6"/>
  <c r="I1420" i="6" s="1"/>
  <c r="F1416" i="6"/>
  <c r="F1408" i="6"/>
  <c r="AB1800" i="6"/>
  <c r="K3234" i="6"/>
  <c r="K3235" i="6" s="1"/>
  <c r="K3236" i="6" s="1"/>
  <c r="K3230" i="6"/>
  <c r="K3170" i="6"/>
  <c r="K3154" i="6"/>
  <c r="K3155" i="6" s="1"/>
  <c r="K3156" i="6" s="1"/>
  <c r="K3150" i="6"/>
  <c r="K3128" i="6"/>
  <c r="K3124" i="6"/>
  <c r="K3120" i="6"/>
  <c r="K3115" i="6"/>
  <c r="K3111" i="6"/>
  <c r="L2735" i="6"/>
  <c r="L2734" i="6"/>
  <c r="L2733" i="6"/>
  <c r="L2732" i="6"/>
  <c r="L2731" i="6"/>
  <c r="L2730" i="6"/>
  <c r="L2729" i="6"/>
  <c r="L2728" i="6"/>
  <c r="L2727" i="6"/>
  <c r="L2726" i="6"/>
  <c r="L2725" i="6"/>
  <c r="L2724" i="6"/>
  <c r="L2723" i="6"/>
  <c r="L2722" i="6"/>
  <c r="L2719" i="6"/>
  <c r="L2718" i="6"/>
  <c r="L2717" i="6"/>
  <c r="L2716" i="6"/>
  <c r="L2715" i="6"/>
  <c r="L2714" i="6"/>
  <c r="L2713" i="6"/>
  <c r="L2712" i="6"/>
  <c r="L2711" i="6"/>
  <c r="L2706" i="6"/>
  <c r="L2705" i="6"/>
  <c r="L2704" i="6"/>
  <c r="L2703" i="6"/>
  <c r="L2702" i="6"/>
  <c r="L2701" i="6"/>
  <c r="L2700" i="6"/>
  <c r="L2699" i="6"/>
  <c r="L2698" i="6"/>
  <c r="L2697" i="6"/>
  <c r="L2696" i="6"/>
  <c r="L2691" i="6"/>
  <c r="L2690" i="6"/>
  <c r="L2689" i="6"/>
  <c r="L2688" i="6"/>
  <c r="L2685" i="6"/>
  <c r="L2684" i="6"/>
  <c r="L2683" i="6"/>
  <c r="L2682" i="6"/>
  <c r="L2681" i="6"/>
  <c r="L2680" i="6"/>
  <c r="L2673" i="6"/>
  <c r="L2672" i="6"/>
  <c r="L2668" i="6"/>
  <c r="L2667" i="6"/>
  <c r="L2666" i="6"/>
  <c r="L2665" i="6"/>
  <c r="L2664" i="6"/>
  <c r="L2659" i="6"/>
  <c r="L2658" i="6"/>
  <c r="L2657" i="6"/>
  <c r="L2656" i="6"/>
  <c r="L2653" i="6"/>
  <c r="L2652" i="6"/>
  <c r="L2651" i="6"/>
  <c r="L2650" i="6"/>
  <c r="L2649" i="6"/>
  <c r="L2648" i="6"/>
  <c r="L2647" i="6"/>
  <c r="L2646" i="6"/>
  <c r="L2645" i="6"/>
  <c r="L2644" i="6"/>
  <c r="L2643" i="6"/>
  <c r="L2640" i="6"/>
  <c r="L2639" i="6"/>
  <c r="L2638" i="6"/>
  <c r="L2633" i="6"/>
  <c r="L2632" i="6"/>
  <c r="L2631" i="6"/>
  <c r="L2630" i="6"/>
  <c r="L2627" i="6"/>
  <c r="L2626" i="6"/>
  <c r="L2623" i="6"/>
  <c r="L2622" i="6"/>
  <c r="L2621" i="6"/>
  <c r="L2618" i="6"/>
  <c r="L2617" i="6"/>
  <c r="L2614" i="6"/>
  <c r="L2613" i="6"/>
  <c r="L2612" i="6"/>
  <c r="L2609" i="6"/>
  <c r="L2608" i="6"/>
  <c r="L2607" i="6"/>
  <c r="L2604" i="6"/>
  <c r="L2603" i="6"/>
  <c r="L2602" i="6"/>
  <c r="L2601" i="6"/>
  <c r="L2600" i="6"/>
  <c r="L2593" i="6"/>
  <c r="L2592" i="6"/>
  <c r="L2589" i="6"/>
  <c r="L2588" i="6"/>
  <c r="L2587" i="6"/>
  <c r="L2586" i="6"/>
  <c r="L2585" i="6"/>
  <c r="L2584" i="6"/>
  <c r="L2583" i="6"/>
  <c r="L2582" i="6"/>
  <c r="L2579" i="6"/>
  <c r="L2578" i="6"/>
  <c r="L2570" i="6"/>
  <c r="L2569" i="6"/>
  <c r="L2568" i="6"/>
  <c r="L2567" i="6"/>
  <c r="L2566" i="6"/>
  <c r="K2487" i="6"/>
  <c r="K2486" i="6"/>
  <c r="K2488" i="6" s="1"/>
  <c r="K2482" i="6"/>
  <c r="K2460" i="6"/>
  <c r="K2402" i="6"/>
  <c r="K2385" i="6"/>
  <c r="K2384" i="6"/>
  <c r="K2386" i="6" s="1"/>
  <c r="K2380" i="6"/>
  <c r="K2382" i="6" s="1"/>
  <c r="K2376" i="6"/>
  <c r="K2372" i="6"/>
  <c r="K2363" i="6"/>
  <c r="K1987" i="6"/>
  <c r="L1987" i="6" s="1"/>
  <c r="L1779" i="6" s="1"/>
  <c r="K1985" i="6"/>
  <c r="L1985" i="6" s="1"/>
  <c r="L1775" i="6" s="1"/>
  <c r="K1983" i="6"/>
  <c r="L1983" i="6" s="1"/>
  <c r="L1771" i="6" s="1"/>
  <c r="K1981" i="6"/>
  <c r="K1979" i="6"/>
  <c r="L1979" i="6" s="1"/>
  <c r="L1763" i="6" s="1"/>
  <c r="K1977" i="6"/>
  <c r="L1977" i="6" s="1"/>
  <c r="K1976" i="6"/>
  <c r="L1976" i="6" s="1"/>
  <c r="L1757" i="6" s="1"/>
  <c r="K1971" i="6"/>
  <c r="L1971" i="6" s="1"/>
  <c r="L1747" i="6" s="1"/>
  <c r="K1966" i="6"/>
  <c r="L1966" i="6" s="1"/>
  <c r="K1965" i="6"/>
  <c r="L1965" i="6" s="1"/>
  <c r="L1735" i="6" s="1"/>
  <c r="K1958" i="6"/>
  <c r="L1958" i="6" s="1"/>
  <c r="K1957" i="6"/>
  <c r="L1957" i="6" s="1"/>
  <c r="L1719" i="6" s="1"/>
  <c r="K1951" i="6"/>
  <c r="L1951" i="6" s="1"/>
  <c r="K1950" i="6"/>
  <c r="L1950" i="6" s="1"/>
  <c r="L1705" i="6" s="1"/>
  <c r="K1943" i="6"/>
  <c r="L1943" i="6" s="1"/>
  <c r="K1942" i="6"/>
  <c r="L1942" i="6" s="1"/>
  <c r="L1689" i="6" s="1"/>
  <c r="K1935" i="6"/>
  <c r="L1935" i="6" s="1"/>
  <c r="K1934" i="6"/>
  <c r="L1934" i="6" s="1"/>
  <c r="L1673" i="6" s="1"/>
  <c r="K1926" i="6"/>
  <c r="L1926" i="6" s="1"/>
  <c r="L1657" i="6" s="1"/>
  <c r="K1925" i="6"/>
  <c r="L1925" i="6" s="1"/>
  <c r="K1921" i="6"/>
  <c r="L1921" i="6" s="1"/>
  <c r="K1919" i="6"/>
  <c r="L1919" i="6" s="1"/>
  <c r="K1918" i="6"/>
  <c r="L1918" i="6" s="1"/>
  <c r="L1641" i="6" s="1"/>
  <c r="K1911" i="6"/>
  <c r="L1911" i="6" s="1"/>
  <c r="K1910" i="6"/>
  <c r="L1910" i="6" s="1"/>
  <c r="L1625" i="6" s="1"/>
  <c r="K1899" i="6"/>
  <c r="L1899" i="6" s="1"/>
  <c r="K1885" i="6"/>
  <c r="L1885" i="6" s="1"/>
  <c r="K1884" i="6"/>
  <c r="L1884" i="6" s="1"/>
  <c r="L1573" i="6" s="1"/>
  <c r="K1875" i="6"/>
  <c r="L1875" i="6" s="1"/>
  <c r="L1555" i="6" s="1"/>
  <c r="K1866" i="6"/>
  <c r="L1866" i="6" s="1"/>
  <c r="L1537" i="6" s="1"/>
  <c r="K1861" i="6"/>
  <c r="L1861" i="6" s="1"/>
  <c r="L1527" i="6" s="1"/>
  <c r="K1856" i="6"/>
  <c r="L1856" i="6" s="1"/>
  <c r="L1517" i="6" s="1"/>
  <c r="K1853" i="6"/>
  <c r="L1853" i="6" s="1"/>
  <c r="L1511" i="6" s="1"/>
  <c r="K1846" i="6"/>
  <c r="L1846" i="6" s="1"/>
  <c r="L1497" i="6" s="1"/>
  <c r="K1845" i="6"/>
  <c r="L1845" i="6" s="1"/>
  <c r="K1841" i="6"/>
  <c r="L1841" i="6" s="1"/>
  <c r="L1487" i="6" s="1"/>
  <c r="K1839" i="6"/>
  <c r="L1839" i="6" s="1"/>
  <c r="L1483" i="6" s="1"/>
  <c r="K1837" i="6"/>
  <c r="L1837" i="6" s="1"/>
  <c r="K1836" i="6"/>
  <c r="L1836" i="6" s="1"/>
  <c r="L1477" i="6" s="1"/>
  <c r="K1831" i="6"/>
  <c r="L1831" i="6" s="1"/>
  <c r="L1467" i="6" s="1"/>
  <c r="K1824" i="6"/>
  <c r="L1824" i="6" s="1"/>
  <c r="L1453" i="6" s="1"/>
  <c r="K1823" i="6"/>
  <c r="L1823" i="6" s="1"/>
  <c r="K1820" i="6"/>
  <c r="L1820" i="6" s="1"/>
  <c r="L1445" i="6" s="1"/>
  <c r="F1424" i="6"/>
  <c r="L1801" i="6"/>
  <c r="F1307" i="6"/>
  <c r="F1306" i="6"/>
  <c r="F1304" i="6"/>
  <c r="F1302" i="6"/>
  <c r="F1299" i="6"/>
  <c r="F1297" i="6"/>
  <c r="F1374" i="6"/>
  <c r="F1362" i="6"/>
  <c r="K1357" i="6"/>
  <c r="J1356" i="6"/>
  <c r="K1356" i="6" s="1"/>
  <c r="K1355" i="6"/>
  <c r="K1354" i="6"/>
  <c r="J1354" i="6"/>
  <c r="K1352" i="6"/>
  <c r="F1356" i="6"/>
  <c r="K1333" i="6"/>
  <c r="K1332" i="6"/>
  <c r="K1328" i="6"/>
  <c r="J1330" i="6"/>
  <c r="K1330" i="6" s="1"/>
  <c r="K1329" i="6"/>
  <c r="F1333" i="6"/>
  <c r="F1332" i="6"/>
  <c r="F1331" i="6"/>
  <c r="F1328" i="6"/>
  <c r="F1330" i="6"/>
  <c r="F1329" i="6"/>
  <c r="P878" i="6"/>
  <c r="P877" i="6"/>
  <c r="J1065" i="6"/>
  <c r="J1064" i="6"/>
  <c r="J1063" i="6"/>
  <c r="J1062" i="6"/>
  <c r="J1061" i="6"/>
  <c r="J1060" i="6"/>
  <c r="J1059" i="6"/>
  <c r="J1058" i="6"/>
  <c r="J1057" i="6"/>
  <c r="J1056" i="6"/>
  <c r="J1055" i="6"/>
  <c r="J1054" i="6"/>
  <c r="J1053" i="6"/>
  <c r="J1052" i="6"/>
  <c r="J1044" i="6"/>
  <c r="J1043" i="6"/>
  <c r="J1042" i="6"/>
  <c r="J1041" i="6"/>
  <c r="J1040" i="6"/>
  <c r="J1039" i="6"/>
  <c r="J1038" i="6"/>
  <c r="J1037" i="6"/>
  <c r="J1036" i="6"/>
  <c r="J1035" i="6"/>
  <c r="J1034" i="6"/>
  <c r="J1033" i="6"/>
  <c r="J1032" i="6"/>
  <c r="J1031" i="6"/>
  <c r="J981" i="6"/>
  <c r="K981" i="6" s="1"/>
  <c r="J980" i="6"/>
  <c r="K980" i="6" s="1"/>
  <c r="J979" i="6"/>
  <c r="K979" i="6" s="1"/>
  <c r="J978" i="6"/>
  <c r="J977" i="6"/>
  <c r="K977" i="6" s="1"/>
  <c r="J976" i="6"/>
  <c r="K976" i="6" s="1"/>
  <c r="J975" i="6"/>
  <c r="K975" i="6" s="1"/>
  <c r="J974" i="6"/>
  <c r="J973" i="6"/>
  <c r="K973" i="6" s="1"/>
  <c r="K1180" i="6" s="1"/>
  <c r="J972" i="6"/>
  <c r="J971" i="6"/>
  <c r="K971" i="6" s="1"/>
  <c r="K1174" i="6" s="1"/>
  <c r="J970" i="6"/>
  <c r="K970" i="6" s="1"/>
  <c r="K1172" i="6" s="1"/>
  <c r="J969" i="6"/>
  <c r="K969" i="6" s="1"/>
  <c r="K1171" i="6" s="1"/>
  <c r="J968" i="6"/>
  <c r="K967" i="6"/>
  <c r="K1165" i="6" s="1"/>
  <c r="K966" i="6"/>
  <c r="K1163" i="6" s="1"/>
  <c r="K965" i="6"/>
  <c r="K1159" i="6" s="1"/>
  <c r="K964" i="6"/>
  <c r="K1157" i="6" s="1"/>
  <c r="K963" i="6"/>
  <c r="K1155" i="6" s="1"/>
  <c r="K962" i="6"/>
  <c r="K1154" i="6" s="1"/>
  <c r="K961" i="6"/>
  <c r="K1152" i="6" s="1"/>
  <c r="J960" i="6"/>
  <c r="J959" i="6"/>
  <c r="J958" i="6"/>
  <c r="J957" i="6"/>
  <c r="J956" i="6"/>
  <c r="J955" i="6"/>
  <c r="J954" i="6"/>
  <c r="J953" i="6"/>
  <c r="J952" i="6"/>
  <c r="J951" i="6"/>
  <c r="J950" i="6"/>
  <c r="J949" i="6"/>
  <c r="J948" i="6"/>
  <c r="J947" i="6"/>
  <c r="F802" i="6"/>
  <c r="F801" i="6"/>
  <c r="F800" i="6"/>
  <c r="F799" i="6"/>
  <c r="F798" i="6"/>
  <c r="F797" i="6"/>
  <c r="F796" i="6"/>
  <c r="F795" i="6"/>
  <c r="F794" i="6"/>
  <c r="F793" i="6"/>
  <c r="F792" i="6"/>
  <c r="F791" i="6"/>
  <c r="F790" i="6"/>
  <c r="F789" i="6"/>
  <c r="F788" i="6"/>
  <c r="F787" i="6"/>
  <c r="F786" i="6"/>
  <c r="J514" i="6"/>
  <c r="J450" i="6"/>
  <c r="J447" i="6"/>
  <c r="J441" i="6"/>
  <c r="J438" i="6"/>
  <c r="J432" i="6"/>
  <c r="J429" i="6"/>
  <c r="K346" i="6"/>
  <c r="K345" i="6"/>
  <c r="K344" i="6"/>
  <c r="K343" i="6"/>
  <c r="K342" i="6"/>
  <c r="K341" i="6"/>
  <c r="K340" i="6"/>
  <c r="K339" i="6"/>
  <c r="K338" i="6"/>
  <c r="K337" i="6"/>
  <c r="K336" i="6"/>
  <c r="K335" i="6"/>
  <c r="K334" i="6"/>
  <c r="K333" i="6"/>
  <c r="K332" i="6"/>
  <c r="K331" i="6"/>
  <c r="K330" i="6"/>
  <c r="K329" i="6"/>
  <c r="K328" i="6"/>
  <c r="K327" i="6"/>
  <c r="K326" i="6"/>
  <c r="K325" i="6"/>
  <c r="K324" i="6"/>
  <c r="K323" i="6"/>
  <c r="K322" i="6"/>
  <c r="K321" i="6"/>
  <c r="K320" i="6"/>
  <c r="K319" i="6"/>
  <c r="K318" i="6"/>
  <c r="K317" i="6"/>
  <c r="K316" i="6"/>
  <c r="K315" i="6"/>
  <c r="K314" i="6"/>
  <c r="K313" i="6"/>
  <c r="K312" i="6"/>
  <c r="K311" i="6"/>
  <c r="K310" i="6"/>
  <c r="K309" i="6"/>
  <c r="K307" i="6"/>
  <c r="J306" i="6"/>
  <c r="K305" i="6"/>
  <c r="K304" i="6"/>
  <c r="J303" i="6"/>
  <c r="K303" i="6" s="1"/>
  <c r="K302" i="6"/>
  <c r="K301" i="6"/>
  <c r="K300" i="6"/>
  <c r="K298" i="6"/>
  <c r="J297" i="6"/>
  <c r="K296" i="6"/>
  <c r="K295" i="6"/>
  <c r="J294" i="6"/>
  <c r="K294" i="6" s="1"/>
  <c r="K293" i="6"/>
  <c r="K292" i="6"/>
  <c r="K291" i="6"/>
  <c r="K289" i="6"/>
  <c r="J288" i="6"/>
  <c r="K287" i="6"/>
  <c r="K286" i="6"/>
  <c r="J285" i="6"/>
  <c r="K285" i="6" s="1"/>
  <c r="K284" i="6"/>
  <c r="K283" i="6"/>
  <c r="K282" i="6"/>
  <c r="K281" i="6"/>
  <c r="K280" i="6"/>
  <c r="K279" i="6"/>
  <c r="K278" i="6"/>
  <c r="J277" i="6"/>
  <c r="K277" i="6" s="1"/>
  <c r="J276" i="6"/>
  <c r="K276" i="6" s="1"/>
  <c r="F119" i="6"/>
  <c r="F189" i="6"/>
  <c r="F186" i="6"/>
  <c r="F185" i="6"/>
  <c r="F184" i="6"/>
  <c r="F183" i="6"/>
  <c r="F182" i="6"/>
  <c r="F180" i="6"/>
  <c r="F177" i="6"/>
  <c r="F176" i="6"/>
  <c r="F175" i="6"/>
  <c r="F174" i="6"/>
  <c r="F173" i="6"/>
  <c r="F171" i="6"/>
  <c r="F168" i="6"/>
  <c r="F167" i="6"/>
  <c r="F166" i="6"/>
  <c r="F165" i="6"/>
  <c r="F164" i="6"/>
  <c r="F162" i="6"/>
  <c r="F160" i="6"/>
  <c r="F159" i="6"/>
  <c r="F158" i="6"/>
  <c r="F157" i="6"/>
  <c r="F156" i="6"/>
  <c r="F155" i="6"/>
  <c r="F153" i="6"/>
  <c r="F149" i="6"/>
  <c r="F148" i="6"/>
  <c r="F146" i="6"/>
  <c r="F144" i="6"/>
  <c r="F140" i="6"/>
  <c r="F139" i="6"/>
  <c r="F137" i="6"/>
  <c r="F135" i="6"/>
  <c r="F131" i="6"/>
  <c r="F130" i="6"/>
  <c r="F128" i="6"/>
  <c r="F126" i="6"/>
  <c r="F124" i="6"/>
  <c r="F123" i="6"/>
  <c r="F122" i="6"/>
  <c r="AA2922" i="6"/>
  <c r="Z2922" i="6"/>
  <c r="AA2920" i="6"/>
  <c r="Z2920" i="6"/>
  <c r="AA2918" i="6"/>
  <c r="Z2918" i="6"/>
  <c r="AA2916" i="6"/>
  <c r="Z2916" i="6"/>
  <c r="AA2914" i="6"/>
  <c r="Z2914" i="6"/>
  <c r="AA2912" i="6"/>
  <c r="Z2912" i="6"/>
  <c r="AA2911" i="6"/>
  <c r="Z2911" i="6"/>
  <c r="AA2906" i="6"/>
  <c r="Z2906" i="6"/>
  <c r="AA2901" i="6"/>
  <c r="Z2901" i="6"/>
  <c r="AA2900" i="6"/>
  <c r="Z2900" i="6"/>
  <c r="AA2893" i="6"/>
  <c r="Z2893" i="6"/>
  <c r="AA2892" i="6"/>
  <c r="Z2892" i="6"/>
  <c r="AA2886" i="6"/>
  <c r="Z2886" i="6"/>
  <c r="AA2885" i="6"/>
  <c r="Z2885" i="6"/>
  <c r="AA2878" i="6"/>
  <c r="Z2878" i="6"/>
  <c r="AA2877" i="6"/>
  <c r="Z2877" i="6"/>
  <c r="AA2870" i="6"/>
  <c r="Z2870" i="6"/>
  <c r="AA2869" i="6"/>
  <c r="Z2869" i="6"/>
  <c r="AA2862" i="6"/>
  <c r="Z2862" i="6"/>
  <c r="AA2861" i="6"/>
  <c r="Z2861" i="6"/>
  <c r="AA2854" i="6"/>
  <c r="Z2854" i="6"/>
  <c r="AA2853" i="6"/>
  <c r="Z2853" i="6"/>
  <c r="AA2846" i="6"/>
  <c r="Z2846" i="6"/>
  <c r="AA2845" i="6"/>
  <c r="Z2845" i="6"/>
  <c r="AA2820" i="6"/>
  <c r="Z2820" i="6"/>
  <c r="AA2819" i="6"/>
  <c r="Z2819" i="6"/>
  <c r="AA2810" i="6"/>
  <c r="Z2810" i="6"/>
  <c r="AA2801" i="6"/>
  <c r="Z2801" i="6"/>
  <c r="AA2796" i="6"/>
  <c r="Z2796" i="6"/>
  <c r="AA2791" i="6"/>
  <c r="Z2791" i="6"/>
  <c r="AA2788" i="6"/>
  <c r="Z2788" i="6"/>
  <c r="AA2782" i="6"/>
  <c r="Z2782" i="6"/>
  <c r="AA2781" i="6"/>
  <c r="Z2781" i="6"/>
  <c r="AA2776" i="6"/>
  <c r="Z2776" i="6"/>
  <c r="AA2774" i="6"/>
  <c r="Z2774" i="6"/>
  <c r="AA2772" i="6"/>
  <c r="Z2772" i="6"/>
  <c r="AA2771" i="6"/>
  <c r="Z2771" i="6"/>
  <c r="AA2766" i="6"/>
  <c r="Z2766" i="6"/>
  <c r="AA2760" i="6"/>
  <c r="Z2760" i="6"/>
  <c r="AA2759" i="6"/>
  <c r="Z2759" i="6"/>
  <c r="AA2756" i="6"/>
  <c r="Z2756" i="6"/>
  <c r="AA1351" i="6"/>
  <c r="Z1351" i="6"/>
  <c r="AA1350" i="6"/>
  <c r="Z1350" i="6"/>
  <c r="AA1348" i="6"/>
  <c r="Z1348" i="6"/>
  <c r="AA1347" i="6"/>
  <c r="Z1347" i="6"/>
  <c r="AA1346" i="6"/>
  <c r="Z1346" i="6"/>
  <c r="AA1333" i="6"/>
  <c r="AA1357" i="6" s="1"/>
  <c r="Z1333" i="6"/>
  <c r="Z1357" i="6" s="1"/>
  <c r="AA1332" i="6"/>
  <c r="AA1355" i="6" s="1"/>
  <c r="Z1332" i="6"/>
  <c r="Z1355" i="6" s="1"/>
  <c r="AA1328" i="6"/>
  <c r="AA1354" i="6" s="1"/>
  <c r="Z1328" i="6"/>
  <c r="Z1354" i="6" s="1"/>
  <c r="AA1330" i="6"/>
  <c r="AA1353" i="6" s="1"/>
  <c r="Z1330" i="6"/>
  <c r="Z1353" i="6" s="1"/>
  <c r="AA1329" i="6"/>
  <c r="AA1352" i="6" s="1"/>
  <c r="Z1329" i="6"/>
  <c r="Z1352" i="6" s="1"/>
  <c r="AA108" i="6"/>
  <c r="Z108" i="6"/>
  <c r="AA107" i="6"/>
  <c r="Z107" i="6"/>
  <c r="AA102" i="6"/>
  <c r="Z102" i="6"/>
  <c r="AA101" i="6"/>
  <c r="Z101" i="6"/>
  <c r="AG347" i="5"/>
  <c r="AF347" i="5"/>
  <c r="AE347" i="5"/>
  <c r="AD347" i="5"/>
  <c r="AC347" i="5"/>
  <c r="AB347" i="5"/>
  <c r="AA347" i="5"/>
  <c r="Z347" i="5"/>
  <c r="Y347" i="5"/>
  <c r="X347" i="5"/>
  <c r="W347" i="5"/>
  <c r="AG336" i="5"/>
  <c r="AF336" i="5"/>
  <c r="AE336" i="5"/>
  <c r="AD336" i="5"/>
  <c r="AC336" i="5"/>
  <c r="AB336" i="5"/>
  <c r="AA336" i="5"/>
  <c r="Z336" i="5"/>
  <c r="Y336" i="5"/>
  <c r="X336" i="5"/>
  <c r="W336" i="5"/>
  <c r="V334" i="5"/>
  <c r="V301" i="5"/>
  <c r="V302" i="5" s="1"/>
  <c r="V303" i="5" s="1"/>
  <c r="V304" i="5" s="1"/>
  <c r="V305" i="5" s="1"/>
  <c r="V306" i="5" s="1"/>
  <c r="V307" i="5" s="1"/>
  <c r="V308" i="5" s="1"/>
  <c r="V309" i="5" s="1"/>
  <c r="Z288" i="5"/>
  <c r="AA288" i="5" s="1"/>
  <c r="Z283" i="5"/>
  <c r="AA283" i="5" s="1"/>
  <c r="I1416" i="6" l="1"/>
  <c r="R198" i="15" s="1"/>
  <c r="L198" i="15"/>
  <c r="I1526" i="6"/>
  <c r="BD1526" i="6"/>
  <c r="I1600" i="6"/>
  <c r="BD1600" i="6"/>
  <c r="I1702" i="6"/>
  <c r="BD1702" i="6"/>
  <c r="I1424" i="6"/>
  <c r="BD1424" i="6"/>
  <c r="F1768" i="6"/>
  <c r="L1981" i="6"/>
  <c r="L1767" i="6" s="1"/>
  <c r="I1465" i="6"/>
  <c r="BD1465" i="6"/>
  <c r="I1485" i="6"/>
  <c r="BD1485" i="6"/>
  <c r="I1515" i="6"/>
  <c r="BD1515" i="6"/>
  <c r="I1535" i="6"/>
  <c r="BD1535" i="6"/>
  <c r="I1553" i="6"/>
  <c r="BD1553" i="6"/>
  <c r="I1571" i="6"/>
  <c r="BD1571" i="6"/>
  <c r="I1595" i="6"/>
  <c r="BD1595" i="6"/>
  <c r="I1605" i="6"/>
  <c r="BD1605" i="6"/>
  <c r="I1613" i="6"/>
  <c r="BD1613" i="6"/>
  <c r="I1637" i="6"/>
  <c r="BD1637" i="6"/>
  <c r="I1669" i="6"/>
  <c r="BD1669" i="6"/>
  <c r="I1685" i="6"/>
  <c r="BD1685" i="6"/>
  <c r="I1709" i="6"/>
  <c r="BD1709" i="6"/>
  <c r="I1717" i="6"/>
  <c r="BD1717" i="6"/>
  <c r="I1741" i="6"/>
  <c r="BD1741" i="6"/>
  <c r="I1755" i="6"/>
  <c r="BD1755" i="6"/>
  <c r="I1734" i="6"/>
  <c r="BD1734" i="6"/>
  <c r="I1426" i="6"/>
  <c r="BD1426" i="6"/>
  <c r="I1466" i="6"/>
  <c r="BD1466" i="6"/>
  <c r="I1486" i="6"/>
  <c r="BD1486" i="6"/>
  <c r="I1516" i="6"/>
  <c r="BD1516" i="6"/>
  <c r="I1536" i="6"/>
  <c r="BD1536" i="6"/>
  <c r="I1554" i="6"/>
  <c r="BD1554" i="6"/>
  <c r="I1572" i="6"/>
  <c r="BD1572" i="6"/>
  <c r="I1596" i="6"/>
  <c r="BD1596" i="6"/>
  <c r="I1606" i="6"/>
  <c r="BD1606" i="6"/>
  <c r="I1614" i="6"/>
  <c r="BD1614" i="6"/>
  <c r="I1638" i="6"/>
  <c r="BD1638" i="6"/>
  <c r="I1670" i="6"/>
  <c r="BD1670" i="6"/>
  <c r="I1686" i="6"/>
  <c r="BD1686" i="6"/>
  <c r="I1710" i="6"/>
  <c r="BD1710" i="6"/>
  <c r="I1718" i="6"/>
  <c r="BD1718" i="6"/>
  <c r="I1742" i="6"/>
  <c r="BD1742" i="6"/>
  <c r="I1756" i="6"/>
  <c r="BD1756" i="6"/>
  <c r="I1546" i="6"/>
  <c r="BD1546" i="6"/>
  <c r="I1622" i="6"/>
  <c r="BD1622" i="6"/>
  <c r="I1473" i="6"/>
  <c r="BD1473" i="6"/>
  <c r="I1493" i="6"/>
  <c r="BD1493" i="6"/>
  <c r="I1523" i="6"/>
  <c r="BD1523" i="6"/>
  <c r="I1543" i="6"/>
  <c r="BD1543" i="6"/>
  <c r="I1561" i="6"/>
  <c r="BD1561" i="6"/>
  <c r="I1585" i="6"/>
  <c r="BD1585" i="6"/>
  <c r="I1597" i="6"/>
  <c r="BD1597" i="6"/>
  <c r="I1607" i="6"/>
  <c r="BD1607" i="6"/>
  <c r="I1615" i="6"/>
  <c r="BD1615" i="6"/>
  <c r="I1639" i="6"/>
  <c r="BD1639" i="6"/>
  <c r="I1671" i="6"/>
  <c r="BD1671" i="6"/>
  <c r="I1687" i="6"/>
  <c r="BD1687" i="6"/>
  <c r="I1711" i="6"/>
  <c r="BD1711" i="6"/>
  <c r="I1731" i="6"/>
  <c r="BD1731" i="6"/>
  <c r="I1743" i="6"/>
  <c r="BD1743" i="6"/>
  <c r="I1564" i="6"/>
  <c r="BD1564" i="6"/>
  <c r="I1646" i="6"/>
  <c r="BD1646" i="6"/>
  <c r="I1474" i="6"/>
  <c r="BD1474" i="6"/>
  <c r="I1494" i="6"/>
  <c r="BD1494" i="6"/>
  <c r="I1524" i="6"/>
  <c r="BD1524" i="6"/>
  <c r="I1544" i="6"/>
  <c r="BD1544" i="6"/>
  <c r="I1562" i="6"/>
  <c r="BD1562" i="6"/>
  <c r="I1586" i="6"/>
  <c r="BD1586" i="6"/>
  <c r="I1598" i="6"/>
  <c r="BD1598" i="6"/>
  <c r="I1608" i="6"/>
  <c r="BD1608" i="6"/>
  <c r="I1616" i="6"/>
  <c r="BD1616" i="6"/>
  <c r="I1640" i="6"/>
  <c r="BD1640" i="6"/>
  <c r="I1672" i="6"/>
  <c r="BD1672" i="6"/>
  <c r="I1688" i="6"/>
  <c r="BD1688" i="6"/>
  <c r="I1712" i="6"/>
  <c r="BD1712" i="6"/>
  <c r="I1732" i="6"/>
  <c r="BD1732" i="6"/>
  <c r="I1744" i="6"/>
  <c r="BD1744" i="6"/>
  <c r="I1510" i="6"/>
  <c r="BD1510" i="6"/>
  <c r="I1475" i="6"/>
  <c r="BD1475" i="6"/>
  <c r="I1509" i="6"/>
  <c r="BD1509" i="6"/>
  <c r="I1525" i="6"/>
  <c r="BD1525" i="6"/>
  <c r="I1545" i="6"/>
  <c r="BD1545" i="6"/>
  <c r="I1563" i="6"/>
  <c r="BD1563" i="6"/>
  <c r="I1587" i="6"/>
  <c r="BD1587" i="6"/>
  <c r="I1599" i="6"/>
  <c r="BD1599" i="6"/>
  <c r="I1609" i="6"/>
  <c r="BD1609" i="6"/>
  <c r="I1621" i="6"/>
  <c r="BD1621" i="6"/>
  <c r="I1645" i="6"/>
  <c r="BD1645" i="6"/>
  <c r="I1677" i="6"/>
  <c r="BD1677" i="6"/>
  <c r="I1701" i="6"/>
  <c r="BD1701" i="6"/>
  <c r="I1713" i="6"/>
  <c r="BD1713" i="6"/>
  <c r="I1733" i="6"/>
  <c r="BD1733" i="6"/>
  <c r="I1745" i="6"/>
  <c r="BD1745" i="6"/>
  <c r="I1476" i="6"/>
  <c r="BD1476" i="6"/>
  <c r="I1610" i="6"/>
  <c r="BD1610" i="6"/>
  <c r="I1714" i="6"/>
  <c r="BD1714" i="6"/>
  <c r="I1481" i="6"/>
  <c r="BD1481" i="6"/>
  <c r="I1513" i="6"/>
  <c r="BD1513" i="6"/>
  <c r="I1533" i="6"/>
  <c r="BD1533" i="6"/>
  <c r="I1551" i="6"/>
  <c r="BD1551" i="6"/>
  <c r="I1569" i="6"/>
  <c r="BD1569" i="6"/>
  <c r="I1589" i="6"/>
  <c r="BD1589" i="6"/>
  <c r="I1601" i="6"/>
  <c r="BD1601" i="6"/>
  <c r="I1611" i="6"/>
  <c r="BD1611" i="6"/>
  <c r="I1623" i="6"/>
  <c r="BD1623" i="6"/>
  <c r="I1653" i="6"/>
  <c r="BD1653" i="6"/>
  <c r="I1679" i="6"/>
  <c r="BD1679" i="6"/>
  <c r="I1703" i="6"/>
  <c r="BD1703" i="6"/>
  <c r="I1715" i="6"/>
  <c r="BD1715" i="6"/>
  <c r="I1739" i="6"/>
  <c r="BD1739" i="6"/>
  <c r="I1753" i="6"/>
  <c r="BD1753" i="6"/>
  <c r="I1588" i="6"/>
  <c r="BD1588" i="6"/>
  <c r="I1678" i="6"/>
  <c r="BD1678" i="6"/>
  <c r="I1746" i="6"/>
  <c r="BD1746" i="6"/>
  <c r="I1482" i="6"/>
  <c r="BD1482" i="6"/>
  <c r="I1514" i="6"/>
  <c r="BD1514" i="6"/>
  <c r="I1534" i="6"/>
  <c r="BD1534" i="6"/>
  <c r="I1552" i="6"/>
  <c r="BD1552" i="6"/>
  <c r="I1570" i="6"/>
  <c r="BD1570" i="6"/>
  <c r="I1590" i="6"/>
  <c r="BD1590" i="6"/>
  <c r="I1602" i="6"/>
  <c r="BD1602" i="6"/>
  <c r="I1612" i="6"/>
  <c r="BD1612" i="6"/>
  <c r="I1624" i="6"/>
  <c r="BD1624" i="6"/>
  <c r="I1654" i="6"/>
  <c r="BD1654" i="6"/>
  <c r="I1680" i="6"/>
  <c r="BD1680" i="6"/>
  <c r="I1704" i="6"/>
  <c r="BD1704" i="6"/>
  <c r="I1716" i="6"/>
  <c r="BD1716" i="6"/>
  <c r="I1740" i="6"/>
  <c r="BD1740" i="6"/>
  <c r="I1754" i="6"/>
  <c r="BD1754" i="6"/>
  <c r="F120" i="6"/>
  <c r="F1656" i="6"/>
  <c r="K288" i="6"/>
  <c r="J290" i="6"/>
  <c r="K290" i="6" s="1"/>
  <c r="K297" i="6"/>
  <c r="J299" i="6"/>
  <c r="K299" i="6" s="1"/>
  <c r="K306" i="6"/>
  <c r="J308" i="6"/>
  <c r="K308" i="6" s="1"/>
  <c r="J1157" i="6"/>
  <c r="J1163" i="6"/>
  <c r="K1353" i="6"/>
  <c r="F1300" i="6"/>
  <c r="F121" i="6"/>
  <c r="F1436" i="6"/>
  <c r="I1436" i="6" s="1"/>
  <c r="L2557" i="6"/>
  <c r="L2565" i="6"/>
  <c r="F1647" i="6"/>
  <c r="F1440" i="6"/>
  <c r="I1440" i="6" s="1"/>
  <c r="J1171" i="6"/>
  <c r="F1410" i="6"/>
  <c r="L2669" i="6"/>
  <c r="F1407" i="6"/>
  <c r="L2549" i="6"/>
  <c r="F1425" i="6"/>
  <c r="L2558" i="6"/>
  <c r="F1415" i="6"/>
  <c r="L2553" i="6"/>
  <c r="F1433" i="6"/>
  <c r="I1433" i="6" s="1"/>
  <c r="L2562" i="6"/>
  <c r="K3129" i="6"/>
  <c r="F1443" i="6"/>
  <c r="I1443" i="6" s="1"/>
  <c r="F1418" i="6"/>
  <c r="K1821" i="6"/>
  <c r="L1821" i="6" s="1"/>
  <c r="F1444" i="6"/>
  <c r="I1444" i="6" s="1"/>
  <c r="F1468" i="6"/>
  <c r="F1604" i="6"/>
  <c r="F1648" i="6"/>
  <c r="F1419" i="6"/>
  <c r="I1419" i="6" s="1"/>
  <c r="L2555" i="6"/>
  <c r="F1437" i="6"/>
  <c r="I1437" i="6" s="1"/>
  <c r="L2564" i="6"/>
  <c r="F150" i="6"/>
  <c r="F1305" i="6"/>
  <c r="F1451" i="6"/>
  <c r="I1451" i="6" s="1"/>
  <c r="F1495" i="6"/>
  <c r="F1603" i="6"/>
  <c r="F1655" i="6"/>
  <c r="F141" i="6"/>
  <c r="L2594" i="6"/>
  <c r="L2674" i="6"/>
  <c r="F1428" i="6"/>
  <c r="F1452" i="6"/>
  <c r="F1496" i="6"/>
  <c r="L2572" i="6"/>
  <c r="L2571" i="6"/>
  <c r="K1825" i="6"/>
  <c r="L1825" i="6" s="1"/>
  <c r="K1927" i="6"/>
  <c r="L1927" i="6" s="1"/>
  <c r="K1847" i="6"/>
  <c r="L1847" i="6" s="1"/>
  <c r="F1301" i="6"/>
  <c r="F1303" i="6"/>
  <c r="F138" i="6"/>
  <c r="J1180" i="6"/>
  <c r="F147" i="6"/>
  <c r="P860" i="6"/>
  <c r="J1154" i="6"/>
  <c r="J1172" i="6"/>
  <c r="J1155" i="6"/>
  <c r="J1174" i="6"/>
  <c r="F803" i="6"/>
  <c r="K968" i="6"/>
  <c r="K1169" i="6" s="1"/>
  <c r="K972" i="6"/>
  <c r="K1176" i="6" s="1"/>
  <c r="K974" i="6"/>
  <c r="K1182" i="6" s="1"/>
  <c r="K978" i="6"/>
  <c r="F132" i="6"/>
  <c r="F129" i="6"/>
  <c r="I1418" i="6" l="1"/>
  <c r="T198" i="15" s="1"/>
  <c r="N198" i="15"/>
  <c r="I1415" i="6"/>
  <c r="Q198" i="15" s="1"/>
  <c r="O198" i="15" s="1"/>
  <c r="K198" i="15"/>
  <c r="I1496" i="6"/>
  <c r="BD1496" i="6"/>
  <c r="I1495" i="6"/>
  <c r="BD1495" i="6"/>
  <c r="I1648" i="6"/>
  <c r="BD1648" i="6"/>
  <c r="I1452" i="6"/>
  <c r="BD1452" i="6"/>
  <c r="I1604" i="6"/>
  <c r="BD1604" i="6"/>
  <c r="I1428" i="6"/>
  <c r="BD1428" i="6"/>
  <c r="I1603" i="6"/>
  <c r="BD1603" i="6"/>
  <c r="I1656" i="6"/>
  <c r="BD1656" i="6"/>
  <c r="I1647" i="6"/>
  <c r="BD1647" i="6"/>
  <c r="I1425" i="6"/>
  <c r="BD1425" i="6"/>
  <c r="I1655" i="6"/>
  <c r="BD1655" i="6"/>
  <c r="F1423" i="6"/>
  <c r="F1439" i="6"/>
  <c r="I1439" i="6" s="1"/>
  <c r="L2559" i="6"/>
  <c r="F1427" i="6"/>
  <c r="L2550" i="6"/>
  <c r="F1409" i="6"/>
  <c r="L2573" i="6"/>
  <c r="L2554" i="6"/>
  <c r="F1417" i="6"/>
  <c r="K3130" i="6"/>
  <c r="L2563" i="6"/>
  <c r="F1435" i="6"/>
  <c r="I1435" i="6" s="1"/>
  <c r="I198" i="15" l="1"/>
  <c r="AN198" i="15"/>
  <c r="AO198" i="15" s="1"/>
  <c r="I1417" i="6"/>
  <c r="S198" i="15" s="1"/>
  <c r="P198" i="15" s="1"/>
  <c r="W198" i="15" s="1"/>
  <c r="M198" i="15"/>
  <c r="J198" i="15" s="1"/>
  <c r="I1423" i="6"/>
  <c r="BD1423" i="6"/>
  <c r="I1427" i="6"/>
  <c r="BD1427" i="6"/>
  <c r="L2595" i="6"/>
  <c r="L2675" i="6"/>
  <c r="V56" i="5" l="1"/>
  <c r="V55" i="5"/>
  <c r="V54" i="5"/>
  <c r="V8" i="5" l="1"/>
  <c r="V9" i="5"/>
  <c r="V10" i="5"/>
  <c r="V11" i="5"/>
  <c r="V7" i="5"/>
  <c r="V47" i="5"/>
  <c r="V48" i="5"/>
  <c r="V49" i="5"/>
  <c r="V50" i="5"/>
  <c r="V51" i="5"/>
  <c r="V52" i="5"/>
  <c r="V53" i="5"/>
  <c r="V46" i="5"/>
  <c r="F227" i="16"/>
  <c r="F226" i="16"/>
  <c r="F225" i="16"/>
  <c r="F224" i="16"/>
  <c r="F223" i="16"/>
  <c r="F222" i="16"/>
  <c r="F221" i="16"/>
  <c r="F220" i="16"/>
  <c r="G245" i="16"/>
  <c r="F228" i="16" s="1"/>
  <c r="F1268" i="7" s="1"/>
  <c r="BD1268" i="7" s="1"/>
  <c r="BB1268" i="7" s="1"/>
  <c r="H229" i="16"/>
  <c r="F229" i="16" l="1"/>
  <c r="F1269" i="7" l="1"/>
  <c r="I60" i="15"/>
  <c r="AN60" i="15" s="1"/>
  <c r="BD229" i="16"/>
  <c r="K276" i="9"/>
  <c r="L289" i="9"/>
  <c r="L288" i="9"/>
  <c r="L287" i="9"/>
  <c r="L286" i="9"/>
  <c r="L285" i="9"/>
  <c r="L284" i="9"/>
  <c r="L283" i="9"/>
  <c r="L282" i="9"/>
  <c r="L281" i="9"/>
  <c r="L280" i="9"/>
  <c r="L279" i="9"/>
  <c r="L278" i="9"/>
  <c r="L277" i="9"/>
  <c r="L276" i="9"/>
  <c r="K289" i="9"/>
  <c r="K288" i="9"/>
  <c r="K287" i="9"/>
  <c r="K286" i="9"/>
  <c r="K285" i="9"/>
  <c r="K284" i="9"/>
  <c r="K283" i="9"/>
  <c r="K282" i="9"/>
  <c r="K281" i="9"/>
  <c r="K280" i="9"/>
  <c r="K279" i="9"/>
  <c r="K278" i="9"/>
  <c r="K277" i="9"/>
  <c r="F363" i="9"/>
  <c r="E365" i="9"/>
  <c r="E360" i="9"/>
  <c r="E359" i="9"/>
  <c r="X1122" i="7"/>
  <c r="Y1122" i="7"/>
  <c r="Z1122" i="7"/>
  <c r="AA1122" i="7"/>
  <c r="AB1122" i="7"/>
  <c r="AC1122" i="7"/>
  <c r="AD1122" i="7"/>
  <c r="AE1122" i="7"/>
  <c r="AF1122" i="7"/>
  <c r="AG1122" i="7"/>
  <c r="W1122" i="7"/>
  <c r="G1252" i="7"/>
  <c r="Q1147" i="7" s="1"/>
  <c r="F1252" i="7"/>
  <c r="P1147" i="7" s="1"/>
  <c r="F1250" i="7"/>
  <c r="P1145" i="7" s="1"/>
  <c r="G1250" i="7"/>
  <c r="Q1145" i="7" s="1"/>
  <c r="L17" i="6"/>
  <c r="L15" i="6"/>
  <c r="K11" i="6"/>
  <c r="K9" i="6"/>
  <c r="AG1406" i="6"/>
  <c r="AF1406" i="6"/>
  <c r="AE1406" i="6"/>
  <c r="AD1406" i="6"/>
  <c r="AC1406" i="6"/>
  <c r="AB1406" i="6"/>
  <c r="AA1406" i="6"/>
  <c r="Z1406" i="6"/>
  <c r="Y1406" i="6"/>
  <c r="X1406" i="6"/>
  <c r="W1406" i="6"/>
  <c r="AG1295" i="6"/>
  <c r="AF1295" i="6"/>
  <c r="AE1295" i="6"/>
  <c r="AD1295" i="6"/>
  <c r="AC1295" i="6"/>
  <c r="AB1295" i="6"/>
  <c r="AA1295" i="6"/>
  <c r="Z1295" i="6"/>
  <c r="Y1295" i="6"/>
  <c r="X1295" i="6"/>
  <c r="W1295" i="6"/>
  <c r="AG1191" i="6"/>
  <c r="AF1191" i="6"/>
  <c r="AE1191" i="6"/>
  <c r="AD1191" i="6"/>
  <c r="AC1191" i="6"/>
  <c r="AB1191" i="6"/>
  <c r="AA1191" i="6"/>
  <c r="Z1191" i="6"/>
  <c r="Y1191" i="6"/>
  <c r="X1191" i="6"/>
  <c r="W1191" i="6"/>
  <c r="AG785" i="6"/>
  <c r="AF785" i="6"/>
  <c r="AE785" i="6"/>
  <c r="AD785" i="6"/>
  <c r="AC785" i="6"/>
  <c r="AB785" i="6"/>
  <c r="AA785" i="6"/>
  <c r="Z785" i="6"/>
  <c r="Y785" i="6"/>
  <c r="X785" i="6"/>
  <c r="W785" i="6"/>
  <c r="X118" i="6"/>
  <c r="Y118" i="6"/>
  <c r="Z118" i="6"/>
  <c r="AA118" i="6"/>
  <c r="AB118" i="6"/>
  <c r="AC118" i="6"/>
  <c r="AD118" i="6"/>
  <c r="AE118" i="6"/>
  <c r="AF118" i="6"/>
  <c r="AG118" i="6"/>
  <c r="W118" i="6"/>
  <c r="V1406" i="6"/>
  <c r="A1408" i="6"/>
  <c r="A1409" i="6"/>
  <c r="A1410" i="6"/>
  <c r="A1415" i="6"/>
  <c r="A1416" i="6"/>
  <c r="A1417" i="6"/>
  <c r="A1418" i="6"/>
  <c r="A1419" i="6"/>
  <c r="A1420" i="6"/>
  <c r="A1423" i="6"/>
  <c r="A1424" i="6"/>
  <c r="A1425" i="6"/>
  <c r="A1426" i="6"/>
  <c r="A1427" i="6"/>
  <c r="A1428" i="6"/>
  <c r="A1433" i="6"/>
  <c r="A1434" i="6"/>
  <c r="A1435" i="6"/>
  <c r="A1436" i="6"/>
  <c r="A1437" i="6"/>
  <c r="A1438" i="6"/>
  <c r="A1439" i="6"/>
  <c r="A1440" i="6"/>
  <c r="A1441" i="6"/>
  <c r="A1442" i="6"/>
  <c r="A1443" i="6"/>
  <c r="A1444" i="6"/>
  <c r="A1449" i="6"/>
  <c r="A1450" i="6"/>
  <c r="A1451" i="6"/>
  <c r="A1452" i="6"/>
  <c r="A1465" i="6"/>
  <c r="A1466" i="6"/>
  <c r="A1473" i="6"/>
  <c r="A1474" i="6"/>
  <c r="A1475" i="6"/>
  <c r="A1476" i="6"/>
  <c r="A1481" i="6"/>
  <c r="A1482" i="6"/>
  <c r="A1485" i="6"/>
  <c r="A1486" i="6"/>
  <c r="A1493" i="6"/>
  <c r="A1494" i="6"/>
  <c r="A1495" i="6"/>
  <c r="A1496" i="6"/>
  <c r="A1509" i="6"/>
  <c r="A1510" i="6"/>
  <c r="A1513" i="6"/>
  <c r="A1514" i="6"/>
  <c r="A1515" i="6"/>
  <c r="A1516" i="6"/>
  <c r="A1523" i="6"/>
  <c r="A1524" i="6"/>
  <c r="A1525" i="6"/>
  <c r="A1526" i="6"/>
  <c r="A1533" i="6"/>
  <c r="A1534" i="6"/>
  <c r="A1535" i="6"/>
  <c r="A1536" i="6"/>
  <c r="A1543" i="6"/>
  <c r="A1544" i="6"/>
  <c r="A1545" i="6"/>
  <c r="A1546" i="6"/>
  <c r="A1551" i="6"/>
  <c r="A1552" i="6"/>
  <c r="A1553" i="6"/>
  <c r="A1554" i="6"/>
  <c r="A1561" i="6"/>
  <c r="A1562" i="6"/>
  <c r="A1563" i="6"/>
  <c r="A1564" i="6"/>
  <c r="A1569" i="6"/>
  <c r="A1570" i="6"/>
  <c r="A1571" i="6"/>
  <c r="A1572" i="6"/>
  <c r="A1585" i="6"/>
  <c r="A1586" i="6"/>
  <c r="A1587" i="6"/>
  <c r="A1588" i="6"/>
  <c r="A1589" i="6"/>
  <c r="A1590" i="6"/>
  <c r="A1595" i="6"/>
  <c r="A1596" i="6"/>
  <c r="A1597" i="6"/>
  <c r="A1598" i="6"/>
  <c r="A1599" i="6"/>
  <c r="A1600" i="6"/>
  <c r="A1601" i="6"/>
  <c r="A1602" i="6"/>
  <c r="A1603" i="6"/>
  <c r="A1604" i="6"/>
  <c r="A1605" i="6"/>
  <c r="A1606" i="6"/>
  <c r="A1607" i="6"/>
  <c r="A1608" i="6"/>
  <c r="A1609" i="6"/>
  <c r="A1610" i="6"/>
  <c r="A1611" i="6"/>
  <c r="A1612" i="6"/>
  <c r="A1613" i="6"/>
  <c r="A1614" i="6"/>
  <c r="A1615" i="6"/>
  <c r="A1616" i="6"/>
  <c r="A1621" i="6"/>
  <c r="A1622" i="6"/>
  <c r="A1623" i="6"/>
  <c r="A1624" i="6"/>
  <c r="A1637" i="6"/>
  <c r="A1638" i="6"/>
  <c r="A1639" i="6"/>
  <c r="A1640" i="6"/>
  <c r="A1645" i="6"/>
  <c r="A1646" i="6"/>
  <c r="A1647" i="6"/>
  <c r="A1648" i="6"/>
  <c r="A1653" i="6"/>
  <c r="A1654" i="6"/>
  <c r="A1655" i="6"/>
  <c r="A1656" i="6"/>
  <c r="A1669" i="6"/>
  <c r="A1670" i="6"/>
  <c r="A1671" i="6"/>
  <c r="A1672" i="6"/>
  <c r="A1677" i="6"/>
  <c r="A1678" i="6"/>
  <c r="A1679" i="6"/>
  <c r="A1680" i="6"/>
  <c r="A1685" i="6"/>
  <c r="A1686" i="6"/>
  <c r="A1687" i="6"/>
  <c r="A1688" i="6"/>
  <c r="A1701" i="6"/>
  <c r="A1702" i="6"/>
  <c r="A1703" i="6"/>
  <c r="A1704" i="6"/>
  <c r="A1709" i="6"/>
  <c r="A1710" i="6"/>
  <c r="A1711" i="6"/>
  <c r="A1712" i="6"/>
  <c r="A1713" i="6"/>
  <c r="A1714" i="6"/>
  <c r="A1715" i="6"/>
  <c r="A1716" i="6"/>
  <c r="A1717" i="6"/>
  <c r="A1718" i="6"/>
  <c r="A1731" i="6"/>
  <c r="A1732" i="6"/>
  <c r="A1733" i="6"/>
  <c r="A1734" i="6"/>
  <c r="A1739" i="6"/>
  <c r="A1740" i="6"/>
  <c r="A1741" i="6"/>
  <c r="A1742" i="6"/>
  <c r="A1743" i="6"/>
  <c r="A1744" i="6"/>
  <c r="A1745" i="6"/>
  <c r="A1746" i="6"/>
  <c r="A1753" i="6"/>
  <c r="A1754" i="6"/>
  <c r="A1755" i="6"/>
  <c r="A1756" i="6"/>
  <c r="A1761" i="6"/>
  <c r="A1762" i="6"/>
  <c r="A1765" i="6"/>
  <c r="A1766" i="6"/>
  <c r="A1769" i="6"/>
  <c r="A1770" i="6"/>
  <c r="A1773" i="6"/>
  <c r="A1774" i="6"/>
  <c r="A1777" i="6"/>
  <c r="A1778" i="6"/>
  <c r="A1407" i="6"/>
  <c r="A1297" i="6"/>
  <c r="A1298" i="6"/>
  <c r="A1299" i="6"/>
  <c r="A1300" i="6"/>
  <c r="A1301" i="6"/>
  <c r="A1302" i="6"/>
  <c r="A1303" i="6"/>
  <c r="A1304" i="6"/>
  <c r="A1305" i="6"/>
  <c r="A1306" i="6"/>
  <c r="A1307" i="6"/>
  <c r="A1296" i="6"/>
  <c r="A1193" i="6"/>
  <c r="A1194" i="6"/>
  <c r="A1195" i="6"/>
  <c r="A1196" i="6"/>
  <c r="A1197" i="6"/>
  <c r="A1198" i="6"/>
  <c r="A1199" i="6"/>
  <c r="A1200" i="6"/>
  <c r="A1201" i="6"/>
  <c r="A1202" i="6"/>
  <c r="A1203" i="6"/>
  <c r="A1192" i="6"/>
  <c r="A787" i="6"/>
  <c r="A788" i="6"/>
  <c r="A789" i="6"/>
  <c r="A790" i="6"/>
  <c r="A791" i="6"/>
  <c r="A792" i="6"/>
  <c r="A793" i="6"/>
  <c r="A794" i="6"/>
  <c r="A795" i="6"/>
  <c r="A796" i="6"/>
  <c r="A797" i="6"/>
  <c r="A798" i="6"/>
  <c r="A799" i="6"/>
  <c r="A800" i="6"/>
  <c r="A801" i="6"/>
  <c r="A802" i="6"/>
  <c r="A803" i="6"/>
  <c r="A804" i="6"/>
  <c r="A805" i="6"/>
  <c r="A806" i="6"/>
  <c r="A807" i="6"/>
  <c r="A808" i="6"/>
  <c r="A809" i="6"/>
  <c r="A810" i="6"/>
  <c r="A811" i="6"/>
  <c r="A812" i="6"/>
  <c r="A813" i="6"/>
  <c r="A814" i="6"/>
  <c r="A815" i="6"/>
  <c r="A816" i="6"/>
  <c r="A817" i="6"/>
  <c r="A818" i="6"/>
  <c r="A819" i="6"/>
  <c r="A820" i="6"/>
  <c r="A821" i="6"/>
  <c r="A822" i="6"/>
  <c r="A823" i="6"/>
  <c r="A824" i="6"/>
  <c r="A825" i="6"/>
  <c r="A826" i="6"/>
  <c r="A827" i="6"/>
  <c r="A828" i="6"/>
  <c r="A829" i="6"/>
  <c r="A830" i="6"/>
  <c r="A831" i="6"/>
  <c r="A832" i="6"/>
  <c r="A833" i="6"/>
  <c r="A834" i="6"/>
  <c r="A835" i="6"/>
  <c r="A836" i="6"/>
  <c r="A786"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19" i="6"/>
  <c r="A8" i="6"/>
  <c r="A9" i="6"/>
  <c r="A11" i="6"/>
  <c r="A13" i="6"/>
  <c r="A14" i="6"/>
  <c r="A15" i="6"/>
  <c r="A17" i="6"/>
  <c r="BE1147" i="7" l="1"/>
  <c r="BB1147" i="7" s="1"/>
  <c r="AA469" i="15" s="1"/>
  <c r="AB469" i="15"/>
  <c r="BE1145" i="7"/>
  <c r="BB1145" i="7" s="1"/>
  <c r="AA467" i="15" s="1"/>
  <c r="AB467" i="15"/>
  <c r="F1146" i="7"/>
  <c r="AB468" i="15"/>
  <c r="BB229" i="16"/>
  <c r="AA60" i="15" s="1"/>
  <c r="AE60" i="15"/>
  <c r="AC60" i="15" s="1"/>
  <c r="I1269" i="7"/>
  <c r="O480" i="15" s="1"/>
  <c r="V480" i="15" s="1"/>
  <c r="I480" i="15"/>
  <c r="AN480" i="15" s="1"/>
  <c r="BD1269" i="7"/>
  <c r="I561" i="15"/>
  <c r="AN561" i="15" s="1"/>
  <c r="F289" i="9"/>
  <c r="M289" i="9" s="1"/>
  <c r="O559" i="15" s="1"/>
  <c r="W559" i="15" s="1"/>
  <c r="F288" i="9"/>
  <c r="BD288" i="9" s="1"/>
  <c r="BB288" i="9" s="1"/>
  <c r="F285" i="9"/>
  <c r="M285" i="9" s="1"/>
  <c r="O555" i="15" s="1"/>
  <c r="W555" i="15" s="1"/>
  <c r="F286" i="9"/>
  <c r="M286" i="9" s="1"/>
  <c r="O556" i="15" s="1"/>
  <c r="W556" i="15" s="1"/>
  <c r="F284" i="9"/>
  <c r="F287" i="9"/>
  <c r="BD287" i="9" s="1"/>
  <c r="F283" i="9"/>
  <c r="M1146" i="7" l="1"/>
  <c r="O468" i="15" s="1"/>
  <c r="W468" i="15" s="1"/>
  <c r="BD1146" i="7"/>
  <c r="BB1146" i="7" s="1"/>
  <c r="I468" i="15"/>
  <c r="AN468" i="15" s="1"/>
  <c r="I556" i="15"/>
  <c r="AN556" i="15" s="1"/>
  <c r="AO556" i="15" s="1"/>
  <c r="BD286" i="9"/>
  <c r="I559" i="15"/>
  <c r="AN559" i="15" s="1"/>
  <c r="AO559" i="15" s="1"/>
  <c r="BD289" i="9"/>
  <c r="I555" i="15"/>
  <c r="AN555" i="15" s="1"/>
  <c r="AO555" i="15" s="1"/>
  <c r="BD285" i="9"/>
  <c r="BB1269" i="7"/>
  <c r="AA480" i="15" s="1"/>
  <c r="AE480" i="15"/>
  <c r="AC480" i="15" s="1"/>
  <c r="AO480" i="15"/>
  <c r="F22" i="10"/>
  <c r="F7" i="10"/>
  <c r="V30" i="10"/>
  <c r="V16" i="10"/>
  <c r="V7" i="11"/>
  <c r="BB7" i="11"/>
  <c r="AA589" i="15" s="1"/>
  <c r="V7" i="8"/>
  <c r="H7" i="8"/>
  <c r="G276" i="5"/>
  <c r="F263" i="5" s="1"/>
  <c r="I263" i="5" s="1"/>
  <c r="O97" i="15" s="1"/>
  <c r="V97" i="15" s="1"/>
  <c r="G273" i="5"/>
  <c r="G275" i="5"/>
  <c r="K338" i="5"/>
  <c r="BE338" i="5" s="1"/>
  <c r="J338" i="5"/>
  <c r="I108" i="15"/>
  <c r="AN108" i="15" s="1"/>
  <c r="K308" i="5"/>
  <c r="BE308" i="5" s="1"/>
  <c r="K305" i="5"/>
  <c r="BE305" i="5" s="1"/>
  <c r="K302" i="5"/>
  <c r="BE302" i="5" s="1"/>
  <c r="K309" i="5"/>
  <c r="BE309" i="5" s="1"/>
  <c r="K307" i="5"/>
  <c r="BE307" i="5" s="1"/>
  <c r="K306" i="5"/>
  <c r="BE306" i="5" s="1"/>
  <c r="K304" i="5"/>
  <c r="BE304" i="5" s="1"/>
  <c r="K303" i="5"/>
  <c r="BE303" i="5" s="1"/>
  <c r="K301" i="5"/>
  <c r="BE301" i="5" s="1"/>
  <c r="F309" i="5"/>
  <c r="F308" i="5"/>
  <c r="I308" i="5" s="1"/>
  <c r="O105" i="15" s="1"/>
  <c r="V105" i="15" s="1"/>
  <c r="F307" i="5"/>
  <c r="F306" i="5"/>
  <c r="F305" i="5"/>
  <c r="I305" i="5" s="1"/>
  <c r="O102" i="15" s="1"/>
  <c r="V102" i="15" s="1"/>
  <c r="F304" i="5"/>
  <c r="F303" i="5"/>
  <c r="F302" i="5"/>
  <c r="I302" i="5" s="1"/>
  <c r="O99" i="15" s="1"/>
  <c r="V99" i="15" s="1"/>
  <c r="BC303" i="5"/>
  <c r="BC304" i="5"/>
  <c r="BD304" i="5" s="1"/>
  <c r="BB304" i="5" s="1"/>
  <c r="BC306" i="5"/>
  <c r="BC307" i="5"/>
  <c r="BC309" i="5"/>
  <c r="J301" i="5"/>
  <c r="I212" i="5"/>
  <c r="I210" i="5"/>
  <c r="I211" i="5"/>
  <c r="L212" i="5"/>
  <c r="BE212" i="5" s="1"/>
  <c r="K212" i="5"/>
  <c r="L210" i="5"/>
  <c r="BE210" i="5" s="1"/>
  <c r="K210" i="5"/>
  <c r="L211" i="5"/>
  <c r="BE211" i="5" s="1"/>
  <c r="K211" i="5"/>
  <c r="L209" i="5"/>
  <c r="BE209" i="5" s="1"/>
  <c r="K209" i="5"/>
  <c r="H210" i="5"/>
  <c r="H212" i="5"/>
  <c r="L160" i="5"/>
  <c r="BE160" i="5" s="1"/>
  <c r="K160" i="5"/>
  <c r="L158" i="5"/>
  <c r="BE158" i="5" s="1"/>
  <c r="K158" i="5"/>
  <c r="L159" i="5"/>
  <c r="BE159" i="5" s="1"/>
  <c r="K159" i="5"/>
  <c r="L157" i="5"/>
  <c r="BE157" i="5" s="1"/>
  <c r="K157" i="5"/>
  <c r="I160" i="5"/>
  <c r="F160" i="5" s="1"/>
  <c r="I89" i="15" s="1"/>
  <c r="AN89" i="15" s="1"/>
  <c r="I159" i="5"/>
  <c r="F159" i="5" s="1"/>
  <c r="I158" i="5"/>
  <c r="I157" i="5"/>
  <c r="F157" i="5" s="1"/>
  <c r="H158" i="5"/>
  <c r="H160" i="5"/>
  <c r="L108" i="5"/>
  <c r="BE108" i="5" s="1"/>
  <c r="L106" i="5"/>
  <c r="BE106" i="5" s="1"/>
  <c r="L107" i="5"/>
  <c r="BE107" i="5" s="1"/>
  <c r="L105" i="5"/>
  <c r="BE105" i="5" s="1"/>
  <c r="K56" i="5"/>
  <c r="BE56" i="5" s="1"/>
  <c r="K55" i="5"/>
  <c r="BE55" i="5" s="1"/>
  <c r="K54" i="5"/>
  <c r="BE54" i="5" s="1"/>
  <c r="K53" i="5"/>
  <c r="BE53" i="5" s="1"/>
  <c r="K52" i="5"/>
  <c r="BE52" i="5" s="1"/>
  <c r="K51" i="5"/>
  <c r="BE51" i="5" s="1"/>
  <c r="K50" i="5"/>
  <c r="BE50" i="5" s="1"/>
  <c r="K49" i="5"/>
  <c r="BE49" i="5" s="1"/>
  <c r="K48" i="5"/>
  <c r="BE48" i="5" s="1"/>
  <c r="K47" i="5"/>
  <c r="BE47" i="5" s="1"/>
  <c r="J47" i="5"/>
  <c r="I108" i="5"/>
  <c r="F108" i="5" s="1"/>
  <c r="J108" i="5" s="1"/>
  <c r="O85" i="15" s="1"/>
  <c r="V85" i="15" s="1"/>
  <c r="I106" i="5"/>
  <c r="F106" i="5" s="1"/>
  <c r="J106" i="5" s="1"/>
  <c r="O83" i="15" s="1"/>
  <c r="V83" i="15" s="1"/>
  <c r="I107" i="5"/>
  <c r="F107" i="5" s="1"/>
  <c r="I105" i="5"/>
  <c r="F105" i="5" s="1"/>
  <c r="J7" i="5"/>
  <c r="I7" i="5"/>
  <c r="F9" i="5"/>
  <c r="F8" i="5"/>
  <c r="K8" i="5" s="1"/>
  <c r="O66" i="15" s="1"/>
  <c r="V66" i="15" s="1"/>
  <c r="I10" i="5"/>
  <c r="I11" i="5"/>
  <c r="AE468" i="15" l="1"/>
  <c r="AC468" i="15" s="1"/>
  <c r="K9" i="5"/>
  <c r="O67" i="15" s="1"/>
  <c r="V67" i="15" s="1"/>
  <c r="AC9" i="5"/>
  <c r="AA468" i="15"/>
  <c r="BD306" i="5"/>
  <c r="BB306" i="5" s="1"/>
  <c r="AO468" i="15"/>
  <c r="F158" i="5"/>
  <c r="I87" i="15" s="1"/>
  <c r="AN87" i="15" s="1"/>
  <c r="BD307" i="5"/>
  <c r="BB307" i="5" s="1"/>
  <c r="BD303" i="5"/>
  <c r="BB303" i="5" s="1"/>
  <c r="BD309" i="5"/>
  <c r="BB309" i="5" s="1"/>
  <c r="BB289" i="9"/>
  <c r="AA559" i="15" s="1"/>
  <c r="AE559" i="15"/>
  <c r="AC559" i="15" s="1"/>
  <c r="AE556" i="15"/>
  <c r="AC556" i="15" s="1"/>
  <c r="BB286" i="9"/>
  <c r="AA556" i="15" s="1"/>
  <c r="AE555" i="15"/>
  <c r="AC555" i="15" s="1"/>
  <c r="BB285" i="9"/>
  <c r="AA555" i="15" s="1"/>
  <c r="AB74" i="15"/>
  <c r="AB73" i="15"/>
  <c r="BD49" i="5"/>
  <c r="I73" i="15"/>
  <c r="AN73" i="15" s="1"/>
  <c r="AO73" i="15" s="1"/>
  <c r="BD50" i="5"/>
  <c r="I74" i="15"/>
  <c r="AN74" i="15" s="1"/>
  <c r="AO74" i="15" s="1"/>
  <c r="I66" i="15"/>
  <c r="AN66" i="15" s="1"/>
  <c r="AO66" i="15" s="1"/>
  <c r="BD8" i="5"/>
  <c r="I67" i="15"/>
  <c r="AN67" i="15" s="1"/>
  <c r="AO67" i="15" s="1"/>
  <c r="BD9" i="5"/>
  <c r="I79" i="15"/>
  <c r="AN79" i="15" s="1"/>
  <c r="AO79" i="15" s="1"/>
  <c r="BD55" i="5"/>
  <c r="BC210" i="5"/>
  <c r="X91" i="15"/>
  <c r="Z91" i="15" s="1"/>
  <c r="I105" i="15"/>
  <c r="AN105" i="15" s="1"/>
  <c r="AO105" i="15" s="1"/>
  <c r="BD308" i="5"/>
  <c r="AB99" i="15"/>
  <c r="BC338" i="5"/>
  <c r="BD338" i="5" s="1"/>
  <c r="X108" i="15"/>
  <c r="Z108" i="15" s="1"/>
  <c r="I97" i="15"/>
  <c r="AN97" i="15" s="1"/>
  <c r="AO97" i="15" s="1"/>
  <c r="BD263" i="5"/>
  <c r="I83" i="15"/>
  <c r="AN83" i="15" s="1"/>
  <c r="AO83" i="15" s="1"/>
  <c r="BD106" i="5"/>
  <c r="BC160" i="5"/>
  <c r="BD160" i="5" s="1"/>
  <c r="X89" i="15"/>
  <c r="Z89" i="15" s="1"/>
  <c r="BD56" i="5"/>
  <c r="I80" i="15"/>
  <c r="AN80" i="15" s="1"/>
  <c r="AO80" i="15" s="1"/>
  <c r="I85" i="15"/>
  <c r="AN85" i="15" s="1"/>
  <c r="AO85" i="15" s="1"/>
  <c r="BD108" i="5"/>
  <c r="AB78" i="15"/>
  <c r="AB89" i="15"/>
  <c r="AB91" i="15"/>
  <c r="I102" i="15"/>
  <c r="AN102" i="15" s="1"/>
  <c r="AO102" i="15" s="1"/>
  <c r="BD305" i="5"/>
  <c r="AB102" i="15"/>
  <c r="AB108" i="15"/>
  <c r="AB79" i="15"/>
  <c r="AB83" i="15"/>
  <c r="X87" i="15"/>
  <c r="Z87" i="15" s="1"/>
  <c r="BC158" i="5"/>
  <c r="BD158" i="5" s="1"/>
  <c r="X93" i="15"/>
  <c r="Z93" i="15" s="1"/>
  <c r="BC212" i="5"/>
  <c r="I99" i="15"/>
  <c r="AN99" i="15" s="1"/>
  <c r="AO99" i="15" s="1"/>
  <c r="BD302" i="5"/>
  <c r="AB105" i="15"/>
  <c r="BD54" i="5"/>
  <c r="I78" i="15"/>
  <c r="AN78" i="15" s="1"/>
  <c r="AO78" i="15" s="1"/>
  <c r="AB80" i="15"/>
  <c r="AB85" i="15"/>
  <c r="AB87" i="15"/>
  <c r="AB93" i="15"/>
  <c r="I338" i="5"/>
  <c r="O108" i="15" s="1"/>
  <c r="V108" i="15" s="1"/>
  <c r="J160" i="5"/>
  <c r="O89" i="15" s="1"/>
  <c r="V89" i="15" s="1"/>
  <c r="J158" i="5"/>
  <c r="O87" i="15" s="1"/>
  <c r="V87" i="15" s="1"/>
  <c r="F71" i="16"/>
  <c r="F77" i="16"/>
  <c r="P15" i="3"/>
  <c r="Q15" i="3"/>
  <c r="P16" i="3"/>
  <c r="Q16" i="3"/>
  <c r="G112" i="3"/>
  <c r="G103" i="3"/>
  <c r="BB50" i="5" l="1"/>
  <c r="AA74" i="15" s="1"/>
  <c r="AE74" i="15"/>
  <c r="AC74" i="15" s="1"/>
  <c r="BB49" i="5"/>
  <c r="AA73" i="15" s="1"/>
  <c r="AE73" i="15"/>
  <c r="AC73" i="15" s="1"/>
  <c r="X17" i="15"/>
  <c r="Z17" i="15" s="1"/>
  <c r="BC15" i="3"/>
  <c r="BC16" i="3"/>
  <c r="X18" i="15"/>
  <c r="Z18" i="15" s="1"/>
  <c r="BB54" i="5"/>
  <c r="AA78" i="15" s="1"/>
  <c r="AE78" i="15"/>
  <c r="AC78" i="15" s="1"/>
  <c r="AO108" i="15"/>
  <c r="AO87" i="15"/>
  <c r="BB108" i="5"/>
  <c r="AA85" i="15" s="1"/>
  <c r="AE85" i="15"/>
  <c r="AC85" i="15" s="1"/>
  <c r="BB263" i="5"/>
  <c r="AA97" i="15" s="1"/>
  <c r="AE97" i="15"/>
  <c r="AC97" i="15" s="1"/>
  <c r="BB9" i="5"/>
  <c r="AA67" i="15" s="1"/>
  <c r="AE67" i="15"/>
  <c r="AC67" i="15" s="1"/>
  <c r="BB302" i="5"/>
  <c r="AA99" i="15" s="1"/>
  <c r="AE99" i="15"/>
  <c r="AC99" i="15" s="1"/>
  <c r="BB158" i="5"/>
  <c r="AA87" i="15" s="1"/>
  <c r="AE87" i="15"/>
  <c r="AC87" i="15" s="1"/>
  <c r="AO89" i="15"/>
  <c r="BB160" i="5"/>
  <c r="AA89" i="15" s="1"/>
  <c r="AE89" i="15"/>
  <c r="AC89" i="15" s="1"/>
  <c r="BB106" i="5"/>
  <c r="AA83" i="15" s="1"/>
  <c r="AE83" i="15"/>
  <c r="AC83" i="15" s="1"/>
  <c r="BB308" i="5"/>
  <c r="AA105" i="15" s="1"/>
  <c r="AE105" i="15"/>
  <c r="AC105" i="15" s="1"/>
  <c r="BB55" i="5"/>
  <c r="AA79" i="15" s="1"/>
  <c r="AE79" i="15"/>
  <c r="AC79" i="15" s="1"/>
  <c r="AE66" i="15"/>
  <c r="AC66" i="15" s="1"/>
  <c r="BB8" i="5"/>
  <c r="AA66" i="15" s="1"/>
  <c r="BB305" i="5"/>
  <c r="AA102" i="15" s="1"/>
  <c r="AE102" i="15"/>
  <c r="AC102" i="15" s="1"/>
  <c r="BB56" i="5"/>
  <c r="AA80" i="15" s="1"/>
  <c r="AE80" i="15"/>
  <c r="AC80" i="15" s="1"/>
  <c r="BB338" i="5"/>
  <c r="AA108" i="15" s="1"/>
  <c r="AE108" i="15"/>
  <c r="AC108" i="15" s="1"/>
  <c r="G96" i="3"/>
  <c r="M16" i="3" s="1"/>
  <c r="F79" i="3"/>
  <c r="F78" i="3"/>
  <c r="H78" i="3"/>
  <c r="H79" i="3"/>
  <c r="H52" i="3"/>
  <c r="H53" i="3"/>
  <c r="G52" i="3"/>
  <c r="F52" i="3"/>
  <c r="F53" i="3"/>
  <c r="I15" i="3"/>
  <c r="K15" i="3"/>
  <c r="I16" i="3"/>
  <c r="K16" i="3"/>
  <c r="M32" i="3" l="1"/>
  <c r="M30" i="3"/>
  <c r="O30" i="3" s="1"/>
  <c r="BE30" i="3" s="1"/>
  <c r="L30" i="3"/>
  <c r="O32" i="3"/>
  <c r="BE32" i="3" s="1"/>
  <c r="L32" i="3"/>
  <c r="O16" i="3"/>
  <c r="BE16" i="3" s="1"/>
  <c r="L16" i="3"/>
  <c r="L15" i="3"/>
  <c r="M15" i="3"/>
  <c r="O15" i="3" s="1"/>
  <c r="BE15" i="3" s="1"/>
  <c r="AA106" i="3"/>
  <c r="Z106" i="3"/>
  <c r="AM833" i="2"/>
  <c r="AN833" i="2"/>
  <c r="BW330" i="2"/>
  <c r="BX330" i="2"/>
  <c r="N32" i="3" l="1"/>
  <c r="F32" i="3"/>
  <c r="N30" i="3"/>
  <c r="F30" i="3"/>
  <c r="N15" i="3"/>
  <c r="F15" i="3"/>
  <c r="N16" i="3"/>
  <c r="F16" i="3"/>
  <c r="G30" i="3" l="1"/>
  <c r="O32" i="15" s="1"/>
  <c r="W32" i="15" s="1"/>
  <c r="I32" i="15"/>
  <c r="AN32" i="15" s="1"/>
  <c r="AO32" i="15" s="1"/>
  <c r="BD30" i="3"/>
  <c r="G32" i="3"/>
  <c r="O34" i="15" s="1"/>
  <c r="W34" i="15" s="1"/>
  <c r="I34" i="15"/>
  <c r="AN34" i="15" s="1"/>
  <c r="BD32" i="3"/>
  <c r="G15" i="3"/>
  <c r="O17" i="15" s="1"/>
  <c r="W17" i="15" s="1"/>
  <c r="I17" i="15"/>
  <c r="AN17" i="15" s="1"/>
  <c r="BD15" i="3"/>
  <c r="G16" i="3"/>
  <c r="O18" i="15" s="1"/>
  <c r="W18" i="15" s="1"/>
  <c r="I18" i="15"/>
  <c r="AN18" i="15" s="1"/>
  <c r="BD16" i="3"/>
  <c r="DC25" i="2"/>
  <c r="DC27" i="2"/>
  <c r="DC28" i="2"/>
  <c r="DC30" i="2"/>
  <c r="DC31" i="2"/>
  <c r="CJ47" i="2"/>
  <c r="CJ48" i="2"/>
  <c r="BX48" i="2"/>
  <c r="BX47" i="2"/>
  <c r="AO48" i="2"/>
  <c r="AO47" i="2"/>
  <c r="DF422" i="2"/>
  <c r="DF421" i="2"/>
  <c r="DF420" i="2"/>
  <c r="DF419" i="2"/>
  <c r="DF418" i="2"/>
  <c r="DF417" i="2"/>
  <c r="DG416" i="2"/>
  <c r="DF416" i="2"/>
  <c r="W416" i="2"/>
  <c r="X416" i="2"/>
  <c r="Y416" i="2"/>
  <c r="Z416" i="2"/>
  <c r="AA416" i="2"/>
  <c r="AC416" i="2"/>
  <c r="AD416" i="2"/>
  <c r="AE416" i="2"/>
  <c r="AF416" i="2"/>
  <c r="AG416" i="2"/>
  <c r="AK416" i="2"/>
  <c r="AL416" i="2"/>
  <c r="AM416" i="2"/>
  <c r="AN416" i="2"/>
  <c r="AP416" i="2"/>
  <c r="AQ416" i="2"/>
  <c r="AR416" i="2"/>
  <c r="AS416" i="2"/>
  <c r="AW416" i="2"/>
  <c r="AX416" i="2"/>
  <c r="AY416" i="2"/>
  <c r="AZ416" i="2"/>
  <c r="BB416" i="2"/>
  <c r="BC416" i="2"/>
  <c r="BD416" i="2"/>
  <c r="BE416" i="2"/>
  <c r="BI416" i="2"/>
  <c r="BJ416" i="2"/>
  <c r="BK416" i="2"/>
  <c r="BL416" i="2"/>
  <c r="BN416" i="2"/>
  <c r="BO416" i="2"/>
  <c r="BP416" i="2"/>
  <c r="BQ416" i="2"/>
  <c r="BU416" i="2"/>
  <c r="BV416" i="2"/>
  <c r="BW416" i="2"/>
  <c r="BX416" i="2"/>
  <c r="BZ416" i="2"/>
  <c r="CA416" i="2"/>
  <c r="CB416" i="2"/>
  <c r="CC416" i="2"/>
  <c r="DB416" i="2"/>
  <c r="DC416" i="2"/>
  <c r="DE416" i="2"/>
  <c r="F417" i="2"/>
  <c r="G417" i="2"/>
  <c r="V417" i="2"/>
  <c r="V418" i="2" s="1"/>
  <c r="V419" i="2" s="1"/>
  <c r="V420" i="2" s="1"/>
  <c r="AI417" i="2"/>
  <c r="AI418" i="2" s="1"/>
  <c r="AI419" i="2" s="1"/>
  <c r="AI420" i="2" s="1"/>
  <c r="AU417" i="2"/>
  <c r="AU418" i="2" s="1"/>
  <c r="AU419" i="2" s="1"/>
  <c r="AU420" i="2" s="1"/>
  <c r="BS417" i="2"/>
  <c r="BS418" i="2" s="1"/>
  <c r="BS419" i="2" s="1"/>
  <c r="BS420" i="2" s="1"/>
  <c r="DC417" i="2"/>
  <c r="F418" i="2"/>
  <c r="G418" i="2"/>
  <c r="DC418" i="2"/>
  <c r="G419" i="2"/>
  <c r="DC419" i="2"/>
  <c r="G420" i="2"/>
  <c r="DC420" i="2"/>
  <c r="BB30" i="3" l="1"/>
  <c r="AA32" i="15" s="1"/>
  <c r="AE32" i="15"/>
  <c r="AC32" i="15" s="1"/>
  <c r="BB32" i="3"/>
  <c r="AA34" i="15" s="1"/>
  <c r="AE34" i="15"/>
  <c r="AC34" i="15" s="1"/>
  <c r="AO34" i="15"/>
  <c r="AO17" i="15"/>
  <c r="BB15" i="3"/>
  <c r="AA17" i="15" s="1"/>
  <c r="AE17" i="15"/>
  <c r="AC17" i="15" s="1"/>
  <c r="BB16" i="3"/>
  <c r="AA18" i="15" s="1"/>
  <c r="AE18" i="15"/>
  <c r="AC18" i="15" s="1"/>
  <c r="AO18" i="15"/>
  <c r="DG418" i="2"/>
  <c r="DG419" i="2"/>
  <c r="DG420" i="2"/>
  <c r="DG417" i="2"/>
  <c r="L417" i="2"/>
  <c r="DD418" i="2"/>
  <c r="DD417" i="2"/>
  <c r="H417" i="2"/>
  <c r="H418" i="2"/>
  <c r="L418" i="2"/>
  <c r="DB417" i="2" l="1"/>
  <c r="DB418" i="2"/>
  <c r="H31" i="2"/>
  <c r="I613" i="15"/>
  <c r="AN613" i="15" s="1"/>
  <c r="H28" i="2"/>
  <c r="I610" i="15"/>
  <c r="AN610" i="15" s="1"/>
  <c r="I607" i="15"/>
  <c r="AN607" i="15" s="1"/>
  <c r="H25" i="2"/>
  <c r="D68" i="2"/>
  <c r="D70" i="2"/>
  <c r="D71" i="2"/>
  <c r="D65" i="2"/>
  <c r="I28" i="2" l="1"/>
  <c r="O610" i="15" s="1"/>
  <c r="W610" i="15" s="1"/>
  <c r="V610" i="15" s="1"/>
  <c r="U610" i="15" s="1"/>
  <c r="I25" i="2"/>
  <c r="DD25" i="2"/>
  <c r="DD30" i="2"/>
  <c r="DB30" i="2" s="1"/>
  <c r="DD28" i="2"/>
  <c r="DD27" i="2"/>
  <c r="DB27" i="2" s="1"/>
  <c r="DD31" i="2"/>
  <c r="I31" i="2"/>
  <c r="O613" i="15" s="1"/>
  <c r="W613" i="15" s="1"/>
  <c r="V613" i="15" s="1"/>
  <c r="U613" i="15" s="1"/>
  <c r="J436" i="2"/>
  <c r="J437" i="2"/>
  <c r="J438" i="2"/>
  <c r="J435" i="2"/>
  <c r="F419" i="2" s="1"/>
  <c r="O607" i="15" l="1"/>
  <c r="W607" i="15" s="1"/>
  <c r="V607" i="15" s="1"/>
  <c r="U607" i="15" s="1"/>
  <c r="DB25" i="2"/>
  <c r="AA607" i="15" s="1"/>
  <c r="AE607" i="15"/>
  <c r="AC607" i="15" s="1"/>
  <c r="AO610" i="15"/>
  <c r="DB31" i="2"/>
  <c r="AA613" i="15" s="1"/>
  <c r="AE613" i="15"/>
  <c r="AC613" i="15" s="1"/>
  <c r="DB28" i="2"/>
  <c r="AA610" i="15" s="1"/>
  <c r="AE610" i="15"/>
  <c r="AC610" i="15" s="1"/>
  <c r="AO607" i="15"/>
  <c r="AO613" i="15"/>
  <c r="F420" i="2"/>
  <c r="H419" i="2"/>
  <c r="L419" i="2"/>
  <c r="DD419" i="2"/>
  <c r="DB419" i="2" s="1"/>
  <c r="H821" i="2"/>
  <c r="H820" i="2"/>
  <c r="H819" i="2"/>
  <c r="H347" i="2"/>
  <c r="H348" i="2"/>
  <c r="H98" i="2"/>
  <c r="H99" i="2"/>
  <c r="H649" i="2"/>
  <c r="H650" i="2"/>
  <c r="DD420" i="2" l="1"/>
  <c r="DB420" i="2" s="1"/>
  <c r="L420" i="2"/>
  <c r="H420" i="2"/>
  <c r="AI731" i="15"/>
  <c r="AD731" i="15"/>
  <c r="AB731" i="15"/>
  <c r="X731" i="15"/>
  <c r="Z731" i="15" s="1"/>
  <c r="W731" i="15" s="1"/>
  <c r="H731" i="15"/>
  <c r="G731" i="15"/>
  <c r="C731" i="15"/>
  <c r="AM731" i="15" s="1"/>
  <c r="B731" i="15"/>
  <c r="A731" i="15" s="1"/>
  <c r="AI730" i="15"/>
  <c r="AD730" i="15"/>
  <c r="AB730" i="15"/>
  <c r="X730" i="15"/>
  <c r="Z730" i="15" s="1"/>
  <c r="W730" i="15" s="1"/>
  <c r="H730" i="15"/>
  <c r="G730" i="15"/>
  <c r="C730" i="15"/>
  <c r="AM730" i="15" s="1"/>
  <c r="B730" i="15"/>
  <c r="A730" i="15" s="1"/>
  <c r="AI729" i="15"/>
  <c r="AD729" i="15"/>
  <c r="AB729" i="15"/>
  <c r="X729" i="15"/>
  <c r="Z729" i="15" s="1"/>
  <c r="W729" i="15" s="1"/>
  <c r="H729" i="15"/>
  <c r="G729" i="15"/>
  <c r="C729" i="15"/>
  <c r="AM729" i="15" s="1"/>
  <c r="B729" i="15"/>
  <c r="A729" i="15" s="1"/>
  <c r="BE818" i="2"/>
  <c r="BD818" i="2"/>
  <c r="BC818" i="2"/>
  <c r="BB818" i="2"/>
  <c r="AZ818" i="2"/>
  <c r="AY818" i="2"/>
  <c r="AX818" i="2"/>
  <c r="AW818" i="2"/>
  <c r="AS818" i="2"/>
  <c r="AR818" i="2"/>
  <c r="AQ818" i="2"/>
  <c r="AP818" i="2"/>
  <c r="AO818" i="2"/>
  <c r="AN818" i="2"/>
  <c r="AM818" i="2"/>
  <c r="AL818" i="2"/>
  <c r="AK818" i="2"/>
  <c r="AG818" i="2"/>
  <c r="AF818" i="2"/>
  <c r="AE818" i="2"/>
  <c r="AD818" i="2"/>
  <c r="AC818" i="2"/>
  <c r="AA818" i="2"/>
  <c r="Z818" i="2"/>
  <c r="Y818" i="2"/>
  <c r="X818" i="2"/>
  <c r="W818" i="2"/>
  <c r="V816" i="2"/>
  <c r="D829" i="2"/>
  <c r="D828" i="2"/>
  <c r="D827" i="2"/>
  <c r="DC821" i="2"/>
  <c r="F821" i="2"/>
  <c r="DC820" i="2"/>
  <c r="F820" i="2"/>
  <c r="DC819" i="2"/>
  <c r="F819" i="2"/>
  <c r="DE818" i="2"/>
  <c r="DD818" i="2"/>
  <c r="DC818" i="2"/>
  <c r="DB818" i="2"/>
  <c r="D660" i="2"/>
  <c r="E660" i="2"/>
  <c r="D661" i="2"/>
  <c r="E661" i="2"/>
  <c r="AI715" i="15"/>
  <c r="AD715" i="15"/>
  <c r="AB715" i="15"/>
  <c r="X715" i="15"/>
  <c r="Z715" i="15" s="1"/>
  <c r="H715" i="15"/>
  <c r="G715" i="15"/>
  <c r="C715" i="15"/>
  <c r="AM715" i="15" s="1"/>
  <c r="B715" i="15"/>
  <c r="A715" i="15" s="1"/>
  <c r="AI714" i="15"/>
  <c r="AD714" i="15"/>
  <c r="AB714" i="15"/>
  <c r="X714" i="15"/>
  <c r="Z714" i="15" s="1"/>
  <c r="H714" i="15"/>
  <c r="G714" i="15"/>
  <c r="C714" i="15"/>
  <c r="AM714" i="15" s="1"/>
  <c r="B714" i="15"/>
  <c r="A714" i="15" s="1"/>
  <c r="F650" i="2"/>
  <c r="F649" i="2"/>
  <c r="DC650" i="2"/>
  <c r="DC649" i="2"/>
  <c r="G422" i="2"/>
  <c r="G421" i="2"/>
  <c r="F421" i="2"/>
  <c r="H413" i="2"/>
  <c r="F399" i="2" s="1"/>
  <c r="H412" i="2"/>
  <c r="H411" i="2"/>
  <c r="H410" i="2"/>
  <c r="H409" i="2"/>
  <c r="DG422" i="2" l="1"/>
  <c r="DG421" i="2"/>
  <c r="I730" i="15"/>
  <c r="AN730" i="15" s="1"/>
  <c r="I714" i="15"/>
  <c r="AN714" i="15" s="1"/>
  <c r="I731" i="15"/>
  <c r="AN731" i="15" s="1"/>
  <c r="I715" i="15"/>
  <c r="AN715" i="15" s="1"/>
  <c r="I819" i="2"/>
  <c r="O729" i="15" s="1"/>
  <c r="V729" i="15" s="1"/>
  <c r="U729" i="15" s="1"/>
  <c r="DD819" i="2"/>
  <c r="DD820" i="2"/>
  <c r="DB820" i="2" s="1"/>
  <c r="AA730" i="15" s="1"/>
  <c r="I821" i="2"/>
  <c r="O731" i="15" s="1"/>
  <c r="V731" i="15" s="1"/>
  <c r="U731" i="15" s="1"/>
  <c r="I729" i="15"/>
  <c r="AN729" i="15" s="1"/>
  <c r="DD821" i="2"/>
  <c r="DB821" i="2" s="1"/>
  <c r="AA731" i="15" s="1"/>
  <c r="I650" i="2"/>
  <c r="O715" i="15" s="1"/>
  <c r="W715" i="15" s="1"/>
  <c r="V715" i="15" s="1"/>
  <c r="U715" i="15" s="1"/>
  <c r="I820" i="2"/>
  <c r="O730" i="15" s="1"/>
  <c r="V730" i="15" s="1"/>
  <c r="U730" i="15" s="1"/>
  <c r="I649" i="2"/>
  <c r="O714" i="15" s="1"/>
  <c r="W714" i="15" s="1"/>
  <c r="V714" i="15" s="1"/>
  <c r="U714" i="15" s="1"/>
  <c r="DD649" i="2"/>
  <c r="DD650" i="2"/>
  <c r="AO729" i="15" l="1"/>
  <c r="AO731" i="15"/>
  <c r="AE731" i="15"/>
  <c r="AC731" i="15" s="1"/>
  <c r="AE730" i="15"/>
  <c r="AC730" i="15" s="1"/>
  <c r="AO715" i="15"/>
  <c r="DB819" i="2"/>
  <c r="AA729" i="15" s="1"/>
  <c r="AE729" i="15"/>
  <c r="AC729" i="15" s="1"/>
  <c r="AO730" i="15"/>
  <c r="AO714" i="15"/>
  <c r="DB650" i="2"/>
  <c r="AA715" i="15" s="1"/>
  <c r="AE715" i="15"/>
  <c r="AC715" i="15" s="1"/>
  <c r="DB649" i="2"/>
  <c r="AA714" i="15" s="1"/>
  <c r="AE714" i="15"/>
  <c r="AC714" i="15" s="1"/>
  <c r="AI668" i="15" l="1"/>
  <c r="AD668" i="15"/>
  <c r="AB668" i="15"/>
  <c r="X668" i="15"/>
  <c r="Z668" i="15" s="1"/>
  <c r="H668" i="15"/>
  <c r="G668" i="15"/>
  <c r="C668" i="15"/>
  <c r="AM668" i="15" s="1"/>
  <c r="B668" i="15"/>
  <c r="A668" i="15" s="1"/>
  <c r="AI667" i="15"/>
  <c r="AD667" i="15"/>
  <c r="AB667" i="15"/>
  <c r="X667" i="15"/>
  <c r="Z667" i="15" s="1"/>
  <c r="H667" i="15"/>
  <c r="G667" i="15"/>
  <c r="C667" i="15"/>
  <c r="AM667" i="15" s="1"/>
  <c r="B667" i="15"/>
  <c r="A667" i="15" s="1"/>
  <c r="F348" i="2"/>
  <c r="F347" i="2"/>
  <c r="E361" i="2"/>
  <c r="E360" i="2"/>
  <c r="D361" i="2"/>
  <c r="D360" i="2"/>
  <c r="DC348" i="2"/>
  <c r="DC347" i="2"/>
  <c r="AI619" i="15"/>
  <c r="AD619" i="15"/>
  <c r="AB619" i="15"/>
  <c r="X619" i="15"/>
  <c r="Z619" i="15" s="1"/>
  <c r="H619" i="15"/>
  <c r="G619" i="15"/>
  <c r="C619" i="15"/>
  <c r="AM619" i="15" s="1"/>
  <c r="B619" i="15"/>
  <c r="A619" i="15" s="1"/>
  <c r="AI618" i="15"/>
  <c r="AD618" i="15"/>
  <c r="AB618" i="15"/>
  <c r="X618" i="15"/>
  <c r="Z618" i="15" s="1"/>
  <c r="H618" i="15"/>
  <c r="G618" i="15"/>
  <c r="C618" i="15"/>
  <c r="AM618" i="15" s="1"/>
  <c r="B618" i="15"/>
  <c r="A618" i="15" s="1"/>
  <c r="DC99" i="2"/>
  <c r="F99" i="2"/>
  <c r="DC98" i="2"/>
  <c r="F98" i="2"/>
  <c r="E112" i="2"/>
  <c r="V112" i="2" s="1"/>
  <c r="D112" i="2"/>
  <c r="E111" i="2"/>
  <c r="V111" i="2" s="1"/>
  <c r="D111" i="2"/>
  <c r="AI732" i="15"/>
  <c r="X732" i="15"/>
  <c r="O732" i="15"/>
  <c r="I732" i="15"/>
  <c r="H732" i="15"/>
  <c r="G732" i="15"/>
  <c r="C732" i="15"/>
  <c r="B732" i="15"/>
  <c r="A732" i="15" s="1"/>
  <c r="AI728" i="15"/>
  <c r="AB728" i="15"/>
  <c r="X728" i="15"/>
  <c r="H728" i="15"/>
  <c r="G728" i="15"/>
  <c r="C728" i="15"/>
  <c r="B728" i="15"/>
  <c r="A728" i="15" s="1"/>
  <c r="AI727" i="15"/>
  <c r="AB727" i="15"/>
  <c r="X727" i="15"/>
  <c r="H727" i="15"/>
  <c r="G727" i="15"/>
  <c r="C727" i="15"/>
  <c r="B727" i="15"/>
  <c r="A727" i="15" s="1"/>
  <c r="AI726" i="15"/>
  <c r="AB726" i="15"/>
  <c r="X726" i="15"/>
  <c r="H726" i="15"/>
  <c r="G726" i="15"/>
  <c r="C726" i="15"/>
  <c r="B726" i="15"/>
  <c r="A726" i="15" s="1"/>
  <c r="AI725" i="15"/>
  <c r="AB725" i="15"/>
  <c r="X725" i="15"/>
  <c r="H725" i="15"/>
  <c r="G725" i="15"/>
  <c r="C725" i="15"/>
  <c r="B725" i="15"/>
  <c r="A725" i="15" s="1"/>
  <c r="AI724" i="15"/>
  <c r="AB724" i="15"/>
  <c r="X724" i="15"/>
  <c r="H724" i="15"/>
  <c r="G724" i="15"/>
  <c r="C724" i="15"/>
  <c r="B724" i="15"/>
  <c r="A724" i="15" s="1"/>
  <c r="AI723" i="15"/>
  <c r="AB723" i="15"/>
  <c r="X723" i="15"/>
  <c r="H723" i="15"/>
  <c r="G723" i="15"/>
  <c r="C723" i="15"/>
  <c r="B723" i="15"/>
  <c r="A723" i="15" s="1"/>
  <c r="AI722" i="15"/>
  <c r="AB722" i="15"/>
  <c r="X722" i="15"/>
  <c r="H722" i="15"/>
  <c r="G722" i="15"/>
  <c r="C722" i="15"/>
  <c r="B722" i="15"/>
  <c r="A722" i="15" s="1"/>
  <c r="AI721" i="15"/>
  <c r="AB721" i="15"/>
  <c r="X721" i="15"/>
  <c r="H721" i="15"/>
  <c r="G721" i="15"/>
  <c r="C721" i="15"/>
  <c r="B721" i="15"/>
  <c r="A721" i="15" s="1"/>
  <c r="AI720" i="15"/>
  <c r="AB720" i="15"/>
  <c r="X720" i="15"/>
  <c r="H720" i="15"/>
  <c r="G720" i="15"/>
  <c r="C720" i="15"/>
  <c r="B720" i="15"/>
  <c r="A720" i="15" s="1"/>
  <c r="AI719" i="15"/>
  <c r="AB719" i="15"/>
  <c r="X719" i="15"/>
  <c r="H719" i="15"/>
  <c r="G719" i="15"/>
  <c r="C719" i="15"/>
  <c r="B719" i="15"/>
  <c r="A719" i="15" s="1"/>
  <c r="AI718" i="15"/>
  <c r="AB718" i="15"/>
  <c r="X718" i="15"/>
  <c r="H718" i="15"/>
  <c r="G718" i="15"/>
  <c r="C718" i="15"/>
  <c r="B718" i="15"/>
  <c r="A718" i="15" s="1"/>
  <c r="AI717" i="15"/>
  <c r="AB717" i="15"/>
  <c r="X717" i="15"/>
  <c r="H717" i="15"/>
  <c r="G717" i="15"/>
  <c r="C717" i="15"/>
  <c r="B717" i="15"/>
  <c r="A717" i="15" s="1"/>
  <c r="AI716" i="15"/>
  <c r="AB716" i="15"/>
  <c r="X716" i="15"/>
  <c r="H716" i="15"/>
  <c r="G716" i="15"/>
  <c r="C716" i="15"/>
  <c r="B716" i="15"/>
  <c r="A716" i="15" s="1"/>
  <c r="AI713" i="15"/>
  <c r="AB713" i="15"/>
  <c r="X713" i="15"/>
  <c r="H713" i="15"/>
  <c r="G713" i="15"/>
  <c r="C713" i="15"/>
  <c r="B713" i="15"/>
  <c r="A713" i="15" s="1"/>
  <c r="AI712" i="15"/>
  <c r="AB712" i="15"/>
  <c r="X712" i="15"/>
  <c r="H712" i="15"/>
  <c r="G712" i="15"/>
  <c r="C712" i="15"/>
  <c r="B712" i="15"/>
  <c r="A712" i="15" s="1"/>
  <c r="AI711" i="15"/>
  <c r="AB711" i="15"/>
  <c r="X711" i="15"/>
  <c r="H711" i="15"/>
  <c r="G711" i="15"/>
  <c r="C711" i="15"/>
  <c r="B711" i="15"/>
  <c r="A711" i="15" s="1"/>
  <c r="AI710" i="15"/>
  <c r="AB710" i="15"/>
  <c r="X710" i="15"/>
  <c r="H710" i="15"/>
  <c r="G710" i="15"/>
  <c r="C710" i="15"/>
  <c r="B710" i="15"/>
  <c r="A710" i="15" s="1"/>
  <c r="AI709" i="15"/>
  <c r="AB709" i="15"/>
  <c r="X709" i="15"/>
  <c r="H709" i="15"/>
  <c r="G709" i="15"/>
  <c r="C709" i="15"/>
  <c r="B709" i="15"/>
  <c r="A709" i="15" s="1"/>
  <c r="AI708" i="15"/>
  <c r="AB708" i="15"/>
  <c r="X708" i="15"/>
  <c r="H708" i="15"/>
  <c r="G708" i="15"/>
  <c r="C708" i="15"/>
  <c r="B708" i="15"/>
  <c r="A708" i="15" s="1"/>
  <c r="AI707" i="15"/>
  <c r="AB707" i="15"/>
  <c r="X707" i="15"/>
  <c r="H707" i="15"/>
  <c r="G707" i="15"/>
  <c r="C707" i="15"/>
  <c r="B707" i="15"/>
  <c r="A707" i="15" s="1"/>
  <c r="AI706" i="15"/>
  <c r="AB706" i="15"/>
  <c r="X706" i="15"/>
  <c r="H706" i="15"/>
  <c r="G706" i="15"/>
  <c r="C706" i="15"/>
  <c r="B706" i="15"/>
  <c r="A706" i="15" s="1"/>
  <c r="AI705" i="15"/>
  <c r="AB705" i="15"/>
  <c r="X705" i="15"/>
  <c r="H705" i="15"/>
  <c r="G705" i="15"/>
  <c r="C705" i="15"/>
  <c r="B705" i="15"/>
  <c r="A705" i="15" s="1"/>
  <c r="AI704" i="15"/>
  <c r="AB704" i="15"/>
  <c r="X704" i="15"/>
  <c r="H704" i="15"/>
  <c r="G704" i="15"/>
  <c r="C704" i="15"/>
  <c r="B704" i="15"/>
  <c r="A704" i="15" s="1"/>
  <c r="AI703" i="15"/>
  <c r="AB703" i="15"/>
  <c r="X703" i="15"/>
  <c r="H703" i="15"/>
  <c r="G703" i="15"/>
  <c r="C703" i="15"/>
  <c r="B703" i="15"/>
  <c r="A703" i="15" s="1"/>
  <c r="AI702" i="15"/>
  <c r="AB702" i="15"/>
  <c r="X702" i="15"/>
  <c r="H702" i="15"/>
  <c r="G702" i="15"/>
  <c r="C702" i="15"/>
  <c r="B702" i="15"/>
  <c r="A702" i="15" s="1"/>
  <c r="AI701" i="15"/>
  <c r="AB701" i="15"/>
  <c r="X701" i="15"/>
  <c r="H701" i="15"/>
  <c r="G701" i="15"/>
  <c r="C701" i="15"/>
  <c r="B701" i="15"/>
  <c r="A701" i="15" s="1"/>
  <c r="AI700" i="15"/>
  <c r="AB700" i="15"/>
  <c r="X700" i="15"/>
  <c r="H700" i="15"/>
  <c r="G700" i="15"/>
  <c r="C700" i="15"/>
  <c r="B700" i="15"/>
  <c r="A700" i="15" s="1"/>
  <c r="AI699" i="15"/>
  <c r="AB699" i="15"/>
  <c r="X699" i="15"/>
  <c r="H699" i="15"/>
  <c r="G699" i="15"/>
  <c r="C699" i="15"/>
  <c r="B699" i="15"/>
  <c r="A699" i="15" s="1"/>
  <c r="AI698" i="15"/>
  <c r="AB698" i="15"/>
  <c r="X698" i="15"/>
  <c r="H698" i="15"/>
  <c r="G698" i="15"/>
  <c r="C698" i="15"/>
  <c r="B698" i="15"/>
  <c r="A698" i="15" s="1"/>
  <c r="AI697" i="15"/>
  <c r="AB697" i="15"/>
  <c r="X697" i="15"/>
  <c r="H697" i="15"/>
  <c r="G697" i="15"/>
  <c r="C697" i="15"/>
  <c r="B697" i="15"/>
  <c r="A697" i="15" s="1"/>
  <c r="AI696" i="15"/>
  <c r="AB696" i="15"/>
  <c r="X696" i="15"/>
  <c r="H696" i="15"/>
  <c r="G696" i="15"/>
  <c r="C696" i="15"/>
  <c r="B696" i="15"/>
  <c r="A696" i="15" s="1"/>
  <c r="AI695" i="15"/>
  <c r="AB695" i="15"/>
  <c r="X695" i="15"/>
  <c r="H695" i="15"/>
  <c r="G695" i="15"/>
  <c r="C695" i="15"/>
  <c r="B695" i="15"/>
  <c r="A695" i="15" s="1"/>
  <c r="AI694" i="15"/>
  <c r="AB694" i="15"/>
  <c r="X694" i="15"/>
  <c r="H694" i="15"/>
  <c r="G694" i="15"/>
  <c r="C694" i="15"/>
  <c r="B694" i="15"/>
  <c r="A694" i="15" s="1"/>
  <c r="AI693" i="15"/>
  <c r="AB693" i="15"/>
  <c r="X693" i="15"/>
  <c r="H693" i="15"/>
  <c r="G693" i="15"/>
  <c r="C693" i="15"/>
  <c r="B693" i="15"/>
  <c r="A693" i="15" s="1"/>
  <c r="AI692" i="15"/>
  <c r="AB692" i="15"/>
  <c r="X692" i="15"/>
  <c r="H692" i="15"/>
  <c r="G692" i="15"/>
  <c r="C692" i="15"/>
  <c r="B692" i="15"/>
  <c r="A692" i="15" s="1"/>
  <c r="AI691" i="15"/>
  <c r="AB691" i="15"/>
  <c r="X691" i="15"/>
  <c r="H691" i="15"/>
  <c r="G691" i="15"/>
  <c r="C691" i="15"/>
  <c r="B691" i="15"/>
  <c r="A691" i="15" s="1"/>
  <c r="AI690" i="15"/>
  <c r="AB690" i="15"/>
  <c r="X690" i="15"/>
  <c r="H690" i="15"/>
  <c r="G690" i="15"/>
  <c r="C690" i="15"/>
  <c r="B690" i="15"/>
  <c r="A690" i="15" s="1"/>
  <c r="AI689" i="15"/>
  <c r="AB689" i="15"/>
  <c r="X689" i="15"/>
  <c r="H689" i="15"/>
  <c r="G689" i="15"/>
  <c r="C689" i="15"/>
  <c r="B689" i="15"/>
  <c r="A689" i="15" s="1"/>
  <c r="AI688" i="15"/>
  <c r="AB688" i="15"/>
  <c r="X688" i="15"/>
  <c r="H688" i="15"/>
  <c r="G688" i="15"/>
  <c r="C688" i="15"/>
  <c r="B688" i="15"/>
  <c r="A688" i="15" s="1"/>
  <c r="AI687" i="15"/>
  <c r="AB687" i="15"/>
  <c r="X687" i="15"/>
  <c r="H687" i="15"/>
  <c r="G687" i="15"/>
  <c r="C687" i="15"/>
  <c r="B687" i="15"/>
  <c r="A687" i="15" s="1"/>
  <c r="AI686" i="15"/>
  <c r="AB686" i="15"/>
  <c r="X686" i="15"/>
  <c r="H686" i="15"/>
  <c r="G686" i="15"/>
  <c r="C686" i="15"/>
  <c r="B686" i="15"/>
  <c r="A686" i="15" s="1"/>
  <c r="AI685" i="15"/>
  <c r="AB685" i="15"/>
  <c r="X685" i="15"/>
  <c r="H685" i="15"/>
  <c r="G685" i="15"/>
  <c r="C685" i="15"/>
  <c r="B685" i="15"/>
  <c r="A685" i="15" s="1"/>
  <c r="AI684" i="15"/>
  <c r="AB684" i="15"/>
  <c r="X684" i="15"/>
  <c r="H684" i="15"/>
  <c r="G684" i="15"/>
  <c r="C684" i="15"/>
  <c r="B684" i="15"/>
  <c r="A684" i="15" s="1"/>
  <c r="AI683" i="15"/>
  <c r="AB683" i="15"/>
  <c r="X683" i="15"/>
  <c r="H683" i="15"/>
  <c r="G683" i="15"/>
  <c r="C683" i="15"/>
  <c r="B683" i="15"/>
  <c r="A683" i="15" s="1"/>
  <c r="AI681" i="15"/>
  <c r="AB681" i="15"/>
  <c r="X681" i="15"/>
  <c r="H681" i="15"/>
  <c r="G681" i="15"/>
  <c r="C681" i="15"/>
  <c r="B681" i="15"/>
  <c r="A681" i="15" s="1"/>
  <c r="AI680" i="15"/>
  <c r="AB680" i="15"/>
  <c r="X680" i="15"/>
  <c r="H680" i="15"/>
  <c r="G680" i="15"/>
  <c r="D680" i="15"/>
  <c r="C680" i="15"/>
  <c r="B680" i="15"/>
  <c r="A680" i="15" s="1"/>
  <c r="AI679" i="15"/>
  <c r="AB679" i="15"/>
  <c r="X679" i="15"/>
  <c r="H679" i="15"/>
  <c r="G679" i="15"/>
  <c r="D679" i="15"/>
  <c r="C679" i="15"/>
  <c r="B679" i="15"/>
  <c r="A679" i="15" s="1"/>
  <c r="AI678" i="15"/>
  <c r="AB678" i="15"/>
  <c r="X678" i="15"/>
  <c r="H678" i="15"/>
  <c r="G678" i="15"/>
  <c r="D678" i="15"/>
  <c r="C678" i="15"/>
  <c r="B678" i="15"/>
  <c r="A678" i="15" s="1"/>
  <c r="AI677" i="15"/>
  <c r="AB677" i="15"/>
  <c r="X677" i="15"/>
  <c r="H677" i="15"/>
  <c r="G677" i="15"/>
  <c r="D677" i="15"/>
  <c r="C677" i="15"/>
  <c r="B677" i="15"/>
  <c r="A677" i="15" s="1"/>
  <c r="AI676" i="15"/>
  <c r="AB676" i="15"/>
  <c r="X676" i="15"/>
  <c r="H676" i="15"/>
  <c r="G676" i="15"/>
  <c r="D676" i="15"/>
  <c r="C676" i="15"/>
  <c r="B676" i="15"/>
  <c r="A676" i="15" s="1"/>
  <c r="AI675" i="15"/>
  <c r="AB675" i="15"/>
  <c r="X675" i="15"/>
  <c r="H675" i="15"/>
  <c r="G675" i="15"/>
  <c r="D675" i="15"/>
  <c r="C675" i="15"/>
  <c r="B675" i="15"/>
  <c r="A675" i="15" s="1"/>
  <c r="AI674" i="15"/>
  <c r="AB674" i="15"/>
  <c r="X674" i="15"/>
  <c r="H674" i="15"/>
  <c r="G674" i="15"/>
  <c r="C674" i="15"/>
  <c r="B674" i="15"/>
  <c r="A674" i="15" s="1"/>
  <c r="AI673" i="15"/>
  <c r="AB673" i="15"/>
  <c r="X673" i="15"/>
  <c r="H673" i="15"/>
  <c r="G673" i="15"/>
  <c r="C673" i="15"/>
  <c r="B673" i="15"/>
  <c r="A673" i="15" s="1"/>
  <c r="AI672" i="15"/>
  <c r="AB672" i="15"/>
  <c r="X672" i="15"/>
  <c r="H672" i="15"/>
  <c r="G672" i="15"/>
  <c r="C672" i="15"/>
  <c r="B672" i="15"/>
  <c r="A672" i="15" s="1"/>
  <c r="AI671" i="15"/>
  <c r="AB671" i="15"/>
  <c r="X671" i="15"/>
  <c r="H671" i="15"/>
  <c r="G671" i="15"/>
  <c r="C671" i="15"/>
  <c r="B671" i="15"/>
  <c r="A671" i="15" s="1"/>
  <c r="AI670" i="15"/>
  <c r="AB670" i="15"/>
  <c r="X670" i="15"/>
  <c r="H670" i="15"/>
  <c r="G670" i="15"/>
  <c r="C670" i="15"/>
  <c r="B670" i="15"/>
  <c r="A670" i="15" s="1"/>
  <c r="AI669" i="15"/>
  <c r="AB669" i="15"/>
  <c r="X669" i="15"/>
  <c r="H669" i="15"/>
  <c r="G669" i="15"/>
  <c r="C669" i="15"/>
  <c r="B669" i="15"/>
  <c r="A669" i="15" s="1"/>
  <c r="AI666" i="15"/>
  <c r="X666" i="15"/>
  <c r="H666" i="15"/>
  <c r="G666" i="15"/>
  <c r="C666" i="15"/>
  <c r="B666" i="15"/>
  <c r="A666" i="15" s="1"/>
  <c r="AI665" i="15"/>
  <c r="AB665" i="15"/>
  <c r="X665" i="15"/>
  <c r="H665" i="15"/>
  <c r="G665" i="15"/>
  <c r="C665" i="15"/>
  <c r="B665" i="15"/>
  <c r="A665" i="15" s="1"/>
  <c r="AI664" i="15"/>
  <c r="AB664" i="15"/>
  <c r="X664" i="15"/>
  <c r="H664" i="15"/>
  <c r="G664" i="15"/>
  <c r="D664" i="15"/>
  <c r="C664" i="15"/>
  <c r="B664" i="15"/>
  <c r="A664" i="15" s="1"/>
  <c r="AI663" i="15"/>
  <c r="AB663" i="15"/>
  <c r="X663" i="15"/>
  <c r="H663" i="15"/>
  <c r="G663" i="15"/>
  <c r="C663" i="15"/>
  <c r="B663" i="15"/>
  <c r="A663" i="15" s="1"/>
  <c r="AI662" i="15"/>
  <c r="AB662" i="15"/>
  <c r="X662" i="15"/>
  <c r="H662" i="15"/>
  <c r="G662" i="15"/>
  <c r="C662" i="15"/>
  <c r="B662" i="15"/>
  <c r="A662" i="15" s="1"/>
  <c r="AI661" i="15"/>
  <c r="AB661" i="15"/>
  <c r="X661" i="15"/>
  <c r="H661" i="15"/>
  <c r="G661" i="15"/>
  <c r="C661" i="15"/>
  <c r="B661" i="15"/>
  <c r="A661" i="15" s="1"/>
  <c r="AI660" i="15"/>
  <c r="AB660" i="15"/>
  <c r="X660" i="15"/>
  <c r="H660" i="15"/>
  <c r="G660" i="15"/>
  <c r="C660" i="15"/>
  <c r="B660" i="15"/>
  <c r="A660" i="15" s="1"/>
  <c r="AI659" i="15"/>
  <c r="AB659" i="15"/>
  <c r="X659" i="15"/>
  <c r="H659" i="15"/>
  <c r="G659" i="15"/>
  <c r="C659" i="15"/>
  <c r="B659" i="15"/>
  <c r="A659" i="15" s="1"/>
  <c r="AI658" i="15"/>
  <c r="AB658" i="15"/>
  <c r="X658" i="15"/>
  <c r="H658" i="15"/>
  <c r="G658" i="15"/>
  <c r="C658" i="15"/>
  <c r="B658" i="15"/>
  <c r="A658" i="15" s="1"/>
  <c r="AI657" i="15"/>
  <c r="AB657" i="15"/>
  <c r="X657" i="15"/>
  <c r="H657" i="15"/>
  <c r="G657" i="15"/>
  <c r="C657" i="15"/>
  <c r="B657" i="15"/>
  <c r="A657" i="15" s="1"/>
  <c r="AI656" i="15"/>
  <c r="AB656" i="15"/>
  <c r="X656" i="15"/>
  <c r="H656" i="15"/>
  <c r="G656" i="15"/>
  <c r="C656" i="15"/>
  <c r="B656" i="15"/>
  <c r="A656" i="15" s="1"/>
  <c r="AI655" i="15"/>
  <c r="X655" i="15"/>
  <c r="H655" i="15"/>
  <c r="G655" i="15"/>
  <c r="C655" i="15"/>
  <c r="B655" i="15"/>
  <c r="A655" i="15" s="1"/>
  <c r="AI654" i="15"/>
  <c r="AB654" i="15"/>
  <c r="X654" i="15"/>
  <c r="H654" i="15"/>
  <c r="G654" i="15"/>
  <c r="C654" i="15"/>
  <c r="B654" i="15"/>
  <c r="A654" i="15" s="1"/>
  <c r="AI653" i="15"/>
  <c r="AB653" i="15"/>
  <c r="X653" i="15"/>
  <c r="H653" i="15"/>
  <c r="G653" i="15"/>
  <c r="C653" i="15"/>
  <c r="B653" i="15"/>
  <c r="A653" i="15" s="1"/>
  <c r="AI652" i="15"/>
  <c r="AB652" i="15"/>
  <c r="X652" i="15"/>
  <c r="H652" i="15"/>
  <c r="G652" i="15"/>
  <c r="C652" i="15"/>
  <c r="B652" i="15"/>
  <c r="A652" i="15" s="1"/>
  <c r="AI651" i="15"/>
  <c r="AB651" i="15"/>
  <c r="X651" i="15"/>
  <c r="H651" i="15"/>
  <c r="G651" i="15"/>
  <c r="C651" i="15"/>
  <c r="B651" i="15"/>
  <c r="A651" i="15" s="1"/>
  <c r="AI650" i="15"/>
  <c r="AB650" i="15"/>
  <c r="X650" i="15"/>
  <c r="H650" i="15"/>
  <c r="G650" i="15"/>
  <c r="C650" i="15"/>
  <c r="B650" i="15"/>
  <c r="A650" i="15" s="1"/>
  <c r="AI649" i="15"/>
  <c r="AB649" i="15"/>
  <c r="X649" i="15"/>
  <c r="H649" i="15"/>
  <c r="G649" i="15"/>
  <c r="C649" i="15"/>
  <c r="B649" i="15"/>
  <c r="A649" i="15" s="1"/>
  <c r="AI648" i="15"/>
  <c r="AB648" i="15"/>
  <c r="X648" i="15"/>
  <c r="H648" i="15"/>
  <c r="G648" i="15"/>
  <c r="C648" i="15"/>
  <c r="B648" i="15"/>
  <c r="A648" i="15" s="1"/>
  <c r="AI647" i="15"/>
  <c r="AB647" i="15"/>
  <c r="X647" i="15"/>
  <c r="H647" i="15"/>
  <c r="G647" i="15"/>
  <c r="C647" i="15"/>
  <c r="B647" i="15"/>
  <c r="A647" i="15" s="1"/>
  <c r="AI646" i="15"/>
  <c r="AB646" i="15"/>
  <c r="X646" i="15"/>
  <c r="H646" i="15"/>
  <c r="G646" i="15"/>
  <c r="C646" i="15"/>
  <c r="B646" i="15"/>
  <c r="A646" i="15" s="1"/>
  <c r="AI645" i="15"/>
  <c r="AB645" i="15"/>
  <c r="X645" i="15"/>
  <c r="H645" i="15"/>
  <c r="G645" i="15"/>
  <c r="C645" i="15"/>
  <c r="B645" i="15"/>
  <c r="A645" i="15" s="1"/>
  <c r="AI644" i="15"/>
  <c r="AB644" i="15"/>
  <c r="X644" i="15"/>
  <c r="H644" i="15"/>
  <c r="G644" i="15"/>
  <c r="C644" i="15"/>
  <c r="B644" i="15"/>
  <c r="A644" i="15" s="1"/>
  <c r="AI643" i="15"/>
  <c r="AB643" i="15"/>
  <c r="X643" i="15"/>
  <c r="H643" i="15"/>
  <c r="G643" i="15"/>
  <c r="C643" i="15"/>
  <c r="B643" i="15"/>
  <c r="A643" i="15" s="1"/>
  <c r="AI642" i="15"/>
  <c r="AB642" i="15"/>
  <c r="X642" i="15"/>
  <c r="H642" i="15"/>
  <c r="G642" i="15"/>
  <c r="C642" i="15"/>
  <c r="B642" i="15"/>
  <c r="A642" i="15" s="1"/>
  <c r="AI641" i="15"/>
  <c r="AB641" i="15"/>
  <c r="X641" i="15"/>
  <c r="H641" i="15"/>
  <c r="G641" i="15"/>
  <c r="C641" i="15"/>
  <c r="B641" i="15"/>
  <c r="A641" i="15" s="1"/>
  <c r="AI640" i="15"/>
  <c r="AB640" i="15"/>
  <c r="X640" i="15"/>
  <c r="H640" i="15"/>
  <c r="G640" i="15"/>
  <c r="C640" i="15"/>
  <c r="B640" i="15"/>
  <c r="A640" i="15" s="1"/>
  <c r="AI639" i="15"/>
  <c r="AB639" i="15"/>
  <c r="X639" i="15"/>
  <c r="H639" i="15"/>
  <c r="G639" i="15"/>
  <c r="C639" i="15"/>
  <c r="B639" i="15"/>
  <c r="A639" i="15" s="1"/>
  <c r="AI638" i="15"/>
  <c r="AB638" i="15"/>
  <c r="X638" i="15"/>
  <c r="H638" i="15"/>
  <c r="G638" i="15"/>
  <c r="C638" i="15"/>
  <c r="B638" i="15"/>
  <c r="A638" i="15" s="1"/>
  <c r="AI637" i="15"/>
  <c r="AB637" i="15"/>
  <c r="X637" i="15"/>
  <c r="H637" i="15"/>
  <c r="G637" i="15"/>
  <c r="C637" i="15"/>
  <c r="B637" i="15"/>
  <c r="A637" i="15" s="1"/>
  <c r="AI636" i="15"/>
  <c r="AB636" i="15"/>
  <c r="X636" i="15"/>
  <c r="H636" i="15"/>
  <c r="G636" i="15"/>
  <c r="C636" i="15"/>
  <c r="B636" i="15"/>
  <c r="A636" i="15" s="1"/>
  <c r="AI635" i="15"/>
  <c r="AB635" i="15"/>
  <c r="H635" i="15"/>
  <c r="G635" i="15"/>
  <c r="C635" i="15"/>
  <c r="B635" i="15"/>
  <c r="A635" i="15" s="1"/>
  <c r="AI634" i="15"/>
  <c r="AB634" i="15"/>
  <c r="H634" i="15"/>
  <c r="G634" i="15"/>
  <c r="C634" i="15"/>
  <c r="B634" i="15"/>
  <c r="A634" i="15" s="1"/>
  <c r="AI633" i="15"/>
  <c r="AB633" i="15"/>
  <c r="H633" i="15"/>
  <c r="G633" i="15"/>
  <c r="C633" i="15"/>
  <c r="B633" i="15"/>
  <c r="A633" i="15" s="1"/>
  <c r="AI632" i="15"/>
  <c r="AB632" i="15"/>
  <c r="H632" i="15"/>
  <c r="G632" i="15"/>
  <c r="C632" i="15"/>
  <c r="B632" i="15"/>
  <c r="A632" i="15" s="1"/>
  <c r="AI631" i="15"/>
  <c r="AB631" i="15"/>
  <c r="H631" i="15"/>
  <c r="G631" i="15"/>
  <c r="C631" i="15"/>
  <c r="B631" i="15"/>
  <c r="A631" i="15" s="1"/>
  <c r="AI630" i="15"/>
  <c r="AB630" i="15"/>
  <c r="H630" i="15"/>
  <c r="G630" i="15"/>
  <c r="C630" i="15"/>
  <c r="B630" i="15"/>
  <c r="A630" i="15" s="1"/>
  <c r="AI629" i="15"/>
  <c r="AB629" i="15"/>
  <c r="H629" i="15"/>
  <c r="G629" i="15"/>
  <c r="C629" i="15"/>
  <c r="B629" i="15"/>
  <c r="A629" i="15" s="1"/>
  <c r="AI628" i="15"/>
  <c r="AB628" i="15"/>
  <c r="X628" i="15"/>
  <c r="H628" i="15"/>
  <c r="G628" i="15"/>
  <c r="C628" i="15"/>
  <c r="B628" i="15"/>
  <c r="A628" i="15" s="1"/>
  <c r="AI615" i="15"/>
  <c r="AB615" i="15"/>
  <c r="H615" i="15"/>
  <c r="G615" i="15"/>
  <c r="C615" i="15"/>
  <c r="B615" i="15"/>
  <c r="A615" i="15" s="1"/>
  <c r="AI612" i="15"/>
  <c r="AB612" i="15"/>
  <c r="H612" i="15"/>
  <c r="G612" i="15"/>
  <c r="C612" i="15"/>
  <c r="B612" i="15"/>
  <c r="A612" i="15" s="1"/>
  <c r="AI609" i="15"/>
  <c r="AB609" i="15"/>
  <c r="H609" i="15"/>
  <c r="G609" i="15"/>
  <c r="C609" i="15"/>
  <c r="B609" i="15"/>
  <c r="A609" i="15" s="1"/>
  <c r="AI606" i="15"/>
  <c r="AB606" i="15"/>
  <c r="H606" i="15"/>
  <c r="G606" i="15"/>
  <c r="C606" i="15"/>
  <c r="B606" i="15"/>
  <c r="A606" i="15" s="1"/>
  <c r="AI605" i="15"/>
  <c r="AB605" i="15"/>
  <c r="X605" i="15"/>
  <c r="H605" i="15"/>
  <c r="G605" i="15"/>
  <c r="C605" i="15"/>
  <c r="B605" i="15"/>
  <c r="A605" i="15" s="1"/>
  <c r="AI604" i="15"/>
  <c r="AB604" i="15"/>
  <c r="H604" i="15"/>
  <c r="G604" i="15"/>
  <c r="C604" i="15"/>
  <c r="B604" i="15"/>
  <c r="A604" i="15" s="1"/>
  <c r="AI603" i="15"/>
  <c r="AB603" i="15"/>
  <c r="H603" i="15"/>
  <c r="G603" i="15"/>
  <c r="C603" i="15"/>
  <c r="B603" i="15"/>
  <c r="A603" i="15" s="1"/>
  <c r="AI602" i="15"/>
  <c r="AB602" i="15"/>
  <c r="H602" i="15"/>
  <c r="G602" i="15"/>
  <c r="C602" i="15"/>
  <c r="B602" i="15"/>
  <c r="A602" i="15" s="1"/>
  <c r="AI601" i="15"/>
  <c r="AB601" i="15"/>
  <c r="H601" i="15"/>
  <c r="G601" i="15"/>
  <c r="C601" i="15"/>
  <c r="B601" i="15"/>
  <c r="A601" i="15" s="1"/>
  <c r="AI600" i="15"/>
  <c r="AB600" i="15"/>
  <c r="H600" i="15"/>
  <c r="G600" i="15"/>
  <c r="C600" i="15"/>
  <c r="B600" i="15"/>
  <c r="A600" i="15" s="1"/>
  <c r="AI599" i="15"/>
  <c r="AB599" i="15"/>
  <c r="H599" i="15"/>
  <c r="G599" i="15"/>
  <c r="C599" i="15"/>
  <c r="B599" i="15"/>
  <c r="A599" i="15" s="1"/>
  <c r="AI598" i="15"/>
  <c r="AB598" i="15"/>
  <c r="H598" i="15"/>
  <c r="G598" i="15"/>
  <c r="C598" i="15"/>
  <c r="B598" i="15"/>
  <c r="A598" i="15" s="1"/>
  <c r="AI597" i="15"/>
  <c r="AB597" i="15"/>
  <c r="H597" i="15"/>
  <c r="G597" i="15"/>
  <c r="C597" i="15"/>
  <c r="B597" i="15"/>
  <c r="A597" i="15" s="1"/>
  <c r="AI596" i="15"/>
  <c r="AB596" i="15"/>
  <c r="H596" i="15"/>
  <c r="G596" i="15"/>
  <c r="C596" i="15"/>
  <c r="B596" i="15"/>
  <c r="A596" i="15" s="1"/>
  <c r="AI595" i="15"/>
  <c r="AB595" i="15"/>
  <c r="H595" i="15"/>
  <c r="G595" i="15"/>
  <c r="C595" i="15"/>
  <c r="B595" i="15"/>
  <c r="A595" i="15" s="1"/>
  <c r="AI594" i="15"/>
  <c r="AB594" i="15"/>
  <c r="H594" i="15"/>
  <c r="G594" i="15"/>
  <c r="C594" i="15"/>
  <c r="B594" i="15"/>
  <c r="A594" i="15" s="1"/>
  <c r="AI593" i="15"/>
  <c r="AB593" i="15"/>
  <c r="H593" i="15"/>
  <c r="G593" i="15"/>
  <c r="C593" i="15"/>
  <c r="B593" i="15"/>
  <c r="A593" i="15" s="1"/>
  <c r="AI592" i="15"/>
  <c r="AB592" i="15"/>
  <c r="H592" i="15"/>
  <c r="G592" i="15"/>
  <c r="C592" i="15"/>
  <c r="B592" i="15"/>
  <c r="A592" i="15" s="1"/>
  <c r="AI591" i="15"/>
  <c r="AB591" i="15"/>
  <c r="H591" i="15"/>
  <c r="G591" i="15"/>
  <c r="C591" i="15"/>
  <c r="B591" i="15"/>
  <c r="A591" i="15" s="1"/>
  <c r="DD347" i="2" l="1"/>
  <c r="AE667" i="15" s="1"/>
  <c r="AC667" i="15" s="1"/>
  <c r="I667" i="15"/>
  <c r="AN667" i="15" s="1"/>
  <c r="I668" i="15"/>
  <c r="AN668" i="15" s="1"/>
  <c r="I619" i="15"/>
  <c r="AN619" i="15" s="1"/>
  <c r="I618" i="15"/>
  <c r="AN618" i="15" s="1"/>
  <c r="DD98" i="2"/>
  <c r="DB98" i="2" s="1"/>
  <c r="AA618" i="15" s="1"/>
  <c r="DD99" i="2"/>
  <c r="DB99" i="2" s="1"/>
  <c r="AA619" i="15" s="1"/>
  <c r="DD348" i="2"/>
  <c r="AE668" i="15" s="1"/>
  <c r="AC668" i="15" s="1"/>
  <c r="I347" i="2"/>
  <c r="O667" i="15" s="1"/>
  <c r="W667" i="15" s="1"/>
  <c r="V667" i="15" s="1"/>
  <c r="U667" i="15" s="1"/>
  <c r="I348" i="2"/>
  <c r="O668" i="15" s="1"/>
  <c r="W668" i="15" s="1"/>
  <c r="V668" i="15" s="1"/>
  <c r="U668" i="15" s="1"/>
  <c r="I99" i="2"/>
  <c r="O619" i="15" s="1"/>
  <c r="W619" i="15" s="1"/>
  <c r="V619" i="15" s="1"/>
  <c r="U619" i="15" s="1"/>
  <c r="I98" i="2"/>
  <c r="O618" i="15" s="1"/>
  <c r="DB347" i="2" l="1"/>
  <c r="AA667" i="15" s="1"/>
  <c r="AO667" i="15"/>
  <c r="AO668" i="15"/>
  <c r="DB348" i="2"/>
  <c r="AA668" i="15" s="1"/>
  <c r="AO619" i="15"/>
  <c r="AE619" i="15"/>
  <c r="AC619" i="15" s="1"/>
  <c r="AO618" i="15"/>
  <c r="AE618" i="15"/>
  <c r="AC618" i="15" s="1"/>
  <c r="W618" i="15"/>
  <c r="V618" i="15" s="1"/>
  <c r="U618" i="15" s="1"/>
  <c r="AI92" i="15"/>
  <c r="AI90" i="15"/>
  <c r="AI88" i="15"/>
  <c r="AI86" i="15"/>
  <c r="AI84" i="15"/>
  <c r="AI82" i="15"/>
  <c r="AI381" i="15"/>
  <c r="AI382" i="15" s="1"/>
  <c r="AI383" i="15" s="1"/>
  <c r="AI397" i="15"/>
  <c r="AI396" i="15"/>
  <c r="AI395" i="15"/>
  <c r="AI394" i="15"/>
  <c r="AI393" i="15"/>
  <c r="AI392" i="15"/>
  <c r="AI391" i="15"/>
  <c r="AI390" i="15"/>
  <c r="AI424" i="15"/>
  <c r="AI423" i="15"/>
  <c r="AI422" i="15"/>
  <c r="AI421" i="15"/>
  <c r="AI420" i="15"/>
  <c r="AI415" i="15"/>
  <c r="AI414" i="15"/>
  <c r="AI412" i="15"/>
  <c r="AI441" i="15"/>
  <c r="AI440" i="15"/>
  <c r="AI466" i="15"/>
  <c r="AI465" i="15"/>
  <c r="AI464" i="15"/>
  <c r="AI462" i="15"/>
  <c r="AI461" i="15"/>
  <c r="AI460" i="15"/>
  <c r="AI459" i="15"/>
  <c r="AI458" i="15"/>
  <c r="AI457" i="15"/>
  <c r="AI456" i="15"/>
  <c r="AI455" i="15"/>
  <c r="AI454" i="15"/>
  <c r="AI453" i="15"/>
  <c r="AI452" i="15"/>
  <c r="AI451" i="15"/>
  <c r="AI449" i="15"/>
  <c r="AI448" i="15"/>
  <c r="AI447" i="15"/>
  <c r="AI446" i="15"/>
  <c r="AI445" i="15"/>
  <c r="AI444" i="15"/>
  <c r="AI443" i="15"/>
  <c r="AI544" i="15"/>
  <c r="AI558" i="15"/>
  <c r="AI557" i="15"/>
  <c r="AI554" i="15"/>
  <c r="AI553" i="15"/>
  <c r="AI552" i="15"/>
  <c r="AI551" i="15"/>
  <c r="AI550" i="15"/>
  <c r="AI549" i="15"/>
  <c r="AI548" i="15"/>
  <c r="AI547" i="15"/>
  <c r="AI546" i="15"/>
  <c r="AI545" i="15"/>
  <c r="AI563" i="15"/>
  <c r="AI562" i="15"/>
  <c r="AI564" i="15"/>
  <c r="AI580" i="15"/>
  <c r="AI543" i="15"/>
  <c r="AI542" i="15"/>
  <c r="AI532" i="15"/>
  <c r="AI533" i="15" s="1"/>
  <c r="AI534" i="15" s="1"/>
  <c r="AI535" i="15" s="1"/>
  <c r="AI536" i="15" s="1"/>
  <c r="AI537" i="15" s="1"/>
  <c r="AI538" i="15" s="1"/>
  <c r="AI539" i="15" s="1"/>
  <c r="AI540" i="15" s="1"/>
  <c r="AI541" i="15" s="1"/>
  <c r="AI384" i="15"/>
  <c r="AI385" i="15" s="1"/>
  <c r="AI373" i="15"/>
  <c r="AI374" i="15" s="1"/>
  <c r="AI375" i="15" s="1"/>
  <c r="AI376" i="15" s="1"/>
  <c r="AI377" i="15" s="1"/>
  <c r="AI378" i="15" s="1"/>
  <c r="AI343" i="15"/>
  <c r="AI344" i="15" s="1"/>
  <c r="AI345" i="15" s="1"/>
  <c r="AI346" i="15" s="1"/>
  <c r="AI347" i="15" s="1"/>
  <c r="AI348" i="15" s="1"/>
  <c r="AI349" i="15" s="1"/>
  <c r="AI350" i="15" s="1"/>
  <c r="AI351" i="15" s="1"/>
  <c r="AI352" i="15" s="1"/>
  <c r="AI353" i="15" s="1"/>
  <c r="AI354" i="15" s="1"/>
  <c r="AI355" i="15" s="1"/>
  <c r="AI356" i="15" s="1"/>
  <c r="AI357" i="15" s="1"/>
  <c r="AI358" i="15" s="1"/>
  <c r="AI359" i="15" s="1"/>
  <c r="AI360" i="15" s="1"/>
  <c r="AI361" i="15" s="1"/>
  <c r="AI362" i="15" s="1"/>
  <c r="AI363" i="15" s="1"/>
  <c r="AI364" i="15" s="1"/>
  <c r="AI365" i="15" s="1"/>
  <c r="AI366" i="15" s="1"/>
  <c r="AI367" i="15" s="1"/>
  <c r="AI368" i="15" s="1"/>
  <c r="AI369" i="15" s="1"/>
  <c r="AI370" i="15" s="1"/>
  <c r="AI371" i="15" s="1"/>
  <c r="AI372" i="15" s="1"/>
  <c r="AI335" i="15"/>
  <c r="AI336" i="15" s="1"/>
  <c r="AI337" i="15" s="1"/>
  <c r="AI338" i="15" s="1"/>
  <c r="AI339" i="15" s="1"/>
  <c r="AI340" i="15" s="1"/>
  <c r="AI341" i="15" s="1"/>
  <c r="AI342" i="15" s="1"/>
  <c r="AI380" i="15"/>
  <c r="AI379" i="15"/>
  <c r="AI69" i="15"/>
  <c r="AI68" i="15"/>
  <c r="AI65" i="15"/>
  <c r="AI35" i="15"/>
  <c r="AI33" i="15"/>
  <c r="AI31" i="15"/>
  <c r="AI30" i="15"/>
  <c r="AI29" i="15"/>
  <c r="AI28" i="15"/>
  <c r="AI27" i="15"/>
  <c r="AI26" i="15"/>
  <c r="AI25" i="15"/>
  <c r="AI24" i="15"/>
  <c r="AI23" i="15"/>
  <c r="AI22" i="15"/>
  <c r="AI21" i="15"/>
  <c r="AI20" i="15"/>
  <c r="AI19" i="15"/>
  <c r="AI16" i="15"/>
  <c r="AI15" i="15"/>
  <c r="AI14" i="15"/>
  <c r="AI13" i="15"/>
  <c r="AI12" i="15"/>
  <c r="AI11" i="15"/>
  <c r="AI10" i="15"/>
  <c r="AI9" i="15"/>
  <c r="AI588" i="15"/>
  <c r="AI587" i="15"/>
  <c r="AI586" i="15"/>
  <c r="AI585" i="15"/>
  <c r="AI584" i="15"/>
  <c r="AI583" i="15"/>
  <c r="AI582" i="15"/>
  <c r="AI571" i="15"/>
  <c r="AI570" i="15"/>
  <c r="AI569" i="15"/>
  <c r="AI568" i="15"/>
  <c r="AI567" i="15"/>
  <c r="AI566" i="15"/>
  <c r="AI565" i="15"/>
  <c r="AI527" i="15"/>
  <c r="AI526" i="15"/>
  <c r="AI525" i="15"/>
  <c r="AI524" i="15"/>
  <c r="AI523" i="15"/>
  <c r="AI506" i="15"/>
  <c r="AI505" i="15"/>
  <c r="AI504" i="15"/>
  <c r="AI503" i="15"/>
  <c r="AI502" i="15"/>
  <c r="AI501" i="15"/>
  <c r="AI500" i="15"/>
  <c r="AI499" i="15"/>
  <c r="AI498" i="15"/>
  <c r="AI497" i="15"/>
  <c r="AI496" i="15"/>
  <c r="AI495" i="15"/>
  <c r="AI494" i="15"/>
  <c r="AI493" i="15"/>
  <c r="AI492" i="15"/>
  <c r="AI491" i="15"/>
  <c r="AI490" i="15"/>
  <c r="AI489" i="15"/>
  <c r="AI488" i="15"/>
  <c r="AI487" i="15"/>
  <c r="AI486" i="15"/>
  <c r="AI485" i="15"/>
  <c r="AI484" i="15"/>
  <c r="AI483" i="15"/>
  <c r="AI482" i="15"/>
  <c r="AI481" i="15"/>
  <c r="AI479" i="15"/>
  <c r="AI478" i="15"/>
  <c r="AI476" i="15"/>
  <c r="AI475" i="15"/>
  <c r="AI473" i="15"/>
  <c r="AI472" i="15"/>
  <c r="AI470" i="15"/>
  <c r="AI442" i="15"/>
  <c r="AI439" i="15"/>
  <c r="AI438" i="15"/>
  <c r="AI437" i="15"/>
  <c r="AI436" i="15"/>
  <c r="AI435" i="15"/>
  <c r="AI434" i="15"/>
  <c r="AI433" i="15"/>
  <c r="AI432" i="15"/>
  <c r="AI431" i="15"/>
  <c r="AI430" i="15"/>
  <c r="AI429" i="15"/>
  <c r="AI428" i="15"/>
  <c r="AI427" i="15"/>
  <c r="AI426" i="15"/>
  <c r="AI425" i="15"/>
  <c r="AI408" i="15"/>
  <c r="AI407" i="15"/>
  <c r="AI406" i="15"/>
  <c r="AI405" i="15"/>
  <c r="AI404" i="15"/>
  <c r="AI403" i="15"/>
  <c r="AI402" i="15"/>
  <c r="AI401" i="15"/>
  <c r="AI400" i="15"/>
  <c r="AI399" i="15"/>
  <c r="AI398" i="15"/>
  <c r="AI331" i="15"/>
  <c r="AI330" i="15"/>
  <c r="AI329" i="15"/>
  <c r="AI328" i="15"/>
  <c r="AI327" i="15"/>
  <c r="AI326" i="15"/>
  <c r="AI325" i="15"/>
  <c r="AI324" i="15"/>
  <c r="AI323" i="15"/>
  <c r="AI322" i="15"/>
  <c r="AI321" i="15"/>
  <c r="AI320" i="15"/>
  <c r="AI106" i="15"/>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AI135" i="15" s="1"/>
  <c r="AI136" i="15" s="1"/>
  <c r="AI137" i="15" s="1"/>
  <c r="AI138" i="15" s="1"/>
  <c r="AI139" i="15" s="1"/>
  <c r="AI140" i="15" s="1"/>
  <c r="AI141" i="15" s="1"/>
  <c r="AI142" i="15" s="1"/>
  <c r="AI143" i="15" s="1"/>
  <c r="AI144" i="15" s="1"/>
  <c r="AI145" i="15" s="1"/>
  <c r="AI146" i="15" s="1"/>
  <c r="AI147" i="15" s="1"/>
  <c r="AI148" i="15" s="1"/>
  <c r="AI149" i="15" s="1"/>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AI169" i="15" s="1"/>
  <c r="AI170" i="15" s="1"/>
  <c r="AI171" i="15" s="1"/>
  <c r="AI172" i="15" s="1"/>
  <c r="AI173" i="15" s="1"/>
  <c r="AI174" i="15" s="1"/>
  <c r="AI175" i="15" s="1"/>
  <c r="AI176" i="15" s="1"/>
  <c r="AI177" i="15" s="1"/>
  <c r="AI178" i="15" s="1"/>
  <c r="AI179" i="15" s="1"/>
  <c r="AI180" i="15" s="1"/>
  <c r="AI181" i="15" s="1"/>
  <c r="AI182" i="15" s="1"/>
  <c r="AI183" i="15" s="1"/>
  <c r="AI184" i="15" s="1"/>
  <c r="AI185" i="15" s="1"/>
  <c r="AI186" i="15" s="1"/>
  <c r="AI187" i="15" s="1"/>
  <c r="AI188" i="15" s="1"/>
  <c r="AI189" i="15" s="1"/>
  <c r="AI190" i="15" s="1"/>
  <c r="AI191" i="15" s="1"/>
  <c r="AI192" i="15" s="1"/>
  <c r="AI193" i="15" s="1"/>
  <c r="AI194" i="15" s="1"/>
  <c r="AI195" i="15" s="1"/>
  <c r="AI196" i="15" s="1"/>
  <c r="AI197" i="15" s="1"/>
  <c r="AI198" i="15" s="1"/>
  <c r="AI199" i="15" s="1"/>
  <c r="AI200" i="15" s="1"/>
  <c r="AI201" i="15" s="1"/>
  <c r="AI202" i="15" s="1"/>
  <c r="AI203" i="15" s="1"/>
  <c r="AI204" i="15" s="1"/>
  <c r="AI205" i="15" s="1"/>
  <c r="AI206" i="15" s="1"/>
  <c r="AI207" i="15" s="1"/>
  <c r="AI208" i="15" s="1"/>
  <c r="AI209" i="15" s="1"/>
  <c r="AI210" i="15" s="1"/>
  <c r="AI211" i="15" s="1"/>
  <c r="AI212" i="15" s="1"/>
  <c r="AI213" i="15" s="1"/>
  <c r="AI104" i="15"/>
  <c r="AI103" i="15"/>
  <c r="AI101" i="15"/>
  <c r="AI100" i="15"/>
  <c r="AI98" i="15"/>
  <c r="AI96" i="15"/>
  <c r="AI94" i="15"/>
  <c r="AI77" i="15"/>
  <c r="AI76" i="15"/>
  <c r="AI75" i="15"/>
  <c r="AI72" i="15"/>
  <c r="AI71" i="15"/>
  <c r="AI70" i="15"/>
  <c r="AI64" i="15"/>
  <c r="AI63" i="15"/>
  <c r="AI62" i="15"/>
  <c r="AI61" i="15"/>
  <c r="AI59" i="15"/>
  <c r="AI58" i="15"/>
  <c r="AI57" i="15"/>
  <c r="AI56" i="15"/>
  <c r="AI55" i="15"/>
  <c r="AI54" i="15"/>
  <c r="AI53" i="15"/>
  <c r="AI52" i="15"/>
  <c r="AI51" i="15"/>
  <c r="AI49" i="15"/>
  <c r="AI48" i="15"/>
  <c r="AI47" i="15"/>
  <c r="AI46" i="15"/>
  <c r="AI45" i="15"/>
  <c r="AI44" i="15"/>
  <c r="AI43" i="15"/>
  <c r="AI42" i="15"/>
  <c r="AI41" i="15"/>
  <c r="AI40" i="15"/>
  <c r="AI39" i="15"/>
  <c r="AI38" i="15"/>
  <c r="AI37" i="15"/>
  <c r="AI36" i="15"/>
  <c r="AI388" i="15" l="1"/>
  <c r="AI389" i="15" s="1"/>
  <c r="AI386" i="15"/>
  <c r="AI387" i="15" s="1"/>
  <c r="V275" i="6"/>
  <c r="F464" i="7"/>
  <c r="J451" i="7" s="1"/>
  <c r="AD376" i="15"/>
  <c r="AD377" i="15"/>
  <c r="AD378" i="15"/>
  <c r="J376" i="15"/>
  <c r="J377" i="15"/>
  <c r="J378" i="15"/>
  <c r="H376" i="15"/>
  <c r="H377" i="15"/>
  <c r="H378" i="15"/>
  <c r="B376" i="15"/>
  <c r="A376" i="15" s="1"/>
  <c r="C376" i="15"/>
  <c r="B377" i="15"/>
  <c r="A377" i="15" s="1"/>
  <c r="C377" i="15"/>
  <c r="B378" i="15"/>
  <c r="A378" i="15" s="1"/>
  <c r="C378" i="15"/>
  <c r="G376" i="15"/>
  <c r="G377" i="15"/>
  <c r="G378" i="15"/>
  <c r="AD142" i="15"/>
  <c r="AD145" i="15"/>
  <c r="AD146" i="15"/>
  <c r="AD148" i="15"/>
  <c r="AD151" i="15"/>
  <c r="AD152" i="15"/>
  <c r="AD154" i="15"/>
  <c r="AD157" i="15"/>
  <c r="AD158" i="15"/>
  <c r="AD160" i="15"/>
  <c r="AD163" i="15"/>
  <c r="AD164" i="15"/>
  <c r="X158" i="15"/>
  <c r="Z158" i="15" s="1"/>
  <c r="X152" i="15"/>
  <c r="Z152" i="15" s="1"/>
  <c r="X146" i="15"/>
  <c r="Z146" i="15" s="1"/>
  <c r="X145" i="15"/>
  <c r="Z145" i="15" s="1"/>
  <c r="H164" i="15"/>
  <c r="H163" i="15"/>
  <c r="H162" i="15"/>
  <c r="H161" i="15"/>
  <c r="H160" i="15"/>
  <c r="H159" i="15"/>
  <c r="H158" i="15"/>
  <c r="H157" i="15"/>
  <c r="H156" i="15"/>
  <c r="H155" i="15"/>
  <c r="H154" i="15"/>
  <c r="H153" i="15"/>
  <c r="H152" i="15"/>
  <c r="H151" i="15"/>
  <c r="H150" i="15"/>
  <c r="H149" i="15"/>
  <c r="H148" i="15"/>
  <c r="H147" i="15"/>
  <c r="H146" i="15"/>
  <c r="H145" i="15"/>
  <c r="H144" i="15"/>
  <c r="H143" i="15"/>
  <c r="H142" i="15"/>
  <c r="H141" i="15"/>
  <c r="P142" i="15"/>
  <c r="P145" i="15"/>
  <c r="P146" i="15"/>
  <c r="P148" i="15"/>
  <c r="P151" i="15"/>
  <c r="P152" i="15"/>
  <c r="P154" i="15"/>
  <c r="P157" i="15"/>
  <c r="P158" i="15"/>
  <c r="P160" i="15"/>
  <c r="P163" i="15"/>
  <c r="P164" i="15"/>
  <c r="J145" i="15"/>
  <c r="J142" i="15"/>
  <c r="J146" i="15"/>
  <c r="J148" i="15"/>
  <c r="J151" i="15"/>
  <c r="J152" i="15"/>
  <c r="J154" i="15"/>
  <c r="J157" i="15"/>
  <c r="J158" i="15"/>
  <c r="J160" i="15"/>
  <c r="J163" i="15"/>
  <c r="J164" i="15"/>
  <c r="G142" i="15"/>
  <c r="G143" i="15"/>
  <c r="D162" i="15"/>
  <c r="D161" i="15"/>
  <c r="D159" i="15"/>
  <c r="D156" i="15"/>
  <c r="D155" i="15"/>
  <c r="D153" i="15"/>
  <c r="D150" i="15"/>
  <c r="D149" i="15"/>
  <c r="D147" i="15"/>
  <c r="D144" i="15"/>
  <c r="D143" i="15"/>
  <c r="D141" i="15"/>
  <c r="C164" i="15"/>
  <c r="C163" i="15"/>
  <c r="C162" i="15"/>
  <c r="C161" i="15"/>
  <c r="C160" i="15"/>
  <c r="C159" i="15"/>
  <c r="C158" i="15"/>
  <c r="C157" i="15"/>
  <c r="C156" i="15"/>
  <c r="C155" i="15"/>
  <c r="C154" i="15"/>
  <c r="C153" i="15"/>
  <c r="C152" i="15"/>
  <c r="C151" i="15"/>
  <c r="C150" i="15"/>
  <c r="C149" i="15"/>
  <c r="C148" i="15"/>
  <c r="C147" i="15"/>
  <c r="C146" i="15"/>
  <c r="C145" i="15"/>
  <c r="C144" i="15"/>
  <c r="C143" i="15"/>
  <c r="C142" i="15"/>
  <c r="C141" i="15"/>
  <c r="B141" i="15"/>
  <c r="A141" i="15" s="1"/>
  <c r="B142" i="15"/>
  <c r="A142" i="15" s="1"/>
  <c r="B143" i="15"/>
  <c r="A143" i="15" s="1"/>
  <c r="B144" i="15"/>
  <c r="A144" i="15" s="1"/>
  <c r="B145" i="15"/>
  <c r="A145" i="15" s="1"/>
  <c r="B146" i="15"/>
  <c r="A146" i="15" s="1"/>
  <c r="B147" i="15"/>
  <c r="A147" i="15" s="1"/>
  <c r="B148" i="15"/>
  <c r="A148" i="15" s="1"/>
  <c r="B149" i="15"/>
  <c r="A149" i="15" s="1"/>
  <c r="B150" i="15"/>
  <c r="A150" i="15" s="1"/>
  <c r="B151" i="15"/>
  <c r="A151" i="15" s="1"/>
  <c r="B152" i="15"/>
  <c r="A152" i="15" s="1"/>
  <c r="B153" i="15"/>
  <c r="A153" i="15" s="1"/>
  <c r="B154" i="15"/>
  <c r="A154" i="15" s="1"/>
  <c r="B155" i="15"/>
  <c r="A155" i="15" s="1"/>
  <c r="B156" i="15"/>
  <c r="A156" i="15" s="1"/>
  <c r="B157" i="15"/>
  <c r="A157" i="15" s="1"/>
  <c r="B158" i="15"/>
  <c r="A158" i="15" s="1"/>
  <c r="B159" i="15"/>
  <c r="A159" i="15" s="1"/>
  <c r="B160" i="15"/>
  <c r="A160" i="15" s="1"/>
  <c r="B161" i="15"/>
  <c r="A161" i="15" s="1"/>
  <c r="B162" i="15"/>
  <c r="A162" i="15" s="1"/>
  <c r="B163" i="15"/>
  <c r="A163" i="15" s="1"/>
  <c r="B164" i="15"/>
  <c r="A164" i="15" s="1"/>
  <c r="G155" i="15"/>
  <c r="G157" i="15"/>
  <c r="G159" i="15"/>
  <c r="G160" i="15"/>
  <c r="G161" i="15"/>
  <c r="G163" i="15"/>
  <c r="G151" i="15"/>
  <c r="G153" i="15"/>
  <c r="G154" i="15"/>
  <c r="G147" i="15"/>
  <c r="G148" i="15"/>
  <c r="G149" i="15"/>
  <c r="G141" i="15"/>
  <c r="G145" i="15"/>
  <c r="I240" i="6"/>
  <c r="I312" i="6" s="1"/>
  <c r="I384" i="6" s="1"/>
  <c r="I456" i="6" s="1"/>
  <c r="I528" i="6" s="1"/>
  <c r="I600" i="6" s="1"/>
  <c r="I673" i="6" s="1"/>
  <c r="I745" i="6" s="1"/>
  <c r="I241" i="6"/>
  <c r="I313" i="6" s="1"/>
  <c r="I385" i="6" s="1"/>
  <c r="I457" i="6" s="1"/>
  <c r="I529" i="6" s="1"/>
  <c r="I601" i="6" s="1"/>
  <c r="I674" i="6" s="1"/>
  <c r="I746" i="6" s="1"/>
  <c r="I242" i="6"/>
  <c r="I314" i="6" s="1"/>
  <c r="I386" i="6" s="1"/>
  <c r="I458" i="6" s="1"/>
  <c r="I530" i="6" s="1"/>
  <c r="I602" i="6" s="1"/>
  <c r="I675" i="6" s="1"/>
  <c r="I747" i="6" s="1"/>
  <c r="I243" i="6"/>
  <c r="I315" i="6" s="1"/>
  <c r="I387" i="6" s="1"/>
  <c r="I459" i="6" s="1"/>
  <c r="I531" i="6" s="1"/>
  <c r="I603" i="6" s="1"/>
  <c r="I676" i="6" s="1"/>
  <c r="I748" i="6" s="1"/>
  <c r="I244" i="6"/>
  <c r="I316" i="6" s="1"/>
  <c r="I388" i="6" s="1"/>
  <c r="I460" i="6" s="1"/>
  <c r="I532" i="6" s="1"/>
  <c r="I604" i="6" s="1"/>
  <c r="I677" i="6" s="1"/>
  <c r="I749" i="6" s="1"/>
  <c r="I245" i="6"/>
  <c r="I317" i="6" s="1"/>
  <c r="I389" i="6" s="1"/>
  <c r="I461" i="6" s="1"/>
  <c r="I533" i="6" s="1"/>
  <c r="I605" i="6" s="1"/>
  <c r="I678" i="6" s="1"/>
  <c r="I750" i="6" s="1"/>
  <c r="I246" i="6"/>
  <c r="I318" i="6" s="1"/>
  <c r="I390" i="6" s="1"/>
  <c r="I462" i="6" s="1"/>
  <c r="I534" i="6" s="1"/>
  <c r="I606" i="6" s="1"/>
  <c r="I679" i="6" s="1"/>
  <c r="I751" i="6" s="1"/>
  <c r="I247" i="6"/>
  <c r="I319" i="6" s="1"/>
  <c r="I391" i="6" s="1"/>
  <c r="I463" i="6" s="1"/>
  <c r="I535" i="6" s="1"/>
  <c r="I607" i="6" s="1"/>
  <c r="I680" i="6" s="1"/>
  <c r="I752" i="6" s="1"/>
  <c r="I248" i="6"/>
  <c r="I320" i="6" s="1"/>
  <c r="I392" i="6" s="1"/>
  <c r="I464" i="6" s="1"/>
  <c r="I536" i="6" s="1"/>
  <c r="I608" i="6" s="1"/>
  <c r="I681" i="6" s="1"/>
  <c r="I753" i="6" s="1"/>
  <c r="I249" i="6"/>
  <c r="I321" i="6" s="1"/>
  <c r="I393" i="6" s="1"/>
  <c r="I465" i="6" s="1"/>
  <c r="I537" i="6" s="1"/>
  <c r="I609" i="6" s="1"/>
  <c r="I682" i="6" s="1"/>
  <c r="I754" i="6" s="1"/>
  <c r="I250" i="6"/>
  <c r="I322" i="6" s="1"/>
  <c r="I394" i="6" s="1"/>
  <c r="I466" i="6" s="1"/>
  <c r="I538" i="6" s="1"/>
  <c r="I610" i="6" s="1"/>
  <c r="I683" i="6" s="1"/>
  <c r="I755" i="6" s="1"/>
  <c r="I251" i="6"/>
  <c r="I323" i="6" s="1"/>
  <c r="I395" i="6" s="1"/>
  <c r="I467" i="6" s="1"/>
  <c r="I539" i="6" s="1"/>
  <c r="I611" i="6" s="1"/>
  <c r="I684" i="6" s="1"/>
  <c r="I756" i="6" s="1"/>
  <c r="I252" i="6"/>
  <c r="I324" i="6" s="1"/>
  <c r="I396" i="6" s="1"/>
  <c r="I468" i="6" s="1"/>
  <c r="I540" i="6" s="1"/>
  <c r="I612" i="6" s="1"/>
  <c r="I685" i="6" s="1"/>
  <c r="I757" i="6" s="1"/>
  <c r="I253" i="6"/>
  <c r="I325" i="6" s="1"/>
  <c r="I397" i="6" s="1"/>
  <c r="I469" i="6" s="1"/>
  <c r="I541" i="6" s="1"/>
  <c r="I613" i="6" s="1"/>
  <c r="I686" i="6" s="1"/>
  <c r="I758" i="6" s="1"/>
  <c r="I254" i="6"/>
  <c r="I326" i="6" s="1"/>
  <c r="I398" i="6" s="1"/>
  <c r="I470" i="6" s="1"/>
  <c r="I542" i="6" s="1"/>
  <c r="I614" i="6" s="1"/>
  <c r="I687" i="6" s="1"/>
  <c r="I759" i="6" s="1"/>
  <c r="I255" i="6"/>
  <c r="I327" i="6" s="1"/>
  <c r="I399" i="6" s="1"/>
  <c r="I471" i="6" s="1"/>
  <c r="I543" i="6" s="1"/>
  <c r="I615" i="6" s="1"/>
  <c r="I688" i="6" s="1"/>
  <c r="I760" i="6" s="1"/>
  <c r="I256" i="6"/>
  <c r="I328" i="6" s="1"/>
  <c r="I400" i="6" s="1"/>
  <c r="I472" i="6" s="1"/>
  <c r="I544" i="6" s="1"/>
  <c r="I616" i="6" s="1"/>
  <c r="I689" i="6" s="1"/>
  <c r="I761" i="6" s="1"/>
  <c r="I257" i="6"/>
  <c r="I329" i="6" s="1"/>
  <c r="I401" i="6" s="1"/>
  <c r="I473" i="6" s="1"/>
  <c r="I545" i="6" s="1"/>
  <c r="I617" i="6" s="1"/>
  <c r="I690" i="6" s="1"/>
  <c r="I762" i="6" s="1"/>
  <c r="I258" i="6"/>
  <c r="I330" i="6" s="1"/>
  <c r="I402" i="6" s="1"/>
  <c r="I474" i="6" s="1"/>
  <c r="I546" i="6" s="1"/>
  <c r="I618" i="6" s="1"/>
  <c r="I691" i="6" s="1"/>
  <c r="I763" i="6" s="1"/>
  <c r="I259" i="6"/>
  <c r="I331" i="6" s="1"/>
  <c r="I403" i="6" s="1"/>
  <c r="I475" i="6" s="1"/>
  <c r="I547" i="6" s="1"/>
  <c r="I619" i="6" s="1"/>
  <c r="I692" i="6" s="1"/>
  <c r="I764" i="6" s="1"/>
  <c r="I260" i="6"/>
  <c r="I332" i="6" s="1"/>
  <c r="I404" i="6" s="1"/>
  <c r="I476" i="6" s="1"/>
  <c r="I548" i="6" s="1"/>
  <c r="I620" i="6" s="1"/>
  <c r="I693" i="6" s="1"/>
  <c r="I765" i="6" s="1"/>
  <c r="I261" i="6"/>
  <c r="I333" i="6" s="1"/>
  <c r="I405" i="6" s="1"/>
  <c r="I477" i="6" s="1"/>
  <c r="I549" i="6" s="1"/>
  <c r="I621" i="6" s="1"/>
  <c r="I694" i="6" s="1"/>
  <c r="I766" i="6" s="1"/>
  <c r="I262" i="6"/>
  <c r="I334" i="6" s="1"/>
  <c r="I406" i="6" s="1"/>
  <c r="I478" i="6" s="1"/>
  <c r="I550" i="6" s="1"/>
  <c r="I622" i="6" s="1"/>
  <c r="I695" i="6" s="1"/>
  <c r="I767" i="6" s="1"/>
  <c r="I263" i="6"/>
  <c r="I335" i="6" s="1"/>
  <c r="I407" i="6" s="1"/>
  <c r="I479" i="6" s="1"/>
  <c r="I551" i="6" s="1"/>
  <c r="I623" i="6" s="1"/>
  <c r="I696" i="6" s="1"/>
  <c r="I768" i="6" s="1"/>
  <c r="I264" i="6"/>
  <c r="I336" i="6" s="1"/>
  <c r="I408" i="6" s="1"/>
  <c r="I480" i="6" s="1"/>
  <c r="I552" i="6" s="1"/>
  <c r="I624" i="6" s="1"/>
  <c r="I697" i="6" s="1"/>
  <c r="I769" i="6" s="1"/>
  <c r="I265" i="6"/>
  <c r="I337" i="6" s="1"/>
  <c r="I409" i="6" s="1"/>
  <c r="I481" i="6" s="1"/>
  <c r="I553" i="6" s="1"/>
  <c r="I625" i="6" s="1"/>
  <c r="I698" i="6" s="1"/>
  <c r="I770" i="6" s="1"/>
  <c r="I266" i="6"/>
  <c r="I338" i="6" s="1"/>
  <c r="I410" i="6" s="1"/>
  <c r="I482" i="6" s="1"/>
  <c r="I554" i="6" s="1"/>
  <c r="I626" i="6" s="1"/>
  <c r="I699" i="6" s="1"/>
  <c r="I771" i="6" s="1"/>
  <c r="I267" i="6"/>
  <c r="I339" i="6" s="1"/>
  <c r="I411" i="6" s="1"/>
  <c r="I483" i="6" s="1"/>
  <c r="I555" i="6" s="1"/>
  <c r="I627" i="6" s="1"/>
  <c r="I700" i="6" s="1"/>
  <c r="I772" i="6" s="1"/>
  <c r="I268" i="6"/>
  <c r="I340" i="6" s="1"/>
  <c r="I412" i="6" s="1"/>
  <c r="I484" i="6" s="1"/>
  <c r="I556" i="6" s="1"/>
  <c r="I628" i="6" s="1"/>
  <c r="I701" i="6" s="1"/>
  <c r="I773" i="6" s="1"/>
  <c r="I269" i="6"/>
  <c r="I341" i="6" s="1"/>
  <c r="I413" i="6" s="1"/>
  <c r="I485" i="6" s="1"/>
  <c r="I557" i="6" s="1"/>
  <c r="I629" i="6" s="1"/>
  <c r="I702" i="6" s="1"/>
  <c r="I774" i="6" s="1"/>
  <c r="I270" i="6"/>
  <c r="I342" i="6" s="1"/>
  <c r="I414" i="6" s="1"/>
  <c r="I486" i="6" s="1"/>
  <c r="I558" i="6" s="1"/>
  <c r="I630" i="6" s="1"/>
  <c r="I703" i="6" s="1"/>
  <c r="I775" i="6" s="1"/>
  <c r="I271" i="6"/>
  <c r="I343" i="6" s="1"/>
  <c r="I415" i="6" s="1"/>
  <c r="I487" i="6" s="1"/>
  <c r="I559" i="6" s="1"/>
  <c r="I631" i="6" s="1"/>
  <c r="I704" i="6" s="1"/>
  <c r="I776" i="6" s="1"/>
  <c r="I272" i="6"/>
  <c r="I344" i="6" s="1"/>
  <c r="I416" i="6" s="1"/>
  <c r="I488" i="6" s="1"/>
  <c r="I560" i="6" s="1"/>
  <c r="I632" i="6" s="1"/>
  <c r="I705" i="6" s="1"/>
  <c r="I777" i="6" s="1"/>
  <c r="I273" i="6"/>
  <c r="I345" i="6" s="1"/>
  <c r="I417" i="6" s="1"/>
  <c r="I489" i="6" s="1"/>
  <c r="I561" i="6" s="1"/>
  <c r="I633" i="6" s="1"/>
  <c r="I706" i="6" s="1"/>
  <c r="I778" i="6" s="1"/>
  <c r="I274" i="6"/>
  <c r="I346" i="6" s="1"/>
  <c r="I418" i="6" s="1"/>
  <c r="I490" i="6" s="1"/>
  <c r="I562" i="6" s="1"/>
  <c r="I634" i="6" s="1"/>
  <c r="I707" i="6" s="1"/>
  <c r="I779" i="6" s="1"/>
  <c r="I239" i="6"/>
  <c r="I311" i="6" s="1"/>
  <c r="I383" i="6" s="1"/>
  <c r="I455" i="6" s="1"/>
  <c r="I527" i="6" s="1"/>
  <c r="I599" i="6" s="1"/>
  <c r="I672" i="6" s="1"/>
  <c r="I744" i="6" s="1"/>
  <c r="K1200" i="6"/>
  <c r="BE1200" i="6" s="1"/>
  <c r="K1198" i="6"/>
  <c r="K1196" i="6"/>
  <c r="BE1196" i="6" s="1"/>
  <c r="K1194" i="6"/>
  <c r="BE1194" i="6" s="1"/>
  <c r="K1192" i="6"/>
  <c r="BE1192" i="6" s="1"/>
  <c r="K1202" i="6"/>
  <c r="BE1202" i="6" s="1"/>
  <c r="F239" i="6"/>
  <c r="F311" i="6" s="1"/>
  <c r="F383" i="6" s="1"/>
  <c r="F455" i="6" s="1"/>
  <c r="F527" i="6" s="1"/>
  <c r="F599" i="6" s="1"/>
  <c r="F672" i="6" s="1"/>
  <c r="F744" i="6" s="1"/>
  <c r="F240" i="6"/>
  <c r="F312" i="6" s="1"/>
  <c r="F384" i="6" s="1"/>
  <c r="F456" i="6" s="1"/>
  <c r="F528" i="6" s="1"/>
  <c r="F600" i="6" s="1"/>
  <c r="F673" i="6" s="1"/>
  <c r="F745" i="6" s="1"/>
  <c r="F241" i="6"/>
  <c r="F313" i="6" s="1"/>
  <c r="F385" i="6" s="1"/>
  <c r="F457" i="6" s="1"/>
  <c r="F529" i="6" s="1"/>
  <c r="F601" i="6" s="1"/>
  <c r="F674" i="6" s="1"/>
  <c r="F746" i="6" s="1"/>
  <c r="F242" i="6"/>
  <c r="F314" i="6" s="1"/>
  <c r="F386" i="6" s="1"/>
  <c r="F458" i="6" s="1"/>
  <c r="F530" i="6" s="1"/>
  <c r="F602" i="6" s="1"/>
  <c r="F675" i="6" s="1"/>
  <c r="F747" i="6" s="1"/>
  <c r="F243" i="6"/>
  <c r="F315" i="6" s="1"/>
  <c r="F387" i="6" s="1"/>
  <c r="F459" i="6" s="1"/>
  <c r="F531" i="6" s="1"/>
  <c r="F603" i="6" s="1"/>
  <c r="F676" i="6" s="1"/>
  <c r="F748" i="6" s="1"/>
  <c r="F246" i="6"/>
  <c r="F318" i="6" s="1"/>
  <c r="F390" i="6" s="1"/>
  <c r="F462" i="6" s="1"/>
  <c r="F534" i="6" s="1"/>
  <c r="F606" i="6" s="1"/>
  <c r="F679" i="6" s="1"/>
  <c r="F751" i="6" s="1"/>
  <c r="F248" i="6"/>
  <c r="F320" i="6" s="1"/>
  <c r="F392" i="6" s="1"/>
  <c r="F464" i="6" s="1"/>
  <c r="F536" i="6" s="1"/>
  <c r="F608" i="6" s="1"/>
  <c r="F681" i="6" s="1"/>
  <c r="F753" i="6" s="1"/>
  <c r="F249" i="6"/>
  <c r="F321" i="6" s="1"/>
  <c r="F393" i="6" s="1"/>
  <c r="F465" i="6" s="1"/>
  <c r="F537" i="6" s="1"/>
  <c r="F609" i="6" s="1"/>
  <c r="F682" i="6" s="1"/>
  <c r="F754" i="6" s="1"/>
  <c r="F250" i="6"/>
  <c r="F322" i="6" s="1"/>
  <c r="F394" i="6" s="1"/>
  <c r="F466" i="6" s="1"/>
  <c r="F538" i="6" s="1"/>
  <c r="F610" i="6" s="1"/>
  <c r="F683" i="6" s="1"/>
  <c r="F755" i="6" s="1"/>
  <c r="F251" i="6"/>
  <c r="F323" i="6" s="1"/>
  <c r="F395" i="6" s="1"/>
  <c r="F467" i="6" s="1"/>
  <c r="F539" i="6" s="1"/>
  <c r="F611" i="6" s="1"/>
  <c r="F684" i="6" s="1"/>
  <c r="F756" i="6" s="1"/>
  <c r="F252" i="6"/>
  <c r="F324" i="6" s="1"/>
  <c r="F396" i="6" s="1"/>
  <c r="F468" i="6" s="1"/>
  <c r="F540" i="6" s="1"/>
  <c r="F612" i="6" s="1"/>
  <c r="F685" i="6" s="1"/>
  <c r="F757" i="6" s="1"/>
  <c r="F255" i="6"/>
  <c r="F327" i="6" s="1"/>
  <c r="F399" i="6" s="1"/>
  <c r="F471" i="6" s="1"/>
  <c r="F543" i="6" s="1"/>
  <c r="F615" i="6" s="1"/>
  <c r="F688" i="6" s="1"/>
  <c r="F760" i="6" s="1"/>
  <c r="F257" i="6"/>
  <c r="F329" i="6" s="1"/>
  <c r="F401" i="6" s="1"/>
  <c r="F473" i="6" s="1"/>
  <c r="F545" i="6" s="1"/>
  <c r="F617" i="6" s="1"/>
  <c r="F690" i="6" s="1"/>
  <c r="F762" i="6" s="1"/>
  <c r="F258" i="6"/>
  <c r="F330" i="6" s="1"/>
  <c r="F402" i="6" s="1"/>
  <c r="F474" i="6" s="1"/>
  <c r="F546" i="6" s="1"/>
  <c r="F618" i="6" s="1"/>
  <c r="F691" i="6" s="1"/>
  <c r="F763" i="6" s="1"/>
  <c r="F259" i="6"/>
  <c r="F331" i="6" s="1"/>
  <c r="F403" i="6" s="1"/>
  <c r="F475" i="6" s="1"/>
  <c r="F547" i="6" s="1"/>
  <c r="F619" i="6" s="1"/>
  <c r="F692" i="6" s="1"/>
  <c r="F764" i="6" s="1"/>
  <c r="F260" i="6"/>
  <c r="F332" i="6" s="1"/>
  <c r="F404" i="6" s="1"/>
  <c r="F476" i="6" s="1"/>
  <c r="F548" i="6" s="1"/>
  <c r="F620" i="6" s="1"/>
  <c r="F693" i="6" s="1"/>
  <c r="F765" i="6" s="1"/>
  <c r="F261" i="6"/>
  <c r="F333" i="6" s="1"/>
  <c r="F405" i="6" s="1"/>
  <c r="F477" i="6" s="1"/>
  <c r="F549" i="6" s="1"/>
  <c r="F621" i="6" s="1"/>
  <c r="F694" i="6" s="1"/>
  <c r="F766" i="6" s="1"/>
  <c r="F264" i="6"/>
  <c r="F336" i="6" s="1"/>
  <c r="F408" i="6" s="1"/>
  <c r="F480" i="6" s="1"/>
  <c r="F552" i="6" s="1"/>
  <c r="F624" i="6" s="1"/>
  <c r="F697" i="6" s="1"/>
  <c r="F769" i="6" s="1"/>
  <c r="F266" i="6"/>
  <c r="F338" i="6" s="1"/>
  <c r="F410" i="6" s="1"/>
  <c r="F482" i="6" s="1"/>
  <c r="F554" i="6" s="1"/>
  <c r="F626" i="6" s="1"/>
  <c r="F699" i="6" s="1"/>
  <c r="F771" i="6" s="1"/>
  <c r="F267" i="6"/>
  <c r="F339" i="6" s="1"/>
  <c r="F411" i="6" s="1"/>
  <c r="F483" i="6" s="1"/>
  <c r="F555" i="6" s="1"/>
  <c r="F627" i="6" s="1"/>
  <c r="F700" i="6" s="1"/>
  <c r="F772" i="6" s="1"/>
  <c r="F268" i="6"/>
  <c r="F340" i="6" s="1"/>
  <c r="F412" i="6" s="1"/>
  <c r="F484" i="6" s="1"/>
  <c r="F556" i="6" s="1"/>
  <c r="F628" i="6" s="1"/>
  <c r="F701" i="6" s="1"/>
  <c r="F773" i="6" s="1"/>
  <c r="F269" i="6"/>
  <c r="F341" i="6" s="1"/>
  <c r="F413" i="6" s="1"/>
  <c r="F485" i="6" s="1"/>
  <c r="F557" i="6" s="1"/>
  <c r="F629" i="6" s="1"/>
  <c r="F702" i="6" s="1"/>
  <c r="F774" i="6" s="1"/>
  <c r="F270" i="6"/>
  <c r="F342" i="6" s="1"/>
  <c r="F414" i="6" s="1"/>
  <c r="F486" i="6" s="1"/>
  <c r="F558" i="6" s="1"/>
  <c r="F630" i="6" s="1"/>
  <c r="F703" i="6" s="1"/>
  <c r="F775" i="6" s="1"/>
  <c r="F273" i="6"/>
  <c r="F345" i="6" s="1"/>
  <c r="F417" i="6" s="1"/>
  <c r="F489" i="6" s="1"/>
  <c r="F561" i="6" s="1"/>
  <c r="F633" i="6" s="1"/>
  <c r="F706" i="6" s="1"/>
  <c r="F778" i="6" s="1"/>
  <c r="F272" i="6"/>
  <c r="F344" i="6" s="1"/>
  <c r="F416" i="6" s="1"/>
  <c r="F488" i="6" s="1"/>
  <c r="F560" i="6" s="1"/>
  <c r="F632" i="6" s="1"/>
  <c r="F705" i="6" s="1"/>
  <c r="F777" i="6" s="1"/>
  <c r="F263" i="6"/>
  <c r="F335" i="6" s="1"/>
  <c r="F407" i="6" s="1"/>
  <c r="F479" i="6" s="1"/>
  <c r="F551" i="6" s="1"/>
  <c r="F623" i="6" s="1"/>
  <c r="F696" i="6" s="1"/>
  <c r="F768" i="6" s="1"/>
  <c r="F262" i="6"/>
  <c r="F334" i="6" s="1"/>
  <c r="F406" i="6" s="1"/>
  <c r="F478" i="6" s="1"/>
  <c r="F550" i="6" s="1"/>
  <c r="F622" i="6" s="1"/>
  <c r="F695" i="6" s="1"/>
  <c r="F767" i="6" s="1"/>
  <c r="F254" i="6"/>
  <c r="F326" i="6" s="1"/>
  <c r="F398" i="6" s="1"/>
  <c r="F470" i="6" s="1"/>
  <c r="F542" i="6" s="1"/>
  <c r="F614" i="6" s="1"/>
  <c r="F687" i="6" s="1"/>
  <c r="F759" i="6" s="1"/>
  <c r="F245" i="6"/>
  <c r="F317" i="6" s="1"/>
  <c r="F389" i="6" s="1"/>
  <c r="F461" i="6" s="1"/>
  <c r="F533" i="6" s="1"/>
  <c r="F605" i="6" s="1"/>
  <c r="F678" i="6" s="1"/>
  <c r="F750" i="6" s="1"/>
  <c r="J190" i="6"/>
  <c r="X164" i="15" s="1"/>
  <c r="Z164" i="15" s="1"/>
  <c r="H190" i="6"/>
  <c r="G164" i="15"/>
  <c r="J189" i="6"/>
  <c r="H189" i="6"/>
  <c r="I189" i="6" s="1"/>
  <c r="Q163" i="15" s="1"/>
  <c r="O163" i="15" s="1"/>
  <c r="K188" i="6"/>
  <c r="BE188" i="6" s="1"/>
  <c r="J188" i="6"/>
  <c r="Y162" i="15" s="1"/>
  <c r="H188" i="6"/>
  <c r="J187" i="6"/>
  <c r="H187" i="6"/>
  <c r="K186" i="6"/>
  <c r="BE186" i="6" s="1"/>
  <c r="J186" i="6"/>
  <c r="Y161" i="15" s="1"/>
  <c r="H186" i="6"/>
  <c r="J185" i="6"/>
  <c r="BC185" i="6" s="1"/>
  <c r="H185" i="6"/>
  <c r="I185" i="6" s="1"/>
  <c r="Q161" i="15" s="1"/>
  <c r="O161" i="15" s="1"/>
  <c r="J184" i="6"/>
  <c r="X160" i="15" s="1"/>
  <c r="Z160" i="15" s="1"/>
  <c r="H184" i="6"/>
  <c r="I184" i="6" s="1"/>
  <c r="Q160" i="15" s="1"/>
  <c r="K160" i="15"/>
  <c r="I160" i="15" s="1"/>
  <c r="K183" i="6"/>
  <c r="BE183" i="6" s="1"/>
  <c r="J183" i="6"/>
  <c r="BC183" i="6" s="1"/>
  <c r="H183" i="6"/>
  <c r="J182" i="6"/>
  <c r="X159" i="15" s="1"/>
  <c r="H182" i="6"/>
  <c r="BC181" i="6"/>
  <c r="H181" i="6"/>
  <c r="F265" i="6"/>
  <c r="F337" i="6" s="1"/>
  <c r="F409" i="6" s="1"/>
  <c r="F481" i="6" s="1"/>
  <c r="F553" i="6" s="1"/>
  <c r="F625" i="6" s="1"/>
  <c r="F698" i="6" s="1"/>
  <c r="F770" i="6" s="1"/>
  <c r="J180" i="6"/>
  <c r="X157" i="15" s="1"/>
  <c r="Z157" i="15" s="1"/>
  <c r="H180" i="6"/>
  <c r="K179" i="6"/>
  <c r="BE179" i="6" s="1"/>
  <c r="J179" i="6"/>
  <c r="BC179" i="6" s="1"/>
  <c r="H179" i="6"/>
  <c r="J178" i="6"/>
  <c r="X156" i="15" s="1"/>
  <c r="H178" i="6"/>
  <c r="K177" i="6"/>
  <c r="BE177" i="6" s="1"/>
  <c r="J177" i="6"/>
  <c r="Y155" i="15" s="1"/>
  <c r="H177" i="6"/>
  <c r="I177" i="6" s="1"/>
  <c r="S155" i="15" s="1"/>
  <c r="P155" i="15" s="1"/>
  <c r="W155" i="15" s="1"/>
  <c r="J176" i="6"/>
  <c r="X155" i="15" s="1"/>
  <c r="H176" i="6"/>
  <c r="J175" i="6"/>
  <c r="X154" i="15" s="1"/>
  <c r="Z154" i="15" s="1"/>
  <c r="H175" i="6"/>
  <c r="I175" i="6" s="1"/>
  <c r="Q154" i="15" s="1"/>
  <c r="K174" i="6"/>
  <c r="BE174" i="6" s="1"/>
  <c r="J174" i="6"/>
  <c r="H174" i="6"/>
  <c r="J173" i="6"/>
  <c r="BC173" i="6" s="1"/>
  <c r="BD173" i="6" s="1"/>
  <c r="AE153" i="15" s="1"/>
  <c r="AC153" i="15" s="1"/>
  <c r="H173" i="6"/>
  <c r="I173" i="6" s="1"/>
  <c r="Q153" i="15" s="1"/>
  <c r="O153" i="15" s="1"/>
  <c r="K153" i="15"/>
  <c r="I153" i="15" s="1"/>
  <c r="BC172" i="6"/>
  <c r="H172" i="6"/>
  <c r="G152" i="15"/>
  <c r="J171" i="6"/>
  <c r="BC171" i="6" s="1"/>
  <c r="H171" i="6"/>
  <c r="K170" i="6"/>
  <c r="BE170" i="6" s="1"/>
  <c r="J170" i="6"/>
  <c r="H170" i="6"/>
  <c r="J169" i="6"/>
  <c r="X150" i="15" s="1"/>
  <c r="H169" i="6"/>
  <c r="K168" i="6"/>
  <c r="BE168" i="6" s="1"/>
  <c r="J168" i="6"/>
  <c r="BC168" i="6" s="1"/>
  <c r="H168" i="6"/>
  <c r="J167" i="6"/>
  <c r="BC167" i="6" s="1"/>
  <c r="BD167" i="6" s="1"/>
  <c r="AE149" i="15" s="1"/>
  <c r="AC149" i="15" s="1"/>
  <c r="H167" i="6"/>
  <c r="I167" i="6" s="1"/>
  <c r="Q149" i="15" s="1"/>
  <c r="O149" i="15" s="1"/>
  <c r="K149" i="15"/>
  <c r="I149" i="15" s="1"/>
  <c r="J166" i="6"/>
  <c r="X148" i="15" s="1"/>
  <c r="Z148" i="15" s="1"/>
  <c r="H166" i="6"/>
  <c r="K165" i="6"/>
  <c r="BE165" i="6" s="1"/>
  <c r="J165" i="6"/>
  <c r="BC165" i="6" s="1"/>
  <c r="H165" i="6"/>
  <c r="J164" i="6"/>
  <c r="X147" i="15" s="1"/>
  <c r="H164" i="6"/>
  <c r="I164" i="6" s="1"/>
  <c r="Q147" i="15" s="1"/>
  <c r="O147" i="15" s="1"/>
  <c r="BC163" i="6"/>
  <c r="H163" i="6"/>
  <c r="G146" i="15"/>
  <c r="BC162" i="6"/>
  <c r="H162" i="6"/>
  <c r="K161" i="6"/>
  <c r="BE161" i="6" s="1"/>
  <c r="J161" i="6"/>
  <c r="BC161" i="6" s="1"/>
  <c r="H161" i="6"/>
  <c r="J160" i="6"/>
  <c r="H160" i="6"/>
  <c r="I160" i="6" s="1"/>
  <c r="Q144" i="15" s="1"/>
  <c r="O144" i="15" s="1"/>
  <c r="K159" i="6"/>
  <c r="BE159" i="6" s="1"/>
  <c r="J159" i="6"/>
  <c r="H159" i="6"/>
  <c r="J158" i="6"/>
  <c r="BC158" i="6" s="1"/>
  <c r="BD158" i="6" s="1"/>
  <c r="AE143" i="15" s="1"/>
  <c r="AC143" i="15" s="1"/>
  <c r="H158" i="6"/>
  <c r="J157" i="6"/>
  <c r="BC157" i="6" s="1"/>
  <c r="H157" i="6"/>
  <c r="K156" i="6"/>
  <c r="BE156" i="6" s="1"/>
  <c r="J156" i="6"/>
  <c r="BC156" i="6" s="1"/>
  <c r="BD156" i="6" s="1"/>
  <c r="AG141" i="15" s="1"/>
  <c r="AD141" i="15" s="1"/>
  <c r="H156" i="6"/>
  <c r="I156" i="6" s="1"/>
  <c r="S141" i="15" s="1"/>
  <c r="P141" i="15" s="1"/>
  <c r="W141" i="15" s="1"/>
  <c r="J155" i="6"/>
  <c r="BC155" i="6" s="1"/>
  <c r="BD155" i="6" s="1"/>
  <c r="AE141" i="15" s="1"/>
  <c r="AC141" i="15" s="1"/>
  <c r="H155" i="6"/>
  <c r="I155" i="6" s="1"/>
  <c r="Q141" i="15" s="1"/>
  <c r="O141" i="15" s="1"/>
  <c r="E708" i="6"/>
  <c r="E1152" i="6" s="1"/>
  <c r="L384" i="6"/>
  <c r="L385" i="6" s="1"/>
  <c r="L386" i="6" s="1"/>
  <c r="L387" i="6" s="1"/>
  <c r="L390" i="6" s="1"/>
  <c r="L392" i="6" s="1"/>
  <c r="L393" i="6" s="1"/>
  <c r="L394" i="6" s="1"/>
  <c r="L395" i="6" s="1"/>
  <c r="L396" i="6" s="1"/>
  <c r="L399" i="6" s="1"/>
  <c r="L401" i="6" s="1"/>
  <c r="L402" i="6" s="1"/>
  <c r="L403" i="6" s="1"/>
  <c r="L404" i="6" s="1"/>
  <c r="L405" i="6" s="1"/>
  <c r="L408" i="6" s="1"/>
  <c r="L410" i="6" s="1"/>
  <c r="L411" i="6" s="1"/>
  <c r="L412" i="6" s="1"/>
  <c r="L413" i="6" s="1"/>
  <c r="L414" i="6" s="1"/>
  <c r="L417" i="6" s="1"/>
  <c r="K779" i="6"/>
  <c r="K776" i="6"/>
  <c r="L185" i="6"/>
  <c r="AJ161" i="15" s="1"/>
  <c r="K770" i="6"/>
  <c r="L180" i="6"/>
  <c r="AJ157" i="15" s="1"/>
  <c r="K766" i="6"/>
  <c r="L176" i="6"/>
  <c r="AJ155" i="15" s="1"/>
  <c r="K765" i="6"/>
  <c r="L184" i="6"/>
  <c r="AJ160" i="15" s="1"/>
  <c r="K763" i="6"/>
  <c r="K771" i="6"/>
  <c r="L172" i="6"/>
  <c r="AJ152" i="15" s="1"/>
  <c r="K760" i="6"/>
  <c r="L170" i="6"/>
  <c r="K758" i="6"/>
  <c r="L168" i="6"/>
  <c r="L166" i="6"/>
  <c r="AJ148" i="15" s="1"/>
  <c r="K754" i="6"/>
  <c r="K751" i="6"/>
  <c r="L161" i="6"/>
  <c r="K749" i="6"/>
  <c r="L159" i="6"/>
  <c r="L156" i="6"/>
  <c r="K744" i="6"/>
  <c r="J274" i="6"/>
  <c r="F190" i="6" s="1"/>
  <c r="J272" i="6"/>
  <c r="F188" i="6" s="1"/>
  <c r="J271" i="6"/>
  <c r="F187" i="6" s="1"/>
  <c r="J265" i="6"/>
  <c r="F181" i="6" s="1"/>
  <c r="J263" i="6"/>
  <c r="F179" i="6" s="1"/>
  <c r="J262" i="6"/>
  <c r="F178" i="6" s="1"/>
  <c r="J256" i="6"/>
  <c r="F172" i="6" s="1"/>
  <c r="J254" i="6"/>
  <c r="F170" i="6" s="1"/>
  <c r="J253" i="6"/>
  <c r="F169" i="6" s="1"/>
  <c r="J247" i="6"/>
  <c r="F163" i="6" s="1"/>
  <c r="K146" i="15" s="1"/>
  <c r="I146" i="15" s="1"/>
  <c r="J245" i="6"/>
  <c r="F161" i="6" s="1"/>
  <c r="W1225" i="6"/>
  <c r="F256" i="6"/>
  <c r="F328" i="6" s="1"/>
  <c r="F400" i="6" s="1"/>
  <c r="F472" i="6" s="1"/>
  <c r="F544" i="6" s="1"/>
  <c r="F616" i="6" s="1"/>
  <c r="F689" i="6" s="1"/>
  <c r="F761" i="6" s="1"/>
  <c r="F253" i="6"/>
  <c r="F325" i="6" s="1"/>
  <c r="F397" i="6" s="1"/>
  <c r="F469" i="6" s="1"/>
  <c r="F541" i="6" s="1"/>
  <c r="F613" i="6" s="1"/>
  <c r="F686" i="6" s="1"/>
  <c r="F758" i="6" s="1"/>
  <c r="G150" i="15"/>
  <c r="L162" i="6"/>
  <c r="AJ145" i="15" s="1"/>
  <c r="L177" i="6"/>
  <c r="L181" i="6"/>
  <c r="AJ158" i="15" s="1"/>
  <c r="L187" i="6"/>
  <c r="AJ162" i="15" s="1"/>
  <c r="K745" i="6"/>
  <c r="K773" i="6"/>
  <c r="L190" i="6"/>
  <c r="AJ164" i="15" s="1"/>
  <c r="L171" i="6"/>
  <c r="AJ151" i="15" s="1"/>
  <c r="L169" i="6"/>
  <c r="AJ150" i="15" s="1"/>
  <c r="K759" i="6"/>
  <c r="L160" i="6"/>
  <c r="AJ144" i="15" s="1"/>
  <c r="K755" i="6"/>
  <c r="L174" i="6"/>
  <c r="L182" i="6"/>
  <c r="AJ159" i="15" s="1"/>
  <c r="L165" i="6"/>
  <c r="L155" i="6"/>
  <c r="AJ141" i="15" s="1"/>
  <c r="I446" i="7"/>
  <c r="V451" i="7"/>
  <c r="N451" i="7"/>
  <c r="L451" i="7"/>
  <c r="BC451" i="7" s="1"/>
  <c r="H451" i="7"/>
  <c r="V450" i="7"/>
  <c r="N450" i="7"/>
  <c r="L450" i="7"/>
  <c r="H450" i="7"/>
  <c r="V449" i="7"/>
  <c r="N449" i="7"/>
  <c r="L449" i="7"/>
  <c r="X376" i="15" s="1"/>
  <c r="Z376" i="15" s="1"/>
  <c r="H449" i="7"/>
  <c r="AD562" i="15"/>
  <c r="H562" i="15"/>
  <c r="G562" i="15"/>
  <c r="C562" i="15"/>
  <c r="AM562" i="15" s="1"/>
  <c r="B563" i="15"/>
  <c r="A563" i="15" s="1"/>
  <c r="AD113" i="15"/>
  <c r="AD114" i="15"/>
  <c r="AD118" i="15"/>
  <c r="AD121" i="15"/>
  <c r="AD122" i="15"/>
  <c r="AD124" i="15"/>
  <c r="AD127" i="15"/>
  <c r="AD128" i="15"/>
  <c r="AD130" i="15"/>
  <c r="AD133" i="15"/>
  <c r="AD134" i="15"/>
  <c r="AD136" i="15"/>
  <c r="AD139" i="15"/>
  <c r="AD140" i="15"/>
  <c r="AD166" i="15"/>
  <c r="AD167" i="15"/>
  <c r="AD168" i="15"/>
  <c r="AD170" i="15"/>
  <c r="AD174" i="15"/>
  <c r="AD175" i="15"/>
  <c r="AD176" i="15"/>
  <c r="AD177" i="15"/>
  <c r="AD178" i="15"/>
  <c r="AD179" i="15"/>
  <c r="AD182" i="15"/>
  <c r="AD183" i="15"/>
  <c r="AD186" i="15"/>
  <c r="AD187" i="15"/>
  <c r="AD188" i="15"/>
  <c r="AD189" i="15"/>
  <c r="AD190" i="15"/>
  <c r="AD191" i="15"/>
  <c r="AD192" i="15"/>
  <c r="AD195" i="15"/>
  <c r="AD199" i="15"/>
  <c r="AD201" i="15"/>
  <c r="AD205" i="15"/>
  <c r="AD206" i="15"/>
  <c r="AD213" i="15"/>
  <c r="AD214" i="15"/>
  <c r="AD219" i="15"/>
  <c r="AD220" i="15"/>
  <c r="AD221" i="15"/>
  <c r="AD222" i="15"/>
  <c r="AD229" i="15"/>
  <c r="AD230" i="15"/>
  <c r="AD231" i="15"/>
  <c r="AD232" i="15"/>
  <c r="AD233" i="15"/>
  <c r="AD236" i="15"/>
  <c r="AD237" i="15"/>
  <c r="AD238" i="15"/>
  <c r="AD241" i="15"/>
  <c r="AD242" i="15"/>
  <c r="AD243" i="15"/>
  <c r="AD248" i="15"/>
  <c r="AD249" i="15"/>
  <c r="AD250" i="15"/>
  <c r="AD259" i="15"/>
  <c r="AD260" i="15"/>
  <c r="AD261" i="15"/>
  <c r="AD265" i="15"/>
  <c r="AD267" i="15"/>
  <c r="AD269" i="15"/>
  <c r="AD295" i="15"/>
  <c r="AD303" i="15"/>
  <c r="AD304" i="15"/>
  <c r="AD305" i="15"/>
  <c r="AD310" i="15"/>
  <c r="AD311" i="15"/>
  <c r="AD312" i="15"/>
  <c r="AD313" i="15"/>
  <c r="AD314" i="15"/>
  <c r="AD315" i="15"/>
  <c r="AD316" i="15"/>
  <c r="AD317" i="15"/>
  <c r="AD318" i="15"/>
  <c r="AD319" i="15"/>
  <c r="AD320" i="15"/>
  <c r="AD321" i="15"/>
  <c r="AD322" i="15"/>
  <c r="AD323" i="15"/>
  <c r="AD324" i="15"/>
  <c r="AD325" i="15"/>
  <c r="AD326" i="15"/>
  <c r="AD327" i="15"/>
  <c r="AD328" i="15"/>
  <c r="AD329" i="15"/>
  <c r="AD330" i="15"/>
  <c r="AD331" i="15"/>
  <c r="AD335" i="15"/>
  <c r="AD336" i="15"/>
  <c r="AD337" i="15"/>
  <c r="AD338" i="15"/>
  <c r="AD339" i="15"/>
  <c r="AD340" i="15"/>
  <c r="AD341" i="15"/>
  <c r="AD342" i="15"/>
  <c r="AD343" i="15"/>
  <c r="AD344" i="15"/>
  <c r="AD345" i="15"/>
  <c r="AD346" i="15"/>
  <c r="AD347" i="15"/>
  <c r="AD348" i="15"/>
  <c r="AD349" i="15"/>
  <c r="AD350" i="15"/>
  <c r="AD351" i="15"/>
  <c r="AD352" i="15"/>
  <c r="AD353" i="15"/>
  <c r="AD354" i="15"/>
  <c r="AD355" i="15"/>
  <c r="AD356" i="15"/>
  <c r="AD357" i="15"/>
  <c r="AD358" i="15"/>
  <c r="AD359" i="15"/>
  <c r="AD360" i="15"/>
  <c r="AD361" i="15"/>
  <c r="AD362" i="15"/>
  <c r="AD363" i="15"/>
  <c r="AD364" i="15"/>
  <c r="AD365" i="15"/>
  <c r="AD366" i="15"/>
  <c r="AD367" i="15"/>
  <c r="AD368" i="15"/>
  <c r="AD369" i="15"/>
  <c r="AD370" i="15"/>
  <c r="AD371" i="15"/>
  <c r="AD372" i="15"/>
  <c r="AD373" i="15"/>
  <c r="AD374" i="15"/>
  <c r="AD375" i="15"/>
  <c r="AD379" i="15"/>
  <c r="AD380" i="15"/>
  <c r="AD381" i="15"/>
  <c r="AD382" i="15"/>
  <c r="AD383" i="15"/>
  <c r="AD384" i="15"/>
  <c r="AD385" i="15"/>
  <c r="AD388" i="15"/>
  <c r="AD389" i="15"/>
  <c r="AD390" i="15"/>
  <c r="AD392" i="15"/>
  <c r="AD394" i="15"/>
  <c r="AD396" i="15"/>
  <c r="AD398" i="15"/>
  <c r="AD399" i="15"/>
  <c r="AD400" i="15"/>
  <c r="AD401" i="15"/>
  <c r="AD402" i="15"/>
  <c r="AD403" i="15"/>
  <c r="AD404" i="15"/>
  <c r="AD405" i="15"/>
  <c r="AD406" i="15"/>
  <c r="AD407" i="15"/>
  <c r="AD408" i="15"/>
  <c r="AD412" i="15"/>
  <c r="AD414" i="15"/>
  <c r="AD415" i="15"/>
  <c r="AD420" i="15"/>
  <c r="AD421" i="15"/>
  <c r="AD422" i="15"/>
  <c r="AD423" i="15"/>
  <c r="AD424" i="15"/>
  <c r="AD425" i="15"/>
  <c r="AD426" i="15"/>
  <c r="AD427" i="15"/>
  <c r="AD428" i="15"/>
  <c r="AD429" i="15"/>
  <c r="AD430" i="15"/>
  <c r="AD431" i="15"/>
  <c r="AD432" i="15"/>
  <c r="AD433" i="15"/>
  <c r="AD434" i="15"/>
  <c r="AD435" i="15"/>
  <c r="AD436" i="15"/>
  <c r="AD437" i="15"/>
  <c r="AD438" i="15"/>
  <c r="AD439" i="15"/>
  <c r="AD440" i="15"/>
  <c r="AD441" i="15"/>
  <c r="AD442" i="15"/>
  <c r="AD443" i="15"/>
  <c r="AD444" i="15"/>
  <c r="AD445" i="15"/>
  <c r="AD446" i="15"/>
  <c r="AD447" i="15"/>
  <c r="AD448" i="15"/>
  <c r="AD449" i="15"/>
  <c r="AD451" i="15"/>
  <c r="AD452" i="15"/>
  <c r="AD453" i="15"/>
  <c r="AD454" i="15"/>
  <c r="AD455" i="15"/>
  <c r="AD456" i="15"/>
  <c r="AD457" i="15"/>
  <c r="AD458" i="15"/>
  <c r="AD459" i="15"/>
  <c r="AD460" i="15"/>
  <c r="AD461" i="15"/>
  <c r="AD462" i="15"/>
  <c r="AD464" i="15"/>
  <c r="AD465" i="15"/>
  <c r="AD466" i="15"/>
  <c r="AD470" i="15"/>
  <c r="AD472" i="15"/>
  <c r="AD473" i="15"/>
  <c r="AD475" i="15"/>
  <c r="AD476" i="15"/>
  <c r="AD478" i="15"/>
  <c r="AD479" i="15"/>
  <c r="AD483" i="15"/>
  <c r="AD484" i="15"/>
  <c r="AD485" i="15"/>
  <c r="AD486" i="15"/>
  <c r="AD487" i="15"/>
  <c r="AD488" i="15"/>
  <c r="AD489" i="15"/>
  <c r="AD490" i="15"/>
  <c r="AD491" i="15"/>
  <c r="AD492" i="15"/>
  <c r="AD493" i="15"/>
  <c r="AD494" i="15"/>
  <c r="AD495" i="15"/>
  <c r="AD496" i="15"/>
  <c r="AD497" i="15"/>
  <c r="AD498" i="15"/>
  <c r="AD499" i="15"/>
  <c r="AD500" i="15"/>
  <c r="AD501" i="15"/>
  <c r="AD502" i="15"/>
  <c r="AD503" i="15"/>
  <c r="AD504" i="15"/>
  <c r="AD505" i="15"/>
  <c r="AD506" i="15"/>
  <c r="AD523" i="15"/>
  <c r="AD524" i="15"/>
  <c r="AD525" i="15"/>
  <c r="AD526" i="15"/>
  <c r="AD527" i="15"/>
  <c r="AD532" i="15"/>
  <c r="AD533" i="15"/>
  <c r="AD534" i="15"/>
  <c r="AD535" i="15"/>
  <c r="AD536" i="15"/>
  <c r="AD537" i="15"/>
  <c r="AD538" i="15"/>
  <c r="AD539" i="15"/>
  <c r="AD540" i="15"/>
  <c r="AD541" i="15"/>
  <c r="AD542" i="15"/>
  <c r="AD543" i="15"/>
  <c r="AD545" i="15"/>
  <c r="AD546" i="15"/>
  <c r="AD547" i="15"/>
  <c r="AD548" i="15"/>
  <c r="AD549" i="15"/>
  <c r="AD550" i="15"/>
  <c r="AD551" i="15"/>
  <c r="AD552" i="15"/>
  <c r="AD553" i="15"/>
  <c r="AD554" i="15"/>
  <c r="AD557" i="15"/>
  <c r="AD558" i="15"/>
  <c r="AD563" i="15"/>
  <c r="AD564" i="15"/>
  <c r="AD565" i="15"/>
  <c r="AD566" i="15"/>
  <c r="AD567" i="15"/>
  <c r="AD568" i="15"/>
  <c r="AD569" i="15"/>
  <c r="AD570" i="15"/>
  <c r="AD571" i="15"/>
  <c r="AD572" i="15"/>
  <c r="AD573" i="15"/>
  <c r="AD574" i="15"/>
  <c r="AD575" i="15"/>
  <c r="AD576" i="15"/>
  <c r="AD577" i="15"/>
  <c r="AD578" i="15"/>
  <c r="AD579" i="15"/>
  <c r="AD580" i="15"/>
  <c r="AD583" i="15"/>
  <c r="AD584" i="15"/>
  <c r="AD585" i="15"/>
  <c r="AD586" i="15"/>
  <c r="AD587" i="15"/>
  <c r="AD588" i="15"/>
  <c r="AD589" i="15"/>
  <c r="AD591" i="15"/>
  <c r="AD592" i="15"/>
  <c r="AD593" i="15"/>
  <c r="AD594" i="15"/>
  <c r="AD595" i="15"/>
  <c r="AD596" i="15"/>
  <c r="AD597" i="15"/>
  <c r="AD598" i="15"/>
  <c r="AD599" i="15"/>
  <c r="AD600" i="15"/>
  <c r="AD601" i="15"/>
  <c r="AD602" i="15"/>
  <c r="AD603" i="15"/>
  <c r="AD604" i="15"/>
  <c r="AD605" i="15"/>
  <c r="AD606" i="15"/>
  <c r="AD609" i="15"/>
  <c r="AD612" i="15"/>
  <c r="AD615" i="15"/>
  <c r="AD628" i="15"/>
  <c r="AD629" i="15"/>
  <c r="AD630" i="15"/>
  <c r="AD631" i="15"/>
  <c r="AD632" i="15"/>
  <c r="AD633" i="15"/>
  <c r="AD634" i="15"/>
  <c r="AD635" i="15"/>
  <c r="AD636" i="15"/>
  <c r="AD637" i="15"/>
  <c r="AD638" i="15"/>
  <c r="AD639" i="15"/>
  <c r="AD640" i="15"/>
  <c r="AD641" i="15"/>
  <c r="AD642" i="15"/>
  <c r="AD643" i="15"/>
  <c r="AD644" i="15"/>
  <c r="AD645" i="15"/>
  <c r="AD646" i="15"/>
  <c r="AD647" i="15"/>
  <c r="AD648" i="15"/>
  <c r="AD649" i="15"/>
  <c r="AD650" i="15"/>
  <c r="AD651" i="15"/>
  <c r="AD652" i="15"/>
  <c r="AD653" i="15"/>
  <c r="AD654" i="15"/>
  <c r="AD655" i="15"/>
  <c r="AD656" i="15"/>
  <c r="AD657" i="15"/>
  <c r="AD658" i="15"/>
  <c r="AD659" i="15"/>
  <c r="AD660" i="15"/>
  <c r="AD661" i="15"/>
  <c r="AD662" i="15"/>
  <c r="AD663" i="15"/>
  <c r="AD664" i="15"/>
  <c r="AD665" i="15"/>
  <c r="AD666" i="15"/>
  <c r="AD669" i="15"/>
  <c r="AD670" i="15"/>
  <c r="AD671" i="15"/>
  <c r="AD672" i="15"/>
  <c r="AD673" i="15"/>
  <c r="AD674" i="15"/>
  <c r="AD675" i="15"/>
  <c r="AD676" i="15"/>
  <c r="AD677" i="15"/>
  <c r="AD678" i="15"/>
  <c r="AD679" i="15"/>
  <c r="AD680" i="15"/>
  <c r="AD681" i="15"/>
  <c r="AD683" i="15"/>
  <c r="AD684" i="15"/>
  <c r="AD685" i="15"/>
  <c r="AD686" i="15"/>
  <c r="AD687" i="15"/>
  <c r="AD688" i="15"/>
  <c r="AD689" i="15"/>
  <c r="AD690" i="15"/>
  <c r="AD691" i="15"/>
  <c r="AD692" i="15"/>
  <c r="AD693" i="15"/>
  <c r="AD694" i="15"/>
  <c r="AD695" i="15"/>
  <c r="AD696" i="15"/>
  <c r="AD697" i="15"/>
  <c r="AD698" i="15"/>
  <c r="AD699" i="15"/>
  <c r="AD700" i="15"/>
  <c r="AD701" i="15"/>
  <c r="AD702" i="15"/>
  <c r="AD703" i="15"/>
  <c r="AD704" i="15"/>
  <c r="AD705" i="15"/>
  <c r="AD706" i="15"/>
  <c r="AD707" i="15"/>
  <c r="AD708" i="15"/>
  <c r="AD709" i="15"/>
  <c r="AD710" i="15"/>
  <c r="AD711" i="15"/>
  <c r="AD712" i="15"/>
  <c r="AD713" i="15"/>
  <c r="AD716" i="15"/>
  <c r="AD717" i="15"/>
  <c r="AD718" i="15"/>
  <c r="AD719" i="15"/>
  <c r="AD720" i="15"/>
  <c r="AD721" i="15"/>
  <c r="AD722" i="15"/>
  <c r="AD723" i="15"/>
  <c r="AD724" i="15"/>
  <c r="AD725" i="15"/>
  <c r="AD726" i="15"/>
  <c r="AD727" i="15"/>
  <c r="AD728" i="15"/>
  <c r="AC589" i="15"/>
  <c r="W732" i="15"/>
  <c r="V732" i="15" s="1"/>
  <c r="U732" i="15" s="1"/>
  <c r="AM732" i="15"/>
  <c r="AN732" i="15" s="1"/>
  <c r="AO732" i="15" s="1"/>
  <c r="Z728" i="15"/>
  <c r="AM728" i="15"/>
  <c r="AM727" i="15"/>
  <c r="Z727" i="15"/>
  <c r="W727" i="15" s="1"/>
  <c r="AM726" i="15"/>
  <c r="Z725" i="15"/>
  <c r="Z724" i="15"/>
  <c r="AM725" i="15"/>
  <c r="AM724" i="15"/>
  <c r="Z723" i="15"/>
  <c r="AM723" i="15"/>
  <c r="AM721" i="15"/>
  <c r="Z721" i="15"/>
  <c r="W721" i="15" s="1"/>
  <c r="AM722" i="15"/>
  <c r="Z720" i="15"/>
  <c r="W720" i="15" s="1"/>
  <c r="AM720" i="15"/>
  <c r="Z719" i="15"/>
  <c r="W719" i="15" s="1"/>
  <c r="V719" i="15" s="1"/>
  <c r="AM719" i="15"/>
  <c r="AM718" i="15"/>
  <c r="Z717" i="15"/>
  <c r="W717" i="15" s="1"/>
  <c r="V717" i="15" s="1"/>
  <c r="AM717" i="15"/>
  <c r="Z716" i="15"/>
  <c r="W716" i="15" s="1"/>
  <c r="V716" i="15" s="1"/>
  <c r="AM716" i="15"/>
  <c r="AM713" i="15"/>
  <c r="AM712" i="15"/>
  <c r="Z712" i="15"/>
  <c r="W712" i="15" s="1"/>
  <c r="AM711" i="15"/>
  <c r="AM710" i="15"/>
  <c r="Z710" i="15"/>
  <c r="W710" i="15" s="1"/>
  <c r="AM709" i="15"/>
  <c r="AM708" i="15"/>
  <c r="Z708" i="15"/>
  <c r="W708" i="15" s="1"/>
  <c r="Z707" i="15"/>
  <c r="W707" i="15" s="1"/>
  <c r="AM707" i="15"/>
  <c r="Z706" i="15"/>
  <c r="W706" i="15" s="1"/>
  <c r="AM706" i="15"/>
  <c r="AM700" i="15"/>
  <c r="Z700" i="15"/>
  <c r="AM701" i="15"/>
  <c r="Z701" i="15"/>
  <c r="AM702" i="15"/>
  <c r="Z702" i="15"/>
  <c r="AM703" i="15"/>
  <c r="Z703" i="15"/>
  <c r="AM704" i="15"/>
  <c r="Z704" i="15"/>
  <c r="AM705" i="15"/>
  <c r="Z705" i="15"/>
  <c r="Z699" i="15"/>
  <c r="AM699" i="15"/>
  <c r="AM693" i="15"/>
  <c r="Z693" i="15"/>
  <c r="W693" i="15" s="1"/>
  <c r="AM694" i="15"/>
  <c r="AM695" i="15"/>
  <c r="Z695" i="15"/>
  <c r="W695" i="15" s="1"/>
  <c r="AM696" i="15"/>
  <c r="Z696" i="15"/>
  <c r="W696" i="15" s="1"/>
  <c r="AM697" i="15"/>
  <c r="Z697" i="15"/>
  <c r="W697" i="15" s="1"/>
  <c r="AM698" i="15"/>
  <c r="Z698" i="15"/>
  <c r="W698" i="15" s="1"/>
  <c r="Z692" i="15"/>
  <c r="W692" i="15" s="1"/>
  <c r="AM692" i="15"/>
  <c r="AM688" i="15"/>
  <c r="Z688" i="15"/>
  <c r="W688" i="15" s="1"/>
  <c r="AM689" i="15"/>
  <c r="Z689" i="15"/>
  <c r="W689" i="15" s="1"/>
  <c r="AM690" i="15"/>
  <c r="Z690" i="15"/>
  <c r="W690" i="15" s="1"/>
  <c r="AM691" i="15"/>
  <c r="Z691" i="15"/>
  <c r="W691" i="15" s="1"/>
  <c r="AM687" i="15"/>
  <c r="AM684" i="15"/>
  <c r="Z684" i="15"/>
  <c r="W684" i="15" s="1"/>
  <c r="AM685" i="15"/>
  <c r="Z685" i="15"/>
  <c r="W685" i="15" s="1"/>
  <c r="AM686" i="15"/>
  <c r="Z686" i="15"/>
  <c r="W686" i="15" s="1"/>
  <c r="AM683" i="15"/>
  <c r="Z681" i="15"/>
  <c r="AM681" i="15"/>
  <c r="P681" i="15"/>
  <c r="J681" i="15"/>
  <c r="AM676" i="15"/>
  <c r="J676" i="15"/>
  <c r="P676" i="15"/>
  <c r="Z676" i="15"/>
  <c r="AM677" i="15"/>
  <c r="J677" i="15"/>
  <c r="P677" i="15"/>
  <c r="Z677" i="15"/>
  <c r="AM678" i="15"/>
  <c r="J678" i="15"/>
  <c r="P678" i="15"/>
  <c r="Z678" i="15"/>
  <c r="AM679" i="15"/>
  <c r="J679" i="15"/>
  <c r="P679" i="15"/>
  <c r="Z679" i="15"/>
  <c r="AM680" i="15"/>
  <c r="J680" i="15"/>
  <c r="P680" i="15"/>
  <c r="Z680" i="15"/>
  <c r="Z675" i="15"/>
  <c r="P675" i="15"/>
  <c r="J675" i="15"/>
  <c r="P674" i="15"/>
  <c r="P673" i="15"/>
  <c r="P672" i="15"/>
  <c r="P671" i="15"/>
  <c r="P670" i="15"/>
  <c r="J674" i="15"/>
  <c r="J673" i="15"/>
  <c r="J672" i="15"/>
  <c r="J671" i="15"/>
  <c r="J670" i="15"/>
  <c r="AM675" i="15"/>
  <c r="AM671" i="15"/>
  <c r="Z671" i="15"/>
  <c r="AM672" i="15"/>
  <c r="Z672" i="15"/>
  <c r="AM673" i="15"/>
  <c r="Z673" i="15"/>
  <c r="AM674" i="15"/>
  <c r="Z674" i="15"/>
  <c r="Z670" i="15"/>
  <c r="AM670" i="15"/>
  <c r="Z669" i="15"/>
  <c r="AM669" i="15"/>
  <c r="AM666" i="15"/>
  <c r="Z666" i="15"/>
  <c r="AM665" i="15"/>
  <c r="Z664" i="15"/>
  <c r="W664" i="15" s="1"/>
  <c r="P664" i="15"/>
  <c r="J664" i="15"/>
  <c r="AM664" i="15"/>
  <c r="AM662" i="15"/>
  <c r="Z662" i="15"/>
  <c r="W662" i="15" s="1"/>
  <c r="AM663" i="15"/>
  <c r="Z663" i="15"/>
  <c r="W663" i="15" s="1"/>
  <c r="Z661" i="15"/>
  <c r="W661" i="15" s="1"/>
  <c r="AM661" i="15"/>
  <c r="AM658" i="15"/>
  <c r="Z658" i="15"/>
  <c r="W658" i="15" s="1"/>
  <c r="AM659" i="15"/>
  <c r="AM660" i="15"/>
  <c r="Z660" i="15"/>
  <c r="W660" i="15" s="1"/>
  <c r="Z657" i="15"/>
  <c r="W657" i="15" s="1"/>
  <c r="AM657" i="15"/>
  <c r="Z656" i="15"/>
  <c r="W656" i="15" s="1"/>
  <c r="AM656" i="15"/>
  <c r="AM655" i="15"/>
  <c r="AM654" i="15"/>
  <c r="Z654" i="15"/>
  <c r="AM653" i="15"/>
  <c r="AM649" i="15"/>
  <c r="AM650" i="15"/>
  <c r="Z650" i="15"/>
  <c r="AM651" i="15"/>
  <c r="Z651" i="15"/>
  <c r="AM652" i="15"/>
  <c r="Z652" i="15"/>
  <c r="AM648" i="15"/>
  <c r="Z647" i="15"/>
  <c r="W647" i="15" s="1"/>
  <c r="AM647" i="15"/>
  <c r="Z646" i="15"/>
  <c r="W646" i="15" s="1"/>
  <c r="AM646" i="15"/>
  <c r="AM643" i="15"/>
  <c r="Z643" i="15"/>
  <c r="W643" i="15" s="1"/>
  <c r="AM644" i="15"/>
  <c r="Z644" i="15"/>
  <c r="W644" i="15" s="1"/>
  <c r="AM645" i="15"/>
  <c r="AM629" i="15"/>
  <c r="AM630" i="15"/>
  <c r="AM631" i="15"/>
  <c r="AM632" i="15"/>
  <c r="AM633" i="15"/>
  <c r="AM634" i="15"/>
  <c r="AM635" i="15"/>
  <c r="AM636" i="15"/>
  <c r="AM637" i="15"/>
  <c r="Z637" i="15"/>
  <c r="W637" i="15" s="1"/>
  <c r="AM638" i="15"/>
  <c r="AM639" i="15"/>
  <c r="Z639" i="15"/>
  <c r="W639" i="15" s="1"/>
  <c r="AM640" i="15"/>
  <c r="Z640" i="15"/>
  <c r="W640" i="15" s="1"/>
  <c r="AM641" i="15"/>
  <c r="AM642" i="15"/>
  <c r="Z642" i="15"/>
  <c r="W642" i="15" s="1"/>
  <c r="AM628" i="15"/>
  <c r="AM592" i="15"/>
  <c r="AM593" i="15"/>
  <c r="AM594" i="15"/>
  <c r="AM595" i="15"/>
  <c r="AM596" i="15"/>
  <c r="AM597" i="15"/>
  <c r="AM598" i="15"/>
  <c r="AM599" i="15"/>
  <c r="AM600" i="15"/>
  <c r="AM601" i="15"/>
  <c r="AM602" i="15"/>
  <c r="AM603" i="15"/>
  <c r="AM604" i="15"/>
  <c r="AM605" i="15"/>
  <c r="AM606" i="15"/>
  <c r="AM609" i="15"/>
  <c r="AM612" i="15"/>
  <c r="AM615" i="15"/>
  <c r="AM591" i="15"/>
  <c r="Z589" i="15"/>
  <c r="G588" i="15"/>
  <c r="G587" i="15"/>
  <c r="G586" i="15"/>
  <c r="G585" i="15"/>
  <c r="G584" i="15"/>
  <c r="G583" i="15"/>
  <c r="AB585" i="15"/>
  <c r="AB584" i="15"/>
  <c r="AB583" i="15"/>
  <c r="X587" i="15"/>
  <c r="Z587" i="15" s="1"/>
  <c r="X586" i="15"/>
  <c r="Z586" i="15" s="1"/>
  <c r="X585" i="15"/>
  <c r="Z585" i="15" s="1"/>
  <c r="X584" i="15"/>
  <c r="Z584" i="15" s="1"/>
  <c r="X583" i="15"/>
  <c r="Z583" i="15" s="1"/>
  <c r="H588" i="15"/>
  <c r="H587" i="15"/>
  <c r="H586" i="15"/>
  <c r="H585" i="15"/>
  <c r="H584" i="15"/>
  <c r="H583" i="15"/>
  <c r="C588" i="15"/>
  <c r="AM588" i="15" s="1"/>
  <c r="C587" i="15"/>
  <c r="AM587" i="15" s="1"/>
  <c r="C586" i="15"/>
  <c r="AM586" i="15" s="1"/>
  <c r="C585" i="15"/>
  <c r="AM585" i="15" s="1"/>
  <c r="C584" i="15"/>
  <c r="AM584" i="15" s="1"/>
  <c r="C583" i="15"/>
  <c r="AM583" i="15" s="1"/>
  <c r="B588" i="15"/>
  <c r="A588" i="15" s="1"/>
  <c r="B587" i="15"/>
  <c r="A587" i="15" s="1"/>
  <c r="B586" i="15"/>
  <c r="A586" i="15" s="1"/>
  <c r="B585" i="15"/>
  <c r="A585" i="15" s="1"/>
  <c r="B584" i="15"/>
  <c r="A584" i="15" s="1"/>
  <c r="B583" i="15"/>
  <c r="A583" i="15" s="1"/>
  <c r="H582" i="15"/>
  <c r="H580" i="15"/>
  <c r="G582" i="15"/>
  <c r="G580" i="15"/>
  <c r="D582" i="15"/>
  <c r="C582" i="15"/>
  <c r="AM582" i="15" s="1"/>
  <c r="C580" i="15"/>
  <c r="AM580" i="15" s="1"/>
  <c r="B582" i="15"/>
  <c r="A582" i="15" s="1"/>
  <c r="B580" i="15"/>
  <c r="A580" i="15" s="1"/>
  <c r="B572" i="15"/>
  <c r="A572" i="15" s="1"/>
  <c r="H572" i="15"/>
  <c r="B573" i="15"/>
  <c r="A573" i="15" s="1"/>
  <c r="H573" i="15"/>
  <c r="B574" i="15"/>
  <c r="A574" i="15" s="1"/>
  <c r="H574" i="15"/>
  <c r="B575" i="15"/>
  <c r="A575" i="15" s="1"/>
  <c r="H575" i="15"/>
  <c r="B576" i="15"/>
  <c r="A576" i="15" s="1"/>
  <c r="H576" i="15"/>
  <c r="B577" i="15"/>
  <c r="A577" i="15" s="1"/>
  <c r="H577" i="15"/>
  <c r="B578" i="15"/>
  <c r="A578" i="15" s="1"/>
  <c r="H578" i="15"/>
  <c r="B579" i="15"/>
  <c r="A579" i="15" s="1"/>
  <c r="H579" i="15"/>
  <c r="H571" i="15"/>
  <c r="B571" i="15"/>
  <c r="A571" i="15" s="1"/>
  <c r="B570" i="15"/>
  <c r="A570" i="15" s="1"/>
  <c r="C570" i="15"/>
  <c r="AM570" i="15" s="1"/>
  <c r="G570" i="15"/>
  <c r="H570" i="15"/>
  <c r="B566" i="15"/>
  <c r="A566" i="15" s="1"/>
  <c r="C566" i="15"/>
  <c r="AM566" i="15" s="1"/>
  <c r="G566" i="15"/>
  <c r="H566" i="15"/>
  <c r="B567" i="15"/>
  <c r="A567" i="15" s="1"/>
  <c r="C567" i="15"/>
  <c r="AM567" i="15" s="1"/>
  <c r="G567" i="15"/>
  <c r="H567" i="15"/>
  <c r="B568" i="15"/>
  <c r="A568" i="15" s="1"/>
  <c r="C568" i="15"/>
  <c r="AM568" i="15" s="1"/>
  <c r="G568" i="15"/>
  <c r="H568" i="15"/>
  <c r="B569" i="15"/>
  <c r="A569" i="15" s="1"/>
  <c r="C569" i="15"/>
  <c r="AM569" i="15" s="1"/>
  <c r="G569" i="15"/>
  <c r="H569" i="15"/>
  <c r="H565" i="15"/>
  <c r="G565" i="15"/>
  <c r="C565" i="15"/>
  <c r="AM565" i="15" s="1"/>
  <c r="B565" i="15"/>
  <c r="A565" i="15" s="1"/>
  <c r="H564" i="15"/>
  <c r="H563" i="15"/>
  <c r="G564" i="15"/>
  <c r="G563" i="15"/>
  <c r="C564" i="15"/>
  <c r="AM564" i="15" s="1"/>
  <c r="C563" i="15"/>
  <c r="AM563" i="15" s="1"/>
  <c r="B564" i="15"/>
  <c r="A564" i="15" s="1"/>
  <c r="B562" i="15"/>
  <c r="A562" i="15" s="1"/>
  <c r="AB546" i="15"/>
  <c r="AB547" i="15"/>
  <c r="AB548" i="15"/>
  <c r="AB558" i="15"/>
  <c r="AB545" i="15"/>
  <c r="X546" i="15"/>
  <c r="Z546" i="15" s="1"/>
  <c r="X547" i="15"/>
  <c r="Z547" i="15" s="1"/>
  <c r="X548" i="15"/>
  <c r="Z548" i="15" s="1"/>
  <c r="X549" i="15"/>
  <c r="Z549" i="15" s="1"/>
  <c r="X550" i="15"/>
  <c r="Z550" i="15" s="1"/>
  <c r="X551" i="15"/>
  <c r="Z551" i="15" s="1"/>
  <c r="X552" i="15"/>
  <c r="Z552" i="15" s="1"/>
  <c r="X553" i="15"/>
  <c r="Z553" i="15" s="1"/>
  <c r="X554" i="15"/>
  <c r="Z554" i="15" s="1"/>
  <c r="X557" i="15"/>
  <c r="Z557" i="15" s="1"/>
  <c r="X558" i="15"/>
  <c r="Z558" i="15" s="1"/>
  <c r="X545" i="15"/>
  <c r="Z545" i="15" s="1"/>
  <c r="H546" i="15"/>
  <c r="H547" i="15"/>
  <c r="H548" i="15"/>
  <c r="H549" i="15"/>
  <c r="H550" i="15"/>
  <c r="H551" i="15"/>
  <c r="H552" i="15"/>
  <c r="H553" i="15"/>
  <c r="H554" i="15"/>
  <c r="H557" i="15"/>
  <c r="H558" i="15"/>
  <c r="H545" i="15"/>
  <c r="G546" i="15"/>
  <c r="G547" i="15"/>
  <c r="G548" i="15"/>
  <c r="G549" i="15"/>
  <c r="G550" i="15"/>
  <c r="G551" i="15"/>
  <c r="G552" i="15"/>
  <c r="G553" i="15"/>
  <c r="G554" i="15"/>
  <c r="G557" i="15"/>
  <c r="G558" i="15"/>
  <c r="G545" i="15"/>
  <c r="C546" i="15"/>
  <c r="AM546" i="15" s="1"/>
  <c r="C547" i="15"/>
  <c r="AM547" i="15" s="1"/>
  <c r="C548" i="15"/>
  <c r="AM548" i="15" s="1"/>
  <c r="C549" i="15"/>
  <c r="AM549" i="15" s="1"/>
  <c r="C550" i="15"/>
  <c r="AM550" i="15" s="1"/>
  <c r="C551" i="15"/>
  <c r="AM551" i="15" s="1"/>
  <c r="C552" i="15"/>
  <c r="AM552" i="15" s="1"/>
  <c r="C553" i="15"/>
  <c r="AM553" i="15" s="1"/>
  <c r="C554" i="15"/>
  <c r="AM554" i="15" s="1"/>
  <c r="C557" i="15"/>
  <c r="AM557" i="15" s="1"/>
  <c r="C558" i="15"/>
  <c r="AM558" i="15" s="1"/>
  <c r="C545" i="15"/>
  <c r="AM545" i="15" s="1"/>
  <c r="B546" i="15"/>
  <c r="A546" i="15" s="1"/>
  <c r="B547" i="15"/>
  <c r="A547" i="15" s="1"/>
  <c r="B548" i="15"/>
  <c r="A548" i="15" s="1"/>
  <c r="B549" i="15"/>
  <c r="A549" i="15" s="1"/>
  <c r="B550" i="15"/>
  <c r="A550" i="15" s="1"/>
  <c r="B551" i="15"/>
  <c r="A551" i="15" s="1"/>
  <c r="B552" i="15"/>
  <c r="A552" i="15" s="1"/>
  <c r="B553" i="15"/>
  <c r="A553" i="15" s="1"/>
  <c r="B554" i="15"/>
  <c r="A554" i="15" s="1"/>
  <c r="B557" i="15"/>
  <c r="A557" i="15" s="1"/>
  <c r="B558" i="15"/>
  <c r="A558" i="15" s="1"/>
  <c r="B545" i="15"/>
  <c r="A545" i="15" s="1"/>
  <c r="H544" i="15"/>
  <c r="G544" i="15"/>
  <c r="D544" i="15"/>
  <c r="C544" i="15"/>
  <c r="AM544" i="15" s="1"/>
  <c r="B544" i="15"/>
  <c r="A544" i="15" s="1"/>
  <c r="H543" i="15"/>
  <c r="H542" i="15"/>
  <c r="G542" i="15"/>
  <c r="C543" i="15"/>
  <c r="AM543" i="15" s="1"/>
  <c r="C542" i="15"/>
  <c r="AM542" i="15" s="1"/>
  <c r="B543" i="15"/>
  <c r="A543" i="15" s="1"/>
  <c r="B542" i="15"/>
  <c r="A542" i="15" s="1"/>
  <c r="H533" i="15"/>
  <c r="H534" i="15"/>
  <c r="H535" i="15"/>
  <c r="H536" i="15"/>
  <c r="H537" i="15"/>
  <c r="H538" i="15"/>
  <c r="H539" i="15"/>
  <c r="H540" i="15"/>
  <c r="H541" i="15"/>
  <c r="H532" i="15"/>
  <c r="G533" i="15"/>
  <c r="G534" i="15"/>
  <c r="G535" i="15"/>
  <c r="G536" i="15"/>
  <c r="G537" i="15"/>
  <c r="G538" i="15"/>
  <c r="G539" i="15"/>
  <c r="G540" i="15"/>
  <c r="G541" i="15"/>
  <c r="G532" i="15"/>
  <c r="C533" i="15"/>
  <c r="AM533" i="15" s="1"/>
  <c r="C534" i="15"/>
  <c r="AM534" i="15" s="1"/>
  <c r="C535" i="15"/>
  <c r="AM535" i="15" s="1"/>
  <c r="C536" i="15"/>
  <c r="AM536" i="15" s="1"/>
  <c r="C537" i="15"/>
  <c r="AM537" i="15" s="1"/>
  <c r="C538" i="15"/>
  <c r="AM538" i="15" s="1"/>
  <c r="C539" i="15"/>
  <c r="AM539" i="15" s="1"/>
  <c r="C540" i="15"/>
  <c r="AM540" i="15" s="1"/>
  <c r="C541" i="15"/>
  <c r="AM541" i="15" s="1"/>
  <c r="C532" i="15"/>
  <c r="AM532" i="15" s="1"/>
  <c r="B533" i="15"/>
  <c r="A533" i="15" s="1"/>
  <c r="B534" i="15"/>
  <c r="A534" i="15" s="1"/>
  <c r="B535" i="15"/>
  <c r="A535" i="15" s="1"/>
  <c r="B536" i="15"/>
  <c r="A536" i="15" s="1"/>
  <c r="B537" i="15"/>
  <c r="A537" i="15" s="1"/>
  <c r="B538" i="15"/>
  <c r="A538" i="15" s="1"/>
  <c r="B539" i="15"/>
  <c r="A539" i="15" s="1"/>
  <c r="B540" i="15"/>
  <c r="A540" i="15" s="1"/>
  <c r="B541" i="15"/>
  <c r="A541" i="15" s="1"/>
  <c r="B532" i="15"/>
  <c r="A532" i="15" s="1"/>
  <c r="P527" i="15"/>
  <c r="P526" i="15"/>
  <c r="P525" i="15"/>
  <c r="P524" i="15"/>
  <c r="P523" i="15"/>
  <c r="J523" i="15"/>
  <c r="J524" i="15"/>
  <c r="J525" i="15"/>
  <c r="J526" i="15"/>
  <c r="J527" i="15"/>
  <c r="H523" i="15"/>
  <c r="H524" i="15"/>
  <c r="H525" i="15"/>
  <c r="H526" i="15"/>
  <c r="H527" i="15"/>
  <c r="G524" i="15"/>
  <c r="G526" i="15"/>
  <c r="C523" i="15"/>
  <c r="AM523" i="15" s="1"/>
  <c r="C524" i="15"/>
  <c r="AM524" i="15" s="1"/>
  <c r="C525" i="15"/>
  <c r="AM525" i="15" s="1"/>
  <c r="C526" i="15"/>
  <c r="AM526" i="15" s="1"/>
  <c r="C527" i="15"/>
  <c r="AM527" i="15" s="1"/>
  <c r="B523" i="15"/>
  <c r="A523" i="15" s="1"/>
  <c r="B524" i="15"/>
  <c r="A524" i="15" s="1"/>
  <c r="B525" i="15"/>
  <c r="A525" i="15" s="1"/>
  <c r="B526" i="15"/>
  <c r="A526" i="15" s="1"/>
  <c r="B527" i="15"/>
  <c r="A527" i="15" s="1"/>
  <c r="J506" i="15"/>
  <c r="J505" i="15"/>
  <c r="J504" i="15"/>
  <c r="J503" i="15"/>
  <c r="J502" i="15"/>
  <c r="J501" i="15"/>
  <c r="J500" i="15"/>
  <c r="J499" i="15"/>
  <c r="J498" i="15"/>
  <c r="J497" i="15"/>
  <c r="J496" i="15"/>
  <c r="J495" i="15"/>
  <c r="J494" i="15"/>
  <c r="J493" i="15"/>
  <c r="J492" i="15"/>
  <c r="J491" i="15"/>
  <c r="J490" i="15"/>
  <c r="J489" i="15"/>
  <c r="J488" i="15"/>
  <c r="J487" i="15"/>
  <c r="J486" i="15"/>
  <c r="J485" i="15"/>
  <c r="J484" i="15"/>
  <c r="J483" i="15"/>
  <c r="P506" i="15"/>
  <c r="P505" i="15"/>
  <c r="P504" i="15"/>
  <c r="P503" i="15"/>
  <c r="P502" i="15"/>
  <c r="P501" i="15"/>
  <c r="P500" i="15"/>
  <c r="P499" i="15"/>
  <c r="P498" i="15"/>
  <c r="P497" i="15"/>
  <c r="P496" i="15"/>
  <c r="P495" i="15"/>
  <c r="P494" i="15"/>
  <c r="P493" i="15"/>
  <c r="P492" i="15"/>
  <c r="P491" i="15"/>
  <c r="P490" i="15"/>
  <c r="P489" i="15"/>
  <c r="P488" i="15"/>
  <c r="P487" i="15"/>
  <c r="P486" i="15"/>
  <c r="P485" i="15"/>
  <c r="P484" i="15"/>
  <c r="P483" i="15"/>
  <c r="G484" i="15"/>
  <c r="H484" i="15"/>
  <c r="G485" i="15"/>
  <c r="H485" i="15"/>
  <c r="G486" i="15"/>
  <c r="H486" i="15"/>
  <c r="G487" i="15"/>
  <c r="H487" i="15"/>
  <c r="G488" i="15"/>
  <c r="H488" i="15"/>
  <c r="G489" i="15"/>
  <c r="H489" i="15"/>
  <c r="G490" i="15"/>
  <c r="H490" i="15"/>
  <c r="G491" i="15"/>
  <c r="H491" i="15"/>
  <c r="G492" i="15"/>
  <c r="H492" i="15"/>
  <c r="G493" i="15"/>
  <c r="H493" i="15"/>
  <c r="G494" i="15"/>
  <c r="H494" i="15"/>
  <c r="G495" i="15"/>
  <c r="H495" i="15"/>
  <c r="G496" i="15"/>
  <c r="H496" i="15"/>
  <c r="G497" i="15"/>
  <c r="H497" i="15"/>
  <c r="G498" i="15"/>
  <c r="H498" i="15"/>
  <c r="G499" i="15"/>
  <c r="H499" i="15"/>
  <c r="G500" i="15"/>
  <c r="H500" i="15"/>
  <c r="G501" i="15"/>
  <c r="H501" i="15"/>
  <c r="G502" i="15"/>
  <c r="H502" i="15"/>
  <c r="G503" i="15"/>
  <c r="H503" i="15"/>
  <c r="G504" i="15"/>
  <c r="H504" i="15"/>
  <c r="G505" i="15"/>
  <c r="H505" i="15"/>
  <c r="G506" i="15"/>
  <c r="H506" i="15"/>
  <c r="H483" i="15"/>
  <c r="G483" i="15"/>
  <c r="C484" i="15"/>
  <c r="AM484" i="15" s="1"/>
  <c r="C485" i="15"/>
  <c r="AM485" i="15" s="1"/>
  <c r="C486" i="15"/>
  <c r="AM486" i="15" s="1"/>
  <c r="C487" i="15"/>
  <c r="AM487" i="15" s="1"/>
  <c r="C488" i="15"/>
  <c r="AM488" i="15" s="1"/>
  <c r="C489" i="15"/>
  <c r="AM489" i="15" s="1"/>
  <c r="C490" i="15"/>
  <c r="AM490" i="15" s="1"/>
  <c r="C491" i="15"/>
  <c r="AM491" i="15" s="1"/>
  <c r="C492" i="15"/>
  <c r="AM492" i="15" s="1"/>
  <c r="C493" i="15"/>
  <c r="AM493" i="15" s="1"/>
  <c r="C494" i="15"/>
  <c r="AM494" i="15" s="1"/>
  <c r="C495" i="15"/>
  <c r="AM495" i="15" s="1"/>
  <c r="C496" i="15"/>
  <c r="AM496" i="15" s="1"/>
  <c r="C497" i="15"/>
  <c r="AM497" i="15" s="1"/>
  <c r="C498" i="15"/>
  <c r="AM498" i="15" s="1"/>
  <c r="C499" i="15"/>
  <c r="AM499" i="15" s="1"/>
  <c r="C500" i="15"/>
  <c r="AM500" i="15" s="1"/>
  <c r="C501" i="15"/>
  <c r="AM501" i="15" s="1"/>
  <c r="C502" i="15"/>
  <c r="AM502" i="15" s="1"/>
  <c r="C503" i="15"/>
  <c r="AM503" i="15" s="1"/>
  <c r="C504" i="15"/>
  <c r="AM504" i="15" s="1"/>
  <c r="C505" i="15"/>
  <c r="AM505" i="15" s="1"/>
  <c r="C506" i="15"/>
  <c r="AM506" i="15" s="1"/>
  <c r="C483" i="15"/>
  <c r="AM483" i="15" s="1"/>
  <c r="B503" i="15"/>
  <c r="A503" i="15" s="1"/>
  <c r="B504" i="15"/>
  <c r="A504" i="15" s="1"/>
  <c r="B505" i="15"/>
  <c r="A505" i="15" s="1"/>
  <c r="B506" i="15"/>
  <c r="A506" i="15" s="1"/>
  <c r="B484" i="15"/>
  <c r="A484" i="15" s="1"/>
  <c r="B485" i="15"/>
  <c r="A485" i="15" s="1"/>
  <c r="B486" i="15"/>
  <c r="A486" i="15" s="1"/>
  <c r="B487" i="15"/>
  <c r="A487" i="15" s="1"/>
  <c r="B488" i="15"/>
  <c r="A488" i="15" s="1"/>
  <c r="B489" i="15"/>
  <c r="A489" i="15" s="1"/>
  <c r="B490" i="15"/>
  <c r="A490" i="15" s="1"/>
  <c r="B491" i="15"/>
  <c r="A491" i="15" s="1"/>
  <c r="B492" i="15"/>
  <c r="A492" i="15" s="1"/>
  <c r="B493" i="15"/>
  <c r="A493" i="15" s="1"/>
  <c r="B494" i="15"/>
  <c r="A494" i="15" s="1"/>
  <c r="B495" i="15"/>
  <c r="A495" i="15" s="1"/>
  <c r="B496" i="15"/>
  <c r="A496" i="15" s="1"/>
  <c r="B497" i="15"/>
  <c r="A497" i="15" s="1"/>
  <c r="B498" i="15"/>
  <c r="A498" i="15" s="1"/>
  <c r="B499" i="15"/>
  <c r="A499" i="15" s="1"/>
  <c r="B500" i="15"/>
  <c r="A500" i="15" s="1"/>
  <c r="B501" i="15"/>
  <c r="A501" i="15" s="1"/>
  <c r="B502" i="15"/>
  <c r="A502" i="15" s="1"/>
  <c r="B483" i="15"/>
  <c r="A483" i="15" s="1"/>
  <c r="H482" i="15"/>
  <c r="H481" i="15"/>
  <c r="G482" i="15"/>
  <c r="G481" i="15"/>
  <c r="D481" i="15"/>
  <c r="C482" i="15"/>
  <c r="AM482" i="15" s="1"/>
  <c r="D482" i="15"/>
  <c r="C481" i="15"/>
  <c r="AM481" i="15" s="1"/>
  <c r="B482" i="15"/>
  <c r="A482" i="15" s="1"/>
  <c r="B481" i="15"/>
  <c r="A481" i="15" s="1"/>
  <c r="X472" i="15"/>
  <c r="Z472" i="15" s="1"/>
  <c r="X473" i="15"/>
  <c r="Z473" i="15" s="1"/>
  <c r="X475" i="15"/>
  <c r="Z475" i="15" s="1"/>
  <c r="X476" i="15"/>
  <c r="Z476" i="15" s="1"/>
  <c r="X478" i="15"/>
  <c r="Z478" i="15" s="1"/>
  <c r="X479" i="15"/>
  <c r="Z479" i="15" s="1"/>
  <c r="AB472" i="15"/>
  <c r="AB473" i="15"/>
  <c r="AB475" i="15"/>
  <c r="AB476" i="15"/>
  <c r="AB478" i="15"/>
  <c r="AB470" i="15"/>
  <c r="X470" i="15"/>
  <c r="Z470" i="15" s="1"/>
  <c r="H472" i="15"/>
  <c r="H473" i="15"/>
  <c r="H475" i="15"/>
  <c r="H476" i="15"/>
  <c r="H478" i="15"/>
  <c r="H479" i="15"/>
  <c r="H470" i="15"/>
  <c r="G472" i="15"/>
  <c r="G473" i="15"/>
  <c r="G475" i="15"/>
  <c r="G476" i="15"/>
  <c r="G478" i="15"/>
  <c r="G479" i="15"/>
  <c r="G470" i="15"/>
  <c r="C472" i="15"/>
  <c r="AM472" i="15" s="1"/>
  <c r="C473" i="15"/>
  <c r="AM473" i="15" s="1"/>
  <c r="C475" i="15"/>
  <c r="AM475" i="15" s="1"/>
  <c r="C476" i="15"/>
  <c r="AM476" i="15" s="1"/>
  <c r="C478" i="15"/>
  <c r="AM478" i="15" s="1"/>
  <c r="C479" i="15"/>
  <c r="AM479" i="15" s="1"/>
  <c r="C470" i="15"/>
  <c r="AM470" i="15" s="1"/>
  <c r="B472" i="15"/>
  <c r="A472" i="15" s="1"/>
  <c r="B473" i="15"/>
  <c r="A473" i="15" s="1"/>
  <c r="B475" i="15"/>
  <c r="A475" i="15" s="1"/>
  <c r="B476" i="15"/>
  <c r="A476" i="15" s="1"/>
  <c r="B478" i="15"/>
  <c r="A478" i="15" s="1"/>
  <c r="B479" i="15"/>
  <c r="A479" i="15" s="1"/>
  <c r="B470" i="15"/>
  <c r="A470" i="15" s="1"/>
  <c r="X446" i="15"/>
  <c r="Z446" i="15" s="1"/>
  <c r="X447" i="15"/>
  <c r="Z447" i="15" s="1"/>
  <c r="X448" i="15"/>
  <c r="Z448" i="15" s="1"/>
  <c r="X449" i="15"/>
  <c r="Z449" i="15" s="1"/>
  <c r="X451" i="15"/>
  <c r="Z451" i="15" s="1"/>
  <c r="X452" i="15"/>
  <c r="Z452" i="15" s="1"/>
  <c r="X453" i="15"/>
  <c r="Z453" i="15" s="1"/>
  <c r="X454" i="15"/>
  <c r="Z454" i="15" s="1"/>
  <c r="X455" i="15"/>
  <c r="Z455" i="15" s="1"/>
  <c r="X456" i="15"/>
  <c r="Z456" i="15" s="1"/>
  <c r="X457" i="15"/>
  <c r="Z457" i="15" s="1"/>
  <c r="X458" i="15"/>
  <c r="Z458" i="15" s="1"/>
  <c r="X459" i="15"/>
  <c r="Z459" i="15" s="1"/>
  <c r="X460" i="15"/>
  <c r="Z460" i="15" s="1"/>
  <c r="X461" i="15"/>
  <c r="Z461" i="15" s="1"/>
  <c r="X462" i="15"/>
  <c r="Z462" i="15" s="1"/>
  <c r="X464" i="15"/>
  <c r="Z464" i="15" s="1"/>
  <c r="X465" i="15"/>
  <c r="Z465" i="15" s="1"/>
  <c r="X466" i="15"/>
  <c r="Z466" i="15" s="1"/>
  <c r="X445" i="15"/>
  <c r="Z445" i="15" s="1"/>
  <c r="H446" i="15"/>
  <c r="H447" i="15"/>
  <c r="H448" i="15"/>
  <c r="H449" i="15"/>
  <c r="H451" i="15"/>
  <c r="H452" i="15"/>
  <c r="H453" i="15"/>
  <c r="H454" i="15"/>
  <c r="H455" i="15"/>
  <c r="H456" i="15"/>
  <c r="H457" i="15"/>
  <c r="H458" i="15"/>
  <c r="H459" i="15"/>
  <c r="H460" i="15"/>
  <c r="H461" i="15"/>
  <c r="H462" i="15"/>
  <c r="H464" i="15"/>
  <c r="H465" i="15"/>
  <c r="H466" i="15"/>
  <c r="H445" i="15"/>
  <c r="G446" i="15"/>
  <c r="G447" i="15"/>
  <c r="G448" i="15"/>
  <c r="G449" i="15"/>
  <c r="G451" i="15"/>
  <c r="G452" i="15"/>
  <c r="G453" i="15"/>
  <c r="G454" i="15"/>
  <c r="G455" i="15"/>
  <c r="G456" i="15"/>
  <c r="G457" i="15"/>
  <c r="G458" i="15"/>
  <c r="G459" i="15"/>
  <c r="G460" i="15"/>
  <c r="G461" i="15"/>
  <c r="G462" i="15"/>
  <c r="G464" i="15"/>
  <c r="G465" i="15"/>
  <c r="G466" i="15"/>
  <c r="G445" i="15"/>
  <c r="C446" i="15"/>
  <c r="AM446" i="15" s="1"/>
  <c r="C447" i="15"/>
  <c r="AM447" i="15" s="1"/>
  <c r="C448" i="15"/>
  <c r="AM448" i="15" s="1"/>
  <c r="C449" i="15"/>
  <c r="AM449" i="15" s="1"/>
  <c r="C451" i="15"/>
  <c r="AM451" i="15" s="1"/>
  <c r="C452" i="15"/>
  <c r="AM452" i="15" s="1"/>
  <c r="C453" i="15"/>
  <c r="AM453" i="15" s="1"/>
  <c r="C454" i="15"/>
  <c r="AM454" i="15" s="1"/>
  <c r="C455" i="15"/>
  <c r="AM455" i="15" s="1"/>
  <c r="C456" i="15"/>
  <c r="AM456" i="15" s="1"/>
  <c r="C457" i="15"/>
  <c r="AM457" i="15" s="1"/>
  <c r="C458" i="15"/>
  <c r="AM458" i="15" s="1"/>
  <c r="C459" i="15"/>
  <c r="AM459" i="15" s="1"/>
  <c r="C460" i="15"/>
  <c r="AM460" i="15" s="1"/>
  <c r="C461" i="15"/>
  <c r="AM461" i="15" s="1"/>
  <c r="C462" i="15"/>
  <c r="AM462" i="15" s="1"/>
  <c r="C464" i="15"/>
  <c r="AM464" i="15" s="1"/>
  <c r="C465" i="15"/>
  <c r="AM465" i="15" s="1"/>
  <c r="C466" i="15"/>
  <c r="AM466" i="15" s="1"/>
  <c r="C445" i="15"/>
  <c r="AM445" i="15" s="1"/>
  <c r="B446" i="15"/>
  <c r="A446" i="15" s="1"/>
  <c r="B447" i="15"/>
  <c r="A447" i="15" s="1"/>
  <c r="B448" i="15"/>
  <c r="A448" i="15" s="1"/>
  <c r="B449" i="15"/>
  <c r="A449" i="15" s="1"/>
  <c r="B451" i="15"/>
  <c r="A451" i="15" s="1"/>
  <c r="B452" i="15"/>
  <c r="A452" i="15" s="1"/>
  <c r="B453" i="15"/>
  <c r="A453" i="15" s="1"/>
  <c r="B454" i="15"/>
  <c r="A454" i="15" s="1"/>
  <c r="B455" i="15"/>
  <c r="A455" i="15" s="1"/>
  <c r="B456" i="15"/>
  <c r="A456" i="15" s="1"/>
  <c r="B457" i="15"/>
  <c r="A457" i="15" s="1"/>
  <c r="B458" i="15"/>
  <c r="A458" i="15" s="1"/>
  <c r="B459" i="15"/>
  <c r="A459" i="15" s="1"/>
  <c r="B460" i="15"/>
  <c r="A460" i="15" s="1"/>
  <c r="B461" i="15"/>
  <c r="A461" i="15" s="1"/>
  <c r="B462" i="15"/>
  <c r="A462" i="15" s="1"/>
  <c r="B464" i="15"/>
  <c r="A464" i="15" s="1"/>
  <c r="B465" i="15"/>
  <c r="A465" i="15" s="1"/>
  <c r="B466" i="15"/>
  <c r="A466" i="15" s="1"/>
  <c r="B445" i="15"/>
  <c r="A445" i="15" s="1"/>
  <c r="H444" i="15"/>
  <c r="G444" i="15"/>
  <c r="C444" i="15"/>
  <c r="AM444" i="15" s="1"/>
  <c r="B444" i="15"/>
  <c r="A444" i="15" s="1"/>
  <c r="H443" i="15"/>
  <c r="G443" i="15"/>
  <c r="C443" i="15"/>
  <c r="AM443" i="15" s="1"/>
  <c r="B443" i="15"/>
  <c r="A443" i="15" s="1"/>
  <c r="H442" i="15"/>
  <c r="G442" i="15"/>
  <c r="C442" i="15"/>
  <c r="AM442" i="15" s="1"/>
  <c r="B442" i="15"/>
  <c r="A442" i="15" s="1"/>
  <c r="C441" i="15"/>
  <c r="AM441" i="15" s="1"/>
  <c r="G441" i="15"/>
  <c r="H441" i="15"/>
  <c r="H440" i="15"/>
  <c r="G440" i="15"/>
  <c r="C440" i="15"/>
  <c r="AM440" i="15" s="1"/>
  <c r="B441" i="15"/>
  <c r="A441" i="15" s="1"/>
  <c r="B440" i="15"/>
  <c r="A440" i="15" s="1"/>
  <c r="P439" i="15"/>
  <c r="P438" i="15"/>
  <c r="P437" i="15"/>
  <c r="P436" i="15"/>
  <c r="P435" i="15"/>
  <c r="P434" i="15"/>
  <c r="P433" i="15"/>
  <c r="P432" i="15"/>
  <c r="P431" i="15"/>
  <c r="P430" i="15"/>
  <c r="P429" i="15"/>
  <c r="P428" i="15"/>
  <c r="J439" i="15"/>
  <c r="J438" i="15"/>
  <c r="J437" i="15"/>
  <c r="J436" i="15"/>
  <c r="J435" i="15"/>
  <c r="J434" i="15"/>
  <c r="J433" i="15"/>
  <c r="J432" i="15"/>
  <c r="J431" i="15"/>
  <c r="J430" i="15"/>
  <c r="J429" i="15"/>
  <c r="J428" i="15"/>
  <c r="L434" i="15"/>
  <c r="L435" i="15"/>
  <c r="L436" i="15"/>
  <c r="H429" i="15"/>
  <c r="H430" i="15"/>
  <c r="H431" i="15"/>
  <c r="H432" i="15"/>
  <c r="H433" i="15"/>
  <c r="H434" i="15"/>
  <c r="H435" i="15"/>
  <c r="H436" i="15"/>
  <c r="H437" i="15"/>
  <c r="H438" i="15"/>
  <c r="H439" i="15"/>
  <c r="H428" i="15"/>
  <c r="G430" i="15"/>
  <c r="G431" i="15"/>
  <c r="G433" i="15"/>
  <c r="G434" i="15"/>
  <c r="G436" i="15"/>
  <c r="G437" i="15"/>
  <c r="G439" i="15"/>
  <c r="G428" i="15"/>
  <c r="D428" i="15"/>
  <c r="C429" i="15"/>
  <c r="AM429" i="15" s="1"/>
  <c r="D429" i="15"/>
  <c r="C430" i="15"/>
  <c r="AM430" i="15" s="1"/>
  <c r="D430" i="15"/>
  <c r="C431" i="15"/>
  <c r="AM431" i="15" s="1"/>
  <c r="D431" i="15"/>
  <c r="C432" i="15"/>
  <c r="AM432" i="15" s="1"/>
  <c r="D432" i="15"/>
  <c r="C433" i="15"/>
  <c r="AM433" i="15" s="1"/>
  <c r="D433" i="15"/>
  <c r="C434" i="15"/>
  <c r="AM434" i="15" s="1"/>
  <c r="D434" i="15"/>
  <c r="C435" i="15"/>
  <c r="AM435" i="15" s="1"/>
  <c r="D435" i="15"/>
  <c r="C436" i="15"/>
  <c r="AM436" i="15" s="1"/>
  <c r="D436" i="15"/>
  <c r="C437" i="15"/>
  <c r="AM437" i="15" s="1"/>
  <c r="D437" i="15"/>
  <c r="C438" i="15"/>
  <c r="AM438" i="15" s="1"/>
  <c r="D438" i="15"/>
  <c r="C439" i="15"/>
  <c r="AM439" i="15" s="1"/>
  <c r="D439" i="15"/>
  <c r="C428" i="15"/>
  <c r="AM428" i="15" s="1"/>
  <c r="B429" i="15"/>
  <c r="A429" i="15" s="1"/>
  <c r="B430" i="15"/>
  <c r="A430" i="15" s="1"/>
  <c r="B431" i="15"/>
  <c r="A431" i="15" s="1"/>
  <c r="B432" i="15"/>
  <c r="A432" i="15" s="1"/>
  <c r="B433" i="15"/>
  <c r="A433" i="15" s="1"/>
  <c r="B434" i="15"/>
  <c r="A434" i="15" s="1"/>
  <c r="B435" i="15"/>
  <c r="A435" i="15" s="1"/>
  <c r="B436" i="15"/>
  <c r="A436" i="15" s="1"/>
  <c r="B437" i="15"/>
  <c r="A437" i="15" s="1"/>
  <c r="B438" i="15"/>
  <c r="A438" i="15" s="1"/>
  <c r="B439" i="15"/>
  <c r="A439" i="15" s="1"/>
  <c r="B428" i="15"/>
  <c r="A428" i="15" s="1"/>
  <c r="H426" i="15"/>
  <c r="H427" i="15"/>
  <c r="H425" i="15"/>
  <c r="G426" i="15"/>
  <c r="G427" i="15"/>
  <c r="G425" i="15"/>
  <c r="C426" i="15"/>
  <c r="AM426" i="15" s="1"/>
  <c r="C427" i="15"/>
  <c r="AM427" i="15" s="1"/>
  <c r="C425" i="15"/>
  <c r="AM425" i="15" s="1"/>
  <c r="B426" i="15"/>
  <c r="A426" i="15" s="1"/>
  <c r="B427" i="15"/>
  <c r="A427" i="15" s="1"/>
  <c r="B425" i="15"/>
  <c r="A425" i="15" s="1"/>
  <c r="AB424" i="15"/>
  <c r="H421" i="15"/>
  <c r="H422" i="15"/>
  <c r="H423" i="15"/>
  <c r="H424" i="15"/>
  <c r="H420" i="15"/>
  <c r="G421" i="15"/>
  <c r="G422" i="15"/>
  <c r="G423" i="15"/>
  <c r="G424" i="15"/>
  <c r="G420" i="15"/>
  <c r="C421" i="15"/>
  <c r="AM421" i="15" s="1"/>
  <c r="C422" i="15"/>
  <c r="AM422" i="15" s="1"/>
  <c r="C423" i="15"/>
  <c r="AM423" i="15" s="1"/>
  <c r="C424" i="15"/>
  <c r="AM424" i="15" s="1"/>
  <c r="C420" i="15"/>
  <c r="AM420" i="15" s="1"/>
  <c r="B421" i="15"/>
  <c r="A421" i="15" s="1"/>
  <c r="B422" i="15"/>
  <c r="A422" i="15" s="1"/>
  <c r="B423" i="15"/>
  <c r="A423" i="15" s="1"/>
  <c r="B424" i="15"/>
  <c r="A424" i="15" s="1"/>
  <c r="B420" i="15"/>
  <c r="A420" i="15" s="1"/>
  <c r="H414" i="15"/>
  <c r="H415" i="15"/>
  <c r="H412" i="15"/>
  <c r="G414" i="15"/>
  <c r="G415" i="15"/>
  <c r="G412" i="15"/>
  <c r="B414" i="15"/>
  <c r="A414" i="15" s="1"/>
  <c r="B415" i="15"/>
  <c r="A415" i="15" s="1"/>
  <c r="B412" i="15"/>
  <c r="A412" i="15" s="1"/>
  <c r="C414" i="15"/>
  <c r="AM414" i="15" s="1"/>
  <c r="C415" i="15"/>
  <c r="AM415" i="15" s="1"/>
  <c r="C412" i="15"/>
  <c r="AM412" i="15" s="1"/>
  <c r="J343" i="15"/>
  <c r="J344" i="15"/>
  <c r="J345" i="15"/>
  <c r="J346" i="15"/>
  <c r="J347" i="15"/>
  <c r="J348" i="15"/>
  <c r="J349" i="15"/>
  <c r="J350" i="15"/>
  <c r="J351" i="15"/>
  <c r="J352" i="15"/>
  <c r="J353" i="15"/>
  <c r="J354" i="15"/>
  <c r="J355" i="15"/>
  <c r="J356" i="15"/>
  <c r="J357" i="15"/>
  <c r="J358" i="15"/>
  <c r="J359" i="15"/>
  <c r="J360" i="15"/>
  <c r="J361" i="15"/>
  <c r="J362" i="15"/>
  <c r="J363" i="15"/>
  <c r="J364" i="15"/>
  <c r="J365" i="15"/>
  <c r="J366" i="15"/>
  <c r="J367" i="15"/>
  <c r="J368" i="15"/>
  <c r="J369" i="15"/>
  <c r="J370" i="15"/>
  <c r="J371" i="15"/>
  <c r="J372" i="15"/>
  <c r="J373" i="15"/>
  <c r="J374" i="15"/>
  <c r="J375" i="15"/>
  <c r="J379" i="15"/>
  <c r="J380" i="15"/>
  <c r="J381" i="15"/>
  <c r="J382" i="15"/>
  <c r="J383" i="15"/>
  <c r="J384" i="15"/>
  <c r="J385" i="15"/>
  <c r="J388" i="15"/>
  <c r="J389" i="15"/>
  <c r="J399" i="15"/>
  <c r="J400" i="15"/>
  <c r="J401" i="15"/>
  <c r="J402" i="15"/>
  <c r="J403" i="15"/>
  <c r="J404" i="15"/>
  <c r="J405" i="15"/>
  <c r="J406" i="15"/>
  <c r="J407" i="15"/>
  <c r="J408" i="15"/>
  <c r="J398" i="15"/>
  <c r="P408" i="15"/>
  <c r="P407" i="15"/>
  <c r="P406" i="15"/>
  <c r="P405" i="15"/>
  <c r="P404" i="15"/>
  <c r="P403" i="15"/>
  <c r="P402" i="15"/>
  <c r="P401" i="15"/>
  <c r="P400" i="15"/>
  <c r="P399" i="15"/>
  <c r="P398" i="15"/>
  <c r="D398" i="15"/>
  <c r="C399" i="15"/>
  <c r="AM399" i="15" s="1"/>
  <c r="G399" i="15"/>
  <c r="H399" i="15"/>
  <c r="D399" i="15"/>
  <c r="C400" i="15"/>
  <c r="AM400" i="15" s="1"/>
  <c r="G400" i="15"/>
  <c r="H400" i="15"/>
  <c r="D400" i="15"/>
  <c r="C401" i="15"/>
  <c r="AM401" i="15" s="1"/>
  <c r="G401" i="15"/>
  <c r="H401" i="15"/>
  <c r="D401" i="15"/>
  <c r="C402" i="15"/>
  <c r="AM402" i="15" s="1"/>
  <c r="H402" i="15"/>
  <c r="D402" i="15"/>
  <c r="C403" i="15"/>
  <c r="AM403" i="15" s="1"/>
  <c r="G403" i="15"/>
  <c r="H403" i="15"/>
  <c r="D403" i="15"/>
  <c r="C404" i="15"/>
  <c r="AM404" i="15" s="1"/>
  <c r="G404" i="15"/>
  <c r="H404" i="15"/>
  <c r="D404" i="15"/>
  <c r="C405" i="15"/>
  <c r="AM405" i="15" s="1"/>
  <c r="H405" i="15"/>
  <c r="D405" i="15"/>
  <c r="C406" i="15"/>
  <c r="AM406" i="15" s="1"/>
  <c r="G406" i="15"/>
  <c r="H406" i="15"/>
  <c r="D406" i="15"/>
  <c r="C407" i="15"/>
  <c r="AM407" i="15" s="1"/>
  <c r="G407" i="15"/>
  <c r="H407" i="15"/>
  <c r="D407" i="15"/>
  <c r="C408" i="15"/>
  <c r="AM408" i="15" s="1"/>
  <c r="H408" i="15"/>
  <c r="D408" i="15"/>
  <c r="H398" i="15"/>
  <c r="G398" i="15"/>
  <c r="C398" i="15"/>
  <c r="AM398" i="15" s="1"/>
  <c r="B408" i="15"/>
  <c r="A408" i="15" s="1"/>
  <c r="B399" i="15"/>
  <c r="A399" i="15" s="1"/>
  <c r="B400" i="15"/>
  <c r="A400" i="15" s="1"/>
  <c r="B401" i="15"/>
  <c r="A401" i="15" s="1"/>
  <c r="B402" i="15"/>
  <c r="A402" i="15" s="1"/>
  <c r="B403" i="15"/>
  <c r="A403" i="15" s="1"/>
  <c r="B404" i="15"/>
  <c r="A404" i="15" s="1"/>
  <c r="B405" i="15"/>
  <c r="A405" i="15" s="1"/>
  <c r="B406" i="15"/>
  <c r="A406" i="15" s="1"/>
  <c r="B407" i="15"/>
  <c r="A407" i="15" s="1"/>
  <c r="B398" i="15"/>
  <c r="A398" i="15" s="1"/>
  <c r="G391" i="15"/>
  <c r="H391" i="15"/>
  <c r="G392" i="15"/>
  <c r="H392" i="15"/>
  <c r="G393" i="15"/>
  <c r="H393" i="15"/>
  <c r="G394" i="15"/>
  <c r="H394" i="15"/>
  <c r="G395" i="15"/>
  <c r="H395" i="15"/>
  <c r="G396" i="15"/>
  <c r="H396" i="15"/>
  <c r="G397" i="15"/>
  <c r="H397" i="15"/>
  <c r="H390" i="15"/>
  <c r="G390" i="15"/>
  <c r="C391" i="15"/>
  <c r="AM391" i="15" s="1"/>
  <c r="C392" i="15"/>
  <c r="AM392" i="15" s="1"/>
  <c r="C393" i="15"/>
  <c r="AM393" i="15" s="1"/>
  <c r="C394" i="15"/>
  <c r="AM394" i="15" s="1"/>
  <c r="C395" i="15"/>
  <c r="AM395" i="15" s="1"/>
  <c r="C396" i="15"/>
  <c r="AM396" i="15" s="1"/>
  <c r="C397" i="15"/>
  <c r="AM397" i="15" s="1"/>
  <c r="C390" i="15"/>
  <c r="AM390" i="15" s="1"/>
  <c r="B396" i="15"/>
  <c r="A396" i="15" s="1"/>
  <c r="B397" i="15"/>
  <c r="A397" i="15" s="1"/>
  <c r="B391" i="15"/>
  <c r="A391" i="15" s="1"/>
  <c r="B392" i="15"/>
  <c r="A392" i="15" s="1"/>
  <c r="B393" i="15"/>
  <c r="A393" i="15" s="1"/>
  <c r="B394" i="15"/>
  <c r="A394" i="15" s="1"/>
  <c r="B395" i="15"/>
  <c r="A395" i="15" s="1"/>
  <c r="B390" i="15"/>
  <c r="A390" i="15" s="1"/>
  <c r="H385" i="15"/>
  <c r="H388" i="15"/>
  <c r="H389" i="15"/>
  <c r="H384" i="15"/>
  <c r="G388" i="15"/>
  <c r="G389" i="15"/>
  <c r="G385" i="15"/>
  <c r="G384" i="15"/>
  <c r="C385" i="15"/>
  <c r="AM385" i="15" s="1"/>
  <c r="C388" i="15"/>
  <c r="AM388" i="15" s="1"/>
  <c r="C389" i="15"/>
  <c r="AM389" i="15" s="1"/>
  <c r="C384" i="15"/>
  <c r="AM384" i="15" s="1"/>
  <c r="B385" i="15"/>
  <c r="A385" i="15" s="1"/>
  <c r="B388" i="15"/>
  <c r="A388" i="15" s="1"/>
  <c r="B389" i="15"/>
  <c r="A389" i="15" s="1"/>
  <c r="B384" i="15"/>
  <c r="A384" i="15" s="1"/>
  <c r="H382" i="15"/>
  <c r="H383" i="15"/>
  <c r="H381" i="15"/>
  <c r="G382" i="15"/>
  <c r="G383" i="15"/>
  <c r="G381" i="15"/>
  <c r="C382" i="15"/>
  <c r="AM382" i="15" s="1"/>
  <c r="C383" i="15"/>
  <c r="AM383" i="15" s="1"/>
  <c r="C381" i="15"/>
  <c r="AM381" i="15" s="1"/>
  <c r="B382" i="15"/>
  <c r="A382" i="15" s="1"/>
  <c r="B383" i="15"/>
  <c r="A383" i="15" s="1"/>
  <c r="B381" i="15"/>
  <c r="A381" i="15" s="1"/>
  <c r="H380" i="15"/>
  <c r="H379" i="15"/>
  <c r="H374" i="15"/>
  <c r="H375" i="15"/>
  <c r="H373" i="15"/>
  <c r="G379" i="15"/>
  <c r="G374" i="15"/>
  <c r="G375" i="15"/>
  <c r="G373" i="15"/>
  <c r="C380" i="15"/>
  <c r="AM380" i="15" s="1"/>
  <c r="C379" i="15"/>
  <c r="AM379" i="15" s="1"/>
  <c r="C374" i="15"/>
  <c r="AM374" i="15" s="1"/>
  <c r="C375" i="15"/>
  <c r="AM375" i="15" s="1"/>
  <c r="C373" i="15"/>
  <c r="AM373" i="15" s="1"/>
  <c r="B380" i="15"/>
  <c r="A380" i="15" s="1"/>
  <c r="B379" i="15"/>
  <c r="A379" i="15" s="1"/>
  <c r="B374" i="15"/>
  <c r="A374" i="15" s="1"/>
  <c r="B375" i="15"/>
  <c r="A375" i="15" s="1"/>
  <c r="B373" i="15"/>
  <c r="A373" i="15" s="1"/>
  <c r="P343" i="15"/>
  <c r="P344" i="15"/>
  <c r="P345" i="15"/>
  <c r="P346" i="15"/>
  <c r="P347" i="15"/>
  <c r="P348" i="15"/>
  <c r="P349" i="15"/>
  <c r="P350" i="15"/>
  <c r="P351" i="15"/>
  <c r="P352" i="15"/>
  <c r="P353" i="15"/>
  <c r="P354" i="15"/>
  <c r="P355" i="15"/>
  <c r="P356" i="15"/>
  <c r="P357" i="15"/>
  <c r="P358" i="15"/>
  <c r="P359" i="15"/>
  <c r="P360" i="15"/>
  <c r="P361" i="15"/>
  <c r="P362" i="15"/>
  <c r="P363" i="15"/>
  <c r="P364" i="15"/>
  <c r="P365" i="15"/>
  <c r="P366" i="15"/>
  <c r="P367" i="15"/>
  <c r="P368" i="15"/>
  <c r="P369" i="15"/>
  <c r="P370" i="15"/>
  <c r="P371" i="15"/>
  <c r="P372" i="15"/>
  <c r="C344" i="15"/>
  <c r="AM344" i="15" s="1"/>
  <c r="G344" i="15"/>
  <c r="H344" i="15"/>
  <c r="C345" i="15"/>
  <c r="AM345" i="15" s="1"/>
  <c r="G345" i="15"/>
  <c r="H345" i="15"/>
  <c r="C346" i="15"/>
  <c r="AM346" i="15" s="1"/>
  <c r="G346" i="15"/>
  <c r="H346" i="15"/>
  <c r="C347" i="15"/>
  <c r="AM347" i="15" s="1"/>
  <c r="G347" i="15"/>
  <c r="H347" i="15"/>
  <c r="C348" i="15"/>
  <c r="AM348" i="15" s="1"/>
  <c r="G348" i="15"/>
  <c r="H348" i="15"/>
  <c r="C349" i="15"/>
  <c r="AM349" i="15" s="1"/>
  <c r="G349" i="15"/>
  <c r="H349" i="15"/>
  <c r="C350" i="15"/>
  <c r="AM350" i="15" s="1"/>
  <c r="G350" i="15"/>
  <c r="H350" i="15"/>
  <c r="C351" i="15"/>
  <c r="AM351" i="15" s="1"/>
  <c r="G351" i="15"/>
  <c r="H351" i="15"/>
  <c r="C352" i="15"/>
  <c r="AM352" i="15" s="1"/>
  <c r="G352" i="15"/>
  <c r="H352" i="15"/>
  <c r="C353" i="15"/>
  <c r="AM353" i="15" s="1"/>
  <c r="G353" i="15"/>
  <c r="H353" i="15"/>
  <c r="C354" i="15"/>
  <c r="AM354" i="15" s="1"/>
  <c r="G354" i="15"/>
  <c r="H354" i="15"/>
  <c r="C355" i="15"/>
  <c r="AM355" i="15" s="1"/>
  <c r="G355" i="15"/>
  <c r="H355" i="15"/>
  <c r="C356" i="15"/>
  <c r="AM356" i="15" s="1"/>
  <c r="G356" i="15"/>
  <c r="H356" i="15"/>
  <c r="C357" i="15"/>
  <c r="AM357" i="15" s="1"/>
  <c r="G357" i="15"/>
  <c r="H357" i="15"/>
  <c r="C358" i="15"/>
  <c r="AM358" i="15" s="1"/>
  <c r="G358" i="15"/>
  <c r="H358" i="15"/>
  <c r="C359" i="15"/>
  <c r="AM359" i="15" s="1"/>
  <c r="G359" i="15"/>
  <c r="H359" i="15"/>
  <c r="C360" i="15"/>
  <c r="AM360" i="15" s="1"/>
  <c r="G360" i="15"/>
  <c r="H360" i="15"/>
  <c r="C361" i="15"/>
  <c r="AM361" i="15" s="1"/>
  <c r="G361" i="15"/>
  <c r="H361" i="15"/>
  <c r="C362" i="15"/>
  <c r="AM362" i="15" s="1"/>
  <c r="G362" i="15"/>
  <c r="H362" i="15"/>
  <c r="C363" i="15"/>
  <c r="AM363" i="15" s="1"/>
  <c r="G363" i="15"/>
  <c r="H363" i="15"/>
  <c r="C364" i="15"/>
  <c r="AM364" i="15" s="1"/>
  <c r="G364" i="15"/>
  <c r="H364" i="15"/>
  <c r="C365" i="15"/>
  <c r="AM365" i="15" s="1"/>
  <c r="G365" i="15"/>
  <c r="H365" i="15"/>
  <c r="C366" i="15"/>
  <c r="AM366" i="15" s="1"/>
  <c r="G366" i="15"/>
  <c r="H366" i="15"/>
  <c r="C367" i="15"/>
  <c r="AM367" i="15" s="1"/>
  <c r="G367" i="15"/>
  <c r="H367" i="15"/>
  <c r="C368" i="15"/>
  <c r="AM368" i="15" s="1"/>
  <c r="G368" i="15"/>
  <c r="H368" i="15"/>
  <c r="C369" i="15"/>
  <c r="AM369" i="15" s="1"/>
  <c r="G369" i="15"/>
  <c r="H369" i="15"/>
  <c r="C370" i="15"/>
  <c r="AM370" i="15" s="1"/>
  <c r="G370" i="15"/>
  <c r="H370" i="15"/>
  <c r="C371" i="15"/>
  <c r="AM371" i="15" s="1"/>
  <c r="G371" i="15"/>
  <c r="H371" i="15"/>
  <c r="C372" i="15"/>
  <c r="AM372" i="15" s="1"/>
  <c r="G372" i="15"/>
  <c r="H372" i="15"/>
  <c r="H343" i="15"/>
  <c r="G343" i="15"/>
  <c r="C343" i="15"/>
  <c r="AM343" i="15" s="1"/>
  <c r="B370" i="15"/>
  <c r="A370" i="15" s="1"/>
  <c r="B371" i="15"/>
  <c r="A371" i="15" s="1"/>
  <c r="B372" i="15"/>
  <c r="A372" i="15" s="1"/>
  <c r="B366" i="15"/>
  <c r="A366" i="15" s="1"/>
  <c r="B367" i="15"/>
  <c r="A367" i="15" s="1"/>
  <c r="B368" i="15"/>
  <c r="A368" i="15" s="1"/>
  <c r="B369" i="15"/>
  <c r="A369" i="15" s="1"/>
  <c r="B344" i="15"/>
  <c r="A344" i="15" s="1"/>
  <c r="B345" i="15"/>
  <c r="A345" i="15" s="1"/>
  <c r="B346" i="15"/>
  <c r="A346" i="15" s="1"/>
  <c r="B347" i="15"/>
  <c r="A347" i="15" s="1"/>
  <c r="B348" i="15"/>
  <c r="A348" i="15" s="1"/>
  <c r="B349" i="15"/>
  <c r="A349" i="15" s="1"/>
  <c r="B350" i="15"/>
  <c r="A350" i="15" s="1"/>
  <c r="B351" i="15"/>
  <c r="A351" i="15" s="1"/>
  <c r="B352" i="15"/>
  <c r="A352" i="15" s="1"/>
  <c r="B353" i="15"/>
  <c r="A353" i="15" s="1"/>
  <c r="B354" i="15"/>
  <c r="A354" i="15" s="1"/>
  <c r="B355" i="15"/>
  <c r="A355" i="15" s="1"/>
  <c r="B356" i="15"/>
  <c r="A356" i="15" s="1"/>
  <c r="B357" i="15"/>
  <c r="A357" i="15" s="1"/>
  <c r="B358" i="15"/>
  <c r="A358" i="15" s="1"/>
  <c r="B359" i="15"/>
  <c r="A359" i="15" s="1"/>
  <c r="B360" i="15"/>
  <c r="A360" i="15" s="1"/>
  <c r="B361" i="15"/>
  <c r="A361" i="15" s="1"/>
  <c r="B362" i="15"/>
  <c r="A362" i="15" s="1"/>
  <c r="B363" i="15"/>
  <c r="A363" i="15" s="1"/>
  <c r="B364" i="15"/>
  <c r="A364" i="15" s="1"/>
  <c r="B365" i="15"/>
  <c r="A365" i="15" s="1"/>
  <c r="B343" i="15"/>
  <c r="A343" i="15" s="1"/>
  <c r="P335" i="15"/>
  <c r="P336" i="15"/>
  <c r="P337" i="15"/>
  <c r="P338" i="15"/>
  <c r="P339" i="15"/>
  <c r="P340" i="15"/>
  <c r="P341" i="15"/>
  <c r="P342" i="15"/>
  <c r="J335" i="15"/>
  <c r="J336" i="15"/>
  <c r="J337" i="15"/>
  <c r="J338" i="15"/>
  <c r="J339" i="15"/>
  <c r="J340" i="15"/>
  <c r="J341" i="15"/>
  <c r="J342" i="15"/>
  <c r="H335" i="15"/>
  <c r="G336" i="15"/>
  <c r="G337" i="15"/>
  <c r="G338" i="15"/>
  <c r="G339" i="15"/>
  <c r="G340" i="15"/>
  <c r="G341" i="15"/>
  <c r="G342" i="15"/>
  <c r="G335" i="15"/>
  <c r="C336" i="15"/>
  <c r="AM336" i="15" s="1"/>
  <c r="C337" i="15"/>
  <c r="AM337" i="15" s="1"/>
  <c r="C338" i="15"/>
  <c r="AM338" i="15" s="1"/>
  <c r="C339" i="15"/>
  <c r="AM339" i="15" s="1"/>
  <c r="C340" i="15"/>
  <c r="AM340" i="15" s="1"/>
  <c r="C341" i="15"/>
  <c r="AM341" i="15" s="1"/>
  <c r="C342" i="15"/>
  <c r="AM342" i="15" s="1"/>
  <c r="C335" i="15"/>
  <c r="AM335" i="15" s="1"/>
  <c r="B336" i="15"/>
  <c r="A336" i="15" s="1"/>
  <c r="B337" i="15"/>
  <c r="A337" i="15" s="1"/>
  <c r="B338" i="15"/>
  <c r="A338" i="15" s="1"/>
  <c r="B339" i="15"/>
  <c r="A339" i="15" s="1"/>
  <c r="B340" i="15"/>
  <c r="A340" i="15" s="1"/>
  <c r="B341" i="15"/>
  <c r="A341" i="15" s="1"/>
  <c r="B342" i="15"/>
  <c r="A342" i="15" s="1"/>
  <c r="B335" i="15"/>
  <c r="A335" i="15" s="1"/>
  <c r="AB328" i="15"/>
  <c r="P320" i="15"/>
  <c r="P321" i="15"/>
  <c r="P322" i="15"/>
  <c r="P323" i="15"/>
  <c r="P324" i="15"/>
  <c r="P325" i="15"/>
  <c r="P326" i="15"/>
  <c r="P327" i="15"/>
  <c r="P328" i="15"/>
  <c r="P329" i="15"/>
  <c r="P330" i="15"/>
  <c r="P331" i="15"/>
  <c r="J320" i="15"/>
  <c r="J321" i="15"/>
  <c r="J322" i="15"/>
  <c r="J323" i="15"/>
  <c r="J324" i="15"/>
  <c r="J325" i="15"/>
  <c r="J326" i="15"/>
  <c r="J327" i="15"/>
  <c r="J328" i="15"/>
  <c r="J329" i="15"/>
  <c r="J330" i="15"/>
  <c r="J331" i="15"/>
  <c r="H321" i="15"/>
  <c r="H322" i="15"/>
  <c r="H323" i="15"/>
  <c r="H324" i="15"/>
  <c r="H325" i="15"/>
  <c r="H326" i="15"/>
  <c r="H327" i="15"/>
  <c r="H328" i="15"/>
  <c r="H329" i="15"/>
  <c r="H330" i="15"/>
  <c r="H331" i="15"/>
  <c r="H320" i="15"/>
  <c r="G321" i="15"/>
  <c r="G323" i="15"/>
  <c r="G324" i="15"/>
  <c r="G326" i="15"/>
  <c r="G327" i="15"/>
  <c r="G329" i="15"/>
  <c r="G330" i="15"/>
  <c r="G320" i="15"/>
  <c r="C321" i="15"/>
  <c r="AM321" i="15" s="1"/>
  <c r="C322" i="15"/>
  <c r="AM322" i="15" s="1"/>
  <c r="C323" i="15"/>
  <c r="AM323" i="15" s="1"/>
  <c r="C324" i="15"/>
  <c r="AM324" i="15" s="1"/>
  <c r="C325" i="15"/>
  <c r="AM325" i="15" s="1"/>
  <c r="C326" i="15"/>
  <c r="AM326" i="15" s="1"/>
  <c r="C327" i="15"/>
  <c r="AM327" i="15" s="1"/>
  <c r="C328" i="15"/>
  <c r="AM328" i="15" s="1"/>
  <c r="C329" i="15"/>
  <c r="AM329" i="15" s="1"/>
  <c r="C330" i="15"/>
  <c r="AM330" i="15" s="1"/>
  <c r="C331" i="15"/>
  <c r="AM331" i="15" s="1"/>
  <c r="C320" i="15"/>
  <c r="AM320" i="15" s="1"/>
  <c r="B321" i="15"/>
  <c r="A321" i="15" s="1"/>
  <c r="B322" i="15"/>
  <c r="A322" i="15" s="1"/>
  <c r="B323" i="15"/>
  <c r="A323" i="15" s="1"/>
  <c r="B324" i="15"/>
  <c r="A324" i="15" s="1"/>
  <c r="B325" i="15"/>
  <c r="A325" i="15" s="1"/>
  <c r="B326" i="15"/>
  <c r="A326" i="15" s="1"/>
  <c r="B327" i="15"/>
  <c r="A327" i="15" s="1"/>
  <c r="B328" i="15"/>
  <c r="A328" i="15" s="1"/>
  <c r="B329" i="15"/>
  <c r="A329" i="15" s="1"/>
  <c r="B330" i="15"/>
  <c r="A330" i="15" s="1"/>
  <c r="B331" i="15"/>
  <c r="A331" i="15" s="1"/>
  <c r="B320" i="15"/>
  <c r="A320" i="15" s="1"/>
  <c r="P118" i="15"/>
  <c r="P121" i="15"/>
  <c r="P122" i="15"/>
  <c r="P124" i="15"/>
  <c r="P127" i="15"/>
  <c r="P128" i="15"/>
  <c r="P130" i="15"/>
  <c r="P133" i="15"/>
  <c r="P134" i="15"/>
  <c r="P136" i="15"/>
  <c r="P139" i="15"/>
  <c r="P140" i="15"/>
  <c r="P166" i="15"/>
  <c r="J310" i="15"/>
  <c r="J311" i="15"/>
  <c r="J312" i="15"/>
  <c r="J313" i="15"/>
  <c r="J314" i="15"/>
  <c r="J315" i="15"/>
  <c r="J316" i="15"/>
  <c r="J317" i="15"/>
  <c r="J318" i="15"/>
  <c r="J319" i="15"/>
  <c r="P310" i="15"/>
  <c r="P311" i="15"/>
  <c r="P312" i="15"/>
  <c r="P313" i="15"/>
  <c r="P314" i="15"/>
  <c r="P315" i="15"/>
  <c r="P316" i="15"/>
  <c r="P317" i="15"/>
  <c r="P318" i="15"/>
  <c r="P319" i="15"/>
  <c r="P295" i="15"/>
  <c r="P303" i="15"/>
  <c r="P304" i="15"/>
  <c r="P305" i="15"/>
  <c r="J295" i="15"/>
  <c r="J303" i="15"/>
  <c r="J304" i="15"/>
  <c r="J305" i="15"/>
  <c r="P267" i="15"/>
  <c r="P269" i="15"/>
  <c r="P241" i="15"/>
  <c r="P242" i="15"/>
  <c r="P243" i="15"/>
  <c r="P248" i="15"/>
  <c r="P249" i="15"/>
  <c r="P250" i="15"/>
  <c r="P259" i="15"/>
  <c r="P260" i="15"/>
  <c r="P261" i="15"/>
  <c r="P265" i="15"/>
  <c r="J259" i="15"/>
  <c r="J260" i="15"/>
  <c r="J261" i="15"/>
  <c r="J265" i="15"/>
  <c r="J267" i="15"/>
  <c r="J269" i="15"/>
  <c r="J248" i="15"/>
  <c r="J249" i="15"/>
  <c r="J250" i="15"/>
  <c r="J229" i="15"/>
  <c r="J230" i="15"/>
  <c r="J231" i="15"/>
  <c r="J232" i="15"/>
  <c r="J233" i="15"/>
  <c r="J236" i="15"/>
  <c r="J237" i="15"/>
  <c r="J238" i="15"/>
  <c r="J241" i="15"/>
  <c r="J242" i="15"/>
  <c r="J243" i="15"/>
  <c r="P229" i="15"/>
  <c r="P230" i="15"/>
  <c r="P231" i="15"/>
  <c r="P232" i="15"/>
  <c r="P233" i="15"/>
  <c r="P236" i="15"/>
  <c r="P237" i="15"/>
  <c r="P238" i="15"/>
  <c r="D225" i="15"/>
  <c r="E225" i="15"/>
  <c r="F225" i="15"/>
  <c r="P219" i="15"/>
  <c r="P220" i="15"/>
  <c r="P221" i="15"/>
  <c r="P222" i="15"/>
  <c r="J219" i="15"/>
  <c r="J220" i="15"/>
  <c r="J221" i="15"/>
  <c r="J222" i="15"/>
  <c r="Z687" i="15"/>
  <c r="W687" i="15" s="1"/>
  <c r="Z694" i="15"/>
  <c r="W694" i="15" s="1"/>
  <c r="Z659" i="15"/>
  <c r="W659" i="15" s="1"/>
  <c r="Z722" i="15"/>
  <c r="W722" i="15" s="1"/>
  <c r="Z726" i="15"/>
  <c r="W726" i="15" s="1"/>
  <c r="Z718" i="15"/>
  <c r="Z713" i="15"/>
  <c r="W713" i="15" s="1"/>
  <c r="Z711" i="15"/>
  <c r="W711" i="15" s="1"/>
  <c r="Z709" i="15"/>
  <c r="W709" i="15" s="1"/>
  <c r="Z683" i="15"/>
  <c r="W683" i="15" s="1"/>
  <c r="Z665" i="15"/>
  <c r="Z638" i="15"/>
  <c r="W638" i="15" s="1"/>
  <c r="Z655" i="15"/>
  <c r="Z653" i="15"/>
  <c r="Z649" i="15"/>
  <c r="Z648" i="15"/>
  <c r="Z645" i="15"/>
  <c r="W645" i="15" s="1"/>
  <c r="Z641" i="15"/>
  <c r="W641" i="15" s="1"/>
  <c r="Z605" i="15"/>
  <c r="Z636" i="15"/>
  <c r="W636" i="15" s="1"/>
  <c r="Z628" i="15"/>
  <c r="W628" i="15" s="1"/>
  <c r="J214" i="15"/>
  <c r="P214" i="15"/>
  <c r="J213" i="15"/>
  <c r="P213" i="15"/>
  <c r="J201" i="15"/>
  <c r="J205" i="15"/>
  <c r="J206" i="15"/>
  <c r="P201" i="15"/>
  <c r="P205" i="15"/>
  <c r="P206" i="15"/>
  <c r="J199" i="15"/>
  <c r="P199" i="15"/>
  <c r="D196" i="15"/>
  <c r="E196" i="15"/>
  <c r="F196" i="15"/>
  <c r="B199" i="15"/>
  <c r="A199" i="15" s="1"/>
  <c r="C199" i="15"/>
  <c r="AM199" i="15" s="1"/>
  <c r="G199" i="15"/>
  <c r="H199" i="15"/>
  <c r="D199" i="15"/>
  <c r="B201" i="15"/>
  <c r="A201" i="15" s="1"/>
  <c r="C201" i="15"/>
  <c r="AM201" i="15" s="1"/>
  <c r="G201" i="15"/>
  <c r="H201" i="15"/>
  <c r="D201" i="15"/>
  <c r="B202" i="15"/>
  <c r="A202" i="15" s="1"/>
  <c r="C202" i="15"/>
  <c r="AM202" i="15" s="1"/>
  <c r="G202" i="15"/>
  <c r="H202" i="15"/>
  <c r="D202" i="15"/>
  <c r="E202" i="15"/>
  <c r="F202" i="15"/>
  <c r="B204" i="15"/>
  <c r="A204" i="15" s="1"/>
  <c r="C204" i="15"/>
  <c r="AM204" i="15" s="1"/>
  <c r="G204" i="15"/>
  <c r="H204" i="15"/>
  <c r="D204" i="15"/>
  <c r="E204" i="15"/>
  <c r="F204" i="15"/>
  <c r="B205" i="15"/>
  <c r="A205" i="15" s="1"/>
  <c r="C205" i="15"/>
  <c r="AM205" i="15" s="1"/>
  <c r="G205" i="15"/>
  <c r="H205" i="15"/>
  <c r="D205" i="15"/>
  <c r="B206" i="15"/>
  <c r="A206" i="15" s="1"/>
  <c r="C206" i="15"/>
  <c r="AM206" i="15" s="1"/>
  <c r="G206" i="15"/>
  <c r="H206" i="15"/>
  <c r="D206" i="15"/>
  <c r="B207" i="15"/>
  <c r="A207" i="15" s="1"/>
  <c r="C207" i="15"/>
  <c r="AM207" i="15" s="1"/>
  <c r="G207" i="15"/>
  <c r="H207" i="15"/>
  <c r="D207" i="15"/>
  <c r="E207" i="15"/>
  <c r="F207" i="15"/>
  <c r="B208" i="15"/>
  <c r="A208" i="15" s="1"/>
  <c r="H208" i="15"/>
  <c r="B209" i="15"/>
  <c r="A209" i="15" s="1"/>
  <c r="C209" i="15"/>
  <c r="AM209" i="15" s="1"/>
  <c r="G209" i="15"/>
  <c r="H209" i="15"/>
  <c r="D209" i="15"/>
  <c r="E209" i="15"/>
  <c r="F209" i="15"/>
  <c r="B210" i="15"/>
  <c r="A210" i="15" s="1"/>
  <c r="H210" i="15"/>
  <c r="B213" i="15"/>
  <c r="A213" i="15" s="1"/>
  <c r="C213" i="15"/>
  <c r="AM213" i="15" s="1"/>
  <c r="G213" i="15"/>
  <c r="H213" i="15"/>
  <c r="D213" i="15"/>
  <c r="B214" i="15"/>
  <c r="A214" i="15" s="1"/>
  <c r="H214" i="15"/>
  <c r="B217" i="15"/>
  <c r="A217" i="15" s="1"/>
  <c r="C217" i="15"/>
  <c r="AM217" i="15" s="1"/>
  <c r="G217" i="15"/>
  <c r="H217" i="15"/>
  <c r="D217" i="15"/>
  <c r="E217" i="15"/>
  <c r="F217" i="15"/>
  <c r="B218" i="15"/>
  <c r="A218" i="15" s="1"/>
  <c r="H218" i="15"/>
  <c r="B219" i="15"/>
  <c r="A219" i="15" s="1"/>
  <c r="C219" i="15"/>
  <c r="AM219" i="15" s="1"/>
  <c r="G219" i="15"/>
  <c r="H219" i="15"/>
  <c r="D219" i="15"/>
  <c r="B220" i="15"/>
  <c r="A220" i="15" s="1"/>
  <c r="H220" i="15"/>
  <c r="B221" i="15"/>
  <c r="A221" i="15" s="1"/>
  <c r="C221" i="15"/>
  <c r="AM221" i="15" s="1"/>
  <c r="G221" i="15"/>
  <c r="H221" i="15"/>
  <c r="D221" i="15"/>
  <c r="B222" i="15"/>
  <c r="A222" i="15" s="1"/>
  <c r="H222" i="15"/>
  <c r="B225" i="15"/>
  <c r="A225" i="15" s="1"/>
  <c r="C225" i="15"/>
  <c r="AM225" i="15" s="1"/>
  <c r="G225" i="15"/>
  <c r="H225" i="15"/>
  <c r="B226" i="15"/>
  <c r="A226" i="15" s="1"/>
  <c r="H226" i="15"/>
  <c r="B229" i="15"/>
  <c r="A229" i="15" s="1"/>
  <c r="C229" i="15"/>
  <c r="AM229" i="15" s="1"/>
  <c r="G229" i="15"/>
  <c r="H229" i="15"/>
  <c r="D229" i="15"/>
  <c r="B230" i="15"/>
  <c r="A230" i="15" s="1"/>
  <c r="H230" i="15"/>
  <c r="B231" i="15"/>
  <c r="A231" i="15" s="1"/>
  <c r="C231" i="15"/>
  <c r="AM231" i="15" s="1"/>
  <c r="G231" i="15"/>
  <c r="H231" i="15"/>
  <c r="D231" i="15"/>
  <c r="B232" i="15"/>
  <c r="A232" i="15" s="1"/>
  <c r="C232" i="15"/>
  <c r="AM232" i="15" s="1"/>
  <c r="G232" i="15"/>
  <c r="H232" i="15"/>
  <c r="D232" i="15"/>
  <c r="B233" i="15"/>
  <c r="A233" i="15" s="1"/>
  <c r="H233" i="15"/>
  <c r="B236" i="15"/>
  <c r="A236" i="15" s="1"/>
  <c r="C236" i="15"/>
  <c r="AM236" i="15" s="1"/>
  <c r="G236" i="15"/>
  <c r="H236" i="15"/>
  <c r="D236" i="15"/>
  <c r="B237" i="15"/>
  <c r="A237" i="15" s="1"/>
  <c r="C237" i="15"/>
  <c r="AM237" i="15" s="1"/>
  <c r="G237" i="15"/>
  <c r="H237" i="15"/>
  <c r="D237" i="15"/>
  <c r="B238" i="15"/>
  <c r="A238" i="15" s="1"/>
  <c r="H238" i="15"/>
  <c r="B241" i="15"/>
  <c r="A241" i="15" s="1"/>
  <c r="C241" i="15"/>
  <c r="AM241" i="15" s="1"/>
  <c r="G241" i="15"/>
  <c r="H241" i="15"/>
  <c r="D241" i="15"/>
  <c r="B242" i="15"/>
  <c r="A242" i="15" s="1"/>
  <c r="C242" i="15"/>
  <c r="AM242" i="15" s="1"/>
  <c r="G242" i="15"/>
  <c r="H242" i="15"/>
  <c r="D242" i="15"/>
  <c r="B243" i="15"/>
  <c r="A243" i="15" s="1"/>
  <c r="H243" i="15"/>
  <c r="B246" i="15"/>
  <c r="A246" i="15" s="1"/>
  <c r="C246" i="15"/>
  <c r="AM246" i="15" s="1"/>
  <c r="G246" i="15"/>
  <c r="H246" i="15"/>
  <c r="D246" i="15"/>
  <c r="E246" i="15"/>
  <c r="F246" i="15"/>
  <c r="B248" i="15"/>
  <c r="A248" i="15" s="1"/>
  <c r="C248" i="15"/>
  <c r="AM248" i="15" s="1"/>
  <c r="G248" i="15"/>
  <c r="H248" i="15"/>
  <c r="D248" i="15"/>
  <c r="B249" i="15"/>
  <c r="A249" i="15" s="1"/>
  <c r="C249" i="15"/>
  <c r="AM249" i="15" s="1"/>
  <c r="G249" i="15"/>
  <c r="H249" i="15"/>
  <c r="D249" i="15"/>
  <c r="B250" i="15"/>
  <c r="A250" i="15" s="1"/>
  <c r="H250" i="15"/>
  <c r="B253" i="15"/>
  <c r="A253" i="15" s="1"/>
  <c r="C253" i="15"/>
  <c r="AM253" i="15" s="1"/>
  <c r="G253" i="15"/>
  <c r="H253" i="15"/>
  <c r="D253" i="15"/>
  <c r="E253" i="15"/>
  <c r="F253" i="15"/>
  <c r="B255" i="15"/>
  <c r="A255" i="15" s="1"/>
  <c r="C255" i="15"/>
  <c r="AM255" i="15" s="1"/>
  <c r="G255" i="15"/>
  <c r="H255" i="15"/>
  <c r="D255" i="15"/>
  <c r="E255" i="15"/>
  <c r="F255" i="15"/>
  <c r="B256" i="15"/>
  <c r="A256" i="15" s="1"/>
  <c r="H256" i="15"/>
  <c r="B259" i="15"/>
  <c r="A259" i="15" s="1"/>
  <c r="C259" i="15"/>
  <c r="AM259" i="15" s="1"/>
  <c r="G259" i="15"/>
  <c r="H259" i="15"/>
  <c r="D259" i="15"/>
  <c r="B260" i="15"/>
  <c r="A260" i="15" s="1"/>
  <c r="C260" i="15"/>
  <c r="AM260" i="15" s="1"/>
  <c r="G260" i="15"/>
  <c r="H260" i="15"/>
  <c r="D260" i="15"/>
  <c r="B261" i="15"/>
  <c r="A261" i="15" s="1"/>
  <c r="C261" i="15"/>
  <c r="AM261" i="15" s="1"/>
  <c r="H261" i="15"/>
  <c r="D261" i="15"/>
  <c r="B264" i="15"/>
  <c r="A264" i="15" s="1"/>
  <c r="C264" i="15"/>
  <c r="AM264" i="15" s="1"/>
  <c r="G264" i="15"/>
  <c r="H264" i="15"/>
  <c r="D264" i="15"/>
  <c r="E264" i="15"/>
  <c r="F264" i="15"/>
  <c r="B265" i="15"/>
  <c r="A265" i="15" s="1"/>
  <c r="C265" i="15"/>
  <c r="AM265" i="15" s="1"/>
  <c r="G265" i="15"/>
  <c r="H265" i="15"/>
  <c r="D265" i="15"/>
  <c r="B266" i="15"/>
  <c r="A266" i="15" s="1"/>
  <c r="C266" i="15"/>
  <c r="AM266" i="15" s="1"/>
  <c r="G266" i="15"/>
  <c r="H266" i="15"/>
  <c r="D266" i="15"/>
  <c r="E266" i="15"/>
  <c r="F266" i="15"/>
  <c r="B267" i="15"/>
  <c r="A267" i="15" s="1"/>
  <c r="C267" i="15"/>
  <c r="AM267" i="15" s="1"/>
  <c r="G267" i="15"/>
  <c r="H267" i="15"/>
  <c r="D267" i="15"/>
  <c r="B268" i="15"/>
  <c r="A268" i="15" s="1"/>
  <c r="C268" i="15"/>
  <c r="AM268" i="15" s="1"/>
  <c r="G268" i="15"/>
  <c r="H268" i="15"/>
  <c r="D268" i="15"/>
  <c r="E268" i="15"/>
  <c r="F268" i="15"/>
  <c r="B269" i="15"/>
  <c r="A269" i="15" s="1"/>
  <c r="C269" i="15"/>
  <c r="AM269" i="15" s="1"/>
  <c r="G269" i="15"/>
  <c r="H269" i="15"/>
  <c r="D269" i="15"/>
  <c r="B270" i="15"/>
  <c r="A270" i="15" s="1"/>
  <c r="C270" i="15"/>
  <c r="AM270" i="15" s="1"/>
  <c r="G270" i="15"/>
  <c r="H270" i="15"/>
  <c r="D270" i="15"/>
  <c r="E270" i="15"/>
  <c r="F270" i="15"/>
  <c r="B272" i="15"/>
  <c r="A272" i="15" s="1"/>
  <c r="C272" i="15"/>
  <c r="AM272" i="15" s="1"/>
  <c r="G272" i="15"/>
  <c r="H272" i="15"/>
  <c r="D272" i="15"/>
  <c r="E272" i="15"/>
  <c r="F272" i="15"/>
  <c r="B273" i="15"/>
  <c r="A273" i="15" s="1"/>
  <c r="H273" i="15"/>
  <c r="B276" i="15"/>
  <c r="A276" i="15" s="1"/>
  <c r="C276" i="15"/>
  <c r="AM276" i="15" s="1"/>
  <c r="G276" i="15"/>
  <c r="H276" i="15"/>
  <c r="D276" i="15"/>
  <c r="E276" i="15"/>
  <c r="F276" i="15"/>
  <c r="B277" i="15"/>
  <c r="A277" i="15" s="1"/>
  <c r="H277" i="15"/>
  <c r="B278" i="15"/>
  <c r="A278" i="15" s="1"/>
  <c r="C278" i="15"/>
  <c r="AM278" i="15" s="1"/>
  <c r="G278" i="15"/>
  <c r="H278" i="15"/>
  <c r="D278" i="15"/>
  <c r="E278" i="15"/>
  <c r="F278" i="15"/>
  <c r="B280" i="15"/>
  <c r="A280" i="15" s="1"/>
  <c r="C280" i="15"/>
  <c r="AM280" i="15" s="1"/>
  <c r="G280" i="15"/>
  <c r="H280" i="15"/>
  <c r="D280" i="15"/>
  <c r="E280" i="15"/>
  <c r="F280" i="15"/>
  <c r="B281" i="15"/>
  <c r="A281" i="15" s="1"/>
  <c r="H281" i="15"/>
  <c r="B284" i="15"/>
  <c r="A284" i="15" s="1"/>
  <c r="C284" i="15"/>
  <c r="AM284" i="15" s="1"/>
  <c r="G284" i="15"/>
  <c r="H284" i="15"/>
  <c r="D284" i="15"/>
  <c r="E284" i="15"/>
  <c r="F284" i="15"/>
  <c r="B285" i="15"/>
  <c r="A285" i="15" s="1"/>
  <c r="H285" i="15"/>
  <c r="B286" i="15"/>
  <c r="A286" i="15" s="1"/>
  <c r="C286" i="15"/>
  <c r="AM286" i="15" s="1"/>
  <c r="G286" i="15"/>
  <c r="H286" i="15"/>
  <c r="D286" i="15"/>
  <c r="E286" i="15"/>
  <c r="F286" i="15"/>
  <c r="B288" i="15"/>
  <c r="A288" i="15" s="1"/>
  <c r="C288" i="15"/>
  <c r="AM288" i="15" s="1"/>
  <c r="G288" i="15"/>
  <c r="H288" i="15"/>
  <c r="D288" i="15"/>
  <c r="E288" i="15"/>
  <c r="F288" i="15"/>
  <c r="B289" i="15"/>
  <c r="A289" i="15" s="1"/>
  <c r="H289" i="15"/>
  <c r="B292" i="15"/>
  <c r="A292" i="15" s="1"/>
  <c r="C292" i="15"/>
  <c r="AM292" i="15" s="1"/>
  <c r="G292" i="15"/>
  <c r="H292" i="15"/>
  <c r="D292" i="15"/>
  <c r="E292" i="15"/>
  <c r="F292" i="15"/>
  <c r="B293" i="15"/>
  <c r="A293" i="15" s="1"/>
  <c r="H293" i="15"/>
  <c r="B294" i="15"/>
  <c r="A294" i="15" s="1"/>
  <c r="C294" i="15"/>
  <c r="AM294" i="15" s="1"/>
  <c r="G294" i="15"/>
  <c r="H294" i="15"/>
  <c r="D294" i="15"/>
  <c r="E294" i="15"/>
  <c r="F294" i="15"/>
  <c r="B295" i="15"/>
  <c r="A295" i="15" s="1"/>
  <c r="C295" i="15"/>
  <c r="AM295" i="15" s="1"/>
  <c r="G295" i="15"/>
  <c r="H295" i="15"/>
  <c r="D295" i="15"/>
  <c r="B296" i="15"/>
  <c r="A296" i="15" s="1"/>
  <c r="C296" i="15"/>
  <c r="AM296" i="15" s="1"/>
  <c r="G296" i="15"/>
  <c r="H296" i="15"/>
  <c r="D296" i="15"/>
  <c r="E296" i="15"/>
  <c r="F296" i="15"/>
  <c r="B297" i="15"/>
  <c r="A297" i="15" s="1"/>
  <c r="H297" i="15"/>
  <c r="B300" i="15"/>
  <c r="A300" i="15" s="1"/>
  <c r="C300" i="15"/>
  <c r="AM300" i="15" s="1"/>
  <c r="G300" i="15"/>
  <c r="H300" i="15"/>
  <c r="D300" i="15"/>
  <c r="E300" i="15"/>
  <c r="F300" i="15"/>
  <c r="B301" i="15"/>
  <c r="A301" i="15" s="1"/>
  <c r="H301" i="15"/>
  <c r="B302" i="15"/>
  <c r="A302" i="15" s="1"/>
  <c r="C302" i="15"/>
  <c r="AM302" i="15" s="1"/>
  <c r="G302" i="15"/>
  <c r="H302" i="15"/>
  <c r="D302" i="15"/>
  <c r="E302" i="15"/>
  <c r="F302" i="15"/>
  <c r="B303" i="15"/>
  <c r="A303" i="15" s="1"/>
  <c r="C303" i="15"/>
  <c r="AM303" i="15" s="1"/>
  <c r="G303" i="15"/>
  <c r="H303" i="15"/>
  <c r="D303" i="15"/>
  <c r="B304" i="15"/>
  <c r="A304" i="15" s="1"/>
  <c r="C304" i="15"/>
  <c r="AM304" i="15" s="1"/>
  <c r="G304" i="15"/>
  <c r="H304" i="15"/>
  <c r="D304" i="15"/>
  <c r="B305" i="15"/>
  <c r="A305" i="15" s="1"/>
  <c r="H305" i="15"/>
  <c r="B308" i="15"/>
  <c r="A308" i="15" s="1"/>
  <c r="C308" i="15"/>
  <c r="AM308" i="15" s="1"/>
  <c r="G308" i="15"/>
  <c r="H308" i="15"/>
  <c r="D308" i="15"/>
  <c r="E308" i="15"/>
  <c r="F308" i="15"/>
  <c r="B309" i="15"/>
  <c r="A309" i="15" s="1"/>
  <c r="H309" i="15"/>
  <c r="B310" i="15"/>
  <c r="A310" i="15" s="1"/>
  <c r="C310" i="15"/>
  <c r="AM310" i="15" s="1"/>
  <c r="G310" i="15"/>
  <c r="H310" i="15"/>
  <c r="D310" i="15"/>
  <c r="B311" i="15"/>
  <c r="A311" i="15" s="1"/>
  <c r="H311" i="15"/>
  <c r="B312" i="15"/>
  <c r="A312" i="15" s="1"/>
  <c r="C312" i="15"/>
  <c r="AM312" i="15" s="1"/>
  <c r="G312" i="15"/>
  <c r="H312" i="15"/>
  <c r="D312" i="15"/>
  <c r="B313" i="15"/>
  <c r="A313" i="15" s="1"/>
  <c r="H313" i="15"/>
  <c r="B314" i="15"/>
  <c r="A314" i="15" s="1"/>
  <c r="C314" i="15"/>
  <c r="AM314" i="15" s="1"/>
  <c r="G314" i="15"/>
  <c r="H314" i="15"/>
  <c r="D314" i="15"/>
  <c r="B315" i="15"/>
  <c r="A315" i="15" s="1"/>
  <c r="H315" i="15"/>
  <c r="B316" i="15"/>
  <c r="A316" i="15" s="1"/>
  <c r="C316" i="15"/>
  <c r="AM316" i="15" s="1"/>
  <c r="G316" i="15"/>
  <c r="H316" i="15"/>
  <c r="D316" i="15"/>
  <c r="B317" i="15"/>
  <c r="A317" i="15" s="1"/>
  <c r="H317" i="15"/>
  <c r="B318" i="15"/>
  <c r="A318" i="15" s="1"/>
  <c r="C318" i="15"/>
  <c r="AM318" i="15" s="1"/>
  <c r="G318" i="15"/>
  <c r="H318" i="15"/>
  <c r="D318" i="15"/>
  <c r="B319" i="15"/>
  <c r="A319" i="15" s="1"/>
  <c r="H319" i="15"/>
  <c r="H196" i="15"/>
  <c r="G196" i="15"/>
  <c r="C196" i="15"/>
  <c r="AM196" i="15" s="1"/>
  <c r="B196" i="15"/>
  <c r="A196" i="15" s="1"/>
  <c r="J192" i="15"/>
  <c r="J195" i="15"/>
  <c r="P192" i="15"/>
  <c r="P195" i="15"/>
  <c r="AB193" i="15"/>
  <c r="AB194" i="15"/>
  <c r="AB195" i="15"/>
  <c r="AB192" i="15"/>
  <c r="X193" i="15"/>
  <c r="Y193" i="15"/>
  <c r="X194" i="15"/>
  <c r="Y194" i="15"/>
  <c r="X195" i="15"/>
  <c r="Z195" i="15" s="1"/>
  <c r="X192" i="15"/>
  <c r="Z192" i="15" s="1"/>
  <c r="H193" i="15"/>
  <c r="H194" i="15"/>
  <c r="H195" i="15"/>
  <c r="H192" i="15"/>
  <c r="G193" i="15"/>
  <c r="G194" i="15"/>
  <c r="G195" i="15"/>
  <c r="G192" i="15"/>
  <c r="D192" i="15"/>
  <c r="C193" i="15"/>
  <c r="AM193" i="15" s="1"/>
  <c r="D193" i="15"/>
  <c r="E193" i="15"/>
  <c r="F193" i="15"/>
  <c r="C194" i="15"/>
  <c r="AM194" i="15" s="1"/>
  <c r="D194" i="15"/>
  <c r="E194" i="15"/>
  <c r="F194" i="15"/>
  <c r="C195" i="15"/>
  <c r="AM195" i="15" s="1"/>
  <c r="D195" i="15"/>
  <c r="C192" i="15"/>
  <c r="AM192" i="15" s="1"/>
  <c r="B193" i="15"/>
  <c r="A193" i="15" s="1"/>
  <c r="B194" i="15"/>
  <c r="A194" i="15" s="1"/>
  <c r="B195" i="15"/>
  <c r="A195" i="15" s="1"/>
  <c r="B192" i="15"/>
  <c r="A192" i="15" s="1"/>
  <c r="J186" i="15"/>
  <c r="J187" i="15"/>
  <c r="J188" i="15"/>
  <c r="J189" i="15"/>
  <c r="J190" i="15"/>
  <c r="J191" i="15"/>
  <c r="P186" i="15"/>
  <c r="P187" i="15"/>
  <c r="P188" i="15"/>
  <c r="P189" i="15"/>
  <c r="P190" i="15"/>
  <c r="P191" i="15"/>
  <c r="D186" i="15"/>
  <c r="C187" i="15"/>
  <c r="AM187" i="15" s="1"/>
  <c r="H187" i="15"/>
  <c r="D187" i="15"/>
  <c r="C188" i="15"/>
  <c r="AM188" i="15" s="1"/>
  <c r="G188" i="15"/>
  <c r="H188" i="15"/>
  <c r="D188" i="15"/>
  <c r="C189" i="15"/>
  <c r="AM189" i="15" s="1"/>
  <c r="H189" i="15"/>
  <c r="D189" i="15"/>
  <c r="C190" i="15"/>
  <c r="AM190" i="15" s="1"/>
  <c r="G190" i="15"/>
  <c r="H190" i="15"/>
  <c r="D190" i="15"/>
  <c r="C191" i="15"/>
  <c r="AM191" i="15" s="1"/>
  <c r="H191" i="15"/>
  <c r="D191" i="15"/>
  <c r="H186" i="15"/>
  <c r="G186" i="15"/>
  <c r="C186" i="15"/>
  <c r="AM186" i="15" s="1"/>
  <c r="B187" i="15"/>
  <c r="A187" i="15" s="1"/>
  <c r="B188" i="15"/>
  <c r="A188" i="15" s="1"/>
  <c r="B189" i="15"/>
  <c r="A189" i="15" s="1"/>
  <c r="B190" i="15"/>
  <c r="A190" i="15" s="1"/>
  <c r="B191" i="15"/>
  <c r="A191" i="15" s="1"/>
  <c r="B186" i="15"/>
  <c r="A186" i="15" s="1"/>
  <c r="P183" i="15"/>
  <c r="J183" i="15"/>
  <c r="P182" i="15"/>
  <c r="J182" i="15"/>
  <c r="E180" i="15"/>
  <c r="P179" i="15"/>
  <c r="J179" i="15"/>
  <c r="D179" i="15"/>
  <c r="P178" i="15"/>
  <c r="J178" i="15"/>
  <c r="P177" i="15"/>
  <c r="J177" i="15"/>
  <c r="P174" i="15"/>
  <c r="P175" i="15"/>
  <c r="P176" i="15"/>
  <c r="J174" i="15"/>
  <c r="J175" i="15"/>
  <c r="J176" i="15"/>
  <c r="J121" i="15"/>
  <c r="J122" i="15"/>
  <c r="J124" i="15"/>
  <c r="J127" i="15"/>
  <c r="J128" i="15"/>
  <c r="J130" i="15"/>
  <c r="J133" i="15"/>
  <c r="J134" i="15"/>
  <c r="J136" i="15"/>
  <c r="J139" i="15"/>
  <c r="J140" i="15"/>
  <c r="J166" i="15"/>
  <c r="J118" i="15"/>
  <c r="P37" i="15"/>
  <c r="P38" i="15"/>
  <c r="P39" i="15"/>
  <c r="P40" i="15"/>
  <c r="P41" i="15"/>
  <c r="P42" i="15"/>
  <c r="P43" i="15"/>
  <c r="P44" i="15"/>
  <c r="P45" i="15"/>
  <c r="P46" i="15"/>
  <c r="P47" i="15"/>
  <c r="P36" i="15"/>
  <c r="J37" i="15"/>
  <c r="J38" i="15"/>
  <c r="J39" i="15"/>
  <c r="J40" i="15"/>
  <c r="J41" i="15"/>
  <c r="J42" i="15"/>
  <c r="J43" i="15"/>
  <c r="J44" i="15"/>
  <c r="J45" i="15"/>
  <c r="J46" i="15"/>
  <c r="J47" i="15"/>
  <c r="J36" i="15"/>
  <c r="P170" i="15"/>
  <c r="J170" i="15"/>
  <c r="J168" i="15"/>
  <c r="P168" i="15"/>
  <c r="P167" i="15"/>
  <c r="J167" i="15"/>
  <c r="H166" i="15"/>
  <c r="H167" i="15"/>
  <c r="H168" i="15"/>
  <c r="H169" i="15"/>
  <c r="H170" i="15"/>
  <c r="H171" i="15"/>
  <c r="H172" i="15"/>
  <c r="H173" i="15"/>
  <c r="H174" i="15"/>
  <c r="H175" i="15"/>
  <c r="H176" i="15"/>
  <c r="H177" i="15"/>
  <c r="H178" i="15"/>
  <c r="H179" i="15"/>
  <c r="H180" i="15"/>
  <c r="H181" i="15"/>
  <c r="H182" i="15"/>
  <c r="H183" i="15"/>
  <c r="H184" i="15"/>
  <c r="H185" i="15"/>
  <c r="H165" i="15"/>
  <c r="G166" i="15"/>
  <c r="G167" i="15"/>
  <c r="G168" i="15"/>
  <c r="G169" i="15"/>
  <c r="G170" i="15"/>
  <c r="G171" i="15"/>
  <c r="G172" i="15"/>
  <c r="G174" i="15"/>
  <c r="G176" i="15"/>
  <c r="G178" i="15"/>
  <c r="G180" i="15"/>
  <c r="G182" i="15"/>
  <c r="G184" i="15"/>
  <c r="G165" i="15"/>
  <c r="D165" i="15"/>
  <c r="C166" i="15"/>
  <c r="AM166" i="15" s="1"/>
  <c r="C167" i="15"/>
  <c r="AM167" i="15" s="1"/>
  <c r="D167" i="15"/>
  <c r="C168" i="15"/>
  <c r="AM168" i="15" s="1"/>
  <c r="D168" i="15"/>
  <c r="C169" i="15"/>
  <c r="AM169" i="15" s="1"/>
  <c r="D169" i="15"/>
  <c r="E169" i="15"/>
  <c r="F169" i="15"/>
  <c r="C170" i="15"/>
  <c r="AM170" i="15" s="1"/>
  <c r="D170" i="15"/>
  <c r="C171" i="15"/>
  <c r="AM171" i="15" s="1"/>
  <c r="D171" i="15"/>
  <c r="E171" i="15"/>
  <c r="F171" i="15"/>
  <c r="C172" i="15"/>
  <c r="AM172" i="15" s="1"/>
  <c r="D172" i="15"/>
  <c r="C173" i="15"/>
  <c r="AM173" i="15" s="1"/>
  <c r="D173" i="15"/>
  <c r="C174" i="15"/>
  <c r="AM174" i="15" s="1"/>
  <c r="C175" i="15"/>
  <c r="AM175" i="15" s="1"/>
  <c r="C176" i="15"/>
  <c r="AM176" i="15" s="1"/>
  <c r="D176" i="15"/>
  <c r="C177" i="15"/>
  <c r="AM177" i="15" s="1"/>
  <c r="D177" i="15"/>
  <c r="C178" i="15"/>
  <c r="AM178" i="15" s="1"/>
  <c r="D178" i="15"/>
  <c r="C179" i="15"/>
  <c r="AM179" i="15" s="1"/>
  <c r="C180" i="15"/>
  <c r="AM180" i="15" s="1"/>
  <c r="D180" i="15"/>
  <c r="F180" i="15"/>
  <c r="C181" i="15"/>
  <c r="AM181" i="15" s="1"/>
  <c r="D181" i="15"/>
  <c r="E181" i="15"/>
  <c r="F181" i="15"/>
  <c r="C182" i="15"/>
  <c r="AM182" i="15" s="1"/>
  <c r="D182" i="15"/>
  <c r="C183" i="15"/>
  <c r="AM183" i="15" s="1"/>
  <c r="D183" i="15"/>
  <c r="C184" i="15"/>
  <c r="AM184" i="15" s="1"/>
  <c r="D184" i="15"/>
  <c r="E184" i="15"/>
  <c r="F184" i="15"/>
  <c r="C185" i="15"/>
  <c r="AM185" i="15" s="1"/>
  <c r="D185" i="15"/>
  <c r="E185" i="15"/>
  <c r="F185" i="15"/>
  <c r="C165" i="15"/>
  <c r="AM165" i="15" s="1"/>
  <c r="B166" i="15"/>
  <c r="A166" i="15" s="1"/>
  <c r="B167" i="15"/>
  <c r="A167" i="15" s="1"/>
  <c r="B168" i="15"/>
  <c r="A168" i="15" s="1"/>
  <c r="B169" i="15"/>
  <c r="A169" i="15" s="1"/>
  <c r="B170" i="15"/>
  <c r="A170" i="15" s="1"/>
  <c r="B171" i="15"/>
  <c r="A171" i="15" s="1"/>
  <c r="B172" i="15"/>
  <c r="A172" i="15" s="1"/>
  <c r="B173" i="15"/>
  <c r="A173" i="15" s="1"/>
  <c r="B174" i="15"/>
  <c r="A174" i="15" s="1"/>
  <c r="B175" i="15"/>
  <c r="A175" i="15" s="1"/>
  <c r="B176" i="15"/>
  <c r="A176" i="15" s="1"/>
  <c r="B177" i="15"/>
  <c r="A177" i="15" s="1"/>
  <c r="B178" i="15"/>
  <c r="A178" i="15" s="1"/>
  <c r="B179" i="15"/>
  <c r="A179" i="15" s="1"/>
  <c r="B180" i="15"/>
  <c r="A180" i="15" s="1"/>
  <c r="B181" i="15"/>
  <c r="A181" i="15" s="1"/>
  <c r="B182" i="15"/>
  <c r="A182" i="15" s="1"/>
  <c r="B183" i="15"/>
  <c r="A183" i="15" s="1"/>
  <c r="B184" i="15"/>
  <c r="A184" i="15" s="1"/>
  <c r="B185" i="15"/>
  <c r="A185" i="15" s="1"/>
  <c r="B165" i="15"/>
  <c r="A165" i="15" s="1"/>
  <c r="D47" i="15"/>
  <c r="D46" i="15"/>
  <c r="D45" i="15"/>
  <c r="D44" i="15"/>
  <c r="D43" i="15"/>
  <c r="D42" i="15"/>
  <c r="D41" i="15"/>
  <c r="D40" i="15"/>
  <c r="D39" i="15"/>
  <c r="D38" i="15"/>
  <c r="D37" i="15"/>
  <c r="X121" i="15"/>
  <c r="Z121" i="15" s="1"/>
  <c r="X122" i="15"/>
  <c r="Z122" i="15" s="1"/>
  <c r="X128" i="15"/>
  <c r="Z128" i="15" s="1"/>
  <c r="X134" i="15"/>
  <c r="Z134" i="15" s="1"/>
  <c r="H118" i="15"/>
  <c r="H119" i="15"/>
  <c r="H120" i="15"/>
  <c r="H121" i="15"/>
  <c r="H122" i="15"/>
  <c r="H123" i="15"/>
  <c r="H124" i="15"/>
  <c r="H125" i="15"/>
  <c r="H126" i="15"/>
  <c r="H127" i="15"/>
  <c r="H128" i="15"/>
  <c r="H129" i="15"/>
  <c r="H130" i="15"/>
  <c r="H131" i="15"/>
  <c r="H132" i="15"/>
  <c r="H133" i="15"/>
  <c r="H134" i="15"/>
  <c r="H135" i="15"/>
  <c r="H136" i="15"/>
  <c r="H137" i="15"/>
  <c r="H138" i="15"/>
  <c r="H139" i="15"/>
  <c r="H140" i="15"/>
  <c r="H117" i="15"/>
  <c r="H110" i="15"/>
  <c r="H111" i="15"/>
  <c r="H112" i="15"/>
  <c r="H113" i="15"/>
  <c r="H114" i="15"/>
  <c r="H115" i="15"/>
  <c r="H116" i="15"/>
  <c r="H109" i="15"/>
  <c r="H100" i="15"/>
  <c r="H101" i="15"/>
  <c r="H103" i="15"/>
  <c r="H104" i="15"/>
  <c r="H106" i="15"/>
  <c r="H98" i="15"/>
  <c r="G100" i="15"/>
  <c r="G101" i="15"/>
  <c r="G103" i="15"/>
  <c r="G104" i="15"/>
  <c r="G106" i="15"/>
  <c r="G98" i="15"/>
  <c r="G110" i="15"/>
  <c r="G111" i="15"/>
  <c r="G112" i="15"/>
  <c r="G113" i="15"/>
  <c r="G114" i="15"/>
  <c r="G115" i="15"/>
  <c r="G116" i="15"/>
  <c r="G109" i="15"/>
  <c r="G118" i="15"/>
  <c r="G119" i="15"/>
  <c r="G121" i="15"/>
  <c r="G123" i="15"/>
  <c r="G124" i="15"/>
  <c r="G125" i="15"/>
  <c r="G127" i="15"/>
  <c r="G129" i="15"/>
  <c r="G130" i="15"/>
  <c r="G131" i="15"/>
  <c r="G133" i="15"/>
  <c r="G135" i="15"/>
  <c r="G136" i="15"/>
  <c r="G137" i="15"/>
  <c r="G139" i="15"/>
  <c r="G117" i="15"/>
  <c r="D117" i="15"/>
  <c r="C118" i="15"/>
  <c r="AM118" i="15" s="1"/>
  <c r="C119" i="15"/>
  <c r="AM119" i="15" s="1"/>
  <c r="D119" i="15"/>
  <c r="C120" i="15"/>
  <c r="AM120" i="15" s="1"/>
  <c r="D120" i="15"/>
  <c r="C121" i="15"/>
  <c r="AM121" i="15" s="1"/>
  <c r="C122" i="15"/>
  <c r="AM122" i="15" s="1"/>
  <c r="C123" i="15"/>
  <c r="AM123" i="15" s="1"/>
  <c r="D123" i="15"/>
  <c r="C124" i="15"/>
  <c r="AM124" i="15" s="1"/>
  <c r="C125" i="15"/>
  <c r="AM125" i="15" s="1"/>
  <c r="D125" i="15"/>
  <c r="C126" i="15"/>
  <c r="AM126" i="15" s="1"/>
  <c r="D126" i="15"/>
  <c r="C127" i="15"/>
  <c r="AM127" i="15" s="1"/>
  <c r="C128" i="15"/>
  <c r="AM128" i="15" s="1"/>
  <c r="C129" i="15"/>
  <c r="AM129" i="15" s="1"/>
  <c r="D129" i="15"/>
  <c r="C130" i="15"/>
  <c r="AM130" i="15" s="1"/>
  <c r="C131" i="15"/>
  <c r="AM131" i="15" s="1"/>
  <c r="D131" i="15"/>
  <c r="C132" i="15"/>
  <c r="AM132" i="15" s="1"/>
  <c r="D132" i="15"/>
  <c r="C133" i="15"/>
  <c r="AM133" i="15" s="1"/>
  <c r="C134" i="15"/>
  <c r="AM134" i="15" s="1"/>
  <c r="C135" i="15"/>
  <c r="AM135" i="15" s="1"/>
  <c r="D135" i="15"/>
  <c r="C136" i="15"/>
  <c r="AM136" i="15" s="1"/>
  <c r="C137" i="15"/>
  <c r="AM137" i="15" s="1"/>
  <c r="D137" i="15"/>
  <c r="C138" i="15"/>
  <c r="AM138" i="15" s="1"/>
  <c r="D138" i="15"/>
  <c r="C139" i="15"/>
  <c r="AM139" i="15" s="1"/>
  <c r="C140" i="15"/>
  <c r="AM140" i="15" s="1"/>
  <c r="C117" i="15"/>
  <c r="AM117" i="15" s="1"/>
  <c r="B132" i="15"/>
  <c r="A132" i="15" s="1"/>
  <c r="B133" i="15"/>
  <c r="A133" i="15" s="1"/>
  <c r="B134" i="15"/>
  <c r="A134" i="15" s="1"/>
  <c r="B135" i="15"/>
  <c r="A135" i="15" s="1"/>
  <c r="B136" i="15"/>
  <c r="A136" i="15" s="1"/>
  <c r="B137" i="15"/>
  <c r="A137" i="15" s="1"/>
  <c r="B138" i="15"/>
  <c r="A138" i="15" s="1"/>
  <c r="B139" i="15"/>
  <c r="A139" i="15" s="1"/>
  <c r="B140" i="15"/>
  <c r="A140" i="15" s="1"/>
  <c r="B118" i="15"/>
  <c r="A118" i="15" s="1"/>
  <c r="B119" i="15"/>
  <c r="A119" i="15" s="1"/>
  <c r="B120" i="15"/>
  <c r="A120" i="15" s="1"/>
  <c r="B121" i="15"/>
  <c r="A121" i="15" s="1"/>
  <c r="B122" i="15"/>
  <c r="A122" i="15" s="1"/>
  <c r="B123" i="15"/>
  <c r="A123" i="15" s="1"/>
  <c r="B124" i="15"/>
  <c r="A124" i="15" s="1"/>
  <c r="B125" i="15"/>
  <c r="A125" i="15" s="1"/>
  <c r="B126" i="15"/>
  <c r="A126" i="15" s="1"/>
  <c r="B127" i="15"/>
  <c r="A127" i="15" s="1"/>
  <c r="B128" i="15"/>
  <c r="A128" i="15" s="1"/>
  <c r="B129" i="15"/>
  <c r="A129" i="15" s="1"/>
  <c r="B130" i="15"/>
  <c r="A130" i="15" s="1"/>
  <c r="B131" i="15"/>
  <c r="A131" i="15" s="1"/>
  <c r="B117" i="15"/>
  <c r="A117" i="15" s="1"/>
  <c r="C110" i="15"/>
  <c r="AM110" i="15" s="1"/>
  <c r="C111" i="15"/>
  <c r="AM111" i="15" s="1"/>
  <c r="C112" i="15"/>
  <c r="AM112" i="15" s="1"/>
  <c r="C113" i="15"/>
  <c r="AM113" i="15" s="1"/>
  <c r="C114" i="15"/>
  <c r="AM114" i="15" s="1"/>
  <c r="C115" i="15"/>
  <c r="AM115" i="15" s="1"/>
  <c r="C116" i="15"/>
  <c r="AM116" i="15" s="1"/>
  <c r="C109" i="15"/>
  <c r="AM109" i="15" s="1"/>
  <c r="B110" i="15"/>
  <c r="A110" i="15" s="1"/>
  <c r="B111" i="15"/>
  <c r="A111" i="15" s="1"/>
  <c r="B112" i="15"/>
  <c r="A112" i="15" s="1"/>
  <c r="B113" i="15"/>
  <c r="A113" i="15" s="1"/>
  <c r="B114" i="15"/>
  <c r="A114" i="15" s="1"/>
  <c r="B115" i="15"/>
  <c r="A115" i="15" s="1"/>
  <c r="B116" i="15"/>
  <c r="A116" i="15" s="1"/>
  <c r="B109" i="15"/>
  <c r="A109" i="15" s="1"/>
  <c r="C100" i="15"/>
  <c r="AM100" i="15" s="1"/>
  <c r="C101" i="15"/>
  <c r="AM101" i="15" s="1"/>
  <c r="C103" i="15"/>
  <c r="AM103" i="15" s="1"/>
  <c r="C104" i="15"/>
  <c r="AM104" i="15" s="1"/>
  <c r="C106" i="15"/>
  <c r="AM106" i="15" s="1"/>
  <c r="C98" i="15"/>
  <c r="AM98" i="15" s="1"/>
  <c r="B100" i="15"/>
  <c r="A100" i="15" s="1"/>
  <c r="B101" i="15"/>
  <c r="A101" i="15" s="1"/>
  <c r="B103" i="15"/>
  <c r="A103" i="15" s="1"/>
  <c r="B104" i="15"/>
  <c r="A104" i="15" s="1"/>
  <c r="B106" i="15"/>
  <c r="A106" i="15" s="1"/>
  <c r="B98" i="15"/>
  <c r="A98" i="15" s="1"/>
  <c r="H96" i="15"/>
  <c r="H94" i="15"/>
  <c r="G96" i="15"/>
  <c r="G94" i="15"/>
  <c r="C96" i="15"/>
  <c r="AM96" i="15" s="1"/>
  <c r="C94" i="15"/>
  <c r="AM94" i="15" s="1"/>
  <c r="B96" i="15"/>
  <c r="A96" i="15" s="1"/>
  <c r="B94" i="15"/>
  <c r="A94" i="15" s="1"/>
  <c r="B92" i="15"/>
  <c r="A92" i="15" s="1"/>
  <c r="C92" i="15"/>
  <c r="AM92" i="15" s="1"/>
  <c r="G92" i="15"/>
  <c r="H92" i="15"/>
  <c r="H90" i="15"/>
  <c r="G90" i="15"/>
  <c r="C90" i="15"/>
  <c r="AM90" i="15" s="1"/>
  <c r="B90" i="15"/>
  <c r="A90" i="15" s="1"/>
  <c r="B88" i="15"/>
  <c r="A88" i="15" s="1"/>
  <c r="C88" i="15"/>
  <c r="AM88" i="15" s="1"/>
  <c r="H88" i="15"/>
  <c r="H86" i="15"/>
  <c r="G86" i="15"/>
  <c r="C86" i="15"/>
  <c r="AM86" i="15" s="1"/>
  <c r="B86" i="15"/>
  <c r="A86" i="15" s="1"/>
  <c r="H84" i="15"/>
  <c r="H82" i="15"/>
  <c r="G84" i="15"/>
  <c r="G82" i="15"/>
  <c r="C84" i="15"/>
  <c r="AM84" i="15" s="1"/>
  <c r="C82" i="15"/>
  <c r="AM82" i="15" s="1"/>
  <c r="B84" i="15"/>
  <c r="A84" i="15" s="1"/>
  <c r="B82" i="15"/>
  <c r="A82" i="15" s="1"/>
  <c r="H71" i="15"/>
  <c r="H72" i="15"/>
  <c r="H75" i="15"/>
  <c r="H76" i="15"/>
  <c r="H77" i="15"/>
  <c r="H70" i="15"/>
  <c r="G76" i="15"/>
  <c r="G77" i="15"/>
  <c r="C71" i="15"/>
  <c r="AM71" i="15" s="1"/>
  <c r="C72" i="15"/>
  <c r="AM72" i="15" s="1"/>
  <c r="C75" i="15"/>
  <c r="AM75" i="15" s="1"/>
  <c r="C76" i="15"/>
  <c r="AM76" i="15" s="1"/>
  <c r="C77" i="15"/>
  <c r="AM77" i="15" s="1"/>
  <c r="C70" i="15"/>
  <c r="AM70" i="15" s="1"/>
  <c r="B71" i="15"/>
  <c r="A71" i="15" s="1"/>
  <c r="B72" i="15"/>
  <c r="A72" i="15" s="1"/>
  <c r="B75" i="15"/>
  <c r="A75" i="15" s="1"/>
  <c r="B76" i="15"/>
  <c r="A76" i="15" s="1"/>
  <c r="B77" i="15"/>
  <c r="A77" i="15" s="1"/>
  <c r="B70" i="15"/>
  <c r="A70" i="15" s="1"/>
  <c r="H68" i="15"/>
  <c r="H69" i="15"/>
  <c r="H65" i="15"/>
  <c r="G68" i="15"/>
  <c r="G65" i="15"/>
  <c r="C68" i="15"/>
  <c r="AM68" i="15" s="1"/>
  <c r="C69" i="15"/>
  <c r="AM69" i="15" s="1"/>
  <c r="C65" i="15"/>
  <c r="AM65" i="15" s="1"/>
  <c r="B68" i="15"/>
  <c r="A68" i="15" s="1"/>
  <c r="B69" i="15"/>
  <c r="A69" i="15" s="1"/>
  <c r="B65" i="15"/>
  <c r="A65" i="15" s="1"/>
  <c r="H64" i="15"/>
  <c r="H63" i="15"/>
  <c r="H62" i="15"/>
  <c r="H61" i="15"/>
  <c r="G64" i="15"/>
  <c r="G63" i="15"/>
  <c r="G62" i="15"/>
  <c r="G61" i="15"/>
  <c r="G52" i="15"/>
  <c r="G53" i="15"/>
  <c r="G54" i="15"/>
  <c r="G55" i="15"/>
  <c r="G56" i="15"/>
  <c r="G57" i="15"/>
  <c r="G58" i="15"/>
  <c r="G59" i="15"/>
  <c r="G51" i="15"/>
  <c r="C64" i="15"/>
  <c r="AM64" i="15" s="1"/>
  <c r="C63" i="15"/>
  <c r="AM63" i="15" s="1"/>
  <c r="C62" i="15"/>
  <c r="AM62" i="15" s="1"/>
  <c r="C61" i="15"/>
  <c r="AM61" i="15" s="1"/>
  <c r="B64" i="15"/>
  <c r="A64" i="15" s="1"/>
  <c r="B63" i="15"/>
  <c r="A63" i="15" s="1"/>
  <c r="B62" i="15"/>
  <c r="A62" i="15" s="1"/>
  <c r="B61" i="15"/>
  <c r="A61" i="15" s="1"/>
  <c r="H52" i="15"/>
  <c r="H53" i="15"/>
  <c r="H54" i="15"/>
  <c r="H55" i="15"/>
  <c r="H56" i="15"/>
  <c r="H57" i="15"/>
  <c r="H58" i="15"/>
  <c r="H59" i="15"/>
  <c r="H51" i="15"/>
  <c r="C52" i="15"/>
  <c r="AM52" i="15" s="1"/>
  <c r="C53" i="15"/>
  <c r="AM53" i="15" s="1"/>
  <c r="C54" i="15"/>
  <c r="AM54" i="15" s="1"/>
  <c r="C55" i="15"/>
  <c r="AM55" i="15" s="1"/>
  <c r="C56" i="15"/>
  <c r="AM56" i="15" s="1"/>
  <c r="C57" i="15"/>
  <c r="AM57" i="15" s="1"/>
  <c r="C58" i="15"/>
  <c r="AM58" i="15" s="1"/>
  <c r="C59" i="15"/>
  <c r="AM59" i="15" s="1"/>
  <c r="C51" i="15"/>
  <c r="AM51" i="15" s="1"/>
  <c r="B52" i="15"/>
  <c r="A52" i="15" s="1"/>
  <c r="B53" i="15"/>
  <c r="A53" i="15" s="1"/>
  <c r="B54" i="15"/>
  <c r="A54" i="15" s="1"/>
  <c r="B55" i="15"/>
  <c r="A55" i="15" s="1"/>
  <c r="B56" i="15"/>
  <c r="A56" i="15" s="1"/>
  <c r="B57" i="15"/>
  <c r="A57" i="15" s="1"/>
  <c r="B58" i="15"/>
  <c r="A58" i="15" s="1"/>
  <c r="B59" i="15"/>
  <c r="A59" i="15" s="1"/>
  <c r="B51" i="15"/>
  <c r="A51" i="15" s="1"/>
  <c r="X49" i="15"/>
  <c r="Z49" i="15" s="1"/>
  <c r="AB49" i="15"/>
  <c r="AB48" i="15"/>
  <c r="X48" i="15"/>
  <c r="Z48" i="15" s="1"/>
  <c r="G49" i="15"/>
  <c r="G48" i="15"/>
  <c r="H49" i="15"/>
  <c r="H48" i="15"/>
  <c r="C49" i="15"/>
  <c r="AM49" i="15" s="1"/>
  <c r="C48" i="15"/>
  <c r="AM48" i="15" s="1"/>
  <c r="B49" i="15"/>
  <c r="A49" i="15" s="1"/>
  <c r="B48" i="15"/>
  <c r="A48" i="15" s="1"/>
  <c r="V4" i="16"/>
  <c r="H7" i="16"/>
  <c r="I7" i="16"/>
  <c r="J7" i="16"/>
  <c r="K7" i="16"/>
  <c r="M7" i="16"/>
  <c r="BC7" i="16" s="1"/>
  <c r="N7" i="16"/>
  <c r="BE7" i="16" s="1"/>
  <c r="V7" i="16"/>
  <c r="X26" i="16"/>
  <c r="Y26" i="16"/>
  <c r="Z26" i="16"/>
  <c r="AA26" i="16"/>
  <c r="AB26" i="16"/>
  <c r="AC26" i="16"/>
  <c r="AD26" i="16"/>
  <c r="AE26" i="16"/>
  <c r="AF26" i="16"/>
  <c r="AG26" i="16"/>
  <c r="V27" i="16"/>
  <c r="V28" i="16"/>
  <c r="V29" i="16"/>
  <c r="W29" i="16"/>
  <c r="V30" i="16"/>
  <c r="V31" i="16"/>
  <c r="V32" i="16"/>
  <c r="V33" i="16"/>
  <c r="V34" i="16"/>
  <c r="V35" i="16"/>
  <c r="V36" i="16"/>
  <c r="V37" i="16"/>
  <c r="V38" i="16"/>
  <c r="V39" i="16"/>
  <c r="V40" i="16"/>
  <c r="V41" i="16"/>
  <c r="V42" i="16"/>
  <c r="V43" i="16"/>
  <c r="V44" i="16"/>
  <c r="V45" i="16"/>
  <c r="V46" i="16"/>
  <c r="V47" i="16"/>
  <c r="V48" i="16"/>
  <c r="V49" i="16"/>
  <c r="D50" i="16"/>
  <c r="V50" i="16" s="1"/>
  <c r="E50" i="16"/>
  <c r="D51" i="16"/>
  <c r="D213" i="16" s="1"/>
  <c r="V213" i="16" s="1"/>
  <c r="E51" i="16"/>
  <c r="V54" i="16"/>
  <c r="X56" i="16"/>
  <c r="Y56" i="16"/>
  <c r="Z56" i="16"/>
  <c r="AA56" i="16"/>
  <c r="AB56" i="16"/>
  <c r="AC56" i="16"/>
  <c r="AD56" i="16"/>
  <c r="AE56" i="16"/>
  <c r="AF56" i="16"/>
  <c r="AG56" i="16"/>
  <c r="BB56" i="16"/>
  <c r="BC56" i="16"/>
  <c r="BD56" i="16"/>
  <c r="BE56" i="16"/>
  <c r="F57" i="16"/>
  <c r="H57" i="16"/>
  <c r="J57" i="16"/>
  <c r="BC57" i="16" s="1"/>
  <c r="K57" i="16"/>
  <c r="V57" i="16"/>
  <c r="H58" i="16"/>
  <c r="J58" i="16"/>
  <c r="BC58" i="16" s="1"/>
  <c r="V58" i="16"/>
  <c r="F59" i="16"/>
  <c r="K37" i="15" s="1"/>
  <c r="H59" i="16"/>
  <c r="J59" i="16"/>
  <c r="BC59" i="16" s="1"/>
  <c r="K59" i="16"/>
  <c r="BE59" i="16" s="1"/>
  <c r="V59" i="16"/>
  <c r="H60" i="16"/>
  <c r="J60" i="16"/>
  <c r="BC60" i="16" s="1"/>
  <c r="V60" i="16"/>
  <c r="D61" i="16"/>
  <c r="H38" i="15" s="1"/>
  <c r="E61" i="16"/>
  <c r="E109" i="16" s="1"/>
  <c r="F61" i="16"/>
  <c r="K38" i="15" s="1"/>
  <c r="H61" i="16"/>
  <c r="J61" i="16"/>
  <c r="BC61" i="16" s="1"/>
  <c r="K61" i="16"/>
  <c r="BE61" i="16" s="1"/>
  <c r="V61" i="16"/>
  <c r="D62" i="16"/>
  <c r="E62" i="16"/>
  <c r="H62" i="16"/>
  <c r="J62" i="16"/>
  <c r="BC62" i="16" s="1"/>
  <c r="V62" i="16"/>
  <c r="F63" i="16"/>
  <c r="K39" i="15" s="1"/>
  <c r="H63" i="16"/>
  <c r="J63" i="16"/>
  <c r="X39" i="15" s="1"/>
  <c r="Z39" i="15" s="1"/>
  <c r="K63" i="16"/>
  <c r="BE63" i="16" s="1"/>
  <c r="V63" i="16"/>
  <c r="H64" i="16"/>
  <c r="J64" i="16"/>
  <c r="BC64" i="16" s="1"/>
  <c r="V64" i="16"/>
  <c r="D65" i="16"/>
  <c r="H40" i="15" s="1"/>
  <c r="E65" i="16"/>
  <c r="E111" i="16" s="1"/>
  <c r="F65" i="16"/>
  <c r="H65" i="16"/>
  <c r="J65" i="16"/>
  <c r="BC65" i="16" s="1"/>
  <c r="K65" i="16"/>
  <c r="BE65" i="16" s="1"/>
  <c r="V65" i="16"/>
  <c r="D66" i="16"/>
  <c r="E66" i="16"/>
  <c r="H66" i="16"/>
  <c r="J66" i="16"/>
  <c r="BC66" i="16" s="1"/>
  <c r="V66" i="16"/>
  <c r="F67" i="16"/>
  <c r="H67" i="16"/>
  <c r="J67" i="16"/>
  <c r="BC67" i="16" s="1"/>
  <c r="K67" i="16"/>
  <c r="BE67" i="16" s="1"/>
  <c r="V67" i="16"/>
  <c r="H68" i="16"/>
  <c r="J68" i="16"/>
  <c r="BC68" i="16" s="1"/>
  <c r="V68" i="16"/>
  <c r="F69" i="16"/>
  <c r="H69" i="16"/>
  <c r="J69" i="16"/>
  <c r="BC69" i="16" s="1"/>
  <c r="K69" i="16"/>
  <c r="V69" i="16"/>
  <c r="H70" i="16"/>
  <c r="J70" i="16"/>
  <c r="BC70" i="16" s="1"/>
  <c r="V70" i="16"/>
  <c r="H71" i="16"/>
  <c r="J71" i="16"/>
  <c r="BC71" i="16" s="1"/>
  <c r="BD71" i="16" s="1"/>
  <c r="AE43" i="15" s="1"/>
  <c r="K71" i="16"/>
  <c r="V71" i="16"/>
  <c r="H72" i="16"/>
  <c r="J72" i="16"/>
  <c r="BC72" i="16" s="1"/>
  <c r="V72" i="16"/>
  <c r="D73" i="16"/>
  <c r="H44" i="15" s="1"/>
  <c r="F73" i="16"/>
  <c r="K44" i="15" s="1"/>
  <c r="H73" i="16"/>
  <c r="J73" i="16"/>
  <c r="BC73" i="16" s="1"/>
  <c r="K73" i="16"/>
  <c r="BE73" i="16" s="1"/>
  <c r="V73" i="16"/>
  <c r="D74" i="16"/>
  <c r="H74" i="16"/>
  <c r="J74" i="16"/>
  <c r="BC74" i="16" s="1"/>
  <c r="V74" i="16"/>
  <c r="F75" i="16"/>
  <c r="H75" i="16"/>
  <c r="J75" i="16"/>
  <c r="K75" i="16"/>
  <c r="V75" i="16"/>
  <c r="H76" i="16"/>
  <c r="J76" i="16"/>
  <c r="BC76" i="16" s="1"/>
  <c r="V76" i="16"/>
  <c r="K46" i="15"/>
  <c r="H77" i="16"/>
  <c r="J77" i="16"/>
  <c r="BC77" i="16" s="1"/>
  <c r="K77" i="16"/>
  <c r="V77" i="16"/>
  <c r="H78" i="16"/>
  <c r="J78" i="16"/>
  <c r="BC78" i="16" s="1"/>
  <c r="V78" i="16"/>
  <c r="D79" i="16"/>
  <c r="H47" i="15" s="1"/>
  <c r="F79" i="16"/>
  <c r="K47" i="15" s="1"/>
  <c r="H79" i="16"/>
  <c r="J79" i="16"/>
  <c r="BC79" i="16" s="1"/>
  <c r="BD79" i="16" s="1"/>
  <c r="AE47" i="15" s="1"/>
  <c r="K79" i="16"/>
  <c r="BE79" i="16" s="1"/>
  <c r="V79" i="16"/>
  <c r="D80" i="16"/>
  <c r="H80" i="16"/>
  <c r="J80" i="16"/>
  <c r="BC80" i="16" s="1"/>
  <c r="V80" i="16"/>
  <c r="X90" i="16"/>
  <c r="Y90" i="16"/>
  <c r="Z90" i="16"/>
  <c r="AA90" i="16"/>
  <c r="AB90" i="16"/>
  <c r="AC90" i="16"/>
  <c r="AD90" i="16"/>
  <c r="AE90" i="16"/>
  <c r="AF90" i="16"/>
  <c r="AG90" i="16"/>
  <c r="X98" i="16"/>
  <c r="Y98" i="16"/>
  <c r="Z98" i="16"/>
  <c r="AA98" i="16"/>
  <c r="AB98" i="16"/>
  <c r="AC98" i="16"/>
  <c r="AD98" i="16"/>
  <c r="AE98" i="16"/>
  <c r="AF98" i="16"/>
  <c r="AG98" i="16"/>
  <c r="E99" i="16"/>
  <c r="E119" i="16" s="1"/>
  <c r="V99" i="16"/>
  <c r="E100" i="16"/>
  <c r="E143" i="16" s="1"/>
  <c r="E101" i="16"/>
  <c r="E110" i="16" s="1"/>
  <c r="E102" i="16"/>
  <c r="E145" i="16" s="1"/>
  <c r="E103" i="16"/>
  <c r="E160" i="16" s="1"/>
  <c r="E104" i="16"/>
  <c r="E138" i="16" s="1"/>
  <c r="E105" i="16"/>
  <c r="E139" i="16" s="1"/>
  <c r="E106" i="16"/>
  <c r="E163" i="16" s="1"/>
  <c r="V107" i="16"/>
  <c r="X107" i="16"/>
  <c r="F109" i="16"/>
  <c r="W110" i="16"/>
  <c r="F111" i="16"/>
  <c r="X112" i="16"/>
  <c r="X110" i="16" s="1"/>
  <c r="E115" i="16"/>
  <c r="F115" i="16"/>
  <c r="E118" i="16"/>
  <c r="F118" i="16"/>
  <c r="V119" i="16"/>
  <c r="V127" i="16"/>
  <c r="V131" i="16"/>
  <c r="F133" i="16"/>
  <c r="F60" i="16" s="1"/>
  <c r="I60" i="16" s="1"/>
  <c r="V133" i="16"/>
  <c r="W133" i="16"/>
  <c r="X133" i="16"/>
  <c r="F134" i="16"/>
  <c r="F135" i="16"/>
  <c r="F64" i="16" s="1"/>
  <c r="W135" i="16"/>
  <c r="X135" i="16"/>
  <c r="F136" i="16"/>
  <c r="F68" i="16" s="1"/>
  <c r="L41" i="15" s="1"/>
  <c r="W136" i="16"/>
  <c r="X136" i="16"/>
  <c r="F137" i="16"/>
  <c r="F70" i="16" s="1"/>
  <c r="L42" i="15" s="1"/>
  <c r="W137" i="16"/>
  <c r="X137" i="16"/>
  <c r="F138" i="16"/>
  <c r="F72" i="16" s="1"/>
  <c r="L43" i="15" s="1"/>
  <c r="F139" i="16"/>
  <c r="F76" i="16" s="1"/>
  <c r="L45" i="15" s="1"/>
  <c r="W139" i="16"/>
  <c r="X139" i="16"/>
  <c r="F140" i="16"/>
  <c r="F78" i="16" s="1"/>
  <c r="L46" i="15" s="1"/>
  <c r="V141" i="16"/>
  <c r="V142" i="16"/>
  <c r="V150" i="16"/>
  <c r="V152" i="16"/>
  <c r="V153" i="16"/>
  <c r="X153" i="16"/>
  <c r="V154" i="16"/>
  <c r="V155" i="16"/>
  <c r="V156" i="16"/>
  <c r="V164" i="16"/>
  <c r="D165" i="16"/>
  <c r="V165" i="16" s="1"/>
  <c r="V169" i="16"/>
  <c r="X171" i="16"/>
  <c r="Y171" i="16"/>
  <c r="Z171" i="16"/>
  <c r="AA171" i="16"/>
  <c r="AB171" i="16"/>
  <c r="AC171" i="16"/>
  <c r="AD171" i="16"/>
  <c r="AE171" i="16"/>
  <c r="AF171" i="16"/>
  <c r="AG171" i="16"/>
  <c r="BB171" i="16"/>
  <c r="BC171" i="16"/>
  <c r="BD171" i="16"/>
  <c r="BE171" i="16"/>
  <c r="H172" i="16"/>
  <c r="BC172" i="16"/>
  <c r="I49" i="15"/>
  <c r="H173" i="16"/>
  <c r="BC173" i="16"/>
  <c r="X194" i="16"/>
  <c r="Y194" i="16"/>
  <c r="Z194" i="16"/>
  <c r="AA194" i="16"/>
  <c r="AB194" i="16"/>
  <c r="AC194" i="16"/>
  <c r="AD194" i="16"/>
  <c r="AE194" i="16"/>
  <c r="AF194" i="16"/>
  <c r="AG194" i="16"/>
  <c r="AJ194" i="16"/>
  <c r="AK194" i="16"/>
  <c r="AL194" i="16"/>
  <c r="AM194" i="16"/>
  <c r="AN194" i="16"/>
  <c r="AO194" i="16"/>
  <c r="AP194" i="16"/>
  <c r="AQ194" i="16"/>
  <c r="AR194" i="16"/>
  <c r="AS194" i="16"/>
  <c r="V201" i="16"/>
  <c r="V202" i="16"/>
  <c r="V203" i="16"/>
  <c r="V204" i="16"/>
  <c r="V205" i="16"/>
  <c r="V206" i="16"/>
  <c r="V207" i="16"/>
  <c r="V208" i="16"/>
  <c r="V209" i="16"/>
  <c r="V210" i="16"/>
  <c r="V211" i="16"/>
  <c r="D212" i="16"/>
  <c r="V212" i="16" s="1"/>
  <c r="V217" i="16"/>
  <c r="X219" i="16"/>
  <c r="Y219" i="16"/>
  <c r="Z219" i="16"/>
  <c r="AA219" i="16"/>
  <c r="AB219" i="16"/>
  <c r="AC219" i="16"/>
  <c r="AD219" i="16"/>
  <c r="AE219" i="16"/>
  <c r="AF219" i="16"/>
  <c r="AG219" i="16"/>
  <c r="BB219" i="16"/>
  <c r="BC219" i="16"/>
  <c r="BD219" i="16"/>
  <c r="BE219" i="16"/>
  <c r="I51" i="15"/>
  <c r="H220" i="16"/>
  <c r="H508" i="9" s="1"/>
  <c r="X51" i="15"/>
  <c r="Z51" i="15" s="1"/>
  <c r="AB51" i="15"/>
  <c r="I52" i="15"/>
  <c r="H221" i="16"/>
  <c r="X52" i="15"/>
  <c r="Z52" i="15" s="1"/>
  <c r="H222" i="16"/>
  <c r="H510" i="9" s="1"/>
  <c r="AB53" i="15"/>
  <c r="H223" i="16"/>
  <c r="H511" i="9" s="1"/>
  <c r="X54" i="15"/>
  <c r="Z54" i="15" s="1"/>
  <c r="AB54" i="15"/>
  <c r="I55" i="15"/>
  <c r="H224" i="16"/>
  <c r="H512" i="9" s="1"/>
  <c r="X55" i="15"/>
  <c r="Z55" i="15" s="1"/>
  <c r="I56" i="15"/>
  <c r="H225" i="16"/>
  <c r="H513" i="9" s="1"/>
  <c r="X56" i="15"/>
  <c r="Z56" i="15" s="1"/>
  <c r="AB56" i="15"/>
  <c r="I57" i="15"/>
  <c r="H226" i="16"/>
  <c r="AB57" i="15"/>
  <c r="I58" i="15"/>
  <c r="H227" i="16"/>
  <c r="H515" i="9" s="1"/>
  <c r="BC227" i="16"/>
  <c r="BD227" i="16" s="1"/>
  <c r="AE58" i="15" s="1"/>
  <c r="AC58" i="15" s="1"/>
  <c r="AB58" i="15"/>
  <c r="H228" i="16"/>
  <c r="H516" i="9" s="1"/>
  <c r="AB59" i="15"/>
  <c r="X235" i="16"/>
  <c r="Y235" i="16"/>
  <c r="Z235" i="16"/>
  <c r="AA235" i="16"/>
  <c r="AB235" i="16"/>
  <c r="AC235" i="16"/>
  <c r="AD235" i="16"/>
  <c r="AE235" i="16"/>
  <c r="AF235" i="16"/>
  <c r="AG235" i="16"/>
  <c r="V253" i="16"/>
  <c r="X255" i="16"/>
  <c r="Y255" i="16"/>
  <c r="Z255" i="16"/>
  <c r="AA255" i="16"/>
  <c r="AB255" i="16"/>
  <c r="AC255" i="16"/>
  <c r="AD255" i="16"/>
  <c r="AE255" i="16"/>
  <c r="AF255" i="16"/>
  <c r="AG255" i="16"/>
  <c r="BB255" i="16"/>
  <c r="BC255" i="16"/>
  <c r="BD255" i="16"/>
  <c r="BE255" i="16"/>
  <c r="F256" i="16"/>
  <c r="I61" i="15" s="1"/>
  <c r="H256" i="16"/>
  <c r="J256" i="16"/>
  <c r="K256" i="16"/>
  <c r="X264" i="16"/>
  <c r="Y264" i="16"/>
  <c r="Z264" i="16"/>
  <c r="AA264" i="16"/>
  <c r="AB264" i="16"/>
  <c r="AC264" i="16"/>
  <c r="AD264" i="16"/>
  <c r="AE264" i="16"/>
  <c r="AF264" i="16"/>
  <c r="AG264" i="16"/>
  <c r="V265" i="16"/>
  <c r="V266" i="16"/>
  <c r="V267" i="16"/>
  <c r="V268" i="16"/>
  <c r="V269" i="16"/>
  <c r="V270" i="16"/>
  <c r="V271" i="16"/>
  <c r="V272" i="16"/>
  <c r="D273" i="16"/>
  <c r="V273" i="16" s="1"/>
  <c r="V277" i="16"/>
  <c r="X279" i="16"/>
  <c r="Y279" i="16"/>
  <c r="Z279" i="16"/>
  <c r="AA279" i="16"/>
  <c r="AB279" i="16"/>
  <c r="AC279" i="16"/>
  <c r="AD279" i="16"/>
  <c r="AE279" i="16"/>
  <c r="AF279" i="16"/>
  <c r="AG279" i="16"/>
  <c r="BB279" i="16"/>
  <c r="BC279" i="16"/>
  <c r="BD279" i="16"/>
  <c r="BE279" i="16"/>
  <c r="F280" i="16"/>
  <c r="H280" i="16"/>
  <c r="J280" i="16"/>
  <c r="X62" i="15" s="1"/>
  <c r="Z62" i="15" s="1"/>
  <c r="K280" i="16"/>
  <c r="BE280" i="16" s="1"/>
  <c r="X286" i="16"/>
  <c r="Y286" i="16"/>
  <c r="Z286" i="16"/>
  <c r="AA286" i="16"/>
  <c r="AB286" i="16"/>
  <c r="AC286" i="16"/>
  <c r="AD286" i="16"/>
  <c r="AE286" i="16"/>
  <c r="AF286" i="16"/>
  <c r="AG286" i="16"/>
  <c r="D300" i="16"/>
  <c r="V300" i="16" s="1"/>
  <c r="V304" i="16"/>
  <c r="X306" i="16"/>
  <c r="Y306" i="16"/>
  <c r="Z306" i="16"/>
  <c r="AA306" i="16"/>
  <c r="AB306" i="16"/>
  <c r="AC306" i="16"/>
  <c r="AD306" i="16"/>
  <c r="AE306" i="16"/>
  <c r="AF306" i="16"/>
  <c r="AG306" i="16"/>
  <c r="BB306" i="16"/>
  <c r="BC306" i="16"/>
  <c r="BD306" i="16"/>
  <c r="BE306" i="16"/>
  <c r="F307" i="16"/>
  <c r="I63" i="15" s="1"/>
  <c r="K63" i="15" s="1"/>
  <c r="H307" i="16"/>
  <c r="J307" i="16"/>
  <c r="K307" i="16"/>
  <c r="F308" i="16"/>
  <c r="I64" i="15" s="1"/>
  <c r="K64" i="15" s="1"/>
  <c r="H308" i="16"/>
  <c r="J308" i="16"/>
  <c r="BC308" i="16" s="1"/>
  <c r="K308" i="16"/>
  <c r="X316" i="16"/>
  <c r="Y316" i="16"/>
  <c r="Z316" i="16"/>
  <c r="AA316" i="16"/>
  <c r="AB316" i="16"/>
  <c r="AC316" i="16"/>
  <c r="AD316" i="16"/>
  <c r="AE316" i="16"/>
  <c r="AF316" i="16"/>
  <c r="AG316" i="16"/>
  <c r="D326" i="16"/>
  <c r="V326" i="16" s="1"/>
  <c r="E125" i="16"/>
  <c r="BC280" i="16"/>
  <c r="BC225" i="16"/>
  <c r="BD225" i="16" s="1"/>
  <c r="AE56" i="15" s="1"/>
  <c r="AC56" i="15" s="1"/>
  <c r="E161" i="16"/>
  <c r="BC224" i="16"/>
  <c r="BC221" i="16"/>
  <c r="BC228" i="16"/>
  <c r="X59" i="15"/>
  <c r="Z59" i="15" s="1"/>
  <c r="E117" i="16"/>
  <c r="C46" i="15"/>
  <c r="AM46" i="15" s="1"/>
  <c r="G46" i="15"/>
  <c r="H46" i="15"/>
  <c r="X46" i="15"/>
  <c r="Z46" i="15" s="1"/>
  <c r="C47" i="15"/>
  <c r="AM47" i="15" s="1"/>
  <c r="G47" i="15"/>
  <c r="C37" i="15"/>
  <c r="AM37" i="15" s="1"/>
  <c r="G37" i="15"/>
  <c r="H37" i="15"/>
  <c r="C38" i="15"/>
  <c r="AM38" i="15" s="1"/>
  <c r="C39" i="15"/>
  <c r="AM39" i="15" s="1"/>
  <c r="G39" i="15"/>
  <c r="H39" i="15"/>
  <c r="C40" i="15"/>
  <c r="AM40" i="15" s="1"/>
  <c r="G40" i="15"/>
  <c r="C41" i="15"/>
  <c r="AM41" i="15" s="1"/>
  <c r="G41" i="15"/>
  <c r="H41" i="15"/>
  <c r="C42" i="15"/>
  <c r="AM42" i="15" s="1"/>
  <c r="G42" i="15"/>
  <c r="H42" i="15"/>
  <c r="C43" i="15"/>
  <c r="AM43" i="15" s="1"/>
  <c r="G43" i="15"/>
  <c r="H43" i="15"/>
  <c r="C44" i="15"/>
  <c r="AM44" i="15" s="1"/>
  <c r="G44" i="15"/>
  <c r="X44" i="15"/>
  <c r="Z44" i="15" s="1"/>
  <c r="C45" i="15"/>
  <c r="AM45" i="15" s="1"/>
  <c r="G45" i="15"/>
  <c r="H45" i="15"/>
  <c r="K45" i="15"/>
  <c r="D36" i="15"/>
  <c r="G36" i="15"/>
  <c r="G35" i="15"/>
  <c r="X36" i="15"/>
  <c r="Z36" i="15" s="1"/>
  <c r="H36" i="15"/>
  <c r="C36" i="15"/>
  <c r="AM36" i="15" s="1"/>
  <c r="AB35" i="15"/>
  <c r="H35" i="15"/>
  <c r="C35" i="15"/>
  <c r="AM35" i="15" s="1"/>
  <c r="B37" i="15"/>
  <c r="A37" i="15" s="1"/>
  <c r="B38" i="15"/>
  <c r="A38" i="15" s="1"/>
  <c r="B39" i="15"/>
  <c r="A39" i="15" s="1"/>
  <c r="B40" i="15"/>
  <c r="A40" i="15" s="1"/>
  <c r="B41" i="15"/>
  <c r="A41" i="15" s="1"/>
  <c r="B42" i="15"/>
  <c r="A42" i="15" s="1"/>
  <c r="B43" i="15"/>
  <c r="A43" i="15" s="1"/>
  <c r="B44" i="15"/>
  <c r="A44" i="15" s="1"/>
  <c r="B45" i="15"/>
  <c r="A45" i="15" s="1"/>
  <c r="B46" i="15"/>
  <c r="A46" i="15" s="1"/>
  <c r="B47" i="15"/>
  <c r="A47" i="15" s="1"/>
  <c r="B36" i="15"/>
  <c r="A36" i="15" s="1"/>
  <c r="B35" i="15"/>
  <c r="A35" i="15" s="1"/>
  <c r="AB10" i="15"/>
  <c r="AB11" i="15"/>
  <c r="AB12" i="15"/>
  <c r="AB13" i="15"/>
  <c r="AB14" i="15"/>
  <c r="AB15" i="15"/>
  <c r="AB16" i="15"/>
  <c r="AB19" i="15"/>
  <c r="AB20" i="15"/>
  <c r="AB21" i="15"/>
  <c r="AB22" i="15"/>
  <c r="AB23" i="15"/>
  <c r="AB24" i="15"/>
  <c r="AB25" i="15"/>
  <c r="AB26" i="15"/>
  <c r="AB27" i="15"/>
  <c r="AB28" i="15"/>
  <c r="AB29" i="15"/>
  <c r="AB30" i="15"/>
  <c r="AB31" i="15"/>
  <c r="AB33" i="15"/>
  <c r="AB9" i="15"/>
  <c r="C10" i="15"/>
  <c r="AM10" i="15" s="1"/>
  <c r="G10" i="15"/>
  <c r="H10" i="15"/>
  <c r="C11" i="15"/>
  <c r="AM11" i="15" s="1"/>
  <c r="G11" i="15"/>
  <c r="H11" i="15"/>
  <c r="C12" i="15"/>
  <c r="AM12" i="15" s="1"/>
  <c r="G12" i="15"/>
  <c r="H12" i="15"/>
  <c r="C13" i="15"/>
  <c r="AM13" i="15" s="1"/>
  <c r="G13" i="15"/>
  <c r="H13" i="15"/>
  <c r="C14" i="15"/>
  <c r="AM14" i="15" s="1"/>
  <c r="G14" i="15"/>
  <c r="H14" i="15"/>
  <c r="C15" i="15"/>
  <c r="AM15" i="15" s="1"/>
  <c r="G15" i="15"/>
  <c r="H15" i="15"/>
  <c r="C16" i="15"/>
  <c r="AM16" i="15" s="1"/>
  <c r="G16" i="15"/>
  <c r="H16" i="15"/>
  <c r="C19" i="15"/>
  <c r="AM19" i="15" s="1"/>
  <c r="G19" i="15"/>
  <c r="H19" i="15"/>
  <c r="C20" i="15"/>
  <c r="AM20" i="15" s="1"/>
  <c r="G20" i="15"/>
  <c r="H20" i="15"/>
  <c r="C21" i="15"/>
  <c r="AM21" i="15" s="1"/>
  <c r="G21" i="15"/>
  <c r="H21" i="15"/>
  <c r="C22" i="15"/>
  <c r="AM22" i="15" s="1"/>
  <c r="G22" i="15"/>
  <c r="H22" i="15"/>
  <c r="C23" i="15"/>
  <c r="AM23" i="15" s="1"/>
  <c r="G23" i="15"/>
  <c r="H23" i="15"/>
  <c r="C24" i="15"/>
  <c r="AM24" i="15" s="1"/>
  <c r="G24" i="15"/>
  <c r="H24" i="15"/>
  <c r="C25" i="15"/>
  <c r="AM25" i="15" s="1"/>
  <c r="G25" i="15"/>
  <c r="H25" i="15"/>
  <c r="C26" i="15"/>
  <c r="AM26" i="15" s="1"/>
  <c r="G26" i="15"/>
  <c r="H26" i="15"/>
  <c r="C27" i="15"/>
  <c r="AM27" i="15" s="1"/>
  <c r="G27" i="15"/>
  <c r="H27" i="15"/>
  <c r="C28" i="15"/>
  <c r="AM28" i="15" s="1"/>
  <c r="G28" i="15"/>
  <c r="H28" i="15"/>
  <c r="C29" i="15"/>
  <c r="AM29" i="15" s="1"/>
  <c r="G29" i="15"/>
  <c r="H29" i="15"/>
  <c r="C30" i="15"/>
  <c r="AM30" i="15" s="1"/>
  <c r="G30" i="15"/>
  <c r="H30" i="15"/>
  <c r="C31" i="15"/>
  <c r="AM31" i="15" s="1"/>
  <c r="G31" i="15"/>
  <c r="H31" i="15"/>
  <c r="C33" i="15"/>
  <c r="AM33" i="15" s="1"/>
  <c r="G33" i="15"/>
  <c r="H33" i="15"/>
  <c r="H9" i="15"/>
  <c r="G9" i="15"/>
  <c r="C9" i="15"/>
  <c r="AM9" i="15" s="1"/>
  <c r="B31" i="15"/>
  <c r="A31" i="15" s="1"/>
  <c r="B33" i="15"/>
  <c r="A33" i="15" s="1"/>
  <c r="B10" i="15"/>
  <c r="A10" i="15" s="1"/>
  <c r="B11" i="15"/>
  <c r="A11" i="15" s="1"/>
  <c r="B12" i="15"/>
  <c r="A12" i="15" s="1"/>
  <c r="B13" i="15"/>
  <c r="A13" i="15" s="1"/>
  <c r="B14" i="15"/>
  <c r="A14" i="15" s="1"/>
  <c r="B15" i="15"/>
  <c r="A15" i="15" s="1"/>
  <c r="B16" i="15"/>
  <c r="A16" i="15" s="1"/>
  <c r="B19" i="15"/>
  <c r="A19" i="15" s="1"/>
  <c r="B20" i="15"/>
  <c r="A20" i="15" s="1"/>
  <c r="B21" i="15"/>
  <c r="A21" i="15" s="1"/>
  <c r="B22" i="15"/>
  <c r="A22" i="15" s="1"/>
  <c r="B23" i="15"/>
  <c r="A23" i="15" s="1"/>
  <c r="B24" i="15"/>
  <c r="A24" i="15" s="1"/>
  <c r="B25" i="15"/>
  <c r="A25" i="15" s="1"/>
  <c r="B26" i="15"/>
  <c r="A26" i="15" s="1"/>
  <c r="B27" i="15"/>
  <c r="A27" i="15" s="1"/>
  <c r="B28" i="15"/>
  <c r="A28" i="15" s="1"/>
  <c r="B29" i="15"/>
  <c r="A29" i="15" s="1"/>
  <c r="B30" i="15"/>
  <c r="A30" i="15" s="1"/>
  <c r="B9" i="15"/>
  <c r="A9" i="15" s="1"/>
  <c r="Y73" i="9"/>
  <c r="Y190" i="9"/>
  <c r="Y189" i="9"/>
  <c r="Y188" i="9"/>
  <c r="Y187" i="9"/>
  <c r="Y186" i="9"/>
  <c r="Y185" i="9"/>
  <c r="Y184" i="9"/>
  <c r="Y183" i="9"/>
  <c r="Y182" i="9"/>
  <c r="Y181" i="9"/>
  <c r="Y156" i="9"/>
  <c r="Y155" i="9"/>
  <c r="Y154" i="9"/>
  <c r="Y153" i="9"/>
  <c r="Y152" i="9"/>
  <c r="Y151" i="9"/>
  <c r="Y150" i="9"/>
  <c r="Y149" i="9"/>
  <c r="Y148" i="9"/>
  <c r="Y147" i="9"/>
  <c r="H182" i="9"/>
  <c r="H183" i="9"/>
  <c r="H184" i="9"/>
  <c r="H185" i="9"/>
  <c r="H186" i="9"/>
  <c r="H187" i="9"/>
  <c r="H188" i="9"/>
  <c r="H189" i="9"/>
  <c r="H190" i="9"/>
  <c r="H181" i="9"/>
  <c r="F190" i="9"/>
  <c r="M83" i="9" s="1"/>
  <c r="BE83" i="9" s="1"/>
  <c r="F189" i="9"/>
  <c r="F188" i="9"/>
  <c r="M81" i="9" s="1"/>
  <c r="BE81" i="9" s="1"/>
  <c r="F187" i="9"/>
  <c r="M80" i="9" s="1"/>
  <c r="BE80" i="9" s="1"/>
  <c r="F186" i="9"/>
  <c r="M79" i="9" s="1"/>
  <c r="BE79" i="9" s="1"/>
  <c r="F185" i="9"/>
  <c r="M78" i="9" s="1"/>
  <c r="BE78" i="9" s="1"/>
  <c r="F184" i="9"/>
  <c r="M77" i="9" s="1"/>
  <c r="BE77" i="9" s="1"/>
  <c r="F183" i="9"/>
  <c r="M76" i="9" s="1"/>
  <c r="BE76" i="9" s="1"/>
  <c r="F182" i="9"/>
  <c r="M75" i="9" s="1"/>
  <c r="BE75" i="9" s="1"/>
  <c r="F181" i="9"/>
  <c r="M74" i="9" s="1"/>
  <c r="BE74" i="9" s="1"/>
  <c r="L839" i="7"/>
  <c r="L840" i="7"/>
  <c r="L838" i="7"/>
  <c r="L837" i="7"/>
  <c r="V4" i="11"/>
  <c r="V67" i="10"/>
  <c r="AG66" i="10"/>
  <c r="AF66" i="10"/>
  <c r="AE66" i="10"/>
  <c r="AD66" i="10"/>
  <c r="AC66" i="10"/>
  <c r="AB66" i="10"/>
  <c r="AA66" i="10"/>
  <c r="Z66" i="10"/>
  <c r="Y66" i="10"/>
  <c r="X66" i="10"/>
  <c r="W66" i="10"/>
  <c r="V58" i="10"/>
  <c r="K58" i="10"/>
  <c r="AB588" i="15" s="1"/>
  <c r="J58" i="10"/>
  <c r="X588" i="15" s="1"/>
  <c r="Z588" i="15" s="1"/>
  <c r="H58" i="10"/>
  <c r="F58" i="10"/>
  <c r="BE57" i="10"/>
  <c r="BD57" i="10"/>
  <c r="BC57" i="10"/>
  <c r="BB57" i="10"/>
  <c r="AG57" i="10"/>
  <c r="AF57" i="10"/>
  <c r="AE57" i="10"/>
  <c r="AD57" i="10"/>
  <c r="AC57" i="10"/>
  <c r="AB57" i="10"/>
  <c r="AA57" i="10"/>
  <c r="Z57" i="10"/>
  <c r="Y57" i="10"/>
  <c r="X57" i="10"/>
  <c r="V55" i="10"/>
  <c r="V53" i="10"/>
  <c r="V52" i="10"/>
  <c r="V51" i="10"/>
  <c r="V50" i="10"/>
  <c r="V49" i="10"/>
  <c r="V48" i="10"/>
  <c r="AG47" i="10"/>
  <c r="AF47" i="10"/>
  <c r="AE47" i="10"/>
  <c r="AD47" i="10"/>
  <c r="AC47" i="10"/>
  <c r="AB47" i="10"/>
  <c r="AA47" i="10"/>
  <c r="Z47" i="10"/>
  <c r="Y47" i="10"/>
  <c r="X47" i="10"/>
  <c r="W47" i="10"/>
  <c r="BC36" i="10"/>
  <c r="X36" i="10"/>
  <c r="W36" i="10"/>
  <c r="K36" i="10"/>
  <c r="H36" i="10"/>
  <c r="F36" i="10"/>
  <c r="BC35" i="10"/>
  <c r="X35" i="10"/>
  <c r="W35" i="10"/>
  <c r="V35" i="10"/>
  <c r="V36" i="10" s="1"/>
  <c r="K35" i="10"/>
  <c r="AB586" i="15" s="1"/>
  <c r="H35" i="10"/>
  <c r="F35" i="10"/>
  <c r="BE34" i="10"/>
  <c r="BD34" i="10"/>
  <c r="BC34" i="10"/>
  <c r="BB34" i="10"/>
  <c r="AG34" i="10"/>
  <c r="AF34" i="10"/>
  <c r="AE34" i="10"/>
  <c r="AD34" i="10"/>
  <c r="AC34" i="10"/>
  <c r="AB34" i="10"/>
  <c r="AA34" i="10"/>
  <c r="Z34" i="10"/>
  <c r="Y34" i="10"/>
  <c r="X34" i="10"/>
  <c r="W34" i="10"/>
  <c r="V32" i="10"/>
  <c r="V29" i="10"/>
  <c r="AG28" i="10"/>
  <c r="AF28" i="10"/>
  <c r="AE28" i="10"/>
  <c r="AD28" i="10"/>
  <c r="AC28" i="10"/>
  <c r="AB28" i="10"/>
  <c r="AA28" i="10"/>
  <c r="Z28" i="10"/>
  <c r="Y28" i="10"/>
  <c r="X28" i="10"/>
  <c r="W28" i="10"/>
  <c r="BC22" i="10"/>
  <c r="V22" i="10"/>
  <c r="H22" i="10"/>
  <c r="I22" i="10" s="1"/>
  <c r="O585" i="15" s="1"/>
  <c r="U585" i="15" s="1"/>
  <c r="BE21" i="10"/>
  <c r="BD21" i="10"/>
  <c r="BC21" i="10"/>
  <c r="BB21" i="10"/>
  <c r="AG21" i="10"/>
  <c r="AF21" i="10"/>
  <c r="AE21" i="10"/>
  <c r="AD21" i="10"/>
  <c r="AC21" i="10"/>
  <c r="AB21" i="10"/>
  <c r="AA21" i="10"/>
  <c r="Z21" i="10"/>
  <c r="Y21" i="10"/>
  <c r="X21" i="10"/>
  <c r="W21" i="10"/>
  <c r="V19" i="10"/>
  <c r="V15" i="10"/>
  <c r="AG14" i="10"/>
  <c r="AF14" i="10"/>
  <c r="AE14" i="10"/>
  <c r="AD14" i="10"/>
  <c r="AC14" i="10"/>
  <c r="AB14" i="10"/>
  <c r="AA14" i="10"/>
  <c r="Z14" i="10"/>
  <c r="Y14" i="10"/>
  <c r="X14" i="10"/>
  <c r="W14" i="10"/>
  <c r="BC8" i="10"/>
  <c r="H8" i="10"/>
  <c r="F8" i="10"/>
  <c r="BC7" i="10"/>
  <c r="V7" i="10"/>
  <c r="V8" i="10" s="1"/>
  <c r="H7" i="10"/>
  <c r="I7" i="10" s="1"/>
  <c r="O583" i="15" s="1"/>
  <c r="U583" i="15" s="1"/>
  <c r="I583" i="15"/>
  <c r="V4" i="10"/>
  <c r="V611" i="9"/>
  <c r="V610" i="9"/>
  <c r="V609" i="9"/>
  <c r="V608" i="9"/>
  <c r="V607" i="9"/>
  <c r="V606" i="9"/>
  <c r="V605" i="9"/>
  <c r="F605" i="9"/>
  <c r="V604" i="9"/>
  <c r="F604" i="9"/>
  <c r="V603" i="9"/>
  <c r="F603" i="9"/>
  <c r="V602" i="9"/>
  <c r="F602" i="9"/>
  <c r="V601" i="9"/>
  <c r="F601" i="9"/>
  <c r="V600" i="9"/>
  <c r="F600" i="9"/>
  <c r="F598" i="9" s="1"/>
  <c r="F591" i="9" s="1"/>
  <c r="V599" i="9"/>
  <c r="V598" i="9"/>
  <c r="V597" i="9"/>
  <c r="AG596" i="9"/>
  <c r="AF596" i="9"/>
  <c r="AE596" i="9"/>
  <c r="AD596" i="9"/>
  <c r="AC596" i="9"/>
  <c r="AB596" i="9"/>
  <c r="AA596" i="9"/>
  <c r="Z596" i="9"/>
  <c r="Y596" i="9"/>
  <c r="X596" i="9"/>
  <c r="W596" i="9"/>
  <c r="J591" i="9"/>
  <c r="Y582" i="15" s="1"/>
  <c r="H591" i="9"/>
  <c r="V590" i="9"/>
  <c r="V591" i="9" s="1"/>
  <c r="K590" i="9"/>
  <c r="BE590" i="9" s="1"/>
  <c r="J590" i="9"/>
  <c r="BC590" i="9" s="1"/>
  <c r="H590" i="9"/>
  <c r="BE589" i="9"/>
  <c r="BD589" i="9"/>
  <c r="BC589" i="9"/>
  <c r="BB589" i="9"/>
  <c r="AG589" i="9"/>
  <c r="AF589" i="9"/>
  <c r="AE589" i="9"/>
  <c r="AD589" i="9"/>
  <c r="AC589" i="9"/>
  <c r="AB589" i="9"/>
  <c r="AA589" i="9"/>
  <c r="Z589" i="9"/>
  <c r="Y589" i="9"/>
  <c r="X589" i="9"/>
  <c r="W589" i="9"/>
  <c r="V587" i="9"/>
  <c r="V581" i="9"/>
  <c r="V580" i="9"/>
  <c r="V579" i="9"/>
  <c r="V578" i="9"/>
  <c r="V577" i="9"/>
  <c r="V576" i="9"/>
  <c r="V575" i="9"/>
  <c r="V574" i="9"/>
  <c r="V573" i="9"/>
  <c r="V572" i="9"/>
  <c r="V571" i="9"/>
  <c r="V570" i="9"/>
  <c r="AG564" i="9"/>
  <c r="AF564" i="9"/>
  <c r="AE564" i="9"/>
  <c r="AD564" i="9"/>
  <c r="AC564" i="9"/>
  <c r="AB564" i="9"/>
  <c r="AA564" i="9"/>
  <c r="Z564" i="9"/>
  <c r="Y564" i="9"/>
  <c r="X564" i="9"/>
  <c r="W564" i="9"/>
  <c r="V541" i="9"/>
  <c r="N541" i="9"/>
  <c r="BE541" i="9" s="1"/>
  <c r="M541" i="9"/>
  <c r="BC541" i="9" s="1"/>
  <c r="K541" i="9"/>
  <c r="J541" i="9"/>
  <c r="I541" i="9"/>
  <c r="H541" i="9"/>
  <c r="BE540" i="9"/>
  <c r="BD540" i="9"/>
  <c r="BC540" i="9"/>
  <c r="BB540" i="9"/>
  <c r="AG540" i="9"/>
  <c r="AF540" i="9"/>
  <c r="AE540" i="9"/>
  <c r="AD540" i="9"/>
  <c r="AC540" i="9"/>
  <c r="AB540" i="9"/>
  <c r="AA540" i="9"/>
  <c r="Z540" i="9"/>
  <c r="Y540" i="9"/>
  <c r="X540" i="9"/>
  <c r="W540" i="9"/>
  <c r="V538" i="9"/>
  <c r="AG522" i="9"/>
  <c r="AF522" i="9"/>
  <c r="AE522" i="9"/>
  <c r="AD522" i="9"/>
  <c r="AC522" i="9"/>
  <c r="AB522" i="9"/>
  <c r="AA522" i="9"/>
  <c r="Z522" i="9"/>
  <c r="Y522" i="9"/>
  <c r="X522" i="9"/>
  <c r="X516" i="9"/>
  <c r="W516" i="9"/>
  <c r="L516" i="9"/>
  <c r="AI579" i="15" s="1"/>
  <c r="X579" i="15"/>
  <c r="Z579" i="15" s="1"/>
  <c r="G516" i="9"/>
  <c r="C579" i="15" s="1"/>
  <c r="AM579" i="15" s="1"/>
  <c r="E516" i="9"/>
  <c r="G579" i="15" s="1"/>
  <c r="X515" i="9"/>
  <c r="W515" i="9"/>
  <c r="L515" i="9"/>
  <c r="AI578" i="15" s="1"/>
  <c r="X578" i="15"/>
  <c r="Z578" i="15" s="1"/>
  <c r="G515" i="9"/>
  <c r="C578" i="15" s="1"/>
  <c r="AM578" i="15" s="1"/>
  <c r="E515" i="9"/>
  <c r="G578" i="15" s="1"/>
  <c r="X514" i="9"/>
  <c r="W514" i="9"/>
  <c r="L514" i="9"/>
  <c r="AI577" i="15" s="1"/>
  <c r="X577" i="15"/>
  <c r="Z577" i="15" s="1"/>
  <c r="G514" i="9"/>
  <c r="C577" i="15" s="1"/>
  <c r="AM577" i="15" s="1"/>
  <c r="E514" i="9"/>
  <c r="G577" i="15" s="1"/>
  <c r="X513" i="9"/>
  <c r="W513" i="9"/>
  <c r="L513" i="9"/>
  <c r="AI576" i="15" s="1"/>
  <c r="X576" i="15"/>
  <c r="Z576" i="15" s="1"/>
  <c r="G513" i="9"/>
  <c r="C576" i="15" s="1"/>
  <c r="AM576" i="15" s="1"/>
  <c r="E513" i="9"/>
  <c r="G576" i="15" s="1"/>
  <c r="X512" i="9"/>
  <c r="W512" i="9"/>
  <c r="L512" i="9"/>
  <c r="AI575" i="15" s="1"/>
  <c r="X575" i="15"/>
  <c r="Z575" i="15" s="1"/>
  <c r="G512" i="9"/>
  <c r="E512" i="9"/>
  <c r="G575" i="15" s="1"/>
  <c r="X511" i="9"/>
  <c r="W511" i="9"/>
  <c r="L511" i="9"/>
  <c r="AI574" i="15" s="1"/>
  <c r="X574" i="15"/>
  <c r="Z574" i="15" s="1"/>
  <c r="G511" i="9"/>
  <c r="C574" i="15" s="1"/>
  <c r="AM574" i="15" s="1"/>
  <c r="E511" i="9"/>
  <c r="G574" i="15" s="1"/>
  <c r="X510" i="9"/>
  <c r="W510" i="9"/>
  <c r="L510" i="9"/>
  <c r="AI573" i="15" s="1"/>
  <c r="X573" i="15"/>
  <c r="Z573" i="15" s="1"/>
  <c r="G510" i="9"/>
  <c r="E510" i="9"/>
  <c r="G573" i="15" s="1"/>
  <c r="X509" i="9"/>
  <c r="W509" i="9"/>
  <c r="L509" i="9"/>
  <c r="AI572" i="15" s="1"/>
  <c r="X572" i="15"/>
  <c r="Z572" i="15" s="1"/>
  <c r="G509" i="9"/>
  <c r="E509" i="9"/>
  <c r="G572" i="15" s="1"/>
  <c r="X508" i="9"/>
  <c r="W508" i="9"/>
  <c r="V508" i="9"/>
  <c r="V509" i="9" s="1"/>
  <c r="V510" i="9" s="1"/>
  <c r="V511" i="9" s="1"/>
  <c r="V512" i="9" s="1"/>
  <c r="V513" i="9" s="1"/>
  <c r="V514" i="9" s="1"/>
  <c r="V515" i="9" s="1"/>
  <c r="V516" i="9" s="1"/>
  <c r="X571" i="15"/>
  <c r="Z571" i="15" s="1"/>
  <c r="G508" i="9"/>
  <c r="E508" i="9"/>
  <c r="G571" i="15" s="1"/>
  <c r="BE507" i="9"/>
  <c r="BD507" i="9"/>
  <c r="BC507" i="9"/>
  <c r="BB507" i="9"/>
  <c r="AG507" i="9"/>
  <c r="AF507" i="9"/>
  <c r="AE507" i="9"/>
  <c r="AD507" i="9"/>
  <c r="AC507" i="9"/>
  <c r="AB507" i="9"/>
  <c r="AA507" i="9"/>
  <c r="Z507" i="9"/>
  <c r="Y507" i="9"/>
  <c r="X507" i="9"/>
  <c r="W507" i="9"/>
  <c r="V505" i="9"/>
  <c r="G493" i="9"/>
  <c r="F480" i="9" s="1"/>
  <c r="G492" i="9"/>
  <c r="F479" i="9" s="1"/>
  <c r="AG487" i="9"/>
  <c r="AF487" i="9"/>
  <c r="AE487" i="9"/>
  <c r="AD487" i="9"/>
  <c r="AC487" i="9"/>
  <c r="AB487" i="9"/>
  <c r="AA487" i="9"/>
  <c r="Z487" i="9"/>
  <c r="Y487" i="9"/>
  <c r="X487" i="9"/>
  <c r="W487" i="9"/>
  <c r="K480" i="9"/>
  <c r="BE480" i="9" s="1"/>
  <c r="J480" i="9"/>
  <c r="BC480" i="9" s="1"/>
  <c r="H480" i="9"/>
  <c r="K479" i="9"/>
  <c r="BE479" i="9" s="1"/>
  <c r="J479" i="9"/>
  <c r="X569" i="15" s="1"/>
  <c r="Z569" i="15" s="1"/>
  <c r="H479" i="9"/>
  <c r="K478" i="9"/>
  <c r="BE478" i="9" s="1"/>
  <c r="J478" i="9"/>
  <c r="X568" i="15" s="1"/>
  <c r="Z568" i="15" s="1"/>
  <c r="H478" i="9"/>
  <c r="F478" i="9"/>
  <c r="K477" i="9"/>
  <c r="BE477" i="9" s="1"/>
  <c r="J477" i="9"/>
  <c r="X567" i="15" s="1"/>
  <c r="Z567" i="15" s="1"/>
  <c r="H477" i="9"/>
  <c r="F477" i="9"/>
  <c r="K476" i="9"/>
  <c r="BE476" i="9" s="1"/>
  <c r="J476" i="9"/>
  <c r="X566" i="15" s="1"/>
  <c r="Z566" i="15" s="1"/>
  <c r="H476" i="9"/>
  <c r="F476" i="9"/>
  <c r="V475" i="9"/>
  <c r="V476" i="9" s="1"/>
  <c r="V477" i="9" s="1"/>
  <c r="V478" i="9" s="1"/>
  <c r="V479" i="9" s="1"/>
  <c r="V480" i="9" s="1"/>
  <c r="K475" i="9"/>
  <c r="BE475" i="9" s="1"/>
  <c r="J475" i="9"/>
  <c r="X565" i="15" s="1"/>
  <c r="Z565" i="15" s="1"/>
  <c r="H475" i="9"/>
  <c r="F475" i="9"/>
  <c r="BE474" i="9"/>
  <c r="BD474" i="9"/>
  <c r="BC474" i="9"/>
  <c r="BB474" i="9"/>
  <c r="AG474" i="9"/>
  <c r="AF474" i="9"/>
  <c r="AE474" i="9"/>
  <c r="AD474" i="9"/>
  <c r="AC474" i="9"/>
  <c r="AB474" i="9"/>
  <c r="AA474" i="9"/>
  <c r="Z474" i="9"/>
  <c r="Y474" i="9"/>
  <c r="X474" i="9"/>
  <c r="W474" i="9"/>
  <c r="V472" i="9"/>
  <c r="V466" i="9"/>
  <c r="V465" i="9"/>
  <c r="V464" i="9"/>
  <c r="V463" i="9"/>
  <c r="V462" i="9"/>
  <c r="V461" i="9"/>
  <c r="V460" i="9"/>
  <c r="V459" i="9"/>
  <c r="V458" i="9"/>
  <c r="V457" i="9"/>
  <c r="V456" i="9"/>
  <c r="V455" i="9"/>
  <c r="V454" i="9"/>
  <c r="V453" i="9"/>
  <c r="V452" i="9"/>
  <c r="V451" i="9"/>
  <c r="V450" i="9"/>
  <c r="AG449" i="9"/>
  <c r="AF449" i="9"/>
  <c r="AE449" i="9"/>
  <c r="AD449" i="9"/>
  <c r="AC449" i="9"/>
  <c r="AB449" i="9"/>
  <c r="AA449" i="9"/>
  <c r="Z449" i="9"/>
  <c r="Y449" i="9"/>
  <c r="X449" i="9"/>
  <c r="W449" i="9"/>
  <c r="V440" i="9"/>
  <c r="L440" i="9"/>
  <c r="BE440" i="9" s="1"/>
  <c r="K440" i="9"/>
  <c r="X564" i="15" s="1"/>
  <c r="Z564" i="15" s="1"/>
  <c r="I440" i="9"/>
  <c r="F440" i="9" s="1"/>
  <c r="H440" i="9"/>
  <c r="BE439" i="9"/>
  <c r="BD439" i="9"/>
  <c r="BC439" i="9"/>
  <c r="BB439" i="9"/>
  <c r="AG439" i="9"/>
  <c r="AF439" i="9"/>
  <c r="AE439" i="9"/>
  <c r="AD439" i="9"/>
  <c r="AC439" i="9"/>
  <c r="AB439" i="9"/>
  <c r="AA439" i="9"/>
  <c r="Z439" i="9"/>
  <c r="Y439" i="9"/>
  <c r="X439" i="9"/>
  <c r="W439" i="9"/>
  <c r="V437" i="9"/>
  <c r="V432" i="9"/>
  <c r="V431" i="9"/>
  <c r="V430" i="9"/>
  <c r="V429" i="9"/>
  <c r="V428" i="9"/>
  <c r="V427" i="9"/>
  <c r="V426" i="9"/>
  <c r="V425" i="9"/>
  <c r="V424" i="9"/>
  <c r="V423" i="9"/>
  <c r="V422" i="9"/>
  <c r="V421" i="9"/>
  <c r="V420" i="9"/>
  <c r="V419" i="9"/>
  <c r="V418" i="9"/>
  <c r="V417" i="9"/>
  <c r="V416" i="9"/>
  <c r="AG415" i="9"/>
  <c r="AF415" i="9"/>
  <c r="AE415" i="9"/>
  <c r="AD415" i="9"/>
  <c r="AC415" i="9"/>
  <c r="AB415" i="9"/>
  <c r="AA415" i="9"/>
  <c r="Z415" i="9"/>
  <c r="Y415" i="9"/>
  <c r="X415" i="9"/>
  <c r="W415" i="9"/>
  <c r="V406" i="9"/>
  <c r="L406" i="9"/>
  <c r="BE406" i="9" s="1"/>
  <c r="K406" i="9"/>
  <c r="BC406" i="9" s="1"/>
  <c r="I406" i="9"/>
  <c r="F406" i="9" s="1"/>
  <c r="H406" i="9"/>
  <c r="BE405" i="9"/>
  <c r="BD405" i="9"/>
  <c r="BC405" i="9"/>
  <c r="BB405" i="9"/>
  <c r="AG405" i="9"/>
  <c r="AF405" i="9"/>
  <c r="AE405" i="9"/>
  <c r="AD405" i="9"/>
  <c r="AC405" i="9"/>
  <c r="AB405" i="9"/>
  <c r="AA405" i="9"/>
  <c r="Z405" i="9"/>
  <c r="Y405" i="9"/>
  <c r="X405" i="9"/>
  <c r="W405" i="9"/>
  <c r="V403" i="9"/>
  <c r="V398" i="9"/>
  <c r="V397" i="9"/>
  <c r="V396" i="9"/>
  <c r="V395" i="9"/>
  <c r="V394" i="9"/>
  <c r="V393" i="9"/>
  <c r="V392" i="9"/>
  <c r="V391" i="9"/>
  <c r="V390" i="9"/>
  <c r="V389" i="9"/>
  <c r="V388" i="9"/>
  <c r="V387" i="9"/>
  <c r="V386" i="9"/>
  <c r="V385" i="9"/>
  <c r="V384" i="9"/>
  <c r="V383" i="9"/>
  <c r="V382" i="9"/>
  <c r="AG381" i="9"/>
  <c r="AF381" i="9"/>
  <c r="AE381" i="9"/>
  <c r="AD381" i="9"/>
  <c r="AC381" i="9"/>
  <c r="AB381" i="9"/>
  <c r="AA381" i="9"/>
  <c r="Z381" i="9"/>
  <c r="Y381" i="9"/>
  <c r="X381" i="9"/>
  <c r="W381" i="9"/>
  <c r="V371" i="9"/>
  <c r="L371" i="9"/>
  <c r="K371" i="9"/>
  <c r="X562" i="15" s="1"/>
  <c r="Z562" i="15" s="1"/>
  <c r="I371" i="9"/>
  <c r="F371" i="9" s="1"/>
  <c r="H371" i="9"/>
  <c r="BE370" i="9"/>
  <c r="BD370" i="9"/>
  <c r="BC370" i="9"/>
  <c r="BB370" i="9"/>
  <c r="AG370" i="9"/>
  <c r="AF370" i="9"/>
  <c r="AE370" i="9"/>
  <c r="AD370" i="9"/>
  <c r="AC370" i="9"/>
  <c r="AB370" i="9"/>
  <c r="AA370" i="9"/>
  <c r="Z370" i="9"/>
  <c r="Y370" i="9"/>
  <c r="X370" i="9"/>
  <c r="W370" i="9"/>
  <c r="V368" i="9"/>
  <c r="W361" i="9"/>
  <c r="F361" i="9"/>
  <c r="V349" i="9"/>
  <c r="V347" i="9"/>
  <c r="V346" i="9"/>
  <c r="V345" i="9"/>
  <c r="Y343" i="9"/>
  <c r="X343" i="9"/>
  <c r="W343" i="9"/>
  <c r="V343" i="9"/>
  <c r="V342" i="9"/>
  <c r="Y340" i="9"/>
  <c r="X340" i="9"/>
  <c r="W340" i="9"/>
  <c r="V340" i="9"/>
  <c r="V339" i="9"/>
  <c r="V338" i="9"/>
  <c r="X334" i="9"/>
  <c r="W334" i="9"/>
  <c r="E334" i="9"/>
  <c r="E362" i="9" s="1"/>
  <c r="X333" i="9"/>
  <c r="W333" i="9"/>
  <c r="E333" i="9"/>
  <c r="E361" i="9" s="1"/>
  <c r="X330" i="9"/>
  <c r="W330" i="9"/>
  <c r="E330" i="9"/>
  <c r="E358" i="9" s="1"/>
  <c r="X329" i="9"/>
  <c r="W329" i="9"/>
  <c r="G329" i="9"/>
  <c r="E329" i="9"/>
  <c r="E357" i="9" s="1"/>
  <c r="X328" i="9"/>
  <c r="W328" i="9"/>
  <c r="E328" i="9"/>
  <c r="E356" i="9" s="1"/>
  <c r="X327" i="9"/>
  <c r="W327" i="9"/>
  <c r="G327" i="9"/>
  <c r="E327" i="9"/>
  <c r="E355" i="9" s="1"/>
  <c r="X326" i="9"/>
  <c r="W326" i="9"/>
  <c r="E326" i="9"/>
  <c r="E354" i="9" s="1"/>
  <c r="X325" i="9"/>
  <c r="W325" i="9"/>
  <c r="G325" i="9"/>
  <c r="E325" i="9"/>
  <c r="E353" i="9" s="1"/>
  <c r="E324" i="9"/>
  <c r="E352" i="9" s="1"/>
  <c r="X323" i="9"/>
  <c r="W323" i="9"/>
  <c r="E323" i="9"/>
  <c r="E351" i="9" s="1"/>
  <c r="E322" i="9"/>
  <c r="E350" i="9" s="1"/>
  <c r="V321" i="9"/>
  <c r="E321" i="9"/>
  <c r="E349" i="9" s="1"/>
  <c r="E320" i="9"/>
  <c r="X317" i="9"/>
  <c r="W317" i="9"/>
  <c r="E317" i="9"/>
  <c r="X316" i="9"/>
  <c r="W316" i="9"/>
  <c r="E316" i="9"/>
  <c r="X313" i="9"/>
  <c r="W313" i="9"/>
  <c r="E313" i="9"/>
  <c r="X312" i="9"/>
  <c r="W312" i="9"/>
  <c r="G312" i="9"/>
  <c r="E312" i="9"/>
  <c r="X311" i="9"/>
  <c r="W311" i="9"/>
  <c r="E311" i="9"/>
  <c r="X310" i="9"/>
  <c r="W310" i="9"/>
  <c r="G310" i="9"/>
  <c r="E310" i="9"/>
  <c r="X309" i="9"/>
  <c r="W309" i="9"/>
  <c r="E309" i="9"/>
  <c r="X308" i="9"/>
  <c r="W308" i="9"/>
  <c r="G308" i="9"/>
  <c r="E308" i="9"/>
  <c r="E307" i="9"/>
  <c r="X306" i="9"/>
  <c r="W306" i="9"/>
  <c r="E306" i="9"/>
  <c r="E305" i="9"/>
  <c r="V304" i="9"/>
  <c r="E304" i="9"/>
  <c r="AG303" i="9"/>
  <c r="AF303" i="9"/>
  <c r="AE303" i="9"/>
  <c r="AD303" i="9"/>
  <c r="AC303" i="9"/>
  <c r="AA303" i="9"/>
  <c r="Z303" i="9"/>
  <c r="Y303" i="9"/>
  <c r="X303" i="9"/>
  <c r="W303" i="9"/>
  <c r="BC291" i="9"/>
  <c r="BD291" i="9" s="1"/>
  <c r="AE561" i="15" s="1"/>
  <c r="AC561" i="15" s="1"/>
  <c r="O288" i="9"/>
  <c r="J288" i="9"/>
  <c r="M288" i="9" s="1"/>
  <c r="O558" i="15" s="1"/>
  <c r="BB287" i="9"/>
  <c r="O287" i="9"/>
  <c r="J287" i="9"/>
  <c r="BC284" i="9"/>
  <c r="BD284" i="9" s="1"/>
  <c r="AE554" i="15" s="1"/>
  <c r="AC554" i="15" s="1"/>
  <c r="O284" i="9"/>
  <c r="J284" i="9"/>
  <c r="H284" i="9"/>
  <c r="BC283" i="9"/>
  <c r="BD283" i="9" s="1"/>
  <c r="AE553" i="15" s="1"/>
  <c r="AC553" i="15" s="1"/>
  <c r="O283" i="9"/>
  <c r="J283" i="9"/>
  <c r="H283" i="9"/>
  <c r="BC282" i="9"/>
  <c r="O282" i="9"/>
  <c r="J282" i="9"/>
  <c r="H282" i="9"/>
  <c r="BC281" i="9"/>
  <c r="O281" i="9"/>
  <c r="J281" i="9"/>
  <c r="H281" i="9"/>
  <c r="BC280" i="9"/>
  <c r="O280" i="9"/>
  <c r="J280" i="9"/>
  <c r="H280" i="9"/>
  <c r="BC279" i="9"/>
  <c r="O279" i="9"/>
  <c r="J279" i="9"/>
  <c r="H279" i="9"/>
  <c r="BC278" i="9"/>
  <c r="O278" i="9"/>
  <c r="J278" i="9"/>
  <c r="H278" i="9"/>
  <c r="BC277" i="9"/>
  <c r="O277" i="9"/>
  <c r="J277" i="9"/>
  <c r="H277" i="9"/>
  <c r="BC276" i="9"/>
  <c r="O276" i="9"/>
  <c r="J276" i="9"/>
  <c r="H276" i="9"/>
  <c r="BC275" i="9"/>
  <c r="O275" i="9"/>
  <c r="L275" i="9"/>
  <c r="K275" i="9"/>
  <c r="J275" i="9"/>
  <c r="H275" i="9"/>
  <c r="BE274" i="9"/>
  <c r="BD274" i="9"/>
  <c r="BC274" i="9"/>
  <c r="BB274" i="9"/>
  <c r="AG274" i="9"/>
  <c r="AF274" i="9"/>
  <c r="AE274" i="9"/>
  <c r="AD274" i="9"/>
  <c r="AC274" i="9"/>
  <c r="AB274" i="9"/>
  <c r="AA274" i="9"/>
  <c r="Z274" i="9"/>
  <c r="Y274" i="9"/>
  <c r="X274" i="9"/>
  <c r="W274" i="9"/>
  <c r="V272" i="9"/>
  <c r="F269" i="9"/>
  <c r="F268" i="9"/>
  <c r="F267" i="9"/>
  <c r="F266" i="9"/>
  <c r="E263" i="9"/>
  <c r="Q262" i="9"/>
  <c r="R257" i="9" s="1"/>
  <c r="I268" i="9" s="1"/>
  <c r="O227" i="9" s="1"/>
  <c r="BE227" i="9" s="1"/>
  <c r="E257" i="9"/>
  <c r="E256" i="9"/>
  <c r="E253" i="9"/>
  <c r="E252" i="9"/>
  <c r="E251" i="9"/>
  <c r="AG247" i="9"/>
  <c r="AF247" i="9"/>
  <c r="AE247" i="9"/>
  <c r="AD247" i="9"/>
  <c r="AC247" i="9"/>
  <c r="AB247" i="9"/>
  <c r="AA247" i="9"/>
  <c r="Z247" i="9"/>
  <c r="Y247" i="9"/>
  <c r="X247" i="9"/>
  <c r="W247" i="9"/>
  <c r="N228" i="9"/>
  <c r="BC228" i="9" s="1"/>
  <c r="H228" i="9"/>
  <c r="V227" i="9"/>
  <c r="V228" i="9" s="1"/>
  <c r="N227" i="9"/>
  <c r="BC227" i="9" s="1"/>
  <c r="H227" i="9"/>
  <c r="BE226" i="9"/>
  <c r="BD226" i="9"/>
  <c r="BC226" i="9"/>
  <c r="BB226" i="9"/>
  <c r="AG226" i="9"/>
  <c r="AF226" i="9"/>
  <c r="AE226" i="9"/>
  <c r="AD226" i="9"/>
  <c r="AC226" i="9"/>
  <c r="AB226" i="9"/>
  <c r="AA226" i="9"/>
  <c r="Z226" i="9"/>
  <c r="Y226" i="9"/>
  <c r="X226" i="9"/>
  <c r="W226" i="9"/>
  <c r="V221" i="9"/>
  <c r="W220" i="9"/>
  <c r="X220" i="9" s="1"/>
  <c r="Y220" i="9" s="1"/>
  <c r="Z220" i="9" s="1"/>
  <c r="AA220" i="9" s="1"/>
  <c r="V220" i="9"/>
  <c r="W219" i="9"/>
  <c r="X219" i="9" s="1"/>
  <c r="Y219" i="9" s="1"/>
  <c r="Z219" i="9" s="1"/>
  <c r="AA219" i="9" s="1"/>
  <c r="V219" i="9"/>
  <c r="V217" i="9"/>
  <c r="V216" i="9"/>
  <c r="V215" i="9"/>
  <c r="V214" i="9"/>
  <c r="V213" i="9"/>
  <c r="V211" i="9"/>
  <c r="V210" i="9"/>
  <c r="V209" i="9"/>
  <c r="AG208" i="9"/>
  <c r="AF208" i="9"/>
  <c r="AE208" i="9"/>
  <c r="AD208" i="9"/>
  <c r="AC208" i="9"/>
  <c r="AB208" i="9"/>
  <c r="AA208" i="9"/>
  <c r="Z208" i="9"/>
  <c r="Y208" i="9"/>
  <c r="X208" i="9"/>
  <c r="W208" i="9"/>
  <c r="J197" i="9"/>
  <c r="I197" i="9"/>
  <c r="H197" i="9"/>
  <c r="E197" i="9"/>
  <c r="G543" i="15" s="1"/>
  <c r="V196" i="9"/>
  <c r="V197" i="9" s="1"/>
  <c r="M196" i="9"/>
  <c r="L196" i="9"/>
  <c r="BC196" i="9" s="1"/>
  <c r="J196" i="9"/>
  <c r="I196" i="9"/>
  <c r="H196" i="9"/>
  <c r="BE195" i="9"/>
  <c r="BD195" i="9"/>
  <c r="BC195" i="9"/>
  <c r="BB195" i="9"/>
  <c r="AG195" i="9"/>
  <c r="AF195" i="9"/>
  <c r="AE195" i="9"/>
  <c r="AD195" i="9"/>
  <c r="AC195" i="9"/>
  <c r="AB195" i="9"/>
  <c r="Y195" i="9"/>
  <c r="X195" i="9"/>
  <c r="W195" i="9"/>
  <c r="V193" i="9"/>
  <c r="V170" i="9"/>
  <c r="V160" i="9"/>
  <c r="V159" i="9"/>
  <c r="V158" i="9"/>
  <c r="V157" i="9"/>
  <c r="F155" i="9"/>
  <c r="I82" i="9" s="1"/>
  <c r="F153" i="9"/>
  <c r="F151" i="9"/>
  <c r="F149" i="9"/>
  <c r="V147" i="9"/>
  <c r="V137" i="9"/>
  <c r="V136" i="9"/>
  <c r="V135" i="9"/>
  <c r="V134" i="9"/>
  <c r="X133" i="9"/>
  <c r="X156" i="9" s="1"/>
  <c r="W133" i="9"/>
  <c r="W156" i="9" s="1"/>
  <c r="X132" i="9"/>
  <c r="X155" i="9" s="1"/>
  <c r="W132" i="9"/>
  <c r="W155" i="9" s="1"/>
  <c r="X131" i="9"/>
  <c r="X154" i="9" s="1"/>
  <c r="W131" i="9"/>
  <c r="W154" i="9" s="1"/>
  <c r="F154" i="9"/>
  <c r="X130" i="9"/>
  <c r="X153" i="9" s="1"/>
  <c r="W130" i="9"/>
  <c r="W153" i="9" s="1"/>
  <c r="N80" i="9"/>
  <c r="X129" i="9"/>
  <c r="X152" i="9" s="1"/>
  <c r="W129" i="9"/>
  <c r="W152" i="9" s="1"/>
  <c r="N79" i="9"/>
  <c r="X128" i="9"/>
  <c r="X151" i="9" s="1"/>
  <c r="W128" i="9"/>
  <c r="W151" i="9" s="1"/>
  <c r="X127" i="9"/>
  <c r="X150" i="9" s="1"/>
  <c r="W127" i="9"/>
  <c r="W150" i="9" s="1"/>
  <c r="F150" i="9"/>
  <c r="X126" i="9"/>
  <c r="X149" i="9" s="1"/>
  <c r="W126" i="9"/>
  <c r="W149" i="9" s="1"/>
  <c r="X125" i="9"/>
  <c r="X148" i="9" s="1"/>
  <c r="W125" i="9"/>
  <c r="W148" i="9" s="1"/>
  <c r="X124" i="9"/>
  <c r="X147" i="9" s="1"/>
  <c r="W124" i="9"/>
  <c r="W147" i="9" s="1"/>
  <c r="V124" i="9"/>
  <c r="V114" i="9"/>
  <c r="V104" i="9"/>
  <c r="V94" i="9"/>
  <c r="AG93" i="9"/>
  <c r="AF93" i="9"/>
  <c r="AE93" i="9"/>
  <c r="AD93" i="9"/>
  <c r="AC93" i="9"/>
  <c r="AA93" i="9"/>
  <c r="Z93" i="9"/>
  <c r="Y93" i="9"/>
  <c r="X93" i="9"/>
  <c r="W93" i="9"/>
  <c r="N83" i="9"/>
  <c r="L83" i="9"/>
  <c r="BC83" i="9" s="1"/>
  <c r="J83" i="9"/>
  <c r="H83" i="9"/>
  <c r="M82" i="9"/>
  <c r="L82" i="9"/>
  <c r="BC82" i="9" s="1"/>
  <c r="H82" i="9"/>
  <c r="N81" i="9"/>
  <c r="L81" i="9"/>
  <c r="BC81" i="9" s="1"/>
  <c r="J81" i="9"/>
  <c r="H81" i="9"/>
  <c r="L80" i="9"/>
  <c r="X538" i="15" s="1"/>
  <c r="Z538" i="15" s="1"/>
  <c r="H80" i="9"/>
  <c r="L79" i="9"/>
  <c r="X537" i="15" s="1"/>
  <c r="Z537" i="15" s="1"/>
  <c r="H79" i="9"/>
  <c r="L78" i="9"/>
  <c r="X536" i="15" s="1"/>
  <c r="Z536" i="15" s="1"/>
  <c r="H78" i="9"/>
  <c r="L77" i="9"/>
  <c r="BC77" i="9" s="1"/>
  <c r="J77" i="9"/>
  <c r="H77" i="9"/>
  <c r="N76" i="9"/>
  <c r="L76" i="9"/>
  <c r="BC76" i="9" s="1"/>
  <c r="J76" i="9"/>
  <c r="H76" i="9"/>
  <c r="N75" i="9"/>
  <c r="L75" i="9"/>
  <c r="X533" i="15" s="1"/>
  <c r="Z533" i="15" s="1"/>
  <c r="J75" i="9"/>
  <c r="H75" i="9"/>
  <c r="V74" i="9"/>
  <c r="V75" i="9" s="1"/>
  <c r="V76" i="9" s="1"/>
  <c r="V77" i="9" s="1"/>
  <c r="V78" i="9" s="1"/>
  <c r="V79" i="9" s="1"/>
  <c r="V80" i="9" s="1"/>
  <c r="V81" i="9" s="1"/>
  <c r="V82" i="9" s="1"/>
  <c r="V83" i="9" s="1"/>
  <c r="L74" i="9"/>
  <c r="BC74" i="9" s="1"/>
  <c r="H74" i="9"/>
  <c r="BE73" i="9"/>
  <c r="BD73" i="9"/>
  <c r="BC73" i="9"/>
  <c r="BB73" i="9"/>
  <c r="AG73" i="9"/>
  <c r="AF73" i="9"/>
  <c r="AE73" i="9"/>
  <c r="AD73" i="9"/>
  <c r="AC73" i="9"/>
  <c r="AB73" i="9"/>
  <c r="AA73" i="9"/>
  <c r="Z73" i="9"/>
  <c r="X73" i="9"/>
  <c r="W73" i="9"/>
  <c r="V71" i="9"/>
  <c r="E35" i="9"/>
  <c r="E583" i="9" s="1"/>
  <c r="D35" i="9"/>
  <c r="D583" i="9" s="1"/>
  <c r="V583" i="9" s="1"/>
  <c r="E34" i="9"/>
  <c r="E612" i="9" s="1"/>
  <c r="D34" i="9"/>
  <c r="V34" i="9" s="1"/>
  <c r="V33" i="9"/>
  <c r="Y31" i="9"/>
  <c r="X31" i="9"/>
  <c r="W31" i="9"/>
  <c r="G31" i="9"/>
  <c r="Y30" i="9"/>
  <c r="X30" i="9"/>
  <c r="W30" i="9"/>
  <c r="G30" i="9"/>
  <c r="Y29" i="9"/>
  <c r="X29" i="9"/>
  <c r="W29" i="9"/>
  <c r="G29" i="9"/>
  <c r="Y28" i="9"/>
  <c r="X28" i="9"/>
  <c r="W28" i="9"/>
  <c r="V28" i="9"/>
  <c r="G28" i="9"/>
  <c r="F7" i="9" s="1"/>
  <c r="AC7" i="9" s="1"/>
  <c r="V27" i="9"/>
  <c r="V26" i="9"/>
  <c r="AG23" i="9"/>
  <c r="AF23" i="9"/>
  <c r="AE23" i="9"/>
  <c r="AD23" i="9"/>
  <c r="AC23" i="9"/>
  <c r="AA23" i="9"/>
  <c r="Z23" i="9"/>
  <c r="Y23" i="9"/>
  <c r="X23" i="9"/>
  <c r="W23" i="9"/>
  <c r="J14" i="9"/>
  <c r="BC14" i="9" s="1"/>
  <c r="H14" i="9"/>
  <c r="E14" i="9"/>
  <c r="G527" i="15" s="1"/>
  <c r="K13" i="9"/>
  <c r="BE13" i="9" s="1"/>
  <c r="J13" i="9"/>
  <c r="X526" i="15" s="1"/>
  <c r="Z526" i="15" s="1"/>
  <c r="H13" i="9"/>
  <c r="J12" i="9"/>
  <c r="BC12" i="9" s="1"/>
  <c r="H12" i="9"/>
  <c r="E12" i="9"/>
  <c r="G525" i="15" s="1"/>
  <c r="K11" i="9"/>
  <c r="J11" i="9"/>
  <c r="BC11" i="9" s="1"/>
  <c r="H11" i="9"/>
  <c r="J10" i="9"/>
  <c r="X523" i="15" s="1"/>
  <c r="Z523" i="15" s="1"/>
  <c r="H10" i="9"/>
  <c r="E10" i="9"/>
  <c r="G523" i="15" s="1"/>
  <c r="K9" i="9"/>
  <c r="BE9" i="9" s="1"/>
  <c r="J9" i="9"/>
  <c r="H9" i="9"/>
  <c r="J8" i="9"/>
  <c r="H8" i="9"/>
  <c r="E8" i="9"/>
  <c r="G521" i="15" s="1"/>
  <c r="V7" i="9"/>
  <c r="V8" i="9" s="1"/>
  <c r="V9" i="9" s="1"/>
  <c r="V10" i="9" s="1"/>
  <c r="V11" i="9" s="1"/>
  <c r="V12" i="9" s="1"/>
  <c r="V13" i="9" s="1"/>
  <c r="V14" i="9" s="1"/>
  <c r="V15" i="9" s="1"/>
  <c r="V16" i="9" s="1"/>
  <c r="K7" i="9"/>
  <c r="J7" i="9"/>
  <c r="H7" i="9"/>
  <c r="V4" i="9"/>
  <c r="V4" i="8"/>
  <c r="AS1366" i="7"/>
  <c r="AR1366" i="7"/>
  <c r="AQ1366" i="7"/>
  <c r="AP1366" i="7"/>
  <c r="AO1366" i="7"/>
  <c r="AN1366" i="7"/>
  <c r="AM1366" i="7"/>
  <c r="AL1366" i="7"/>
  <c r="AK1366" i="7"/>
  <c r="AJ1366" i="7"/>
  <c r="AG1366" i="7"/>
  <c r="AF1366" i="7"/>
  <c r="AE1366" i="7"/>
  <c r="AD1366" i="7"/>
  <c r="AC1366" i="7"/>
  <c r="AB1366" i="7"/>
  <c r="AA1366" i="7"/>
  <c r="Z1366" i="7"/>
  <c r="Y1366" i="7"/>
  <c r="X1366" i="7"/>
  <c r="K1358" i="7"/>
  <c r="BE1358" i="7" s="1"/>
  <c r="J1358" i="7"/>
  <c r="X506" i="15" s="1"/>
  <c r="Z506" i="15" s="1"/>
  <c r="H1358" i="7"/>
  <c r="K506" i="15"/>
  <c r="I506" i="15" s="1"/>
  <c r="K1357" i="7"/>
  <c r="BE1357" i="7" s="1"/>
  <c r="J1357" i="7"/>
  <c r="X505" i="15" s="1"/>
  <c r="Z505" i="15" s="1"/>
  <c r="H1357" i="7"/>
  <c r="K505" i="15"/>
  <c r="I505" i="15" s="1"/>
  <c r="K1356" i="7"/>
  <c r="BE1356" i="7" s="1"/>
  <c r="J1356" i="7"/>
  <c r="X504" i="15" s="1"/>
  <c r="Z504" i="15" s="1"/>
  <c r="H1356" i="7"/>
  <c r="K504" i="15"/>
  <c r="I504" i="15" s="1"/>
  <c r="K1355" i="7"/>
  <c r="BE1355" i="7" s="1"/>
  <c r="J1355" i="7"/>
  <c r="X503" i="15" s="1"/>
  <c r="Z503" i="15" s="1"/>
  <c r="H1355" i="7"/>
  <c r="K503" i="15"/>
  <c r="I503" i="15" s="1"/>
  <c r="K1354" i="7"/>
  <c r="BE1354" i="7" s="1"/>
  <c r="J1354" i="7"/>
  <c r="X502" i="15" s="1"/>
  <c r="Z502" i="15" s="1"/>
  <c r="H1354" i="7"/>
  <c r="K502" i="15"/>
  <c r="I502" i="15" s="1"/>
  <c r="K1353" i="7"/>
  <c r="BE1353" i="7" s="1"/>
  <c r="J1353" i="7"/>
  <c r="X501" i="15" s="1"/>
  <c r="Z501" i="15" s="1"/>
  <c r="H1353" i="7"/>
  <c r="K501" i="15"/>
  <c r="I501" i="15" s="1"/>
  <c r="K1352" i="7"/>
  <c r="BE1352" i="7" s="1"/>
  <c r="J1352" i="7"/>
  <c r="X500" i="15" s="1"/>
  <c r="Z500" i="15" s="1"/>
  <c r="H1352" i="7"/>
  <c r="K500" i="15"/>
  <c r="I500" i="15" s="1"/>
  <c r="K1351" i="7"/>
  <c r="BE1351" i="7" s="1"/>
  <c r="J1351" i="7"/>
  <c r="X499" i="15" s="1"/>
  <c r="Z499" i="15" s="1"/>
  <c r="H1351" i="7"/>
  <c r="K499" i="15"/>
  <c r="I499" i="15" s="1"/>
  <c r="K1350" i="7"/>
  <c r="BE1350" i="7" s="1"/>
  <c r="J1350" i="7"/>
  <c r="X498" i="15" s="1"/>
  <c r="Z498" i="15" s="1"/>
  <c r="H1350" i="7"/>
  <c r="K498" i="15"/>
  <c r="I498" i="15" s="1"/>
  <c r="K1349" i="7"/>
  <c r="BE1349" i="7" s="1"/>
  <c r="J1349" i="7"/>
  <c r="X497" i="15" s="1"/>
  <c r="Z497" i="15" s="1"/>
  <c r="H1349" i="7"/>
  <c r="K497" i="15"/>
  <c r="I497" i="15" s="1"/>
  <c r="K1348" i="7"/>
  <c r="BE1348" i="7" s="1"/>
  <c r="J1348" i="7"/>
  <c r="X496" i="15" s="1"/>
  <c r="Z496" i="15" s="1"/>
  <c r="H1348" i="7"/>
  <c r="K496" i="15"/>
  <c r="I496" i="15" s="1"/>
  <c r="K1347" i="7"/>
  <c r="BE1347" i="7" s="1"/>
  <c r="J1347" i="7"/>
  <c r="X495" i="15" s="1"/>
  <c r="Z495" i="15" s="1"/>
  <c r="H1347" i="7"/>
  <c r="K495" i="15"/>
  <c r="I495" i="15" s="1"/>
  <c r="K1346" i="7"/>
  <c r="BE1346" i="7" s="1"/>
  <c r="J1346" i="7"/>
  <c r="X494" i="15" s="1"/>
  <c r="Z494" i="15" s="1"/>
  <c r="H1346" i="7"/>
  <c r="K494" i="15"/>
  <c r="I494" i="15" s="1"/>
  <c r="K1345" i="7"/>
  <c r="BE1345" i="7" s="1"/>
  <c r="J1345" i="7"/>
  <c r="X493" i="15" s="1"/>
  <c r="Z493" i="15" s="1"/>
  <c r="H1345" i="7"/>
  <c r="K493" i="15"/>
  <c r="I493" i="15" s="1"/>
  <c r="K1344" i="7"/>
  <c r="BE1344" i="7" s="1"/>
  <c r="J1344" i="7"/>
  <c r="X492" i="15" s="1"/>
  <c r="Z492" i="15" s="1"/>
  <c r="H1344" i="7"/>
  <c r="K492" i="15"/>
  <c r="I492" i="15" s="1"/>
  <c r="K1343" i="7"/>
  <c r="BE1343" i="7" s="1"/>
  <c r="J1343" i="7"/>
  <c r="X491" i="15" s="1"/>
  <c r="Z491" i="15" s="1"/>
  <c r="H1343" i="7"/>
  <c r="K491" i="15"/>
  <c r="I491" i="15" s="1"/>
  <c r="K1342" i="7"/>
  <c r="BE1342" i="7" s="1"/>
  <c r="J1342" i="7"/>
  <c r="X490" i="15" s="1"/>
  <c r="Z490" i="15" s="1"/>
  <c r="H1342" i="7"/>
  <c r="K490" i="15"/>
  <c r="I490" i="15" s="1"/>
  <c r="K1341" i="7"/>
  <c r="BE1341" i="7" s="1"/>
  <c r="J1341" i="7"/>
  <c r="X489" i="15" s="1"/>
  <c r="Z489" i="15" s="1"/>
  <c r="H1341" i="7"/>
  <c r="K489" i="15"/>
  <c r="I489" i="15" s="1"/>
  <c r="K1340" i="7"/>
  <c r="BE1340" i="7" s="1"/>
  <c r="J1340" i="7"/>
  <c r="X488" i="15" s="1"/>
  <c r="Z488" i="15" s="1"/>
  <c r="H1340" i="7"/>
  <c r="K488" i="15"/>
  <c r="I488" i="15" s="1"/>
  <c r="K1339" i="7"/>
  <c r="BE1339" i="7" s="1"/>
  <c r="J1339" i="7"/>
  <c r="X487" i="15" s="1"/>
  <c r="Z487" i="15" s="1"/>
  <c r="H1339" i="7"/>
  <c r="K487" i="15"/>
  <c r="I487" i="15" s="1"/>
  <c r="K1338" i="7"/>
  <c r="BE1338" i="7" s="1"/>
  <c r="J1338" i="7"/>
  <c r="X486" i="15" s="1"/>
  <c r="Z486" i="15" s="1"/>
  <c r="H1338" i="7"/>
  <c r="K486" i="15"/>
  <c r="I486" i="15" s="1"/>
  <c r="K1337" i="7"/>
  <c r="BE1337" i="7" s="1"/>
  <c r="J1337" i="7"/>
  <c r="X485" i="15" s="1"/>
  <c r="Z485" i="15" s="1"/>
  <c r="H1337" i="7"/>
  <c r="K485" i="15"/>
  <c r="I485" i="15" s="1"/>
  <c r="K1336" i="7"/>
  <c r="BE1336" i="7" s="1"/>
  <c r="J1336" i="7"/>
  <c r="X484" i="15" s="1"/>
  <c r="Z484" i="15" s="1"/>
  <c r="H1336" i="7"/>
  <c r="K484" i="15"/>
  <c r="I484" i="15" s="1"/>
  <c r="K1335" i="7"/>
  <c r="BE1335" i="7" s="1"/>
  <c r="J1335" i="7"/>
  <c r="X483" i="15" s="1"/>
  <c r="Z483" i="15" s="1"/>
  <c r="H1335" i="7"/>
  <c r="K483" i="15"/>
  <c r="I483" i="15" s="1"/>
  <c r="BE1334" i="7"/>
  <c r="BD1334" i="7"/>
  <c r="BC1334" i="7"/>
  <c r="BB1334" i="7"/>
  <c r="AG1334" i="7"/>
  <c r="AF1334" i="7"/>
  <c r="AE1334" i="7"/>
  <c r="AD1334" i="7"/>
  <c r="AC1334" i="7"/>
  <c r="AB1334" i="7"/>
  <c r="AA1334" i="7"/>
  <c r="Z1334" i="7"/>
  <c r="Y1334" i="7"/>
  <c r="X1334" i="7"/>
  <c r="V1332" i="7"/>
  <c r="E1328" i="7"/>
  <c r="E1327" i="7"/>
  <c r="V1326" i="7"/>
  <c r="V1325" i="7"/>
  <c r="V1324" i="7"/>
  <c r="V1323" i="7"/>
  <c r="V1322" i="7"/>
  <c r="V1321" i="7"/>
  <c r="X1320" i="7"/>
  <c r="V1320" i="7"/>
  <c r="F1320" i="7"/>
  <c r="X1319" i="7"/>
  <c r="V1319" i="7"/>
  <c r="F1319" i="7"/>
  <c r="X1318" i="7"/>
  <c r="V1318" i="7"/>
  <c r="F1318" i="7"/>
  <c r="X1317" i="7"/>
  <c r="V1317" i="7"/>
  <c r="F1317" i="7"/>
  <c r="X1316" i="7"/>
  <c r="V1316" i="7"/>
  <c r="F1316" i="7"/>
  <c r="X1315" i="7"/>
  <c r="V1315" i="7"/>
  <c r="F1315" i="7"/>
  <c r="X1313" i="7" s="1"/>
  <c r="V1314" i="7"/>
  <c r="V1313" i="7"/>
  <c r="V1311" i="7"/>
  <c r="AG1310" i="7"/>
  <c r="AF1310" i="7"/>
  <c r="AE1310" i="7"/>
  <c r="AD1310" i="7"/>
  <c r="AC1310" i="7"/>
  <c r="AB1310" i="7"/>
  <c r="AA1310" i="7"/>
  <c r="Z1310" i="7"/>
  <c r="Y1310" i="7"/>
  <c r="X1310" i="7"/>
  <c r="W1310" i="7"/>
  <c r="J1303" i="7"/>
  <c r="BC1303" i="7" s="1"/>
  <c r="H1303" i="7"/>
  <c r="K1302" i="7"/>
  <c r="J1302" i="7"/>
  <c r="X482" i="15" s="1"/>
  <c r="H1302" i="7"/>
  <c r="J1301" i="7"/>
  <c r="BC1301" i="7" s="1"/>
  <c r="H1301" i="7"/>
  <c r="V1300" i="7"/>
  <c r="V1301" i="7" s="1"/>
  <c r="V1302" i="7" s="1"/>
  <c r="V1303" i="7" s="1"/>
  <c r="K1300" i="7"/>
  <c r="J1300" i="7"/>
  <c r="X481" i="15" s="1"/>
  <c r="H1300" i="7"/>
  <c r="BE1299" i="7"/>
  <c r="BD1299" i="7"/>
  <c r="BC1299" i="7"/>
  <c r="BB1299" i="7"/>
  <c r="AG1299" i="7"/>
  <c r="AF1299" i="7"/>
  <c r="AE1299" i="7"/>
  <c r="AD1299" i="7"/>
  <c r="AC1299" i="7"/>
  <c r="AB1299" i="7"/>
  <c r="AA1299" i="7"/>
  <c r="Z1299" i="7"/>
  <c r="Y1299" i="7"/>
  <c r="X1299" i="7"/>
  <c r="V1297" i="7"/>
  <c r="I1267" i="7"/>
  <c r="I1265" i="7"/>
  <c r="V1268" i="7"/>
  <c r="BC1259" i="7"/>
  <c r="BD1259" i="7" s="1"/>
  <c r="V1259" i="7"/>
  <c r="H1259" i="7"/>
  <c r="I470" i="15"/>
  <c r="BE1258" i="7"/>
  <c r="BD1258" i="7"/>
  <c r="BC1258" i="7"/>
  <c r="BB1258" i="7"/>
  <c r="AG1258" i="7"/>
  <c r="AF1258" i="7"/>
  <c r="AE1258" i="7"/>
  <c r="AD1258" i="7"/>
  <c r="AC1258" i="7"/>
  <c r="AB1258" i="7"/>
  <c r="AA1258" i="7"/>
  <c r="Z1258" i="7"/>
  <c r="Y1258" i="7"/>
  <c r="X1258" i="7"/>
  <c r="V1256" i="7"/>
  <c r="AI1249" i="7"/>
  <c r="W1249" i="7"/>
  <c r="G1249" i="7"/>
  <c r="F1249" i="7"/>
  <c r="W1248" i="7"/>
  <c r="F1248" i="7"/>
  <c r="W1247" i="7"/>
  <c r="F1247" i="7"/>
  <c r="AI1245" i="7"/>
  <c r="W1245" i="7"/>
  <c r="G1245" i="7"/>
  <c r="F1245" i="7"/>
  <c r="AI1244" i="7"/>
  <c r="W1244" i="7"/>
  <c r="G1244" i="7"/>
  <c r="F1244" i="7"/>
  <c r="W1243" i="7"/>
  <c r="F1243" i="7"/>
  <c r="P1138" i="7" s="1"/>
  <c r="BE1138" i="7" s="1"/>
  <c r="W1242" i="7"/>
  <c r="F1242" i="7"/>
  <c r="W1241" i="7"/>
  <c r="F1241" i="7"/>
  <c r="AI1240" i="7"/>
  <c r="G1240" i="7"/>
  <c r="AI1238" i="7"/>
  <c r="G1238" i="7"/>
  <c r="AS1227" i="7"/>
  <c r="AR1227" i="7"/>
  <c r="AQ1227" i="7"/>
  <c r="AP1227" i="7"/>
  <c r="AO1227" i="7"/>
  <c r="AN1227" i="7"/>
  <c r="AM1227" i="7"/>
  <c r="AL1227" i="7"/>
  <c r="AK1227" i="7"/>
  <c r="AJ1227" i="7"/>
  <c r="AI1227" i="7"/>
  <c r="AG1227" i="7"/>
  <c r="AF1227" i="7"/>
  <c r="AE1227" i="7"/>
  <c r="AD1227" i="7"/>
  <c r="AC1227" i="7"/>
  <c r="AB1227" i="7"/>
  <c r="AA1227" i="7"/>
  <c r="Z1227" i="7"/>
  <c r="Y1227" i="7"/>
  <c r="X1227" i="7"/>
  <c r="W1227" i="7"/>
  <c r="AS1226" i="7"/>
  <c r="AR1226" i="7"/>
  <c r="AQ1226" i="7"/>
  <c r="AP1226" i="7"/>
  <c r="AO1226" i="7"/>
  <c r="AN1226" i="7"/>
  <c r="AM1226" i="7"/>
  <c r="AL1226" i="7"/>
  <c r="AK1226" i="7"/>
  <c r="AJ1226" i="7"/>
  <c r="AI1226" i="7"/>
  <c r="AG1226" i="7"/>
  <c r="AF1226" i="7"/>
  <c r="AE1226" i="7"/>
  <c r="AD1226" i="7"/>
  <c r="AC1226" i="7"/>
  <c r="AB1226" i="7"/>
  <c r="AA1226" i="7"/>
  <c r="Z1226" i="7"/>
  <c r="Y1226" i="7"/>
  <c r="X1226" i="7"/>
  <c r="W1226" i="7"/>
  <c r="AG1158" i="7"/>
  <c r="AF1158" i="7"/>
  <c r="AE1158" i="7"/>
  <c r="AD1158" i="7"/>
  <c r="AC1158" i="7"/>
  <c r="AB1158" i="7"/>
  <c r="AA1158" i="7"/>
  <c r="Z1158" i="7"/>
  <c r="Y1158" i="7"/>
  <c r="X1158" i="7"/>
  <c r="W1158" i="7"/>
  <c r="V1151" i="7"/>
  <c r="V1150" i="7"/>
  <c r="O1144" i="7"/>
  <c r="L1144" i="7"/>
  <c r="K1144" i="7"/>
  <c r="J1144" i="7"/>
  <c r="H1144" i="7"/>
  <c r="Q1143" i="7"/>
  <c r="O1143" i="7"/>
  <c r="L1143" i="7"/>
  <c r="K1143" i="7"/>
  <c r="J1143" i="7"/>
  <c r="H1143" i="7"/>
  <c r="Q1142" i="7"/>
  <c r="O1142" i="7"/>
  <c r="L1142" i="7"/>
  <c r="K1142" i="7"/>
  <c r="J1142" i="7"/>
  <c r="H1142" i="7"/>
  <c r="BC1140" i="7"/>
  <c r="O1140" i="7"/>
  <c r="L1140" i="7"/>
  <c r="K1140" i="7"/>
  <c r="J1140" i="7"/>
  <c r="H1140" i="7"/>
  <c r="BC1139" i="7"/>
  <c r="O1139" i="7"/>
  <c r="L1139" i="7"/>
  <c r="K1139" i="7"/>
  <c r="J1139" i="7"/>
  <c r="H1139" i="7"/>
  <c r="BC1138" i="7"/>
  <c r="Q1138" i="7"/>
  <c r="O1138" i="7"/>
  <c r="L1138" i="7"/>
  <c r="K1138" i="7"/>
  <c r="J1138" i="7"/>
  <c r="H1138" i="7"/>
  <c r="BC1137" i="7"/>
  <c r="Q1137" i="7"/>
  <c r="O1137" i="7"/>
  <c r="L1137" i="7"/>
  <c r="K1137" i="7"/>
  <c r="J1137" i="7"/>
  <c r="H1137" i="7"/>
  <c r="BC1136" i="7"/>
  <c r="Q1136" i="7"/>
  <c r="O1136" i="7"/>
  <c r="L1136" i="7"/>
  <c r="K1136" i="7"/>
  <c r="J1136" i="7"/>
  <c r="H1136" i="7"/>
  <c r="BC1135" i="7"/>
  <c r="P1135" i="7"/>
  <c r="BE1135" i="7" s="1"/>
  <c r="O1135" i="7"/>
  <c r="L1135" i="7"/>
  <c r="K1135" i="7"/>
  <c r="J1135" i="7"/>
  <c r="H1135" i="7"/>
  <c r="BC1134" i="7"/>
  <c r="Q1134" i="7"/>
  <c r="P1134" i="7"/>
  <c r="O1134" i="7"/>
  <c r="L1134" i="7"/>
  <c r="K1134" i="7"/>
  <c r="J1134" i="7"/>
  <c r="H1134" i="7"/>
  <c r="BC1133" i="7"/>
  <c r="P1133" i="7"/>
  <c r="BE1133" i="7" s="1"/>
  <c r="O1133" i="7"/>
  <c r="L1133" i="7"/>
  <c r="K1133" i="7"/>
  <c r="J1133" i="7"/>
  <c r="H1133" i="7"/>
  <c r="BC1132" i="7"/>
  <c r="Q1132" i="7"/>
  <c r="P1132" i="7"/>
  <c r="BE1132" i="7" s="1"/>
  <c r="O1132" i="7"/>
  <c r="L1132" i="7"/>
  <c r="K1132" i="7"/>
  <c r="J1132" i="7"/>
  <c r="H1132" i="7"/>
  <c r="BC1131" i="7"/>
  <c r="Q1131" i="7"/>
  <c r="P1131" i="7"/>
  <c r="BE1131" i="7" s="1"/>
  <c r="O1131" i="7"/>
  <c r="L1131" i="7"/>
  <c r="K1131" i="7"/>
  <c r="J1131" i="7"/>
  <c r="H1131" i="7"/>
  <c r="BC1130" i="7"/>
  <c r="Q1130" i="7"/>
  <c r="P1130" i="7"/>
  <c r="BE1130" i="7" s="1"/>
  <c r="O1130" i="7"/>
  <c r="L1130" i="7"/>
  <c r="K1130" i="7"/>
  <c r="J1130" i="7"/>
  <c r="H1130" i="7"/>
  <c r="BC1129" i="7"/>
  <c r="Q1129" i="7"/>
  <c r="P1129" i="7"/>
  <c r="BE1129" i="7" s="1"/>
  <c r="O1129" i="7"/>
  <c r="L1129" i="7"/>
  <c r="K1129" i="7"/>
  <c r="J1129" i="7"/>
  <c r="H1129" i="7"/>
  <c r="BC1127" i="7"/>
  <c r="Q1127" i="7"/>
  <c r="P1127" i="7"/>
  <c r="BE1127" i="7" s="1"/>
  <c r="O1127" i="7"/>
  <c r="L1127" i="7"/>
  <c r="K1127" i="7"/>
  <c r="J1127" i="7"/>
  <c r="H1127" i="7"/>
  <c r="BC1126" i="7"/>
  <c r="Q1126" i="7"/>
  <c r="P1126" i="7"/>
  <c r="BE1126" i="7" s="1"/>
  <c r="O1126" i="7"/>
  <c r="L1126" i="7"/>
  <c r="K1126" i="7"/>
  <c r="J1126" i="7"/>
  <c r="H1126" i="7"/>
  <c r="BC1125" i="7"/>
  <c r="Q1125" i="7"/>
  <c r="P1125" i="7"/>
  <c r="BE1125" i="7" s="1"/>
  <c r="O1125" i="7"/>
  <c r="L1125" i="7"/>
  <c r="K1125" i="7"/>
  <c r="J1125" i="7"/>
  <c r="H1125" i="7"/>
  <c r="BC1124" i="7"/>
  <c r="Q1124" i="7"/>
  <c r="P1124" i="7"/>
  <c r="BE1124" i="7" s="1"/>
  <c r="O1124" i="7"/>
  <c r="L1124" i="7"/>
  <c r="K1124" i="7"/>
  <c r="J1124" i="7"/>
  <c r="H1124" i="7"/>
  <c r="BC1123" i="7"/>
  <c r="V1123" i="7"/>
  <c r="V1124" i="7" s="1"/>
  <c r="V1125" i="7" s="1"/>
  <c r="V1126" i="7" s="1"/>
  <c r="V1127" i="7" s="1"/>
  <c r="V1128" i="7" s="1"/>
  <c r="V1129" i="7" s="1"/>
  <c r="V1130" i="7" s="1"/>
  <c r="V1131" i="7" s="1"/>
  <c r="V1132" i="7" s="1"/>
  <c r="V1133" i="7" s="1"/>
  <c r="V1134" i="7" s="1"/>
  <c r="V1135" i="7" s="1"/>
  <c r="V1136" i="7" s="1"/>
  <c r="V1137" i="7" s="1"/>
  <c r="V1138" i="7" s="1"/>
  <c r="V1139" i="7" s="1"/>
  <c r="V1140" i="7" s="1"/>
  <c r="V1141" i="7" s="1"/>
  <c r="V1142" i="7" s="1"/>
  <c r="V1143" i="7" s="1"/>
  <c r="V1144" i="7" s="1"/>
  <c r="V1145" i="7" s="1"/>
  <c r="V1146" i="7" s="1"/>
  <c r="V1147" i="7" s="1"/>
  <c r="Q1123" i="7"/>
  <c r="P1123" i="7"/>
  <c r="BE1123" i="7" s="1"/>
  <c r="O1123" i="7"/>
  <c r="L1123" i="7"/>
  <c r="K1123" i="7"/>
  <c r="J1123" i="7"/>
  <c r="H1123" i="7"/>
  <c r="BE1122" i="7"/>
  <c r="BD1122" i="7"/>
  <c r="BC1122" i="7"/>
  <c r="BB1122" i="7"/>
  <c r="V1119" i="7"/>
  <c r="V1113" i="7"/>
  <c r="V1112" i="7"/>
  <c r="V1111" i="7"/>
  <c r="V1110" i="7"/>
  <c r="V1109" i="7"/>
  <c r="V1108" i="7"/>
  <c r="V1107" i="7"/>
  <c r="V1106" i="7"/>
  <c r="V1105" i="7"/>
  <c r="V1104" i="7"/>
  <c r="V1103" i="7"/>
  <c r="V1102" i="7"/>
  <c r="V1101" i="7"/>
  <c r="V1100" i="7"/>
  <c r="V1099" i="7"/>
  <c r="AG1098" i="7"/>
  <c r="AF1098" i="7"/>
  <c r="AE1098" i="7"/>
  <c r="AD1098" i="7"/>
  <c r="AC1098" i="7"/>
  <c r="AB1098" i="7"/>
  <c r="AA1098" i="7"/>
  <c r="Z1098" i="7"/>
  <c r="Y1098" i="7"/>
  <c r="X1098" i="7"/>
  <c r="W1098" i="7"/>
  <c r="V1089" i="7"/>
  <c r="L1089" i="7"/>
  <c r="BE1089" i="7" s="1"/>
  <c r="K1089" i="7"/>
  <c r="X444" i="15" s="1"/>
  <c r="Z444" i="15" s="1"/>
  <c r="I1089" i="7"/>
  <c r="F1089" i="7" s="1"/>
  <c r="H1089" i="7"/>
  <c r="BE1088" i="7"/>
  <c r="BD1088" i="7"/>
  <c r="BC1088" i="7"/>
  <c r="BB1088" i="7"/>
  <c r="AG1088" i="7"/>
  <c r="AF1088" i="7"/>
  <c r="AE1088" i="7"/>
  <c r="AD1088" i="7"/>
  <c r="AC1088" i="7"/>
  <c r="AB1088" i="7"/>
  <c r="AA1088" i="7"/>
  <c r="Z1088" i="7"/>
  <c r="Y1088" i="7"/>
  <c r="X1088" i="7"/>
  <c r="W1088" i="7"/>
  <c r="V1087" i="7"/>
  <c r="V1086" i="7"/>
  <c r="V1080" i="7"/>
  <c r="V1079" i="7"/>
  <c r="V1078" i="7"/>
  <c r="V1077" i="7"/>
  <c r="V1076" i="7"/>
  <c r="V1075" i="7"/>
  <c r="V1074" i="7"/>
  <c r="V1073" i="7"/>
  <c r="V1072" i="7"/>
  <c r="V1071" i="7"/>
  <c r="V1070" i="7"/>
  <c r="V1069" i="7"/>
  <c r="AG1068" i="7"/>
  <c r="AF1068" i="7"/>
  <c r="AE1068" i="7"/>
  <c r="AD1068" i="7"/>
  <c r="AC1068" i="7"/>
  <c r="AB1068" i="7"/>
  <c r="AA1068" i="7"/>
  <c r="Z1068" i="7"/>
  <c r="Y1068" i="7"/>
  <c r="X1068" i="7"/>
  <c r="W1068" i="7"/>
  <c r="V1058" i="7"/>
  <c r="L1058" i="7"/>
  <c r="BE1058" i="7" s="1"/>
  <c r="K1058" i="7"/>
  <c r="BC1058" i="7" s="1"/>
  <c r="I1058" i="7"/>
  <c r="F1058" i="7" s="1"/>
  <c r="I443" i="15" s="1"/>
  <c r="H1058" i="7"/>
  <c r="BE1057" i="7"/>
  <c r="BD1057" i="7"/>
  <c r="BC1057" i="7"/>
  <c r="BB1057" i="7"/>
  <c r="AG1057" i="7"/>
  <c r="AF1057" i="7"/>
  <c r="AE1057" i="7"/>
  <c r="AD1057" i="7"/>
  <c r="AC1057" i="7"/>
  <c r="AB1057" i="7"/>
  <c r="AA1057" i="7"/>
  <c r="Z1057" i="7"/>
  <c r="Y1057" i="7"/>
  <c r="X1057" i="7"/>
  <c r="W1057" i="7"/>
  <c r="V1056" i="7"/>
  <c r="V1055" i="7"/>
  <c r="V1049" i="7"/>
  <c r="V1048" i="7"/>
  <c r="V1047" i="7"/>
  <c r="V1046" i="7"/>
  <c r="V1045" i="7"/>
  <c r="V1044" i="7"/>
  <c r="V1043" i="7"/>
  <c r="V1042" i="7"/>
  <c r="Y1041" i="7"/>
  <c r="X1041" i="7"/>
  <c r="W1041" i="7"/>
  <c r="V1041" i="7"/>
  <c r="F1041" i="7"/>
  <c r="V1040" i="7"/>
  <c r="Y1039" i="7"/>
  <c r="X1039" i="7"/>
  <c r="W1039" i="7"/>
  <c r="V1039" i="7"/>
  <c r="F1039" i="7"/>
  <c r="AG1038" i="7"/>
  <c r="AF1038" i="7"/>
  <c r="AE1038" i="7"/>
  <c r="AD1038" i="7"/>
  <c r="AC1038" i="7"/>
  <c r="AB1038" i="7"/>
  <c r="AA1038" i="7"/>
  <c r="Z1038" i="7"/>
  <c r="Y1038" i="7"/>
  <c r="X1038" i="7"/>
  <c r="W1038" i="7"/>
  <c r="V1032" i="7"/>
  <c r="K1032" i="7"/>
  <c r="J1032" i="7"/>
  <c r="BC1032" i="7" s="1"/>
  <c r="H1032" i="7"/>
  <c r="BE1031" i="7"/>
  <c r="BD1031" i="7"/>
  <c r="BC1031" i="7"/>
  <c r="BB1031" i="7"/>
  <c r="AG1031" i="7"/>
  <c r="AF1031" i="7"/>
  <c r="AE1031" i="7"/>
  <c r="AD1031" i="7"/>
  <c r="AC1031" i="7"/>
  <c r="AB1031" i="7"/>
  <c r="AA1031" i="7"/>
  <c r="Z1031" i="7"/>
  <c r="Y1031" i="7"/>
  <c r="X1031" i="7"/>
  <c r="W1031" i="7"/>
  <c r="V1029" i="7"/>
  <c r="E1024" i="7"/>
  <c r="V1023" i="7"/>
  <c r="V1022" i="7"/>
  <c r="V1021" i="7"/>
  <c r="V1020" i="7"/>
  <c r="V1019" i="7"/>
  <c r="V1018" i="7"/>
  <c r="V1017" i="7"/>
  <c r="V1016" i="7"/>
  <c r="V1014" i="7"/>
  <c r="V1013" i="7"/>
  <c r="V1012" i="7"/>
  <c r="V1010" i="7"/>
  <c r="V1009" i="7"/>
  <c r="V1008" i="7"/>
  <c r="V1007" i="7"/>
  <c r="AG1006" i="7"/>
  <c r="AF1006" i="7"/>
  <c r="AE1006" i="7"/>
  <c r="AD1006" i="7"/>
  <c r="AC1006" i="7"/>
  <c r="AB1006" i="7"/>
  <c r="AA1006" i="7"/>
  <c r="Z1006" i="7"/>
  <c r="Y1006" i="7"/>
  <c r="X1006" i="7"/>
  <c r="W1006" i="7"/>
  <c r="V998" i="7"/>
  <c r="L998" i="7"/>
  <c r="BE998" i="7" s="1"/>
  <c r="K998" i="7"/>
  <c r="BC998" i="7" s="1"/>
  <c r="I998" i="7"/>
  <c r="H998" i="7"/>
  <c r="V997" i="7"/>
  <c r="L997" i="7"/>
  <c r="K997" i="7"/>
  <c r="BC997" i="7" s="1"/>
  <c r="I997" i="7"/>
  <c r="F998" i="7" s="1"/>
  <c r="I441" i="15" s="1"/>
  <c r="H997" i="7"/>
  <c r="BE996" i="7"/>
  <c r="BD996" i="7"/>
  <c r="BC996" i="7"/>
  <c r="BB996" i="7"/>
  <c r="AG996" i="7"/>
  <c r="AF996" i="7"/>
  <c r="AE996" i="7"/>
  <c r="AD996" i="7"/>
  <c r="AC996" i="7"/>
  <c r="AB996" i="7"/>
  <c r="AA996" i="7"/>
  <c r="Z996" i="7"/>
  <c r="Y996" i="7"/>
  <c r="X996" i="7"/>
  <c r="W996" i="7"/>
  <c r="V994" i="7"/>
  <c r="V993" i="7"/>
  <c r="V992" i="7"/>
  <c r="E991" i="7"/>
  <c r="E1052" i="7" s="1"/>
  <c r="E1083" i="7" s="1"/>
  <c r="E1116" i="7" s="1"/>
  <c r="E990" i="7"/>
  <c r="E1051" i="7" s="1"/>
  <c r="E1082" i="7" s="1"/>
  <c r="E1115" i="7" s="1"/>
  <c r="E989" i="7"/>
  <c r="E1050" i="7" s="1"/>
  <c r="E1081" i="7" s="1"/>
  <c r="E1114" i="7" s="1"/>
  <c r="V988" i="7"/>
  <c r="V987" i="7"/>
  <c r="V986" i="7"/>
  <c r="X985" i="7"/>
  <c r="F985" i="7"/>
  <c r="X984" i="7"/>
  <c r="F984" i="7"/>
  <c r="X981" i="7"/>
  <c r="F981" i="7"/>
  <c r="F923" i="7" s="1"/>
  <c r="L433" i="15" s="1"/>
  <c r="X980" i="7"/>
  <c r="F980" i="7"/>
  <c r="V978" i="7"/>
  <c r="V970" i="7"/>
  <c r="V968" i="7"/>
  <c r="X967" i="7"/>
  <c r="W967" i="7"/>
  <c r="F967" i="7"/>
  <c r="X966" i="7"/>
  <c r="W966" i="7"/>
  <c r="F966" i="7"/>
  <c r="V960" i="7"/>
  <c r="V959" i="7"/>
  <c r="V958" i="7"/>
  <c r="V957" i="7"/>
  <c r="V956" i="7"/>
  <c r="W954" i="7"/>
  <c r="W952" i="7"/>
  <c r="W950" i="7"/>
  <c r="W948" i="7"/>
  <c r="V948" i="7"/>
  <c r="V946" i="7"/>
  <c r="AG945" i="7"/>
  <c r="AF945" i="7"/>
  <c r="AE945" i="7"/>
  <c r="AD945" i="7"/>
  <c r="AC945" i="7"/>
  <c r="AB945" i="7"/>
  <c r="AA945" i="7"/>
  <c r="Z945" i="7"/>
  <c r="Y945" i="7"/>
  <c r="X945" i="7"/>
  <c r="W945" i="7"/>
  <c r="V944" i="7"/>
  <c r="V943" i="7"/>
  <c r="V942" i="7"/>
  <c r="V941" i="7"/>
  <c r="V940" i="7"/>
  <c r="V939" i="7"/>
  <c r="V938" i="7"/>
  <c r="J935" i="7"/>
  <c r="BC935" i="7" s="1"/>
  <c r="H935" i="7"/>
  <c r="K934" i="7"/>
  <c r="BE934" i="7" s="1"/>
  <c r="J934" i="7"/>
  <c r="BC934" i="7" s="1"/>
  <c r="H934" i="7"/>
  <c r="F934" i="7"/>
  <c r="K439" i="15" s="1"/>
  <c r="J933" i="7"/>
  <c r="BC933" i="7" s="1"/>
  <c r="H933" i="7"/>
  <c r="E933" i="7"/>
  <c r="K932" i="7"/>
  <c r="BE932" i="7" s="1"/>
  <c r="J932" i="7"/>
  <c r="BC932" i="7" s="1"/>
  <c r="H932" i="7"/>
  <c r="F932" i="7"/>
  <c r="K438" i="15" s="1"/>
  <c r="E932" i="7"/>
  <c r="G438" i="15" s="1"/>
  <c r="J931" i="7"/>
  <c r="BC931" i="7" s="1"/>
  <c r="H931" i="7"/>
  <c r="K930" i="7"/>
  <c r="BE930" i="7" s="1"/>
  <c r="J930" i="7"/>
  <c r="X437" i="15" s="1"/>
  <c r="Z437" i="15" s="1"/>
  <c r="H930" i="7"/>
  <c r="F930" i="7"/>
  <c r="K437" i="15" s="1"/>
  <c r="J929" i="7"/>
  <c r="BC929" i="7" s="1"/>
  <c r="BD929" i="7" s="1"/>
  <c r="H929" i="7"/>
  <c r="I929" i="7" s="1"/>
  <c r="R436" i="15" s="1"/>
  <c r="K928" i="7"/>
  <c r="BE928" i="7" s="1"/>
  <c r="J928" i="7"/>
  <c r="BC928" i="7" s="1"/>
  <c r="H928" i="7"/>
  <c r="F928" i="7"/>
  <c r="K436" i="15" s="1"/>
  <c r="J927" i="7"/>
  <c r="BC927" i="7" s="1"/>
  <c r="BD927" i="7" s="1"/>
  <c r="AF435" i="15" s="1"/>
  <c r="H927" i="7"/>
  <c r="I927" i="7" s="1"/>
  <c r="R435" i="15" s="1"/>
  <c r="E927" i="7"/>
  <c r="K926" i="7"/>
  <c r="BE926" i="7" s="1"/>
  <c r="J926" i="7"/>
  <c r="BC926" i="7" s="1"/>
  <c r="H926" i="7"/>
  <c r="F926" i="7"/>
  <c r="K435" i="15" s="1"/>
  <c r="E926" i="7"/>
  <c r="G435" i="15" s="1"/>
  <c r="J925" i="7"/>
  <c r="BC925" i="7" s="1"/>
  <c r="BD925" i="7" s="1"/>
  <c r="AF434" i="15" s="1"/>
  <c r="H925" i="7"/>
  <c r="I925" i="7" s="1"/>
  <c r="R434" i="15" s="1"/>
  <c r="K924" i="7"/>
  <c r="BE924" i="7" s="1"/>
  <c r="J924" i="7"/>
  <c r="BC924" i="7" s="1"/>
  <c r="H924" i="7"/>
  <c r="F924" i="7"/>
  <c r="K434" i="15" s="1"/>
  <c r="J923" i="7"/>
  <c r="BC923" i="7" s="1"/>
  <c r="H923" i="7"/>
  <c r="K922" i="7"/>
  <c r="BE922" i="7" s="1"/>
  <c r="J922" i="7"/>
  <c r="BC922" i="7" s="1"/>
  <c r="H922" i="7"/>
  <c r="F922" i="7"/>
  <c r="K433" i="15" s="1"/>
  <c r="J921" i="7"/>
  <c r="BC921" i="7" s="1"/>
  <c r="H921" i="7"/>
  <c r="E921" i="7"/>
  <c r="K920" i="7"/>
  <c r="J920" i="7"/>
  <c r="X432" i="15" s="1"/>
  <c r="Z432" i="15" s="1"/>
  <c r="H920" i="7"/>
  <c r="F920" i="7"/>
  <c r="K432" i="15" s="1"/>
  <c r="E920" i="7"/>
  <c r="G432" i="15" s="1"/>
  <c r="J919" i="7"/>
  <c r="BC919" i="7" s="1"/>
  <c r="H919" i="7"/>
  <c r="K918" i="7"/>
  <c r="BE918" i="7" s="1"/>
  <c r="J918" i="7"/>
  <c r="BC918" i="7" s="1"/>
  <c r="H918" i="7"/>
  <c r="F918" i="7"/>
  <c r="K431" i="15" s="1"/>
  <c r="J917" i="7"/>
  <c r="BC917" i="7" s="1"/>
  <c r="H917" i="7"/>
  <c r="F917" i="7"/>
  <c r="L430" i="15" s="1"/>
  <c r="K916" i="7"/>
  <c r="J916" i="7"/>
  <c r="BC916" i="7" s="1"/>
  <c r="H916" i="7"/>
  <c r="F916" i="7"/>
  <c r="K430" i="15" s="1"/>
  <c r="J915" i="7"/>
  <c r="BC915" i="7" s="1"/>
  <c r="H915" i="7"/>
  <c r="F915" i="7"/>
  <c r="L429" i="15" s="1"/>
  <c r="E915" i="7"/>
  <c r="K914" i="7"/>
  <c r="BE914" i="7" s="1"/>
  <c r="J914" i="7"/>
  <c r="BC914" i="7" s="1"/>
  <c r="H914" i="7"/>
  <c r="F914" i="7"/>
  <c r="K429" i="15" s="1"/>
  <c r="E914" i="7"/>
  <c r="G429" i="15" s="1"/>
  <c r="J913" i="7"/>
  <c r="BC913" i="7" s="1"/>
  <c r="H913" i="7"/>
  <c r="F913" i="7"/>
  <c r="L428" i="15" s="1"/>
  <c r="V912" i="7"/>
  <c r="V913" i="7" s="1"/>
  <c r="V914" i="7" s="1"/>
  <c r="V915" i="7" s="1"/>
  <c r="V916" i="7" s="1"/>
  <c r="V917" i="7" s="1"/>
  <c r="V918" i="7" s="1"/>
  <c r="V919" i="7" s="1"/>
  <c r="V920" i="7" s="1"/>
  <c r="V921" i="7" s="1"/>
  <c r="V922" i="7" s="1"/>
  <c r="V923" i="7" s="1"/>
  <c r="V924" i="7" s="1"/>
  <c r="V925" i="7" s="1"/>
  <c r="V926" i="7" s="1"/>
  <c r="V927" i="7" s="1"/>
  <c r="V928" i="7" s="1"/>
  <c r="V929" i="7" s="1"/>
  <c r="V930" i="7" s="1"/>
  <c r="V931" i="7" s="1"/>
  <c r="V932" i="7" s="1"/>
  <c r="V933" i="7" s="1"/>
  <c r="V934" i="7" s="1"/>
  <c r="V935" i="7" s="1"/>
  <c r="K912" i="7"/>
  <c r="BE912" i="7" s="1"/>
  <c r="J912" i="7"/>
  <c r="X428" i="15" s="1"/>
  <c r="Z428" i="15" s="1"/>
  <c r="H912" i="7"/>
  <c r="F912" i="7"/>
  <c r="K428" i="15" s="1"/>
  <c r="BE911" i="7"/>
  <c r="BD911" i="7"/>
  <c r="BC911" i="7"/>
  <c r="BB911" i="7"/>
  <c r="AG911" i="7"/>
  <c r="AF911" i="7"/>
  <c r="AE911" i="7"/>
  <c r="AD911" i="7"/>
  <c r="AC911" i="7"/>
  <c r="AB911" i="7"/>
  <c r="AA911" i="7"/>
  <c r="Z911" i="7"/>
  <c r="Y911" i="7"/>
  <c r="X911" i="7"/>
  <c r="W911" i="7"/>
  <c r="V909" i="7"/>
  <c r="V903" i="7"/>
  <c r="V902" i="7"/>
  <c r="V901" i="7"/>
  <c r="V900" i="7"/>
  <c r="V899" i="7"/>
  <c r="V898" i="7"/>
  <c r="V897" i="7"/>
  <c r="V896" i="7"/>
  <c r="V895" i="7"/>
  <c r="V894" i="7"/>
  <c r="W893" i="7"/>
  <c r="V893" i="7"/>
  <c r="X892" i="7"/>
  <c r="W892" i="7"/>
  <c r="V892" i="7"/>
  <c r="F892" i="7"/>
  <c r="V891" i="7"/>
  <c r="X890" i="7"/>
  <c r="W890" i="7"/>
  <c r="V890" i="7"/>
  <c r="F890" i="7"/>
  <c r="AG889" i="7"/>
  <c r="AF889" i="7"/>
  <c r="AE889" i="7"/>
  <c r="AD889" i="7"/>
  <c r="AC889" i="7"/>
  <c r="AB889" i="7"/>
  <c r="AA889" i="7"/>
  <c r="Z889" i="7"/>
  <c r="Y889" i="7"/>
  <c r="X889" i="7"/>
  <c r="W889" i="7"/>
  <c r="K884" i="7"/>
  <c r="BE884" i="7" s="1"/>
  <c r="J884" i="7"/>
  <c r="X427" i="15" s="1"/>
  <c r="Z427" i="15" s="1"/>
  <c r="H884" i="7"/>
  <c r="K883" i="7"/>
  <c r="BE883" i="7" s="1"/>
  <c r="J883" i="7"/>
  <c r="BC883" i="7" s="1"/>
  <c r="H883" i="7"/>
  <c r="V882" i="7"/>
  <c r="V883" i="7" s="1"/>
  <c r="V884" i="7" s="1"/>
  <c r="K882" i="7"/>
  <c r="BE882" i="7" s="1"/>
  <c r="J882" i="7"/>
  <c r="BC882" i="7" s="1"/>
  <c r="H882" i="7"/>
  <c r="BE881" i="7"/>
  <c r="BD881" i="7"/>
  <c r="BC881" i="7"/>
  <c r="BB881" i="7"/>
  <c r="AG881" i="7"/>
  <c r="AF881" i="7"/>
  <c r="AE881" i="7"/>
  <c r="AD881" i="7"/>
  <c r="AC881" i="7"/>
  <c r="AB881" i="7"/>
  <c r="AA881" i="7"/>
  <c r="Z881" i="7"/>
  <c r="Y881" i="7"/>
  <c r="X881" i="7"/>
  <c r="W881" i="7"/>
  <c r="V879" i="7"/>
  <c r="V869" i="7"/>
  <c r="V868" i="7"/>
  <c r="V867" i="7"/>
  <c r="V866" i="7"/>
  <c r="V865" i="7"/>
  <c r="V864" i="7"/>
  <c r="V863" i="7"/>
  <c r="V862" i="7"/>
  <c r="V860" i="7"/>
  <c r="V859" i="7"/>
  <c r="V858" i="7"/>
  <c r="V856" i="7"/>
  <c r="V855" i="7"/>
  <c r="V854" i="7"/>
  <c r="V853" i="7"/>
  <c r="X852" i="7"/>
  <c r="X854" i="7" s="1"/>
  <c r="V852" i="7"/>
  <c r="AG850" i="7"/>
  <c r="AF850" i="7"/>
  <c r="AE850" i="7"/>
  <c r="AD850" i="7"/>
  <c r="AC850" i="7"/>
  <c r="AB850" i="7"/>
  <c r="AA850" i="7"/>
  <c r="Z850" i="7"/>
  <c r="Y850" i="7"/>
  <c r="X850" i="7"/>
  <c r="W850" i="7"/>
  <c r="K841" i="7"/>
  <c r="BC841" i="7" s="1"/>
  <c r="I841" i="7"/>
  <c r="H841" i="7"/>
  <c r="K840" i="7"/>
  <c r="BC840" i="7" s="1"/>
  <c r="I840" i="7"/>
  <c r="H840" i="7"/>
  <c r="K839" i="7"/>
  <c r="X422" i="15" s="1"/>
  <c r="Z422" i="15" s="1"/>
  <c r="I839" i="7"/>
  <c r="H839" i="7"/>
  <c r="K838" i="7"/>
  <c r="X421" i="15" s="1"/>
  <c r="Z421" i="15" s="1"/>
  <c r="I838" i="7"/>
  <c r="H838" i="7"/>
  <c r="V837" i="7"/>
  <c r="V838" i="7" s="1"/>
  <c r="V839" i="7" s="1"/>
  <c r="V840" i="7" s="1"/>
  <c r="V841" i="7" s="1"/>
  <c r="K837" i="7"/>
  <c r="BC837" i="7" s="1"/>
  <c r="I837" i="7"/>
  <c r="H837" i="7"/>
  <c r="BE836" i="7"/>
  <c r="BD836" i="7"/>
  <c r="BC836" i="7"/>
  <c r="BB836" i="7"/>
  <c r="AG836" i="7"/>
  <c r="AF836" i="7"/>
  <c r="AE836" i="7"/>
  <c r="AD836" i="7"/>
  <c r="AC836" i="7"/>
  <c r="AB836" i="7"/>
  <c r="AA836" i="7"/>
  <c r="Z836" i="7"/>
  <c r="Y836" i="7"/>
  <c r="X836" i="7"/>
  <c r="W836" i="7"/>
  <c r="V834" i="7"/>
  <c r="AG771" i="7"/>
  <c r="AF771" i="7"/>
  <c r="AE771" i="7"/>
  <c r="AD771" i="7"/>
  <c r="AC771" i="7"/>
  <c r="AB771" i="7"/>
  <c r="AA771" i="7"/>
  <c r="Z771" i="7"/>
  <c r="Y771" i="7"/>
  <c r="X771" i="7"/>
  <c r="W771" i="7"/>
  <c r="L763" i="7"/>
  <c r="K763" i="7"/>
  <c r="X415" i="15" s="1"/>
  <c r="Z415" i="15" s="1"/>
  <c r="F763" i="7"/>
  <c r="H763" i="7"/>
  <c r="L762" i="7"/>
  <c r="BE762" i="7" s="1"/>
  <c r="K762" i="7"/>
  <c r="X414" i="15" s="1"/>
  <c r="Z414" i="15" s="1"/>
  <c r="F762" i="7"/>
  <c r="I414" i="15" s="1"/>
  <c r="H762" i="7"/>
  <c r="V760" i="7"/>
  <c r="V761" i="7" s="1"/>
  <c r="V762" i="7" s="1"/>
  <c r="V763" i="7" s="1"/>
  <c r="L760" i="7"/>
  <c r="BE760" i="7" s="1"/>
  <c r="K760" i="7"/>
  <c r="BC760" i="7" s="1"/>
  <c r="F760" i="7"/>
  <c r="I412" i="15" s="1"/>
  <c r="H760" i="7"/>
  <c r="BE759" i="7"/>
  <c r="BD759" i="7"/>
  <c r="BC759" i="7"/>
  <c r="BB759" i="7"/>
  <c r="AG759" i="7"/>
  <c r="AF759" i="7"/>
  <c r="AE759" i="7"/>
  <c r="AD759" i="7"/>
  <c r="AC759" i="7"/>
  <c r="AB759" i="7"/>
  <c r="AA759" i="7"/>
  <c r="Z759" i="7"/>
  <c r="Y759" i="7"/>
  <c r="X759" i="7"/>
  <c r="W759" i="7"/>
  <c r="V757" i="7"/>
  <c r="W723" i="7"/>
  <c r="AG719" i="7"/>
  <c r="AF719" i="7"/>
  <c r="AE719" i="7"/>
  <c r="AD719" i="7"/>
  <c r="AC719" i="7"/>
  <c r="AB719" i="7"/>
  <c r="AA719" i="7"/>
  <c r="Z719" i="7"/>
  <c r="Y719" i="7"/>
  <c r="X719" i="7"/>
  <c r="W719" i="7"/>
  <c r="V697" i="7"/>
  <c r="J697" i="7"/>
  <c r="BC697" i="7" s="1"/>
  <c r="H697" i="7"/>
  <c r="F697" i="7"/>
  <c r="E697" i="7"/>
  <c r="V696" i="7"/>
  <c r="K696" i="7"/>
  <c r="BE696" i="7" s="1"/>
  <c r="J696" i="7"/>
  <c r="BC696" i="7" s="1"/>
  <c r="H696" i="7"/>
  <c r="F696" i="7"/>
  <c r="E696" i="7"/>
  <c r="G408" i="15" s="1"/>
  <c r="V695" i="7"/>
  <c r="J695" i="7"/>
  <c r="BC695" i="7" s="1"/>
  <c r="H695" i="7"/>
  <c r="F695" i="7"/>
  <c r="V694" i="7"/>
  <c r="K694" i="7"/>
  <c r="BE694" i="7" s="1"/>
  <c r="J694" i="7"/>
  <c r="X407" i="15" s="1"/>
  <c r="Z407" i="15" s="1"/>
  <c r="H694" i="7"/>
  <c r="F694" i="7"/>
  <c r="V693" i="7"/>
  <c r="J693" i="7"/>
  <c r="BC693" i="7" s="1"/>
  <c r="H693" i="7"/>
  <c r="F693" i="7"/>
  <c r="V692" i="7"/>
  <c r="K692" i="7"/>
  <c r="BE692" i="7" s="1"/>
  <c r="J692" i="7"/>
  <c r="BC692" i="7" s="1"/>
  <c r="H692" i="7"/>
  <c r="F692" i="7"/>
  <c r="V691" i="7"/>
  <c r="J691" i="7"/>
  <c r="BC691" i="7" s="1"/>
  <c r="H691" i="7"/>
  <c r="F691" i="7"/>
  <c r="E691" i="7"/>
  <c r="V690" i="7"/>
  <c r="K690" i="7"/>
  <c r="BE690" i="7" s="1"/>
  <c r="J690" i="7"/>
  <c r="BC690" i="7" s="1"/>
  <c r="H690" i="7"/>
  <c r="F690" i="7"/>
  <c r="E690" i="7"/>
  <c r="G405" i="15" s="1"/>
  <c r="V689" i="7"/>
  <c r="J689" i="7"/>
  <c r="BC689" i="7" s="1"/>
  <c r="H689" i="7"/>
  <c r="F689" i="7"/>
  <c r="V688" i="7"/>
  <c r="K688" i="7"/>
  <c r="J688" i="7"/>
  <c r="BC688" i="7" s="1"/>
  <c r="H688" i="7"/>
  <c r="F688" i="7"/>
  <c r="V687" i="7"/>
  <c r="J687" i="7"/>
  <c r="BC687" i="7" s="1"/>
  <c r="H687" i="7"/>
  <c r="F687" i="7"/>
  <c r="V686" i="7"/>
  <c r="K686" i="7"/>
  <c r="J686" i="7"/>
  <c r="X403" i="15" s="1"/>
  <c r="Z403" i="15" s="1"/>
  <c r="H686" i="7"/>
  <c r="F686" i="7"/>
  <c r="V685" i="7"/>
  <c r="J685" i="7"/>
  <c r="BC685" i="7" s="1"/>
  <c r="H685" i="7"/>
  <c r="F685" i="7"/>
  <c r="E685" i="7"/>
  <c r="V684" i="7"/>
  <c r="K684" i="7"/>
  <c r="BE684" i="7" s="1"/>
  <c r="J684" i="7"/>
  <c r="BC684" i="7" s="1"/>
  <c r="H684" i="7"/>
  <c r="F684" i="7"/>
  <c r="E684" i="7"/>
  <c r="G402" i="15" s="1"/>
  <c r="V683" i="7"/>
  <c r="J683" i="7"/>
  <c r="BC683" i="7" s="1"/>
  <c r="H683" i="7"/>
  <c r="F683" i="7"/>
  <c r="V682" i="7"/>
  <c r="K682" i="7"/>
  <c r="BE682" i="7" s="1"/>
  <c r="J682" i="7"/>
  <c r="X401" i="15" s="1"/>
  <c r="Z401" i="15" s="1"/>
  <c r="H682" i="7"/>
  <c r="F682" i="7"/>
  <c r="V681" i="7"/>
  <c r="J681" i="7"/>
  <c r="BC681" i="7" s="1"/>
  <c r="H681" i="7"/>
  <c r="F681" i="7"/>
  <c r="V680" i="7"/>
  <c r="K680" i="7"/>
  <c r="J680" i="7"/>
  <c r="BC680" i="7" s="1"/>
  <c r="H680" i="7"/>
  <c r="F680" i="7"/>
  <c r="V679" i="7"/>
  <c r="J679" i="7"/>
  <c r="BC679" i="7" s="1"/>
  <c r="H679" i="7"/>
  <c r="F679" i="7"/>
  <c r="V678" i="7"/>
  <c r="K678" i="7"/>
  <c r="BE678" i="7" s="1"/>
  <c r="J678" i="7"/>
  <c r="BC678" i="7" s="1"/>
  <c r="H678" i="7"/>
  <c r="F678" i="7"/>
  <c r="V677" i="7"/>
  <c r="J677" i="7"/>
  <c r="BC677" i="7" s="1"/>
  <c r="H677" i="7"/>
  <c r="F677" i="7"/>
  <c r="X398" i="15"/>
  <c r="Z398" i="15" s="1"/>
  <c r="K398" i="15"/>
  <c r="BE675" i="7"/>
  <c r="BD675" i="7"/>
  <c r="BC675" i="7"/>
  <c r="BB675" i="7"/>
  <c r="AG675" i="7"/>
  <c r="AF675" i="7"/>
  <c r="AE675" i="7"/>
  <c r="AD675" i="7"/>
  <c r="AC675" i="7"/>
  <c r="AB675" i="7"/>
  <c r="AA675" i="7"/>
  <c r="Z675" i="7"/>
  <c r="Y675" i="7"/>
  <c r="X675" i="7"/>
  <c r="W675" i="7"/>
  <c r="V673" i="7"/>
  <c r="Y669" i="7"/>
  <c r="G669" i="7"/>
  <c r="O607" i="7" s="1"/>
  <c r="BE607" i="7" s="1"/>
  <c r="Y666" i="7"/>
  <c r="G666" i="7"/>
  <c r="O662" i="7"/>
  <c r="O656" i="7" s="1"/>
  <c r="G668" i="7" s="1"/>
  <c r="O603" i="7" s="1"/>
  <c r="BE603" i="7" s="1"/>
  <c r="F643" i="7"/>
  <c r="F642" i="7"/>
  <c r="F641" i="7"/>
  <c r="F640" i="7"/>
  <c r="F639" i="7"/>
  <c r="F638" i="7"/>
  <c r="AG628" i="7"/>
  <c r="AF628" i="7"/>
  <c r="AE628" i="7"/>
  <c r="AD628" i="7"/>
  <c r="AC628" i="7"/>
  <c r="AB628" i="7"/>
  <c r="AA628" i="7"/>
  <c r="Z628" i="7"/>
  <c r="Y628" i="7"/>
  <c r="X628" i="7"/>
  <c r="W628" i="7"/>
  <c r="V608" i="7"/>
  <c r="O608" i="7"/>
  <c r="BE608" i="7" s="1"/>
  <c r="N608" i="7"/>
  <c r="Y397" i="15" s="1"/>
  <c r="G608" i="7"/>
  <c r="H608" i="7" s="1"/>
  <c r="V607" i="7"/>
  <c r="N607" i="7"/>
  <c r="X397" i="15" s="1"/>
  <c r="H607" i="7"/>
  <c r="V606" i="7"/>
  <c r="N606" i="7"/>
  <c r="BC606" i="7" s="1"/>
  <c r="H606" i="7"/>
  <c r="V605" i="7"/>
  <c r="O605" i="7"/>
  <c r="BE605" i="7" s="1"/>
  <c r="N605" i="7"/>
  <c r="Y395" i="15" s="1"/>
  <c r="G605" i="7"/>
  <c r="H605" i="7" s="1"/>
  <c r="V604" i="7"/>
  <c r="N604" i="7"/>
  <c r="X395" i="15" s="1"/>
  <c r="F604" i="7"/>
  <c r="H604" i="7"/>
  <c r="V603" i="7"/>
  <c r="N603" i="7"/>
  <c r="BC603" i="7" s="1"/>
  <c r="H603" i="7"/>
  <c r="V602" i="7"/>
  <c r="O602" i="7"/>
  <c r="BE602" i="7" s="1"/>
  <c r="N602" i="7"/>
  <c r="Y393" i="15" s="1"/>
  <c r="G602" i="7"/>
  <c r="D393" i="15" s="1"/>
  <c r="V601" i="7"/>
  <c r="N601" i="7"/>
  <c r="BC601" i="7" s="1"/>
  <c r="H601" i="7"/>
  <c r="V600" i="7"/>
  <c r="N600" i="7"/>
  <c r="BC600" i="7" s="1"/>
  <c r="H600" i="7"/>
  <c r="V599" i="7"/>
  <c r="O599" i="7"/>
  <c r="BE599" i="7" s="1"/>
  <c r="N599" i="7"/>
  <c r="Y391" i="15" s="1"/>
  <c r="G599" i="7"/>
  <c r="D391" i="15" s="1"/>
  <c r="V598" i="7"/>
  <c r="N598" i="7"/>
  <c r="BC598" i="7" s="1"/>
  <c r="H598" i="7"/>
  <c r="V597" i="7"/>
  <c r="N597" i="7"/>
  <c r="BC597" i="7" s="1"/>
  <c r="H597" i="7"/>
  <c r="BE596" i="7"/>
  <c r="BD596" i="7"/>
  <c r="BC596" i="7"/>
  <c r="BB596" i="7"/>
  <c r="AG596" i="7"/>
  <c r="AF596" i="7"/>
  <c r="AE596" i="7"/>
  <c r="AD596" i="7"/>
  <c r="AC596" i="7"/>
  <c r="AB596" i="7"/>
  <c r="AA596" i="7"/>
  <c r="Z596" i="7"/>
  <c r="Y596" i="7"/>
  <c r="X596" i="7"/>
  <c r="W596" i="7"/>
  <c r="B594" i="7"/>
  <c r="B224" i="9" s="1"/>
  <c r="V224" i="9" s="1"/>
  <c r="G591" i="7"/>
  <c r="M563" i="7" s="1"/>
  <c r="BE563" i="7" s="1"/>
  <c r="V589" i="7"/>
  <c r="V588" i="7"/>
  <c r="V587" i="7"/>
  <c r="V586" i="7"/>
  <c r="V585" i="7"/>
  <c r="V579" i="7"/>
  <c r="W578" i="7"/>
  <c r="V578" i="7"/>
  <c r="V575" i="7"/>
  <c r="AG574" i="7"/>
  <c r="AF574" i="7"/>
  <c r="AE574" i="7"/>
  <c r="AD574" i="7"/>
  <c r="AC574" i="7"/>
  <c r="AB574" i="7"/>
  <c r="AA574" i="7"/>
  <c r="Z574" i="7"/>
  <c r="Y574" i="7"/>
  <c r="X574" i="7"/>
  <c r="W574" i="7"/>
  <c r="V563" i="7"/>
  <c r="L563" i="7"/>
  <c r="X389" i="15" s="1"/>
  <c r="Z389" i="15" s="1"/>
  <c r="I563" i="7"/>
  <c r="H563" i="7"/>
  <c r="V562" i="7"/>
  <c r="L562" i="7"/>
  <c r="BC562" i="7" s="1"/>
  <c r="I562" i="7"/>
  <c r="H562" i="7"/>
  <c r="V559" i="7"/>
  <c r="L559" i="7"/>
  <c r="X385" i="15" s="1"/>
  <c r="Z385" i="15" s="1"/>
  <c r="I559" i="7"/>
  <c r="H559" i="7"/>
  <c r="V558" i="7"/>
  <c r="L558" i="7"/>
  <c r="X384" i="15" s="1"/>
  <c r="Z384" i="15" s="1"/>
  <c r="J558" i="7"/>
  <c r="I558" i="7"/>
  <c r="H558" i="7"/>
  <c r="BE557" i="7"/>
  <c r="BD557" i="7"/>
  <c r="BC557" i="7"/>
  <c r="BB557" i="7"/>
  <c r="AG557" i="7"/>
  <c r="AF557" i="7"/>
  <c r="AE557" i="7"/>
  <c r="AD557" i="7"/>
  <c r="AC557" i="7"/>
  <c r="AB557" i="7"/>
  <c r="AA557" i="7"/>
  <c r="Z557" i="7"/>
  <c r="Y557" i="7"/>
  <c r="X557" i="7"/>
  <c r="W557" i="7"/>
  <c r="V555" i="7"/>
  <c r="Y552" i="7"/>
  <c r="G552" i="7"/>
  <c r="N519" i="7" s="1"/>
  <c r="BE519" i="7" s="1"/>
  <c r="V550" i="7"/>
  <c r="V549" i="7"/>
  <c r="V548" i="7"/>
  <c r="V547" i="7"/>
  <c r="V546" i="7"/>
  <c r="V545" i="7"/>
  <c r="V544" i="7"/>
  <c r="V543" i="7"/>
  <c r="V542" i="7"/>
  <c r="V541" i="7"/>
  <c r="V540" i="7"/>
  <c r="V539" i="7"/>
  <c r="V538" i="7"/>
  <c r="V537" i="7"/>
  <c r="V536" i="7"/>
  <c r="Y535" i="7"/>
  <c r="X535" i="7"/>
  <c r="V535" i="7"/>
  <c r="G535" i="7"/>
  <c r="I518" i="7" s="1"/>
  <c r="Y534" i="7"/>
  <c r="X534" i="7"/>
  <c r="W534" i="7"/>
  <c r="V534" i="7"/>
  <c r="G534" i="7"/>
  <c r="K519" i="7" s="1"/>
  <c r="J519" i="7" s="1"/>
  <c r="V533" i="7"/>
  <c r="V532" i="7"/>
  <c r="AG531" i="7"/>
  <c r="AF531" i="7"/>
  <c r="AE531" i="7"/>
  <c r="AD531" i="7"/>
  <c r="AC531" i="7"/>
  <c r="AB531" i="7"/>
  <c r="AA531" i="7"/>
  <c r="Z531" i="7"/>
  <c r="Y531" i="7"/>
  <c r="X531" i="7"/>
  <c r="W531" i="7"/>
  <c r="V519" i="7"/>
  <c r="M519" i="7"/>
  <c r="X383" i="15" s="1"/>
  <c r="Z383" i="15" s="1"/>
  <c r="H519" i="7"/>
  <c r="V518" i="7"/>
  <c r="M518" i="7"/>
  <c r="BC518" i="7" s="1"/>
  <c r="H518" i="7"/>
  <c r="V517" i="7"/>
  <c r="M517" i="7"/>
  <c r="H517" i="7"/>
  <c r="BE516" i="7"/>
  <c r="BD516" i="7"/>
  <c r="BC516" i="7"/>
  <c r="BB516" i="7"/>
  <c r="AG516" i="7"/>
  <c r="AF516" i="7"/>
  <c r="AE516" i="7"/>
  <c r="AD516" i="7"/>
  <c r="AC516" i="7"/>
  <c r="AB516" i="7"/>
  <c r="AA516" i="7"/>
  <c r="Z516" i="7"/>
  <c r="Y516" i="7"/>
  <c r="X516" i="7"/>
  <c r="W516" i="7"/>
  <c r="V514" i="7"/>
  <c r="V509" i="7"/>
  <c r="AG498" i="7"/>
  <c r="AF498" i="7"/>
  <c r="AE498" i="7"/>
  <c r="AD498" i="7"/>
  <c r="AC498" i="7"/>
  <c r="AB498" i="7"/>
  <c r="AA498" i="7"/>
  <c r="Z498" i="7"/>
  <c r="Y498" i="7"/>
  <c r="X498" i="7"/>
  <c r="W498" i="7"/>
  <c r="L488" i="7"/>
  <c r="X380" i="15" s="1"/>
  <c r="Z380" i="15" s="1"/>
  <c r="J488" i="7"/>
  <c r="I488" i="7"/>
  <c r="H488" i="7"/>
  <c r="E488" i="7"/>
  <c r="G380" i="15" s="1"/>
  <c r="V487" i="7"/>
  <c r="V488" i="7" s="1"/>
  <c r="M487" i="7"/>
  <c r="L487" i="7"/>
  <c r="BC487" i="7" s="1"/>
  <c r="J487" i="7"/>
  <c r="I487" i="7"/>
  <c r="H487" i="7"/>
  <c r="BE486" i="7"/>
  <c r="BD486" i="7"/>
  <c r="BC486" i="7"/>
  <c r="BB486" i="7"/>
  <c r="AG486" i="7"/>
  <c r="AF486" i="7"/>
  <c r="AE486" i="7"/>
  <c r="AD486" i="7"/>
  <c r="AC486" i="7"/>
  <c r="AB486" i="7"/>
  <c r="Z486" i="7"/>
  <c r="Y486" i="7"/>
  <c r="X486" i="7"/>
  <c r="W486" i="7"/>
  <c r="V484" i="7"/>
  <c r="F481" i="7"/>
  <c r="M446" i="7" s="1"/>
  <c r="E481" i="7"/>
  <c r="E511" i="7" s="1"/>
  <c r="E552" i="7" s="1"/>
  <c r="E591" i="7" s="1"/>
  <c r="E750" i="7" s="1"/>
  <c r="E791" i="7" s="1"/>
  <c r="E873" i="7" s="1"/>
  <c r="E1025" i="7" s="1"/>
  <c r="D481" i="7"/>
  <c r="V481" i="7" s="1"/>
  <c r="E480" i="7"/>
  <c r="E510" i="7" s="1"/>
  <c r="E551" i="7" s="1"/>
  <c r="E590" i="7" s="1"/>
  <c r="E749" i="7" s="1"/>
  <c r="E790" i="7" s="1"/>
  <c r="E872" i="7" s="1"/>
  <c r="D480" i="7"/>
  <c r="V480" i="7" s="1"/>
  <c r="V479" i="7"/>
  <c r="V478" i="7"/>
  <c r="E477" i="7"/>
  <c r="E476" i="7"/>
  <c r="V475" i="7"/>
  <c r="E475" i="7"/>
  <c r="E474" i="7"/>
  <c r="F473" i="7"/>
  <c r="E473" i="7"/>
  <c r="V472" i="7"/>
  <c r="E472" i="7"/>
  <c r="V471" i="7"/>
  <c r="E470" i="7"/>
  <c r="F469" i="7"/>
  <c r="E469" i="7"/>
  <c r="V468" i="7"/>
  <c r="E468" i="7"/>
  <c r="V467" i="7"/>
  <c r="W466" i="7"/>
  <c r="V466" i="7"/>
  <c r="V465" i="7"/>
  <c r="V463" i="7"/>
  <c r="AG462" i="7"/>
  <c r="AF462" i="7"/>
  <c r="AE462" i="7"/>
  <c r="AD462" i="7"/>
  <c r="AC462" i="7"/>
  <c r="AB462" i="7"/>
  <c r="AA462" i="7"/>
  <c r="Z462" i="7"/>
  <c r="Y462" i="7"/>
  <c r="X462" i="7"/>
  <c r="W462" i="7"/>
  <c r="V448" i="7"/>
  <c r="N448" i="7"/>
  <c r="L448" i="7"/>
  <c r="BC448" i="7" s="1"/>
  <c r="J448" i="7"/>
  <c r="I448" i="7"/>
  <c r="H448" i="7"/>
  <c r="V447" i="7"/>
  <c r="N447" i="7"/>
  <c r="L447" i="7"/>
  <c r="BC447" i="7" s="1"/>
  <c r="J447" i="7"/>
  <c r="H447" i="7"/>
  <c r="V446" i="7"/>
  <c r="N446" i="7"/>
  <c r="L446" i="7"/>
  <c r="BC446" i="7" s="1"/>
  <c r="J446" i="7"/>
  <c r="H446" i="7"/>
  <c r="BE445" i="7"/>
  <c r="BD445" i="7"/>
  <c r="BC445" i="7"/>
  <c r="BB445" i="7"/>
  <c r="AG445" i="7"/>
  <c r="AF445" i="7"/>
  <c r="AE445" i="7"/>
  <c r="AD445" i="7"/>
  <c r="AC445" i="7"/>
  <c r="AB445" i="7"/>
  <c r="AA445" i="7"/>
  <c r="Z445" i="7"/>
  <c r="Y445" i="7"/>
  <c r="X445" i="7"/>
  <c r="W445" i="7"/>
  <c r="V443" i="7"/>
  <c r="F440" i="7"/>
  <c r="M152" i="7" s="1"/>
  <c r="BE152" i="7" s="1"/>
  <c r="F439" i="7"/>
  <c r="M151" i="7" s="1"/>
  <c r="BE151" i="7" s="1"/>
  <c r="F438" i="7"/>
  <c r="M150" i="7" s="1"/>
  <c r="BE150" i="7" s="1"/>
  <c r="I437" i="7"/>
  <c r="F437" i="7"/>
  <c r="M149" i="7" s="1"/>
  <c r="BE149" i="7" s="1"/>
  <c r="I436" i="7"/>
  <c r="F436" i="7"/>
  <c r="M148" i="7" s="1"/>
  <c r="BE148" i="7" s="1"/>
  <c r="I435" i="7"/>
  <c r="F435" i="7"/>
  <c r="M147" i="7" s="1"/>
  <c r="BE147" i="7" s="1"/>
  <c r="F434" i="7"/>
  <c r="M146" i="7" s="1"/>
  <c r="BE146" i="7" s="1"/>
  <c r="F433" i="7"/>
  <c r="M145" i="7" s="1"/>
  <c r="F432" i="7"/>
  <c r="M144" i="7" s="1"/>
  <c r="BE144" i="7" s="1"/>
  <c r="I431" i="7"/>
  <c r="F431" i="7"/>
  <c r="M143" i="7" s="1"/>
  <c r="I430" i="7"/>
  <c r="F430" i="7"/>
  <c r="M142" i="7" s="1"/>
  <c r="BE142" i="7" s="1"/>
  <c r="I429" i="7"/>
  <c r="F429" i="7"/>
  <c r="M141" i="7" s="1"/>
  <c r="F428" i="7"/>
  <c r="M140" i="7" s="1"/>
  <c r="BE140" i="7" s="1"/>
  <c r="F427" i="7"/>
  <c r="M139" i="7" s="1"/>
  <c r="BE139" i="7" s="1"/>
  <c r="F426" i="7"/>
  <c r="M138" i="7" s="1"/>
  <c r="BE138" i="7" s="1"/>
  <c r="I425" i="7"/>
  <c r="F425" i="7"/>
  <c r="M137" i="7" s="1"/>
  <c r="BE137" i="7" s="1"/>
  <c r="I424" i="7"/>
  <c r="F424" i="7"/>
  <c r="M136" i="7" s="1"/>
  <c r="BE136" i="7" s="1"/>
  <c r="I423" i="7"/>
  <c r="F423" i="7"/>
  <c r="M135" i="7" s="1"/>
  <c r="BE135" i="7" s="1"/>
  <c r="F422" i="7"/>
  <c r="M134" i="7" s="1"/>
  <c r="BE134" i="7" s="1"/>
  <c r="F421" i="7"/>
  <c r="M133" i="7" s="1"/>
  <c r="BE133" i="7" s="1"/>
  <c r="F420" i="7"/>
  <c r="M132" i="7" s="1"/>
  <c r="I419" i="7"/>
  <c r="F419" i="7"/>
  <c r="M131" i="7" s="1"/>
  <c r="I418" i="7"/>
  <c r="F418" i="7"/>
  <c r="M130" i="7" s="1"/>
  <c r="BE130" i="7" s="1"/>
  <c r="I417" i="7"/>
  <c r="F417" i="7"/>
  <c r="M129" i="7" s="1"/>
  <c r="BE129" i="7" s="1"/>
  <c r="F416" i="7"/>
  <c r="M128" i="7" s="1"/>
  <c r="BE128" i="7" s="1"/>
  <c r="F415" i="7"/>
  <c r="M127" i="7" s="1"/>
  <c r="BE127" i="7" s="1"/>
  <c r="F414" i="7"/>
  <c r="M126" i="7" s="1"/>
  <c r="BE126" i="7" s="1"/>
  <c r="I413" i="7"/>
  <c r="F413" i="7"/>
  <c r="M125" i="7" s="1"/>
  <c r="BE125" i="7" s="1"/>
  <c r="I412" i="7"/>
  <c r="F412" i="7"/>
  <c r="M124" i="7" s="1"/>
  <c r="BE124" i="7" s="1"/>
  <c r="I411" i="7"/>
  <c r="F411" i="7"/>
  <c r="M123" i="7" s="1"/>
  <c r="BE123" i="7" s="1"/>
  <c r="V380" i="7"/>
  <c r="V350" i="7"/>
  <c r="V349" i="7"/>
  <c r="V348" i="7"/>
  <c r="V347" i="7"/>
  <c r="W346" i="7"/>
  <c r="F346" i="7"/>
  <c r="I152" i="7" s="1"/>
  <c r="W344" i="7"/>
  <c r="F344" i="7"/>
  <c r="I150" i="7" s="1"/>
  <c r="F343" i="7"/>
  <c r="I149" i="7" s="1"/>
  <c r="F341" i="7"/>
  <c r="I147" i="7" s="1"/>
  <c r="W340" i="7"/>
  <c r="F340" i="7"/>
  <c r="I146" i="7" s="1"/>
  <c r="W338" i="7"/>
  <c r="F338" i="7"/>
  <c r="I144" i="7" s="1"/>
  <c r="F337" i="7"/>
  <c r="I143" i="7" s="1"/>
  <c r="F335" i="7"/>
  <c r="I141" i="7" s="1"/>
  <c r="W334" i="7"/>
  <c r="F334" i="7"/>
  <c r="I140" i="7" s="1"/>
  <c r="W332" i="7"/>
  <c r="F332" i="7"/>
  <c r="I138" i="7" s="1"/>
  <c r="F331" i="7"/>
  <c r="I137" i="7" s="1"/>
  <c r="F329" i="7"/>
  <c r="I135" i="7" s="1"/>
  <c r="W328" i="7"/>
  <c r="F328" i="7"/>
  <c r="I134" i="7" s="1"/>
  <c r="W326" i="7"/>
  <c r="F326" i="7"/>
  <c r="I132" i="7" s="1"/>
  <c r="F325" i="7"/>
  <c r="I131" i="7" s="1"/>
  <c r="F323" i="7"/>
  <c r="I129" i="7" s="1"/>
  <c r="W322" i="7"/>
  <c r="F322" i="7"/>
  <c r="I128" i="7" s="1"/>
  <c r="W320" i="7"/>
  <c r="F320" i="7"/>
  <c r="I126" i="7" s="1"/>
  <c r="F319" i="7"/>
  <c r="I125" i="7" s="1"/>
  <c r="V317" i="7"/>
  <c r="F317" i="7"/>
  <c r="I123" i="7" s="1"/>
  <c r="W315" i="7"/>
  <c r="W345" i="7" s="1"/>
  <c r="F315" i="7"/>
  <c r="F345" i="7" s="1"/>
  <c r="I151" i="7" s="1"/>
  <c r="W312" i="7"/>
  <c r="F312" i="7"/>
  <c r="F342" i="7" s="1"/>
  <c r="I148" i="7" s="1"/>
  <c r="W309" i="7"/>
  <c r="W339" i="7" s="1"/>
  <c r="F309" i="7"/>
  <c r="F339" i="7" s="1"/>
  <c r="I145" i="7" s="1"/>
  <c r="W306" i="7"/>
  <c r="F306" i="7"/>
  <c r="F336" i="7" s="1"/>
  <c r="I142" i="7" s="1"/>
  <c r="W303" i="7"/>
  <c r="W333" i="7" s="1"/>
  <c r="F303" i="7"/>
  <c r="F333" i="7" s="1"/>
  <c r="I139" i="7" s="1"/>
  <c r="W300" i="7"/>
  <c r="F300" i="7"/>
  <c r="F330" i="7" s="1"/>
  <c r="I136" i="7" s="1"/>
  <c r="W297" i="7"/>
  <c r="W327" i="7" s="1"/>
  <c r="F297" i="7"/>
  <c r="F327" i="7" s="1"/>
  <c r="I133" i="7" s="1"/>
  <c r="W294" i="7"/>
  <c r="F294" i="7"/>
  <c r="F324" i="7" s="1"/>
  <c r="I130" i="7" s="1"/>
  <c r="W291" i="7"/>
  <c r="W321" i="7" s="1"/>
  <c r="F291" i="7"/>
  <c r="F321" i="7" s="1"/>
  <c r="W288" i="7"/>
  <c r="F288" i="7"/>
  <c r="F318" i="7" s="1"/>
  <c r="V287" i="7"/>
  <c r="V286" i="7"/>
  <c r="V285" i="7"/>
  <c r="V284" i="7"/>
  <c r="W280" i="7"/>
  <c r="W343" i="7" s="1"/>
  <c r="W279" i="7"/>
  <c r="W278" i="7"/>
  <c r="W341" i="7" s="1"/>
  <c r="W274" i="7"/>
  <c r="W337" i="7" s="1"/>
  <c r="W273" i="7"/>
  <c r="W272" i="7"/>
  <c r="W335" i="7" s="1"/>
  <c r="W268" i="7"/>
  <c r="W331" i="7" s="1"/>
  <c r="W267" i="7"/>
  <c r="W266" i="7"/>
  <c r="W329" i="7" s="1"/>
  <c r="W262" i="7"/>
  <c r="W325" i="7" s="1"/>
  <c r="W261" i="7"/>
  <c r="W260" i="7"/>
  <c r="W323" i="7" s="1"/>
  <c r="W256" i="7"/>
  <c r="W319" i="7" s="1"/>
  <c r="W255" i="7"/>
  <c r="W254" i="7"/>
  <c r="W317" i="7" s="1"/>
  <c r="V254" i="7"/>
  <c r="V224" i="7"/>
  <c r="V194" i="7"/>
  <c r="V164" i="7"/>
  <c r="AG163" i="7"/>
  <c r="AF163" i="7"/>
  <c r="AE163" i="7"/>
  <c r="AD163" i="7"/>
  <c r="AC163" i="7"/>
  <c r="AB163" i="7"/>
  <c r="AA163" i="7"/>
  <c r="Z163" i="7"/>
  <c r="Y163" i="7"/>
  <c r="X163" i="7"/>
  <c r="W163" i="7"/>
  <c r="V152" i="7"/>
  <c r="N152" i="7"/>
  <c r="L152" i="7"/>
  <c r="BC152" i="7" s="1"/>
  <c r="J152" i="7"/>
  <c r="H152" i="7"/>
  <c r="V151" i="7"/>
  <c r="N151" i="7"/>
  <c r="L151" i="7"/>
  <c r="BC151" i="7" s="1"/>
  <c r="J151" i="7"/>
  <c r="H151" i="7"/>
  <c r="V150" i="7"/>
  <c r="N150" i="7"/>
  <c r="L150" i="7"/>
  <c r="BC150" i="7" s="1"/>
  <c r="J150" i="7"/>
  <c r="H150" i="7"/>
  <c r="V149" i="7"/>
  <c r="N149" i="7"/>
  <c r="L149" i="7"/>
  <c r="X369" i="15" s="1"/>
  <c r="Z369" i="15" s="1"/>
  <c r="J149" i="7"/>
  <c r="H149" i="7"/>
  <c r="V148" i="7"/>
  <c r="N148" i="7"/>
  <c r="L148" i="7"/>
  <c r="X368" i="15" s="1"/>
  <c r="Z368" i="15" s="1"/>
  <c r="J148" i="7"/>
  <c r="H148" i="7"/>
  <c r="V147" i="7"/>
  <c r="N147" i="7"/>
  <c r="L147" i="7"/>
  <c r="BC147" i="7" s="1"/>
  <c r="J147" i="7"/>
  <c r="H147" i="7"/>
  <c r="V146" i="7"/>
  <c r="N146" i="7"/>
  <c r="L146" i="7"/>
  <c r="BC146" i="7" s="1"/>
  <c r="J146" i="7"/>
  <c r="H146" i="7"/>
  <c r="V145" i="7"/>
  <c r="N145" i="7"/>
  <c r="L145" i="7"/>
  <c r="BC145" i="7" s="1"/>
  <c r="J145" i="7"/>
  <c r="H145" i="7"/>
  <c r="V144" i="7"/>
  <c r="N144" i="7"/>
  <c r="L144" i="7"/>
  <c r="BC144" i="7" s="1"/>
  <c r="J144" i="7"/>
  <c r="H144" i="7"/>
  <c r="V143" i="7"/>
  <c r="N143" i="7"/>
  <c r="L143" i="7"/>
  <c r="X363" i="15" s="1"/>
  <c r="Z363" i="15" s="1"/>
  <c r="J143" i="7"/>
  <c r="H143" i="7"/>
  <c r="V142" i="7"/>
  <c r="N142" i="7"/>
  <c r="L142" i="7"/>
  <c r="X362" i="15" s="1"/>
  <c r="Z362" i="15" s="1"/>
  <c r="J142" i="7"/>
  <c r="H142" i="7"/>
  <c r="V141" i="7"/>
  <c r="N141" i="7"/>
  <c r="L141" i="7"/>
  <c r="X361" i="15" s="1"/>
  <c r="Z361" i="15" s="1"/>
  <c r="J141" i="7"/>
  <c r="H141" i="7"/>
  <c r="V140" i="7"/>
  <c r="N140" i="7"/>
  <c r="L140" i="7"/>
  <c r="BC140" i="7" s="1"/>
  <c r="J140" i="7"/>
  <c r="H140" i="7"/>
  <c r="V139" i="7"/>
  <c r="N139" i="7"/>
  <c r="L139" i="7"/>
  <c r="BC139" i="7" s="1"/>
  <c r="J139" i="7"/>
  <c r="H139" i="7"/>
  <c r="V138" i="7"/>
  <c r="N138" i="7"/>
  <c r="L138" i="7"/>
  <c r="BC138" i="7" s="1"/>
  <c r="J138" i="7"/>
  <c r="H138" i="7"/>
  <c r="V137" i="7"/>
  <c r="N137" i="7"/>
  <c r="L137" i="7"/>
  <c r="BC137" i="7" s="1"/>
  <c r="J137" i="7"/>
  <c r="H137" i="7"/>
  <c r="V136" i="7"/>
  <c r="N136" i="7"/>
  <c r="L136" i="7"/>
  <c r="BC136" i="7" s="1"/>
  <c r="J136" i="7"/>
  <c r="H136" i="7"/>
  <c r="V135" i="7"/>
  <c r="N135" i="7"/>
  <c r="L135" i="7"/>
  <c r="BC135" i="7" s="1"/>
  <c r="J135" i="7"/>
  <c r="H135" i="7"/>
  <c r="V134" i="7"/>
  <c r="N134" i="7"/>
  <c r="L134" i="7"/>
  <c r="BC134" i="7" s="1"/>
  <c r="J134" i="7"/>
  <c r="H134" i="7"/>
  <c r="V133" i="7"/>
  <c r="N133" i="7"/>
  <c r="L133" i="7"/>
  <c r="X353" i="15" s="1"/>
  <c r="Z353" i="15" s="1"/>
  <c r="J133" i="7"/>
  <c r="H133" i="7"/>
  <c r="V132" i="7"/>
  <c r="N132" i="7"/>
  <c r="L132" i="7"/>
  <c r="BC132" i="7" s="1"/>
  <c r="J132" i="7"/>
  <c r="H132" i="7"/>
  <c r="V131" i="7"/>
  <c r="N131" i="7"/>
  <c r="L131" i="7"/>
  <c r="X351" i="15" s="1"/>
  <c r="Z351" i="15" s="1"/>
  <c r="J131" i="7"/>
  <c r="H131" i="7"/>
  <c r="V130" i="7"/>
  <c r="N130" i="7"/>
  <c r="L130" i="7"/>
  <c r="X350" i="15" s="1"/>
  <c r="Z350" i="15" s="1"/>
  <c r="J130" i="7"/>
  <c r="H130" i="7"/>
  <c r="V129" i="7"/>
  <c r="N129" i="7"/>
  <c r="L129" i="7"/>
  <c r="BC129" i="7" s="1"/>
  <c r="J129" i="7"/>
  <c r="H129" i="7"/>
  <c r="V128" i="7"/>
  <c r="N128" i="7"/>
  <c r="L128" i="7"/>
  <c r="BC128" i="7" s="1"/>
  <c r="J128" i="7"/>
  <c r="H128" i="7"/>
  <c r="V127" i="7"/>
  <c r="N127" i="7"/>
  <c r="L127" i="7"/>
  <c r="BC127" i="7" s="1"/>
  <c r="J127" i="7"/>
  <c r="H127" i="7"/>
  <c r="V126" i="7"/>
  <c r="N126" i="7"/>
  <c r="L126" i="7"/>
  <c r="X346" i="15" s="1"/>
  <c r="Z346" i="15" s="1"/>
  <c r="J126" i="7"/>
  <c r="H126" i="7"/>
  <c r="V125" i="7"/>
  <c r="N125" i="7"/>
  <c r="L125" i="7"/>
  <c r="BC125" i="7" s="1"/>
  <c r="J125" i="7"/>
  <c r="H125" i="7"/>
  <c r="V124" i="7"/>
  <c r="N124" i="7"/>
  <c r="L124" i="7"/>
  <c r="BC124" i="7" s="1"/>
  <c r="J124" i="7"/>
  <c r="H124" i="7"/>
  <c r="V123" i="7"/>
  <c r="N123" i="7"/>
  <c r="L123" i="7"/>
  <c r="X343" i="15" s="1"/>
  <c r="Z343" i="15" s="1"/>
  <c r="J123" i="7"/>
  <c r="H123" i="7"/>
  <c r="BE122" i="7"/>
  <c r="BD122" i="7"/>
  <c r="BC122" i="7"/>
  <c r="BB122" i="7"/>
  <c r="AG122" i="7"/>
  <c r="AF122" i="7"/>
  <c r="AE122" i="7"/>
  <c r="AD122" i="7"/>
  <c r="AC122" i="7"/>
  <c r="AB122" i="7"/>
  <c r="AA122" i="7"/>
  <c r="Z122" i="7"/>
  <c r="Y122" i="7"/>
  <c r="X122" i="7"/>
  <c r="W122" i="7"/>
  <c r="V120" i="7"/>
  <c r="F117" i="7"/>
  <c r="F116" i="7"/>
  <c r="F115" i="7"/>
  <c r="F114" i="7"/>
  <c r="F113" i="7"/>
  <c r="F112" i="7"/>
  <c r="F111" i="7"/>
  <c r="F110" i="7"/>
  <c r="D110" i="7"/>
  <c r="V110" i="7" s="1"/>
  <c r="D109" i="7"/>
  <c r="V109" i="7" s="1"/>
  <c r="V108" i="7"/>
  <c r="V107" i="7"/>
  <c r="F97" i="7"/>
  <c r="F98" i="7" s="1"/>
  <c r="J66" i="7" s="1"/>
  <c r="F94" i="7"/>
  <c r="J62" i="7" s="1"/>
  <c r="V91" i="7"/>
  <c r="W88" i="7"/>
  <c r="W535" i="7" s="1"/>
  <c r="W84" i="7"/>
  <c r="W83" i="7"/>
  <c r="V83" i="7"/>
  <c r="E82" i="7"/>
  <c r="E90" i="7" s="1"/>
  <c r="E98" i="7" s="1"/>
  <c r="E106" i="7" s="1"/>
  <c r="E81" i="7"/>
  <c r="E89" i="7" s="1"/>
  <c r="E97" i="7" s="1"/>
  <c r="E80" i="7"/>
  <c r="E88" i="7" s="1"/>
  <c r="E96" i="7" s="1"/>
  <c r="E104" i="7" s="1"/>
  <c r="E79" i="7"/>
  <c r="E87" i="7" s="1"/>
  <c r="E95" i="7" s="1"/>
  <c r="E114" i="7" s="1"/>
  <c r="E78" i="7"/>
  <c r="E86" i="7" s="1"/>
  <c r="E94" i="7" s="1"/>
  <c r="E102" i="7" s="1"/>
  <c r="E77" i="7"/>
  <c r="E85" i="7" s="1"/>
  <c r="E93" i="7" s="1"/>
  <c r="E112" i="7" s="1"/>
  <c r="E76" i="7"/>
  <c r="E84" i="7" s="1"/>
  <c r="E92" i="7" s="1"/>
  <c r="E100" i="7" s="1"/>
  <c r="V75" i="7"/>
  <c r="E75" i="7"/>
  <c r="E83" i="7" s="1"/>
  <c r="E91" i="7" s="1"/>
  <c r="E99" i="7" s="1"/>
  <c r="AG74" i="7"/>
  <c r="AF74" i="7"/>
  <c r="AE74" i="7"/>
  <c r="AD74" i="7"/>
  <c r="AC74" i="7"/>
  <c r="AB74" i="7"/>
  <c r="AA74" i="7"/>
  <c r="Y74" i="7"/>
  <c r="X74" i="7"/>
  <c r="W74" i="7"/>
  <c r="N66" i="7"/>
  <c r="M66" i="7"/>
  <c r="BE66" i="7" s="1"/>
  <c r="L66" i="7"/>
  <c r="I66" i="7"/>
  <c r="H66" i="7"/>
  <c r="N65" i="7"/>
  <c r="M65" i="7"/>
  <c r="BE65" i="7" s="1"/>
  <c r="L65" i="7"/>
  <c r="I65" i="7"/>
  <c r="H65" i="7"/>
  <c r="N64" i="7"/>
  <c r="M64" i="7"/>
  <c r="BE64" i="7" s="1"/>
  <c r="L64" i="7"/>
  <c r="BC64" i="7" s="1"/>
  <c r="J64" i="7"/>
  <c r="I64" i="7"/>
  <c r="H64" i="7"/>
  <c r="N63" i="7"/>
  <c r="M63" i="7"/>
  <c r="BE63" i="7" s="1"/>
  <c r="L63" i="7"/>
  <c r="X339" i="15" s="1"/>
  <c r="Z339" i="15" s="1"/>
  <c r="J63" i="7"/>
  <c r="I63" i="7"/>
  <c r="H63" i="7"/>
  <c r="N62" i="7"/>
  <c r="M62" i="7"/>
  <c r="BE62" i="7" s="1"/>
  <c r="L62" i="7"/>
  <c r="X338" i="15" s="1"/>
  <c r="Z338" i="15" s="1"/>
  <c r="I62" i="7"/>
  <c r="H62" i="7"/>
  <c r="N61" i="7"/>
  <c r="M61" i="7"/>
  <c r="L61" i="7"/>
  <c r="X337" i="15" s="1"/>
  <c r="Z337" i="15" s="1"/>
  <c r="J61" i="7"/>
  <c r="I61" i="7"/>
  <c r="H61" i="7"/>
  <c r="N60" i="7"/>
  <c r="M60" i="7"/>
  <c r="BE60" i="7" s="1"/>
  <c r="L60" i="7"/>
  <c r="BC60" i="7" s="1"/>
  <c r="J60" i="7"/>
  <c r="I60" i="7"/>
  <c r="H60" i="7"/>
  <c r="V59" i="7"/>
  <c r="N59" i="7"/>
  <c r="M59" i="7"/>
  <c r="L59" i="7"/>
  <c r="BC59" i="7" s="1"/>
  <c r="J59" i="7"/>
  <c r="I59" i="7"/>
  <c r="H59" i="7"/>
  <c r="BE58" i="7"/>
  <c r="BD58" i="7"/>
  <c r="BC58" i="7"/>
  <c r="BB58" i="7"/>
  <c r="AG58" i="7"/>
  <c r="AF58" i="7"/>
  <c r="AE58" i="7"/>
  <c r="AD58" i="7"/>
  <c r="AC58" i="7"/>
  <c r="AB58" i="7"/>
  <c r="AA58" i="7"/>
  <c r="Z58" i="7"/>
  <c r="Y58" i="7"/>
  <c r="X58" i="7"/>
  <c r="W58" i="7"/>
  <c r="V56" i="7"/>
  <c r="F51" i="7"/>
  <c r="F50" i="7"/>
  <c r="F49" i="7"/>
  <c r="F48" i="7"/>
  <c r="F47" i="7"/>
  <c r="F46" i="7"/>
  <c r="F45" i="7"/>
  <c r="F44" i="7"/>
  <c r="D44" i="7"/>
  <c r="D43" i="7"/>
  <c r="D410" i="7" s="1"/>
  <c r="V410" i="7" s="1"/>
  <c r="V42" i="7"/>
  <c r="Y40" i="7"/>
  <c r="X40" i="7"/>
  <c r="G40" i="7"/>
  <c r="Y39" i="7"/>
  <c r="X39" i="7"/>
  <c r="G39" i="7"/>
  <c r="F13" i="7" s="1"/>
  <c r="Y38" i="7"/>
  <c r="X38" i="7"/>
  <c r="G38" i="7"/>
  <c r="F11" i="7" s="1"/>
  <c r="AC11" i="7" s="1"/>
  <c r="Y37" i="7"/>
  <c r="X37" i="7"/>
  <c r="V37" i="7"/>
  <c r="G37" i="7"/>
  <c r="F7" i="7" s="1"/>
  <c r="AC7" i="7" s="1"/>
  <c r="V32" i="7"/>
  <c r="V30" i="7"/>
  <c r="V28" i="7"/>
  <c r="AG27" i="7"/>
  <c r="AF27" i="7"/>
  <c r="AE27" i="7"/>
  <c r="AD27" i="7"/>
  <c r="AC27" i="7"/>
  <c r="AB27" i="7"/>
  <c r="AA27" i="7"/>
  <c r="Z27" i="7"/>
  <c r="Y27" i="7"/>
  <c r="X27" i="7"/>
  <c r="W27" i="7"/>
  <c r="J18" i="7"/>
  <c r="BC18" i="7" s="1"/>
  <c r="H18" i="7"/>
  <c r="E18" i="7"/>
  <c r="G331" i="15" s="1"/>
  <c r="K17" i="7"/>
  <c r="BE17" i="7" s="1"/>
  <c r="J17" i="7"/>
  <c r="X330" i="15" s="1"/>
  <c r="Z330" i="15" s="1"/>
  <c r="H17" i="7"/>
  <c r="K16" i="7"/>
  <c r="J16" i="7"/>
  <c r="X329" i="15" s="1"/>
  <c r="Z329" i="15" s="1"/>
  <c r="H16" i="7"/>
  <c r="J15" i="7"/>
  <c r="BC15" i="7" s="1"/>
  <c r="H15" i="7"/>
  <c r="E15" i="7"/>
  <c r="G328" i="15" s="1"/>
  <c r="K14" i="7"/>
  <c r="BE14" i="7" s="1"/>
  <c r="J14" i="7"/>
  <c r="BC14" i="7" s="1"/>
  <c r="H14" i="7"/>
  <c r="K13" i="7"/>
  <c r="BE13" i="7" s="1"/>
  <c r="J13" i="7"/>
  <c r="BC13" i="7" s="1"/>
  <c r="H13" i="7"/>
  <c r="J12" i="7"/>
  <c r="BC12" i="7" s="1"/>
  <c r="H12" i="7"/>
  <c r="E12" i="7"/>
  <c r="G325" i="15" s="1"/>
  <c r="K11" i="7"/>
  <c r="BE11" i="7" s="1"/>
  <c r="J11" i="7"/>
  <c r="BC11" i="7" s="1"/>
  <c r="H11" i="7"/>
  <c r="K10" i="7"/>
  <c r="BE10" i="7" s="1"/>
  <c r="J10" i="7"/>
  <c r="BC10" i="7" s="1"/>
  <c r="H10" i="7"/>
  <c r="J9" i="7"/>
  <c r="X322" i="15" s="1"/>
  <c r="Z322" i="15" s="1"/>
  <c r="H9" i="7"/>
  <c r="E9" i="7"/>
  <c r="G322" i="15" s="1"/>
  <c r="K8" i="7"/>
  <c r="BE8" i="7" s="1"/>
  <c r="J8" i="7"/>
  <c r="X321" i="15" s="1"/>
  <c r="Z321" i="15" s="1"/>
  <c r="H8" i="7"/>
  <c r="K7" i="7"/>
  <c r="BE7" i="7" s="1"/>
  <c r="J7" i="7"/>
  <c r="BC7" i="7" s="1"/>
  <c r="H7" i="7"/>
  <c r="V4" i="7"/>
  <c r="M4230" i="6"/>
  <c r="L4230" i="6"/>
  <c r="J4230" i="6"/>
  <c r="J4229" i="6"/>
  <c r="M4226" i="6"/>
  <c r="L4226" i="6"/>
  <c r="J4226" i="6"/>
  <c r="J4225" i="6"/>
  <c r="M4222" i="6"/>
  <c r="L4222" i="6"/>
  <c r="J4222" i="6"/>
  <c r="J4221" i="6"/>
  <c r="M4218" i="6"/>
  <c r="L4218" i="6"/>
  <c r="J4218" i="6"/>
  <c r="J4217" i="6"/>
  <c r="M4214" i="6"/>
  <c r="L4214" i="6"/>
  <c r="J4214" i="6"/>
  <c r="X4213" i="6"/>
  <c r="K4213" i="6"/>
  <c r="K1761" i="6" s="1"/>
  <c r="BE1761" i="6" s="1"/>
  <c r="J4213" i="6"/>
  <c r="M4208" i="6"/>
  <c r="L4208" i="6"/>
  <c r="J4208" i="6"/>
  <c r="M4207" i="6"/>
  <c r="L4207" i="6"/>
  <c r="J4207" i="6"/>
  <c r="M4206" i="6"/>
  <c r="L4206" i="6"/>
  <c r="J4206" i="6"/>
  <c r="J4205" i="6"/>
  <c r="M4198" i="6"/>
  <c r="L4198" i="6"/>
  <c r="J4198" i="6"/>
  <c r="J4197" i="6"/>
  <c r="M4196" i="6"/>
  <c r="L4196" i="6"/>
  <c r="J4196" i="6"/>
  <c r="J4195" i="6"/>
  <c r="M4194" i="6"/>
  <c r="L4194" i="6"/>
  <c r="J4194" i="6"/>
  <c r="M4193" i="6"/>
  <c r="L4193" i="6"/>
  <c r="J4193" i="6"/>
  <c r="M4192" i="6"/>
  <c r="L4192" i="6"/>
  <c r="J4192" i="6"/>
  <c r="J4191" i="6"/>
  <c r="M4186" i="6"/>
  <c r="L4186" i="6"/>
  <c r="J4186" i="6"/>
  <c r="M4185" i="6"/>
  <c r="L4185" i="6"/>
  <c r="J4185" i="6"/>
  <c r="M4184" i="6"/>
  <c r="L4184" i="6"/>
  <c r="J4184" i="6"/>
  <c r="J4183" i="6"/>
  <c r="M4170" i="6"/>
  <c r="L4170" i="6"/>
  <c r="J4170" i="6"/>
  <c r="M4169" i="6"/>
  <c r="L4169" i="6"/>
  <c r="J4169" i="6"/>
  <c r="M4168" i="6"/>
  <c r="L4168" i="6"/>
  <c r="J4168" i="6"/>
  <c r="J4167" i="6"/>
  <c r="M4166" i="6"/>
  <c r="L4166" i="6"/>
  <c r="J4166" i="6"/>
  <c r="J4165" i="6"/>
  <c r="M4164" i="6"/>
  <c r="L4164" i="6"/>
  <c r="J4164" i="6"/>
  <c r="M4163" i="6"/>
  <c r="L4163" i="6"/>
  <c r="J4163" i="6"/>
  <c r="M4162" i="6"/>
  <c r="L4162" i="6"/>
  <c r="J4162" i="6"/>
  <c r="J4161" i="6"/>
  <c r="M4156" i="6"/>
  <c r="L4156" i="6"/>
  <c r="J4156" i="6"/>
  <c r="M4155" i="6"/>
  <c r="L4155" i="6"/>
  <c r="J4155" i="6"/>
  <c r="M4154" i="6"/>
  <c r="L4154" i="6"/>
  <c r="J4154" i="6"/>
  <c r="J4153" i="6"/>
  <c r="M4140" i="6"/>
  <c r="L4140" i="6"/>
  <c r="J4140" i="6"/>
  <c r="M4139" i="6"/>
  <c r="L4139" i="6"/>
  <c r="J4139" i="6"/>
  <c r="M4138" i="6"/>
  <c r="L4138" i="6"/>
  <c r="J4138" i="6"/>
  <c r="J4137" i="6"/>
  <c r="M4132" i="6"/>
  <c r="L4132" i="6"/>
  <c r="J4132" i="6"/>
  <c r="M4131" i="6"/>
  <c r="L4131" i="6"/>
  <c r="J4131" i="6"/>
  <c r="M4130" i="6"/>
  <c r="L4130" i="6"/>
  <c r="J4130" i="6"/>
  <c r="J4129" i="6"/>
  <c r="M4124" i="6"/>
  <c r="L4124" i="6"/>
  <c r="J4124" i="6"/>
  <c r="M4123" i="6"/>
  <c r="L4123" i="6"/>
  <c r="J4123" i="6"/>
  <c r="M4122" i="6"/>
  <c r="L4122" i="6"/>
  <c r="J4122" i="6"/>
  <c r="J4121" i="6"/>
  <c r="M4108" i="6"/>
  <c r="L4108" i="6"/>
  <c r="J4108" i="6"/>
  <c r="M4107" i="6"/>
  <c r="L4107" i="6"/>
  <c r="J4107" i="6"/>
  <c r="M4106" i="6"/>
  <c r="L4106" i="6"/>
  <c r="J4106" i="6"/>
  <c r="J4105" i="6"/>
  <c r="M4100" i="6"/>
  <c r="L4100" i="6"/>
  <c r="J4100" i="6"/>
  <c r="M4099" i="6"/>
  <c r="L4099" i="6"/>
  <c r="J4099" i="6"/>
  <c r="M4098" i="6"/>
  <c r="L4098" i="6"/>
  <c r="J4098" i="6"/>
  <c r="J4097" i="6"/>
  <c r="M4092" i="6"/>
  <c r="L4092" i="6"/>
  <c r="J4092" i="6"/>
  <c r="M4091" i="6"/>
  <c r="L4091" i="6"/>
  <c r="J4091" i="6"/>
  <c r="M4090" i="6"/>
  <c r="L4090" i="6"/>
  <c r="J4090" i="6"/>
  <c r="J4089" i="6"/>
  <c r="M4076" i="6"/>
  <c r="L4076" i="6"/>
  <c r="J4076" i="6"/>
  <c r="M4075" i="6"/>
  <c r="L4075" i="6"/>
  <c r="J4075" i="6"/>
  <c r="M4074" i="6"/>
  <c r="L4074" i="6"/>
  <c r="J4074" i="6"/>
  <c r="J4073" i="6"/>
  <c r="M4068" i="6"/>
  <c r="L4068" i="6"/>
  <c r="J4068" i="6"/>
  <c r="M4067" i="6"/>
  <c r="L4067" i="6"/>
  <c r="J4067" i="6"/>
  <c r="M4066" i="6"/>
  <c r="L4066" i="6"/>
  <c r="J4066" i="6"/>
  <c r="J4065" i="6"/>
  <c r="M4064" i="6"/>
  <c r="L4064" i="6"/>
  <c r="J4064" i="6"/>
  <c r="J4063" i="6"/>
  <c r="M4062" i="6"/>
  <c r="L4062" i="6"/>
  <c r="J4062" i="6"/>
  <c r="M4061" i="6"/>
  <c r="L4061" i="6"/>
  <c r="J4061" i="6"/>
  <c r="M4060" i="6"/>
  <c r="L4060" i="6"/>
  <c r="J4060" i="6"/>
  <c r="J4059" i="6"/>
  <c r="M4058" i="6"/>
  <c r="L4058" i="6"/>
  <c r="J4058" i="6"/>
  <c r="J4057" i="6"/>
  <c r="M4056" i="6"/>
  <c r="L4056" i="6"/>
  <c r="J4056" i="6"/>
  <c r="M4055" i="6"/>
  <c r="L4055" i="6"/>
  <c r="J4055" i="6"/>
  <c r="M4054" i="6"/>
  <c r="L4054" i="6"/>
  <c r="J4054" i="6"/>
  <c r="J4053" i="6"/>
  <c r="M4052" i="6"/>
  <c r="L4052" i="6"/>
  <c r="J4052" i="6"/>
  <c r="X4051" i="6"/>
  <c r="K4051" i="6"/>
  <c r="K1599" i="6" s="1"/>
  <c r="BE1599" i="6" s="1"/>
  <c r="J4051" i="6"/>
  <c r="M4050" i="6"/>
  <c r="L4050" i="6"/>
  <c r="J4050" i="6"/>
  <c r="M4049" i="6"/>
  <c r="L4049" i="6"/>
  <c r="J4049" i="6"/>
  <c r="M4048" i="6"/>
  <c r="L4048" i="6"/>
  <c r="J4048" i="6"/>
  <c r="J4047" i="6"/>
  <c r="M4040" i="6"/>
  <c r="L4040" i="6"/>
  <c r="J4040" i="6"/>
  <c r="J4039" i="6"/>
  <c r="M4038" i="6"/>
  <c r="L4038" i="6"/>
  <c r="J4038" i="6"/>
  <c r="J4037" i="6"/>
  <c r="M4024" i="6"/>
  <c r="L4024" i="6"/>
  <c r="J4024" i="6"/>
  <c r="M4023" i="6"/>
  <c r="L4023" i="6"/>
  <c r="J4023" i="6"/>
  <c r="M4022" i="6"/>
  <c r="L4022" i="6"/>
  <c r="J4022" i="6"/>
  <c r="J4021" i="6"/>
  <c r="M4016" i="6"/>
  <c r="L4016" i="6"/>
  <c r="J4016" i="6"/>
  <c r="M4015" i="6"/>
  <c r="L4015" i="6"/>
  <c r="J4015" i="6"/>
  <c r="M4014" i="6"/>
  <c r="L4014" i="6"/>
  <c r="J4014" i="6"/>
  <c r="J4013" i="6"/>
  <c r="M4006" i="6"/>
  <c r="L4006" i="6"/>
  <c r="J4006" i="6"/>
  <c r="J4005" i="6"/>
  <c r="M4004" i="6"/>
  <c r="L4004" i="6"/>
  <c r="J4004" i="6"/>
  <c r="J4003" i="6"/>
  <c r="M3998" i="6"/>
  <c r="L3998" i="6"/>
  <c r="J3998" i="6"/>
  <c r="M3997" i="6"/>
  <c r="L3997" i="6"/>
  <c r="J3997" i="6"/>
  <c r="M3996" i="6"/>
  <c r="L3996" i="6"/>
  <c r="J3996" i="6"/>
  <c r="J3995" i="6"/>
  <c r="M3988" i="6"/>
  <c r="L3988" i="6"/>
  <c r="J3988" i="6"/>
  <c r="J3987" i="6"/>
  <c r="M3986" i="6"/>
  <c r="L3986" i="6"/>
  <c r="J3986" i="6"/>
  <c r="J3985" i="6"/>
  <c r="M3978" i="6"/>
  <c r="L3978" i="6"/>
  <c r="J3978" i="6"/>
  <c r="J3977" i="6"/>
  <c r="M3976" i="6"/>
  <c r="L3976" i="6"/>
  <c r="J3976" i="6"/>
  <c r="J3975" i="6"/>
  <c r="M3968" i="6"/>
  <c r="L3968" i="6"/>
  <c r="J3968" i="6"/>
  <c r="X3967" i="6"/>
  <c r="K3967" i="6"/>
  <c r="K1515" i="6" s="1"/>
  <c r="BE1515" i="6" s="1"/>
  <c r="J3967" i="6"/>
  <c r="M3966" i="6"/>
  <c r="L3966" i="6"/>
  <c r="J3966" i="6"/>
  <c r="X3965" i="6"/>
  <c r="K3965" i="6"/>
  <c r="K1513" i="6" s="1"/>
  <c r="BE1513" i="6" s="1"/>
  <c r="J3965" i="6"/>
  <c r="M3962" i="6"/>
  <c r="L3962" i="6"/>
  <c r="J3962" i="6"/>
  <c r="X3961" i="6"/>
  <c r="K3961" i="6"/>
  <c r="K1509" i="6" s="1"/>
  <c r="BE1509" i="6" s="1"/>
  <c r="M3948" i="6"/>
  <c r="L3948" i="6"/>
  <c r="J3948" i="6"/>
  <c r="M3947" i="6"/>
  <c r="L3947" i="6"/>
  <c r="J3947" i="6"/>
  <c r="M3946" i="6"/>
  <c r="L3946" i="6"/>
  <c r="J3946" i="6"/>
  <c r="J3945" i="6"/>
  <c r="M3938" i="6"/>
  <c r="L3938" i="6"/>
  <c r="J3938" i="6"/>
  <c r="X3937" i="6"/>
  <c r="K3937" i="6"/>
  <c r="K1485" i="6" s="1"/>
  <c r="BE1485" i="6" s="1"/>
  <c r="J3937" i="6"/>
  <c r="M3934" i="6"/>
  <c r="L3934" i="6"/>
  <c r="J3934" i="6"/>
  <c r="X3933" i="6"/>
  <c r="K3933" i="6"/>
  <c r="K1481" i="6" s="1"/>
  <c r="BE1481" i="6" s="1"/>
  <c r="J3933" i="6"/>
  <c r="M3928" i="6"/>
  <c r="L3928" i="6"/>
  <c r="J3928" i="6"/>
  <c r="M3927" i="6"/>
  <c r="L3927" i="6"/>
  <c r="J3927" i="6"/>
  <c r="M3926" i="6"/>
  <c r="L3926" i="6"/>
  <c r="J3926" i="6"/>
  <c r="J3925" i="6"/>
  <c r="M3918" i="6"/>
  <c r="L3918" i="6"/>
  <c r="J3918" i="6"/>
  <c r="X3917" i="6"/>
  <c r="K3917" i="6"/>
  <c r="K1465" i="6" s="1"/>
  <c r="BE1465" i="6" s="1"/>
  <c r="J3917" i="6"/>
  <c r="M3904" i="6"/>
  <c r="L3904" i="6"/>
  <c r="J3904" i="6"/>
  <c r="M3903" i="6"/>
  <c r="L3903" i="6"/>
  <c r="J3903" i="6"/>
  <c r="M3902" i="6"/>
  <c r="L3902" i="6"/>
  <c r="J3902" i="6"/>
  <c r="J3901" i="6"/>
  <c r="M3896" i="6"/>
  <c r="L3896" i="6"/>
  <c r="J3896" i="6"/>
  <c r="M3895" i="6"/>
  <c r="L3895" i="6"/>
  <c r="J3895" i="6"/>
  <c r="M3894" i="6"/>
  <c r="L3894" i="6"/>
  <c r="J3894" i="6"/>
  <c r="J3893" i="6"/>
  <c r="M3892" i="6"/>
  <c r="L3892" i="6"/>
  <c r="J3892" i="6"/>
  <c r="K3891" i="6"/>
  <c r="K1439" i="6" s="1"/>
  <c r="BE1439" i="6" s="1"/>
  <c r="J3891" i="6"/>
  <c r="M3890" i="6"/>
  <c r="L3890" i="6"/>
  <c r="J3890" i="6"/>
  <c r="K3889" i="6"/>
  <c r="K1437" i="6" s="1"/>
  <c r="BE1437" i="6" s="1"/>
  <c r="J3889" i="6"/>
  <c r="M3888" i="6"/>
  <c r="L3888" i="6"/>
  <c r="J3888" i="6"/>
  <c r="M3887" i="6"/>
  <c r="L3887" i="6"/>
  <c r="J3887" i="6"/>
  <c r="M3886" i="6"/>
  <c r="L3886" i="6"/>
  <c r="J3886" i="6"/>
  <c r="J3885" i="6"/>
  <c r="M3880" i="6"/>
  <c r="L3880" i="6"/>
  <c r="J3880" i="6"/>
  <c r="M3879" i="6"/>
  <c r="L3879" i="6"/>
  <c r="J3879" i="6"/>
  <c r="M3878" i="6"/>
  <c r="L3878" i="6"/>
  <c r="J3878" i="6"/>
  <c r="J3877" i="6"/>
  <c r="M3876" i="6"/>
  <c r="L3876" i="6"/>
  <c r="J3876" i="6"/>
  <c r="K3875" i="6"/>
  <c r="K1423" i="6" s="1"/>
  <c r="BE1423" i="6" s="1"/>
  <c r="J3875" i="6"/>
  <c r="J3872" i="6"/>
  <c r="BE1419" i="6"/>
  <c r="J3871" i="6"/>
  <c r="M3871" i="6" s="1"/>
  <c r="L3870" i="6"/>
  <c r="J3870" i="6"/>
  <c r="L3869" i="6"/>
  <c r="J3869" i="6"/>
  <c r="L3868" i="6"/>
  <c r="J3868" i="6"/>
  <c r="J3867" i="6"/>
  <c r="M3867" i="6" s="1"/>
  <c r="J3862" i="6"/>
  <c r="J3861" i="6"/>
  <c r="M3860" i="6"/>
  <c r="J3860" i="6"/>
  <c r="J3859" i="6"/>
  <c r="J3487" i="6"/>
  <c r="J3486" i="6"/>
  <c r="J3485" i="6"/>
  <c r="K3483" i="6"/>
  <c r="F1780" i="6" s="1"/>
  <c r="K3481" i="6"/>
  <c r="F1776" i="6" s="1"/>
  <c r="K3479" i="6"/>
  <c r="F1772" i="6" s="1"/>
  <c r="K3475" i="6"/>
  <c r="F1764" i="6" s="1"/>
  <c r="K3473" i="6"/>
  <c r="F1760" i="6" s="1"/>
  <c r="K3472" i="6"/>
  <c r="F1758" i="6" s="1"/>
  <c r="K3467" i="6"/>
  <c r="K3462" i="6"/>
  <c r="F1738" i="6" s="1"/>
  <c r="K3461" i="6"/>
  <c r="F1736" i="6" s="1"/>
  <c r="K3454" i="6"/>
  <c r="K3453" i="6"/>
  <c r="K3447" i="6"/>
  <c r="F1708" i="6" s="1"/>
  <c r="K3446" i="6"/>
  <c r="F1706" i="6" s="1"/>
  <c r="K3439" i="6"/>
  <c r="K3438" i="6"/>
  <c r="K3431" i="6"/>
  <c r="F1676" i="6" s="1"/>
  <c r="K3430" i="6"/>
  <c r="F1674" i="6" s="1"/>
  <c r="K3423" i="6"/>
  <c r="K3422" i="6"/>
  <c r="K3415" i="6"/>
  <c r="F1644" i="6" s="1"/>
  <c r="K3414" i="6"/>
  <c r="F1642" i="6" s="1"/>
  <c r="K3407" i="6"/>
  <c r="F1628" i="6" s="1"/>
  <c r="K3406" i="6"/>
  <c r="F1626" i="6" s="1"/>
  <c r="K3381" i="6"/>
  <c r="K3380" i="6"/>
  <c r="F1574" i="6" s="1"/>
  <c r="K3371" i="6"/>
  <c r="K3362" i="6"/>
  <c r="K3357" i="6"/>
  <c r="K3352" i="6"/>
  <c r="K3349" i="6"/>
  <c r="F1512" i="6" s="1"/>
  <c r="K3343" i="6"/>
  <c r="K3342" i="6"/>
  <c r="F1498" i="6" s="1"/>
  <c r="K3337" i="6"/>
  <c r="F1488" i="6" s="1"/>
  <c r="K3335" i="6"/>
  <c r="F1484" i="6" s="1"/>
  <c r="K3333" i="6"/>
  <c r="F1480" i="6" s="1"/>
  <c r="K3332" i="6"/>
  <c r="F1478" i="6" s="1"/>
  <c r="K3321" i="6"/>
  <c r="F1456" i="6" s="1"/>
  <c r="K3320" i="6"/>
  <c r="F1454" i="6" s="1"/>
  <c r="K3317" i="6"/>
  <c r="F1448" i="6" s="1"/>
  <c r="K3316" i="6"/>
  <c r="M3897" i="6" s="1"/>
  <c r="Y2922" i="6"/>
  <c r="K2922" i="6"/>
  <c r="Y2920" i="6"/>
  <c r="K2920" i="6"/>
  <c r="Y2918" i="6"/>
  <c r="K2918" i="6"/>
  <c r="Y2916" i="6"/>
  <c r="K2916" i="6"/>
  <c r="Y2914" i="6"/>
  <c r="K2914" i="6"/>
  <c r="Y2912" i="6"/>
  <c r="K2912" i="6"/>
  <c r="Y2911" i="6"/>
  <c r="K2911" i="6"/>
  <c r="Y2906" i="6"/>
  <c r="K2906" i="6"/>
  <c r="Y2901" i="6"/>
  <c r="K2901" i="6"/>
  <c r="Y2900" i="6"/>
  <c r="K2900" i="6"/>
  <c r="Y2893" i="6"/>
  <c r="K2893" i="6"/>
  <c r="Y2892" i="6"/>
  <c r="K2892" i="6"/>
  <c r="Y2886" i="6"/>
  <c r="K2886" i="6"/>
  <c r="Y2885" i="6"/>
  <c r="K2885" i="6"/>
  <c r="Y2878" i="6"/>
  <c r="K2878" i="6"/>
  <c r="Y2877" i="6"/>
  <c r="K2877" i="6"/>
  <c r="Y2870" i="6"/>
  <c r="K2870" i="6"/>
  <c r="Y2869" i="6"/>
  <c r="K2869" i="6"/>
  <c r="Y2862" i="6"/>
  <c r="K2862" i="6"/>
  <c r="Y2861" i="6"/>
  <c r="K2861" i="6"/>
  <c r="Y2854" i="6"/>
  <c r="K2854" i="6"/>
  <c r="Y2853" i="6"/>
  <c r="K2853" i="6"/>
  <c r="Y2846" i="6"/>
  <c r="K2846" i="6"/>
  <c r="Y2845" i="6"/>
  <c r="K2845" i="6"/>
  <c r="Y2820" i="6"/>
  <c r="K2820" i="6"/>
  <c r="Y2819" i="6"/>
  <c r="K2819" i="6"/>
  <c r="Y2810" i="6"/>
  <c r="K2810" i="6"/>
  <c r="Y2801" i="6"/>
  <c r="K2801" i="6"/>
  <c r="Y2796" i="6"/>
  <c r="K2796" i="6"/>
  <c r="Y2791" i="6"/>
  <c r="K2791" i="6"/>
  <c r="Y2788" i="6"/>
  <c r="K2788" i="6"/>
  <c r="Y2782" i="6"/>
  <c r="K2782" i="6"/>
  <c r="Y2781" i="6"/>
  <c r="K2781" i="6"/>
  <c r="Y2776" i="6"/>
  <c r="K2776" i="6"/>
  <c r="Y2774" i="6"/>
  <c r="K2774" i="6"/>
  <c r="Y2772" i="6"/>
  <c r="K2772" i="6"/>
  <c r="Y2771" i="6"/>
  <c r="K2771" i="6"/>
  <c r="Y2766" i="6"/>
  <c r="K2766" i="6"/>
  <c r="F1467" i="6" s="1"/>
  <c r="Y2760" i="6"/>
  <c r="K2760" i="6"/>
  <c r="Y2759" i="6"/>
  <c r="K2759" i="6"/>
  <c r="Y2756" i="6"/>
  <c r="K2756" i="6"/>
  <c r="X2565" i="6"/>
  <c r="X2564" i="6"/>
  <c r="X2563" i="6"/>
  <c r="X2562" i="6"/>
  <c r="X2559" i="6"/>
  <c r="X2558" i="6"/>
  <c r="X2557" i="6"/>
  <c r="X2555" i="6"/>
  <c r="X2554" i="6"/>
  <c r="X2553" i="6"/>
  <c r="X2550" i="6"/>
  <c r="X2549" i="6"/>
  <c r="J1987" i="6"/>
  <c r="L1777" i="6"/>
  <c r="J1986" i="6"/>
  <c r="J1985" i="6"/>
  <c r="L1773" i="6"/>
  <c r="AJ316" i="15" s="1"/>
  <c r="J1984" i="6"/>
  <c r="J1983" i="6"/>
  <c r="L1769" i="6"/>
  <c r="J1982" i="6"/>
  <c r="J1981" i="6"/>
  <c r="L1765" i="6"/>
  <c r="J1980" i="6"/>
  <c r="J1979" i="6"/>
  <c r="L1761" i="6"/>
  <c r="J1978" i="6"/>
  <c r="J1976" i="6"/>
  <c r="J1975" i="6"/>
  <c r="L1753" i="6"/>
  <c r="J1974" i="6"/>
  <c r="J1971" i="6"/>
  <c r="L1745" i="6"/>
  <c r="J1970" i="6"/>
  <c r="L1743" i="6"/>
  <c r="AJ303" i="15" s="1"/>
  <c r="J1969" i="6"/>
  <c r="J1968" i="6"/>
  <c r="L1739" i="6"/>
  <c r="AJ302" i="15" s="1"/>
  <c r="J1967" i="6"/>
  <c r="J1965" i="6"/>
  <c r="J1964" i="6"/>
  <c r="L1731" i="6"/>
  <c r="J1963" i="6"/>
  <c r="J1957" i="6"/>
  <c r="J1956" i="6"/>
  <c r="L1715" i="6"/>
  <c r="J1955" i="6"/>
  <c r="L1713" i="6"/>
  <c r="AJ295" i="15" s="1"/>
  <c r="J1954" i="6"/>
  <c r="J1953" i="6"/>
  <c r="L1709" i="6"/>
  <c r="AJ294" i="15" s="1"/>
  <c r="J1952" i="6"/>
  <c r="J1950" i="6"/>
  <c r="J1949" i="6"/>
  <c r="L1701" i="6"/>
  <c r="J1948" i="6"/>
  <c r="J1942" i="6"/>
  <c r="J1941" i="6"/>
  <c r="L1685" i="6"/>
  <c r="J1940" i="6"/>
  <c r="J1937" i="6"/>
  <c r="L1677" i="6"/>
  <c r="AJ286" i="15" s="1"/>
  <c r="J1936" i="6"/>
  <c r="J1934" i="6"/>
  <c r="J1933" i="6"/>
  <c r="L1669" i="6"/>
  <c r="J1932" i="6"/>
  <c r="J1926" i="6"/>
  <c r="J1925" i="6"/>
  <c r="L1653" i="6"/>
  <c r="J1924" i="6"/>
  <c r="J1921" i="6"/>
  <c r="L1645" i="6"/>
  <c r="AJ278" i="15" s="1"/>
  <c r="J1920" i="6"/>
  <c r="J1918" i="6"/>
  <c r="J1917" i="6"/>
  <c r="L1637" i="6"/>
  <c r="AJ276" i="15" s="1"/>
  <c r="J1916" i="6"/>
  <c r="J1910" i="6"/>
  <c r="J1909" i="6"/>
  <c r="L1621" i="6"/>
  <c r="J1908" i="6"/>
  <c r="J1905" i="6"/>
  <c r="L1613" i="6"/>
  <c r="AJ270" i="15" s="1"/>
  <c r="J1904" i="6"/>
  <c r="L1611" i="6"/>
  <c r="AJ269" i="15" s="1"/>
  <c r="J1903" i="6"/>
  <c r="J1902" i="6"/>
  <c r="L1607" i="6"/>
  <c r="AJ268" i="15" s="1"/>
  <c r="J1901" i="6"/>
  <c r="L1605" i="6"/>
  <c r="AJ267" i="15" s="1"/>
  <c r="J1900" i="6"/>
  <c r="J1899" i="6"/>
  <c r="L1601" i="6"/>
  <c r="AJ266" i="15" s="1"/>
  <c r="J1898" i="6"/>
  <c r="L1599" i="6"/>
  <c r="AJ265" i="15" s="1"/>
  <c r="J1897" i="6"/>
  <c r="J1896" i="6"/>
  <c r="L1595" i="6"/>
  <c r="AJ264" i="15" s="1"/>
  <c r="J1895" i="6"/>
  <c r="J1892" i="6"/>
  <c r="L1587" i="6"/>
  <c r="J1891" i="6"/>
  <c r="L1585" i="6"/>
  <c r="AJ259" i="15" s="1"/>
  <c r="J1890" i="6"/>
  <c r="J1884" i="6"/>
  <c r="J1883" i="6"/>
  <c r="L1569" i="6"/>
  <c r="J1882" i="6"/>
  <c r="J1879" i="6"/>
  <c r="L1561" i="6"/>
  <c r="AJ253" i="15" s="1"/>
  <c r="J1878" i="6"/>
  <c r="J1875" i="6"/>
  <c r="L1553" i="6"/>
  <c r="AJ249" i="15" s="1"/>
  <c r="L1551" i="6"/>
  <c r="AJ248" i="15" s="1"/>
  <c r="J1870" i="6"/>
  <c r="L1543" i="6"/>
  <c r="AJ246" i="15" s="1"/>
  <c r="J1869" i="6"/>
  <c r="J1866" i="6"/>
  <c r="L1535" i="6"/>
  <c r="J1865" i="6"/>
  <c r="L1533" i="6"/>
  <c r="AJ241" i="15" s="1"/>
  <c r="J1864" i="6"/>
  <c r="J1861" i="6"/>
  <c r="L1525" i="6"/>
  <c r="J1860" i="6"/>
  <c r="L1523" i="6"/>
  <c r="AJ236" i="15" s="1"/>
  <c r="J1859" i="6"/>
  <c r="J1856" i="6"/>
  <c r="L1515" i="6"/>
  <c r="J1855" i="6"/>
  <c r="L1513" i="6"/>
  <c r="AJ231" i="15" s="1"/>
  <c r="J1854" i="6"/>
  <c r="J1853" i="6"/>
  <c r="L1509" i="6"/>
  <c r="J1852" i="6"/>
  <c r="J1846" i="6"/>
  <c r="J1845" i="6"/>
  <c r="L1493" i="6"/>
  <c r="J1844" i="6"/>
  <c r="J1841" i="6"/>
  <c r="L1485" i="6"/>
  <c r="AJ221" i="15" s="1"/>
  <c r="J1840" i="6"/>
  <c r="J1839" i="6"/>
  <c r="J1838" i="6"/>
  <c r="J1836" i="6"/>
  <c r="J1835" i="6"/>
  <c r="L1473" i="6"/>
  <c r="J1834" i="6"/>
  <c r="J1831" i="6"/>
  <c r="L1465" i="6"/>
  <c r="J1830" i="6"/>
  <c r="J1824" i="6"/>
  <c r="J1823" i="6"/>
  <c r="L1449" i="6"/>
  <c r="AJ209" i="15" s="1"/>
  <c r="J1822" i="6"/>
  <c r="R1822" i="6"/>
  <c r="R1821" i="6"/>
  <c r="Q1820" i="6" s="1"/>
  <c r="J1820" i="6"/>
  <c r="J1819" i="6"/>
  <c r="L1441" i="6"/>
  <c r="AJ207" i="15" s="1"/>
  <c r="J1818" i="6"/>
  <c r="X1817" i="6"/>
  <c r="X3891" i="6" s="1"/>
  <c r="J1817" i="6"/>
  <c r="X1816" i="6"/>
  <c r="X3889" i="6" s="1"/>
  <c r="J1816" i="6"/>
  <c r="X1815" i="6"/>
  <c r="J1815" i="6"/>
  <c r="X1814" i="6"/>
  <c r="J1814" i="6"/>
  <c r="X1811" i="6"/>
  <c r="J1811" i="6"/>
  <c r="X1810" i="6"/>
  <c r="J1810" i="6"/>
  <c r="X1809" i="6"/>
  <c r="X3875" i="6" s="1"/>
  <c r="R1808" i="6"/>
  <c r="J1809" i="6"/>
  <c r="X1807" i="6"/>
  <c r="X3871" i="6" s="1"/>
  <c r="J1807" i="6"/>
  <c r="X1806" i="6"/>
  <c r="J1806" i="6"/>
  <c r="X1805" i="6"/>
  <c r="J1805" i="6"/>
  <c r="X1802" i="6"/>
  <c r="J1802" i="6"/>
  <c r="X1801" i="6"/>
  <c r="J1801" i="6"/>
  <c r="AG1800" i="6"/>
  <c r="AF1800" i="6"/>
  <c r="AE1800" i="6"/>
  <c r="AD1800" i="6"/>
  <c r="AC1800" i="6"/>
  <c r="AA1800" i="6"/>
  <c r="Z1800" i="6"/>
  <c r="Y1800" i="6"/>
  <c r="X1800" i="6"/>
  <c r="G1780" i="6"/>
  <c r="C1780" i="6"/>
  <c r="G1779" i="6"/>
  <c r="H1779" i="6" s="1"/>
  <c r="G319" i="15"/>
  <c r="X318" i="15"/>
  <c r="Z318" i="15" s="1"/>
  <c r="G1776" i="6"/>
  <c r="C1776" i="6"/>
  <c r="G1775" i="6"/>
  <c r="H1775" i="6" s="1"/>
  <c r="G317" i="15"/>
  <c r="X317" i="15"/>
  <c r="Z317" i="15" s="1"/>
  <c r="G1772" i="6"/>
  <c r="H1772" i="6" s="1"/>
  <c r="C1772" i="6"/>
  <c r="G1771" i="6"/>
  <c r="H1771" i="6" s="1"/>
  <c r="X314" i="15"/>
  <c r="Z314" i="15" s="1"/>
  <c r="G1768" i="6"/>
  <c r="C1768" i="6"/>
  <c r="G1767" i="6"/>
  <c r="H1767" i="6" s="1"/>
  <c r="G313" i="15"/>
  <c r="BC1766" i="6"/>
  <c r="BD1766" i="6" s="1"/>
  <c r="L312" i="15"/>
  <c r="X312" i="15"/>
  <c r="Z312" i="15" s="1"/>
  <c r="G1764" i="6"/>
  <c r="C1764" i="6"/>
  <c r="G1763" i="6"/>
  <c r="H1763" i="6" s="1"/>
  <c r="X311" i="15"/>
  <c r="Z311" i="15" s="1"/>
  <c r="G1760" i="6"/>
  <c r="G1759" i="6"/>
  <c r="G1758" i="6"/>
  <c r="BC1758" i="6" s="1"/>
  <c r="BD1758" i="6" s="1"/>
  <c r="C1758" i="6"/>
  <c r="G1757" i="6"/>
  <c r="G309" i="15"/>
  <c r="AG308" i="15"/>
  <c r="M308" i="15"/>
  <c r="AF308" i="15"/>
  <c r="L308" i="15"/>
  <c r="X308" i="15"/>
  <c r="G1748" i="6"/>
  <c r="BC1748" i="6" s="1"/>
  <c r="C1748" i="6"/>
  <c r="G1747" i="6"/>
  <c r="AF304" i="15"/>
  <c r="X305" i="15"/>
  <c r="Z305" i="15" s="1"/>
  <c r="AF303" i="15"/>
  <c r="L303" i="15"/>
  <c r="X303" i="15"/>
  <c r="Z303" i="15" s="1"/>
  <c r="K303" i="15"/>
  <c r="AH302" i="15"/>
  <c r="AG302" i="15"/>
  <c r="AF302" i="15"/>
  <c r="X302" i="15"/>
  <c r="G1738" i="6"/>
  <c r="BC1738" i="6" s="1"/>
  <c r="BD1738" i="6" s="1"/>
  <c r="G1737" i="6"/>
  <c r="BC1737" i="6" s="1"/>
  <c r="G1736" i="6"/>
  <c r="BC1736" i="6" s="1"/>
  <c r="BD1736" i="6" s="1"/>
  <c r="C1736" i="6"/>
  <c r="J4188" i="6" s="1"/>
  <c r="G1735" i="6"/>
  <c r="G301" i="15"/>
  <c r="AG300" i="15"/>
  <c r="G1722" i="6"/>
  <c r="BC1722" i="6" s="1"/>
  <c r="G1721" i="6"/>
  <c r="BC1721" i="6" s="1"/>
  <c r="G1720" i="6"/>
  <c r="C1720" i="6"/>
  <c r="G1719" i="6"/>
  <c r="G297" i="15"/>
  <c r="AH296" i="15"/>
  <c r="AG296" i="15"/>
  <c r="M296" i="15"/>
  <c r="X296" i="15"/>
  <c r="AF295" i="15"/>
  <c r="Q294" i="15"/>
  <c r="G1708" i="6"/>
  <c r="BC1708" i="6" s="1"/>
  <c r="G1707" i="6"/>
  <c r="BC1707" i="6" s="1"/>
  <c r="G1706" i="6"/>
  <c r="BC1706" i="6" s="1"/>
  <c r="BD1706" i="6" s="1"/>
  <c r="C1706" i="6"/>
  <c r="G1705" i="6"/>
  <c r="BC1705" i="6" s="1"/>
  <c r="G293" i="15"/>
  <c r="Y292" i="15"/>
  <c r="L292" i="15"/>
  <c r="X292" i="15"/>
  <c r="Q292" i="15"/>
  <c r="K292" i="15"/>
  <c r="G1692" i="6"/>
  <c r="BC1692" i="6" s="1"/>
  <c r="G1691" i="6"/>
  <c r="BC1691" i="6" s="1"/>
  <c r="G1690" i="6"/>
  <c r="BC1690" i="6" s="1"/>
  <c r="C1690" i="6"/>
  <c r="G1689" i="6"/>
  <c r="G289" i="15"/>
  <c r="Y289" i="15"/>
  <c r="M288" i="15"/>
  <c r="X288" i="15"/>
  <c r="AH286" i="15"/>
  <c r="AG286" i="15"/>
  <c r="AF286" i="15"/>
  <c r="R286" i="15"/>
  <c r="K286" i="15"/>
  <c r="G1676" i="6"/>
  <c r="BC1676" i="6" s="1"/>
  <c r="BD1676" i="6" s="1"/>
  <c r="G1675" i="6"/>
  <c r="BC1675" i="6" s="1"/>
  <c r="G1674" i="6"/>
  <c r="BC1674" i="6" s="1"/>
  <c r="BD1674" i="6" s="1"/>
  <c r="C1674" i="6"/>
  <c r="G1673" i="6"/>
  <c r="G285" i="15"/>
  <c r="N284" i="15"/>
  <c r="AF284" i="15"/>
  <c r="X284" i="15"/>
  <c r="G1660" i="6"/>
  <c r="BC1660" i="6" s="1"/>
  <c r="G1659" i="6"/>
  <c r="BC1659" i="6" s="1"/>
  <c r="G1658" i="6"/>
  <c r="BC1658" i="6" s="1"/>
  <c r="C1658" i="6"/>
  <c r="G1657" i="6"/>
  <c r="BC1657" i="6" s="1"/>
  <c r="G281" i="15"/>
  <c r="AF280" i="15"/>
  <c r="X280" i="15"/>
  <c r="K280" i="15"/>
  <c r="AH278" i="15"/>
  <c r="T278" i="15"/>
  <c r="AE278" i="15"/>
  <c r="K278" i="15"/>
  <c r="G1644" i="6"/>
  <c r="BC1644" i="6" s="1"/>
  <c r="G1643" i="6"/>
  <c r="BC1643" i="6" s="1"/>
  <c r="G1642" i="6"/>
  <c r="BC1642" i="6" s="1"/>
  <c r="C1642" i="6"/>
  <c r="G1641" i="6"/>
  <c r="G277" i="15"/>
  <c r="Y276" i="15"/>
  <c r="AF276" i="15"/>
  <c r="L276" i="15"/>
  <c r="X277" i="15"/>
  <c r="K276" i="15"/>
  <c r="G1628" i="6"/>
  <c r="BC1628" i="6" s="1"/>
  <c r="G1627" i="6"/>
  <c r="BC1627" i="6" s="1"/>
  <c r="G1626" i="6"/>
  <c r="BC1626" i="6" s="1"/>
  <c r="BD1626" i="6" s="1"/>
  <c r="C1626" i="6"/>
  <c r="G1625" i="6"/>
  <c r="BC1625" i="6" s="1"/>
  <c r="G273" i="15"/>
  <c r="K272" i="15"/>
  <c r="AH270" i="15"/>
  <c r="AG270" i="15"/>
  <c r="S270" i="15"/>
  <c r="M270" i="15"/>
  <c r="AF270" i="15"/>
  <c r="R270" i="15"/>
  <c r="L270" i="15"/>
  <c r="K270" i="15"/>
  <c r="X269" i="15"/>
  <c r="Z269" i="15" s="1"/>
  <c r="Q269" i="15"/>
  <c r="AG268" i="15"/>
  <c r="M268" i="15"/>
  <c r="R268" i="15"/>
  <c r="S266" i="15"/>
  <c r="AF266" i="15"/>
  <c r="AE266" i="15"/>
  <c r="AF265" i="15"/>
  <c r="X265" i="15"/>
  <c r="Z265" i="15" s="1"/>
  <c r="K265" i="15"/>
  <c r="AH264" i="15"/>
  <c r="T264" i="15"/>
  <c r="AG264" i="15"/>
  <c r="S264" i="15"/>
  <c r="M264" i="15"/>
  <c r="X264" i="15"/>
  <c r="K261" i="15"/>
  <c r="G261" i="15"/>
  <c r="L260" i="15"/>
  <c r="X260" i="15"/>
  <c r="Z260" i="15" s="1"/>
  <c r="K260" i="15"/>
  <c r="L259" i="15"/>
  <c r="Q259" i="15"/>
  <c r="K259" i="15"/>
  <c r="G1576" i="6"/>
  <c r="BC1576" i="6" s="1"/>
  <c r="G1575" i="6"/>
  <c r="BC1575" i="6" s="1"/>
  <c r="G1574" i="6"/>
  <c r="BC1574" i="6" s="1"/>
  <c r="BD1574" i="6" s="1"/>
  <c r="C1574" i="6"/>
  <c r="G1573" i="6"/>
  <c r="BC1573" i="6" s="1"/>
  <c r="G256" i="15"/>
  <c r="N255" i="15"/>
  <c r="AE255" i="15"/>
  <c r="AH253" i="15"/>
  <c r="N253" i="15"/>
  <c r="Y253" i="15"/>
  <c r="S253" i="15"/>
  <c r="AF253" i="15"/>
  <c r="R253" i="15"/>
  <c r="L253" i="15"/>
  <c r="K253" i="15"/>
  <c r="G1556" i="6"/>
  <c r="BC1556" i="6" s="1"/>
  <c r="C1556" i="6"/>
  <c r="G1555" i="6"/>
  <c r="G250" i="15"/>
  <c r="AF249" i="15"/>
  <c r="L249" i="15"/>
  <c r="AE249" i="15"/>
  <c r="K249" i="15"/>
  <c r="R248" i="15"/>
  <c r="L248" i="15"/>
  <c r="X248" i="15"/>
  <c r="Z248" i="15" s="1"/>
  <c r="AH246" i="15"/>
  <c r="Y246" i="15"/>
  <c r="S246" i="15"/>
  <c r="R246" i="15"/>
  <c r="L246" i="15"/>
  <c r="AE246" i="15"/>
  <c r="G1538" i="6"/>
  <c r="BC1538" i="6" s="1"/>
  <c r="C1538" i="6"/>
  <c r="G1537" i="6"/>
  <c r="K242" i="15"/>
  <c r="X241" i="15"/>
  <c r="Z241" i="15" s="1"/>
  <c r="G1528" i="6"/>
  <c r="BC1528" i="6" s="1"/>
  <c r="C1528" i="6"/>
  <c r="G1527" i="6"/>
  <c r="G238" i="15"/>
  <c r="X237" i="15"/>
  <c r="Z237" i="15" s="1"/>
  <c r="AF236" i="15"/>
  <c r="G1518" i="6"/>
  <c r="BC1518" i="6" s="1"/>
  <c r="C1518" i="6"/>
  <c r="G1517" i="6"/>
  <c r="X231" i="15"/>
  <c r="Z231" i="15" s="1"/>
  <c r="G1512" i="6"/>
  <c r="BC1512" i="6" s="1"/>
  <c r="C1512" i="6"/>
  <c r="G1511" i="6"/>
  <c r="G230" i="15"/>
  <c r="X230" i="15"/>
  <c r="Z230" i="15" s="1"/>
  <c r="K229" i="15"/>
  <c r="G1500" i="6"/>
  <c r="G1499" i="6"/>
  <c r="BC1499" i="6" s="1"/>
  <c r="G1498" i="6"/>
  <c r="C1498" i="6"/>
  <c r="G1497" i="6"/>
  <c r="G226" i="15"/>
  <c r="X226" i="15"/>
  <c r="G1488" i="6"/>
  <c r="BC1488" i="6" s="1"/>
  <c r="BD1488" i="6" s="1"/>
  <c r="C1488" i="6"/>
  <c r="G1487" i="6"/>
  <c r="G222" i="15"/>
  <c r="AF221" i="15"/>
  <c r="L221" i="15"/>
  <c r="G1484" i="6"/>
  <c r="BC1484" i="6" s="1"/>
  <c r="C1484" i="6"/>
  <c r="G1483" i="6"/>
  <c r="BC1483" i="6" s="1"/>
  <c r="L1481" i="6"/>
  <c r="AJ219" i="15" s="1"/>
  <c r="X220" i="15"/>
  <c r="Z220" i="15" s="1"/>
  <c r="K219" i="15"/>
  <c r="G1480" i="6"/>
  <c r="BC1480" i="6" s="1"/>
  <c r="BD1480" i="6" s="1"/>
  <c r="G1479" i="6"/>
  <c r="BC1479" i="6" s="1"/>
  <c r="G1478" i="6"/>
  <c r="BC1478" i="6" s="1"/>
  <c r="C1478" i="6"/>
  <c r="G1477" i="6"/>
  <c r="G218" i="15"/>
  <c r="Y217" i="15"/>
  <c r="L217" i="15"/>
  <c r="AE217" i="15"/>
  <c r="G1468" i="6"/>
  <c r="BC1468" i="6" s="1"/>
  <c r="BD1468" i="6" s="1"/>
  <c r="C1468" i="6"/>
  <c r="G1467" i="6"/>
  <c r="G214" i="15"/>
  <c r="AF213" i="15"/>
  <c r="G1456" i="6"/>
  <c r="BC1456" i="6" s="1"/>
  <c r="G1455" i="6"/>
  <c r="BC1455" i="6" s="1"/>
  <c r="G1454" i="6"/>
  <c r="BC1454" i="6" s="1"/>
  <c r="BD1454" i="6" s="1"/>
  <c r="C1454" i="6"/>
  <c r="G1453" i="6"/>
  <c r="BC1453" i="6" s="1"/>
  <c r="G210" i="15"/>
  <c r="Y209" i="15"/>
  <c r="BC1449" i="6"/>
  <c r="G1448" i="6"/>
  <c r="G1447" i="6"/>
  <c r="H1447" i="6" s="1"/>
  <c r="G1446" i="6"/>
  <c r="C1446" i="6"/>
  <c r="G1445" i="6"/>
  <c r="H1445" i="6" s="1"/>
  <c r="G208" i="15"/>
  <c r="Y207" i="15"/>
  <c r="M207" i="15"/>
  <c r="BC1441" i="6"/>
  <c r="BD1441" i="6" s="1"/>
  <c r="BC1440" i="6"/>
  <c r="BD1440" i="6" s="1"/>
  <c r="BC1439" i="6"/>
  <c r="BD1439" i="6" s="1"/>
  <c r="BC1438" i="6"/>
  <c r="BC1436" i="6"/>
  <c r="T204" i="15"/>
  <c r="BC1435" i="6"/>
  <c r="BD1435" i="6" s="1"/>
  <c r="BC1434" i="6"/>
  <c r="AH202" i="15"/>
  <c r="T202" i="15"/>
  <c r="S202" i="15"/>
  <c r="AE202" i="15"/>
  <c r="AF201" i="15"/>
  <c r="X201" i="15"/>
  <c r="Z201" i="15" s="1"/>
  <c r="BD1420" i="6"/>
  <c r="AF199" i="15" s="1"/>
  <c r="BE1418" i="6"/>
  <c r="BD1418" i="6"/>
  <c r="AH198" i="15" s="1"/>
  <c r="BE1417" i="6"/>
  <c r="BE1416" i="6"/>
  <c r="BD1416" i="6"/>
  <c r="AF198" i="15" s="1"/>
  <c r="BE1410" i="6"/>
  <c r="BC1410" i="6"/>
  <c r="BD1410" i="6" s="1"/>
  <c r="AH196" i="15" s="1"/>
  <c r="H1410" i="6"/>
  <c r="I1410" i="6" s="1"/>
  <c r="T196" i="15" s="1"/>
  <c r="BE1409" i="6"/>
  <c r="Y196" i="15"/>
  <c r="H1409" i="6"/>
  <c r="BE1408" i="6"/>
  <c r="BC1408" i="6"/>
  <c r="BD1408" i="6" s="1"/>
  <c r="AF196" i="15" s="1"/>
  <c r="H1408" i="6"/>
  <c r="I1408" i="6" s="1"/>
  <c r="R196" i="15" s="1"/>
  <c r="J1407" i="6"/>
  <c r="X196" i="15" s="1"/>
  <c r="H1407" i="6"/>
  <c r="BE1406" i="6"/>
  <c r="BD1406" i="6"/>
  <c r="BC1406" i="6"/>
  <c r="BB1406" i="6"/>
  <c r="V1403" i="6"/>
  <c r="F1400" i="6"/>
  <c r="F1399" i="6"/>
  <c r="F1398" i="6"/>
  <c r="F1397" i="6"/>
  <c r="F1396" i="6"/>
  <c r="F1395" i="6"/>
  <c r="F1394" i="6"/>
  <c r="F1393" i="6"/>
  <c r="F1392" i="6"/>
  <c r="F1391" i="6"/>
  <c r="F1390" i="6"/>
  <c r="F1389" i="6"/>
  <c r="D3859" i="6"/>
  <c r="F1388" i="6"/>
  <c r="F1387" i="6"/>
  <c r="F1386" i="6"/>
  <c r="F1385" i="6"/>
  <c r="F1384" i="6"/>
  <c r="F1383" i="6"/>
  <c r="F1382" i="6"/>
  <c r="F1381" i="6"/>
  <c r="F1380" i="6"/>
  <c r="F1379" i="6"/>
  <c r="F1378" i="6"/>
  <c r="F1377" i="6"/>
  <c r="D3485" i="6"/>
  <c r="F1375" i="6"/>
  <c r="F1373" i="6"/>
  <c r="F1372" i="6"/>
  <c r="F1371" i="6"/>
  <c r="F1370" i="6"/>
  <c r="F1363" i="6"/>
  <c r="F1361" i="6"/>
  <c r="F1360" i="6"/>
  <c r="F1359" i="6"/>
  <c r="F1358" i="6"/>
  <c r="X1357" i="6"/>
  <c r="L1306" i="6"/>
  <c r="AJ195" i="15" s="1"/>
  <c r="F1357" i="6"/>
  <c r="X1355" i="6"/>
  <c r="L1302" i="6"/>
  <c r="AJ194" i="15" s="1"/>
  <c r="F1355" i="6"/>
  <c r="X1354" i="6"/>
  <c r="F1354" i="6"/>
  <c r="X1353" i="6"/>
  <c r="L1298" i="6"/>
  <c r="AJ193" i="15" s="1"/>
  <c r="F1353" i="6"/>
  <c r="X1352" i="6"/>
  <c r="L1296" i="6"/>
  <c r="AJ192" i="15" s="1"/>
  <c r="F1352" i="6"/>
  <c r="Y1351" i="6"/>
  <c r="W1351" i="6"/>
  <c r="Y1350" i="6"/>
  <c r="W1350" i="6"/>
  <c r="Y1348" i="6"/>
  <c r="W1348" i="6"/>
  <c r="Y1347" i="6"/>
  <c r="W1347" i="6"/>
  <c r="Y1346" i="6"/>
  <c r="W1346" i="6"/>
  <c r="Y1333" i="6"/>
  <c r="Y1357" i="6" s="1"/>
  <c r="X1333" i="6"/>
  <c r="Y1332" i="6"/>
  <c r="Y1355" i="6" s="1"/>
  <c r="X1332" i="6"/>
  <c r="Y1328" i="6"/>
  <c r="Y1354" i="6" s="1"/>
  <c r="X1328" i="6"/>
  <c r="Y1330" i="6"/>
  <c r="Y1353" i="6" s="1"/>
  <c r="X1330" i="6"/>
  <c r="Y1329" i="6"/>
  <c r="Y1352" i="6" s="1"/>
  <c r="X1329" i="6"/>
  <c r="AG1327" i="6"/>
  <c r="AF1327" i="6"/>
  <c r="AE1327" i="6"/>
  <c r="AD1327" i="6"/>
  <c r="AC1327" i="6"/>
  <c r="AB1327" i="6"/>
  <c r="AA1327" i="6"/>
  <c r="Z1327" i="6"/>
  <c r="Y1327" i="6"/>
  <c r="X1327" i="6"/>
  <c r="BC1307" i="6"/>
  <c r="BD1307" i="6" s="1"/>
  <c r="AF195" i="15" s="1"/>
  <c r="H1307" i="6"/>
  <c r="I1307" i="6" s="1"/>
  <c r="R195" i="15" s="1"/>
  <c r="BC1306" i="6"/>
  <c r="BD1306" i="6" s="1"/>
  <c r="AE195" i="15" s="1"/>
  <c r="H1306" i="6"/>
  <c r="I1306" i="6" s="1"/>
  <c r="Q195" i="15" s="1"/>
  <c r="K195" i="15"/>
  <c r="BC1305" i="6"/>
  <c r="H1305" i="6"/>
  <c r="I1305" i="6" s="1"/>
  <c r="T194" i="15" s="1"/>
  <c r="N194" i="15"/>
  <c r="BC1304" i="6"/>
  <c r="BD1304" i="6" s="1"/>
  <c r="AG194" i="15" s="1"/>
  <c r="H1304" i="6"/>
  <c r="I1304" i="6" s="1"/>
  <c r="S194" i="15" s="1"/>
  <c r="BC1303" i="6"/>
  <c r="BD1303" i="6" s="1"/>
  <c r="AF194" i="15" s="1"/>
  <c r="H1303" i="6"/>
  <c r="I1303" i="6" s="1"/>
  <c r="R194" i="15" s="1"/>
  <c r="L194" i="15"/>
  <c r="BC1302" i="6"/>
  <c r="BD1302" i="6" s="1"/>
  <c r="H1302" i="6"/>
  <c r="I1302" i="6" s="1"/>
  <c r="Q194" i="15" s="1"/>
  <c r="K194" i="15"/>
  <c r="BC1301" i="6"/>
  <c r="BD1301" i="6" s="1"/>
  <c r="AH193" i="15" s="1"/>
  <c r="H1301" i="6"/>
  <c r="I1301" i="6" s="1"/>
  <c r="T193" i="15" s="1"/>
  <c r="BC1300" i="6"/>
  <c r="BD1300" i="6" s="1"/>
  <c r="AG193" i="15" s="1"/>
  <c r="H1300" i="6"/>
  <c r="BC1299" i="6"/>
  <c r="BD1299" i="6" s="1"/>
  <c r="AF193" i="15" s="1"/>
  <c r="H1299" i="6"/>
  <c r="I1299" i="6" s="1"/>
  <c r="R193" i="15" s="1"/>
  <c r="BC1298" i="6"/>
  <c r="BD1298" i="6" s="1"/>
  <c r="H1298" i="6"/>
  <c r="I1298" i="6" s="1"/>
  <c r="Q193" i="15" s="1"/>
  <c r="K193" i="15"/>
  <c r="BC1297" i="6"/>
  <c r="BD1297" i="6" s="1"/>
  <c r="AF192" i="15" s="1"/>
  <c r="H1297" i="6"/>
  <c r="I1297" i="6" s="1"/>
  <c r="R192" i="15" s="1"/>
  <c r="L192" i="15"/>
  <c r="BC1296" i="6"/>
  <c r="BD1296" i="6" s="1"/>
  <c r="H1296" i="6"/>
  <c r="I1296" i="6" s="1"/>
  <c r="Q192" i="15" s="1"/>
  <c r="K192" i="15"/>
  <c r="BE1295" i="6"/>
  <c r="BD1295" i="6"/>
  <c r="BC1295" i="6"/>
  <c r="BB1295" i="6"/>
  <c r="V1293" i="6"/>
  <c r="K1254" i="6"/>
  <c r="L1202" i="6" s="1"/>
  <c r="AJ191" i="15" s="1"/>
  <c r="K1253" i="6"/>
  <c r="K1252" i="6"/>
  <c r="L1198" i="6" s="1"/>
  <c r="AJ189" i="15" s="1"/>
  <c r="K1251" i="6"/>
  <c r="X1251" i="6" s="1"/>
  <c r="K1250" i="6"/>
  <c r="L1194" i="6" s="1"/>
  <c r="AJ187" i="15" s="1"/>
  <c r="K1249" i="6"/>
  <c r="W1249" i="6" s="1"/>
  <c r="K1230" i="6"/>
  <c r="K1229" i="6"/>
  <c r="W1229" i="6" s="1"/>
  <c r="F1229" i="6"/>
  <c r="F1283" i="6" s="1"/>
  <c r="K1228" i="6"/>
  <c r="K1227" i="6"/>
  <c r="W1227" i="6" s="1"/>
  <c r="F1227" i="6"/>
  <c r="F1275" i="6" s="1"/>
  <c r="K1226" i="6"/>
  <c r="K1225" i="6"/>
  <c r="F1225" i="6"/>
  <c r="F1285" i="6" s="1"/>
  <c r="AG1223" i="6"/>
  <c r="AF1223" i="6"/>
  <c r="AE1223" i="6"/>
  <c r="AD1223" i="6"/>
  <c r="AC1223" i="6"/>
  <c r="AB1223" i="6"/>
  <c r="AA1223" i="6"/>
  <c r="Z1223" i="6"/>
  <c r="Y1223" i="6"/>
  <c r="X1223" i="6"/>
  <c r="H1203" i="6"/>
  <c r="F1203" i="6"/>
  <c r="J1202" i="6"/>
  <c r="H1202" i="6"/>
  <c r="F1202" i="6"/>
  <c r="G191" i="15"/>
  <c r="H1201" i="6"/>
  <c r="F1201" i="6"/>
  <c r="J1200" i="6"/>
  <c r="BC1200" i="6" s="1"/>
  <c r="H1200" i="6"/>
  <c r="F1200" i="6"/>
  <c r="H1199" i="6"/>
  <c r="F1199" i="6"/>
  <c r="J1198" i="6"/>
  <c r="BC1198" i="6" s="1"/>
  <c r="H1198" i="6"/>
  <c r="F1198" i="6"/>
  <c r="H1197" i="6"/>
  <c r="F1197" i="6"/>
  <c r="L188" i="15" s="1"/>
  <c r="J1196" i="6"/>
  <c r="J1197" i="6" s="1"/>
  <c r="BC1197" i="6" s="1"/>
  <c r="H1196" i="6"/>
  <c r="F1196" i="6"/>
  <c r="H1195" i="6"/>
  <c r="F1195" i="6"/>
  <c r="J1194" i="6"/>
  <c r="BC1194" i="6" s="1"/>
  <c r="H1194" i="6"/>
  <c r="F1194" i="6"/>
  <c r="G187" i="15"/>
  <c r="H1193" i="6"/>
  <c r="F1193" i="6"/>
  <c r="J1192" i="6"/>
  <c r="J1193" i="6" s="1"/>
  <c r="BC1193" i="6" s="1"/>
  <c r="H1192" i="6"/>
  <c r="F1192" i="6"/>
  <c r="BE1191" i="6"/>
  <c r="BD1191" i="6"/>
  <c r="BC1191" i="6"/>
  <c r="BB1191" i="6"/>
  <c r="V1188" i="6"/>
  <c r="Y1169" i="6"/>
  <c r="Y1165" i="6"/>
  <c r="Y1163" i="6"/>
  <c r="K797" i="6"/>
  <c r="BE797" i="6" s="1"/>
  <c r="Y1159" i="6"/>
  <c r="Y1157" i="6"/>
  <c r="K791" i="6"/>
  <c r="BE791" i="6" s="1"/>
  <c r="Y1155" i="6"/>
  <c r="K789" i="6"/>
  <c r="BE789" i="6" s="1"/>
  <c r="Y1154" i="6"/>
  <c r="K788" i="6"/>
  <c r="BE788" i="6" s="1"/>
  <c r="Y1152" i="6"/>
  <c r="F1099" i="6"/>
  <c r="F1151" i="6" s="1"/>
  <c r="F1185" i="6" s="1"/>
  <c r="F1098" i="6"/>
  <c r="F1150" i="6" s="1"/>
  <c r="F1184" i="6" s="1"/>
  <c r="F1097" i="6"/>
  <c r="F1149" i="6" s="1"/>
  <c r="F1183" i="6" s="1"/>
  <c r="F1096" i="6"/>
  <c r="F1148" i="6" s="1"/>
  <c r="F1182" i="6" s="1"/>
  <c r="F1095" i="6"/>
  <c r="F1147" i="6" s="1"/>
  <c r="F1181" i="6" s="1"/>
  <c r="F1094" i="6"/>
  <c r="F1146" i="6" s="1"/>
  <c r="F1180" i="6" s="1"/>
  <c r="F1093" i="6"/>
  <c r="F1145" i="6" s="1"/>
  <c r="F1179" i="6" s="1"/>
  <c r="F1092" i="6"/>
  <c r="F1144" i="6" s="1"/>
  <c r="F1178" i="6" s="1"/>
  <c r="F1091" i="6"/>
  <c r="F1143" i="6" s="1"/>
  <c r="F1177" i="6" s="1"/>
  <c r="F1090" i="6"/>
  <c r="F1142" i="6" s="1"/>
  <c r="F1176" i="6" s="1"/>
  <c r="F1089" i="6"/>
  <c r="F1141" i="6" s="1"/>
  <c r="F1175" i="6" s="1"/>
  <c r="F1088" i="6"/>
  <c r="F1140" i="6" s="1"/>
  <c r="F1174" i="6" s="1"/>
  <c r="F1087" i="6"/>
  <c r="F1139" i="6" s="1"/>
  <c r="F1173" i="6" s="1"/>
  <c r="F1086" i="6"/>
  <c r="F1138" i="6" s="1"/>
  <c r="F1172" i="6" s="1"/>
  <c r="F1085" i="6"/>
  <c r="F1137" i="6" s="1"/>
  <c r="F1171" i="6" s="1"/>
  <c r="Y1084" i="6"/>
  <c r="Y1085" i="6" s="1"/>
  <c r="Y1171" i="6" s="1"/>
  <c r="J1084" i="6"/>
  <c r="J1085" i="6" s="1"/>
  <c r="J1086" i="6" s="1"/>
  <c r="J1087" i="6" s="1"/>
  <c r="J1088" i="6" s="1"/>
  <c r="F1084" i="6"/>
  <c r="F1136" i="6" s="1"/>
  <c r="F1170" i="6" s="1"/>
  <c r="F1083" i="6"/>
  <c r="F1135" i="6" s="1"/>
  <c r="F1169" i="6" s="1"/>
  <c r="F1082" i="6"/>
  <c r="F1134" i="6" s="1"/>
  <c r="F1168" i="6" s="1"/>
  <c r="F1081" i="6"/>
  <c r="F1133" i="6" s="1"/>
  <c r="F1167" i="6" s="1"/>
  <c r="F1080" i="6"/>
  <c r="F1132" i="6" s="1"/>
  <c r="F1166" i="6" s="1"/>
  <c r="F1079" i="6"/>
  <c r="F1131" i="6" s="1"/>
  <c r="F1165" i="6" s="1"/>
  <c r="F1078" i="6"/>
  <c r="F1130" i="6" s="1"/>
  <c r="F1164" i="6" s="1"/>
  <c r="F1077" i="6"/>
  <c r="F1129" i="6" s="1"/>
  <c r="F1163" i="6" s="1"/>
  <c r="F1076" i="6"/>
  <c r="F1128" i="6" s="1"/>
  <c r="F1162" i="6" s="1"/>
  <c r="F1075" i="6"/>
  <c r="F1127" i="6" s="1"/>
  <c r="F1161" i="6" s="1"/>
  <c r="F1074" i="6"/>
  <c r="F1126" i="6" s="1"/>
  <c r="F1160" i="6" s="1"/>
  <c r="F1073" i="6"/>
  <c r="F1125" i="6" s="1"/>
  <c r="F1159" i="6" s="1"/>
  <c r="F1072" i="6"/>
  <c r="F1124" i="6" s="1"/>
  <c r="F1158" i="6" s="1"/>
  <c r="F1071" i="6"/>
  <c r="F1123" i="6" s="1"/>
  <c r="F1157" i="6" s="1"/>
  <c r="F1070" i="6"/>
  <c r="F1122" i="6" s="1"/>
  <c r="F1156" i="6" s="1"/>
  <c r="F1069" i="6"/>
  <c r="F1121" i="6" s="1"/>
  <c r="F1155" i="6" s="1"/>
  <c r="F1068" i="6"/>
  <c r="F1120" i="6" s="1"/>
  <c r="F1154" i="6" s="1"/>
  <c r="F1067" i="6"/>
  <c r="F1119" i="6" s="1"/>
  <c r="F1153" i="6" s="1"/>
  <c r="F1066" i="6"/>
  <c r="F1118" i="6" s="1"/>
  <c r="F1152" i="6" s="1"/>
  <c r="J1023" i="6"/>
  <c r="J1022" i="6"/>
  <c r="J1021" i="6"/>
  <c r="J1020" i="6"/>
  <c r="J1019" i="6"/>
  <c r="J1018" i="6"/>
  <c r="J1017" i="6"/>
  <c r="J1016" i="6"/>
  <c r="J1015" i="6"/>
  <c r="J1014" i="6"/>
  <c r="J1013" i="6"/>
  <c r="J1012" i="6"/>
  <c r="J1011" i="6"/>
  <c r="J1010" i="6"/>
  <c r="L833" i="6"/>
  <c r="AJ185" i="15" s="1"/>
  <c r="L827" i="6"/>
  <c r="AJ183" i="15" s="1"/>
  <c r="L821" i="6"/>
  <c r="AJ181" i="15" s="1"/>
  <c r="L815" i="6"/>
  <c r="AJ179" i="15" s="1"/>
  <c r="L811" i="6"/>
  <c r="AJ177" i="15" s="1"/>
  <c r="L808" i="6"/>
  <c r="AJ175" i="15" s="1"/>
  <c r="L805" i="6"/>
  <c r="AJ173" i="15" s="1"/>
  <c r="X967" i="6"/>
  <c r="X1165" i="6" s="1"/>
  <c r="L799" i="6"/>
  <c r="AJ171" i="15" s="1"/>
  <c r="X966" i="6"/>
  <c r="X1163" i="6" s="1"/>
  <c r="L797" i="6"/>
  <c r="AJ170" i="15" s="1"/>
  <c r="X965" i="6"/>
  <c r="X1159" i="6" s="1"/>
  <c r="L817" i="6"/>
  <c r="AJ180" i="15" s="1"/>
  <c r="X964" i="6"/>
  <c r="X1174" i="6" s="1"/>
  <c r="L813" i="6"/>
  <c r="AJ178" i="15" s="1"/>
  <c r="X963" i="6"/>
  <c r="X1155" i="6" s="1"/>
  <c r="L789" i="6"/>
  <c r="AJ167" i="15" s="1"/>
  <c r="X962" i="6"/>
  <c r="X1154" i="6" s="1"/>
  <c r="X961" i="6"/>
  <c r="X1152" i="6" s="1"/>
  <c r="L803" i="6"/>
  <c r="AJ172" i="15" s="1"/>
  <c r="J939" i="6"/>
  <c r="J938" i="6"/>
  <c r="J937" i="6"/>
  <c r="J936" i="6"/>
  <c r="J935" i="6"/>
  <c r="J934" i="6"/>
  <c r="J933" i="6"/>
  <c r="J932" i="6"/>
  <c r="J931" i="6"/>
  <c r="J930" i="6"/>
  <c r="J929" i="6"/>
  <c r="J928" i="6"/>
  <c r="J927" i="6"/>
  <c r="J926" i="6"/>
  <c r="J918" i="6"/>
  <c r="J917" i="6"/>
  <c r="J916" i="6"/>
  <c r="J915" i="6"/>
  <c r="J914" i="6"/>
  <c r="J913" i="6"/>
  <c r="J912" i="6"/>
  <c r="J911" i="6"/>
  <c r="J910" i="6"/>
  <c r="J909" i="6"/>
  <c r="J908" i="6"/>
  <c r="J907" i="6"/>
  <c r="J906" i="6"/>
  <c r="J905" i="6"/>
  <c r="F869" i="6"/>
  <c r="F890" i="6" s="1"/>
  <c r="F911" i="6" s="1"/>
  <c r="F932" i="6" s="1"/>
  <c r="F953" i="6" s="1"/>
  <c r="F974" i="6" s="1"/>
  <c r="F995" i="6" s="1"/>
  <c r="F1016" i="6" s="1"/>
  <c r="F1037" i="6" s="1"/>
  <c r="F1058" i="6" s="1"/>
  <c r="F868" i="6"/>
  <c r="F889" i="6" s="1"/>
  <c r="F910" i="6" s="1"/>
  <c r="F931" i="6" s="1"/>
  <c r="F952" i="6" s="1"/>
  <c r="F973" i="6" s="1"/>
  <c r="F994" i="6" s="1"/>
  <c r="F1015" i="6" s="1"/>
  <c r="F1036" i="6" s="1"/>
  <c r="F1057" i="6" s="1"/>
  <c r="F867" i="6"/>
  <c r="F888" i="6" s="1"/>
  <c r="F909" i="6" s="1"/>
  <c r="F930" i="6" s="1"/>
  <c r="F951" i="6" s="1"/>
  <c r="F972" i="6" s="1"/>
  <c r="F993" i="6" s="1"/>
  <c r="F1014" i="6" s="1"/>
  <c r="F1035" i="6" s="1"/>
  <c r="F1056" i="6" s="1"/>
  <c r="F866" i="6"/>
  <c r="F887" i="6" s="1"/>
  <c r="F908" i="6" s="1"/>
  <c r="F929" i="6" s="1"/>
  <c r="F950" i="6" s="1"/>
  <c r="F971" i="6" s="1"/>
  <c r="F992" i="6" s="1"/>
  <c r="F1013" i="6" s="1"/>
  <c r="F1034" i="6" s="1"/>
  <c r="F1055" i="6" s="1"/>
  <c r="F865" i="6"/>
  <c r="F886" i="6" s="1"/>
  <c r="F907" i="6" s="1"/>
  <c r="F928" i="6" s="1"/>
  <c r="F949" i="6" s="1"/>
  <c r="F970" i="6" s="1"/>
  <c r="F991" i="6" s="1"/>
  <c r="F1012" i="6" s="1"/>
  <c r="F1033" i="6" s="1"/>
  <c r="F1054" i="6" s="1"/>
  <c r="F864" i="6"/>
  <c r="F885" i="6" s="1"/>
  <c r="F906" i="6" s="1"/>
  <c r="F927" i="6" s="1"/>
  <c r="F948" i="6" s="1"/>
  <c r="F969" i="6" s="1"/>
  <c r="F990" i="6" s="1"/>
  <c r="F1011" i="6" s="1"/>
  <c r="F1032" i="6" s="1"/>
  <c r="F1053" i="6" s="1"/>
  <c r="F863" i="6"/>
  <c r="F884" i="6" s="1"/>
  <c r="F905" i="6" s="1"/>
  <c r="F926" i="6" s="1"/>
  <c r="F947" i="6" s="1"/>
  <c r="F968" i="6" s="1"/>
  <c r="F989" i="6" s="1"/>
  <c r="F1010" i="6" s="1"/>
  <c r="F1031" i="6" s="1"/>
  <c r="F1052" i="6" s="1"/>
  <c r="X862" i="6"/>
  <c r="F862" i="6"/>
  <c r="F883" i="6" s="1"/>
  <c r="F904" i="6" s="1"/>
  <c r="F925" i="6" s="1"/>
  <c r="F946" i="6" s="1"/>
  <c r="F967" i="6" s="1"/>
  <c r="F988" i="6" s="1"/>
  <c r="F1009" i="6" s="1"/>
  <c r="F1030" i="6" s="1"/>
  <c r="F1051" i="6" s="1"/>
  <c r="X861" i="6"/>
  <c r="F861" i="6"/>
  <c r="F882" i="6" s="1"/>
  <c r="F903" i="6" s="1"/>
  <c r="F924" i="6" s="1"/>
  <c r="F945" i="6" s="1"/>
  <c r="F966" i="6" s="1"/>
  <c r="F987" i="6" s="1"/>
  <c r="F1008" i="6" s="1"/>
  <c r="F1029" i="6" s="1"/>
  <c r="F1050" i="6" s="1"/>
  <c r="X860" i="6"/>
  <c r="F860" i="6"/>
  <c r="F881" i="6" s="1"/>
  <c r="F902" i="6" s="1"/>
  <c r="F923" i="6" s="1"/>
  <c r="F944" i="6" s="1"/>
  <c r="F965" i="6" s="1"/>
  <c r="F986" i="6" s="1"/>
  <c r="F1007" i="6" s="1"/>
  <c r="F1028" i="6" s="1"/>
  <c r="F1049" i="6" s="1"/>
  <c r="X859" i="6"/>
  <c r="F859" i="6"/>
  <c r="F880" i="6" s="1"/>
  <c r="F901" i="6" s="1"/>
  <c r="F922" i="6" s="1"/>
  <c r="F943" i="6" s="1"/>
  <c r="F964" i="6" s="1"/>
  <c r="F985" i="6" s="1"/>
  <c r="F1006" i="6" s="1"/>
  <c r="F1027" i="6" s="1"/>
  <c r="F1048" i="6" s="1"/>
  <c r="X858" i="6"/>
  <c r="F858" i="6"/>
  <c r="F879" i="6" s="1"/>
  <c r="F900" i="6" s="1"/>
  <c r="F921" i="6" s="1"/>
  <c r="F942" i="6" s="1"/>
  <c r="F963" i="6" s="1"/>
  <c r="F984" i="6" s="1"/>
  <c r="F1005" i="6" s="1"/>
  <c r="F1026" i="6" s="1"/>
  <c r="F1047" i="6" s="1"/>
  <c r="F857" i="6"/>
  <c r="F878" i="6" s="1"/>
  <c r="F899" i="6" s="1"/>
  <c r="F920" i="6" s="1"/>
  <c r="F941" i="6" s="1"/>
  <c r="F962" i="6" s="1"/>
  <c r="F983" i="6" s="1"/>
  <c r="F1004" i="6" s="1"/>
  <c r="F1025" i="6" s="1"/>
  <c r="F1046" i="6" s="1"/>
  <c r="F856" i="6"/>
  <c r="F877" i="6" s="1"/>
  <c r="F898" i="6" s="1"/>
  <c r="F919" i="6" s="1"/>
  <c r="F940" i="6" s="1"/>
  <c r="F961" i="6" s="1"/>
  <c r="F982" i="6" s="1"/>
  <c r="F1003" i="6" s="1"/>
  <c r="F1024" i="6" s="1"/>
  <c r="F1045" i="6" s="1"/>
  <c r="AG855" i="6"/>
  <c r="AF855" i="6"/>
  <c r="AE855" i="6"/>
  <c r="AD855" i="6"/>
  <c r="AC855" i="6"/>
  <c r="AB855" i="6"/>
  <c r="AA855" i="6"/>
  <c r="Z855" i="6"/>
  <c r="Y855" i="6"/>
  <c r="X855" i="6"/>
  <c r="H836" i="6"/>
  <c r="F1116" i="6"/>
  <c r="H835" i="6"/>
  <c r="F1115" i="6"/>
  <c r="H834" i="6"/>
  <c r="F1114" i="6"/>
  <c r="H833" i="6"/>
  <c r="K832" i="6"/>
  <c r="BE832" i="6" s="1"/>
  <c r="J832" i="6"/>
  <c r="BC832" i="6" s="1"/>
  <c r="H832" i="6"/>
  <c r="K831" i="6"/>
  <c r="BE831" i="6" s="1"/>
  <c r="J831" i="6"/>
  <c r="J835" i="6" s="1"/>
  <c r="Y185" i="15" s="1"/>
  <c r="H831" i="6"/>
  <c r="K830" i="6"/>
  <c r="J830" i="6"/>
  <c r="BC830" i="6" s="1"/>
  <c r="H830" i="6"/>
  <c r="J829" i="6"/>
  <c r="J833" i="6" s="1"/>
  <c r="BC833" i="6" s="1"/>
  <c r="H829" i="6"/>
  <c r="H828" i="6"/>
  <c r="F1112" i="6"/>
  <c r="H827" i="6"/>
  <c r="K826" i="6"/>
  <c r="J826" i="6"/>
  <c r="H826" i="6"/>
  <c r="J825" i="6"/>
  <c r="H825" i="6"/>
  <c r="H824" i="6"/>
  <c r="F1110" i="6"/>
  <c r="H823" i="6"/>
  <c r="F1109" i="6"/>
  <c r="H822" i="6"/>
  <c r="F1108" i="6"/>
  <c r="H821" i="6"/>
  <c r="F1107" i="6"/>
  <c r="K820" i="6"/>
  <c r="BE820" i="6" s="1"/>
  <c r="J820" i="6"/>
  <c r="J824" i="6" s="1"/>
  <c r="BC824" i="6" s="1"/>
  <c r="H820" i="6"/>
  <c r="K819" i="6"/>
  <c r="BE819" i="6" s="1"/>
  <c r="J819" i="6"/>
  <c r="Y180" i="15" s="1"/>
  <c r="H819" i="6"/>
  <c r="K818" i="6"/>
  <c r="J818" i="6"/>
  <c r="H818" i="6"/>
  <c r="J817" i="6"/>
  <c r="X180" i="15" s="1"/>
  <c r="H817" i="6"/>
  <c r="H816" i="6"/>
  <c r="F1106" i="6"/>
  <c r="H815" i="6"/>
  <c r="G179" i="15"/>
  <c r="K814" i="6"/>
  <c r="BE814" i="6" s="1"/>
  <c r="J814" i="6"/>
  <c r="J816" i="6" s="1"/>
  <c r="BC816" i="6" s="1"/>
  <c r="H814" i="6"/>
  <c r="J813" i="6"/>
  <c r="J815" i="6" s="1"/>
  <c r="H813" i="6"/>
  <c r="H812" i="6"/>
  <c r="F1104" i="6"/>
  <c r="H811" i="6"/>
  <c r="F872" i="6"/>
  <c r="F893" i="6" s="1"/>
  <c r="F914" i="6" s="1"/>
  <c r="F935" i="6" s="1"/>
  <c r="F956" i="6" s="1"/>
  <c r="F977" i="6" s="1"/>
  <c r="F998" i="6" s="1"/>
  <c r="F1019" i="6" s="1"/>
  <c r="F1040" i="6" s="1"/>
  <c r="F1061" i="6" s="1"/>
  <c r="K810" i="6"/>
  <c r="J810" i="6"/>
  <c r="BC810" i="6" s="1"/>
  <c r="H810" i="6"/>
  <c r="J809" i="6"/>
  <c r="BC809" i="6" s="1"/>
  <c r="H809" i="6"/>
  <c r="H808" i="6"/>
  <c r="F1102" i="6"/>
  <c r="J807" i="6"/>
  <c r="BC807" i="6" s="1"/>
  <c r="H807" i="6"/>
  <c r="H806" i="6"/>
  <c r="F1101" i="6"/>
  <c r="H805" i="6"/>
  <c r="G173" i="15"/>
  <c r="K804" i="6"/>
  <c r="BE804" i="6" s="1"/>
  <c r="J804" i="6"/>
  <c r="J806" i="6" s="1"/>
  <c r="BC806" i="6" s="1"/>
  <c r="H804" i="6"/>
  <c r="J803" i="6"/>
  <c r="H803" i="6"/>
  <c r="I803" i="6" s="1"/>
  <c r="Q172" i="15" s="1"/>
  <c r="O172" i="15" s="1"/>
  <c r="K802" i="6"/>
  <c r="BE802" i="6" s="1"/>
  <c r="J802" i="6"/>
  <c r="BC802" i="6" s="1"/>
  <c r="BD802" i="6" s="1"/>
  <c r="AH171" i="15" s="1"/>
  <c r="H802" i="6"/>
  <c r="I802" i="6" s="1"/>
  <c r="T171" i="15" s="1"/>
  <c r="N171" i="15"/>
  <c r="K801" i="6"/>
  <c r="BE801" i="6" s="1"/>
  <c r="J801" i="6"/>
  <c r="Y171" i="15" s="1"/>
  <c r="H801" i="6"/>
  <c r="I801" i="6" s="1"/>
  <c r="S171" i="15" s="1"/>
  <c r="M171" i="15"/>
  <c r="K800" i="6"/>
  <c r="BE800" i="6" s="1"/>
  <c r="J800" i="6"/>
  <c r="BC800" i="6" s="1"/>
  <c r="BD800" i="6" s="1"/>
  <c r="AF171" i="15" s="1"/>
  <c r="H800" i="6"/>
  <c r="I800" i="6" s="1"/>
  <c r="R171" i="15" s="1"/>
  <c r="J799" i="6"/>
  <c r="H799" i="6"/>
  <c r="I799" i="6" s="1"/>
  <c r="Q171" i="15" s="1"/>
  <c r="K798" i="6"/>
  <c r="BE798" i="6" s="1"/>
  <c r="J798" i="6"/>
  <c r="BC798" i="6" s="1"/>
  <c r="BD798" i="6" s="1"/>
  <c r="AF170" i="15" s="1"/>
  <c r="H798" i="6"/>
  <c r="I798" i="6" s="1"/>
  <c r="R170" i="15" s="1"/>
  <c r="J797" i="6"/>
  <c r="X170" i="15" s="1"/>
  <c r="Z170" i="15" s="1"/>
  <c r="H797" i="6"/>
  <c r="I797" i="6" s="1"/>
  <c r="Q170" i="15" s="1"/>
  <c r="K796" i="6"/>
  <c r="BE796" i="6" s="1"/>
  <c r="J796" i="6"/>
  <c r="BC796" i="6" s="1"/>
  <c r="BD796" i="6" s="1"/>
  <c r="AH169" i="15" s="1"/>
  <c r="H796" i="6"/>
  <c r="I796" i="6" s="1"/>
  <c r="T169" i="15" s="1"/>
  <c r="N169" i="15"/>
  <c r="K795" i="6"/>
  <c r="BE795" i="6" s="1"/>
  <c r="J795" i="6"/>
  <c r="BC795" i="6" s="1"/>
  <c r="BD795" i="6" s="1"/>
  <c r="AG169" i="15" s="1"/>
  <c r="H795" i="6"/>
  <c r="I795" i="6" s="1"/>
  <c r="S169" i="15" s="1"/>
  <c r="K794" i="6"/>
  <c r="BE794" i="6" s="1"/>
  <c r="J794" i="6"/>
  <c r="BC794" i="6" s="1"/>
  <c r="BD794" i="6" s="1"/>
  <c r="AF169" i="15" s="1"/>
  <c r="H794" i="6"/>
  <c r="I794" i="6" s="1"/>
  <c r="R169" i="15" s="1"/>
  <c r="J793" i="6"/>
  <c r="BC793" i="6" s="1"/>
  <c r="H793" i="6"/>
  <c r="I793" i="6" s="1"/>
  <c r="Q169" i="15" s="1"/>
  <c r="K792" i="6"/>
  <c r="BE792" i="6" s="1"/>
  <c r="J792" i="6"/>
  <c r="BC792" i="6" s="1"/>
  <c r="BD792" i="6" s="1"/>
  <c r="AF168" i="15" s="1"/>
  <c r="H792" i="6"/>
  <c r="I792" i="6" s="1"/>
  <c r="R168" i="15" s="1"/>
  <c r="J791" i="6"/>
  <c r="X168" i="15" s="1"/>
  <c r="Z168" i="15" s="1"/>
  <c r="H791" i="6"/>
  <c r="I791" i="6" s="1"/>
  <c r="Q168" i="15" s="1"/>
  <c r="K790" i="6"/>
  <c r="BE790" i="6" s="1"/>
  <c r="J790" i="6"/>
  <c r="BC790" i="6" s="1"/>
  <c r="BD790" i="6" s="1"/>
  <c r="AF167" i="15" s="1"/>
  <c r="H790" i="6"/>
  <c r="I790" i="6" s="1"/>
  <c r="R167" i="15" s="1"/>
  <c r="J789" i="6"/>
  <c r="X167" i="15" s="1"/>
  <c r="Z167" i="15" s="1"/>
  <c r="H789" i="6"/>
  <c r="I789" i="6" s="1"/>
  <c r="Q167" i="15" s="1"/>
  <c r="K167" i="15"/>
  <c r="J788" i="6"/>
  <c r="BC788" i="6" s="1"/>
  <c r="BD788" i="6" s="1"/>
  <c r="AE166" i="15" s="1"/>
  <c r="AC166" i="15" s="1"/>
  <c r="H788" i="6"/>
  <c r="I788" i="6" s="1"/>
  <c r="Q166" i="15" s="1"/>
  <c r="W166" i="15" s="1"/>
  <c r="K166" i="15"/>
  <c r="I166" i="15" s="1"/>
  <c r="K787" i="6"/>
  <c r="BE787" i="6" s="1"/>
  <c r="J787" i="6"/>
  <c r="BC787" i="6" s="1"/>
  <c r="BD787" i="6" s="1"/>
  <c r="AG165" i="15" s="1"/>
  <c r="AD165" i="15" s="1"/>
  <c r="H787" i="6"/>
  <c r="I787" i="6" s="1"/>
  <c r="S165" i="15" s="1"/>
  <c r="P165" i="15" s="1"/>
  <c r="W165" i="15" s="1"/>
  <c r="M165" i="15"/>
  <c r="J165" i="15" s="1"/>
  <c r="J786" i="6"/>
  <c r="X165" i="15" s="1"/>
  <c r="H786" i="6"/>
  <c r="I786" i="6" s="1"/>
  <c r="Q165" i="15" s="1"/>
  <c r="O165" i="15" s="1"/>
  <c r="BE785" i="6"/>
  <c r="BD785" i="6"/>
  <c r="BC785" i="6"/>
  <c r="BB785" i="6"/>
  <c r="V782" i="6"/>
  <c r="J743" i="6"/>
  <c r="K154" i="6" s="1"/>
  <c r="BE154" i="6" s="1"/>
  <c r="J742" i="6"/>
  <c r="K153" i="6" s="1"/>
  <c r="BE153" i="6" s="1"/>
  <c r="J737" i="6"/>
  <c r="K148" i="6" s="1"/>
  <c r="BE148" i="6" s="1"/>
  <c r="J734" i="6"/>
  <c r="K145" i="6" s="1"/>
  <c r="BE145" i="6" s="1"/>
  <c r="X733" i="6"/>
  <c r="J733" i="6"/>
  <c r="K144" i="6" s="1"/>
  <c r="BE144" i="6" s="1"/>
  <c r="J728" i="6"/>
  <c r="K139" i="6" s="1"/>
  <c r="J725" i="6"/>
  <c r="K136" i="6" s="1"/>
  <c r="BE136" i="6" s="1"/>
  <c r="J724" i="6"/>
  <c r="K135" i="6" s="1"/>
  <c r="BE135" i="6" s="1"/>
  <c r="J719" i="6"/>
  <c r="K130" i="6" s="1"/>
  <c r="BE130" i="6" s="1"/>
  <c r="J716" i="6"/>
  <c r="K127" i="6" s="1"/>
  <c r="BE127" i="6" s="1"/>
  <c r="J715" i="6"/>
  <c r="K126" i="6" s="1"/>
  <c r="BE126" i="6" s="1"/>
  <c r="D708" i="6"/>
  <c r="V708" i="6" s="1"/>
  <c r="E636" i="6"/>
  <c r="E1118" i="6" s="1"/>
  <c r="D636" i="6"/>
  <c r="D1118" i="6" s="1"/>
  <c r="V1118" i="6" s="1"/>
  <c r="X592" i="6"/>
  <c r="X591" i="6"/>
  <c r="X590" i="6"/>
  <c r="X583" i="6"/>
  <c r="X582" i="6"/>
  <c r="X581" i="6"/>
  <c r="X574" i="6"/>
  <c r="X719" i="6" s="1"/>
  <c r="X573" i="6"/>
  <c r="X572" i="6"/>
  <c r="X565" i="6"/>
  <c r="X564" i="6"/>
  <c r="X563" i="6"/>
  <c r="V563" i="6"/>
  <c r="V491" i="6"/>
  <c r="X453" i="6"/>
  <c r="X450" i="6"/>
  <c r="X449" i="6"/>
  <c r="X448" i="6"/>
  <c r="X447" i="6"/>
  <c r="X446" i="6"/>
  <c r="X421" i="6"/>
  <c r="V419" i="6"/>
  <c r="L348" i="6"/>
  <c r="L349" i="6" s="1"/>
  <c r="L350" i="6" s="1"/>
  <c r="L351" i="6" s="1"/>
  <c r="L354" i="6" s="1"/>
  <c r="L356" i="6" s="1"/>
  <c r="L357" i="6" s="1"/>
  <c r="L358" i="6" s="1"/>
  <c r="L359" i="6" s="1"/>
  <c r="L360" i="6" s="1"/>
  <c r="L363" i="6" s="1"/>
  <c r="L365" i="6" s="1"/>
  <c r="L366" i="6" s="1"/>
  <c r="L367" i="6" s="1"/>
  <c r="L368" i="6" s="1"/>
  <c r="L369" i="6" s="1"/>
  <c r="L372" i="6" s="1"/>
  <c r="L374" i="6" s="1"/>
  <c r="L375" i="6" s="1"/>
  <c r="L376" i="6" s="1"/>
  <c r="L377" i="6" s="1"/>
  <c r="L378" i="6" s="1"/>
  <c r="L381" i="6" s="1"/>
  <c r="V347" i="6"/>
  <c r="X309" i="6"/>
  <c r="X742" i="6" s="1"/>
  <c r="K742" i="6"/>
  <c r="L152" i="6"/>
  <c r="X306" i="6"/>
  <c r="K739" i="6"/>
  <c r="X305" i="6"/>
  <c r="K738" i="6"/>
  <c r="X304" i="6"/>
  <c r="X303" i="6"/>
  <c r="X302" i="6"/>
  <c r="K734" i="6"/>
  <c r="L144" i="6"/>
  <c r="AJ133" i="15" s="1"/>
  <c r="K732" i="6"/>
  <c r="K731" i="6"/>
  <c r="K730" i="6"/>
  <c r="L140" i="6"/>
  <c r="AJ131" i="15" s="1"/>
  <c r="X295" i="6"/>
  <c r="X294" i="6"/>
  <c r="X293" i="6"/>
  <c r="K725" i="6"/>
  <c r="X291" i="6"/>
  <c r="X724" i="6" s="1"/>
  <c r="K724" i="6"/>
  <c r="L134" i="6"/>
  <c r="K722" i="6"/>
  <c r="X288" i="6"/>
  <c r="K721" i="6"/>
  <c r="X287" i="6"/>
  <c r="K720" i="6"/>
  <c r="X286" i="6"/>
  <c r="X285" i="6"/>
  <c r="X284" i="6"/>
  <c r="L128" i="6"/>
  <c r="AJ123" i="15" s="1"/>
  <c r="K715" i="6"/>
  <c r="K713" i="6"/>
  <c r="K712" i="6"/>
  <c r="K711" i="6"/>
  <c r="X277" i="6"/>
  <c r="X276" i="6"/>
  <c r="L120" i="6"/>
  <c r="X275" i="6"/>
  <c r="K708" i="6"/>
  <c r="J238" i="6"/>
  <c r="F154" i="6" s="1"/>
  <c r="I238" i="6"/>
  <c r="I310" i="6" s="1"/>
  <c r="I382" i="6" s="1"/>
  <c r="I454" i="6" s="1"/>
  <c r="I526" i="6" s="1"/>
  <c r="I598" i="6" s="1"/>
  <c r="I671" i="6" s="1"/>
  <c r="I743" i="6" s="1"/>
  <c r="X237" i="6"/>
  <c r="I237" i="6"/>
  <c r="I309" i="6" s="1"/>
  <c r="I381" i="6" s="1"/>
  <c r="I453" i="6" s="1"/>
  <c r="I525" i="6" s="1"/>
  <c r="I597" i="6" s="1"/>
  <c r="I670" i="6" s="1"/>
  <c r="I742" i="6" s="1"/>
  <c r="F237" i="6"/>
  <c r="F309" i="6" s="1"/>
  <c r="F381" i="6" s="1"/>
  <c r="F453" i="6" s="1"/>
  <c r="F525" i="6" s="1"/>
  <c r="F597" i="6" s="1"/>
  <c r="F670" i="6" s="1"/>
  <c r="F742" i="6" s="1"/>
  <c r="J236" i="6"/>
  <c r="F152" i="6" s="1"/>
  <c r="I236" i="6"/>
  <c r="I308" i="6" s="1"/>
  <c r="I380" i="6" s="1"/>
  <c r="I452" i="6" s="1"/>
  <c r="I524" i="6" s="1"/>
  <c r="I596" i="6" s="1"/>
  <c r="I669" i="6" s="1"/>
  <c r="I741" i="6" s="1"/>
  <c r="J235" i="6"/>
  <c r="F151" i="6" s="1"/>
  <c r="I235" i="6"/>
  <c r="I307" i="6" s="1"/>
  <c r="I379" i="6" s="1"/>
  <c r="I451" i="6" s="1"/>
  <c r="I523" i="6" s="1"/>
  <c r="I595" i="6" s="1"/>
  <c r="I668" i="6" s="1"/>
  <c r="I740" i="6" s="1"/>
  <c r="X234" i="6"/>
  <c r="I234" i="6"/>
  <c r="I306" i="6" s="1"/>
  <c r="I378" i="6" s="1"/>
  <c r="I450" i="6" s="1"/>
  <c r="I522" i="6" s="1"/>
  <c r="I594" i="6" s="1"/>
  <c r="I667" i="6" s="1"/>
  <c r="I739" i="6" s="1"/>
  <c r="F234" i="6"/>
  <c r="F306" i="6" s="1"/>
  <c r="F378" i="6" s="1"/>
  <c r="F450" i="6" s="1"/>
  <c r="F522" i="6" s="1"/>
  <c r="F594" i="6" s="1"/>
  <c r="F667" i="6" s="1"/>
  <c r="F739" i="6" s="1"/>
  <c r="X233" i="6"/>
  <c r="I233" i="6"/>
  <c r="I305" i="6" s="1"/>
  <c r="I377" i="6" s="1"/>
  <c r="I449" i="6" s="1"/>
  <c r="I521" i="6" s="1"/>
  <c r="I593" i="6" s="1"/>
  <c r="I666" i="6" s="1"/>
  <c r="I738" i="6" s="1"/>
  <c r="F233" i="6"/>
  <c r="F305" i="6" s="1"/>
  <c r="F377" i="6" s="1"/>
  <c r="F449" i="6" s="1"/>
  <c r="F521" i="6" s="1"/>
  <c r="F593" i="6" s="1"/>
  <c r="F666" i="6" s="1"/>
  <c r="F738" i="6" s="1"/>
  <c r="X232" i="6"/>
  <c r="I232" i="6"/>
  <c r="I304" i="6" s="1"/>
  <c r="I376" i="6" s="1"/>
  <c r="I448" i="6" s="1"/>
  <c r="I520" i="6" s="1"/>
  <c r="I592" i="6" s="1"/>
  <c r="I665" i="6" s="1"/>
  <c r="I737" i="6" s="1"/>
  <c r="F232" i="6"/>
  <c r="F304" i="6" s="1"/>
  <c r="F376" i="6" s="1"/>
  <c r="F448" i="6" s="1"/>
  <c r="F520" i="6" s="1"/>
  <c r="F592" i="6" s="1"/>
  <c r="F665" i="6" s="1"/>
  <c r="F737" i="6" s="1"/>
  <c r="X231" i="6"/>
  <c r="I231" i="6"/>
  <c r="I303" i="6" s="1"/>
  <c r="I375" i="6" s="1"/>
  <c r="I447" i="6" s="1"/>
  <c r="I519" i="6" s="1"/>
  <c r="I591" i="6" s="1"/>
  <c r="I664" i="6" s="1"/>
  <c r="I736" i="6" s="1"/>
  <c r="F231" i="6"/>
  <c r="F303" i="6" s="1"/>
  <c r="F375" i="6" s="1"/>
  <c r="F447" i="6" s="1"/>
  <c r="F519" i="6" s="1"/>
  <c r="F591" i="6" s="1"/>
  <c r="F664" i="6" s="1"/>
  <c r="F736" i="6" s="1"/>
  <c r="X230" i="6"/>
  <c r="I230" i="6"/>
  <c r="I302" i="6" s="1"/>
  <c r="I374" i="6" s="1"/>
  <c r="I446" i="6" s="1"/>
  <c r="I518" i="6" s="1"/>
  <c r="I590" i="6" s="1"/>
  <c r="I663" i="6" s="1"/>
  <c r="I735" i="6" s="1"/>
  <c r="F230" i="6"/>
  <c r="F302" i="6" s="1"/>
  <c r="F374" i="6" s="1"/>
  <c r="F446" i="6" s="1"/>
  <c r="F518" i="6" s="1"/>
  <c r="F590" i="6" s="1"/>
  <c r="F663" i="6" s="1"/>
  <c r="F735" i="6" s="1"/>
  <c r="J229" i="6"/>
  <c r="F145" i="6" s="1"/>
  <c r="I229" i="6"/>
  <c r="I301" i="6" s="1"/>
  <c r="I373" i="6" s="1"/>
  <c r="I445" i="6" s="1"/>
  <c r="I517" i="6" s="1"/>
  <c r="I589" i="6" s="1"/>
  <c r="I662" i="6" s="1"/>
  <c r="I734" i="6" s="1"/>
  <c r="I228" i="6"/>
  <c r="I300" i="6" s="1"/>
  <c r="I372" i="6" s="1"/>
  <c r="I444" i="6" s="1"/>
  <c r="I516" i="6" s="1"/>
  <c r="I588" i="6" s="1"/>
  <c r="I661" i="6" s="1"/>
  <c r="I733" i="6" s="1"/>
  <c r="F228" i="6"/>
  <c r="F300" i="6" s="1"/>
  <c r="F372" i="6" s="1"/>
  <c r="F444" i="6" s="1"/>
  <c r="F516" i="6" s="1"/>
  <c r="F588" i="6" s="1"/>
  <c r="F661" i="6" s="1"/>
  <c r="F733" i="6" s="1"/>
  <c r="J227" i="6"/>
  <c r="F143" i="6" s="1"/>
  <c r="I227" i="6"/>
  <c r="I299" i="6" s="1"/>
  <c r="I371" i="6" s="1"/>
  <c r="I443" i="6" s="1"/>
  <c r="I515" i="6" s="1"/>
  <c r="I587" i="6" s="1"/>
  <c r="I660" i="6" s="1"/>
  <c r="I732" i="6" s="1"/>
  <c r="J226" i="6"/>
  <c r="F142" i="6" s="1"/>
  <c r="I226" i="6"/>
  <c r="I298" i="6" s="1"/>
  <c r="I370" i="6" s="1"/>
  <c r="I442" i="6" s="1"/>
  <c r="I514" i="6" s="1"/>
  <c r="I586" i="6" s="1"/>
  <c r="I659" i="6" s="1"/>
  <c r="I731" i="6" s="1"/>
  <c r="I225" i="6"/>
  <c r="I297" i="6" s="1"/>
  <c r="I369" i="6" s="1"/>
  <c r="I441" i="6" s="1"/>
  <c r="I513" i="6" s="1"/>
  <c r="I585" i="6" s="1"/>
  <c r="I658" i="6" s="1"/>
  <c r="I730" i="6" s="1"/>
  <c r="F225" i="6"/>
  <c r="F297" i="6" s="1"/>
  <c r="F369" i="6" s="1"/>
  <c r="F441" i="6" s="1"/>
  <c r="F513" i="6" s="1"/>
  <c r="F585" i="6" s="1"/>
  <c r="F658" i="6" s="1"/>
  <c r="F730" i="6" s="1"/>
  <c r="I224" i="6"/>
  <c r="I296" i="6" s="1"/>
  <c r="I368" i="6" s="1"/>
  <c r="I440" i="6" s="1"/>
  <c r="I512" i="6" s="1"/>
  <c r="I584" i="6" s="1"/>
  <c r="I657" i="6" s="1"/>
  <c r="I729" i="6" s="1"/>
  <c r="F224" i="6"/>
  <c r="F296" i="6" s="1"/>
  <c r="F368" i="6" s="1"/>
  <c r="F440" i="6" s="1"/>
  <c r="F512" i="6" s="1"/>
  <c r="F584" i="6" s="1"/>
  <c r="F657" i="6" s="1"/>
  <c r="F729" i="6" s="1"/>
  <c r="X223" i="6"/>
  <c r="I223" i="6"/>
  <c r="I295" i="6" s="1"/>
  <c r="I367" i="6" s="1"/>
  <c r="I439" i="6" s="1"/>
  <c r="I511" i="6" s="1"/>
  <c r="I583" i="6" s="1"/>
  <c r="I656" i="6" s="1"/>
  <c r="I728" i="6" s="1"/>
  <c r="F223" i="6"/>
  <c r="F295" i="6" s="1"/>
  <c r="F367" i="6" s="1"/>
  <c r="F439" i="6" s="1"/>
  <c r="F511" i="6" s="1"/>
  <c r="F583" i="6" s="1"/>
  <c r="F656" i="6" s="1"/>
  <c r="F728" i="6" s="1"/>
  <c r="X222" i="6"/>
  <c r="I222" i="6"/>
  <c r="I294" i="6" s="1"/>
  <c r="I366" i="6" s="1"/>
  <c r="I438" i="6" s="1"/>
  <c r="I510" i="6" s="1"/>
  <c r="I582" i="6" s="1"/>
  <c r="I655" i="6" s="1"/>
  <c r="I727" i="6" s="1"/>
  <c r="F222" i="6"/>
  <c r="F294" i="6" s="1"/>
  <c r="F366" i="6" s="1"/>
  <c r="F438" i="6" s="1"/>
  <c r="F510" i="6" s="1"/>
  <c r="F582" i="6" s="1"/>
  <c r="F655" i="6" s="1"/>
  <c r="F727" i="6" s="1"/>
  <c r="X221" i="6"/>
  <c r="I221" i="6"/>
  <c r="I293" i="6" s="1"/>
  <c r="I365" i="6" s="1"/>
  <c r="I437" i="6" s="1"/>
  <c r="I509" i="6" s="1"/>
  <c r="I581" i="6" s="1"/>
  <c r="I654" i="6" s="1"/>
  <c r="I726" i="6" s="1"/>
  <c r="F221" i="6"/>
  <c r="F293" i="6" s="1"/>
  <c r="F365" i="6" s="1"/>
  <c r="F437" i="6" s="1"/>
  <c r="F509" i="6" s="1"/>
  <c r="F581" i="6" s="1"/>
  <c r="F654" i="6" s="1"/>
  <c r="F726" i="6" s="1"/>
  <c r="J220" i="6"/>
  <c r="F136" i="6" s="1"/>
  <c r="I220" i="6"/>
  <c r="I292" i="6" s="1"/>
  <c r="I364" i="6" s="1"/>
  <c r="I436" i="6" s="1"/>
  <c r="I508" i="6" s="1"/>
  <c r="I580" i="6" s="1"/>
  <c r="I653" i="6" s="1"/>
  <c r="I725" i="6" s="1"/>
  <c r="I219" i="6"/>
  <c r="I291" i="6" s="1"/>
  <c r="I363" i="6" s="1"/>
  <c r="I435" i="6" s="1"/>
  <c r="I507" i="6" s="1"/>
  <c r="I579" i="6" s="1"/>
  <c r="I652" i="6" s="1"/>
  <c r="I724" i="6" s="1"/>
  <c r="F219" i="6"/>
  <c r="F291" i="6" s="1"/>
  <c r="F363" i="6" s="1"/>
  <c r="F435" i="6" s="1"/>
  <c r="F507" i="6" s="1"/>
  <c r="F579" i="6" s="1"/>
  <c r="F652" i="6" s="1"/>
  <c r="F724" i="6" s="1"/>
  <c r="J218" i="6"/>
  <c r="F134" i="6" s="1"/>
  <c r="I218" i="6"/>
  <c r="I290" i="6" s="1"/>
  <c r="I362" i="6" s="1"/>
  <c r="I434" i="6" s="1"/>
  <c r="I506" i="6" s="1"/>
  <c r="I578" i="6" s="1"/>
  <c r="I651" i="6" s="1"/>
  <c r="I723" i="6" s="1"/>
  <c r="R218" i="6"/>
  <c r="J217" i="6"/>
  <c r="F133" i="6" s="1"/>
  <c r="I217" i="6"/>
  <c r="I289" i="6" s="1"/>
  <c r="I361" i="6" s="1"/>
  <c r="I433" i="6" s="1"/>
  <c r="I505" i="6" s="1"/>
  <c r="I577" i="6" s="1"/>
  <c r="I650" i="6" s="1"/>
  <c r="I722" i="6" s="1"/>
  <c r="R217" i="6"/>
  <c r="Q216" i="6" s="1"/>
  <c r="I216" i="6"/>
  <c r="I288" i="6" s="1"/>
  <c r="I360" i="6" s="1"/>
  <c r="I432" i="6" s="1"/>
  <c r="I504" i="6" s="1"/>
  <c r="I576" i="6" s="1"/>
  <c r="I649" i="6" s="1"/>
  <c r="I721" i="6" s="1"/>
  <c r="F216" i="6"/>
  <c r="F288" i="6" s="1"/>
  <c r="F360" i="6" s="1"/>
  <c r="F432" i="6" s="1"/>
  <c r="F504" i="6" s="1"/>
  <c r="F576" i="6" s="1"/>
  <c r="F649" i="6" s="1"/>
  <c r="F721" i="6" s="1"/>
  <c r="I215" i="6"/>
  <c r="I287" i="6" s="1"/>
  <c r="I359" i="6" s="1"/>
  <c r="I431" i="6" s="1"/>
  <c r="I503" i="6" s="1"/>
  <c r="I575" i="6" s="1"/>
  <c r="I648" i="6" s="1"/>
  <c r="I720" i="6" s="1"/>
  <c r="F215" i="6"/>
  <c r="F287" i="6" s="1"/>
  <c r="F359" i="6" s="1"/>
  <c r="F431" i="6" s="1"/>
  <c r="F503" i="6" s="1"/>
  <c r="F575" i="6" s="1"/>
  <c r="F648" i="6" s="1"/>
  <c r="F720" i="6" s="1"/>
  <c r="X214" i="6"/>
  <c r="I214" i="6"/>
  <c r="I286" i="6" s="1"/>
  <c r="I358" i="6" s="1"/>
  <c r="I430" i="6" s="1"/>
  <c r="I502" i="6" s="1"/>
  <c r="I574" i="6" s="1"/>
  <c r="I647" i="6" s="1"/>
  <c r="I719" i="6" s="1"/>
  <c r="F214" i="6"/>
  <c r="F286" i="6" s="1"/>
  <c r="F358" i="6" s="1"/>
  <c r="F430" i="6" s="1"/>
  <c r="F502" i="6" s="1"/>
  <c r="F574" i="6" s="1"/>
  <c r="F647" i="6" s="1"/>
  <c r="F719" i="6" s="1"/>
  <c r="X213" i="6"/>
  <c r="I213" i="6"/>
  <c r="I285" i="6" s="1"/>
  <c r="I357" i="6" s="1"/>
  <c r="I429" i="6" s="1"/>
  <c r="I501" i="6" s="1"/>
  <c r="I573" i="6" s="1"/>
  <c r="I646" i="6" s="1"/>
  <c r="I718" i="6" s="1"/>
  <c r="F213" i="6"/>
  <c r="F285" i="6" s="1"/>
  <c r="F357" i="6" s="1"/>
  <c r="F429" i="6" s="1"/>
  <c r="F501" i="6" s="1"/>
  <c r="F573" i="6" s="1"/>
  <c r="F646" i="6" s="1"/>
  <c r="F718" i="6" s="1"/>
  <c r="X212" i="6"/>
  <c r="I212" i="6"/>
  <c r="I284" i="6" s="1"/>
  <c r="I356" i="6" s="1"/>
  <c r="I428" i="6" s="1"/>
  <c r="I500" i="6" s="1"/>
  <c r="I572" i="6" s="1"/>
  <c r="I645" i="6" s="1"/>
  <c r="I717" i="6" s="1"/>
  <c r="F212" i="6"/>
  <c r="F284" i="6" s="1"/>
  <c r="F356" i="6" s="1"/>
  <c r="F428" i="6" s="1"/>
  <c r="F500" i="6" s="1"/>
  <c r="F572" i="6" s="1"/>
  <c r="F645" i="6" s="1"/>
  <c r="F717" i="6" s="1"/>
  <c r="J211" i="6"/>
  <c r="F127" i="6" s="1"/>
  <c r="I211" i="6"/>
  <c r="I283" i="6" s="1"/>
  <c r="I355" i="6" s="1"/>
  <c r="I427" i="6" s="1"/>
  <c r="I499" i="6" s="1"/>
  <c r="I571" i="6" s="1"/>
  <c r="I644" i="6" s="1"/>
  <c r="I716" i="6" s="1"/>
  <c r="I210" i="6"/>
  <c r="I282" i="6" s="1"/>
  <c r="I354" i="6" s="1"/>
  <c r="I426" i="6" s="1"/>
  <c r="I498" i="6" s="1"/>
  <c r="I570" i="6" s="1"/>
  <c r="I643" i="6" s="1"/>
  <c r="I715" i="6" s="1"/>
  <c r="F210" i="6"/>
  <c r="F282" i="6" s="1"/>
  <c r="F354" i="6" s="1"/>
  <c r="F426" i="6" s="1"/>
  <c r="F498" i="6" s="1"/>
  <c r="F570" i="6" s="1"/>
  <c r="F643" i="6" s="1"/>
  <c r="F715" i="6" s="1"/>
  <c r="J209" i="6"/>
  <c r="F125" i="6" s="1"/>
  <c r="I209" i="6"/>
  <c r="I281" i="6" s="1"/>
  <c r="I353" i="6" s="1"/>
  <c r="I425" i="6" s="1"/>
  <c r="I497" i="6" s="1"/>
  <c r="I569" i="6" s="1"/>
  <c r="I642" i="6" s="1"/>
  <c r="I714" i="6" s="1"/>
  <c r="I208" i="6"/>
  <c r="I280" i="6" s="1"/>
  <c r="I352" i="6" s="1"/>
  <c r="I424" i="6" s="1"/>
  <c r="I496" i="6" s="1"/>
  <c r="I568" i="6" s="1"/>
  <c r="I641" i="6" s="1"/>
  <c r="I713" i="6" s="1"/>
  <c r="R207" i="6"/>
  <c r="J746" i="6" s="1"/>
  <c r="K157" i="6" s="1"/>
  <c r="BE157" i="6" s="1"/>
  <c r="I207" i="6"/>
  <c r="I279" i="6" s="1"/>
  <c r="I351" i="6" s="1"/>
  <c r="I423" i="6" s="1"/>
  <c r="I495" i="6" s="1"/>
  <c r="I567" i="6" s="1"/>
  <c r="I640" i="6" s="1"/>
  <c r="I712" i="6" s="1"/>
  <c r="F207" i="6"/>
  <c r="F279" i="6" s="1"/>
  <c r="F351" i="6" s="1"/>
  <c r="F423" i="6" s="1"/>
  <c r="F495" i="6" s="1"/>
  <c r="F567" i="6" s="1"/>
  <c r="F640" i="6" s="1"/>
  <c r="F712" i="6" s="1"/>
  <c r="I206" i="6"/>
  <c r="I278" i="6" s="1"/>
  <c r="I350" i="6" s="1"/>
  <c r="I422" i="6" s="1"/>
  <c r="I494" i="6" s="1"/>
  <c r="I566" i="6" s="1"/>
  <c r="I639" i="6" s="1"/>
  <c r="I711" i="6" s="1"/>
  <c r="F206" i="6"/>
  <c r="F278" i="6" s="1"/>
  <c r="F350" i="6" s="1"/>
  <c r="F422" i="6" s="1"/>
  <c r="F494" i="6" s="1"/>
  <c r="F566" i="6" s="1"/>
  <c r="F639" i="6" s="1"/>
  <c r="F711" i="6" s="1"/>
  <c r="X205" i="6"/>
  <c r="I205" i="6"/>
  <c r="I277" i="6" s="1"/>
  <c r="I349" i="6" s="1"/>
  <c r="I421" i="6" s="1"/>
  <c r="I493" i="6" s="1"/>
  <c r="I565" i="6" s="1"/>
  <c r="I638" i="6" s="1"/>
  <c r="I710" i="6" s="1"/>
  <c r="F205" i="6"/>
  <c r="F277" i="6" s="1"/>
  <c r="F349" i="6" s="1"/>
  <c r="F421" i="6" s="1"/>
  <c r="F493" i="6" s="1"/>
  <c r="F565" i="6" s="1"/>
  <c r="F638" i="6" s="1"/>
  <c r="F710" i="6" s="1"/>
  <c r="X204" i="6"/>
  <c r="I204" i="6"/>
  <c r="I276" i="6" s="1"/>
  <c r="I348" i="6" s="1"/>
  <c r="I420" i="6" s="1"/>
  <c r="I492" i="6" s="1"/>
  <c r="I564" i="6" s="1"/>
  <c r="I637" i="6" s="1"/>
  <c r="I709" i="6" s="1"/>
  <c r="F204" i="6"/>
  <c r="F276" i="6" s="1"/>
  <c r="F348" i="6" s="1"/>
  <c r="F420" i="6" s="1"/>
  <c r="F492" i="6" s="1"/>
  <c r="F564" i="6" s="1"/>
  <c r="F637" i="6" s="1"/>
  <c r="F709" i="6" s="1"/>
  <c r="X203" i="6"/>
  <c r="V203" i="6"/>
  <c r="I203" i="6"/>
  <c r="I275" i="6" s="1"/>
  <c r="I347" i="6" s="1"/>
  <c r="I419" i="6" s="1"/>
  <c r="I491" i="6" s="1"/>
  <c r="I563" i="6" s="1"/>
  <c r="I636" i="6" s="1"/>
  <c r="I708" i="6" s="1"/>
  <c r="F203" i="6"/>
  <c r="F275" i="6" s="1"/>
  <c r="F347" i="6" s="1"/>
  <c r="F419" i="6" s="1"/>
  <c r="F491" i="6" s="1"/>
  <c r="F563" i="6" s="1"/>
  <c r="F636" i="6" s="1"/>
  <c r="F708" i="6" s="1"/>
  <c r="AG202" i="6"/>
  <c r="AF202" i="6"/>
  <c r="AE202" i="6"/>
  <c r="AD202" i="6"/>
  <c r="AC202" i="6"/>
  <c r="AB202" i="6"/>
  <c r="AA202" i="6"/>
  <c r="Z202" i="6"/>
  <c r="Y202" i="6"/>
  <c r="X202" i="6"/>
  <c r="J154" i="6"/>
  <c r="BC154" i="6" s="1"/>
  <c r="H154" i="6"/>
  <c r="G140" i="15"/>
  <c r="J153" i="6"/>
  <c r="BC153" i="6" s="1"/>
  <c r="H153" i="6"/>
  <c r="K152" i="6"/>
  <c r="BE152" i="6" s="1"/>
  <c r="J152" i="6"/>
  <c r="BC152" i="6" s="1"/>
  <c r="H152" i="6"/>
  <c r="F236" i="6"/>
  <c r="F308" i="6" s="1"/>
  <c r="F380" i="6" s="1"/>
  <c r="F452" i="6" s="1"/>
  <c r="F524" i="6" s="1"/>
  <c r="F596" i="6" s="1"/>
  <c r="F669" i="6" s="1"/>
  <c r="F741" i="6" s="1"/>
  <c r="J151" i="6"/>
  <c r="BC151" i="6" s="1"/>
  <c r="H151" i="6"/>
  <c r="G138" i="15"/>
  <c r="K150" i="6"/>
  <c r="BE150" i="6" s="1"/>
  <c r="J150" i="6"/>
  <c r="H150" i="6"/>
  <c r="I150" i="6" s="1"/>
  <c r="S137" i="15" s="1"/>
  <c r="P137" i="15" s="1"/>
  <c r="W137" i="15" s="1"/>
  <c r="M137" i="15"/>
  <c r="J137" i="15" s="1"/>
  <c r="J149" i="6"/>
  <c r="X137" i="15" s="1"/>
  <c r="H149" i="6"/>
  <c r="I149" i="6" s="1"/>
  <c r="Q137" i="15" s="1"/>
  <c r="O137" i="15" s="1"/>
  <c r="K137" i="15"/>
  <c r="I137" i="15" s="1"/>
  <c r="J148" i="6"/>
  <c r="BC148" i="6" s="1"/>
  <c r="BD148" i="6" s="1"/>
  <c r="H148" i="6"/>
  <c r="I148" i="6" s="1"/>
  <c r="Q136" i="15" s="1"/>
  <c r="K147" i="6"/>
  <c r="BE147" i="6" s="1"/>
  <c r="J147" i="6"/>
  <c r="BC147" i="6" s="1"/>
  <c r="H147" i="6"/>
  <c r="I147" i="6" s="1"/>
  <c r="S135" i="15" s="1"/>
  <c r="P135" i="15" s="1"/>
  <c r="W135" i="15" s="1"/>
  <c r="J146" i="6"/>
  <c r="BC146" i="6" s="1"/>
  <c r="BD146" i="6" s="1"/>
  <c r="AE135" i="15" s="1"/>
  <c r="AC135" i="15" s="1"/>
  <c r="H146" i="6"/>
  <c r="I146" i="6" s="1"/>
  <c r="Q135" i="15" s="1"/>
  <c r="O135" i="15" s="1"/>
  <c r="BC145" i="6"/>
  <c r="H145" i="6"/>
  <c r="G134" i="15"/>
  <c r="J144" i="6"/>
  <c r="H144" i="6"/>
  <c r="I144" i="6" s="1"/>
  <c r="Q133" i="15" s="1"/>
  <c r="K143" i="6"/>
  <c r="BE143" i="6" s="1"/>
  <c r="J143" i="6"/>
  <c r="H143" i="6"/>
  <c r="F227" i="6"/>
  <c r="F299" i="6" s="1"/>
  <c r="F371" i="6" s="1"/>
  <c r="F443" i="6" s="1"/>
  <c r="F515" i="6" s="1"/>
  <c r="F587" i="6" s="1"/>
  <c r="F660" i="6" s="1"/>
  <c r="F732" i="6" s="1"/>
  <c r="J142" i="6"/>
  <c r="BC142" i="6" s="1"/>
  <c r="H142" i="6"/>
  <c r="G132" i="15"/>
  <c r="K141" i="6"/>
  <c r="BE141" i="6" s="1"/>
  <c r="J141" i="6"/>
  <c r="H141" i="6"/>
  <c r="J140" i="6"/>
  <c r="X131" i="15" s="1"/>
  <c r="H140" i="6"/>
  <c r="I140" i="6" s="1"/>
  <c r="Q131" i="15" s="1"/>
  <c r="O131" i="15" s="1"/>
  <c r="K131" i="15"/>
  <c r="I131" i="15" s="1"/>
  <c r="J139" i="6"/>
  <c r="X130" i="15" s="1"/>
  <c r="Z130" i="15" s="1"/>
  <c r="H139" i="6"/>
  <c r="I139" i="6" s="1"/>
  <c r="Q130" i="15" s="1"/>
  <c r="W130" i="15" s="1"/>
  <c r="K138" i="6"/>
  <c r="BE138" i="6" s="1"/>
  <c r="J138" i="6"/>
  <c r="Y129" i="15" s="1"/>
  <c r="H138" i="6"/>
  <c r="I138" i="6" s="1"/>
  <c r="S129" i="15" s="1"/>
  <c r="P129" i="15" s="1"/>
  <c r="W129" i="15" s="1"/>
  <c r="J137" i="6"/>
  <c r="BC137" i="6" s="1"/>
  <c r="BD137" i="6" s="1"/>
  <c r="AE129" i="15" s="1"/>
  <c r="AC129" i="15" s="1"/>
  <c r="H137" i="6"/>
  <c r="I137" i="6" s="1"/>
  <c r="Q129" i="15" s="1"/>
  <c r="O129" i="15" s="1"/>
  <c r="BC136" i="6"/>
  <c r="H136" i="6"/>
  <c r="G128" i="15"/>
  <c r="J135" i="6"/>
  <c r="BC135" i="6" s="1"/>
  <c r="BD135" i="6" s="1"/>
  <c r="AE127" i="15" s="1"/>
  <c r="AC127" i="15" s="1"/>
  <c r="H135" i="6"/>
  <c r="I135" i="6" s="1"/>
  <c r="Q127" i="15" s="1"/>
  <c r="W127" i="15" s="1"/>
  <c r="K127" i="15"/>
  <c r="I127" i="15" s="1"/>
  <c r="BE134" i="6"/>
  <c r="J134" i="6"/>
  <c r="H134" i="6"/>
  <c r="F218" i="6"/>
  <c r="F290" i="6" s="1"/>
  <c r="F362" i="6" s="1"/>
  <c r="F434" i="6" s="1"/>
  <c r="F506" i="6" s="1"/>
  <c r="F578" i="6" s="1"/>
  <c r="F651" i="6" s="1"/>
  <c r="F723" i="6" s="1"/>
  <c r="J133" i="6"/>
  <c r="BC133" i="6" s="1"/>
  <c r="H133" i="6"/>
  <c r="F217" i="6"/>
  <c r="F289" i="6" s="1"/>
  <c r="F361" i="6" s="1"/>
  <c r="F433" i="6" s="1"/>
  <c r="F505" i="6" s="1"/>
  <c r="F577" i="6" s="1"/>
  <c r="F650" i="6" s="1"/>
  <c r="F722" i="6" s="1"/>
  <c r="K132" i="6"/>
  <c r="BE132" i="6" s="1"/>
  <c r="J132" i="6"/>
  <c r="BC132" i="6" s="1"/>
  <c r="BD132" i="6" s="1"/>
  <c r="AG125" i="15" s="1"/>
  <c r="AD125" i="15" s="1"/>
  <c r="H132" i="6"/>
  <c r="J131" i="6"/>
  <c r="H131" i="6"/>
  <c r="I131" i="6" s="1"/>
  <c r="Q125" i="15" s="1"/>
  <c r="O125" i="15" s="1"/>
  <c r="K125" i="15"/>
  <c r="I125" i="15" s="1"/>
  <c r="J130" i="6"/>
  <c r="X124" i="15" s="1"/>
  <c r="Z124" i="15" s="1"/>
  <c r="H130" i="6"/>
  <c r="I130" i="6" s="1"/>
  <c r="Q124" i="15" s="1"/>
  <c r="O124" i="15" s="1"/>
  <c r="K129" i="6"/>
  <c r="BE129" i="6" s="1"/>
  <c r="J129" i="6"/>
  <c r="BC129" i="6" s="1"/>
  <c r="BD129" i="6" s="1"/>
  <c r="AG123" i="15" s="1"/>
  <c r="AD123" i="15" s="1"/>
  <c r="H129" i="6"/>
  <c r="I129" i="6" s="1"/>
  <c r="S123" i="15" s="1"/>
  <c r="P123" i="15" s="1"/>
  <c r="W123" i="15" s="1"/>
  <c r="J128" i="6"/>
  <c r="X123" i="15" s="1"/>
  <c r="Z123" i="15" s="1"/>
  <c r="H128" i="6"/>
  <c r="I128" i="6" s="1"/>
  <c r="Q123" i="15" s="1"/>
  <c r="O123" i="15" s="1"/>
  <c r="BC127" i="6"/>
  <c r="H127" i="6"/>
  <c r="F211" i="6"/>
  <c r="F283" i="6" s="1"/>
  <c r="F355" i="6" s="1"/>
  <c r="F427" i="6" s="1"/>
  <c r="F499" i="6" s="1"/>
  <c r="F571" i="6" s="1"/>
  <c r="F644" i="6" s="1"/>
  <c r="F716" i="6" s="1"/>
  <c r="BC126" i="6"/>
  <c r="BD126" i="6" s="1"/>
  <c r="H126" i="6"/>
  <c r="I126" i="6" s="1"/>
  <c r="Q121" i="15" s="1"/>
  <c r="O121" i="15" s="1"/>
  <c r="K121" i="15"/>
  <c r="I121" i="15" s="1"/>
  <c r="K125" i="6"/>
  <c r="BE125" i="6" s="1"/>
  <c r="J125" i="6"/>
  <c r="BC125" i="6" s="1"/>
  <c r="BD125" i="6" s="1"/>
  <c r="AG120" i="15" s="1"/>
  <c r="AD120" i="15" s="1"/>
  <c r="H125" i="6"/>
  <c r="F209" i="6"/>
  <c r="F281" i="6" s="1"/>
  <c r="F353" i="6" s="1"/>
  <c r="F425" i="6" s="1"/>
  <c r="F497" i="6" s="1"/>
  <c r="F569" i="6" s="1"/>
  <c r="F642" i="6" s="1"/>
  <c r="F714" i="6" s="1"/>
  <c r="J124" i="6"/>
  <c r="BC124" i="6" s="1"/>
  <c r="BD124" i="6" s="1"/>
  <c r="AE120" i="15" s="1"/>
  <c r="AC120" i="15" s="1"/>
  <c r="H124" i="6"/>
  <c r="I124" i="6" s="1"/>
  <c r="Q120" i="15" s="1"/>
  <c r="O120" i="15" s="1"/>
  <c r="G120" i="15"/>
  <c r="K123" i="6"/>
  <c r="BE123" i="6" s="1"/>
  <c r="J123" i="6"/>
  <c r="Y119" i="15" s="1"/>
  <c r="H123" i="6"/>
  <c r="I123" i="6" s="1"/>
  <c r="S119" i="15" s="1"/>
  <c r="P119" i="15" s="1"/>
  <c r="W119" i="15" s="1"/>
  <c r="J122" i="6"/>
  <c r="H122" i="6"/>
  <c r="K121" i="6"/>
  <c r="BE121" i="6" s="1"/>
  <c r="J121" i="6"/>
  <c r="BC121" i="6" s="1"/>
  <c r="BD121" i="6" s="1"/>
  <c r="AE118" i="15" s="1"/>
  <c r="AC118" i="15" s="1"/>
  <c r="H121" i="6"/>
  <c r="K120" i="6"/>
  <c r="BE120" i="6" s="1"/>
  <c r="J120" i="6"/>
  <c r="BC120" i="6" s="1"/>
  <c r="BD120" i="6" s="1"/>
  <c r="AG117" i="15" s="1"/>
  <c r="AD117" i="15" s="1"/>
  <c r="H120" i="6"/>
  <c r="I120" i="6" s="1"/>
  <c r="S117" i="15" s="1"/>
  <c r="P117" i="15" s="1"/>
  <c r="W117" i="15" s="1"/>
  <c r="J119" i="6"/>
  <c r="P879" i="6" s="1"/>
  <c r="H119" i="6"/>
  <c r="I119" i="6" s="1"/>
  <c r="Q117" i="15" s="1"/>
  <c r="O117" i="15" s="1"/>
  <c r="BE118" i="6"/>
  <c r="BD118" i="6"/>
  <c r="BC118" i="6"/>
  <c r="BB118" i="6"/>
  <c r="V115" i="6"/>
  <c r="F112" i="6"/>
  <c r="F111" i="6"/>
  <c r="F110" i="6"/>
  <c r="F109" i="6"/>
  <c r="Y108" i="6"/>
  <c r="X108" i="6"/>
  <c r="W108" i="6"/>
  <c r="I108" i="6"/>
  <c r="F108" i="6"/>
  <c r="Y107" i="6"/>
  <c r="X107" i="6"/>
  <c r="W107" i="6"/>
  <c r="I107" i="6"/>
  <c r="F107" i="6"/>
  <c r="F106" i="6"/>
  <c r="F105" i="6"/>
  <c r="F104" i="6"/>
  <c r="F103" i="6"/>
  <c r="Y102" i="6"/>
  <c r="X102" i="6"/>
  <c r="W102" i="6"/>
  <c r="Q102" i="6"/>
  <c r="Q97" i="6" s="1"/>
  <c r="W111" i="6" s="1"/>
  <c r="I102" i="6"/>
  <c r="F102" i="6"/>
  <c r="Y101" i="6"/>
  <c r="X101" i="6"/>
  <c r="W101" i="6"/>
  <c r="I101" i="6"/>
  <c r="F101" i="6"/>
  <c r="D101" i="6"/>
  <c r="F100" i="6"/>
  <c r="F99" i="6"/>
  <c r="F98" i="6"/>
  <c r="F97" i="6"/>
  <c r="F96" i="6"/>
  <c r="F95" i="6"/>
  <c r="F94" i="6"/>
  <c r="F93" i="6"/>
  <c r="F92" i="6"/>
  <c r="F91" i="6"/>
  <c r="F90" i="6"/>
  <c r="F89" i="6"/>
  <c r="D89" i="6"/>
  <c r="F87" i="6"/>
  <c r="F86" i="6"/>
  <c r="F85" i="6"/>
  <c r="F84" i="6"/>
  <c r="F83" i="6"/>
  <c r="F82" i="6"/>
  <c r="F81" i="6"/>
  <c r="F80" i="6"/>
  <c r="F79" i="6"/>
  <c r="F78" i="6"/>
  <c r="F77" i="6"/>
  <c r="F76" i="6"/>
  <c r="X67" i="6"/>
  <c r="F67" i="6"/>
  <c r="X66" i="6"/>
  <c r="F66" i="6"/>
  <c r="X65" i="6"/>
  <c r="F65" i="6"/>
  <c r="X64" i="6"/>
  <c r="F64" i="6"/>
  <c r="X63" i="6"/>
  <c r="F63" i="6"/>
  <c r="X62" i="6"/>
  <c r="F62" i="6"/>
  <c r="X61" i="6"/>
  <c r="F61" i="6"/>
  <c r="X60" i="6"/>
  <c r="F60" i="6"/>
  <c r="X59" i="6"/>
  <c r="F59" i="6"/>
  <c r="X58" i="6"/>
  <c r="F58" i="6"/>
  <c r="X57" i="6"/>
  <c r="I57" i="6"/>
  <c r="F57" i="6"/>
  <c r="X56" i="6"/>
  <c r="F56" i="6"/>
  <c r="X52" i="6"/>
  <c r="F52" i="6"/>
  <c r="X51" i="6"/>
  <c r="F51" i="6"/>
  <c r="X50" i="6"/>
  <c r="F50" i="6"/>
  <c r="X49" i="6"/>
  <c r="F49" i="6"/>
  <c r="X48" i="6"/>
  <c r="F48" i="6"/>
  <c r="X47" i="6"/>
  <c r="F47" i="6"/>
  <c r="X46" i="6"/>
  <c r="F46" i="6"/>
  <c r="X45" i="6"/>
  <c r="F45" i="6"/>
  <c r="X44" i="6"/>
  <c r="F44" i="6"/>
  <c r="X43" i="6"/>
  <c r="F43" i="6"/>
  <c r="X42" i="6"/>
  <c r="I42" i="6"/>
  <c r="F42" i="6"/>
  <c r="X41" i="6"/>
  <c r="F41" i="6"/>
  <c r="AG40" i="6"/>
  <c r="AF40" i="6"/>
  <c r="AE40" i="6"/>
  <c r="AD40" i="6"/>
  <c r="AC40" i="6"/>
  <c r="AB40" i="6"/>
  <c r="AA40" i="6"/>
  <c r="Z40" i="6"/>
  <c r="Y40" i="6"/>
  <c r="X40" i="6"/>
  <c r="O18" i="6"/>
  <c r="BE18" i="6" s="1"/>
  <c r="N18" i="6"/>
  <c r="Y116" i="15" s="1"/>
  <c r="G18" i="6"/>
  <c r="H18" i="6" s="1"/>
  <c r="N17" i="6"/>
  <c r="BC17" i="6" s="1"/>
  <c r="H17" i="6"/>
  <c r="O16" i="6"/>
  <c r="BE16" i="6" s="1"/>
  <c r="N16" i="6"/>
  <c r="Y115" i="15" s="1"/>
  <c r="G16" i="6"/>
  <c r="A16" i="6" s="1"/>
  <c r="N15" i="6"/>
  <c r="X115" i="15" s="1"/>
  <c r="H15" i="6"/>
  <c r="N14" i="6"/>
  <c r="BC14" i="6" s="1"/>
  <c r="H14" i="6"/>
  <c r="N13" i="6"/>
  <c r="X113" i="15" s="1"/>
  <c r="Z113" i="15" s="1"/>
  <c r="H13" i="6"/>
  <c r="O12" i="6"/>
  <c r="BE12" i="6" s="1"/>
  <c r="N12" i="6"/>
  <c r="G12" i="6"/>
  <c r="H12" i="6" s="1"/>
  <c r="N11" i="6"/>
  <c r="BC11" i="6" s="1"/>
  <c r="H11" i="6"/>
  <c r="O10" i="6"/>
  <c r="BE10" i="6" s="1"/>
  <c r="N10" i="6"/>
  <c r="Y111" i="15" s="1"/>
  <c r="G10" i="6"/>
  <c r="A10" i="6" s="1"/>
  <c r="N9" i="6"/>
  <c r="BC9" i="6" s="1"/>
  <c r="H9" i="6"/>
  <c r="BC8" i="6"/>
  <c r="H8" i="6"/>
  <c r="BC7" i="6"/>
  <c r="V4" i="6"/>
  <c r="AG316" i="5"/>
  <c r="AF316" i="5"/>
  <c r="AE316" i="5"/>
  <c r="AD316" i="5"/>
  <c r="AC316" i="5"/>
  <c r="AB316" i="5"/>
  <c r="AA316" i="5"/>
  <c r="Z316" i="5"/>
  <c r="Y316" i="5"/>
  <c r="X316" i="5"/>
  <c r="W316" i="5"/>
  <c r="H309" i="5"/>
  <c r="I309" i="5" s="1"/>
  <c r="O106" i="15" s="1"/>
  <c r="V106" i="15" s="1"/>
  <c r="I106" i="15"/>
  <c r="H307" i="5"/>
  <c r="I104" i="15"/>
  <c r="AB103" i="15"/>
  <c r="X103" i="15"/>
  <c r="Z103" i="15" s="1"/>
  <c r="H306" i="5"/>
  <c r="I103" i="15"/>
  <c r="X101" i="15"/>
  <c r="Z101" i="15" s="1"/>
  <c r="H304" i="5"/>
  <c r="I101" i="15"/>
  <c r="H303" i="5"/>
  <c r="I100" i="15"/>
  <c r="X98" i="15"/>
  <c r="Z98" i="15" s="1"/>
  <c r="H301" i="5"/>
  <c r="I98" i="15"/>
  <c r="BE300" i="5"/>
  <c r="BD300" i="5"/>
  <c r="BC300" i="5"/>
  <c r="BB300" i="5"/>
  <c r="AG300" i="5"/>
  <c r="AF300" i="5"/>
  <c r="AE300" i="5"/>
  <c r="AD300" i="5"/>
  <c r="AC300" i="5"/>
  <c r="AB300" i="5"/>
  <c r="AA300" i="5"/>
  <c r="Z300" i="5"/>
  <c r="Y300" i="5"/>
  <c r="X300" i="5"/>
  <c r="W300" i="5"/>
  <c r="V298" i="5"/>
  <c r="Z296" i="5"/>
  <c r="AA296" i="5" s="1"/>
  <c r="Z295" i="5"/>
  <c r="AA295" i="5" s="1"/>
  <c r="Z286" i="5"/>
  <c r="AA286" i="5" s="1"/>
  <c r="Z282" i="5"/>
  <c r="AA282" i="5" s="1"/>
  <c r="Z281" i="5"/>
  <c r="AA281" i="5" s="1"/>
  <c r="Z280" i="5"/>
  <c r="AA280" i="5" s="1"/>
  <c r="Z278" i="5"/>
  <c r="AA278" i="5" s="1"/>
  <c r="Z277" i="5"/>
  <c r="AA277" i="5" s="1"/>
  <c r="Y275" i="5"/>
  <c r="Z275" i="5" s="1"/>
  <c r="AA275" i="5" s="1"/>
  <c r="X275" i="5"/>
  <c r="W275" i="5"/>
  <c r="Y273" i="5"/>
  <c r="Z273" i="5" s="1"/>
  <c r="AA273" i="5" s="1"/>
  <c r="X273" i="5"/>
  <c r="W273" i="5"/>
  <c r="Z272" i="5"/>
  <c r="AA272" i="5" s="1"/>
  <c r="Y270" i="5"/>
  <c r="Z270" i="5" s="1"/>
  <c r="AA270" i="5" s="1"/>
  <c r="X270" i="5"/>
  <c r="W270" i="5"/>
  <c r="G270" i="5"/>
  <c r="F261" i="5" s="1"/>
  <c r="I261" i="5" s="1"/>
  <c r="O95" i="15" s="1"/>
  <c r="V95" i="15" s="1"/>
  <c r="X96" i="15"/>
  <c r="Z96" i="15" s="1"/>
  <c r="H262" i="5"/>
  <c r="V260" i="5"/>
  <c r="V262" i="5" s="1"/>
  <c r="V261" i="5" s="1"/>
  <c r="V263" i="5" s="1"/>
  <c r="AB94" i="15"/>
  <c r="X94" i="15"/>
  <c r="Z94" i="15" s="1"/>
  <c r="H260" i="5"/>
  <c r="BE259" i="5"/>
  <c r="BD259" i="5"/>
  <c r="BC259" i="5"/>
  <c r="BB259" i="5"/>
  <c r="AG259" i="5"/>
  <c r="AF259" i="5"/>
  <c r="AE259" i="5"/>
  <c r="AD259" i="5"/>
  <c r="AC259" i="5"/>
  <c r="AB259" i="5"/>
  <c r="AA259" i="5"/>
  <c r="Z259" i="5"/>
  <c r="Y259" i="5"/>
  <c r="X259" i="5"/>
  <c r="W259" i="5"/>
  <c r="V257" i="5"/>
  <c r="AG220" i="5"/>
  <c r="AF220" i="5"/>
  <c r="AE220" i="5"/>
  <c r="AD220" i="5"/>
  <c r="AC220" i="5"/>
  <c r="AB220" i="5"/>
  <c r="AA220" i="5"/>
  <c r="Z220" i="5"/>
  <c r="Y220" i="5"/>
  <c r="X220" i="5"/>
  <c r="W220" i="5"/>
  <c r="BC211" i="5"/>
  <c r="H211" i="5"/>
  <c r="V209" i="5"/>
  <c r="V211" i="5" s="1"/>
  <c r="V210" i="5" s="1"/>
  <c r="V212" i="5" s="1"/>
  <c r="X90" i="15"/>
  <c r="Z90" i="15" s="1"/>
  <c r="I209" i="5"/>
  <c r="F210" i="5" s="1"/>
  <c r="H209" i="5"/>
  <c r="BE208" i="5"/>
  <c r="BD208" i="5"/>
  <c r="BC208" i="5"/>
  <c r="BB208" i="5"/>
  <c r="AG208" i="5"/>
  <c r="AF208" i="5"/>
  <c r="AE208" i="5"/>
  <c r="AD208" i="5"/>
  <c r="AC208" i="5"/>
  <c r="AB208" i="5"/>
  <c r="AA208" i="5"/>
  <c r="Z208" i="5"/>
  <c r="Y208" i="5"/>
  <c r="X208" i="5"/>
  <c r="W208" i="5"/>
  <c r="V206" i="5"/>
  <c r="AG168" i="5"/>
  <c r="AF168" i="5"/>
  <c r="AE168" i="5"/>
  <c r="AD168" i="5"/>
  <c r="AC168" i="5"/>
  <c r="AB168" i="5"/>
  <c r="AA168" i="5"/>
  <c r="Z168" i="5"/>
  <c r="Y168" i="5"/>
  <c r="X168" i="5"/>
  <c r="W168" i="5"/>
  <c r="BC159" i="5"/>
  <c r="H159" i="5"/>
  <c r="E159" i="5"/>
  <c r="V157" i="5"/>
  <c r="V159" i="5" s="1"/>
  <c r="V158" i="5" s="1"/>
  <c r="V160" i="5" s="1"/>
  <c r="BC157" i="5"/>
  <c r="BD157" i="5" s="1"/>
  <c r="AE86" i="15" s="1"/>
  <c r="AC86" i="15" s="1"/>
  <c r="I86" i="15"/>
  <c r="H157" i="5"/>
  <c r="BE156" i="5"/>
  <c r="BD156" i="5"/>
  <c r="BC156" i="5"/>
  <c r="BB156" i="5"/>
  <c r="AG156" i="5"/>
  <c r="AF156" i="5"/>
  <c r="AE156" i="5"/>
  <c r="AD156" i="5"/>
  <c r="AC156" i="5"/>
  <c r="AB156" i="5"/>
  <c r="AA156" i="5"/>
  <c r="Z156" i="5"/>
  <c r="Y156" i="5"/>
  <c r="X156" i="5"/>
  <c r="W156" i="5"/>
  <c r="V154" i="5"/>
  <c r="AG116" i="5"/>
  <c r="AF116" i="5"/>
  <c r="AE116" i="5"/>
  <c r="AD116" i="5"/>
  <c r="AC116" i="5"/>
  <c r="AB116" i="5"/>
  <c r="AA116" i="5"/>
  <c r="Z116" i="5"/>
  <c r="Y116" i="5"/>
  <c r="X116" i="5"/>
  <c r="W116" i="5"/>
  <c r="BC107" i="5"/>
  <c r="I84" i="15"/>
  <c r="H107" i="5"/>
  <c r="V105" i="5"/>
  <c r="V107" i="5" s="1"/>
  <c r="V106" i="5" s="1"/>
  <c r="V108" i="5" s="1"/>
  <c r="H105" i="5"/>
  <c r="BE104" i="5"/>
  <c r="BD104" i="5"/>
  <c r="BC104" i="5"/>
  <c r="BB104" i="5"/>
  <c r="AG104" i="5"/>
  <c r="AF104" i="5"/>
  <c r="AE104" i="5"/>
  <c r="AD104" i="5"/>
  <c r="AC104" i="5"/>
  <c r="AB104" i="5"/>
  <c r="AA104" i="5"/>
  <c r="Z104" i="5"/>
  <c r="Y104" i="5"/>
  <c r="X104" i="5"/>
  <c r="W104" i="5"/>
  <c r="V102" i="5"/>
  <c r="AG69" i="5"/>
  <c r="AF69" i="5"/>
  <c r="AE69" i="5"/>
  <c r="AD69" i="5"/>
  <c r="AC69" i="5"/>
  <c r="AB69" i="5"/>
  <c r="AA69" i="5"/>
  <c r="Z69" i="5"/>
  <c r="Y69" i="5"/>
  <c r="X69" i="5"/>
  <c r="W69" i="5"/>
  <c r="BC53" i="5"/>
  <c r="H53" i="5"/>
  <c r="I77" i="15"/>
  <c r="BC52" i="5"/>
  <c r="H52" i="5"/>
  <c r="I76" i="15"/>
  <c r="AB75" i="15"/>
  <c r="X75" i="15"/>
  <c r="Z75" i="15" s="1"/>
  <c r="H51" i="5"/>
  <c r="I75" i="15"/>
  <c r="J48" i="5"/>
  <c r="BC48" i="5" s="1"/>
  <c r="H48" i="5"/>
  <c r="I72" i="15"/>
  <c r="AB71" i="15"/>
  <c r="BC47" i="5"/>
  <c r="H47" i="5"/>
  <c r="I71" i="15"/>
  <c r="K46" i="5"/>
  <c r="BE46" i="5" s="1"/>
  <c r="J46" i="5"/>
  <c r="BC46" i="5" s="1"/>
  <c r="H46" i="5"/>
  <c r="I70" i="15"/>
  <c r="BE45" i="5"/>
  <c r="BD45" i="5"/>
  <c r="BC45" i="5"/>
  <c r="BB45" i="5"/>
  <c r="AG45" i="5"/>
  <c r="AF45" i="5"/>
  <c r="AE45" i="5"/>
  <c r="AD45" i="5"/>
  <c r="AC45" i="5"/>
  <c r="AB45" i="5"/>
  <c r="AA45" i="5"/>
  <c r="Z45" i="5"/>
  <c r="Y45" i="5"/>
  <c r="X45" i="5"/>
  <c r="W45" i="5"/>
  <c r="V43" i="5"/>
  <c r="V41" i="5"/>
  <c r="V39" i="5"/>
  <c r="V38" i="5"/>
  <c r="V36" i="5"/>
  <c r="W35" i="5"/>
  <c r="V34" i="5"/>
  <c r="V27" i="5"/>
  <c r="V25" i="5"/>
  <c r="V24" i="5"/>
  <c r="W23" i="5"/>
  <c r="V22" i="5"/>
  <c r="AG21" i="5"/>
  <c r="AF21" i="5"/>
  <c r="AE21" i="5"/>
  <c r="AD21" i="5"/>
  <c r="AC21" i="5"/>
  <c r="AB21" i="5"/>
  <c r="AA21" i="5"/>
  <c r="Z21" i="5"/>
  <c r="Y21" i="5"/>
  <c r="X21" i="5"/>
  <c r="W21" i="5"/>
  <c r="M11" i="5"/>
  <c r="BE11" i="5" s="1"/>
  <c r="J11" i="5"/>
  <c r="F11" i="5" s="1"/>
  <c r="I69" i="15" s="1"/>
  <c r="H11" i="5"/>
  <c r="E11" i="5"/>
  <c r="G69" i="15" s="1"/>
  <c r="M10" i="5"/>
  <c r="X68" i="15"/>
  <c r="Z68" i="15" s="1"/>
  <c r="J10" i="5"/>
  <c r="F10" i="5" s="1"/>
  <c r="H10" i="5"/>
  <c r="L7" i="5"/>
  <c r="X65" i="15" s="1"/>
  <c r="Z65" i="15" s="1"/>
  <c r="F7" i="5"/>
  <c r="I65" i="15" s="1"/>
  <c r="H7" i="5"/>
  <c r="V4" i="5"/>
  <c r="AB479" i="15"/>
  <c r="H514" i="9"/>
  <c r="Y106" i="3"/>
  <c r="X106" i="3"/>
  <c r="W106" i="3"/>
  <c r="X92" i="3"/>
  <c r="W92" i="3"/>
  <c r="F92" i="3"/>
  <c r="X91" i="3"/>
  <c r="W91" i="3"/>
  <c r="F91" i="3"/>
  <c r="X90" i="3"/>
  <c r="W90" i="3"/>
  <c r="F90" i="3"/>
  <c r="F89" i="3"/>
  <c r="F88" i="3"/>
  <c r="H87" i="3"/>
  <c r="F87" i="3"/>
  <c r="H86" i="3"/>
  <c r="F86" i="3"/>
  <c r="H85" i="3"/>
  <c r="F85" i="3"/>
  <c r="H84" i="3"/>
  <c r="F84" i="3"/>
  <c r="H83" i="3"/>
  <c r="F83" i="3"/>
  <c r="H82" i="3"/>
  <c r="F82" i="3"/>
  <c r="H81" i="3"/>
  <c r="F81" i="3"/>
  <c r="H80" i="3"/>
  <c r="F80" i="3"/>
  <c r="H77" i="3"/>
  <c r="F77" i="3"/>
  <c r="H76" i="3"/>
  <c r="F76" i="3"/>
  <c r="H75" i="3"/>
  <c r="F75" i="3"/>
  <c r="H74" i="3"/>
  <c r="F74" i="3"/>
  <c r="H73" i="3"/>
  <c r="F73" i="3"/>
  <c r="H72" i="3"/>
  <c r="F72" i="3"/>
  <c r="H71" i="3"/>
  <c r="F71" i="3"/>
  <c r="H70" i="3"/>
  <c r="F70" i="3"/>
  <c r="F68" i="3"/>
  <c r="X66" i="3"/>
  <c r="W66" i="3"/>
  <c r="H66" i="3"/>
  <c r="F66" i="3"/>
  <c r="X65" i="3"/>
  <c r="W65" i="3"/>
  <c r="I65" i="3"/>
  <c r="H65" i="3"/>
  <c r="F65" i="3"/>
  <c r="X64" i="3"/>
  <c r="W64" i="3"/>
  <c r="I64" i="3"/>
  <c r="H64" i="3"/>
  <c r="F64" i="3"/>
  <c r="H63" i="3"/>
  <c r="F63" i="3"/>
  <c r="H62" i="3"/>
  <c r="F62" i="3"/>
  <c r="H61" i="3"/>
  <c r="F61" i="3"/>
  <c r="H60" i="3"/>
  <c r="F60" i="3"/>
  <c r="H59" i="3"/>
  <c r="F59" i="3"/>
  <c r="H58" i="3"/>
  <c r="F58" i="3"/>
  <c r="H57" i="3"/>
  <c r="F57" i="3"/>
  <c r="H56" i="3"/>
  <c r="F56" i="3"/>
  <c r="H55" i="3"/>
  <c r="F55" i="3"/>
  <c r="H54" i="3"/>
  <c r="F54" i="3"/>
  <c r="H51" i="3"/>
  <c r="F51" i="3"/>
  <c r="H50" i="3"/>
  <c r="F50" i="3"/>
  <c r="H49" i="3"/>
  <c r="F49" i="3"/>
  <c r="H48" i="3"/>
  <c r="F48" i="3"/>
  <c r="H47" i="3"/>
  <c r="F47" i="3"/>
  <c r="F71" i="5" s="1"/>
  <c r="H46" i="3"/>
  <c r="F46" i="3"/>
  <c r="F70" i="5" s="1"/>
  <c r="H45" i="3"/>
  <c r="F45" i="3"/>
  <c r="H44" i="3"/>
  <c r="F44" i="3"/>
  <c r="AG43" i="3"/>
  <c r="AF43" i="3"/>
  <c r="AE43" i="3"/>
  <c r="AD43" i="3"/>
  <c r="AC43" i="3"/>
  <c r="AB43" i="3"/>
  <c r="AA43" i="3"/>
  <c r="Z43" i="3"/>
  <c r="Y43" i="3"/>
  <c r="X43" i="3"/>
  <c r="H43" i="3"/>
  <c r="Q31" i="3"/>
  <c r="P31" i="3"/>
  <c r="M31" i="3"/>
  <c r="L31" i="3"/>
  <c r="Q29" i="3"/>
  <c r="P29" i="3"/>
  <c r="BC29" i="3" s="1"/>
  <c r="M29" i="3"/>
  <c r="L29" i="3"/>
  <c r="K29" i="3"/>
  <c r="I29" i="3"/>
  <c r="Q28" i="3"/>
  <c r="P28" i="3"/>
  <c r="X30" i="15" s="1"/>
  <c r="Z30" i="15" s="1"/>
  <c r="M28" i="3"/>
  <c r="L28" i="3"/>
  <c r="K28" i="3"/>
  <c r="I28" i="3"/>
  <c r="Q27" i="3"/>
  <c r="P27" i="3"/>
  <c r="X29" i="15" s="1"/>
  <c r="Z29" i="15" s="1"/>
  <c r="M27" i="3"/>
  <c r="L27" i="3"/>
  <c r="K27" i="3"/>
  <c r="I27" i="3"/>
  <c r="Q26" i="3"/>
  <c r="P26" i="3"/>
  <c r="BC26" i="3" s="1"/>
  <c r="M26" i="3"/>
  <c r="L26" i="3"/>
  <c r="K26" i="3"/>
  <c r="I26" i="3"/>
  <c r="Q25" i="3"/>
  <c r="P25" i="3"/>
  <c r="X27" i="15" s="1"/>
  <c r="Z27" i="15" s="1"/>
  <c r="M25" i="3"/>
  <c r="L25" i="3"/>
  <c r="K25" i="3"/>
  <c r="I25" i="3"/>
  <c r="Q24" i="3"/>
  <c r="P24" i="3"/>
  <c r="BC24" i="3" s="1"/>
  <c r="M24" i="3"/>
  <c r="L24" i="3"/>
  <c r="K24" i="3"/>
  <c r="I24" i="3"/>
  <c r="Q23" i="3"/>
  <c r="P23" i="3"/>
  <c r="M23" i="3"/>
  <c r="L23" i="3"/>
  <c r="K23" i="3"/>
  <c r="I23" i="3"/>
  <c r="Q22" i="3"/>
  <c r="P22" i="3"/>
  <c r="BC22" i="3" s="1"/>
  <c r="M22" i="3"/>
  <c r="L22" i="3"/>
  <c r="K22" i="3"/>
  <c r="I22" i="3"/>
  <c r="Q21" i="3"/>
  <c r="P21" i="3"/>
  <c r="BC21" i="3" s="1"/>
  <c r="M21" i="3"/>
  <c r="L21" i="3"/>
  <c r="K21" i="3"/>
  <c r="I21" i="3"/>
  <c r="Q20" i="3"/>
  <c r="P20" i="3"/>
  <c r="BC20" i="3" s="1"/>
  <c r="M20" i="3"/>
  <c r="L20" i="3"/>
  <c r="K20" i="3"/>
  <c r="I20" i="3"/>
  <c r="Q19" i="3"/>
  <c r="P19" i="3"/>
  <c r="M19" i="3"/>
  <c r="L19" i="3"/>
  <c r="K19" i="3"/>
  <c r="I19" i="3"/>
  <c r="Q18" i="3"/>
  <c r="P18" i="3"/>
  <c r="BC18" i="3" s="1"/>
  <c r="M18" i="3"/>
  <c r="L18" i="3"/>
  <c r="K18" i="3"/>
  <c r="I18" i="3"/>
  <c r="Q17" i="3"/>
  <c r="P17" i="3"/>
  <c r="BC17" i="3" s="1"/>
  <c r="M17" i="3"/>
  <c r="L17" i="3"/>
  <c r="K17" i="3"/>
  <c r="I17" i="3"/>
  <c r="Q14" i="3"/>
  <c r="P14" i="3"/>
  <c r="BC14" i="3" s="1"/>
  <c r="M14" i="3"/>
  <c r="L14" i="3"/>
  <c r="K14" i="3"/>
  <c r="I14" i="3"/>
  <c r="Q13" i="3"/>
  <c r="P13" i="3"/>
  <c r="M13" i="3"/>
  <c r="L13" i="3"/>
  <c r="K13" i="3"/>
  <c r="I13" i="3"/>
  <c r="Q12" i="3"/>
  <c r="P12" i="3"/>
  <c r="BC12" i="3" s="1"/>
  <c r="M12" i="3"/>
  <c r="L12" i="3"/>
  <c r="K12" i="3"/>
  <c r="I12" i="3"/>
  <c r="Q11" i="3"/>
  <c r="P11" i="3"/>
  <c r="BC11" i="3" s="1"/>
  <c r="M11" i="3"/>
  <c r="L11" i="3"/>
  <c r="K11" i="3"/>
  <c r="I11" i="3"/>
  <c r="Q10" i="3"/>
  <c r="P10" i="3"/>
  <c r="BC10" i="3" s="1"/>
  <c r="M10" i="3"/>
  <c r="L10" i="3"/>
  <c r="K10" i="3"/>
  <c r="I10" i="3"/>
  <c r="Q9" i="3"/>
  <c r="P9" i="3"/>
  <c r="M9" i="3"/>
  <c r="L9" i="3"/>
  <c r="K9" i="3"/>
  <c r="I9" i="3"/>
  <c r="Q8" i="3"/>
  <c r="P8" i="3"/>
  <c r="BC8" i="3" s="1"/>
  <c r="M8" i="3"/>
  <c r="L8" i="3"/>
  <c r="K8" i="3"/>
  <c r="I8" i="3"/>
  <c r="Q7" i="3"/>
  <c r="P7" i="3"/>
  <c r="M7" i="3"/>
  <c r="L7" i="3"/>
  <c r="K7" i="3"/>
  <c r="I7" i="3"/>
  <c r="V4" i="3"/>
  <c r="DC834" i="2"/>
  <c r="DE833" i="2"/>
  <c r="DD833" i="2"/>
  <c r="DC833" i="2"/>
  <c r="DB833" i="2"/>
  <c r="BE833" i="2"/>
  <c r="BD833" i="2"/>
  <c r="BC833" i="2"/>
  <c r="BB833" i="2"/>
  <c r="AZ833" i="2"/>
  <c r="AY833" i="2"/>
  <c r="AX833" i="2"/>
  <c r="AW833" i="2"/>
  <c r="AS833" i="2"/>
  <c r="AR833" i="2"/>
  <c r="AQ833" i="2"/>
  <c r="AP833" i="2"/>
  <c r="AO833" i="2"/>
  <c r="AL833" i="2"/>
  <c r="AK833" i="2"/>
  <c r="AG833" i="2"/>
  <c r="AF833" i="2"/>
  <c r="AE833" i="2"/>
  <c r="AD833" i="2"/>
  <c r="AC833" i="2"/>
  <c r="AA833" i="2"/>
  <c r="Z833" i="2"/>
  <c r="Y833" i="2"/>
  <c r="X833" i="2"/>
  <c r="W833" i="2"/>
  <c r="V831" i="2"/>
  <c r="E813" i="2"/>
  <c r="D813" i="2"/>
  <c r="DC803" i="2"/>
  <c r="H803" i="2"/>
  <c r="F803" i="2"/>
  <c r="DE802" i="2"/>
  <c r="DD802" i="2"/>
  <c r="DC802" i="2"/>
  <c r="DB802" i="2"/>
  <c r="BE802" i="2"/>
  <c r="BD802" i="2"/>
  <c r="BC802" i="2"/>
  <c r="BB802" i="2"/>
  <c r="AZ802" i="2"/>
  <c r="AY802" i="2"/>
  <c r="AX802" i="2"/>
  <c r="AW802" i="2"/>
  <c r="AS802" i="2"/>
  <c r="AR802" i="2"/>
  <c r="AQ802" i="2"/>
  <c r="AP802" i="2"/>
  <c r="AO802" i="2"/>
  <c r="AN802" i="2"/>
  <c r="AM802" i="2"/>
  <c r="AL802" i="2"/>
  <c r="AK802" i="2"/>
  <c r="AG802" i="2"/>
  <c r="AF802" i="2"/>
  <c r="AE802" i="2"/>
  <c r="AD802" i="2"/>
  <c r="AC802" i="2"/>
  <c r="AA802" i="2"/>
  <c r="Z802" i="2"/>
  <c r="Y802" i="2"/>
  <c r="X802" i="2"/>
  <c r="W802" i="2"/>
  <c r="V800" i="2"/>
  <c r="G797" i="2"/>
  <c r="F797" i="2"/>
  <c r="E797" i="2"/>
  <c r="D797" i="2"/>
  <c r="G796" i="2"/>
  <c r="F796" i="2"/>
  <c r="E796" i="2"/>
  <c r="D796" i="2"/>
  <c r="DC786" i="2"/>
  <c r="H786" i="2"/>
  <c r="DC785" i="2"/>
  <c r="H785" i="2"/>
  <c r="DE784" i="2"/>
  <c r="DD784" i="2"/>
  <c r="DC784" i="2"/>
  <c r="DB784" i="2"/>
  <c r="BE784" i="2"/>
  <c r="BD784" i="2"/>
  <c r="BC784" i="2"/>
  <c r="BB784" i="2"/>
  <c r="AZ784" i="2"/>
  <c r="AY784" i="2"/>
  <c r="AX784" i="2"/>
  <c r="AW784" i="2"/>
  <c r="AS784" i="2"/>
  <c r="AR784" i="2"/>
  <c r="AQ784" i="2"/>
  <c r="AP784" i="2"/>
  <c r="AO784" i="2"/>
  <c r="AN784" i="2"/>
  <c r="AM784" i="2"/>
  <c r="AL784" i="2"/>
  <c r="AK784" i="2"/>
  <c r="AG784" i="2"/>
  <c r="AF784" i="2"/>
  <c r="AE784" i="2"/>
  <c r="AD784" i="2"/>
  <c r="AC784" i="2"/>
  <c r="AA784" i="2"/>
  <c r="Z784" i="2"/>
  <c r="Y784" i="2"/>
  <c r="X784" i="2"/>
  <c r="W784" i="2"/>
  <c r="V782" i="2"/>
  <c r="E779" i="2"/>
  <c r="D779" i="2"/>
  <c r="E778" i="2"/>
  <c r="D778" i="2"/>
  <c r="DC768" i="2"/>
  <c r="V768" i="2"/>
  <c r="G768" i="2"/>
  <c r="F768" i="2"/>
  <c r="DC767" i="2"/>
  <c r="AI767" i="2"/>
  <c r="AI768" i="2" s="1"/>
  <c r="V767" i="2"/>
  <c r="G767" i="2"/>
  <c r="F767" i="2"/>
  <c r="DE766" i="2"/>
  <c r="DD766" i="2"/>
  <c r="DC766" i="2"/>
  <c r="DB766" i="2"/>
  <c r="BQ766" i="2"/>
  <c r="BP766" i="2"/>
  <c r="BO766" i="2"/>
  <c r="BN766" i="2"/>
  <c r="BL766" i="2"/>
  <c r="BK766" i="2"/>
  <c r="BJ766" i="2"/>
  <c r="BI766" i="2"/>
  <c r="BE766" i="2"/>
  <c r="BD766" i="2"/>
  <c r="BC766" i="2"/>
  <c r="BB766" i="2"/>
  <c r="AZ766" i="2"/>
  <c r="AY766" i="2"/>
  <c r="AX766" i="2"/>
  <c r="AW766" i="2"/>
  <c r="AS766" i="2"/>
  <c r="AR766" i="2"/>
  <c r="AQ766" i="2"/>
  <c r="AP766" i="2"/>
  <c r="AO766" i="2"/>
  <c r="AN766" i="2"/>
  <c r="AM766" i="2"/>
  <c r="AL766" i="2"/>
  <c r="AK766" i="2"/>
  <c r="AG766" i="2"/>
  <c r="AF766" i="2"/>
  <c r="AE766" i="2"/>
  <c r="AD766" i="2"/>
  <c r="AC766" i="2"/>
  <c r="AA766" i="2"/>
  <c r="Z766" i="2"/>
  <c r="Y766" i="2"/>
  <c r="X766" i="2"/>
  <c r="W766" i="2"/>
  <c r="V764" i="2"/>
  <c r="E761" i="2"/>
  <c r="D761" i="2"/>
  <c r="DC751" i="2"/>
  <c r="V751" i="2"/>
  <c r="V752" i="2" s="1"/>
  <c r="H751" i="2"/>
  <c r="F751" i="2"/>
  <c r="DE750" i="2"/>
  <c r="DD750" i="2"/>
  <c r="DC750" i="2"/>
  <c r="DB750" i="2"/>
  <c r="BE750" i="2"/>
  <c r="BD750" i="2"/>
  <c r="BC750" i="2"/>
  <c r="BB750" i="2"/>
  <c r="AZ750" i="2"/>
  <c r="AY750" i="2"/>
  <c r="AX750" i="2"/>
  <c r="AW750" i="2"/>
  <c r="AS750" i="2"/>
  <c r="AR750" i="2"/>
  <c r="AQ750" i="2"/>
  <c r="AP750" i="2"/>
  <c r="AO750" i="2"/>
  <c r="AN750" i="2"/>
  <c r="AM750" i="2"/>
  <c r="AL750" i="2"/>
  <c r="AK750" i="2"/>
  <c r="AG750" i="2"/>
  <c r="AF750" i="2"/>
  <c r="AE750" i="2"/>
  <c r="AD750" i="2"/>
  <c r="AC750" i="2"/>
  <c r="AA750" i="2"/>
  <c r="Z750" i="2"/>
  <c r="Y750" i="2"/>
  <c r="X750" i="2"/>
  <c r="W750" i="2"/>
  <c r="V748" i="2"/>
  <c r="E745" i="2"/>
  <c r="D745" i="2"/>
  <c r="E744" i="2"/>
  <c r="D744" i="2"/>
  <c r="E743" i="2"/>
  <c r="D743" i="2"/>
  <c r="DC733" i="2"/>
  <c r="H733" i="2"/>
  <c r="F733" i="2"/>
  <c r="DC732" i="2"/>
  <c r="H732" i="2"/>
  <c r="F732" i="2"/>
  <c r="DC731" i="2"/>
  <c r="V731" i="2"/>
  <c r="V732" i="2" s="1"/>
  <c r="V733" i="2" s="1"/>
  <c r="H731" i="2"/>
  <c r="F731" i="2"/>
  <c r="DE730" i="2"/>
  <c r="DD730" i="2"/>
  <c r="DC730" i="2"/>
  <c r="DB730" i="2"/>
  <c r="BE730" i="2"/>
  <c r="BD730" i="2"/>
  <c r="BC730" i="2"/>
  <c r="BB730" i="2"/>
  <c r="AZ730" i="2"/>
  <c r="AY730" i="2"/>
  <c r="AX730" i="2"/>
  <c r="AW730" i="2"/>
  <c r="AS730" i="2"/>
  <c r="AR730" i="2"/>
  <c r="AQ730" i="2"/>
  <c r="AP730" i="2"/>
  <c r="AO730" i="2"/>
  <c r="AN730" i="2"/>
  <c r="AM730" i="2"/>
  <c r="AL730" i="2"/>
  <c r="AK730" i="2"/>
  <c r="AG730" i="2"/>
  <c r="AF730" i="2"/>
  <c r="AE730" i="2"/>
  <c r="AD730" i="2"/>
  <c r="AC730" i="2"/>
  <c r="AA730" i="2"/>
  <c r="Z730" i="2"/>
  <c r="Y730" i="2"/>
  <c r="X730" i="2"/>
  <c r="W730" i="2"/>
  <c r="V728" i="2"/>
  <c r="E725" i="2"/>
  <c r="D725" i="2"/>
  <c r="DC715" i="2"/>
  <c r="V715" i="2"/>
  <c r="H715" i="2"/>
  <c r="F715" i="2"/>
  <c r="DE714" i="2"/>
  <c r="DD714" i="2"/>
  <c r="DC714" i="2"/>
  <c r="DB714" i="2"/>
  <c r="BE714" i="2"/>
  <c r="BD714" i="2"/>
  <c r="BC714" i="2"/>
  <c r="BB714" i="2"/>
  <c r="AZ714" i="2"/>
  <c r="AY714" i="2"/>
  <c r="AX714" i="2"/>
  <c r="AW714" i="2"/>
  <c r="AS714" i="2"/>
  <c r="AR714" i="2"/>
  <c r="AQ714" i="2"/>
  <c r="AP714" i="2"/>
  <c r="AO714" i="2"/>
  <c r="AN714" i="2"/>
  <c r="AM714" i="2"/>
  <c r="AL714" i="2"/>
  <c r="AK714" i="2"/>
  <c r="AG714" i="2"/>
  <c r="AF714" i="2"/>
  <c r="AE714" i="2"/>
  <c r="AD714" i="2"/>
  <c r="AC714" i="2"/>
  <c r="AA714" i="2"/>
  <c r="Z714" i="2"/>
  <c r="Y714" i="2"/>
  <c r="X714" i="2"/>
  <c r="W714" i="2"/>
  <c r="V712" i="2"/>
  <c r="E709" i="2"/>
  <c r="D709" i="2"/>
  <c r="DC699" i="2"/>
  <c r="H699" i="2"/>
  <c r="F699" i="2"/>
  <c r="DE698" i="2"/>
  <c r="DD698" i="2"/>
  <c r="DC698" i="2"/>
  <c r="DB698" i="2"/>
  <c r="BE698" i="2"/>
  <c r="BD698" i="2"/>
  <c r="BC698" i="2"/>
  <c r="BB698" i="2"/>
  <c r="AZ698" i="2"/>
  <c r="AY698" i="2"/>
  <c r="AX698" i="2"/>
  <c r="AW698" i="2"/>
  <c r="AS698" i="2"/>
  <c r="AR698" i="2"/>
  <c r="AQ698" i="2"/>
  <c r="AP698" i="2"/>
  <c r="AO698" i="2"/>
  <c r="AN698" i="2"/>
  <c r="AM698" i="2"/>
  <c r="AL698" i="2"/>
  <c r="AK698" i="2"/>
  <c r="AG698" i="2"/>
  <c r="AF698" i="2"/>
  <c r="AE698" i="2"/>
  <c r="AD698" i="2"/>
  <c r="AC698" i="2"/>
  <c r="AA698" i="2"/>
  <c r="Z698" i="2"/>
  <c r="Y698" i="2"/>
  <c r="X698" i="2"/>
  <c r="W698" i="2"/>
  <c r="V696" i="2"/>
  <c r="J693" i="2"/>
  <c r="F683" i="2" s="1"/>
  <c r="E693" i="2"/>
  <c r="D693" i="2"/>
  <c r="DC683" i="2"/>
  <c r="H683" i="2"/>
  <c r="DE682" i="2"/>
  <c r="DD682" i="2"/>
  <c r="DC682" i="2"/>
  <c r="DB682" i="2"/>
  <c r="BE682" i="2"/>
  <c r="BD682" i="2"/>
  <c r="BC682" i="2"/>
  <c r="BB682" i="2"/>
  <c r="AZ682" i="2"/>
  <c r="AY682" i="2"/>
  <c r="AX682" i="2"/>
  <c r="AW682" i="2"/>
  <c r="AS682" i="2"/>
  <c r="AR682" i="2"/>
  <c r="AQ682" i="2"/>
  <c r="AP682" i="2"/>
  <c r="AO682" i="2"/>
  <c r="AN682" i="2"/>
  <c r="AM682" i="2"/>
  <c r="AL682" i="2"/>
  <c r="AK682" i="2"/>
  <c r="AG682" i="2"/>
  <c r="AF682" i="2"/>
  <c r="AE682" i="2"/>
  <c r="AD682" i="2"/>
  <c r="AC682" i="2"/>
  <c r="AA682" i="2"/>
  <c r="Z682" i="2"/>
  <c r="Y682" i="2"/>
  <c r="X682" i="2"/>
  <c r="W682" i="2"/>
  <c r="V680" i="2"/>
  <c r="K677" i="2"/>
  <c r="F677" i="2"/>
  <c r="E677" i="2"/>
  <c r="D677" i="2"/>
  <c r="DC667" i="2"/>
  <c r="H667" i="2"/>
  <c r="DE666" i="2"/>
  <c r="DD666" i="2"/>
  <c r="DC666" i="2"/>
  <c r="DB666" i="2"/>
  <c r="BE666" i="2"/>
  <c r="BD666" i="2"/>
  <c r="BC666" i="2"/>
  <c r="BB666" i="2"/>
  <c r="AZ666" i="2"/>
  <c r="AY666" i="2"/>
  <c r="AX666" i="2"/>
  <c r="AW666" i="2"/>
  <c r="AS666" i="2"/>
  <c r="AR666" i="2"/>
  <c r="AQ666" i="2"/>
  <c r="AP666" i="2"/>
  <c r="AO666" i="2"/>
  <c r="AN666" i="2"/>
  <c r="AM666" i="2"/>
  <c r="AL666" i="2"/>
  <c r="AK666" i="2"/>
  <c r="AG666" i="2"/>
  <c r="AF666" i="2"/>
  <c r="AE666" i="2"/>
  <c r="AD666" i="2"/>
  <c r="AC666" i="2"/>
  <c r="AA666" i="2"/>
  <c r="Z666" i="2"/>
  <c r="Y666" i="2"/>
  <c r="X666" i="2"/>
  <c r="W666" i="2"/>
  <c r="V664" i="2"/>
  <c r="V650" i="2"/>
  <c r="DE648" i="2"/>
  <c r="DD648" i="2"/>
  <c r="DC648" i="2"/>
  <c r="DB648" i="2"/>
  <c r="BE648" i="2"/>
  <c r="BD648" i="2"/>
  <c r="BC648" i="2"/>
  <c r="BB648" i="2"/>
  <c r="AZ648" i="2"/>
  <c r="AY648" i="2"/>
  <c r="AX648" i="2"/>
  <c r="AW648" i="2"/>
  <c r="AS648" i="2"/>
  <c r="AR648" i="2"/>
  <c r="AQ648" i="2"/>
  <c r="AP648" i="2"/>
  <c r="AO648" i="2"/>
  <c r="AN648" i="2"/>
  <c r="AM648" i="2"/>
  <c r="AL648" i="2"/>
  <c r="AK648" i="2"/>
  <c r="AG648" i="2"/>
  <c r="AF648" i="2"/>
  <c r="AE648" i="2"/>
  <c r="AD648" i="2"/>
  <c r="AC648" i="2"/>
  <c r="AA648" i="2"/>
  <c r="Z648" i="2"/>
  <c r="Y648" i="2"/>
  <c r="X648" i="2"/>
  <c r="W648" i="2"/>
  <c r="V646" i="2"/>
  <c r="E643" i="2"/>
  <c r="D643" i="2"/>
  <c r="DC633" i="2"/>
  <c r="H633" i="2"/>
  <c r="F633" i="2"/>
  <c r="DE632" i="2"/>
  <c r="DD632" i="2"/>
  <c r="DC632" i="2"/>
  <c r="DB632" i="2"/>
  <c r="BE632" i="2"/>
  <c r="BD632" i="2"/>
  <c r="BC632" i="2"/>
  <c r="BB632" i="2"/>
  <c r="AZ632" i="2"/>
  <c r="AY632" i="2"/>
  <c r="AX632" i="2"/>
  <c r="AW632" i="2"/>
  <c r="AS632" i="2"/>
  <c r="AR632" i="2"/>
  <c r="AQ632" i="2"/>
  <c r="AP632" i="2"/>
  <c r="AO632" i="2"/>
  <c r="AN632" i="2"/>
  <c r="AM632" i="2"/>
  <c r="AL632" i="2"/>
  <c r="AK632" i="2"/>
  <c r="AG632" i="2"/>
  <c r="AF632" i="2"/>
  <c r="AE632" i="2"/>
  <c r="AD632" i="2"/>
  <c r="AC632" i="2"/>
  <c r="AA632" i="2"/>
  <c r="Z632" i="2"/>
  <c r="Y632" i="2"/>
  <c r="X632" i="2"/>
  <c r="W632" i="2"/>
  <c r="V630" i="2"/>
  <c r="E627" i="2"/>
  <c r="D627" i="2"/>
  <c r="E626" i="2"/>
  <c r="D626" i="2"/>
  <c r="DC616" i="2"/>
  <c r="H616" i="2"/>
  <c r="F616" i="2"/>
  <c r="DC615" i="2"/>
  <c r="H615" i="2"/>
  <c r="F615" i="2"/>
  <c r="DE614" i="2"/>
  <c r="DD614" i="2"/>
  <c r="DC614" i="2"/>
  <c r="DB614" i="2"/>
  <c r="BE614" i="2"/>
  <c r="BD614" i="2"/>
  <c r="BC614" i="2"/>
  <c r="BB614" i="2"/>
  <c r="AZ614" i="2"/>
  <c r="AY614" i="2"/>
  <c r="AX614" i="2"/>
  <c r="AW614" i="2"/>
  <c r="AS614" i="2"/>
  <c r="AR614" i="2"/>
  <c r="AQ614" i="2"/>
  <c r="AP614" i="2"/>
  <c r="AO614" i="2"/>
  <c r="AN614" i="2"/>
  <c r="AM614" i="2"/>
  <c r="AL614" i="2"/>
  <c r="AK614" i="2"/>
  <c r="AG614" i="2"/>
  <c r="AF614" i="2"/>
  <c r="AE614" i="2"/>
  <c r="AD614" i="2"/>
  <c r="AC614" i="2"/>
  <c r="AA614" i="2"/>
  <c r="Z614" i="2"/>
  <c r="Y614" i="2"/>
  <c r="X614" i="2"/>
  <c r="W614" i="2"/>
  <c r="V612" i="2"/>
  <c r="E609" i="2"/>
  <c r="D609" i="2"/>
  <c r="E608" i="2"/>
  <c r="D608" i="2"/>
  <c r="DC598" i="2"/>
  <c r="H598" i="2"/>
  <c r="F598" i="2"/>
  <c r="DC597" i="2"/>
  <c r="H597" i="2"/>
  <c r="F597" i="2"/>
  <c r="DE596" i="2"/>
  <c r="DD596" i="2"/>
  <c r="DC596" i="2"/>
  <c r="DB596" i="2"/>
  <c r="BE596" i="2"/>
  <c r="BD596" i="2"/>
  <c r="BC596" i="2"/>
  <c r="BB596" i="2"/>
  <c r="AZ596" i="2"/>
  <c r="AY596" i="2"/>
  <c r="AX596" i="2"/>
  <c r="AW596" i="2"/>
  <c r="AS596" i="2"/>
  <c r="AR596" i="2"/>
  <c r="AQ596" i="2"/>
  <c r="AP596" i="2"/>
  <c r="AO596" i="2"/>
  <c r="AN596" i="2"/>
  <c r="AM596" i="2"/>
  <c r="AL596" i="2"/>
  <c r="AK596" i="2"/>
  <c r="AG596" i="2"/>
  <c r="AF596" i="2"/>
  <c r="AE596" i="2"/>
  <c r="AD596" i="2"/>
  <c r="AC596" i="2"/>
  <c r="AA596" i="2"/>
  <c r="Z596" i="2"/>
  <c r="Y596" i="2"/>
  <c r="X596" i="2"/>
  <c r="W596" i="2"/>
  <c r="V594" i="2"/>
  <c r="M592" i="2"/>
  <c r="I592" i="2"/>
  <c r="E592" i="2"/>
  <c r="D592" i="2"/>
  <c r="M591" i="2"/>
  <c r="I591" i="2"/>
  <c r="E591" i="2"/>
  <c r="D591" i="2"/>
  <c r="N588" i="2"/>
  <c r="E588" i="2"/>
  <c r="D588" i="2"/>
  <c r="N587" i="2"/>
  <c r="E587" i="2"/>
  <c r="D587" i="2"/>
  <c r="DC575" i="2"/>
  <c r="H575" i="2"/>
  <c r="DC574" i="2"/>
  <c r="H574" i="2"/>
  <c r="DE573" i="2"/>
  <c r="DD573" i="2"/>
  <c r="DC573" i="2"/>
  <c r="DB573" i="2"/>
  <c r="BE573" i="2"/>
  <c r="BD573" i="2"/>
  <c r="BC573" i="2"/>
  <c r="BB573" i="2"/>
  <c r="AZ573" i="2"/>
  <c r="AY573" i="2"/>
  <c r="AX573" i="2"/>
  <c r="AW573" i="2"/>
  <c r="AS573" i="2"/>
  <c r="AR573" i="2"/>
  <c r="AQ573" i="2"/>
  <c r="AP573" i="2"/>
  <c r="AO573" i="2"/>
  <c r="AN573" i="2"/>
  <c r="AM573" i="2"/>
  <c r="AL573" i="2"/>
  <c r="AK573" i="2"/>
  <c r="AG573" i="2"/>
  <c r="AF573" i="2"/>
  <c r="AE573" i="2"/>
  <c r="AD573" i="2"/>
  <c r="AC573" i="2"/>
  <c r="AA573" i="2"/>
  <c r="Z573" i="2"/>
  <c r="Y573" i="2"/>
  <c r="X573" i="2"/>
  <c r="W573" i="2"/>
  <c r="V571" i="2"/>
  <c r="E568" i="2"/>
  <c r="D568" i="2"/>
  <c r="DC558" i="2"/>
  <c r="AU558" i="2"/>
  <c r="V558" i="2"/>
  <c r="H558" i="2"/>
  <c r="F558" i="2"/>
  <c r="DE557" i="2"/>
  <c r="DD557" i="2"/>
  <c r="DC557" i="2"/>
  <c r="DB557" i="2"/>
  <c r="BE557" i="2"/>
  <c r="BD557" i="2"/>
  <c r="BC557" i="2"/>
  <c r="BB557" i="2"/>
  <c r="AZ557" i="2"/>
  <c r="AY557" i="2"/>
  <c r="AX557" i="2"/>
  <c r="AW557" i="2"/>
  <c r="AS557" i="2"/>
  <c r="AR557" i="2"/>
  <c r="AQ557" i="2"/>
  <c r="AP557" i="2"/>
  <c r="AO557" i="2"/>
  <c r="AN557" i="2"/>
  <c r="AM557" i="2"/>
  <c r="AL557" i="2"/>
  <c r="AK557" i="2"/>
  <c r="AG557" i="2"/>
  <c r="AF557" i="2"/>
  <c r="AE557" i="2"/>
  <c r="AD557" i="2"/>
  <c r="AC557" i="2"/>
  <c r="AA557" i="2"/>
  <c r="Z557" i="2"/>
  <c r="Y557" i="2"/>
  <c r="X557" i="2"/>
  <c r="W557" i="2"/>
  <c r="E554" i="2"/>
  <c r="D554" i="2"/>
  <c r="E553" i="2"/>
  <c r="D553" i="2"/>
  <c r="E552" i="2"/>
  <c r="D552" i="2"/>
  <c r="E551" i="2"/>
  <c r="D551" i="2"/>
  <c r="E550" i="2"/>
  <c r="D550" i="2"/>
  <c r="E549" i="2"/>
  <c r="D549" i="2"/>
  <c r="E548" i="2"/>
  <c r="D548" i="2"/>
  <c r="DC538" i="2"/>
  <c r="H538" i="2"/>
  <c r="F538" i="2"/>
  <c r="DC537" i="2"/>
  <c r="H537" i="2"/>
  <c r="F537" i="2"/>
  <c r="DC536" i="2"/>
  <c r="H536" i="2"/>
  <c r="F536" i="2"/>
  <c r="DC535" i="2"/>
  <c r="H535" i="2"/>
  <c r="F535" i="2"/>
  <c r="DC534" i="2"/>
  <c r="H534" i="2"/>
  <c r="F534" i="2"/>
  <c r="DC533" i="2"/>
  <c r="H533" i="2"/>
  <c r="F533" i="2"/>
  <c r="DC532" i="2"/>
  <c r="H532" i="2"/>
  <c r="F532" i="2"/>
  <c r="DE531" i="2"/>
  <c r="DD531" i="2"/>
  <c r="DC531" i="2"/>
  <c r="DB531" i="2"/>
  <c r="BE531" i="2"/>
  <c r="BD531" i="2"/>
  <c r="BC531" i="2"/>
  <c r="BB531" i="2"/>
  <c r="AZ531" i="2"/>
  <c r="AY531" i="2"/>
  <c r="AX531" i="2"/>
  <c r="AW531" i="2"/>
  <c r="AS531" i="2"/>
  <c r="AR531" i="2"/>
  <c r="AQ531" i="2"/>
  <c r="AP531" i="2"/>
  <c r="AO531" i="2"/>
  <c r="AN531" i="2"/>
  <c r="AM531" i="2"/>
  <c r="AL531" i="2"/>
  <c r="AK531" i="2"/>
  <c r="AG531" i="2"/>
  <c r="AF531" i="2"/>
  <c r="AE531" i="2"/>
  <c r="AD531" i="2"/>
  <c r="AC531" i="2"/>
  <c r="AA531" i="2"/>
  <c r="Z531" i="2"/>
  <c r="Y531" i="2"/>
  <c r="X531" i="2"/>
  <c r="W531" i="2"/>
  <c r="E528" i="2"/>
  <c r="D528" i="2"/>
  <c r="E527" i="2"/>
  <c r="D527" i="2"/>
  <c r="E526" i="2"/>
  <c r="D526" i="2"/>
  <c r="E525" i="2"/>
  <c r="D525" i="2"/>
  <c r="E524" i="2"/>
  <c r="D524" i="2"/>
  <c r="E523" i="2"/>
  <c r="D523" i="2"/>
  <c r="E522" i="2"/>
  <c r="D522" i="2"/>
  <c r="DC512" i="2"/>
  <c r="H512" i="2"/>
  <c r="F512" i="2"/>
  <c r="DC511" i="2"/>
  <c r="H511" i="2"/>
  <c r="F511" i="2"/>
  <c r="DC510" i="2"/>
  <c r="H510" i="2"/>
  <c r="F510" i="2"/>
  <c r="DC509" i="2"/>
  <c r="H509" i="2"/>
  <c r="F509" i="2"/>
  <c r="DC508" i="2"/>
  <c r="H508" i="2"/>
  <c r="F508" i="2"/>
  <c r="DC507" i="2"/>
  <c r="H507" i="2"/>
  <c r="F507" i="2"/>
  <c r="DC506" i="2"/>
  <c r="H506" i="2"/>
  <c r="F506" i="2"/>
  <c r="DE505" i="2"/>
  <c r="DD505" i="2"/>
  <c r="DC505" i="2"/>
  <c r="DB505" i="2"/>
  <c r="BE505" i="2"/>
  <c r="BD505" i="2"/>
  <c r="BC505" i="2"/>
  <c r="BB505" i="2"/>
  <c r="AZ505" i="2"/>
  <c r="AY505" i="2"/>
  <c r="AX505" i="2"/>
  <c r="AW505" i="2"/>
  <c r="AS505" i="2"/>
  <c r="AR505" i="2"/>
  <c r="AQ505" i="2"/>
  <c r="AP505" i="2"/>
  <c r="AO505" i="2"/>
  <c r="AN505" i="2"/>
  <c r="AM505" i="2"/>
  <c r="AL505" i="2"/>
  <c r="AK505" i="2"/>
  <c r="AG505" i="2"/>
  <c r="AF505" i="2"/>
  <c r="AE505" i="2"/>
  <c r="AD505" i="2"/>
  <c r="AC505" i="2"/>
  <c r="AA505" i="2"/>
  <c r="Z505" i="2"/>
  <c r="Y505" i="2"/>
  <c r="X505" i="2"/>
  <c r="W505" i="2"/>
  <c r="V503" i="2"/>
  <c r="E500" i="2"/>
  <c r="D500" i="2"/>
  <c r="E499" i="2"/>
  <c r="D499" i="2"/>
  <c r="E498" i="2"/>
  <c r="D498" i="2"/>
  <c r="E497" i="2"/>
  <c r="D497" i="2"/>
  <c r="E496" i="2"/>
  <c r="D496" i="2"/>
  <c r="DC486" i="2"/>
  <c r="H486" i="2"/>
  <c r="F486" i="2"/>
  <c r="DC485" i="2"/>
  <c r="H485" i="2"/>
  <c r="F485" i="2"/>
  <c r="DC484" i="2"/>
  <c r="H484" i="2"/>
  <c r="F484" i="2"/>
  <c r="DC483" i="2"/>
  <c r="H483" i="2"/>
  <c r="F483" i="2"/>
  <c r="DC482" i="2"/>
  <c r="H482" i="2"/>
  <c r="F482" i="2"/>
  <c r="DE481" i="2"/>
  <c r="DD481" i="2"/>
  <c r="DC481" i="2"/>
  <c r="DB481" i="2"/>
  <c r="BE481" i="2"/>
  <c r="BD481" i="2"/>
  <c r="BC481" i="2"/>
  <c r="BB481" i="2"/>
  <c r="AZ481" i="2"/>
  <c r="AY481" i="2"/>
  <c r="AX481" i="2"/>
  <c r="AW481" i="2"/>
  <c r="AS481" i="2"/>
  <c r="AR481" i="2"/>
  <c r="AQ481" i="2"/>
  <c r="AP481" i="2"/>
  <c r="AO481" i="2"/>
  <c r="AN481" i="2"/>
  <c r="AM481" i="2"/>
  <c r="AL481" i="2"/>
  <c r="AK481" i="2"/>
  <c r="AG481" i="2"/>
  <c r="AF481" i="2"/>
  <c r="AE481" i="2"/>
  <c r="AD481" i="2"/>
  <c r="AC481" i="2"/>
  <c r="AA481" i="2"/>
  <c r="Z481" i="2"/>
  <c r="Y481" i="2"/>
  <c r="X481" i="2"/>
  <c r="W481" i="2"/>
  <c r="E478" i="2"/>
  <c r="D478" i="2"/>
  <c r="E477" i="2"/>
  <c r="D477" i="2"/>
  <c r="E476" i="2"/>
  <c r="D476" i="2"/>
  <c r="E475" i="2"/>
  <c r="D475" i="2"/>
  <c r="DC465" i="2"/>
  <c r="H465" i="2"/>
  <c r="F465" i="2"/>
  <c r="DC464" i="2"/>
  <c r="H464" i="2"/>
  <c r="F464" i="2"/>
  <c r="DC463" i="2"/>
  <c r="H463" i="2"/>
  <c r="F463" i="2"/>
  <c r="DC462" i="2"/>
  <c r="H462" i="2"/>
  <c r="F462" i="2"/>
  <c r="DE461" i="2"/>
  <c r="DD461" i="2"/>
  <c r="DC461" i="2"/>
  <c r="DB461" i="2"/>
  <c r="BE461" i="2"/>
  <c r="BD461" i="2"/>
  <c r="BC461" i="2"/>
  <c r="BB461" i="2"/>
  <c r="AZ461" i="2"/>
  <c r="AY461" i="2"/>
  <c r="AX461" i="2"/>
  <c r="AW461" i="2"/>
  <c r="AS461" i="2"/>
  <c r="AR461" i="2"/>
  <c r="AQ461" i="2"/>
  <c r="AP461" i="2"/>
  <c r="AO461" i="2"/>
  <c r="AN461" i="2"/>
  <c r="AM461" i="2"/>
  <c r="AL461" i="2"/>
  <c r="AK461" i="2"/>
  <c r="AG461" i="2"/>
  <c r="AF461" i="2"/>
  <c r="AE461" i="2"/>
  <c r="AD461" i="2"/>
  <c r="AC461" i="2"/>
  <c r="AA461" i="2"/>
  <c r="Z461" i="2"/>
  <c r="Y461" i="2"/>
  <c r="X461" i="2"/>
  <c r="W461" i="2"/>
  <c r="V459" i="2"/>
  <c r="G453" i="2"/>
  <c r="F442" i="2" s="1"/>
  <c r="E453" i="2"/>
  <c r="D453" i="2"/>
  <c r="DC442" i="2"/>
  <c r="AU442" i="2"/>
  <c r="AU443" i="2" s="1"/>
  <c r="V442" i="2"/>
  <c r="V443" i="2" s="1"/>
  <c r="H442" i="2"/>
  <c r="DE441" i="2"/>
  <c r="DD441" i="2"/>
  <c r="DC441" i="2"/>
  <c r="DB441" i="2"/>
  <c r="BE441" i="2"/>
  <c r="BD441" i="2"/>
  <c r="BC441" i="2"/>
  <c r="BB441" i="2"/>
  <c r="AZ441" i="2"/>
  <c r="AY441" i="2"/>
  <c r="AX441" i="2"/>
  <c r="AW441" i="2"/>
  <c r="AS441" i="2"/>
  <c r="AR441" i="2"/>
  <c r="AQ441" i="2"/>
  <c r="AP441" i="2"/>
  <c r="AO441" i="2"/>
  <c r="AN441" i="2"/>
  <c r="AM441" i="2"/>
  <c r="AL441" i="2"/>
  <c r="AK441" i="2"/>
  <c r="AG441" i="2"/>
  <c r="AF441" i="2"/>
  <c r="AE441" i="2"/>
  <c r="AD441" i="2"/>
  <c r="AC441" i="2"/>
  <c r="AA441" i="2"/>
  <c r="Z441" i="2"/>
  <c r="Y441" i="2"/>
  <c r="X441" i="2"/>
  <c r="W441" i="2"/>
  <c r="E438" i="2"/>
  <c r="D438" i="2"/>
  <c r="E437" i="2"/>
  <c r="D437" i="2"/>
  <c r="E436" i="2"/>
  <c r="D436" i="2"/>
  <c r="E435" i="2"/>
  <c r="D435" i="2"/>
  <c r="E434" i="2"/>
  <c r="D434" i="2"/>
  <c r="E433" i="2"/>
  <c r="D433" i="2"/>
  <c r="DC422" i="2"/>
  <c r="L680" i="15"/>
  <c r="F422" i="2"/>
  <c r="DC421" i="2"/>
  <c r="DD421" i="2" s="1"/>
  <c r="L679" i="15"/>
  <c r="K679" i="15"/>
  <c r="L678" i="15"/>
  <c r="K678" i="15"/>
  <c r="AE677" i="15"/>
  <c r="AC677" i="15" s="1"/>
  <c r="L677" i="15"/>
  <c r="K677" i="15"/>
  <c r="L676" i="15"/>
  <c r="K676" i="15"/>
  <c r="BS421" i="2"/>
  <c r="BS422" i="2" s="1"/>
  <c r="AU421" i="2"/>
  <c r="AU422" i="2" s="1"/>
  <c r="AI421" i="2"/>
  <c r="AI422" i="2" s="1"/>
  <c r="V421" i="2"/>
  <c r="L675" i="15"/>
  <c r="K675" i="15"/>
  <c r="E413" i="2"/>
  <c r="D413" i="2"/>
  <c r="E412" i="2"/>
  <c r="D412" i="2"/>
  <c r="E411" i="2"/>
  <c r="D411" i="2"/>
  <c r="E410" i="2"/>
  <c r="D410" i="2"/>
  <c r="E409" i="2"/>
  <c r="D409" i="2"/>
  <c r="DC399" i="2"/>
  <c r="DD399" i="2" s="1"/>
  <c r="AE674" i="15" s="1"/>
  <c r="AC674" i="15" s="1"/>
  <c r="H399" i="2"/>
  <c r="K674" i="15"/>
  <c r="I674" i="15" s="1"/>
  <c r="DC398" i="2"/>
  <c r="H398" i="2"/>
  <c r="F398" i="2"/>
  <c r="DC397" i="2"/>
  <c r="H397" i="2"/>
  <c r="F397" i="2"/>
  <c r="DC396" i="2"/>
  <c r="H396" i="2"/>
  <c r="F396" i="2"/>
  <c r="DC395" i="2"/>
  <c r="V395" i="2"/>
  <c r="V396" i="2" s="1"/>
  <c r="V397" i="2" s="1"/>
  <c r="V398" i="2" s="1"/>
  <c r="V399" i="2" s="1"/>
  <c r="H395" i="2"/>
  <c r="F395" i="2"/>
  <c r="DE394" i="2"/>
  <c r="DD394" i="2"/>
  <c r="DC394" i="2"/>
  <c r="DB394" i="2"/>
  <c r="BE394" i="2"/>
  <c r="BD394" i="2"/>
  <c r="BC394" i="2"/>
  <c r="BB394" i="2"/>
  <c r="AZ394" i="2"/>
  <c r="AY394" i="2"/>
  <c r="AX394" i="2"/>
  <c r="AW394" i="2"/>
  <c r="AS394" i="2"/>
  <c r="AR394" i="2"/>
  <c r="AQ394" i="2"/>
  <c r="AP394" i="2"/>
  <c r="AN394" i="2"/>
  <c r="AM394" i="2"/>
  <c r="AL394" i="2"/>
  <c r="AK394" i="2"/>
  <c r="AG394" i="2"/>
  <c r="AF394" i="2"/>
  <c r="AE394" i="2"/>
  <c r="AD394" i="2"/>
  <c r="AC394" i="2"/>
  <c r="AA394" i="2"/>
  <c r="Z394" i="2"/>
  <c r="Y394" i="2"/>
  <c r="X394" i="2"/>
  <c r="W394" i="2"/>
  <c r="E391" i="2"/>
  <c r="D391" i="2"/>
  <c r="AU365" i="2"/>
  <c r="V365" i="2"/>
  <c r="H365" i="2"/>
  <c r="F365" i="2"/>
  <c r="DD365" i="2" s="1"/>
  <c r="BE364" i="2"/>
  <c r="BD364" i="2"/>
  <c r="BC364" i="2"/>
  <c r="BB364" i="2"/>
  <c r="AZ364" i="2"/>
  <c r="AY364" i="2"/>
  <c r="AX364" i="2"/>
  <c r="AW364" i="2"/>
  <c r="AS364" i="2"/>
  <c r="AR364" i="2"/>
  <c r="AQ364" i="2"/>
  <c r="AP364" i="2"/>
  <c r="AO364" i="2"/>
  <c r="AN364" i="2"/>
  <c r="AM364" i="2"/>
  <c r="AL364" i="2"/>
  <c r="AK364" i="2"/>
  <c r="AG364" i="2"/>
  <c r="AF364" i="2"/>
  <c r="AE364" i="2"/>
  <c r="AD364" i="2"/>
  <c r="AC364" i="2"/>
  <c r="AA364" i="2"/>
  <c r="Z364" i="2"/>
  <c r="Y364" i="2"/>
  <c r="X364" i="2"/>
  <c r="W364" i="2"/>
  <c r="E359" i="2"/>
  <c r="D359" i="2"/>
  <c r="E358" i="2"/>
  <c r="D358" i="2"/>
  <c r="DC346" i="2"/>
  <c r="AW346" i="2"/>
  <c r="AV346" i="2"/>
  <c r="K346" i="2"/>
  <c r="DE346" i="2" s="1"/>
  <c r="H346" i="2"/>
  <c r="F346" i="2"/>
  <c r="DC345" i="2"/>
  <c r="AU345" i="2"/>
  <c r="AU346" i="2" s="1"/>
  <c r="AU347" i="2" s="1"/>
  <c r="AU348" i="2" s="1"/>
  <c r="V345" i="2"/>
  <c r="V346" i="2" s="1"/>
  <c r="V347" i="2" s="1"/>
  <c r="V348" i="2" s="1"/>
  <c r="H345" i="2"/>
  <c r="F345" i="2"/>
  <c r="DE344" i="2"/>
  <c r="DD344" i="2"/>
  <c r="DC344" i="2"/>
  <c r="DB344" i="2"/>
  <c r="BE344" i="2"/>
  <c r="BD344" i="2"/>
  <c r="BC344" i="2"/>
  <c r="BB344" i="2"/>
  <c r="AZ344" i="2"/>
  <c r="AY344" i="2"/>
  <c r="AX344" i="2"/>
  <c r="AW344" i="2"/>
  <c r="AS344" i="2"/>
  <c r="AR344" i="2"/>
  <c r="AQ344" i="2"/>
  <c r="AP344" i="2"/>
  <c r="AO344" i="2"/>
  <c r="AN344" i="2"/>
  <c r="AM344" i="2"/>
  <c r="AL344" i="2"/>
  <c r="AK344" i="2"/>
  <c r="AG344" i="2"/>
  <c r="AF344" i="2"/>
  <c r="AE344" i="2"/>
  <c r="AD344" i="2"/>
  <c r="AC344" i="2"/>
  <c r="AA344" i="2"/>
  <c r="Z344" i="2"/>
  <c r="Y344" i="2"/>
  <c r="X344" i="2"/>
  <c r="W344" i="2"/>
  <c r="E341" i="2"/>
  <c r="D341" i="2"/>
  <c r="DC331" i="2"/>
  <c r="BS331" i="2"/>
  <c r="AU331" i="2"/>
  <c r="AI331" i="2"/>
  <c r="V331" i="2"/>
  <c r="G331" i="2"/>
  <c r="F331" i="2"/>
  <c r="DE330" i="2"/>
  <c r="DD330" i="2"/>
  <c r="DC330" i="2"/>
  <c r="DB330" i="2"/>
  <c r="CC330" i="2"/>
  <c r="CB330" i="2"/>
  <c r="CA330" i="2"/>
  <c r="BZ330" i="2"/>
  <c r="BY330" i="2"/>
  <c r="BV330" i="2"/>
  <c r="BU330" i="2"/>
  <c r="BQ330" i="2"/>
  <c r="BP330" i="2"/>
  <c r="BO330" i="2"/>
  <c r="BN330" i="2"/>
  <c r="BL330" i="2"/>
  <c r="BK330" i="2"/>
  <c r="BJ330" i="2"/>
  <c r="BI330" i="2"/>
  <c r="BE330" i="2"/>
  <c r="BD330" i="2"/>
  <c r="BC330" i="2"/>
  <c r="BB330" i="2"/>
  <c r="AZ330" i="2"/>
  <c r="AY330" i="2"/>
  <c r="AX330" i="2"/>
  <c r="AW330" i="2"/>
  <c r="AS330" i="2"/>
  <c r="AR330" i="2"/>
  <c r="AQ330" i="2"/>
  <c r="AP330" i="2"/>
  <c r="AO330" i="2"/>
  <c r="AN330" i="2"/>
  <c r="AM330" i="2"/>
  <c r="AL330" i="2"/>
  <c r="AK330" i="2"/>
  <c r="AG330" i="2"/>
  <c r="AF330" i="2"/>
  <c r="AE330" i="2"/>
  <c r="AD330" i="2"/>
  <c r="AC330" i="2"/>
  <c r="AA330" i="2"/>
  <c r="Z330" i="2"/>
  <c r="Y330" i="2"/>
  <c r="X330" i="2"/>
  <c r="W330" i="2"/>
  <c r="V328" i="2"/>
  <c r="I325" i="2"/>
  <c r="H325" i="2"/>
  <c r="E325" i="2"/>
  <c r="D325" i="2"/>
  <c r="I324" i="2"/>
  <c r="H324" i="2"/>
  <c r="E324" i="2"/>
  <c r="D324" i="2"/>
  <c r="I323" i="2"/>
  <c r="H323" i="2"/>
  <c r="E323" i="2"/>
  <c r="D323" i="2"/>
  <c r="DC313" i="2"/>
  <c r="H313" i="2"/>
  <c r="DC312" i="2"/>
  <c r="H312" i="2"/>
  <c r="DC311" i="2"/>
  <c r="H311" i="2"/>
  <c r="DE310" i="2"/>
  <c r="DD310" i="2"/>
  <c r="DC310" i="2"/>
  <c r="DB310" i="2"/>
  <c r="BE310" i="2"/>
  <c r="BD310" i="2"/>
  <c r="BC310" i="2"/>
  <c r="BB310" i="2"/>
  <c r="AZ310" i="2"/>
  <c r="AY310" i="2"/>
  <c r="AX310" i="2"/>
  <c r="AW310" i="2"/>
  <c r="AS310" i="2"/>
  <c r="AR310" i="2"/>
  <c r="AQ310" i="2"/>
  <c r="AP310" i="2"/>
  <c r="AO310" i="2"/>
  <c r="AN310" i="2"/>
  <c r="AM310" i="2"/>
  <c r="AL310" i="2"/>
  <c r="AK310" i="2"/>
  <c r="AG310" i="2"/>
  <c r="AF310" i="2"/>
  <c r="AE310" i="2"/>
  <c r="AD310" i="2"/>
  <c r="AC310" i="2"/>
  <c r="AA310" i="2"/>
  <c r="Z310" i="2"/>
  <c r="Y310" i="2"/>
  <c r="X310" i="2"/>
  <c r="W310" i="2"/>
  <c r="V308" i="2"/>
  <c r="G305" i="2"/>
  <c r="F305" i="2"/>
  <c r="E305" i="2"/>
  <c r="D305" i="2"/>
  <c r="G304" i="2"/>
  <c r="F304" i="2"/>
  <c r="E304" i="2"/>
  <c r="D304" i="2"/>
  <c r="G303" i="2"/>
  <c r="F303" i="2"/>
  <c r="E303" i="2"/>
  <c r="D303" i="2"/>
  <c r="G302" i="2"/>
  <c r="F302" i="2"/>
  <c r="E302" i="2"/>
  <c r="D302" i="2"/>
  <c r="DC292" i="2"/>
  <c r="H292" i="2"/>
  <c r="DC291" i="2"/>
  <c r="H291" i="2"/>
  <c r="DC290" i="2"/>
  <c r="H290" i="2"/>
  <c r="DC289" i="2"/>
  <c r="H289" i="2"/>
  <c r="DE288" i="2"/>
  <c r="DD288" i="2"/>
  <c r="DC288" i="2"/>
  <c r="DB288" i="2"/>
  <c r="BE288" i="2"/>
  <c r="BD288" i="2"/>
  <c r="BC288" i="2"/>
  <c r="BB288" i="2"/>
  <c r="AZ288" i="2"/>
  <c r="AY288" i="2"/>
  <c r="AX288" i="2"/>
  <c r="AW288" i="2"/>
  <c r="AS288" i="2"/>
  <c r="AR288" i="2"/>
  <c r="AQ288" i="2"/>
  <c r="AP288" i="2"/>
  <c r="AO288" i="2"/>
  <c r="AN288" i="2"/>
  <c r="AM288" i="2"/>
  <c r="AL288" i="2"/>
  <c r="AK288" i="2"/>
  <c r="AG288" i="2"/>
  <c r="AF288" i="2"/>
  <c r="AE288" i="2"/>
  <c r="AD288" i="2"/>
  <c r="AC288" i="2"/>
  <c r="AA288" i="2"/>
  <c r="Z288" i="2"/>
  <c r="Y288" i="2"/>
  <c r="X288" i="2"/>
  <c r="W288" i="2"/>
  <c r="V286" i="2"/>
  <c r="E283" i="2"/>
  <c r="D283" i="2"/>
  <c r="DC273" i="2"/>
  <c r="H273" i="2"/>
  <c r="F273" i="2"/>
  <c r="DE272" i="2"/>
  <c r="DD272" i="2"/>
  <c r="DC272" i="2"/>
  <c r="DB272" i="2"/>
  <c r="BE272" i="2"/>
  <c r="BD272" i="2"/>
  <c r="BC272" i="2"/>
  <c r="BB272" i="2"/>
  <c r="AZ272" i="2"/>
  <c r="AY272" i="2"/>
  <c r="AX272" i="2"/>
  <c r="AW272" i="2"/>
  <c r="AS272" i="2"/>
  <c r="AR272" i="2"/>
  <c r="AQ272" i="2"/>
  <c r="AP272" i="2"/>
  <c r="AO272" i="2"/>
  <c r="AN272" i="2"/>
  <c r="AM272" i="2"/>
  <c r="AL272" i="2"/>
  <c r="AK272" i="2"/>
  <c r="AG272" i="2"/>
  <c r="AF272" i="2"/>
  <c r="AE272" i="2"/>
  <c r="AD272" i="2"/>
  <c r="AC272" i="2"/>
  <c r="AA272" i="2"/>
  <c r="Z272" i="2"/>
  <c r="Y272" i="2"/>
  <c r="X272" i="2"/>
  <c r="W272" i="2"/>
  <c r="E269" i="2"/>
  <c r="D269" i="2"/>
  <c r="DC259" i="2"/>
  <c r="K259" i="2"/>
  <c r="DE259" i="2" s="1"/>
  <c r="H259" i="2"/>
  <c r="F259" i="2"/>
  <c r="DE258" i="2"/>
  <c r="DD258" i="2"/>
  <c r="DC258" i="2"/>
  <c r="DB258" i="2"/>
  <c r="BE258" i="2"/>
  <c r="BD258" i="2"/>
  <c r="BC258" i="2"/>
  <c r="BB258" i="2"/>
  <c r="AZ258" i="2"/>
  <c r="AY258" i="2"/>
  <c r="AX258" i="2"/>
  <c r="AW258" i="2"/>
  <c r="AS258" i="2"/>
  <c r="AR258" i="2"/>
  <c r="AQ258" i="2"/>
  <c r="AP258" i="2"/>
  <c r="AO258" i="2"/>
  <c r="AN258" i="2"/>
  <c r="AM258" i="2"/>
  <c r="AL258" i="2"/>
  <c r="AK258" i="2"/>
  <c r="AG258" i="2"/>
  <c r="AF258" i="2"/>
  <c r="AE258" i="2"/>
  <c r="AD258" i="2"/>
  <c r="AC258" i="2"/>
  <c r="AA258" i="2"/>
  <c r="Z258" i="2"/>
  <c r="Y258" i="2"/>
  <c r="X258" i="2"/>
  <c r="W258" i="2"/>
  <c r="V256" i="2"/>
  <c r="F253" i="2"/>
  <c r="F242" i="2" s="1"/>
  <c r="E253" i="2"/>
  <c r="D253" i="2"/>
  <c r="F252" i="2"/>
  <c r="F241" i="2" s="1"/>
  <c r="E252" i="2"/>
  <c r="D252" i="2"/>
  <c r="DC242" i="2"/>
  <c r="H242" i="2"/>
  <c r="DC241" i="2"/>
  <c r="AU241" i="2"/>
  <c r="AU242" i="2" s="1"/>
  <c r="H241" i="2"/>
  <c r="DE240" i="2"/>
  <c r="DD240" i="2"/>
  <c r="DC240" i="2"/>
  <c r="DB240" i="2"/>
  <c r="BE240" i="2"/>
  <c r="BD240" i="2"/>
  <c r="BC240" i="2"/>
  <c r="BB240" i="2"/>
  <c r="AZ240" i="2"/>
  <c r="AY240" i="2"/>
  <c r="AX240" i="2"/>
  <c r="AW240" i="2"/>
  <c r="AS240" i="2"/>
  <c r="AR240" i="2"/>
  <c r="AQ240" i="2"/>
  <c r="AP240" i="2"/>
  <c r="AO240" i="2"/>
  <c r="AN240" i="2"/>
  <c r="AM240" i="2"/>
  <c r="AL240" i="2"/>
  <c r="AK240" i="2"/>
  <c r="AG240" i="2"/>
  <c r="AF240" i="2"/>
  <c r="AE240" i="2"/>
  <c r="AD240" i="2"/>
  <c r="AC240" i="2"/>
  <c r="AA240" i="2"/>
  <c r="Z240" i="2"/>
  <c r="Y240" i="2"/>
  <c r="X240" i="2"/>
  <c r="W240" i="2"/>
  <c r="V238" i="2"/>
  <c r="H235" i="2"/>
  <c r="N235" i="2" s="1"/>
  <c r="E235" i="2"/>
  <c r="D235" i="2"/>
  <c r="H234" i="2"/>
  <c r="N234" i="2" s="1"/>
  <c r="E234" i="2"/>
  <c r="D234" i="2"/>
  <c r="H233" i="2"/>
  <c r="N233" i="2" s="1"/>
  <c r="E233" i="2"/>
  <c r="D233" i="2"/>
  <c r="H232" i="2"/>
  <c r="N232" i="2" s="1"/>
  <c r="E232" i="2"/>
  <c r="D232" i="2"/>
  <c r="H231" i="2"/>
  <c r="N231" i="2" s="1"/>
  <c r="F231" i="2"/>
  <c r="E231" i="2"/>
  <c r="D231" i="2"/>
  <c r="DC221" i="2"/>
  <c r="H221" i="2"/>
  <c r="DC220" i="2"/>
  <c r="H220" i="2"/>
  <c r="DC219" i="2"/>
  <c r="H219" i="2"/>
  <c r="DC218" i="2"/>
  <c r="H218" i="2"/>
  <c r="DC217" i="2"/>
  <c r="H217" i="2"/>
  <c r="DE216" i="2"/>
  <c r="DD216" i="2"/>
  <c r="DC216" i="2"/>
  <c r="DB216" i="2"/>
  <c r="BE216" i="2"/>
  <c r="BD216" i="2"/>
  <c r="BC216" i="2"/>
  <c r="BB216" i="2"/>
  <c r="AZ216" i="2"/>
  <c r="AY216" i="2"/>
  <c r="AX216" i="2"/>
  <c r="AW216" i="2"/>
  <c r="AS216" i="2"/>
  <c r="AR216" i="2"/>
  <c r="AQ216" i="2"/>
  <c r="AP216" i="2"/>
  <c r="AO216" i="2"/>
  <c r="AN216" i="2"/>
  <c r="AM216" i="2"/>
  <c r="AL216" i="2"/>
  <c r="AK216" i="2"/>
  <c r="AG216" i="2"/>
  <c r="AF216" i="2"/>
  <c r="AE216" i="2"/>
  <c r="AD216" i="2"/>
  <c r="AC216" i="2"/>
  <c r="AA216" i="2"/>
  <c r="Z216" i="2"/>
  <c r="Y216" i="2"/>
  <c r="X216" i="2"/>
  <c r="W216" i="2"/>
  <c r="V214" i="2"/>
  <c r="E211" i="2"/>
  <c r="E210" i="2"/>
  <c r="DC198" i="2"/>
  <c r="H198" i="2"/>
  <c r="F198" i="2"/>
  <c r="DC197" i="2"/>
  <c r="AU197" i="2"/>
  <c r="AU198" i="2" s="1"/>
  <c r="V197" i="2"/>
  <c r="V198" i="2" s="1"/>
  <c r="H197" i="2"/>
  <c r="F197" i="2"/>
  <c r="DE196" i="2"/>
  <c r="DD196" i="2"/>
  <c r="DC196" i="2"/>
  <c r="DB196" i="2"/>
  <c r="BE196" i="2"/>
  <c r="BD196" i="2"/>
  <c r="BC196" i="2"/>
  <c r="BB196" i="2"/>
  <c r="AZ196" i="2"/>
  <c r="AY196" i="2"/>
  <c r="AX196" i="2"/>
  <c r="AW196" i="2"/>
  <c r="AS196" i="2"/>
  <c r="AR196" i="2"/>
  <c r="AQ196" i="2"/>
  <c r="AP196" i="2"/>
  <c r="AO196" i="2"/>
  <c r="AN196" i="2"/>
  <c r="AM196" i="2"/>
  <c r="AL196" i="2"/>
  <c r="AK196" i="2"/>
  <c r="AG196" i="2"/>
  <c r="AF196" i="2"/>
  <c r="AE196" i="2"/>
  <c r="AD196" i="2"/>
  <c r="AC196" i="2"/>
  <c r="AA196" i="2"/>
  <c r="Z196" i="2"/>
  <c r="Y196" i="2"/>
  <c r="X196" i="2"/>
  <c r="W196" i="2"/>
  <c r="V194" i="2"/>
  <c r="DC169" i="2"/>
  <c r="H169" i="2"/>
  <c r="F169" i="2"/>
  <c r="DC168" i="2"/>
  <c r="H168" i="2"/>
  <c r="F168" i="2"/>
  <c r="DC167" i="2"/>
  <c r="H167" i="2"/>
  <c r="F167" i="2"/>
  <c r="DC166" i="2"/>
  <c r="H166" i="2"/>
  <c r="F166" i="2"/>
  <c r="DC165" i="2"/>
  <c r="H165" i="2"/>
  <c r="F165" i="2"/>
  <c r="DC164" i="2"/>
  <c r="H164" i="2"/>
  <c r="F164" i="2"/>
  <c r="DC163" i="2"/>
  <c r="H163" i="2"/>
  <c r="F163" i="2"/>
  <c r="DC162" i="2"/>
  <c r="H162" i="2"/>
  <c r="F162" i="2"/>
  <c r="DC161" i="2"/>
  <c r="H161" i="2"/>
  <c r="F161" i="2"/>
  <c r="DC160" i="2"/>
  <c r="H160" i="2"/>
  <c r="F160" i="2"/>
  <c r="J159" i="2"/>
  <c r="H159" i="2"/>
  <c r="F159" i="2"/>
  <c r="J158" i="2"/>
  <c r="H158" i="2"/>
  <c r="F158" i="2"/>
  <c r="J157" i="2"/>
  <c r="H157" i="2"/>
  <c r="F157" i="2"/>
  <c r="J156" i="2"/>
  <c r="H156" i="2"/>
  <c r="F156" i="2"/>
  <c r="J155" i="2"/>
  <c r="H155" i="2"/>
  <c r="F155" i="2"/>
  <c r="J154" i="2"/>
  <c r="H154" i="2"/>
  <c r="F154" i="2"/>
  <c r="J153" i="2"/>
  <c r="H153" i="2"/>
  <c r="F153" i="2"/>
  <c r="DC152" i="2"/>
  <c r="H152" i="2"/>
  <c r="F152" i="2"/>
  <c r="DE151" i="2"/>
  <c r="DD151" i="2"/>
  <c r="DC151" i="2"/>
  <c r="DB151" i="2"/>
  <c r="BE151" i="2"/>
  <c r="BD151" i="2"/>
  <c r="BC151" i="2"/>
  <c r="BB151" i="2"/>
  <c r="AZ151" i="2"/>
  <c r="AY151" i="2"/>
  <c r="AX151" i="2"/>
  <c r="AW151" i="2"/>
  <c r="AS151" i="2"/>
  <c r="AR151" i="2"/>
  <c r="AQ151" i="2"/>
  <c r="AP151" i="2"/>
  <c r="AO151" i="2"/>
  <c r="AN151" i="2"/>
  <c r="AM151" i="2"/>
  <c r="AL151" i="2"/>
  <c r="AK151" i="2"/>
  <c r="AG151" i="2"/>
  <c r="AF151" i="2"/>
  <c r="AE151" i="2"/>
  <c r="AD151" i="2"/>
  <c r="AC151" i="2"/>
  <c r="AA151" i="2"/>
  <c r="Z151" i="2"/>
  <c r="Y151" i="2"/>
  <c r="X151" i="2"/>
  <c r="W151" i="2"/>
  <c r="V149" i="2"/>
  <c r="BR110" i="2"/>
  <c r="BQ110" i="2"/>
  <c r="BP110" i="2"/>
  <c r="BO110" i="2"/>
  <c r="BN110" i="2"/>
  <c r="BL110" i="2"/>
  <c r="BK110" i="2"/>
  <c r="BJ110" i="2"/>
  <c r="BI110" i="2"/>
  <c r="BH110" i="2"/>
  <c r="BE110" i="2"/>
  <c r="BD110" i="2"/>
  <c r="BC110" i="2"/>
  <c r="BB110" i="2"/>
  <c r="AZ110" i="2"/>
  <c r="AY110" i="2"/>
  <c r="AX110" i="2"/>
  <c r="AW110" i="2"/>
  <c r="AV110" i="2"/>
  <c r="AU110" i="2"/>
  <c r="AS110" i="2"/>
  <c r="AR110" i="2"/>
  <c r="AQ110" i="2"/>
  <c r="AP110" i="2"/>
  <c r="AO110" i="2"/>
  <c r="AN110" i="2"/>
  <c r="AM110" i="2"/>
  <c r="AL110" i="2"/>
  <c r="AK110" i="2"/>
  <c r="AJ110" i="2"/>
  <c r="AI110" i="2"/>
  <c r="AG110" i="2"/>
  <c r="AF110" i="2"/>
  <c r="AE110" i="2"/>
  <c r="AD110" i="2"/>
  <c r="AC110" i="2"/>
  <c r="AA110" i="2"/>
  <c r="Z110" i="2"/>
  <c r="Y110" i="2"/>
  <c r="X110" i="2"/>
  <c r="W110" i="2"/>
  <c r="DE97" i="2"/>
  <c r="DD97" i="2"/>
  <c r="DC97" i="2"/>
  <c r="DB97" i="2"/>
  <c r="AG97" i="2"/>
  <c r="AF97" i="2"/>
  <c r="AE97" i="2"/>
  <c r="AD97" i="2"/>
  <c r="AC97" i="2"/>
  <c r="AA97" i="2"/>
  <c r="Z97" i="2"/>
  <c r="Y97" i="2"/>
  <c r="X97" i="2"/>
  <c r="W97" i="2"/>
  <c r="V73" i="2"/>
  <c r="D73" i="2"/>
  <c r="D67" i="2"/>
  <c r="D64" i="2"/>
  <c r="V63" i="2"/>
  <c r="D63" i="2"/>
  <c r="V62" i="2"/>
  <c r="D62" i="2"/>
  <c r="V61" i="2"/>
  <c r="D61" i="2"/>
  <c r="V60" i="2"/>
  <c r="D60" i="2"/>
  <c r="V59" i="2"/>
  <c r="D59" i="2"/>
  <c r="V58" i="2"/>
  <c r="D58" i="2"/>
  <c r="V57" i="2"/>
  <c r="D57" i="2"/>
  <c r="V56" i="2"/>
  <c r="D56" i="2"/>
  <c r="V55" i="2"/>
  <c r="D55" i="2"/>
  <c r="V54" i="2"/>
  <c r="D54" i="2"/>
  <c r="V53" i="2"/>
  <c r="D53" i="2"/>
  <c r="V52" i="2"/>
  <c r="D52" i="2"/>
  <c r="V51" i="2"/>
  <c r="D51" i="2"/>
  <c r="V50" i="2"/>
  <c r="D50" i="2"/>
  <c r="E49" i="2"/>
  <c r="V49" i="2" s="1"/>
  <c r="D49" i="2"/>
  <c r="CO48" i="2"/>
  <c r="CN48" i="2"/>
  <c r="CM48" i="2"/>
  <c r="CL48" i="2"/>
  <c r="CK48" i="2"/>
  <c r="CI48" i="2"/>
  <c r="CH48" i="2"/>
  <c r="CG48" i="2"/>
  <c r="CF48" i="2"/>
  <c r="CE48" i="2"/>
  <c r="CC48" i="2"/>
  <c r="CB48" i="2"/>
  <c r="CA48" i="2"/>
  <c r="BZ48" i="2"/>
  <c r="BY48" i="2"/>
  <c r="BW48" i="2"/>
  <c r="BV48" i="2"/>
  <c r="BU48" i="2"/>
  <c r="BT48" i="2"/>
  <c r="BS48" i="2"/>
  <c r="BQ48" i="2"/>
  <c r="BP48" i="2"/>
  <c r="BO48" i="2"/>
  <c r="BN48" i="2"/>
  <c r="BL48" i="2"/>
  <c r="BK48" i="2"/>
  <c r="BJ48" i="2"/>
  <c r="BI48" i="2"/>
  <c r="BH48" i="2"/>
  <c r="BE48" i="2"/>
  <c r="BD48" i="2"/>
  <c r="BC48" i="2"/>
  <c r="BB48" i="2"/>
  <c r="AZ48" i="2"/>
  <c r="AY48" i="2"/>
  <c r="AX48" i="2"/>
  <c r="AW48" i="2"/>
  <c r="AV48" i="2"/>
  <c r="AS48" i="2"/>
  <c r="AR48" i="2"/>
  <c r="AQ48" i="2"/>
  <c r="AP48" i="2"/>
  <c r="AN48" i="2"/>
  <c r="AM48" i="2"/>
  <c r="AL48" i="2"/>
  <c r="AK48" i="2"/>
  <c r="AJ48" i="2"/>
  <c r="AG48" i="2"/>
  <c r="AF48" i="2"/>
  <c r="AE48" i="2"/>
  <c r="AD48" i="2"/>
  <c r="AC48" i="2"/>
  <c r="AA48" i="2"/>
  <c r="Z48" i="2"/>
  <c r="Y48" i="2"/>
  <c r="X48" i="2"/>
  <c r="W48" i="2"/>
  <c r="CO47" i="2"/>
  <c r="CN47" i="2"/>
  <c r="CM47" i="2"/>
  <c r="CL47" i="2"/>
  <c r="CK47" i="2"/>
  <c r="CI47" i="2"/>
  <c r="CH47" i="2"/>
  <c r="CG47" i="2"/>
  <c r="CF47" i="2"/>
  <c r="CE47" i="2"/>
  <c r="CC47" i="2"/>
  <c r="CB47" i="2"/>
  <c r="CA47" i="2"/>
  <c r="BZ47" i="2"/>
  <c r="BY47" i="2"/>
  <c r="BW47" i="2"/>
  <c r="BV47" i="2"/>
  <c r="BU47" i="2"/>
  <c r="BT47" i="2"/>
  <c r="BS47" i="2"/>
  <c r="BQ47" i="2"/>
  <c r="BP47" i="2"/>
  <c r="BO47" i="2"/>
  <c r="BN47" i="2"/>
  <c r="BL47" i="2"/>
  <c r="BK47" i="2"/>
  <c r="BJ47" i="2"/>
  <c r="BI47" i="2"/>
  <c r="BH47" i="2"/>
  <c r="BE47" i="2"/>
  <c r="BD47" i="2"/>
  <c r="BC47" i="2"/>
  <c r="BB47" i="2"/>
  <c r="AZ47" i="2"/>
  <c r="AY47" i="2"/>
  <c r="AX47" i="2"/>
  <c r="AW47" i="2"/>
  <c r="AV47" i="2"/>
  <c r="AS47" i="2"/>
  <c r="AR47" i="2"/>
  <c r="AQ47" i="2"/>
  <c r="AP47" i="2"/>
  <c r="AN47" i="2"/>
  <c r="AM47" i="2"/>
  <c r="AL47" i="2"/>
  <c r="AK47" i="2"/>
  <c r="AJ47" i="2"/>
  <c r="AG47" i="2"/>
  <c r="AF47" i="2"/>
  <c r="AE47" i="2"/>
  <c r="AD47" i="2"/>
  <c r="AC47" i="2"/>
  <c r="AA47" i="2"/>
  <c r="Z47" i="2"/>
  <c r="Y47" i="2"/>
  <c r="X47" i="2"/>
  <c r="W47" i="2"/>
  <c r="H33" i="2"/>
  <c r="X612" i="15"/>
  <c r="Z612" i="15" s="1"/>
  <c r="W612" i="15" s="1"/>
  <c r="H30" i="2"/>
  <c r="I612" i="15"/>
  <c r="H27" i="2"/>
  <c r="I609" i="15"/>
  <c r="H24" i="2"/>
  <c r="DC23" i="2"/>
  <c r="H23" i="2"/>
  <c r="X604" i="15"/>
  <c r="Z604" i="15" s="1"/>
  <c r="H22" i="2"/>
  <c r="X603" i="15"/>
  <c r="Z603" i="15" s="1"/>
  <c r="H21" i="2"/>
  <c r="X602" i="15"/>
  <c r="Z602" i="15" s="1"/>
  <c r="H20" i="2"/>
  <c r="X601" i="15"/>
  <c r="Z601" i="15" s="1"/>
  <c r="H19" i="2"/>
  <c r="X600" i="15"/>
  <c r="Z600" i="15" s="1"/>
  <c r="H18" i="2"/>
  <c r="X599" i="15"/>
  <c r="Z599" i="15" s="1"/>
  <c r="H17" i="2"/>
  <c r="X598" i="15"/>
  <c r="Z598" i="15" s="1"/>
  <c r="H16" i="2"/>
  <c r="X597" i="15"/>
  <c r="Z597" i="15" s="1"/>
  <c r="H15" i="2"/>
  <c r="X596" i="15"/>
  <c r="Z596" i="15" s="1"/>
  <c r="H14" i="2"/>
  <c r="X595" i="15"/>
  <c r="Z595" i="15" s="1"/>
  <c r="W595" i="15" s="1"/>
  <c r="H13" i="2"/>
  <c r="X594" i="15"/>
  <c r="Z594" i="15" s="1"/>
  <c r="W594" i="15" s="1"/>
  <c r="H12" i="2"/>
  <c r="X593" i="15"/>
  <c r="Z593" i="15" s="1"/>
  <c r="W593" i="15" s="1"/>
  <c r="H11" i="2"/>
  <c r="X592" i="15"/>
  <c r="Z592" i="15" s="1"/>
  <c r="H10" i="2"/>
  <c r="X591" i="15"/>
  <c r="Z591" i="15" s="1"/>
  <c r="H9" i="2"/>
  <c r="BE8" i="2"/>
  <c r="BD8" i="2"/>
  <c r="BC8" i="2"/>
  <c r="BB8" i="2"/>
  <c r="AZ8" i="2"/>
  <c r="AY8" i="2"/>
  <c r="AX8" i="2"/>
  <c r="AW8" i="2"/>
  <c r="AV8" i="2"/>
  <c r="AS8" i="2"/>
  <c r="AR8" i="2"/>
  <c r="AQ8" i="2"/>
  <c r="AP8" i="2"/>
  <c r="AN8" i="2"/>
  <c r="AM8" i="2"/>
  <c r="AL8" i="2"/>
  <c r="AK8" i="2"/>
  <c r="AJ8" i="2"/>
  <c r="V6" i="2"/>
  <c r="L421" i="2"/>
  <c r="Q679" i="15" s="1"/>
  <c r="O679" i="15" s="1"/>
  <c r="AB565" i="15"/>
  <c r="AB574" i="15"/>
  <c r="AB578" i="15"/>
  <c r="AB557" i="15"/>
  <c r="AB573" i="15"/>
  <c r="AB577" i="15"/>
  <c r="AB572" i="15"/>
  <c r="AB576" i="15"/>
  <c r="BC479" i="9"/>
  <c r="BD479" i="9" s="1"/>
  <c r="AE569" i="15" s="1"/>
  <c r="AC569" i="15" s="1"/>
  <c r="AB571" i="15"/>
  <c r="AB575" i="15"/>
  <c r="AB579" i="15"/>
  <c r="E3859" i="6"/>
  <c r="E3485" i="6"/>
  <c r="K225" i="15"/>
  <c r="L1415" i="6"/>
  <c r="AJ198" i="15" s="1"/>
  <c r="K727" i="6"/>
  <c r="L202" i="15"/>
  <c r="L137" i="6"/>
  <c r="AJ129" i="15" s="1"/>
  <c r="L1437" i="6"/>
  <c r="AJ205" i="15" s="1"/>
  <c r="L139" i="6"/>
  <c r="AJ130" i="15" s="1"/>
  <c r="L205" i="15"/>
  <c r="L1425" i="6"/>
  <c r="AJ202" i="15" s="1"/>
  <c r="L1439" i="6"/>
  <c r="AJ206" i="15" s="1"/>
  <c r="AB431" i="15"/>
  <c r="BC517" i="7"/>
  <c r="X381" i="15"/>
  <c r="Z381" i="15" s="1"/>
  <c r="AB483" i="15"/>
  <c r="AB486" i="15"/>
  <c r="AB494" i="15"/>
  <c r="AB495" i="15"/>
  <c r="AB502" i="15"/>
  <c r="BC607" i="7"/>
  <c r="X104" i="15"/>
  <c r="Z104" i="15" s="1"/>
  <c r="X106" i="15"/>
  <c r="Z106" i="15" s="1"/>
  <c r="AB101" i="15"/>
  <c r="AB104" i="15"/>
  <c r="AB72" i="15"/>
  <c r="AB76" i="15"/>
  <c r="AB82" i="15"/>
  <c r="BC27" i="3"/>
  <c r="AB186" i="15"/>
  <c r="AB188" i="15"/>
  <c r="L119" i="6"/>
  <c r="AJ117" i="15" s="1"/>
  <c r="L825" i="6"/>
  <c r="AJ182" i="15" s="1"/>
  <c r="L122" i="6"/>
  <c r="AJ119" i="15" s="1"/>
  <c r="L131" i="6"/>
  <c r="AJ125" i="15" s="1"/>
  <c r="L142" i="6"/>
  <c r="AJ132" i="15" s="1"/>
  <c r="L136" i="6"/>
  <c r="AJ128" i="15" s="1"/>
  <c r="K723" i="6"/>
  <c r="H421" i="2"/>
  <c r="AE678" i="15"/>
  <c r="AC678" i="15" s="1"/>
  <c r="L124" i="6"/>
  <c r="AJ120" i="15" s="1"/>
  <c r="L141" i="6"/>
  <c r="L809" i="6"/>
  <c r="AJ176" i="15" s="1"/>
  <c r="V1389" i="6"/>
  <c r="F279" i="9"/>
  <c r="BD35" i="10"/>
  <c r="AE586" i="15" s="1"/>
  <c r="AC586" i="15" s="1"/>
  <c r="L149" i="6"/>
  <c r="AJ137" i="15" s="1"/>
  <c r="L153" i="6"/>
  <c r="AJ139" i="15" s="1"/>
  <c r="Q302" i="15"/>
  <c r="I36" i="10"/>
  <c r="O587" i="15" s="1"/>
  <c r="U587" i="15" s="1"/>
  <c r="F276" i="9"/>
  <c r="F281" i="9"/>
  <c r="F603" i="7"/>
  <c r="I394" i="15" s="1"/>
  <c r="F607" i="7"/>
  <c r="L135" i="6"/>
  <c r="AJ127" i="15" s="1"/>
  <c r="L793" i="6"/>
  <c r="AJ169" i="15" s="1"/>
  <c r="L829" i="6"/>
  <c r="AJ184" i="15" s="1"/>
  <c r="K729" i="6"/>
  <c r="L132" i="6"/>
  <c r="L145" i="6"/>
  <c r="AJ134" i="15" s="1"/>
  <c r="L150" i="6"/>
  <c r="K741" i="6"/>
  <c r="R264" i="15"/>
  <c r="I58" i="10"/>
  <c r="O588" i="15" s="1"/>
  <c r="U588" i="15" s="1"/>
  <c r="F227" i="9"/>
  <c r="F278" i="9"/>
  <c r="I548" i="15" s="1"/>
  <c r="F608" i="7"/>
  <c r="J397" i="15" s="1"/>
  <c r="M447" i="7"/>
  <c r="F599" i="7"/>
  <c r="F600" i="7"/>
  <c r="I392" i="15" s="1"/>
  <c r="F597" i="7"/>
  <c r="F606" i="7"/>
  <c r="I396" i="15" s="1"/>
  <c r="AE473" i="15"/>
  <c r="AC473" i="15" s="1"/>
  <c r="F598" i="7"/>
  <c r="I391" i="15" s="1"/>
  <c r="F605" i="7"/>
  <c r="J395" i="15" s="1"/>
  <c r="L807" i="6"/>
  <c r="AJ174" i="15" s="1"/>
  <c r="L786" i="6"/>
  <c r="AJ165" i="15" s="1"/>
  <c r="L788" i="6"/>
  <c r="AJ166" i="15" s="1"/>
  <c r="L146" i="6"/>
  <c r="AJ135" i="15" s="1"/>
  <c r="K740" i="6"/>
  <c r="L151" i="6"/>
  <c r="AJ138" i="15" s="1"/>
  <c r="K714" i="6"/>
  <c r="L125" i="6"/>
  <c r="V1377" i="6"/>
  <c r="K709" i="6"/>
  <c r="F7" i="6"/>
  <c r="L123" i="6"/>
  <c r="Q675" i="15"/>
  <c r="O675" i="15" s="1"/>
  <c r="Q677" i="15"/>
  <c r="O677" i="15" s="1"/>
  <c r="Q678" i="15"/>
  <c r="O678" i="15" s="1"/>
  <c r="K716" i="6"/>
  <c r="L127" i="6"/>
  <c r="AJ122" i="15" s="1"/>
  <c r="K743" i="6"/>
  <c r="L154" i="6"/>
  <c r="AJ140" i="15" s="1"/>
  <c r="F1100" i="6"/>
  <c r="F870" i="6"/>
  <c r="F891" i="6" s="1"/>
  <c r="F912" i="6" s="1"/>
  <c r="F933" i="6" s="1"/>
  <c r="F954" i="6" s="1"/>
  <c r="F975" i="6" s="1"/>
  <c r="F996" i="6" s="1"/>
  <c r="F1017" i="6" s="1"/>
  <c r="F1038" i="6" s="1"/>
  <c r="F1059" i="6" s="1"/>
  <c r="K717" i="6"/>
  <c r="L147" i="6"/>
  <c r="K736" i="6"/>
  <c r="L133" i="6"/>
  <c r="AJ126" i="15" s="1"/>
  <c r="K807" i="6"/>
  <c r="L791" i="6"/>
  <c r="AJ168" i="15" s="1"/>
  <c r="AE280" i="15"/>
  <c r="L1407" i="6"/>
  <c r="AJ196" i="15" s="1"/>
  <c r="L1423" i="6"/>
  <c r="AJ201" i="15" s="1"/>
  <c r="L1433" i="6"/>
  <c r="AJ204" i="15" s="1"/>
  <c r="F280" i="9"/>
  <c r="N77" i="9"/>
  <c r="J79" i="9"/>
  <c r="J80" i="9"/>
  <c r="F277" i="9"/>
  <c r="N74" i="9"/>
  <c r="J74" i="9"/>
  <c r="F282" i="9"/>
  <c r="N78" i="9"/>
  <c r="J78" i="9"/>
  <c r="N82" i="9"/>
  <c r="J82" i="9"/>
  <c r="F147" i="9"/>
  <c r="F148" i="9"/>
  <c r="F152" i="9"/>
  <c r="F156" i="9"/>
  <c r="BD22" i="10"/>
  <c r="AE585" i="15" s="1"/>
  <c r="AC585" i="15" s="1"/>
  <c r="F228" i="9"/>
  <c r="I553" i="15"/>
  <c r="I554" i="15"/>
  <c r="L138" i="6"/>
  <c r="L214" i="15"/>
  <c r="L313" i="15"/>
  <c r="K728" i="6"/>
  <c r="K726" i="6"/>
  <c r="K735" i="6"/>
  <c r="K124" i="15"/>
  <c r="I124" i="15" s="1"/>
  <c r="K172" i="15"/>
  <c r="I172" i="15" s="1"/>
  <c r="M135" i="15"/>
  <c r="J135" i="15" s="1"/>
  <c r="K135" i="15"/>
  <c r="I135" i="15" s="1"/>
  <c r="K202" i="15"/>
  <c r="K737" i="6"/>
  <c r="L148" i="6"/>
  <c r="AJ136" i="15" s="1"/>
  <c r="K710" i="6"/>
  <c r="L121" i="6"/>
  <c r="AJ118" i="15" s="1"/>
  <c r="K719" i="6"/>
  <c r="L130" i="6"/>
  <c r="AJ124" i="15" s="1"/>
  <c r="Y544" i="15" l="1"/>
  <c r="X582" i="15"/>
  <c r="BC477" i="9"/>
  <c r="O21" i="3"/>
  <c r="BE21" i="3" s="1"/>
  <c r="X33" i="15"/>
  <c r="Z33" i="15" s="1"/>
  <c r="BC31" i="3"/>
  <c r="DB365" i="2"/>
  <c r="AA669" i="15" s="1"/>
  <c r="AE669" i="15"/>
  <c r="AC669" i="15" s="1"/>
  <c r="X524" i="15"/>
  <c r="Z524" i="15" s="1"/>
  <c r="BC912" i="7"/>
  <c r="AB46" i="15"/>
  <c r="BE77" i="16"/>
  <c r="AB45" i="15"/>
  <c r="BE75" i="16"/>
  <c r="AB42" i="15"/>
  <c r="BE69" i="16"/>
  <c r="AB36" i="15"/>
  <c r="BE57" i="16"/>
  <c r="AB63" i="15"/>
  <c r="BE307" i="16"/>
  <c r="AB43" i="15"/>
  <c r="BE71" i="16"/>
  <c r="AB64" i="15"/>
  <c r="BE308" i="16"/>
  <c r="AB61" i="15"/>
  <c r="BE256" i="16"/>
  <c r="AB569" i="15"/>
  <c r="AB537" i="15"/>
  <c r="BC440" i="9"/>
  <c r="BD440" i="9" s="1"/>
  <c r="BB440" i="9" s="1"/>
  <c r="AA564" i="15" s="1"/>
  <c r="BD1512" i="6"/>
  <c r="BD1628" i="6"/>
  <c r="BD1484" i="6"/>
  <c r="K406" i="15"/>
  <c r="AN406" i="15" s="1"/>
  <c r="AC692" i="7"/>
  <c r="AB439" i="15"/>
  <c r="L398" i="15"/>
  <c r="I398" i="15" s="1"/>
  <c r="AC677" i="7"/>
  <c r="K402" i="15"/>
  <c r="AN402" i="15" s="1"/>
  <c r="AC684" i="7"/>
  <c r="L404" i="15"/>
  <c r="AC689" i="7"/>
  <c r="K407" i="15"/>
  <c r="AN407" i="15" s="1"/>
  <c r="AC694" i="7"/>
  <c r="L408" i="15"/>
  <c r="AC697" i="7"/>
  <c r="AB505" i="15"/>
  <c r="AB493" i="15"/>
  <c r="BC762" i="7"/>
  <c r="L399" i="15"/>
  <c r="AC679" i="7"/>
  <c r="AB503" i="15"/>
  <c r="AB491" i="15"/>
  <c r="L400" i="15"/>
  <c r="AC681" i="7"/>
  <c r="K403" i="15"/>
  <c r="AC686" i="7"/>
  <c r="K408" i="15"/>
  <c r="AN408" i="15" s="1"/>
  <c r="AC696" i="7"/>
  <c r="L403" i="15"/>
  <c r="AC687" i="7"/>
  <c r="AB489" i="15"/>
  <c r="L401" i="15"/>
  <c r="AC683" i="7"/>
  <c r="K404" i="15"/>
  <c r="I404" i="15" s="1"/>
  <c r="AC688" i="7"/>
  <c r="L405" i="15"/>
  <c r="AC691" i="7"/>
  <c r="AB501" i="15"/>
  <c r="AB487" i="15"/>
  <c r="AB433" i="15"/>
  <c r="K399" i="15"/>
  <c r="AC678" i="7"/>
  <c r="L406" i="15"/>
  <c r="AC693" i="7"/>
  <c r="AB499" i="15"/>
  <c r="K400" i="15"/>
  <c r="AN400" i="15" s="1"/>
  <c r="AC680" i="7"/>
  <c r="K405" i="15"/>
  <c r="I405" i="15" s="1"/>
  <c r="AC690" i="7"/>
  <c r="L407" i="15"/>
  <c r="AC695" i="7"/>
  <c r="AB497" i="15"/>
  <c r="AB485" i="15"/>
  <c r="K401" i="15"/>
  <c r="AC682" i="7"/>
  <c r="L402" i="15"/>
  <c r="AC685" i="7"/>
  <c r="AB563" i="15"/>
  <c r="X532" i="15"/>
  <c r="Z532" i="15" s="1"/>
  <c r="AB580" i="15"/>
  <c r="F9" i="9"/>
  <c r="F11" i="9"/>
  <c r="BD282" i="9"/>
  <c r="AE552" i="15" s="1"/>
  <c r="AC552" i="15" s="1"/>
  <c r="BC591" i="9"/>
  <c r="BD591" i="9" s="1"/>
  <c r="AG582" i="15" s="1"/>
  <c r="AD582" i="15" s="1"/>
  <c r="BC476" i="9"/>
  <c r="BD476" i="9" s="1"/>
  <c r="BB476" i="9" s="1"/>
  <c r="AA566" i="15" s="1"/>
  <c r="BC371" i="9"/>
  <c r="BD371" i="9" s="1"/>
  <c r="BC478" i="9"/>
  <c r="BD478" i="9" s="1"/>
  <c r="AE568" i="15" s="1"/>
  <c r="AC568" i="15" s="1"/>
  <c r="AB407" i="15"/>
  <c r="E508" i="7"/>
  <c r="F1313" i="7"/>
  <c r="F1303" i="7" s="1"/>
  <c r="AB500" i="15"/>
  <c r="AB492" i="15"/>
  <c r="AB484" i="15"/>
  <c r="AB405" i="15"/>
  <c r="BC1300" i="7"/>
  <c r="AB506" i="15"/>
  <c r="AB498" i="15"/>
  <c r="AB490" i="15"/>
  <c r="AB441" i="15"/>
  <c r="AB504" i="15"/>
  <c r="AB496" i="15"/>
  <c r="AB488" i="15"/>
  <c r="BC559" i="7"/>
  <c r="I449" i="7"/>
  <c r="K326" i="15"/>
  <c r="I326" i="15" s="1"/>
  <c r="AC13" i="7"/>
  <c r="BD1456" i="6"/>
  <c r="BD1642" i="6"/>
  <c r="H1498" i="6"/>
  <c r="BC1498" i="6"/>
  <c r="BD1498" i="6" s="1"/>
  <c r="H1527" i="6"/>
  <c r="BC1527" i="6"/>
  <c r="H1747" i="6"/>
  <c r="BC1747" i="6"/>
  <c r="H1735" i="6"/>
  <c r="BC1735" i="6"/>
  <c r="H1757" i="6"/>
  <c r="BC1757" i="6"/>
  <c r="BD1434" i="6"/>
  <c r="AF204" i="15" s="1"/>
  <c r="BD1449" i="6"/>
  <c r="AE209" i="15" s="1"/>
  <c r="H1500" i="6"/>
  <c r="BC1500" i="6"/>
  <c r="H1517" i="6"/>
  <c r="BC1517" i="6"/>
  <c r="BD1708" i="6"/>
  <c r="H1719" i="6"/>
  <c r="BC1719" i="6"/>
  <c r="H1477" i="6"/>
  <c r="BC1477" i="6"/>
  <c r="BD1644" i="6"/>
  <c r="H1689" i="6"/>
  <c r="BC1689" i="6"/>
  <c r="K4217" i="6"/>
  <c r="K1765" i="6" s="1"/>
  <c r="BE1765" i="6" s="1"/>
  <c r="K4219" i="6"/>
  <c r="K1767" i="6" s="1"/>
  <c r="BE1767" i="6" s="1"/>
  <c r="K3983" i="6"/>
  <c r="K1531" i="6" s="1"/>
  <c r="K3981" i="6"/>
  <c r="K1529" i="6" s="1"/>
  <c r="K3979" i="6"/>
  <c r="K1527" i="6" s="1"/>
  <c r="BE1527" i="6" s="1"/>
  <c r="H1487" i="6"/>
  <c r="BC1487" i="6"/>
  <c r="H1467" i="6"/>
  <c r="BC1467" i="6"/>
  <c r="BD1467" i="6" s="1"/>
  <c r="H1720" i="6"/>
  <c r="BC1720" i="6"/>
  <c r="BD1436" i="6"/>
  <c r="AH204" i="15" s="1"/>
  <c r="BD1478" i="6"/>
  <c r="H1537" i="6"/>
  <c r="BC1537" i="6"/>
  <c r="H1673" i="6"/>
  <c r="BC1673" i="6"/>
  <c r="L3897" i="6"/>
  <c r="K3897" i="6" s="1"/>
  <c r="K1445" i="6" s="1"/>
  <c r="BE1445" i="6" s="1"/>
  <c r="BD1438" i="6"/>
  <c r="AF205" i="15" s="1"/>
  <c r="H1497" i="6"/>
  <c r="BC1497" i="6"/>
  <c r="H1511" i="6"/>
  <c r="BC1511" i="6"/>
  <c r="H1555" i="6"/>
  <c r="BC1555" i="6"/>
  <c r="H1641" i="6"/>
  <c r="BC1641" i="6"/>
  <c r="BC1347" i="7"/>
  <c r="F1126" i="7"/>
  <c r="F1127" i="7"/>
  <c r="I449" i="15" s="1"/>
  <c r="F1130" i="7"/>
  <c r="X404" i="15"/>
  <c r="Z404" i="15" s="1"/>
  <c r="BC838" i="7"/>
  <c r="BC1335" i="7"/>
  <c r="BC1351" i="7"/>
  <c r="BD1351" i="7" s="1"/>
  <c r="AE499" i="15" s="1"/>
  <c r="AC499" i="15" s="1"/>
  <c r="BC1349" i="7"/>
  <c r="BC1345" i="7"/>
  <c r="BD1345" i="7" s="1"/>
  <c r="AE493" i="15" s="1"/>
  <c r="AC493" i="15" s="1"/>
  <c r="BC1343" i="7"/>
  <c r="BD1343" i="7" s="1"/>
  <c r="AE491" i="15" s="1"/>
  <c r="AC491" i="15" s="1"/>
  <c r="F16" i="7"/>
  <c r="AC41" i="7"/>
  <c r="BC1357" i="7"/>
  <c r="BC1341" i="7"/>
  <c r="X442" i="15"/>
  <c r="Z442" i="15" s="1"/>
  <c r="BC1355" i="7"/>
  <c r="BC1339" i="7"/>
  <c r="BD1339" i="7" s="1"/>
  <c r="BC1353" i="7"/>
  <c r="BD1353" i="7" s="1"/>
  <c r="BB1353" i="7" s="1"/>
  <c r="AA501" i="15" s="1"/>
  <c r="BC1337" i="7"/>
  <c r="BD1337" i="7" s="1"/>
  <c r="BB1337" i="7" s="1"/>
  <c r="AA485" i="15" s="1"/>
  <c r="F1131" i="7"/>
  <c r="BD1131" i="7" s="1"/>
  <c r="AE453" i="15" s="1"/>
  <c r="AC453" i="15" s="1"/>
  <c r="BC884" i="7"/>
  <c r="X434" i="15"/>
  <c r="Z434" i="15" s="1"/>
  <c r="F597" i="9"/>
  <c r="F590" i="9" s="1"/>
  <c r="I582" i="15" s="1"/>
  <c r="AN582" i="15" s="1"/>
  <c r="AB564" i="15"/>
  <c r="D400" i="9"/>
  <c r="V400" i="9" s="1"/>
  <c r="F14" i="9"/>
  <c r="X412" i="15"/>
  <c r="Z412" i="15" s="1"/>
  <c r="F931" i="7"/>
  <c r="I931" i="7" s="1"/>
  <c r="R437" i="15" s="1"/>
  <c r="BD923" i="7"/>
  <c r="AF433" i="15" s="1"/>
  <c r="K768" i="2"/>
  <c r="P725" i="15" s="1"/>
  <c r="W725" i="15" s="1"/>
  <c r="V725" i="15" s="1"/>
  <c r="U725" i="15" s="1"/>
  <c r="D614" i="9"/>
  <c r="BC80" i="9"/>
  <c r="D433" i="9"/>
  <c r="V433" i="9" s="1"/>
  <c r="M280" i="9"/>
  <c r="O550" i="15" s="1"/>
  <c r="W550" i="15" s="1"/>
  <c r="AB540" i="15"/>
  <c r="BE82" i="9"/>
  <c r="AB562" i="15"/>
  <c r="BE371" i="9"/>
  <c r="AB524" i="15"/>
  <c r="BE11" i="9"/>
  <c r="AB542" i="15"/>
  <c r="BE196" i="9"/>
  <c r="AB520" i="15"/>
  <c r="BE7" i="9"/>
  <c r="J3858" i="6"/>
  <c r="J4232" i="6"/>
  <c r="J3854" i="6"/>
  <c r="J4228" i="6"/>
  <c r="J3850" i="6"/>
  <c r="J4224" i="6"/>
  <c r="J3846" i="6"/>
  <c r="J4220" i="6"/>
  <c r="J3842" i="6"/>
  <c r="J4216" i="6"/>
  <c r="J3836" i="6"/>
  <c r="J4210" i="6"/>
  <c r="J3826" i="6"/>
  <c r="J4200" i="6"/>
  <c r="J3784" i="6"/>
  <c r="J4158" i="6"/>
  <c r="J3798" i="6"/>
  <c r="J4172" i="6"/>
  <c r="J3752" i="6"/>
  <c r="J4126" i="6"/>
  <c r="J3768" i="6"/>
  <c r="J4142" i="6"/>
  <c r="J3720" i="6"/>
  <c r="J4094" i="6"/>
  <c r="J3736" i="6"/>
  <c r="J4110" i="6"/>
  <c r="J3704" i="6"/>
  <c r="J4078" i="6"/>
  <c r="J3652" i="6"/>
  <c r="J4026" i="6"/>
  <c r="J3634" i="6"/>
  <c r="J4008" i="6"/>
  <c r="J3616" i="6"/>
  <c r="J3990" i="6"/>
  <c r="J3606" i="6"/>
  <c r="J3980" i="6"/>
  <c r="J3590" i="6"/>
  <c r="J3964" i="6"/>
  <c r="J3596" i="6"/>
  <c r="J3970" i="6"/>
  <c r="J3576" i="6"/>
  <c r="J3950" i="6"/>
  <c r="J3562" i="6"/>
  <c r="J3936" i="6"/>
  <c r="J3566" i="6"/>
  <c r="J3940" i="6"/>
  <c r="J3556" i="6"/>
  <c r="J3930" i="6"/>
  <c r="F1573" i="6"/>
  <c r="BD1573" i="6" s="1"/>
  <c r="J3546" i="6"/>
  <c r="J3920" i="6"/>
  <c r="J3532" i="6"/>
  <c r="J3906" i="6"/>
  <c r="J3524" i="6"/>
  <c r="J3898" i="6"/>
  <c r="M3859" i="6"/>
  <c r="L3859" i="6" s="1"/>
  <c r="K3859" i="6" s="1"/>
  <c r="K1407" i="6" s="1"/>
  <c r="BE1407" i="6" s="1"/>
  <c r="F1673" i="6"/>
  <c r="C1737" i="6"/>
  <c r="J2901" i="6" s="1"/>
  <c r="J3814" i="6"/>
  <c r="F1487" i="6"/>
  <c r="I1487" i="6" s="1"/>
  <c r="Q222" i="15" s="1"/>
  <c r="F1447" i="6"/>
  <c r="M208" i="15" s="1"/>
  <c r="BC1762" i="6"/>
  <c r="BD1762" i="6" s="1"/>
  <c r="AF292" i="15"/>
  <c r="F1500" i="6"/>
  <c r="N226" i="15" s="1"/>
  <c r="K3344" i="6"/>
  <c r="F1528" i="6"/>
  <c r="BD1528" i="6" s="1"/>
  <c r="AF238" i="15" s="1"/>
  <c r="K3358" i="6"/>
  <c r="F1556" i="6"/>
  <c r="L250" i="15" s="1"/>
  <c r="K3372" i="6"/>
  <c r="F1658" i="6"/>
  <c r="BD1658" i="6" s="1"/>
  <c r="AF281" i="15" s="1"/>
  <c r="K3424" i="6"/>
  <c r="F1660" i="6"/>
  <c r="N281" i="15" s="1"/>
  <c r="K3425" i="6"/>
  <c r="F1690" i="6"/>
  <c r="BD1690" i="6" s="1"/>
  <c r="AF289" i="15" s="1"/>
  <c r="K3440" i="6"/>
  <c r="F1538" i="6"/>
  <c r="L243" i="15" s="1"/>
  <c r="K3363" i="6"/>
  <c r="F1692" i="6"/>
  <c r="N289" i="15" s="1"/>
  <c r="K3441" i="6"/>
  <c r="AE225" i="15"/>
  <c r="F1518" i="6"/>
  <c r="L233" i="15" s="1"/>
  <c r="K3353" i="6"/>
  <c r="F1720" i="6"/>
  <c r="L297" i="15" s="1"/>
  <c r="K3455" i="6"/>
  <c r="F1771" i="6"/>
  <c r="K315" i="15" s="1"/>
  <c r="F1576" i="6"/>
  <c r="BD1576" i="6" s="1"/>
  <c r="AH256" i="15" s="1"/>
  <c r="K3382" i="6"/>
  <c r="F1722" i="6"/>
  <c r="N297" i="15" s="1"/>
  <c r="K3456" i="6"/>
  <c r="J2340" i="6"/>
  <c r="F1748" i="6"/>
  <c r="L305" i="15" s="1"/>
  <c r="K3469" i="6"/>
  <c r="F1751" i="6" s="1"/>
  <c r="K307" i="15" s="1"/>
  <c r="X225" i="15"/>
  <c r="AB190" i="15"/>
  <c r="X316" i="15"/>
  <c r="Z316" i="15" s="1"/>
  <c r="F1735" i="6"/>
  <c r="I1735" i="6" s="1"/>
  <c r="AF256" i="15"/>
  <c r="D277" i="15"/>
  <c r="H1642" i="6"/>
  <c r="I1642" i="6" s="1"/>
  <c r="R277" i="15" s="1"/>
  <c r="D281" i="15"/>
  <c r="H1658" i="6"/>
  <c r="D293" i="15"/>
  <c r="H1706" i="6"/>
  <c r="I1706" i="6" s="1"/>
  <c r="R293" i="15" s="1"/>
  <c r="A1453" i="6"/>
  <c r="H1453" i="6"/>
  <c r="D273" i="15"/>
  <c r="H1626" i="6"/>
  <c r="I1626" i="6" s="1"/>
  <c r="R273" i="15" s="1"/>
  <c r="E285" i="15"/>
  <c r="H1675" i="6"/>
  <c r="E289" i="15"/>
  <c r="H1691" i="6"/>
  <c r="E301" i="15"/>
  <c r="H1737" i="6"/>
  <c r="D319" i="15"/>
  <c r="H1780" i="6"/>
  <c r="I1780" i="6" s="1"/>
  <c r="R319" i="15" s="1"/>
  <c r="D218" i="15"/>
  <c r="H1478" i="6"/>
  <c r="I1478" i="6" s="1"/>
  <c r="R218" i="15" s="1"/>
  <c r="D243" i="15"/>
  <c r="H1538" i="6"/>
  <c r="D250" i="15"/>
  <c r="H1556" i="6"/>
  <c r="D256" i="15"/>
  <c r="H1574" i="6"/>
  <c r="I1574" i="6" s="1"/>
  <c r="R256" i="15" s="1"/>
  <c r="E273" i="15"/>
  <c r="H1627" i="6"/>
  <c r="E277" i="15"/>
  <c r="H1643" i="6"/>
  <c r="E281" i="15"/>
  <c r="H1659" i="6"/>
  <c r="F285" i="15"/>
  <c r="H1676" i="6"/>
  <c r="I1676" i="6" s="1"/>
  <c r="T285" i="15" s="1"/>
  <c r="F289" i="15"/>
  <c r="H1692" i="6"/>
  <c r="E293" i="15"/>
  <c r="H1707" i="6"/>
  <c r="F301" i="15"/>
  <c r="H1738" i="6"/>
  <c r="I1738" i="6" s="1"/>
  <c r="T301" i="15" s="1"/>
  <c r="D309" i="15"/>
  <c r="H1758" i="6"/>
  <c r="I1758" i="6" s="1"/>
  <c r="R309" i="15" s="1"/>
  <c r="D317" i="15"/>
  <c r="H1776" i="6"/>
  <c r="I1776" i="6" s="1"/>
  <c r="R317" i="15" s="1"/>
  <c r="F208" i="15"/>
  <c r="H1448" i="6"/>
  <c r="I1448" i="6" s="1"/>
  <c r="T208" i="15" s="1"/>
  <c r="D210" i="15"/>
  <c r="H1454" i="6"/>
  <c r="I1454" i="6" s="1"/>
  <c r="R210" i="15" s="1"/>
  <c r="E226" i="15"/>
  <c r="H1499" i="6"/>
  <c r="F273" i="15"/>
  <c r="H1628" i="6"/>
  <c r="I1628" i="6" s="1"/>
  <c r="T273" i="15" s="1"/>
  <c r="F277" i="15"/>
  <c r="H1644" i="6"/>
  <c r="I1644" i="6" s="1"/>
  <c r="T277" i="15" s="1"/>
  <c r="F281" i="15"/>
  <c r="H1660" i="6"/>
  <c r="F293" i="15"/>
  <c r="H1708" i="6"/>
  <c r="I1708" i="6" s="1"/>
  <c r="T293" i="15" s="1"/>
  <c r="E297" i="15"/>
  <c r="H1721" i="6"/>
  <c r="BC819" i="6"/>
  <c r="E218" i="15"/>
  <c r="H1479" i="6"/>
  <c r="A1483" i="6"/>
  <c r="H1483" i="6"/>
  <c r="D230" i="15"/>
  <c r="H1512" i="6"/>
  <c r="I1512" i="6" s="1"/>
  <c r="R230" i="15" s="1"/>
  <c r="E256" i="15"/>
  <c r="H1575" i="6"/>
  <c r="F297" i="15"/>
  <c r="H1722" i="6"/>
  <c r="E309" i="15"/>
  <c r="H1759" i="6"/>
  <c r="D311" i="15"/>
  <c r="H1764" i="6"/>
  <c r="I1764" i="6" s="1"/>
  <c r="R311" i="15" s="1"/>
  <c r="D313" i="15"/>
  <c r="H1768" i="6"/>
  <c r="I1768" i="6" s="1"/>
  <c r="R313" i="15" s="1"/>
  <c r="A1573" i="6"/>
  <c r="H1573" i="6"/>
  <c r="I1573" i="6" s="1"/>
  <c r="Q256" i="15" s="1"/>
  <c r="J823" i="6"/>
  <c r="BC823" i="6" s="1"/>
  <c r="D208" i="15"/>
  <c r="H1446" i="6"/>
  <c r="E210" i="15"/>
  <c r="H1455" i="6"/>
  <c r="F218" i="15"/>
  <c r="H1480" i="6"/>
  <c r="I1480" i="6" s="1"/>
  <c r="T218" i="15" s="1"/>
  <c r="D233" i="15"/>
  <c r="H1518" i="6"/>
  <c r="F256" i="15"/>
  <c r="H1576" i="6"/>
  <c r="D305" i="15"/>
  <c r="H1748" i="6"/>
  <c r="F309" i="15"/>
  <c r="H1760" i="6"/>
  <c r="I1760" i="6" s="1"/>
  <c r="T309" i="15" s="1"/>
  <c r="I1772" i="6"/>
  <c r="F210" i="15"/>
  <c r="H1456" i="6"/>
  <c r="I1456" i="6" s="1"/>
  <c r="T210" i="15" s="1"/>
  <c r="D214" i="15"/>
  <c r="H1468" i="6"/>
  <c r="I1468" i="6" s="1"/>
  <c r="R214" i="15" s="1"/>
  <c r="D220" i="15"/>
  <c r="H1484" i="6"/>
  <c r="I1484" i="6" s="1"/>
  <c r="R220" i="15" s="1"/>
  <c r="D222" i="15"/>
  <c r="H1488" i="6"/>
  <c r="I1488" i="6" s="1"/>
  <c r="R222" i="15" s="1"/>
  <c r="A1657" i="6"/>
  <c r="H1657" i="6"/>
  <c r="A1705" i="6"/>
  <c r="H1705" i="6"/>
  <c r="D238" i="15"/>
  <c r="H1528" i="6"/>
  <c r="A1625" i="6"/>
  <c r="H1625" i="6"/>
  <c r="D285" i="15"/>
  <c r="H1674" i="6"/>
  <c r="I1674" i="6" s="1"/>
  <c r="R285" i="15" s="1"/>
  <c r="D289" i="15"/>
  <c r="H1690" i="6"/>
  <c r="D301" i="15"/>
  <c r="H1736" i="6"/>
  <c r="I1736" i="6" s="1"/>
  <c r="R301" i="15" s="1"/>
  <c r="L277" i="15"/>
  <c r="L230" i="15"/>
  <c r="I1720" i="6"/>
  <c r="R297" i="15" s="1"/>
  <c r="N301" i="15"/>
  <c r="L317" i="15"/>
  <c r="L220" i="15"/>
  <c r="N273" i="15"/>
  <c r="L285" i="15"/>
  <c r="K214" i="15"/>
  <c r="I214" i="15" s="1"/>
  <c r="I1467" i="6"/>
  <c r="Q214" i="15" s="1"/>
  <c r="L210" i="15"/>
  <c r="N285" i="15"/>
  <c r="N210" i="15"/>
  <c r="L226" i="15"/>
  <c r="I1498" i="6"/>
  <c r="R226" i="15" s="1"/>
  <c r="L293" i="15"/>
  <c r="L301" i="15"/>
  <c r="N208" i="15"/>
  <c r="N293" i="15"/>
  <c r="L319" i="15"/>
  <c r="N218" i="15"/>
  <c r="L311" i="15"/>
  <c r="K256" i="15"/>
  <c r="L256" i="15"/>
  <c r="BC1765" i="6"/>
  <c r="BC1777" i="6"/>
  <c r="AE296" i="15"/>
  <c r="X281" i="15"/>
  <c r="AE308" i="15"/>
  <c r="AC308" i="15" s="1"/>
  <c r="Y204" i="15"/>
  <c r="BC1451" i="6"/>
  <c r="BC813" i="6"/>
  <c r="Y210" i="15"/>
  <c r="X309" i="15"/>
  <c r="X202" i="15"/>
  <c r="BC190" i="6"/>
  <c r="BD190" i="6" s="1"/>
  <c r="AE269" i="15"/>
  <c r="V636" i="6"/>
  <c r="Y264" i="15"/>
  <c r="Z264" i="15" s="1"/>
  <c r="X285" i="15"/>
  <c r="AE284" i="15"/>
  <c r="AC284" i="15" s="1"/>
  <c r="X249" i="15"/>
  <c r="Z249" i="15" s="1"/>
  <c r="X255" i="15"/>
  <c r="F1237" i="6"/>
  <c r="J1199" i="6"/>
  <c r="BC1199" i="6" s="1"/>
  <c r="BD1199" i="6" s="1"/>
  <c r="AF189" i="15" s="1"/>
  <c r="S284" i="15"/>
  <c r="X250" i="15"/>
  <c r="Z250" i="15" s="1"/>
  <c r="F1243" i="6"/>
  <c r="X189" i="15"/>
  <c r="Z189" i="15" s="1"/>
  <c r="F1249" i="6"/>
  <c r="BC1442" i="6"/>
  <c r="F1257" i="6"/>
  <c r="Y302" i="15"/>
  <c r="Z302" i="15" s="1"/>
  <c r="F1239" i="6"/>
  <c r="X267" i="15"/>
  <c r="Z267" i="15" s="1"/>
  <c r="F1269" i="6"/>
  <c r="AE265" i="15"/>
  <c r="AC265" i="15" s="1"/>
  <c r="Q312" i="15"/>
  <c r="BC166" i="6"/>
  <c r="BD166" i="6" s="1"/>
  <c r="AE148" i="15" s="1"/>
  <c r="AC148" i="15" s="1"/>
  <c r="BC169" i="6"/>
  <c r="BD169" i="6" s="1"/>
  <c r="AE150" i="15" s="1"/>
  <c r="AC150" i="15" s="1"/>
  <c r="BC1450" i="6"/>
  <c r="AH284" i="15"/>
  <c r="AB229" i="15"/>
  <c r="K822" i="6"/>
  <c r="BE822" i="6" s="1"/>
  <c r="BE818" i="6"/>
  <c r="AB221" i="15"/>
  <c r="K828" i="6"/>
  <c r="BE828" i="6" s="1"/>
  <c r="BE826" i="6"/>
  <c r="K834" i="6"/>
  <c r="BE834" i="6" s="1"/>
  <c r="BE830" i="6"/>
  <c r="AB174" i="15"/>
  <c r="BE807" i="6"/>
  <c r="K812" i="6"/>
  <c r="BE812" i="6" s="1"/>
  <c r="BE810" i="6"/>
  <c r="AB312" i="15"/>
  <c r="AB130" i="15"/>
  <c r="BE139" i="6"/>
  <c r="F997" i="7"/>
  <c r="AB374" i="15"/>
  <c r="BE447" i="7"/>
  <c r="AB437" i="15"/>
  <c r="BC1358" i="7"/>
  <c r="BD1358" i="7" s="1"/>
  <c r="AE506" i="15" s="1"/>
  <c r="AC506" i="15" s="1"/>
  <c r="F9" i="7"/>
  <c r="AB379" i="15"/>
  <c r="BE487" i="7"/>
  <c r="AB440" i="15"/>
  <c r="BE997" i="7"/>
  <c r="AB329" i="15"/>
  <c r="BE16" i="7"/>
  <c r="AB352" i="15"/>
  <c r="BE132" i="7"/>
  <c r="AB363" i="15"/>
  <c r="BE143" i="7"/>
  <c r="AB415" i="15"/>
  <c r="BE763" i="7"/>
  <c r="AB481" i="15"/>
  <c r="BE1300" i="7"/>
  <c r="AB351" i="15"/>
  <c r="BE131" i="7"/>
  <c r="AB422" i="15"/>
  <c r="BE839" i="7"/>
  <c r="BD1130" i="7"/>
  <c r="AE452" i="15" s="1"/>
  <c r="AC452" i="15" s="1"/>
  <c r="AB426" i="15"/>
  <c r="BC1342" i="7"/>
  <c r="BD1342" i="7" s="1"/>
  <c r="AB335" i="15"/>
  <c r="BE59" i="7"/>
  <c r="AB403" i="15"/>
  <c r="BE686" i="7"/>
  <c r="AB404" i="15"/>
  <c r="BE688" i="7"/>
  <c r="AB456" i="15"/>
  <c r="BE1134" i="7"/>
  <c r="AB430" i="15"/>
  <c r="BE916" i="7"/>
  <c r="F8" i="7"/>
  <c r="AB365" i="15"/>
  <c r="BE145" i="7"/>
  <c r="AB373" i="15"/>
  <c r="BE446" i="7"/>
  <c r="AB442" i="15"/>
  <c r="BE1032" i="7"/>
  <c r="AB420" i="15"/>
  <c r="BE837" i="7"/>
  <c r="AB337" i="15"/>
  <c r="BE61" i="7"/>
  <c r="AB482" i="15"/>
  <c r="BE1302" i="7"/>
  <c r="BC1350" i="7"/>
  <c r="AB361" i="15"/>
  <c r="BE141" i="7"/>
  <c r="AB400" i="15"/>
  <c r="BE680" i="7"/>
  <c r="AB432" i="15"/>
  <c r="BE920" i="7"/>
  <c r="AB421" i="15"/>
  <c r="BE838" i="7"/>
  <c r="AB423" i="15"/>
  <c r="BE840" i="7"/>
  <c r="AB68" i="15"/>
  <c r="BE10" i="5"/>
  <c r="AB189" i="15"/>
  <c r="BE1198" i="6"/>
  <c r="K12" i="9"/>
  <c r="D266" i="9"/>
  <c r="X534" i="15"/>
  <c r="Z534" i="15" s="1"/>
  <c r="D399" i="9"/>
  <c r="V399" i="9" s="1"/>
  <c r="D612" i="9"/>
  <c r="L197" i="9"/>
  <c r="X543" i="15" s="1"/>
  <c r="Z543" i="15" s="1"/>
  <c r="X542" i="15"/>
  <c r="Z542" i="15" s="1"/>
  <c r="D467" i="9"/>
  <c r="V467" i="9" s="1"/>
  <c r="D582" i="9"/>
  <c r="V582" i="9" s="1"/>
  <c r="D180" i="9"/>
  <c r="V180" i="9" s="1"/>
  <c r="AB582" i="15"/>
  <c r="AB454" i="15"/>
  <c r="AB435" i="15"/>
  <c r="AB401" i="15"/>
  <c r="X423" i="15"/>
  <c r="Z423" i="15" s="1"/>
  <c r="AB452" i="15"/>
  <c r="AB434" i="15"/>
  <c r="AB449" i="15"/>
  <c r="AB447" i="15"/>
  <c r="X430" i="15"/>
  <c r="Z430" i="15" s="1"/>
  <c r="AB429" i="15"/>
  <c r="AB436" i="15"/>
  <c r="F446" i="7"/>
  <c r="I373" i="15" s="1"/>
  <c r="AN373" i="15" s="1"/>
  <c r="F31" i="3"/>
  <c r="G31" i="3" s="1"/>
  <c r="X31" i="15"/>
  <c r="Z31" i="15" s="1"/>
  <c r="BC25" i="3"/>
  <c r="X23" i="15"/>
  <c r="Z23" i="15" s="1"/>
  <c r="X19" i="15"/>
  <c r="Z19" i="15" s="1"/>
  <c r="F12" i="3"/>
  <c r="I14" i="15" s="1"/>
  <c r="AN14" i="15" s="1"/>
  <c r="D510" i="7"/>
  <c r="V510" i="7" s="1"/>
  <c r="BC839" i="7"/>
  <c r="M488" i="7"/>
  <c r="BE488" i="7" s="1"/>
  <c r="BD1417" i="6"/>
  <c r="AG198" i="15" s="1"/>
  <c r="AD198" i="15" s="1"/>
  <c r="BC763" i="7"/>
  <c r="F1133" i="7"/>
  <c r="AE264" i="15"/>
  <c r="F1643" i="6"/>
  <c r="BD1643" i="6" s="1"/>
  <c r="F238" i="6"/>
  <c r="F310" i="6" s="1"/>
  <c r="F382" i="6" s="1"/>
  <c r="F454" i="6" s="1"/>
  <c r="F526" i="6" s="1"/>
  <c r="F598" i="6" s="1"/>
  <c r="F671" i="6" s="1"/>
  <c r="F743" i="6" s="1"/>
  <c r="F1737" i="6"/>
  <c r="BD1737" i="6" s="1"/>
  <c r="F1775" i="6"/>
  <c r="F1453" i="6"/>
  <c r="BD1453" i="6" s="1"/>
  <c r="F1675" i="6"/>
  <c r="BD1675" i="6" s="1"/>
  <c r="X3975" i="6"/>
  <c r="K4057" i="6"/>
  <c r="AF225" i="15"/>
  <c r="Y286" i="15"/>
  <c r="Y268" i="15"/>
  <c r="F1226" i="6"/>
  <c r="F1286" i="6" s="1"/>
  <c r="AB310" i="15"/>
  <c r="AG217" i="15"/>
  <c r="AH308" i="15"/>
  <c r="AD308" i="15" s="1"/>
  <c r="X213" i="15"/>
  <c r="Z213" i="15" s="1"/>
  <c r="K808" i="6"/>
  <c r="BE808" i="6" s="1"/>
  <c r="Y218" i="15"/>
  <c r="G305" i="15"/>
  <c r="J836" i="6"/>
  <c r="BC836" i="6" s="1"/>
  <c r="AH276" i="15"/>
  <c r="X295" i="15"/>
  <c r="Z295" i="15" s="1"/>
  <c r="X728" i="6"/>
  <c r="X1157" i="6"/>
  <c r="BC789" i="6"/>
  <c r="BD789" i="6" s="1"/>
  <c r="AE167" i="15" s="1"/>
  <c r="AC167" i="15" s="1"/>
  <c r="F1235" i="6"/>
  <c r="X1171" i="6"/>
  <c r="X1169" i="6"/>
  <c r="X278" i="15"/>
  <c r="AF217" i="15"/>
  <c r="AC217" i="15" s="1"/>
  <c r="G158" i="15"/>
  <c r="F1230" i="6"/>
  <c r="F1278" i="6" s="1"/>
  <c r="AH293" i="15"/>
  <c r="X293" i="15"/>
  <c r="AB219" i="15"/>
  <c r="Y277" i="15"/>
  <c r="Z277" i="15" s="1"/>
  <c r="AG276" i="15"/>
  <c r="X1172" i="6"/>
  <c r="AE260" i="15"/>
  <c r="G175" i="15"/>
  <c r="AF214" i="15"/>
  <c r="X206" i="15"/>
  <c r="Z206" i="15" s="1"/>
  <c r="X232" i="15"/>
  <c r="Z232" i="15" s="1"/>
  <c r="BC791" i="6"/>
  <c r="BD791" i="6" s="1"/>
  <c r="Q316" i="15"/>
  <c r="AE302" i="15"/>
  <c r="AC302" i="15" s="1"/>
  <c r="AB199" i="15"/>
  <c r="AE232" i="15"/>
  <c r="AH277" i="15"/>
  <c r="F1527" i="6"/>
  <c r="F1707" i="6"/>
  <c r="BD1707" i="6" s="1"/>
  <c r="AF210" i="15"/>
  <c r="AB265" i="15"/>
  <c r="S225" i="15"/>
  <c r="Y278" i="15"/>
  <c r="BD1194" i="6"/>
  <c r="AE187" i="15" s="1"/>
  <c r="G126" i="15"/>
  <c r="F1705" i="6"/>
  <c r="BD1705" i="6" s="1"/>
  <c r="AE229" i="15"/>
  <c r="AF293" i="15"/>
  <c r="F1477" i="6"/>
  <c r="AF220" i="15"/>
  <c r="AH217" i="15"/>
  <c r="AE241" i="15"/>
  <c r="X229" i="15"/>
  <c r="Z229" i="15" s="1"/>
  <c r="AG288" i="15"/>
  <c r="BC820" i="6"/>
  <c r="X310" i="15"/>
  <c r="Z310" i="15" s="1"/>
  <c r="F1289" i="6"/>
  <c r="F1241" i="6"/>
  <c r="F1265" i="6"/>
  <c r="F1253" i="6"/>
  <c r="F235" i="6"/>
  <c r="F307" i="6" s="1"/>
  <c r="F379" i="6" s="1"/>
  <c r="F451" i="6" s="1"/>
  <c r="F523" i="6" s="1"/>
  <c r="F595" i="6" s="1"/>
  <c r="F668" i="6" s="1"/>
  <c r="F740" i="6" s="1"/>
  <c r="F229" i="6"/>
  <c r="F301" i="6" s="1"/>
  <c r="F373" i="6" s="1"/>
  <c r="F445" i="6" s="1"/>
  <c r="F517" i="6" s="1"/>
  <c r="F589" i="6" s="1"/>
  <c r="F662" i="6" s="1"/>
  <c r="F734" i="6" s="1"/>
  <c r="F1517" i="6"/>
  <c r="BC1763" i="6"/>
  <c r="Y202" i="15"/>
  <c r="F1271" i="6"/>
  <c r="Y288" i="15"/>
  <c r="Z288" i="15" s="1"/>
  <c r="F1641" i="6"/>
  <c r="K277" i="15" s="1"/>
  <c r="BC1761" i="6"/>
  <c r="AE292" i="15"/>
  <c r="AE304" i="15"/>
  <c r="AC304" i="15" s="1"/>
  <c r="F1259" i="6"/>
  <c r="BC1409" i="6"/>
  <c r="X186" i="15"/>
  <c r="Z186" i="15" s="1"/>
  <c r="F1247" i="6"/>
  <c r="BC1192" i="6"/>
  <c r="BD1192" i="6" s="1"/>
  <c r="AE186" i="15" s="1"/>
  <c r="F1277" i="6"/>
  <c r="J812" i="6"/>
  <c r="BC812" i="6" s="1"/>
  <c r="X304" i="15"/>
  <c r="Z304" i="15" s="1"/>
  <c r="G156" i="15"/>
  <c r="BC1356" i="7"/>
  <c r="BC1348" i="7"/>
  <c r="BD1348" i="7" s="1"/>
  <c r="BB1348" i="7" s="1"/>
  <c r="AA496" i="15" s="1"/>
  <c r="BC1340" i="7"/>
  <c r="BD1340" i="7" s="1"/>
  <c r="BB1340" i="7" s="1"/>
  <c r="AA488" i="15" s="1"/>
  <c r="AB414" i="15"/>
  <c r="BC1354" i="7"/>
  <c r="BC1346" i="7"/>
  <c r="BD1346" i="7" s="1"/>
  <c r="AE494" i="15" s="1"/>
  <c r="AC494" i="15" s="1"/>
  <c r="BC1338" i="7"/>
  <c r="BD1338" i="7" s="1"/>
  <c r="AE486" i="15" s="1"/>
  <c r="AC486" i="15" s="1"/>
  <c r="BC1352" i="7"/>
  <c r="BD1352" i="7" s="1"/>
  <c r="AE500" i="15" s="1"/>
  <c r="AC500" i="15" s="1"/>
  <c r="BC1344" i="7"/>
  <c r="BC1336" i="7"/>
  <c r="BD1336" i="7" s="1"/>
  <c r="AE484" i="15" s="1"/>
  <c r="AC484" i="15" s="1"/>
  <c r="AB568" i="15"/>
  <c r="AB566" i="15"/>
  <c r="X544" i="15"/>
  <c r="Z544" i="15" s="1"/>
  <c r="BD541" i="9"/>
  <c r="AG544" i="15"/>
  <c r="AD544" i="15" s="1"/>
  <c r="K9" i="7"/>
  <c r="BE9" i="7" s="1"/>
  <c r="K12" i="7"/>
  <c r="BE12" i="7" s="1"/>
  <c r="K18" i="7"/>
  <c r="BE18" i="7" s="1"/>
  <c r="BD913" i="7"/>
  <c r="AF428" i="15" s="1"/>
  <c r="F1144" i="7"/>
  <c r="BD1144" i="7" s="1"/>
  <c r="AE466" i="15" s="1"/>
  <c r="AC466" i="15" s="1"/>
  <c r="BD406" i="9"/>
  <c r="AE563" i="15" s="1"/>
  <c r="AC563" i="15" s="1"/>
  <c r="X40" i="15"/>
  <c r="Z40" i="15" s="1"/>
  <c r="AB37" i="15"/>
  <c r="X43" i="15"/>
  <c r="Z43" i="15" s="1"/>
  <c r="BD61" i="16"/>
  <c r="AE38" i="15" s="1"/>
  <c r="X35" i="15"/>
  <c r="Z35" i="15" s="1"/>
  <c r="V35" i="9"/>
  <c r="V268" i="9" s="1"/>
  <c r="D468" i="9"/>
  <c r="V468" i="9" s="1"/>
  <c r="D469" i="9"/>
  <c r="V469" i="9" s="1"/>
  <c r="D181" i="9"/>
  <c r="V181" i="9" s="1"/>
  <c r="D434" i="9"/>
  <c r="V434" i="9" s="1"/>
  <c r="M197" i="9"/>
  <c r="BE197" i="9" s="1"/>
  <c r="X580" i="15"/>
  <c r="Z580" i="15" s="1"/>
  <c r="AB567" i="15"/>
  <c r="X563" i="15"/>
  <c r="Z563" i="15" s="1"/>
  <c r="D268" i="9"/>
  <c r="J440" i="9"/>
  <c r="O564" i="15" s="1"/>
  <c r="V564" i="15" s="1"/>
  <c r="X341" i="15"/>
  <c r="Z341" i="15" s="1"/>
  <c r="BC65" i="7"/>
  <c r="AB341" i="15"/>
  <c r="X342" i="15"/>
  <c r="Z342" i="15" s="1"/>
  <c r="BC66" i="7"/>
  <c r="J450" i="7"/>
  <c r="AB342" i="15"/>
  <c r="BC123" i="7"/>
  <c r="F837" i="7"/>
  <c r="F838" i="7"/>
  <c r="I421" i="15" s="1"/>
  <c r="AN421" i="15" s="1"/>
  <c r="F840" i="7"/>
  <c r="I423" i="15" s="1"/>
  <c r="AN423" i="15" s="1"/>
  <c r="F839" i="7"/>
  <c r="I422" i="15" s="1"/>
  <c r="AN422" i="15" s="1"/>
  <c r="BD308" i="16"/>
  <c r="AE64" i="15" s="1"/>
  <c r="AC64" i="15" s="1"/>
  <c r="X408" i="15"/>
  <c r="Z408" i="15" s="1"/>
  <c r="BC79" i="9"/>
  <c r="BC10" i="9"/>
  <c r="BC1764" i="6"/>
  <c r="AH218" i="15"/>
  <c r="Q1806" i="6"/>
  <c r="X3885" i="6" s="1"/>
  <c r="AB206" i="15"/>
  <c r="Y226" i="15"/>
  <c r="Z226" i="15" s="1"/>
  <c r="BC1773" i="6"/>
  <c r="AF296" i="15"/>
  <c r="R288" i="15"/>
  <c r="BC1770" i="6"/>
  <c r="AF237" i="15"/>
  <c r="AF242" i="15"/>
  <c r="Y270" i="15"/>
  <c r="X256" i="15"/>
  <c r="X246" i="15"/>
  <c r="Z246" i="15" s="1"/>
  <c r="Y225" i="15"/>
  <c r="Z225" i="15" s="1"/>
  <c r="AE248" i="15"/>
  <c r="BC1448" i="6"/>
  <c r="AH210" i="15"/>
  <c r="Y141" i="15"/>
  <c r="AF285" i="15"/>
  <c r="AG225" i="15"/>
  <c r="AB191" i="15"/>
  <c r="BC1446" i="6"/>
  <c r="M3893" i="6"/>
  <c r="L3893" i="6" s="1"/>
  <c r="K3893" i="6" s="1"/>
  <c r="BC184" i="6"/>
  <c r="BD184" i="6" s="1"/>
  <c r="AE160" i="15" s="1"/>
  <c r="AC160" i="15" s="1"/>
  <c r="BC1778" i="6"/>
  <c r="X178" i="15"/>
  <c r="Z178" i="15" s="1"/>
  <c r="F226" i="6"/>
  <c r="F298" i="6" s="1"/>
  <c r="F370" i="6" s="1"/>
  <c r="F442" i="6" s="1"/>
  <c r="F514" i="6" s="1"/>
  <c r="F586" i="6" s="1"/>
  <c r="F659" i="6" s="1"/>
  <c r="F731" i="6" s="1"/>
  <c r="X149" i="15"/>
  <c r="BC186" i="6"/>
  <c r="BD186" i="6" s="1"/>
  <c r="AG161" i="15" s="1"/>
  <c r="AD161" i="15" s="1"/>
  <c r="Q304" i="15"/>
  <c r="R272" i="15"/>
  <c r="Q217" i="15"/>
  <c r="T308" i="15"/>
  <c r="S255" i="15"/>
  <c r="R300" i="15"/>
  <c r="I1199" i="6"/>
  <c r="R189" i="15" s="1"/>
  <c r="R316" i="15"/>
  <c r="S308" i="15"/>
  <c r="Q318" i="15"/>
  <c r="Q284" i="15"/>
  <c r="Q242" i="15"/>
  <c r="Q280" i="15"/>
  <c r="E142" i="16"/>
  <c r="E107" i="16"/>
  <c r="AB47" i="15"/>
  <c r="E156" i="16"/>
  <c r="E133" i="16"/>
  <c r="E159" i="16"/>
  <c r="E136" i="16"/>
  <c r="O598" i="7"/>
  <c r="O601" i="7"/>
  <c r="BE601" i="7" s="1"/>
  <c r="N517" i="7"/>
  <c r="BE517" i="7" s="1"/>
  <c r="M558" i="7"/>
  <c r="BE558" i="7" s="1"/>
  <c r="AB201" i="15"/>
  <c r="X13" i="15"/>
  <c r="Z13" i="15" s="1"/>
  <c r="AB412" i="15"/>
  <c r="X425" i="15"/>
  <c r="Z425" i="15" s="1"/>
  <c r="BC131" i="6"/>
  <c r="BD131" i="6" s="1"/>
  <c r="AE125" i="15" s="1"/>
  <c r="AC125" i="15" s="1"/>
  <c r="X125" i="15"/>
  <c r="AF261" i="15"/>
  <c r="AF260" i="15"/>
  <c r="Y266" i="15"/>
  <c r="AG266" i="15"/>
  <c r="AH288" i="15"/>
  <c r="Y296" i="15"/>
  <c r="Z296" i="15" s="1"/>
  <c r="G177" i="15"/>
  <c r="F1103" i="6"/>
  <c r="K816" i="6"/>
  <c r="BE816" i="6" s="1"/>
  <c r="J822" i="6"/>
  <c r="BC822" i="6" s="1"/>
  <c r="BC818" i="6"/>
  <c r="D226" i="15"/>
  <c r="AF226" i="15"/>
  <c r="X236" i="15"/>
  <c r="Z236" i="15" s="1"/>
  <c r="AE236" i="15"/>
  <c r="AC236" i="15" s="1"/>
  <c r="AH255" i="15"/>
  <c r="AB535" i="15"/>
  <c r="X61" i="15"/>
  <c r="Z61" i="15" s="1"/>
  <c r="BC256" i="16"/>
  <c r="BD256" i="16" s="1"/>
  <c r="BC7" i="3"/>
  <c r="X9" i="15"/>
  <c r="Z9" i="15" s="1"/>
  <c r="BC23" i="3"/>
  <c r="X25" i="15"/>
  <c r="Z25" i="15" s="1"/>
  <c r="Q232" i="15"/>
  <c r="F1659" i="6"/>
  <c r="BD1659" i="6" s="1"/>
  <c r="F558" i="7"/>
  <c r="I384" i="15" s="1"/>
  <c r="AN384" i="15" s="1"/>
  <c r="F921" i="7"/>
  <c r="L432" i="15" s="1"/>
  <c r="F919" i="7"/>
  <c r="BD919" i="7" s="1"/>
  <c r="AF431" i="15" s="1"/>
  <c r="AB444" i="15"/>
  <c r="X521" i="15"/>
  <c r="Z521" i="15" s="1"/>
  <c r="BC8" i="9"/>
  <c r="BD36" i="10"/>
  <c r="AE587" i="15" s="1"/>
  <c r="AC587" i="15" s="1"/>
  <c r="X37" i="15"/>
  <c r="Z37" i="15" s="1"/>
  <c r="X47" i="15"/>
  <c r="Z47" i="15" s="1"/>
  <c r="E148" i="16"/>
  <c r="E135" i="16"/>
  <c r="I451" i="7"/>
  <c r="F451" i="7" s="1"/>
  <c r="I378" i="15" s="1"/>
  <c r="F247" i="6"/>
  <c r="F319" i="6" s="1"/>
  <c r="F391" i="6" s="1"/>
  <c r="F463" i="6" s="1"/>
  <c r="F535" i="6" s="1"/>
  <c r="F607" i="6" s="1"/>
  <c r="F680" i="6" s="1"/>
  <c r="F752" i="6" s="1"/>
  <c r="Y159" i="15"/>
  <c r="Z159" i="15" s="1"/>
  <c r="BC178" i="6"/>
  <c r="BD178" i="6" s="1"/>
  <c r="BC164" i="6"/>
  <c r="BD164" i="6" s="1"/>
  <c r="AE147" i="15" s="1"/>
  <c r="AC147" i="15" s="1"/>
  <c r="BD227" i="9"/>
  <c r="AE544" i="15" s="1"/>
  <c r="AC544" i="15" s="1"/>
  <c r="BC930" i="7"/>
  <c r="BD930" i="7" s="1"/>
  <c r="AE437" i="15" s="1"/>
  <c r="O11" i="3"/>
  <c r="BE11" i="3" s="1"/>
  <c r="F14" i="3"/>
  <c r="BD14" i="3" s="1"/>
  <c r="F20" i="3"/>
  <c r="I22" i="15" s="1"/>
  <c r="AN22" i="15" s="1"/>
  <c r="F26" i="3"/>
  <c r="I28" i="15" s="1"/>
  <c r="AN28" i="15" s="1"/>
  <c r="F28" i="3"/>
  <c r="F1497" i="6"/>
  <c r="F1537" i="6"/>
  <c r="F1575" i="6"/>
  <c r="BD1575" i="6" s="1"/>
  <c r="F1657" i="6"/>
  <c r="BD1657" i="6" s="1"/>
  <c r="F1747" i="6"/>
  <c r="I447" i="7"/>
  <c r="X38" i="15"/>
  <c r="Z38" i="15" s="1"/>
  <c r="E147" i="16"/>
  <c r="E108" i="16"/>
  <c r="E121" i="16"/>
  <c r="AB39" i="15"/>
  <c r="E144" i="16"/>
  <c r="E158" i="16"/>
  <c r="E162" i="16"/>
  <c r="J449" i="7"/>
  <c r="F274" i="6"/>
  <c r="F346" i="6" s="1"/>
  <c r="F418" i="6" s="1"/>
  <c r="F490" i="6" s="1"/>
  <c r="F562" i="6" s="1"/>
  <c r="F634" i="6" s="1"/>
  <c r="F707" i="6" s="1"/>
  <c r="F779" i="6" s="1"/>
  <c r="Y144" i="15"/>
  <c r="BC188" i="6"/>
  <c r="BD188" i="6" s="1"/>
  <c r="AG162" i="15" s="1"/>
  <c r="AD162" i="15" s="1"/>
  <c r="X153" i="15"/>
  <c r="F7" i="3"/>
  <c r="BD7" i="3" s="1"/>
  <c r="AE9" i="15" s="1"/>
  <c r="AC9" i="15" s="1"/>
  <c r="N8" i="3"/>
  <c r="F9" i="3"/>
  <c r="I11" i="15" s="1"/>
  <c r="AN11" i="15" s="1"/>
  <c r="N10" i="3"/>
  <c r="F11" i="3"/>
  <c r="I13" i="15" s="1"/>
  <c r="AN13" i="15" s="1"/>
  <c r="N12" i="3"/>
  <c r="F13" i="3"/>
  <c r="G13" i="3" s="1"/>
  <c r="O15" i="15" s="1"/>
  <c r="W15" i="15" s="1"/>
  <c r="N14" i="3"/>
  <c r="F17" i="3"/>
  <c r="G17" i="3" s="1"/>
  <c r="O19" i="15" s="1"/>
  <c r="W19" i="15" s="1"/>
  <c r="N20" i="3"/>
  <c r="N22" i="3"/>
  <c r="F23" i="3"/>
  <c r="N24" i="3"/>
  <c r="F25" i="3"/>
  <c r="I27" i="15" s="1"/>
  <c r="AN27" i="15" s="1"/>
  <c r="N26" i="3"/>
  <c r="N27" i="3"/>
  <c r="N28" i="3"/>
  <c r="N29" i="3"/>
  <c r="N31" i="3"/>
  <c r="I145" i="6"/>
  <c r="Q134" i="15" s="1"/>
  <c r="W134" i="15" s="1"/>
  <c r="A1776" i="6"/>
  <c r="Q1807" i="6"/>
  <c r="X4089" i="6" s="1"/>
  <c r="F1455" i="6"/>
  <c r="BD1455" i="6" s="1"/>
  <c r="M3891" i="6"/>
  <c r="L3891" i="6" s="1"/>
  <c r="W318" i="7"/>
  <c r="W342" i="7"/>
  <c r="X41" i="15"/>
  <c r="Z41" i="15" s="1"/>
  <c r="E116" i="16"/>
  <c r="D327" i="16"/>
  <c r="V327" i="16" s="1"/>
  <c r="BC180" i="6"/>
  <c r="BD180" i="6" s="1"/>
  <c r="BC177" i="6"/>
  <c r="BD177" i="6" s="1"/>
  <c r="AG155" i="15" s="1"/>
  <c r="AD155" i="15" s="1"/>
  <c r="F15" i="7"/>
  <c r="X388" i="15"/>
  <c r="Z388" i="15" s="1"/>
  <c r="AB399" i="15"/>
  <c r="AB326" i="15"/>
  <c r="X396" i="15"/>
  <c r="Z396" i="15" s="1"/>
  <c r="E110" i="7"/>
  <c r="F12" i="7"/>
  <c r="I12" i="7" s="1"/>
  <c r="Q325" i="15" s="1"/>
  <c r="O325" i="15" s="1"/>
  <c r="G38" i="15"/>
  <c r="D166" i="16"/>
  <c r="V166" i="16" s="1"/>
  <c r="AB44" i="15"/>
  <c r="E157" i="16"/>
  <c r="D274" i="16"/>
  <c r="V274" i="16" s="1"/>
  <c r="I69" i="16"/>
  <c r="Q42" i="15" s="1"/>
  <c r="E124" i="16"/>
  <c r="D301" i="16"/>
  <c r="V301" i="16" s="1"/>
  <c r="X273" i="15"/>
  <c r="X214" i="15"/>
  <c r="Z214" i="15" s="1"/>
  <c r="AE214" i="15"/>
  <c r="N309" i="15"/>
  <c r="M3877" i="6"/>
  <c r="L3877" i="6" s="1"/>
  <c r="K3877" i="6" s="1"/>
  <c r="X4217" i="6"/>
  <c r="X4057" i="6"/>
  <c r="BC1769" i="6"/>
  <c r="L3871" i="6"/>
  <c r="K3977" i="6"/>
  <c r="K3975" i="6"/>
  <c r="Q1808" i="6"/>
  <c r="X4053" i="6" s="1"/>
  <c r="BC1768" i="6"/>
  <c r="AE213" i="15"/>
  <c r="AC213" i="15" s="1"/>
  <c r="BC1780" i="6"/>
  <c r="AE300" i="15"/>
  <c r="F1231" i="6"/>
  <c r="F874" i="6"/>
  <c r="F895" i="6" s="1"/>
  <c r="F916" i="6" s="1"/>
  <c r="F937" i="6" s="1"/>
  <c r="F958" i="6" s="1"/>
  <c r="F979" i="6" s="1"/>
  <c r="F1000" i="6" s="1"/>
  <c r="F1021" i="6" s="1"/>
  <c r="F1042" i="6" s="1"/>
  <c r="F1063" i="6" s="1"/>
  <c r="M3875" i="6"/>
  <c r="L3875" i="6" s="1"/>
  <c r="X315" i="15"/>
  <c r="Z315" i="15" s="1"/>
  <c r="AG253" i="15"/>
  <c r="AD253" i="15" s="1"/>
  <c r="AE231" i="15"/>
  <c r="Y294" i="15"/>
  <c r="G181" i="15"/>
  <c r="G315" i="15"/>
  <c r="I125" i="6"/>
  <c r="S120" i="15" s="1"/>
  <c r="P120" i="15" s="1"/>
  <c r="W120" i="15" s="1"/>
  <c r="BD133" i="6"/>
  <c r="AE126" i="15" s="1"/>
  <c r="AC126" i="15" s="1"/>
  <c r="M3889" i="6"/>
  <c r="L3889" i="6" s="1"/>
  <c r="X3977" i="6"/>
  <c r="AG292" i="15"/>
  <c r="AH209" i="15"/>
  <c r="F1267" i="6"/>
  <c r="BC1196" i="6"/>
  <c r="BD1196" i="6" s="1"/>
  <c r="AE188" i="15" s="1"/>
  <c r="M3885" i="6"/>
  <c r="L3885" i="6" s="1"/>
  <c r="K3885" i="6" s="1"/>
  <c r="BC1444" i="6"/>
  <c r="BC1760" i="6"/>
  <c r="K835" i="6"/>
  <c r="BE835" i="6" s="1"/>
  <c r="X300" i="15"/>
  <c r="X289" i="15"/>
  <c r="Z289" i="15" s="1"/>
  <c r="AE303" i="15"/>
  <c r="AC303" i="15" s="1"/>
  <c r="C256" i="15"/>
  <c r="AM256" i="15" s="1"/>
  <c r="AE288" i="15"/>
  <c r="AF230" i="15"/>
  <c r="AH300" i="15"/>
  <c r="AD300" i="15" s="1"/>
  <c r="AF277" i="15"/>
  <c r="AE237" i="15"/>
  <c r="R219" i="15"/>
  <c r="BB1423" i="6"/>
  <c r="AA201" i="15" s="1"/>
  <c r="Y280" i="15"/>
  <c r="Z280" i="15" s="1"/>
  <c r="AG246" i="15"/>
  <c r="AD246" i="15" s="1"/>
  <c r="X266" i="15"/>
  <c r="O26" i="3"/>
  <c r="BE26" i="3" s="1"/>
  <c r="O7" i="3"/>
  <c r="BE7" i="3" s="1"/>
  <c r="O8" i="3"/>
  <c r="BE8" i="3" s="1"/>
  <c r="O12" i="3"/>
  <c r="BE12" i="3" s="1"/>
  <c r="O14" i="3"/>
  <c r="BE14" i="3" s="1"/>
  <c r="O17" i="3"/>
  <c r="BE17" i="3" s="1"/>
  <c r="O18" i="3"/>
  <c r="BE18" i="3" s="1"/>
  <c r="O19" i="3"/>
  <c r="BE19" i="3" s="1"/>
  <c r="O29" i="3"/>
  <c r="BE29" i="3" s="1"/>
  <c r="F10" i="3"/>
  <c r="B4" i="20"/>
  <c r="B8" i="20"/>
  <c r="B12" i="20"/>
  <c r="B16" i="20"/>
  <c r="B20" i="20"/>
  <c r="B24" i="20"/>
  <c r="B28" i="20"/>
  <c r="B32" i="20"/>
  <c r="B36" i="20"/>
  <c r="B40" i="20"/>
  <c r="B44" i="20"/>
  <c r="B48" i="20"/>
  <c r="B52" i="20"/>
  <c r="B56" i="20"/>
  <c r="B60" i="20"/>
  <c r="B64" i="20"/>
  <c r="B68" i="20"/>
  <c r="B72" i="20"/>
  <c r="B76" i="20"/>
  <c r="B80" i="20"/>
  <c r="B84" i="20"/>
  <c r="B88" i="20"/>
  <c r="B92" i="20"/>
  <c r="B96" i="20"/>
  <c r="B100" i="20"/>
  <c r="B104" i="20"/>
  <c r="B108" i="20"/>
  <c r="B112" i="20"/>
  <c r="B116" i="20"/>
  <c r="B120" i="20"/>
  <c r="B124" i="20"/>
  <c r="B128" i="20"/>
  <c r="B132" i="20"/>
  <c r="B136" i="20"/>
  <c r="B140" i="20"/>
  <c r="B144" i="20"/>
  <c r="B148" i="20"/>
  <c r="B152" i="20"/>
  <c r="B156" i="20"/>
  <c r="B160" i="20"/>
  <c r="B164" i="20"/>
  <c r="B168" i="20"/>
  <c r="B172" i="20"/>
  <c r="B176" i="20"/>
  <c r="B180" i="20"/>
  <c r="B184" i="20"/>
  <c r="B188" i="20"/>
  <c r="B192" i="20"/>
  <c r="B196" i="20"/>
  <c r="B200" i="20"/>
  <c r="B204" i="20"/>
  <c r="B208" i="20"/>
  <c r="B212" i="20"/>
  <c r="B216" i="20"/>
  <c r="B220" i="20"/>
  <c r="B224" i="20"/>
  <c r="B228" i="20"/>
  <c r="B232" i="20"/>
  <c r="B236" i="20"/>
  <c r="B240" i="20"/>
  <c r="B244" i="20"/>
  <c r="B248" i="20"/>
  <c r="B252" i="20"/>
  <c r="B256" i="20"/>
  <c r="B260" i="20"/>
  <c r="B264" i="20"/>
  <c r="B268" i="20"/>
  <c r="B272" i="20"/>
  <c r="B276" i="20"/>
  <c r="B280" i="20"/>
  <c r="B284" i="20"/>
  <c r="B288" i="20"/>
  <c r="B292" i="20"/>
  <c r="B296" i="20"/>
  <c r="B300" i="20"/>
  <c r="B304" i="20"/>
  <c r="B308" i="20"/>
  <c r="B312" i="20"/>
  <c r="B316" i="20"/>
  <c r="B320" i="20"/>
  <c r="B324" i="20"/>
  <c r="B328" i="20"/>
  <c r="B332" i="20"/>
  <c r="B336" i="20"/>
  <c r="B340" i="20"/>
  <c r="B5" i="20"/>
  <c r="B9" i="20"/>
  <c r="B13" i="20"/>
  <c r="B17" i="20"/>
  <c r="B21" i="20"/>
  <c r="B25" i="20"/>
  <c r="B29" i="20"/>
  <c r="B33" i="20"/>
  <c r="B37" i="20"/>
  <c r="B41" i="20"/>
  <c r="B45" i="20"/>
  <c r="B49" i="20"/>
  <c r="B53" i="20"/>
  <c r="B57" i="20"/>
  <c r="B61" i="20"/>
  <c r="B65" i="20"/>
  <c r="B69" i="20"/>
  <c r="B73" i="20"/>
  <c r="B77" i="20"/>
  <c r="B81" i="20"/>
  <c r="B85" i="20"/>
  <c r="B89" i="20"/>
  <c r="B93" i="20"/>
  <c r="B97" i="20"/>
  <c r="B101" i="20"/>
  <c r="B105" i="20"/>
  <c r="B109" i="20"/>
  <c r="B113" i="20"/>
  <c r="B117" i="20"/>
  <c r="B121" i="20"/>
  <c r="B125" i="20"/>
  <c r="B129" i="20"/>
  <c r="B133" i="20"/>
  <c r="B137" i="20"/>
  <c r="B141" i="20"/>
  <c r="B145" i="20"/>
  <c r="B149" i="20"/>
  <c r="B153" i="20"/>
  <c r="B157" i="20"/>
  <c r="B161" i="20"/>
  <c r="B165" i="20"/>
  <c r="B169" i="20"/>
  <c r="B173" i="20"/>
  <c r="B177" i="20"/>
  <c r="B181" i="20"/>
  <c r="B185" i="20"/>
  <c r="B189" i="20"/>
  <c r="B193" i="20"/>
  <c r="B197" i="20"/>
  <c r="B201" i="20"/>
  <c r="B205" i="20"/>
  <c r="B209" i="20"/>
  <c r="B213" i="20"/>
  <c r="B217" i="20"/>
  <c r="B221" i="20"/>
  <c r="B225" i="20"/>
  <c r="B229" i="20"/>
  <c r="B233" i="20"/>
  <c r="B237" i="20"/>
  <c r="B241" i="20"/>
  <c r="B245" i="20"/>
  <c r="B249" i="20"/>
  <c r="B253" i="20"/>
  <c r="B257" i="20"/>
  <c r="B261" i="20"/>
  <c r="B265" i="20"/>
  <c r="B269" i="20"/>
  <c r="B273" i="20"/>
  <c r="B277" i="20"/>
  <c r="B281" i="20"/>
  <c r="B285" i="20"/>
  <c r="B289" i="20"/>
  <c r="B293" i="20"/>
  <c r="B297" i="20"/>
  <c r="B301" i="20"/>
  <c r="B305" i="20"/>
  <c r="B309" i="20"/>
  <c r="B313" i="20"/>
  <c r="B317" i="20"/>
  <c r="B321" i="20"/>
  <c r="B325" i="20"/>
  <c r="B329" i="20"/>
  <c r="B333" i="20"/>
  <c r="B337" i="20"/>
  <c r="B341" i="20"/>
  <c r="B6" i="20"/>
  <c r="B10" i="20"/>
  <c r="B14" i="20"/>
  <c r="B18" i="20"/>
  <c r="B22" i="20"/>
  <c r="B26" i="20"/>
  <c r="B30" i="20"/>
  <c r="B34" i="20"/>
  <c r="B38" i="20"/>
  <c r="B42" i="20"/>
  <c r="B46" i="20"/>
  <c r="B50" i="20"/>
  <c r="B54" i="20"/>
  <c r="B58" i="20"/>
  <c r="B62" i="20"/>
  <c r="B66" i="20"/>
  <c r="B70" i="20"/>
  <c r="B74" i="20"/>
  <c r="B78" i="20"/>
  <c r="B82" i="20"/>
  <c r="B86" i="20"/>
  <c r="B90" i="20"/>
  <c r="B94" i="20"/>
  <c r="B98" i="20"/>
  <c r="B102" i="20"/>
  <c r="B106" i="20"/>
  <c r="B110" i="20"/>
  <c r="B114" i="20"/>
  <c r="B118" i="20"/>
  <c r="B122" i="20"/>
  <c r="B126" i="20"/>
  <c r="B130" i="20"/>
  <c r="B134" i="20"/>
  <c r="B138" i="20"/>
  <c r="B142" i="20"/>
  <c r="B146" i="20"/>
  <c r="B150" i="20"/>
  <c r="B154" i="20"/>
  <c r="B158" i="20"/>
  <c r="B162" i="20"/>
  <c r="B166" i="20"/>
  <c r="B170" i="20"/>
  <c r="B174" i="20"/>
  <c r="B178" i="20"/>
  <c r="B182" i="20"/>
  <c r="B186" i="20"/>
  <c r="B190" i="20"/>
  <c r="B194" i="20"/>
  <c r="B198" i="20"/>
  <c r="B202" i="20"/>
  <c r="B206" i="20"/>
  <c r="B210" i="20"/>
  <c r="B214" i="20"/>
  <c r="B218" i="20"/>
  <c r="B222" i="20"/>
  <c r="B226" i="20"/>
  <c r="B230" i="20"/>
  <c r="B234" i="20"/>
  <c r="B238" i="20"/>
  <c r="B242" i="20"/>
  <c r="B246" i="20"/>
  <c r="B250" i="20"/>
  <c r="B254" i="20"/>
  <c r="B258" i="20"/>
  <c r="B262" i="20"/>
  <c r="B266" i="20"/>
  <c r="B270" i="20"/>
  <c r="B274" i="20"/>
  <c r="B278" i="20"/>
  <c r="B282" i="20"/>
  <c r="B286" i="20"/>
  <c r="B290" i="20"/>
  <c r="B294" i="20"/>
  <c r="B298" i="20"/>
  <c r="B302" i="20"/>
  <c r="B306" i="20"/>
  <c r="B310" i="20"/>
  <c r="B314" i="20"/>
  <c r="B318" i="20"/>
  <c r="B322" i="20"/>
  <c r="B326" i="20"/>
  <c r="B330" i="20"/>
  <c r="B334" i="20"/>
  <c r="B338" i="20"/>
  <c r="B342" i="20"/>
  <c r="B7" i="20"/>
  <c r="B23" i="20"/>
  <c r="B39" i="20"/>
  <c r="B55" i="20"/>
  <c r="B71" i="20"/>
  <c r="B87" i="20"/>
  <c r="B103" i="20"/>
  <c r="B119" i="20"/>
  <c r="B135" i="20"/>
  <c r="B151" i="20"/>
  <c r="B167" i="20"/>
  <c r="B183" i="20"/>
  <c r="B199" i="20"/>
  <c r="B215" i="20"/>
  <c r="B231" i="20"/>
  <c r="B247" i="20"/>
  <c r="B263" i="20"/>
  <c r="B279" i="20"/>
  <c r="B295" i="20"/>
  <c r="B311" i="20"/>
  <c r="B327" i="20"/>
  <c r="B343" i="20"/>
  <c r="B347" i="20"/>
  <c r="B351" i="20"/>
  <c r="B355" i="20"/>
  <c r="B359" i="20"/>
  <c r="B363" i="20"/>
  <c r="B367" i="20"/>
  <c r="B371" i="20"/>
  <c r="B375" i="20"/>
  <c r="B379" i="20"/>
  <c r="B383" i="20"/>
  <c r="B387" i="20"/>
  <c r="B391" i="20"/>
  <c r="B395" i="20"/>
  <c r="B399" i="20"/>
  <c r="B403" i="20"/>
  <c r="B407" i="20"/>
  <c r="B411" i="20"/>
  <c r="B415" i="20"/>
  <c r="B419" i="20"/>
  <c r="B423" i="20"/>
  <c r="B427" i="20"/>
  <c r="B431" i="20"/>
  <c r="B435" i="20"/>
  <c r="B439" i="20"/>
  <c r="B443" i="20"/>
  <c r="B447" i="20"/>
  <c r="B451" i="20"/>
  <c r="B455" i="20"/>
  <c r="B459" i="20"/>
  <c r="B463" i="20"/>
  <c r="B467" i="20"/>
  <c r="B471" i="20"/>
  <c r="B475" i="20"/>
  <c r="B479" i="20"/>
  <c r="B483" i="20"/>
  <c r="B487" i="20"/>
  <c r="B491" i="20"/>
  <c r="B495" i="20"/>
  <c r="B499" i="20"/>
  <c r="B503" i="20"/>
  <c r="B507" i="20"/>
  <c r="B511" i="20"/>
  <c r="B515" i="20"/>
  <c r="B519" i="20"/>
  <c r="B523" i="20"/>
  <c r="B527" i="20"/>
  <c r="B531" i="20"/>
  <c r="B535" i="20"/>
  <c r="B539" i="20"/>
  <c r="B543" i="20"/>
  <c r="B547" i="20"/>
  <c r="B551" i="20"/>
  <c r="B555" i="20"/>
  <c r="B559" i="20"/>
  <c r="B563" i="20"/>
  <c r="B567" i="20"/>
  <c r="B571" i="20"/>
  <c r="B575" i="20"/>
  <c r="B579" i="20"/>
  <c r="B583" i="20"/>
  <c r="B587" i="20"/>
  <c r="B591" i="20"/>
  <c r="B595" i="20"/>
  <c r="B599" i="20"/>
  <c r="B11" i="20"/>
  <c r="B27" i="20"/>
  <c r="B43" i="20"/>
  <c r="B59" i="20"/>
  <c r="B75" i="20"/>
  <c r="B91" i="20"/>
  <c r="B107" i="20"/>
  <c r="B123" i="20"/>
  <c r="B139" i="20"/>
  <c r="B155" i="20"/>
  <c r="B171" i="20"/>
  <c r="B187" i="20"/>
  <c r="B203" i="20"/>
  <c r="B219" i="20"/>
  <c r="B235" i="20"/>
  <c r="B251" i="20"/>
  <c r="B267" i="20"/>
  <c r="B283" i="20"/>
  <c r="B299" i="20"/>
  <c r="B315" i="20"/>
  <c r="B331" i="20"/>
  <c r="B344" i="20"/>
  <c r="B348" i="20"/>
  <c r="B352" i="20"/>
  <c r="B356" i="20"/>
  <c r="B360" i="20"/>
  <c r="B364" i="20"/>
  <c r="B368" i="20"/>
  <c r="B372" i="20"/>
  <c r="B376" i="20"/>
  <c r="B380" i="20"/>
  <c r="B384" i="20"/>
  <c r="B388" i="20"/>
  <c r="B392" i="20"/>
  <c r="B396" i="20"/>
  <c r="B400" i="20"/>
  <c r="B404" i="20"/>
  <c r="B408" i="20"/>
  <c r="B412" i="20"/>
  <c r="B416" i="20"/>
  <c r="B420" i="20"/>
  <c r="B424" i="20"/>
  <c r="B428" i="20"/>
  <c r="B432" i="20"/>
  <c r="B436" i="20"/>
  <c r="B440" i="20"/>
  <c r="B444" i="20"/>
  <c r="B448" i="20"/>
  <c r="B452" i="20"/>
  <c r="B456" i="20"/>
  <c r="B460" i="20"/>
  <c r="B464" i="20"/>
  <c r="B468" i="20"/>
  <c r="B472" i="20"/>
  <c r="B476" i="20"/>
  <c r="B480" i="20"/>
  <c r="B484" i="20"/>
  <c r="B488" i="20"/>
  <c r="B492" i="20"/>
  <c r="B496" i="20"/>
  <c r="B500" i="20"/>
  <c r="B504" i="20"/>
  <c r="B508" i="20"/>
  <c r="B512" i="20"/>
  <c r="B516" i="20"/>
  <c r="B520" i="20"/>
  <c r="B524" i="20"/>
  <c r="B528" i="20"/>
  <c r="B532" i="20"/>
  <c r="B536" i="20"/>
  <c r="B540" i="20"/>
  <c r="B544" i="20"/>
  <c r="B548" i="20"/>
  <c r="B552" i="20"/>
  <c r="B556" i="20"/>
  <c r="B560" i="20"/>
  <c r="B564" i="20"/>
  <c r="B568" i="20"/>
  <c r="B572" i="20"/>
  <c r="B576" i="20"/>
  <c r="B580" i="20"/>
  <c r="B584" i="20"/>
  <c r="B588" i="20"/>
  <c r="B592" i="20"/>
  <c r="B596" i="20"/>
  <c r="B15" i="20"/>
  <c r="B47" i="20"/>
  <c r="B79" i="20"/>
  <c r="B111" i="20"/>
  <c r="B143" i="20"/>
  <c r="B175" i="20"/>
  <c r="B207" i="20"/>
  <c r="B239" i="20"/>
  <c r="B271" i="20"/>
  <c r="B303" i="20"/>
  <c r="B335" i="20"/>
  <c r="B349" i="20"/>
  <c r="B357" i="20"/>
  <c r="B365" i="20"/>
  <c r="B373" i="20"/>
  <c r="B381" i="20"/>
  <c r="B389" i="20"/>
  <c r="B397" i="20"/>
  <c r="B405" i="20"/>
  <c r="B413" i="20"/>
  <c r="B421" i="20"/>
  <c r="B429" i="20"/>
  <c r="B437" i="20"/>
  <c r="B445" i="20"/>
  <c r="B453" i="20"/>
  <c r="B461" i="20"/>
  <c r="B469" i="20"/>
  <c r="B477" i="20"/>
  <c r="B485" i="20"/>
  <c r="B493" i="20"/>
  <c r="B501" i="20"/>
  <c r="B509" i="20"/>
  <c r="B517" i="20"/>
  <c r="B525" i="20"/>
  <c r="B533" i="20"/>
  <c r="B541" i="20"/>
  <c r="B549" i="20"/>
  <c r="B557" i="20"/>
  <c r="B565" i="20"/>
  <c r="B573" i="20"/>
  <c r="B581" i="20"/>
  <c r="B589" i="20"/>
  <c r="B597" i="20"/>
  <c r="B602" i="20"/>
  <c r="B606" i="20"/>
  <c r="B610" i="20"/>
  <c r="B614" i="20"/>
  <c r="B618" i="20"/>
  <c r="B622" i="20"/>
  <c r="B626" i="20"/>
  <c r="B630" i="20"/>
  <c r="B634" i="20"/>
  <c r="B638" i="20"/>
  <c r="B642" i="20"/>
  <c r="B646" i="20"/>
  <c r="B650" i="20"/>
  <c r="B654" i="20"/>
  <c r="B658" i="20"/>
  <c r="B662" i="20"/>
  <c r="B31" i="20"/>
  <c r="B95" i="20"/>
  <c r="B159" i="20"/>
  <c r="B223" i="20"/>
  <c r="B287" i="20"/>
  <c r="B345" i="20"/>
  <c r="B353" i="20"/>
  <c r="B369" i="20"/>
  <c r="B385" i="20"/>
  <c r="B401" i="20"/>
  <c r="B417" i="20"/>
  <c r="B433" i="20"/>
  <c r="B449" i="20"/>
  <c r="B465" i="20"/>
  <c r="B489" i="20"/>
  <c r="B505" i="20"/>
  <c r="B521" i="20"/>
  <c r="B537" i="20"/>
  <c r="B553" i="20"/>
  <c r="B569" i="20"/>
  <c r="B585" i="20"/>
  <c r="B600" i="20"/>
  <c r="B608" i="20"/>
  <c r="B616" i="20"/>
  <c r="B624" i="20"/>
  <c r="B636" i="20"/>
  <c r="B644" i="20"/>
  <c r="B652" i="20"/>
  <c r="B660" i="20"/>
  <c r="B35" i="20"/>
  <c r="B131" i="20"/>
  <c r="B195" i="20"/>
  <c r="B259" i="20"/>
  <c r="B323" i="20"/>
  <c r="B354" i="20"/>
  <c r="B370" i="20"/>
  <c r="B386" i="20"/>
  <c r="B410" i="20"/>
  <c r="B426" i="20"/>
  <c r="B442" i="20"/>
  <c r="B458" i="20"/>
  <c r="B474" i="20"/>
  <c r="B490" i="20"/>
  <c r="B506" i="20"/>
  <c r="B522" i="20"/>
  <c r="B538" i="20"/>
  <c r="B554" i="20"/>
  <c r="B570" i="20"/>
  <c r="B586" i="20"/>
  <c r="B601" i="20"/>
  <c r="B609" i="20"/>
  <c r="B617" i="20"/>
  <c r="B625" i="20"/>
  <c r="B633" i="20"/>
  <c r="B641" i="20"/>
  <c r="B645" i="20"/>
  <c r="B653" i="20"/>
  <c r="B661" i="20"/>
  <c r="B19" i="20"/>
  <c r="B51" i="20"/>
  <c r="B83" i="20"/>
  <c r="B115" i="20"/>
  <c r="B147" i="20"/>
  <c r="B179" i="20"/>
  <c r="B211" i="20"/>
  <c r="B243" i="20"/>
  <c r="B275" i="20"/>
  <c r="B307" i="20"/>
  <c r="B339" i="20"/>
  <c r="B350" i="20"/>
  <c r="B358" i="20"/>
  <c r="B366" i="20"/>
  <c r="B374" i="20"/>
  <c r="B382" i="20"/>
  <c r="B390" i="20"/>
  <c r="B398" i="20"/>
  <c r="B406" i="20"/>
  <c r="B414" i="20"/>
  <c r="B422" i="20"/>
  <c r="B430" i="20"/>
  <c r="B438" i="20"/>
  <c r="B446" i="20"/>
  <c r="B454" i="20"/>
  <c r="B462" i="20"/>
  <c r="B470" i="20"/>
  <c r="B478" i="20"/>
  <c r="B486" i="20"/>
  <c r="B494" i="20"/>
  <c r="B502" i="20"/>
  <c r="B510" i="20"/>
  <c r="B518" i="20"/>
  <c r="B526" i="20"/>
  <c r="B534" i="20"/>
  <c r="B542" i="20"/>
  <c r="B550" i="20"/>
  <c r="B558" i="20"/>
  <c r="B566" i="20"/>
  <c r="B574" i="20"/>
  <c r="B582" i="20"/>
  <c r="B590" i="20"/>
  <c r="B598" i="20"/>
  <c r="B603" i="20"/>
  <c r="B607" i="20"/>
  <c r="B611" i="20"/>
  <c r="B615" i="20"/>
  <c r="B619" i="20"/>
  <c r="B623" i="20"/>
  <c r="B627" i="20"/>
  <c r="B631" i="20"/>
  <c r="B635" i="20"/>
  <c r="B639" i="20"/>
  <c r="B643" i="20"/>
  <c r="B647" i="20"/>
  <c r="B651" i="20"/>
  <c r="B655" i="20"/>
  <c r="B659" i="20"/>
  <c r="B3" i="20"/>
  <c r="B63" i="20"/>
  <c r="B127" i="20"/>
  <c r="B191" i="20"/>
  <c r="B255" i="20"/>
  <c r="B319" i="20"/>
  <c r="B361" i="20"/>
  <c r="B377" i="20"/>
  <c r="B393" i="20"/>
  <c r="B409" i="20"/>
  <c r="B425" i="20"/>
  <c r="B441" i="20"/>
  <c r="B457" i="20"/>
  <c r="B473" i="20"/>
  <c r="B481" i="20"/>
  <c r="B497" i="20"/>
  <c r="B513" i="20"/>
  <c r="B529" i="20"/>
  <c r="B545" i="20"/>
  <c r="B561" i="20"/>
  <c r="B577" i="20"/>
  <c r="B593" i="20"/>
  <c r="B604" i="20"/>
  <c r="B612" i="20"/>
  <c r="B620" i="20"/>
  <c r="B628" i="20"/>
  <c r="B632" i="20"/>
  <c r="B640" i="20"/>
  <c r="B648" i="20"/>
  <c r="B656" i="20"/>
  <c r="B67" i="20"/>
  <c r="B99" i="20"/>
  <c r="B163" i="20"/>
  <c r="B227" i="20"/>
  <c r="B291" i="20"/>
  <c r="B346" i="20"/>
  <c r="B362" i="20"/>
  <c r="B378" i="20"/>
  <c r="B394" i="20"/>
  <c r="B402" i="20"/>
  <c r="B418" i="20"/>
  <c r="B434" i="20"/>
  <c r="B450" i="20"/>
  <c r="B466" i="20"/>
  <c r="B482" i="20"/>
  <c r="B498" i="20"/>
  <c r="B514" i="20"/>
  <c r="B530" i="20"/>
  <c r="B546" i="20"/>
  <c r="B562" i="20"/>
  <c r="B578" i="20"/>
  <c r="B594" i="20"/>
  <c r="B605" i="20"/>
  <c r="B613" i="20"/>
  <c r="B621" i="20"/>
  <c r="B629" i="20"/>
  <c r="B637" i="20"/>
  <c r="B649" i="20"/>
  <c r="B657" i="20"/>
  <c r="I95" i="15"/>
  <c r="AN95" i="15" s="1"/>
  <c r="AO95" i="15" s="1"/>
  <c r="BD261" i="5"/>
  <c r="I91" i="15"/>
  <c r="AN91" i="15" s="1"/>
  <c r="BD210" i="5"/>
  <c r="I7" i="9"/>
  <c r="Q520" i="15" s="1"/>
  <c r="O520" i="15" s="1"/>
  <c r="U520" i="15" s="1"/>
  <c r="K520" i="15"/>
  <c r="I520" i="15" s="1"/>
  <c r="AN520" i="15" s="1"/>
  <c r="BC9" i="9"/>
  <c r="X522" i="15"/>
  <c r="Z522" i="15" s="1"/>
  <c r="BC7" i="9"/>
  <c r="BD7" i="9" s="1"/>
  <c r="AE520" i="15" s="1"/>
  <c r="AC520" i="15" s="1"/>
  <c r="X520" i="15"/>
  <c r="Z520" i="15" s="1"/>
  <c r="AB522" i="15"/>
  <c r="AN439" i="15"/>
  <c r="AN278" i="15"/>
  <c r="X179" i="15"/>
  <c r="Z179" i="15" s="1"/>
  <c r="BC815" i="6"/>
  <c r="BC1775" i="6"/>
  <c r="BD1775" i="6" s="1"/>
  <c r="X301" i="15"/>
  <c r="F208" i="6"/>
  <c r="F280" i="6" s="1"/>
  <c r="F352" i="6" s="1"/>
  <c r="F424" i="6" s="1"/>
  <c r="F496" i="6" s="1"/>
  <c r="F568" i="6" s="1"/>
  <c r="F641" i="6" s="1"/>
  <c r="F713" i="6" s="1"/>
  <c r="Y131" i="15"/>
  <c r="Z131" i="15" s="1"/>
  <c r="BC141" i="6"/>
  <c r="BD141" i="6" s="1"/>
  <c r="AG131" i="15" s="1"/>
  <c r="AD131" i="15" s="1"/>
  <c r="X191" i="15"/>
  <c r="Z191" i="15" s="1"/>
  <c r="J1203" i="6"/>
  <c r="BC1203" i="6" s="1"/>
  <c r="BD1203" i="6" s="1"/>
  <c r="AF191" i="15" s="1"/>
  <c r="W1253" i="6"/>
  <c r="X1253" i="6"/>
  <c r="BC1443" i="6"/>
  <c r="Y208" i="15"/>
  <c r="AH225" i="15"/>
  <c r="X233" i="15"/>
  <c r="Z233" i="15" s="1"/>
  <c r="G233" i="15"/>
  <c r="AE259" i="15"/>
  <c r="X259" i="15"/>
  <c r="Z259" i="15" s="1"/>
  <c r="X286" i="15"/>
  <c r="AE286" i="15"/>
  <c r="AC286" i="15" s="1"/>
  <c r="Y300" i="15"/>
  <c r="D1152" i="6"/>
  <c r="V1152" i="6" s="1"/>
  <c r="F871" i="6"/>
  <c r="F892" i="6" s="1"/>
  <c r="F913" i="6" s="1"/>
  <c r="F934" i="6" s="1"/>
  <c r="F955" i="6" s="1"/>
  <c r="F976" i="6" s="1"/>
  <c r="F997" i="6" s="1"/>
  <c r="F1018" i="6" s="1"/>
  <c r="F1039" i="6" s="1"/>
  <c r="F1060" i="6" s="1"/>
  <c r="X221" i="15"/>
  <c r="Z221" i="15" s="1"/>
  <c r="BC1407" i="6"/>
  <c r="X140" i="15"/>
  <c r="Z140" i="15" s="1"/>
  <c r="X110" i="15"/>
  <c r="Z110" i="15" s="1"/>
  <c r="BC1202" i="6"/>
  <c r="BD1202" i="6" s="1"/>
  <c r="X188" i="15"/>
  <c r="Z188" i="15" s="1"/>
  <c r="D297" i="15"/>
  <c r="F1105" i="6"/>
  <c r="F873" i="6"/>
  <c r="F894" i="6" s="1"/>
  <c r="F915" i="6" s="1"/>
  <c r="F936" i="6" s="1"/>
  <c r="F957" i="6" s="1"/>
  <c r="F978" i="6" s="1"/>
  <c r="F999" i="6" s="1"/>
  <c r="F1020" i="6" s="1"/>
  <c r="F1041" i="6" s="1"/>
  <c r="F1062" i="6" s="1"/>
  <c r="K824" i="6"/>
  <c r="BE824" i="6" s="1"/>
  <c r="BC826" i="6"/>
  <c r="J828" i="6"/>
  <c r="BC828" i="6" s="1"/>
  <c r="G220" i="15"/>
  <c r="R249" i="15"/>
  <c r="AH280" i="15"/>
  <c r="G185" i="15"/>
  <c r="F1113" i="6"/>
  <c r="F876" i="6"/>
  <c r="F897" i="6" s="1"/>
  <c r="F918" i="6" s="1"/>
  <c r="F939" i="6" s="1"/>
  <c r="F960" i="6" s="1"/>
  <c r="F981" i="6" s="1"/>
  <c r="F1002" i="6" s="1"/>
  <c r="F1023" i="6" s="1"/>
  <c r="F1044" i="6" s="1"/>
  <c r="F1065" i="6" s="1"/>
  <c r="F1279" i="6"/>
  <c r="F1261" i="6"/>
  <c r="F1273" i="6"/>
  <c r="F1255" i="6"/>
  <c r="X272" i="15"/>
  <c r="AE272" i="15"/>
  <c r="AH272" i="15"/>
  <c r="AH273" i="15"/>
  <c r="AH301" i="15"/>
  <c r="I151" i="6"/>
  <c r="Q138" i="15" s="1"/>
  <c r="O138" i="15" s="1"/>
  <c r="Q204" i="6"/>
  <c r="X720" i="6" s="1"/>
  <c r="BD1200" i="6"/>
  <c r="AE190" i="15" s="1"/>
  <c r="AH285" i="15"/>
  <c r="AN124" i="15"/>
  <c r="AO124" i="15" s="1"/>
  <c r="AN391" i="15"/>
  <c r="O166" i="15"/>
  <c r="AN553" i="15"/>
  <c r="AN485" i="15"/>
  <c r="AN493" i="15"/>
  <c r="AN135" i="15"/>
  <c r="AO135" i="15" s="1"/>
  <c r="AN249" i="15"/>
  <c r="DD767" i="2"/>
  <c r="AE724" i="15" s="1"/>
  <c r="AC724" i="15" s="1"/>
  <c r="V266" i="9"/>
  <c r="V612" i="9"/>
  <c r="I544" i="15"/>
  <c r="AN544" i="15" s="1"/>
  <c r="BD681" i="7"/>
  <c r="AF400" i="15" s="1"/>
  <c r="F1132" i="7"/>
  <c r="M1132" i="7" s="1"/>
  <c r="O454" i="15" s="1"/>
  <c r="W454" i="15" s="1"/>
  <c r="BC475" i="9"/>
  <c r="BD475" i="9" s="1"/>
  <c r="AE565" i="15" s="1"/>
  <c r="AC565" i="15" s="1"/>
  <c r="AB570" i="15"/>
  <c r="F275" i="9"/>
  <c r="I545" i="15" s="1"/>
  <c r="AN545" i="15" s="1"/>
  <c r="I1193" i="6"/>
  <c r="R186" i="15" s="1"/>
  <c r="I1195" i="6"/>
  <c r="R187" i="15" s="1"/>
  <c r="AB187" i="15"/>
  <c r="BD1193" i="6"/>
  <c r="AF186" i="15" s="1"/>
  <c r="X190" i="15"/>
  <c r="Z190" i="15" s="1"/>
  <c r="J1201" i="6"/>
  <c r="BC1201" i="6" s="1"/>
  <c r="BD1201" i="6" s="1"/>
  <c r="AF190" i="15" s="1"/>
  <c r="AN272" i="15"/>
  <c r="Y482" i="15"/>
  <c r="Z482" i="15" s="1"/>
  <c r="BC1089" i="7"/>
  <c r="BD1089" i="7" s="1"/>
  <c r="BD1058" i="7"/>
  <c r="AE443" i="15" s="1"/>
  <c r="AC443" i="15" s="1"/>
  <c r="BD914" i="7"/>
  <c r="AE429" i="15" s="1"/>
  <c r="BD924" i="7"/>
  <c r="AE434" i="15" s="1"/>
  <c r="AC434" i="15" s="1"/>
  <c r="BD926" i="7"/>
  <c r="BB926" i="7" s="1"/>
  <c r="AA435" i="15" s="1"/>
  <c r="I697" i="7"/>
  <c r="R408" i="15" s="1"/>
  <c r="O606" i="7"/>
  <c r="G665" i="7"/>
  <c r="I914" i="7"/>
  <c r="Q429" i="15" s="1"/>
  <c r="AN441" i="15"/>
  <c r="I434" i="15"/>
  <c r="AN434" i="15" s="1"/>
  <c r="F449" i="7"/>
  <c r="I376" i="15" s="1"/>
  <c r="I308" i="16"/>
  <c r="O64" i="15" s="1"/>
  <c r="Q64" i="15" s="1"/>
  <c r="I256" i="16"/>
  <c r="O61" i="15" s="1"/>
  <c r="U61" i="15" s="1"/>
  <c r="BC220" i="16"/>
  <c r="BD220" i="16" s="1"/>
  <c r="AE51" i="15" s="1"/>
  <c r="AC51" i="15" s="1"/>
  <c r="K42" i="15"/>
  <c r="I42" i="15" s="1"/>
  <c r="I1194" i="6"/>
  <c r="Q187" i="15" s="1"/>
  <c r="BC175" i="6"/>
  <c r="BD175" i="6" s="1"/>
  <c r="AE154" i="15" s="1"/>
  <c r="AC154" i="15" s="1"/>
  <c r="AB133" i="15"/>
  <c r="BD152" i="6"/>
  <c r="AG138" i="15" s="1"/>
  <c r="AD138" i="15" s="1"/>
  <c r="AB666" i="15"/>
  <c r="I684" i="15"/>
  <c r="AN684" i="15" s="1"/>
  <c r="I686" i="15"/>
  <c r="AN686" i="15" s="1"/>
  <c r="I699" i="15"/>
  <c r="AN699" i="15" s="1"/>
  <c r="I701" i="15"/>
  <c r="AN701" i="15" s="1"/>
  <c r="I703" i="15"/>
  <c r="AN703" i="15" s="1"/>
  <c r="I705" i="15"/>
  <c r="AN705" i="15" s="1"/>
  <c r="I711" i="15"/>
  <c r="AN711" i="15" s="1"/>
  <c r="I723" i="15"/>
  <c r="AN723" i="15" s="1"/>
  <c r="I725" i="15"/>
  <c r="AN725" i="15" s="1"/>
  <c r="I688" i="15"/>
  <c r="AN688" i="15" s="1"/>
  <c r="I690" i="15"/>
  <c r="AN690" i="15" s="1"/>
  <c r="I693" i="15"/>
  <c r="AN693" i="15" s="1"/>
  <c r="I695" i="15"/>
  <c r="AN695" i="15" s="1"/>
  <c r="I697" i="15"/>
  <c r="AN697" i="15" s="1"/>
  <c r="J725" i="15"/>
  <c r="I709" i="15"/>
  <c r="AN709" i="15" s="1"/>
  <c r="I718" i="15"/>
  <c r="AN718" i="15" s="1"/>
  <c r="I719" i="15"/>
  <c r="AN719" i="15" s="1"/>
  <c r="I724" i="15"/>
  <c r="AN724" i="15" s="1"/>
  <c r="X630" i="15"/>
  <c r="Z630" i="15" s="1"/>
  <c r="W630" i="15" s="1"/>
  <c r="X632" i="15"/>
  <c r="Z632" i="15" s="1"/>
  <c r="W632" i="15" s="1"/>
  <c r="X634" i="15"/>
  <c r="Z634" i="15" s="1"/>
  <c r="W634" i="15" s="1"/>
  <c r="I706" i="15"/>
  <c r="AN706" i="15" s="1"/>
  <c r="I720" i="15"/>
  <c r="AN720" i="15" s="1"/>
  <c r="J724" i="15"/>
  <c r="I728" i="15"/>
  <c r="AN728" i="15" s="1"/>
  <c r="I683" i="15"/>
  <c r="AN683" i="15" s="1"/>
  <c r="I685" i="15"/>
  <c r="AN685" i="15" s="1"/>
  <c r="I700" i="15"/>
  <c r="AN700" i="15" s="1"/>
  <c r="I702" i="15"/>
  <c r="AN702" i="15" s="1"/>
  <c r="I704" i="15"/>
  <c r="AN704" i="15" s="1"/>
  <c r="I712" i="15"/>
  <c r="AN712" i="15" s="1"/>
  <c r="I722" i="15"/>
  <c r="AN722" i="15" s="1"/>
  <c r="I687" i="15"/>
  <c r="AN687" i="15" s="1"/>
  <c r="I689" i="15"/>
  <c r="AN689" i="15" s="1"/>
  <c r="I691" i="15"/>
  <c r="AN691" i="15" s="1"/>
  <c r="I692" i="15"/>
  <c r="AN692" i="15" s="1"/>
  <c r="I694" i="15"/>
  <c r="AN694" i="15" s="1"/>
  <c r="I696" i="15"/>
  <c r="AN696" i="15" s="1"/>
  <c r="I698" i="15"/>
  <c r="AN698" i="15" s="1"/>
  <c r="L664" i="15"/>
  <c r="I710" i="15"/>
  <c r="AN710" i="15" s="1"/>
  <c r="I713" i="15"/>
  <c r="AN713" i="15" s="1"/>
  <c r="I717" i="15"/>
  <c r="AN717" i="15" s="1"/>
  <c r="DD532" i="2"/>
  <c r="AE699" i="15" s="1"/>
  <c r="AC699" i="15" s="1"/>
  <c r="DD615" i="2"/>
  <c r="AE711" i="15" s="1"/>
  <c r="AC711" i="15" s="1"/>
  <c r="I616" i="2"/>
  <c r="O712" i="15" s="1"/>
  <c r="V712" i="15" s="1"/>
  <c r="U712" i="15" s="1"/>
  <c r="I654" i="15"/>
  <c r="AN654" i="15" s="1"/>
  <c r="I665" i="15"/>
  <c r="AN665" i="15" s="1"/>
  <c r="I666" i="15"/>
  <c r="AN666" i="15" s="1"/>
  <c r="J767" i="2"/>
  <c r="O724" i="15" s="1"/>
  <c r="I628" i="15"/>
  <c r="AN628" i="15" s="1"/>
  <c r="I630" i="15"/>
  <c r="AN630" i="15" s="1"/>
  <c r="I632" i="15"/>
  <c r="AN632" i="15" s="1"/>
  <c r="I634" i="15"/>
  <c r="AN634" i="15" s="1"/>
  <c r="I636" i="15"/>
  <c r="AN636" i="15" s="1"/>
  <c r="I638" i="15"/>
  <c r="AN638" i="15" s="1"/>
  <c r="I640" i="15"/>
  <c r="AN640" i="15" s="1"/>
  <c r="I642" i="15"/>
  <c r="AN642" i="15" s="1"/>
  <c r="I644" i="15"/>
  <c r="AN644" i="15" s="1"/>
  <c r="I647" i="15"/>
  <c r="AN647" i="15" s="1"/>
  <c r="I655" i="15"/>
  <c r="AN655" i="15" s="1"/>
  <c r="I646" i="15"/>
  <c r="AN646" i="15" s="1"/>
  <c r="I653" i="15"/>
  <c r="AN653" i="15" s="1"/>
  <c r="I629" i="15"/>
  <c r="AN629" i="15" s="1"/>
  <c r="I631" i="15"/>
  <c r="AN631" i="15" s="1"/>
  <c r="I633" i="15"/>
  <c r="AN633" i="15" s="1"/>
  <c r="I635" i="15"/>
  <c r="AN635" i="15" s="1"/>
  <c r="I637" i="15"/>
  <c r="AN637" i="15" s="1"/>
  <c r="I639" i="15"/>
  <c r="AN639" i="15" s="1"/>
  <c r="I641" i="15"/>
  <c r="AN641" i="15" s="1"/>
  <c r="I643" i="15"/>
  <c r="AN643" i="15" s="1"/>
  <c r="I645" i="15"/>
  <c r="AN645" i="15" s="1"/>
  <c r="I669" i="15"/>
  <c r="AN669" i="15" s="1"/>
  <c r="DD715" i="2"/>
  <c r="AE719" i="15" s="1"/>
  <c r="AC719" i="15" s="1"/>
  <c r="DD506" i="2"/>
  <c r="AE692" i="15" s="1"/>
  <c r="AC692" i="15" s="1"/>
  <c r="DD512" i="2"/>
  <c r="AE698" i="15" s="1"/>
  <c r="AC698" i="15" s="1"/>
  <c r="BC510" i="9"/>
  <c r="BD510" i="9" s="1"/>
  <c r="X570" i="15"/>
  <c r="Z570" i="15" s="1"/>
  <c r="BD477" i="9"/>
  <c r="AE567" i="15" s="1"/>
  <c r="AC567" i="15" s="1"/>
  <c r="M227" i="9"/>
  <c r="O544" i="15" s="1"/>
  <c r="J406" i="9"/>
  <c r="O563" i="15" s="1"/>
  <c r="V563" i="15" s="1"/>
  <c r="M284" i="9"/>
  <c r="O554" i="15" s="1"/>
  <c r="W554" i="15" s="1"/>
  <c r="I478" i="9"/>
  <c r="O568" i="15" s="1"/>
  <c r="V568" i="15" s="1"/>
  <c r="I475" i="9"/>
  <c r="O565" i="15" s="1"/>
  <c r="V565" i="15" s="1"/>
  <c r="I476" i="9"/>
  <c r="O566" i="15" s="1"/>
  <c r="V566" i="15" s="1"/>
  <c r="AB538" i="15"/>
  <c r="BC13" i="9"/>
  <c r="M228" i="9"/>
  <c r="P544" i="15" s="1"/>
  <c r="W544" i="15" s="1"/>
  <c r="AN548" i="15"/>
  <c r="I566" i="15"/>
  <c r="AN566" i="15" s="1"/>
  <c r="I565" i="15"/>
  <c r="AN565" i="15" s="1"/>
  <c r="F196" i="9"/>
  <c r="I542" i="15" s="1"/>
  <c r="AN542" i="15" s="1"/>
  <c r="AA558" i="15"/>
  <c r="M278" i="9"/>
  <c r="O548" i="15" s="1"/>
  <c r="W548" i="15" s="1"/>
  <c r="BD278" i="9"/>
  <c r="AE548" i="15" s="1"/>
  <c r="AC548" i="15" s="1"/>
  <c r="BD480" i="9"/>
  <c r="BB480" i="9" s="1"/>
  <c r="AA570" i="15" s="1"/>
  <c r="I480" i="9"/>
  <c r="O570" i="15" s="1"/>
  <c r="V570" i="15" s="1"/>
  <c r="I591" i="9"/>
  <c r="P582" i="15" s="1"/>
  <c r="W582" i="15" s="1"/>
  <c r="X540" i="15"/>
  <c r="Z540" i="15" s="1"/>
  <c r="X535" i="15"/>
  <c r="Z535" i="15" s="1"/>
  <c r="I477" i="9"/>
  <c r="O567" i="15" s="1"/>
  <c r="V567" i="15" s="1"/>
  <c r="I563" i="15"/>
  <c r="AN563" i="15" s="1"/>
  <c r="BC509" i="9"/>
  <c r="BD509" i="9" s="1"/>
  <c r="AE572" i="15" s="1"/>
  <c r="AC572" i="15" s="1"/>
  <c r="AB544" i="15"/>
  <c r="M283" i="9"/>
  <c r="O553" i="15" s="1"/>
  <c r="W553" i="15" s="1"/>
  <c r="F197" i="9"/>
  <c r="K197" i="9" s="1"/>
  <c r="O543" i="15" s="1"/>
  <c r="V543" i="15" s="1"/>
  <c r="BC78" i="9"/>
  <c r="K14" i="9"/>
  <c r="BE14" i="9" s="1"/>
  <c r="K10" i="9"/>
  <c r="BE10" i="9" s="1"/>
  <c r="AB526" i="15"/>
  <c r="F8" i="9"/>
  <c r="AC8" i="9" s="1"/>
  <c r="BB1339" i="7"/>
  <c r="AA487" i="15" s="1"/>
  <c r="I926" i="7"/>
  <c r="Q435" i="15" s="1"/>
  <c r="O435" i="15" s="1"/>
  <c r="V435" i="15" s="1"/>
  <c r="BD997" i="7"/>
  <c r="AE440" i="15" s="1"/>
  <c r="AC440" i="15" s="1"/>
  <c r="BD1355" i="7"/>
  <c r="AE503" i="15" s="1"/>
  <c r="AC503" i="15" s="1"/>
  <c r="I678" i="7"/>
  <c r="Q399" i="15" s="1"/>
  <c r="BD1357" i="7"/>
  <c r="BB1357" i="7" s="1"/>
  <c r="AA505" i="15" s="1"/>
  <c r="I912" i="7"/>
  <c r="Q428" i="15" s="1"/>
  <c r="BD1335" i="7"/>
  <c r="BB1335" i="7" s="1"/>
  <c r="AA483" i="15" s="1"/>
  <c r="BD1344" i="7"/>
  <c r="AE492" i="15" s="1"/>
  <c r="AC492" i="15" s="1"/>
  <c r="BD1341" i="7"/>
  <c r="AE489" i="15" s="1"/>
  <c r="AC489" i="15" s="1"/>
  <c r="AB408" i="15"/>
  <c r="I1355" i="7"/>
  <c r="Q503" i="15" s="1"/>
  <c r="O503" i="15" s="1"/>
  <c r="U503" i="15" s="1"/>
  <c r="O604" i="7"/>
  <c r="BE604" i="7" s="1"/>
  <c r="BC1302" i="7"/>
  <c r="X443" i="15"/>
  <c r="Z443" i="15" s="1"/>
  <c r="X440" i="15"/>
  <c r="Z440" i="15" s="1"/>
  <c r="AB438" i="15"/>
  <c r="X435" i="15"/>
  <c r="Z435" i="15" s="1"/>
  <c r="X429" i="15"/>
  <c r="Z429" i="15" s="1"/>
  <c r="BD912" i="7"/>
  <c r="AE428" i="15" s="1"/>
  <c r="X405" i="15"/>
  <c r="Z405" i="15" s="1"/>
  <c r="AB323" i="15"/>
  <c r="W336" i="7"/>
  <c r="F488" i="7"/>
  <c r="I380" i="15" s="1"/>
  <c r="AN380" i="15" s="1"/>
  <c r="F933" i="7"/>
  <c r="L438" i="15" s="1"/>
  <c r="I438" i="15" s="1"/>
  <c r="F1032" i="7"/>
  <c r="I442" i="15" s="1"/>
  <c r="AN442" i="15" s="1"/>
  <c r="F1124" i="7"/>
  <c r="I446" i="15" s="1"/>
  <c r="AN446" i="15" s="1"/>
  <c r="F1125" i="7"/>
  <c r="BD1125" i="7" s="1"/>
  <c r="BB1125" i="7" s="1"/>
  <c r="AA447" i="15" s="1"/>
  <c r="F1129" i="7"/>
  <c r="I451" i="15" s="1"/>
  <c r="AN451" i="15" s="1"/>
  <c r="I1353" i="7"/>
  <c r="Q501" i="15" s="1"/>
  <c r="O501" i="15" s="1"/>
  <c r="U501" i="15" s="1"/>
  <c r="I1344" i="7"/>
  <c r="Q492" i="15" s="1"/>
  <c r="O492" i="15" s="1"/>
  <c r="U492" i="15" s="1"/>
  <c r="BD1347" i="7"/>
  <c r="AE495" i="15" s="1"/>
  <c r="AC495" i="15" s="1"/>
  <c r="I923" i="7"/>
  <c r="R433" i="15" s="1"/>
  <c r="BD678" i="7"/>
  <c r="AE399" i="15" s="1"/>
  <c r="BD921" i="7"/>
  <c r="AF432" i="15" s="1"/>
  <c r="F1312" i="7"/>
  <c r="F1302" i="7" s="1"/>
  <c r="I482" i="15" s="1"/>
  <c r="AN482" i="15" s="1"/>
  <c r="I1303" i="7"/>
  <c r="P482" i="15" s="1"/>
  <c r="V482" i="15" s="1"/>
  <c r="F841" i="7"/>
  <c r="I424" i="15" s="1"/>
  <c r="AN424" i="15" s="1"/>
  <c r="N518" i="7"/>
  <c r="BE518" i="7" s="1"/>
  <c r="F18" i="7"/>
  <c r="F17" i="7"/>
  <c r="V43" i="7"/>
  <c r="M559" i="7"/>
  <c r="BE559" i="7" s="1"/>
  <c r="X355" i="15"/>
  <c r="Z355" i="15" s="1"/>
  <c r="X327" i="15"/>
  <c r="Z327" i="15" s="1"/>
  <c r="X392" i="15"/>
  <c r="Z392" i="15" s="1"/>
  <c r="BC143" i="7"/>
  <c r="AB427" i="15"/>
  <c r="X379" i="15"/>
  <c r="Z379" i="15" s="1"/>
  <c r="F10" i="7"/>
  <c r="I10" i="7" s="1"/>
  <c r="Q323" i="15" s="1"/>
  <c r="O323" i="15" s="1"/>
  <c r="X1311" i="7"/>
  <c r="F1137" i="7"/>
  <c r="BD1137" i="7" s="1"/>
  <c r="AE459" i="15" s="1"/>
  <c r="AC459" i="15" s="1"/>
  <c r="F1140" i="7"/>
  <c r="BD1140" i="7" s="1"/>
  <c r="I679" i="7"/>
  <c r="R399" i="15" s="1"/>
  <c r="BD691" i="7"/>
  <c r="AF405" i="15" s="1"/>
  <c r="F447" i="7"/>
  <c r="BD447" i="7" s="1"/>
  <c r="AE374" i="15" s="1"/>
  <c r="AC374" i="15" s="1"/>
  <c r="F487" i="7"/>
  <c r="I379" i="15" s="1"/>
  <c r="AN379" i="15" s="1"/>
  <c r="F563" i="7"/>
  <c r="I389" i="15" s="1"/>
  <c r="AN389" i="15" s="1"/>
  <c r="BC608" i="7"/>
  <c r="AG397" i="15" s="1"/>
  <c r="AD397" i="15" s="1"/>
  <c r="BD688" i="7"/>
  <c r="AE404" i="15" s="1"/>
  <c r="AB330" i="15"/>
  <c r="BC558" i="7"/>
  <c r="J518" i="7"/>
  <c r="F518" i="7" s="1"/>
  <c r="BD518" i="7" s="1"/>
  <c r="E502" i="7"/>
  <c r="AB324" i="15"/>
  <c r="X391" i="15"/>
  <c r="Z391" i="15" s="1"/>
  <c r="BC519" i="7"/>
  <c r="I691" i="7"/>
  <c r="R405" i="15" s="1"/>
  <c r="F883" i="7"/>
  <c r="I426" i="15" s="1"/>
  <c r="AN426" i="15" s="1"/>
  <c r="I472" i="15"/>
  <c r="AN472" i="15" s="1"/>
  <c r="I1261" i="7"/>
  <c r="O472" i="15" s="1"/>
  <c r="V472" i="15" s="1"/>
  <c r="D511" i="7"/>
  <c r="V511" i="7" s="1"/>
  <c r="BC149" i="7"/>
  <c r="BC488" i="7"/>
  <c r="BD692" i="7"/>
  <c r="AE406" i="15" s="1"/>
  <c r="BD918" i="7"/>
  <c r="I473" i="15"/>
  <c r="AN473" i="15" s="1"/>
  <c r="I1262" i="7"/>
  <c r="O473" i="15" s="1"/>
  <c r="V473" i="15" s="1"/>
  <c r="I475" i="15"/>
  <c r="AN475" i="15" s="1"/>
  <c r="I1264" i="7"/>
  <c r="O475" i="15" s="1"/>
  <c r="V475" i="15" s="1"/>
  <c r="X431" i="15"/>
  <c r="Z431" i="15" s="1"/>
  <c r="X399" i="15"/>
  <c r="Z399" i="15" s="1"/>
  <c r="E113" i="7"/>
  <c r="F139" i="7"/>
  <c r="BD139" i="7" s="1"/>
  <c r="AB457" i="15"/>
  <c r="AB445" i="15"/>
  <c r="AB425" i="15"/>
  <c r="F882" i="7"/>
  <c r="I425" i="15" s="1"/>
  <c r="AN425" i="15" s="1"/>
  <c r="X424" i="15"/>
  <c r="Z424" i="15" s="1"/>
  <c r="H599" i="7"/>
  <c r="M599" i="7" s="1"/>
  <c r="P391" i="15" s="1"/>
  <c r="X393" i="15"/>
  <c r="Z393" i="15" s="1"/>
  <c r="J998" i="7"/>
  <c r="O441" i="15" s="1"/>
  <c r="V441" i="15" s="1"/>
  <c r="F150" i="7"/>
  <c r="I370" i="15" s="1"/>
  <c r="AN370" i="15" s="1"/>
  <c r="AB397" i="15"/>
  <c r="F1301" i="7"/>
  <c r="J481" i="15" s="1"/>
  <c r="F136" i="7"/>
  <c r="BD136" i="7" s="1"/>
  <c r="AE356" i="15" s="1"/>
  <c r="AC356" i="15" s="1"/>
  <c r="F935" i="7"/>
  <c r="I935" i="7" s="1"/>
  <c r="R439" i="15" s="1"/>
  <c r="F1311" i="7"/>
  <c r="F1300" i="7" s="1"/>
  <c r="I481" i="15" s="1"/>
  <c r="AN481" i="15" s="1"/>
  <c r="BD998" i="7"/>
  <c r="BB998" i="7" s="1"/>
  <c r="AA441" i="15" s="1"/>
  <c r="F559" i="7"/>
  <c r="I385" i="15" s="1"/>
  <c r="AN385" i="15" s="1"/>
  <c r="BD760" i="7"/>
  <c r="BB760" i="7" s="1"/>
  <c r="AA412" i="15" s="1"/>
  <c r="AB460" i="15"/>
  <c r="F14" i="7"/>
  <c r="BD1350" i="7"/>
  <c r="AE498" i="15" s="1"/>
  <c r="AC498" i="15" s="1"/>
  <c r="BD1354" i="7"/>
  <c r="BB1354" i="7" s="1"/>
  <c r="AA502" i="15" s="1"/>
  <c r="F884" i="7"/>
  <c r="I1357" i="7"/>
  <c r="Q505" i="15" s="1"/>
  <c r="O505" i="15" s="1"/>
  <c r="U505" i="15" s="1"/>
  <c r="BD917" i="7"/>
  <c r="AF430" i="15" s="1"/>
  <c r="I1354" i="7"/>
  <c r="Q502" i="15" s="1"/>
  <c r="O502" i="15" s="1"/>
  <c r="U502" i="15" s="1"/>
  <c r="J762" i="7"/>
  <c r="O414" i="15" s="1"/>
  <c r="V414" i="15" s="1"/>
  <c r="X366" i="15"/>
  <c r="Z366" i="15" s="1"/>
  <c r="AB443" i="15"/>
  <c r="X441" i="15"/>
  <c r="Z441" i="15" s="1"/>
  <c r="AB320" i="15"/>
  <c r="X406" i="15"/>
  <c r="Z406" i="15" s="1"/>
  <c r="AB402" i="15"/>
  <c r="BD1356" i="7"/>
  <c r="AE504" i="15" s="1"/>
  <c r="AC504" i="15" s="1"/>
  <c r="BC563" i="7"/>
  <c r="Y481" i="15"/>
  <c r="Z481" i="15" s="1"/>
  <c r="F129" i="7"/>
  <c r="BD129" i="7" s="1"/>
  <c r="BB129" i="7" s="1"/>
  <c r="AA349" i="15" s="1"/>
  <c r="I687" i="7"/>
  <c r="R403" i="15" s="1"/>
  <c r="I690" i="7"/>
  <c r="Q405" i="15" s="1"/>
  <c r="I694" i="7"/>
  <c r="Q407" i="15" s="1"/>
  <c r="I696" i="7"/>
  <c r="Q408" i="15" s="1"/>
  <c r="I915" i="7"/>
  <c r="R429" i="15" s="1"/>
  <c r="I916" i="7"/>
  <c r="Q430" i="15" s="1"/>
  <c r="I917" i="7"/>
  <c r="R430" i="15" s="1"/>
  <c r="I918" i="7"/>
  <c r="Q431" i="15" s="1"/>
  <c r="I920" i="7"/>
  <c r="Q432" i="15" s="1"/>
  <c r="I921" i="7"/>
  <c r="R432" i="15" s="1"/>
  <c r="I922" i="7"/>
  <c r="Q433" i="15" s="1"/>
  <c r="I928" i="7"/>
  <c r="Q436" i="15" s="1"/>
  <c r="O436" i="15" s="1"/>
  <c r="I1349" i="7"/>
  <c r="Q497" i="15" s="1"/>
  <c r="O497" i="15" s="1"/>
  <c r="U497" i="15" s="1"/>
  <c r="I1351" i="7"/>
  <c r="Q499" i="15" s="1"/>
  <c r="O499" i="15" s="1"/>
  <c r="U499" i="15" s="1"/>
  <c r="D411" i="7"/>
  <c r="V411" i="7" s="1"/>
  <c r="I1348" i="7"/>
  <c r="Q496" i="15" s="1"/>
  <c r="O496" i="15" s="1"/>
  <c r="U496" i="15" s="1"/>
  <c r="Q398" i="15"/>
  <c r="AA475" i="15"/>
  <c r="I1352" i="7"/>
  <c r="Q500" i="15" s="1"/>
  <c r="O500" i="15" s="1"/>
  <c r="U500" i="15" s="1"/>
  <c r="BD1349" i="7"/>
  <c r="BB1349" i="7" s="1"/>
  <c r="AA497" i="15" s="1"/>
  <c r="I1350" i="7"/>
  <c r="Q498" i="15" s="1"/>
  <c r="O498" i="15" s="1"/>
  <c r="U498" i="15" s="1"/>
  <c r="BD916" i="7"/>
  <c r="AE430" i="15" s="1"/>
  <c r="BD696" i="7"/>
  <c r="AE408" i="15" s="1"/>
  <c r="AB455" i="15"/>
  <c r="AB453" i="15"/>
  <c r="AB451" i="15"/>
  <c r="AB448" i="15"/>
  <c r="AB446" i="15"/>
  <c r="AB428" i="15"/>
  <c r="X426" i="15"/>
  <c r="Z426" i="15" s="1"/>
  <c r="X420" i="15"/>
  <c r="Z420" i="15" s="1"/>
  <c r="X382" i="15"/>
  <c r="Z382" i="15" s="1"/>
  <c r="I1356" i="7"/>
  <c r="Q504" i="15" s="1"/>
  <c r="O504" i="15" s="1"/>
  <c r="U504" i="15" s="1"/>
  <c r="BC604" i="7"/>
  <c r="BD604" i="7" s="1"/>
  <c r="AE395" i="15" s="1"/>
  <c r="AC395" i="15" s="1"/>
  <c r="F60" i="7"/>
  <c r="K60" i="7" s="1"/>
  <c r="O336" i="15" s="1"/>
  <c r="W336" i="15" s="1"/>
  <c r="BD680" i="7"/>
  <c r="I681" i="7"/>
  <c r="R400" i="15" s="1"/>
  <c r="BD687" i="7"/>
  <c r="AF403" i="15" s="1"/>
  <c r="BD690" i="7"/>
  <c r="I1358" i="7"/>
  <c r="Q506" i="15" s="1"/>
  <c r="O506" i="15" s="1"/>
  <c r="U506" i="15" s="1"/>
  <c r="J65" i="7"/>
  <c r="F65" i="7" s="1"/>
  <c r="K65" i="7" s="1"/>
  <c r="O341" i="15" s="1"/>
  <c r="W341" i="15" s="1"/>
  <c r="AB362" i="15"/>
  <c r="D397" i="15"/>
  <c r="BC682" i="7"/>
  <c r="BD682" i="7" s="1"/>
  <c r="AE401" i="15" s="1"/>
  <c r="AB327" i="15"/>
  <c r="AE398" i="15"/>
  <c r="BD677" i="7"/>
  <c r="I913" i="7"/>
  <c r="R428" i="15" s="1"/>
  <c r="I444" i="15"/>
  <c r="AN444" i="15" s="1"/>
  <c r="J1089" i="7"/>
  <c r="O444" i="15" s="1"/>
  <c r="V444" i="15" s="1"/>
  <c r="BC130" i="7"/>
  <c r="F59" i="7"/>
  <c r="BD59" i="7" s="1"/>
  <c r="AE335" i="15" s="1"/>
  <c r="AC335" i="15" s="1"/>
  <c r="F448" i="7"/>
  <c r="I375" i="15" s="1"/>
  <c r="AN375" i="15" s="1"/>
  <c r="M562" i="7"/>
  <c r="BE562" i="7" s="1"/>
  <c r="M560" i="7"/>
  <c r="BE560" i="7" s="1"/>
  <c r="M561" i="7"/>
  <c r="BE561" i="7" s="1"/>
  <c r="I685" i="7"/>
  <c r="R402" i="15" s="1"/>
  <c r="I693" i="7"/>
  <c r="R406" i="15" s="1"/>
  <c r="BD915" i="7"/>
  <c r="AF429" i="15" s="1"/>
  <c r="J1058" i="7"/>
  <c r="O443" i="15" s="1"/>
  <c r="V443" i="15" s="1"/>
  <c r="F1123" i="7"/>
  <c r="I445" i="15" s="1"/>
  <c r="AN445" i="15" s="1"/>
  <c r="M1127" i="7"/>
  <c r="O449" i="15" s="1"/>
  <c r="W449" i="15" s="1"/>
  <c r="I1335" i="7"/>
  <c r="Q483" i="15" s="1"/>
  <c r="O483" i="15" s="1"/>
  <c r="U483" i="15" s="1"/>
  <c r="I1336" i="7"/>
  <c r="Q484" i="15" s="1"/>
  <c r="O484" i="15" s="1"/>
  <c r="U484" i="15" s="1"/>
  <c r="I1337" i="7"/>
  <c r="Q485" i="15" s="1"/>
  <c r="O485" i="15" s="1"/>
  <c r="U485" i="15" s="1"/>
  <c r="I1338" i="7"/>
  <c r="Q486" i="15" s="1"/>
  <c r="O486" i="15" s="1"/>
  <c r="U486" i="15" s="1"/>
  <c r="I1339" i="7"/>
  <c r="Q487" i="15" s="1"/>
  <c r="O487" i="15" s="1"/>
  <c r="U487" i="15" s="1"/>
  <c r="I1340" i="7"/>
  <c r="Q488" i="15" s="1"/>
  <c r="O488" i="15" s="1"/>
  <c r="U488" i="15" s="1"/>
  <c r="I1341" i="7"/>
  <c r="Q489" i="15" s="1"/>
  <c r="O489" i="15" s="1"/>
  <c r="U489" i="15" s="1"/>
  <c r="I1342" i="7"/>
  <c r="Q490" i="15" s="1"/>
  <c r="O490" i="15" s="1"/>
  <c r="U490" i="15" s="1"/>
  <c r="I1343" i="7"/>
  <c r="Q491" i="15" s="1"/>
  <c r="O491" i="15" s="1"/>
  <c r="U491" i="15" s="1"/>
  <c r="I1345" i="7"/>
  <c r="Q493" i="15" s="1"/>
  <c r="O493" i="15" s="1"/>
  <c r="U493" i="15" s="1"/>
  <c r="I1346" i="7"/>
  <c r="Q494" i="15" s="1"/>
  <c r="O494" i="15" s="1"/>
  <c r="U494" i="15" s="1"/>
  <c r="I1347" i="7"/>
  <c r="Q495" i="15" s="1"/>
  <c r="O495" i="15" s="1"/>
  <c r="U495" i="15" s="1"/>
  <c r="M597" i="7"/>
  <c r="O390" i="15" s="1"/>
  <c r="W390" i="15" s="1"/>
  <c r="BD683" i="7"/>
  <c r="AF401" i="15" s="1"/>
  <c r="BD685" i="7"/>
  <c r="AF402" i="15" s="1"/>
  <c r="BD693" i="7"/>
  <c r="AF406" i="15" s="1"/>
  <c r="F562" i="7"/>
  <c r="BD562" i="7" s="1"/>
  <c r="AE388" i="15" s="1"/>
  <c r="AC388" i="15" s="1"/>
  <c r="I924" i="7"/>
  <c r="Q434" i="15" s="1"/>
  <c r="O434" i="15" s="1"/>
  <c r="V434" i="15" s="1"/>
  <c r="I930" i="7"/>
  <c r="Q437" i="15" s="1"/>
  <c r="I932" i="7"/>
  <c r="Q438" i="15" s="1"/>
  <c r="I934" i="7"/>
  <c r="Q439" i="15" s="1"/>
  <c r="BD762" i="7"/>
  <c r="BB762" i="7" s="1"/>
  <c r="AA414" i="15" s="1"/>
  <c r="J760" i="7"/>
  <c r="O412" i="15" s="1"/>
  <c r="V412" i="15" s="1"/>
  <c r="V594" i="7"/>
  <c r="E101" i="7"/>
  <c r="X344" i="15"/>
  <c r="Z344" i="15" s="1"/>
  <c r="AB347" i="15"/>
  <c r="X347" i="15"/>
  <c r="Z347" i="15" s="1"/>
  <c r="X358" i="15"/>
  <c r="Z358" i="15" s="1"/>
  <c r="BC686" i="7"/>
  <c r="BD686" i="7" s="1"/>
  <c r="AE403" i="15" s="1"/>
  <c r="F141" i="7"/>
  <c r="K141" i="7" s="1"/>
  <c r="O361" i="15" s="1"/>
  <c r="W361" i="15" s="1"/>
  <c r="BC599" i="7"/>
  <c r="AG391" i="15" s="1"/>
  <c r="AD391" i="15" s="1"/>
  <c r="E117" i="7"/>
  <c r="X331" i="15"/>
  <c r="Z331" i="15" s="1"/>
  <c r="X324" i="15"/>
  <c r="Z324" i="15" s="1"/>
  <c r="BC61" i="7"/>
  <c r="F61" i="7"/>
  <c r="K61" i="7" s="1"/>
  <c r="O337" i="15" s="1"/>
  <c r="W337" i="15" s="1"/>
  <c r="F134" i="7"/>
  <c r="I354" i="15" s="1"/>
  <c r="AN354" i="15" s="1"/>
  <c r="I684" i="7"/>
  <c r="Q402" i="15" s="1"/>
  <c r="I688" i="7"/>
  <c r="Q404" i="15" s="1"/>
  <c r="AB406" i="15"/>
  <c r="AB398" i="15"/>
  <c r="BD679" i="7"/>
  <c r="AF399" i="15" s="1"/>
  <c r="I682" i="7"/>
  <c r="Q401" i="15" s="1"/>
  <c r="M603" i="7"/>
  <c r="O394" i="15" s="1"/>
  <c r="W394" i="15" s="1"/>
  <c r="E103" i="7"/>
  <c r="H602" i="7"/>
  <c r="BC9" i="7"/>
  <c r="BC133" i="7"/>
  <c r="BC16" i="7"/>
  <c r="BC605" i="7"/>
  <c r="AN449" i="15"/>
  <c r="AN394" i="15"/>
  <c r="F125" i="7"/>
  <c r="I345" i="15" s="1"/>
  <c r="AN345" i="15" s="1"/>
  <c r="X320" i="15"/>
  <c r="Z320" i="15" s="1"/>
  <c r="AB372" i="15"/>
  <c r="X372" i="15"/>
  <c r="Z372" i="15" s="1"/>
  <c r="AN486" i="15"/>
  <c r="X374" i="15"/>
  <c r="Z374" i="15" s="1"/>
  <c r="J517" i="7"/>
  <c r="I517" i="7"/>
  <c r="AB338" i="15"/>
  <c r="X336" i="15"/>
  <c r="Z336" i="15" s="1"/>
  <c r="E111" i="7"/>
  <c r="I519" i="7"/>
  <c r="F519" i="7" s="1"/>
  <c r="L519" i="7" s="1"/>
  <c r="O383" i="15" s="1"/>
  <c r="W383" i="15" s="1"/>
  <c r="I13" i="7"/>
  <c r="Q326" i="15" s="1"/>
  <c r="O326" i="15" s="1"/>
  <c r="I415" i="15"/>
  <c r="AN415" i="15" s="1"/>
  <c r="J763" i="7"/>
  <c r="O415" i="15" s="1"/>
  <c r="V415" i="15" s="1"/>
  <c r="BD763" i="7"/>
  <c r="AE490" i="15"/>
  <c r="AC490" i="15" s="1"/>
  <c r="BB1342" i="7"/>
  <c r="AA490" i="15" s="1"/>
  <c r="I420" i="15"/>
  <c r="AN420" i="15" s="1"/>
  <c r="J837" i="7"/>
  <c r="O420" i="15" s="1"/>
  <c r="V420" i="15" s="1"/>
  <c r="BD837" i="7"/>
  <c r="AE420" i="15" s="1"/>
  <c r="AC420" i="15" s="1"/>
  <c r="M1130" i="7"/>
  <c r="O452" i="15" s="1"/>
  <c r="W452" i="15" s="1"/>
  <c r="BD1127" i="7"/>
  <c r="BB1127" i="7" s="1"/>
  <c r="AA449" i="15" s="1"/>
  <c r="P1139" i="7"/>
  <c r="BE1139" i="7" s="1"/>
  <c r="P1140" i="7"/>
  <c r="BE1140" i="7" s="1"/>
  <c r="P1142" i="7"/>
  <c r="BE1142" i="7" s="1"/>
  <c r="AA473" i="15"/>
  <c r="I466" i="15"/>
  <c r="AN466" i="15" s="1"/>
  <c r="BD13" i="7"/>
  <c r="AE326" i="15" s="1"/>
  <c r="AC326" i="15" s="1"/>
  <c r="F64" i="7"/>
  <c r="K64" i="7" s="1"/>
  <c r="O340" i="15" s="1"/>
  <c r="W340" i="15" s="1"/>
  <c r="F602" i="7"/>
  <c r="BD684" i="7"/>
  <c r="AE402" i="15" s="1"/>
  <c r="I689" i="7"/>
  <c r="R404" i="15" s="1"/>
  <c r="I692" i="7"/>
  <c r="Q406" i="15" s="1"/>
  <c r="I695" i="7"/>
  <c r="R407" i="15" s="1"/>
  <c r="BD922" i="7"/>
  <c r="AE433" i="15" s="1"/>
  <c r="BD928" i="7"/>
  <c r="AE436" i="15" s="1"/>
  <c r="BD932" i="7"/>
  <c r="AE438" i="15" s="1"/>
  <c r="BD934" i="7"/>
  <c r="AE439" i="15" s="1"/>
  <c r="Q1133" i="7"/>
  <c r="P1136" i="7"/>
  <c r="BE1136" i="7" s="1"/>
  <c r="Q1139" i="7"/>
  <c r="Q1140" i="7"/>
  <c r="P1144" i="7"/>
  <c r="BD12" i="7"/>
  <c r="F130" i="7"/>
  <c r="K130" i="7" s="1"/>
  <c r="O350" i="15" s="1"/>
  <c r="W350" i="15" s="1"/>
  <c r="F601" i="7"/>
  <c r="BD601" i="7" s="1"/>
  <c r="AE393" i="15" s="1"/>
  <c r="AC393" i="15" s="1"/>
  <c r="I677" i="7"/>
  <c r="R398" i="15" s="1"/>
  <c r="I680" i="7"/>
  <c r="Q400" i="15" s="1"/>
  <c r="I683" i="7"/>
  <c r="R401" i="15" s="1"/>
  <c r="I686" i="7"/>
  <c r="Q403" i="15" s="1"/>
  <c r="BD689" i="7"/>
  <c r="AF404" i="15" s="1"/>
  <c r="BD695" i="7"/>
  <c r="AF407" i="15" s="1"/>
  <c r="BD697" i="7"/>
  <c r="P1143" i="7"/>
  <c r="BE1143" i="7" s="1"/>
  <c r="Q1144" i="7"/>
  <c r="I1259" i="7"/>
  <c r="O470" i="15" s="1"/>
  <c r="V470" i="15" s="1"/>
  <c r="X378" i="15"/>
  <c r="Z378" i="15" s="1"/>
  <c r="Q1135" i="7"/>
  <c r="P1137" i="7"/>
  <c r="BE1137" i="7" s="1"/>
  <c r="BD10" i="3"/>
  <c r="AE12" i="15" s="1"/>
  <c r="AC12" i="15" s="1"/>
  <c r="X14" i="15"/>
  <c r="Z14" i="15" s="1"/>
  <c r="I33" i="15"/>
  <c r="AN33" i="15" s="1"/>
  <c r="X64" i="15"/>
  <c r="Z64" i="15" s="1"/>
  <c r="V51" i="16"/>
  <c r="D249" i="16"/>
  <c r="V249" i="16"/>
  <c r="T207" i="15"/>
  <c r="T217" i="15"/>
  <c r="I1192" i="6"/>
  <c r="Q186" i="15" s="1"/>
  <c r="L189" i="15"/>
  <c r="I1201" i="6"/>
  <c r="R190" i="15" s="1"/>
  <c r="I1202" i="6"/>
  <c r="Q191" i="15" s="1"/>
  <c r="R232" i="15"/>
  <c r="R237" i="15"/>
  <c r="Q1805" i="6"/>
  <c r="X3867" i="6" s="1"/>
  <c r="Y281" i="15"/>
  <c r="X187" i="15"/>
  <c r="Z187" i="15" s="1"/>
  <c r="J1195" i="6"/>
  <c r="BC1195" i="6" s="1"/>
  <c r="BD1195" i="6" s="1"/>
  <c r="AF187" i="15" s="1"/>
  <c r="F1287" i="6"/>
  <c r="F1281" i="6"/>
  <c r="X199" i="15"/>
  <c r="Z199" i="15" s="1"/>
  <c r="BD1419" i="6"/>
  <c r="AG272" i="15"/>
  <c r="Y272" i="15"/>
  <c r="Y284" i="15"/>
  <c r="Z284" i="15" s="1"/>
  <c r="AG284" i="15"/>
  <c r="A1771" i="6"/>
  <c r="C315" i="15"/>
  <c r="AM315" i="15" s="1"/>
  <c r="AE219" i="15"/>
  <c r="AE276" i="15"/>
  <c r="AC276" i="15" s="1"/>
  <c r="AF218" i="15"/>
  <c r="W1251" i="6"/>
  <c r="F1251" i="6"/>
  <c r="L1196" i="6"/>
  <c r="AJ188" i="15" s="1"/>
  <c r="AG280" i="15"/>
  <c r="Y273" i="15"/>
  <c r="X276" i="15"/>
  <c r="Z276" i="15" s="1"/>
  <c r="F220" i="6"/>
  <c r="F292" i="6" s="1"/>
  <c r="F364" i="6" s="1"/>
  <c r="F436" i="6" s="1"/>
  <c r="F508" i="6" s="1"/>
  <c r="F580" i="6" s="1"/>
  <c r="F653" i="6" s="1"/>
  <c r="F725" i="6" s="1"/>
  <c r="BD1197" i="6"/>
  <c r="AF188" i="15" s="1"/>
  <c r="J834" i="6"/>
  <c r="BC834" i="6" s="1"/>
  <c r="Y184" i="15"/>
  <c r="BC831" i="6"/>
  <c r="K836" i="6"/>
  <c r="BE836" i="6" s="1"/>
  <c r="K188" i="15"/>
  <c r="I188" i="15" s="1"/>
  <c r="I1196" i="6"/>
  <c r="Q188" i="15" s="1"/>
  <c r="BD1415" i="6"/>
  <c r="AE198" i="15" s="1"/>
  <c r="AC198" i="15" s="1"/>
  <c r="E208" i="15"/>
  <c r="X209" i="15"/>
  <c r="Z209" i="15" s="1"/>
  <c r="S217" i="15"/>
  <c r="X270" i="15"/>
  <c r="AE270" i="15"/>
  <c r="AC270" i="15" s="1"/>
  <c r="AF273" i="15"/>
  <c r="AF272" i="15"/>
  <c r="F1245" i="6"/>
  <c r="F1263" i="6"/>
  <c r="X219" i="15"/>
  <c r="Z219" i="15" s="1"/>
  <c r="X182" i="15"/>
  <c r="Z182" i="15" s="1"/>
  <c r="BC825" i="6"/>
  <c r="J827" i="6"/>
  <c r="BC827" i="6" s="1"/>
  <c r="G183" i="15"/>
  <c r="F1111" i="6"/>
  <c r="F875" i="6"/>
  <c r="F896" i="6" s="1"/>
  <c r="F917" i="6" s="1"/>
  <c r="F938" i="6" s="1"/>
  <c r="F959" i="6" s="1"/>
  <c r="F980" i="6" s="1"/>
  <c r="F1001" i="6" s="1"/>
  <c r="F1022" i="6" s="1"/>
  <c r="F1043" i="6" s="1"/>
  <c r="F1064" i="6" s="1"/>
  <c r="X207" i="15"/>
  <c r="Z207" i="15" s="1"/>
  <c r="X253" i="15"/>
  <c r="Z253" i="15" s="1"/>
  <c r="AE253" i="15"/>
  <c r="AC253" i="15" s="1"/>
  <c r="Y255" i="15"/>
  <c r="AG255" i="15"/>
  <c r="X268" i="15"/>
  <c r="AE268" i="15"/>
  <c r="R304" i="15"/>
  <c r="Y308" i="15"/>
  <c r="Z308" i="15" s="1"/>
  <c r="G311" i="15"/>
  <c r="AB231" i="15"/>
  <c r="AB232" i="15"/>
  <c r="F1233" i="6"/>
  <c r="Q213" i="15"/>
  <c r="BC144" i="6"/>
  <c r="BD144" i="6" s="1"/>
  <c r="AE133" i="15" s="1"/>
  <c r="AC133" i="15" s="1"/>
  <c r="X133" i="15"/>
  <c r="Z133" i="15" s="1"/>
  <c r="Y137" i="15"/>
  <c r="Z137" i="15" s="1"/>
  <c r="BC150" i="6"/>
  <c r="BD150" i="6" s="1"/>
  <c r="AG137" i="15" s="1"/>
  <c r="AD137" i="15" s="1"/>
  <c r="X174" i="15"/>
  <c r="Z174" i="15" s="1"/>
  <c r="J808" i="6"/>
  <c r="AB205" i="15"/>
  <c r="Q219" i="15"/>
  <c r="Q221" i="15"/>
  <c r="F226" i="15"/>
  <c r="X242" i="15"/>
  <c r="Z242" i="15" s="1"/>
  <c r="S280" i="15"/>
  <c r="X294" i="15"/>
  <c r="AE294" i="15"/>
  <c r="AF301" i="15"/>
  <c r="AF300" i="15"/>
  <c r="D315" i="15"/>
  <c r="BC1772" i="6"/>
  <c r="BC1776" i="6"/>
  <c r="BC1774" i="6"/>
  <c r="R1809" i="6"/>
  <c r="F1759" i="6"/>
  <c r="BD1198" i="6"/>
  <c r="AE189" i="15" s="1"/>
  <c r="F1479" i="6"/>
  <c r="BD1479" i="6" s="1"/>
  <c r="F1511" i="6"/>
  <c r="F1555" i="6"/>
  <c r="I1555" i="6" s="1"/>
  <c r="F1757" i="6"/>
  <c r="F1767" i="6"/>
  <c r="F1446" i="6"/>
  <c r="F1445" i="6"/>
  <c r="F1483" i="6"/>
  <c r="BD1483" i="6" s="1"/>
  <c r="F1627" i="6"/>
  <c r="BD1627" i="6" s="1"/>
  <c r="F1691" i="6"/>
  <c r="BD1691" i="6" s="1"/>
  <c r="F1721" i="6"/>
  <c r="BD1721" i="6" s="1"/>
  <c r="BD142" i="6"/>
  <c r="AE132" i="15" s="1"/>
  <c r="AC132" i="15" s="1"/>
  <c r="A1512" i="6"/>
  <c r="A1768" i="6"/>
  <c r="A1772" i="6"/>
  <c r="F1499" i="6"/>
  <c r="BD1499" i="6" s="1"/>
  <c r="F1625" i="6"/>
  <c r="BD1625" i="6" s="1"/>
  <c r="F1689" i="6"/>
  <c r="F1719" i="6"/>
  <c r="F1763" i="6"/>
  <c r="F1779" i="6"/>
  <c r="AF268" i="15"/>
  <c r="S272" i="15"/>
  <c r="R278" i="15"/>
  <c r="AG278" i="15"/>
  <c r="AD278" i="15" s="1"/>
  <c r="S292" i="15"/>
  <c r="AF294" i="15"/>
  <c r="S294" i="15"/>
  <c r="AH294" i="15"/>
  <c r="AE295" i="15"/>
  <c r="AC295" i="15" s="1"/>
  <c r="Q204" i="15"/>
  <c r="AF206" i="15"/>
  <c r="R209" i="15"/>
  <c r="R261" i="15"/>
  <c r="AF267" i="15"/>
  <c r="AH268" i="15"/>
  <c r="AD268" i="15" s="1"/>
  <c r="T300" i="15"/>
  <c r="AF241" i="15"/>
  <c r="T246" i="15"/>
  <c r="P246" i="15" s="1"/>
  <c r="W246" i="15" s="1"/>
  <c r="R295" i="15"/>
  <c r="R296" i="15"/>
  <c r="R314" i="15"/>
  <c r="AG294" i="15"/>
  <c r="Q231" i="15"/>
  <c r="Q253" i="15"/>
  <c r="O253" i="15" s="1"/>
  <c r="Q261" i="15"/>
  <c r="Q268" i="15"/>
  <c r="O268" i="15" s="1"/>
  <c r="Q295" i="15"/>
  <c r="Q296" i="15"/>
  <c r="S286" i="15"/>
  <c r="S302" i="15"/>
  <c r="Q303" i="15"/>
  <c r="Q241" i="15"/>
  <c r="Q246" i="15"/>
  <c r="O246" i="15" s="1"/>
  <c r="Q248" i="15"/>
  <c r="O248" i="15" s="1"/>
  <c r="W248" i="15" s="1"/>
  <c r="Q270" i="15"/>
  <c r="O270" i="15" s="1"/>
  <c r="Q286" i="15"/>
  <c r="O286" i="15" s="1"/>
  <c r="Q236" i="15"/>
  <c r="Q264" i="15"/>
  <c r="O264" i="15" s="1"/>
  <c r="AH292" i="15"/>
  <c r="AF232" i="15"/>
  <c r="AF288" i="15"/>
  <c r="R294" i="15"/>
  <c r="O294" i="15" s="1"/>
  <c r="T294" i="15"/>
  <c r="R303" i="15"/>
  <c r="AF278" i="15"/>
  <c r="AC278" i="15" s="1"/>
  <c r="R312" i="15"/>
  <c r="R260" i="15"/>
  <c r="R265" i="15"/>
  <c r="R266" i="15"/>
  <c r="T286" i="15"/>
  <c r="R302" i="15"/>
  <c r="O302" i="15" s="1"/>
  <c r="T302" i="15"/>
  <c r="R292" i="15"/>
  <c r="O292" i="15" s="1"/>
  <c r="L273" i="15"/>
  <c r="AF229" i="15"/>
  <c r="L278" i="15"/>
  <c r="I278" i="15" s="1"/>
  <c r="L218" i="15"/>
  <c r="AF312" i="15"/>
  <c r="R199" i="15"/>
  <c r="N256" i="15"/>
  <c r="L315" i="15"/>
  <c r="N277" i="15"/>
  <c r="AF310" i="15"/>
  <c r="AF219" i="15"/>
  <c r="R231" i="15"/>
  <c r="R267" i="15"/>
  <c r="T268" i="15"/>
  <c r="R269" i="15"/>
  <c r="O269" i="15" s="1"/>
  <c r="W269" i="15" s="1"/>
  <c r="R241" i="15"/>
  <c r="T253" i="15"/>
  <c r="P253" i="15" s="1"/>
  <c r="W253" i="15" s="1"/>
  <c r="AF259" i="15"/>
  <c r="AF255" i="15"/>
  <c r="AC255" i="15" s="1"/>
  <c r="AF231" i="15"/>
  <c r="AF246" i="15"/>
  <c r="AC246" i="15" s="1"/>
  <c r="AF248" i="15"/>
  <c r="AF269" i="15"/>
  <c r="T270" i="15"/>
  <c r="P270" i="15" s="1"/>
  <c r="W270" i="15" s="1"/>
  <c r="AB139" i="15"/>
  <c r="AB213" i="15"/>
  <c r="Q199" i="15"/>
  <c r="R201" i="15"/>
  <c r="A1528" i="6"/>
  <c r="Q278" i="15"/>
  <c r="S278" i="15"/>
  <c r="P278" i="15" s="1"/>
  <c r="W278" i="15" s="1"/>
  <c r="F804" i="6"/>
  <c r="I804" i="6" s="1"/>
  <c r="S172" i="15" s="1"/>
  <c r="P172" i="15" s="1"/>
  <c r="W172" i="15" s="1"/>
  <c r="I1197" i="6"/>
  <c r="R188" i="15" s="1"/>
  <c r="I1198" i="6"/>
  <c r="Q189" i="15" s="1"/>
  <c r="I1200" i="6"/>
  <c r="Q190" i="15" s="1"/>
  <c r="A1484" i="6"/>
  <c r="AJ210" i="15"/>
  <c r="I1407" i="6"/>
  <c r="Q196" i="15" s="1"/>
  <c r="O196" i="15" s="1"/>
  <c r="Q202" i="15"/>
  <c r="R205" i="15"/>
  <c r="R206" i="15"/>
  <c r="C210" i="15"/>
  <c r="AM210" i="15" s="1"/>
  <c r="AJ220" i="15"/>
  <c r="C220" i="15"/>
  <c r="AM220" i="15" s="1"/>
  <c r="A1488" i="6"/>
  <c r="R236" i="15"/>
  <c r="R259" i="15"/>
  <c r="O259" i="15" s="1"/>
  <c r="W259" i="15" s="1"/>
  <c r="Q265" i="15"/>
  <c r="Q266" i="15"/>
  <c r="T266" i="15"/>
  <c r="P266" i="15" s="1"/>
  <c r="W266" i="15" s="1"/>
  <c r="Q267" i="15"/>
  <c r="S268" i="15"/>
  <c r="C273" i="15"/>
  <c r="AM273" i="15" s="1"/>
  <c r="A1736" i="6"/>
  <c r="W133" i="15"/>
  <c r="O133" i="15"/>
  <c r="Q229" i="15"/>
  <c r="T225" i="15"/>
  <c r="X126" i="15"/>
  <c r="X143" i="15"/>
  <c r="T280" i="15"/>
  <c r="R242" i="15"/>
  <c r="BC804" i="6"/>
  <c r="BC140" i="6"/>
  <c r="BD140" i="6" s="1"/>
  <c r="AE131" i="15" s="1"/>
  <c r="AC131" i="15" s="1"/>
  <c r="BC786" i="6"/>
  <c r="BD786" i="6" s="1"/>
  <c r="AE165" i="15" s="1"/>
  <c r="AC165" i="15" s="1"/>
  <c r="R213" i="15"/>
  <c r="Q276" i="15"/>
  <c r="X136" i="15"/>
  <c r="Z136" i="15" s="1"/>
  <c r="Y169" i="15"/>
  <c r="X129" i="15"/>
  <c r="Z129" i="15" s="1"/>
  <c r="Y120" i="15"/>
  <c r="S207" i="15"/>
  <c r="R276" i="15"/>
  <c r="Q249" i="15"/>
  <c r="S276" i="15"/>
  <c r="T276" i="15"/>
  <c r="BC119" i="6"/>
  <c r="BD119" i="6" s="1"/>
  <c r="AE117" i="15" s="1"/>
  <c r="AC117" i="15" s="1"/>
  <c r="AB122" i="15"/>
  <c r="X112" i="15"/>
  <c r="BB148" i="6"/>
  <c r="AA136" i="15" s="1"/>
  <c r="T255" i="15"/>
  <c r="Y135" i="15"/>
  <c r="Q225" i="15"/>
  <c r="I1300" i="6"/>
  <c r="S193" i="15" s="1"/>
  <c r="P193" i="15" s="1"/>
  <c r="W193" i="15" s="1"/>
  <c r="T296" i="15"/>
  <c r="Q209" i="15"/>
  <c r="R308" i="15"/>
  <c r="T292" i="15"/>
  <c r="R255" i="15"/>
  <c r="BC138" i="6"/>
  <c r="BD138" i="6" s="1"/>
  <c r="AG129" i="15" s="1"/>
  <c r="AD129" i="15" s="1"/>
  <c r="BC801" i="6"/>
  <c r="BD801" i="6" s="1"/>
  <c r="AG171" i="15" s="1"/>
  <c r="AD171" i="15" s="1"/>
  <c r="BC149" i="6"/>
  <c r="BD149" i="6" s="1"/>
  <c r="AE137" i="15" s="1"/>
  <c r="AC137" i="15" s="1"/>
  <c r="X132" i="15"/>
  <c r="BC13" i="6"/>
  <c r="Y165" i="15"/>
  <c r="Z165" i="15" s="1"/>
  <c r="Q308" i="15"/>
  <c r="S296" i="15"/>
  <c r="Q314" i="15"/>
  <c r="Q272" i="15"/>
  <c r="S209" i="15"/>
  <c r="X135" i="15"/>
  <c r="AB168" i="15"/>
  <c r="R207" i="15"/>
  <c r="S288" i="15"/>
  <c r="R318" i="15"/>
  <c r="Q300" i="15"/>
  <c r="R284" i="15"/>
  <c r="Q288" i="15"/>
  <c r="S300" i="15"/>
  <c r="T288" i="15"/>
  <c r="X120" i="15"/>
  <c r="BC10" i="6"/>
  <c r="BC130" i="6"/>
  <c r="BD130" i="6" s="1"/>
  <c r="AE124" i="15" s="1"/>
  <c r="AC124" i="15" s="1"/>
  <c r="H10" i="6"/>
  <c r="BC182" i="6"/>
  <c r="BD182" i="6" s="1"/>
  <c r="AE159" i="15" s="1"/>
  <c r="AC159" i="15" s="1"/>
  <c r="Y147" i="15"/>
  <c r="Z147" i="15" s="1"/>
  <c r="Y156" i="15"/>
  <c r="Z156" i="15" s="1"/>
  <c r="AE192" i="15"/>
  <c r="AC192" i="15" s="1"/>
  <c r="BB1296" i="6"/>
  <c r="AA192" i="15" s="1"/>
  <c r="BB1306" i="6"/>
  <c r="AA195" i="15" s="1"/>
  <c r="Q310" i="15"/>
  <c r="Q255" i="15"/>
  <c r="X151" i="15"/>
  <c r="Z151" i="15" s="1"/>
  <c r="Y1086" i="6"/>
  <c r="R280" i="15"/>
  <c r="Q207" i="15"/>
  <c r="X1249" i="6"/>
  <c r="T209" i="15"/>
  <c r="T284" i="15"/>
  <c r="R229" i="15"/>
  <c r="Q237" i="15"/>
  <c r="R310" i="15"/>
  <c r="Y172" i="15"/>
  <c r="BC18" i="6"/>
  <c r="X169" i="15"/>
  <c r="BC797" i="6"/>
  <c r="BD797" i="6" s="1"/>
  <c r="X139" i="15"/>
  <c r="Z139" i="15" s="1"/>
  <c r="F807" i="6"/>
  <c r="K174" i="15" s="1"/>
  <c r="I174" i="15" s="1"/>
  <c r="AN174" i="15" s="1"/>
  <c r="AN193" i="15"/>
  <c r="Y173" i="15"/>
  <c r="X737" i="6"/>
  <c r="R221" i="15"/>
  <c r="T272" i="15"/>
  <c r="R225" i="15"/>
  <c r="R217" i="15"/>
  <c r="BC139" i="6"/>
  <c r="BD139" i="6" s="1"/>
  <c r="AE130" i="15" s="1"/>
  <c r="AC130" i="15" s="1"/>
  <c r="X117" i="15"/>
  <c r="BC16" i="6"/>
  <c r="X161" i="15"/>
  <c r="Z161" i="15" s="1"/>
  <c r="J1169" i="6"/>
  <c r="K803" i="6" s="1"/>
  <c r="BE803" i="6" s="1"/>
  <c r="O862" i="6"/>
  <c r="J1165" i="6"/>
  <c r="K799" i="6" s="1"/>
  <c r="BE799" i="6" s="1"/>
  <c r="O863" i="6"/>
  <c r="J1159" i="6"/>
  <c r="K793" i="6" s="1"/>
  <c r="BE793" i="6" s="1"/>
  <c r="J1182" i="6"/>
  <c r="O861" i="6"/>
  <c r="J1176" i="6"/>
  <c r="J1152" i="6"/>
  <c r="K786" i="6" s="1"/>
  <c r="BE786" i="6" s="1"/>
  <c r="AN261" i="15"/>
  <c r="AN242" i="15"/>
  <c r="BC176" i="6"/>
  <c r="BD176" i="6" s="1"/>
  <c r="X142" i="15"/>
  <c r="Z142" i="15" s="1"/>
  <c r="F809" i="6"/>
  <c r="BC829" i="6"/>
  <c r="BC817" i="6"/>
  <c r="K806" i="6"/>
  <c r="BE806" i="6" s="1"/>
  <c r="BC814" i="6"/>
  <c r="X184" i="15"/>
  <c r="F813" i="6"/>
  <c r="F810" i="6"/>
  <c r="BD810" i="6" s="1"/>
  <c r="AF176" i="15" s="1"/>
  <c r="X185" i="15"/>
  <c r="Z185" i="15" s="1"/>
  <c r="K823" i="6"/>
  <c r="BE823" i="6" s="1"/>
  <c r="J821" i="6"/>
  <c r="BC835" i="6"/>
  <c r="X166" i="15"/>
  <c r="Z166" i="15" s="1"/>
  <c r="AB170" i="15"/>
  <c r="AB167" i="15"/>
  <c r="AN172" i="15"/>
  <c r="AO172" i="15" s="1"/>
  <c r="AN270" i="15"/>
  <c r="AN219" i="15"/>
  <c r="AN280" i="15"/>
  <c r="P169" i="15"/>
  <c r="W169" i="15" s="1"/>
  <c r="BC12" i="6"/>
  <c r="AD169" i="15"/>
  <c r="BD136" i="6"/>
  <c r="AE128" i="15" s="1"/>
  <c r="AC128" i="15" s="1"/>
  <c r="I142" i="6"/>
  <c r="Q132" i="15" s="1"/>
  <c r="O132" i="15" s="1"/>
  <c r="Y138" i="15"/>
  <c r="BC123" i="6"/>
  <c r="BD123" i="6" s="1"/>
  <c r="AG119" i="15" s="1"/>
  <c r="AD119" i="15" s="1"/>
  <c r="J751" i="6"/>
  <c r="K162" i="6" s="1"/>
  <c r="BE162" i="6" s="1"/>
  <c r="Y149" i="15"/>
  <c r="AB140" i="15"/>
  <c r="AB118" i="15"/>
  <c r="X127" i="15"/>
  <c r="Z127" i="15" s="1"/>
  <c r="R208" i="6"/>
  <c r="X141" i="15"/>
  <c r="I187" i="6"/>
  <c r="Q162" i="15" s="1"/>
  <c r="O162" i="15" s="1"/>
  <c r="W163" i="15"/>
  <c r="K750" i="6"/>
  <c r="H16" i="6"/>
  <c r="M7" i="6"/>
  <c r="O109" i="15" s="1"/>
  <c r="W109" i="15" s="1"/>
  <c r="I109" i="15"/>
  <c r="AN109" i="15" s="1"/>
  <c r="K813" i="6"/>
  <c r="BE813" i="6" s="1"/>
  <c r="J1089" i="6"/>
  <c r="F814" i="6" s="1"/>
  <c r="AB128" i="15"/>
  <c r="K134" i="15"/>
  <c r="I134" i="15" s="1"/>
  <c r="AN134" i="15" s="1"/>
  <c r="BD145" i="6"/>
  <c r="AE134" i="15" s="1"/>
  <c r="AC134" i="15" s="1"/>
  <c r="M138" i="15"/>
  <c r="J138" i="15" s="1"/>
  <c r="I152" i="6"/>
  <c r="S138" i="15" s="1"/>
  <c r="P138" i="15" s="1"/>
  <c r="W138" i="15" s="1"/>
  <c r="I111" i="6"/>
  <c r="O17" i="6" s="1"/>
  <c r="BE17" i="6" s="1"/>
  <c r="Z111" i="6"/>
  <c r="Z105" i="6"/>
  <c r="AA109" i="6"/>
  <c r="AA103" i="6"/>
  <c r="Z109" i="6"/>
  <c r="Z103" i="6"/>
  <c r="AA111" i="6"/>
  <c r="AA105" i="6"/>
  <c r="Y665" i="7"/>
  <c r="BD127" i="6"/>
  <c r="K122" i="15"/>
  <c r="I122" i="15" s="1"/>
  <c r="AN122" i="15" s="1"/>
  <c r="I127" i="6"/>
  <c r="Q122" i="15" s="1"/>
  <c r="W122" i="15" s="1"/>
  <c r="M126" i="15"/>
  <c r="J126" i="15" s="1"/>
  <c r="I134" i="6"/>
  <c r="S126" i="15" s="1"/>
  <c r="P126" i="15" s="1"/>
  <c r="W126" i="15" s="1"/>
  <c r="K128" i="15"/>
  <c r="I128" i="15" s="1"/>
  <c r="AN128" i="15" s="1"/>
  <c r="I136" i="6"/>
  <c r="Q128" i="15" s="1"/>
  <c r="K140" i="15"/>
  <c r="I140" i="15" s="1"/>
  <c r="AN140" i="15" s="1"/>
  <c r="I154" i="6"/>
  <c r="Q140" i="15" s="1"/>
  <c r="W140" i="15" s="1"/>
  <c r="BD154" i="6"/>
  <c r="AB124" i="15"/>
  <c r="K126" i="15"/>
  <c r="I126" i="15" s="1"/>
  <c r="AN126" i="15" s="1"/>
  <c r="I133" i="6"/>
  <c r="Q126" i="15" s="1"/>
  <c r="O126" i="15" s="1"/>
  <c r="L196" i="15"/>
  <c r="M131" i="15"/>
  <c r="J131" i="15" s="1"/>
  <c r="K138" i="15"/>
  <c r="I138" i="15" s="1"/>
  <c r="AN138" i="15" s="1"/>
  <c r="K169" i="15"/>
  <c r="AN169" i="15" s="1"/>
  <c r="K170" i="15"/>
  <c r="AN170" i="15" s="1"/>
  <c r="K186" i="15"/>
  <c r="AN186" i="15" s="1"/>
  <c r="L209" i="15"/>
  <c r="L232" i="15"/>
  <c r="M246" i="15"/>
  <c r="M253" i="15"/>
  <c r="J253" i="15" s="1"/>
  <c r="L264" i="15"/>
  <c r="L268" i="15"/>
  <c r="K269" i="15"/>
  <c r="L272" i="15"/>
  <c r="I272" i="15" s="1"/>
  <c r="A1674" i="6"/>
  <c r="C1675" i="6"/>
  <c r="K288" i="15"/>
  <c r="AN288" i="15" s="1"/>
  <c r="K314" i="15"/>
  <c r="AN314" i="15" s="1"/>
  <c r="R315" i="15"/>
  <c r="AJ314" i="15"/>
  <c r="AJ315" i="15"/>
  <c r="K142" i="15"/>
  <c r="I142" i="15" s="1"/>
  <c r="BC159" i="6"/>
  <c r="BD159" i="6" s="1"/>
  <c r="Y143" i="15"/>
  <c r="K145" i="15"/>
  <c r="I145" i="15" s="1"/>
  <c r="M149" i="15"/>
  <c r="J149" i="15" s="1"/>
  <c r="I168" i="6"/>
  <c r="S149" i="15" s="1"/>
  <c r="P149" i="15" s="1"/>
  <c r="W149" i="15" s="1"/>
  <c r="M161" i="15"/>
  <c r="J161" i="15" s="1"/>
  <c r="I186" i="6"/>
  <c r="S161" i="15" s="1"/>
  <c r="P161" i="15" s="1"/>
  <c r="W161" i="15" s="1"/>
  <c r="G144" i="15"/>
  <c r="F244" i="6"/>
  <c r="F316" i="6" s="1"/>
  <c r="F388" i="6" s="1"/>
  <c r="F460" i="6" s="1"/>
  <c r="F532" i="6" s="1"/>
  <c r="F604" i="6" s="1"/>
  <c r="F677" i="6" s="1"/>
  <c r="F749" i="6" s="1"/>
  <c r="F271" i="6"/>
  <c r="F343" i="6" s="1"/>
  <c r="F415" i="6" s="1"/>
  <c r="F487" i="6" s="1"/>
  <c r="F559" i="6" s="1"/>
  <c r="F631" i="6" s="1"/>
  <c r="F704" i="6" s="1"/>
  <c r="F776" i="6" s="1"/>
  <c r="G162" i="15"/>
  <c r="K159" i="15"/>
  <c r="I159" i="15" s="1"/>
  <c r="O192" i="15"/>
  <c r="W192" i="15" s="1"/>
  <c r="I141" i="6"/>
  <c r="S131" i="15" s="1"/>
  <c r="P131" i="15" s="1"/>
  <c r="W131" i="15" s="1"/>
  <c r="I153" i="6"/>
  <c r="Q139" i="15" s="1"/>
  <c r="L126" i="6"/>
  <c r="AJ121" i="15" s="1"/>
  <c r="M196" i="15"/>
  <c r="X116" i="15"/>
  <c r="Z116" i="15" s="1"/>
  <c r="Y125" i="15"/>
  <c r="X138" i="15"/>
  <c r="M123" i="15"/>
  <c r="J123" i="15" s="1"/>
  <c r="K129" i="15"/>
  <c r="I129" i="15" s="1"/>
  <c r="AN129" i="15" s="1"/>
  <c r="AO129" i="15" s="1"/>
  <c r="M129" i="15"/>
  <c r="J129" i="15" s="1"/>
  <c r="K199" i="15"/>
  <c r="AN199" i="15" s="1"/>
  <c r="M117" i="15"/>
  <c r="J117" i="15" s="1"/>
  <c r="K130" i="15"/>
  <c r="I130" i="15" s="1"/>
  <c r="AN130" i="15" s="1"/>
  <c r="L201" i="15"/>
  <c r="N196" i="15"/>
  <c r="BD7" i="6"/>
  <c r="AE109" i="15" s="1"/>
  <c r="AC109" i="15" s="1"/>
  <c r="M119" i="15"/>
  <c r="J119" i="15" s="1"/>
  <c r="K733" i="6"/>
  <c r="M169" i="15"/>
  <c r="J169" i="15" s="1"/>
  <c r="L171" i="15"/>
  <c r="L190" i="15"/>
  <c r="K191" i="15"/>
  <c r="AN191" i="15" s="1"/>
  <c r="K204" i="15"/>
  <c r="AN204" i="15" s="1"/>
  <c r="L207" i="15"/>
  <c r="C208" i="15"/>
  <c r="AM208" i="15" s="1"/>
  <c r="A1445" i="6"/>
  <c r="K209" i="15"/>
  <c r="AN209" i="15" s="1"/>
  <c r="N217" i="15"/>
  <c r="A1487" i="6"/>
  <c r="C222" i="15"/>
  <c r="AM222" i="15" s="1"/>
  <c r="K232" i="15"/>
  <c r="AN232" i="15" s="1"/>
  <c r="L237" i="15"/>
  <c r="L267" i="15"/>
  <c r="A1641" i="6"/>
  <c r="C277" i="15"/>
  <c r="AM277" i="15" s="1"/>
  <c r="K753" i="6"/>
  <c r="L164" i="6"/>
  <c r="AJ147" i="15" s="1"/>
  <c r="K756" i="6"/>
  <c r="L167" i="6"/>
  <c r="AJ149" i="15" s="1"/>
  <c r="K762" i="6"/>
  <c r="L173" i="6"/>
  <c r="AJ153" i="15" s="1"/>
  <c r="L175" i="6"/>
  <c r="AJ154" i="15" s="1"/>
  <c r="K764" i="6"/>
  <c r="K767" i="6"/>
  <c r="L178" i="6"/>
  <c r="AJ156" i="15" s="1"/>
  <c r="K777" i="6"/>
  <c r="L188" i="6"/>
  <c r="L238" i="15"/>
  <c r="BD147" i="6"/>
  <c r="AG135" i="15" s="1"/>
  <c r="AD135" i="15" s="1"/>
  <c r="G122" i="15"/>
  <c r="X118" i="15"/>
  <c r="Z118" i="15" s="1"/>
  <c r="Y112" i="15"/>
  <c r="N202" i="15"/>
  <c r="K117" i="15"/>
  <c r="I117" i="15" s="1"/>
  <c r="AN117" i="15" s="1"/>
  <c r="AO117" i="15" s="1"/>
  <c r="K119" i="15"/>
  <c r="I119" i="15" s="1"/>
  <c r="AN119" i="15" s="1"/>
  <c r="M125" i="15"/>
  <c r="J125" i="15" s="1"/>
  <c r="K133" i="15"/>
  <c r="I133" i="15" s="1"/>
  <c r="AN133" i="15" s="1"/>
  <c r="M120" i="15"/>
  <c r="J120" i="15" s="1"/>
  <c r="K132" i="15"/>
  <c r="I132" i="15" s="1"/>
  <c r="AN132" i="15" s="1"/>
  <c r="K136" i="15"/>
  <c r="I136" i="15" s="1"/>
  <c r="AN136" i="15" s="1"/>
  <c r="L167" i="15"/>
  <c r="I167" i="15" s="1"/>
  <c r="K171" i="15"/>
  <c r="AN171" i="15" s="1"/>
  <c r="K189" i="15"/>
  <c r="AN189" i="15" s="1"/>
  <c r="K190" i="15"/>
  <c r="AN190" i="15" s="1"/>
  <c r="M194" i="15"/>
  <c r="J194" i="15" s="1"/>
  <c r="AF202" i="15"/>
  <c r="AC202" i="15" s="1"/>
  <c r="L206" i="15"/>
  <c r="K207" i="15"/>
  <c r="AN207" i="15" s="1"/>
  <c r="K221" i="15"/>
  <c r="AN221" i="15" s="1"/>
  <c r="L236" i="15"/>
  <c r="L241" i="15"/>
  <c r="K255" i="15"/>
  <c r="AN255" i="15" s="1"/>
  <c r="N266" i="15"/>
  <c r="N272" i="15"/>
  <c r="A1626" i="6"/>
  <c r="C1627" i="6"/>
  <c r="AJ280" i="15"/>
  <c r="AJ281" i="15"/>
  <c r="O167" i="15"/>
  <c r="W167" i="15" s="1"/>
  <c r="L143" i="6"/>
  <c r="BC128" i="6"/>
  <c r="BD128" i="6" s="1"/>
  <c r="AE123" i="15" s="1"/>
  <c r="AC123" i="15" s="1"/>
  <c r="Y117" i="15"/>
  <c r="BD793" i="6"/>
  <c r="BD153" i="6"/>
  <c r="K123" i="15"/>
  <c r="I123" i="15" s="1"/>
  <c r="AN123" i="15" s="1"/>
  <c r="AO123" i="15" s="1"/>
  <c r="L199" i="15"/>
  <c r="L1200" i="6"/>
  <c r="AJ190" i="15" s="1"/>
  <c r="I122" i="6"/>
  <c r="Q119" i="15" s="1"/>
  <c r="O119" i="15" s="1"/>
  <c r="K120" i="15"/>
  <c r="I120" i="15" s="1"/>
  <c r="AN120" i="15" s="1"/>
  <c r="AO120" i="15" s="1"/>
  <c r="I132" i="6"/>
  <c r="S125" i="15" s="1"/>
  <c r="P125" i="15" s="1"/>
  <c r="W125" i="15" s="1"/>
  <c r="K139" i="15"/>
  <c r="I139" i="15" s="1"/>
  <c r="AN139" i="15" s="1"/>
  <c r="K165" i="15"/>
  <c r="I165" i="15" s="1"/>
  <c r="AN165" i="15" s="1"/>
  <c r="AO165" i="15" s="1"/>
  <c r="K168" i="15"/>
  <c r="AN168" i="15" s="1"/>
  <c r="L168" i="15"/>
  <c r="L169" i="15"/>
  <c r="L170" i="15"/>
  <c r="K187" i="15"/>
  <c r="AN187" i="15" s="1"/>
  <c r="L187" i="15"/>
  <c r="L193" i="15"/>
  <c r="I193" i="15" s="1"/>
  <c r="M193" i="15"/>
  <c r="N193" i="15"/>
  <c r="C214" i="15"/>
  <c r="AM214" i="15" s="1"/>
  <c r="A1467" i="6"/>
  <c r="L219" i="15"/>
  <c r="I219" i="15" s="1"/>
  <c r="N225" i="15"/>
  <c r="K236" i="15"/>
  <c r="AN236" i="15" s="1"/>
  <c r="A1527" i="6"/>
  <c r="C238" i="15"/>
  <c r="AM238" i="15" s="1"/>
  <c r="K241" i="15"/>
  <c r="AN241" i="15" s="1"/>
  <c r="K774" i="6"/>
  <c r="C1447" i="6"/>
  <c r="A1446" i="6"/>
  <c r="L213" i="15"/>
  <c r="A1468" i="6"/>
  <c r="K217" i="15"/>
  <c r="AN217" i="15" s="1"/>
  <c r="C218" i="15"/>
  <c r="AM218" i="15" s="1"/>
  <c r="A1477" i="6"/>
  <c r="L225" i="15"/>
  <c r="I225" i="15" s="1"/>
  <c r="L229" i="15"/>
  <c r="I229" i="15" s="1"/>
  <c r="K237" i="15"/>
  <c r="C243" i="15"/>
  <c r="AM243" i="15" s="1"/>
  <c r="A1537" i="6"/>
  <c r="N246" i="15"/>
  <c r="C250" i="15"/>
  <c r="AM250" i="15" s="1"/>
  <c r="A1555" i="6"/>
  <c r="K264" i="15"/>
  <c r="AN264" i="15" s="1"/>
  <c r="N264" i="15"/>
  <c r="J264" i="15" s="1"/>
  <c r="K267" i="15"/>
  <c r="AN267" i="15" s="1"/>
  <c r="K268" i="15"/>
  <c r="AN268" i="15" s="1"/>
  <c r="L280" i="15"/>
  <c r="I280" i="15" s="1"/>
  <c r="C293" i="15"/>
  <c r="AM293" i="15" s="1"/>
  <c r="C309" i="15"/>
  <c r="AM309" i="15" s="1"/>
  <c r="A1757" i="6"/>
  <c r="AJ222" i="15"/>
  <c r="I179" i="6"/>
  <c r="S156" i="15" s="1"/>
  <c r="P156" i="15" s="1"/>
  <c r="W156" i="15" s="1"/>
  <c r="L179" i="6"/>
  <c r="K768" i="6"/>
  <c r="K775" i="6"/>
  <c r="L186" i="6"/>
  <c r="K778" i="6"/>
  <c r="L189" i="6"/>
  <c r="AJ163" i="15" s="1"/>
  <c r="M147" i="15"/>
  <c r="J147" i="15" s="1"/>
  <c r="I165" i="6"/>
  <c r="S147" i="15" s="1"/>
  <c r="P147" i="15" s="1"/>
  <c r="W147" i="15" s="1"/>
  <c r="M159" i="15"/>
  <c r="J159" i="15" s="1"/>
  <c r="I183" i="6"/>
  <c r="S159" i="15" s="1"/>
  <c r="P159" i="15" s="1"/>
  <c r="W159" i="15" s="1"/>
  <c r="K161" i="15"/>
  <c r="I161" i="15" s="1"/>
  <c r="L195" i="15"/>
  <c r="I195" i="15" s="1"/>
  <c r="N207" i="15"/>
  <c r="J207" i="15" s="1"/>
  <c r="M209" i="15"/>
  <c r="K213" i="15"/>
  <c r="M217" i="15"/>
  <c r="C1479" i="6"/>
  <c r="A1478" i="6"/>
  <c r="K222" i="15"/>
  <c r="C226" i="15"/>
  <c r="AM226" i="15" s="1"/>
  <c r="A1497" i="6"/>
  <c r="L231" i="15"/>
  <c r="C233" i="15"/>
  <c r="AM233" i="15" s="1"/>
  <c r="A1517" i="6"/>
  <c r="L242" i="15"/>
  <c r="I242" i="15" s="1"/>
  <c r="A1538" i="6"/>
  <c r="K246" i="15"/>
  <c r="AN246" i="15" s="1"/>
  <c r="A1556" i="6"/>
  <c r="C1575" i="6"/>
  <c r="A1574" i="6"/>
  <c r="L261" i="15"/>
  <c r="I261" i="15" s="1"/>
  <c r="L265" i="15"/>
  <c r="I265" i="15" s="1"/>
  <c r="L266" i="15"/>
  <c r="AH266" i="15"/>
  <c r="M272" i="15"/>
  <c r="C1659" i="6"/>
  <c r="A1658" i="6"/>
  <c r="M294" i="15"/>
  <c r="N294" i="15"/>
  <c r="L296" i="15"/>
  <c r="C1759" i="6"/>
  <c r="A1758" i="6"/>
  <c r="K318" i="15"/>
  <c r="AN318" i="15" s="1"/>
  <c r="I188" i="6"/>
  <c r="S162" i="15" s="1"/>
  <c r="P162" i="15" s="1"/>
  <c r="W162" i="15" s="1"/>
  <c r="K746" i="6"/>
  <c r="L157" i="6"/>
  <c r="AJ142" i="15" s="1"/>
  <c r="K147" i="15"/>
  <c r="I147" i="15" s="1"/>
  <c r="K151" i="15"/>
  <c r="I151" i="15" s="1"/>
  <c r="I171" i="6"/>
  <c r="Q151" i="15" s="1"/>
  <c r="O151" i="15" s="1"/>
  <c r="Z155" i="15"/>
  <c r="M141" i="15"/>
  <c r="J141" i="15" s="1"/>
  <c r="L186" i="15"/>
  <c r="BD1305" i="6"/>
  <c r="AH194" i="15" s="1"/>
  <c r="AD194" i="15" s="1"/>
  <c r="R202" i="15"/>
  <c r="N209" i="15"/>
  <c r="C1455" i="6"/>
  <c r="A1454" i="6"/>
  <c r="M225" i="15"/>
  <c r="C1499" i="6"/>
  <c r="A1498" i="6"/>
  <c r="C230" i="15"/>
  <c r="AM230" i="15" s="1"/>
  <c r="A1511" i="6"/>
  <c r="K231" i="15"/>
  <c r="AN231" i="15" s="1"/>
  <c r="A1518" i="6"/>
  <c r="K248" i="15"/>
  <c r="I248" i="15" s="1"/>
  <c r="L255" i="15"/>
  <c r="M255" i="15"/>
  <c r="J255" i="15" s="1"/>
  <c r="K266" i="15"/>
  <c r="AN266" i="15" s="1"/>
  <c r="M266" i="15"/>
  <c r="L286" i="15"/>
  <c r="I286" i="15" s="1"/>
  <c r="L288" i="15"/>
  <c r="A1690" i="6"/>
  <c r="C1691" i="6"/>
  <c r="M292" i="15"/>
  <c r="K296" i="15"/>
  <c r="AN296" i="15" s="1"/>
  <c r="M300" i="15"/>
  <c r="C305" i="15"/>
  <c r="AM305" i="15" s="1"/>
  <c r="A1747" i="6"/>
  <c r="K308" i="15"/>
  <c r="I308" i="15" s="1"/>
  <c r="C311" i="15"/>
  <c r="AM311" i="15" s="1"/>
  <c r="A1763" i="6"/>
  <c r="K312" i="15"/>
  <c r="AN312" i="15" s="1"/>
  <c r="AJ225" i="15"/>
  <c r="AJ226" i="15"/>
  <c r="K143" i="15"/>
  <c r="I143" i="15" s="1"/>
  <c r="I158" i="6"/>
  <c r="Q143" i="15" s="1"/>
  <c r="O143" i="15" s="1"/>
  <c r="BC170" i="6"/>
  <c r="BD170" i="6" s="1"/>
  <c r="Y150" i="15"/>
  <c r="Z150" i="15" s="1"/>
  <c r="M155" i="15"/>
  <c r="J155" i="15" s="1"/>
  <c r="I182" i="6"/>
  <c r="Q159" i="15" s="1"/>
  <c r="O159" i="15" s="1"/>
  <c r="N268" i="15"/>
  <c r="J268" i="15" s="1"/>
  <c r="L269" i="15"/>
  <c r="N270" i="15"/>
  <c r="J270" i="15" s="1"/>
  <c r="M276" i="15"/>
  <c r="N276" i="15"/>
  <c r="M278" i="15"/>
  <c r="M280" i="15"/>
  <c r="C281" i="15"/>
  <c r="AM281" i="15" s="1"/>
  <c r="K284" i="15"/>
  <c r="AN284" i="15" s="1"/>
  <c r="L284" i="15"/>
  <c r="C285" i="15"/>
  <c r="AM285" i="15" s="1"/>
  <c r="A1673" i="6"/>
  <c r="M286" i="15"/>
  <c r="N286" i="15"/>
  <c r="N288" i="15"/>
  <c r="J288" i="15" s="1"/>
  <c r="C289" i="15"/>
  <c r="AM289" i="15" s="1"/>
  <c r="A1689" i="6"/>
  <c r="C1707" i="6"/>
  <c r="A1706" i="6"/>
  <c r="K294" i="15"/>
  <c r="L294" i="15"/>
  <c r="K295" i="15"/>
  <c r="L295" i="15"/>
  <c r="N296" i="15"/>
  <c r="J296" i="15" s="1"/>
  <c r="C297" i="15"/>
  <c r="AM297" i="15" s="1"/>
  <c r="A1719" i="6"/>
  <c r="L300" i="15"/>
  <c r="N300" i="15"/>
  <c r="K302" i="15"/>
  <c r="L302" i="15"/>
  <c r="K304" i="15"/>
  <c r="AN304" i="15" s="1"/>
  <c r="L304" i="15"/>
  <c r="A1748" i="6"/>
  <c r="N308" i="15"/>
  <c r="J308" i="15" s="1"/>
  <c r="K310" i="15"/>
  <c r="AN310" i="15" s="1"/>
  <c r="A1764" i="6"/>
  <c r="L316" i="15"/>
  <c r="C317" i="15"/>
  <c r="AM317" i="15" s="1"/>
  <c r="A1775" i="6"/>
  <c r="C319" i="15"/>
  <c r="AM319" i="15" s="1"/>
  <c r="A1779" i="6"/>
  <c r="BD165" i="6"/>
  <c r="AG147" i="15" s="1"/>
  <c r="AD147" i="15" s="1"/>
  <c r="BD183" i="6"/>
  <c r="AG159" i="15" s="1"/>
  <c r="AD159" i="15" s="1"/>
  <c r="BD171" i="6"/>
  <c r="AE151" i="15" s="1"/>
  <c r="AC151" i="15" s="1"/>
  <c r="K162" i="15"/>
  <c r="I162" i="15" s="1"/>
  <c r="K141" i="15"/>
  <c r="I141" i="15" s="1"/>
  <c r="I162" i="6"/>
  <c r="Q145" i="15" s="1"/>
  <c r="M153" i="15"/>
  <c r="J153" i="15" s="1"/>
  <c r="I176" i="6"/>
  <c r="Q155" i="15" s="1"/>
  <c r="O155" i="15" s="1"/>
  <c r="BD185" i="6"/>
  <c r="AE161" i="15" s="1"/>
  <c r="AC161" i="15" s="1"/>
  <c r="K163" i="15"/>
  <c r="I163" i="15" s="1"/>
  <c r="C1643" i="6"/>
  <c r="A1642" i="6"/>
  <c r="N278" i="15"/>
  <c r="N280" i="15"/>
  <c r="M284" i="15"/>
  <c r="J284" i="15" s="1"/>
  <c r="N292" i="15"/>
  <c r="C1721" i="6"/>
  <c r="A1720" i="6"/>
  <c r="K300" i="15"/>
  <c r="AN300" i="15" s="1"/>
  <c r="C301" i="15"/>
  <c r="AM301" i="15" s="1"/>
  <c r="A1735" i="6"/>
  <c r="M302" i="15"/>
  <c r="N302" i="15"/>
  <c r="L310" i="15"/>
  <c r="C313" i="15"/>
  <c r="AM313" i="15" s="1"/>
  <c r="A1767" i="6"/>
  <c r="L314" i="15"/>
  <c r="K316" i="15"/>
  <c r="AN316" i="15" s="1"/>
  <c r="L318" i="15"/>
  <c r="A1780" i="6"/>
  <c r="N204" i="15"/>
  <c r="BD161" i="6"/>
  <c r="AG144" i="15" s="1"/>
  <c r="AD144" i="15" s="1"/>
  <c r="BD168" i="6"/>
  <c r="AG149" i="15" s="1"/>
  <c r="AD149" i="15" s="1"/>
  <c r="K144" i="15"/>
  <c r="I144" i="15" s="1"/>
  <c r="BD162" i="6"/>
  <c r="AE145" i="15" s="1"/>
  <c r="AC145" i="15" s="1"/>
  <c r="I174" i="6"/>
  <c r="S153" i="15" s="1"/>
  <c r="P153" i="15" s="1"/>
  <c r="W153" i="15" s="1"/>
  <c r="K154" i="15"/>
  <c r="I154" i="15" s="1"/>
  <c r="I569" i="15"/>
  <c r="AN569" i="15" s="1"/>
  <c r="J544" i="15"/>
  <c r="BD281" i="9"/>
  <c r="AE551" i="15" s="1"/>
  <c r="AC551" i="15" s="1"/>
  <c r="F13" i="9"/>
  <c r="J371" i="9"/>
  <c r="O562" i="15" s="1"/>
  <c r="V562" i="15" s="1"/>
  <c r="I570" i="15"/>
  <c r="AN570" i="15" s="1"/>
  <c r="I9" i="9"/>
  <c r="Q522" i="15" s="1"/>
  <c r="O522" i="15" s="1"/>
  <c r="U522" i="15" s="1"/>
  <c r="F10" i="9"/>
  <c r="I567" i="15"/>
  <c r="AN567" i="15" s="1"/>
  <c r="I568" i="15"/>
  <c r="AN568" i="15" s="1"/>
  <c r="F12" i="9"/>
  <c r="AC12" i="9" s="1"/>
  <c r="I564" i="15"/>
  <c r="AN564" i="15" s="1"/>
  <c r="I479" i="9"/>
  <c r="O569" i="15" s="1"/>
  <c r="V569" i="15" s="1"/>
  <c r="BC508" i="9"/>
  <c r="BC512" i="9"/>
  <c r="J582" i="15"/>
  <c r="BC262" i="5"/>
  <c r="M231" i="2"/>
  <c r="F217" i="2" s="1"/>
  <c r="V422" i="2"/>
  <c r="X109" i="15"/>
  <c r="Z109" i="15" s="1"/>
  <c r="X114" i="15"/>
  <c r="Z114" i="15" s="1"/>
  <c r="Q207" i="6"/>
  <c r="X111" i="15"/>
  <c r="Z111" i="15" s="1"/>
  <c r="E166" i="16"/>
  <c r="E249" i="16"/>
  <c r="I53" i="15"/>
  <c r="AN53" i="15" s="1"/>
  <c r="I229" i="16"/>
  <c r="O60" i="15" s="1"/>
  <c r="BD221" i="16"/>
  <c r="AE52" i="15" s="1"/>
  <c r="AC52" i="15" s="1"/>
  <c r="I227" i="16"/>
  <c r="O58" i="15" s="1"/>
  <c r="V58" i="15" s="1"/>
  <c r="BD224" i="16"/>
  <c r="AE55" i="15" s="1"/>
  <c r="AC55" i="15" s="1"/>
  <c r="BB225" i="16"/>
  <c r="AA56" i="15" s="1"/>
  <c r="I222" i="16"/>
  <c r="O53" i="15" s="1"/>
  <c r="V53" i="15" s="1"/>
  <c r="I221" i="16"/>
  <c r="O52" i="15" s="1"/>
  <c r="V52" i="15" s="1"/>
  <c r="I67" i="16"/>
  <c r="Q41" i="15" s="1"/>
  <c r="O41" i="15" s="1"/>
  <c r="I562" i="15"/>
  <c r="AN562" i="15" s="1"/>
  <c r="M282" i="9"/>
  <c r="O552" i="15" s="1"/>
  <c r="W552" i="15" s="1"/>
  <c r="BD280" i="9"/>
  <c r="AE550" i="15" s="1"/>
  <c r="AC550" i="15" s="1"/>
  <c r="X541" i="15"/>
  <c r="Z541" i="15" s="1"/>
  <c r="X525" i="15"/>
  <c r="Z525" i="15" s="1"/>
  <c r="O561" i="15"/>
  <c r="BC513" i="9"/>
  <c r="BD513" i="9" s="1"/>
  <c r="E614" i="9"/>
  <c r="E268" i="9"/>
  <c r="BD279" i="9"/>
  <c r="AE549" i="15" s="1"/>
  <c r="AC549" i="15" s="1"/>
  <c r="I549" i="15"/>
  <c r="AN549" i="15" s="1"/>
  <c r="M276" i="9"/>
  <c r="O546" i="15" s="1"/>
  <c r="W546" i="15" s="1"/>
  <c r="M279" i="9"/>
  <c r="O549" i="15" s="1"/>
  <c r="W549" i="15" s="1"/>
  <c r="I546" i="15"/>
  <c r="AN546" i="15" s="1"/>
  <c r="BB479" i="9"/>
  <c r="AA569" i="15" s="1"/>
  <c r="AB534" i="15"/>
  <c r="I77" i="9"/>
  <c r="F77" i="9" s="1"/>
  <c r="BD77" i="9" s="1"/>
  <c r="X539" i="15"/>
  <c r="Z539" i="15" s="1"/>
  <c r="X527" i="15"/>
  <c r="Z527" i="15" s="1"/>
  <c r="AB536" i="15"/>
  <c r="I547" i="15"/>
  <c r="AN547" i="15" s="1"/>
  <c r="BB291" i="9"/>
  <c r="AA561" i="15" s="1"/>
  <c r="M281" i="9"/>
  <c r="O551" i="15" s="1"/>
  <c r="W551" i="15" s="1"/>
  <c r="I551" i="15"/>
  <c r="AN551" i="15" s="1"/>
  <c r="C573" i="15"/>
  <c r="AM573" i="15" s="1"/>
  <c r="I558" i="15"/>
  <c r="AN558" i="15" s="1"/>
  <c r="AO558" i="15" s="1"/>
  <c r="I74" i="9"/>
  <c r="F74" i="9" s="1"/>
  <c r="W558" i="15"/>
  <c r="BD277" i="9"/>
  <c r="M287" i="9"/>
  <c r="O557" i="15" s="1"/>
  <c r="W557" i="15" s="1"/>
  <c r="I550" i="15"/>
  <c r="AN550" i="15" s="1"/>
  <c r="M277" i="9"/>
  <c r="O547" i="15" s="1"/>
  <c r="W547" i="15" s="1"/>
  <c r="BD276" i="9"/>
  <c r="AE558" i="15"/>
  <c r="AC558" i="15" s="1"/>
  <c r="I75" i="9"/>
  <c r="F75" i="9" s="1"/>
  <c r="I533" i="15" s="1"/>
  <c r="AN533" i="15" s="1"/>
  <c r="AB539" i="15"/>
  <c r="I76" i="9"/>
  <c r="F76" i="9" s="1"/>
  <c r="I534" i="15" s="1"/>
  <c r="AN534" i="15" s="1"/>
  <c r="F82" i="9"/>
  <c r="BD82" i="9" s="1"/>
  <c r="BB82" i="9" s="1"/>
  <c r="AA540" i="15" s="1"/>
  <c r="AB533" i="15"/>
  <c r="I81" i="9"/>
  <c r="F81" i="9" s="1"/>
  <c r="I83" i="9"/>
  <c r="F83" i="9" s="1"/>
  <c r="I78" i="9"/>
  <c r="F78" i="9" s="1"/>
  <c r="I536" i="15" s="1"/>
  <c r="AN536" i="15" s="1"/>
  <c r="I79" i="9"/>
  <c r="F79" i="9" s="1"/>
  <c r="AB541" i="15"/>
  <c r="I80" i="9"/>
  <c r="F80" i="9" s="1"/>
  <c r="BB1346" i="7"/>
  <c r="AA494" i="15" s="1"/>
  <c r="F63" i="7"/>
  <c r="I339" i="15" s="1"/>
  <c r="AN339" i="15" s="1"/>
  <c r="BC17" i="7"/>
  <c r="BD598" i="7"/>
  <c r="AE391" i="15" s="1"/>
  <c r="AC391" i="15" s="1"/>
  <c r="X325" i="15"/>
  <c r="Z325" i="15" s="1"/>
  <c r="X340" i="15"/>
  <c r="Z340" i="15" s="1"/>
  <c r="BD600" i="7"/>
  <c r="AE392" i="15" s="1"/>
  <c r="AC392" i="15" s="1"/>
  <c r="BC148" i="7"/>
  <c r="X357" i="15"/>
  <c r="Z357" i="15" s="1"/>
  <c r="AB340" i="15"/>
  <c r="BC142" i="7"/>
  <c r="AB346" i="15"/>
  <c r="M598" i="7"/>
  <c r="O391" i="15" s="1"/>
  <c r="W391" i="15" s="1"/>
  <c r="AB349" i="15"/>
  <c r="BD606" i="7"/>
  <c r="AE396" i="15" s="1"/>
  <c r="AC396" i="15" s="1"/>
  <c r="AE487" i="15"/>
  <c r="AC487" i="15" s="1"/>
  <c r="BC8" i="7"/>
  <c r="BC63" i="7"/>
  <c r="BC126" i="7"/>
  <c r="X323" i="15"/>
  <c r="Z323" i="15" s="1"/>
  <c r="BD446" i="7"/>
  <c r="AE373" i="15" s="1"/>
  <c r="AC373" i="15" s="1"/>
  <c r="M606" i="7"/>
  <c r="O396" i="15" s="1"/>
  <c r="W396" i="15" s="1"/>
  <c r="X352" i="15"/>
  <c r="Z352" i="15" s="1"/>
  <c r="X365" i="15"/>
  <c r="Z365" i="15" s="1"/>
  <c r="AB353" i="15"/>
  <c r="M600" i="7"/>
  <c r="O392" i="15" s="1"/>
  <c r="W392" i="15" s="1"/>
  <c r="X360" i="15"/>
  <c r="Z360" i="15" s="1"/>
  <c r="BC920" i="7"/>
  <c r="BD920" i="7" s="1"/>
  <c r="AE432" i="15" s="1"/>
  <c r="X436" i="15"/>
  <c r="Z436" i="15" s="1"/>
  <c r="X373" i="15"/>
  <c r="Z373" i="15" s="1"/>
  <c r="AB336" i="15"/>
  <c r="X349" i="15"/>
  <c r="Z349" i="15" s="1"/>
  <c r="X439" i="15"/>
  <c r="Z439" i="15" s="1"/>
  <c r="X402" i="15"/>
  <c r="Z402" i="15" s="1"/>
  <c r="X371" i="15"/>
  <c r="Z371" i="15" s="1"/>
  <c r="X335" i="15"/>
  <c r="Z335" i="15" s="1"/>
  <c r="F132" i="7"/>
  <c r="K132" i="7" s="1"/>
  <c r="O352" i="15" s="1"/>
  <c r="W352" i="15" s="1"/>
  <c r="F140" i="7"/>
  <c r="K140" i="7" s="1"/>
  <c r="O360" i="15" s="1"/>
  <c r="W360" i="15" s="1"/>
  <c r="X354" i="15"/>
  <c r="Z354" i="15" s="1"/>
  <c r="X433" i="15"/>
  <c r="Z433" i="15" s="1"/>
  <c r="X438" i="15"/>
  <c r="Z438" i="15" s="1"/>
  <c r="AB358" i="15"/>
  <c r="BC62" i="7"/>
  <c r="F151" i="7"/>
  <c r="K151" i="7" s="1"/>
  <c r="O371" i="15" s="1"/>
  <c r="W371" i="15" s="1"/>
  <c r="X359" i="15"/>
  <c r="Z359" i="15" s="1"/>
  <c r="F147" i="7"/>
  <c r="BD147" i="7" s="1"/>
  <c r="AE367" i="15" s="1"/>
  <c r="AC367" i="15" s="1"/>
  <c r="X370" i="15"/>
  <c r="Z370" i="15" s="1"/>
  <c r="M608" i="7"/>
  <c r="P397" i="15" s="1"/>
  <c r="F143" i="7"/>
  <c r="K143" i="7" s="1"/>
  <c r="O363" i="15" s="1"/>
  <c r="W363" i="15" s="1"/>
  <c r="X356" i="15"/>
  <c r="Z356" i="15" s="1"/>
  <c r="BC141" i="7"/>
  <c r="BC694" i="7"/>
  <c r="BD694" i="7" s="1"/>
  <c r="AE407" i="15" s="1"/>
  <c r="BD603" i="7"/>
  <c r="BB603" i="7" s="1"/>
  <c r="AA394" i="15" s="1"/>
  <c r="M605" i="7"/>
  <c r="P395" i="15" s="1"/>
  <c r="X375" i="15"/>
  <c r="Z375" i="15" s="1"/>
  <c r="X328" i="15"/>
  <c r="Z328" i="15" s="1"/>
  <c r="F148" i="7"/>
  <c r="F126" i="7"/>
  <c r="K126" i="7" s="1"/>
  <c r="O346" i="15" s="1"/>
  <c r="X400" i="15"/>
  <c r="Z400" i="15" s="1"/>
  <c r="BC602" i="7"/>
  <c r="X364" i="15"/>
  <c r="Z364" i="15" s="1"/>
  <c r="BC131" i="7"/>
  <c r="X326" i="15"/>
  <c r="Z326" i="15" s="1"/>
  <c r="X367" i="15"/>
  <c r="Z367" i="15" s="1"/>
  <c r="X394" i="15"/>
  <c r="Z394" i="15" s="1"/>
  <c r="AN490" i="15"/>
  <c r="AB394" i="15"/>
  <c r="F128" i="7"/>
  <c r="K128" i="7" s="1"/>
  <c r="O348" i="15" s="1"/>
  <c r="W348" i="15" s="1"/>
  <c r="AB360" i="15"/>
  <c r="F142" i="7"/>
  <c r="K142" i="7" s="1"/>
  <c r="O362" i="15" s="1"/>
  <c r="W362" i="15" s="1"/>
  <c r="F144" i="7"/>
  <c r="K144" i="7" s="1"/>
  <c r="O364" i="15" s="1"/>
  <c r="W364" i="15" s="1"/>
  <c r="D395" i="15"/>
  <c r="AB350" i="15"/>
  <c r="F138" i="7"/>
  <c r="BD138" i="7" s="1"/>
  <c r="BB138" i="7" s="1"/>
  <c r="AA358" i="15" s="1"/>
  <c r="F133" i="7"/>
  <c r="K133" i="7" s="1"/>
  <c r="O353" i="15" s="1"/>
  <c r="F145" i="7"/>
  <c r="BD145" i="7" s="1"/>
  <c r="F131" i="7"/>
  <c r="K131" i="7" s="1"/>
  <c r="O351" i="15" s="1"/>
  <c r="W351" i="15" s="1"/>
  <c r="AB355" i="15"/>
  <c r="AB364" i="15"/>
  <c r="I478" i="15"/>
  <c r="AN478" i="15" s="1"/>
  <c r="O478" i="15"/>
  <c r="V478" i="15" s="1"/>
  <c r="K320" i="15"/>
  <c r="I320" i="15" s="1"/>
  <c r="AN320" i="15" s="1"/>
  <c r="BD7" i="7"/>
  <c r="I7" i="7"/>
  <c r="Q320" i="15" s="1"/>
  <c r="O320" i="15" s="1"/>
  <c r="AB345" i="15"/>
  <c r="AB370" i="15"/>
  <c r="AB356" i="15"/>
  <c r="AB366" i="15"/>
  <c r="AB371" i="15"/>
  <c r="AB367" i="15"/>
  <c r="AB357" i="15"/>
  <c r="K324" i="15"/>
  <c r="I324" i="15" s="1"/>
  <c r="AN324" i="15" s="1"/>
  <c r="I11" i="7"/>
  <c r="Q324" i="15" s="1"/>
  <c r="O324" i="15" s="1"/>
  <c r="AB343" i="15"/>
  <c r="AB348" i="15"/>
  <c r="AB368" i="15"/>
  <c r="AB344" i="15"/>
  <c r="AB354" i="15"/>
  <c r="AB359" i="15"/>
  <c r="AB369" i="15"/>
  <c r="AB383" i="15"/>
  <c r="BD11" i="7"/>
  <c r="AE324" i="15" s="1"/>
  <c r="AC324" i="15" s="1"/>
  <c r="W330" i="7"/>
  <c r="F123" i="7"/>
  <c r="K123" i="7" s="1"/>
  <c r="O343" i="15" s="1"/>
  <c r="W343" i="15" s="1"/>
  <c r="F135" i="7"/>
  <c r="K135" i="7" s="1"/>
  <c r="O355" i="15" s="1"/>
  <c r="W355" i="15" s="1"/>
  <c r="F149" i="7"/>
  <c r="F62" i="7"/>
  <c r="F137" i="7"/>
  <c r="I357" i="15" s="1"/>
  <c r="AN357" i="15" s="1"/>
  <c r="AB321" i="15"/>
  <c r="X390" i="15"/>
  <c r="Z390" i="15" s="1"/>
  <c r="I450" i="7"/>
  <c r="F450" i="7" s="1"/>
  <c r="F146" i="7"/>
  <c r="BD146" i="7" s="1"/>
  <c r="F152" i="7"/>
  <c r="K152" i="7" s="1"/>
  <c r="O372" i="15" s="1"/>
  <c r="W372" i="15" s="1"/>
  <c r="E116" i="7"/>
  <c r="E105" i="7"/>
  <c r="AF436" i="15"/>
  <c r="X348" i="15"/>
  <c r="Z348" i="15" s="1"/>
  <c r="X345" i="15"/>
  <c r="Z345" i="15" s="1"/>
  <c r="BC449" i="7"/>
  <c r="F1134" i="7"/>
  <c r="M1134" i="7" s="1"/>
  <c r="O456" i="15" s="1"/>
  <c r="W456" i="15" s="1"/>
  <c r="F1135" i="7"/>
  <c r="F1136" i="7"/>
  <c r="F1142" i="7"/>
  <c r="F1143" i="7"/>
  <c r="BD1143" i="7" s="1"/>
  <c r="BB1130" i="7"/>
  <c r="AA452" i="15" s="1"/>
  <c r="BD1133" i="7"/>
  <c r="BB1133" i="7" s="1"/>
  <c r="AA455" i="15" s="1"/>
  <c r="F1139" i="7"/>
  <c r="I452" i="15"/>
  <c r="AN452" i="15" s="1"/>
  <c r="AB389" i="15"/>
  <c r="F66" i="7"/>
  <c r="I342" i="15" s="1"/>
  <c r="AN342" i="15" s="1"/>
  <c r="AB339" i="15"/>
  <c r="E115" i="7"/>
  <c r="Q205" i="6"/>
  <c r="I109" i="6"/>
  <c r="J731" i="6"/>
  <c r="K142" i="6" s="1"/>
  <c r="BE142" i="6" s="1"/>
  <c r="J717" i="6"/>
  <c r="K128" i="6" s="1"/>
  <c r="BE128" i="6" s="1"/>
  <c r="Y109" i="6"/>
  <c r="Y668" i="7"/>
  <c r="BC15" i="6"/>
  <c r="O7" i="6"/>
  <c r="BE7" i="6" s="1"/>
  <c r="J726" i="6"/>
  <c r="K137" i="6" s="1"/>
  <c r="BE137" i="6" s="1"/>
  <c r="Q206" i="6"/>
  <c r="X735" i="6" s="1"/>
  <c r="X105" i="6"/>
  <c r="I105" i="6"/>
  <c r="O13" i="6"/>
  <c r="BE13" i="6" s="1"/>
  <c r="I103" i="6"/>
  <c r="X103" i="6"/>
  <c r="J740" i="6"/>
  <c r="K151" i="6" s="1"/>
  <c r="BE151" i="6" s="1"/>
  <c r="J722" i="6"/>
  <c r="K133" i="6" s="1"/>
  <c r="BE133" i="6" s="1"/>
  <c r="Y103" i="6"/>
  <c r="J713" i="6"/>
  <c r="K124" i="6" s="1"/>
  <c r="Y105" i="6"/>
  <c r="J720" i="6"/>
  <c r="K131" i="6" s="1"/>
  <c r="BE131" i="6" s="1"/>
  <c r="J729" i="6"/>
  <c r="K140" i="6" s="1"/>
  <c r="BE140" i="6" s="1"/>
  <c r="J735" i="6"/>
  <c r="K146" i="6" s="1"/>
  <c r="J738" i="6"/>
  <c r="K149" i="6" s="1"/>
  <c r="BE149" i="6" s="1"/>
  <c r="W105" i="6"/>
  <c r="W103" i="6"/>
  <c r="J711" i="6"/>
  <c r="K122" i="6" s="1"/>
  <c r="BE122" i="6" s="1"/>
  <c r="X111" i="6"/>
  <c r="Q203" i="6"/>
  <c r="W109" i="6"/>
  <c r="J708" i="6"/>
  <c r="K119" i="6" s="1"/>
  <c r="X109" i="6"/>
  <c r="I43" i="6"/>
  <c r="Y111" i="6"/>
  <c r="O8" i="6"/>
  <c r="BE8" i="6" s="1"/>
  <c r="O14" i="6"/>
  <c r="BE14" i="6" s="1"/>
  <c r="O136" i="15"/>
  <c r="W136" i="15"/>
  <c r="AE136" i="15"/>
  <c r="AC136" i="15" s="1"/>
  <c r="I159" i="6"/>
  <c r="S143" i="15" s="1"/>
  <c r="P143" i="15" s="1"/>
  <c r="W143" i="15" s="1"/>
  <c r="D115" i="15"/>
  <c r="D116" i="15"/>
  <c r="A18" i="6"/>
  <c r="AD193" i="15"/>
  <c r="I169" i="6"/>
  <c r="Q150" i="15" s="1"/>
  <c r="O150" i="15" s="1"/>
  <c r="AE194" i="15"/>
  <c r="AC194" i="15" s="1"/>
  <c r="O193" i="15"/>
  <c r="Q260" i="15"/>
  <c r="D111" i="15"/>
  <c r="D112" i="15"/>
  <c r="A12" i="6"/>
  <c r="Z193" i="15"/>
  <c r="I178" i="6"/>
  <c r="Q156" i="15" s="1"/>
  <c r="O156" i="15" s="1"/>
  <c r="I58" i="6"/>
  <c r="E266" i="9"/>
  <c r="E582" i="9"/>
  <c r="BC75" i="9"/>
  <c r="K8" i="9"/>
  <c r="BE8" i="9" s="1"/>
  <c r="I35" i="10"/>
  <c r="O586" i="15" s="1"/>
  <c r="U586" i="15" s="1"/>
  <c r="I587" i="15"/>
  <c r="AN587" i="15" s="1"/>
  <c r="AO587" i="15" s="1"/>
  <c r="BC58" i="10"/>
  <c r="BD58" i="10" s="1"/>
  <c r="AE588" i="15" s="1"/>
  <c r="AC588" i="15" s="1"/>
  <c r="BB35" i="10"/>
  <c r="AA586" i="15" s="1"/>
  <c r="I8" i="10"/>
  <c r="O584" i="15" s="1"/>
  <c r="U584" i="15" s="1"/>
  <c r="I586" i="15"/>
  <c r="AN586" i="15" s="1"/>
  <c r="I588" i="15"/>
  <c r="AN588" i="15" s="1"/>
  <c r="AO588" i="15" s="1"/>
  <c r="I585" i="15"/>
  <c r="AN585" i="15" s="1"/>
  <c r="AO585" i="15" s="1"/>
  <c r="F260" i="5"/>
  <c r="I260" i="5" s="1"/>
  <c r="O94" i="15" s="1"/>
  <c r="V94" i="15" s="1"/>
  <c r="F262" i="5"/>
  <c r="I96" i="15" s="1"/>
  <c r="AN96" i="15" s="1"/>
  <c r="I303" i="5"/>
  <c r="O100" i="15" s="1"/>
  <c r="V100" i="15" s="1"/>
  <c r="I306" i="5"/>
  <c r="O103" i="15" s="1"/>
  <c r="V103" i="15" s="1"/>
  <c r="AA100" i="15"/>
  <c r="AB106" i="15"/>
  <c r="AA106" i="15"/>
  <c r="F212" i="5"/>
  <c r="J210" i="5"/>
  <c r="O91" i="15" s="1"/>
  <c r="V91" i="15" s="1"/>
  <c r="F211" i="5"/>
  <c r="F209" i="5"/>
  <c r="X92" i="15"/>
  <c r="Z92" i="15" s="1"/>
  <c r="G88" i="15"/>
  <c r="BC260" i="5"/>
  <c r="X86" i="15"/>
  <c r="Z86" i="15" s="1"/>
  <c r="AB92" i="15"/>
  <c r="X88" i="15"/>
  <c r="Z88" i="15" s="1"/>
  <c r="AB70" i="15"/>
  <c r="X84" i="15"/>
  <c r="Z84" i="15" s="1"/>
  <c r="AN69" i="15"/>
  <c r="BD48" i="5"/>
  <c r="BB48" i="5" s="1"/>
  <c r="AA72" i="15" s="1"/>
  <c r="X100" i="15"/>
  <c r="Z100" i="15" s="1"/>
  <c r="BD53" i="5"/>
  <c r="AE77" i="15" s="1"/>
  <c r="AC77" i="15" s="1"/>
  <c r="BD47" i="5"/>
  <c r="AE71" i="15" s="1"/>
  <c r="AC71" i="15" s="1"/>
  <c r="I51" i="5"/>
  <c r="O75" i="15" s="1"/>
  <c r="W75" i="15" s="1"/>
  <c r="AE104" i="15"/>
  <c r="AC104" i="15" s="1"/>
  <c r="I304" i="5"/>
  <c r="O101" i="15" s="1"/>
  <c r="V101" i="15" s="1"/>
  <c r="I307" i="5"/>
  <c r="O104" i="15" s="1"/>
  <c r="V104" i="15" s="1"/>
  <c r="I48" i="5"/>
  <c r="O72" i="15" s="1"/>
  <c r="W72" i="15" s="1"/>
  <c r="AB86" i="15"/>
  <c r="AE103" i="15"/>
  <c r="AC103" i="15" s="1"/>
  <c r="AB84" i="15"/>
  <c r="X72" i="15"/>
  <c r="Z72" i="15" s="1"/>
  <c r="AE101" i="15"/>
  <c r="AC101" i="15" s="1"/>
  <c r="I53" i="5"/>
  <c r="O77" i="15" s="1"/>
  <c r="W77" i="15" s="1"/>
  <c r="BC7" i="5"/>
  <c r="BD7" i="5" s="1"/>
  <c r="AE65" i="15" s="1"/>
  <c r="AC65" i="15" s="1"/>
  <c r="BD52" i="5"/>
  <c r="BB52" i="5" s="1"/>
  <c r="AA76" i="15" s="1"/>
  <c r="J157" i="5"/>
  <c r="O86" i="15" s="1"/>
  <c r="V86" i="15" s="1"/>
  <c r="AB88" i="15"/>
  <c r="BD46" i="5"/>
  <c r="AE70" i="15" s="1"/>
  <c r="AC70" i="15" s="1"/>
  <c r="AB98" i="15"/>
  <c r="X76" i="15"/>
  <c r="Z76" i="15" s="1"/>
  <c r="AB96" i="15"/>
  <c r="I301" i="5"/>
  <c r="O98" i="15" s="1"/>
  <c r="V98" i="15" s="1"/>
  <c r="I52" i="5"/>
  <c r="O76" i="15" s="1"/>
  <c r="W76" i="15" s="1"/>
  <c r="X70" i="15"/>
  <c r="Z70" i="15" s="1"/>
  <c r="I47" i="5"/>
  <c r="O71" i="15" s="1"/>
  <c r="W71" i="15" s="1"/>
  <c r="I88" i="15"/>
  <c r="AN88" i="15" s="1"/>
  <c r="BD159" i="5"/>
  <c r="I46" i="5"/>
  <c r="O70" i="15" s="1"/>
  <c r="W70" i="15" s="1"/>
  <c r="BD107" i="5"/>
  <c r="AE84" i="15" s="1"/>
  <c r="AC84" i="15" s="1"/>
  <c r="J159" i="5"/>
  <c r="O88" i="15" s="1"/>
  <c r="V88" i="15" s="1"/>
  <c r="AB90" i="15"/>
  <c r="BC51" i="5"/>
  <c r="BD51" i="5" s="1"/>
  <c r="AE75" i="15" s="1"/>
  <c r="AC75" i="15" s="1"/>
  <c r="K11" i="5"/>
  <c r="O69" i="15" s="1"/>
  <c r="V69" i="15" s="1"/>
  <c r="J107" i="5"/>
  <c r="O84" i="15" s="1"/>
  <c r="V84" i="15" s="1"/>
  <c r="AB77" i="15"/>
  <c r="BC301" i="5"/>
  <c r="BD301" i="5" s="1"/>
  <c r="BB301" i="5" s="1"/>
  <c r="AA98" i="15" s="1"/>
  <c r="BC10" i="5"/>
  <c r="AB100" i="15"/>
  <c r="X77" i="15"/>
  <c r="Z77" i="15" s="1"/>
  <c r="X71" i="15"/>
  <c r="Z71" i="15" s="1"/>
  <c r="BC209" i="5"/>
  <c r="AE106" i="15"/>
  <c r="AC106" i="15" s="1"/>
  <c r="AN72" i="15"/>
  <c r="BB157" i="5"/>
  <c r="AA86" i="15" s="1"/>
  <c r="K7" i="5"/>
  <c r="O65" i="15" s="1"/>
  <c r="V65" i="15" s="1"/>
  <c r="E300" i="16"/>
  <c r="E212" i="16"/>
  <c r="BD72" i="16"/>
  <c r="AF43" i="15" s="1"/>
  <c r="AC43" i="15" s="1"/>
  <c r="BD70" i="16"/>
  <c r="AF42" i="15" s="1"/>
  <c r="BD69" i="16"/>
  <c r="I63" i="16"/>
  <c r="Q39" i="15" s="1"/>
  <c r="V39" i="15" s="1"/>
  <c r="BD67" i="16"/>
  <c r="AE41" i="15" s="1"/>
  <c r="BD59" i="16"/>
  <c r="AE37" i="15" s="1"/>
  <c r="F58" i="16"/>
  <c r="L36" i="15" s="1"/>
  <c r="BD73" i="16"/>
  <c r="AE44" i="15" s="1"/>
  <c r="I59" i="16"/>
  <c r="Q37" i="15" s="1"/>
  <c r="O37" i="15" s="1"/>
  <c r="BC516" i="9"/>
  <c r="C572" i="15"/>
  <c r="AM572" i="15" s="1"/>
  <c r="I510" i="9"/>
  <c r="O573" i="15" s="1"/>
  <c r="V573" i="15" s="1"/>
  <c r="I514" i="9"/>
  <c r="O577" i="15" s="1"/>
  <c r="V577" i="15" s="1"/>
  <c r="I515" i="9"/>
  <c r="O578" i="15" s="1"/>
  <c r="V578" i="15" s="1"/>
  <c r="BC511" i="9"/>
  <c r="BC515" i="9"/>
  <c r="F74" i="16"/>
  <c r="BD74" i="16" s="1"/>
  <c r="I72" i="16"/>
  <c r="F62" i="16"/>
  <c r="L38" i="15" s="1"/>
  <c r="I38" i="15" s="1"/>
  <c r="C575" i="15"/>
  <c r="AM575" i="15" s="1"/>
  <c r="E273" i="16"/>
  <c r="I70" i="16"/>
  <c r="BC514" i="9"/>
  <c r="E165" i="16"/>
  <c r="BD65" i="16"/>
  <c r="AE40" i="15" s="1"/>
  <c r="I76" i="16"/>
  <c r="K40" i="15"/>
  <c r="AN40" i="15" s="1"/>
  <c r="K43" i="15"/>
  <c r="I43" i="15" s="1"/>
  <c r="X42" i="15"/>
  <c r="Z42" i="15" s="1"/>
  <c r="E123" i="16"/>
  <c r="I68" i="16"/>
  <c r="BD173" i="16"/>
  <c r="BD280" i="16"/>
  <c r="AE62" i="15" s="1"/>
  <c r="AC62" i="15" s="1"/>
  <c r="I79" i="16"/>
  <c r="Q47" i="15" s="1"/>
  <c r="V47" i="15" s="1"/>
  <c r="BD78" i="16"/>
  <c r="AF46" i="15" s="1"/>
  <c r="AB41" i="15"/>
  <c r="I65" i="16"/>
  <c r="Q40" i="15" s="1"/>
  <c r="O40" i="15" s="1"/>
  <c r="I59" i="15"/>
  <c r="AN59" i="15" s="1"/>
  <c r="BC223" i="16"/>
  <c r="BD223" i="16" s="1"/>
  <c r="AE54" i="15" s="1"/>
  <c r="AC54" i="15" s="1"/>
  <c r="I61" i="16"/>
  <c r="Q38" i="15" s="1"/>
  <c r="V38" i="15" s="1"/>
  <c r="E137" i="16"/>
  <c r="I307" i="16"/>
  <c r="O63" i="15" s="1"/>
  <c r="U63" i="15" s="1"/>
  <c r="X58" i="15"/>
  <c r="Z58" i="15" s="1"/>
  <c r="I226" i="16"/>
  <c r="O57" i="15" s="1"/>
  <c r="V57" i="15" s="1"/>
  <c r="I224" i="16"/>
  <c r="O55" i="15" s="1"/>
  <c r="V55" i="15" s="1"/>
  <c r="E114" i="16"/>
  <c r="I75" i="16"/>
  <c r="Q45" i="15" s="1"/>
  <c r="O45" i="15" s="1"/>
  <c r="F7" i="16"/>
  <c r="L7" i="16" s="1"/>
  <c r="O35" i="15" s="1"/>
  <c r="V35" i="15" s="1"/>
  <c r="C571" i="15"/>
  <c r="AM571" i="15" s="1"/>
  <c r="H509" i="9"/>
  <c r="K41" i="15"/>
  <c r="I41" i="15" s="1"/>
  <c r="E149" i="16"/>
  <c r="AB38" i="15"/>
  <c r="F80" i="16"/>
  <c r="BD80" i="16" s="1"/>
  <c r="I173" i="16"/>
  <c r="O49" i="15" s="1"/>
  <c r="V49" i="15" s="1"/>
  <c r="I71" i="16"/>
  <c r="Q43" i="15" s="1"/>
  <c r="O43" i="15" s="1"/>
  <c r="O20" i="3"/>
  <c r="BE20" i="3" s="1"/>
  <c r="O22" i="3"/>
  <c r="BE22" i="3" s="1"/>
  <c r="F19" i="3"/>
  <c r="G19" i="3" s="1"/>
  <c r="O21" i="15" s="1"/>
  <c r="W21" i="15" s="1"/>
  <c r="O31" i="3"/>
  <c r="BE31" i="3" s="1"/>
  <c r="N9" i="3"/>
  <c r="O9" i="3"/>
  <c r="BE9" i="3" s="1"/>
  <c r="O13" i="3"/>
  <c r="BE13" i="3" s="1"/>
  <c r="O25" i="3"/>
  <c r="BE25" i="3" s="1"/>
  <c r="O10" i="3"/>
  <c r="BE10" i="3" s="1"/>
  <c r="E46" i="5"/>
  <c r="G70" i="15" s="1"/>
  <c r="E47" i="5"/>
  <c r="G71" i="15" s="1"/>
  <c r="N17" i="3"/>
  <c r="X10" i="15"/>
  <c r="Z10" i="15" s="1"/>
  <c r="N23" i="3"/>
  <c r="X24" i="15"/>
  <c r="Z24" i="15" s="1"/>
  <c r="G26" i="3"/>
  <c r="O28" i="15" s="1"/>
  <c r="W28" i="15" s="1"/>
  <c r="X28" i="15"/>
  <c r="Z28" i="15" s="1"/>
  <c r="X20" i="15"/>
  <c r="Z20" i="15" s="1"/>
  <c r="F21" i="3"/>
  <c r="I23" i="15" s="1"/>
  <c r="AN23" i="15" s="1"/>
  <c r="I25" i="15"/>
  <c r="AN25" i="15" s="1"/>
  <c r="BD25" i="3"/>
  <c r="AE27" i="15" s="1"/>
  <c r="AC27" i="15" s="1"/>
  <c r="G23" i="3"/>
  <c r="O25" i="15" s="1"/>
  <c r="W25" i="15" s="1"/>
  <c r="F27" i="3"/>
  <c r="N25" i="3"/>
  <c r="G20" i="3"/>
  <c r="O22" i="15" s="1"/>
  <c r="W22" i="15" s="1"/>
  <c r="G9" i="3"/>
  <c r="O11" i="15" s="1"/>
  <c r="W11" i="15" s="1"/>
  <c r="N13" i="3"/>
  <c r="N7" i="3"/>
  <c r="X26" i="15"/>
  <c r="Z26" i="15" s="1"/>
  <c r="X22" i="15"/>
  <c r="Z22" i="15" s="1"/>
  <c r="X16" i="15"/>
  <c r="Z16" i="15" s="1"/>
  <c r="X12" i="15"/>
  <c r="Z12" i="15" s="1"/>
  <c r="F29" i="3"/>
  <c r="G29" i="3" s="1"/>
  <c r="O31" i="15" s="1"/>
  <c r="W31" i="15" s="1"/>
  <c r="N11" i="3"/>
  <c r="G12" i="3"/>
  <c r="O14" i="15" s="1"/>
  <c r="W14" i="15" s="1"/>
  <c r="N19" i="3"/>
  <c r="BC28" i="3"/>
  <c r="BD28" i="3" s="1"/>
  <c r="F8" i="3"/>
  <c r="N21" i="3"/>
  <c r="F22" i="3"/>
  <c r="O24" i="3"/>
  <c r="BE24" i="3" s="1"/>
  <c r="O27" i="3"/>
  <c r="BE27" i="3" s="1"/>
  <c r="O28" i="3"/>
  <c r="BE28" i="3" s="1"/>
  <c r="I615" i="2"/>
  <c r="O711" i="15" s="1"/>
  <c r="V711" i="15" s="1"/>
  <c r="U711" i="15" s="1"/>
  <c r="DD751" i="2"/>
  <c r="AE723" i="15" s="1"/>
  <c r="AC723" i="15" s="1"/>
  <c r="I615" i="15"/>
  <c r="AN615" i="15" s="1"/>
  <c r="I442" i="2"/>
  <c r="F667" i="2"/>
  <c r="DD733" i="2"/>
  <c r="AE722" i="15" s="1"/>
  <c r="AC722" i="15" s="1"/>
  <c r="DD482" i="2"/>
  <c r="AE687" i="15" s="1"/>
  <c r="AC687" i="15" s="1"/>
  <c r="DD484" i="2"/>
  <c r="AE689" i="15" s="1"/>
  <c r="AC689" i="15" s="1"/>
  <c r="DD510" i="2"/>
  <c r="AE696" i="15" s="1"/>
  <c r="AC696" i="15" s="1"/>
  <c r="DD768" i="2"/>
  <c r="AE725" i="15" s="1"/>
  <c r="AC725" i="15" s="1"/>
  <c r="I599" i="15"/>
  <c r="AN599" i="15" s="1"/>
  <c r="I591" i="15"/>
  <c r="AN591" i="15" s="1"/>
  <c r="I595" i="15"/>
  <c r="AN595" i="15" s="1"/>
  <c r="I603" i="15"/>
  <c r="AN603" i="15" s="1"/>
  <c r="K670" i="15"/>
  <c r="I670" i="15" s="1"/>
  <c r="AN670" i="15" s="1"/>
  <c r="I592" i="15"/>
  <c r="AN592" i="15" s="1"/>
  <c r="I594" i="15"/>
  <c r="AN594" i="15" s="1"/>
  <c r="I596" i="15"/>
  <c r="AN596" i="15" s="1"/>
  <c r="I598" i="15"/>
  <c r="AN598" i="15" s="1"/>
  <c r="I600" i="15"/>
  <c r="AN600" i="15" s="1"/>
  <c r="I602" i="15"/>
  <c r="AN602" i="15" s="1"/>
  <c r="I604" i="15"/>
  <c r="AN604" i="15" s="1"/>
  <c r="I606" i="15"/>
  <c r="AN606" i="15" s="1"/>
  <c r="I593" i="15"/>
  <c r="AN593" i="15" s="1"/>
  <c r="I597" i="15"/>
  <c r="AN597" i="15" s="1"/>
  <c r="I601" i="15"/>
  <c r="AN601" i="15" s="1"/>
  <c r="I605" i="15"/>
  <c r="AN605" i="15" s="1"/>
  <c r="K672" i="15"/>
  <c r="I672" i="15" s="1"/>
  <c r="AN672" i="15" s="1"/>
  <c r="K671" i="15"/>
  <c r="I671" i="15" s="1"/>
  <c r="AN671" i="15" s="1"/>
  <c r="AE679" i="15"/>
  <c r="AC679" i="15" s="1"/>
  <c r="DB421" i="2"/>
  <c r="AA679" i="15" s="1"/>
  <c r="DD803" i="2"/>
  <c r="AE728" i="15" s="1"/>
  <c r="AC728" i="15" s="1"/>
  <c r="K767" i="2"/>
  <c r="P724" i="15" s="1"/>
  <c r="W724" i="15" s="1"/>
  <c r="V724" i="15" s="1"/>
  <c r="U724" i="15" s="1"/>
  <c r="K681" i="15"/>
  <c r="I681" i="15" s="1"/>
  <c r="AN681" i="15" s="1"/>
  <c r="DD442" i="2"/>
  <c r="AE681" i="15" s="1"/>
  <c r="AC681" i="15" s="1"/>
  <c r="DD483" i="2"/>
  <c r="AE688" i="15" s="1"/>
  <c r="AC688" i="15" s="1"/>
  <c r="I396" i="2"/>
  <c r="Q671" i="15" s="1"/>
  <c r="O671" i="15" s="1"/>
  <c r="W671" i="15" s="1"/>
  <c r="V671" i="15" s="1"/>
  <c r="U671" i="15" s="1"/>
  <c r="AJ260" i="15"/>
  <c r="AJ261" i="15"/>
  <c r="F1138" i="7"/>
  <c r="F353" i="9"/>
  <c r="W353" i="9"/>
  <c r="F355" i="9"/>
  <c r="W355" i="9"/>
  <c r="F357" i="9"/>
  <c r="W357" i="9"/>
  <c r="I476" i="15"/>
  <c r="AN476" i="15" s="1"/>
  <c r="O476" i="15"/>
  <c r="V476" i="15" s="1"/>
  <c r="L183" i="6"/>
  <c r="K772" i="6"/>
  <c r="BC160" i="6"/>
  <c r="BD160" i="6" s="1"/>
  <c r="X144" i="15"/>
  <c r="AE267" i="15"/>
  <c r="I557" i="15"/>
  <c r="AN557" i="15" s="1"/>
  <c r="L309" i="15"/>
  <c r="AF264" i="15"/>
  <c r="K205" i="15"/>
  <c r="I205" i="15" s="1"/>
  <c r="Q205" i="15"/>
  <c r="AE121" i="15"/>
  <c r="AC121" i="15" s="1"/>
  <c r="I12" i="15"/>
  <c r="AN12" i="15" s="1"/>
  <c r="G10" i="3"/>
  <c r="O12" i="15" s="1"/>
  <c r="W12" i="15" s="1"/>
  <c r="O130" i="15"/>
  <c r="AE242" i="15"/>
  <c r="I15" i="15"/>
  <c r="AN15" i="15" s="1"/>
  <c r="BB1259" i="7"/>
  <c r="AA470" i="15" s="1"/>
  <c r="AE470" i="15"/>
  <c r="AC470" i="15" s="1"/>
  <c r="BB121" i="6"/>
  <c r="AA118" i="15" s="1"/>
  <c r="J391" i="15"/>
  <c r="I455" i="15"/>
  <c r="AN455" i="15" s="1"/>
  <c r="M1133" i="7"/>
  <c r="O455" i="15" s="1"/>
  <c r="W455" i="15" s="1"/>
  <c r="J482" i="15"/>
  <c r="BD1303" i="7"/>
  <c r="AG482" i="15" s="1"/>
  <c r="AD482" i="15" s="1"/>
  <c r="AE472" i="15"/>
  <c r="AC472" i="15" s="1"/>
  <c r="AA472" i="15"/>
  <c r="M202" i="15"/>
  <c r="I121" i="6"/>
  <c r="Q118" i="15" s="1"/>
  <c r="O118" i="15" s="1"/>
  <c r="K118" i="15"/>
  <c r="I118" i="15" s="1"/>
  <c r="AN118" i="15" s="1"/>
  <c r="O168" i="15"/>
  <c r="W168" i="15" s="1"/>
  <c r="I390" i="15"/>
  <c r="AN390" i="15" s="1"/>
  <c r="BD597" i="7"/>
  <c r="P202" i="15"/>
  <c r="W202" i="15" s="1"/>
  <c r="BD1126" i="7"/>
  <c r="M1126" i="7"/>
  <c r="O448" i="15" s="1"/>
  <c r="W448" i="15" s="1"/>
  <c r="I448" i="15"/>
  <c r="AN448" i="15" s="1"/>
  <c r="I397" i="15"/>
  <c r="AN397" i="15" s="1"/>
  <c r="M607" i="7"/>
  <c r="O397" i="15" s="1"/>
  <c r="W397" i="15" s="1"/>
  <c r="I576" i="15"/>
  <c r="AN576" i="15" s="1"/>
  <c r="I513" i="9"/>
  <c r="O576" i="15" s="1"/>
  <c r="V576" i="15" s="1"/>
  <c r="J997" i="7"/>
  <c r="O440" i="15" s="1"/>
  <c r="V440" i="15" s="1"/>
  <c r="I440" i="15"/>
  <c r="AN440" i="15" s="1"/>
  <c r="M604" i="7"/>
  <c r="O395" i="15" s="1"/>
  <c r="W395" i="15" s="1"/>
  <c r="I395" i="15"/>
  <c r="AN395" i="15" s="1"/>
  <c r="AE193" i="15"/>
  <c r="AC193" i="15" s="1"/>
  <c r="BB1298" i="6"/>
  <c r="AA193" i="15" s="1"/>
  <c r="BC197" i="9"/>
  <c r="G28" i="3"/>
  <c r="O30" i="15" s="1"/>
  <c r="W30" i="15" s="1"/>
  <c r="I30" i="15"/>
  <c r="AN30" i="15" s="1"/>
  <c r="Q201" i="15"/>
  <c r="K201" i="15"/>
  <c r="K809" i="6"/>
  <c r="BE809" i="6" s="1"/>
  <c r="AE207" i="15"/>
  <c r="I552" i="15"/>
  <c r="AN552" i="15" s="1"/>
  <c r="BD607" i="7"/>
  <c r="BB22" i="10"/>
  <c r="AA585" i="15" s="1"/>
  <c r="X222" i="15"/>
  <c r="Z222" i="15" s="1"/>
  <c r="BC9" i="3"/>
  <c r="BD9" i="3" s="1"/>
  <c r="X11" i="15"/>
  <c r="Z11" i="15" s="1"/>
  <c r="BC13" i="3"/>
  <c r="X15" i="15"/>
  <c r="Z15" i="15" s="1"/>
  <c r="F18" i="3"/>
  <c r="N18" i="3"/>
  <c r="BC19" i="3"/>
  <c r="X21" i="15"/>
  <c r="Z21" i="15" s="1"/>
  <c r="BC11" i="5"/>
  <c r="BD11" i="5" s="1"/>
  <c r="X69" i="15"/>
  <c r="Z69" i="15" s="1"/>
  <c r="G243" i="15"/>
  <c r="BC134" i="6"/>
  <c r="BD134" i="6" s="1"/>
  <c r="Y126" i="15"/>
  <c r="BC143" i="6"/>
  <c r="BD143" i="6" s="1"/>
  <c r="Y132" i="15"/>
  <c r="AB134" i="15"/>
  <c r="BC803" i="6"/>
  <c r="BD803" i="6" s="1"/>
  <c r="J805" i="6"/>
  <c r="X172" i="15"/>
  <c r="J811" i="6"/>
  <c r="X176" i="15"/>
  <c r="Z176" i="15" s="1"/>
  <c r="M1131" i="7"/>
  <c r="O453" i="15" s="1"/>
  <c r="W453" i="15" s="1"/>
  <c r="BB135" i="6"/>
  <c r="AA127" i="15" s="1"/>
  <c r="AB127" i="15"/>
  <c r="L191" i="15"/>
  <c r="I1203" i="6"/>
  <c r="R191" i="15" s="1"/>
  <c r="X204" i="15"/>
  <c r="BC1433" i="6"/>
  <c r="BD1433" i="6" s="1"/>
  <c r="BC1437" i="6"/>
  <c r="BD1437" i="6" s="1"/>
  <c r="X205" i="15"/>
  <c r="Z205" i="15" s="1"/>
  <c r="X217" i="15"/>
  <c r="Z217" i="15" s="1"/>
  <c r="AB142" i="15"/>
  <c r="E51" i="5"/>
  <c r="G75" i="15" s="1"/>
  <c r="E48" i="5"/>
  <c r="G72" i="15" s="1"/>
  <c r="AB65" i="15"/>
  <c r="O170" i="15"/>
  <c r="W170" i="15" s="1"/>
  <c r="F24" i="3"/>
  <c r="L129" i="6"/>
  <c r="AJ199" i="15" s="1"/>
  <c r="K718" i="6"/>
  <c r="BB788" i="6"/>
  <c r="AA166" i="15" s="1"/>
  <c r="AB166" i="15"/>
  <c r="L204" i="15"/>
  <c r="R204" i="15"/>
  <c r="AJ272" i="15"/>
  <c r="AJ273" i="15"/>
  <c r="AB532" i="15"/>
  <c r="BC307" i="16"/>
  <c r="BD307" i="16" s="1"/>
  <c r="X63" i="15"/>
  <c r="Z63" i="15" s="1"/>
  <c r="X53" i="15"/>
  <c r="Z53" i="15" s="1"/>
  <c r="BC222" i="16"/>
  <c r="BD222" i="16" s="1"/>
  <c r="K152" i="15"/>
  <c r="I152" i="15" s="1"/>
  <c r="I172" i="6"/>
  <c r="Q152" i="15" s="1"/>
  <c r="O152" i="15" s="1"/>
  <c r="BD172" i="6"/>
  <c r="BD151" i="6"/>
  <c r="AB69" i="15"/>
  <c r="K664" i="15"/>
  <c r="L331" i="2"/>
  <c r="Q664" i="15" s="1"/>
  <c r="O664" i="15" s="1"/>
  <c r="V664" i="15" s="1"/>
  <c r="U664" i="15" s="1"/>
  <c r="I82" i="15"/>
  <c r="AN82" i="15" s="1"/>
  <c r="J105" i="5"/>
  <c r="O82" i="15" s="1"/>
  <c r="V82" i="15" s="1"/>
  <c r="BC122" i="6"/>
  <c r="BD122" i="6" s="1"/>
  <c r="X119" i="15"/>
  <c r="Z119" i="15" s="1"/>
  <c r="BC799" i="6"/>
  <c r="BD799" i="6" s="1"/>
  <c r="X171" i="15"/>
  <c r="Z171" i="15" s="1"/>
  <c r="F1228" i="6"/>
  <c r="G189" i="15"/>
  <c r="AJ213" i="15"/>
  <c r="AJ214" i="15"/>
  <c r="AJ229" i="15"/>
  <c r="AJ230" i="15"/>
  <c r="AJ232" i="15"/>
  <c r="AJ233" i="15"/>
  <c r="K680" i="15"/>
  <c r="I680" i="15" s="1"/>
  <c r="L422" i="2"/>
  <c r="Q680" i="15" s="1"/>
  <c r="O680" i="15" s="1"/>
  <c r="W680" i="15" s="1"/>
  <c r="V680" i="15" s="1"/>
  <c r="U680" i="15" s="1"/>
  <c r="I721" i="15"/>
  <c r="AN721" i="15" s="1"/>
  <c r="DD732" i="2"/>
  <c r="AE721" i="15" s="1"/>
  <c r="AC721" i="15" s="1"/>
  <c r="BC105" i="5"/>
  <c r="BD105" i="5" s="1"/>
  <c r="X82" i="15"/>
  <c r="Z82" i="15" s="1"/>
  <c r="BB126" i="6"/>
  <c r="AA121" i="15" s="1"/>
  <c r="AB121" i="15"/>
  <c r="AJ296" i="15"/>
  <c r="AJ297" i="15"/>
  <c r="M132" i="15"/>
  <c r="J132" i="15" s="1"/>
  <c r="I143" i="6"/>
  <c r="S132" i="15" s="1"/>
  <c r="P132" i="15" s="1"/>
  <c r="W132" i="15" s="1"/>
  <c r="AJ288" i="15"/>
  <c r="AJ289" i="15"/>
  <c r="AB136" i="15"/>
  <c r="J749" i="6"/>
  <c r="K160" i="6" s="1"/>
  <c r="BE160" i="6" s="1"/>
  <c r="J752" i="6"/>
  <c r="K163" i="6" s="1"/>
  <c r="BE163" i="6" s="1"/>
  <c r="J744" i="6"/>
  <c r="K155" i="6" s="1"/>
  <c r="BE155" i="6" s="1"/>
  <c r="AJ284" i="15"/>
  <c r="AJ285" i="15"/>
  <c r="L1192" i="6"/>
  <c r="AJ186" i="15" s="1"/>
  <c r="O23" i="3"/>
  <c r="BE23" i="3" s="1"/>
  <c r="AJ292" i="15"/>
  <c r="AJ293" i="15"/>
  <c r="J768" i="2"/>
  <c r="O725" i="15" s="1"/>
  <c r="F786" i="2"/>
  <c r="AJ237" i="15"/>
  <c r="AJ238" i="15"/>
  <c r="AJ242" i="15"/>
  <c r="AJ243" i="15"/>
  <c r="AJ250" i="15"/>
  <c r="DD485" i="2"/>
  <c r="AE690" i="15" s="1"/>
  <c r="AC690" i="15" s="1"/>
  <c r="DD507" i="2"/>
  <c r="AE693" i="15" s="1"/>
  <c r="AC693" i="15" s="1"/>
  <c r="AJ208" i="15"/>
  <c r="AJ310" i="15"/>
  <c r="AJ311" i="15"/>
  <c r="Z196" i="15"/>
  <c r="AJ317" i="15"/>
  <c r="F785" i="2"/>
  <c r="O42" i="15"/>
  <c r="V42" i="15"/>
  <c r="I303" i="15"/>
  <c r="AJ277" i="15"/>
  <c r="AJ300" i="15"/>
  <c r="AJ301" i="15"/>
  <c r="I253" i="15"/>
  <c r="AJ308" i="15"/>
  <c r="AJ309" i="15"/>
  <c r="AJ312" i="15"/>
  <c r="AJ313" i="15"/>
  <c r="I292" i="15"/>
  <c r="AJ217" i="15"/>
  <c r="AJ218" i="15"/>
  <c r="I259" i="15"/>
  <c r="AJ255" i="15"/>
  <c r="AJ256" i="15"/>
  <c r="AJ304" i="15"/>
  <c r="AJ305" i="15"/>
  <c r="AJ318" i="15"/>
  <c r="AJ319" i="15"/>
  <c r="I124" i="7"/>
  <c r="F124" i="7" s="1"/>
  <c r="W324" i="7"/>
  <c r="I127" i="7"/>
  <c r="F127" i="7" s="1"/>
  <c r="M449" i="7"/>
  <c r="BE449" i="7" s="1"/>
  <c r="M450" i="7"/>
  <c r="BE450" i="7" s="1"/>
  <c r="M451" i="7"/>
  <c r="BE451" i="7" s="1"/>
  <c r="M448" i="7"/>
  <c r="BE448" i="7" s="1"/>
  <c r="I584" i="15"/>
  <c r="AN584" i="15" s="1"/>
  <c r="BD8" i="10"/>
  <c r="BD77" i="16"/>
  <c r="I77" i="16"/>
  <c r="Q46" i="15" s="1"/>
  <c r="O46" i="15" s="1"/>
  <c r="BC75" i="16"/>
  <c r="BD75" i="16" s="1"/>
  <c r="X45" i="15"/>
  <c r="Z45" i="15" s="1"/>
  <c r="I408" i="15"/>
  <c r="L39" i="15"/>
  <c r="I39" i="15" s="1"/>
  <c r="I64" i="16"/>
  <c r="AB62" i="15"/>
  <c r="I48" i="15"/>
  <c r="AN48" i="15" s="1"/>
  <c r="I172" i="16"/>
  <c r="O48" i="15" s="1"/>
  <c r="V48" i="15" s="1"/>
  <c r="BD76" i="16"/>
  <c r="AF45" i="15" s="1"/>
  <c r="I78" i="16"/>
  <c r="BC63" i="16"/>
  <c r="BD63" i="16" s="1"/>
  <c r="K36" i="15"/>
  <c r="I57" i="16"/>
  <c r="Q36" i="15" s="1"/>
  <c r="L163" i="6"/>
  <c r="AJ146" i="15" s="1"/>
  <c r="K752" i="6"/>
  <c r="AB587" i="15"/>
  <c r="BB36" i="10"/>
  <c r="AA587" i="15" s="1"/>
  <c r="I62" i="15"/>
  <c r="K62" i="15" s="1"/>
  <c r="I280" i="16"/>
  <c r="O62" i="15" s="1"/>
  <c r="Q62" i="15" s="1"/>
  <c r="E134" i="16"/>
  <c r="E120" i="16"/>
  <c r="E301" i="16"/>
  <c r="E274" i="16"/>
  <c r="E213" i="16"/>
  <c r="I45" i="15"/>
  <c r="BB308" i="16"/>
  <c r="AA64" i="15" s="1"/>
  <c r="I220" i="16"/>
  <c r="O51" i="15" s="1"/>
  <c r="V51" i="15" s="1"/>
  <c r="I73" i="16"/>
  <c r="Q44" i="15" s="1"/>
  <c r="O44" i="15" s="1"/>
  <c r="I228" i="16"/>
  <c r="O59" i="15" s="1"/>
  <c r="V59" i="15" s="1"/>
  <c r="BC226" i="16"/>
  <c r="BD226" i="16" s="1"/>
  <c r="X57" i="15"/>
  <c r="Z57" i="15" s="1"/>
  <c r="AB52" i="15"/>
  <c r="L37" i="15"/>
  <c r="I37" i="15" s="1"/>
  <c r="BD60" i="16"/>
  <c r="AF37" i="15" s="1"/>
  <c r="BD68" i="16"/>
  <c r="AB40" i="15"/>
  <c r="BD64" i="16"/>
  <c r="AF39" i="15" s="1"/>
  <c r="BD7" i="10"/>
  <c r="I225" i="16"/>
  <c r="O56" i="15" s="1"/>
  <c r="V56" i="15" s="1"/>
  <c r="I54" i="15"/>
  <c r="AN54" i="15" s="1"/>
  <c r="I223" i="16"/>
  <c r="O54" i="15" s="1"/>
  <c r="V54" i="15" s="1"/>
  <c r="BD172" i="16"/>
  <c r="F66" i="16"/>
  <c r="I180" i="6"/>
  <c r="Q157" i="15" s="1"/>
  <c r="W157" i="15" s="1"/>
  <c r="K157" i="15"/>
  <c r="I157" i="15" s="1"/>
  <c r="E146" i="16"/>
  <c r="E113" i="16"/>
  <c r="BD57" i="16"/>
  <c r="I163" i="6"/>
  <c r="Q146" i="15" s="1"/>
  <c r="W146" i="15" s="1"/>
  <c r="BD163" i="6"/>
  <c r="K748" i="6"/>
  <c r="K769" i="6"/>
  <c r="M143" i="15"/>
  <c r="J143" i="15" s="1"/>
  <c r="K155" i="15"/>
  <c r="I155" i="15" s="1"/>
  <c r="I190" i="6"/>
  <c r="Q164" i="15" s="1"/>
  <c r="K164" i="15"/>
  <c r="I164" i="15" s="1"/>
  <c r="BC189" i="6"/>
  <c r="BD189" i="6" s="1"/>
  <c r="X163" i="15"/>
  <c r="Z163" i="15" s="1"/>
  <c r="AB55" i="15"/>
  <c r="E112" i="16"/>
  <c r="E126" i="16"/>
  <c r="E122" i="16"/>
  <c r="BD179" i="6"/>
  <c r="AG156" i="15" s="1"/>
  <c r="AD156" i="15" s="1"/>
  <c r="M156" i="15"/>
  <c r="J156" i="15" s="1"/>
  <c r="BD157" i="6"/>
  <c r="I157" i="6"/>
  <c r="Q142" i="15" s="1"/>
  <c r="O142" i="15" s="1"/>
  <c r="BC174" i="6"/>
  <c r="BD174" i="6" s="1"/>
  <c r="Y153" i="15"/>
  <c r="BC187" i="6"/>
  <c r="BD187" i="6" s="1"/>
  <c r="X162" i="15"/>
  <c r="Z162" i="15" s="1"/>
  <c r="O160" i="15"/>
  <c r="W160" i="15"/>
  <c r="K156" i="15"/>
  <c r="I156" i="15" s="1"/>
  <c r="K148" i="15"/>
  <c r="I148" i="15" s="1"/>
  <c r="I166" i="6"/>
  <c r="Q148" i="15" s="1"/>
  <c r="W148" i="15" s="1"/>
  <c r="E140" i="16"/>
  <c r="BB227" i="16"/>
  <c r="AA58" i="15" s="1"/>
  <c r="K158" i="15"/>
  <c r="I158" i="15" s="1"/>
  <c r="I181" i="6"/>
  <c r="Q158" i="15" s="1"/>
  <c r="O158" i="15" s="1"/>
  <c r="BD181" i="6"/>
  <c r="M162" i="15"/>
  <c r="J162" i="15" s="1"/>
  <c r="BC450" i="7"/>
  <c r="X377" i="15"/>
  <c r="Z377" i="15" s="1"/>
  <c r="K747" i="6"/>
  <c r="J747" i="6" s="1"/>
  <c r="K158" i="6" s="1"/>
  <c r="BE158" i="6" s="1"/>
  <c r="L158" i="6"/>
  <c r="AJ143" i="15" s="1"/>
  <c r="M144" i="15"/>
  <c r="J144" i="15" s="1"/>
  <c r="I161" i="6"/>
  <c r="S144" i="15" s="1"/>
  <c r="P144" i="15" s="1"/>
  <c r="W144" i="15" s="1"/>
  <c r="M150" i="15"/>
  <c r="J150" i="15" s="1"/>
  <c r="I170" i="6"/>
  <c r="S150" i="15" s="1"/>
  <c r="P150" i="15" s="1"/>
  <c r="W150" i="15" s="1"/>
  <c r="K757" i="6"/>
  <c r="K761" i="6"/>
  <c r="K150" i="15"/>
  <c r="I150" i="15" s="1"/>
  <c r="I633" i="2"/>
  <c r="O713" i="15" s="1"/>
  <c r="V713" i="15" s="1"/>
  <c r="U713" i="15" s="1"/>
  <c r="DD346" i="2"/>
  <c r="AE666" i="15" s="1"/>
  <c r="AC666" i="15" s="1"/>
  <c r="F312" i="2"/>
  <c r="DD345" i="2"/>
  <c r="AE665" i="15" s="1"/>
  <c r="AC665" i="15" s="1"/>
  <c r="DD395" i="2"/>
  <c r="AE670" i="15" s="1"/>
  <c r="AC670" i="15" s="1"/>
  <c r="F290" i="2"/>
  <c r="F291" i="2"/>
  <c r="I395" i="2"/>
  <c r="Q670" i="15" s="1"/>
  <c r="O670" i="15" s="1"/>
  <c r="W670" i="15" s="1"/>
  <c r="V670" i="15" s="1"/>
  <c r="U670" i="15" s="1"/>
  <c r="M234" i="2"/>
  <c r="F220" i="2" s="1"/>
  <c r="DD242" i="2"/>
  <c r="AE654" i="15" s="1"/>
  <c r="AC654" i="15" s="1"/>
  <c r="F313" i="2"/>
  <c r="AE675" i="15"/>
  <c r="AC675" i="15" s="1"/>
  <c r="M235" i="2"/>
  <c r="F221" i="2" s="1"/>
  <c r="I699" i="2"/>
  <c r="O718" i="15" s="1"/>
  <c r="W718" i="15" s="1"/>
  <c r="V718" i="15" s="1"/>
  <c r="U718" i="15" s="1"/>
  <c r="DD396" i="2"/>
  <c r="AE671" i="15" s="1"/>
  <c r="AC671" i="15" s="1"/>
  <c r="DD398" i="2"/>
  <c r="AE673" i="15" s="1"/>
  <c r="AC673" i="15" s="1"/>
  <c r="AE676" i="15"/>
  <c r="AC676" i="15" s="1"/>
  <c r="DD422" i="2"/>
  <c r="DD462" i="2"/>
  <c r="AE683" i="15" s="1"/>
  <c r="AC683" i="15" s="1"/>
  <c r="DD463" i="2"/>
  <c r="AE684" i="15" s="1"/>
  <c r="AC684" i="15" s="1"/>
  <c r="DD464" i="2"/>
  <c r="AE685" i="15" s="1"/>
  <c r="AC685" i="15" s="1"/>
  <c r="DD465" i="2"/>
  <c r="AE686" i="15" s="1"/>
  <c r="AC686" i="15" s="1"/>
  <c r="I482" i="2"/>
  <c r="O687" i="15" s="1"/>
  <c r="V687" i="15" s="1"/>
  <c r="U687" i="15" s="1"/>
  <c r="DD699" i="2"/>
  <c r="AE718" i="15" s="1"/>
  <c r="AC718" i="15" s="1"/>
  <c r="Q676" i="15"/>
  <c r="O676" i="15" s="1"/>
  <c r="W676" i="15" s="1"/>
  <c r="V676" i="15" s="1"/>
  <c r="U676" i="15" s="1"/>
  <c r="H422" i="2"/>
  <c r="DD486" i="2"/>
  <c r="AE691" i="15" s="1"/>
  <c r="AC691" i="15" s="1"/>
  <c r="DD508" i="2"/>
  <c r="AE694" i="15" s="1"/>
  <c r="AC694" i="15" s="1"/>
  <c r="DD509" i="2"/>
  <c r="AE695" i="15" s="1"/>
  <c r="AC695" i="15" s="1"/>
  <c r="DD511" i="2"/>
  <c r="DD533" i="2"/>
  <c r="AE700" i="15" s="1"/>
  <c r="AC700" i="15" s="1"/>
  <c r="DD534" i="2"/>
  <c r="AE701" i="15" s="1"/>
  <c r="AC701" i="15" s="1"/>
  <c r="DD535" i="2"/>
  <c r="AE702" i="15" s="1"/>
  <c r="AC702" i="15" s="1"/>
  <c r="DD536" i="2"/>
  <c r="AE703" i="15" s="1"/>
  <c r="AC703" i="15" s="1"/>
  <c r="DD537" i="2"/>
  <c r="AE704" i="15" s="1"/>
  <c r="AC704" i="15" s="1"/>
  <c r="DD538" i="2"/>
  <c r="AE705" i="15" s="1"/>
  <c r="AC705" i="15" s="1"/>
  <c r="F574" i="2"/>
  <c r="F575" i="2"/>
  <c r="DD616" i="2"/>
  <c r="AE712" i="15" s="1"/>
  <c r="AC712" i="15" s="1"/>
  <c r="DD731" i="2"/>
  <c r="AE720" i="15" s="1"/>
  <c r="AC720" i="15" s="1"/>
  <c r="DD163" i="2"/>
  <c r="AE639" i="15" s="1"/>
  <c r="AC639" i="15" s="1"/>
  <c r="I161" i="2"/>
  <c r="O637" i="15" s="1"/>
  <c r="I597" i="2"/>
  <c r="O709" i="15" s="1"/>
  <c r="V709" i="15" s="1"/>
  <c r="U709" i="15" s="1"/>
  <c r="I160" i="2"/>
  <c r="O636" i="15" s="1"/>
  <c r="V636" i="15" s="1"/>
  <c r="U636" i="15" s="1"/>
  <c r="I162" i="2"/>
  <c r="O638" i="15" s="1"/>
  <c r="V638" i="15" s="1"/>
  <c r="U638" i="15" s="1"/>
  <c r="I159" i="2"/>
  <c r="O635" i="15" s="1"/>
  <c r="DD598" i="2"/>
  <c r="AE710" i="15" s="1"/>
  <c r="AC710" i="15" s="1"/>
  <c r="DD633" i="2"/>
  <c r="AE713" i="15" s="1"/>
  <c r="AC713" i="15" s="1"/>
  <c r="M233" i="2"/>
  <c r="F219" i="2" s="1"/>
  <c r="DD152" i="2"/>
  <c r="AE628" i="15" s="1"/>
  <c r="AC628" i="15" s="1"/>
  <c r="DD160" i="2"/>
  <c r="AE636" i="15" s="1"/>
  <c r="AC636" i="15" s="1"/>
  <c r="DD161" i="2"/>
  <c r="AE637" i="15" s="1"/>
  <c r="AC637" i="15" s="1"/>
  <c r="DD162" i="2"/>
  <c r="AE638" i="15" s="1"/>
  <c r="AC638" i="15" s="1"/>
  <c r="DD164" i="2"/>
  <c r="AE640" i="15" s="1"/>
  <c r="AC640" i="15" s="1"/>
  <c r="DD165" i="2"/>
  <c r="AE641" i="15" s="1"/>
  <c r="AC641" i="15" s="1"/>
  <c r="DD166" i="2"/>
  <c r="AE642" i="15" s="1"/>
  <c r="AC642" i="15" s="1"/>
  <c r="DD167" i="2"/>
  <c r="AE643" i="15" s="1"/>
  <c r="AC643" i="15" s="1"/>
  <c r="DD168" i="2"/>
  <c r="AE644" i="15" s="1"/>
  <c r="AC644" i="15" s="1"/>
  <c r="I273" i="2"/>
  <c r="O656" i="15" s="1"/>
  <c r="DD169" i="2"/>
  <c r="AE645" i="15" s="1"/>
  <c r="AC645" i="15" s="1"/>
  <c r="F289" i="2"/>
  <c r="I731" i="2"/>
  <c r="O720" i="15" s="1"/>
  <c r="V720" i="15" s="1"/>
  <c r="U720" i="15" s="1"/>
  <c r="DC154" i="2"/>
  <c r="DD154" i="2" s="1"/>
  <c r="AE630" i="15" s="1"/>
  <c r="AC630" i="15" s="1"/>
  <c r="DD331" i="2"/>
  <c r="AE664" i="15" s="1"/>
  <c r="AC664" i="15" s="1"/>
  <c r="I558" i="2"/>
  <c r="O706" i="15" s="1"/>
  <c r="V706" i="15" s="1"/>
  <c r="U706" i="15" s="1"/>
  <c r="I152" i="2"/>
  <c r="O628" i="15" s="1"/>
  <c r="V628" i="15" s="1"/>
  <c r="U628" i="15" s="1"/>
  <c r="I153" i="2"/>
  <c r="O629" i="15" s="1"/>
  <c r="I154" i="2"/>
  <c r="O630" i="15" s="1"/>
  <c r="I155" i="2"/>
  <c r="O631" i="15" s="1"/>
  <c r="I156" i="2"/>
  <c r="O632" i="15" s="1"/>
  <c r="I157" i="2"/>
  <c r="O633" i="15" s="1"/>
  <c r="I158" i="2"/>
  <c r="O634" i="15" s="1"/>
  <c r="I163" i="2"/>
  <c r="O639" i="15" s="1"/>
  <c r="V639" i="15" s="1"/>
  <c r="U639" i="15" s="1"/>
  <c r="I164" i="2"/>
  <c r="O640" i="15" s="1"/>
  <c r="V640" i="15" s="1"/>
  <c r="U640" i="15" s="1"/>
  <c r="I165" i="2"/>
  <c r="O641" i="15" s="1"/>
  <c r="V641" i="15" s="1"/>
  <c r="U641" i="15" s="1"/>
  <c r="I166" i="2"/>
  <c r="O642" i="15" s="1"/>
  <c r="V642" i="15" s="1"/>
  <c r="U642" i="15" s="1"/>
  <c r="I167" i="2"/>
  <c r="O643" i="15" s="1"/>
  <c r="V643" i="15" s="1"/>
  <c r="U643" i="15" s="1"/>
  <c r="I168" i="2"/>
  <c r="O644" i="15" s="1"/>
  <c r="V644" i="15" s="1"/>
  <c r="U644" i="15" s="1"/>
  <c r="I169" i="2"/>
  <c r="O645" i="15" s="1"/>
  <c r="V645" i="15" s="1"/>
  <c r="U645" i="15" s="1"/>
  <c r="F292" i="2"/>
  <c r="F311" i="2"/>
  <c r="I462" i="2"/>
  <c r="O683" i="15" s="1"/>
  <c r="V683" i="15" s="1"/>
  <c r="U683" i="15" s="1"/>
  <c r="I463" i="2"/>
  <c r="O684" i="15" s="1"/>
  <c r="V684" i="15" s="1"/>
  <c r="U684" i="15" s="1"/>
  <c r="I464" i="2"/>
  <c r="O685" i="15" s="1"/>
  <c r="V685" i="15" s="1"/>
  <c r="U685" i="15" s="1"/>
  <c r="I465" i="2"/>
  <c r="O686" i="15" s="1"/>
  <c r="V686" i="15" s="1"/>
  <c r="U686" i="15" s="1"/>
  <c r="I532" i="2"/>
  <c r="O699" i="15" s="1"/>
  <c r="W699" i="15" s="1"/>
  <c r="V699" i="15" s="1"/>
  <c r="U699" i="15" s="1"/>
  <c r="I533" i="2"/>
  <c r="O700" i="15" s="1"/>
  <c r="W700" i="15" s="1"/>
  <c r="V700" i="15" s="1"/>
  <c r="U700" i="15" s="1"/>
  <c r="I534" i="2"/>
  <c r="O701" i="15" s="1"/>
  <c r="I535" i="2"/>
  <c r="O702" i="15" s="1"/>
  <c r="W702" i="15" s="1"/>
  <c r="V702" i="15" s="1"/>
  <c r="U702" i="15" s="1"/>
  <c r="I536" i="2"/>
  <c r="O703" i="15" s="1"/>
  <c r="W703" i="15" s="1"/>
  <c r="V703" i="15" s="1"/>
  <c r="U703" i="15" s="1"/>
  <c r="I537" i="2"/>
  <c r="O704" i="15" s="1"/>
  <c r="W704" i="15" s="1"/>
  <c r="V704" i="15" s="1"/>
  <c r="U704" i="15" s="1"/>
  <c r="I346" i="2"/>
  <c r="O666" i="15" s="1"/>
  <c r="W666" i="15" s="1"/>
  <c r="V666" i="15" s="1"/>
  <c r="U666" i="15" s="1"/>
  <c r="I345" i="2"/>
  <c r="O665" i="15" s="1"/>
  <c r="W665" i="15" s="1"/>
  <c r="V665" i="15" s="1"/>
  <c r="U665" i="15" s="1"/>
  <c r="X609" i="15"/>
  <c r="Z609" i="15" s="1"/>
  <c r="W609" i="15" s="1"/>
  <c r="AE609" i="15"/>
  <c r="AC609" i="15" s="1"/>
  <c r="DD241" i="2"/>
  <c r="AE653" i="15" s="1"/>
  <c r="AC653" i="15" s="1"/>
  <c r="H331" i="2"/>
  <c r="DC156" i="2"/>
  <c r="DD156" i="2" s="1"/>
  <c r="AE632" i="15" s="1"/>
  <c r="AC632" i="15" s="1"/>
  <c r="AE612" i="15"/>
  <c r="AC612" i="15" s="1"/>
  <c r="AK97" i="2"/>
  <c r="AW97" i="2"/>
  <c r="AO97" i="2"/>
  <c r="AS97" i="2"/>
  <c r="BE97" i="2"/>
  <c r="K673" i="15"/>
  <c r="I673" i="15" s="1"/>
  <c r="AN673" i="15" s="1"/>
  <c r="I398" i="2"/>
  <c r="Q673" i="15" s="1"/>
  <c r="O673" i="15" s="1"/>
  <c r="W673" i="15" s="1"/>
  <c r="V673" i="15" s="1"/>
  <c r="U673" i="15" s="1"/>
  <c r="X606" i="15"/>
  <c r="Z606" i="15" s="1"/>
  <c r="W606" i="15" s="1"/>
  <c r="DC24" i="2"/>
  <c r="DD24" i="2" s="1"/>
  <c r="AE606" i="15" s="1"/>
  <c r="AC606" i="15" s="1"/>
  <c r="X615" i="15"/>
  <c r="Z615" i="15" s="1"/>
  <c r="W615" i="15" s="1"/>
  <c r="DC33" i="2"/>
  <c r="DD33" i="2" s="1"/>
  <c r="DB33" i="2" s="1"/>
  <c r="AV97" i="2"/>
  <c r="AJ97" i="2"/>
  <c r="AN97" i="2"/>
  <c r="AZ97" i="2"/>
  <c r="BD97" i="2"/>
  <c r="AR97" i="2"/>
  <c r="X629" i="15"/>
  <c r="Z629" i="15" s="1"/>
  <c r="W629" i="15" s="1"/>
  <c r="DC153" i="2"/>
  <c r="DD153" i="2" s="1"/>
  <c r="DD198" i="2"/>
  <c r="AE647" i="15" s="1"/>
  <c r="AC647" i="15" s="1"/>
  <c r="DD259" i="2"/>
  <c r="AE655" i="15" s="1"/>
  <c r="AC655" i="15" s="1"/>
  <c r="DC158" i="2"/>
  <c r="DD158" i="2" s="1"/>
  <c r="AE634" i="15" s="1"/>
  <c r="AC634" i="15" s="1"/>
  <c r="DD197" i="2"/>
  <c r="AE646" i="15" s="1"/>
  <c r="AC646" i="15" s="1"/>
  <c r="M232" i="2"/>
  <c r="F218" i="2" s="1"/>
  <c r="I241" i="2"/>
  <c r="O653" i="15" s="1"/>
  <c r="W653" i="15" s="1"/>
  <c r="V653" i="15" s="1"/>
  <c r="U653" i="15" s="1"/>
  <c r="AB655" i="15"/>
  <c r="X631" i="15"/>
  <c r="Z631" i="15" s="1"/>
  <c r="W631" i="15" s="1"/>
  <c r="DC155" i="2"/>
  <c r="DD155" i="2" s="1"/>
  <c r="AE631" i="15" s="1"/>
  <c r="AC631" i="15" s="1"/>
  <c r="X633" i="15"/>
  <c r="Z633" i="15" s="1"/>
  <c r="W633" i="15" s="1"/>
  <c r="DC157" i="2"/>
  <c r="DD157" i="2" s="1"/>
  <c r="AE633" i="15" s="1"/>
  <c r="AC633" i="15" s="1"/>
  <c r="X635" i="15"/>
  <c r="Z635" i="15" s="1"/>
  <c r="W635" i="15" s="1"/>
  <c r="DC159" i="2"/>
  <c r="DD159" i="2" s="1"/>
  <c r="AE635" i="15" s="1"/>
  <c r="AC635" i="15" s="1"/>
  <c r="DD683" i="2"/>
  <c r="AE717" i="15" s="1"/>
  <c r="AC717" i="15" s="1"/>
  <c r="I198" i="2"/>
  <c r="O647" i="15" s="1"/>
  <c r="V647" i="15" s="1"/>
  <c r="U647" i="15" s="1"/>
  <c r="DC9" i="2"/>
  <c r="DD9" i="2" s="1"/>
  <c r="AE591" i="15" s="1"/>
  <c r="AC591" i="15" s="1"/>
  <c r="AY97" i="2"/>
  <c r="AM97" i="2"/>
  <c r="BC97" i="2"/>
  <c r="AQ97" i="2"/>
  <c r="I242" i="2"/>
  <c r="O654" i="15" s="1"/>
  <c r="W654" i="15" s="1"/>
  <c r="V654" i="15" s="1"/>
  <c r="U654" i="15" s="1"/>
  <c r="I656" i="15"/>
  <c r="AN656" i="15" s="1"/>
  <c r="DD273" i="2"/>
  <c r="AE656" i="15" s="1"/>
  <c r="AC656" i="15" s="1"/>
  <c r="DD397" i="2"/>
  <c r="AE672" i="15" s="1"/>
  <c r="AC672" i="15" s="1"/>
  <c r="DD597" i="2"/>
  <c r="AE709" i="15" s="1"/>
  <c r="AC709" i="15" s="1"/>
  <c r="I13" i="2"/>
  <c r="O595" i="15" s="1"/>
  <c r="V595" i="15" s="1"/>
  <c r="U595" i="15" s="1"/>
  <c r="I14" i="2"/>
  <c r="O596" i="15" s="1"/>
  <c r="W596" i="15" s="1"/>
  <c r="I17" i="2"/>
  <c r="O599" i="15" s="1"/>
  <c r="I18" i="2"/>
  <c r="O600" i="15" s="1"/>
  <c r="I19" i="2"/>
  <c r="O601" i="15" s="1"/>
  <c r="I20" i="2"/>
  <c r="O602" i="15" s="1"/>
  <c r="I21" i="2"/>
  <c r="O603" i="15" s="1"/>
  <c r="I22" i="2"/>
  <c r="O604" i="15" s="1"/>
  <c r="W604" i="15" s="1"/>
  <c r="V604" i="15" s="1"/>
  <c r="I23" i="2"/>
  <c r="O605" i="15" s="1"/>
  <c r="W605" i="15" s="1"/>
  <c r="V605" i="15" s="1"/>
  <c r="U605" i="15" s="1"/>
  <c r="I27" i="2"/>
  <c r="O609" i="15" s="1"/>
  <c r="I30" i="2"/>
  <c r="O612" i="15" s="1"/>
  <c r="V612" i="15" s="1"/>
  <c r="U612" i="15" s="1"/>
  <c r="AL97" i="2"/>
  <c r="AX97" i="2"/>
  <c r="BB97" i="2"/>
  <c r="AP97" i="2"/>
  <c r="I197" i="2"/>
  <c r="O646" i="15" s="1"/>
  <c r="V646" i="15" s="1"/>
  <c r="U646" i="15" s="1"/>
  <c r="I259" i="2"/>
  <c r="O655" i="15" s="1"/>
  <c r="W655" i="15" s="1"/>
  <c r="V655" i="15" s="1"/>
  <c r="U655" i="15" s="1"/>
  <c r="DD558" i="2"/>
  <c r="AE706" i="15" s="1"/>
  <c r="AC706" i="15" s="1"/>
  <c r="I598" i="2"/>
  <c r="O710" i="15" s="1"/>
  <c r="V710" i="15" s="1"/>
  <c r="U710" i="15" s="1"/>
  <c r="I486" i="2"/>
  <c r="O691" i="15" s="1"/>
  <c r="V691" i="15" s="1"/>
  <c r="U691" i="15" s="1"/>
  <c r="I506" i="2"/>
  <c r="O692" i="15" s="1"/>
  <c r="V692" i="15" s="1"/>
  <c r="U692" i="15" s="1"/>
  <c r="I507" i="2"/>
  <c r="O693" i="15" s="1"/>
  <c r="V693" i="15" s="1"/>
  <c r="U693" i="15" s="1"/>
  <c r="I508" i="2"/>
  <c r="O694" i="15" s="1"/>
  <c r="V694" i="15" s="1"/>
  <c r="U694" i="15" s="1"/>
  <c r="I509" i="2"/>
  <c r="O695" i="15" s="1"/>
  <c r="V695" i="15" s="1"/>
  <c r="U695" i="15" s="1"/>
  <c r="I510" i="2"/>
  <c r="O696" i="15" s="1"/>
  <c r="V696" i="15" s="1"/>
  <c r="U696" i="15" s="1"/>
  <c r="I511" i="2"/>
  <c r="O697" i="15" s="1"/>
  <c r="I512" i="2"/>
  <c r="O698" i="15" s="1"/>
  <c r="V698" i="15" s="1"/>
  <c r="U698" i="15" s="1"/>
  <c r="I538" i="2"/>
  <c r="O705" i="15" s="1"/>
  <c r="I683" i="2"/>
  <c r="O717" i="15" s="1"/>
  <c r="I715" i="2"/>
  <c r="O719" i="15" s="1"/>
  <c r="U719" i="15" s="1"/>
  <c r="I732" i="2"/>
  <c r="O721" i="15" s="1"/>
  <c r="V721" i="15" s="1"/>
  <c r="U721" i="15" s="1"/>
  <c r="I733" i="2"/>
  <c r="O722" i="15" s="1"/>
  <c r="I751" i="2"/>
  <c r="O723" i="15" s="1"/>
  <c r="W723" i="15" s="1"/>
  <c r="V723" i="15" s="1"/>
  <c r="U723" i="15" s="1"/>
  <c r="AD286" i="15"/>
  <c r="AN195" i="15"/>
  <c r="W121" i="15"/>
  <c r="AN392" i="15"/>
  <c r="I678" i="15"/>
  <c r="I679" i="15"/>
  <c r="AN396" i="15"/>
  <c r="AN86" i="15"/>
  <c r="AN326" i="15"/>
  <c r="AN401" i="15"/>
  <c r="I194" i="15"/>
  <c r="O194" i="15"/>
  <c r="AC195" i="15"/>
  <c r="AC249" i="15"/>
  <c r="AN44" i="15"/>
  <c r="AN432" i="15"/>
  <c r="Z115" i="15"/>
  <c r="Z582" i="15"/>
  <c r="AN194" i="15"/>
  <c r="AN292" i="15"/>
  <c r="AN202" i="15"/>
  <c r="AA677" i="15"/>
  <c r="I803" i="2"/>
  <c r="O728" i="15" s="1"/>
  <c r="W728" i="15" s="1"/>
  <c r="V728" i="15" s="1"/>
  <c r="U728" i="15" s="1"/>
  <c r="AN98" i="15"/>
  <c r="AN101" i="15"/>
  <c r="I436" i="15"/>
  <c r="AN436" i="15" s="1"/>
  <c r="I270" i="15"/>
  <c r="I428" i="15"/>
  <c r="AN38" i="15"/>
  <c r="P194" i="15"/>
  <c r="W194" i="15" s="1"/>
  <c r="AN554" i="15"/>
  <c r="W677" i="15"/>
  <c r="V677" i="15" s="1"/>
  <c r="U677" i="15" s="1"/>
  <c r="AN286" i="15"/>
  <c r="AN430" i="15"/>
  <c r="AN403" i="15"/>
  <c r="AN675" i="15"/>
  <c r="AO675" i="15" s="1"/>
  <c r="Z292" i="15"/>
  <c r="AD296" i="15"/>
  <c r="O169" i="15"/>
  <c r="AD270" i="15"/>
  <c r="P264" i="15"/>
  <c r="W264" i="15" s="1"/>
  <c r="P171" i="15"/>
  <c r="W171" i="15" s="1"/>
  <c r="O171" i="15"/>
  <c r="AC280" i="15"/>
  <c r="I249" i="15"/>
  <c r="AN303" i="15"/>
  <c r="AN259" i="15"/>
  <c r="AN253" i="15"/>
  <c r="I429" i="15"/>
  <c r="I676" i="15"/>
  <c r="I677" i="15"/>
  <c r="I675" i="15"/>
  <c r="I483" i="2"/>
  <c r="O688" i="15" s="1"/>
  <c r="V688" i="15" s="1"/>
  <c r="U688" i="15" s="1"/>
  <c r="I484" i="2"/>
  <c r="O689" i="15" s="1"/>
  <c r="V689" i="15" s="1"/>
  <c r="U689" i="15" s="1"/>
  <c r="I485" i="2"/>
  <c r="O690" i="15" s="1"/>
  <c r="V690" i="15" s="1"/>
  <c r="U690" i="15" s="1"/>
  <c r="AA678" i="15"/>
  <c r="AN679" i="15"/>
  <c r="AO679" i="15" s="1"/>
  <c r="AN678" i="15"/>
  <c r="AO678" i="15" s="1"/>
  <c r="AN677" i="15"/>
  <c r="AO677" i="15" s="1"/>
  <c r="AN676" i="15"/>
  <c r="DB399" i="2"/>
  <c r="AA674" i="15" s="1"/>
  <c r="I397" i="2"/>
  <c r="Q672" i="15" s="1"/>
  <c r="O672" i="15" s="1"/>
  <c r="W672" i="15" s="1"/>
  <c r="V672" i="15" s="1"/>
  <c r="U672" i="15" s="1"/>
  <c r="I399" i="2"/>
  <c r="Q674" i="15" s="1"/>
  <c r="O674" i="15" s="1"/>
  <c r="W674" i="15" s="1"/>
  <c r="V674" i="15" s="1"/>
  <c r="U674" i="15" s="1"/>
  <c r="I365" i="2"/>
  <c r="O669" i="15" s="1"/>
  <c r="AN470" i="15"/>
  <c r="AN438" i="15"/>
  <c r="O127" i="15"/>
  <c r="I202" i="15"/>
  <c r="AD264" i="15"/>
  <c r="AN71" i="15"/>
  <c r="AN127" i="15"/>
  <c r="AC266" i="15"/>
  <c r="AN77" i="15"/>
  <c r="I192" i="15"/>
  <c r="AN496" i="15"/>
  <c r="AN499" i="15"/>
  <c r="O154" i="15"/>
  <c r="W154" i="15"/>
  <c r="AN609" i="15"/>
  <c r="AN125" i="15"/>
  <c r="AO125" i="15" s="1"/>
  <c r="I403" i="15"/>
  <c r="AN229" i="15"/>
  <c r="AN65" i="15"/>
  <c r="Z397" i="15"/>
  <c r="W679" i="15"/>
  <c r="V679" i="15" s="1"/>
  <c r="U679" i="15" s="1"/>
  <c r="I260" i="15"/>
  <c r="Z395" i="15"/>
  <c r="I406" i="15"/>
  <c r="AN412" i="15"/>
  <c r="AN429" i="15"/>
  <c r="AN433" i="15"/>
  <c r="I435" i="15"/>
  <c r="AN435" i="15" s="1"/>
  <c r="AN492" i="15"/>
  <c r="AN502" i="15"/>
  <c r="AN506" i="15"/>
  <c r="AN192" i="15"/>
  <c r="W124" i="15"/>
  <c r="AN398" i="15"/>
  <c r="AN137" i="15"/>
  <c r="AO137" i="15" s="1"/>
  <c r="I402" i="15"/>
  <c r="I430" i="15"/>
  <c r="AN498" i="15"/>
  <c r="AN501" i="15"/>
  <c r="AD302" i="15"/>
  <c r="AN106" i="15"/>
  <c r="AO106" i="15" s="1"/>
  <c r="I432" i="15"/>
  <c r="I433" i="15"/>
  <c r="AN495" i="15"/>
  <c r="AN583" i="15"/>
  <c r="AO583" i="15" s="1"/>
  <c r="O195" i="15"/>
  <c r="W195" i="15" s="1"/>
  <c r="AN166" i="15"/>
  <c r="AN489" i="15"/>
  <c r="AN45" i="15"/>
  <c r="DD23" i="2"/>
  <c r="DB23" i="2" s="1"/>
  <c r="AA605" i="15" s="1"/>
  <c r="AA675" i="15"/>
  <c r="DC13" i="2"/>
  <c r="DD13" i="2" s="1"/>
  <c r="AE595" i="15" s="1"/>
  <c r="AC595" i="15" s="1"/>
  <c r="DC22" i="2"/>
  <c r="DD22" i="2" s="1"/>
  <c r="AE604" i="15" s="1"/>
  <c r="AC604" i="15" s="1"/>
  <c r="DC19" i="2"/>
  <c r="DD19" i="2" s="1"/>
  <c r="AE601" i="15" s="1"/>
  <c r="AC601" i="15" s="1"/>
  <c r="DC16" i="2"/>
  <c r="DD16" i="2" s="1"/>
  <c r="AE598" i="15" s="1"/>
  <c r="AC598" i="15" s="1"/>
  <c r="DC12" i="2"/>
  <c r="DD12" i="2" s="1"/>
  <c r="AE594" i="15" s="1"/>
  <c r="AC594" i="15" s="1"/>
  <c r="DC11" i="2"/>
  <c r="DD11" i="2" s="1"/>
  <c r="AE593" i="15" s="1"/>
  <c r="AC593" i="15" s="1"/>
  <c r="AN260" i="15"/>
  <c r="AN265" i="15"/>
  <c r="AN276" i="15"/>
  <c r="I276" i="15"/>
  <c r="AN437" i="15"/>
  <c r="Z180" i="15"/>
  <c r="AN104" i="15"/>
  <c r="AN399" i="15"/>
  <c r="J171" i="15"/>
  <c r="AN428" i="15"/>
  <c r="AN75" i="15"/>
  <c r="AN100" i="15"/>
  <c r="AN443" i="15"/>
  <c r="AN483" i="15"/>
  <c r="AN494" i="15"/>
  <c r="AN500" i="15"/>
  <c r="AN70" i="15"/>
  <c r="AN431" i="15"/>
  <c r="AN484" i="15"/>
  <c r="AN491" i="15"/>
  <c r="AN504" i="15"/>
  <c r="AN61" i="15"/>
  <c r="AN414" i="15"/>
  <c r="AN488" i="15"/>
  <c r="AN46" i="15"/>
  <c r="AN76" i="15"/>
  <c r="AN84" i="15"/>
  <c r="AN121" i="15"/>
  <c r="AO121" i="15" s="1"/>
  <c r="AN487" i="15"/>
  <c r="AN503" i="15"/>
  <c r="AN39" i="15"/>
  <c r="AN58" i="15"/>
  <c r="AN612" i="15"/>
  <c r="AN131" i="15"/>
  <c r="AO131" i="15" s="1"/>
  <c r="AN37" i="15"/>
  <c r="I46" i="15"/>
  <c r="AN57" i="15"/>
  <c r="AN49" i="15"/>
  <c r="AN51" i="15"/>
  <c r="AN56" i="15"/>
  <c r="AN52" i="15"/>
  <c r="AN225" i="15"/>
  <c r="AN103" i="15"/>
  <c r="AN497" i="15"/>
  <c r="AN505" i="15"/>
  <c r="AN47" i="15"/>
  <c r="AN55" i="15"/>
  <c r="AN63" i="15"/>
  <c r="Z194" i="15"/>
  <c r="I11" i="2"/>
  <c r="O593" i="15" s="1"/>
  <c r="DC21" i="2"/>
  <c r="DD21" i="2" s="1"/>
  <c r="AE603" i="15" s="1"/>
  <c r="AC603" i="15" s="1"/>
  <c r="DC10" i="2"/>
  <c r="DD10" i="2" s="1"/>
  <c r="DB10" i="2" s="1"/>
  <c r="AA592" i="15" s="1"/>
  <c r="I15" i="2"/>
  <c r="O597" i="15" s="1"/>
  <c r="W597" i="15" s="1"/>
  <c r="I12" i="2"/>
  <c r="O594" i="15" s="1"/>
  <c r="V594" i="15" s="1"/>
  <c r="U594" i="15" s="1"/>
  <c r="I24" i="2"/>
  <c r="O606" i="15" s="1"/>
  <c r="I33" i="2"/>
  <c r="O615" i="15" s="1"/>
  <c r="W675" i="15"/>
  <c r="V675" i="15" s="1"/>
  <c r="U675" i="15" s="1"/>
  <c r="I9" i="2"/>
  <c r="O591" i="15" s="1"/>
  <c r="W591" i="15" s="1"/>
  <c r="V591" i="15" s="1"/>
  <c r="U591" i="15" s="1"/>
  <c r="I10" i="2"/>
  <c r="O592" i="15" s="1"/>
  <c r="W592" i="15" s="1"/>
  <c r="V592" i="15" s="1"/>
  <c r="U592" i="15" s="1"/>
  <c r="DC14" i="2"/>
  <c r="DD14" i="2" s="1"/>
  <c r="I16" i="2"/>
  <c r="O598" i="15" s="1"/>
  <c r="W598" i="15" s="1"/>
  <c r="DC20" i="2"/>
  <c r="DD20" i="2" s="1"/>
  <c r="DC17" i="2"/>
  <c r="DD17" i="2" s="1"/>
  <c r="DC15" i="2"/>
  <c r="DD15" i="2" s="1"/>
  <c r="DC18" i="2"/>
  <c r="DD18" i="2" s="1"/>
  <c r="AN674" i="15"/>
  <c r="W678" i="15"/>
  <c r="V678" i="15" s="1"/>
  <c r="U678" i="15" s="1"/>
  <c r="AN167" i="15"/>
  <c r="AN64" i="15"/>
  <c r="BD9" i="9" l="1"/>
  <c r="AE522" i="15" s="1"/>
  <c r="AC522" i="15" s="1"/>
  <c r="I401" i="15"/>
  <c r="AN307" i="15"/>
  <c r="I307" i="15"/>
  <c r="BE1529" i="6"/>
  <c r="AB239" i="15"/>
  <c r="I1576" i="6"/>
  <c r="T256" i="15" s="1"/>
  <c r="BE1531" i="6"/>
  <c r="AB240" i="15"/>
  <c r="I62" i="16"/>
  <c r="BD31" i="3"/>
  <c r="BB31" i="3" s="1"/>
  <c r="I400" i="15"/>
  <c r="I399" i="15"/>
  <c r="AN405" i="15"/>
  <c r="BB256" i="16"/>
  <c r="AA61" i="15" s="1"/>
  <c r="AE61" i="15"/>
  <c r="AC61" i="15" s="1"/>
  <c r="BB371" i="9"/>
  <c r="AA562" i="15" s="1"/>
  <c r="I407" i="15"/>
  <c r="AN404" i="15"/>
  <c r="AE562" i="15"/>
  <c r="AC562" i="15" s="1"/>
  <c r="I13" i="9"/>
  <c r="Q526" i="15" s="1"/>
  <c r="O526" i="15" s="1"/>
  <c r="AC13" i="9"/>
  <c r="I14" i="9"/>
  <c r="Q527" i="15" s="1"/>
  <c r="O527" i="15" s="1"/>
  <c r="U527" i="15" s="1"/>
  <c r="AC14" i="9"/>
  <c r="K524" i="15"/>
  <c r="I524" i="15" s="1"/>
  <c r="AN524" i="15" s="1"/>
  <c r="AC11" i="9"/>
  <c r="K522" i="15"/>
  <c r="I522" i="15" s="1"/>
  <c r="AN522" i="15" s="1"/>
  <c r="AO522" i="15" s="1"/>
  <c r="AC9" i="9"/>
  <c r="BD10" i="9"/>
  <c r="AE523" i="15" s="1"/>
  <c r="AC523" i="15" s="1"/>
  <c r="AC10" i="9"/>
  <c r="BD11" i="9"/>
  <c r="AE524" i="15" s="1"/>
  <c r="AC524" i="15" s="1"/>
  <c r="BD14" i="9"/>
  <c r="BB14" i="9" s="1"/>
  <c r="I11" i="9"/>
  <c r="Q524" i="15" s="1"/>
  <c r="O524" i="15" s="1"/>
  <c r="U524" i="15" s="1"/>
  <c r="AO550" i="15"/>
  <c r="K527" i="15"/>
  <c r="I527" i="15" s="1"/>
  <c r="AN527" i="15" s="1"/>
  <c r="K330" i="15"/>
  <c r="I330" i="15" s="1"/>
  <c r="AN330" i="15" s="1"/>
  <c r="AC17" i="7"/>
  <c r="K328" i="15"/>
  <c r="I328" i="15" s="1"/>
  <c r="AN328" i="15" s="1"/>
  <c r="AC15" i="7"/>
  <c r="K331" i="15"/>
  <c r="I331" i="15" s="1"/>
  <c r="AN331" i="15" s="1"/>
  <c r="AC18" i="7"/>
  <c r="K327" i="15"/>
  <c r="I327" i="15" s="1"/>
  <c r="AN327" i="15" s="1"/>
  <c r="AC14" i="7"/>
  <c r="K325" i="15"/>
  <c r="I325" i="15" s="1"/>
  <c r="AN325" i="15" s="1"/>
  <c r="AO325" i="15" s="1"/>
  <c r="AC12" i="7"/>
  <c r="K321" i="15"/>
  <c r="I321" i="15" s="1"/>
  <c r="AN321" i="15" s="1"/>
  <c r="AC8" i="7"/>
  <c r="K322" i="15"/>
  <c r="I322" i="15" s="1"/>
  <c r="AN322" i="15" s="1"/>
  <c r="AC9" i="7"/>
  <c r="K329" i="15"/>
  <c r="I329" i="15" s="1"/>
  <c r="AN329" i="15" s="1"/>
  <c r="AC16" i="7"/>
  <c r="K323" i="15"/>
  <c r="I323" i="15" s="1"/>
  <c r="AN323" i="15" s="1"/>
  <c r="AO323" i="15" s="1"/>
  <c r="AC10" i="7"/>
  <c r="I1747" i="6"/>
  <c r="I1528" i="6"/>
  <c r="R238" i="15" s="1"/>
  <c r="I1673" i="6"/>
  <c r="BD1660" i="6"/>
  <c r="C1738" i="6"/>
  <c r="J4190" i="6" s="1"/>
  <c r="J1966" i="6"/>
  <c r="I1690" i="6"/>
  <c r="R289" i="15" s="1"/>
  <c r="BD1517" i="6"/>
  <c r="AE233" i="15" s="1"/>
  <c r="J3088" i="6"/>
  <c r="L289" i="15"/>
  <c r="J2714" i="6"/>
  <c r="A1737" i="6"/>
  <c r="J3275" i="6"/>
  <c r="BD1477" i="6"/>
  <c r="BD1442" i="6"/>
  <c r="AF207" i="15" s="1"/>
  <c r="AC207" i="15" s="1"/>
  <c r="K3457" i="6"/>
  <c r="F1727" i="6" s="1"/>
  <c r="K299" i="15" s="1"/>
  <c r="F1723" i="6"/>
  <c r="K298" i="15" s="1"/>
  <c r="BD1757" i="6"/>
  <c r="BD1778" i="6"/>
  <c r="AF318" i="15" s="1"/>
  <c r="BD1777" i="6"/>
  <c r="AE318" i="15" s="1"/>
  <c r="I1538" i="6"/>
  <c r="R243" i="15" s="1"/>
  <c r="K3442" i="6"/>
  <c r="F1697" i="6" s="1"/>
  <c r="K291" i="15" s="1"/>
  <c r="F1693" i="6"/>
  <c r="K290" i="15" s="1"/>
  <c r="K3359" i="6"/>
  <c r="F1531" i="6" s="1"/>
  <c r="K240" i="15" s="1"/>
  <c r="F1529" i="6"/>
  <c r="K239" i="15" s="1"/>
  <c r="BD1511" i="6"/>
  <c r="BD1518" i="6"/>
  <c r="AF233" i="15" s="1"/>
  <c r="BD1769" i="6"/>
  <c r="AE314" i="15" s="1"/>
  <c r="K3354" i="6"/>
  <c r="F1521" i="6" s="1"/>
  <c r="K235" i="15" s="1"/>
  <c r="F1519" i="6"/>
  <c r="K234" i="15" s="1"/>
  <c r="BD1538" i="6"/>
  <c r="AF243" i="15" s="1"/>
  <c r="BD1748" i="6"/>
  <c r="AF305" i="15" s="1"/>
  <c r="BD1500" i="6"/>
  <c r="BD1735" i="6"/>
  <c r="AE301" i="15" s="1"/>
  <c r="AC301" i="15" s="1"/>
  <c r="BD1556" i="6"/>
  <c r="AF250" i="15" s="1"/>
  <c r="K3991" i="6"/>
  <c r="K1539" i="6" s="1"/>
  <c r="K4223" i="6"/>
  <c r="K1771" i="6" s="1"/>
  <c r="BE1771" i="6" s="1"/>
  <c r="K3993" i="6"/>
  <c r="K1541" i="6" s="1"/>
  <c r="K3989" i="6"/>
  <c r="K1537" i="6" s="1"/>
  <c r="BE1537" i="6" s="1"/>
  <c r="BD1780" i="6"/>
  <c r="AF319" i="15" s="1"/>
  <c r="BD1448" i="6"/>
  <c r="AH208" i="15" s="1"/>
  <c r="BD1770" i="6"/>
  <c r="AF314" i="15" s="1"/>
  <c r="BD1764" i="6"/>
  <c r="AF311" i="15" s="1"/>
  <c r="BD1763" i="6"/>
  <c r="BD1765" i="6"/>
  <c r="BB1765" i="6" s="1"/>
  <c r="AA312" i="15" s="1"/>
  <c r="K3458" i="6"/>
  <c r="F1729" i="6" s="1"/>
  <c r="M299" i="15" s="1"/>
  <c r="J299" i="15" s="1"/>
  <c r="F1725" i="6"/>
  <c r="M298" i="15" s="1"/>
  <c r="J298" i="15" s="1"/>
  <c r="K3427" i="6"/>
  <c r="F1667" i="6" s="1"/>
  <c r="M283" i="15" s="1"/>
  <c r="J283" i="15" s="1"/>
  <c r="F1663" i="6"/>
  <c r="M282" i="15" s="1"/>
  <c r="J282" i="15" s="1"/>
  <c r="K3345" i="6"/>
  <c r="F1501" i="6"/>
  <c r="K227" i="15" s="1"/>
  <c r="BD1722" i="6"/>
  <c r="BD1497" i="6"/>
  <c r="AE226" i="15" s="1"/>
  <c r="AC226" i="15" s="1"/>
  <c r="BD1673" i="6"/>
  <c r="BD1719" i="6"/>
  <c r="BD1527" i="6"/>
  <c r="BD1774" i="6"/>
  <c r="AF316" i="15" s="1"/>
  <c r="BD1446" i="6"/>
  <c r="AF208" i="15" s="1"/>
  <c r="BD1451" i="6"/>
  <c r="AG209" i="15" s="1"/>
  <c r="AD209" i="15" s="1"/>
  <c r="L281" i="15"/>
  <c r="BD1751" i="6"/>
  <c r="AE307" i="15" s="1"/>
  <c r="AC307" i="15" s="1"/>
  <c r="I1751" i="6"/>
  <c r="Q307" i="15" s="1"/>
  <c r="O307" i="15" s="1"/>
  <c r="W307" i="15" s="1"/>
  <c r="BD1692" i="6"/>
  <c r="AH289" i="15" s="1"/>
  <c r="BD1720" i="6"/>
  <c r="BD1689" i="6"/>
  <c r="BD1776" i="6"/>
  <c r="AF317" i="15" s="1"/>
  <c r="BD1768" i="6"/>
  <c r="AF313" i="15" s="1"/>
  <c r="K3383" i="6"/>
  <c r="F1577" i="6"/>
  <c r="K257" i="15" s="1"/>
  <c r="K3443" i="6"/>
  <c r="F1699" i="6" s="1"/>
  <c r="M291" i="15" s="1"/>
  <c r="J291" i="15" s="1"/>
  <c r="F1695" i="6"/>
  <c r="M290" i="15" s="1"/>
  <c r="J290" i="15" s="1"/>
  <c r="K3426" i="6"/>
  <c r="F1665" i="6" s="1"/>
  <c r="K283" i="15" s="1"/>
  <c r="F1661" i="6"/>
  <c r="K282" i="15" s="1"/>
  <c r="BD1537" i="6"/>
  <c r="BD1487" i="6"/>
  <c r="BD1747" i="6"/>
  <c r="BD1772" i="6"/>
  <c r="AF315" i="15" s="1"/>
  <c r="BD1760" i="6"/>
  <c r="AH309" i="15" s="1"/>
  <c r="BD1773" i="6"/>
  <c r="AE316" i="15" s="1"/>
  <c r="BD1761" i="6"/>
  <c r="AE310" i="15" s="1"/>
  <c r="AC310" i="15" s="1"/>
  <c r="BD1450" i="6"/>
  <c r="AF209" i="15" s="1"/>
  <c r="AC209" i="15" s="1"/>
  <c r="BD1641" i="6"/>
  <c r="AE277" i="15" s="1"/>
  <c r="AC277" i="15" s="1"/>
  <c r="BD1443" i="6"/>
  <c r="AG207" i="15" s="1"/>
  <c r="BD1444" i="6"/>
  <c r="AH207" i="15" s="1"/>
  <c r="I1556" i="6"/>
  <c r="R250" i="15" s="1"/>
  <c r="J2153" i="6"/>
  <c r="K3364" i="6"/>
  <c r="F1541" i="6" s="1"/>
  <c r="K245" i="15" s="1"/>
  <c r="F1539" i="6"/>
  <c r="K244" i="15" s="1"/>
  <c r="K3373" i="6"/>
  <c r="F1559" i="6" s="1"/>
  <c r="K252" i="15" s="1"/>
  <c r="F1557" i="6"/>
  <c r="K251" i="15" s="1"/>
  <c r="BD1555" i="6"/>
  <c r="AE250" i="15" s="1"/>
  <c r="AO725" i="15"/>
  <c r="BB763" i="7"/>
  <c r="AA415" i="15" s="1"/>
  <c r="I356" i="15"/>
  <c r="AN356" i="15" s="1"/>
  <c r="AC428" i="15"/>
  <c r="BD16" i="7"/>
  <c r="AE329" i="15" s="1"/>
  <c r="AC329" i="15" s="1"/>
  <c r="BD8" i="7"/>
  <c r="AE321" i="15" s="1"/>
  <c r="AC321" i="15" s="1"/>
  <c r="BD9" i="7"/>
  <c r="AE322" i="15" s="1"/>
  <c r="AC322" i="15" s="1"/>
  <c r="I8" i="7"/>
  <c r="Q321" i="15" s="1"/>
  <c r="O321" i="15" s="1"/>
  <c r="I9" i="7"/>
  <c r="Q322" i="15" s="1"/>
  <c r="O322" i="15" s="1"/>
  <c r="I16" i="7"/>
  <c r="Q329" i="15" s="1"/>
  <c r="O329" i="15" s="1"/>
  <c r="BD931" i="7"/>
  <c r="AF437" i="15" s="1"/>
  <c r="AC437" i="15" s="1"/>
  <c r="L437" i="15"/>
  <c r="I437" i="15" s="1"/>
  <c r="BD841" i="7"/>
  <c r="BB841" i="7" s="1"/>
  <c r="AA424" i="15" s="1"/>
  <c r="I453" i="15"/>
  <c r="AN453" i="15" s="1"/>
  <c r="AO453" i="15" s="1"/>
  <c r="M1144" i="7"/>
  <c r="O466" i="15" s="1"/>
  <c r="W466" i="15" s="1"/>
  <c r="AC433" i="15"/>
  <c r="D551" i="7"/>
  <c r="D590" i="7" s="1"/>
  <c r="D659" i="7" s="1"/>
  <c r="D749" i="7" s="1"/>
  <c r="K150" i="7"/>
  <c r="O370" i="15" s="1"/>
  <c r="W370" i="15" s="1"/>
  <c r="BD17" i="7"/>
  <c r="BB17" i="7" s="1"/>
  <c r="AA330" i="15" s="1"/>
  <c r="F19" i="7"/>
  <c r="F20" i="7"/>
  <c r="F21" i="7"/>
  <c r="BD15" i="7"/>
  <c r="BB15" i="7" s="1"/>
  <c r="AA328" i="15" s="1"/>
  <c r="L431" i="15"/>
  <c r="I431" i="15" s="1"/>
  <c r="I15" i="7"/>
  <c r="Q328" i="15" s="1"/>
  <c r="O328" i="15" s="1"/>
  <c r="I919" i="7"/>
  <c r="R431" i="15" s="1"/>
  <c r="O431" i="15" s="1"/>
  <c r="V431" i="15" s="1"/>
  <c r="BD1032" i="7"/>
  <c r="AE442" i="15" s="1"/>
  <c r="AC442" i="15" s="1"/>
  <c r="AF398" i="15"/>
  <c r="AC398" i="15" s="1"/>
  <c r="BB676" i="7"/>
  <c r="AA398" i="15" s="1"/>
  <c r="I291" i="2"/>
  <c r="O659" i="15" s="1"/>
  <c r="V659" i="15" s="1"/>
  <c r="U659" i="15" s="1"/>
  <c r="DD667" i="2"/>
  <c r="AE716" i="15" s="1"/>
  <c r="AC716" i="15" s="1"/>
  <c r="DD574" i="2"/>
  <c r="AE707" i="15" s="1"/>
  <c r="AC707" i="15" s="1"/>
  <c r="I652" i="15"/>
  <c r="AN652" i="15" s="1"/>
  <c r="I786" i="2"/>
  <c r="O727" i="15" s="1"/>
  <c r="V727" i="15" s="1"/>
  <c r="U727" i="15" s="1"/>
  <c r="I785" i="2"/>
  <c r="O726" i="15" s="1"/>
  <c r="V726" i="15" s="1"/>
  <c r="U726" i="15" s="1"/>
  <c r="U604" i="15"/>
  <c r="W600" i="15"/>
  <c r="V600" i="15" s="1"/>
  <c r="U600" i="15" s="1"/>
  <c r="W602" i="15"/>
  <c r="V602" i="15" s="1"/>
  <c r="U602" i="15" s="1"/>
  <c r="V598" i="15"/>
  <c r="U598" i="15" s="1"/>
  <c r="V597" i="15"/>
  <c r="U597" i="15" s="1"/>
  <c r="V596" i="15"/>
  <c r="U596" i="15" s="1"/>
  <c r="W603" i="15"/>
  <c r="V603" i="15" s="1"/>
  <c r="U603" i="15" s="1"/>
  <c r="W601" i="15"/>
  <c r="V601" i="15" s="1"/>
  <c r="U601" i="15" s="1"/>
  <c r="W599" i="15"/>
  <c r="V599" i="15" s="1"/>
  <c r="U599" i="15" s="1"/>
  <c r="DB506" i="2"/>
  <c r="AA692" i="15" s="1"/>
  <c r="I667" i="2"/>
  <c r="O716" i="15" s="1"/>
  <c r="U716" i="15" s="1"/>
  <c r="I574" i="2"/>
  <c r="O707" i="15" s="1"/>
  <c r="V707" i="15" s="1"/>
  <c r="U707" i="15" s="1"/>
  <c r="K1523" i="6"/>
  <c r="AB236" i="15" s="1"/>
  <c r="K1525" i="6"/>
  <c r="K1605" i="6"/>
  <c r="AB267" i="15" s="1"/>
  <c r="AO564" i="15"/>
  <c r="BD8" i="9"/>
  <c r="AE521" i="15" s="1"/>
  <c r="AC521" i="15" s="1"/>
  <c r="AB525" i="15"/>
  <c r="BE12" i="9"/>
  <c r="AB543" i="15"/>
  <c r="M275" i="9"/>
  <c r="O545" i="15" s="1"/>
  <c r="W545" i="15" s="1"/>
  <c r="J393" i="15"/>
  <c r="M602" i="7"/>
  <c r="P393" i="15" s="1"/>
  <c r="AB380" i="15"/>
  <c r="BD839" i="7"/>
  <c r="BB839" i="7" s="1"/>
  <c r="AA422" i="15" s="1"/>
  <c r="K1433" i="6"/>
  <c r="BE1433" i="6" s="1"/>
  <c r="K1425" i="6"/>
  <c r="K1441" i="6"/>
  <c r="I1447" i="6"/>
  <c r="S208" i="15" s="1"/>
  <c r="P208" i="15" s="1"/>
  <c r="W208" i="15" s="1"/>
  <c r="J3837" i="6"/>
  <c r="J4211" i="6"/>
  <c r="I1748" i="6"/>
  <c r="R305" i="15" s="1"/>
  <c r="J3815" i="6"/>
  <c r="J4189" i="6"/>
  <c r="J3799" i="6"/>
  <c r="J4173" i="6"/>
  <c r="J3785" i="6"/>
  <c r="J4159" i="6"/>
  <c r="J3462" i="6"/>
  <c r="J3753" i="6"/>
  <c r="J4127" i="6"/>
  <c r="J3769" i="6"/>
  <c r="J4143" i="6"/>
  <c r="J3721" i="6"/>
  <c r="J4095" i="6"/>
  <c r="J3737" i="6"/>
  <c r="J4111" i="6"/>
  <c r="J2527" i="6"/>
  <c r="J3705" i="6"/>
  <c r="J4079" i="6"/>
  <c r="AF297" i="15"/>
  <c r="J3653" i="6"/>
  <c r="J4027" i="6"/>
  <c r="I1518" i="6"/>
  <c r="R233" i="15" s="1"/>
  <c r="J3577" i="6"/>
  <c r="J3951" i="6"/>
  <c r="J3557" i="6"/>
  <c r="J3931" i="6"/>
  <c r="J3533" i="6"/>
  <c r="J3907" i="6"/>
  <c r="J3525" i="6"/>
  <c r="J3899" i="6"/>
  <c r="I1692" i="6"/>
  <c r="T289" i="15" s="1"/>
  <c r="I1658" i="6"/>
  <c r="R281" i="15" s="1"/>
  <c r="AH281" i="15"/>
  <c r="AH226" i="15"/>
  <c r="AH297" i="15"/>
  <c r="AC225" i="15"/>
  <c r="I1500" i="6"/>
  <c r="T226" i="15" s="1"/>
  <c r="I1660" i="6"/>
  <c r="T281" i="15" s="1"/>
  <c r="A1738" i="6"/>
  <c r="J3816" i="6"/>
  <c r="J3228" i="6"/>
  <c r="J2667" i="6"/>
  <c r="J2106" i="6"/>
  <c r="J3041" i="6"/>
  <c r="J2480" i="6"/>
  <c r="J3415" i="6"/>
  <c r="J2293" i="6"/>
  <c r="J2854" i="6"/>
  <c r="J2332" i="6"/>
  <c r="J3267" i="6"/>
  <c r="J2706" i="6"/>
  <c r="J2145" i="6"/>
  <c r="J3080" i="6"/>
  <c r="J2519" i="6"/>
  <c r="J2893" i="6"/>
  <c r="J3454" i="6"/>
  <c r="J3260" i="6"/>
  <c r="J2699" i="6"/>
  <c r="J2138" i="6"/>
  <c r="J3073" i="6"/>
  <c r="J2512" i="6"/>
  <c r="J3447" i="6"/>
  <c r="J2325" i="6"/>
  <c r="J2886" i="6"/>
  <c r="J3236" i="6"/>
  <c r="J2301" i="6"/>
  <c r="J2675" i="6"/>
  <c r="J2114" i="6"/>
  <c r="J3049" i="6"/>
  <c r="J2488" i="6"/>
  <c r="J3423" i="6"/>
  <c r="J2862" i="6"/>
  <c r="J3220" i="6"/>
  <c r="J2659" i="6"/>
  <c r="J2285" i="6"/>
  <c r="J2098" i="6"/>
  <c r="J3033" i="6"/>
  <c r="J2472" i="6"/>
  <c r="J3407" i="6"/>
  <c r="J2846" i="6"/>
  <c r="I1771" i="6"/>
  <c r="Q315" i="15" s="1"/>
  <c r="O315" i="15" s="1"/>
  <c r="W315" i="15" s="1"/>
  <c r="J2820" i="6"/>
  <c r="J2259" i="6"/>
  <c r="J3194" i="6"/>
  <c r="J2633" i="6"/>
  <c r="J2072" i="6"/>
  <c r="J3007" i="6"/>
  <c r="J2446" i="6"/>
  <c r="J3381" i="6"/>
  <c r="J3156" i="6"/>
  <c r="J2595" i="6"/>
  <c r="J2034" i="6"/>
  <c r="J2969" i="6"/>
  <c r="J2408" i="6"/>
  <c r="J2221" i="6"/>
  <c r="J3343" i="6"/>
  <c r="J2782" i="6"/>
  <c r="J3244" i="6"/>
  <c r="J2683" i="6"/>
  <c r="J2122" i="6"/>
  <c r="J3057" i="6"/>
  <c r="J2309" i="6"/>
  <c r="J2496" i="6"/>
  <c r="J3431" i="6"/>
  <c r="J2870" i="6"/>
  <c r="J3252" i="6"/>
  <c r="J2691" i="6"/>
  <c r="J2130" i="6"/>
  <c r="J3065" i="6"/>
  <c r="J2504" i="6"/>
  <c r="J2317" i="6"/>
  <c r="J3439" i="6"/>
  <c r="J2878" i="6"/>
  <c r="J2164" i="6"/>
  <c r="J3099" i="6"/>
  <c r="J2725" i="6"/>
  <c r="J2538" i="6"/>
  <c r="J3473" i="6"/>
  <c r="J2912" i="6"/>
  <c r="J2351" i="6"/>
  <c r="J3286" i="6"/>
  <c r="J2772" i="6"/>
  <c r="J2211" i="6"/>
  <c r="J3146" i="6"/>
  <c r="J2585" i="6"/>
  <c r="J2024" i="6"/>
  <c r="J2959" i="6"/>
  <c r="J3333" i="6"/>
  <c r="J2398" i="6"/>
  <c r="I1722" i="6"/>
  <c r="T297" i="15" s="1"/>
  <c r="J2012" i="6"/>
  <c r="J2947" i="6"/>
  <c r="J2386" i="6"/>
  <c r="J3321" i="6"/>
  <c r="J2573" i="6"/>
  <c r="J2760" i="6"/>
  <c r="J2199" i="6"/>
  <c r="J3134" i="6"/>
  <c r="J2756" i="6"/>
  <c r="J2195" i="6"/>
  <c r="J3130" i="6"/>
  <c r="J2569" i="6"/>
  <c r="J2008" i="6"/>
  <c r="J3317" i="6"/>
  <c r="J2943" i="6"/>
  <c r="J2382" i="6"/>
  <c r="O214" i="15"/>
  <c r="W214" i="15" s="1"/>
  <c r="Z268" i="15"/>
  <c r="I277" i="15"/>
  <c r="Z281" i="15"/>
  <c r="AD266" i="15"/>
  <c r="I1625" i="6"/>
  <c r="Q273" i="15" s="1"/>
  <c r="O273" i="15" s="1"/>
  <c r="Y181" i="15"/>
  <c r="I256" i="15"/>
  <c r="Z204" i="15"/>
  <c r="AC269" i="15"/>
  <c r="X4097" i="6"/>
  <c r="Z255" i="15"/>
  <c r="I1483" i="6"/>
  <c r="Q220" i="15" s="1"/>
  <c r="O220" i="15" s="1"/>
  <c r="W220" i="15" s="1"/>
  <c r="AE281" i="15"/>
  <c r="AC281" i="15" s="1"/>
  <c r="AE289" i="15"/>
  <c r="AC289" i="15" s="1"/>
  <c r="Z202" i="15"/>
  <c r="BB1599" i="6"/>
  <c r="AA265" i="15" s="1"/>
  <c r="I315" i="15"/>
  <c r="AN256" i="15"/>
  <c r="AN315" i="15"/>
  <c r="J208" i="15"/>
  <c r="AN214" i="15"/>
  <c r="AC241" i="15"/>
  <c r="I1499" i="6"/>
  <c r="S226" i="15" s="1"/>
  <c r="X3925" i="6"/>
  <c r="I1627" i="6"/>
  <c r="S273" i="15" s="1"/>
  <c r="P273" i="15" s="1"/>
  <c r="W273" i="15" s="1"/>
  <c r="AN277" i="15"/>
  <c r="Z266" i="15"/>
  <c r="O242" i="15"/>
  <c r="W242" i="15" s="1"/>
  <c r="I1705" i="6"/>
  <c r="Q293" i="15" s="1"/>
  <c r="O293" i="15" s="1"/>
  <c r="O232" i="15"/>
  <c r="W232" i="15" s="1"/>
  <c r="AG281" i="15"/>
  <c r="Z270" i="15"/>
  <c r="X3877" i="6"/>
  <c r="X3945" i="6"/>
  <c r="K297" i="15"/>
  <c r="I297" i="15" s="1"/>
  <c r="I1719" i="6"/>
  <c r="Q297" i="15" s="1"/>
  <c r="O297" i="15" s="1"/>
  <c r="I1691" i="6"/>
  <c r="S289" i="15" s="1"/>
  <c r="I1511" i="6"/>
  <c r="Q230" i="15" s="1"/>
  <c r="O230" i="15" s="1"/>
  <c r="W230" i="15" s="1"/>
  <c r="I1643" i="6"/>
  <c r="S277" i="15" s="1"/>
  <c r="P277" i="15" s="1"/>
  <c r="W277" i="15" s="1"/>
  <c r="M218" i="15"/>
  <c r="J218" i="15" s="1"/>
  <c r="I1479" i="6"/>
  <c r="S218" i="15" s="1"/>
  <c r="P218" i="15" s="1"/>
  <c r="W218" i="15" s="1"/>
  <c r="K281" i="15"/>
  <c r="I1657" i="6"/>
  <c r="Q281" i="15" s="1"/>
  <c r="K238" i="15"/>
  <c r="AN238" i="15" s="1"/>
  <c r="I1527" i="6"/>
  <c r="Q238" i="15" s="1"/>
  <c r="M210" i="15"/>
  <c r="J210" i="15" s="1"/>
  <c r="I1455" i="6"/>
  <c r="S210" i="15" s="1"/>
  <c r="P210" i="15" s="1"/>
  <c r="W210" i="15" s="1"/>
  <c r="M256" i="15"/>
  <c r="J256" i="15" s="1"/>
  <c r="I1575" i="6"/>
  <c r="S256" i="15" s="1"/>
  <c r="P256" i="15" s="1"/>
  <c r="W256" i="15" s="1"/>
  <c r="M297" i="15"/>
  <c r="J297" i="15" s="1"/>
  <c r="I1721" i="6"/>
  <c r="S297" i="15" s="1"/>
  <c r="P297" i="15" s="1"/>
  <c r="W297" i="15" s="1"/>
  <c r="K208" i="15"/>
  <c r="AN208" i="15" s="1"/>
  <c r="I1445" i="6"/>
  <c r="Q208" i="15" s="1"/>
  <c r="I1537" i="6"/>
  <c r="Q243" i="15" s="1"/>
  <c r="K218" i="15"/>
  <c r="AN218" i="15" s="1"/>
  <c r="I1477" i="6"/>
  <c r="Q218" i="15" s="1"/>
  <c r="O218" i="15" s="1"/>
  <c r="M285" i="15"/>
  <c r="J285" i="15" s="1"/>
  <c r="I1675" i="6"/>
  <c r="S285" i="15" s="1"/>
  <c r="P285" i="15" s="1"/>
  <c r="W285" i="15" s="1"/>
  <c r="I1641" i="6"/>
  <c r="Q277" i="15" s="1"/>
  <c r="O277" i="15" s="1"/>
  <c r="I1446" i="6"/>
  <c r="R208" i="15" s="1"/>
  <c r="K226" i="15"/>
  <c r="I226" i="15" s="1"/>
  <c r="I1497" i="6"/>
  <c r="Q226" i="15" s="1"/>
  <c r="O226" i="15" s="1"/>
  <c r="K233" i="15"/>
  <c r="I233" i="15" s="1"/>
  <c r="I1517" i="6"/>
  <c r="Q233" i="15" s="1"/>
  <c r="K210" i="15"/>
  <c r="I210" i="15" s="1"/>
  <c r="I1453" i="6"/>
  <c r="Q210" i="15" s="1"/>
  <c r="O210" i="15" s="1"/>
  <c r="I1779" i="6"/>
  <c r="Q319" i="15" s="1"/>
  <c r="O319" i="15" s="1"/>
  <c r="W319" i="15" s="1"/>
  <c r="K313" i="15"/>
  <c r="I313" i="15" s="1"/>
  <c r="I1767" i="6"/>
  <c r="Q313" i="15" s="1"/>
  <c r="O313" i="15" s="1"/>
  <c r="W313" i="15" s="1"/>
  <c r="M309" i="15"/>
  <c r="J309" i="15" s="1"/>
  <c r="I1759" i="6"/>
  <c r="S309" i="15" s="1"/>
  <c r="P309" i="15" s="1"/>
  <c r="W309" i="15" s="1"/>
  <c r="M281" i="15"/>
  <c r="J281" i="15" s="1"/>
  <c r="I1659" i="6"/>
  <c r="S281" i="15" s="1"/>
  <c r="K317" i="15"/>
  <c r="I317" i="15" s="1"/>
  <c r="I1775" i="6"/>
  <c r="Q317" i="15" s="1"/>
  <c r="O317" i="15" s="1"/>
  <c r="W317" i="15" s="1"/>
  <c r="I1689" i="6"/>
  <c r="Q289" i="15" s="1"/>
  <c r="K311" i="15"/>
  <c r="I311" i="15" s="1"/>
  <c r="I1763" i="6"/>
  <c r="Q311" i="15" s="1"/>
  <c r="O311" i="15" s="1"/>
  <c r="W311" i="15" s="1"/>
  <c r="I1757" i="6"/>
  <c r="Q309" i="15" s="1"/>
  <c r="O309" i="15" s="1"/>
  <c r="M293" i="15"/>
  <c r="J293" i="15" s="1"/>
  <c r="I1707" i="6"/>
  <c r="S293" i="15" s="1"/>
  <c r="P293" i="15" s="1"/>
  <c r="W293" i="15" s="1"/>
  <c r="M301" i="15"/>
  <c r="J301" i="15" s="1"/>
  <c r="I1737" i="6"/>
  <c r="S301" i="15" s="1"/>
  <c r="P301" i="15" s="1"/>
  <c r="W301" i="15" s="1"/>
  <c r="AD276" i="15"/>
  <c r="P284" i="15"/>
  <c r="W284" i="15" s="1"/>
  <c r="AE309" i="15"/>
  <c r="BB789" i="6"/>
  <c r="AA167" i="15" s="1"/>
  <c r="AG277" i="15"/>
  <c r="AD277" i="15" s="1"/>
  <c r="O280" i="15"/>
  <c r="AO280" i="15" s="1"/>
  <c r="P255" i="15"/>
  <c r="W255" i="15" s="1"/>
  <c r="Y297" i="15"/>
  <c r="P225" i="15"/>
  <c r="W225" i="15" s="1"/>
  <c r="AC292" i="15"/>
  <c r="Z125" i="15"/>
  <c r="M277" i="15"/>
  <c r="J277" i="15" s="1"/>
  <c r="AC189" i="15"/>
  <c r="AD217" i="15"/>
  <c r="AB237" i="15"/>
  <c r="F1256" i="6"/>
  <c r="AD284" i="15"/>
  <c r="AB230" i="15"/>
  <c r="O288" i="15"/>
  <c r="AO288" i="15" s="1"/>
  <c r="AE317" i="15"/>
  <c r="F1280" i="6"/>
  <c r="F1268" i="6"/>
  <c r="F1238" i="6"/>
  <c r="F1274" i="6"/>
  <c r="F1250" i="6"/>
  <c r="F1262" i="6"/>
  <c r="BC1771" i="6"/>
  <c r="O219" i="15"/>
  <c r="W219" i="15" s="1"/>
  <c r="O312" i="15"/>
  <c r="W312" i="15" s="1"/>
  <c r="F1232" i="6"/>
  <c r="AG218" i="15"/>
  <c r="AD218" i="15" s="1"/>
  <c r="AB233" i="15"/>
  <c r="AG293" i="15"/>
  <c r="AD293" i="15" s="1"/>
  <c r="AB311" i="15"/>
  <c r="AC187" i="15"/>
  <c r="AC288" i="15"/>
  <c r="AC248" i="15"/>
  <c r="AB117" i="15"/>
  <c r="BE119" i="6"/>
  <c r="BB119" i="6" s="1"/>
  <c r="AA117" i="15" s="1"/>
  <c r="AB135" i="15"/>
  <c r="BE146" i="6"/>
  <c r="BB146" i="6" s="1"/>
  <c r="AA135" i="15" s="1"/>
  <c r="BE124" i="6"/>
  <c r="BB124" i="6" s="1"/>
  <c r="AA120" i="15" s="1"/>
  <c r="AB396" i="15"/>
  <c r="BE606" i="7"/>
  <c r="BB606" i="7" s="1"/>
  <c r="AA396" i="15" s="1"/>
  <c r="BE1144" i="7"/>
  <c r="BB1144" i="7" s="1"/>
  <c r="AA466" i="15" s="1"/>
  <c r="K558" i="7"/>
  <c r="O384" i="15" s="1"/>
  <c r="W384" i="15" s="1"/>
  <c r="K446" i="7"/>
  <c r="O373" i="15" s="1"/>
  <c r="W373" i="15" s="1"/>
  <c r="BD558" i="7"/>
  <c r="AE384" i="15" s="1"/>
  <c r="AC384" i="15" s="1"/>
  <c r="F1244" i="6"/>
  <c r="DB482" i="2"/>
  <c r="AA687" i="15" s="1"/>
  <c r="BB220" i="16"/>
  <c r="AA51" i="15" s="1"/>
  <c r="BB541" i="9"/>
  <c r="AA580" i="15" s="1"/>
  <c r="AE580" i="15"/>
  <c r="AC580" i="15" s="1"/>
  <c r="I580" i="15"/>
  <c r="AN580" i="15" s="1"/>
  <c r="L541" i="9"/>
  <c r="O580" i="15" s="1"/>
  <c r="V580" i="15" s="1"/>
  <c r="V614" i="9"/>
  <c r="BD275" i="9"/>
  <c r="BB275" i="9" s="1"/>
  <c r="AA545" i="15" s="1"/>
  <c r="BB478" i="9"/>
  <c r="AA568" i="15" s="1"/>
  <c r="BB406" i="9"/>
  <c r="AA563" i="15" s="1"/>
  <c r="M1129" i="7"/>
  <c r="O451" i="15" s="1"/>
  <c r="W451" i="15" s="1"/>
  <c r="I349" i="15"/>
  <c r="AN349" i="15" s="1"/>
  <c r="BD1129" i="7"/>
  <c r="AE451" i="15" s="1"/>
  <c r="AC451" i="15" s="1"/>
  <c r="K449" i="7"/>
  <c r="O376" i="15" s="1"/>
  <c r="W376" i="15" s="1"/>
  <c r="AB391" i="15"/>
  <c r="BB1341" i="7"/>
  <c r="AA489" i="15" s="1"/>
  <c r="AB384" i="15"/>
  <c r="J841" i="7"/>
  <c r="O424" i="15" s="1"/>
  <c r="V424" i="15" s="1"/>
  <c r="BB924" i="7"/>
  <c r="AA434" i="15" s="1"/>
  <c r="AB395" i="15"/>
  <c r="BD1124" i="7"/>
  <c r="AE446" i="15" s="1"/>
  <c r="AC446" i="15" s="1"/>
  <c r="BD1132" i="7"/>
  <c r="AE454" i="15" s="1"/>
  <c r="AC454" i="15" s="1"/>
  <c r="I454" i="15"/>
  <c r="AN454" i="15" s="1"/>
  <c r="AO454" i="15" s="1"/>
  <c r="M1140" i="7"/>
  <c r="O462" i="15" s="1"/>
  <c r="W462" i="15" s="1"/>
  <c r="BD12" i="3"/>
  <c r="BD23" i="3"/>
  <c r="AE25" i="15" s="1"/>
  <c r="AC25" i="15" s="1"/>
  <c r="BD20" i="3"/>
  <c r="AE22" i="15" s="1"/>
  <c r="AC22" i="15" s="1"/>
  <c r="G25" i="3"/>
  <c r="O27" i="15" s="1"/>
  <c r="W27" i="15" s="1"/>
  <c r="BD13" i="3"/>
  <c r="AD225" i="15"/>
  <c r="AB196" i="15"/>
  <c r="M1124" i="7"/>
  <c r="O446" i="15" s="1"/>
  <c r="W446" i="15" s="1"/>
  <c r="O303" i="15"/>
  <c r="W303" i="15" s="1"/>
  <c r="P308" i="15"/>
  <c r="W308" i="15" s="1"/>
  <c r="BB1343" i="7"/>
  <c r="AA491" i="15" s="1"/>
  <c r="AE488" i="15"/>
  <c r="AC488" i="15" s="1"/>
  <c r="BB1338" i="7"/>
  <c r="AA486" i="15" s="1"/>
  <c r="D552" i="7"/>
  <c r="D591" i="7" s="1"/>
  <c r="V591" i="7" s="1"/>
  <c r="V665" i="7" s="1"/>
  <c r="BB1358" i="7"/>
  <c r="AA506" i="15" s="1"/>
  <c r="AE564" i="15"/>
  <c r="AC564" i="15" s="1"/>
  <c r="AO563" i="15"/>
  <c r="O304" i="15"/>
  <c r="W304" i="15" s="1"/>
  <c r="AG226" i="15"/>
  <c r="AE256" i="15"/>
  <c r="AC256" i="15" s="1"/>
  <c r="X4105" i="6"/>
  <c r="X4121" i="6"/>
  <c r="BB1465" i="6"/>
  <c r="AA213" i="15" s="1"/>
  <c r="BB1485" i="6"/>
  <c r="AA221" i="15" s="1"/>
  <c r="AB175" i="15"/>
  <c r="F1242" i="6"/>
  <c r="I213" i="15"/>
  <c r="Z278" i="15"/>
  <c r="Z144" i="15"/>
  <c r="F1284" i="6"/>
  <c r="K243" i="15"/>
  <c r="I243" i="15" s="1"/>
  <c r="F1254" i="6"/>
  <c r="F1272" i="6"/>
  <c r="O316" i="15"/>
  <c r="W316" i="15" s="1"/>
  <c r="J292" i="15"/>
  <c r="O261" i="15"/>
  <c r="W261" i="15" s="1"/>
  <c r="F1266" i="6"/>
  <c r="Z286" i="15"/>
  <c r="F1248" i="6"/>
  <c r="F1260" i="6"/>
  <c r="F1236" i="6"/>
  <c r="K230" i="15"/>
  <c r="I230" i="15" s="1"/>
  <c r="AC300" i="15"/>
  <c r="AD255" i="15"/>
  <c r="O189" i="15"/>
  <c r="W189" i="15" s="1"/>
  <c r="AE293" i="15"/>
  <c r="AC293" i="15" s="1"/>
  <c r="F1290" i="6"/>
  <c r="X4073" i="6"/>
  <c r="O272" i="15"/>
  <c r="AO272" i="15" s="1"/>
  <c r="AC296" i="15"/>
  <c r="BB1509" i="6"/>
  <c r="AA229" i="15" s="1"/>
  <c r="Y293" i="15"/>
  <c r="Z293" i="15" s="1"/>
  <c r="O318" i="15"/>
  <c r="AO318" i="15" s="1"/>
  <c r="K309" i="15"/>
  <c r="AN309" i="15" s="1"/>
  <c r="AC229" i="15"/>
  <c r="X4065" i="6"/>
  <c r="X4047" i="6"/>
  <c r="K289" i="15"/>
  <c r="AE220" i="15"/>
  <c r="AC220" i="15" s="1"/>
  <c r="AG273" i="15"/>
  <c r="AD273" i="15" s="1"/>
  <c r="AE305" i="15"/>
  <c r="O199" i="15"/>
  <c r="W199" i="15" s="1"/>
  <c r="X717" i="6"/>
  <c r="AE201" i="15"/>
  <c r="AC201" i="15" s="1"/>
  <c r="O300" i="15"/>
  <c r="AO300" i="15" s="1"/>
  <c r="Z149" i="15"/>
  <c r="Z300" i="15"/>
  <c r="BC1447" i="6"/>
  <c r="BB1481" i="6"/>
  <c r="AA219" i="15" s="1"/>
  <c r="AG210" i="15"/>
  <c r="AD210" i="15" s="1"/>
  <c r="AB222" i="15"/>
  <c r="AB220" i="15"/>
  <c r="AB381" i="15"/>
  <c r="BB1089" i="7"/>
  <c r="AA444" i="15" s="1"/>
  <c r="I447" i="15"/>
  <c r="AN447" i="15" s="1"/>
  <c r="BD590" i="9"/>
  <c r="AE582" i="15" s="1"/>
  <c r="AC582" i="15" s="1"/>
  <c r="I590" i="9"/>
  <c r="O582" i="15" s="1"/>
  <c r="AO582" i="15" s="1"/>
  <c r="AB331" i="15"/>
  <c r="AB325" i="15"/>
  <c r="BB12" i="7"/>
  <c r="AA325" i="15" s="1"/>
  <c r="AB322" i="15"/>
  <c r="M1125" i="7"/>
  <c r="O447" i="15" s="1"/>
  <c r="W447" i="15" s="1"/>
  <c r="BD66" i="7"/>
  <c r="BD65" i="7"/>
  <c r="Z141" i="15"/>
  <c r="AA33" i="15"/>
  <c r="G14" i="3"/>
  <c r="O16" i="15" s="1"/>
  <c r="W16" i="15" s="1"/>
  <c r="I9" i="15"/>
  <c r="AN9" i="15" s="1"/>
  <c r="O33" i="15"/>
  <c r="W33" i="15" s="1"/>
  <c r="BB14" i="3"/>
  <c r="AA16" i="15" s="1"/>
  <c r="AE16" i="15"/>
  <c r="AC16" i="15" s="1"/>
  <c r="I16" i="15"/>
  <c r="AN16" i="15" s="1"/>
  <c r="BD17" i="3"/>
  <c r="AE19" i="15" s="1"/>
  <c r="AC19" i="15" s="1"/>
  <c r="I19" i="15"/>
  <c r="AN19" i="15" s="1"/>
  <c r="AO19" i="15" s="1"/>
  <c r="G11" i="3"/>
  <c r="O13" i="15" s="1"/>
  <c r="W13" i="15" s="1"/>
  <c r="G7" i="3"/>
  <c r="O9" i="15" s="1"/>
  <c r="W9" i="15" s="1"/>
  <c r="BD11" i="3"/>
  <c r="AE13" i="15" s="1"/>
  <c r="AC13" i="15" s="1"/>
  <c r="I21" i="15"/>
  <c r="AN21" i="15" s="1"/>
  <c r="AO21" i="15" s="1"/>
  <c r="BD26" i="3"/>
  <c r="BB10" i="3"/>
  <c r="AA12" i="15" s="1"/>
  <c r="BB20" i="3"/>
  <c r="AA22" i="15" s="1"/>
  <c r="DB767" i="2"/>
  <c r="AA724" i="15" s="1"/>
  <c r="DB532" i="2"/>
  <c r="AA699" i="15" s="1"/>
  <c r="DB483" i="2"/>
  <c r="AA688" i="15" s="1"/>
  <c r="DB615" i="2"/>
  <c r="DB715" i="2"/>
  <c r="AA719" i="15" s="1"/>
  <c r="BB477" i="9"/>
  <c r="AA567" i="15" s="1"/>
  <c r="AO565" i="15"/>
  <c r="BB227" i="9"/>
  <c r="AA544" i="15" s="1"/>
  <c r="BB475" i="9"/>
  <c r="AA565" i="15" s="1"/>
  <c r="BB1336" i="7"/>
  <c r="AA484" i="15" s="1"/>
  <c r="BB1344" i="7"/>
  <c r="AA492" i="15" s="1"/>
  <c r="K139" i="7"/>
  <c r="O359" i="15" s="1"/>
  <c r="W359" i="15" s="1"/>
  <c r="BB912" i="7"/>
  <c r="AA428" i="15" s="1"/>
  <c r="AE435" i="15"/>
  <c r="AC435" i="15" s="1"/>
  <c r="BD449" i="7"/>
  <c r="AE376" i="15" s="1"/>
  <c r="AC376" i="15" s="1"/>
  <c r="AE483" i="15"/>
  <c r="AC483" i="15" s="1"/>
  <c r="BB680" i="7"/>
  <c r="AA400" i="15" s="1"/>
  <c r="BB1345" i="7"/>
  <c r="AA493" i="15" s="1"/>
  <c r="AE485" i="15"/>
  <c r="AC485" i="15" s="1"/>
  <c r="I359" i="15"/>
  <c r="AN359" i="15" s="1"/>
  <c r="AO359" i="15" s="1"/>
  <c r="BD150" i="7"/>
  <c r="BB150" i="7" s="1"/>
  <c r="AA370" i="15" s="1"/>
  <c r="BB1355" i="7"/>
  <c r="AA503" i="15" s="1"/>
  <c r="BB918" i="7"/>
  <c r="AA431" i="15" s="1"/>
  <c r="AC214" i="15"/>
  <c r="BB1202" i="6"/>
  <c r="AA191" i="15" s="1"/>
  <c r="AE191" i="15"/>
  <c r="AC191" i="15" s="1"/>
  <c r="K815" i="6"/>
  <c r="BE815" i="6" s="1"/>
  <c r="O217" i="15"/>
  <c r="AO217" i="15" s="1"/>
  <c r="O284" i="15"/>
  <c r="AO284" i="15" s="1"/>
  <c r="AC260" i="15"/>
  <c r="Z294" i="15"/>
  <c r="AC237" i="15"/>
  <c r="Z153" i="15"/>
  <c r="Z273" i="15"/>
  <c r="O134" i="15"/>
  <c r="AO134" i="15" s="1"/>
  <c r="J217" i="15"/>
  <c r="BB1192" i="6"/>
  <c r="AA186" i="15" s="1"/>
  <c r="BB1515" i="6"/>
  <c r="AA232" i="15" s="1"/>
  <c r="BB131" i="6"/>
  <c r="AA125" i="15" s="1"/>
  <c r="BB71" i="16"/>
  <c r="AA43" i="15" s="1"/>
  <c r="AE199" i="15"/>
  <c r="AC199" i="15" s="1"/>
  <c r="I221" i="2"/>
  <c r="O652" i="15" s="1"/>
  <c r="W652" i="15" s="1"/>
  <c r="V652" i="15" s="1"/>
  <c r="U652" i="15" s="1"/>
  <c r="BB221" i="16"/>
  <c r="AA52" i="15" s="1"/>
  <c r="I94" i="15"/>
  <c r="AN94" i="15" s="1"/>
  <c r="AO94" i="15" s="1"/>
  <c r="BD19" i="3"/>
  <c r="BB19" i="3" s="1"/>
  <c r="AA21" i="15" s="1"/>
  <c r="K196" i="9"/>
  <c r="O542" i="15" s="1"/>
  <c r="V542" i="15" s="1"/>
  <c r="J839" i="7"/>
  <c r="O422" i="15" s="1"/>
  <c r="V422" i="15" s="1"/>
  <c r="I543" i="15"/>
  <c r="AN543" i="15" s="1"/>
  <c r="AO543" i="15" s="1"/>
  <c r="K319" i="15"/>
  <c r="I319" i="15" s="1"/>
  <c r="I462" i="15"/>
  <c r="AN462" i="15" s="1"/>
  <c r="X313" i="15"/>
  <c r="Z313" i="15" s="1"/>
  <c r="BC1767" i="6"/>
  <c r="BD1767" i="6" s="1"/>
  <c r="BD62" i="16"/>
  <c r="BB61" i="16" s="1"/>
  <c r="AA38" i="15" s="1"/>
  <c r="BD196" i="9"/>
  <c r="BB196" i="9" s="1"/>
  <c r="AA542" i="15" s="1"/>
  <c r="L518" i="7"/>
  <c r="O382" i="15" s="1"/>
  <c r="W382" i="15" s="1"/>
  <c r="BB1143" i="7"/>
  <c r="BB1347" i="7"/>
  <c r="AA495" i="15" s="1"/>
  <c r="AB313" i="15"/>
  <c r="BB144" i="6"/>
  <c r="AA133" i="15" s="1"/>
  <c r="X183" i="15"/>
  <c r="Z183" i="15" s="1"/>
  <c r="I933" i="7"/>
  <c r="R438" i="15" s="1"/>
  <c r="O438" i="15" s="1"/>
  <c r="V438" i="15" s="1"/>
  <c r="AB393" i="15"/>
  <c r="K305" i="15"/>
  <c r="I305" i="15" s="1"/>
  <c r="Q305" i="15"/>
  <c r="DD221" i="2"/>
  <c r="AE652" i="15" s="1"/>
  <c r="AC652" i="15" s="1"/>
  <c r="W561" i="15"/>
  <c r="AO561" i="15"/>
  <c r="BB7" i="9"/>
  <c r="AA520" i="15" s="1"/>
  <c r="BB561" i="7"/>
  <c r="AA387" i="15" s="1"/>
  <c r="AB387" i="15"/>
  <c r="BD935" i="7"/>
  <c r="AF439" i="15" s="1"/>
  <c r="AC439" i="15" s="1"/>
  <c r="AB386" i="15"/>
  <c r="BB560" i="7"/>
  <c r="AA386" i="15" s="1"/>
  <c r="M1142" i="7"/>
  <c r="O464" i="15" s="1"/>
  <c r="W464" i="15" s="1"/>
  <c r="BD1142" i="7"/>
  <c r="BB1142" i="7" s="1"/>
  <c r="V60" i="15"/>
  <c r="AO60" i="15"/>
  <c r="X319" i="15"/>
  <c r="Z319" i="15" s="1"/>
  <c r="BC1779" i="6"/>
  <c r="X261" i="15"/>
  <c r="Z261" i="15" s="1"/>
  <c r="AE261" i="15"/>
  <c r="AC261" i="15" s="1"/>
  <c r="X238" i="15"/>
  <c r="Z238" i="15" s="1"/>
  <c r="AE238" i="15"/>
  <c r="AC238" i="15" s="1"/>
  <c r="J212" i="5"/>
  <c r="O93" i="15" s="1"/>
  <c r="V93" i="15" s="1"/>
  <c r="I93" i="15"/>
  <c r="AN93" i="15" s="1"/>
  <c r="BD212" i="5"/>
  <c r="BB210" i="5"/>
  <c r="AA91" i="15" s="1"/>
  <c r="AE91" i="15"/>
  <c r="AC91" i="15" s="1"/>
  <c r="AO91" i="15"/>
  <c r="BB261" i="5"/>
  <c r="AA95" i="15" s="1"/>
  <c r="AE95" i="15"/>
  <c r="AC95" i="15" s="1"/>
  <c r="AC190" i="15"/>
  <c r="AB521" i="15"/>
  <c r="BD197" i="9"/>
  <c r="BB197" i="9" s="1"/>
  <c r="AA543" i="15" s="1"/>
  <c r="AO520" i="15"/>
  <c r="I8" i="9"/>
  <c r="Q521" i="15" s="1"/>
  <c r="O521" i="15" s="1"/>
  <c r="U521" i="15" s="1"/>
  <c r="K521" i="15"/>
  <c r="I521" i="15" s="1"/>
  <c r="AN521" i="15" s="1"/>
  <c r="AD272" i="15"/>
  <c r="AD292" i="15"/>
  <c r="O186" i="15"/>
  <c r="W186" i="15" s="1"/>
  <c r="AO554" i="15"/>
  <c r="V634" i="15"/>
  <c r="U634" i="15" s="1"/>
  <c r="O408" i="15"/>
  <c r="AO408" i="15" s="1"/>
  <c r="Z272" i="15"/>
  <c r="V37" i="15"/>
  <c r="AC259" i="15"/>
  <c r="V41" i="15"/>
  <c r="AO138" i="15"/>
  <c r="AC272" i="15"/>
  <c r="P286" i="15"/>
  <c r="W286" i="15" s="1"/>
  <c r="AO568" i="15"/>
  <c r="O260" i="15"/>
  <c r="W260" i="15" s="1"/>
  <c r="P280" i="15"/>
  <c r="W280" i="15" s="1"/>
  <c r="AD280" i="15"/>
  <c r="AC429" i="15"/>
  <c r="O201" i="15"/>
  <c r="W201" i="15" s="1"/>
  <c r="AC219" i="15"/>
  <c r="O256" i="15"/>
  <c r="O249" i="15"/>
  <c r="AO249" i="15" s="1"/>
  <c r="O278" i="15"/>
  <c r="AO278" i="15" s="1"/>
  <c r="M172" i="15"/>
  <c r="J172" i="15" s="1"/>
  <c r="Y301" i="15"/>
  <c r="Z301" i="15" s="1"/>
  <c r="AG301" i="15"/>
  <c r="AD301" i="15" s="1"/>
  <c r="Z120" i="15"/>
  <c r="AO14" i="15"/>
  <c r="U64" i="15"/>
  <c r="Z172" i="15"/>
  <c r="AC232" i="15"/>
  <c r="Z143" i="15"/>
  <c r="I664" i="15"/>
  <c r="V40" i="15"/>
  <c r="O221" i="15"/>
  <c r="W221" i="15" s="1"/>
  <c r="P292" i="15"/>
  <c r="W292" i="15" s="1"/>
  <c r="O308" i="15"/>
  <c r="AC268" i="15"/>
  <c r="I304" i="15"/>
  <c r="J225" i="15"/>
  <c r="AO119" i="15"/>
  <c r="O241" i="15"/>
  <c r="W241" i="15" s="1"/>
  <c r="O267" i="15"/>
  <c r="W267" i="15" s="1"/>
  <c r="O266" i="15"/>
  <c r="AO266" i="15" s="1"/>
  <c r="AD288" i="15"/>
  <c r="O296" i="15"/>
  <c r="AO296" i="15" s="1"/>
  <c r="O314" i="15"/>
  <c r="W314" i="15" s="1"/>
  <c r="AC294" i="15"/>
  <c r="AN188" i="15"/>
  <c r="Z184" i="15"/>
  <c r="AO64" i="15"/>
  <c r="AO55" i="15"/>
  <c r="AO166" i="15"/>
  <c r="AO544" i="15"/>
  <c r="O207" i="15"/>
  <c r="AO207" i="15" s="1"/>
  <c r="P207" i="15"/>
  <c r="W207" i="15" s="1"/>
  <c r="O213" i="15"/>
  <c r="W213" i="15" s="1"/>
  <c r="O429" i="15"/>
  <c r="V429" i="15" s="1"/>
  <c r="AO51" i="15"/>
  <c r="AN42" i="15"/>
  <c r="AO42" i="15" s="1"/>
  <c r="AO53" i="15"/>
  <c r="V62" i="15"/>
  <c r="O265" i="15"/>
  <c r="W265" i="15" s="1"/>
  <c r="O231" i="15"/>
  <c r="W231" i="15" s="1"/>
  <c r="I217" i="15"/>
  <c r="I189" i="15"/>
  <c r="AO49" i="15"/>
  <c r="I314" i="15"/>
  <c r="O255" i="15"/>
  <c r="AO255" i="15" s="1"/>
  <c r="P268" i="15"/>
  <c r="W268" i="15" s="1"/>
  <c r="P294" i="15"/>
  <c r="W294" i="15" s="1"/>
  <c r="P302" i="15"/>
  <c r="W302" i="15" s="1"/>
  <c r="O295" i="15"/>
  <c r="W295" i="15" s="1"/>
  <c r="O209" i="15"/>
  <c r="AO209" i="15" s="1"/>
  <c r="I187" i="15"/>
  <c r="AC267" i="15"/>
  <c r="O188" i="15"/>
  <c r="W188" i="15" s="1"/>
  <c r="P217" i="15"/>
  <c r="W217" i="15" s="1"/>
  <c r="I237" i="15"/>
  <c r="AO553" i="15"/>
  <c r="O204" i="15"/>
  <c r="AO204" i="15" s="1"/>
  <c r="AC186" i="15"/>
  <c r="J272" i="15"/>
  <c r="AO552" i="15"/>
  <c r="AC264" i="15"/>
  <c r="O276" i="15"/>
  <c r="AO276" i="15" s="1"/>
  <c r="AD294" i="15"/>
  <c r="AC231" i="15"/>
  <c r="O187" i="15"/>
  <c r="W187" i="15" s="1"/>
  <c r="I190" i="15"/>
  <c r="AO52" i="15"/>
  <c r="AO61" i="15"/>
  <c r="O191" i="15"/>
  <c r="AO191" i="15" s="1"/>
  <c r="AC242" i="15"/>
  <c r="I310" i="15"/>
  <c r="P272" i="15"/>
  <c r="W272" i="15" s="1"/>
  <c r="AO492" i="15"/>
  <c r="V632" i="15"/>
  <c r="U632" i="15" s="1"/>
  <c r="AN308" i="15"/>
  <c r="I191" i="15"/>
  <c r="Z132" i="15"/>
  <c r="AO567" i="15"/>
  <c r="O225" i="15"/>
  <c r="AO225" i="15" s="1"/>
  <c r="AC404" i="15"/>
  <c r="AO63" i="15"/>
  <c r="AO584" i="15"/>
  <c r="O237" i="15"/>
  <c r="W237" i="15" s="1"/>
  <c r="P288" i="15"/>
  <c r="W288" i="15" s="1"/>
  <c r="O428" i="15"/>
  <c r="V428" i="15" s="1"/>
  <c r="AO58" i="15"/>
  <c r="O39" i="15"/>
  <c r="AO39" i="15" s="1"/>
  <c r="Z126" i="15"/>
  <c r="J276" i="15"/>
  <c r="P300" i="15"/>
  <c r="W300" i="15" s="1"/>
  <c r="P296" i="15"/>
  <c r="W296" i="15" s="1"/>
  <c r="AO473" i="15"/>
  <c r="AC188" i="15"/>
  <c r="I236" i="15"/>
  <c r="DB733" i="2"/>
  <c r="AO717" i="15"/>
  <c r="DB485" i="2"/>
  <c r="AA690" i="15" s="1"/>
  <c r="AO705" i="15"/>
  <c r="DB768" i="2"/>
  <c r="AA725" i="15" s="1"/>
  <c r="DB346" i="2"/>
  <c r="AA666" i="15" s="1"/>
  <c r="AO566" i="15"/>
  <c r="I1300" i="7"/>
  <c r="O481" i="15" s="1"/>
  <c r="AO481" i="15" s="1"/>
  <c r="K562" i="7"/>
  <c r="O388" i="15" s="1"/>
  <c r="W388" i="15" s="1"/>
  <c r="M1137" i="7"/>
  <c r="O459" i="15" s="1"/>
  <c r="W459" i="15" s="1"/>
  <c r="BD1300" i="7"/>
  <c r="AE481" i="15" s="1"/>
  <c r="AC481" i="15" s="1"/>
  <c r="I459" i="15"/>
  <c r="AN459" i="15" s="1"/>
  <c r="AB382" i="15"/>
  <c r="AO497" i="15"/>
  <c r="K136" i="7"/>
  <c r="O356" i="15" s="1"/>
  <c r="W356" i="15" s="1"/>
  <c r="BB518" i="7"/>
  <c r="AA382" i="15" s="1"/>
  <c r="AO712" i="15"/>
  <c r="AO570" i="15"/>
  <c r="AE412" i="15"/>
  <c r="AC412" i="15" s="1"/>
  <c r="BB1200" i="6"/>
  <c r="AA190" i="15" s="1"/>
  <c r="BB1196" i="6"/>
  <c r="AA188" i="15" s="1"/>
  <c r="AO503" i="15"/>
  <c r="AO505" i="15"/>
  <c r="AO496" i="15"/>
  <c r="AO167" i="15"/>
  <c r="AE505" i="15"/>
  <c r="AC505" i="15" s="1"/>
  <c r="I1301" i="7"/>
  <c r="P481" i="15" s="1"/>
  <c r="V481" i="15" s="1"/>
  <c r="BB1058" i="7"/>
  <c r="AA443" i="15" s="1"/>
  <c r="I1032" i="7"/>
  <c r="O442" i="15" s="1"/>
  <c r="V442" i="15" s="1"/>
  <c r="O430" i="15"/>
  <c r="V430" i="15" s="1"/>
  <c r="J838" i="7"/>
  <c r="O421" i="15" s="1"/>
  <c r="V421" i="15" s="1"/>
  <c r="BD838" i="7"/>
  <c r="AE421" i="15" s="1"/>
  <c r="AC421" i="15" s="1"/>
  <c r="O399" i="15"/>
  <c r="AO399" i="15" s="1"/>
  <c r="O600" i="7"/>
  <c r="BE600" i="7" s="1"/>
  <c r="O597" i="7"/>
  <c r="BE597" i="7" s="1"/>
  <c r="BD883" i="7"/>
  <c r="BD1301" i="7"/>
  <c r="AG481" i="15" s="1"/>
  <c r="AD481" i="15" s="1"/>
  <c r="I883" i="7"/>
  <c r="O426" i="15" s="1"/>
  <c r="V426" i="15" s="1"/>
  <c r="O405" i="15"/>
  <c r="AO405" i="15" s="1"/>
  <c r="AO501" i="15"/>
  <c r="BB1356" i="7"/>
  <c r="AA504" i="15" s="1"/>
  <c r="AE431" i="15"/>
  <c r="AC431" i="15" s="1"/>
  <c r="AC432" i="15"/>
  <c r="AO414" i="15"/>
  <c r="AE501" i="15"/>
  <c r="AC501" i="15" s="1"/>
  <c r="O433" i="15"/>
  <c r="V433" i="15" s="1"/>
  <c r="BB997" i="7"/>
  <c r="AA440" i="15" s="1"/>
  <c r="BB690" i="7"/>
  <c r="AA405" i="15" s="1"/>
  <c r="AO441" i="15"/>
  <c r="O437" i="15"/>
  <c r="V437" i="15" s="1"/>
  <c r="K559" i="7"/>
  <c r="O385" i="15" s="1"/>
  <c r="W385" i="15" s="1"/>
  <c r="K563" i="7"/>
  <c r="O389" i="15" s="1"/>
  <c r="W389" i="15" s="1"/>
  <c r="BD559" i="7"/>
  <c r="AE385" i="15" s="1"/>
  <c r="AC385" i="15" s="1"/>
  <c r="K487" i="7"/>
  <c r="O379" i="15" s="1"/>
  <c r="W379" i="15" s="1"/>
  <c r="BD487" i="7"/>
  <c r="BD488" i="7"/>
  <c r="K488" i="7"/>
  <c r="O380" i="15" s="1"/>
  <c r="W380" i="15" s="1"/>
  <c r="K447" i="7"/>
  <c r="O374" i="15" s="1"/>
  <c r="W374" i="15" s="1"/>
  <c r="I17" i="7"/>
  <c r="Q330" i="15" s="1"/>
  <c r="O330" i="15" s="1"/>
  <c r="BD10" i="7"/>
  <c r="BB10" i="7" s="1"/>
  <c r="AA323" i="15" s="1"/>
  <c r="I18" i="7"/>
  <c r="Q331" i="15" s="1"/>
  <c r="O331" i="15" s="1"/>
  <c r="BB224" i="16"/>
  <c r="AA55" i="15" s="1"/>
  <c r="AO56" i="15"/>
  <c r="AO40" i="15"/>
  <c r="I36" i="15"/>
  <c r="Q63" i="15"/>
  <c r="O190" i="15"/>
  <c r="W190" i="15" s="1"/>
  <c r="BB1194" i="6"/>
  <c r="AA187" i="15" s="1"/>
  <c r="BB1198" i="6"/>
  <c r="AA189" i="15" s="1"/>
  <c r="X3893" i="6"/>
  <c r="X3901" i="6"/>
  <c r="X3859" i="6"/>
  <c r="AO711" i="15"/>
  <c r="DB484" i="2"/>
  <c r="AA689" i="15" s="1"/>
  <c r="V630" i="15"/>
  <c r="U630" i="15" s="1"/>
  <c r="I708" i="15"/>
  <c r="AN708" i="15" s="1"/>
  <c r="I707" i="15"/>
  <c r="AN707" i="15" s="1"/>
  <c r="I727" i="15"/>
  <c r="AN727" i="15" s="1"/>
  <c r="I716" i="15"/>
  <c r="AN716" i="15" s="1"/>
  <c r="DD785" i="2"/>
  <c r="AE726" i="15" s="1"/>
  <c r="AC726" i="15" s="1"/>
  <c r="DB510" i="2"/>
  <c r="AA696" i="15" s="1"/>
  <c r="DB751" i="2"/>
  <c r="AA723" i="15" s="1"/>
  <c r="AO670" i="15"/>
  <c r="DB161" i="2"/>
  <c r="AA637" i="15" s="1"/>
  <c r="AO724" i="15"/>
  <c r="AN664" i="15"/>
  <c r="AO664" i="15" s="1"/>
  <c r="I662" i="15"/>
  <c r="AN662" i="15" s="1"/>
  <c r="DB512" i="2"/>
  <c r="AA698" i="15" s="1"/>
  <c r="DB803" i="2"/>
  <c r="AA728" i="15" s="1"/>
  <c r="I659" i="15"/>
  <c r="AN659" i="15" s="1"/>
  <c r="I657" i="15"/>
  <c r="AN657" i="15" s="1"/>
  <c r="I290" i="2"/>
  <c r="O658" i="15" s="1"/>
  <c r="V658" i="15" s="1"/>
  <c r="U658" i="15" s="1"/>
  <c r="DB633" i="2"/>
  <c r="I312" i="2"/>
  <c r="O662" i="15" s="1"/>
  <c r="V662" i="15" s="1"/>
  <c r="U662" i="15" s="1"/>
  <c r="I648" i="15"/>
  <c r="AN648" i="15" s="1"/>
  <c r="I220" i="2"/>
  <c r="O651" i="15" s="1"/>
  <c r="W651" i="15" s="1"/>
  <c r="V651" i="15" s="1"/>
  <c r="U651" i="15" s="1"/>
  <c r="I649" i="15"/>
  <c r="AN649" i="15" s="1"/>
  <c r="I663" i="15"/>
  <c r="AN663" i="15" s="1"/>
  <c r="AO586" i="15"/>
  <c r="AE566" i="15"/>
  <c r="AC566" i="15" s="1"/>
  <c r="I535" i="15"/>
  <c r="AN535" i="15" s="1"/>
  <c r="AO562" i="15"/>
  <c r="AE570" i="15"/>
  <c r="AC570" i="15" s="1"/>
  <c r="AO548" i="15"/>
  <c r="BB278" i="9"/>
  <c r="AA548" i="15" s="1"/>
  <c r="AO547" i="15"/>
  <c r="AO569" i="15"/>
  <c r="BB9" i="9"/>
  <c r="AA522" i="15" s="1"/>
  <c r="AO549" i="15"/>
  <c r="AO557" i="15"/>
  <c r="AO546" i="15"/>
  <c r="BD75" i="9"/>
  <c r="BB75" i="9" s="1"/>
  <c r="AA533" i="15" s="1"/>
  <c r="AB523" i="15"/>
  <c r="AB527" i="15"/>
  <c r="O398" i="15"/>
  <c r="AO398" i="15" s="1"/>
  <c r="O432" i="15"/>
  <c r="V432" i="15" s="1"/>
  <c r="BD563" i="7"/>
  <c r="BB563" i="7" s="1"/>
  <c r="AA389" i="15" s="1"/>
  <c r="BD933" i="7"/>
  <c r="AF438" i="15" s="1"/>
  <c r="AC438" i="15" s="1"/>
  <c r="AC399" i="15"/>
  <c r="AO502" i="15"/>
  <c r="J840" i="7"/>
  <c r="O423" i="15" s="1"/>
  <c r="V423" i="15" s="1"/>
  <c r="AO488" i="15"/>
  <c r="AO493" i="15"/>
  <c r="I388" i="15"/>
  <c r="AN388" i="15" s="1"/>
  <c r="AE502" i="15"/>
  <c r="AC502" i="15" s="1"/>
  <c r="BD1302" i="7"/>
  <c r="AE482" i="15" s="1"/>
  <c r="AC482" i="15" s="1"/>
  <c r="I382" i="15"/>
  <c r="AN382" i="15" s="1"/>
  <c r="M1123" i="7"/>
  <c r="O445" i="15" s="1"/>
  <c r="W445" i="15" s="1"/>
  <c r="BB1352" i="7"/>
  <c r="AA500" i="15" s="1"/>
  <c r="I1302" i="7"/>
  <c r="O482" i="15" s="1"/>
  <c r="AO482" i="15" s="1"/>
  <c r="I374" i="15"/>
  <c r="AN374" i="15" s="1"/>
  <c r="AO484" i="15"/>
  <c r="AO472" i="15"/>
  <c r="BB1350" i="7"/>
  <c r="AA498" i="15" s="1"/>
  <c r="BD1123" i="7"/>
  <c r="BB1123" i="7" s="1"/>
  <c r="AA445" i="15" s="1"/>
  <c r="O400" i="15"/>
  <c r="AO400" i="15" s="1"/>
  <c r="BD18" i="7"/>
  <c r="AE331" i="15" s="1"/>
  <c r="AC331" i="15" s="1"/>
  <c r="L439" i="15"/>
  <c r="I439" i="15" s="1"/>
  <c r="BD448" i="7"/>
  <c r="AE375" i="15" s="1"/>
  <c r="AC375" i="15" s="1"/>
  <c r="BB1131" i="7"/>
  <c r="AA453" i="15" s="1"/>
  <c r="AB385" i="15"/>
  <c r="BD840" i="7"/>
  <c r="AE423" i="15" s="1"/>
  <c r="AC423" i="15" s="1"/>
  <c r="AO475" i="15"/>
  <c r="O403" i="15"/>
  <c r="AO403" i="15" s="1"/>
  <c r="AC406" i="15"/>
  <c r="BD14" i="7"/>
  <c r="I882" i="7"/>
  <c r="O425" i="15" s="1"/>
  <c r="V425" i="15" s="1"/>
  <c r="BD882" i="7"/>
  <c r="AO498" i="15"/>
  <c r="O407" i="15"/>
  <c r="AO407" i="15" s="1"/>
  <c r="BB1351" i="7"/>
  <c r="AA499" i="15" s="1"/>
  <c r="AE400" i="15"/>
  <c r="AC400" i="15" s="1"/>
  <c r="AE475" i="15"/>
  <c r="AC475" i="15" s="1"/>
  <c r="BD64" i="7"/>
  <c r="BB64" i="7" s="1"/>
  <c r="AA340" i="15" s="1"/>
  <c r="AO494" i="15"/>
  <c r="AC402" i="15"/>
  <c r="I336" i="15"/>
  <c r="AN336" i="15" s="1"/>
  <c r="AO336" i="15" s="1"/>
  <c r="BB688" i="7"/>
  <c r="AA404" i="15" s="1"/>
  <c r="BD60" i="7"/>
  <c r="BB60" i="7" s="1"/>
  <c r="AA336" i="15" s="1"/>
  <c r="M601" i="7"/>
  <c r="O393" i="15" s="1"/>
  <c r="W393" i="15" s="1"/>
  <c r="BD134" i="7"/>
  <c r="AE354" i="15" s="1"/>
  <c r="AC354" i="15" s="1"/>
  <c r="K448" i="7"/>
  <c r="O375" i="15" s="1"/>
  <c r="W375" i="15" s="1"/>
  <c r="BB684" i="7"/>
  <c r="AA402" i="15" s="1"/>
  <c r="AB458" i="15"/>
  <c r="I464" i="15"/>
  <c r="AN464" i="15" s="1"/>
  <c r="O439" i="15"/>
  <c r="V439" i="15" s="1"/>
  <c r="AO444" i="15"/>
  <c r="AO499" i="15"/>
  <c r="AE449" i="15"/>
  <c r="AC449" i="15" s="1"/>
  <c r="K63" i="7"/>
  <c r="O339" i="15" s="1"/>
  <c r="W339" i="15" s="1"/>
  <c r="AO390" i="15"/>
  <c r="BB692" i="7"/>
  <c r="AA406" i="15" s="1"/>
  <c r="BB914" i="7"/>
  <c r="AA429" i="15" s="1"/>
  <c r="AO490" i="15"/>
  <c r="BB916" i="7"/>
  <c r="AA430" i="15" s="1"/>
  <c r="AO394" i="15"/>
  <c r="AO483" i="15"/>
  <c r="AO391" i="15"/>
  <c r="AC401" i="15"/>
  <c r="AE405" i="15"/>
  <c r="AC405" i="15" s="1"/>
  <c r="AE496" i="15"/>
  <c r="AC496" i="15" s="1"/>
  <c r="AC430" i="15"/>
  <c r="I456" i="15"/>
  <c r="AN456" i="15" s="1"/>
  <c r="AO456" i="15" s="1"/>
  <c r="AO504" i="15"/>
  <c r="AO443" i="15"/>
  <c r="AO412" i="15"/>
  <c r="AO470" i="15"/>
  <c r="BD519" i="7"/>
  <c r="BB519" i="7" s="1"/>
  <c r="AA383" i="15" s="1"/>
  <c r="AE444" i="15"/>
  <c r="AC444" i="15" s="1"/>
  <c r="K134" i="7"/>
  <c r="O354" i="15" s="1"/>
  <c r="W354" i="15" s="1"/>
  <c r="I335" i="15"/>
  <c r="AN335" i="15" s="1"/>
  <c r="AO449" i="15"/>
  <c r="K59" i="7"/>
  <c r="O335" i="15" s="1"/>
  <c r="W335" i="15" s="1"/>
  <c r="AO487" i="15"/>
  <c r="AO491" i="15"/>
  <c r="AO500" i="15"/>
  <c r="AO495" i="15"/>
  <c r="AO506" i="15"/>
  <c r="AO485" i="15"/>
  <c r="I371" i="15"/>
  <c r="AN371" i="15" s="1"/>
  <c r="AO371" i="15" s="1"/>
  <c r="K129" i="7"/>
  <c r="O349" i="15" s="1"/>
  <c r="W349" i="15" s="1"/>
  <c r="AE441" i="15"/>
  <c r="AC441" i="15" s="1"/>
  <c r="AB388" i="15"/>
  <c r="BB682" i="7"/>
  <c r="AA401" i="15" s="1"/>
  <c r="AE497" i="15"/>
  <c r="AC497" i="15" s="1"/>
  <c r="BB696" i="7"/>
  <c r="AA408" i="15" s="1"/>
  <c r="AG393" i="15"/>
  <c r="AD393" i="15" s="1"/>
  <c r="O402" i="15"/>
  <c r="AO402" i="15" s="1"/>
  <c r="BD130" i="7"/>
  <c r="AE350" i="15" s="1"/>
  <c r="AC350" i="15" s="1"/>
  <c r="I427" i="15"/>
  <c r="AN427" i="15" s="1"/>
  <c r="I884" i="7"/>
  <c r="O427" i="15" s="1"/>
  <c r="V427" i="15" s="1"/>
  <c r="AE447" i="15"/>
  <c r="AC447" i="15" s="1"/>
  <c r="BB13" i="7"/>
  <c r="AA326" i="15" s="1"/>
  <c r="BB678" i="7"/>
  <c r="AA399" i="15" s="1"/>
  <c r="I14" i="7"/>
  <c r="Q327" i="15" s="1"/>
  <c r="O327" i="15" s="1"/>
  <c r="BD884" i="7"/>
  <c r="BD1134" i="7"/>
  <c r="AE456" i="15" s="1"/>
  <c r="AC456" i="15" s="1"/>
  <c r="BD125" i="7"/>
  <c r="AE345" i="15" s="1"/>
  <c r="AC345" i="15" s="1"/>
  <c r="BB922" i="7"/>
  <c r="AA433" i="15" s="1"/>
  <c r="BD63" i="7"/>
  <c r="AE339" i="15" s="1"/>
  <c r="AC339" i="15" s="1"/>
  <c r="K125" i="7"/>
  <c r="O345" i="15" s="1"/>
  <c r="W345" i="15" s="1"/>
  <c r="O406" i="15"/>
  <c r="AO406" i="15" s="1"/>
  <c r="AO486" i="15"/>
  <c r="O401" i="15"/>
  <c r="AO401" i="15" s="1"/>
  <c r="O404" i="15"/>
  <c r="AO489" i="15"/>
  <c r="AO420" i="15"/>
  <c r="I383" i="15"/>
  <c r="AN383" i="15" s="1"/>
  <c r="AO383" i="15" s="1"/>
  <c r="AO415" i="15"/>
  <c r="AE415" i="15"/>
  <c r="AC415" i="15" s="1"/>
  <c r="AE414" i="15"/>
  <c r="AC414" i="15" s="1"/>
  <c r="BB686" i="7"/>
  <c r="AA403" i="15" s="1"/>
  <c r="BD141" i="7"/>
  <c r="AE361" i="15" s="1"/>
  <c r="AC361" i="15" s="1"/>
  <c r="I337" i="15"/>
  <c r="AN337" i="15" s="1"/>
  <c r="AO337" i="15" s="1"/>
  <c r="BD61" i="7"/>
  <c r="BB61" i="7" s="1"/>
  <c r="AA337" i="15" s="1"/>
  <c r="BB837" i="7"/>
  <c r="AA420" i="15" s="1"/>
  <c r="AF408" i="15"/>
  <c r="AC408" i="15" s="1"/>
  <c r="AO326" i="15"/>
  <c r="BB928" i="7"/>
  <c r="AA436" i="15" s="1"/>
  <c r="I350" i="15"/>
  <c r="AN350" i="15" s="1"/>
  <c r="AO350" i="15" s="1"/>
  <c r="AC403" i="15"/>
  <c r="AO452" i="15"/>
  <c r="AC436" i="15"/>
  <c r="AE325" i="15"/>
  <c r="AC325" i="15" s="1"/>
  <c r="I361" i="15"/>
  <c r="AN361" i="15" s="1"/>
  <c r="AO361" i="15" s="1"/>
  <c r="BB604" i="7"/>
  <c r="AA395" i="15" s="1"/>
  <c r="I393" i="15"/>
  <c r="AN393" i="15" s="1"/>
  <c r="I340" i="15"/>
  <c r="AN340" i="15" s="1"/>
  <c r="AO340" i="15" s="1"/>
  <c r="I341" i="15"/>
  <c r="AN341" i="15" s="1"/>
  <c r="AO341" i="15" s="1"/>
  <c r="BD62" i="7"/>
  <c r="BB62" i="7" s="1"/>
  <c r="AA338" i="15" s="1"/>
  <c r="AO396" i="15"/>
  <c r="BB59" i="7"/>
  <c r="AA335" i="15" s="1"/>
  <c r="BD151" i="7"/>
  <c r="BB151" i="7" s="1"/>
  <c r="AA371" i="15" s="1"/>
  <c r="F517" i="7"/>
  <c r="L517" i="7" s="1"/>
  <c r="O381" i="15" s="1"/>
  <c r="W381" i="15" s="1"/>
  <c r="M1136" i="7"/>
  <c r="O458" i="15" s="1"/>
  <c r="W458" i="15" s="1"/>
  <c r="AB465" i="15"/>
  <c r="AB464" i="15"/>
  <c r="AB461" i="15"/>
  <c r="BD1135" i="7"/>
  <c r="BB1135" i="7" s="1"/>
  <c r="AA457" i="15" s="1"/>
  <c r="BB1137" i="7"/>
  <c r="AA459" i="15" s="1"/>
  <c r="AB459" i="15"/>
  <c r="I465" i="15"/>
  <c r="AN465" i="15" s="1"/>
  <c r="BB1140" i="7"/>
  <c r="AA462" i="15" s="1"/>
  <c r="AB462" i="15"/>
  <c r="M1139" i="7"/>
  <c r="O461" i="15" s="1"/>
  <c r="W461" i="15" s="1"/>
  <c r="AB466" i="15"/>
  <c r="AN213" i="15"/>
  <c r="I312" i="15"/>
  <c r="I170" i="15"/>
  <c r="J753" i="6"/>
  <c r="K164" i="6" s="1"/>
  <c r="P276" i="15"/>
  <c r="W276" i="15" s="1"/>
  <c r="I231" i="15"/>
  <c r="BB7" i="6"/>
  <c r="AA109" i="15" s="1"/>
  <c r="I316" i="15"/>
  <c r="J286" i="15"/>
  <c r="I288" i="15"/>
  <c r="AO133" i="15"/>
  <c r="Z117" i="15"/>
  <c r="Z169" i="15"/>
  <c r="O310" i="15"/>
  <c r="AO310" i="15" s="1"/>
  <c r="AG297" i="15"/>
  <c r="AB116" i="15"/>
  <c r="AN248" i="15"/>
  <c r="AO248" i="15" s="1"/>
  <c r="W152" i="15"/>
  <c r="AB109" i="15"/>
  <c r="L176" i="15"/>
  <c r="Q208" i="6"/>
  <c r="I810" i="6"/>
  <c r="R176" i="15" s="1"/>
  <c r="BD804" i="6"/>
  <c r="AG172" i="15" s="1"/>
  <c r="AD172" i="15" s="1"/>
  <c r="K273" i="15"/>
  <c r="AN273" i="15" s="1"/>
  <c r="AG289" i="15"/>
  <c r="M289" i="15"/>
  <c r="J289" i="15" s="1"/>
  <c r="X175" i="15"/>
  <c r="Z175" i="15" s="1"/>
  <c r="BC808" i="6"/>
  <c r="X208" i="15"/>
  <c r="Z208" i="15" s="1"/>
  <c r="BC1445" i="6"/>
  <c r="X210" i="15"/>
  <c r="Z210" i="15" s="1"/>
  <c r="AE210" i="15"/>
  <c r="AC210" i="15" s="1"/>
  <c r="AN237" i="15"/>
  <c r="AO109" i="15"/>
  <c r="AO132" i="15"/>
  <c r="AO193" i="15"/>
  <c r="Z112" i="15"/>
  <c r="M226" i="15"/>
  <c r="J226" i="15" s="1"/>
  <c r="M273" i="15"/>
  <c r="J273" i="15" s="1"/>
  <c r="L208" i="15"/>
  <c r="K250" i="15"/>
  <c r="I250" i="15" s="1"/>
  <c r="Q250" i="15"/>
  <c r="X243" i="15"/>
  <c r="Z243" i="15" s="1"/>
  <c r="AE243" i="15"/>
  <c r="Y309" i="15"/>
  <c r="Z309" i="15" s="1"/>
  <c r="BC1759" i="6"/>
  <c r="K220" i="15"/>
  <c r="I220" i="15" s="1"/>
  <c r="K4221" i="6"/>
  <c r="X4221" i="6"/>
  <c r="K3987" i="6"/>
  <c r="X4063" i="6"/>
  <c r="R1810" i="6"/>
  <c r="K4063" i="6"/>
  <c r="X3987" i="6"/>
  <c r="Q1809" i="6"/>
  <c r="K3985" i="6"/>
  <c r="X3985" i="6"/>
  <c r="AE230" i="15"/>
  <c r="AC230" i="15" s="1"/>
  <c r="Y285" i="15"/>
  <c r="Z285" i="15" s="1"/>
  <c r="AG285" i="15"/>
  <c r="AD285" i="15" s="1"/>
  <c r="W151" i="15"/>
  <c r="J209" i="15"/>
  <c r="J756" i="6"/>
  <c r="K167" i="6" s="1"/>
  <c r="BB786" i="6"/>
  <c r="AA165" i="15" s="1"/>
  <c r="AG256" i="15"/>
  <c r="AD256" i="15" s="1"/>
  <c r="Y256" i="15"/>
  <c r="Z256" i="15" s="1"/>
  <c r="AE273" i="15"/>
  <c r="AC273" i="15" s="1"/>
  <c r="X297" i="15"/>
  <c r="AE297" i="15"/>
  <c r="I204" i="15"/>
  <c r="J202" i="15"/>
  <c r="I232" i="15"/>
  <c r="I264" i="15"/>
  <c r="I221" i="15"/>
  <c r="O205" i="15"/>
  <c r="W205" i="15" s="1"/>
  <c r="O202" i="15"/>
  <c r="AO202" i="15" s="1"/>
  <c r="I241" i="15"/>
  <c r="AE221" i="15"/>
  <c r="AC221" i="15" s="1"/>
  <c r="P209" i="15"/>
  <c r="W209" i="15" s="1"/>
  <c r="BB130" i="6"/>
  <c r="AA124" i="15" s="1"/>
  <c r="O229" i="15"/>
  <c r="W229" i="15" s="1"/>
  <c r="AO292" i="15"/>
  <c r="O236" i="15"/>
  <c r="W236" i="15" s="1"/>
  <c r="I300" i="15"/>
  <c r="J266" i="15"/>
  <c r="BB1513" i="6"/>
  <c r="AA231" i="15" s="1"/>
  <c r="K196" i="15"/>
  <c r="BD1407" i="6"/>
  <c r="AE196" i="15" s="1"/>
  <c r="AC196" i="15" s="1"/>
  <c r="I1409" i="6"/>
  <c r="S196" i="15" s="1"/>
  <c r="P196" i="15" s="1"/>
  <c r="W196" i="15" s="1"/>
  <c r="BD1409" i="6"/>
  <c r="AG196" i="15" s="1"/>
  <c r="AD196" i="15" s="1"/>
  <c r="K206" i="15"/>
  <c r="Q206" i="15"/>
  <c r="O206" i="15" s="1"/>
  <c r="W206" i="15" s="1"/>
  <c r="BB1467" i="6"/>
  <c r="AA214" i="15" s="1"/>
  <c r="AB214" i="15"/>
  <c r="Z135" i="15"/>
  <c r="J302" i="15"/>
  <c r="BB139" i="6"/>
  <c r="AA130" i="15" s="1"/>
  <c r="J278" i="15"/>
  <c r="J193" i="15"/>
  <c r="AN222" i="15"/>
  <c r="Z138" i="15"/>
  <c r="I246" i="15"/>
  <c r="O146" i="15"/>
  <c r="AO118" i="15"/>
  <c r="I318" i="15"/>
  <c r="AO246" i="15"/>
  <c r="I199" i="15"/>
  <c r="BB145" i="6"/>
  <c r="AA134" i="15" s="1"/>
  <c r="X738" i="6"/>
  <c r="AB165" i="15"/>
  <c r="I284" i="15"/>
  <c r="I255" i="15"/>
  <c r="J294" i="15"/>
  <c r="AO286" i="15"/>
  <c r="AO270" i="15"/>
  <c r="Y1087" i="6"/>
  <c r="Y1088" i="6" s="1"/>
  <c r="Y1172" i="6"/>
  <c r="I807" i="6"/>
  <c r="Q174" i="15" s="1"/>
  <c r="O174" i="15" s="1"/>
  <c r="BD807" i="6"/>
  <c r="BB799" i="6"/>
  <c r="AA171" i="15" s="1"/>
  <c r="AB171" i="15"/>
  <c r="I186" i="15"/>
  <c r="BB793" i="6"/>
  <c r="AA169" i="15" s="1"/>
  <c r="AB169" i="15"/>
  <c r="AB172" i="15"/>
  <c r="K805" i="6"/>
  <c r="BE805" i="6" s="1"/>
  <c r="X181" i="15"/>
  <c r="BC821" i="6"/>
  <c r="AO170" i="15"/>
  <c r="AO168" i="15"/>
  <c r="BB136" i="6"/>
  <c r="AA128" i="15" s="1"/>
  <c r="J761" i="6"/>
  <c r="K172" i="6" s="1"/>
  <c r="BE172" i="6" s="1"/>
  <c r="J760" i="6"/>
  <c r="K171" i="6" s="1"/>
  <c r="BE171" i="6" s="1"/>
  <c r="R209" i="6"/>
  <c r="J762" i="6" s="1"/>
  <c r="K173" i="6" s="1"/>
  <c r="BE173" i="6" s="1"/>
  <c r="J758" i="6"/>
  <c r="K169" i="6" s="1"/>
  <c r="BE169" i="6" s="1"/>
  <c r="J755" i="6"/>
  <c r="K166" i="6" s="1"/>
  <c r="BE166" i="6" s="1"/>
  <c r="AB145" i="15"/>
  <c r="BB162" i="6"/>
  <c r="AA145" i="15" s="1"/>
  <c r="AO136" i="15"/>
  <c r="W142" i="15"/>
  <c r="O140" i="15"/>
  <c r="AO140" i="15" s="1"/>
  <c r="BB140" i="6"/>
  <c r="AA131" i="15" s="1"/>
  <c r="W158" i="15"/>
  <c r="AB120" i="15"/>
  <c r="I295" i="15"/>
  <c r="I267" i="15"/>
  <c r="I302" i="15"/>
  <c r="J280" i="15"/>
  <c r="J246" i="15"/>
  <c r="I209" i="15"/>
  <c r="A1659" i="6"/>
  <c r="C1660" i="6"/>
  <c r="J4112" i="6" s="1"/>
  <c r="J1927" i="6"/>
  <c r="A1721" i="6"/>
  <c r="J1958" i="6"/>
  <c r="C1722" i="6"/>
  <c r="J4174" i="6" s="1"/>
  <c r="A1643" i="6"/>
  <c r="C1644" i="6"/>
  <c r="J4096" i="6" s="1"/>
  <c r="J1919" i="6"/>
  <c r="J300" i="15"/>
  <c r="I168" i="15"/>
  <c r="AE169" i="15"/>
  <c r="AC169" i="15" s="1"/>
  <c r="L222" i="15"/>
  <c r="I222" i="15" s="1"/>
  <c r="AE168" i="15"/>
  <c r="AC168" i="15" s="1"/>
  <c r="BB791" i="6"/>
  <c r="AA168" i="15" s="1"/>
  <c r="J196" i="15"/>
  <c r="I269" i="15"/>
  <c r="AN269" i="15"/>
  <c r="AO269" i="15" s="1"/>
  <c r="AF222" i="15"/>
  <c r="K301" i="15"/>
  <c r="A1455" i="6"/>
  <c r="C1456" i="6"/>
  <c r="J3908" i="6" s="1"/>
  <c r="J1825" i="6"/>
  <c r="A1759" i="6"/>
  <c r="C1760" i="6"/>
  <c r="J4212" i="6" s="1"/>
  <c r="J1977" i="6"/>
  <c r="K293" i="15"/>
  <c r="I293" i="15" s="1"/>
  <c r="AO126" i="15"/>
  <c r="AO192" i="15"/>
  <c r="O148" i="15"/>
  <c r="O157" i="15"/>
  <c r="I296" i="15"/>
  <c r="I207" i="15"/>
  <c r="I268" i="15"/>
  <c r="AN295" i="15"/>
  <c r="AB178" i="15"/>
  <c r="O145" i="15"/>
  <c r="W145" i="15"/>
  <c r="AN294" i="15"/>
  <c r="AO294" i="15" s="1"/>
  <c r="I294" i="15"/>
  <c r="C1500" i="6"/>
  <c r="J3952" i="6" s="1"/>
  <c r="A1499" i="6"/>
  <c r="J1847" i="6"/>
  <c r="C1448" i="6"/>
  <c r="J3900" i="6" s="1"/>
  <c r="A1447" i="6"/>
  <c r="J1821" i="6"/>
  <c r="AE170" i="15"/>
  <c r="AC170" i="15" s="1"/>
  <c r="BB797" i="6"/>
  <c r="AA170" i="15" s="1"/>
  <c r="W139" i="15"/>
  <c r="O139" i="15"/>
  <c r="AO139" i="15" s="1"/>
  <c r="BB154" i="6"/>
  <c r="AA140" i="15" s="1"/>
  <c r="AE140" i="15"/>
  <c r="AC140" i="15" s="1"/>
  <c r="O128" i="15"/>
  <c r="AO128" i="15" s="1"/>
  <c r="W128" i="15"/>
  <c r="BB127" i="6"/>
  <c r="AA122" i="15" s="1"/>
  <c r="AE122" i="15"/>
  <c r="AC122" i="15" s="1"/>
  <c r="BB1302" i="6"/>
  <c r="AA194" i="15" s="1"/>
  <c r="K178" i="15"/>
  <c r="I813" i="6"/>
  <c r="Q178" i="15" s="1"/>
  <c r="BD813" i="6"/>
  <c r="AE178" i="15" s="1"/>
  <c r="A1707" i="6"/>
  <c r="J1951" i="6"/>
  <c r="C1708" i="6"/>
  <c r="J4160" i="6" s="1"/>
  <c r="A1479" i="6"/>
  <c r="J1837" i="6"/>
  <c r="C1480" i="6"/>
  <c r="J3932" i="6" s="1"/>
  <c r="AE139" i="15"/>
  <c r="AC139" i="15" s="1"/>
  <c r="BB153" i="6"/>
  <c r="AA139" i="15" s="1"/>
  <c r="A1675" i="6"/>
  <c r="C1676" i="6"/>
  <c r="J4128" i="6" s="1"/>
  <c r="J1935" i="6"/>
  <c r="AN205" i="15"/>
  <c r="AO253" i="15"/>
  <c r="I266" i="15"/>
  <c r="AN302" i="15"/>
  <c r="AO302" i="15" s="1"/>
  <c r="O122" i="15"/>
  <c r="AO122" i="15" s="1"/>
  <c r="A1691" i="6"/>
  <c r="C1692" i="6"/>
  <c r="J4144" i="6" s="1"/>
  <c r="J1943" i="6"/>
  <c r="C1576" i="6"/>
  <c r="J4028" i="6" s="1"/>
  <c r="A1575" i="6"/>
  <c r="J1885" i="6"/>
  <c r="A1627" i="6"/>
  <c r="C1628" i="6"/>
  <c r="J4080" i="6" s="1"/>
  <c r="J1911" i="6"/>
  <c r="I171" i="15"/>
  <c r="Q301" i="15"/>
  <c r="O301" i="15" s="1"/>
  <c r="I169" i="15"/>
  <c r="J1090" i="6"/>
  <c r="F817" i="6" s="1"/>
  <c r="K523" i="15"/>
  <c r="I523" i="15" s="1"/>
  <c r="AN523" i="15" s="1"/>
  <c r="K526" i="15"/>
  <c r="I526" i="15" s="1"/>
  <c r="AN526" i="15" s="1"/>
  <c r="BD13" i="9"/>
  <c r="K525" i="15"/>
  <c r="I525" i="15" s="1"/>
  <c r="AN525" i="15" s="1"/>
  <c r="I12" i="9"/>
  <c r="Q525" i="15" s="1"/>
  <c r="BD12" i="9"/>
  <c r="AE525" i="15" s="1"/>
  <c r="AC525" i="15" s="1"/>
  <c r="I10" i="9"/>
  <c r="Q523" i="15" s="1"/>
  <c r="AO103" i="15"/>
  <c r="BD260" i="5"/>
  <c r="AE94" i="15" s="1"/>
  <c r="AC94" i="15" s="1"/>
  <c r="I313" i="2"/>
  <c r="O663" i="15" s="1"/>
  <c r="V663" i="15" s="1"/>
  <c r="U663" i="15" s="1"/>
  <c r="DD291" i="2"/>
  <c r="AE659" i="15" s="1"/>
  <c r="AC659" i="15" s="1"/>
  <c r="DB537" i="2"/>
  <c r="AA704" i="15" s="1"/>
  <c r="DD313" i="2"/>
  <c r="AE663" i="15" s="1"/>
  <c r="AC663" i="15" s="1"/>
  <c r="F8" i="6"/>
  <c r="M8" i="6" s="1"/>
  <c r="O110" i="15" s="1"/>
  <c r="W110" i="15" s="1"/>
  <c r="AO59" i="15"/>
  <c r="I508" i="9"/>
  <c r="O571" i="15" s="1"/>
  <c r="V571" i="15" s="1"/>
  <c r="BD508" i="9"/>
  <c r="BB508" i="9" s="1"/>
  <c r="AA571" i="15" s="1"/>
  <c r="I509" i="9"/>
  <c r="O572" i="15" s="1"/>
  <c r="V572" i="15" s="1"/>
  <c r="BD58" i="16"/>
  <c r="AF36" i="15" s="1"/>
  <c r="BD512" i="9"/>
  <c r="AE575" i="15" s="1"/>
  <c r="AC575" i="15" s="1"/>
  <c r="BD515" i="9"/>
  <c r="AE578" i="15" s="1"/>
  <c r="AC578" i="15" s="1"/>
  <c r="I571" i="15"/>
  <c r="AN571" i="15" s="1"/>
  <c r="BB69" i="16"/>
  <c r="AA42" i="15" s="1"/>
  <c r="AO551" i="15"/>
  <c r="K75" i="9"/>
  <c r="O533" i="15" s="1"/>
  <c r="W533" i="15" s="1"/>
  <c r="BB509" i="9"/>
  <c r="AA572" i="15" s="1"/>
  <c r="K83" i="9"/>
  <c r="O541" i="15" s="1"/>
  <c r="W541" i="15" s="1"/>
  <c r="BD83" i="9"/>
  <c r="AE541" i="15" s="1"/>
  <c r="AC541" i="15" s="1"/>
  <c r="K77" i="9"/>
  <c r="O535" i="15" s="1"/>
  <c r="W535" i="15" s="1"/>
  <c r="BD76" i="9"/>
  <c r="AE534" i="15" s="1"/>
  <c r="AC534" i="15" s="1"/>
  <c r="I541" i="15"/>
  <c r="AN541" i="15" s="1"/>
  <c r="I572" i="15"/>
  <c r="AN572" i="15" s="1"/>
  <c r="K82" i="9"/>
  <c r="O540" i="15" s="1"/>
  <c r="W540" i="15" s="1"/>
  <c r="BD78" i="9"/>
  <c r="BB78" i="9" s="1"/>
  <c r="AA536" i="15" s="1"/>
  <c r="AO576" i="15"/>
  <c r="BD74" i="9"/>
  <c r="AE532" i="15" s="1"/>
  <c r="AC532" i="15" s="1"/>
  <c r="I532" i="15"/>
  <c r="AN532" i="15" s="1"/>
  <c r="I511" i="9"/>
  <c r="O574" i="15" s="1"/>
  <c r="V574" i="15" s="1"/>
  <c r="I578" i="15"/>
  <c r="AN578" i="15" s="1"/>
  <c r="AO578" i="15" s="1"/>
  <c r="I575" i="15"/>
  <c r="AN575" i="15" s="1"/>
  <c r="I512" i="9"/>
  <c r="O575" i="15" s="1"/>
  <c r="V575" i="15" s="1"/>
  <c r="I573" i="15"/>
  <c r="AN573" i="15" s="1"/>
  <c r="AO573" i="15" s="1"/>
  <c r="K74" i="9"/>
  <c r="O532" i="15" s="1"/>
  <c r="W532" i="15" s="1"/>
  <c r="AE547" i="15"/>
  <c r="AC547" i="15" s="1"/>
  <c r="BB277" i="9"/>
  <c r="AA547" i="15" s="1"/>
  <c r="AE546" i="15"/>
  <c r="AC546" i="15" s="1"/>
  <c r="BB276" i="9"/>
  <c r="AA546" i="15" s="1"/>
  <c r="K80" i="9"/>
  <c r="O538" i="15" s="1"/>
  <c r="W538" i="15" s="1"/>
  <c r="BD80" i="9"/>
  <c r="I538" i="15"/>
  <c r="AN538" i="15" s="1"/>
  <c r="K79" i="9"/>
  <c r="O537" i="15" s="1"/>
  <c r="W537" i="15" s="1"/>
  <c r="BD79" i="9"/>
  <c r="I537" i="15"/>
  <c r="AN537" i="15" s="1"/>
  <c r="K78" i="9"/>
  <c r="O536" i="15" s="1"/>
  <c r="W536" i="15" s="1"/>
  <c r="K76" i="9"/>
  <c r="O534" i="15" s="1"/>
  <c r="W534" i="15" s="1"/>
  <c r="I540" i="15"/>
  <c r="AN540" i="15" s="1"/>
  <c r="BD81" i="9"/>
  <c r="K81" i="9"/>
  <c r="O539" i="15" s="1"/>
  <c r="W539" i="15" s="1"/>
  <c r="I539" i="15"/>
  <c r="AN539" i="15" s="1"/>
  <c r="AO392" i="15"/>
  <c r="BD132" i="7"/>
  <c r="AE352" i="15" s="1"/>
  <c r="AC352" i="15" s="1"/>
  <c r="K138" i="7"/>
  <c r="O358" i="15" s="1"/>
  <c r="W358" i="15" s="1"/>
  <c r="BB1129" i="7"/>
  <c r="AA451" i="15" s="1"/>
  <c r="AE349" i="15"/>
  <c r="AC349" i="15" s="1"/>
  <c r="AG395" i="15"/>
  <c r="AD395" i="15" s="1"/>
  <c r="I358" i="15"/>
  <c r="AN358" i="15" s="1"/>
  <c r="AE358" i="15"/>
  <c r="AC358" i="15" s="1"/>
  <c r="BD148" i="7"/>
  <c r="BB148" i="7" s="1"/>
  <c r="AA368" i="15" s="1"/>
  <c r="BD128" i="7"/>
  <c r="AE348" i="15" s="1"/>
  <c r="AC348" i="15" s="1"/>
  <c r="I346" i="15"/>
  <c r="AN346" i="15" s="1"/>
  <c r="AO346" i="15" s="1"/>
  <c r="K137" i="7"/>
  <c r="O357" i="15" s="1"/>
  <c r="W357" i="15" s="1"/>
  <c r="K451" i="7"/>
  <c r="O378" i="15" s="1"/>
  <c r="W378" i="15" s="1"/>
  <c r="I360" i="15"/>
  <c r="AN360" i="15" s="1"/>
  <c r="AO360" i="15" s="1"/>
  <c r="BB598" i="7"/>
  <c r="AA391" i="15" s="1"/>
  <c r="BD137" i="7"/>
  <c r="BB137" i="7" s="1"/>
  <c r="AA357" i="15" s="1"/>
  <c r="BB447" i="7"/>
  <c r="AA374" i="15" s="1"/>
  <c r="BD142" i="7"/>
  <c r="AE362" i="15" s="1"/>
  <c r="AC362" i="15" s="1"/>
  <c r="AO478" i="15"/>
  <c r="I362" i="15"/>
  <c r="AN362" i="15" s="1"/>
  <c r="AO362" i="15" s="1"/>
  <c r="K147" i="7"/>
  <c r="O367" i="15" s="1"/>
  <c r="W367" i="15" s="1"/>
  <c r="I367" i="15"/>
  <c r="AN367" i="15" s="1"/>
  <c r="AC407" i="15"/>
  <c r="BB8" i="7"/>
  <c r="AA321" i="15" s="1"/>
  <c r="K148" i="7"/>
  <c r="O368" i="15" s="1"/>
  <c r="W368" i="15" s="1"/>
  <c r="BB694" i="7"/>
  <c r="AA407" i="15" s="1"/>
  <c r="M1143" i="7"/>
  <c r="O465" i="15" s="1"/>
  <c r="W465" i="15" s="1"/>
  <c r="AO320" i="15"/>
  <c r="I368" i="15"/>
  <c r="AN368" i="15" s="1"/>
  <c r="BB920" i="7"/>
  <c r="AA432" i="15" s="1"/>
  <c r="I348" i="15"/>
  <c r="AN348" i="15" s="1"/>
  <c r="AO348" i="15" s="1"/>
  <c r="BB446" i="7"/>
  <c r="AA373" i="15" s="1"/>
  <c r="I351" i="15"/>
  <c r="AN351" i="15" s="1"/>
  <c r="AO351" i="15" s="1"/>
  <c r="BD140" i="7"/>
  <c r="AE360" i="15" s="1"/>
  <c r="AC360" i="15" s="1"/>
  <c r="AE394" i="15"/>
  <c r="AC394" i="15" s="1"/>
  <c r="BD131" i="7"/>
  <c r="AE351" i="15" s="1"/>
  <c r="AC351" i="15" s="1"/>
  <c r="K66" i="7"/>
  <c r="O342" i="15" s="1"/>
  <c r="W342" i="15" s="1"/>
  <c r="I338" i="15"/>
  <c r="AN338" i="15" s="1"/>
  <c r="I352" i="15"/>
  <c r="AN352" i="15" s="1"/>
  <c r="AO352" i="15" s="1"/>
  <c r="I363" i="15"/>
  <c r="AN363" i="15" s="1"/>
  <c r="AO363" i="15" s="1"/>
  <c r="BD1139" i="7"/>
  <c r="AE461" i="15" s="1"/>
  <c r="AC461" i="15" s="1"/>
  <c r="AO324" i="15"/>
  <c r="BD143" i="7"/>
  <c r="BB143" i="7" s="1"/>
  <c r="AA363" i="15" s="1"/>
  <c r="BB562" i="7"/>
  <c r="AA388" i="15" s="1"/>
  <c r="I457" i="15"/>
  <c r="AN457" i="15" s="1"/>
  <c r="I355" i="15"/>
  <c r="AN355" i="15" s="1"/>
  <c r="AO355" i="15" s="1"/>
  <c r="BD135" i="7"/>
  <c r="BB135" i="7" s="1"/>
  <c r="AA355" i="15" s="1"/>
  <c r="W346" i="15"/>
  <c r="I353" i="15"/>
  <c r="AN353" i="15" s="1"/>
  <c r="AO353" i="15" s="1"/>
  <c r="BD123" i="7"/>
  <c r="BB123" i="7" s="1"/>
  <c r="AA343" i="15" s="1"/>
  <c r="BD126" i="7"/>
  <c r="BB136" i="7"/>
  <c r="AA356" i="15" s="1"/>
  <c r="BD450" i="7"/>
  <c r="AE377" i="15" s="1"/>
  <c r="AC377" i="15" s="1"/>
  <c r="I365" i="15"/>
  <c r="AN365" i="15" s="1"/>
  <c r="AO476" i="15"/>
  <c r="AO395" i="15"/>
  <c r="BD451" i="7"/>
  <c r="AE378" i="15" s="1"/>
  <c r="AC378" i="15" s="1"/>
  <c r="K62" i="7"/>
  <c r="O338" i="15" s="1"/>
  <c r="W338" i="15" s="1"/>
  <c r="M1135" i="7"/>
  <c r="O457" i="15" s="1"/>
  <c r="W457" i="15" s="1"/>
  <c r="BD133" i="7"/>
  <c r="BD144" i="7"/>
  <c r="AE364" i="15" s="1"/>
  <c r="AC364" i="15" s="1"/>
  <c r="BB11" i="7"/>
  <c r="AA324" i="15" s="1"/>
  <c r="W353" i="15"/>
  <c r="AO434" i="15"/>
  <c r="AE465" i="15"/>
  <c r="AC465" i="15" s="1"/>
  <c r="K145" i="7"/>
  <c r="O365" i="15" s="1"/>
  <c r="I372" i="15"/>
  <c r="AN372" i="15" s="1"/>
  <c r="AO372" i="15" s="1"/>
  <c r="I364" i="15"/>
  <c r="AN364" i="15" s="1"/>
  <c r="AO364" i="15" s="1"/>
  <c r="AE462" i="15"/>
  <c r="AC462" i="15" s="1"/>
  <c r="BD152" i="7"/>
  <c r="AE372" i="15" s="1"/>
  <c r="AC372" i="15" s="1"/>
  <c r="I343" i="15"/>
  <c r="AN343" i="15" s="1"/>
  <c r="AO343" i="15" s="1"/>
  <c r="K146" i="7"/>
  <c r="O366" i="15" s="1"/>
  <c r="W366" i="15" s="1"/>
  <c r="BB147" i="7"/>
  <c r="AA367" i="15" s="1"/>
  <c r="I366" i="15"/>
  <c r="AN366" i="15" s="1"/>
  <c r="BB7" i="7"/>
  <c r="AA320" i="15" s="1"/>
  <c r="AE320" i="15"/>
  <c r="AC320" i="15" s="1"/>
  <c r="AE478" i="15"/>
  <c r="AC478" i="15" s="1"/>
  <c r="AA478" i="15"/>
  <c r="AO435" i="15"/>
  <c r="I461" i="15"/>
  <c r="AN461" i="15" s="1"/>
  <c r="BB145" i="7"/>
  <c r="AA365" i="15" s="1"/>
  <c r="AE365" i="15"/>
  <c r="AC365" i="15" s="1"/>
  <c r="AO397" i="15"/>
  <c r="I377" i="15"/>
  <c r="K450" i="7"/>
  <c r="O377" i="15" s="1"/>
  <c r="W377" i="15" s="1"/>
  <c r="I369" i="15"/>
  <c r="AN369" i="15" s="1"/>
  <c r="BD149" i="7"/>
  <c r="K149" i="7"/>
  <c r="O369" i="15" s="1"/>
  <c r="W369" i="15" s="1"/>
  <c r="AO440" i="15"/>
  <c r="AE366" i="15"/>
  <c r="AC366" i="15" s="1"/>
  <c r="BB146" i="7"/>
  <c r="AA366" i="15" s="1"/>
  <c r="AO448" i="15"/>
  <c r="AO455" i="15"/>
  <c r="BD1136" i="7"/>
  <c r="BB1136" i="7" s="1"/>
  <c r="AA458" i="15" s="1"/>
  <c r="I458" i="15"/>
  <c r="AN458" i="15" s="1"/>
  <c r="AE455" i="15"/>
  <c r="AC455" i="15" s="1"/>
  <c r="AE382" i="15"/>
  <c r="AC382" i="15" s="1"/>
  <c r="AB114" i="15"/>
  <c r="I44" i="6"/>
  <c r="I9" i="6"/>
  <c r="AB119" i="15"/>
  <c r="AB132" i="15"/>
  <c r="BB142" i="6"/>
  <c r="AA132" i="15" s="1"/>
  <c r="O9" i="6"/>
  <c r="BE9" i="6" s="1"/>
  <c r="AB138" i="15"/>
  <c r="O15" i="6"/>
  <c r="BE15" i="6" s="1"/>
  <c r="J9" i="6"/>
  <c r="AB110" i="15"/>
  <c r="BB137" i="6"/>
  <c r="AA129" i="15" s="1"/>
  <c r="AB129" i="15"/>
  <c r="AB131" i="15"/>
  <c r="BB149" i="6"/>
  <c r="AA137" i="15" s="1"/>
  <c r="AB137" i="15"/>
  <c r="X729" i="6"/>
  <c r="X726" i="6"/>
  <c r="BB128" i="6"/>
  <c r="AA123" i="15" s="1"/>
  <c r="AB123" i="15"/>
  <c r="AB125" i="15"/>
  <c r="AB113" i="15"/>
  <c r="X711" i="6"/>
  <c r="X708" i="6"/>
  <c r="AB126" i="15"/>
  <c r="BB133" i="6"/>
  <c r="AA126" i="15" s="1"/>
  <c r="O11" i="6"/>
  <c r="BE11" i="6" s="1"/>
  <c r="W118" i="15"/>
  <c r="AO130" i="15"/>
  <c r="AO169" i="15"/>
  <c r="O222" i="15"/>
  <c r="W222" i="15" s="1"/>
  <c r="I59" i="6"/>
  <c r="AE540" i="15"/>
  <c r="AC540" i="15" s="1"/>
  <c r="BB58" i="10"/>
  <c r="AA588" i="15" s="1"/>
  <c r="BD262" i="5"/>
  <c r="AE96" i="15" s="1"/>
  <c r="AC96" i="15" s="1"/>
  <c r="I262" i="5"/>
  <c r="O96" i="15" s="1"/>
  <c r="V96" i="15" s="1"/>
  <c r="AO100" i="15"/>
  <c r="AE100" i="15"/>
  <c r="AC100" i="15" s="1"/>
  <c r="BD211" i="5"/>
  <c r="BB211" i="5" s="1"/>
  <c r="AA92" i="15" s="1"/>
  <c r="J211" i="5"/>
  <c r="O92" i="15" s="1"/>
  <c r="V92" i="15" s="1"/>
  <c r="AO104" i="15"/>
  <c r="AO77" i="15"/>
  <c r="AO75" i="15"/>
  <c r="AE72" i="15"/>
  <c r="AC72" i="15" s="1"/>
  <c r="BB53" i="5"/>
  <c r="AA77" i="15" s="1"/>
  <c r="AO72" i="15"/>
  <c r="BB47" i="5"/>
  <c r="AA71" i="15" s="1"/>
  <c r="AE76" i="15"/>
  <c r="AC76" i="15" s="1"/>
  <c r="AO101" i="15"/>
  <c r="AO76" i="15"/>
  <c r="AO98" i="15"/>
  <c r="AA101" i="15"/>
  <c r="AA103" i="15"/>
  <c r="AA104" i="15"/>
  <c r="AO86" i="15"/>
  <c r="AO82" i="15"/>
  <c r="BB46" i="5"/>
  <c r="AA70" i="15" s="1"/>
  <c r="AO71" i="15"/>
  <c r="AO88" i="15"/>
  <c r="AO69" i="15"/>
  <c r="AO84" i="15"/>
  <c r="BB107" i="5"/>
  <c r="AA84" i="15" s="1"/>
  <c r="BB51" i="5"/>
  <c r="AA75" i="15" s="1"/>
  <c r="AE88" i="15"/>
  <c r="AC88" i="15" s="1"/>
  <c r="BB159" i="5"/>
  <c r="AA88" i="15" s="1"/>
  <c r="AO70" i="15"/>
  <c r="AE98" i="15"/>
  <c r="AC98" i="15" s="1"/>
  <c r="AO65" i="15"/>
  <c r="BB7" i="5"/>
  <c r="AA65" i="15" s="1"/>
  <c r="BD10" i="5"/>
  <c r="K10" i="5"/>
  <c r="O68" i="15" s="1"/>
  <c r="V68" i="15" s="1"/>
  <c r="I68" i="15"/>
  <c r="AN68" i="15" s="1"/>
  <c r="AO44" i="15"/>
  <c r="AE42" i="15"/>
  <c r="AC42" i="15" s="1"/>
  <c r="O47" i="15"/>
  <c r="AO47" i="15" s="1"/>
  <c r="AC37" i="15"/>
  <c r="L44" i="15"/>
  <c r="I44" i="15" s="1"/>
  <c r="I74" i="16"/>
  <c r="AF44" i="15"/>
  <c r="AC44" i="15" s="1"/>
  <c r="BB73" i="16"/>
  <c r="AA44" i="15" s="1"/>
  <c r="I58" i="16"/>
  <c r="BD511" i="9"/>
  <c r="AE574" i="15" s="1"/>
  <c r="AC574" i="15" s="1"/>
  <c r="I577" i="15"/>
  <c r="AN577" i="15" s="1"/>
  <c r="AO577" i="15" s="1"/>
  <c r="V45" i="15"/>
  <c r="I574" i="15"/>
  <c r="AN574" i="15" s="1"/>
  <c r="BD514" i="9"/>
  <c r="BB514" i="9" s="1"/>
  <c r="AA577" i="15" s="1"/>
  <c r="AO45" i="15"/>
  <c r="AN41" i="15"/>
  <c r="AO41" i="15" s="1"/>
  <c r="O38" i="15"/>
  <c r="AO38" i="15" s="1"/>
  <c r="AO48" i="15"/>
  <c r="BB280" i="16"/>
  <c r="AA62" i="15" s="1"/>
  <c r="V43" i="15"/>
  <c r="AN43" i="15"/>
  <c r="AO43" i="15" s="1"/>
  <c r="V46" i="15"/>
  <c r="AF47" i="15"/>
  <c r="AC47" i="15" s="1"/>
  <c r="BB79" i="16"/>
  <c r="AA47" i="15" s="1"/>
  <c r="I1268" i="7"/>
  <c r="BD228" i="16"/>
  <c r="AO54" i="15"/>
  <c r="BD7" i="16"/>
  <c r="AE35" i="15" s="1"/>
  <c r="AC35" i="15" s="1"/>
  <c r="I35" i="15"/>
  <c r="AN35" i="15" s="1"/>
  <c r="AO35" i="15" s="1"/>
  <c r="AO57" i="15"/>
  <c r="BB223" i="16"/>
  <c r="AA54" i="15" s="1"/>
  <c r="L47" i="15"/>
  <c r="I47" i="15" s="1"/>
  <c r="I80" i="16"/>
  <c r="BB59" i="16"/>
  <c r="AA37" i="15" s="1"/>
  <c r="AE49" i="15"/>
  <c r="AC49" i="15" s="1"/>
  <c r="BB173" i="16"/>
  <c r="AA49" i="15" s="1"/>
  <c r="AO28" i="15"/>
  <c r="G21" i="3"/>
  <c r="O23" i="15" s="1"/>
  <c r="W23" i="15" s="1"/>
  <c r="BD21" i="3"/>
  <c r="AE23" i="15" s="1"/>
  <c r="AC23" i="15" s="1"/>
  <c r="BB25" i="3"/>
  <c r="AA27" i="15" s="1"/>
  <c r="BB7" i="3"/>
  <c r="AA9" i="15" s="1"/>
  <c r="AO12" i="15"/>
  <c r="AO11" i="15"/>
  <c r="AO30" i="15"/>
  <c r="AO25" i="15"/>
  <c r="BB23" i="3"/>
  <c r="AA25" i="15" s="1"/>
  <c r="AO22" i="15"/>
  <c r="AO15" i="15"/>
  <c r="I31" i="15"/>
  <c r="AN31" i="15" s="1"/>
  <c r="AO31" i="15" s="1"/>
  <c r="BD29" i="3"/>
  <c r="BD27" i="3"/>
  <c r="AE29" i="15" s="1"/>
  <c r="AC29" i="15" s="1"/>
  <c r="I29" i="15"/>
  <c r="AN29" i="15" s="1"/>
  <c r="G27" i="3"/>
  <c r="O29" i="15" s="1"/>
  <c r="W29" i="15" s="1"/>
  <c r="I24" i="15"/>
  <c r="AN24" i="15" s="1"/>
  <c r="BD22" i="3"/>
  <c r="G22" i="3"/>
  <c r="O24" i="15" s="1"/>
  <c r="W24" i="15" s="1"/>
  <c r="G8" i="3"/>
  <c r="O10" i="15" s="1"/>
  <c r="W10" i="15" s="1"/>
  <c r="I10" i="15"/>
  <c r="AN10" i="15" s="1"/>
  <c r="BD8" i="3"/>
  <c r="I726" i="15"/>
  <c r="AN726" i="15" s="1"/>
  <c r="DB507" i="2"/>
  <c r="AA693" i="15" s="1"/>
  <c r="DB462" i="2"/>
  <c r="AA683" i="15" s="1"/>
  <c r="DB486" i="2"/>
  <c r="AA691" i="15" s="1"/>
  <c r="AO671" i="15"/>
  <c r="AE680" i="15"/>
  <c r="AC680" i="15" s="1"/>
  <c r="DB422" i="2"/>
  <c r="AA680" i="15" s="1"/>
  <c r="AO666" i="15"/>
  <c r="I218" i="2"/>
  <c r="O649" i="15" s="1"/>
  <c r="W649" i="15" s="1"/>
  <c r="V649" i="15" s="1"/>
  <c r="U649" i="15" s="1"/>
  <c r="DD312" i="2"/>
  <c r="AE662" i="15" s="1"/>
  <c r="AC662" i="15" s="1"/>
  <c r="DB242" i="2"/>
  <c r="AA654" i="15" s="1"/>
  <c r="DB345" i="2"/>
  <c r="AA665" i="15" s="1"/>
  <c r="DB731" i="2"/>
  <c r="DB166" i="2"/>
  <c r="AA642" i="15" s="1"/>
  <c r="DB442" i="2"/>
  <c r="AA681" i="15" s="1"/>
  <c r="DB732" i="2"/>
  <c r="Q681" i="15"/>
  <c r="O681" i="15" s="1"/>
  <c r="W681" i="15" s="1"/>
  <c r="V681" i="15" s="1"/>
  <c r="U681" i="15" s="1"/>
  <c r="AO636" i="15"/>
  <c r="AO700" i="15"/>
  <c r="DB667" i="2"/>
  <c r="AA716" i="15" s="1"/>
  <c r="AO709" i="15"/>
  <c r="DB464" i="2"/>
  <c r="AA685" i="15" s="1"/>
  <c r="DB152" i="2"/>
  <c r="AA628" i="15" s="1"/>
  <c r="DB509" i="2"/>
  <c r="AA695" i="15" s="1"/>
  <c r="DB156" i="2"/>
  <c r="AA632" i="15" s="1"/>
  <c r="DB534" i="2"/>
  <c r="AA701" i="15" s="1"/>
  <c r="DB699" i="2"/>
  <c r="AA718" i="15" s="1"/>
  <c r="DB168" i="2"/>
  <c r="AA644" i="15" s="1"/>
  <c r="V609" i="15"/>
  <c r="U609" i="15" s="1"/>
  <c r="AO719" i="15"/>
  <c r="AO643" i="15"/>
  <c r="DB154" i="2"/>
  <c r="AA630" i="15" s="1"/>
  <c r="V606" i="15"/>
  <c r="U606" i="15" s="1"/>
  <c r="DB398" i="2"/>
  <c r="AA673" i="15" s="1"/>
  <c r="DB395" i="2"/>
  <c r="AA670" i="15" s="1"/>
  <c r="DB535" i="2"/>
  <c r="AA702" i="15" s="1"/>
  <c r="AO692" i="15"/>
  <c r="AO638" i="15"/>
  <c r="AO706" i="15"/>
  <c r="AO701" i="15"/>
  <c r="W701" i="15"/>
  <c r="V701" i="15" s="1"/>
  <c r="U701" i="15" s="1"/>
  <c r="DB157" i="2"/>
  <c r="AA633" i="15" s="1"/>
  <c r="AO685" i="15"/>
  <c r="AO628" i="15"/>
  <c r="AO696" i="15"/>
  <c r="AO639" i="15"/>
  <c r="DB9" i="2"/>
  <c r="AA591" i="15" s="1"/>
  <c r="AO676" i="15"/>
  <c r="AA676" i="15"/>
  <c r="DB616" i="2"/>
  <c r="AO606" i="15"/>
  <c r="AO631" i="15"/>
  <c r="AO713" i="15"/>
  <c r="AO642" i="15"/>
  <c r="AO630" i="15"/>
  <c r="V631" i="15"/>
  <c r="U631" i="15" s="1"/>
  <c r="DB533" i="2"/>
  <c r="AA700" i="15" s="1"/>
  <c r="AO599" i="15"/>
  <c r="DB396" i="2"/>
  <c r="AA671" i="15" s="1"/>
  <c r="DB241" i="2"/>
  <c r="AA653" i="15" s="1"/>
  <c r="AO697" i="15"/>
  <c r="AO687" i="15"/>
  <c r="AO637" i="15"/>
  <c r="DB24" i="2"/>
  <c r="AA606" i="15" s="1"/>
  <c r="AE48" i="15"/>
  <c r="AC48" i="15" s="1"/>
  <c r="BB172" i="16"/>
  <c r="AA48" i="15" s="1"/>
  <c r="BB510" i="9"/>
  <c r="AA573" i="15" s="1"/>
  <c r="AE573" i="15"/>
  <c r="AC573" i="15" s="1"/>
  <c r="F358" i="9"/>
  <c r="AB553" i="15"/>
  <c r="W358" i="9"/>
  <c r="BB283" i="9"/>
  <c r="AA553" i="15" s="1"/>
  <c r="AE39" i="15"/>
  <c r="AC39" i="15" s="1"/>
  <c r="BB63" i="16"/>
  <c r="AA39" i="15" s="1"/>
  <c r="BB160" i="6"/>
  <c r="AA144" i="15" s="1"/>
  <c r="AB144" i="15"/>
  <c r="F1276" i="6"/>
  <c r="F1270" i="6"/>
  <c r="F1282" i="6"/>
  <c r="F1258" i="6"/>
  <c r="F1246" i="6"/>
  <c r="F1264" i="6"/>
  <c r="F1240" i="6"/>
  <c r="F1234" i="6"/>
  <c r="F1288" i="6"/>
  <c r="F1252" i="6"/>
  <c r="AG126" i="15"/>
  <c r="AD126" i="15" s="1"/>
  <c r="AE21" i="15"/>
  <c r="AC21" i="15" s="1"/>
  <c r="AE222" i="15"/>
  <c r="AE390" i="15"/>
  <c r="AC390" i="15" s="1"/>
  <c r="AE476" i="15"/>
  <c r="AC476" i="15" s="1"/>
  <c r="AA476" i="15"/>
  <c r="BD1138" i="7"/>
  <c r="I460" i="15"/>
  <c r="AN460" i="15" s="1"/>
  <c r="AN680" i="15"/>
  <c r="AO680" i="15" s="1"/>
  <c r="AE584" i="15"/>
  <c r="AC584" i="15" s="1"/>
  <c r="BB8" i="10"/>
  <c r="AA584" i="15" s="1"/>
  <c r="BB307" i="16"/>
  <c r="AA63" i="15" s="1"/>
  <c r="AE63" i="15"/>
  <c r="AC63" i="15" s="1"/>
  <c r="X173" i="15"/>
  <c r="Z173" i="15" s="1"/>
  <c r="BC805" i="6"/>
  <c r="J209" i="5"/>
  <c r="O90" i="15" s="1"/>
  <c r="V90" i="15" s="1"/>
  <c r="I90" i="15"/>
  <c r="AN90" i="15" s="1"/>
  <c r="BD209" i="5"/>
  <c r="M1138" i="7"/>
  <c r="O460" i="15" s="1"/>
  <c r="W460" i="15" s="1"/>
  <c r="AG150" i="15"/>
  <c r="AD150" i="15" s="1"/>
  <c r="I347" i="15"/>
  <c r="AN347" i="15" s="1"/>
  <c r="BD127" i="7"/>
  <c r="K127" i="7"/>
  <c r="O347" i="15" s="1"/>
  <c r="W347" i="15" s="1"/>
  <c r="DB597" i="2"/>
  <c r="AA709" i="15" s="1"/>
  <c r="AE36" i="15"/>
  <c r="DB538" i="2"/>
  <c r="AA705" i="15" s="1"/>
  <c r="AB143" i="15"/>
  <c r="BB158" i="6"/>
  <c r="AA143" i="15" s="1"/>
  <c r="AE163" i="15"/>
  <c r="AC163" i="15" s="1"/>
  <c r="AE146" i="15"/>
  <c r="AC146" i="15" s="1"/>
  <c r="BB226" i="16"/>
  <c r="AA57" i="15" s="1"/>
  <c r="AE57" i="15"/>
  <c r="AC57" i="15" s="1"/>
  <c r="AE45" i="15"/>
  <c r="AC45" i="15" s="1"/>
  <c r="BB75" i="16"/>
  <c r="AA45" i="15" s="1"/>
  <c r="K285" i="15"/>
  <c r="Q285" i="15"/>
  <c r="O285" i="15" s="1"/>
  <c r="AE171" i="15"/>
  <c r="AC171" i="15" s="1"/>
  <c r="BB151" i="6"/>
  <c r="AA138" i="15" s="1"/>
  <c r="AE138" i="15"/>
  <c r="AC138" i="15" s="1"/>
  <c r="X218" i="15"/>
  <c r="Z218" i="15" s="1"/>
  <c r="AE172" i="15"/>
  <c r="AC172" i="15" s="1"/>
  <c r="I92" i="15"/>
  <c r="AN92" i="15" s="1"/>
  <c r="BD18" i="3"/>
  <c r="I20" i="15"/>
  <c r="AN20" i="15" s="1"/>
  <c r="G18" i="3"/>
  <c r="O20" i="15" s="1"/>
  <c r="W20" i="15" s="1"/>
  <c r="BB1126" i="7"/>
  <c r="AA448" i="15" s="1"/>
  <c r="AE448" i="15"/>
  <c r="AC448" i="15" s="1"/>
  <c r="AE557" i="15"/>
  <c r="AC557" i="15" s="1"/>
  <c r="AA557" i="15"/>
  <c r="I217" i="2"/>
  <c r="O648" i="15" s="1"/>
  <c r="W648" i="15" s="1"/>
  <c r="V648" i="15" s="1"/>
  <c r="U648" i="15" s="1"/>
  <c r="DB508" i="2"/>
  <c r="AA694" i="15" s="1"/>
  <c r="V697" i="15"/>
  <c r="U697" i="15" s="1"/>
  <c r="AO684" i="15"/>
  <c r="V635" i="15"/>
  <c r="U635" i="15" s="1"/>
  <c r="DB463" i="2"/>
  <c r="AA684" i="15" s="1"/>
  <c r="AE155" i="15"/>
  <c r="AC155" i="15" s="1"/>
  <c r="AE164" i="15"/>
  <c r="AC164" i="15" s="1"/>
  <c r="AF41" i="15"/>
  <c r="AC41" i="15" s="1"/>
  <c r="BB67" i="16"/>
  <c r="AA41" i="15" s="1"/>
  <c r="AB375" i="15"/>
  <c r="DD786" i="2"/>
  <c r="BB105" i="5"/>
  <c r="AA82" i="15" s="1"/>
  <c r="AE82" i="15"/>
  <c r="AC82" i="15" s="1"/>
  <c r="AE152" i="15"/>
  <c r="AC152" i="15" s="1"/>
  <c r="AE359" i="15"/>
  <c r="AC359" i="15" s="1"/>
  <c r="BB139" i="7"/>
  <c r="AA359" i="15" s="1"/>
  <c r="AN201" i="15"/>
  <c r="I201" i="15"/>
  <c r="AG202" i="15"/>
  <c r="AD202" i="15" s="1"/>
  <c r="BB77" i="9"/>
  <c r="AA535" i="15" s="1"/>
  <c r="AE535" i="15"/>
  <c r="AC535" i="15" s="1"/>
  <c r="AE156" i="15"/>
  <c r="AC156" i="15" s="1"/>
  <c r="BB163" i="6"/>
  <c r="AA146" i="15" s="1"/>
  <c r="AB146" i="15"/>
  <c r="DB164" i="2"/>
  <c r="AA640" i="15" s="1"/>
  <c r="DB397" i="2"/>
  <c r="AA672" i="15" s="1"/>
  <c r="DB198" i="2"/>
  <c r="AA647" i="15" s="1"/>
  <c r="V44" i="15"/>
  <c r="AO259" i="15"/>
  <c r="V637" i="15"/>
  <c r="U637" i="15" s="1"/>
  <c r="AE162" i="15"/>
  <c r="AC162" i="15" s="1"/>
  <c r="AE157" i="15"/>
  <c r="AC157" i="15" s="1"/>
  <c r="AE583" i="15"/>
  <c r="AC583" i="15" s="1"/>
  <c r="BB7" i="10"/>
  <c r="AA583" i="15" s="1"/>
  <c r="BB77" i="16"/>
  <c r="AA46" i="15" s="1"/>
  <c r="AE46" i="15"/>
  <c r="AC46" i="15" s="1"/>
  <c r="AB378" i="15"/>
  <c r="AE119" i="15"/>
  <c r="AC119" i="15" s="1"/>
  <c r="BB122" i="6"/>
  <c r="AA119" i="15" s="1"/>
  <c r="AE15" i="15"/>
  <c r="AC15" i="15" s="1"/>
  <c r="BB13" i="3"/>
  <c r="AA15" i="15" s="1"/>
  <c r="I809" i="6"/>
  <c r="Q176" i="15" s="1"/>
  <c r="BD809" i="6"/>
  <c r="K176" i="15"/>
  <c r="AF309" i="15"/>
  <c r="F356" i="9"/>
  <c r="AB551" i="15"/>
  <c r="W356" i="9"/>
  <c r="BB281" i="9"/>
  <c r="AA551" i="15" s="1"/>
  <c r="DB163" i="2"/>
  <c r="AA639" i="15" s="1"/>
  <c r="AE142" i="15"/>
  <c r="AC142" i="15" s="1"/>
  <c r="BB157" i="6"/>
  <c r="AA142" i="15" s="1"/>
  <c r="DB683" i="2"/>
  <c r="AA717" i="15" s="1"/>
  <c r="AO686" i="15"/>
  <c r="W164" i="15"/>
  <c r="O164" i="15"/>
  <c r="AG143" i="15"/>
  <c r="AD143" i="15" s="1"/>
  <c r="AN36" i="15"/>
  <c r="AB377" i="15"/>
  <c r="BD124" i="7"/>
  <c r="K124" i="7"/>
  <c r="O344" i="15" s="1"/>
  <c r="W344" i="15" s="1"/>
  <c r="I344" i="15"/>
  <c r="AN344" i="15" s="1"/>
  <c r="AE205" i="15"/>
  <c r="AC205" i="15" s="1"/>
  <c r="BB1437" i="6"/>
  <c r="AA205" i="15" s="1"/>
  <c r="AB176" i="15"/>
  <c r="K811" i="6"/>
  <c r="BE811" i="6" s="1"/>
  <c r="BB28" i="3"/>
  <c r="AA30" i="15" s="1"/>
  <c r="AE30" i="15"/>
  <c r="AC30" i="15" s="1"/>
  <c r="AE144" i="15"/>
  <c r="AC144" i="15" s="1"/>
  <c r="AE158" i="15"/>
  <c r="AC158" i="15" s="1"/>
  <c r="I26" i="15"/>
  <c r="AN26" i="15" s="1"/>
  <c r="BD24" i="3"/>
  <c r="G24" i="3"/>
  <c r="O26" i="15" s="1"/>
  <c r="W26" i="15" s="1"/>
  <c r="X177" i="15"/>
  <c r="Z177" i="15" s="1"/>
  <c r="BC811" i="6"/>
  <c r="AN62" i="15"/>
  <c r="AO62" i="15" s="1"/>
  <c r="DD290" i="2"/>
  <c r="AE658" i="15" s="1"/>
  <c r="AC658" i="15" s="1"/>
  <c r="DB558" i="2"/>
  <c r="AA706" i="15" s="1"/>
  <c r="DB169" i="2"/>
  <c r="AA645" i="15" s="1"/>
  <c r="AG153" i="15"/>
  <c r="AD153" i="15" s="1"/>
  <c r="L40" i="15"/>
  <c r="I40" i="15" s="1"/>
  <c r="BD66" i="16"/>
  <c r="I66" i="16"/>
  <c r="O36" i="15"/>
  <c r="V36" i="15"/>
  <c r="AB376" i="15"/>
  <c r="AB141" i="15"/>
  <c r="BB155" i="6"/>
  <c r="AA141" i="15" s="1"/>
  <c r="AE53" i="15"/>
  <c r="AC53" i="15" s="1"/>
  <c r="BB222" i="16"/>
  <c r="AA53" i="15" s="1"/>
  <c r="AE204" i="15"/>
  <c r="AC204" i="15" s="1"/>
  <c r="AG132" i="15"/>
  <c r="AD132" i="15" s="1"/>
  <c r="AE69" i="15"/>
  <c r="AC69" i="15" s="1"/>
  <c r="BB11" i="5"/>
  <c r="AA69" i="15" s="1"/>
  <c r="AE11" i="15"/>
  <c r="AC11" i="15" s="1"/>
  <c r="BB9" i="3"/>
  <c r="AA11" i="15" s="1"/>
  <c r="AE397" i="15"/>
  <c r="AC397" i="15" s="1"/>
  <c r="BB607" i="7"/>
  <c r="AA397" i="15" s="1"/>
  <c r="BB1032" i="7"/>
  <c r="AA442" i="15" s="1"/>
  <c r="AE576" i="15"/>
  <c r="AC576" i="15" s="1"/>
  <c r="BB513" i="9"/>
  <c r="AA576" i="15" s="1"/>
  <c r="BB279" i="9"/>
  <c r="AA549" i="15" s="1"/>
  <c r="AB549" i="15"/>
  <c r="W354" i="9"/>
  <c r="F354" i="9"/>
  <c r="I650" i="15"/>
  <c r="AN650" i="15" s="1"/>
  <c r="DD219" i="2"/>
  <c r="AE650" i="15" s="1"/>
  <c r="AC650" i="15" s="1"/>
  <c r="DB574" i="2"/>
  <c r="AA707" i="15" s="1"/>
  <c r="AO665" i="15"/>
  <c r="I575" i="2"/>
  <c r="O708" i="15" s="1"/>
  <c r="V708" i="15" s="1"/>
  <c r="U708" i="15" s="1"/>
  <c r="I658" i="15"/>
  <c r="AN658" i="15" s="1"/>
  <c r="DB273" i="2"/>
  <c r="AA656" i="15" s="1"/>
  <c r="DB536" i="2"/>
  <c r="AA703" i="15" s="1"/>
  <c r="DB465" i="2"/>
  <c r="AA686" i="15" s="1"/>
  <c r="DB197" i="2"/>
  <c r="AA646" i="15" s="1"/>
  <c r="I289" i="2"/>
  <c r="O657" i="15" s="1"/>
  <c r="V657" i="15" s="1"/>
  <c r="U657" i="15" s="1"/>
  <c r="AO718" i="15"/>
  <c r="AO640" i="15"/>
  <c r="DD575" i="2"/>
  <c r="AE708" i="15" s="1"/>
  <c r="AC708" i="15" s="1"/>
  <c r="DD220" i="2"/>
  <c r="AE651" i="15" s="1"/>
  <c r="AC651" i="15" s="1"/>
  <c r="AO672" i="15"/>
  <c r="AO721" i="15"/>
  <c r="AO632" i="15"/>
  <c r="AO644" i="15"/>
  <c r="DD217" i="2"/>
  <c r="AE648" i="15" s="1"/>
  <c r="AC648" i="15" s="1"/>
  <c r="AO603" i="15"/>
  <c r="AE697" i="15"/>
  <c r="AC697" i="15" s="1"/>
  <c r="DB511" i="2"/>
  <c r="AA697" i="15" s="1"/>
  <c r="AO693" i="15"/>
  <c r="AO694" i="15"/>
  <c r="AO656" i="15"/>
  <c r="AO605" i="15"/>
  <c r="I651" i="15"/>
  <c r="AN651" i="15" s="1"/>
  <c r="AO702" i="15"/>
  <c r="AO683" i="15"/>
  <c r="AO720" i="15"/>
  <c r="DB598" i="2"/>
  <c r="DB331" i="2"/>
  <c r="AA664" i="15" s="1"/>
  <c r="AO629" i="15"/>
  <c r="DB160" i="2"/>
  <c r="AA636" i="15" s="1"/>
  <c r="DB165" i="2"/>
  <c r="AA641" i="15" s="1"/>
  <c r="DB259" i="2"/>
  <c r="AA655" i="15" s="1"/>
  <c r="V656" i="15"/>
  <c r="U656" i="15" s="1"/>
  <c r="AO633" i="15"/>
  <c r="V633" i="15"/>
  <c r="U633" i="15" s="1"/>
  <c r="AO703" i="15"/>
  <c r="AO645" i="15"/>
  <c r="AO641" i="15"/>
  <c r="V629" i="15"/>
  <c r="U629" i="15" s="1"/>
  <c r="AO704" i="15"/>
  <c r="AO699" i="15"/>
  <c r="DB167" i="2"/>
  <c r="AA643" i="15" s="1"/>
  <c r="AO634" i="15"/>
  <c r="AO654" i="15"/>
  <c r="DD289" i="2"/>
  <c r="DB158" i="2"/>
  <c r="AA634" i="15" s="1"/>
  <c r="W705" i="15"/>
  <c r="V705" i="15" s="1"/>
  <c r="U705" i="15" s="1"/>
  <c r="AO612" i="15"/>
  <c r="DB155" i="2"/>
  <c r="AA631" i="15" s="1"/>
  <c r="DB162" i="2"/>
  <c r="AA638" i="15" s="1"/>
  <c r="AO602" i="15"/>
  <c r="AO635" i="15"/>
  <c r="I219" i="2"/>
  <c r="O650" i="15" s="1"/>
  <c r="W650" i="15" s="1"/>
  <c r="V650" i="15" s="1"/>
  <c r="U650" i="15" s="1"/>
  <c r="AA612" i="15"/>
  <c r="AO596" i="15"/>
  <c r="AO609" i="15"/>
  <c r="AO722" i="15"/>
  <c r="AO698" i="15"/>
  <c r="AO695" i="15"/>
  <c r="I661" i="15"/>
  <c r="AN661" i="15" s="1"/>
  <c r="DD311" i="2"/>
  <c r="I311" i="2"/>
  <c r="O661" i="15" s="1"/>
  <c r="V661" i="15" s="1"/>
  <c r="U661" i="15" s="1"/>
  <c r="DB159" i="2"/>
  <c r="AA635" i="15" s="1"/>
  <c r="AO673" i="15"/>
  <c r="DD218" i="2"/>
  <c r="AE649" i="15" s="1"/>
  <c r="AC649" i="15" s="1"/>
  <c r="I660" i="15"/>
  <c r="AN660" i="15" s="1"/>
  <c r="DD292" i="2"/>
  <c r="I292" i="2"/>
  <c r="O660" i="15" s="1"/>
  <c r="V660" i="15" s="1"/>
  <c r="U660" i="15" s="1"/>
  <c r="AO600" i="15"/>
  <c r="AO647" i="15"/>
  <c r="AO646" i="15"/>
  <c r="V722" i="15"/>
  <c r="U722" i="15" s="1"/>
  <c r="AO604" i="15"/>
  <c r="AA609" i="15"/>
  <c r="AO653" i="15"/>
  <c r="AO723" i="15"/>
  <c r="AO710" i="15"/>
  <c r="AO655" i="15"/>
  <c r="AO601" i="15"/>
  <c r="U717" i="15"/>
  <c r="AE629" i="15"/>
  <c r="AC629" i="15" s="1"/>
  <c r="DB153" i="2"/>
  <c r="AA629" i="15" s="1"/>
  <c r="AO691" i="15"/>
  <c r="AO595" i="15"/>
  <c r="AO46" i="15"/>
  <c r="AO268" i="15"/>
  <c r="AO127" i="15"/>
  <c r="AO194" i="15"/>
  <c r="AO728" i="15"/>
  <c r="AO37" i="15"/>
  <c r="AO689" i="15"/>
  <c r="AO171" i="15"/>
  <c r="DB22" i="2"/>
  <c r="AA604" i="15" s="1"/>
  <c r="AE605" i="15"/>
  <c r="AC605" i="15" s="1"/>
  <c r="AO674" i="15"/>
  <c r="DB12" i="2"/>
  <c r="AA594" i="15" s="1"/>
  <c r="AO669" i="15"/>
  <c r="AO690" i="15"/>
  <c r="AO615" i="15"/>
  <c r="AO593" i="15"/>
  <c r="AO688" i="15"/>
  <c r="W669" i="15"/>
  <c r="V669" i="15" s="1"/>
  <c r="U669" i="15" s="1"/>
  <c r="AO264" i="15"/>
  <c r="AO195" i="15"/>
  <c r="DB19" i="2"/>
  <c r="AA601" i="15" s="1"/>
  <c r="AE592" i="15"/>
  <c r="AC592" i="15" s="1"/>
  <c r="DB21" i="2"/>
  <c r="AA603" i="15" s="1"/>
  <c r="AO597" i="15"/>
  <c r="V436" i="15"/>
  <c r="AO436" i="15"/>
  <c r="DB11" i="2"/>
  <c r="AA593" i="15" s="1"/>
  <c r="DB16" i="2"/>
  <c r="AA598" i="15" s="1"/>
  <c r="DB13" i="2"/>
  <c r="AA595" i="15" s="1"/>
  <c r="V593" i="15"/>
  <c r="U593" i="15" s="1"/>
  <c r="AE599" i="15"/>
  <c r="AC599" i="15" s="1"/>
  <c r="DB17" i="2"/>
  <c r="AA599" i="15" s="1"/>
  <c r="AE596" i="15"/>
  <c r="AC596" i="15" s="1"/>
  <c r="DB14" i="2"/>
  <c r="AA596" i="15" s="1"/>
  <c r="V615" i="15"/>
  <c r="U615" i="15" s="1"/>
  <c r="AO598" i="15"/>
  <c r="AO594" i="15"/>
  <c r="AE602" i="15"/>
  <c r="AC602" i="15" s="1"/>
  <c r="DB20" i="2"/>
  <c r="AA602" i="15" s="1"/>
  <c r="AE615" i="15"/>
  <c r="AC615" i="15" s="1"/>
  <c r="AA615" i="15"/>
  <c r="AO591" i="15"/>
  <c r="AE597" i="15"/>
  <c r="AC597" i="15" s="1"/>
  <c r="DB15" i="2"/>
  <c r="AA597" i="15" s="1"/>
  <c r="AE600" i="15"/>
  <c r="AC600" i="15" s="1"/>
  <c r="DB18" i="2"/>
  <c r="AA600" i="15" s="1"/>
  <c r="AO592" i="15"/>
  <c r="BB10" i="9" l="1"/>
  <c r="AA523" i="15" s="1"/>
  <c r="AE424" i="15"/>
  <c r="AC424" i="15" s="1"/>
  <c r="I244" i="15"/>
  <c r="AN244" i="15"/>
  <c r="I283" i="15"/>
  <c r="AN283" i="15"/>
  <c r="I235" i="15"/>
  <c r="AN235" i="15"/>
  <c r="I239" i="15"/>
  <c r="AN239" i="15"/>
  <c r="I298" i="15"/>
  <c r="AN298" i="15"/>
  <c r="AN245" i="15"/>
  <c r="I245" i="15"/>
  <c r="I227" i="15"/>
  <c r="AN227" i="15"/>
  <c r="BE1539" i="6"/>
  <c r="AB244" i="15"/>
  <c r="I240" i="15"/>
  <c r="AN240" i="15"/>
  <c r="AN299" i="15"/>
  <c r="I299" i="15"/>
  <c r="AN251" i="15"/>
  <c r="I251" i="15"/>
  <c r="AN290" i="15"/>
  <c r="I290" i="15"/>
  <c r="AN252" i="15"/>
  <c r="I252" i="15"/>
  <c r="AN282" i="15"/>
  <c r="I282" i="15"/>
  <c r="AN257" i="15"/>
  <c r="I257" i="15"/>
  <c r="BE1541" i="6"/>
  <c r="AB245" i="15"/>
  <c r="I234" i="15"/>
  <c r="AN234" i="15"/>
  <c r="I291" i="15"/>
  <c r="AN291" i="15"/>
  <c r="AO307" i="15"/>
  <c r="AP307" i="15" s="1"/>
  <c r="AC21" i="7"/>
  <c r="K334" i="15"/>
  <c r="I334" i="15" s="1"/>
  <c r="AN334" i="15" s="1"/>
  <c r="AC20" i="7"/>
  <c r="K333" i="15"/>
  <c r="I333" i="15" s="1"/>
  <c r="AN333" i="15" s="1"/>
  <c r="AC19" i="7"/>
  <c r="K332" i="15"/>
  <c r="I332" i="15" s="1"/>
  <c r="AN332" i="15" s="1"/>
  <c r="AD297" i="15"/>
  <c r="AO404" i="15"/>
  <c r="AC243" i="15"/>
  <c r="AC297" i="15"/>
  <c r="I289" i="15"/>
  <c r="O238" i="15"/>
  <c r="AO238" i="15" s="1"/>
  <c r="AP238" i="15" s="1"/>
  <c r="P289" i="15"/>
  <c r="W289" i="15" s="1"/>
  <c r="O250" i="15"/>
  <c r="W250" i="15" s="1"/>
  <c r="AO659" i="15"/>
  <c r="AO727" i="15"/>
  <c r="AO16" i="15"/>
  <c r="AD289" i="15"/>
  <c r="AO330" i="15"/>
  <c r="O289" i="15"/>
  <c r="AO331" i="15"/>
  <c r="AO27" i="15"/>
  <c r="AO13" i="15"/>
  <c r="O243" i="15"/>
  <c r="W243" i="15" s="1"/>
  <c r="I281" i="15"/>
  <c r="O233" i="15"/>
  <c r="W233" i="15" s="1"/>
  <c r="AC250" i="15"/>
  <c r="AC318" i="15"/>
  <c r="AO321" i="15"/>
  <c r="AO327" i="15"/>
  <c r="AO384" i="15"/>
  <c r="AE527" i="15"/>
  <c r="AC527" i="15" s="1"/>
  <c r="BB11" i="9"/>
  <c r="AA524" i="15" s="1"/>
  <c r="BB590" i="9"/>
  <c r="AA582" i="15" s="1"/>
  <c r="AA527" i="15"/>
  <c r="BB8" i="9"/>
  <c r="AA521" i="15" s="1"/>
  <c r="AO328" i="15"/>
  <c r="AO322" i="15"/>
  <c r="AO329" i="15"/>
  <c r="AE328" i="15"/>
  <c r="AC328" i="15" s="1"/>
  <c r="BB16" i="7"/>
  <c r="AA329" i="15" s="1"/>
  <c r="BB1761" i="6"/>
  <c r="AA310" i="15" s="1"/>
  <c r="O281" i="15"/>
  <c r="AC314" i="15"/>
  <c r="O305" i="15"/>
  <c r="W305" i="15" s="1"/>
  <c r="AC316" i="15"/>
  <c r="AD207" i="15"/>
  <c r="BD1779" i="6"/>
  <c r="AE319" i="15" s="1"/>
  <c r="AC319" i="15" s="1"/>
  <c r="BD1557" i="6"/>
  <c r="AE251" i="15" s="1"/>
  <c r="AC251" i="15" s="1"/>
  <c r="I1557" i="6"/>
  <c r="Q251" i="15" s="1"/>
  <c r="O251" i="15" s="1"/>
  <c r="W251" i="15" s="1"/>
  <c r="BD1445" i="6"/>
  <c r="AC233" i="15"/>
  <c r="BD1559" i="6"/>
  <c r="AE252" i="15" s="1"/>
  <c r="AC252" i="15" s="1"/>
  <c r="I1559" i="6"/>
  <c r="Q252" i="15" s="1"/>
  <c r="O252" i="15" s="1"/>
  <c r="W252" i="15" s="1"/>
  <c r="BD1665" i="6"/>
  <c r="AE283" i="15" s="1"/>
  <c r="AC283" i="15" s="1"/>
  <c r="I1665" i="6"/>
  <c r="Q283" i="15" s="1"/>
  <c r="O283" i="15" s="1"/>
  <c r="AE312" i="15"/>
  <c r="AC312" i="15" s="1"/>
  <c r="BD1501" i="6"/>
  <c r="AE227" i="15" s="1"/>
  <c r="AC227" i="15" s="1"/>
  <c r="I1501" i="6"/>
  <c r="Q227" i="15" s="1"/>
  <c r="O227" i="15" s="1"/>
  <c r="BD1447" i="6"/>
  <c r="AG208" i="15" s="1"/>
  <c r="AD208" i="15" s="1"/>
  <c r="AC305" i="15"/>
  <c r="BD1771" i="6"/>
  <c r="AE315" i="15" s="1"/>
  <c r="AC315" i="15" s="1"/>
  <c r="BD1541" i="6"/>
  <c r="I1541" i="6"/>
  <c r="Q245" i="15" s="1"/>
  <c r="O245" i="15" s="1"/>
  <c r="W245" i="15" s="1"/>
  <c r="BD1699" i="6"/>
  <c r="AG291" i="15" s="1"/>
  <c r="AD291" i="15" s="1"/>
  <c r="I1699" i="6"/>
  <c r="S291" i="15" s="1"/>
  <c r="P291" i="15" s="1"/>
  <c r="W291" i="15" s="1"/>
  <c r="K3346" i="6"/>
  <c r="M3957" i="6" s="1"/>
  <c r="L3957" i="6" s="1"/>
  <c r="K3957" i="6" s="1"/>
  <c r="K1505" i="6" s="1"/>
  <c r="F1503" i="6"/>
  <c r="M227" i="15" s="1"/>
  <c r="J227" i="15" s="1"/>
  <c r="BD1531" i="6"/>
  <c r="I1531" i="6"/>
  <c r="Q240" i="15" s="1"/>
  <c r="O240" i="15" s="1"/>
  <c r="W240" i="15" s="1"/>
  <c r="BE1605" i="6"/>
  <c r="BB1605" i="6" s="1"/>
  <c r="AA267" i="15" s="1"/>
  <c r="BD1577" i="6"/>
  <c r="AE257" i="15" s="1"/>
  <c r="AC257" i="15" s="1"/>
  <c r="I1577" i="6"/>
  <c r="Q257" i="15" s="1"/>
  <c r="O257" i="15" s="1"/>
  <c r="BD1663" i="6"/>
  <c r="AG282" i="15" s="1"/>
  <c r="AD282" i="15" s="1"/>
  <c r="I1663" i="6"/>
  <c r="S282" i="15" s="1"/>
  <c r="P282" i="15" s="1"/>
  <c r="W282" i="15" s="1"/>
  <c r="BD1519" i="6"/>
  <c r="I1519" i="6"/>
  <c r="Q234" i="15" s="1"/>
  <c r="O234" i="15" s="1"/>
  <c r="W234" i="15" s="1"/>
  <c r="BD1693" i="6"/>
  <c r="AE290" i="15" s="1"/>
  <c r="AC290" i="15" s="1"/>
  <c r="I1693" i="6"/>
  <c r="Q290" i="15" s="1"/>
  <c r="O290" i="15" s="1"/>
  <c r="BD1723" i="6"/>
  <c r="AE298" i="15" s="1"/>
  <c r="AC298" i="15" s="1"/>
  <c r="I1723" i="6"/>
  <c r="Q298" i="15" s="1"/>
  <c r="O298" i="15" s="1"/>
  <c r="BD1695" i="6"/>
  <c r="AG290" i="15" s="1"/>
  <c r="AD290" i="15" s="1"/>
  <c r="I1695" i="6"/>
  <c r="S290" i="15" s="1"/>
  <c r="P290" i="15" s="1"/>
  <c r="W290" i="15" s="1"/>
  <c r="BD1529" i="6"/>
  <c r="I1529" i="6"/>
  <c r="Q239" i="15" s="1"/>
  <c r="O239" i="15" s="1"/>
  <c r="W239" i="15" s="1"/>
  <c r="BE1525" i="6"/>
  <c r="BB1525" i="6" s="1"/>
  <c r="AA237" i="15" s="1"/>
  <c r="K3384" i="6"/>
  <c r="F1579" i="6"/>
  <c r="M257" i="15" s="1"/>
  <c r="J257" i="15" s="1"/>
  <c r="BD1667" i="6"/>
  <c r="AG283" i="15" s="1"/>
  <c r="AD283" i="15" s="1"/>
  <c r="I1667" i="6"/>
  <c r="S283" i="15" s="1"/>
  <c r="P283" i="15" s="1"/>
  <c r="W283" i="15" s="1"/>
  <c r="BD1521" i="6"/>
  <c r="I1521" i="6"/>
  <c r="Q235" i="15" s="1"/>
  <c r="O235" i="15" s="1"/>
  <c r="W235" i="15" s="1"/>
  <c r="BD1697" i="6"/>
  <c r="AE291" i="15" s="1"/>
  <c r="AC291" i="15" s="1"/>
  <c r="I1697" i="6"/>
  <c r="Q291" i="15" s="1"/>
  <c r="O291" i="15" s="1"/>
  <c r="BD1727" i="6"/>
  <c r="AE299" i="15" s="1"/>
  <c r="AC299" i="15" s="1"/>
  <c r="I1727" i="6"/>
  <c r="Q299" i="15" s="1"/>
  <c r="O299" i="15" s="1"/>
  <c r="K4009" i="6"/>
  <c r="K1557" i="6" s="1"/>
  <c r="K4007" i="6"/>
  <c r="K1555" i="6" s="1"/>
  <c r="BE1555" i="6" s="1"/>
  <c r="K4227" i="6"/>
  <c r="K1775" i="6" s="1"/>
  <c r="BE1775" i="6" s="1"/>
  <c r="K4011" i="6"/>
  <c r="K1559" i="6" s="1"/>
  <c r="AB204" i="15"/>
  <c r="AC317" i="15"/>
  <c r="BD1539" i="6"/>
  <c r="I1539" i="6"/>
  <c r="Q244" i="15" s="1"/>
  <c r="O244" i="15" s="1"/>
  <c r="W244" i="15" s="1"/>
  <c r="BE1523" i="6"/>
  <c r="BB1523" i="6" s="1"/>
  <c r="AA236" i="15" s="1"/>
  <c r="BD1725" i="6"/>
  <c r="AG298" i="15" s="1"/>
  <c r="AD298" i="15" s="1"/>
  <c r="I1725" i="6"/>
  <c r="S298" i="15" s="1"/>
  <c r="P298" i="15" s="1"/>
  <c r="W298" i="15" s="1"/>
  <c r="BD1759" i="6"/>
  <c r="AG309" i="15" s="1"/>
  <c r="AD309" i="15" s="1"/>
  <c r="BD1661" i="6"/>
  <c r="AE282" i="15" s="1"/>
  <c r="AC282" i="15" s="1"/>
  <c r="I1661" i="6"/>
  <c r="Q282" i="15" s="1"/>
  <c r="O282" i="15" s="1"/>
  <c r="M4199" i="6"/>
  <c r="L4199" i="6" s="1"/>
  <c r="M4077" i="6"/>
  <c r="M3923" i="6"/>
  <c r="L3923" i="6" s="1"/>
  <c r="M4171" i="6"/>
  <c r="L4171" i="6" s="1"/>
  <c r="K4171" i="6" s="1"/>
  <c r="K1719" i="6" s="1"/>
  <c r="BE1719" i="6" s="1"/>
  <c r="M4043" i="6"/>
  <c r="L4043" i="6" s="1"/>
  <c r="M3971" i="6"/>
  <c r="L3971" i="6" s="1"/>
  <c r="M4025" i="6"/>
  <c r="M4219" i="6"/>
  <c r="L4219" i="6" s="1"/>
  <c r="M4141" i="6"/>
  <c r="L4141" i="6" s="1"/>
  <c r="K4141" i="6" s="1"/>
  <c r="K1689" i="6" s="1"/>
  <c r="BE1689" i="6" s="1"/>
  <c r="M4017" i="6"/>
  <c r="L4017" i="6" s="1"/>
  <c r="M4045" i="6"/>
  <c r="L4045" i="6" s="1"/>
  <c r="M4113" i="6"/>
  <c r="L4113" i="6" s="1"/>
  <c r="K4113" i="6" s="1"/>
  <c r="K1661" i="6" s="1"/>
  <c r="M4007" i="6"/>
  <c r="L4007" i="6" s="1"/>
  <c r="M3929" i="6"/>
  <c r="L3929" i="6" s="1"/>
  <c r="K3929" i="6" s="1"/>
  <c r="K1477" i="6" s="1"/>
  <c r="BE1477" i="6" s="1"/>
  <c r="M3939" i="6"/>
  <c r="M4227" i="6"/>
  <c r="L4227" i="6" s="1"/>
  <c r="M3979" i="6"/>
  <c r="L3979" i="6" s="1"/>
  <c r="M3973" i="6"/>
  <c r="L3973" i="6" s="1"/>
  <c r="M4085" i="6"/>
  <c r="L4085" i="6" s="1"/>
  <c r="K4085" i="6" s="1"/>
  <c r="K1633" i="6" s="1"/>
  <c r="M3983" i="6"/>
  <c r="L3983" i="6" s="1"/>
  <c r="M4009" i="6"/>
  <c r="L4009" i="6" s="1"/>
  <c r="M4223" i="6"/>
  <c r="L4223" i="6" s="1"/>
  <c r="M3913" i="6"/>
  <c r="L3913" i="6" s="1"/>
  <c r="K3913" i="6" s="1"/>
  <c r="K1461" i="6" s="1"/>
  <c r="M3909" i="6"/>
  <c r="L3909" i="6" s="1"/>
  <c r="K3909" i="6" s="1"/>
  <c r="K1457" i="6" s="1"/>
  <c r="M3991" i="6"/>
  <c r="L3991" i="6" s="1"/>
  <c r="M3953" i="6"/>
  <c r="L3953" i="6" s="1"/>
  <c r="K3953" i="6" s="1"/>
  <c r="K1501" i="6" s="1"/>
  <c r="M3943" i="6"/>
  <c r="L3943" i="6" s="1"/>
  <c r="M3941" i="6"/>
  <c r="L3941" i="6" s="1"/>
  <c r="M4203" i="6"/>
  <c r="L4203" i="6" s="1"/>
  <c r="M3993" i="6"/>
  <c r="L3993" i="6" s="1"/>
  <c r="M4149" i="6"/>
  <c r="L4149" i="6" s="1"/>
  <c r="K4149" i="6" s="1"/>
  <c r="K1697" i="6" s="1"/>
  <c r="M4187" i="6"/>
  <c r="L4187" i="6" s="1"/>
  <c r="K4187" i="6" s="1"/>
  <c r="K1735" i="6" s="1"/>
  <c r="BE1735" i="6" s="1"/>
  <c r="M4175" i="6"/>
  <c r="L4175" i="6" s="1"/>
  <c r="K4175" i="6" s="1"/>
  <c r="K1723" i="6" s="1"/>
  <c r="M4117" i="6"/>
  <c r="L4117" i="6" s="1"/>
  <c r="K4117" i="6" s="1"/>
  <c r="K1665" i="6" s="1"/>
  <c r="M3989" i="6"/>
  <c r="L3989" i="6" s="1"/>
  <c r="M4201" i="6"/>
  <c r="L4201" i="6" s="1"/>
  <c r="M3935" i="6"/>
  <c r="L3935" i="6" s="1"/>
  <c r="M4145" i="6"/>
  <c r="L4145" i="6" s="1"/>
  <c r="K4145" i="6" s="1"/>
  <c r="K1693" i="6" s="1"/>
  <c r="M4081" i="6"/>
  <c r="L4081" i="6" s="1"/>
  <c r="K4081" i="6" s="1"/>
  <c r="K1629" i="6" s="1"/>
  <c r="M4069" i="6"/>
  <c r="L4069" i="6" s="1"/>
  <c r="K4069" i="6" s="1"/>
  <c r="K1617" i="6" s="1"/>
  <c r="M3949" i="6"/>
  <c r="M4209" i="6"/>
  <c r="L4209" i="6" s="1"/>
  <c r="M4093" i="6"/>
  <c r="L4093" i="6" s="1"/>
  <c r="K4093" i="6" s="1"/>
  <c r="K1641" i="6" s="1"/>
  <c r="BE1641" i="6" s="1"/>
  <c r="M4101" i="6"/>
  <c r="L4101" i="6" s="1"/>
  <c r="K4101" i="6" s="1"/>
  <c r="K1649" i="6" s="1"/>
  <c r="M3963" i="6"/>
  <c r="L3963" i="6" s="1"/>
  <c r="M3921" i="6"/>
  <c r="L3921" i="6" s="1"/>
  <c r="M4133" i="6"/>
  <c r="M4179" i="6"/>
  <c r="L4179" i="6" s="1"/>
  <c r="K4179" i="6" s="1"/>
  <c r="K1727" i="6" s="1"/>
  <c r="M4011" i="6"/>
  <c r="L4011" i="6" s="1"/>
  <c r="M4157" i="6"/>
  <c r="L4157" i="6" s="1"/>
  <c r="K4157" i="6" s="1"/>
  <c r="K1705" i="6" s="1"/>
  <c r="BE1705" i="6" s="1"/>
  <c r="M4041" i="6"/>
  <c r="L4041" i="6" s="1"/>
  <c r="M3905" i="6"/>
  <c r="L3905" i="6" s="1"/>
  <c r="K3905" i="6" s="1"/>
  <c r="K1453" i="6" s="1"/>
  <c r="BE1453" i="6" s="1"/>
  <c r="M4125" i="6"/>
  <c r="L4125" i="6" s="1"/>
  <c r="K4125" i="6" s="1"/>
  <c r="K1673" i="6" s="1"/>
  <c r="BE1673" i="6" s="1"/>
  <c r="M3981" i="6"/>
  <c r="L3981" i="6" s="1"/>
  <c r="M4215" i="6"/>
  <c r="L4215" i="6" s="1"/>
  <c r="M4109" i="6"/>
  <c r="L4109" i="6" s="1"/>
  <c r="K4109" i="6" s="1"/>
  <c r="K1657" i="6" s="1"/>
  <c r="BE1657" i="6" s="1"/>
  <c r="M3969" i="6"/>
  <c r="L3969" i="6" s="1"/>
  <c r="M3999" i="6"/>
  <c r="L3999" i="6" s="1"/>
  <c r="K3999" i="6" s="1"/>
  <c r="K1547" i="6" s="1"/>
  <c r="M3919" i="6"/>
  <c r="L3919" i="6" s="1"/>
  <c r="M4029" i="6"/>
  <c r="L4029" i="6" s="1"/>
  <c r="M4231" i="6"/>
  <c r="L4231" i="6" s="1"/>
  <c r="BD1729" i="6"/>
  <c r="AG299" i="15" s="1"/>
  <c r="AD299" i="15" s="1"/>
  <c r="I1729" i="6"/>
  <c r="S299" i="15" s="1"/>
  <c r="P299" i="15" s="1"/>
  <c r="W299" i="15" s="1"/>
  <c r="AO726" i="15"/>
  <c r="V590" i="7"/>
  <c r="V659" i="7" s="1"/>
  <c r="V551" i="7"/>
  <c r="BB930" i="7"/>
  <c r="AA437" i="15" s="1"/>
  <c r="AO370" i="15"/>
  <c r="BB558" i="7"/>
  <c r="AA384" i="15" s="1"/>
  <c r="BB9" i="7"/>
  <c r="AA322" i="15" s="1"/>
  <c r="AO466" i="15"/>
  <c r="AE330" i="15"/>
  <c r="AC330" i="15" s="1"/>
  <c r="I21" i="7"/>
  <c r="Q334" i="15" s="1"/>
  <c r="O334" i="15" s="1"/>
  <c r="BD21" i="7"/>
  <c r="I20" i="7"/>
  <c r="Q333" i="15" s="1"/>
  <c r="O333" i="15" s="1"/>
  <c r="BD20" i="7"/>
  <c r="I19" i="7"/>
  <c r="Q332" i="15" s="1"/>
  <c r="O332" i="15" s="1"/>
  <c r="BD19" i="7"/>
  <c r="AO373" i="15"/>
  <c r="BB1132" i="7"/>
  <c r="AA454" i="15" s="1"/>
  <c r="BE1441" i="6"/>
  <c r="BB1441" i="6" s="1"/>
  <c r="AA207" i="15" s="1"/>
  <c r="BE1425" i="6"/>
  <c r="BB1425" i="6" s="1"/>
  <c r="AA202" i="15" s="1"/>
  <c r="AO545" i="15"/>
  <c r="AO451" i="15"/>
  <c r="AE422" i="15"/>
  <c r="AC422" i="15" s="1"/>
  <c r="AO707" i="15"/>
  <c r="DB785" i="2"/>
  <c r="AA726" i="15" s="1"/>
  <c r="AO716" i="15"/>
  <c r="K1611" i="6"/>
  <c r="AB269" i="15" s="1"/>
  <c r="K1535" i="6"/>
  <c r="K1533" i="6"/>
  <c r="K1769" i="6"/>
  <c r="BE1769" i="6" s="1"/>
  <c r="BB1769" i="6" s="1"/>
  <c r="AA314" i="15" s="1"/>
  <c r="AE533" i="15"/>
  <c r="AC533" i="15" s="1"/>
  <c r="AO580" i="15"/>
  <c r="AB207" i="15"/>
  <c r="AB202" i="15"/>
  <c r="AD226" i="15"/>
  <c r="P281" i="15"/>
  <c r="W281" i="15" s="1"/>
  <c r="P226" i="15"/>
  <c r="W226" i="15" s="1"/>
  <c r="AD281" i="15"/>
  <c r="A1760" i="6"/>
  <c r="J3838" i="6"/>
  <c r="A1722" i="6"/>
  <c r="J3800" i="6"/>
  <c r="A1708" i="6"/>
  <c r="J3786" i="6"/>
  <c r="A1692" i="6"/>
  <c r="J3770" i="6"/>
  <c r="A1676" i="6"/>
  <c r="J3754" i="6"/>
  <c r="A1660" i="6"/>
  <c r="J3738" i="6"/>
  <c r="A1644" i="6"/>
  <c r="J3722" i="6"/>
  <c r="A1628" i="6"/>
  <c r="J3706" i="6"/>
  <c r="A1576" i="6"/>
  <c r="J3654" i="6"/>
  <c r="A1500" i="6"/>
  <c r="J3578" i="6"/>
  <c r="A1480" i="6"/>
  <c r="J3558" i="6"/>
  <c r="A1456" i="6"/>
  <c r="J3534" i="6"/>
  <c r="A1448" i="6"/>
  <c r="J3526" i="6"/>
  <c r="L3881" i="6"/>
  <c r="K3881" i="6" s="1"/>
  <c r="K1429" i="6" s="1"/>
  <c r="L3939" i="6"/>
  <c r="L4025" i="6"/>
  <c r="L3949" i="6"/>
  <c r="K3949" i="6" s="1"/>
  <c r="K1497" i="6" s="1"/>
  <c r="BE1497" i="6" s="1"/>
  <c r="L4133" i="6"/>
  <c r="K4133" i="6" s="1"/>
  <c r="K1681" i="6" s="1"/>
  <c r="L3873" i="6"/>
  <c r="L4077" i="6"/>
  <c r="K4077" i="6" s="1"/>
  <c r="K1625" i="6" s="1"/>
  <c r="BE1625" i="6" s="1"/>
  <c r="L3863" i="6"/>
  <c r="K3863" i="6" s="1"/>
  <c r="K1411" i="6" s="1"/>
  <c r="AO214" i="15"/>
  <c r="AP214" i="15" s="1"/>
  <c r="Z181" i="15"/>
  <c r="AO242" i="15"/>
  <c r="Z297" i="15"/>
  <c r="I208" i="15"/>
  <c r="I238" i="15"/>
  <c r="AO256" i="15"/>
  <c r="AP256" i="15" s="1"/>
  <c r="AO277" i="15"/>
  <c r="AP277" i="15" s="1"/>
  <c r="AO315" i="15"/>
  <c r="AP315" i="15" s="1"/>
  <c r="AN233" i="15"/>
  <c r="AN297" i="15"/>
  <c r="AO297" i="15" s="1"/>
  <c r="AP297" i="15" s="1"/>
  <c r="AO232" i="15"/>
  <c r="AN281" i="15"/>
  <c r="AN226" i="15"/>
  <c r="AO226" i="15" s="1"/>
  <c r="AP226" i="15" s="1"/>
  <c r="AN210" i="15"/>
  <c r="AO210" i="15" s="1"/>
  <c r="AP210" i="15" s="1"/>
  <c r="AN313" i="15"/>
  <c r="AO313" i="15" s="1"/>
  <c r="AP313" i="15" s="1"/>
  <c r="AN311" i="15"/>
  <c r="AO311" i="15" s="1"/>
  <c r="AP311" i="15" s="1"/>
  <c r="I218" i="15"/>
  <c r="O208" i="15"/>
  <c r="AO208" i="15" s="1"/>
  <c r="AP208" i="15" s="1"/>
  <c r="AB238" i="15"/>
  <c r="AN317" i="15"/>
  <c r="AO317" i="15" s="1"/>
  <c r="AP317" i="15" s="1"/>
  <c r="AO219" i="15"/>
  <c r="AO304" i="15"/>
  <c r="AO312" i="15"/>
  <c r="BB1517" i="6"/>
  <c r="AA233" i="15" s="1"/>
  <c r="I309" i="15"/>
  <c r="AO303" i="15"/>
  <c r="AO218" i="15"/>
  <c r="AP218" i="15" s="1"/>
  <c r="AN243" i="15"/>
  <c r="AO261" i="15"/>
  <c r="AN289" i="15"/>
  <c r="AO289" i="15" s="1"/>
  <c r="AP289" i="15" s="1"/>
  <c r="AC309" i="15"/>
  <c r="AB147" i="15"/>
  <c r="BE164" i="6"/>
  <c r="BB164" i="6" s="1"/>
  <c r="AA147" i="15" s="1"/>
  <c r="AB149" i="15"/>
  <c r="BE167" i="6"/>
  <c r="BB167" i="6" s="1"/>
  <c r="AA149" i="15" s="1"/>
  <c r="D750" i="7"/>
  <c r="D791" i="7" s="1"/>
  <c r="AB208" i="15"/>
  <c r="AE545" i="15"/>
  <c r="AC545" i="15" s="1"/>
  <c r="AO424" i="15"/>
  <c r="AE340" i="15"/>
  <c r="AC340" i="15" s="1"/>
  <c r="BB1124" i="7"/>
  <c r="AA446" i="15" s="1"/>
  <c r="AO447" i="15"/>
  <c r="AO446" i="15"/>
  <c r="AO462" i="15"/>
  <c r="D665" i="7"/>
  <c r="V552" i="7"/>
  <c r="AO9" i="15"/>
  <c r="AE14" i="15"/>
  <c r="AC14" i="15" s="1"/>
  <c r="BB12" i="3"/>
  <c r="AA14" i="15" s="1"/>
  <c r="AE33" i="15"/>
  <c r="AC33" i="15" s="1"/>
  <c r="AO199" i="15"/>
  <c r="AN230" i="15"/>
  <c r="AO230" i="15" s="1"/>
  <c r="AP230" i="15" s="1"/>
  <c r="AO189" i="15"/>
  <c r="AO316" i="15"/>
  <c r="W318" i="15"/>
  <c r="BB1527" i="6"/>
  <c r="AA238" i="15" s="1"/>
  <c r="AN319" i="15"/>
  <c r="AO319" i="15" s="1"/>
  <c r="AP319" i="15" s="1"/>
  <c r="BB1483" i="6"/>
  <c r="AA220" i="15" s="1"/>
  <c r="BB803" i="6"/>
  <c r="AA172" i="15" s="1"/>
  <c r="AB179" i="15"/>
  <c r="BB65" i="7"/>
  <c r="AA341" i="15" s="1"/>
  <c r="AE341" i="15"/>
  <c r="AC341" i="15" s="1"/>
  <c r="BB66" i="7"/>
  <c r="AA342" i="15" s="1"/>
  <c r="AE342" i="15"/>
  <c r="AC342" i="15" s="1"/>
  <c r="BB11" i="3"/>
  <c r="AA13" i="15" s="1"/>
  <c r="AO33" i="15"/>
  <c r="BB17" i="3"/>
  <c r="AA19" i="15" s="1"/>
  <c r="BB26" i="3"/>
  <c r="AA28" i="15" s="1"/>
  <c r="AE28" i="15"/>
  <c r="AC28" i="15" s="1"/>
  <c r="AO652" i="15"/>
  <c r="DB221" i="2"/>
  <c r="AA652" i="15" s="1"/>
  <c r="AE542" i="15"/>
  <c r="AC542" i="15" s="1"/>
  <c r="AO542" i="15"/>
  <c r="BB934" i="7"/>
  <c r="AA439" i="15" s="1"/>
  <c r="AE370" i="15"/>
  <c r="AC370" i="15" s="1"/>
  <c r="AO464" i="15"/>
  <c r="AE338" i="15"/>
  <c r="AC338" i="15" s="1"/>
  <c r="AO423" i="15"/>
  <c r="AO422" i="15"/>
  <c r="BB449" i="7"/>
  <c r="AA376" i="15" s="1"/>
  <c r="AO382" i="15"/>
  <c r="BB125" i="7"/>
  <c r="AA345" i="15" s="1"/>
  <c r="BB1302" i="7"/>
  <c r="AA482" i="15" s="1"/>
  <c r="AN305" i="15"/>
  <c r="AO186" i="15"/>
  <c r="AF38" i="15"/>
  <c r="AC38" i="15" s="1"/>
  <c r="AO93" i="15"/>
  <c r="BB21" i="3"/>
  <c r="AA23" i="15" s="1"/>
  <c r="BB212" i="5"/>
  <c r="AA93" i="15" s="1"/>
  <c r="AE93" i="15"/>
  <c r="AC93" i="15" s="1"/>
  <c r="AO521" i="15"/>
  <c r="AE543" i="15"/>
  <c r="AC543" i="15" s="1"/>
  <c r="AO527" i="15"/>
  <c r="AO526" i="15"/>
  <c r="AO524" i="15"/>
  <c r="O523" i="15"/>
  <c r="U523" i="15" s="1"/>
  <c r="U526" i="15"/>
  <c r="O525" i="15"/>
  <c r="U525" i="15" s="1"/>
  <c r="AO260" i="15"/>
  <c r="AO23" i="15"/>
  <c r="W249" i="15"/>
  <c r="AO309" i="15"/>
  <c r="AP309" i="15" s="1"/>
  <c r="AO201" i="15"/>
  <c r="I110" i="15"/>
  <c r="AN110" i="15" s="1"/>
  <c r="AO110" i="15" s="1"/>
  <c r="AO308" i="15"/>
  <c r="AO241" i="15"/>
  <c r="AO213" i="15"/>
  <c r="AO339" i="15"/>
  <c r="AO221" i="15"/>
  <c r="AO267" i="15"/>
  <c r="AO314" i="15"/>
  <c r="AO458" i="15"/>
  <c r="AO237" i="15"/>
  <c r="AO231" i="15"/>
  <c r="AO658" i="15"/>
  <c r="AO349" i="15"/>
  <c r="AO459" i="15"/>
  <c r="AO388" i="15"/>
  <c r="AO429" i="15"/>
  <c r="W191" i="15"/>
  <c r="AO430" i="15"/>
  <c r="AO385" i="15"/>
  <c r="AO265" i="15"/>
  <c r="AO295" i="15"/>
  <c r="AO187" i="15"/>
  <c r="AO188" i="15"/>
  <c r="AO356" i="15"/>
  <c r="AO236" i="15"/>
  <c r="AO428" i="15"/>
  <c r="AO205" i="15"/>
  <c r="AO426" i="15"/>
  <c r="BB18" i="7"/>
  <c r="AA331" i="15" s="1"/>
  <c r="AO662" i="15"/>
  <c r="AO663" i="15"/>
  <c r="AO421" i="15"/>
  <c r="AO190" i="15"/>
  <c r="W310" i="15"/>
  <c r="AO433" i="15"/>
  <c r="AO273" i="15"/>
  <c r="AP273" i="15" s="1"/>
  <c r="AO437" i="15"/>
  <c r="BB1300" i="7"/>
  <c r="AA481" i="15" s="1"/>
  <c r="AA464" i="15"/>
  <c r="AO442" i="15"/>
  <c r="BB932" i="7"/>
  <c r="AA438" i="15" s="1"/>
  <c r="BB838" i="7"/>
  <c r="AA421" i="15" s="1"/>
  <c r="BB597" i="7"/>
  <c r="AA390" i="15" s="1"/>
  <c r="AB390" i="15"/>
  <c r="BB600" i="7"/>
  <c r="AA392" i="15" s="1"/>
  <c r="AB392" i="15"/>
  <c r="BB601" i="7"/>
  <c r="AA393" i="15" s="1"/>
  <c r="AE426" i="15"/>
  <c r="AC426" i="15" s="1"/>
  <c r="BB883" i="7"/>
  <c r="AA426" i="15" s="1"/>
  <c r="AE323" i="15"/>
  <c r="AC323" i="15" s="1"/>
  <c r="BB1134" i="7"/>
  <c r="AA456" i="15" s="1"/>
  <c r="AE464" i="15"/>
  <c r="AC464" i="15" s="1"/>
  <c r="AO393" i="15"/>
  <c r="AO389" i="15"/>
  <c r="BB130" i="7"/>
  <c r="AA350" i="15" s="1"/>
  <c r="AO354" i="15"/>
  <c r="AE445" i="15"/>
  <c r="AC445" i="15" s="1"/>
  <c r="AO445" i="15"/>
  <c r="AO438" i="15"/>
  <c r="AO432" i="15"/>
  <c r="BB141" i="7"/>
  <c r="AA361" i="15" s="1"/>
  <c r="BB448" i="7"/>
  <c r="AA375" i="15" s="1"/>
  <c r="AO439" i="15"/>
  <c r="AE336" i="15"/>
  <c r="AC336" i="15" s="1"/>
  <c r="AE371" i="15"/>
  <c r="AC371" i="15" s="1"/>
  <c r="AE389" i="15"/>
  <c r="AC389" i="15" s="1"/>
  <c r="BB559" i="7"/>
  <c r="AA385" i="15" s="1"/>
  <c r="AO380" i="15"/>
  <c r="AO379" i="15"/>
  <c r="AE380" i="15"/>
  <c r="AC380" i="15" s="1"/>
  <c r="BB488" i="7"/>
  <c r="AA380" i="15" s="1"/>
  <c r="AE379" i="15"/>
  <c r="AC379" i="15" s="1"/>
  <c r="BB487" i="7"/>
  <c r="AA379" i="15" s="1"/>
  <c r="AO374" i="15"/>
  <c r="AO375" i="15"/>
  <c r="BB134" i="7"/>
  <c r="AA354" i="15" s="1"/>
  <c r="AE383" i="15"/>
  <c r="AC383" i="15" s="1"/>
  <c r="BB63" i="7"/>
  <c r="AA339" i="15" s="1"/>
  <c r="BB57" i="16"/>
  <c r="AA36" i="15" s="1"/>
  <c r="AC36" i="15"/>
  <c r="AO708" i="15"/>
  <c r="DB313" i="2"/>
  <c r="AA663" i="15" s="1"/>
  <c r="AO651" i="15"/>
  <c r="DB291" i="2"/>
  <c r="AA659" i="15" s="1"/>
  <c r="AO571" i="15"/>
  <c r="AO533" i="15"/>
  <c r="BB76" i="9"/>
  <c r="AA534" i="15" s="1"/>
  <c r="BB83" i="9"/>
  <c r="AA541" i="15" s="1"/>
  <c r="AE355" i="15"/>
  <c r="AC355" i="15" s="1"/>
  <c r="BB840" i="7"/>
  <c r="AA423" i="15" s="1"/>
  <c r="BB1139" i="7"/>
  <c r="AA461" i="15" s="1"/>
  <c r="AO431" i="15"/>
  <c r="AO345" i="15"/>
  <c r="AO357" i="15"/>
  <c r="AE327" i="15"/>
  <c r="AC327" i="15" s="1"/>
  <c r="BB14" i="7"/>
  <c r="AA327" i="15" s="1"/>
  <c r="AE425" i="15"/>
  <c r="AC425" i="15" s="1"/>
  <c r="BB882" i="7"/>
  <c r="AA425" i="15" s="1"/>
  <c r="AO425" i="15"/>
  <c r="AE457" i="15"/>
  <c r="AC457" i="15" s="1"/>
  <c r="AO358" i="15"/>
  <c r="BD517" i="7"/>
  <c r="AE381" i="15" s="1"/>
  <c r="AC381" i="15" s="1"/>
  <c r="AO335" i="15"/>
  <c r="BB884" i="7"/>
  <c r="AA427" i="15" s="1"/>
  <c r="AE427" i="15"/>
  <c r="AC427" i="15" s="1"/>
  <c r="AO427" i="15"/>
  <c r="AE337" i="15"/>
  <c r="AC337" i="15" s="1"/>
  <c r="AO461" i="15"/>
  <c r="I381" i="15"/>
  <c r="AN381" i="15" s="1"/>
  <c r="AO381" i="15" s="1"/>
  <c r="AO457" i="15"/>
  <c r="DB312" i="2"/>
  <c r="AA662" i="15" s="1"/>
  <c r="AO572" i="15"/>
  <c r="AB241" i="15"/>
  <c r="K4225" i="6"/>
  <c r="X4165" i="6"/>
  <c r="R1811" i="6"/>
  <c r="K4003" i="6"/>
  <c r="K4165" i="6"/>
  <c r="K4005" i="6"/>
  <c r="X4225" i="6"/>
  <c r="Q1810" i="6"/>
  <c r="X4005" i="6"/>
  <c r="X4003" i="6"/>
  <c r="AE311" i="15"/>
  <c r="AC311" i="15" s="1"/>
  <c r="BB1763" i="6"/>
  <c r="AA311" i="15" s="1"/>
  <c r="O176" i="15"/>
  <c r="W176" i="15" s="1"/>
  <c r="X4153" i="6"/>
  <c r="X4137" i="6"/>
  <c r="X4129" i="6"/>
  <c r="X4059" i="6"/>
  <c r="AB314" i="15"/>
  <c r="I273" i="15"/>
  <c r="BB1511" i="6"/>
  <c r="AA230" i="15" s="1"/>
  <c r="AN220" i="15"/>
  <c r="AO220" i="15" s="1"/>
  <c r="AE313" i="15"/>
  <c r="AC313" i="15" s="1"/>
  <c r="BB1767" i="6"/>
  <c r="AA313" i="15" s="1"/>
  <c r="AB242" i="15"/>
  <c r="AN250" i="15"/>
  <c r="W238" i="15"/>
  <c r="AO229" i="15"/>
  <c r="BB1407" i="6"/>
  <c r="AA196" i="15" s="1"/>
  <c r="AN196" i="15"/>
  <c r="AO196" i="15" s="1"/>
  <c r="I196" i="15"/>
  <c r="BB1439" i="6"/>
  <c r="AA206" i="15" s="1"/>
  <c r="AE206" i="15"/>
  <c r="AC206" i="15" s="1"/>
  <c r="AN206" i="15"/>
  <c r="AO206" i="15" s="1"/>
  <c r="I206" i="15"/>
  <c r="Y1089" i="6"/>
  <c r="Y1090" i="6" s="1"/>
  <c r="Y1091" i="6" s="1"/>
  <c r="Y1092" i="6" s="1"/>
  <c r="Y1093" i="6" s="1"/>
  <c r="Y1094" i="6" s="1"/>
  <c r="Y1095" i="6" s="1"/>
  <c r="Y1096" i="6" s="1"/>
  <c r="Y1097" i="6" s="1"/>
  <c r="Y1098" i="6" s="1"/>
  <c r="Y1099" i="6" s="1"/>
  <c r="Y1100" i="6" s="1"/>
  <c r="Y1101" i="6" s="1"/>
  <c r="Y1102" i="6" s="1"/>
  <c r="Y1103" i="6" s="1"/>
  <c r="Y1104" i="6" s="1"/>
  <c r="Y1105" i="6" s="1"/>
  <c r="Y1106" i="6" s="1"/>
  <c r="Y1107" i="6" s="1"/>
  <c r="Y1108" i="6" s="1"/>
  <c r="Y1109" i="6" s="1"/>
  <c r="Y1110" i="6" s="1"/>
  <c r="Y1111" i="6" s="1"/>
  <c r="Y1112" i="6" s="1"/>
  <c r="Y1113" i="6" s="1"/>
  <c r="Y1114" i="6" s="1"/>
  <c r="Y1115" i="6" s="1"/>
  <c r="Y1116" i="6" s="1"/>
  <c r="Y1174" i="6"/>
  <c r="AE174" i="15"/>
  <c r="AC174" i="15" s="1"/>
  <c r="BB807" i="6"/>
  <c r="AA174" i="15" s="1"/>
  <c r="W174" i="15"/>
  <c r="AO174" i="15"/>
  <c r="AB173" i="15"/>
  <c r="AC222" i="15"/>
  <c r="BB1487" i="6"/>
  <c r="AA222" i="15" s="1"/>
  <c r="AO222" i="15"/>
  <c r="AP222" i="15" s="1"/>
  <c r="BB173" i="6"/>
  <c r="AA153" i="15" s="1"/>
  <c r="AB153" i="15"/>
  <c r="AB150" i="15"/>
  <c r="BB169" i="6"/>
  <c r="AA150" i="15" s="1"/>
  <c r="J764" i="6"/>
  <c r="K175" i="6" s="1"/>
  <c r="BE175" i="6" s="1"/>
  <c r="R210" i="6"/>
  <c r="R211" i="6" s="1"/>
  <c r="J765" i="6"/>
  <c r="K176" i="6" s="1"/>
  <c r="BE176" i="6" s="1"/>
  <c r="J767" i="6"/>
  <c r="K178" i="6" s="1"/>
  <c r="BE178" i="6" s="1"/>
  <c r="J770" i="6"/>
  <c r="K181" i="6" s="1"/>
  <c r="BE181" i="6" s="1"/>
  <c r="Q209" i="6"/>
  <c r="J769" i="6"/>
  <c r="K180" i="6" s="1"/>
  <c r="BE180" i="6" s="1"/>
  <c r="BB171" i="6"/>
  <c r="AA151" i="15" s="1"/>
  <c r="AB151" i="15"/>
  <c r="BB166" i="6"/>
  <c r="AA148" i="15" s="1"/>
  <c r="AB148" i="15"/>
  <c r="AB152" i="15"/>
  <c r="BB172" i="6"/>
  <c r="AA152" i="15" s="1"/>
  <c r="K817" i="6"/>
  <c r="BE817" i="6" s="1"/>
  <c r="J1091" i="6"/>
  <c r="F818" i="6" s="1"/>
  <c r="X1176" i="6"/>
  <c r="Y1176" i="6"/>
  <c r="M3961" i="6"/>
  <c r="L3961" i="6" s="1"/>
  <c r="M3987" i="6"/>
  <c r="L3987" i="6" s="1"/>
  <c r="M3933" i="6"/>
  <c r="L3933" i="6" s="1"/>
  <c r="M3965" i="6"/>
  <c r="L3965" i="6" s="1"/>
  <c r="M4053" i="6"/>
  <c r="L4053" i="6" s="1"/>
  <c r="K4053" i="6" s="1"/>
  <c r="M4167" i="6"/>
  <c r="L4167" i="6" s="1"/>
  <c r="K4167" i="6" s="1"/>
  <c r="M4037" i="6"/>
  <c r="L4037" i="6" s="1"/>
  <c r="M4047" i="6"/>
  <c r="L4047" i="6" s="1"/>
  <c r="M4153" i="6"/>
  <c r="L4153" i="6" s="1"/>
  <c r="K4153" i="6" s="1"/>
  <c r="M4013" i="6"/>
  <c r="L4013" i="6" s="1"/>
  <c r="M4165" i="6"/>
  <c r="L4165" i="6" s="1"/>
  <c r="M4065" i="6"/>
  <c r="L4065" i="6" s="1"/>
  <c r="K4065" i="6" s="1"/>
  <c r="M3901" i="6"/>
  <c r="L3901" i="6" s="1"/>
  <c r="K3901" i="6" s="1"/>
  <c r="M4051" i="6"/>
  <c r="L4051" i="6" s="1"/>
  <c r="M4021" i="6"/>
  <c r="L4021" i="6" s="1"/>
  <c r="M3977" i="6"/>
  <c r="L3977" i="6" s="1"/>
  <c r="M4217" i="6"/>
  <c r="L4217" i="6" s="1"/>
  <c r="M4057" i="6"/>
  <c r="L4057" i="6" s="1"/>
  <c r="M4039" i="6"/>
  <c r="L4039" i="6" s="1"/>
  <c r="M4129" i="6"/>
  <c r="L4129" i="6" s="1"/>
  <c r="K4129" i="6" s="1"/>
  <c r="M4161" i="6"/>
  <c r="L4161" i="6" s="1"/>
  <c r="K4161" i="6" s="1"/>
  <c r="M3945" i="6"/>
  <c r="L3945" i="6" s="1"/>
  <c r="K3945" i="6" s="1"/>
  <c r="M3985" i="6"/>
  <c r="L3985" i="6" s="1"/>
  <c r="M3975" i="6"/>
  <c r="L3975" i="6" s="1"/>
  <c r="M3937" i="6"/>
  <c r="L3937" i="6" s="1"/>
  <c r="M4225" i="6"/>
  <c r="L4225" i="6" s="1"/>
  <c r="M4197" i="6"/>
  <c r="L4197" i="6" s="1"/>
  <c r="M4213" i="6"/>
  <c r="L4213" i="6" s="1"/>
  <c r="M4073" i="6"/>
  <c r="L4073" i="6" s="1"/>
  <c r="K4073" i="6" s="1"/>
  <c r="M3925" i="6"/>
  <c r="L3925" i="6" s="1"/>
  <c r="K3925" i="6" s="1"/>
  <c r="M4121" i="6"/>
  <c r="L4121" i="6" s="1"/>
  <c r="K4121" i="6" s="1"/>
  <c r="M4059" i="6"/>
  <c r="L4059" i="6" s="1"/>
  <c r="K4059" i="6" s="1"/>
  <c r="M4183" i="6"/>
  <c r="L4183" i="6" s="1"/>
  <c r="K4183" i="6" s="1"/>
  <c r="M3995" i="6"/>
  <c r="L3995" i="6" s="1"/>
  <c r="K3995" i="6" s="1"/>
  <c r="M3967" i="6"/>
  <c r="L3967" i="6" s="1"/>
  <c r="M4089" i="6"/>
  <c r="L4089" i="6" s="1"/>
  <c r="K4089" i="6" s="1"/>
  <c r="M4191" i="6"/>
  <c r="L4191" i="6" s="1"/>
  <c r="M4063" i="6"/>
  <c r="L4063" i="6" s="1"/>
  <c r="M4195" i="6"/>
  <c r="L4195" i="6" s="1"/>
  <c r="M4221" i="6"/>
  <c r="L4221" i="6" s="1"/>
  <c r="M4105" i="6"/>
  <c r="L4105" i="6" s="1"/>
  <c r="K4105" i="6" s="1"/>
  <c r="M4005" i="6"/>
  <c r="L4005" i="6" s="1"/>
  <c r="M4003" i="6"/>
  <c r="L4003" i="6" s="1"/>
  <c r="M4205" i="6"/>
  <c r="L4205" i="6" s="1"/>
  <c r="M4097" i="6"/>
  <c r="L4097" i="6" s="1"/>
  <c r="K4097" i="6" s="1"/>
  <c r="M4137" i="6"/>
  <c r="L4137" i="6" s="1"/>
  <c r="K4137" i="6" s="1"/>
  <c r="M3917" i="6"/>
  <c r="L3917" i="6" s="1"/>
  <c r="M4229" i="6"/>
  <c r="L4229" i="6" s="1"/>
  <c r="I301" i="15"/>
  <c r="AN301" i="15"/>
  <c r="AO301" i="15" s="1"/>
  <c r="AP301" i="15" s="1"/>
  <c r="I814" i="6"/>
  <c r="R178" i="15" s="1"/>
  <c r="O178" i="15" s="1"/>
  <c r="W178" i="15" s="1"/>
  <c r="BD814" i="6"/>
  <c r="L178" i="15"/>
  <c r="I178" i="15" s="1"/>
  <c r="AN178" i="15"/>
  <c r="AN293" i="15"/>
  <c r="AO293" i="15" s="1"/>
  <c r="AP293" i="15" s="1"/>
  <c r="BD516" i="9"/>
  <c r="AE579" i="15" s="1"/>
  <c r="AC579" i="15" s="1"/>
  <c r="BB12" i="9"/>
  <c r="AA525" i="15" s="1"/>
  <c r="AE526" i="15"/>
  <c r="AC526" i="15" s="1"/>
  <c r="BB13" i="9"/>
  <c r="AA526" i="15" s="1"/>
  <c r="BB260" i="5"/>
  <c r="AA94" i="15" s="1"/>
  <c r="F9" i="6"/>
  <c r="M9" i="6" s="1"/>
  <c r="O111" i="15" s="1"/>
  <c r="W111" i="15" s="1"/>
  <c r="BD8" i="6"/>
  <c r="AE110" i="15" s="1"/>
  <c r="AC110" i="15" s="1"/>
  <c r="AE571" i="15"/>
  <c r="AC571" i="15" s="1"/>
  <c r="BB512" i="9"/>
  <c r="AA575" i="15" s="1"/>
  <c r="BB515" i="9"/>
  <c r="AA578" i="15" s="1"/>
  <c r="I579" i="15"/>
  <c r="AN579" i="15" s="1"/>
  <c r="I516" i="9"/>
  <c r="O579" i="15" s="1"/>
  <c r="V579" i="15" s="1"/>
  <c r="AO541" i="15"/>
  <c r="AO535" i="15"/>
  <c r="AO575" i="15"/>
  <c r="AO540" i="15"/>
  <c r="AE536" i="15"/>
  <c r="AC536" i="15" s="1"/>
  <c r="AO538" i="15"/>
  <c r="AO574" i="15"/>
  <c r="BB74" i="9"/>
  <c r="AA532" i="15" s="1"/>
  <c r="AO537" i="15"/>
  <c r="AE577" i="15"/>
  <c r="AC577" i="15" s="1"/>
  <c r="BB511" i="9"/>
  <c r="AA574" i="15" s="1"/>
  <c r="AO536" i="15"/>
  <c r="AO532" i="15"/>
  <c r="AO534" i="15"/>
  <c r="AO539" i="15"/>
  <c r="BB80" i="9"/>
  <c r="AA538" i="15" s="1"/>
  <c r="AE538" i="15"/>
  <c r="AC538" i="15" s="1"/>
  <c r="BB79" i="9"/>
  <c r="AA537" i="15" s="1"/>
  <c r="AE537" i="15"/>
  <c r="AC537" i="15" s="1"/>
  <c r="AE539" i="15"/>
  <c r="AC539" i="15" s="1"/>
  <c r="BB81" i="9"/>
  <c r="AA539" i="15" s="1"/>
  <c r="BB142" i="7"/>
  <c r="AA362" i="15" s="1"/>
  <c r="BB128" i="7"/>
  <c r="AA348" i="15" s="1"/>
  <c r="BB132" i="7"/>
  <c r="AA352" i="15" s="1"/>
  <c r="AE368" i="15"/>
  <c r="AC368" i="15" s="1"/>
  <c r="AE343" i="15"/>
  <c r="AC343" i="15" s="1"/>
  <c r="AE357" i="15"/>
  <c r="AC357" i="15" s="1"/>
  <c r="BB131" i="7"/>
  <c r="AA351" i="15" s="1"/>
  <c r="AO367" i="15"/>
  <c r="AO465" i="15"/>
  <c r="AO368" i="15"/>
  <c r="BB450" i="7"/>
  <c r="AA377" i="15" s="1"/>
  <c r="AO342" i="15"/>
  <c r="BB140" i="7"/>
  <c r="AA360" i="15" s="1"/>
  <c r="AO369" i="15"/>
  <c r="AA465" i="15"/>
  <c r="AE363" i="15"/>
  <c r="AC363" i="15" s="1"/>
  <c r="BB451" i="7"/>
  <c r="AA378" i="15" s="1"/>
  <c r="BB126" i="7"/>
  <c r="AA346" i="15" s="1"/>
  <c r="AE346" i="15"/>
  <c r="AC346" i="15" s="1"/>
  <c r="AO338" i="15"/>
  <c r="AO366" i="15"/>
  <c r="BB133" i="7"/>
  <c r="AA353" i="15" s="1"/>
  <c r="AE353" i="15"/>
  <c r="AC353" i="15" s="1"/>
  <c r="BB152" i="7"/>
  <c r="AA372" i="15" s="1"/>
  <c r="BB144" i="7"/>
  <c r="AA364" i="15" s="1"/>
  <c r="W365" i="15"/>
  <c r="AO365" i="15"/>
  <c r="AE369" i="15"/>
  <c r="AC369" i="15" s="1"/>
  <c r="BB149" i="7"/>
  <c r="AA369" i="15" s="1"/>
  <c r="AE458" i="15"/>
  <c r="AC458" i="15" s="1"/>
  <c r="AB115" i="15"/>
  <c r="AB112" i="15"/>
  <c r="I45" i="6"/>
  <c r="AB111" i="15"/>
  <c r="I60" i="6"/>
  <c r="BB262" i="5"/>
  <c r="AA96" i="15" s="1"/>
  <c r="AO96" i="15"/>
  <c r="AE92" i="15"/>
  <c r="AC92" i="15" s="1"/>
  <c r="AO92" i="15"/>
  <c r="AO68" i="15"/>
  <c r="AO90" i="15"/>
  <c r="AE68" i="15"/>
  <c r="AC68" i="15" s="1"/>
  <c r="BB10" i="5"/>
  <c r="AA68" i="15" s="1"/>
  <c r="BB7" i="16"/>
  <c r="AA35" i="15" s="1"/>
  <c r="BB228" i="16"/>
  <c r="AA59" i="15" s="1"/>
  <c r="AE59" i="15"/>
  <c r="AC59" i="15" s="1"/>
  <c r="O479" i="15"/>
  <c r="V479" i="15" s="1"/>
  <c r="I479" i="15"/>
  <c r="AN479" i="15" s="1"/>
  <c r="BB27" i="3"/>
  <c r="AA29" i="15" s="1"/>
  <c r="AE31" i="15"/>
  <c r="AC31" i="15" s="1"/>
  <c r="BB29" i="3"/>
  <c r="AA31" i="15" s="1"/>
  <c r="AO29" i="15"/>
  <c r="AE24" i="15"/>
  <c r="AC24" i="15" s="1"/>
  <c r="BB22" i="3"/>
  <c r="AA24" i="15" s="1"/>
  <c r="BB8" i="3"/>
  <c r="AA10" i="15" s="1"/>
  <c r="AE10" i="15"/>
  <c r="AC10" i="15" s="1"/>
  <c r="AO10" i="15"/>
  <c r="AO24" i="15"/>
  <c r="AO649" i="15"/>
  <c r="AO681" i="15"/>
  <c r="AO657" i="15"/>
  <c r="AO648" i="15"/>
  <c r="DB217" i="2"/>
  <c r="AA648" i="15" s="1"/>
  <c r="DB290" i="2"/>
  <c r="AA658" i="15" s="1"/>
  <c r="DB575" i="2"/>
  <c r="AA708" i="15" s="1"/>
  <c r="AO344" i="15"/>
  <c r="BB282" i="9"/>
  <c r="AA552" i="15" s="1"/>
  <c r="AB552" i="15"/>
  <c r="AO20" i="15"/>
  <c r="BB127" i="7"/>
  <c r="AA347" i="15" s="1"/>
  <c r="AE347" i="15"/>
  <c r="AC347" i="15" s="1"/>
  <c r="AB177" i="15"/>
  <c r="BB18" i="3"/>
  <c r="AA20" i="15" s="1"/>
  <c r="AE20" i="15"/>
  <c r="AC20" i="15" s="1"/>
  <c r="AO347" i="15"/>
  <c r="AE90" i="15"/>
  <c r="AC90" i="15" s="1"/>
  <c r="BB209" i="5"/>
  <c r="AA90" i="15" s="1"/>
  <c r="AF40" i="15"/>
  <c r="AC40" i="15" s="1"/>
  <c r="BB65" i="16"/>
  <c r="AA40" i="15" s="1"/>
  <c r="AE344" i="15"/>
  <c r="AC344" i="15" s="1"/>
  <c r="BB124" i="7"/>
  <c r="AA344" i="15" s="1"/>
  <c r="I176" i="15"/>
  <c r="AN176" i="15"/>
  <c r="AE176" i="15"/>
  <c r="AC176" i="15" s="1"/>
  <c r="BB809" i="6"/>
  <c r="AA176" i="15" s="1"/>
  <c r="V749" i="7"/>
  <c r="D790" i="7"/>
  <c r="BB24" i="3"/>
  <c r="AA26" i="15" s="1"/>
  <c r="AE26" i="15"/>
  <c r="AC26" i="15" s="1"/>
  <c r="AE285" i="15"/>
  <c r="AC285" i="15" s="1"/>
  <c r="BB284" i="9"/>
  <c r="AA554" i="15" s="1"/>
  <c r="AB554" i="15"/>
  <c r="M204" i="15"/>
  <c r="J204" i="15" s="1"/>
  <c r="S204" i="15"/>
  <c r="P204" i="15" s="1"/>
  <c r="W204" i="15" s="1"/>
  <c r="DB219" i="2"/>
  <c r="AA650" i="15" s="1"/>
  <c r="BB280" i="9"/>
  <c r="AA550" i="15" s="1"/>
  <c r="AB550" i="15"/>
  <c r="AO26" i="15"/>
  <c r="AO36" i="15"/>
  <c r="AO460" i="15"/>
  <c r="DB220" i="2"/>
  <c r="AA651" i="15" s="1"/>
  <c r="AE727" i="15"/>
  <c r="AC727" i="15" s="1"/>
  <c r="DB786" i="2"/>
  <c r="AA727" i="15" s="1"/>
  <c r="AE218" i="15"/>
  <c r="AC218" i="15" s="1"/>
  <c r="AN285" i="15"/>
  <c r="AO285" i="15" s="1"/>
  <c r="AP285" i="15" s="1"/>
  <c r="I285" i="15"/>
  <c r="AE460" i="15"/>
  <c r="AC460" i="15" s="1"/>
  <c r="BB1138" i="7"/>
  <c r="AA460" i="15" s="1"/>
  <c r="AO661" i="15"/>
  <c r="AE657" i="15"/>
  <c r="AC657" i="15" s="1"/>
  <c r="DB289" i="2"/>
  <c r="AA657" i="15" s="1"/>
  <c r="AO650" i="15"/>
  <c r="AE661" i="15"/>
  <c r="AC661" i="15" s="1"/>
  <c r="DB311" i="2"/>
  <c r="AA661" i="15" s="1"/>
  <c r="AE660" i="15"/>
  <c r="AC660" i="15" s="1"/>
  <c r="DB292" i="2"/>
  <c r="AA660" i="15" s="1"/>
  <c r="AO660" i="15"/>
  <c r="DB218" i="2"/>
  <c r="AA649" i="15" s="1"/>
  <c r="BB1539" i="6" l="1"/>
  <c r="AA244" i="15" s="1"/>
  <c r="AE244" i="15"/>
  <c r="AC244" i="15" s="1"/>
  <c r="BB1521" i="6"/>
  <c r="AA235" i="15" s="1"/>
  <c r="AE235" i="15"/>
  <c r="AC235" i="15" s="1"/>
  <c r="BB1541" i="6"/>
  <c r="AA245" i="15" s="1"/>
  <c r="AE245" i="15"/>
  <c r="AC245" i="15" s="1"/>
  <c r="AO291" i="15"/>
  <c r="AP291" i="15" s="1"/>
  <c r="AO239" i="15"/>
  <c r="AP239" i="15" s="1"/>
  <c r="AO283" i="15"/>
  <c r="AP283" i="15" s="1"/>
  <c r="AO282" i="15"/>
  <c r="AP282" i="15" s="1"/>
  <c r="AO290" i="15"/>
  <c r="AP290" i="15" s="1"/>
  <c r="AO299" i="15"/>
  <c r="AP299" i="15" s="1"/>
  <c r="AO245" i="15"/>
  <c r="AP245" i="15" s="1"/>
  <c r="BE1557" i="6"/>
  <c r="AB251" i="15"/>
  <c r="BB1531" i="6"/>
  <c r="AA240" i="15" s="1"/>
  <c r="AE240" i="15"/>
  <c r="AC240" i="15" s="1"/>
  <c r="AO234" i="15"/>
  <c r="AP234" i="15" s="1"/>
  <c r="AO240" i="15"/>
  <c r="AP240" i="15" s="1"/>
  <c r="AO227" i="15"/>
  <c r="AP227" i="15" s="1"/>
  <c r="AO298" i="15"/>
  <c r="AP298" i="15" s="1"/>
  <c r="AO235" i="15"/>
  <c r="AP235" i="15" s="1"/>
  <c r="AO244" i="15"/>
  <c r="AP244" i="15" s="1"/>
  <c r="BE1559" i="6"/>
  <c r="BB1559" i="6" s="1"/>
  <c r="AA252" i="15" s="1"/>
  <c r="AB252" i="15"/>
  <c r="BB1529" i="6"/>
  <c r="AA239" i="15" s="1"/>
  <c r="AE239" i="15"/>
  <c r="AC239" i="15" s="1"/>
  <c r="BB1519" i="6"/>
  <c r="AA234" i="15" s="1"/>
  <c r="AE234" i="15"/>
  <c r="AC234" i="15" s="1"/>
  <c r="AO257" i="15"/>
  <c r="AP257" i="15" s="1"/>
  <c r="AO252" i="15"/>
  <c r="AP252" i="15" s="1"/>
  <c r="AO251" i="15"/>
  <c r="AP251" i="15" s="1"/>
  <c r="BE1693" i="6"/>
  <c r="BB1693" i="6" s="1"/>
  <c r="AA290" i="15" s="1"/>
  <c r="AB290" i="15"/>
  <c r="BE1665" i="6"/>
  <c r="BB1665" i="6" s="1"/>
  <c r="AA283" i="15" s="1"/>
  <c r="AB283" i="15"/>
  <c r="BE1501" i="6"/>
  <c r="AB227" i="15"/>
  <c r="BE1723" i="6"/>
  <c r="BB1723" i="6" s="1"/>
  <c r="AA298" i="15" s="1"/>
  <c r="AB298" i="15"/>
  <c r="BE1505" i="6"/>
  <c r="AB228" i="15"/>
  <c r="BE1681" i="6"/>
  <c r="BB1681" i="6" s="1"/>
  <c r="AA287" i="15" s="1"/>
  <c r="AB287" i="15"/>
  <c r="BE1727" i="6"/>
  <c r="AB299" i="15"/>
  <c r="BE1649" i="6"/>
  <c r="BB1649" i="6" s="1"/>
  <c r="AA279" i="15" s="1"/>
  <c r="AB279" i="15"/>
  <c r="BE1617" i="6"/>
  <c r="BB1617" i="6" s="1"/>
  <c r="AA271" i="15" s="1"/>
  <c r="AB271" i="15"/>
  <c r="BE1457" i="6"/>
  <c r="BB1457" i="6" s="1"/>
  <c r="AA211" i="15" s="1"/>
  <c r="AB211" i="15"/>
  <c r="BE1661" i="6"/>
  <c r="BB1661" i="6" s="1"/>
  <c r="AA282" i="15" s="1"/>
  <c r="AB282" i="15"/>
  <c r="BE1411" i="6"/>
  <c r="BB1411" i="6" s="1"/>
  <c r="AA197" i="15" s="1"/>
  <c r="AB197" i="15"/>
  <c r="BE1547" i="6"/>
  <c r="BB1547" i="6" s="1"/>
  <c r="AA247" i="15" s="1"/>
  <c r="AB247" i="15"/>
  <c r="BE1429" i="6"/>
  <c r="BB1429" i="6" s="1"/>
  <c r="AA203" i="15" s="1"/>
  <c r="AB203" i="15"/>
  <c r="BE1629" i="6"/>
  <c r="BB1629" i="6" s="1"/>
  <c r="AA274" i="15" s="1"/>
  <c r="AB274" i="15"/>
  <c r="BE1697" i="6"/>
  <c r="BB1697" i="6" s="1"/>
  <c r="AA291" i="15" s="1"/>
  <c r="AB291" i="15"/>
  <c r="BE1461" i="6"/>
  <c r="BB1461" i="6" s="1"/>
  <c r="AA212" i="15" s="1"/>
  <c r="AB212" i="15"/>
  <c r="BE1633" i="6"/>
  <c r="BB1633" i="6" s="1"/>
  <c r="AA275" i="15" s="1"/>
  <c r="AB275" i="15"/>
  <c r="BB19" i="7"/>
  <c r="AA332" i="15" s="1"/>
  <c r="AE332" i="15"/>
  <c r="AC332" i="15" s="1"/>
  <c r="BB21" i="7"/>
  <c r="AA334" i="15" s="1"/>
  <c r="AE334" i="15"/>
  <c r="AC334" i="15" s="1"/>
  <c r="AO333" i="15"/>
  <c r="BB20" i="7"/>
  <c r="AA333" i="15" s="1"/>
  <c r="AE333" i="15"/>
  <c r="AC333" i="15" s="1"/>
  <c r="AO332" i="15"/>
  <c r="AO334" i="15"/>
  <c r="AO250" i="15"/>
  <c r="AP250" i="15" s="1"/>
  <c r="AI214" i="15"/>
  <c r="AI215" i="15" s="1"/>
  <c r="AI216" i="15" s="1"/>
  <c r="AO243" i="15"/>
  <c r="AP243" i="15" s="1"/>
  <c r="AO233" i="15"/>
  <c r="AP233" i="15" s="1"/>
  <c r="AO305" i="15"/>
  <c r="AP305" i="15" s="1"/>
  <c r="AO281" i="15"/>
  <c r="AP281" i="15" s="1"/>
  <c r="K4029" i="6"/>
  <c r="K1577" i="6" s="1"/>
  <c r="BB1445" i="6"/>
  <c r="AA208" i="15" s="1"/>
  <c r="AE208" i="15"/>
  <c r="AC208" i="15" s="1"/>
  <c r="K4209" i="6"/>
  <c r="K1757" i="6" s="1"/>
  <c r="BE1757" i="6" s="1"/>
  <c r="K3385" i="6"/>
  <c r="F1583" i="6" s="1"/>
  <c r="M258" i="15" s="1"/>
  <c r="J258" i="15" s="1"/>
  <c r="F1581" i="6"/>
  <c r="K258" i="15" s="1"/>
  <c r="BB1557" i="6"/>
  <c r="AA251" i="15" s="1"/>
  <c r="BB1727" i="6"/>
  <c r="AA299" i="15" s="1"/>
  <c r="K4017" i="6"/>
  <c r="K1565" i="6" s="1"/>
  <c r="K4025" i="6"/>
  <c r="K1573" i="6" s="1"/>
  <c r="BE1573" i="6" s="1"/>
  <c r="BE1533" i="6"/>
  <c r="BB1533" i="6" s="1"/>
  <c r="AA241" i="15" s="1"/>
  <c r="M4033" i="6"/>
  <c r="L4033" i="6" s="1"/>
  <c r="K4033" i="6" s="1"/>
  <c r="K1581" i="6" s="1"/>
  <c r="BD1503" i="6"/>
  <c r="I1503" i="6"/>
  <c r="S227" i="15" s="1"/>
  <c r="P227" i="15" s="1"/>
  <c r="W227" i="15" s="1"/>
  <c r="BE1535" i="6"/>
  <c r="BB1535" i="6" s="1"/>
  <c r="AA242" i="15" s="1"/>
  <c r="K3347" i="6"/>
  <c r="F1507" i="6" s="1"/>
  <c r="M228" i="15" s="1"/>
  <c r="J228" i="15" s="1"/>
  <c r="F1505" i="6"/>
  <c r="K228" i="15" s="1"/>
  <c r="K4043" i="6"/>
  <c r="K1591" i="6" s="1"/>
  <c r="K4203" i="6"/>
  <c r="K1751" i="6" s="1"/>
  <c r="K4201" i="6"/>
  <c r="K1749" i="6" s="1"/>
  <c r="K4199" i="6"/>
  <c r="K1747" i="6" s="1"/>
  <c r="BE1747" i="6" s="1"/>
  <c r="K4041" i="6"/>
  <c r="K1589" i="6" s="1"/>
  <c r="BE1589" i="6" s="1"/>
  <c r="K4231" i="6"/>
  <c r="K1779" i="6" s="1"/>
  <c r="BE1779" i="6" s="1"/>
  <c r="K4045" i="6"/>
  <c r="K1593" i="6" s="1"/>
  <c r="BE1611" i="6"/>
  <c r="BB1611" i="6" s="1"/>
  <c r="AA269" i="15" s="1"/>
  <c r="BD1579" i="6"/>
  <c r="AG257" i="15" s="1"/>
  <c r="AD257" i="15" s="1"/>
  <c r="I1579" i="6"/>
  <c r="S257" i="15" s="1"/>
  <c r="P257" i="15" s="1"/>
  <c r="W257" i="15" s="1"/>
  <c r="K1713" i="6"/>
  <c r="AB295" i="15" s="1"/>
  <c r="K1551" i="6"/>
  <c r="R1812" i="6"/>
  <c r="K4229" i="6"/>
  <c r="K1777" i="6" s="1"/>
  <c r="BE1777" i="6" s="1"/>
  <c r="K1773" i="6"/>
  <c r="BE1773" i="6" s="1"/>
  <c r="BB1773" i="6" s="1"/>
  <c r="AA316" i="15" s="1"/>
  <c r="K1553" i="6"/>
  <c r="K1473" i="6"/>
  <c r="K1493" i="6"/>
  <c r="K1715" i="6"/>
  <c r="K1685" i="6"/>
  <c r="K1645" i="6"/>
  <c r="K1621" i="6"/>
  <c r="K1709" i="6"/>
  <c r="K1449" i="6"/>
  <c r="K1601" i="6"/>
  <c r="K1669" i="6"/>
  <c r="K1677" i="6"/>
  <c r="K1613" i="6"/>
  <c r="K1637" i="6"/>
  <c r="K1543" i="6"/>
  <c r="K1653" i="6"/>
  <c r="K1731" i="6"/>
  <c r="K1701" i="6"/>
  <c r="AB292" i="15" s="1"/>
  <c r="K1607" i="6"/>
  <c r="K4205" i="6"/>
  <c r="V750" i="7"/>
  <c r="K4021" i="6"/>
  <c r="K4191" i="6"/>
  <c r="K4013" i="6"/>
  <c r="AO525" i="15"/>
  <c r="AO523" i="15"/>
  <c r="AO176" i="15"/>
  <c r="BB516" i="9"/>
  <c r="AA579" i="15" s="1"/>
  <c r="BB517" i="7"/>
  <c r="AA381" i="15" s="1"/>
  <c r="V791" i="7"/>
  <c r="D873" i="7"/>
  <c r="AB249" i="15"/>
  <c r="AB243" i="15"/>
  <c r="BB1537" i="6"/>
  <c r="AA243" i="15" s="1"/>
  <c r="AB315" i="15"/>
  <c r="BB1771" i="6"/>
  <c r="AA315" i="15" s="1"/>
  <c r="X4167" i="6"/>
  <c r="X3995" i="6"/>
  <c r="X4161" i="6"/>
  <c r="X4183" i="6"/>
  <c r="AB248" i="15"/>
  <c r="K4039" i="6"/>
  <c r="K1587" i="6" s="1"/>
  <c r="BE1587" i="6" s="1"/>
  <c r="K4195" i="6"/>
  <c r="X4229" i="6"/>
  <c r="X4037" i="6"/>
  <c r="Q1811" i="6"/>
  <c r="Q1812" i="6" s="1"/>
  <c r="X4039" i="6"/>
  <c r="X4197" i="6"/>
  <c r="X4195" i="6"/>
  <c r="K4037" i="6"/>
  <c r="K4197" i="6"/>
  <c r="BD9" i="6"/>
  <c r="AE111" i="15" s="1"/>
  <c r="AC111" i="15" s="1"/>
  <c r="AB156" i="15"/>
  <c r="BB178" i="6"/>
  <c r="AA156" i="15" s="1"/>
  <c r="AB154" i="15"/>
  <c r="BB175" i="6"/>
  <c r="AA154" i="15" s="1"/>
  <c r="BB180" i="6"/>
  <c r="AA157" i="15" s="1"/>
  <c r="AB157" i="15"/>
  <c r="BB176" i="6"/>
  <c r="AA155" i="15" s="1"/>
  <c r="AB155" i="15"/>
  <c r="AB158" i="15"/>
  <c r="BB181" i="6"/>
  <c r="AA158" i="15" s="1"/>
  <c r="J779" i="6"/>
  <c r="K190" i="6" s="1"/>
  <c r="BE190" i="6" s="1"/>
  <c r="J778" i="6"/>
  <c r="K189" i="6" s="1"/>
  <c r="BE189" i="6" s="1"/>
  <c r="J773" i="6"/>
  <c r="K184" i="6" s="1"/>
  <c r="BE184" i="6" s="1"/>
  <c r="J771" i="6"/>
  <c r="K182" i="6" s="1"/>
  <c r="BE182" i="6" s="1"/>
  <c r="J776" i="6"/>
  <c r="K187" i="6" s="1"/>
  <c r="BE187" i="6" s="1"/>
  <c r="Q210" i="6"/>
  <c r="Q211" i="6" s="1"/>
  <c r="J774" i="6"/>
  <c r="K185" i="6" s="1"/>
  <c r="BE185" i="6" s="1"/>
  <c r="I111" i="15"/>
  <c r="AN111" i="15" s="1"/>
  <c r="AO111" i="15" s="1"/>
  <c r="F10" i="6"/>
  <c r="AG111" i="15" s="1"/>
  <c r="AD111" i="15" s="1"/>
  <c r="AO178" i="15"/>
  <c r="I817" i="6"/>
  <c r="Q180" i="15" s="1"/>
  <c r="BD817" i="6"/>
  <c r="AE180" i="15" s="1"/>
  <c r="K180" i="15"/>
  <c r="AN180" i="15" s="1"/>
  <c r="AF178" i="15"/>
  <c r="AC178" i="15" s="1"/>
  <c r="BB813" i="6"/>
  <c r="AA178" i="15" s="1"/>
  <c r="AB294" i="15"/>
  <c r="J1092" i="6"/>
  <c r="F819" i="6" s="1"/>
  <c r="AB286" i="15"/>
  <c r="AB180" i="15"/>
  <c r="K821" i="6"/>
  <c r="BE821" i="6" s="1"/>
  <c r="BB8" i="6"/>
  <c r="AA110" i="15" s="1"/>
  <c r="AO579" i="15"/>
  <c r="I11" i="6"/>
  <c r="I46" i="6"/>
  <c r="J11" i="6"/>
  <c r="I61" i="6"/>
  <c r="AO479" i="15"/>
  <c r="AA479" i="15"/>
  <c r="AE479" i="15"/>
  <c r="AC479" i="15" s="1"/>
  <c r="V790" i="7"/>
  <c r="D872" i="7"/>
  <c r="AG204" i="15"/>
  <c r="AD204" i="15" s="1"/>
  <c r="BB1433" i="6"/>
  <c r="AA204" i="15" s="1"/>
  <c r="BE1751" i="6" l="1"/>
  <c r="BB1751" i="6" s="1"/>
  <c r="AA307" i="15" s="1"/>
  <c r="AB307" i="15"/>
  <c r="BE1591" i="6"/>
  <c r="BB1591" i="6" s="1"/>
  <c r="AA262" i="15" s="1"/>
  <c r="AB262" i="15"/>
  <c r="BE1593" i="6"/>
  <c r="BB1593" i="6" s="1"/>
  <c r="AA263" i="15" s="1"/>
  <c r="AB263" i="15"/>
  <c r="BE1749" i="6"/>
  <c r="BB1749" i="6" s="1"/>
  <c r="AA306" i="15" s="1"/>
  <c r="AB306" i="15"/>
  <c r="AN228" i="15"/>
  <c r="I228" i="15"/>
  <c r="BB1501" i="6"/>
  <c r="AA227" i="15" s="1"/>
  <c r="AG227" i="15"/>
  <c r="AD227" i="15" s="1"/>
  <c r="I258" i="15"/>
  <c r="AN258" i="15"/>
  <c r="BE1581" i="6"/>
  <c r="AB258" i="15"/>
  <c r="BE1577" i="6"/>
  <c r="BB1577" i="6" s="1"/>
  <c r="AA257" i="15" s="1"/>
  <c r="AB257" i="15"/>
  <c r="BE1565" i="6"/>
  <c r="BB1565" i="6" s="1"/>
  <c r="AA254" i="15" s="1"/>
  <c r="AB254" i="15"/>
  <c r="AI217" i="15"/>
  <c r="AI218" i="15" s="1"/>
  <c r="AI219" i="15" s="1"/>
  <c r="AI220" i="15" s="1"/>
  <c r="AI221" i="15" s="1"/>
  <c r="AI222" i="15" s="1"/>
  <c r="AI223" i="15" s="1"/>
  <c r="AI224" i="15" s="1"/>
  <c r="BE1553" i="6"/>
  <c r="BB1553" i="6" s="1"/>
  <c r="AA249" i="15" s="1"/>
  <c r="BD1507" i="6"/>
  <c r="AG228" i="15" s="1"/>
  <c r="AD228" i="15" s="1"/>
  <c r="I1507" i="6"/>
  <c r="S228" i="15" s="1"/>
  <c r="P228" i="15" s="1"/>
  <c r="W228" i="15" s="1"/>
  <c r="BD1581" i="6"/>
  <c r="AE258" i="15" s="1"/>
  <c r="AC258" i="15" s="1"/>
  <c r="I1581" i="6"/>
  <c r="Q258" i="15" s="1"/>
  <c r="O258" i="15" s="1"/>
  <c r="BE1551" i="6"/>
  <c r="BB1551" i="6" s="1"/>
  <c r="AA248" i="15" s="1"/>
  <c r="BD1583" i="6"/>
  <c r="AG258" i="15" s="1"/>
  <c r="AD258" i="15" s="1"/>
  <c r="I1583" i="6"/>
  <c r="S258" i="15" s="1"/>
  <c r="P258" i="15" s="1"/>
  <c r="W258" i="15" s="1"/>
  <c r="BD1505" i="6"/>
  <c r="I1505" i="6"/>
  <c r="Q228" i="15" s="1"/>
  <c r="O228" i="15" s="1"/>
  <c r="BE1713" i="6"/>
  <c r="BB1713" i="6" s="1"/>
  <c r="AA295" i="15" s="1"/>
  <c r="AB316" i="15"/>
  <c r="BE1701" i="6"/>
  <c r="BB1701" i="6" s="1"/>
  <c r="AA292" i="15" s="1"/>
  <c r="BE1601" i="6"/>
  <c r="BB1601" i="6" s="1"/>
  <c r="AA266" i="15" s="1"/>
  <c r="BE1473" i="6"/>
  <c r="BB1473" i="6" s="1"/>
  <c r="AA217" i="15" s="1"/>
  <c r="BE1607" i="6"/>
  <c r="BB1607" i="6" s="1"/>
  <c r="AA268" i="15" s="1"/>
  <c r="AB280" i="15"/>
  <c r="BE1653" i="6"/>
  <c r="BB1653" i="6" s="1"/>
  <c r="AA280" i="15" s="1"/>
  <c r="BE1709" i="6"/>
  <c r="BB1709" i="6" s="1"/>
  <c r="AA294" i="15" s="1"/>
  <c r="AB209" i="15"/>
  <c r="BE1449" i="6"/>
  <c r="BB1449" i="6" s="1"/>
  <c r="AA209" i="15" s="1"/>
  <c r="BE1543" i="6"/>
  <c r="BB1543" i="6" s="1"/>
  <c r="AA246" i="15" s="1"/>
  <c r="AB272" i="15"/>
  <c r="BE1621" i="6"/>
  <c r="BB1621" i="6" s="1"/>
  <c r="AA272" i="15" s="1"/>
  <c r="BE1493" i="6"/>
  <c r="BB1493" i="6" s="1"/>
  <c r="AA225" i="15" s="1"/>
  <c r="AB300" i="15"/>
  <c r="BE1731" i="6"/>
  <c r="BB1731" i="6" s="1"/>
  <c r="AA300" i="15" s="1"/>
  <c r="BE1637" i="6"/>
  <c r="BB1637" i="6" s="1"/>
  <c r="AA276" i="15" s="1"/>
  <c r="BE1645" i="6"/>
  <c r="BB1645" i="6" s="1"/>
  <c r="AA278" i="15" s="1"/>
  <c r="AB270" i="15"/>
  <c r="BE1613" i="6"/>
  <c r="BB1613" i="6" s="1"/>
  <c r="AA270" i="15" s="1"/>
  <c r="BE1685" i="6"/>
  <c r="BB1685" i="6" s="1"/>
  <c r="AA288" i="15" s="1"/>
  <c r="BE1669" i="6"/>
  <c r="BB1669" i="6" s="1"/>
  <c r="AA284" i="15" s="1"/>
  <c r="AB217" i="15"/>
  <c r="BE1677" i="6"/>
  <c r="BB1677" i="6" s="1"/>
  <c r="AA286" i="15" s="1"/>
  <c r="BE1715" i="6"/>
  <c r="BB1715" i="6" s="1"/>
  <c r="AA296" i="15" s="1"/>
  <c r="K1745" i="6"/>
  <c r="AB304" i="15" s="1"/>
  <c r="K1585" i="6"/>
  <c r="AB259" i="15" s="1"/>
  <c r="K1743" i="6"/>
  <c r="AB266" i="15"/>
  <c r="AB278" i="15"/>
  <c r="AB268" i="15"/>
  <c r="AB225" i="15"/>
  <c r="AB284" i="15"/>
  <c r="AB276" i="15"/>
  <c r="AB296" i="15"/>
  <c r="AB246" i="15"/>
  <c r="AB288" i="15"/>
  <c r="K1753" i="6"/>
  <c r="K1561" i="6"/>
  <c r="K1739" i="6"/>
  <c r="K1569" i="6"/>
  <c r="BB1757" i="6"/>
  <c r="AA309" i="15" s="1"/>
  <c r="BB1573" i="6"/>
  <c r="AA256" i="15" s="1"/>
  <c r="V873" i="7"/>
  <c r="D905" i="7"/>
  <c r="AB317" i="15"/>
  <c r="BB1775" i="6"/>
  <c r="AA317" i="15" s="1"/>
  <c r="M10" i="6"/>
  <c r="P111" i="15" s="1"/>
  <c r="AB250" i="15"/>
  <c r="BB1555" i="6"/>
  <c r="AA250" i="15" s="1"/>
  <c r="BB1777" i="6"/>
  <c r="AA318" i="15" s="1"/>
  <c r="AB318" i="15"/>
  <c r="X4191" i="6"/>
  <c r="X4013" i="6"/>
  <c r="X4021" i="6"/>
  <c r="X4205" i="6"/>
  <c r="J111" i="15"/>
  <c r="F11" i="6"/>
  <c r="I112" i="15" s="1"/>
  <c r="AN112" i="15" s="1"/>
  <c r="BB189" i="6"/>
  <c r="AA163" i="15" s="1"/>
  <c r="AB163" i="15"/>
  <c r="AB162" i="15"/>
  <c r="BB187" i="6"/>
  <c r="AA162" i="15" s="1"/>
  <c r="AB164" i="15"/>
  <c r="BB190" i="6"/>
  <c r="AA164" i="15" s="1"/>
  <c r="AB159" i="15"/>
  <c r="BB182" i="6"/>
  <c r="AA159" i="15" s="1"/>
  <c r="BB185" i="6"/>
  <c r="AA161" i="15" s="1"/>
  <c r="AB161" i="15"/>
  <c r="AB160" i="15"/>
  <c r="BB184" i="6"/>
  <c r="AA160" i="15" s="1"/>
  <c r="BD818" i="6"/>
  <c r="AF180" i="15" s="1"/>
  <c r="AC180" i="15" s="1"/>
  <c r="L180" i="15"/>
  <c r="I180" i="15" s="1"/>
  <c r="I818" i="6"/>
  <c r="R180" i="15" s="1"/>
  <c r="O180" i="15" s="1"/>
  <c r="AO180" i="15" s="1"/>
  <c r="BB1477" i="6"/>
  <c r="AA218" i="15" s="1"/>
  <c r="AB218" i="15"/>
  <c r="BB1689" i="6"/>
  <c r="AA289" i="15" s="1"/>
  <c r="AB289" i="15"/>
  <c r="BB1673" i="6"/>
  <c r="AA285" i="15" s="1"/>
  <c r="AB285" i="15"/>
  <c r="J1093" i="6"/>
  <c r="F820" i="6" s="1"/>
  <c r="AB293" i="15"/>
  <c r="BB1705" i="6"/>
  <c r="AA293" i="15" s="1"/>
  <c r="AB210" i="15"/>
  <c r="BB1453" i="6"/>
  <c r="AA210" i="15" s="1"/>
  <c r="BB1735" i="6"/>
  <c r="AA301" i="15" s="1"/>
  <c r="AB301" i="15"/>
  <c r="BB1657" i="6"/>
  <c r="AA281" i="15" s="1"/>
  <c r="AB281" i="15"/>
  <c r="BB1497" i="6"/>
  <c r="AA226" i="15" s="1"/>
  <c r="AB226" i="15"/>
  <c r="AB273" i="15"/>
  <c r="BB1625" i="6"/>
  <c r="AA273" i="15" s="1"/>
  <c r="AB277" i="15"/>
  <c r="BB1641" i="6"/>
  <c r="AA277" i="15" s="1"/>
  <c r="AB181" i="15"/>
  <c r="AB297" i="15"/>
  <c r="BB1719" i="6"/>
  <c r="AA297" i="15" s="1"/>
  <c r="I47" i="6"/>
  <c r="BB9" i="6"/>
  <c r="AA111" i="15" s="1"/>
  <c r="I62" i="6"/>
  <c r="D904" i="7"/>
  <c r="V872" i="7"/>
  <c r="BB1505" i="6" l="1"/>
  <c r="AA228" i="15" s="1"/>
  <c r="AE228" i="15"/>
  <c r="AC228" i="15" s="1"/>
  <c r="AO258" i="15"/>
  <c r="AP258" i="15" s="1"/>
  <c r="AO228" i="15"/>
  <c r="AP228" i="15" s="1"/>
  <c r="AI225" i="15"/>
  <c r="AI226" i="15" s="1"/>
  <c r="AI227" i="15" s="1"/>
  <c r="AI228" i="15" s="1"/>
  <c r="BB1581" i="6"/>
  <c r="AA258" i="15" s="1"/>
  <c r="AB303" i="15"/>
  <c r="BE1743" i="6"/>
  <c r="BB1743" i="6" s="1"/>
  <c r="AA303" i="15" s="1"/>
  <c r="BE1585" i="6"/>
  <c r="BB1585" i="6" s="1"/>
  <c r="AA259" i="15" s="1"/>
  <c r="BE1745" i="6"/>
  <c r="BB1745" i="6" s="1"/>
  <c r="AA304" i="15" s="1"/>
  <c r="BE1753" i="6"/>
  <c r="BB1753" i="6" s="1"/>
  <c r="AA308" i="15" s="1"/>
  <c r="AB255" i="15"/>
  <c r="BE1569" i="6"/>
  <c r="BB1569" i="6" s="1"/>
  <c r="AA255" i="15" s="1"/>
  <c r="BE1561" i="6"/>
  <c r="BB1561" i="6" s="1"/>
  <c r="AA253" i="15" s="1"/>
  <c r="BE1739" i="6"/>
  <c r="BB1739" i="6" s="1"/>
  <c r="AA302" i="15" s="1"/>
  <c r="AB302" i="15"/>
  <c r="AB253" i="15"/>
  <c r="AB308" i="15"/>
  <c r="AB309" i="15"/>
  <c r="BD11" i="6"/>
  <c r="AE112" i="15" s="1"/>
  <c r="AC112" i="15" s="1"/>
  <c r="AB256" i="15"/>
  <c r="M11" i="6"/>
  <c r="O112" i="15" s="1"/>
  <c r="W112" i="15" s="1"/>
  <c r="D990" i="7"/>
  <c r="V905" i="7"/>
  <c r="BB1779" i="6"/>
  <c r="AA319" i="15" s="1"/>
  <c r="AB319" i="15"/>
  <c r="AB260" i="15"/>
  <c r="BB1587" i="6"/>
  <c r="AA260" i="15" s="1"/>
  <c r="AB305" i="15"/>
  <c r="BB1747" i="6"/>
  <c r="AA305" i="15" s="1"/>
  <c r="BB1589" i="6"/>
  <c r="AA261" i="15" s="1"/>
  <c r="AB261" i="15"/>
  <c r="F12" i="6"/>
  <c r="I819" i="6"/>
  <c r="S180" i="15" s="1"/>
  <c r="M180" i="15"/>
  <c r="BD819" i="6"/>
  <c r="AG180" i="15" s="1"/>
  <c r="J1094" i="6"/>
  <c r="F825" i="6" s="1"/>
  <c r="I48" i="6"/>
  <c r="I63" i="6"/>
  <c r="D1024" i="7"/>
  <c r="V904" i="7"/>
  <c r="D989" i="7"/>
  <c r="V989" i="7" s="1"/>
  <c r="AI229" i="15" l="1"/>
  <c r="AI230" i="15" s="1"/>
  <c r="AI231" i="15" s="1"/>
  <c r="AI232" i="15" s="1"/>
  <c r="AI233" i="15" s="1"/>
  <c r="AI234" i="15" s="1"/>
  <c r="AI235" i="15" s="1"/>
  <c r="AO112" i="15"/>
  <c r="M12" i="6"/>
  <c r="P112" i="15" s="1"/>
  <c r="AG112" i="15"/>
  <c r="AD112" i="15" s="1"/>
  <c r="D1025" i="7"/>
  <c r="V990" i="7"/>
  <c r="J112" i="15"/>
  <c r="F13" i="6"/>
  <c r="M13" i="6" s="1"/>
  <c r="O113" i="15" s="1"/>
  <c r="W113" i="15" s="1"/>
  <c r="X1180" i="6"/>
  <c r="Y1180" i="6"/>
  <c r="K825" i="6"/>
  <c r="BE825" i="6" s="1"/>
  <c r="J1095" i="6"/>
  <c r="F826" i="6" s="1"/>
  <c r="N180" i="15"/>
  <c r="J180" i="15" s="1"/>
  <c r="I820" i="6"/>
  <c r="T180" i="15" s="1"/>
  <c r="P180" i="15" s="1"/>
  <c r="W180" i="15" s="1"/>
  <c r="BD820" i="6"/>
  <c r="AH180" i="15" s="1"/>
  <c r="AD180" i="15" s="1"/>
  <c r="I49" i="6"/>
  <c r="I64" i="6"/>
  <c r="V1024" i="7"/>
  <c r="D1050" i="7"/>
  <c r="AI236" i="15" l="1"/>
  <c r="AI237" i="15" s="1"/>
  <c r="AI238" i="15" s="1"/>
  <c r="AI239" i="15" s="1"/>
  <c r="AI240" i="15" s="1"/>
  <c r="F14" i="6"/>
  <c r="I114" i="15" s="1"/>
  <c r="AN114" i="15" s="1"/>
  <c r="BD13" i="6"/>
  <c r="AE113" i="15" s="1"/>
  <c r="AC113" i="15" s="1"/>
  <c r="BB11" i="6"/>
  <c r="AA112" i="15" s="1"/>
  <c r="D1051" i="7"/>
  <c r="V1025" i="7"/>
  <c r="I113" i="15"/>
  <c r="AN113" i="15" s="1"/>
  <c r="AO113" i="15" s="1"/>
  <c r="K182" i="15"/>
  <c r="I825" i="6"/>
  <c r="Q182" i="15" s="1"/>
  <c r="BD825" i="6"/>
  <c r="AE182" i="15" s="1"/>
  <c r="K827" i="6"/>
  <c r="BE827" i="6" s="1"/>
  <c r="AB182" i="15"/>
  <c r="J1096" i="6"/>
  <c r="F829" i="6" s="1"/>
  <c r="BB817" i="6"/>
  <c r="AA180" i="15" s="1"/>
  <c r="J15" i="6"/>
  <c r="I15" i="6"/>
  <c r="I50" i="6"/>
  <c r="I65" i="6"/>
  <c r="D1081" i="7"/>
  <c r="V1050" i="7"/>
  <c r="AI241" i="15" l="1"/>
  <c r="AI242" i="15" s="1"/>
  <c r="AI243" i="15" s="1"/>
  <c r="AI244" i="15" s="1"/>
  <c r="AI247" i="15" s="1"/>
  <c r="BD14" i="6"/>
  <c r="BB14" i="6" s="1"/>
  <c r="AA114" i="15" s="1"/>
  <c r="M14" i="6"/>
  <c r="O114" i="15" s="1"/>
  <c r="W114" i="15" s="1"/>
  <c r="BB13" i="6"/>
  <c r="AA113" i="15" s="1"/>
  <c r="D1082" i="7"/>
  <c r="V1051" i="7"/>
  <c r="F15" i="6"/>
  <c r="I115" i="15" s="1"/>
  <c r="AN115" i="15" s="1"/>
  <c r="AN182" i="15"/>
  <c r="BD826" i="6"/>
  <c r="AF182" i="15" s="1"/>
  <c r="AC182" i="15" s="1"/>
  <c r="L182" i="15"/>
  <c r="I182" i="15" s="1"/>
  <c r="I826" i="6"/>
  <c r="R182" i="15" s="1"/>
  <c r="O182" i="15" s="1"/>
  <c r="W182" i="15" s="1"/>
  <c r="X1182" i="6"/>
  <c r="Y1182" i="6"/>
  <c r="K829" i="6"/>
  <c r="BE829" i="6" s="1"/>
  <c r="J1097" i="6"/>
  <c r="F830" i="6" s="1"/>
  <c r="AB183" i="15"/>
  <c r="I51" i="6"/>
  <c r="I66" i="6"/>
  <c r="V1081" i="7"/>
  <c r="D1114" i="7"/>
  <c r="AI245" i="15" l="1"/>
  <c r="AI246" i="15"/>
  <c r="AE114" i="15"/>
  <c r="AC114" i="15" s="1"/>
  <c r="AO114" i="15"/>
  <c r="D1115" i="7"/>
  <c r="V1082" i="7"/>
  <c r="M15" i="6"/>
  <c r="O115" i="15" s="1"/>
  <c r="W115" i="15" s="1"/>
  <c r="BD15" i="6"/>
  <c r="AE115" i="15" s="1"/>
  <c r="AC115" i="15" s="1"/>
  <c r="F16" i="6"/>
  <c r="AG115" i="15" s="1"/>
  <c r="AD115" i="15" s="1"/>
  <c r="K184" i="15"/>
  <c r="AN184" i="15" s="1"/>
  <c r="I829" i="6"/>
  <c r="Q184" i="15" s="1"/>
  <c r="BD829" i="6"/>
  <c r="AE184" i="15" s="1"/>
  <c r="K833" i="6"/>
  <c r="BE833" i="6" s="1"/>
  <c r="AB184" i="15"/>
  <c r="BB825" i="6"/>
  <c r="AA182" i="15" s="1"/>
  <c r="AO182" i="15"/>
  <c r="J1098" i="6"/>
  <c r="F831" i="6" s="1"/>
  <c r="J17" i="6"/>
  <c r="I17" i="6"/>
  <c r="I52" i="6"/>
  <c r="I67" i="6"/>
  <c r="D1223" i="7"/>
  <c r="V1223" i="7" s="1"/>
  <c r="V1114" i="7"/>
  <c r="AI248" i="15" l="1"/>
  <c r="AI249" i="15" s="1"/>
  <c r="AI250" i="15" s="1"/>
  <c r="AI251" i="15" s="1"/>
  <c r="AI254" i="15" s="1"/>
  <c r="AO115" i="15"/>
  <c r="M16" i="6"/>
  <c r="P115" i="15" s="1"/>
  <c r="J115" i="15"/>
  <c r="V1115" i="7"/>
  <c r="V1289" i="7" s="1"/>
  <c r="D1228" i="7"/>
  <c r="F17" i="6"/>
  <c r="M17" i="6" s="1"/>
  <c r="O116" i="15" s="1"/>
  <c r="W116" i="15" s="1"/>
  <c r="J1099" i="6"/>
  <c r="F832" i="6" s="1"/>
  <c r="BD830" i="6"/>
  <c r="AF184" i="15" s="1"/>
  <c r="AC184" i="15" s="1"/>
  <c r="L184" i="15"/>
  <c r="I184" i="15" s="1"/>
  <c r="I830" i="6"/>
  <c r="R184" i="15" s="1"/>
  <c r="O184" i="15" s="1"/>
  <c r="AO184" i="15" s="1"/>
  <c r="AB185" i="15"/>
  <c r="BB15" i="6"/>
  <c r="AA115" i="15" s="1"/>
  <c r="AI252" i="15" l="1"/>
  <c r="AI253" i="15"/>
  <c r="V1228" i="7"/>
  <c r="D1329" i="7"/>
  <c r="BD17" i="6"/>
  <c r="AE116" i="15" s="1"/>
  <c r="AC116" i="15" s="1"/>
  <c r="I116" i="15"/>
  <c r="AN116" i="15" s="1"/>
  <c r="AO116" i="15" s="1"/>
  <c r="M184" i="15"/>
  <c r="BD831" i="6"/>
  <c r="AG184" i="15" s="1"/>
  <c r="I831" i="6"/>
  <c r="S184" i="15" s="1"/>
  <c r="J1100" i="6"/>
  <c r="F805" i="6" s="1"/>
  <c r="F18" i="6"/>
  <c r="D1381" i="7"/>
  <c r="V1381" i="7" s="1"/>
  <c r="V1327" i="7"/>
  <c r="AI255" i="15" l="1"/>
  <c r="AI256" i="15" s="1"/>
  <c r="AI257" i="15" s="1"/>
  <c r="AI258" i="15" s="1"/>
  <c r="V1329" i="7"/>
  <c r="D1382" i="7"/>
  <c r="V1382" i="7" s="1"/>
  <c r="BD832" i="6"/>
  <c r="AH184" i="15" s="1"/>
  <c r="AD184" i="15" s="1"/>
  <c r="N184" i="15"/>
  <c r="J184" i="15" s="1"/>
  <c r="I832" i="6"/>
  <c r="T184" i="15" s="1"/>
  <c r="P184" i="15" s="1"/>
  <c r="W184" i="15" s="1"/>
  <c r="J1101" i="6"/>
  <c r="F806" i="6" s="1"/>
  <c r="AG116" i="15"/>
  <c r="AD116" i="15" s="1"/>
  <c r="M18" i="6"/>
  <c r="P116" i="15" s="1"/>
  <c r="J116" i="15"/>
  <c r="AI259" i="15" l="1"/>
  <c r="AI260" i="15" s="1"/>
  <c r="AI261" i="15" s="1"/>
  <c r="AI262" i="15" s="1"/>
  <c r="AI263" i="15" s="1"/>
  <c r="AI264" i="15" s="1"/>
  <c r="AI265" i="15" s="1"/>
  <c r="AI266" i="15" s="1"/>
  <c r="AI267" i="15" s="1"/>
  <c r="AI268" i="15" s="1"/>
  <c r="AI269" i="15" s="1"/>
  <c r="AI270" i="15" s="1"/>
  <c r="AI271" i="15" s="1"/>
  <c r="I805" i="6"/>
  <c r="Q173" i="15" s="1"/>
  <c r="O173" i="15" s="1"/>
  <c r="K173" i="15"/>
  <c r="I173" i="15" s="1"/>
  <c r="AN173" i="15" s="1"/>
  <c r="BD805" i="6"/>
  <c r="AE173" i="15" s="1"/>
  <c r="AC173" i="15" s="1"/>
  <c r="BB829" i="6"/>
  <c r="AA184" i="15" s="1"/>
  <c r="J1102" i="6"/>
  <c r="F808" i="6" s="1"/>
  <c r="BB17" i="6"/>
  <c r="AA116" i="15" s="1"/>
  <c r="AO173" i="15" l="1"/>
  <c r="J1103" i="6"/>
  <c r="F811" i="6" s="1"/>
  <c r="M173" i="15"/>
  <c r="J173" i="15" s="1"/>
  <c r="BD806" i="6"/>
  <c r="AG173" i="15" s="1"/>
  <c r="AD173" i="15" s="1"/>
  <c r="I806" i="6"/>
  <c r="S173" i="15" s="1"/>
  <c r="P173" i="15" s="1"/>
  <c r="W173" i="15" s="1"/>
  <c r="AI272" i="15" l="1"/>
  <c r="AI273" i="15" s="1"/>
  <c r="AI274" i="15" s="1"/>
  <c r="AI275" i="15" s="1"/>
  <c r="AI276" i="15" s="1"/>
  <c r="AI277" i="15" s="1"/>
  <c r="AI278" i="15" s="1"/>
  <c r="AI279" i="15" s="1"/>
  <c r="AI280" i="15" s="1"/>
  <c r="AI281" i="15" s="1"/>
  <c r="AI282" i="15" s="1"/>
  <c r="AI283" i="15" s="1"/>
  <c r="AI284" i="15" s="1"/>
  <c r="AI285" i="15" s="1"/>
  <c r="AI286" i="15" s="1"/>
  <c r="AI287" i="15" s="1"/>
  <c r="AI288" i="15" s="1"/>
  <c r="AI289" i="15" s="1"/>
  <c r="AI290" i="15" s="1"/>
  <c r="AI291" i="15" s="1"/>
  <c r="AI292" i="15" s="1"/>
  <c r="AI293" i="15" s="1"/>
  <c r="AI294" i="15" s="1"/>
  <c r="AI295" i="15" s="1"/>
  <c r="AI296" i="15" s="1"/>
  <c r="AI297" i="15" s="1"/>
  <c r="AI298" i="15" s="1"/>
  <c r="AI299" i="15" s="1"/>
  <c r="AI300" i="15" s="1"/>
  <c r="AI301" i="15" s="1"/>
  <c r="AI302" i="15" s="1"/>
  <c r="AI303" i="15" s="1"/>
  <c r="AI304" i="15" s="1"/>
  <c r="AI305" i="15" s="1"/>
  <c r="AI306" i="15" s="1"/>
  <c r="AI307" i="15" s="1"/>
  <c r="AI308" i="15" s="1"/>
  <c r="AI309" i="15" s="1"/>
  <c r="AI310" i="15" s="1"/>
  <c r="AI311" i="15" s="1"/>
  <c r="AI312" i="15" s="1"/>
  <c r="AI313" i="15" s="1"/>
  <c r="AI314" i="15" s="1"/>
  <c r="AI315" i="15" s="1"/>
  <c r="AI316" i="15" s="1"/>
  <c r="AI317" i="15" s="1"/>
  <c r="AI318" i="15" s="1"/>
  <c r="AI319" i="15" s="1"/>
  <c r="BB805" i="6"/>
  <c r="AA173" i="15" s="1"/>
  <c r="I808" i="6"/>
  <c r="Q175" i="15" s="1"/>
  <c r="O175" i="15" s="1"/>
  <c r="W175" i="15" s="1"/>
  <c r="BD808" i="6"/>
  <c r="K175" i="15"/>
  <c r="I175" i="15" s="1"/>
  <c r="AN175" i="15" s="1"/>
  <c r="J1104" i="6"/>
  <c r="F812" i="6" s="1"/>
  <c r="BD811" i="6" l="1"/>
  <c r="AE177" i="15" s="1"/>
  <c r="I811" i="6"/>
  <c r="Q177" i="15" s="1"/>
  <c r="K177" i="15"/>
  <c r="AN177" i="15" s="1"/>
  <c r="BB808" i="6"/>
  <c r="AA175" i="15" s="1"/>
  <c r="AE175" i="15"/>
  <c r="AC175" i="15" s="1"/>
  <c r="J1105" i="6"/>
  <c r="F815" i="6" s="1"/>
  <c r="AO175" i="15"/>
  <c r="L177" i="15" l="1"/>
  <c r="I177" i="15" s="1"/>
  <c r="I812" i="6"/>
  <c r="R177" i="15" s="1"/>
  <c r="O177" i="15" s="1"/>
  <c r="W177" i="15" s="1"/>
  <c r="BD812" i="6"/>
  <c r="AF177" i="15" s="1"/>
  <c r="AC177" i="15" s="1"/>
  <c r="J1106" i="6"/>
  <c r="F816" i="6" s="1"/>
  <c r="K179" i="15" l="1"/>
  <c r="BD815" i="6"/>
  <c r="AE179" i="15" s="1"/>
  <c r="I815" i="6"/>
  <c r="Q179" i="15" s="1"/>
  <c r="J1107" i="6"/>
  <c r="F821" i="6" s="1"/>
  <c r="BB811" i="6"/>
  <c r="AA177" i="15" s="1"/>
  <c r="AO177" i="15"/>
  <c r="BD816" i="6" l="1"/>
  <c r="AF179" i="15" s="1"/>
  <c r="AC179" i="15" s="1"/>
  <c r="I816" i="6"/>
  <c r="R179" i="15" s="1"/>
  <c r="O179" i="15" s="1"/>
  <c r="W179" i="15" s="1"/>
  <c r="L179" i="15"/>
  <c r="I179" i="15" s="1"/>
  <c r="AN179" i="15"/>
  <c r="J1108" i="6"/>
  <c r="F822" i="6" s="1"/>
  <c r="K181" i="15" l="1"/>
  <c r="AN181" i="15" s="1"/>
  <c r="BD821" i="6"/>
  <c r="AE181" i="15" s="1"/>
  <c r="I821" i="6"/>
  <c r="Q181" i="15" s="1"/>
  <c r="AO179" i="15"/>
  <c r="J1109" i="6"/>
  <c r="F823" i="6" s="1"/>
  <c r="BB815" i="6"/>
  <c r="AA179" i="15" s="1"/>
  <c r="L181" i="15" l="1"/>
  <c r="I181" i="15" s="1"/>
  <c r="I822" i="6"/>
  <c r="R181" i="15" s="1"/>
  <c r="O181" i="15" s="1"/>
  <c r="AO181" i="15" s="1"/>
  <c r="BD822" i="6"/>
  <c r="AF181" i="15" s="1"/>
  <c r="AC181" i="15" s="1"/>
  <c r="J1110" i="6"/>
  <c r="F824" i="6" s="1"/>
  <c r="I823" i="6" l="1"/>
  <c r="S181" i="15" s="1"/>
  <c r="BD823" i="6"/>
  <c r="AG181" i="15" s="1"/>
  <c r="M181" i="15"/>
  <c r="J1111" i="6"/>
  <c r="J1112" i="6" s="1"/>
  <c r="F828" i="6" s="1"/>
  <c r="I824" i="6" l="1"/>
  <c r="T181" i="15" s="1"/>
  <c r="P181" i="15" s="1"/>
  <c r="W181" i="15" s="1"/>
  <c r="BD824" i="6"/>
  <c r="AH181" i="15" s="1"/>
  <c r="AD181" i="15" s="1"/>
  <c r="N181" i="15"/>
  <c r="J181" i="15" s="1"/>
  <c r="J1113" i="6"/>
  <c r="J1114" i="6" s="1"/>
  <c r="F834" i="6" s="1"/>
  <c r="J1115" i="6" l="1"/>
  <c r="L183" i="15"/>
  <c r="BD828" i="6"/>
  <c r="AF183" i="15" s="1"/>
  <c r="I828" i="6"/>
  <c r="R183" i="15" s="1"/>
  <c r="BB821" i="6"/>
  <c r="AA181" i="15" s="1"/>
  <c r="F835" i="6" l="1"/>
  <c r="F827" i="6"/>
  <c r="L185" i="15"/>
  <c r="I834" i="6"/>
  <c r="R185" i="15" s="1"/>
  <c r="BD834" i="6"/>
  <c r="AF185" i="15" s="1"/>
  <c r="J1116" i="6"/>
  <c r="F833" i="6" l="1"/>
  <c r="F836" i="6"/>
  <c r="BD835" i="6"/>
  <c r="AG185" i="15" s="1"/>
  <c r="M185" i="15"/>
  <c r="I835" i="6"/>
  <c r="S185" i="15" s="1"/>
  <c r="K183" i="15"/>
  <c r="I827" i="6"/>
  <c r="Q183" i="15" s="1"/>
  <c r="O183" i="15" s="1"/>
  <c r="W183" i="15" s="1"/>
  <c r="BD827" i="6"/>
  <c r="N185" i="15" l="1"/>
  <c r="J185" i="15" s="1"/>
  <c r="I836" i="6"/>
  <c r="T185" i="15" s="1"/>
  <c r="P185" i="15" s="1"/>
  <c r="W185" i="15" s="1"/>
  <c r="BD836" i="6"/>
  <c r="AH185" i="15" s="1"/>
  <c r="AD185" i="15" s="1"/>
  <c r="I183" i="15"/>
  <c r="AN183" i="15"/>
  <c r="AO183" i="15" s="1"/>
  <c r="AE183" i="15"/>
  <c r="AC183" i="15" s="1"/>
  <c r="BB827" i="6"/>
  <c r="AA183" i="15" s="1"/>
  <c r="K185" i="15"/>
  <c r="I833" i="6"/>
  <c r="Q185" i="15" s="1"/>
  <c r="O185" i="15" s="1"/>
  <c r="BD833" i="6"/>
  <c r="I185" i="15" l="1"/>
  <c r="AN185" i="15"/>
  <c r="AO185" i="15" s="1"/>
  <c r="BB833" i="6"/>
  <c r="AA185" i="15" s="1"/>
  <c r="AE185" i="15"/>
  <c r="AC185" i="15" s="1"/>
  <c r="AE519" i="15" l="1"/>
  <c r="AC519" i="15" s="1"/>
  <c r="H21" i="8"/>
  <c r="I519" i="15"/>
  <c r="I7" i="8"/>
  <c r="O519" i="15" s="1"/>
  <c r="U519" i="15" s="1"/>
  <c r="H22" i="8" l="1"/>
  <c r="H23" i="8" s="1"/>
  <c r="H24" i="8" s="1"/>
  <c r="H25" i="8" s="1"/>
  <c r="BB7" i="8"/>
  <c r="AA519" i="15" s="1"/>
  <c r="L3867" i="6" l="1"/>
  <c r="K3867" i="6" s="1"/>
  <c r="K1415" i="6" s="1"/>
  <c r="AB198" i="15" s="1"/>
  <c r="BE1415" i="6" l="1"/>
  <c r="BB1415" i="6" s="1"/>
  <c r="AA198" i="15" s="1"/>
  <c r="K4047" i="6"/>
  <c r="K1595" i="6" s="1"/>
  <c r="BE1595" i="6" s="1"/>
  <c r="AB264" i="15" l="1"/>
  <c r="BB1595" i="6"/>
  <c r="AA264" i="15" s="1"/>
  <c r="K1420" i="6"/>
  <c r="BE1420" i="6" s="1"/>
  <c r="BB1419" i="6" s="1"/>
  <c r="AA199" i="15" s="1"/>
  <c r="L3872" i="6"/>
  <c r="M3872" i="6"/>
</calcChain>
</file>

<file path=xl/comments1.xml><?xml version="1.0" encoding="utf-8"?>
<comments xmlns="http://schemas.openxmlformats.org/spreadsheetml/2006/main">
  <authors>
    <author>Author</author>
  </authors>
  <commentList>
    <comment ref="X6" authorId="0" shapeId="0">
      <text>
        <r>
          <rPr>
            <b/>
            <sz val="9"/>
            <color indexed="81"/>
            <rFont val="Tahoma"/>
            <family val="2"/>
          </rPr>
          <t>Author:</t>
        </r>
        <r>
          <rPr>
            <sz val="9"/>
            <color indexed="81"/>
            <rFont val="Tahoma"/>
            <family val="2"/>
          </rPr>
          <t xml:space="preserve">
PY17 Results</t>
        </r>
      </text>
    </commen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49"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 ref="M96" authorId="0" shapeId="0">
      <text>
        <r>
          <rPr>
            <b/>
            <sz val="9"/>
            <color indexed="81"/>
            <rFont val="Tahoma"/>
            <family val="2"/>
          </rPr>
          <t xml:space="preserve">Opinion Dunamics:
</t>
        </r>
        <r>
          <rPr>
            <sz val="9"/>
            <color indexed="81"/>
            <rFont val="Tahoma"/>
            <family val="2"/>
          </rPr>
          <t>Table 3-2. PY2019 Lighting Program Participation Summary by Channel and Bulb Type. Values are used to calculate weighted average ISR, weighted average, Leakage, and Weighted Average %RES.</t>
        </r>
      </text>
    </comment>
  </commentList>
</comments>
</file>

<file path=xl/comments10.xml><?xml version="1.0" encoding="utf-8"?>
<comments xmlns="http://schemas.openxmlformats.org/spreadsheetml/2006/main">
  <authors>
    <author>Author</author>
  </authors>
  <commentList>
    <comment ref="J8" authorId="0" shapeId="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text>
        <r>
          <rPr>
            <b/>
            <sz val="9"/>
            <color indexed="81"/>
            <rFont val="Tahoma"/>
            <family val="2"/>
          </rPr>
          <t>11 Step updates</t>
        </r>
      </text>
    </comment>
    <comment ref="F48" authorId="0" shapeId="0">
      <text>
        <r>
          <rPr>
            <sz val="9"/>
            <color indexed="81"/>
            <rFont val="Tahoma"/>
            <family val="2"/>
          </rPr>
          <t>Average wattage values based on program tracking data; Updated with PY2020 tracking data</t>
        </r>
      </text>
    </comment>
    <comment ref="G48" authorId="0" shapeId="0">
      <text>
        <r>
          <rPr>
            <sz val="9"/>
            <color indexed="81"/>
            <rFont val="Tahoma"/>
            <family val="2"/>
          </rPr>
          <t>Average wattage values based on program tracking data; Updated with PY2020 tracking data</t>
        </r>
      </text>
    </comment>
    <comment ref="H48" authorId="0" shapeId="0">
      <text>
        <r>
          <rPr>
            <sz val="9"/>
            <color indexed="81"/>
            <rFont val="Tahoma"/>
            <family val="2"/>
          </rPr>
          <t>Average Hours values based on program tracking data; updated with PY2020 tracking data</t>
        </r>
      </text>
    </comment>
    <comment ref="I48" authorId="0" shapeId="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K48" authorId="0" shapeId="0">
      <text>
        <r>
          <rPr>
            <b/>
            <sz val="9"/>
            <color indexed="81"/>
            <rFont val="Tahoma"/>
            <family val="2"/>
          </rPr>
          <t xml:space="preserve">Opinion Dynamics:
</t>
        </r>
        <r>
          <rPr>
            <sz val="9"/>
            <color indexed="81"/>
            <rFont val="Tahoma"/>
            <family val="2"/>
          </rPr>
          <t xml:space="preserve">EUL values updated to match EUL values developed through stakeholder process in 2020. EUL values are documented in 1/6/2021 Memo: Recommended EUL Values for Ameren Missouri Business Lighting Measures
</t>
        </r>
      </text>
    </comment>
    <comment ref="L48" authorId="0" shapeId="0">
      <text>
        <r>
          <rPr>
            <b/>
            <sz val="9"/>
            <color indexed="81"/>
            <rFont val="Tahoma"/>
            <family val="2"/>
          </rPr>
          <t>Opinion Dynamics:</t>
        </r>
        <r>
          <rPr>
            <sz val="9"/>
            <color indexed="81"/>
            <rFont val="Tahoma"/>
            <family val="2"/>
          </rPr>
          <t xml:space="preserve">
Value is a weighted avaerage value across programs based on PY2019 EM&amp;V results including fixture/lamp kW and quantity adjustments.  This value applies only when new evaluation results are not conducted.
</t>
        </r>
      </text>
    </comment>
    <comment ref="F67" authorId="0" shapeId="0">
      <text>
        <r>
          <rPr>
            <b/>
            <sz val="9"/>
            <color indexed="81"/>
            <rFont val="Tahoma"/>
            <family val="2"/>
          </rPr>
          <t>Average of measures 3023,3024,3025 from ADM</t>
        </r>
      </text>
    </comment>
    <comment ref="X67" authorId="0" shapeId="0">
      <text>
        <r>
          <rPr>
            <b/>
            <sz val="9"/>
            <color indexed="81"/>
            <rFont val="Tahoma"/>
            <family val="2"/>
          </rPr>
          <t>Average of measures 3023,3024,3025 from ADM</t>
        </r>
      </text>
    </comment>
    <comment ref="Y67" authorId="0" shapeId="0">
      <text>
        <r>
          <rPr>
            <b/>
            <sz val="9"/>
            <color indexed="81"/>
            <rFont val="Tahoma"/>
            <family val="2"/>
          </rPr>
          <t>Average of measures 3023,3024,3025 from ADM</t>
        </r>
      </text>
    </comment>
    <comment ref="K79" authorId="0" shapeId="0">
      <text>
        <r>
          <rPr>
            <b/>
            <sz val="9"/>
            <color indexed="81"/>
            <rFont val="Tahoma"/>
            <family val="2"/>
          </rPr>
          <t xml:space="preserve">Opinion Dynamics:
</t>
        </r>
        <r>
          <rPr>
            <sz val="9"/>
            <color indexed="81"/>
            <rFont val="Tahoma"/>
            <family val="2"/>
          </rPr>
          <t xml:space="preserve">Estimated incremental cost ($/sqft) for a 10% improvement over baseline, based on three Wisconsin FOE LPD measures .
</t>
        </r>
      </text>
    </comment>
    <comment ref="G91" authorId="0" shapeId="0">
      <text>
        <r>
          <rPr>
            <b/>
            <sz val="9"/>
            <color indexed="81"/>
            <rFont val="Tahoma"/>
            <family val="2"/>
          </rPr>
          <t xml:space="preserve">Opinion Dynamics:
</t>
        </r>
        <r>
          <rPr>
            <sz val="9"/>
            <color indexed="81"/>
            <rFont val="Tahoma"/>
            <family val="2"/>
          </rPr>
          <t>Baseline LPD based on IECC 2009 maximum LPD for Building Type = Office</t>
        </r>
      </text>
    </comment>
    <comment ref="J91" authorId="0" shapeId="0">
      <text>
        <r>
          <rPr>
            <b/>
            <sz val="9"/>
            <color indexed="81"/>
            <rFont val="Tahoma"/>
            <family val="2"/>
          </rPr>
          <t xml:space="preserve">Opinion Dynamics: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t>
        </r>
        <r>
          <rPr>
            <sz val="9"/>
            <color indexed="81"/>
            <rFont val="Tahoma"/>
            <family val="2"/>
          </rPr>
          <t>Source of values: 1.00 is used for exterior and unconditioned spaced; 1.071  represents the weighted average HCIF value from the PY19 Standard, SBDI, and BSS evaluation.</t>
        </r>
      </text>
    </comment>
    <comment ref="C97" authorId="0" shapeId="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F110" authorId="0" shapeId="0">
      <text>
        <r>
          <rPr>
            <sz val="9"/>
            <color indexed="81"/>
            <rFont val="Tahoma"/>
            <family val="2"/>
          </rPr>
          <t>Lighting_Controls Tables</t>
        </r>
      </text>
    </comment>
    <comment ref="G110" authorId="0" shapeId="0">
      <text>
        <r>
          <rPr>
            <sz val="9"/>
            <color indexed="81"/>
            <rFont val="Tahoma"/>
            <family val="2"/>
          </rPr>
          <t>Lighting Reference Table</t>
        </r>
      </text>
    </comment>
    <comment ref="H110" authorId="0" shapeId="0">
      <text>
        <r>
          <rPr>
            <sz val="9"/>
            <color indexed="81"/>
            <rFont val="Tahoma"/>
            <family val="2"/>
          </rPr>
          <t>Lighting_Controls Tables</t>
        </r>
      </text>
    </comment>
    <comment ref="I110" authorId="0" shapeId="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D113" authorId="0" shapeId="0">
      <text>
        <r>
          <rPr>
            <b/>
            <sz val="9"/>
            <color indexed="81"/>
            <rFont val="Tahoma"/>
            <family val="2"/>
          </rPr>
          <t>Lawrence Berkeley National Laboratory. A Meta-Analysis of Energy Savings from Lighting Controls in Commercial Buildings. Page &amp; Associates Inc. 2011.</t>
        </r>
      </text>
    </comment>
    <comment ref="K119" authorId="0" shapeId="0">
      <text>
        <r>
          <rPr>
            <b/>
            <sz val="9"/>
            <color indexed="81"/>
            <rFont val="Tahoma"/>
            <family val="2"/>
          </rPr>
          <t>the cost of all the variations of tubes is $29.64.  The average of the occ sensor incremental costs = ~$104.5 with assumption that 1 sensor would control 4 lamps, therefore the per lamp cost of the sensor is ~$26.12.  
 29.64+26.12=$55.76.  
Similarly, MH, used the average sensor cost and the average interior HID cost ~$262.22.</t>
        </r>
        <r>
          <rPr>
            <sz val="9"/>
            <color indexed="81"/>
            <rFont val="Tahoma"/>
            <family val="2"/>
          </rPr>
          <t xml:space="preserve">
</t>
        </r>
      </text>
    </comment>
    <comment ref="F136" authorId="0" shapeId="0">
      <text>
        <r>
          <rPr>
            <sz val="9"/>
            <color indexed="81"/>
            <rFont val="Tahoma"/>
            <family val="2"/>
          </rPr>
          <t>LED New and Baseline Assumptions</t>
        </r>
      </text>
    </comment>
    <comment ref="G136" authorId="0" shapeId="0">
      <text>
        <r>
          <rPr>
            <sz val="9"/>
            <color indexed="81"/>
            <rFont val="Tahoma"/>
            <family val="2"/>
          </rPr>
          <t>LED New and Baseline Assumptions</t>
        </r>
      </text>
    </comment>
    <comment ref="J136" authorId="0" shapeId="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D145" authorId="0" shapeId="0">
      <text>
        <r>
          <rPr>
            <b/>
            <sz val="9"/>
            <color indexed="81"/>
            <rFont val="Tahoma"/>
            <family val="2"/>
          </rPr>
          <t>Lawrence Berkeley National Laboratory. A Meta-Analysis of Energy Savings from Lighting Controls in Commercial Buildings. Page &amp; Associates Inc. 2011.</t>
        </r>
      </text>
    </comment>
    <comment ref="H178" authorId="0" shapeId="0">
      <text>
        <r>
          <rPr>
            <sz val="9"/>
            <color indexed="81"/>
            <rFont val="Tahoma"/>
            <family val="2"/>
          </rPr>
          <t>Refrigerator &amp; Freezer Tables</t>
        </r>
      </text>
    </comment>
    <comment ref="J178" authorId="0" shapeId="0">
      <text>
        <r>
          <rPr>
            <sz val="9"/>
            <color indexed="81"/>
            <rFont val="Tahoma"/>
            <family val="2"/>
          </rPr>
          <t>Refrigerator &amp; Freezer Tables</t>
        </r>
      </text>
    </comment>
    <comment ref="F230" authorId="0" shapeId="0">
      <text>
        <r>
          <rPr>
            <sz val="9"/>
            <color indexed="81"/>
            <rFont val="Tahoma"/>
            <family val="2"/>
          </rPr>
          <t>Heat Pump Water Heater Tables</t>
        </r>
      </text>
    </comment>
    <comment ref="H230" authorId="0" shapeId="0">
      <text>
        <r>
          <rPr>
            <sz val="9"/>
            <color indexed="81"/>
            <rFont val="Tahoma"/>
            <family val="2"/>
          </rPr>
          <t>Heat Pump Water Heater Tables</t>
        </r>
      </text>
    </comment>
    <comment ref="Q230" authorId="0" shapeId="0">
      <text>
        <r>
          <rPr>
            <sz val="9"/>
            <color indexed="81"/>
            <rFont val="Tahoma"/>
            <family val="2"/>
          </rPr>
          <t>Heat Pump Water Heater Tables</t>
        </r>
      </text>
    </comment>
    <comment ref="R230" authorId="0" shapeId="0">
      <text>
        <r>
          <rPr>
            <sz val="9"/>
            <color indexed="81"/>
            <rFont val="Tahoma"/>
            <family val="2"/>
          </rPr>
          <t>Heat Pump Water Heater Tables</t>
        </r>
      </text>
    </comment>
    <comment ref="S230" authorId="0" shapeId="0">
      <text>
        <r>
          <rPr>
            <sz val="9"/>
            <color indexed="81"/>
            <rFont val="Tahoma"/>
            <family val="2"/>
          </rPr>
          <t>Heat Pump Water Heater Tables</t>
        </r>
      </text>
    </comment>
    <comment ref="I252" authorId="0" shapeId="0">
      <text>
        <r>
          <rPr>
            <sz val="9"/>
            <color indexed="81"/>
            <rFont val="Tahoma"/>
            <family val="2"/>
          </rPr>
          <t>Average eff from energy.gov</t>
        </r>
      </text>
    </comment>
    <comment ref="K301" authorId="0" shapeId="0">
      <text>
        <r>
          <rPr>
            <sz val="9"/>
            <color indexed="81"/>
            <rFont val="Tahoma"/>
            <family val="2"/>
          </rPr>
          <t>Stm Cooker &amp; Holding Cab Tables</t>
        </r>
      </text>
    </comment>
    <comment ref="I322" authorId="0" shapeId="0">
      <text>
        <r>
          <rPr>
            <sz val="9"/>
            <color indexed="81"/>
            <rFont val="Tahoma"/>
            <family val="2"/>
          </rPr>
          <t>Stm Cooker &amp; Holding Cab Tables</t>
        </r>
      </text>
    </comment>
    <comment ref="N331" authorId="0" shapeId="0">
      <text>
        <r>
          <rPr>
            <sz val="9"/>
            <color indexed="81"/>
            <rFont val="Tahoma"/>
            <family val="2"/>
          </rPr>
          <t xml:space="preserve">remains in alignment with program data (PY20)
</t>
        </r>
      </text>
    </comment>
    <comment ref="E345" authorId="0" shapeId="0">
      <text>
        <r>
          <rPr>
            <b/>
            <sz val="9"/>
            <color indexed="81"/>
            <rFont val="Tahoma"/>
            <family val="2"/>
          </rPr>
          <t>Jun- 2020 Removed 1-75HP and adjusted to allow measures &gt;= 1HP</t>
        </r>
      </text>
    </comment>
    <comment ref="E346" authorId="0" shapeId="0">
      <text>
        <r>
          <rPr>
            <b/>
            <sz val="9"/>
            <color indexed="81"/>
            <rFont val="Tahoma"/>
            <family val="2"/>
          </rPr>
          <t>Jun- 2020 Removed 1-75HP and adjusted to allow measures &gt;= 1HP</t>
        </r>
      </text>
    </comment>
    <comment ref="H357" authorId="0" shapeId="0">
      <text>
        <r>
          <rPr>
            <sz val="9"/>
            <color indexed="81"/>
            <rFont val="Tahoma"/>
            <family val="2"/>
          </rPr>
          <t>Chilled_Hot Water Pump Tables</t>
        </r>
      </text>
    </comment>
    <comment ref="I357" authorId="0" shapeId="0">
      <text>
        <r>
          <rPr>
            <sz val="9"/>
            <color indexed="81"/>
            <rFont val="Tahoma"/>
            <family val="2"/>
          </rPr>
          <t>Chilled_Hot Water Pump Tables</t>
        </r>
      </text>
    </comment>
    <comment ref="E365" authorId="0" shapeId="0">
      <text>
        <r>
          <rPr>
            <b/>
            <sz val="9"/>
            <color indexed="81"/>
            <rFont val="Tahoma"/>
            <family val="2"/>
          </rPr>
          <t>Jun- 2020 Removed 1-75HP and adjusted to allow measures &gt;= 1HP</t>
        </r>
      </text>
    </comment>
    <comment ref="H390" authorId="0" shapeId="0">
      <text>
        <r>
          <rPr>
            <sz val="9"/>
            <color indexed="81"/>
            <rFont val="Tahoma"/>
            <family val="2"/>
          </rPr>
          <t>VFD Supply_Return Fan Tables</t>
        </r>
      </text>
    </comment>
    <comment ref="I390" authorId="0" shapeId="0">
      <text>
        <r>
          <rPr>
            <sz val="9"/>
            <color indexed="81"/>
            <rFont val="Tahoma"/>
            <family val="2"/>
          </rPr>
          <t>VFD Supply_Return Fan Tables</t>
        </r>
      </text>
    </comment>
    <comment ref="J390" authorId="0" shapeId="0">
      <text>
        <r>
          <rPr>
            <sz val="9"/>
            <color indexed="81"/>
            <rFont val="Tahoma"/>
            <family val="2"/>
          </rPr>
          <t>VFD Supply_Return Fan Tables</t>
        </r>
      </text>
    </comment>
    <comment ref="K390" authorId="0" shapeId="0">
      <text>
        <r>
          <rPr>
            <sz val="9"/>
            <color indexed="81"/>
            <rFont val="Tahoma"/>
            <family val="2"/>
          </rPr>
          <t>VFD Supply_Return Fan Tables</t>
        </r>
      </text>
    </comment>
    <comment ref="H391" authorId="0" shapeId="0">
      <text>
        <r>
          <rPr>
            <sz val="9"/>
            <color indexed="81"/>
            <rFont val="Tahoma"/>
            <family val="2"/>
          </rPr>
          <t>Assumed 20HP ODP 4-pole 1800RPM</t>
        </r>
      </text>
    </comment>
    <comment ref="E395" authorId="0" shapeId="0">
      <text>
        <r>
          <rPr>
            <sz val="9"/>
            <color indexed="81"/>
            <rFont val="Tahoma"/>
            <family val="2"/>
          </rPr>
          <t>changed name to include packaged and split sytems - aligns with Vol2 description</t>
        </r>
      </text>
    </comment>
    <comment ref="G408" authorId="0" shapeId="0">
      <text>
        <r>
          <rPr>
            <b/>
            <sz val="9"/>
            <color indexed="81"/>
            <rFont val="Tahoma"/>
            <family val="2"/>
          </rPr>
          <t>Author:</t>
        </r>
        <r>
          <rPr>
            <sz val="9"/>
            <color indexed="81"/>
            <rFont val="Tahoma"/>
            <family val="2"/>
          </rPr>
          <t xml:space="preserve">
IECC 2012, non-electric heating</t>
        </r>
      </text>
    </comment>
    <comment ref="DB416" authorId="0" shapeId="0">
      <text>
        <r>
          <rPr>
            <b/>
            <sz val="9"/>
            <color indexed="81"/>
            <rFont val="Tahoma"/>
            <family val="2"/>
          </rPr>
          <t xml:space="preserve">Opinion Dynamics: 
</t>
        </r>
        <r>
          <rPr>
            <sz val="9"/>
            <color indexed="81"/>
            <rFont val="Tahoma"/>
            <family val="2"/>
          </rPr>
          <t>Updated TRC calculation to include heating benefits</t>
        </r>
      </text>
    </comment>
    <comment ref="G432" authorId="0" shapeId="0">
      <text>
        <r>
          <rPr>
            <sz val="9"/>
            <color indexed="81"/>
            <rFont val="Tahoma"/>
            <family val="2"/>
          </rPr>
          <t>2009 IECC</t>
        </r>
      </text>
    </comment>
    <comment ref="I432" authorId="0" shapeId="0">
      <text>
        <r>
          <rPr>
            <sz val="9"/>
            <color indexed="81"/>
            <rFont val="Tahoma"/>
            <family val="2"/>
          </rPr>
          <t xml:space="preserve">2012 IECC
</t>
        </r>
      </text>
    </comment>
    <comment ref="N432" authorId="0" shapeId="0">
      <text>
        <r>
          <rPr>
            <sz val="9"/>
            <color indexed="81"/>
            <rFont val="Tahoma"/>
            <family val="2"/>
          </rPr>
          <t>2009 IECC</t>
        </r>
      </text>
    </comment>
    <comment ref="G433" authorId="0" shapeId="0">
      <text>
        <r>
          <rPr>
            <sz val="9"/>
            <color indexed="81"/>
            <rFont val="Tahoma"/>
            <family val="2"/>
          </rPr>
          <t>2009 IECC</t>
        </r>
      </text>
    </comment>
    <comment ref="H433" authorId="0" shapeId="0">
      <text>
        <r>
          <rPr>
            <sz val="9"/>
            <color indexed="81"/>
            <rFont val="Tahoma"/>
            <family val="2"/>
          </rPr>
          <t>2015 IECC (First 2)</t>
        </r>
      </text>
    </comment>
    <comment ref="N590" authorId="0" shapeId="0">
      <text>
        <r>
          <rPr>
            <b/>
            <sz val="9"/>
            <color indexed="81"/>
            <rFont val="Tahoma"/>
            <family val="2"/>
          </rPr>
          <t xml:space="preserve">Cut and pasted this entire section of inputs below the inputs above to allow room room for revision updates to the right of column "U" </t>
        </r>
      </text>
    </comment>
    <comment ref="C648" authorId="0" shapeId="0">
      <text>
        <r>
          <rPr>
            <b/>
            <sz val="9"/>
            <color indexed="81"/>
            <rFont val="Tahoma"/>
            <family val="2"/>
          </rPr>
          <t>Retired REF. IDS - June 2020:
805400</t>
        </r>
        <r>
          <rPr>
            <sz val="9"/>
            <color indexed="81"/>
            <rFont val="Tahoma"/>
            <family val="2"/>
          </rPr>
          <t xml:space="preserve">
Replaced with two New Measures 805405 &amp; 805410</t>
        </r>
      </text>
    </comment>
    <comment ref="G743" authorId="0" shapeId="0">
      <text>
        <r>
          <rPr>
            <sz val="9"/>
            <color indexed="81"/>
            <rFont val="Tahoma"/>
            <family val="2"/>
          </rPr>
          <t>Average of Table</t>
        </r>
      </text>
    </comment>
    <comment ref="H743" authorId="0" shapeId="0">
      <text>
        <r>
          <rPr>
            <sz val="9"/>
            <color indexed="81"/>
            <rFont val="Tahoma"/>
            <family val="2"/>
          </rPr>
          <t>Average of Table</t>
        </r>
      </text>
    </comment>
    <comment ref="V816" authorId="0" shapeId="0">
      <text>
        <r>
          <rPr>
            <b/>
            <sz val="9"/>
            <color indexed="81"/>
            <rFont val="Tahoma"/>
            <family val="2"/>
          </rPr>
          <t>New measure addded June 2020</t>
        </r>
        <r>
          <rPr>
            <sz val="9"/>
            <color indexed="81"/>
            <rFont val="Tahoma"/>
            <family val="2"/>
          </rPr>
          <t xml:space="preserve">
</t>
        </r>
      </text>
    </comment>
  </commentList>
</comments>
</file>

<file path=xl/comments11.xml><?xml version="1.0" encoding="utf-8"?>
<comments xmlns="http://schemas.openxmlformats.org/spreadsheetml/2006/main">
  <authors>
    <author>Author</author>
  </authors>
  <commentList>
    <comment ref="I6" authorId="0" shapeId="0">
      <text>
        <r>
          <rPr>
            <b/>
            <sz val="9"/>
            <color indexed="81"/>
            <rFont val="Tahoma"/>
            <family val="2"/>
          </rPr>
          <t xml:space="preserve">EO bucket for 1st year savings
</t>
        </r>
      </text>
    </comment>
    <comment ref="J6" authorId="0" shapeId="0">
      <text>
        <r>
          <rPr>
            <b/>
            <sz val="9"/>
            <color indexed="81"/>
            <rFont val="Tahoma"/>
            <family val="2"/>
          </rPr>
          <t xml:space="preserve">Author:
</t>
        </r>
      </text>
    </comment>
    <comment ref="K6" authorId="0" shapeId="0">
      <text>
        <r>
          <rPr>
            <b/>
            <sz val="9"/>
            <color indexed="81"/>
            <rFont val="Tahoma"/>
            <family val="2"/>
          </rPr>
          <t xml:space="preserve">Author:
</t>
        </r>
      </text>
    </comment>
    <comment ref="O6" authorId="0" shapeId="0">
      <text>
        <r>
          <rPr>
            <b/>
            <sz val="9"/>
            <color indexed="81"/>
            <rFont val="Tahoma"/>
            <family val="2"/>
          </rPr>
          <t xml:space="preserve">Author:
</t>
        </r>
      </text>
    </comment>
    <comment ref="P6" authorId="0" shapeId="0">
      <text>
        <r>
          <rPr>
            <b/>
            <sz val="9"/>
            <color indexed="81"/>
            <rFont val="Tahoma"/>
            <family val="2"/>
          </rPr>
          <t xml:space="preserve">Author:
</t>
        </r>
      </text>
    </comment>
    <comment ref="Q6" authorId="0" shapeId="0">
      <text>
        <r>
          <rPr>
            <b/>
            <sz val="9"/>
            <color indexed="81"/>
            <rFont val="Tahoma"/>
            <family val="2"/>
          </rPr>
          <t xml:space="preserve">Author:
</t>
        </r>
      </text>
    </comment>
    <comment ref="AC6" authorId="0" shapeId="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AO9" authorId="0" shapeId="0">
      <text>
        <r>
          <rPr>
            <b/>
            <sz val="9"/>
            <color indexed="81"/>
            <rFont val="Tahoma"/>
            <family val="2"/>
          </rPr>
          <t>Author:</t>
        </r>
        <r>
          <rPr>
            <sz val="9"/>
            <color indexed="81"/>
            <rFont val="Tahoma"/>
            <family val="2"/>
          </rPr>
          <t xml:space="preserve">
mix of res &amp; Bus lighting end use causes some variance</t>
        </r>
      </text>
    </comment>
  </commentList>
</comments>
</file>

<file path=xl/comments2.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W29" authorId="0" shapeId="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text>
        <r>
          <rPr>
            <b/>
            <sz val="9"/>
            <color indexed="81"/>
            <rFont val="Tahoma"/>
            <family val="2"/>
          </rPr>
          <t>Ameren TRM</t>
        </r>
      </text>
    </comment>
    <comment ref="D38" authorId="0" shapeId="0">
      <text>
        <r>
          <rPr>
            <sz val="9"/>
            <color indexed="81"/>
            <rFont val="Tahoma"/>
            <family val="2"/>
          </rPr>
          <t xml:space="preserve">Changed these from descriptions to actual factors in the equation - just formating change no update to the values or how they were used
</t>
        </r>
      </text>
    </comment>
    <comment ref="W45" authorId="0" shapeId="0">
      <text>
        <r>
          <rPr>
            <b/>
            <sz val="9"/>
            <color indexed="81"/>
            <rFont val="Tahoma"/>
            <family val="2"/>
          </rPr>
          <t>Infiltration Factor Calculation Methodology by Bruce Harley, Senior Manager, Applied Building Science, CLEAResult 11/18/2015</t>
        </r>
      </text>
    </comment>
    <comment ref="X47" authorId="0" shapeId="0">
      <text>
        <r>
          <rPr>
            <b/>
            <sz val="9"/>
            <color indexed="81"/>
            <rFont val="Tahoma"/>
            <family val="2"/>
          </rPr>
          <t>PY16 Efficient Products Survey Results (customers with HPWH)</t>
        </r>
        <r>
          <rPr>
            <sz val="9"/>
            <color indexed="81"/>
            <rFont val="Tahoma"/>
            <family val="2"/>
          </rPr>
          <t xml:space="preserve">
</t>
        </r>
      </text>
    </comment>
    <comment ref="X48" authorId="0" shapeId="0">
      <text>
        <r>
          <rPr>
            <b/>
            <sz val="9"/>
            <color indexed="81"/>
            <rFont val="Tahoma"/>
            <family val="2"/>
          </rPr>
          <t>PY16 Efficient Products Survey Results (customers with HPWH)</t>
        </r>
        <r>
          <rPr>
            <sz val="9"/>
            <color indexed="81"/>
            <rFont val="Tahoma"/>
            <family val="2"/>
          </rPr>
          <t xml:space="preserve">
</t>
        </r>
      </text>
    </comment>
    <comment ref="F7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F7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W107" authorId="0" shapeId="0">
      <text>
        <r>
          <rPr>
            <b/>
            <sz val="9"/>
            <color indexed="81"/>
            <rFont val="Tahoma"/>
            <family val="2"/>
          </rPr>
          <t>St Louis - Heat Pump- MO TRM</t>
        </r>
        <r>
          <rPr>
            <sz val="9"/>
            <color indexed="81"/>
            <rFont val="Tahoma"/>
            <family val="2"/>
          </rPr>
          <t xml:space="preserve">
</t>
        </r>
      </text>
    </comment>
    <comment ref="X107" authorId="0" shapeId="0">
      <text>
        <r>
          <rPr>
            <sz val="9"/>
            <color indexed="81"/>
            <rFont val="Tahoma"/>
            <family val="2"/>
          </rPr>
          <t xml:space="preserve">Filterd data on "Cooling"  for Heat Pump measures - took average
</t>
        </r>
      </text>
    </comment>
    <comment ref="Y107" authorId="0" shapeId="0">
      <text>
        <r>
          <rPr>
            <sz val="9"/>
            <color indexed="81"/>
            <rFont val="Tahoma"/>
            <family val="2"/>
          </rPr>
          <t xml:space="preserve"> updated values by filtering thermostat data by heating/cooling type.</t>
        </r>
      </text>
    </comment>
    <comment ref="W110" authorId="0" shapeId="0">
      <text>
        <r>
          <rPr>
            <b/>
            <sz val="9"/>
            <color indexed="81"/>
            <rFont val="Tahoma"/>
            <family val="2"/>
          </rPr>
          <t>St Louis - Resistance - MO TRM</t>
        </r>
        <r>
          <rPr>
            <sz val="9"/>
            <color indexed="81"/>
            <rFont val="Tahoma"/>
            <family val="2"/>
          </rPr>
          <t xml:space="preserve">
</t>
        </r>
      </text>
    </comment>
    <comment ref="W112" authorId="0" shapeId="0">
      <text>
        <r>
          <rPr>
            <b/>
            <sz val="9"/>
            <color indexed="81"/>
            <rFont val="Tahoma"/>
            <family val="2"/>
          </rPr>
          <t xml:space="preserve">St Louis - Resistance - MO TRM
</t>
        </r>
        <r>
          <rPr>
            <sz val="9"/>
            <color indexed="81"/>
            <rFont val="Tahoma"/>
            <family val="2"/>
          </rPr>
          <t xml:space="preserve">
</t>
        </r>
      </text>
    </comment>
    <comment ref="X116" authorId="0" shapeId="0">
      <text>
        <r>
          <rPr>
            <sz val="9"/>
            <color indexed="81"/>
            <rFont val="Tahoma"/>
            <family val="2"/>
          </rPr>
          <t xml:space="preserve">If you exclude gas systems from Gas data, this average value is 12,382.71  Used this value as gas measures have own line item (set as "0")
</t>
        </r>
      </text>
    </comment>
    <comment ref="W127" authorId="0" shapeId="0">
      <text>
        <r>
          <rPr>
            <b/>
            <sz val="9"/>
            <color indexed="81"/>
            <rFont val="Tahoma"/>
            <family val="2"/>
          </rPr>
          <t>MO - TRM</t>
        </r>
      </text>
    </comment>
    <comment ref="X127" authorId="0" shapeId="0">
      <text>
        <r>
          <rPr>
            <sz val="9"/>
            <color indexed="81"/>
            <rFont val="Tahoma"/>
            <family val="2"/>
          </rPr>
          <t>This is a weighted average of the types shown in the Word TRM document
Frequency was 41,55,4</t>
        </r>
      </text>
    </comment>
    <comment ref="F132" authorId="0" shapeId="0">
      <text>
        <r>
          <rPr>
            <sz val="11"/>
            <color theme="1"/>
            <rFont val="Calibri"/>
            <family val="2"/>
            <scheme val="minor"/>
          </rPr>
          <t xml:space="preserve">
    Cell not referenced in this tab, but added the results of the HVAC evaluation.</t>
        </r>
      </text>
    </comment>
    <comment ref="AB13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Cell not referenced in this tab, but added the results of the HVAC evaluation.</t>
        </r>
      </text>
    </comment>
    <comment ref="AC132" authorId="0" shapeId="0">
      <text>
        <r>
          <rPr>
            <sz val="11"/>
            <color theme="1"/>
            <rFont val="Calibri"/>
            <family val="2"/>
            <scheme val="minor"/>
          </rPr>
          <t xml:space="preserve">
    Cell not referenced in this tab, but added the results of the HVAC evaluation.</t>
        </r>
      </text>
    </comment>
    <comment ref="F15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53" authorId="0" shapeId="0">
      <text>
        <r>
          <rPr>
            <sz val="9"/>
            <color indexed="81"/>
            <rFont val="Tahoma"/>
            <family val="2"/>
          </rPr>
          <t>Used default value for MF (SF x 65%)</t>
        </r>
      </text>
    </comment>
    <comment ref="Y153" authorId="0" shapeId="0">
      <text>
        <r>
          <rPr>
            <sz val="9"/>
            <color indexed="81"/>
            <rFont val="Tahoma"/>
            <family val="2"/>
          </rPr>
          <t xml:space="preserve">Corrected  to match SF value - The 65% factor is being applied to adjust SF capacities &amp;  heating consumption downward for MF to calculate savings
</t>
        </r>
      </text>
    </comment>
    <comment ref="AC15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W162" authorId="0" shapeId="0">
      <text>
        <r>
          <rPr>
            <b/>
            <sz val="9"/>
            <color indexed="81"/>
            <rFont val="Tahoma"/>
            <family val="2"/>
          </rPr>
          <t>MO - TRM</t>
        </r>
      </text>
    </comment>
    <comment ref="G256" authorId="0" shapeId="0">
      <text>
        <r>
          <rPr>
            <sz val="9"/>
            <color indexed="81"/>
            <rFont val="Tahoma"/>
            <family val="2"/>
          </rPr>
          <t>PY2018 Evaluation updated to HVAC RES end use in calculations. Previously: Miscellaneous RES</t>
        </r>
      </text>
    </comment>
    <comment ref="W265" authorId="0" shapeId="0">
      <text>
        <r>
          <rPr>
            <b/>
            <sz val="9"/>
            <color indexed="81"/>
            <rFont val="Tahoma"/>
            <family val="2"/>
          </rPr>
          <t>PY16 EfficientProducts Database - Average CADR/Watt, updated Mar 2017</t>
        </r>
        <r>
          <rPr>
            <sz val="9"/>
            <color indexed="81"/>
            <rFont val="Tahoma"/>
            <family val="2"/>
          </rPr>
          <t xml:space="preserve">
</t>
        </r>
      </text>
    </comment>
    <comment ref="X265" authorId="0" shapeId="0">
      <text>
        <r>
          <rPr>
            <b/>
            <sz val="9"/>
            <color indexed="81"/>
            <rFont val="Tahoma"/>
            <family val="2"/>
          </rPr>
          <t>PY17 EfficientProducts Database</t>
        </r>
      </text>
    </comment>
    <comment ref="W267"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67" authorId="0" shapeId="0">
      <text>
        <r>
          <rPr>
            <b/>
            <sz val="9"/>
            <color indexed="81"/>
            <rFont val="Tahoma"/>
            <family val="2"/>
          </rPr>
          <t>PY17 EfficientProducts Database</t>
        </r>
        <r>
          <rPr>
            <sz val="9"/>
            <color indexed="81"/>
            <rFont val="Tahoma"/>
            <family val="2"/>
          </rPr>
          <t xml:space="preserve">
</t>
        </r>
      </text>
    </comment>
    <comment ref="W269"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69" authorId="0" shapeId="0">
      <text>
        <r>
          <rPr>
            <b/>
            <sz val="9"/>
            <color indexed="81"/>
            <rFont val="Tahoma"/>
            <family val="2"/>
          </rPr>
          <t>PY17 EfficientProducts Database</t>
        </r>
        <r>
          <rPr>
            <sz val="9"/>
            <color indexed="81"/>
            <rFont val="Tahoma"/>
            <family val="2"/>
          </rPr>
          <t xml:space="preserve">
</t>
        </r>
      </text>
    </comment>
    <comment ref="E287" authorId="0" shapeId="0">
      <text>
        <r>
          <rPr>
            <b/>
            <sz val="9"/>
            <color indexed="81"/>
            <rFont val="Tahoma"/>
            <family val="2"/>
          </rPr>
          <t>THESE CATEGORIES WERE TITLED WRONG - SIMPLY FLIPPED THE NAMES TOP TO BOTTOM</t>
        </r>
      </text>
    </comment>
    <comment ref="W318" authorId="0" shapeId="0">
      <text>
        <r>
          <rPr>
            <b/>
            <sz val="9"/>
            <color indexed="81"/>
            <rFont val="Tahoma"/>
            <family val="2"/>
          </rPr>
          <t>PY13 RebateSavers Database (average BTU)</t>
        </r>
        <r>
          <rPr>
            <sz val="9"/>
            <color indexed="81"/>
            <rFont val="Tahoma"/>
            <family val="2"/>
          </rPr>
          <t xml:space="preserve">
</t>
        </r>
      </text>
    </comment>
    <comment ref="W319" authorId="0" shapeId="0">
      <text>
        <r>
          <rPr>
            <b/>
            <sz val="9"/>
            <color indexed="81"/>
            <rFont val="Tahoma"/>
            <family val="2"/>
          </rPr>
          <t>Federal minimum efficiency standard (updated from EER to CEER in March 2017)</t>
        </r>
        <r>
          <rPr>
            <sz val="9"/>
            <color indexed="81"/>
            <rFont val="Tahoma"/>
            <family val="2"/>
          </rPr>
          <t xml:space="preserve">
</t>
        </r>
      </text>
    </comment>
    <comment ref="X319" authorId="0" shapeId="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22"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322" authorId="0" shapeId="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3.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9" authorId="0" shapeId="0">
      <text>
        <r>
          <rPr>
            <b/>
            <sz val="9"/>
            <color indexed="81"/>
            <rFont val="Tahoma"/>
            <family val="2"/>
          </rPr>
          <t>Appliance Recycling Program</t>
        </r>
      </text>
    </comment>
    <comment ref="X41"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D50" authorId="0" shapeId="0">
      <text>
        <r>
          <rPr>
            <b/>
            <sz val="9"/>
            <color indexed="81"/>
            <rFont val="Tahoma"/>
            <family val="2"/>
          </rPr>
          <t>Appliance Recycling Program</t>
        </r>
      </text>
    </comment>
    <comment ref="C53" authorId="0" shapeId="0">
      <text>
        <r>
          <rPr>
            <b/>
            <sz val="9"/>
            <color indexed="81"/>
            <rFont val="Tahoma"/>
            <family val="2"/>
          </rPr>
          <t>Author:</t>
        </r>
        <r>
          <rPr>
            <sz val="9"/>
            <color indexed="81"/>
            <rFont val="Tahoma"/>
            <family val="2"/>
          </rPr>
          <t xml:space="preserve">
in NOV 2019 TRM update this value was 2018_12 and should have been changed to 2019_12</t>
        </r>
      </text>
    </comment>
    <comment ref="AB84" authorId="0" shapeId="0">
      <text>
        <r>
          <rPr>
            <b/>
            <sz val="9"/>
            <color indexed="81"/>
            <rFont val="Tahoma"/>
            <family val="2"/>
          </rPr>
          <t>changed to take hours and days into account to match to formats of other deemed tables</t>
        </r>
      </text>
    </comment>
    <comment ref="W88" authorId="0" shapeId="0">
      <text>
        <r>
          <rPr>
            <b/>
            <sz val="9"/>
            <color indexed="81"/>
            <rFont val="Tahoma"/>
            <family val="2"/>
          </rPr>
          <t>PY16 Engineering Simulation Modeling adjusted for heating and cooling saturations</t>
        </r>
      </text>
    </comment>
    <comment ref="W90" authorId="0" shapeId="0">
      <text>
        <r>
          <rPr>
            <b/>
            <sz val="9"/>
            <color indexed="81"/>
            <rFont val="Tahoma"/>
            <family val="2"/>
          </rPr>
          <t xml:space="preserve">PY16 Energy Efficiency Kits School Survey Results </t>
        </r>
        <r>
          <rPr>
            <sz val="9"/>
            <color indexed="81"/>
            <rFont val="Tahoma"/>
            <family val="2"/>
          </rPr>
          <t xml:space="preserve">
</t>
        </r>
      </text>
    </comment>
    <comment ref="W94" authorId="0" shapeId="0">
      <text>
        <r>
          <rPr>
            <b/>
            <sz val="9"/>
            <color indexed="81"/>
            <rFont val="Tahoma"/>
            <family val="2"/>
          </rPr>
          <t xml:space="preserve">PY16 Energy Efficiency Kits School Survey Results </t>
        </r>
        <r>
          <rPr>
            <sz val="9"/>
            <color indexed="81"/>
            <rFont val="Tahoma"/>
            <family val="2"/>
          </rPr>
          <t xml:space="preserve">
</t>
        </r>
      </text>
    </comment>
    <comment ref="D106" authorId="0" shapeId="0">
      <text>
        <r>
          <rPr>
            <b/>
            <sz val="9"/>
            <color indexed="81"/>
            <rFont val="Tahoma"/>
            <family val="2"/>
          </rPr>
          <t>Appliance Recycling Program</t>
        </r>
      </text>
    </comment>
    <comment ref="W118" authorId="0" shapeId="0">
      <text>
        <r>
          <rPr>
            <b/>
            <sz val="9"/>
            <color indexed="81"/>
            <rFont val="Tahoma"/>
            <family val="2"/>
          </rPr>
          <t>PY16 Energy Efficiency Kits School Survey Results</t>
        </r>
        <r>
          <rPr>
            <sz val="9"/>
            <color indexed="81"/>
            <rFont val="Tahoma"/>
            <family val="2"/>
          </rPr>
          <t xml:space="preserve">
</t>
        </r>
      </text>
    </comment>
    <comment ref="W129" authorId="0" shapeId="0">
      <text>
        <r>
          <rPr>
            <b/>
            <sz val="9"/>
            <color indexed="81"/>
            <rFont val="Tahoma"/>
            <family val="2"/>
          </rPr>
          <t>PY16 Energy Efficiency Kits School Survey Results</t>
        </r>
        <r>
          <rPr>
            <sz val="9"/>
            <color indexed="81"/>
            <rFont val="Tahoma"/>
            <family val="2"/>
          </rPr>
          <t xml:space="preserve">
</t>
        </r>
      </text>
    </comment>
    <comment ref="W145" authorId="0" shapeId="0">
      <text>
        <r>
          <rPr>
            <b/>
            <sz val="9"/>
            <color indexed="81"/>
            <rFont val="Tahoma"/>
            <family val="2"/>
          </rPr>
          <t>PY16 Energy Efficiency Kits School Survey Results</t>
        </r>
        <r>
          <rPr>
            <sz val="9"/>
            <color indexed="81"/>
            <rFont val="Tahoma"/>
            <family val="2"/>
          </rPr>
          <t xml:space="preserve">
</t>
        </r>
      </text>
    </comment>
    <comment ref="W147" authorId="0" shapeId="0">
      <text>
        <r>
          <rPr>
            <b/>
            <sz val="9"/>
            <color indexed="81"/>
            <rFont val="Tahoma"/>
            <family val="2"/>
          </rPr>
          <t>PY16 Energy Efficiency Kits School Survey Results</t>
        </r>
        <r>
          <rPr>
            <sz val="9"/>
            <color indexed="81"/>
            <rFont val="Tahoma"/>
            <family val="2"/>
          </rPr>
          <t xml:space="preserve">
</t>
        </r>
      </text>
    </comment>
    <comment ref="D158" authorId="0" shapeId="0">
      <text>
        <r>
          <rPr>
            <b/>
            <sz val="9"/>
            <color indexed="81"/>
            <rFont val="Tahoma"/>
            <family val="2"/>
          </rPr>
          <t>Appliance Recycling Program</t>
        </r>
      </text>
    </comment>
    <comment ref="W170" authorId="0" shapeId="0">
      <text>
        <r>
          <rPr>
            <b/>
            <sz val="9"/>
            <color indexed="81"/>
            <rFont val="Tahoma"/>
            <family val="2"/>
          </rPr>
          <t xml:space="preserve">PY16 Energy Efficiency Kits School Survey Results </t>
        </r>
        <r>
          <rPr>
            <sz val="9"/>
            <color indexed="81"/>
            <rFont val="Tahoma"/>
            <family val="2"/>
          </rPr>
          <t xml:space="preserve">
</t>
        </r>
      </text>
    </comment>
    <comment ref="W179" authorId="0" shapeId="0">
      <text>
        <r>
          <rPr>
            <b/>
            <sz val="9"/>
            <color indexed="81"/>
            <rFont val="Tahoma"/>
            <family val="2"/>
          </rPr>
          <t xml:space="preserve">PY16 Energy Efficiency Kits School Survey Results </t>
        </r>
        <r>
          <rPr>
            <sz val="9"/>
            <color indexed="81"/>
            <rFont val="Tahoma"/>
            <family val="2"/>
          </rPr>
          <t xml:space="preserve">
</t>
        </r>
      </text>
    </comment>
    <comment ref="W186" authorId="0" shapeId="0">
      <text>
        <r>
          <rPr>
            <b/>
            <sz val="9"/>
            <color indexed="81"/>
            <rFont val="Tahoma"/>
            <family val="2"/>
          </rPr>
          <t xml:space="preserve">PY16 Energy Efficiency Kits School Survey Results </t>
        </r>
        <r>
          <rPr>
            <sz val="9"/>
            <color indexed="81"/>
            <rFont val="Tahoma"/>
            <family val="2"/>
          </rPr>
          <t xml:space="preserve">
</t>
        </r>
      </text>
    </comment>
    <comment ref="W196" authorId="0" shapeId="0">
      <text>
        <r>
          <rPr>
            <b/>
            <sz val="9"/>
            <color indexed="81"/>
            <rFont val="Tahoma"/>
            <family val="2"/>
          </rPr>
          <t xml:space="preserve">PY16 Energy Efficiency Kits School Survey Results </t>
        </r>
      </text>
    </comment>
    <comment ref="W198" authorId="0" shapeId="0">
      <text>
        <r>
          <rPr>
            <b/>
            <sz val="9"/>
            <color indexed="81"/>
            <rFont val="Tahoma"/>
            <family val="2"/>
          </rPr>
          <t xml:space="preserve">PY16 Energy Efficiency Kits School Survey Results </t>
        </r>
        <r>
          <rPr>
            <sz val="9"/>
            <color indexed="81"/>
            <rFont val="Tahoma"/>
            <family val="2"/>
          </rPr>
          <t xml:space="preserve">
</t>
        </r>
      </text>
    </comment>
    <comment ref="D210" authorId="0" shapeId="0">
      <text>
        <r>
          <rPr>
            <b/>
            <sz val="9"/>
            <color indexed="81"/>
            <rFont val="Tahoma"/>
            <family val="2"/>
          </rPr>
          <t>Appliance Recycling Program</t>
        </r>
      </text>
    </comment>
    <comment ref="W222" authorId="0" shapeId="0">
      <text>
        <r>
          <rPr>
            <b/>
            <sz val="9"/>
            <color indexed="81"/>
            <rFont val="Tahoma"/>
            <family val="2"/>
          </rPr>
          <t>PY16 Energy Efficiency Kits School Survey Results</t>
        </r>
        <r>
          <rPr>
            <sz val="9"/>
            <color indexed="81"/>
            <rFont val="Tahoma"/>
            <family val="2"/>
          </rPr>
          <t xml:space="preserve">
</t>
        </r>
      </text>
    </comment>
    <comment ref="W232" authorId="0" shapeId="0">
      <text>
        <r>
          <rPr>
            <b/>
            <sz val="9"/>
            <color indexed="81"/>
            <rFont val="Tahoma"/>
            <family val="2"/>
          </rPr>
          <t>PY16 Energy Efficiency Kits School Survey Results </t>
        </r>
        <r>
          <rPr>
            <sz val="9"/>
            <color indexed="81"/>
            <rFont val="Tahoma"/>
            <family val="2"/>
          </rPr>
          <t xml:space="preserve">
</t>
        </r>
      </text>
    </comment>
    <comment ref="W239" authorId="0" shapeId="0">
      <text>
        <r>
          <rPr>
            <b/>
            <sz val="9"/>
            <color indexed="81"/>
            <rFont val="Tahoma"/>
            <family val="2"/>
          </rPr>
          <t>PY16 Energy Efficiency Kits School Survey Results </t>
        </r>
      </text>
    </comment>
    <comment ref="W248" authorId="0" shapeId="0">
      <text>
        <r>
          <rPr>
            <b/>
            <sz val="9"/>
            <color indexed="81"/>
            <rFont val="Tahoma"/>
            <family val="2"/>
          </rPr>
          <t>PY16 Energy Efficiency Kits School Survey Results </t>
        </r>
        <r>
          <rPr>
            <sz val="9"/>
            <color indexed="81"/>
            <rFont val="Tahoma"/>
            <family val="2"/>
          </rPr>
          <t xml:space="preserve">
</t>
        </r>
      </text>
    </comment>
    <comment ref="W250" authorId="0" shapeId="0">
      <text>
        <r>
          <rPr>
            <b/>
            <sz val="9"/>
            <color indexed="81"/>
            <rFont val="Tahoma"/>
            <family val="2"/>
          </rPr>
          <t>PY16 Energy Efficiency Kits School Survey Results </t>
        </r>
        <r>
          <rPr>
            <sz val="9"/>
            <color indexed="81"/>
            <rFont val="Tahoma"/>
            <family val="2"/>
          </rPr>
          <t xml:space="preserve">
</t>
        </r>
      </text>
    </comment>
    <comment ref="D261" authorId="0" shapeId="0">
      <text>
        <r>
          <rPr>
            <b/>
            <sz val="9"/>
            <color indexed="81"/>
            <rFont val="Tahoma"/>
            <family val="2"/>
          </rPr>
          <t>Appliance Recycling Program</t>
        </r>
      </text>
    </comment>
    <comment ref="W283" authorId="0" shapeId="0">
      <text>
        <r>
          <rPr>
            <b/>
            <sz val="9"/>
            <color indexed="81"/>
            <rFont val="Tahoma"/>
            <family val="2"/>
          </rPr>
          <t xml:space="preserve">PY16 Energy Efficiency Kits School Survey Results </t>
        </r>
        <r>
          <rPr>
            <sz val="9"/>
            <color indexed="81"/>
            <rFont val="Tahoma"/>
            <family val="2"/>
          </rPr>
          <t xml:space="preserve">
</t>
        </r>
      </text>
    </comment>
    <comment ref="W286" authorId="0" shapeId="0">
      <text>
        <r>
          <rPr>
            <b/>
            <sz val="9"/>
            <color indexed="81"/>
            <rFont val="Tahoma"/>
            <family val="2"/>
          </rPr>
          <t xml:space="preserve">PY16 Energy Efficiency Kits School Survey Results </t>
        </r>
        <r>
          <rPr>
            <sz val="9"/>
            <color indexed="81"/>
            <rFont val="Tahoma"/>
            <family val="2"/>
          </rPr>
          <t xml:space="preserve">
</t>
        </r>
      </text>
    </comment>
    <comment ref="AI286" authorId="0" shapeId="0">
      <text>
        <r>
          <rPr>
            <b/>
            <sz val="9"/>
            <color indexed="81"/>
            <rFont val="Tahoma"/>
            <family val="2"/>
          </rPr>
          <t>Assumption based on program design</t>
        </r>
        <r>
          <rPr>
            <sz val="9"/>
            <color indexed="81"/>
            <rFont val="Tahoma"/>
            <family val="2"/>
          </rPr>
          <t xml:space="preserve">
</t>
        </r>
      </text>
    </comment>
    <comment ref="D301" authorId="0" shapeId="0">
      <text>
        <r>
          <rPr>
            <b/>
            <sz val="9"/>
            <color indexed="81"/>
            <rFont val="Tahoma"/>
            <family val="2"/>
          </rPr>
          <t>Not specific to MF/SF, etc.</t>
        </r>
        <r>
          <rPr>
            <sz val="9"/>
            <color indexed="81"/>
            <rFont val="Tahoma"/>
            <family val="2"/>
          </rPr>
          <t xml:space="preserve">
</t>
        </r>
      </text>
    </comment>
  </commentList>
</comments>
</file>

<file path=xl/comments4.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7" authorId="0" shapeId="0">
      <text>
        <r>
          <rPr>
            <b/>
            <sz val="9"/>
            <color indexed="81"/>
            <rFont val="Tahoma"/>
            <family val="2"/>
          </rPr>
          <t>Previously listed as SF/SFLI
MF/MLI</t>
        </r>
        <r>
          <rPr>
            <sz val="9"/>
            <color indexed="81"/>
            <rFont val="Tahoma"/>
            <family val="2"/>
          </rPr>
          <t xml:space="preserve">
</t>
        </r>
      </text>
    </comment>
    <comment ref="E53" authorId="0" shapeId="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53" authorId="0" shapeId="0">
      <text>
        <r>
          <rPr>
            <b/>
            <sz val="9"/>
            <color indexed="81"/>
            <rFont val="Tahoma"/>
            <family val="2"/>
          </rPr>
          <t>This value is not new just including it in the input table (previously only shown in the equation)</t>
        </r>
      </text>
    </comment>
    <comment ref="Y54" authorId="0" shapeId="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8" authorId="0" shapeId="0">
      <text>
        <r>
          <rPr>
            <b/>
            <sz val="9"/>
            <color indexed="81"/>
            <rFont val="Tahoma"/>
            <family val="2"/>
          </rPr>
          <t>This value is not new just including it in the input table (previously only shown in the equation)</t>
        </r>
      </text>
    </comment>
    <comment ref="I69" authorId="0" shapeId="0">
      <text>
        <r>
          <rPr>
            <sz val="12"/>
            <color indexed="81"/>
            <rFont val="Tahoma"/>
            <family val="2"/>
          </rPr>
          <t xml:space="preserve">THIS VALUE SHOULD REMAIN 1215 
The formula compares uses a ratio of the Wisconsin vs St. Louis values </t>
        </r>
      </text>
    </comment>
    <comment ref="X69" authorId="0" shapeId="0">
      <text>
        <r>
          <rPr>
            <sz val="12"/>
            <color indexed="81"/>
            <rFont val="Tahoma"/>
            <family val="2"/>
          </rPr>
          <t xml:space="preserve">THIS VALUE SHOULD REMAIN 1215 
The formula compares uses a ratio of the Wisconsin vs St. Louis values </t>
        </r>
      </text>
    </comment>
    <comment ref="Y69" authorId="0" shapeId="0">
      <text>
        <r>
          <rPr>
            <sz val="12"/>
            <color indexed="81"/>
            <rFont val="Tahoma"/>
            <family val="2"/>
          </rPr>
          <t xml:space="preserve">This values should remain 1215 
The formula compares a ratio of the Wisconsin vs St. Louis values </t>
        </r>
      </text>
    </comment>
    <comment ref="I76" authorId="0" shapeId="0">
      <text>
        <r>
          <rPr>
            <sz val="12"/>
            <color indexed="81"/>
            <rFont val="Tahoma"/>
            <family val="2"/>
          </rPr>
          <t>SEE NOTE IN CELL "E62"</t>
        </r>
      </text>
    </comment>
    <comment ref="X76" authorId="0" shapeId="0">
      <text>
        <r>
          <rPr>
            <sz val="12"/>
            <color indexed="81"/>
            <rFont val="Tahoma"/>
            <family val="2"/>
          </rPr>
          <t>SEE NOTE IN CELL "E62"</t>
        </r>
      </text>
    </comment>
    <comment ref="Y76" authorId="0" shapeId="0">
      <text>
        <r>
          <rPr>
            <sz val="12"/>
            <color indexed="81"/>
            <rFont val="Tahoma"/>
            <family val="2"/>
          </rPr>
          <t>SEE NOTE IN CELL "E62"</t>
        </r>
      </text>
    </comment>
    <comment ref="Q97" authorId="0" shapeId="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Q203" authorId="0" shapeId="0">
      <text>
        <r>
          <rPr>
            <b/>
            <sz val="9"/>
            <color indexed="81"/>
            <rFont val="Tahoma"/>
            <family val="2"/>
          </rPr>
          <t>discount factor =  (1+discount rate)^(1/3 EUL-1).    year 1 is considered to be when the measure is installed and therefore do not discount “period 1”.</t>
        </r>
      </text>
    </comment>
    <comment ref="X206" authorId="0" shapeId="0">
      <text>
        <r>
          <rPr>
            <b/>
            <sz val="9"/>
            <color indexed="81"/>
            <rFont val="Tahoma"/>
            <family val="2"/>
          </rPr>
          <t>update from Community Savers - ADM</t>
        </r>
        <r>
          <rPr>
            <sz val="9"/>
            <color indexed="81"/>
            <rFont val="Tahoma"/>
            <family val="2"/>
          </rPr>
          <t xml:space="preserve">
</t>
        </r>
      </text>
    </comment>
    <comment ref="X207" authorId="0" shapeId="0">
      <text>
        <r>
          <rPr>
            <b/>
            <sz val="9"/>
            <color indexed="81"/>
            <rFont val="Tahoma"/>
            <family val="2"/>
          </rPr>
          <t>update from Community Savers - ADM</t>
        </r>
        <r>
          <rPr>
            <sz val="9"/>
            <color indexed="81"/>
            <rFont val="Tahoma"/>
            <family val="2"/>
          </rPr>
          <t xml:space="preserve">
</t>
        </r>
      </text>
    </comment>
    <comment ref="X210"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X216" authorId="0" shapeId="0">
      <text>
        <r>
          <rPr>
            <b/>
            <sz val="9"/>
            <color indexed="81"/>
            <rFont val="Tahoma"/>
            <family val="2"/>
          </rPr>
          <t>update from Community Savers - ADM</t>
        </r>
        <r>
          <rPr>
            <sz val="9"/>
            <color indexed="81"/>
            <rFont val="Tahoma"/>
            <family val="2"/>
          </rPr>
          <t xml:space="preserve">
</t>
        </r>
      </text>
    </comment>
    <comment ref="X219" authorId="0" shapeId="0">
      <text>
        <r>
          <rPr>
            <b/>
            <sz val="9"/>
            <color indexed="81"/>
            <rFont val="Tahoma"/>
            <family val="2"/>
          </rPr>
          <t>update from Community Savers - ADM</t>
        </r>
        <r>
          <rPr>
            <sz val="9"/>
            <color indexed="81"/>
            <rFont val="Tahoma"/>
            <family val="2"/>
          </rPr>
          <t xml:space="preserve">
</t>
        </r>
      </text>
    </comment>
    <comment ref="X224" authorId="0" shapeId="0">
      <text>
        <r>
          <rPr>
            <b/>
            <sz val="9"/>
            <color indexed="81"/>
            <rFont val="Tahoma"/>
            <family val="2"/>
          </rPr>
          <t>update from Community Savers - ADM</t>
        </r>
        <r>
          <rPr>
            <sz val="9"/>
            <color indexed="81"/>
            <rFont val="Tahoma"/>
            <family val="2"/>
          </rPr>
          <t xml:space="preserve">
</t>
        </r>
      </text>
    </comment>
    <comment ref="X225" authorId="0" shapeId="0">
      <text>
        <r>
          <rPr>
            <b/>
            <sz val="9"/>
            <color indexed="81"/>
            <rFont val="Tahoma"/>
            <family val="2"/>
          </rPr>
          <t>update from Community Savers - ADM</t>
        </r>
        <r>
          <rPr>
            <sz val="9"/>
            <color indexed="81"/>
            <rFont val="Tahoma"/>
            <family val="2"/>
          </rPr>
          <t xml:space="preserve">
</t>
        </r>
      </text>
    </comment>
    <comment ref="X228" authorId="0" shapeId="0">
      <text>
        <r>
          <rPr>
            <b/>
            <sz val="9"/>
            <color indexed="81"/>
            <rFont val="Tahoma"/>
            <family val="2"/>
          </rPr>
          <t>update from Community Savers - ADM</t>
        </r>
        <r>
          <rPr>
            <sz val="9"/>
            <color indexed="81"/>
            <rFont val="Tahoma"/>
            <family val="2"/>
          </rPr>
          <t xml:space="preserve">
</t>
        </r>
      </text>
    </comment>
    <comment ref="X278" authorId="0" shapeId="0">
      <text>
        <r>
          <rPr>
            <b/>
            <sz val="9"/>
            <color indexed="81"/>
            <rFont val="Tahoma"/>
            <family val="2"/>
          </rPr>
          <t>update from Community Savers - ADM</t>
        </r>
        <r>
          <rPr>
            <sz val="9"/>
            <color indexed="81"/>
            <rFont val="Tahoma"/>
            <family val="2"/>
          </rPr>
          <t xml:space="preserve">
</t>
        </r>
      </text>
    </comment>
    <comment ref="X279" authorId="0" shapeId="0">
      <text>
        <r>
          <rPr>
            <b/>
            <sz val="9"/>
            <color indexed="81"/>
            <rFont val="Tahoma"/>
            <family val="2"/>
          </rPr>
          <t>update from Community Savers - ADM</t>
        </r>
        <r>
          <rPr>
            <sz val="9"/>
            <color indexed="81"/>
            <rFont val="Tahoma"/>
            <family val="2"/>
          </rPr>
          <t xml:space="preserve">
</t>
        </r>
      </text>
    </comment>
    <comment ref="X282" authorId="0" shapeId="0">
      <text>
        <r>
          <rPr>
            <b/>
            <sz val="9"/>
            <color indexed="81"/>
            <rFont val="Tahoma"/>
            <family val="2"/>
          </rPr>
          <t>update from Community Savers - ADM</t>
        </r>
        <r>
          <rPr>
            <sz val="9"/>
            <color indexed="81"/>
            <rFont val="Tahoma"/>
            <family val="2"/>
          </rPr>
          <t xml:space="preserve">
</t>
        </r>
      </text>
    </comment>
    <comment ref="X296" authorId="0" shapeId="0">
      <text>
        <r>
          <rPr>
            <b/>
            <sz val="9"/>
            <color indexed="81"/>
            <rFont val="Tahoma"/>
            <family val="2"/>
          </rPr>
          <t>update from Community Savers - ADM</t>
        </r>
        <r>
          <rPr>
            <sz val="9"/>
            <color indexed="81"/>
            <rFont val="Tahoma"/>
            <family val="2"/>
          </rPr>
          <t xml:space="preserve">
</t>
        </r>
      </text>
    </comment>
    <comment ref="X297" authorId="0" shapeId="0">
      <text>
        <r>
          <rPr>
            <b/>
            <sz val="9"/>
            <color indexed="81"/>
            <rFont val="Tahoma"/>
            <family val="2"/>
          </rPr>
          <t>update from Community Savers - ADM</t>
        </r>
        <r>
          <rPr>
            <sz val="9"/>
            <color indexed="81"/>
            <rFont val="Tahoma"/>
            <family val="2"/>
          </rPr>
          <t xml:space="preserve">
</t>
        </r>
      </text>
    </comment>
    <comment ref="X300" authorId="0" shapeId="0">
      <text>
        <r>
          <rPr>
            <b/>
            <sz val="9"/>
            <color indexed="81"/>
            <rFont val="Tahoma"/>
            <family val="2"/>
          </rPr>
          <t>update from Community Savers - ADM</t>
        </r>
        <r>
          <rPr>
            <sz val="9"/>
            <color indexed="81"/>
            <rFont val="Tahoma"/>
            <family val="2"/>
          </rPr>
          <t xml:space="preserve">
</t>
        </r>
      </text>
    </comment>
    <comment ref="X422" authorId="0" shapeId="0">
      <text>
        <r>
          <rPr>
            <b/>
            <sz val="9"/>
            <color indexed="81"/>
            <rFont val="Tahoma"/>
            <family val="2"/>
          </rPr>
          <t>update from Community Savers - ADM</t>
        </r>
        <r>
          <rPr>
            <sz val="9"/>
            <color indexed="81"/>
            <rFont val="Tahoma"/>
            <family val="2"/>
          </rPr>
          <t xml:space="preserve">
</t>
        </r>
      </text>
    </comment>
    <comment ref="X423" authorId="0" shapeId="0">
      <text>
        <r>
          <rPr>
            <b/>
            <sz val="9"/>
            <color indexed="81"/>
            <rFont val="Tahoma"/>
            <family val="2"/>
          </rPr>
          <t>update from Community Savers - ADM</t>
        </r>
        <r>
          <rPr>
            <sz val="9"/>
            <color indexed="81"/>
            <rFont val="Tahoma"/>
            <family val="2"/>
          </rPr>
          <t xml:space="preserve">
</t>
        </r>
      </text>
    </comment>
    <comment ref="X426" authorId="0" shapeId="0">
      <text>
        <r>
          <rPr>
            <b/>
            <sz val="9"/>
            <color indexed="81"/>
            <rFont val="Tahoma"/>
            <family val="2"/>
          </rPr>
          <t>update from Community Savers - ADM</t>
        </r>
        <r>
          <rPr>
            <sz val="9"/>
            <color indexed="81"/>
            <rFont val="Tahoma"/>
            <family val="2"/>
          </rPr>
          <t xml:space="preserve">
</t>
        </r>
      </text>
    </comment>
    <comment ref="X437"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40" authorId="0" shapeId="0">
      <text>
        <r>
          <rPr>
            <b/>
            <sz val="9"/>
            <color indexed="81"/>
            <rFont val="Tahoma"/>
            <family val="2"/>
          </rPr>
          <t>update from Community Savers - ADM</t>
        </r>
        <r>
          <rPr>
            <sz val="9"/>
            <color indexed="81"/>
            <rFont val="Tahoma"/>
            <family val="2"/>
          </rPr>
          <t xml:space="preserve">
</t>
        </r>
      </text>
    </comment>
    <comment ref="X441" authorId="0" shapeId="0">
      <text>
        <r>
          <rPr>
            <b/>
            <sz val="9"/>
            <color indexed="81"/>
            <rFont val="Tahoma"/>
            <family val="2"/>
          </rPr>
          <t>update from Community Savers - ADM</t>
        </r>
        <r>
          <rPr>
            <sz val="9"/>
            <color indexed="81"/>
            <rFont val="Tahoma"/>
            <family val="2"/>
          </rPr>
          <t xml:space="preserve">
</t>
        </r>
      </text>
    </comment>
    <comment ref="X444" authorId="0" shapeId="0">
      <text>
        <r>
          <rPr>
            <b/>
            <sz val="9"/>
            <color indexed="81"/>
            <rFont val="Tahoma"/>
            <family val="2"/>
          </rPr>
          <t>update from Community Savers - ADM</t>
        </r>
        <r>
          <rPr>
            <sz val="9"/>
            <color indexed="81"/>
            <rFont val="Tahoma"/>
            <family val="2"/>
          </rPr>
          <t xml:space="preserve">
</t>
        </r>
      </text>
    </comment>
    <comment ref="X56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43" authorId="0" shapeId="0">
      <text>
        <r>
          <rPr>
            <b/>
            <sz val="9"/>
            <color indexed="81"/>
            <rFont val="Tahoma"/>
            <family val="2"/>
          </rPr>
          <t xml:space="preserve">corrected typo error
</t>
        </r>
      </text>
    </comment>
    <comment ref="X708" authorId="0" shapeId="0">
      <text>
        <r>
          <rPr>
            <b/>
            <sz val="9"/>
            <color indexed="81"/>
            <rFont val="Tahoma"/>
            <family val="2"/>
          </rPr>
          <t>capacities updated</t>
        </r>
        <r>
          <rPr>
            <sz val="9"/>
            <color indexed="81"/>
            <rFont val="Tahoma"/>
            <family val="2"/>
          </rPr>
          <t xml:space="preserve">
</t>
        </r>
      </text>
    </comment>
    <comment ref="Y708" authorId="0" shapeId="0">
      <text>
        <r>
          <rPr>
            <b/>
            <sz val="9"/>
            <color indexed="81"/>
            <rFont val="Tahoma"/>
            <family val="2"/>
          </rPr>
          <t>Formula updated in this calculation 
Also Updates if capacities change</t>
        </r>
      </text>
    </comment>
    <comment ref="D786" authorId="0" shapeId="0">
      <text>
        <r>
          <rPr>
            <b/>
            <sz val="9"/>
            <color indexed="81"/>
            <rFont val="Tahoma"/>
            <family val="2"/>
          </rPr>
          <t>Previously listed as SF/SFLI
MF/MLI</t>
        </r>
        <r>
          <rPr>
            <sz val="9"/>
            <color indexed="81"/>
            <rFont val="Tahoma"/>
            <family val="2"/>
          </rPr>
          <t xml:space="preserve">
</t>
        </r>
      </text>
    </comment>
    <comment ref="F78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80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W900" authorId="0" shapeId="0">
      <text>
        <r>
          <rPr>
            <sz val="11"/>
            <color indexed="81"/>
            <rFont val="Tahoma"/>
            <family val="2"/>
          </rPr>
          <t>MO TRM includes 7.7 for manufacture dates prior to 1/2/2017 and 8.0 for manufacture dates after 1/1/2017</t>
        </r>
      </text>
    </comment>
    <comment ref="X900" authorId="0" shapeId="0">
      <text>
        <r>
          <rPr>
            <sz val="11"/>
            <color indexed="81"/>
            <rFont val="Tahoma"/>
            <family val="2"/>
          </rPr>
          <t>MO TRM includes 7.7 for manufacture dates prior to 1/2/2017 and 8.0 for manufacture dates after 1/1/2017</t>
        </r>
      </text>
    </comment>
    <comment ref="W961" authorId="0" shapeId="0">
      <text>
        <r>
          <rPr>
            <sz val="9"/>
            <color indexed="81"/>
            <rFont val="Tahoma"/>
            <family val="2"/>
          </rPr>
          <t>Assumed same size as similar ASHP</t>
        </r>
      </text>
    </comment>
    <comment ref="X961" authorId="0" shapeId="0">
      <text>
        <r>
          <rPr>
            <sz val="11"/>
            <color indexed="81"/>
            <rFont val="Tahoma"/>
            <family val="2"/>
          </rPr>
          <t>CADMUS PROVIDED A SINGLE "Tonnage" value" used same for heating and cooling</t>
        </r>
        <r>
          <rPr>
            <sz val="9"/>
            <color indexed="81"/>
            <rFont val="Tahoma"/>
            <family val="2"/>
          </rPr>
          <t xml:space="preserve">
</t>
        </r>
      </text>
    </comment>
    <comment ref="W962" authorId="0" shapeId="0">
      <text>
        <r>
          <rPr>
            <sz val="9"/>
            <color indexed="81"/>
            <rFont val="Tahoma"/>
            <family val="2"/>
          </rPr>
          <t xml:space="preserve">Assumed Same Size as similar ASHP
</t>
        </r>
      </text>
    </comment>
    <comment ref="W1003" authorId="0" shapeId="0">
      <text>
        <r>
          <rPr>
            <sz val="11"/>
            <color indexed="81"/>
            <rFont val="Tahoma"/>
            <family val="2"/>
          </rPr>
          <t>MO TRM includes 13 for manufacture dates prior to 1/2/2017 and 14 for manufacture dates after 1/1/2017</t>
        </r>
      </text>
    </comment>
    <comment ref="X1003" authorId="0" shapeId="0">
      <text>
        <r>
          <rPr>
            <sz val="11"/>
            <color indexed="81"/>
            <rFont val="Tahoma"/>
            <family val="2"/>
          </rPr>
          <t>MO TRM includes 13 for manufacture dates prior to 1/2/2017 and 14 for manufacture dates after 1/1/2017</t>
        </r>
      </text>
    </comment>
    <comment ref="X1083" authorId="0" shapeId="0">
      <text>
        <r>
          <rPr>
            <sz val="11"/>
            <color indexed="81"/>
            <rFont val="Tahoma"/>
            <family val="2"/>
          </rPr>
          <t>Used Cadmus data to update the tonnage of the units  but the updated tonnage was for SF only therfore left the application here to convert for MF</t>
        </r>
      </text>
    </comment>
    <comment ref="X1100" authorId="0" shapeId="0">
      <text>
        <r>
          <rPr>
            <sz val="11"/>
            <color indexed="81"/>
            <rFont val="Tahoma"/>
            <family val="2"/>
          </rPr>
          <t>Used Cadmus data to update the tonnage of the units  but the updated tonnage was for SF only therfore left the application here to convert for MF</t>
        </r>
      </text>
    </comment>
    <comment ref="X1152" authorId="0" shapeId="0">
      <text>
        <r>
          <rPr>
            <b/>
            <sz val="9"/>
            <color indexed="81"/>
            <rFont val="Tahoma"/>
            <family val="2"/>
          </rPr>
          <t>Capacity of units adjusted which impacts cost/ton calculation</t>
        </r>
      </text>
    </comment>
    <comment ref="Y1152"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1152"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1152"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D1192" authorId="0" shapeId="0">
      <text>
        <r>
          <rPr>
            <b/>
            <sz val="9"/>
            <color indexed="81"/>
            <rFont val="Tahoma"/>
            <family val="2"/>
          </rPr>
          <t>Previously listed as SF/SFLI
MF/MLI</t>
        </r>
        <r>
          <rPr>
            <sz val="9"/>
            <color indexed="81"/>
            <rFont val="Tahoma"/>
            <family val="2"/>
          </rPr>
          <t xml:space="preserve">
</t>
        </r>
      </text>
    </comment>
    <comment ref="X1225"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273"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D1296" authorId="0" shapeId="0">
      <text>
        <r>
          <rPr>
            <b/>
            <sz val="9"/>
            <color indexed="81"/>
            <rFont val="Tahoma"/>
            <family val="2"/>
          </rPr>
          <t>Previously listed as SF/SFLI
MF/MLI</t>
        </r>
        <r>
          <rPr>
            <sz val="9"/>
            <color indexed="81"/>
            <rFont val="Tahoma"/>
            <family val="2"/>
          </rPr>
          <t xml:space="preserve">
</t>
        </r>
      </text>
    </comment>
    <comment ref="F1296"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29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300"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32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334"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340"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X1343" authorId="0" shapeId="0">
      <text>
        <r>
          <rPr>
            <b/>
            <sz val="9"/>
            <color indexed="81"/>
            <rFont val="Tahoma"/>
            <family val="2"/>
          </rPr>
          <t>Added this line item - needs a separate base for ER1 vs ER2</t>
        </r>
      </text>
    </comment>
    <comment ref="Y1346" authorId="0" shapeId="0">
      <text>
        <r>
          <rPr>
            <b/>
            <sz val="9"/>
            <color indexed="81"/>
            <rFont val="Tahoma"/>
            <family val="2"/>
          </rPr>
          <t>Author:</t>
        </r>
        <r>
          <rPr>
            <sz val="9"/>
            <color indexed="81"/>
            <rFont val="Tahoma"/>
            <family val="2"/>
          </rPr>
          <t xml:space="preserve">
COP of 4.44 from report table 15 *3.41
</t>
        </r>
      </text>
    </comment>
    <comment ref="Z1346" authorId="0" shapeId="0">
      <text>
        <r>
          <rPr>
            <b/>
            <sz val="9"/>
            <color indexed="81"/>
            <rFont val="Tahoma"/>
            <family val="2"/>
          </rPr>
          <t>Author:</t>
        </r>
        <r>
          <rPr>
            <sz val="9"/>
            <color indexed="81"/>
            <rFont val="Tahoma"/>
            <family val="2"/>
          </rPr>
          <t xml:space="preserve">
COP of 4.44 from report table 15 *3.41
</t>
        </r>
      </text>
    </comment>
    <comment ref="AA1346" authorId="0" shapeId="0">
      <text>
        <r>
          <rPr>
            <b/>
            <sz val="9"/>
            <color indexed="81"/>
            <rFont val="Tahoma"/>
            <family val="2"/>
          </rPr>
          <t>Author:</t>
        </r>
        <r>
          <rPr>
            <sz val="9"/>
            <color indexed="81"/>
            <rFont val="Tahoma"/>
            <family val="2"/>
          </rPr>
          <t xml:space="preserve">
COP of 4.44 from report table 15 *3.41
</t>
        </r>
      </text>
    </comment>
    <comment ref="X1370" authorId="0" shapeId="0">
      <text>
        <r>
          <rPr>
            <b/>
            <sz val="9"/>
            <color indexed="81"/>
            <rFont val="Tahoma"/>
            <family val="2"/>
          </rPr>
          <t xml:space="preserve">Changed to EER rather than SEER in calc </t>
        </r>
        <r>
          <rPr>
            <sz val="9"/>
            <color indexed="81"/>
            <rFont val="Tahoma"/>
            <family val="2"/>
          </rPr>
          <t xml:space="preserve">
</t>
        </r>
      </text>
    </comment>
    <comment ref="D1407" authorId="0" shapeId="0">
      <text>
        <r>
          <rPr>
            <b/>
            <sz val="9"/>
            <color indexed="81"/>
            <rFont val="Tahoma"/>
            <family val="2"/>
          </rPr>
          <t>Previously listed as SF/SFLI
MF/MLI</t>
        </r>
        <r>
          <rPr>
            <sz val="9"/>
            <color indexed="81"/>
            <rFont val="Tahoma"/>
            <family val="2"/>
          </rPr>
          <t xml:space="preserve">
</t>
        </r>
      </text>
    </comment>
    <comment ref="F140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Added ISR (100%).</t>
        </r>
      </text>
    </comment>
    <comment ref="AC140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Added ISR (100%).</t>
        </r>
      </text>
    </comment>
    <comment ref="C1605" authorId="0" shapeId="0">
      <text>
        <r>
          <rPr>
            <b/>
            <sz val="9"/>
            <color indexed="81"/>
            <rFont val="Tahoma"/>
            <family val="2"/>
          </rPr>
          <t xml:space="preserve">353900 was a duplicate measure to this and was removed in PY2019 </t>
        </r>
      </text>
    </comment>
    <comment ref="W1988" authorId="0" shapeId="0">
      <text>
        <r>
          <rPr>
            <b/>
            <sz val="9"/>
            <color indexed="81"/>
            <rFont val="Tahoma"/>
            <family val="2"/>
          </rPr>
          <t>MO TRM</t>
        </r>
        <r>
          <rPr>
            <sz val="9"/>
            <color indexed="81"/>
            <rFont val="Tahoma"/>
            <family val="2"/>
          </rPr>
          <t xml:space="preserve">
</t>
        </r>
      </text>
    </comment>
    <comment ref="X1988" authorId="0" shapeId="0">
      <text>
        <r>
          <rPr>
            <b/>
            <sz val="9"/>
            <color indexed="81"/>
            <rFont val="Tahoma"/>
            <family val="2"/>
          </rPr>
          <t>2017 Cadmus EM&amp;V - 2016 -2017 AMR Data &amp; HP</t>
        </r>
        <r>
          <rPr>
            <sz val="9"/>
            <color indexed="81"/>
            <rFont val="Tahoma"/>
            <family val="2"/>
          </rPr>
          <t xml:space="preserve">
</t>
        </r>
      </text>
    </comment>
    <comment ref="X3119"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3119"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3119"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3119"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3859"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3859" authorId="0" shapeId="0">
      <text>
        <r>
          <rPr>
            <b/>
            <sz val="9"/>
            <color indexed="81"/>
            <rFont val="Tahoma"/>
            <family val="2"/>
          </rPr>
          <t>Author:</t>
        </r>
        <r>
          <rPr>
            <sz val="9"/>
            <color indexed="81"/>
            <rFont val="Tahoma"/>
            <family val="2"/>
          </rPr>
          <t xml:space="preserve">
Adjusted Capacity based upon HF Factor</t>
        </r>
      </text>
    </comment>
    <comment ref="Y3859" authorId="0" shapeId="0">
      <text>
        <r>
          <rPr>
            <b/>
            <sz val="14"/>
            <color indexed="81"/>
            <rFont val="Tahoma"/>
            <family val="2"/>
          </rPr>
          <t>Adjusted Formula so that it all calculations were driven off column J and not J&amp;K so that this could be copied over with each new TRM update 8/13/2019</t>
        </r>
      </text>
    </comment>
    <comment ref="Z3859" authorId="0" shapeId="0">
      <text>
        <r>
          <rPr>
            <b/>
            <sz val="14"/>
            <color indexed="81"/>
            <rFont val="Tahoma"/>
            <family val="2"/>
          </rPr>
          <t>Adjusted Formula so that it all calculations were driven off column J and not J&amp;K so that this could be copied over with each new TRM update 8/13/2019</t>
        </r>
      </text>
    </comment>
    <comment ref="AA3859" authorId="0" shapeId="0">
      <text>
        <r>
          <rPr>
            <b/>
            <sz val="14"/>
            <color indexed="81"/>
            <rFont val="Tahoma"/>
            <family val="2"/>
          </rPr>
          <t>Adjusted Formula so that it all calculations were driven off column J and not J&amp;K so that this could be copied over with each new TRM update 8/13/2019</t>
        </r>
      </text>
    </comment>
    <comment ref="AB3859"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C3859"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3863" authorId="0" shapeId="0">
      <text>
        <r>
          <rPr>
            <b/>
            <sz val="9"/>
            <color indexed="81"/>
            <rFont val="Tahoma"/>
            <family val="2"/>
          </rPr>
          <t>Author:</t>
        </r>
        <r>
          <rPr>
            <sz val="9"/>
            <color indexed="81"/>
            <rFont val="Tahoma"/>
            <family val="2"/>
          </rPr>
          <t xml:space="preserve">
Adjusted Capacity based upon HF Factor</t>
        </r>
      </text>
    </comment>
    <comment ref="L3867" authorId="0" shapeId="0">
      <text>
        <r>
          <rPr>
            <b/>
            <sz val="9"/>
            <color indexed="81"/>
            <rFont val="Tahoma"/>
            <family val="2"/>
          </rPr>
          <t>Author:</t>
        </r>
        <r>
          <rPr>
            <sz val="9"/>
            <color indexed="81"/>
            <rFont val="Tahoma"/>
            <family val="2"/>
          </rPr>
          <t xml:space="preserve">
Adjusted Capacity based upon HF Factor</t>
        </r>
      </text>
    </comment>
    <comment ref="L3871" authorId="0" shapeId="0">
      <text>
        <r>
          <rPr>
            <b/>
            <sz val="9"/>
            <color indexed="81"/>
            <rFont val="Tahoma"/>
            <family val="2"/>
          </rPr>
          <t>Author:</t>
        </r>
        <r>
          <rPr>
            <sz val="9"/>
            <color indexed="81"/>
            <rFont val="Tahoma"/>
            <family val="2"/>
          </rPr>
          <t xml:space="preserve">
Adjusted Capacity based upon HF Factor</t>
        </r>
      </text>
    </comment>
    <comment ref="L3873" authorId="0" shapeId="0">
      <text>
        <r>
          <rPr>
            <b/>
            <sz val="9"/>
            <color indexed="81"/>
            <rFont val="Tahoma"/>
            <family val="2"/>
          </rPr>
          <t>Author:</t>
        </r>
        <r>
          <rPr>
            <sz val="9"/>
            <color indexed="81"/>
            <rFont val="Tahoma"/>
            <family val="2"/>
          </rPr>
          <t xml:space="preserve">
Adjusted Capacity based upon HF Factor</t>
        </r>
      </text>
    </comment>
    <comment ref="L3875" authorId="0" shapeId="0">
      <text>
        <r>
          <rPr>
            <b/>
            <sz val="9"/>
            <color indexed="81"/>
            <rFont val="Tahoma"/>
            <family val="2"/>
          </rPr>
          <t>Author:</t>
        </r>
        <r>
          <rPr>
            <sz val="9"/>
            <color indexed="81"/>
            <rFont val="Tahoma"/>
            <family val="2"/>
          </rPr>
          <t xml:space="preserve">
Adjusted Capacity based upon HF Factor</t>
        </r>
      </text>
    </comment>
    <comment ref="L3877" authorId="0" shapeId="0">
      <text>
        <r>
          <rPr>
            <b/>
            <sz val="9"/>
            <color indexed="81"/>
            <rFont val="Tahoma"/>
            <family val="2"/>
          </rPr>
          <t>Author:</t>
        </r>
        <r>
          <rPr>
            <sz val="9"/>
            <color indexed="81"/>
            <rFont val="Tahoma"/>
            <family val="2"/>
          </rPr>
          <t xml:space="preserve">
Adjusted Capacity based upon HF Factor</t>
        </r>
      </text>
    </comment>
    <comment ref="L3881" authorId="0" shapeId="0">
      <text>
        <r>
          <rPr>
            <b/>
            <sz val="9"/>
            <color indexed="81"/>
            <rFont val="Tahoma"/>
            <family val="2"/>
          </rPr>
          <t>Author:</t>
        </r>
        <r>
          <rPr>
            <sz val="9"/>
            <color indexed="81"/>
            <rFont val="Tahoma"/>
            <family val="2"/>
          </rPr>
          <t xml:space="preserve">
Adjusted Capacity based upon HF Factor</t>
        </r>
      </text>
    </comment>
    <comment ref="L3885" authorId="0" shapeId="0">
      <text>
        <r>
          <rPr>
            <b/>
            <sz val="9"/>
            <color indexed="81"/>
            <rFont val="Tahoma"/>
            <family val="2"/>
          </rPr>
          <t>Author:</t>
        </r>
        <r>
          <rPr>
            <sz val="9"/>
            <color indexed="81"/>
            <rFont val="Tahoma"/>
            <family val="2"/>
          </rPr>
          <t xml:space="preserve">
Adjusted Capacity based upon HF Factor</t>
        </r>
      </text>
    </comment>
    <comment ref="L3889" authorId="0" shapeId="0">
      <text>
        <r>
          <rPr>
            <b/>
            <sz val="9"/>
            <color indexed="81"/>
            <rFont val="Tahoma"/>
            <family val="2"/>
          </rPr>
          <t>Author:</t>
        </r>
        <r>
          <rPr>
            <sz val="9"/>
            <color indexed="81"/>
            <rFont val="Tahoma"/>
            <family val="2"/>
          </rPr>
          <t xml:space="preserve">
Adjusted Capacity based upon HF Factor</t>
        </r>
      </text>
    </comment>
    <comment ref="L3891" authorId="0" shapeId="0">
      <text>
        <r>
          <rPr>
            <b/>
            <sz val="9"/>
            <color indexed="81"/>
            <rFont val="Tahoma"/>
            <family val="2"/>
          </rPr>
          <t>Author:</t>
        </r>
        <r>
          <rPr>
            <sz val="9"/>
            <color indexed="81"/>
            <rFont val="Tahoma"/>
            <family val="2"/>
          </rPr>
          <t xml:space="preserve">
Adjusted Capacity based upon HF Factor</t>
        </r>
      </text>
    </comment>
    <comment ref="L3893" authorId="0" shapeId="0">
      <text>
        <r>
          <rPr>
            <b/>
            <sz val="9"/>
            <color indexed="81"/>
            <rFont val="Tahoma"/>
            <family val="2"/>
          </rPr>
          <t>Author:</t>
        </r>
        <r>
          <rPr>
            <sz val="9"/>
            <color indexed="81"/>
            <rFont val="Tahoma"/>
            <family val="2"/>
          </rPr>
          <t xml:space="preserve">
Adjusted Capacity based upon HF Factor</t>
        </r>
      </text>
    </comment>
    <comment ref="L3897" authorId="0" shapeId="0">
      <text>
        <r>
          <rPr>
            <b/>
            <sz val="9"/>
            <color indexed="81"/>
            <rFont val="Tahoma"/>
            <family val="2"/>
          </rPr>
          <t>Author:</t>
        </r>
        <r>
          <rPr>
            <sz val="9"/>
            <color indexed="81"/>
            <rFont val="Tahoma"/>
            <family val="2"/>
          </rPr>
          <t xml:space="preserve">
Adjusted Capacity based upon HF Factor</t>
        </r>
      </text>
    </comment>
    <comment ref="L3901" authorId="0" shapeId="0">
      <text>
        <r>
          <rPr>
            <b/>
            <sz val="9"/>
            <color indexed="81"/>
            <rFont val="Tahoma"/>
            <family val="2"/>
          </rPr>
          <t>Author:</t>
        </r>
        <r>
          <rPr>
            <sz val="9"/>
            <color indexed="81"/>
            <rFont val="Tahoma"/>
            <family val="2"/>
          </rPr>
          <t xml:space="preserve">
Adjusted Capacity based upon HF Factor</t>
        </r>
      </text>
    </comment>
    <comment ref="L3905" authorId="0" shapeId="0">
      <text>
        <r>
          <rPr>
            <b/>
            <sz val="9"/>
            <color indexed="81"/>
            <rFont val="Tahoma"/>
            <family val="2"/>
          </rPr>
          <t>Author:</t>
        </r>
        <r>
          <rPr>
            <sz val="9"/>
            <color indexed="81"/>
            <rFont val="Tahoma"/>
            <family val="2"/>
          </rPr>
          <t xml:space="preserve">
Adjusted Capacity based upon HF Factor</t>
        </r>
      </text>
    </comment>
    <comment ref="L3909" authorId="0" shapeId="0">
      <text>
        <r>
          <rPr>
            <b/>
            <sz val="9"/>
            <color indexed="81"/>
            <rFont val="Tahoma"/>
            <family val="2"/>
          </rPr>
          <t>Author:</t>
        </r>
        <r>
          <rPr>
            <sz val="9"/>
            <color indexed="81"/>
            <rFont val="Tahoma"/>
            <family val="2"/>
          </rPr>
          <t xml:space="preserve">
Adjusted Capacity based upon HF Factor</t>
        </r>
      </text>
    </comment>
    <comment ref="L3913" authorId="0" shapeId="0">
      <text>
        <r>
          <rPr>
            <b/>
            <sz val="9"/>
            <color indexed="81"/>
            <rFont val="Tahoma"/>
            <family val="2"/>
          </rPr>
          <t>Author:</t>
        </r>
        <r>
          <rPr>
            <sz val="9"/>
            <color indexed="81"/>
            <rFont val="Tahoma"/>
            <family val="2"/>
          </rPr>
          <t xml:space="preserve">
Adjusted Capacity based upon HF Factor</t>
        </r>
      </text>
    </comment>
    <comment ref="L3917" authorId="0" shapeId="0">
      <text>
        <r>
          <rPr>
            <b/>
            <sz val="9"/>
            <color indexed="81"/>
            <rFont val="Tahoma"/>
            <family val="2"/>
          </rPr>
          <t>Author:</t>
        </r>
        <r>
          <rPr>
            <sz val="9"/>
            <color indexed="81"/>
            <rFont val="Tahoma"/>
            <family val="2"/>
          </rPr>
          <t xml:space="preserve">
Adjusted Capacity based upon HF Factor</t>
        </r>
      </text>
    </comment>
    <comment ref="L3919" authorId="0" shapeId="0">
      <text>
        <r>
          <rPr>
            <b/>
            <sz val="9"/>
            <color indexed="81"/>
            <rFont val="Tahoma"/>
            <family val="2"/>
          </rPr>
          <t>Author:</t>
        </r>
        <r>
          <rPr>
            <sz val="9"/>
            <color indexed="81"/>
            <rFont val="Tahoma"/>
            <family val="2"/>
          </rPr>
          <t xml:space="preserve">
Adjusted Capacity based upon HF Factor</t>
        </r>
      </text>
    </comment>
    <comment ref="L3921" authorId="0" shapeId="0">
      <text>
        <r>
          <rPr>
            <b/>
            <sz val="9"/>
            <color indexed="81"/>
            <rFont val="Tahoma"/>
            <family val="2"/>
          </rPr>
          <t>Author:</t>
        </r>
        <r>
          <rPr>
            <sz val="9"/>
            <color indexed="81"/>
            <rFont val="Tahoma"/>
            <family val="2"/>
          </rPr>
          <t xml:space="preserve">
Adjusted Capacity based upon HF Factor</t>
        </r>
      </text>
    </comment>
    <comment ref="L3923" authorId="0" shapeId="0">
      <text>
        <r>
          <rPr>
            <b/>
            <sz val="9"/>
            <color indexed="81"/>
            <rFont val="Tahoma"/>
            <family val="2"/>
          </rPr>
          <t>Author:</t>
        </r>
        <r>
          <rPr>
            <sz val="9"/>
            <color indexed="81"/>
            <rFont val="Tahoma"/>
            <family val="2"/>
          </rPr>
          <t xml:space="preserve">
Adjusted Capacity based upon HF Factor</t>
        </r>
      </text>
    </comment>
    <comment ref="L3925" authorId="0" shapeId="0">
      <text>
        <r>
          <rPr>
            <b/>
            <sz val="9"/>
            <color indexed="81"/>
            <rFont val="Tahoma"/>
            <family val="2"/>
          </rPr>
          <t>Author:</t>
        </r>
        <r>
          <rPr>
            <sz val="9"/>
            <color indexed="81"/>
            <rFont val="Tahoma"/>
            <family val="2"/>
          </rPr>
          <t xml:space="preserve">
Adjusted Capacity based upon HF Factor</t>
        </r>
      </text>
    </comment>
    <comment ref="L3929" authorId="0" shapeId="0">
      <text>
        <r>
          <rPr>
            <b/>
            <sz val="9"/>
            <color indexed="81"/>
            <rFont val="Tahoma"/>
            <family val="2"/>
          </rPr>
          <t>Author:</t>
        </r>
        <r>
          <rPr>
            <sz val="9"/>
            <color indexed="81"/>
            <rFont val="Tahoma"/>
            <family val="2"/>
          </rPr>
          <t xml:space="preserve">
Adjusted Capacity based upon HF Factor</t>
        </r>
      </text>
    </comment>
    <comment ref="L3933" authorId="0" shapeId="0">
      <text>
        <r>
          <rPr>
            <b/>
            <sz val="9"/>
            <color indexed="81"/>
            <rFont val="Tahoma"/>
            <family val="2"/>
          </rPr>
          <t>Author:</t>
        </r>
        <r>
          <rPr>
            <sz val="9"/>
            <color indexed="81"/>
            <rFont val="Tahoma"/>
            <family val="2"/>
          </rPr>
          <t xml:space="preserve">
Adjusted Capacity based upon HF Factor</t>
        </r>
      </text>
    </comment>
    <comment ref="L3935" authorId="0" shapeId="0">
      <text>
        <r>
          <rPr>
            <b/>
            <sz val="9"/>
            <color indexed="81"/>
            <rFont val="Tahoma"/>
            <family val="2"/>
          </rPr>
          <t>Author:</t>
        </r>
        <r>
          <rPr>
            <sz val="9"/>
            <color indexed="81"/>
            <rFont val="Tahoma"/>
            <family val="2"/>
          </rPr>
          <t xml:space="preserve">
Adjusted Capacity based upon HF Factor</t>
        </r>
      </text>
    </comment>
    <comment ref="L3937" authorId="0" shapeId="0">
      <text>
        <r>
          <rPr>
            <b/>
            <sz val="9"/>
            <color indexed="81"/>
            <rFont val="Tahoma"/>
            <family val="2"/>
          </rPr>
          <t>Author:</t>
        </r>
        <r>
          <rPr>
            <sz val="9"/>
            <color indexed="81"/>
            <rFont val="Tahoma"/>
            <family val="2"/>
          </rPr>
          <t xml:space="preserve">
Adjusted Capacity based upon HF Factor</t>
        </r>
      </text>
    </comment>
    <comment ref="L3939" authorId="0" shapeId="0">
      <text>
        <r>
          <rPr>
            <b/>
            <sz val="9"/>
            <color indexed="81"/>
            <rFont val="Tahoma"/>
            <family val="2"/>
          </rPr>
          <t>Author:</t>
        </r>
        <r>
          <rPr>
            <sz val="9"/>
            <color indexed="81"/>
            <rFont val="Tahoma"/>
            <family val="2"/>
          </rPr>
          <t xml:space="preserve">
Adjusted Capacity based upon HF Factor</t>
        </r>
      </text>
    </comment>
    <comment ref="L3941" authorId="0" shapeId="0">
      <text>
        <r>
          <rPr>
            <b/>
            <sz val="9"/>
            <color indexed="81"/>
            <rFont val="Tahoma"/>
            <family val="2"/>
          </rPr>
          <t>Author:</t>
        </r>
        <r>
          <rPr>
            <sz val="9"/>
            <color indexed="81"/>
            <rFont val="Tahoma"/>
            <family val="2"/>
          </rPr>
          <t xml:space="preserve">
Adjusted Capacity based upon HF Factor</t>
        </r>
      </text>
    </comment>
    <comment ref="L3943" authorId="0" shapeId="0">
      <text>
        <r>
          <rPr>
            <b/>
            <sz val="9"/>
            <color indexed="81"/>
            <rFont val="Tahoma"/>
            <family val="2"/>
          </rPr>
          <t>Author:</t>
        </r>
        <r>
          <rPr>
            <sz val="9"/>
            <color indexed="81"/>
            <rFont val="Tahoma"/>
            <family val="2"/>
          </rPr>
          <t xml:space="preserve">
Adjusted Capacity based upon HF Factor</t>
        </r>
      </text>
    </comment>
    <comment ref="L3945" authorId="0" shapeId="0">
      <text>
        <r>
          <rPr>
            <b/>
            <sz val="9"/>
            <color indexed="81"/>
            <rFont val="Tahoma"/>
            <family val="2"/>
          </rPr>
          <t>Author:</t>
        </r>
        <r>
          <rPr>
            <sz val="9"/>
            <color indexed="81"/>
            <rFont val="Tahoma"/>
            <family val="2"/>
          </rPr>
          <t xml:space="preserve">
Adjusted Capacity based upon HF Factor</t>
        </r>
      </text>
    </comment>
    <comment ref="L3949" authorId="0" shapeId="0">
      <text>
        <r>
          <rPr>
            <b/>
            <sz val="9"/>
            <color indexed="81"/>
            <rFont val="Tahoma"/>
            <family val="2"/>
          </rPr>
          <t>Author:</t>
        </r>
        <r>
          <rPr>
            <sz val="9"/>
            <color indexed="81"/>
            <rFont val="Tahoma"/>
            <family val="2"/>
          </rPr>
          <t xml:space="preserve">
Adjusted Capacity based upon HF Factor</t>
        </r>
      </text>
    </comment>
    <comment ref="L3953" authorId="0" shapeId="0">
      <text>
        <r>
          <rPr>
            <b/>
            <sz val="9"/>
            <color indexed="81"/>
            <rFont val="Tahoma"/>
            <family val="2"/>
          </rPr>
          <t>Author:</t>
        </r>
        <r>
          <rPr>
            <sz val="9"/>
            <color indexed="81"/>
            <rFont val="Tahoma"/>
            <family val="2"/>
          </rPr>
          <t xml:space="preserve">
Adjusted Capacity based upon HF Factor</t>
        </r>
      </text>
    </comment>
    <comment ref="L3957" authorId="0" shapeId="0">
      <text>
        <r>
          <rPr>
            <b/>
            <sz val="9"/>
            <color indexed="81"/>
            <rFont val="Tahoma"/>
            <family val="2"/>
          </rPr>
          <t>Author:</t>
        </r>
        <r>
          <rPr>
            <sz val="9"/>
            <color indexed="81"/>
            <rFont val="Tahoma"/>
            <family val="2"/>
          </rPr>
          <t xml:space="preserve">
Adjusted Capacity based upon HF Factor</t>
        </r>
      </text>
    </comment>
    <comment ref="L3961" authorId="0" shapeId="0">
      <text>
        <r>
          <rPr>
            <b/>
            <sz val="9"/>
            <color indexed="81"/>
            <rFont val="Tahoma"/>
            <family val="2"/>
          </rPr>
          <t>Author:</t>
        </r>
        <r>
          <rPr>
            <sz val="9"/>
            <color indexed="81"/>
            <rFont val="Tahoma"/>
            <family val="2"/>
          </rPr>
          <t xml:space="preserve">
Adjusted Capacity based upon HF Factor</t>
        </r>
      </text>
    </comment>
    <comment ref="L3963" authorId="0" shapeId="0">
      <text>
        <r>
          <rPr>
            <b/>
            <sz val="9"/>
            <color indexed="81"/>
            <rFont val="Tahoma"/>
            <family val="2"/>
          </rPr>
          <t>Author:</t>
        </r>
        <r>
          <rPr>
            <sz val="9"/>
            <color indexed="81"/>
            <rFont val="Tahoma"/>
            <family val="2"/>
          </rPr>
          <t xml:space="preserve">
Adjusted Capacity based upon HF Factor</t>
        </r>
      </text>
    </comment>
    <comment ref="L3965" authorId="0" shapeId="0">
      <text>
        <r>
          <rPr>
            <b/>
            <sz val="9"/>
            <color indexed="81"/>
            <rFont val="Tahoma"/>
            <family val="2"/>
          </rPr>
          <t>Author:</t>
        </r>
        <r>
          <rPr>
            <sz val="9"/>
            <color indexed="81"/>
            <rFont val="Tahoma"/>
            <family val="2"/>
          </rPr>
          <t xml:space="preserve">
Adjusted Capacity based upon HF Factor</t>
        </r>
      </text>
    </comment>
    <comment ref="L3967" authorId="0" shapeId="0">
      <text>
        <r>
          <rPr>
            <b/>
            <sz val="9"/>
            <color indexed="81"/>
            <rFont val="Tahoma"/>
            <family val="2"/>
          </rPr>
          <t>Author:</t>
        </r>
        <r>
          <rPr>
            <sz val="9"/>
            <color indexed="81"/>
            <rFont val="Tahoma"/>
            <family val="2"/>
          </rPr>
          <t xml:space="preserve">
Adjusted Capacity based upon HF Factor</t>
        </r>
      </text>
    </comment>
    <comment ref="L3969" authorId="0" shapeId="0">
      <text>
        <r>
          <rPr>
            <b/>
            <sz val="9"/>
            <color indexed="81"/>
            <rFont val="Tahoma"/>
            <family val="2"/>
          </rPr>
          <t>Author:</t>
        </r>
        <r>
          <rPr>
            <sz val="9"/>
            <color indexed="81"/>
            <rFont val="Tahoma"/>
            <family val="2"/>
          </rPr>
          <t xml:space="preserve">
Adjusted Capacity based upon HF Factor</t>
        </r>
      </text>
    </comment>
    <comment ref="L3971" authorId="0" shapeId="0">
      <text>
        <r>
          <rPr>
            <b/>
            <sz val="9"/>
            <color indexed="81"/>
            <rFont val="Tahoma"/>
            <family val="2"/>
          </rPr>
          <t>Author:</t>
        </r>
        <r>
          <rPr>
            <sz val="9"/>
            <color indexed="81"/>
            <rFont val="Tahoma"/>
            <family val="2"/>
          </rPr>
          <t xml:space="preserve">
Adjusted Capacity based upon HF Factor</t>
        </r>
      </text>
    </comment>
    <comment ref="L3973" authorId="0" shapeId="0">
      <text>
        <r>
          <rPr>
            <b/>
            <sz val="9"/>
            <color indexed="81"/>
            <rFont val="Tahoma"/>
            <family val="2"/>
          </rPr>
          <t>Author:</t>
        </r>
        <r>
          <rPr>
            <sz val="9"/>
            <color indexed="81"/>
            <rFont val="Tahoma"/>
            <family val="2"/>
          </rPr>
          <t xml:space="preserve">
Adjusted Capacity based upon HF Factor</t>
        </r>
      </text>
    </comment>
    <comment ref="L3975" authorId="0" shapeId="0">
      <text>
        <r>
          <rPr>
            <b/>
            <sz val="9"/>
            <color indexed="81"/>
            <rFont val="Tahoma"/>
            <family val="2"/>
          </rPr>
          <t>Author:</t>
        </r>
        <r>
          <rPr>
            <sz val="9"/>
            <color indexed="81"/>
            <rFont val="Tahoma"/>
            <family val="2"/>
          </rPr>
          <t xml:space="preserve">
Adjusted Capacity based upon HF Factor</t>
        </r>
      </text>
    </comment>
    <comment ref="L3977" authorId="0" shapeId="0">
      <text>
        <r>
          <rPr>
            <b/>
            <sz val="9"/>
            <color indexed="81"/>
            <rFont val="Tahoma"/>
            <family val="2"/>
          </rPr>
          <t>Author:</t>
        </r>
        <r>
          <rPr>
            <sz val="9"/>
            <color indexed="81"/>
            <rFont val="Tahoma"/>
            <family val="2"/>
          </rPr>
          <t xml:space="preserve">
Adjusted Capacity based upon HF Factor</t>
        </r>
      </text>
    </comment>
    <comment ref="L3979" authorId="0" shapeId="0">
      <text>
        <r>
          <rPr>
            <b/>
            <sz val="9"/>
            <color indexed="81"/>
            <rFont val="Tahoma"/>
            <family val="2"/>
          </rPr>
          <t>Author:</t>
        </r>
        <r>
          <rPr>
            <sz val="9"/>
            <color indexed="81"/>
            <rFont val="Tahoma"/>
            <family val="2"/>
          </rPr>
          <t xml:space="preserve">
Adjusted Capacity based upon HF Factor</t>
        </r>
      </text>
    </comment>
    <comment ref="L3981" authorId="0" shapeId="0">
      <text>
        <r>
          <rPr>
            <b/>
            <sz val="9"/>
            <color indexed="81"/>
            <rFont val="Tahoma"/>
            <family val="2"/>
          </rPr>
          <t>Author:</t>
        </r>
        <r>
          <rPr>
            <sz val="9"/>
            <color indexed="81"/>
            <rFont val="Tahoma"/>
            <family val="2"/>
          </rPr>
          <t xml:space="preserve">
Adjusted Capacity based upon HF Factor</t>
        </r>
      </text>
    </comment>
    <comment ref="L3983" authorId="0" shapeId="0">
      <text>
        <r>
          <rPr>
            <b/>
            <sz val="9"/>
            <color indexed="81"/>
            <rFont val="Tahoma"/>
            <family val="2"/>
          </rPr>
          <t>Author:</t>
        </r>
        <r>
          <rPr>
            <sz val="9"/>
            <color indexed="81"/>
            <rFont val="Tahoma"/>
            <family val="2"/>
          </rPr>
          <t xml:space="preserve">
Adjusted Capacity based upon HF Factor</t>
        </r>
      </text>
    </comment>
    <comment ref="L3985" authorId="0" shapeId="0">
      <text>
        <r>
          <rPr>
            <b/>
            <sz val="9"/>
            <color indexed="81"/>
            <rFont val="Tahoma"/>
            <family val="2"/>
          </rPr>
          <t>Author:</t>
        </r>
        <r>
          <rPr>
            <sz val="9"/>
            <color indexed="81"/>
            <rFont val="Tahoma"/>
            <family val="2"/>
          </rPr>
          <t xml:space="preserve">
Adjusted Capacity based upon HF Factor</t>
        </r>
      </text>
    </comment>
    <comment ref="L3987" authorId="0" shapeId="0">
      <text>
        <r>
          <rPr>
            <b/>
            <sz val="9"/>
            <color indexed="81"/>
            <rFont val="Tahoma"/>
            <family val="2"/>
          </rPr>
          <t>Author:</t>
        </r>
        <r>
          <rPr>
            <sz val="9"/>
            <color indexed="81"/>
            <rFont val="Tahoma"/>
            <family val="2"/>
          </rPr>
          <t xml:space="preserve">
Adjusted Capacity based upon HF Factor</t>
        </r>
      </text>
    </comment>
    <comment ref="L3989" authorId="0" shapeId="0">
      <text>
        <r>
          <rPr>
            <b/>
            <sz val="9"/>
            <color indexed="81"/>
            <rFont val="Tahoma"/>
            <family val="2"/>
          </rPr>
          <t>Author:</t>
        </r>
        <r>
          <rPr>
            <sz val="9"/>
            <color indexed="81"/>
            <rFont val="Tahoma"/>
            <family val="2"/>
          </rPr>
          <t xml:space="preserve">
Adjusted Capacity based upon HF Factor</t>
        </r>
      </text>
    </comment>
    <comment ref="L3991" authorId="0" shapeId="0">
      <text>
        <r>
          <rPr>
            <b/>
            <sz val="9"/>
            <color indexed="81"/>
            <rFont val="Tahoma"/>
            <family val="2"/>
          </rPr>
          <t>Author:</t>
        </r>
        <r>
          <rPr>
            <sz val="9"/>
            <color indexed="81"/>
            <rFont val="Tahoma"/>
            <family val="2"/>
          </rPr>
          <t xml:space="preserve">
Adjusted Capacity based upon HF Factor</t>
        </r>
      </text>
    </comment>
    <comment ref="L3993" authorId="0" shapeId="0">
      <text>
        <r>
          <rPr>
            <b/>
            <sz val="9"/>
            <color indexed="81"/>
            <rFont val="Tahoma"/>
            <family val="2"/>
          </rPr>
          <t>Author:</t>
        </r>
        <r>
          <rPr>
            <sz val="9"/>
            <color indexed="81"/>
            <rFont val="Tahoma"/>
            <family val="2"/>
          </rPr>
          <t xml:space="preserve">
Adjusted Capacity based upon HF Factor</t>
        </r>
      </text>
    </comment>
    <comment ref="L3995" authorId="0" shapeId="0">
      <text>
        <r>
          <rPr>
            <b/>
            <sz val="9"/>
            <color indexed="81"/>
            <rFont val="Tahoma"/>
            <family val="2"/>
          </rPr>
          <t>Author:</t>
        </r>
        <r>
          <rPr>
            <sz val="9"/>
            <color indexed="81"/>
            <rFont val="Tahoma"/>
            <family val="2"/>
          </rPr>
          <t xml:space="preserve">
Adjusted Capacity based upon HF Factor</t>
        </r>
      </text>
    </comment>
    <comment ref="L3999" authorId="0" shapeId="0">
      <text>
        <r>
          <rPr>
            <b/>
            <sz val="9"/>
            <color indexed="81"/>
            <rFont val="Tahoma"/>
            <family val="2"/>
          </rPr>
          <t>Author:</t>
        </r>
        <r>
          <rPr>
            <sz val="9"/>
            <color indexed="81"/>
            <rFont val="Tahoma"/>
            <family val="2"/>
          </rPr>
          <t xml:space="preserve">
Adjusted Capacity based upon HF Factor</t>
        </r>
      </text>
    </comment>
    <comment ref="L4003" authorId="0" shapeId="0">
      <text>
        <r>
          <rPr>
            <b/>
            <sz val="9"/>
            <color indexed="81"/>
            <rFont val="Tahoma"/>
            <family val="2"/>
          </rPr>
          <t>Author:</t>
        </r>
        <r>
          <rPr>
            <sz val="9"/>
            <color indexed="81"/>
            <rFont val="Tahoma"/>
            <family val="2"/>
          </rPr>
          <t xml:space="preserve">
Adjusted Capacity based upon HF Factor</t>
        </r>
      </text>
    </comment>
    <comment ref="L4005" authorId="0" shapeId="0">
      <text>
        <r>
          <rPr>
            <b/>
            <sz val="9"/>
            <color indexed="81"/>
            <rFont val="Tahoma"/>
            <family val="2"/>
          </rPr>
          <t>Author:</t>
        </r>
        <r>
          <rPr>
            <sz val="9"/>
            <color indexed="81"/>
            <rFont val="Tahoma"/>
            <family val="2"/>
          </rPr>
          <t xml:space="preserve">
Adjusted Capacity based upon HF Factor</t>
        </r>
      </text>
    </comment>
    <comment ref="L4007" authorId="0" shapeId="0">
      <text>
        <r>
          <rPr>
            <b/>
            <sz val="9"/>
            <color indexed="81"/>
            <rFont val="Tahoma"/>
            <family val="2"/>
          </rPr>
          <t>Author:</t>
        </r>
        <r>
          <rPr>
            <sz val="9"/>
            <color indexed="81"/>
            <rFont val="Tahoma"/>
            <family val="2"/>
          </rPr>
          <t xml:space="preserve">
Adjusted Capacity based upon HF Factor</t>
        </r>
      </text>
    </comment>
    <comment ref="L4009" authorId="0" shapeId="0">
      <text>
        <r>
          <rPr>
            <b/>
            <sz val="9"/>
            <color indexed="81"/>
            <rFont val="Tahoma"/>
            <family val="2"/>
          </rPr>
          <t>Author:</t>
        </r>
        <r>
          <rPr>
            <sz val="9"/>
            <color indexed="81"/>
            <rFont val="Tahoma"/>
            <family val="2"/>
          </rPr>
          <t xml:space="preserve">
Adjusted Capacity based upon HF Factor</t>
        </r>
      </text>
    </comment>
    <comment ref="L4011" authorId="0" shapeId="0">
      <text>
        <r>
          <rPr>
            <b/>
            <sz val="9"/>
            <color indexed="81"/>
            <rFont val="Tahoma"/>
            <family val="2"/>
          </rPr>
          <t>Author:</t>
        </r>
        <r>
          <rPr>
            <sz val="9"/>
            <color indexed="81"/>
            <rFont val="Tahoma"/>
            <family val="2"/>
          </rPr>
          <t xml:space="preserve">
Adjusted Capacity based upon HF Factor</t>
        </r>
      </text>
    </comment>
    <comment ref="L4013" authorId="0" shapeId="0">
      <text>
        <r>
          <rPr>
            <b/>
            <sz val="9"/>
            <color indexed="81"/>
            <rFont val="Tahoma"/>
            <family val="2"/>
          </rPr>
          <t>Author:</t>
        </r>
        <r>
          <rPr>
            <sz val="9"/>
            <color indexed="81"/>
            <rFont val="Tahoma"/>
            <family val="2"/>
          </rPr>
          <t xml:space="preserve">
Adjusted Capacity based upon HF Factor</t>
        </r>
      </text>
    </comment>
    <comment ref="L4017" authorId="0" shapeId="0">
      <text>
        <r>
          <rPr>
            <b/>
            <sz val="9"/>
            <color indexed="81"/>
            <rFont val="Tahoma"/>
            <family val="2"/>
          </rPr>
          <t>Author:</t>
        </r>
        <r>
          <rPr>
            <sz val="9"/>
            <color indexed="81"/>
            <rFont val="Tahoma"/>
            <family val="2"/>
          </rPr>
          <t xml:space="preserve">
Adjusted Capacity based upon HF Factor</t>
        </r>
      </text>
    </comment>
    <comment ref="L4021" authorId="0" shapeId="0">
      <text>
        <r>
          <rPr>
            <b/>
            <sz val="9"/>
            <color indexed="81"/>
            <rFont val="Tahoma"/>
            <family val="2"/>
          </rPr>
          <t>Author:</t>
        </r>
        <r>
          <rPr>
            <sz val="9"/>
            <color indexed="81"/>
            <rFont val="Tahoma"/>
            <family val="2"/>
          </rPr>
          <t xml:space="preserve">
Adjusted Capacity based upon HF Factor</t>
        </r>
      </text>
    </comment>
    <comment ref="L4025" authorId="0" shapeId="0">
      <text>
        <r>
          <rPr>
            <b/>
            <sz val="9"/>
            <color indexed="81"/>
            <rFont val="Tahoma"/>
            <family val="2"/>
          </rPr>
          <t>Author:</t>
        </r>
        <r>
          <rPr>
            <sz val="9"/>
            <color indexed="81"/>
            <rFont val="Tahoma"/>
            <family val="2"/>
          </rPr>
          <t xml:space="preserve">
Adjusted Capacity based upon HF Factor</t>
        </r>
      </text>
    </comment>
    <comment ref="L4029" authorId="0" shapeId="0">
      <text>
        <r>
          <rPr>
            <b/>
            <sz val="9"/>
            <color indexed="81"/>
            <rFont val="Tahoma"/>
            <family val="2"/>
          </rPr>
          <t>Author:</t>
        </r>
        <r>
          <rPr>
            <sz val="9"/>
            <color indexed="81"/>
            <rFont val="Tahoma"/>
            <family val="2"/>
          </rPr>
          <t xml:space="preserve">
Adjusted Capacity based upon HF Factor</t>
        </r>
      </text>
    </comment>
    <comment ref="L4033" authorId="0" shapeId="0">
      <text>
        <r>
          <rPr>
            <b/>
            <sz val="9"/>
            <color indexed="81"/>
            <rFont val="Tahoma"/>
            <family val="2"/>
          </rPr>
          <t>Author:</t>
        </r>
        <r>
          <rPr>
            <sz val="9"/>
            <color indexed="81"/>
            <rFont val="Tahoma"/>
            <family val="2"/>
          </rPr>
          <t xml:space="preserve">
Adjusted Capacity based upon HF Factor</t>
        </r>
      </text>
    </comment>
    <comment ref="L4037" authorId="0" shapeId="0">
      <text>
        <r>
          <rPr>
            <b/>
            <sz val="9"/>
            <color indexed="81"/>
            <rFont val="Tahoma"/>
            <family val="2"/>
          </rPr>
          <t>Author:</t>
        </r>
        <r>
          <rPr>
            <sz val="9"/>
            <color indexed="81"/>
            <rFont val="Tahoma"/>
            <family val="2"/>
          </rPr>
          <t xml:space="preserve">
Adjusted Capacity based upon HF Factor</t>
        </r>
      </text>
    </comment>
    <comment ref="L4039" authorId="0" shapeId="0">
      <text>
        <r>
          <rPr>
            <b/>
            <sz val="9"/>
            <color indexed="81"/>
            <rFont val="Tahoma"/>
            <family val="2"/>
          </rPr>
          <t>Author:</t>
        </r>
        <r>
          <rPr>
            <sz val="9"/>
            <color indexed="81"/>
            <rFont val="Tahoma"/>
            <family val="2"/>
          </rPr>
          <t xml:space="preserve">
Adjusted Capacity based upon HF Factor</t>
        </r>
      </text>
    </comment>
    <comment ref="L4041" authorId="0" shapeId="0">
      <text>
        <r>
          <rPr>
            <b/>
            <sz val="9"/>
            <color indexed="81"/>
            <rFont val="Tahoma"/>
            <family val="2"/>
          </rPr>
          <t>Author:</t>
        </r>
        <r>
          <rPr>
            <sz val="9"/>
            <color indexed="81"/>
            <rFont val="Tahoma"/>
            <family val="2"/>
          </rPr>
          <t xml:space="preserve">
Adjusted Capacity based upon HF Factor</t>
        </r>
      </text>
    </comment>
    <comment ref="L4043" authorId="0" shapeId="0">
      <text>
        <r>
          <rPr>
            <b/>
            <sz val="9"/>
            <color indexed="81"/>
            <rFont val="Tahoma"/>
            <family val="2"/>
          </rPr>
          <t>Author:</t>
        </r>
        <r>
          <rPr>
            <sz val="9"/>
            <color indexed="81"/>
            <rFont val="Tahoma"/>
            <family val="2"/>
          </rPr>
          <t xml:space="preserve">
Adjusted Capacity based upon HF Factor</t>
        </r>
      </text>
    </comment>
    <comment ref="L4045" authorId="0" shapeId="0">
      <text>
        <r>
          <rPr>
            <b/>
            <sz val="9"/>
            <color indexed="81"/>
            <rFont val="Tahoma"/>
            <family val="2"/>
          </rPr>
          <t>Author:</t>
        </r>
        <r>
          <rPr>
            <sz val="9"/>
            <color indexed="81"/>
            <rFont val="Tahoma"/>
            <family val="2"/>
          </rPr>
          <t xml:space="preserve">
Adjusted Capacity based upon HF Factor</t>
        </r>
      </text>
    </comment>
    <comment ref="L4047" authorId="0" shapeId="0">
      <text>
        <r>
          <rPr>
            <b/>
            <sz val="9"/>
            <color indexed="81"/>
            <rFont val="Tahoma"/>
            <family val="2"/>
          </rPr>
          <t>Author:</t>
        </r>
        <r>
          <rPr>
            <sz val="9"/>
            <color indexed="81"/>
            <rFont val="Tahoma"/>
            <family val="2"/>
          </rPr>
          <t xml:space="preserve">
Adjusted Capacity based upon HF Factor</t>
        </r>
      </text>
    </comment>
    <comment ref="L4051" authorId="0" shapeId="0">
      <text>
        <r>
          <rPr>
            <b/>
            <sz val="9"/>
            <color indexed="81"/>
            <rFont val="Tahoma"/>
            <family val="2"/>
          </rPr>
          <t>Author:</t>
        </r>
        <r>
          <rPr>
            <sz val="9"/>
            <color indexed="81"/>
            <rFont val="Tahoma"/>
            <family val="2"/>
          </rPr>
          <t xml:space="preserve">
Adjusted Capacity based upon HF Factor</t>
        </r>
      </text>
    </comment>
    <comment ref="L4053" authorId="0" shapeId="0">
      <text>
        <r>
          <rPr>
            <b/>
            <sz val="9"/>
            <color indexed="81"/>
            <rFont val="Tahoma"/>
            <family val="2"/>
          </rPr>
          <t>Author:</t>
        </r>
        <r>
          <rPr>
            <sz val="9"/>
            <color indexed="81"/>
            <rFont val="Tahoma"/>
            <family val="2"/>
          </rPr>
          <t xml:space="preserve">
Adjusted Capacity based upon HF Factor</t>
        </r>
      </text>
    </comment>
    <comment ref="L4057" authorId="0" shapeId="0">
      <text>
        <r>
          <rPr>
            <b/>
            <sz val="9"/>
            <color indexed="81"/>
            <rFont val="Tahoma"/>
            <family val="2"/>
          </rPr>
          <t>Author:</t>
        </r>
        <r>
          <rPr>
            <sz val="9"/>
            <color indexed="81"/>
            <rFont val="Tahoma"/>
            <family val="2"/>
          </rPr>
          <t xml:space="preserve">
Adjusted Capacity based upon HF Factor</t>
        </r>
      </text>
    </comment>
    <comment ref="L4059" authorId="0" shapeId="0">
      <text>
        <r>
          <rPr>
            <b/>
            <sz val="9"/>
            <color indexed="81"/>
            <rFont val="Tahoma"/>
            <family val="2"/>
          </rPr>
          <t>Author:</t>
        </r>
        <r>
          <rPr>
            <sz val="9"/>
            <color indexed="81"/>
            <rFont val="Tahoma"/>
            <family val="2"/>
          </rPr>
          <t xml:space="preserve">
Adjusted Capacity based upon HF Factor</t>
        </r>
      </text>
    </comment>
    <comment ref="L4063" authorId="0" shapeId="0">
      <text>
        <r>
          <rPr>
            <b/>
            <sz val="9"/>
            <color indexed="81"/>
            <rFont val="Tahoma"/>
            <family val="2"/>
          </rPr>
          <t>Author:</t>
        </r>
        <r>
          <rPr>
            <sz val="9"/>
            <color indexed="81"/>
            <rFont val="Tahoma"/>
            <family val="2"/>
          </rPr>
          <t xml:space="preserve">
Adjusted Capacity based upon HF Factor</t>
        </r>
      </text>
    </comment>
    <comment ref="L4065" authorId="0" shapeId="0">
      <text>
        <r>
          <rPr>
            <b/>
            <sz val="9"/>
            <color indexed="81"/>
            <rFont val="Tahoma"/>
            <family val="2"/>
          </rPr>
          <t>Author:</t>
        </r>
        <r>
          <rPr>
            <sz val="9"/>
            <color indexed="81"/>
            <rFont val="Tahoma"/>
            <family val="2"/>
          </rPr>
          <t xml:space="preserve">
Adjusted Capacity based upon HF Factor</t>
        </r>
      </text>
    </comment>
    <comment ref="L4069" authorId="0" shapeId="0">
      <text>
        <r>
          <rPr>
            <b/>
            <sz val="9"/>
            <color indexed="81"/>
            <rFont val="Tahoma"/>
            <family val="2"/>
          </rPr>
          <t>Author:</t>
        </r>
        <r>
          <rPr>
            <sz val="9"/>
            <color indexed="81"/>
            <rFont val="Tahoma"/>
            <family val="2"/>
          </rPr>
          <t xml:space="preserve">
Adjusted Capacity based upon HF Factor</t>
        </r>
      </text>
    </comment>
    <comment ref="L4073" authorId="0" shapeId="0">
      <text>
        <r>
          <rPr>
            <b/>
            <sz val="9"/>
            <color indexed="81"/>
            <rFont val="Tahoma"/>
            <family val="2"/>
          </rPr>
          <t>Author:</t>
        </r>
        <r>
          <rPr>
            <sz val="9"/>
            <color indexed="81"/>
            <rFont val="Tahoma"/>
            <family val="2"/>
          </rPr>
          <t xml:space="preserve">
Adjusted Capacity based upon HF Factor</t>
        </r>
      </text>
    </comment>
    <comment ref="L4077" authorId="0" shapeId="0">
      <text>
        <r>
          <rPr>
            <b/>
            <sz val="9"/>
            <color indexed="81"/>
            <rFont val="Tahoma"/>
            <family val="2"/>
          </rPr>
          <t>Author:</t>
        </r>
        <r>
          <rPr>
            <sz val="9"/>
            <color indexed="81"/>
            <rFont val="Tahoma"/>
            <family val="2"/>
          </rPr>
          <t xml:space="preserve">
Adjusted Capacity based upon HF Factor</t>
        </r>
      </text>
    </comment>
    <comment ref="L4081" authorId="0" shapeId="0">
      <text>
        <r>
          <rPr>
            <b/>
            <sz val="9"/>
            <color indexed="81"/>
            <rFont val="Tahoma"/>
            <family val="2"/>
          </rPr>
          <t>Author:</t>
        </r>
        <r>
          <rPr>
            <sz val="9"/>
            <color indexed="81"/>
            <rFont val="Tahoma"/>
            <family val="2"/>
          </rPr>
          <t xml:space="preserve">
Adjusted Capacity based upon HF Factor</t>
        </r>
      </text>
    </comment>
    <comment ref="L4085" authorId="0" shapeId="0">
      <text>
        <r>
          <rPr>
            <b/>
            <sz val="9"/>
            <color indexed="81"/>
            <rFont val="Tahoma"/>
            <family val="2"/>
          </rPr>
          <t>Author:</t>
        </r>
        <r>
          <rPr>
            <sz val="9"/>
            <color indexed="81"/>
            <rFont val="Tahoma"/>
            <family val="2"/>
          </rPr>
          <t xml:space="preserve">
Adjusted Capacity based upon HF Factor</t>
        </r>
      </text>
    </comment>
    <comment ref="L4089" authorId="0" shapeId="0">
      <text>
        <r>
          <rPr>
            <b/>
            <sz val="9"/>
            <color indexed="81"/>
            <rFont val="Tahoma"/>
            <family val="2"/>
          </rPr>
          <t>Author:</t>
        </r>
        <r>
          <rPr>
            <sz val="9"/>
            <color indexed="81"/>
            <rFont val="Tahoma"/>
            <family val="2"/>
          </rPr>
          <t xml:space="preserve">
Adjusted Capacity based upon HF Factor</t>
        </r>
      </text>
    </comment>
    <comment ref="X4089" authorId="0" shapeId="0">
      <text>
        <r>
          <rPr>
            <b/>
            <sz val="14"/>
            <color indexed="81"/>
            <rFont val="Tahoma"/>
            <family val="2"/>
          </rPr>
          <t xml:space="preserve">These highlighted "Green" include a corrections to the forumula. It was previously pointing to an incorrect cell reference
</t>
        </r>
      </text>
    </comment>
    <comment ref="L4093" authorId="0" shapeId="0">
      <text>
        <r>
          <rPr>
            <b/>
            <sz val="9"/>
            <color indexed="81"/>
            <rFont val="Tahoma"/>
            <family val="2"/>
          </rPr>
          <t>Author:</t>
        </r>
        <r>
          <rPr>
            <sz val="9"/>
            <color indexed="81"/>
            <rFont val="Tahoma"/>
            <family val="2"/>
          </rPr>
          <t xml:space="preserve">
Adjusted Capacity based upon HF Factor</t>
        </r>
      </text>
    </comment>
    <comment ref="L4097" authorId="0" shapeId="0">
      <text>
        <r>
          <rPr>
            <b/>
            <sz val="9"/>
            <color indexed="81"/>
            <rFont val="Tahoma"/>
            <family val="2"/>
          </rPr>
          <t>Author:</t>
        </r>
        <r>
          <rPr>
            <sz val="9"/>
            <color indexed="81"/>
            <rFont val="Tahoma"/>
            <family val="2"/>
          </rPr>
          <t xml:space="preserve">
Adjusted Capacity based upon HF Factor</t>
        </r>
      </text>
    </comment>
    <comment ref="L4101" authorId="0" shapeId="0">
      <text>
        <r>
          <rPr>
            <b/>
            <sz val="9"/>
            <color indexed="81"/>
            <rFont val="Tahoma"/>
            <family val="2"/>
          </rPr>
          <t>Author:</t>
        </r>
        <r>
          <rPr>
            <sz val="9"/>
            <color indexed="81"/>
            <rFont val="Tahoma"/>
            <family val="2"/>
          </rPr>
          <t xml:space="preserve">
Adjusted Capacity based upon HF Factor</t>
        </r>
      </text>
    </comment>
    <comment ref="L4105" authorId="0" shapeId="0">
      <text>
        <r>
          <rPr>
            <b/>
            <sz val="9"/>
            <color indexed="81"/>
            <rFont val="Tahoma"/>
            <family val="2"/>
          </rPr>
          <t>Author:</t>
        </r>
        <r>
          <rPr>
            <sz val="9"/>
            <color indexed="81"/>
            <rFont val="Tahoma"/>
            <family val="2"/>
          </rPr>
          <t xml:space="preserve">
Adjusted Capacity based upon HF Factor</t>
        </r>
      </text>
    </comment>
    <comment ref="L4109" authorId="0" shapeId="0">
      <text>
        <r>
          <rPr>
            <b/>
            <sz val="9"/>
            <color indexed="81"/>
            <rFont val="Tahoma"/>
            <family val="2"/>
          </rPr>
          <t>Author:</t>
        </r>
        <r>
          <rPr>
            <sz val="9"/>
            <color indexed="81"/>
            <rFont val="Tahoma"/>
            <family val="2"/>
          </rPr>
          <t xml:space="preserve">
Adjusted Capacity based upon HF Factor</t>
        </r>
      </text>
    </comment>
    <comment ref="L4113" authorId="0" shapeId="0">
      <text>
        <r>
          <rPr>
            <b/>
            <sz val="9"/>
            <color indexed="81"/>
            <rFont val="Tahoma"/>
            <family val="2"/>
          </rPr>
          <t>Author:</t>
        </r>
        <r>
          <rPr>
            <sz val="9"/>
            <color indexed="81"/>
            <rFont val="Tahoma"/>
            <family val="2"/>
          </rPr>
          <t xml:space="preserve">
Adjusted Capacity based upon HF Factor</t>
        </r>
      </text>
    </comment>
    <comment ref="L4117" authorId="0" shapeId="0">
      <text>
        <r>
          <rPr>
            <b/>
            <sz val="9"/>
            <color indexed="81"/>
            <rFont val="Tahoma"/>
            <family val="2"/>
          </rPr>
          <t>Author:</t>
        </r>
        <r>
          <rPr>
            <sz val="9"/>
            <color indexed="81"/>
            <rFont val="Tahoma"/>
            <family val="2"/>
          </rPr>
          <t xml:space="preserve">
Adjusted Capacity based upon HF Factor</t>
        </r>
      </text>
    </comment>
    <comment ref="L4121" authorId="0" shapeId="0">
      <text>
        <r>
          <rPr>
            <b/>
            <sz val="9"/>
            <color indexed="81"/>
            <rFont val="Tahoma"/>
            <family val="2"/>
          </rPr>
          <t>Author:</t>
        </r>
        <r>
          <rPr>
            <sz val="9"/>
            <color indexed="81"/>
            <rFont val="Tahoma"/>
            <family val="2"/>
          </rPr>
          <t xml:space="preserve">
Adjusted Capacity based upon HF Factor</t>
        </r>
      </text>
    </comment>
    <comment ref="L4125" authorId="0" shapeId="0">
      <text>
        <r>
          <rPr>
            <b/>
            <sz val="9"/>
            <color indexed="81"/>
            <rFont val="Tahoma"/>
            <family val="2"/>
          </rPr>
          <t>Author:</t>
        </r>
        <r>
          <rPr>
            <sz val="9"/>
            <color indexed="81"/>
            <rFont val="Tahoma"/>
            <family val="2"/>
          </rPr>
          <t xml:space="preserve">
Adjusted Capacity based upon HF Factor</t>
        </r>
      </text>
    </comment>
    <comment ref="L4129" authorId="0" shapeId="0">
      <text>
        <r>
          <rPr>
            <b/>
            <sz val="9"/>
            <color indexed="81"/>
            <rFont val="Tahoma"/>
            <family val="2"/>
          </rPr>
          <t>Author:</t>
        </r>
        <r>
          <rPr>
            <sz val="9"/>
            <color indexed="81"/>
            <rFont val="Tahoma"/>
            <family val="2"/>
          </rPr>
          <t xml:space="preserve">
Adjusted Capacity based upon HF Factor</t>
        </r>
      </text>
    </comment>
    <comment ref="L4133" authorId="0" shapeId="0">
      <text>
        <r>
          <rPr>
            <b/>
            <sz val="9"/>
            <color indexed="81"/>
            <rFont val="Tahoma"/>
            <family val="2"/>
          </rPr>
          <t>Author:</t>
        </r>
        <r>
          <rPr>
            <sz val="9"/>
            <color indexed="81"/>
            <rFont val="Tahoma"/>
            <family val="2"/>
          </rPr>
          <t xml:space="preserve">
Adjusted Capacity based upon HF Factor</t>
        </r>
      </text>
    </comment>
    <comment ref="L4137" authorId="0" shapeId="0">
      <text>
        <r>
          <rPr>
            <b/>
            <sz val="9"/>
            <color indexed="81"/>
            <rFont val="Tahoma"/>
            <family val="2"/>
          </rPr>
          <t>Author:</t>
        </r>
        <r>
          <rPr>
            <sz val="9"/>
            <color indexed="81"/>
            <rFont val="Tahoma"/>
            <family val="2"/>
          </rPr>
          <t xml:space="preserve">
Adjusted Capacity based upon HF Factor</t>
        </r>
      </text>
    </comment>
    <comment ref="L4141" authorId="0" shapeId="0">
      <text>
        <r>
          <rPr>
            <b/>
            <sz val="9"/>
            <color indexed="81"/>
            <rFont val="Tahoma"/>
            <family val="2"/>
          </rPr>
          <t>Author:</t>
        </r>
        <r>
          <rPr>
            <sz val="9"/>
            <color indexed="81"/>
            <rFont val="Tahoma"/>
            <family val="2"/>
          </rPr>
          <t xml:space="preserve">
Adjusted Capacity based upon HF Factor</t>
        </r>
      </text>
    </comment>
    <comment ref="L4145" authorId="0" shapeId="0">
      <text>
        <r>
          <rPr>
            <b/>
            <sz val="9"/>
            <color indexed="81"/>
            <rFont val="Tahoma"/>
            <family val="2"/>
          </rPr>
          <t>Author:</t>
        </r>
        <r>
          <rPr>
            <sz val="9"/>
            <color indexed="81"/>
            <rFont val="Tahoma"/>
            <family val="2"/>
          </rPr>
          <t xml:space="preserve">
Adjusted Capacity based upon HF Factor</t>
        </r>
      </text>
    </comment>
    <comment ref="L4149" authorId="0" shapeId="0">
      <text>
        <r>
          <rPr>
            <b/>
            <sz val="9"/>
            <color indexed="81"/>
            <rFont val="Tahoma"/>
            <family val="2"/>
          </rPr>
          <t>Author:</t>
        </r>
        <r>
          <rPr>
            <sz val="9"/>
            <color indexed="81"/>
            <rFont val="Tahoma"/>
            <family val="2"/>
          </rPr>
          <t xml:space="preserve">
Adjusted Capacity based upon HF Factor</t>
        </r>
      </text>
    </comment>
    <comment ref="L4153" authorId="0" shapeId="0">
      <text>
        <r>
          <rPr>
            <b/>
            <sz val="9"/>
            <color indexed="81"/>
            <rFont val="Tahoma"/>
            <family val="2"/>
          </rPr>
          <t>Author:</t>
        </r>
        <r>
          <rPr>
            <sz val="9"/>
            <color indexed="81"/>
            <rFont val="Tahoma"/>
            <family val="2"/>
          </rPr>
          <t xml:space="preserve">
Adjusted Capacity based upon HF Factor</t>
        </r>
      </text>
    </comment>
    <comment ref="L4157" authorId="0" shapeId="0">
      <text>
        <r>
          <rPr>
            <b/>
            <sz val="9"/>
            <color indexed="81"/>
            <rFont val="Tahoma"/>
            <family val="2"/>
          </rPr>
          <t>Author:</t>
        </r>
        <r>
          <rPr>
            <sz val="9"/>
            <color indexed="81"/>
            <rFont val="Tahoma"/>
            <family val="2"/>
          </rPr>
          <t xml:space="preserve">
Adjusted Capacity based upon HF Factor</t>
        </r>
      </text>
    </comment>
    <comment ref="L4161" authorId="0" shapeId="0">
      <text>
        <r>
          <rPr>
            <b/>
            <sz val="9"/>
            <color indexed="81"/>
            <rFont val="Tahoma"/>
            <family val="2"/>
          </rPr>
          <t>Author:</t>
        </r>
        <r>
          <rPr>
            <sz val="9"/>
            <color indexed="81"/>
            <rFont val="Tahoma"/>
            <family val="2"/>
          </rPr>
          <t xml:space="preserve">
Adjusted Capacity based upon HF Factor</t>
        </r>
      </text>
    </comment>
    <comment ref="L4165" authorId="0" shapeId="0">
      <text>
        <r>
          <rPr>
            <b/>
            <sz val="9"/>
            <color indexed="81"/>
            <rFont val="Tahoma"/>
            <family val="2"/>
          </rPr>
          <t>Author:</t>
        </r>
        <r>
          <rPr>
            <sz val="9"/>
            <color indexed="81"/>
            <rFont val="Tahoma"/>
            <family val="2"/>
          </rPr>
          <t xml:space="preserve">
Adjusted Capacity based upon HF Factor</t>
        </r>
      </text>
    </comment>
    <comment ref="L4167" authorId="0" shapeId="0">
      <text>
        <r>
          <rPr>
            <b/>
            <sz val="9"/>
            <color indexed="81"/>
            <rFont val="Tahoma"/>
            <family val="2"/>
          </rPr>
          <t>Author:</t>
        </r>
        <r>
          <rPr>
            <sz val="9"/>
            <color indexed="81"/>
            <rFont val="Tahoma"/>
            <family val="2"/>
          </rPr>
          <t xml:space="preserve">
Adjusted Capacity based upon HF Factor</t>
        </r>
      </text>
    </comment>
    <comment ref="L4171" authorId="0" shapeId="0">
      <text>
        <r>
          <rPr>
            <b/>
            <sz val="9"/>
            <color indexed="81"/>
            <rFont val="Tahoma"/>
            <family val="2"/>
          </rPr>
          <t>Author:</t>
        </r>
        <r>
          <rPr>
            <sz val="9"/>
            <color indexed="81"/>
            <rFont val="Tahoma"/>
            <family val="2"/>
          </rPr>
          <t xml:space="preserve">
Adjusted Capacity based upon HF Factor</t>
        </r>
      </text>
    </comment>
    <comment ref="L4175" authorId="0" shapeId="0">
      <text>
        <r>
          <rPr>
            <b/>
            <sz val="9"/>
            <color indexed="81"/>
            <rFont val="Tahoma"/>
            <family val="2"/>
          </rPr>
          <t>Author:</t>
        </r>
        <r>
          <rPr>
            <sz val="9"/>
            <color indexed="81"/>
            <rFont val="Tahoma"/>
            <family val="2"/>
          </rPr>
          <t xml:space="preserve">
Adjusted Capacity based upon HF Factor</t>
        </r>
      </text>
    </comment>
    <comment ref="L4179" authorId="0" shapeId="0">
      <text>
        <r>
          <rPr>
            <b/>
            <sz val="9"/>
            <color indexed="81"/>
            <rFont val="Tahoma"/>
            <family val="2"/>
          </rPr>
          <t>Author:</t>
        </r>
        <r>
          <rPr>
            <sz val="9"/>
            <color indexed="81"/>
            <rFont val="Tahoma"/>
            <family val="2"/>
          </rPr>
          <t xml:space="preserve">
Adjusted Capacity based upon HF Factor</t>
        </r>
      </text>
    </comment>
    <comment ref="L4183" authorId="0" shapeId="0">
      <text>
        <r>
          <rPr>
            <b/>
            <sz val="9"/>
            <color indexed="81"/>
            <rFont val="Tahoma"/>
            <family val="2"/>
          </rPr>
          <t>Author:</t>
        </r>
        <r>
          <rPr>
            <sz val="9"/>
            <color indexed="81"/>
            <rFont val="Tahoma"/>
            <family val="2"/>
          </rPr>
          <t xml:space="preserve">
Adjusted Capacity based upon HF Factor</t>
        </r>
      </text>
    </comment>
    <comment ref="L4187" authorId="0" shapeId="0">
      <text>
        <r>
          <rPr>
            <b/>
            <sz val="9"/>
            <color indexed="81"/>
            <rFont val="Tahoma"/>
            <family val="2"/>
          </rPr>
          <t>Author:</t>
        </r>
        <r>
          <rPr>
            <sz val="9"/>
            <color indexed="81"/>
            <rFont val="Tahoma"/>
            <family val="2"/>
          </rPr>
          <t xml:space="preserve">
Adjusted Capacity based upon HF Factor</t>
        </r>
      </text>
    </comment>
    <comment ref="L4191" authorId="0" shapeId="0">
      <text>
        <r>
          <rPr>
            <b/>
            <sz val="9"/>
            <color indexed="81"/>
            <rFont val="Tahoma"/>
            <family val="2"/>
          </rPr>
          <t>Author:</t>
        </r>
        <r>
          <rPr>
            <sz val="9"/>
            <color indexed="81"/>
            <rFont val="Tahoma"/>
            <family val="2"/>
          </rPr>
          <t xml:space="preserve">
Adjusted Capacity based upon HF Factor</t>
        </r>
      </text>
    </comment>
    <comment ref="L4195" authorId="0" shapeId="0">
      <text>
        <r>
          <rPr>
            <b/>
            <sz val="9"/>
            <color indexed="81"/>
            <rFont val="Tahoma"/>
            <family val="2"/>
          </rPr>
          <t>Author:</t>
        </r>
        <r>
          <rPr>
            <sz val="9"/>
            <color indexed="81"/>
            <rFont val="Tahoma"/>
            <family val="2"/>
          </rPr>
          <t xml:space="preserve">
Adjusted Capacity based upon HF Factor</t>
        </r>
      </text>
    </comment>
    <comment ref="L4197" authorId="0" shapeId="0">
      <text>
        <r>
          <rPr>
            <b/>
            <sz val="9"/>
            <color indexed="81"/>
            <rFont val="Tahoma"/>
            <family val="2"/>
          </rPr>
          <t>Author:</t>
        </r>
        <r>
          <rPr>
            <sz val="9"/>
            <color indexed="81"/>
            <rFont val="Tahoma"/>
            <family val="2"/>
          </rPr>
          <t xml:space="preserve">
Adjusted Capacity based upon HF Factor</t>
        </r>
      </text>
    </comment>
    <comment ref="L4199" authorId="0" shapeId="0">
      <text>
        <r>
          <rPr>
            <b/>
            <sz val="9"/>
            <color indexed="81"/>
            <rFont val="Tahoma"/>
            <family val="2"/>
          </rPr>
          <t>Author:</t>
        </r>
        <r>
          <rPr>
            <sz val="9"/>
            <color indexed="81"/>
            <rFont val="Tahoma"/>
            <family val="2"/>
          </rPr>
          <t xml:space="preserve">
Adjusted Capacity based upon HF Factor</t>
        </r>
      </text>
    </comment>
    <comment ref="L4201" authorId="0" shapeId="0">
      <text>
        <r>
          <rPr>
            <b/>
            <sz val="9"/>
            <color indexed="81"/>
            <rFont val="Tahoma"/>
            <family val="2"/>
          </rPr>
          <t>Author:</t>
        </r>
        <r>
          <rPr>
            <sz val="9"/>
            <color indexed="81"/>
            <rFont val="Tahoma"/>
            <family val="2"/>
          </rPr>
          <t xml:space="preserve">
Adjusted Capacity based upon HF Factor</t>
        </r>
      </text>
    </comment>
    <comment ref="L4203" authorId="0" shapeId="0">
      <text>
        <r>
          <rPr>
            <b/>
            <sz val="9"/>
            <color indexed="81"/>
            <rFont val="Tahoma"/>
            <family val="2"/>
          </rPr>
          <t>Author:</t>
        </r>
        <r>
          <rPr>
            <sz val="9"/>
            <color indexed="81"/>
            <rFont val="Tahoma"/>
            <family val="2"/>
          </rPr>
          <t xml:space="preserve">
Adjusted Capacity based upon HF Factor</t>
        </r>
      </text>
    </comment>
    <comment ref="L4205" authorId="0" shapeId="0">
      <text>
        <r>
          <rPr>
            <b/>
            <sz val="9"/>
            <color indexed="81"/>
            <rFont val="Tahoma"/>
            <family val="2"/>
          </rPr>
          <t>Author:</t>
        </r>
        <r>
          <rPr>
            <sz val="9"/>
            <color indexed="81"/>
            <rFont val="Tahoma"/>
            <family val="2"/>
          </rPr>
          <t xml:space="preserve">
Adjusted Capacity based upon HF Factor</t>
        </r>
      </text>
    </comment>
    <comment ref="L4209" authorId="0" shapeId="0">
      <text>
        <r>
          <rPr>
            <b/>
            <sz val="9"/>
            <color indexed="81"/>
            <rFont val="Tahoma"/>
            <family val="2"/>
          </rPr>
          <t>Author:</t>
        </r>
        <r>
          <rPr>
            <sz val="9"/>
            <color indexed="81"/>
            <rFont val="Tahoma"/>
            <family val="2"/>
          </rPr>
          <t xml:space="preserve">
Adjusted Capacity based upon HF Factor</t>
        </r>
      </text>
    </comment>
    <comment ref="L4213" authorId="0" shapeId="0">
      <text>
        <r>
          <rPr>
            <b/>
            <sz val="9"/>
            <color indexed="81"/>
            <rFont val="Tahoma"/>
            <family val="2"/>
          </rPr>
          <t>Author:</t>
        </r>
        <r>
          <rPr>
            <sz val="9"/>
            <color indexed="81"/>
            <rFont val="Tahoma"/>
            <family val="2"/>
          </rPr>
          <t xml:space="preserve">
Adjusted Capacity based upon HF Factor</t>
        </r>
      </text>
    </comment>
    <comment ref="L4215" authorId="0" shapeId="0">
      <text>
        <r>
          <rPr>
            <b/>
            <sz val="9"/>
            <color indexed="81"/>
            <rFont val="Tahoma"/>
            <family val="2"/>
          </rPr>
          <t>Author:</t>
        </r>
        <r>
          <rPr>
            <sz val="9"/>
            <color indexed="81"/>
            <rFont val="Tahoma"/>
            <family val="2"/>
          </rPr>
          <t xml:space="preserve">
Adjusted Capacity based upon HF Factor</t>
        </r>
      </text>
    </comment>
    <comment ref="L4217" authorId="0" shapeId="0">
      <text>
        <r>
          <rPr>
            <b/>
            <sz val="9"/>
            <color indexed="81"/>
            <rFont val="Tahoma"/>
            <family val="2"/>
          </rPr>
          <t>Author:</t>
        </r>
        <r>
          <rPr>
            <sz val="9"/>
            <color indexed="81"/>
            <rFont val="Tahoma"/>
            <family val="2"/>
          </rPr>
          <t xml:space="preserve">
Adjusted Capacity based upon HF Factor</t>
        </r>
      </text>
    </comment>
    <comment ref="L4219" authorId="0" shapeId="0">
      <text>
        <r>
          <rPr>
            <b/>
            <sz val="9"/>
            <color indexed="81"/>
            <rFont val="Tahoma"/>
            <family val="2"/>
          </rPr>
          <t>Author:</t>
        </r>
        <r>
          <rPr>
            <sz val="9"/>
            <color indexed="81"/>
            <rFont val="Tahoma"/>
            <family val="2"/>
          </rPr>
          <t xml:space="preserve">
Adjusted Capacity based upon HF Factor</t>
        </r>
      </text>
    </comment>
    <comment ref="L4221" authorId="0" shapeId="0">
      <text>
        <r>
          <rPr>
            <b/>
            <sz val="9"/>
            <color indexed="81"/>
            <rFont val="Tahoma"/>
            <family val="2"/>
          </rPr>
          <t>Author:</t>
        </r>
        <r>
          <rPr>
            <sz val="9"/>
            <color indexed="81"/>
            <rFont val="Tahoma"/>
            <family val="2"/>
          </rPr>
          <t xml:space="preserve">
Adjusted Capacity based upon HF Factor</t>
        </r>
      </text>
    </comment>
    <comment ref="L4223" authorId="0" shapeId="0">
      <text>
        <r>
          <rPr>
            <b/>
            <sz val="9"/>
            <color indexed="81"/>
            <rFont val="Tahoma"/>
            <family val="2"/>
          </rPr>
          <t>Author:</t>
        </r>
        <r>
          <rPr>
            <sz val="9"/>
            <color indexed="81"/>
            <rFont val="Tahoma"/>
            <family val="2"/>
          </rPr>
          <t xml:space="preserve">
Adjusted Capacity based upon HF Factor</t>
        </r>
      </text>
    </comment>
    <comment ref="L4225" authorId="0" shapeId="0">
      <text>
        <r>
          <rPr>
            <b/>
            <sz val="9"/>
            <color indexed="81"/>
            <rFont val="Tahoma"/>
            <family val="2"/>
          </rPr>
          <t>Author:</t>
        </r>
        <r>
          <rPr>
            <sz val="9"/>
            <color indexed="81"/>
            <rFont val="Tahoma"/>
            <family val="2"/>
          </rPr>
          <t xml:space="preserve">
Adjusted Capacity based upon HF Factor</t>
        </r>
      </text>
    </comment>
    <comment ref="L4227" authorId="0" shapeId="0">
      <text>
        <r>
          <rPr>
            <b/>
            <sz val="9"/>
            <color indexed="81"/>
            <rFont val="Tahoma"/>
            <family val="2"/>
          </rPr>
          <t>Author:</t>
        </r>
        <r>
          <rPr>
            <sz val="9"/>
            <color indexed="81"/>
            <rFont val="Tahoma"/>
            <family val="2"/>
          </rPr>
          <t xml:space="preserve">
Adjusted Capacity based upon HF Factor</t>
        </r>
      </text>
    </comment>
    <comment ref="L4229" authorId="0" shapeId="0">
      <text>
        <r>
          <rPr>
            <b/>
            <sz val="9"/>
            <color indexed="81"/>
            <rFont val="Tahoma"/>
            <family val="2"/>
          </rPr>
          <t>Author:</t>
        </r>
        <r>
          <rPr>
            <sz val="9"/>
            <color indexed="81"/>
            <rFont val="Tahoma"/>
            <family val="2"/>
          </rPr>
          <t xml:space="preserve">
Adjusted Capacity based upon HF Factor</t>
        </r>
      </text>
    </comment>
    <comment ref="L4231" authorId="0" shapeId="0">
      <text>
        <r>
          <rPr>
            <b/>
            <sz val="9"/>
            <color indexed="81"/>
            <rFont val="Tahoma"/>
            <family val="2"/>
          </rPr>
          <t>Author:</t>
        </r>
        <r>
          <rPr>
            <sz val="9"/>
            <color indexed="81"/>
            <rFont val="Tahoma"/>
            <family val="2"/>
          </rPr>
          <t xml:space="preserve">
Adjusted Capacity based upon HF Factor</t>
        </r>
      </text>
    </comment>
  </commentList>
</comments>
</file>

<file path=xl/comments5.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G28"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8"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8"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30"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30"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31" authorId="0" shapeId="0">
      <text>
        <r>
          <rPr>
            <b/>
            <sz val="9"/>
            <color indexed="81"/>
            <rFont val="Tahoma"/>
            <family val="2"/>
          </rPr>
          <t xml:space="preserve">SF capacity for same measure *0.65, per Ameren guidance.
</t>
        </r>
      </text>
    </comment>
    <comment ref="X31" authorId="0" shapeId="0">
      <text>
        <r>
          <rPr>
            <b/>
            <sz val="9"/>
            <color indexed="81"/>
            <rFont val="Tahoma"/>
            <family val="2"/>
          </rPr>
          <t xml:space="preserve">SF capacity for same measure *0.65, per Ameren guidance.
</t>
        </r>
      </text>
    </comment>
    <comment ref="G32"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32"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32"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3" authorId="0" shapeId="0">
      <text>
        <r>
          <rPr>
            <b/>
            <sz val="9"/>
            <color indexed="81"/>
            <rFont val="Tahoma"/>
            <family val="2"/>
          </rPr>
          <t>MO TRM</t>
        </r>
        <r>
          <rPr>
            <sz val="9"/>
            <color indexed="81"/>
            <rFont val="Tahoma"/>
            <family val="2"/>
          </rPr>
          <t xml:space="preserve">
</t>
        </r>
      </text>
    </comment>
    <comment ref="W33" authorId="0" shapeId="0">
      <text>
        <r>
          <rPr>
            <b/>
            <sz val="9"/>
            <color indexed="81"/>
            <rFont val="Tahoma"/>
            <family val="2"/>
          </rPr>
          <t>MO TRM</t>
        </r>
        <r>
          <rPr>
            <sz val="9"/>
            <color indexed="81"/>
            <rFont val="Tahoma"/>
            <family val="2"/>
          </rPr>
          <t xml:space="preserve">
</t>
        </r>
      </text>
    </comment>
    <comment ref="X33" authorId="0" shapeId="0">
      <text>
        <r>
          <rPr>
            <b/>
            <sz val="9"/>
            <color indexed="81"/>
            <rFont val="Tahoma"/>
            <family val="2"/>
          </rPr>
          <t>MO TRM</t>
        </r>
        <r>
          <rPr>
            <sz val="9"/>
            <color indexed="81"/>
            <rFont val="Tahoma"/>
            <family val="2"/>
          </rPr>
          <t xml:space="preserve">
</t>
        </r>
      </text>
    </comment>
    <comment ref="G34" authorId="0" shapeId="0">
      <text>
        <r>
          <rPr>
            <b/>
            <sz val="9"/>
            <color indexed="81"/>
            <rFont val="Tahoma"/>
            <family val="2"/>
          </rPr>
          <t>MO TRM
Matches 2015 Heating and Cooling evaluation</t>
        </r>
      </text>
    </comment>
    <comment ref="W34" authorId="0" shapeId="0">
      <text>
        <r>
          <rPr>
            <b/>
            <sz val="9"/>
            <color indexed="81"/>
            <rFont val="Tahoma"/>
            <family val="2"/>
          </rPr>
          <t>MO TRM
Matches 2015 Heating and Cooling evaluation</t>
        </r>
      </text>
    </comment>
    <comment ref="X34" authorId="0" shapeId="0">
      <text>
        <r>
          <rPr>
            <b/>
            <sz val="9"/>
            <color indexed="81"/>
            <rFont val="Tahoma"/>
            <family val="2"/>
          </rPr>
          <t>MO TRM
Matches 2015 Heating and Cooling evaluation</t>
        </r>
      </text>
    </comment>
    <comment ref="G35" authorId="0" shapeId="0">
      <text>
        <r>
          <rPr>
            <b/>
            <sz val="9"/>
            <color indexed="81"/>
            <rFont val="Tahoma"/>
            <family val="2"/>
          </rPr>
          <t>MO TRM</t>
        </r>
        <r>
          <rPr>
            <sz val="9"/>
            <color indexed="81"/>
            <rFont val="Tahoma"/>
            <family val="2"/>
          </rPr>
          <t xml:space="preserve">
</t>
        </r>
      </text>
    </comment>
    <comment ref="W35" authorId="0" shapeId="0">
      <text>
        <r>
          <rPr>
            <b/>
            <sz val="9"/>
            <color indexed="81"/>
            <rFont val="Tahoma"/>
            <family val="2"/>
          </rPr>
          <t>MO TRM</t>
        </r>
        <r>
          <rPr>
            <sz val="9"/>
            <color indexed="81"/>
            <rFont val="Tahoma"/>
            <family val="2"/>
          </rPr>
          <t xml:space="preserve">
</t>
        </r>
      </text>
    </comment>
    <comment ref="X35" authorId="0" shapeId="0">
      <text>
        <r>
          <rPr>
            <b/>
            <sz val="9"/>
            <color indexed="81"/>
            <rFont val="Tahoma"/>
            <family val="2"/>
          </rPr>
          <t>MO TRM</t>
        </r>
        <r>
          <rPr>
            <sz val="9"/>
            <color indexed="81"/>
            <rFont val="Tahoma"/>
            <family val="2"/>
          </rPr>
          <t xml:space="preserve">
</t>
        </r>
      </text>
    </comment>
    <comment ref="G37" authorId="0" shapeId="0">
      <text>
        <r>
          <rPr>
            <b/>
            <sz val="9"/>
            <color indexed="81"/>
            <rFont val="Tahoma"/>
            <family val="2"/>
          </rPr>
          <t>MO TRM</t>
        </r>
        <r>
          <rPr>
            <sz val="9"/>
            <color indexed="81"/>
            <rFont val="Tahoma"/>
            <family val="2"/>
          </rPr>
          <t xml:space="preserve">
</t>
        </r>
      </text>
    </comment>
    <comment ref="W37" authorId="0" shapeId="0">
      <text>
        <r>
          <rPr>
            <b/>
            <sz val="9"/>
            <color indexed="81"/>
            <rFont val="Tahoma"/>
            <family val="2"/>
          </rPr>
          <t>MO TRM</t>
        </r>
        <r>
          <rPr>
            <sz val="9"/>
            <color indexed="81"/>
            <rFont val="Tahoma"/>
            <family val="2"/>
          </rPr>
          <t xml:space="preserve">
</t>
        </r>
      </text>
    </comment>
    <comment ref="X37" authorId="0" shapeId="0">
      <text>
        <r>
          <rPr>
            <b/>
            <sz val="9"/>
            <color indexed="81"/>
            <rFont val="Tahoma"/>
            <family val="2"/>
          </rPr>
          <t>MO TRM</t>
        </r>
        <r>
          <rPr>
            <sz val="9"/>
            <color indexed="81"/>
            <rFont val="Tahoma"/>
            <family val="2"/>
          </rPr>
          <t xml:space="preserve">
</t>
        </r>
      </text>
    </comment>
    <comment ref="G38" authorId="0" shapeId="0">
      <text>
        <r>
          <rPr>
            <b/>
            <sz val="9"/>
            <color indexed="81"/>
            <rFont val="Tahoma"/>
            <family val="2"/>
          </rPr>
          <t>MO TRM</t>
        </r>
        <r>
          <rPr>
            <sz val="9"/>
            <color indexed="81"/>
            <rFont val="Tahoma"/>
            <family val="2"/>
          </rPr>
          <t xml:space="preserve">
Matches 2015 Heating and Cooling evaluation
</t>
        </r>
      </text>
    </comment>
    <comment ref="W38" authorId="0" shapeId="0">
      <text>
        <r>
          <rPr>
            <b/>
            <sz val="9"/>
            <color indexed="81"/>
            <rFont val="Tahoma"/>
            <family val="2"/>
          </rPr>
          <t>MO TRM</t>
        </r>
        <r>
          <rPr>
            <sz val="9"/>
            <color indexed="81"/>
            <rFont val="Tahoma"/>
            <family val="2"/>
          </rPr>
          <t xml:space="preserve">
Matches 2015 Heating and Cooling evaluation
</t>
        </r>
      </text>
    </comment>
    <comment ref="X38" authorId="0" shapeId="0">
      <text>
        <r>
          <rPr>
            <b/>
            <sz val="9"/>
            <color indexed="81"/>
            <rFont val="Tahoma"/>
            <family val="2"/>
          </rPr>
          <t>MO TRM</t>
        </r>
        <r>
          <rPr>
            <sz val="9"/>
            <color indexed="81"/>
            <rFont val="Tahoma"/>
            <family val="2"/>
          </rPr>
          <t xml:space="preserve">
Matches 2015 Heating and Cooling evaluation
</t>
        </r>
      </text>
    </comment>
    <comment ref="G39" authorId="0" shapeId="0">
      <text>
        <r>
          <rPr>
            <b/>
            <sz val="9"/>
            <color indexed="81"/>
            <rFont val="Tahoma"/>
            <family val="2"/>
          </rPr>
          <t>MO TRM
Matches 2015 Heating and Cooling evaluation</t>
        </r>
      </text>
    </comment>
    <comment ref="W39" authorId="0" shapeId="0">
      <text>
        <r>
          <rPr>
            <b/>
            <sz val="9"/>
            <color indexed="81"/>
            <rFont val="Tahoma"/>
            <family val="2"/>
          </rPr>
          <t>MO TRM
Matches 2015 Heating and Cooling evaluation</t>
        </r>
      </text>
    </comment>
    <comment ref="X39" authorId="0" shapeId="0">
      <text>
        <r>
          <rPr>
            <b/>
            <sz val="9"/>
            <color indexed="81"/>
            <rFont val="Tahoma"/>
            <family val="2"/>
          </rPr>
          <t>MO TRM
Matches 2015 Heating and Cooling evaluation</t>
        </r>
      </text>
    </comment>
    <comment ref="G40" authorId="0" shapeId="0">
      <text>
        <r>
          <rPr>
            <b/>
            <sz val="9"/>
            <color indexed="81"/>
            <rFont val="Tahoma"/>
            <family val="2"/>
          </rPr>
          <t>MO TRM</t>
        </r>
        <r>
          <rPr>
            <sz val="9"/>
            <color indexed="81"/>
            <rFont val="Tahoma"/>
            <family val="2"/>
          </rPr>
          <t xml:space="preserve">
Matches 2015 Heating and Cooling evaluation</t>
        </r>
      </text>
    </comment>
    <comment ref="W40" authorId="0" shapeId="0">
      <text>
        <r>
          <rPr>
            <b/>
            <sz val="9"/>
            <color indexed="81"/>
            <rFont val="Tahoma"/>
            <family val="2"/>
          </rPr>
          <t>MO TRM</t>
        </r>
        <r>
          <rPr>
            <sz val="9"/>
            <color indexed="81"/>
            <rFont val="Tahoma"/>
            <family val="2"/>
          </rPr>
          <t xml:space="preserve">
Matches 2015 Heating and Cooling evaluation</t>
        </r>
      </text>
    </comment>
    <comment ref="X40" authorId="0" shapeId="0">
      <text>
        <r>
          <rPr>
            <b/>
            <sz val="9"/>
            <color indexed="81"/>
            <rFont val="Tahoma"/>
            <family val="2"/>
          </rPr>
          <t>MO TRM</t>
        </r>
        <r>
          <rPr>
            <sz val="9"/>
            <color indexed="81"/>
            <rFont val="Tahoma"/>
            <family val="2"/>
          </rPr>
          <t xml:space="preserve">
Matches 2015 Heating and Cooling evaluation</t>
        </r>
      </text>
    </comment>
    <comment ref="Y58" authorId="0" shapeId="0">
      <text>
        <r>
          <rPr>
            <b/>
            <sz val="9"/>
            <color indexed="81"/>
            <rFont val="Tahoma"/>
            <family val="2"/>
          </rPr>
          <t>changed to a per square foot value rather than per average size home</t>
        </r>
      </text>
    </comment>
    <comment ref="Y83" authorId="0" shapeId="0">
      <text>
        <r>
          <rPr>
            <b/>
            <sz val="9"/>
            <color indexed="81"/>
            <rFont val="Tahoma"/>
            <family val="2"/>
          </rPr>
          <t xml:space="preserve">updated to per sq. ft. basis
</t>
        </r>
      </text>
    </comment>
    <comment ref="V99" authorId="0" shapeId="0">
      <text>
        <r>
          <rPr>
            <b/>
            <sz val="9"/>
            <color indexed="81"/>
            <rFont val="Tahoma"/>
            <family val="2"/>
          </rPr>
          <t xml:space="preserve">This table was originallly included in Volume 3 of the Ameren Missouri TRM and was added to the deemed savings tables during implementation. </t>
        </r>
      </text>
    </comment>
    <comment ref="Y110" authorId="0" shapeId="0">
      <text>
        <r>
          <rPr>
            <b/>
            <sz val="9"/>
            <color indexed="81"/>
            <rFont val="Tahoma"/>
            <family val="2"/>
          </rPr>
          <t>updated to per sq. ft. basis</t>
        </r>
        <r>
          <rPr>
            <sz val="9"/>
            <color indexed="81"/>
            <rFont val="Tahoma"/>
            <family val="2"/>
          </rPr>
          <t xml:space="preserve">
</t>
        </r>
      </text>
    </comment>
    <comment ref="Y122" authorId="0" shapeId="0">
      <text>
        <r>
          <rPr>
            <b/>
            <sz val="9"/>
            <color indexed="81"/>
            <rFont val="Tahoma"/>
            <family val="2"/>
          </rPr>
          <t>changed to a per square foot value rather than per average size home</t>
        </r>
      </text>
    </comment>
    <comment ref="Y254" authorId="0" shapeId="0">
      <text>
        <r>
          <rPr>
            <b/>
            <sz val="9"/>
            <color indexed="81"/>
            <rFont val="Tahoma"/>
            <family val="2"/>
          </rPr>
          <t>updated to per sq ft. basis</t>
        </r>
        <r>
          <rPr>
            <sz val="9"/>
            <color indexed="81"/>
            <rFont val="Tahoma"/>
            <family val="2"/>
          </rPr>
          <t xml:space="preserve">
</t>
        </r>
      </text>
    </comment>
    <comment ref="Y411" authorId="0" shapeId="0">
      <text>
        <r>
          <rPr>
            <b/>
            <sz val="9"/>
            <color indexed="81"/>
            <rFont val="Tahoma"/>
            <family val="2"/>
          </rPr>
          <t>based upon a per sq. ft basis</t>
        </r>
        <r>
          <rPr>
            <sz val="9"/>
            <color indexed="81"/>
            <rFont val="Tahoma"/>
            <family val="2"/>
          </rPr>
          <t xml:space="preserve">
</t>
        </r>
      </text>
    </comment>
    <comment ref="Y445" authorId="0" shapeId="0">
      <text>
        <r>
          <rPr>
            <b/>
            <sz val="9"/>
            <color indexed="81"/>
            <rFont val="Tahoma"/>
            <family val="2"/>
          </rPr>
          <t>changed to a per square foot value rather than per average size home</t>
        </r>
      </text>
    </comment>
    <comment ref="Y466" authorId="0" shapeId="0">
      <text>
        <r>
          <rPr>
            <b/>
            <sz val="9"/>
            <color indexed="81"/>
            <rFont val="Tahoma"/>
            <family val="2"/>
          </rPr>
          <t>updated to per square ft. basis</t>
        </r>
        <r>
          <rPr>
            <sz val="9"/>
            <color indexed="81"/>
            <rFont val="Tahoma"/>
            <family val="2"/>
          </rPr>
          <t xml:space="preserve">
</t>
        </r>
      </text>
    </comment>
    <comment ref="Y481" authorId="0" shapeId="0">
      <text>
        <r>
          <rPr>
            <b/>
            <sz val="9"/>
            <color indexed="81"/>
            <rFont val="Tahoma"/>
            <family val="2"/>
          </rPr>
          <t>updated to per square ft. basis</t>
        </r>
        <r>
          <rPr>
            <sz val="9"/>
            <color indexed="81"/>
            <rFont val="Tahoma"/>
            <family val="2"/>
          </rPr>
          <t xml:space="preserve">
</t>
        </r>
      </text>
    </comment>
    <comment ref="X499"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509" authorId="0" shapeId="0">
      <text>
        <r>
          <rPr>
            <b/>
            <sz val="9"/>
            <color indexed="81"/>
            <rFont val="Tahoma"/>
            <family val="2"/>
          </rPr>
          <t>In PY2017 this was included in the ISR rate.</t>
        </r>
        <r>
          <rPr>
            <sz val="9"/>
            <color indexed="81"/>
            <rFont val="Tahoma"/>
            <family val="2"/>
          </rPr>
          <t xml:space="preserve">
</t>
        </r>
      </text>
    </comment>
    <comment ref="Y509" authorId="0" shapeId="0">
      <text>
        <r>
          <rPr>
            <b/>
            <sz val="9"/>
            <color indexed="81"/>
            <rFont val="Tahoma"/>
            <family val="2"/>
          </rPr>
          <t xml:space="preserve"> included in the ISR rate.</t>
        </r>
        <r>
          <rPr>
            <sz val="9"/>
            <color indexed="81"/>
            <rFont val="Tahoma"/>
            <family val="2"/>
          </rPr>
          <t xml:space="preserve">
</t>
        </r>
      </text>
    </comment>
    <comment ref="Y552" authorId="0" shapeId="0">
      <text>
        <r>
          <rPr>
            <b/>
            <sz val="9"/>
            <color indexed="81"/>
            <rFont val="Tahoma"/>
            <family val="2"/>
          </rPr>
          <t>updated to per foot basis</t>
        </r>
        <r>
          <rPr>
            <sz val="9"/>
            <color indexed="81"/>
            <rFont val="Tahoma"/>
            <family val="2"/>
          </rPr>
          <t xml:space="preserve">
</t>
        </r>
      </text>
    </comment>
    <comment ref="Y591" authorId="0" shapeId="0">
      <text>
        <r>
          <rPr>
            <b/>
            <sz val="9"/>
            <color indexed="81"/>
            <rFont val="Tahoma"/>
            <family val="2"/>
          </rPr>
          <t>updated to per square foot basis</t>
        </r>
      </text>
    </comment>
    <comment ref="I597" authorId="0" shapeId="0">
      <text>
        <r>
          <rPr>
            <b/>
            <sz val="9"/>
            <color indexed="81"/>
            <rFont val="Tahoma"/>
            <family val="2"/>
          </rPr>
          <t xml:space="preserve">Opinion Dynamics:
</t>
        </r>
        <r>
          <rPr>
            <sz val="9"/>
            <color indexed="81"/>
            <rFont val="Tahoma"/>
            <family val="2"/>
          </rPr>
          <t xml:space="preserve">Added ISR (100%) in December 2020 update
</t>
        </r>
      </text>
    </comment>
    <comment ref="Y635" authorId="0" shapeId="0">
      <text>
        <r>
          <rPr>
            <b/>
            <sz val="9"/>
            <color indexed="81"/>
            <rFont val="Tahoma"/>
            <family val="2"/>
          </rPr>
          <t>This value is not new just including it in the input table (previously only shown in the equation)</t>
        </r>
      </text>
    </comment>
    <comment ref="Y644" authorId="0" shapeId="0">
      <text>
        <r>
          <rPr>
            <b/>
            <sz val="9"/>
            <color indexed="81"/>
            <rFont val="Tahoma"/>
            <family val="2"/>
          </rPr>
          <t>This value is not new just including it in the input table (previously only shown in the equation)</t>
        </r>
      </text>
    </comment>
    <comment ref="Y647" authorId="0" shapeId="0">
      <text>
        <r>
          <rPr>
            <b/>
            <sz val="9"/>
            <color indexed="81"/>
            <rFont val="Tahoma"/>
            <family val="2"/>
          </rPr>
          <t>This value is not new just including it in the input table (previously only shown in the equation)</t>
        </r>
      </text>
    </comment>
    <comment ref="Y651" authorId="0" shapeId="0">
      <text>
        <r>
          <rPr>
            <b/>
            <sz val="9"/>
            <color indexed="81"/>
            <rFont val="Tahoma"/>
            <family val="2"/>
          </rPr>
          <t>This value is not new just including it in the input table (previously only shown in the equation)</t>
        </r>
      </text>
    </comment>
    <comment ref="M654" authorId="0" shapeId="0">
      <text>
        <r>
          <rPr>
            <b/>
            <sz val="9"/>
            <color indexed="81"/>
            <rFont val="Tahoma"/>
            <family val="2"/>
          </rPr>
          <t>Same table is in HVAC and MFMR deemed tables</t>
        </r>
        <r>
          <rPr>
            <sz val="9"/>
            <color indexed="81"/>
            <rFont val="Tahoma"/>
            <family val="2"/>
          </rPr>
          <t xml:space="preserve">
</t>
        </r>
      </text>
    </comment>
    <comment ref="I655"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56"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56"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57"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65" authorId="0" shapeId="0">
      <text>
        <r>
          <rPr>
            <b/>
            <sz val="9"/>
            <color indexed="81"/>
            <rFont val="Tahoma"/>
            <family val="2"/>
          </rPr>
          <t>Formula updated</t>
        </r>
        <r>
          <rPr>
            <sz val="9"/>
            <color indexed="81"/>
            <rFont val="Tahoma"/>
            <family val="2"/>
          </rPr>
          <t xml:space="preserve">
</t>
        </r>
      </text>
    </comment>
    <comment ref="C696" authorId="0" shapeId="0">
      <text>
        <r>
          <rPr>
            <b/>
            <sz val="9"/>
            <color indexed="81"/>
            <rFont val="Tahoma"/>
            <family val="2"/>
          </rPr>
          <t>In PY19 TRM update this was 403300 (Same as prior measure)</t>
        </r>
      </text>
    </comment>
    <comment ref="X720"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E773" authorId="0" shapeId="0">
      <text>
        <r>
          <rPr>
            <b/>
            <sz val="9"/>
            <color indexed="81"/>
            <rFont val="Tahoma"/>
            <family val="2"/>
          </rPr>
          <t>Author:</t>
        </r>
        <r>
          <rPr>
            <sz val="9"/>
            <color indexed="81"/>
            <rFont val="Tahoma"/>
            <family val="2"/>
          </rPr>
          <t xml:space="preserve">
changed "showerhead' to "aerator"</t>
        </r>
      </text>
    </comment>
    <comment ref="E775" authorId="0" shapeId="0">
      <text>
        <r>
          <rPr>
            <b/>
            <sz val="9"/>
            <color indexed="81"/>
            <rFont val="Tahoma"/>
            <family val="2"/>
          </rPr>
          <t>Author:</t>
        </r>
        <r>
          <rPr>
            <sz val="9"/>
            <color indexed="81"/>
            <rFont val="Tahoma"/>
            <family val="2"/>
          </rPr>
          <t xml:space="preserve">
changed "showerhead' to "aerator"</t>
        </r>
      </text>
    </comment>
    <comment ref="W778"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78" authorId="0" shapeId="0">
      <text>
        <r>
          <rPr>
            <b/>
            <sz val="9"/>
            <color indexed="81"/>
            <rFont val="Tahoma"/>
            <family val="2"/>
          </rPr>
          <t xml:space="preserve">No Drain factor included in PY2017 EM&amp;V results
</t>
        </r>
      </text>
    </comment>
    <comment ref="W780"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788" authorId="0" shapeId="0">
      <text>
        <r>
          <rPr>
            <b/>
            <sz val="9"/>
            <color indexed="81"/>
            <rFont val="Tahoma"/>
            <family val="2"/>
          </rPr>
          <t>These original values appear to be flipped - would assume DI would be 100%</t>
        </r>
      </text>
    </comment>
    <comment ref="W789" authorId="0" shapeId="0">
      <text>
        <r>
          <rPr>
            <b/>
            <sz val="9"/>
            <color indexed="81"/>
            <rFont val="Tahoma"/>
            <family val="2"/>
          </rPr>
          <t>Missouri TRM</t>
        </r>
        <r>
          <rPr>
            <sz val="9"/>
            <color indexed="81"/>
            <rFont val="Tahoma"/>
            <family val="2"/>
          </rPr>
          <t xml:space="preserve">
</t>
        </r>
      </text>
    </comment>
    <comment ref="E812" authorId="0" shapeId="0">
      <text>
        <r>
          <rPr>
            <b/>
            <sz val="9"/>
            <color indexed="81"/>
            <rFont val="Tahoma"/>
            <family val="2"/>
          </rPr>
          <t>Author:</t>
        </r>
        <r>
          <rPr>
            <sz val="9"/>
            <color indexed="81"/>
            <rFont val="Tahoma"/>
            <family val="2"/>
          </rPr>
          <t xml:space="preserve">
changed "showerhead' to "aerator"</t>
        </r>
      </text>
    </comment>
    <comment ref="E814" authorId="0" shapeId="0">
      <text>
        <r>
          <rPr>
            <b/>
            <sz val="9"/>
            <color indexed="81"/>
            <rFont val="Tahoma"/>
            <family val="2"/>
          </rPr>
          <t>Author:</t>
        </r>
        <r>
          <rPr>
            <sz val="9"/>
            <color indexed="81"/>
            <rFont val="Tahoma"/>
            <family val="2"/>
          </rPr>
          <t xml:space="preserve">
changed "showerhead' to "aerator"</t>
        </r>
      </text>
    </comment>
    <comment ref="V852"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852"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854" authorId="0" shapeId="0">
      <text>
        <r>
          <rPr>
            <b/>
            <sz val="9"/>
            <color indexed="81"/>
            <rFont val="Tahoma"/>
            <family val="2"/>
          </rPr>
          <t>Author:</t>
        </r>
        <r>
          <rPr>
            <sz val="9"/>
            <color indexed="81"/>
            <rFont val="Tahoma"/>
            <family val="2"/>
          </rPr>
          <t xml:space="preserve">
Showerhead pivot tab cell E428</t>
        </r>
      </text>
    </comment>
    <comment ref="V854" authorId="0" shapeId="0">
      <text>
        <r>
          <rPr>
            <b/>
            <sz val="9"/>
            <color indexed="81"/>
            <rFont val="Tahoma"/>
            <family val="2"/>
          </rPr>
          <t>PY2016 Program Data, per Community Saves 2016 EM&amp;V report. </t>
        </r>
        <r>
          <rPr>
            <sz val="9"/>
            <color indexed="81"/>
            <rFont val="Tahoma"/>
            <family val="2"/>
          </rPr>
          <t xml:space="preserve">
</t>
        </r>
      </text>
    </comment>
    <comment ref="X854" authorId="0" shapeId="0">
      <text>
        <r>
          <rPr>
            <b/>
            <sz val="9"/>
            <color indexed="81"/>
            <rFont val="Tahoma"/>
            <family val="2"/>
          </rPr>
          <t>PY2017  Community Savers Site Visit Data and Ride Along Data (ADM only provided the delta GPM, not the base and efficient values)</t>
        </r>
      </text>
    </comment>
    <comment ref="AC854" authorId="0" shapeId="0">
      <text>
        <r>
          <rPr>
            <b/>
            <sz val="9"/>
            <color indexed="81"/>
            <rFont val="Tahoma"/>
            <family val="2"/>
          </rPr>
          <t>Author:</t>
        </r>
        <r>
          <rPr>
            <sz val="9"/>
            <color indexed="81"/>
            <rFont val="Tahoma"/>
            <family val="2"/>
          </rPr>
          <t xml:space="preserve">
Showerhead pivot tab cell E428</t>
        </r>
      </text>
    </comment>
    <comment ref="G856" authorId="0" shapeId="0">
      <text>
        <r>
          <rPr>
            <b/>
            <sz val="9"/>
            <color indexed="81"/>
            <rFont val="Tahoma"/>
            <family val="2"/>
          </rPr>
          <t>Author:</t>
        </r>
        <r>
          <rPr>
            <sz val="9"/>
            <color indexed="81"/>
            <rFont val="Tahoma"/>
            <family val="2"/>
          </rPr>
          <t xml:space="preserve">
Showerhead pivot tab cell E428</t>
        </r>
      </text>
    </comment>
    <comment ref="AC856" authorId="0" shapeId="0">
      <text>
        <r>
          <rPr>
            <b/>
            <sz val="9"/>
            <color indexed="81"/>
            <rFont val="Tahoma"/>
            <family val="2"/>
          </rPr>
          <t>Author:</t>
        </r>
        <r>
          <rPr>
            <sz val="9"/>
            <color indexed="81"/>
            <rFont val="Tahoma"/>
            <family val="2"/>
          </rPr>
          <t xml:space="preserve">
Showerhead pivot tab cell E428</t>
        </r>
      </text>
    </comment>
    <comment ref="W857" authorId="0" shapeId="0">
      <text>
        <r>
          <rPr>
            <b/>
            <sz val="9"/>
            <color indexed="81"/>
            <rFont val="Tahoma"/>
            <family val="2"/>
          </rPr>
          <t>Missouri TRM</t>
        </r>
      </text>
    </comment>
    <comment ref="W861"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Y874" authorId="0" shapeId="0">
      <text>
        <r>
          <rPr>
            <b/>
            <sz val="9"/>
            <color indexed="81"/>
            <rFont val="Tahoma"/>
            <family val="2"/>
          </rPr>
          <t>PY19 Actual</t>
        </r>
        <r>
          <rPr>
            <sz val="9"/>
            <color indexed="81"/>
            <rFont val="Tahoma"/>
            <family val="2"/>
          </rPr>
          <t xml:space="preserve">
</t>
        </r>
      </text>
    </comment>
    <comment ref="Y875" authorId="0" shapeId="0">
      <text>
        <r>
          <rPr>
            <b/>
            <sz val="9"/>
            <color indexed="81"/>
            <rFont val="Tahoma"/>
            <family val="2"/>
          </rPr>
          <t>added handheld showerhead option</t>
        </r>
      </text>
    </comment>
    <comment ref="Y876" authorId="0" shapeId="0">
      <text>
        <r>
          <rPr>
            <b/>
            <sz val="9"/>
            <color indexed="81"/>
            <rFont val="Tahoma"/>
            <family val="2"/>
          </rPr>
          <t>combination of $7 from IL TRM and difference in actual DI costs</t>
        </r>
        <r>
          <rPr>
            <sz val="9"/>
            <color indexed="81"/>
            <rFont val="Tahoma"/>
            <family val="2"/>
          </rPr>
          <t xml:space="preserve">
</t>
        </r>
      </text>
    </comment>
    <comment ref="W895"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X986" authorId="0" shapeId="0">
      <text>
        <r>
          <rPr>
            <b/>
            <sz val="9"/>
            <color indexed="81"/>
            <rFont val="Tahoma"/>
            <family val="2"/>
          </rPr>
          <t>MO TRM</t>
        </r>
      </text>
    </comment>
    <comment ref="X988" authorId="0" shapeId="0">
      <text>
        <r>
          <rPr>
            <b/>
            <sz val="9"/>
            <color indexed="81"/>
            <rFont val="Tahoma"/>
            <family val="2"/>
          </rPr>
          <t>no adjustment as these did not align in same manner with ADM formula</t>
        </r>
        <r>
          <rPr>
            <sz val="9"/>
            <color indexed="81"/>
            <rFont val="Tahoma"/>
            <family val="2"/>
          </rPr>
          <t xml:space="preserve">
</t>
        </r>
      </text>
    </comment>
    <comment ref="Y988" authorId="0" shapeId="0">
      <text>
        <r>
          <rPr>
            <b/>
            <sz val="9"/>
            <color indexed="81"/>
            <rFont val="Tahoma"/>
            <family val="2"/>
          </rPr>
          <t>no adjustment as these did not align in same manner with ADM formula</t>
        </r>
        <r>
          <rPr>
            <sz val="9"/>
            <color indexed="81"/>
            <rFont val="Tahoma"/>
            <family val="2"/>
          </rPr>
          <t xml:space="preserve">
</t>
        </r>
      </text>
    </comment>
    <comment ref="W1159" authorId="0" shapeId="0">
      <text>
        <r>
          <rPr>
            <b/>
            <sz val="9"/>
            <color indexed="81"/>
            <rFont val="Tahoma"/>
            <family val="2"/>
          </rPr>
          <t xml:space="preserve">Bulb-type and lumen look-up in Energy Star database
</t>
        </r>
      </text>
    </comment>
    <comment ref="W1161" authorId="0" shapeId="0">
      <text>
        <r>
          <rPr>
            <b/>
            <sz val="9"/>
            <color indexed="81"/>
            <rFont val="Tahoma"/>
            <family val="2"/>
          </rPr>
          <t xml:space="preserve">Matched to nearest EE wattage in TRM wattage table
</t>
        </r>
        <r>
          <rPr>
            <sz val="9"/>
            <color indexed="81"/>
            <rFont val="Tahoma"/>
            <family val="2"/>
          </rPr>
          <t xml:space="preserve">
</t>
        </r>
      </text>
    </comment>
    <comment ref="W1162" authorId="0" shapeId="0">
      <text>
        <r>
          <rPr>
            <b/>
            <sz val="9"/>
            <color indexed="81"/>
            <rFont val="Tahoma"/>
            <family val="2"/>
          </rPr>
          <t>Bulb-type and lumen look-up in Energy Star database</t>
        </r>
      </text>
    </comment>
    <comment ref="W1165" authorId="0" shapeId="0">
      <text>
        <r>
          <rPr>
            <b/>
            <sz val="9"/>
            <color indexed="81"/>
            <rFont val="Tahoma"/>
            <family val="2"/>
          </rPr>
          <t xml:space="preserve">Bulb-type and lumen look-up in Energy Star database
</t>
        </r>
        <r>
          <rPr>
            <sz val="9"/>
            <color indexed="81"/>
            <rFont val="Tahoma"/>
            <family val="2"/>
          </rPr>
          <t xml:space="preserve">
</t>
        </r>
      </text>
    </comment>
    <comment ref="W1166" authorId="0" shapeId="0">
      <text>
        <r>
          <rPr>
            <b/>
            <sz val="9"/>
            <color indexed="81"/>
            <rFont val="Tahoma"/>
            <family val="2"/>
          </rPr>
          <t>Bulb-type and lumen look-up in Energy Star database</t>
        </r>
      </text>
    </comment>
    <comment ref="W1170" authorId="0" shapeId="0">
      <text>
        <r>
          <rPr>
            <b/>
            <sz val="9"/>
            <color indexed="81"/>
            <rFont val="Tahoma"/>
            <family val="2"/>
          </rPr>
          <t xml:space="preserve">Bulb-type and lumen look-up in Energy Star database
</t>
        </r>
        <r>
          <rPr>
            <sz val="9"/>
            <color indexed="81"/>
            <rFont val="Tahoma"/>
            <family val="2"/>
          </rPr>
          <t xml:space="preserve">
</t>
        </r>
      </text>
    </comment>
    <comment ref="W1184" authorId="0" shapeId="0">
      <text>
        <r>
          <rPr>
            <b/>
            <sz val="9"/>
            <color indexed="81"/>
            <rFont val="Tahoma"/>
            <family val="2"/>
          </rPr>
          <t>Program Wattage</t>
        </r>
        <r>
          <rPr>
            <sz val="9"/>
            <color indexed="81"/>
            <rFont val="Tahoma"/>
            <family val="2"/>
          </rPr>
          <t xml:space="preserve">
</t>
        </r>
      </text>
    </comment>
    <comment ref="W1185" authorId="0" shapeId="0">
      <text>
        <r>
          <rPr>
            <b/>
            <sz val="9"/>
            <color indexed="81"/>
            <rFont val="Tahoma"/>
            <family val="2"/>
          </rPr>
          <t>Program Wattage</t>
        </r>
        <r>
          <rPr>
            <sz val="9"/>
            <color indexed="81"/>
            <rFont val="Tahoma"/>
            <family val="2"/>
          </rPr>
          <t xml:space="preserve">
</t>
        </r>
      </text>
    </comment>
    <comment ref="W1186" authorId="0" shapeId="0">
      <text>
        <r>
          <rPr>
            <b/>
            <sz val="9"/>
            <color indexed="81"/>
            <rFont val="Tahoma"/>
            <family val="2"/>
          </rPr>
          <t>Program Wattage</t>
        </r>
        <r>
          <rPr>
            <sz val="9"/>
            <color indexed="81"/>
            <rFont val="Tahoma"/>
            <family val="2"/>
          </rPr>
          <t xml:space="preserve">
</t>
        </r>
      </text>
    </comment>
    <comment ref="W1187" authorId="0" shapeId="0">
      <text>
        <r>
          <rPr>
            <b/>
            <sz val="9"/>
            <color indexed="81"/>
            <rFont val="Tahoma"/>
            <family val="2"/>
          </rPr>
          <t>Program Wattage</t>
        </r>
        <r>
          <rPr>
            <sz val="9"/>
            <color indexed="81"/>
            <rFont val="Tahoma"/>
            <family val="2"/>
          </rPr>
          <t xml:space="preserve">
</t>
        </r>
      </text>
    </comment>
    <comment ref="W1188" authorId="0" shapeId="0">
      <text>
        <r>
          <rPr>
            <b/>
            <sz val="9"/>
            <color indexed="81"/>
            <rFont val="Tahoma"/>
            <family val="2"/>
          </rPr>
          <t>Program Wattage</t>
        </r>
        <r>
          <rPr>
            <sz val="9"/>
            <color indexed="81"/>
            <rFont val="Tahoma"/>
            <family val="2"/>
          </rPr>
          <t xml:space="preserve">
</t>
        </r>
      </text>
    </comment>
    <comment ref="W1190" authorId="0" shapeId="0">
      <text>
        <r>
          <rPr>
            <b/>
            <sz val="9"/>
            <color indexed="81"/>
            <rFont val="Tahoma"/>
            <family val="2"/>
          </rPr>
          <t>Program Wattage</t>
        </r>
        <r>
          <rPr>
            <sz val="9"/>
            <color indexed="81"/>
            <rFont val="Tahoma"/>
            <family val="2"/>
          </rPr>
          <t xml:space="preserve">
</t>
        </r>
      </text>
    </comment>
    <comment ref="W1191" authorId="0" shapeId="0">
      <text>
        <r>
          <rPr>
            <b/>
            <sz val="9"/>
            <color indexed="81"/>
            <rFont val="Tahoma"/>
            <family val="2"/>
          </rPr>
          <t>Bulb-type and lumen look-up in Energy Star database</t>
        </r>
        <r>
          <rPr>
            <sz val="9"/>
            <color indexed="81"/>
            <rFont val="Tahoma"/>
            <family val="2"/>
          </rPr>
          <t xml:space="preserve">
</t>
        </r>
      </text>
    </comment>
    <comment ref="W1192" authorId="0" shapeId="0">
      <text>
        <r>
          <rPr>
            <b/>
            <sz val="9"/>
            <color indexed="81"/>
            <rFont val="Tahoma"/>
            <family val="2"/>
          </rPr>
          <t>Bulb-type and lumen look-up in Energy Star database</t>
        </r>
        <r>
          <rPr>
            <sz val="9"/>
            <color indexed="81"/>
            <rFont val="Tahoma"/>
            <family val="2"/>
          </rPr>
          <t xml:space="preserve">
</t>
        </r>
      </text>
    </comment>
    <comment ref="W1193" authorId="0" shapeId="0">
      <text>
        <r>
          <rPr>
            <b/>
            <sz val="9"/>
            <color indexed="81"/>
            <rFont val="Tahoma"/>
            <family val="2"/>
          </rPr>
          <t>Bulb-type and lumen look-up in Energy Star database</t>
        </r>
        <r>
          <rPr>
            <sz val="9"/>
            <color indexed="81"/>
            <rFont val="Tahoma"/>
            <family val="2"/>
          </rPr>
          <t xml:space="preserve">
</t>
        </r>
      </text>
    </comment>
    <comment ref="W1194" authorId="0" shapeId="0">
      <text>
        <r>
          <rPr>
            <b/>
            <sz val="9"/>
            <color indexed="81"/>
            <rFont val="Tahoma"/>
            <family val="2"/>
          </rPr>
          <t>Bulb-type and lumen look-up in Energy Star database</t>
        </r>
        <r>
          <rPr>
            <sz val="9"/>
            <color indexed="81"/>
            <rFont val="Tahoma"/>
            <family val="2"/>
          </rPr>
          <t xml:space="preserve">
</t>
        </r>
      </text>
    </comment>
    <comment ref="W1195" authorId="0" shapeId="0">
      <text>
        <r>
          <rPr>
            <b/>
            <sz val="9"/>
            <color indexed="81"/>
            <rFont val="Tahoma"/>
            <family val="2"/>
          </rPr>
          <t>Bulb-type and lumen look-up in Energy Star database</t>
        </r>
        <r>
          <rPr>
            <sz val="9"/>
            <color indexed="81"/>
            <rFont val="Tahoma"/>
            <family val="2"/>
          </rPr>
          <t xml:space="preserve">
</t>
        </r>
      </text>
    </comment>
    <comment ref="W1196" authorId="0" shapeId="0">
      <text>
        <r>
          <rPr>
            <b/>
            <sz val="9"/>
            <color indexed="81"/>
            <rFont val="Tahoma"/>
            <family val="2"/>
          </rPr>
          <t>Bulb-type and lumen look-up in Energy Star database</t>
        </r>
        <r>
          <rPr>
            <sz val="9"/>
            <color indexed="81"/>
            <rFont val="Tahoma"/>
            <family val="2"/>
          </rPr>
          <t xml:space="preserve">
</t>
        </r>
      </text>
    </comment>
    <comment ref="W1197" authorId="0" shapeId="0">
      <text>
        <r>
          <rPr>
            <b/>
            <sz val="9"/>
            <color indexed="81"/>
            <rFont val="Tahoma"/>
            <family val="2"/>
          </rPr>
          <t>Bulb-type and lumen look-up in Energy Star database</t>
        </r>
        <r>
          <rPr>
            <sz val="9"/>
            <color indexed="81"/>
            <rFont val="Tahoma"/>
            <family val="2"/>
          </rPr>
          <t xml:space="preserve">
</t>
        </r>
      </text>
    </comment>
    <comment ref="W1198" authorId="0" shapeId="0">
      <text>
        <r>
          <rPr>
            <b/>
            <sz val="9"/>
            <color indexed="81"/>
            <rFont val="Tahoma"/>
            <family val="2"/>
          </rPr>
          <t>Bulb-type and lumen look-up in Energy Star database</t>
        </r>
        <r>
          <rPr>
            <sz val="9"/>
            <color indexed="81"/>
            <rFont val="Tahoma"/>
            <family val="2"/>
          </rPr>
          <t xml:space="preserve">
</t>
        </r>
      </text>
    </comment>
    <comment ref="W1199" authorId="0" shapeId="0">
      <text>
        <r>
          <rPr>
            <b/>
            <sz val="9"/>
            <color indexed="81"/>
            <rFont val="Tahoma"/>
            <family val="2"/>
          </rPr>
          <t>Bulb-type and lumen look-up in Energy Star database</t>
        </r>
        <r>
          <rPr>
            <sz val="9"/>
            <color indexed="81"/>
            <rFont val="Tahoma"/>
            <family val="2"/>
          </rPr>
          <t xml:space="preserve">
</t>
        </r>
      </text>
    </comment>
    <comment ref="W1200" authorId="0" shapeId="0">
      <text>
        <r>
          <rPr>
            <b/>
            <sz val="9"/>
            <color indexed="81"/>
            <rFont val="Tahoma"/>
            <family val="2"/>
          </rPr>
          <t>Bulb-type and lumen look-up in Energy Star database</t>
        </r>
        <r>
          <rPr>
            <sz val="9"/>
            <color indexed="81"/>
            <rFont val="Tahoma"/>
            <family val="2"/>
          </rPr>
          <t xml:space="preserve">
</t>
        </r>
      </text>
    </comment>
    <comment ref="W1201" authorId="0" shapeId="0">
      <text>
        <r>
          <rPr>
            <b/>
            <sz val="9"/>
            <color indexed="81"/>
            <rFont val="Tahoma"/>
            <family val="2"/>
          </rPr>
          <t>Bulb-type and lumen look-up in Energy Star database</t>
        </r>
        <r>
          <rPr>
            <sz val="9"/>
            <color indexed="81"/>
            <rFont val="Tahoma"/>
            <family val="2"/>
          </rPr>
          <t xml:space="preserve">
</t>
        </r>
      </text>
    </comment>
    <comment ref="W1203" authorId="0" shapeId="0">
      <text>
        <r>
          <rPr>
            <b/>
            <sz val="9"/>
            <color indexed="81"/>
            <rFont val="Tahoma"/>
            <family val="2"/>
          </rPr>
          <t>Bulb-type and lumen look-up in Energy Star database</t>
        </r>
        <r>
          <rPr>
            <sz val="9"/>
            <color indexed="81"/>
            <rFont val="Tahoma"/>
            <family val="2"/>
          </rPr>
          <t xml:space="preserve">
</t>
        </r>
      </text>
    </comment>
    <comment ref="W1204" authorId="0" shapeId="0">
      <text>
        <r>
          <rPr>
            <b/>
            <sz val="9"/>
            <color indexed="81"/>
            <rFont val="Tahoma"/>
            <family val="2"/>
          </rPr>
          <t>Bulb-type and lumen look-up in Energy Star database</t>
        </r>
        <r>
          <rPr>
            <sz val="9"/>
            <color indexed="81"/>
            <rFont val="Tahoma"/>
            <family val="2"/>
          </rPr>
          <t xml:space="preserve">
</t>
        </r>
      </text>
    </comment>
    <comment ref="W1205" authorId="0" shapeId="0">
      <text>
        <r>
          <rPr>
            <b/>
            <sz val="9"/>
            <color indexed="81"/>
            <rFont val="Tahoma"/>
            <family val="2"/>
          </rPr>
          <t>Bulb-type and lumen look-up in Energy Star database</t>
        </r>
        <r>
          <rPr>
            <sz val="9"/>
            <color indexed="81"/>
            <rFont val="Tahoma"/>
            <family val="2"/>
          </rPr>
          <t xml:space="preserve">
</t>
        </r>
      </text>
    </comment>
    <comment ref="W1209"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212" authorId="0" shapeId="0">
      <text>
        <r>
          <rPr>
            <b/>
            <sz val="9"/>
            <color indexed="81"/>
            <rFont val="Tahoma"/>
            <family val="2"/>
          </rPr>
          <t>Weighted HOU from ADM based upon program data</t>
        </r>
        <r>
          <rPr>
            <sz val="9"/>
            <color indexed="81"/>
            <rFont val="Tahoma"/>
            <family val="2"/>
          </rPr>
          <t xml:space="preserve">
</t>
        </r>
      </text>
    </comment>
    <comment ref="W1215"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215" authorId="0" shapeId="0">
      <text>
        <r>
          <rPr>
            <b/>
            <sz val="9"/>
            <color indexed="81"/>
            <rFont val="Tahoma"/>
            <family val="2"/>
          </rPr>
          <t>Author:</t>
        </r>
        <r>
          <rPr>
            <sz val="9"/>
            <color indexed="81"/>
            <rFont val="Tahoma"/>
            <family val="2"/>
          </rPr>
          <t xml:space="preserve">
Weighted HOU from ADM based upon program data</t>
        </r>
      </text>
    </comment>
    <comment ref="AB1275" authorId="0" shapeId="0">
      <text>
        <r>
          <rPr>
            <b/>
            <sz val="9"/>
            <color indexed="81"/>
            <rFont val="Tahoma"/>
            <family val="2"/>
          </rPr>
          <t xml:space="preserve">Opinion Dynamics:
</t>
        </r>
        <r>
          <rPr>
            <sz val="9"/>
            <color indexed="81"/>
            <rFont val="Tahoma"/>
            <family val="2"/>
          </rPr>
          <t>Reformatted table</t>
        </r>
      </text>
    </comment>
    <comment ref="Y1299" authorId="0" shapeId="0">
      <text>
        <r>
          <rPr>
            <sz val="9"/>
            <color indexed="81"/>
            <rFont val="Tahoma"/>
            <family val="2"/>
          </rPr>
          <t xml:space="preserve">Use existing inputs to develop measure based on program design.
</t>
        </r>
      </text>
    </comment>
    <comment ref="Y1312" authorId="0" shapeId="0">
      <text>
        <r>
          <rPr>
            <b/>
            <sz val="9"/>
            <color indexed="81"/>
            <rFont val="Tahoma"/>
            <family val="2"/>
          </rPr>
          <t>Added pre-1993 unit based upon existing inputs</t>
        </r>
        <r>
          <rPr>
            <sz val="9"/>
            <color indexed="81"/>
            <rFont val="Tahoma"/>
            <family val="2"/>
          </rPr>
          <t xml:space="preserve">
</t>
        </r>
      </text>
    </comment>
    <comment ref="Y1334" authorId="0" shapeId="0">
      <text>
        <r>
          <rPr>
            <b/>
            <sz val="9"/>
            <color indexed="81"/>
            <rFont val="Tahoma"/>
            <family val="2"/>
          </rPr>
          <t>Added standard size units to provide more options for Implementation and based upon program design all replacements are primary units (not secondary)</t>
        </r>
      </text>
    </comment>
    <comment ref="F1335"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Formulas were previously not capturing the ISR parameter.</t>
        </r>
      </text>
    </comment>
    <comment ref="Y1339" authorId="0" shapeId="0">
      <text>
        <r>
          <rPr>
            <b/>
            <sz val="9"/>
            <color indexed="81"/>
            <rFont val="Tahoma"/>
            <family val="2"/>
          </rPr>
          <t xml:space="preserve">Added multiple kbtu size options (5,8,10,12,15) </t>
        </r>
      </text>
    </comment>
    <comment ref="W1368" authorId="0" shapeId="0">
      <text>
        <r>
          <rPr>
            <b/>
            <sz val="9"/>
            <color indexed="81"/>
            <rFont val="Tahoma"/>
            <family val="2"/>
          </rPr>
          <t>PY13 RebateSavers Database (average BTU)</t>
        </r>
        <r>
          <rPr>
            <sz val="9"/>
            <color indexed="81"/>
            <rFont val="Tahoma"/>
            <family val="2"/>
          </rPr>
          <t xml:space="preserve">
</t>
        </r>
      </text>
    </comment>
    <comment ref="W1374" authorId="0" shapeId="0">
      <text>
        <r>
          <rPr>
            <b/>
            <sz val="9"/>
            <color indexed="81"/>
            <rFont val="Tahoma"/>
            <family val="2"/>
          </rPr>
          <t>Federal minimum efficiency standard (updated from EER to CEER in March 2017)</t>
        </r>
        <r>
          <rPr>
            <sz val="9"/>
            <color indexed="81"/>
            <rFont val="Tahoma"/>
            <family val="2"/>
          </rPr>
          <t xml:space="preserve">
</t>
        </r>
      </text>
    </comment>
    <comment ref="X1377"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1377"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378" authorId="0" shapeId="0">
      <text>
        <r>
          <rPr>
            <b/>
            <sz val="9"/>
            <color indexed="81"/>
            <rFont val="Tahoma"/>
            <family val="2"/>
          </rPr>
          <t>used EFLH that ADM used for all measures</t>
        </r>
      </text>
    </comment>
    <comment ref="J1389"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K1389"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List>
</comments>
</file>

<file path=xl/comments6.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comments7.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73" authorId="0" shapeId="0">
      <text>
        <r>
          <rPr>
            <b/>
            <sz val="9"/>
            <color indexed="81"/>
            <rFont val="Tahoma"/>
            <family val="2"/>
          </rPr>
          <t>changed to a per square foot value rather than per average size home</t>
        </r>
        <r>
          <rPr>
            <sz val="9"/>
            <color indexed="81"/>
            <rFont val="Tahoma"/>
            <family val="2"/>
          </rPr>
          <t xml:space="preserve">
</t>
        </r>
      </text>
    </comment>
    <comment ref="C74" authorId="0" shapeId="0">
      <text>
        <r>
          <rPr>
            <b/>
            <sz val="9"/>
            <color indexed="81"/>
            <rFont val="Tahoma"/>
            <family val="2"/>
          </rPr>
          <t>Author:</t>
        </r>
        <r>
          <rPr>
            <sz val="9"/>
            <color indexed="81"/>
            <rFont val="Tahoma"/>
            <family val="2"/>
          </rPr>
          <t xml:space="preserve">
In NOV 2019 TRM updated these had "2018_12" but shourld have been "2019_12"</t>
        </r>
      </text>
    </comment>
    <comment ref="C196" authorId="0" shapeId="0">
      <text>
        <r>
          <rPr>
            <b/>
            <sz val="9"/>
            <color indexed="81"/>
            <rFont val="Tahoma"/>
            <family val="2"/>
          </rPr>
          <t xml:space="preserve">Author:
</t>
        </r>
        <r>
          <rPr>
            <sz val="9"/>
            <color indexed="81"/>
            <rFont val="Tahoma"/>
            <family val="2"/>
          </rPr>
          <t xml:space="preserve">In NOV 2019 TRM updated these had "2018_12" but shourld have been "2019_12"
</t>
        </r>
      </text>
    </comment>
    <comment ref="X221"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Y250" authorId="0" shapeId="0">
      <text>
        <r>
          <rPr>
            <b/>
            <sz val="9"/>
            <color indexed="81"/>
            <rFont val="Tahoma"/>
            <family val="2"/>
          </rPr>
          <t>This value is not new just including it in the input table (previously only shown in the equation)</t>
        </r>
      </text>
    </comment>
    <comment ref="R255" authorId="0" shapeId="0">
      <text>
        <r>
          <rPr>
            <b/>
            <sz val="9"/>
            <color indexed="81"/>
            <rFont val="Tahoma"/>
            <family val="2"/>
          </rPr>
          <t>Same table is in HVAC and MFMR deemed tables</t>
        </r>
        <r>
          <rPr>
            <sz val="9"/>
            <color indexed="81"/>
            <rFont val="Tahoma"/>
            <family val="2"/>
          </rPr>
          <t xml:space="preserve">
</t>
        </r>
      </text>
    </comment>
    <comment ref="Y255" authorId="0" shapeId="0">
      <text>
        <r>
          <rPr>
            <b/>
            <sz val="9"/>
            <color indexed="81"/>
            <rFont val="Tahoma"/>
            <family val="2"/>
          </rPr>
          <t>This value is not new just including it in the input table (previously only shown in the equation)</t>
        </r>
      </text>
    </comment>
    <comment ref="R257" authorId="0" shapeId="0">
      <text>
        <r>
          <rPr>
            <b/>
            <sz val="9"/>
            <color indexed="81"/>
            <rFont val="Tahoma"/>
            <family val="2"/>
          </rPr>
          <t>discount factor =  (1+discount rate)^(1/3 EUL-1).    year 1 is considered to be when the measure is installed and therefore do not discount “period 1”.</t>
        </r>
      </text>
    </comment>
    <comment ref="Y262" authorId="0" shapeId="0">
      <text>
        <r>
          <rPr>
            <b/>
            <sz val="9"/>
            <color indexed="81"/>
            <rFont val="Tahoma"/>
            <family val="2"/>
          </rPr>
          <t>This value is not new just including it in the input table (previously only shown in the equation)</t>
        </r>
      </text>
    </comment>
    <comment ref="Y268" authorId="0" shapeId="0">
      <text>
        <r>
          <rPr>
            <b/>
            <sz val="9"/>
            <color indexed="81"/>
            <rFont val="Tahoma"/>
            <family val="2"/>
          </rPr>
          <t>Formula updated</t>
        </r>
      </text>
    </comment>
    <comment ref="L440"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List>
</comments>
</file>

<file path=xl/comments8.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comments9.xml><?xml version="1.0" encoding="utf-8"?>
<comments xmlns="http://schemas.openxmlformats.org/spreadsheetml/2006/main">
  <authors>
    <author>Author</author>
  </authors>
  <commentList>
    <comment ref="Z6" authorId="0" shapeId="0">
      <text>
        <r>
          <rPr>
            <b/>
            <sz val="9"/>
            <color indexed="81"/>
            <rFont val="Tahoma"/>
            <family val="2"/>
          </rPr>
          <t>11 Step updates</t>
        </r>
      </text>
    </comment>
  </commentList>
</comments>
</file>

<file path=xl/sharedStrings.xml><?xml version="1.0" encoding="utf-8"?>
<sst xmlns="http://schemas.openxmlformats.org/spreadsheetml/2006/main" count="17056" uniqueCount="4413">
  <si>
    <t>General Layout of the Deemed Savings Tables:</t>
  </si>
  <si>
    <t>Deemed Savings Tables and Inputs</t>
  </si>
  <si>
    <t xml:space="preserve">Current + Historical kWh Values and Inputs </t>
  </si>
  <si>
    <t>*TRC (Measure Level)</t>
  </si>
  <si>
    <t>"1"= Collapse all Inputs to Calculations</t>
  </si>
  <si>
    <t>"2" = Expand all Inputs to Calculations</t>
  </si>
  <si>
    <t>"-/+" = Collapse or Expand each Section</t>
  </si>
  <si>
    <t>Deemed Savings Table(s)</t>
  </si>
  <si>
    <t>Formula/Equation(s)</t>
  </si>
  <si>
    <t>Equation Inputs</t>
  </si>
  <si>
    <t>* TRC calculations use the avoided cost benefit tables from workpapers in the approved MEEIA 2019-2021 filing (EO-2018-0211)</t>
  </si>
  <si>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</si>
  <si>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</si>
  <si>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</si>
  <si>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</si>
  <si>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</si>
  <si>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</si>
  <si>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</si>
  <si>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</si>
  <si>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</si>
  <si>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</si>
  <si>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</si>
  <si>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Updated Business Deemed Table in alignment with 11 step program changes to best meet goals under current market conditions.</t>
  </si>
  <si>
    <t>Updated “Deemed Tables” with PY19 Evaluation results and variations of existing measures such as "direct install" and other options.  Updated Appendix H &amp; I for consistency.</t>
  </si>
  <si>
    <t>RESIDENTIAL LIGHTING</t>
  </si>
  <si>
    <r>
      <rPr>
        <b/>
        <sz val="26"/>
        <rFont val="Calibri"/>
        <family val="2"/>
        <scheme val="minor"/>
      </rPr>
      <t xml:space="preserve">&lt;------ </t>
    </r>
    <r>
      <rPr>
        <b/>
        <sz val="16"/>
        <rFont val="Calibri"/>
        <family val="2"/>
        <scheme val="minor"/>
      </rPr>
      <t>Use the "Grouping" Features to expand or hide the formulas/input variables</t>
    </r>
  </si>
  <si>
    <t>Lighting Program</t>
  </si>
  <si>
    <t>** CFL baseline is Post 2021, EISA baseline is pre-2021 **</t>
  </si>
  <si>
    <t>Measure Reference No.</t>
  </si>
  <si>
    <t>Program/ Channel</t>
  </si>
  <si>
    <t>Measure</t>
  </si>
  <si>
    <t>kWh Annual Savings</t>
  </si>
  <si>
    <t>kW</t>
  </si>
  <si>
    <t>End Use - RES</t>
  </si>
  <si>
    <t>kW Factor - RES</t>
  </si>
  <si>
    <t>End Use - BUS</t>
  </si>
  <si>
    <t>kW Factor - BUS</t>
  </si>
  <si>
    <t>kWh RES</t>
  </si>
  <si>
    <t>kWh BUS</t>
  </si>
  <si>
    <t>KW RES</t>
  </si>
  <si>
    <t>KW BUS</t>
  </si>
  <si>
    <t>EUL - RES</t>
  </si>
  <si>
    <t>EUL - BUS**</t>
  </si>
  <si>
    <t>Inc. Cost*</t>
  </si>
  <si>
    <t>Units</t>
  </si>
  <si>
    <t>REVISION DATE</t>
  </si>
  <si>
    <t>-</t>
  </si>
  <si>
    <t>TRC (2020)</t>
  </si>
  <si>
    <t>Benefit Lookup</t>
  </si>
  <si>
    <t>Benefits (2019 $)</t>
  </si>
  <si>
    <t>Incremental Cost (2019 $)</t>
  </si>
  <si>
    <t>200050_2019_12_</t>
  </si>
  <si>
    <t>Lighting</t>
  </si>
  <si>
    <t>LED - 10.5W Downlight E26 (CFL baseline)</t>
  </si>
  <si>
    <t>Lighting RES</t>
  </si>
  <si>
    <t>Lighting BUS</t>
  </si>
  <si>
    <t xml:space="preserve">  per bulb</t>
  </si>
  <si>
    <t>200100_2019_12_</t>
  </si>
  <si>
    <t>LED - 10.5W Downlight E26 (Halogen baseline)</t>
  </si>
  <si>
    <t>200150_2019_12_</t>
  </si>
  <si>
    <t>LED - 10W (CFL baseline) (750-1049 lumens)</t>
  </si>
  <si>
    <t>200200_2019_12_</t>
  </si>
  <si>
    <t>LED - 10W (Halogen baseline) (750-1049 lumens)</t>
  </si>
  <si>
    <t>200250_2019_12_</t>
  </si>
  <si>
    <t>LED - 12W Dimmable Light Bulb (Replacing CFL)</t>
  </si>
  <si>
    <t>200300_2019_12_</t>
  </si>
  <si>
    <t>LED - 12W Dimmable Light Bulb (Replacing Specialty Incandescent)</t>
  </si>
  <si>
    <t>200350_2019_12_</t>
  </si>
  <si>
    <t>LED - 15W (Halogen baseline) (1050-1489 lumens)</t>
  </si>
  <si>
    <t>200400_2019_12_</t>
  </si>
  <si>
    <t>LED - 15W (CFL baseline) (1050-1489 lumens)</t>
  </si>
  <si>
    <t>200401_2020_12_</t>
  </si>
  <si>
    <t>LED - 11W Flood Light BR30 Bulb (CFL baseline)</t>
  </si>
  <si>
    <t>200402_2020_12_</t>
  </si>
  <si>
    <t xml:space="preserve">LED - 11W Flood Light BR30 Bulb (Halogen baseline) </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</si>
  <si>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</si>
  <si>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</si>
  <si>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</si>
  <si>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</si>
  <si>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</si>
  <si>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</si>
  <si>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</si>
  <si>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</si>
  <si>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</si>
  <si>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LED - 20W (CFL baseline) (1490-2600 lumens)</t>
  </si>
  <si>
    <t>200700_2019_12_</t>
  </si>
  <si>
    <t>LED - 20W (Halogen baseline) (1490-2600 lumens)</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</si>
  <si>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</si>
  <si>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</si>
  <si>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</si>
  <si>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</si>
  <si>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</si>
  <si>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</si>
  <si>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</si>
  <si>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</si>
  <si>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</si>
  <si>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LED - 10W (Halogen baseline) (750-1049 lumens) - Specialty Connected Light</t>
  </si>
  <si>
    <t>201000_2019_12_</t>
  </si>
  <si>
    <t>LED - 15W (Halogen baseline) (1050-1489 lumens) - Specialty Connected Light</t>
  </si>
  <si>
    <t>201050_2019_12_</t>
  </si>
  <si>
    <t>LED - 15W Flood Light PAR30 Bulb (Halogen baseline) - Specialty Connected Light</t>
  </si>
  <si>
    <t>201099_2021_12_</t>
  </si>
  <si>
    <t>LED - 6W (CFL baseline) (310-749 lumens)</t>
  </si>
  <si>
    <t>201100_2019_12_</t>
  </si>
  <si>
    <t>LED - 6W (Halogen baseline) (310-749 lumens)</t>
  </si>
  <si>
    <t>LED Nightlights</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</si>
  <si>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</si>
  <si>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</si>
  <si>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</si>
  <si>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</si>
  <si>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</si>
  <si>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 xml:space="preserve">Measure Category </t>
  </si>
  <si>
    <t>Value</t>
  </si>
  <si>
    <t>Notes</t>
  </si>
  <si>
    <t>  Watts Base</t>
  </si>
  <si>
    <t>Baseline wattage, based on lumens of LED bulb installed.</t>
  </si>
  <si>
    <t>Ameren Missouri Lighting Evaluation PY2018</t>
  </si>
  <si>
    <t>WattsBase after EISA 2020 value from TRM matched to closest cell against base wattage</t>
  </si>
  <si>
    <t>EISA Baseline for Lumen Range (reference IL TRM)</t>
  </si>
  <si>
    <t>WattsBase after EISA 2020 value from TRM matched to closest cell against Average lumen-equivalent halogen wattage for program bulbs</t>
  </si>
  <si>
    <t>Calculation: 850 lumen / 45 lumen per watt, where 850 lumen is the actual value from program delivery for BR30 LED.</t>
  </si>
  <si>
    <t>2019 IL TRM, section 5.5.6.</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</si>
  <si>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</si>
  <si>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</si>
  <si>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</si>
  <si>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</si>
  <si>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</si>
  <si>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</si>
  <si>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IL TRM V9.0, section 5.5.11</t>
  </si>
  <si>
    <t>  Watts EE</t>
  </si>
  <si>
    <t>Actual wattage of LED purchased / installed</t>
  </si>
  <si>
    <t>Program Wattage</t>
  </si>
  <si>
    <t xml:space="preserve"> Bulb nameplaate Wattage </t>
  </si>
  <si>
    <t>ISR</t>
  </si>
  <si>
    <t>In Service Rate, the percentage of units rebated that are actually in service</t>
  </si>
  <si>
    <t>All</t>
  </si>
  <si>
    <t>Ameren Missouri Lighting Evaluation PY2019 (weighted average value for Upsteam and Online)</t>
  </si>
  <si>
    <t>PY19 Bulbs</t>
  </si>
  <si>
    <t>Online Store - Standard</t>
  </si>
  <si>
    <t>Online Store - Reflector</t>
  </si>
  <si>
    <t>Online Store - Specialty</t>
  </si>
  <si>
    <t xml:space="preserve">Upstream - Standard </t>
  </si>
  <si>
    <t>Upstream - Reflector</t>
  </si>
  <si>
    <t>Upstream - Specialty</t>
  </si>
  <si>
    <t>Leakage</t>
  </si>
  <si>
    <t>Leakage rate (program bulbs installed outside Ameren Missouri's service area)</t>
  </si>
  <si>
    <t xml:space="preserve">Online Store </t>
  </si>
  <si>
    <t>Upstream</t>
  </si>
  <si>
    <t>HOU_Res</t>
  </si>
  <si>
    <t>Average hours of use per year for residential homes</t>
  </si>
  <si>
    <t>Non-Nightlight</t>
  </si>
  <si>
    <t>2017 Ameren MO Lighting study  - Matches Ameren Missouri Lighting Evaluation PY2018</t>
  </si>
  <si>
    <t>Nightlight</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</si>
  <si>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</si>
  <si>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</si>
  <si>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</si>
  <si>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</si>
  <si>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</si>
  <si>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</si>
  <si>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 xml:space="preserve">Illinois TRM v5.0, Lighting Reference Tables (Sec. 4.5.1), "Unknown" Building type, screw base lamp operating hours / 365 
*** Multiplied by 365 so equation doesn’t need hard coded values of 365 </t>
  </si>
  <si>
    <t>WHF_Nres</t>
  </si>
  <si>
    <t>NRES</t>
  </si>
  <si>
    <t>PY16 value equal to PY15</t>
  </si>
  <si>
    <t>%Res</t>
  </si>
  <si>
    <t>Percentage of bulbs sold to residential customers</t>
  </si>
  <si>
    <t>Ameren Missouri Lighting Evaluation PY2019 Final Report, Appendices, Table 2 (weighted average value for Upsteam and Online)</t>
  </si>
  <si>
    <t>EUL Residential</t>
  </si>
  <si>
    <t>Effective Useful Life</t>
  </si>
  <si>
    <t xml:space="preserve">Based on 100,000 hour rated lamp lifetime, with 19-year measure life cap. Equipment used by programs is rated for 100,000 hours: https://products.amconservationgroup.com/led-night-light/ </t>
  </si>
  <si>
    <t>EUL Business</t>
  </si>
  <si>
    <t>Inc. Cost</t>
  </si>
  <si>
    <t>Incremental Cost</t>
  </si>
  <si>
    <t>Specialty connected lighting has an additional $20 cost per IL TRM 2019</t>
  </si>
  <si>
    <t>RESIDENTIAL EFFICIENT PRODUCTS</t>
  </si>
  <si>
    <t>Heat Pump Hot Water Heater</t>
  </si>
  <si>
    <t>Program/Channel</t>
  </si>
  <si>
    <t>End Use</t>
  </si>
  <si>
    <t>kW Factor</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</si>
  <si>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</si>
  <si>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</si>
  <si>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</si>
  <si>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EUL</t>
  </si>
  <si>
    <t>250050_2019_12_</t>
  </si>
  <si>
    <t>Efficient Products</t>
  </si>
  <si>
    <t>Water Heating RES</t>
  </si>
  <si>
    <t>per measure</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</si>
  <si>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</si>
  <si>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</si>
  <si>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</si>
  <si>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</si>
  <si>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</si>
  <si>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</si>
  <si>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</si>
  <si>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</si>
  <si>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</si>
  <si>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</si>
  <si>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</si>
  <si>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</si>
  <si>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</si>
  <si>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</si>
  <si>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</si>
  <si>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</si>
  <si>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</si>
  <si>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</si>
  <si>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</si>
  <si>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</si>
  <si>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</si>
  <si>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</si>
  <si>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</si>
  <si>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</si>
  <si>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</si>
  <si>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</si>
  <si>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</si>
  <si>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</si>
  <si>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</si>
  <si>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</si>
  <si>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</si>
  <si>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</si>
  <si>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</si>
  <si>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</si>
  <si>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LF</t>
  </si>
  <si>
    <t>Location Factor</t>
  </si>
  <si>
    <t>Wisconsin TRM unknown location</t>
  </si>
  <si>
    <t>PY18 Ameren Missouri Evaluation</t>
  </si>
  <si>
    <r>
      <t>WHF</t>
    </r>
    <r>
      <rPr>
        <vertAlign val="subscript"/>
        <sz val="11"/>
        <rFont val="Calibri"/>
        <family val="2"/>
        <scheme val="minor"/>
      </rPr>
      <t>C</t>
    </r>
  </si>
  <si>
    <t>Portion of reduced waste heat that results in cooling savings</t>
  </si>
  <si>
    <t>MO 2017 TRM, section 3.3.5</t>
  </si>
  <si>
    <t>Based on 193 days where CDD 65&gt;0, divided by 365.25. CDD days determined with a base temp of 65°F.</t>
  </si>
  <si>
    <r>
      <t>WHF</t>
    </r>
    <r>
      <rPr>
        <vertAlign val="subscript"/>
        <sz val="11"/>
        <rFont val="Calibri"/>
        <family val="2"/>
        <scheme val="minor"/>
      </rPr>
      <t>H</t>
    </r>
  </si>
  <si>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</si>
  <si>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</si>
  <si>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</si>
  <si>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</si>
  <si>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</si>
  <si>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</si>
  <si>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</si>
  <si>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</si>
  <si>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</si>
  <si>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</si>
  <si>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</si>
  <si>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</si>
  <si>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</si>
  <si>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</si>
  <si>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%Cool</t>
  </si>
  <si>
    <t>Percentage of homes with central cooling</t>
  </si>
  <si>
    <t>Ameren Missouri PY2019 Baseline Study (Non-Low Income Saturation of Central AC)</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</si>
  <si>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</si>
  <si>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</si>
  <si>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</si>
  <si>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</si>
  <si>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</si>
  <si>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</si>
  <si>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</si>
  <si>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Ameren Missouri Efficient Products Evaluation PY2019 (Table 6-9)</t>
  </si>
  <si>
    <t>Learning Thermostat / Advanced Thermostat</t>
  </si>
  <si>
    <t xml:space="preserve">*CompE = Comprehensive Envelope </t>
  </si>
  <si>
    <t>250100_2021_12_</t>
  </si>
  <si>
    <t>Learning Thermostat - ASHP heating/cooling SF</t>
  </si>
  <si>
    <t>Cooling RES</t>
  </si>
  <si>
    <t>Heating RES</t>
  </si>
  <si>
    <t>250101_2021_12_</t>
  </si>
  <si>
    <t>Learning Thermostat - ASHP heating/cooling MF</t>
  </si>
  <si>
    <t>250102_2021_12_</t>
  </si>
  <si>
    <t>250150_2021_12_</t>
  </si>
  <si>
    <t>Learning Thermostat - electric furnace heating / central AC MF</t>
  </si>
  <si>
    <t>250151_2021_12_</t>
  </si>
  <si>
    <t>250250_2021_12_</t>
  </si>
  <si>
    <t>Learning Thermostat - electric furnace heating / central AC SF</t>
  </si>
  <si>
    <t>250350_2021_12_</t>
  </si>
  <si>
    <t>Learning Thermostat - Gas Heated / central AC SF**</t>
  </si>
  <si>
    <t>250351_2021_12_</t>
  </si>
  <si>
    <t>Learning Thermostat - Gas Heated / central AC MF**</t>
  </si>
  <si>
    <t>250352_2021_12_</t>
  </si>
  <si>
    <t>Learning Thermostat - Gas Heated / central AC MF_CompE**</t>
  </si>
  <si>
    <t>250450_2021_12_</t>
  </si>
  <si>
    <t>Learning Thermostat - Unknown SF**</t>
  </si>
  <si>
    <t>250451_2021_12_</t>
  </si>
  <si>
    <t>Learning Thermostat - Unknown MF**</t>
  </si>
  <si>
    <t>250452_2021_12_</t>
  </si>
  <si>
    <t>Learning Thermostat - Unknown MF_CompE**</t>
  </si>
  <si>
    <t>**If not claiming gas value is applicable to propane as well</t>
  </si>
  <si>
    <t xml:space="preserve">                                                                                                                                              </t>
  </si>
  <si>
    <t>Frequency</t>
  </si>
  <si>
    <t>Comments</t>
  </si>
  <si>
    <t>%ElectricHeat</t>
  </si>
  <si>
    <t>MO - TRM</t>
  </si>
  <si>
    <t>Ameren Missouri Efficient Products Evaluation PY2020</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</si>
  <si>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</si>
  <si>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</si>
  <si>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</si>
  <si>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</si>
  <si>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</si>
  <si>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</si>
  <si>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</si>
  <si>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</si>
  <si>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</si>
  <si>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</si>
  <si>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</si>
  <si>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</si>
  <si>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Unknown Baseline (Weighted Average)</t>
  </si>
  <si>
    <t>MO Statewide TRM weighted with survey data</t>
  </si>
  <si>
    <t>Frequency of Baseline Thermostats</t>
  </si>
  <si>
    <t>Baseline Manual Thermostat</t>
  </si>
  <si>
    <t>Baseline Programmable Thermostat</t>
  </si>
  <si>
    <t>Baseline Smart Thermostat</t>
  </si>
  <si>
    <t>Eff_ISR</t>
  </si>
  <si>
    <t>Default value could change with evaluation</t>
  </si>
  <si>
    <t>All - HVAC Program</t>
  </si>
  <si>
    <r>
      <rPr>
        <strike/>
        <sz val="11"/>
        <color rgb="FFFF0000"/>
        <rFont val="Calibri Light"/>
        <family val="2"/>
      </rPr>
      <t xml:space="preserve">Ameren Missouri HVAC Evaluation PY2019 (Table 4-13) </t>
    </r>
    <r>
      <rPr>
        <sz val="11"/>
        <color rgb="FFFF0000"/>
        <rFont val="Calibri Light"/>
        <family val="2"/>
      </rPr>
      <t>Ameren Missouri HVAC Evaluation PY2020 (Table 28)</t>
    </r>
  </si>
  <si>
    <t>∆Therms</t>
  </si>
  <si>
    <t>Calculated</t>
  </si>
  <si>
    <t>Fe</t>
  </si>
  <si>
    <t>Default value no alternative</t>
  </si>
  <si>
    <t>%AC</t>
  </si>
  <si>
    <r>
      <t xml:space="preserve">EFLH </t>
    </r>
    <r>
      <rPr>
        <vertAlign val="subscript"/>
        <sz val="11"/>
        <rFont val="Calibri Light"/>
        <family val="2"/>
        <scheme val="major"/>
      </rPr>
      <t>cool</t>
    </r>
  </si>
  <si>
    <t>SF &amp; MF</t>
  </si>
  <si>
    <t>St Louis</t>
  </si>
  <si>
    <t>MFc</t>
  </si>
  <si>
    <t>Evaluation - Opinion Dynamics review PY19</t>
  </si>
  <si>
    <t>CapacityCool</t>
  </si>
  <si>
    <t>SF</t>
  </si>
  <si>
    <t>Default if capacity is unknown</t>
  </si>
  <si>
    <t>MF</t>
  </si>
  <si>
    <t>none</t>
  </si>
  <si>
    <t>SEER</t>
  </si>
  <si>
    <t>Based on minimum federal standard</t>
  </si>
  <si>
    <t>CoolingReduction</t>
  </si>
  <si>
    <t>%FossilHeat</t>
  </si>
  <si>
    <t>Tracking Database</t>
  </si>
  <si>
    <t>HeatingConsumption_Gas</t>
  </si>
  <si>
    <t>Ameren Missouri Efficient Products Evaluation PY2017</t>
  </si>
  <si>
    <t>St. Louis</t>
  </si>
  <si>
    <t>IL TRM v8.0 pg 165</t>
  </si>
  <si>
    <t>The assumed incremental cost is based on the middle of the range ($175) minus a cost of $50 for the baseline equipment blend of manual
and programmable thermostats.</t>
  </si>
  <si>
    <r>
      <rPr>
        <strike/>
        <sz val="11"/>
        <color rgb="FFFF0000"/>
        <rFont val="Calibri"/>
        <family val="2"/>
        <scheme val="minor"/>
      </rPr>
      <t xml:space="preserve">ENERGY STAR Pool Pump and motor w auto controls - multi speed </t>
    </r>
    <r>
      <rPr>
        <sz val="11"/>
        <color rgb="FFFF0000"/>
        <rFont val="Calibri"/>
        <family val="2"/>
        <scheme val="minor"/>
      </rPr>
      <t>High Efficiency Pool Pumps</t>
    </r>
  </si>
  <si>
    <t xml:space="preserve"> kW</t>
  </si>
  <si>
    <t>250500_2021_12_</t>
  </si>
  <si>
    <t>ENERGY STAR Pool Pump and motor w auto controls - multi speed</t>
  </si>
  <si>
    <t>Pool Spa RES</t>
  </si>
  <si>
    <t>250550_2021_12_</t>
  </si>
  <si>
    <r>
      <t>ENERGY STAR VFDs on Residential Swimming Pool Pumps</t>
    </r>
    <r>
      <rPr>
        <sz val="11"/>
        <color rgb="FFFF0000"/>
        <rFont val="Calibri"/>
        <family val="2"/>
        <scheme val="minor"/>
      </rPr>
      <t xml:space="preserve"> - ROF</t>
    </r>
  </si>
  <si>
    <t>250551_2021_12_</t>
  </si>
  <si>
    <t>ENERGY STAR VFDs on Residential Swimming Pool Pumps - ER</t>
  </si>
  <si>
    <t>For TOS and NC:</t>
  </si>
  <si>
    <t>For Early Replacement</t>
  </si>
  <si>
    <t>Multi-Speed Value</t>
  </si>
  <si>
    <r>
      <rPr>
        <strike/>
        <sz val="11"/>
        <color rgb="FFFF0000"/>
        <rFont val="Calibri"/>
        <family val="2"/>
        <scheme val="minor"/>
      </rPr>
      <t xml:space="preserve">VFD </t>
    </r>
    <r>
      <rPr>
        <sz val="11"/>
        <rFont val="Calibri"/>
        <family val="2"/>
        <scheme val="minor"/>
      </rPr>
      <t>Value</t>
    </r>
  </si>
  <si>
    <t>VFD Value</t>
  </si>
  <si>
    <t>Gallons</t>
  </si>
  <si>
    <t>Capacity of the pool (gal)</t>
  </si>
  <si>
    <t>ENERGY STAR Pool Pump Calculator (accessed 06/2021)</t>
  </si>
  <si>
    <t>Turnovers</t>
  </si>
  <si>
    <t>Desired number of pool water turnovers per day</t>
  </si>
  <si>
    <t>WEFbase</t>
  </si>
  <si>
    <t>Weighted Energy Factor of baseline pump (gal/Wh)</t>
  </si>
  <si>
    <t>Consistent with IL-TRM V10.0 assumption, which is based on applying the federal standard specifications to the average Curve-C rated hydraulic horsepower (hhp) from the ENERGY STAR Qualified Products List, accessed 3/31/2021.</t>
  </si>
  <si>
    <t>WEFee</t>
  </si>
  <si>
    <t>Weighted Energy Factor of installed ENERGY STAR pump (gal/Wh)</t>
  </si>
  <si>
    <t>Consistent with IL-TRM V10.0 assumption, which is based on applying the ENERGY STAR specifications to the average Curve-C rated hydraulic horsepower (hhp) from the ENERGY STAR Qualified Products List, accessed 3/31/2021.</t>
  </si>
  <si>
    <t>EFexist</t>
  </si>
  <si>
    <t>Energy Factor of existing single speed pump (gal/Wh)</t>
  </si>
  <si>
    <t>ENERGY STAR Pool Pump Calculator, assuming 1.5 HP pump (accessed 06/2021)</t>
  </si>
  <si>
    <r>
      <t>Days</t>
    </r>
    <r>
      <rPr>
        <strike/>
        <vertAlign val="subscript"/>
        <sz val="11"/>
        <color rgb="FFFF0000"/>
        <rFont val="Calibri"/>
        <family val="2"/>
        <scheme val="minor"/>
      </rPr>
      <t>oper</t>
    </r>
  </si>
  <si>
    <t>Days per Year of Operation</t>
  </si>
  <si>
    <r>
      <rPr>
        <strike/>
        <sz val="11"/>
        <color rgb="FFFF0000"/>
        <rFont val="Calibri"/>
        <family val="2"/>
        <scheme val="minor"/>
      </rPr>
      <t xml:space="preserve">ES Pool Pump Calculator downloaded on   (version last updated 12-13) and adjusted for dual speed in Missouri </t>
    </r>
    <r>
      <rPr>
        <sz val="11"/>
        <color rgb="FFFF0000"/>
        <rFont val="Calibri"/>
        <family val="2"/>
        <scheme val="minor"/>
      </rPr>
      <t>ENERGY STAR Pool Pump Calculator (accessed 06/2021)</t>
    </r>
  </si>
  <si>
    <r>
      <t>RT</t>
    </r>
    <r>
      <rPr>
        <strike/>
        <vertAlign val="subscript"/>
        <sz val="11"/>
        <color rgb="FFFF0000"/>
        <rFont val="Calibri"/>
        <family val="2"/>
        <scheme val="minor"/>
      </rPr>
      <t>ss</t>
    </r>
  </si>
  <si>
    <t>Runtime in hours/day using single speed (ss) pump</t>
  </si>
  <si>
    <t xml:space="preserve">ES Pool Pump Calculator downloaded on   (version last updated 12-13) and adjusted for dual speed in Missouri </t>
  </si>
  <si>
    <r>
      <t>RT</t>
    </r>
    <r>
      <rPr>
        <strike/>
        <vertAlign val="subscript"/>
        <sz val="11"/>
        <color rgb="FFFF0000"/>
        <rFont val="Calibri"/>
        <family val="2"/>
        <scheme val="minor"/>
      </rPr>
      <t>ls</t>
    </r>
  </si>
  <si>
    <t>Runtime in hours/day in low speed (ls) using dual speed (ds) pump</t>
  </si>
  <si>
    <r>
      <t>RT</t>
    </r>
    <r>
      <rPr>
        <strike/>
        <vertAlign val="subscript"/>
        <sz val="11"/>
        <color rgb="FFFF0000"/>
        <rFont val="Calibri"/>
        <family val="2"/>
        <scheme val="minor"/>
      </rPr>
      <t>hs</t>
    </r>
  </si>
  <si>
    <t>Runtime in hours/day in high speed (hs) using dual speed (ds) pump</t>
  </si>
  <si>
    <r>
      <t>GPM</t>
    </r>
    <r>
      <rPr>
        <strike/>
        <vertAlign val="subscript"/>
        <sz val="11"/>
        <color rgb="FFFF0000"/>
        <rFont val="Calibri"/>
        <family val="2"/>
        <scheme val="minor"/>
      </rPr>
      <t>ss</t>
    </r>
  </si>
  <si>
    <t>Gallons per minute using single speed (ss) pump</t>
  </si>
  <si>
    <r>
      <t>GPM</t>
    </r>
    <r>
      <rPr>
        <strike/>
        <vertAlign val="subscript"/>
        <sz val="11"/>
        <color rgb="FFFF0000"/>
        <rFont val="Calibri"/>
        <family val="2"/>
        <scheme val="minor"/>
      </rPr>
      <t>ls</t>
    </r>
  </si>
  <si>
    <t>Gallons per minute in low speed (ls) using dual speed (ds) pump</t>
  </si>
  <si>
    <r>
      <t>GPM</t>
    </r>
    <r>
      <rPr>
        <strike/>
        <vertAlign val="subscript"/>
        <sz val="11"/>
        <color rgb="FFFF0000"/>
        <rFont val="Calibri"/>
        <family val="2"/>
        <scheme val="minor"/>
      </rPr>
      <t>hs</t>
    </r>
  </si>
  <si>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</si>
  <si>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</si>
  <si>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</si>
  <si>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</si>
  <si>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</si>
  <si>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</si>
  <si>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</si>
  <si>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ENERGY STAR® Pool Pump Calculator, using the difference between the two speed pool pump and variable speed pool pump incremental costs.</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</si>
  <si>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</si>
  <si>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</si>
  <si>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</si>
  <si>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</si>
  <si>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</si>
  <si>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</si>
  <si>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</si>
  <si>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</si>
  <si>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</si>
  <si>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</si>
  <si>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</si>
  <si>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</si>
  <si>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</si>
  <si>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</si>
  <si>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</si>
  <si>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</si>
  <si>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</si>
  <si>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</si>
  <si>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</si>
  <si>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Advanced Tier 2 Power Strips / TOS/NC / Average</t>
  </si>
  <si>
    <t>251001_2020_12_</t>
  </si>
  <si>
    <t>Advanced Tier 2 Power Strips / DI / Average</t>
  </si>
  <si>
    <t>*The actual full installation cost of the Tier 2 AV APS (including equipment and labor) should be used.</t>
  </si>
  <si>
    <t>* No update -  Measure not in PY 2017</t>
  </si>
  <si>
    <t>* No update -  Measure not in PY 2018</t>
  </si>
  <si>
    <t>Comments:</t>
  </si>
  <si>
    <t>BaselineEnergyAV</t>
  </si>
  <si>
    <t>Baseline kWh usage</t>
  </si>
  <si>
    <t xml:space="preserve">“Energy Savings of Tier 2 Advanced Power Strips in Residential AV Systems,” AESC, Inc., February 2016. Note this load represents the average controlled AV devices only and will likely be lower than total AV usage.  </t>
  </si>
  <si>
    <t>ERP</t>
  </si>
  <si>
    <t>Energy Reduction Percentage</t>
  </si>
  <si>
    <t>Product Class A</t>
  </si>
  <si>
    <t>2017 MO TRM, volume 3, pg 46</t>
  </si>
  <si>
    <t>Product Class B</t>
  </si>
  <si>
    <t>Used in calculation for average</t>
  </si>
  <si>
    <t>Product Class C</t>
  </si>
  <si>
    <t>Product Class D</t>
  </si>
  <si>
    <t>Product Class E</t>
  </si>
  <si>
    <t>Product Class F</t>
  </si>
  <si>
    <t>Product Class G</t>
  </si>
  <si>
    <t>Product Class H</t>
  </si>
  <si>
    <t>Average</t>
  </si>
  <si>
    <t>Average of product classes B and G</t>
  </si>
  <si>
    <t>In service rate</t>
  </si>
  <si>
    <t>Non-DI</t>
  </si>
  <si>
    <t>DI</t>
  </si>
  <si>
    <t>Ameren Missouri Single Family Income Eligible Evaluation PY2019 (Table 10-10)</t>
  </si>
  <si>
    <t>Online market research</t>
  </si>
  <si>
    <t>https://www.walmart.com/ip/TrickleStar-00627-3-Cord-7-Outlet-Tier-1-Power-Strip-7-OUTLET-TIER-1-ADVANCED-POWERSTRIP-1-080-JOULES-3-FOOT-POWER-CORD-ALUMI/836049860?wmlspartner=wlpa&amp;selectedSellerId=1087
https://www.walmart.com/ip/Embertec-00035-8AV-Emberstrip-with-Classic-Sensor-EMBERTEC-CLASSIC-8AV/693567947?wmlspartner=wlpa&amp;selectedSellerId=1087
https://www.amazon.com/AHRISE-Protector%EF%BC%881680-Outlets-outlets-Extension/dp/B07WGN3X5F/ref=sr_1_3?dchild=1&amp;keywords=smart+power+strip&amp;qid=1595622845&amp;sr=8-3
https://www.amazon.com/Kasa-Smart-Protector-Required-KP303/dp/B083JKSSR5/ref=sr_1_4?dchild=1&amp;keywords=smart+power+strip&amp;qid=1595622845&amp;sr=8-4</t>
  </si>
  <si>
    <t>Actual for SF Income Eligible program.</t>
  </si>
  <si>
    <t>ENERGY STAR Air Purifier</t>
  </si>
  <si>
    <t>251050_2019_12_</t>
  </si>
  <si>
    <t>ENERGY STAR Air Purifier/Cleaner</t>
  </si>
  <si>
    <t>HVAC RES</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</si>
  <si>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</si>
  <si>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</si>
  <si>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</si>
  <si>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</si>
  <si>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</si>
  <si>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</si>
  <si>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</si>
  <si>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</si>
  <si>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</si>
  <si>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</si>
  <si>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</si>
  <si>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</si>
  <si>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</si>
  <si>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</si>
  <si>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</si>
  <si>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 xml:space="preserve">PY18 Participant Survey </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</si>
  <si>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</si>
  <si>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</si>
  <si>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</si>
  <si>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</si>
  <si>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</si>
  <si>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</si>
  <si>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</si>
  <si>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</si>
  <si>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</si>
  <si>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</si>
  <si>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</si>
  <si>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</si>
  <si>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</si>
  <si>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</si>
  <si>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</si>
  <si>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</si>
  <si>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</si>
  <si>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</si>
  <si>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</si>
  <si>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</si>
  <si>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</si>
  <si>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</si>
  <si>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</si>
  <si>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t>ENERGY STAR Room AC (kWh w ISR)</t>
  </si>
  <si>
    <t>251200_2019_12_</t>
  </si>
  <si>
    <t>ENERGY STAR Room AC (kWh w/o ISR)</t>
  </si>
  <si>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</si>
  <si>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</si>
  <si>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</si>
  <si>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</si>
  <si>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</si>
  <si>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</si>
  <si>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</si>
  <si>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</si>
  <si>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</si>
  <si>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</si>
  <si>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</si>
  <si>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</si>
  <si>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</si>
  <si>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</si>
  <si>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</si>
  <si>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</si>
  <si>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</si>
  <si>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</si>
  <si>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</si>
  <si>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</si>
  <si>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</si>
  <si>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</si>
  <si>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</si>
  <si>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</si>
  <si>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</si>
  <si>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</si>
  <si>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</si>
  <si>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</si>
  <si>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</si>
  <si>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</si>
  <si>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300051_2020_12_</t>
  </si>
  <si>
    <r>
      <rPr>
        <strike/>
        <sz val="11"/>
        <color rgb="FFFF0000"/>
        <rFont val="Calibri"/>
        <family val="2"/>
        <scheme val="minor"/>
      </rPr>
      <t>LI</t>
    </r>
    <r>
      <rPr>
        <sz val="11"/>
        <color rgb="FFFF0000"/>
        <rFont val="Calibri"/>
        <family val="2"/>
        <scheme val="minor"/>
      </rPr>
      <t>IE</t>
    </r>
  </si>
  <si>
    <r>
      <t xml:space="preserve">Dirty Filter Alarm_SF - </t>
    </r>
    <r>
      <rPr>
        <sz val="11"/>
        <color rgb="FFFF0000"/>
        <rFont val="Calibri"/>
        <family val="2"/>
        <scheme val="minor"/>
      </rPr>
      <t>IE</t>
    </r>
    <r>
      <rPr>
        <sz val="11"/>
        <rFont val="Calibri"/>
        <family val="2"/>
        <scheme val="minor"/>
      </rPr>
      <t xml:space="preserve"> Kits</t>
    </r>
  </si>
  <si>
    <t>300060_2021_12_</t>
  </si>
  <si>
    <t>ARP</t>
  </si>
  <si>
    <t>Dirty Filter Alarm_SF - ARP Kits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</si>
  <si>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</si>
  <si>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</si>
  <si>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</si>
  <si>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</si>
  <si>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</si>
  <si>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</si>
  <si>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</si>
  <si>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</si>
  <si>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family val="2"/>
        <scheme val="min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</si>
  <si>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</si>
  <si>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</si>
  <si>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</si>
  <si>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</si>
  <si>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</si>
  <si>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</si>
  <si>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Evaluation PY2019 (Appendix Table 47)</t>
  </si>
  <si>
    <t>Ameren Missouri EE Kits PY18 Program Data</t>
  </si>
  <si>
    <t>Ameren Missouri EE Kits Evaluation PY2019 (Table 7-10)</t>
  </si>
  <si>
    <r>
      <t>Dirty Filter Alarm_SF:</t>
    </r>
    <r>
      <rPr>
        <sz val="11"/>
        <color rgb="FFFF0000"/>
        <rFont val="Calibri"/>
        <family val="2"/>
        <scheme val="minor"/>
      </rPr>
      <t>IE</t>
    </r>
    <r>
      <rPr>
        <sz val="11"/>
        <rFont val="Calibri"/>
        <family val="2"/>
        <scheme val="minor"/>
      </rPr>
      <t xml:space="preserve"> Kits</t>
    </r>
  </si>
  <si>
    <t>Ameren Missouri Community Savers Evaluation PY2018</t>
  </si>
  <si>
    <t>Matches IE Deemed Table value for DI in MF homes.</t>
  </si>
  <si>
    <t>ARP Kits</t>
  </si>
  <si>
    <t>Ameren Missouri Appliance Recycling Evaluation PY2019 (Table 9-4)</t>
  </si>
  <si>
    <r>
      <t>EFLH</t>
    </r>
    <r>
      <rPr>
        <i/>
        <vertAlign val="subscript"/>
        <sz val="11"/>
        <rFont val="Calibri"/>
        <family val="2"/>
        <scheme val="min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</si>
  <si>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</si>
  <si>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</si>
  <si>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</si>
  <si>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</si>
  <si>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</si>
  <si>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</si>
  <si>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</si>
  <si>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</si>
  <si>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</si>
  <si>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</si>
  <si>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300251_2020_12_</t>
  </si>
  <si>
    <r>
      <t xml:space="preserve">LED - 10W (Halogen baseline) (750-1049 lumens) - </t>
    </r>
    <r>
      <rPr>
        <sz val="11"/>
        <color rgb="FFFF0000"/>
        <rFont val="Calibri"/>
        <family val="2"/>
        <scheme val="minor"/>
      </rPr>
      <t>IE</t>
    </r>
    <r>
      <rPr>
        <sz val="11"/>
        <rFont val="Calibri"/>
        <family val="2"/>
        <scheme val="minor"/>
      </rPr>
      <t xml:space="preserve"> Kit</t>
    </r>
  </si>
  <si>
    <t>300260_2020_12_</t>
  </si>
  <si>
    <t>LED - 10W (Halogen baseline) (750-1049 lumens) - ARP Kit</t>
  </si>
  <si>
    <t>300300_2019_12_</t>
  </si>
  <si>
    <t>300350_2019_12_</t>
  </si>
  <si>
    <t>300400_2019_12_</t>
  </si>
  <si>
    <t>300401_2020_12_</t>
  </si>
  <si>
    <r>
      <t xml:space="preserve">LED 8W Globe Light G25 Bulb (Halogen Baseline) - </t>
    </r>
    <r>
      <rPr>
        <sz val="11"/>
        <color rgb="FFFF0000"/>
        <rFont val="Calibri"/>
        <family val="2"/>
        <scheme val="minor"/>
      </rPr>
      <t>IE</t>
    </r>
    <r>
      <rPr>
        <sz val="11"/>
        <rFont val="Calibri"/>
        <family val="2"/>
        <scheme val="minor"/>
      </rPr>
      <t xml:space="preserve"> Kit</t>
    </r>
  </si>
  <si>
    <t>300402_2020_12_</t>
  </si>
  <si>
    <r>
      <t xml:space="preserve">LED 20W (Halogen baseline) (1490-2600 lumens) - </t>
    </r>
    <r>
      <rPr>
        <sz val="11"/>
        <color rgb="FFFF0000"/>
        <rFont val="Calibri"/>
        <family val="2"/>
        <scheme val="minor"/>
      </rPr>
      <t>IE</t>
    </r>
    <r>
      <rPr>
        <sz val="11"/>
        <rFont val="Calibri"/>
        <family val="2"/>
        <scheme val="minor"/>
      </rPr>
      <t xml:space="preserve"> Kit</t>
    </r>
  </si>
  <si>
    <t>300403_2020_12_</t>
  </si>
  <si>
    <r>
      <t xml:space="preserve">LED 15W Flood Light PAR30 Bulb (Halogen Baseline) - </t>
    </r>
    <r>
      <rPr>
        <sz val="11"/>
        <color rgb="FFFF0000"/>
        <rFont val="Calibri"/>
        <family val="2"/>
        <scheme val="minor"/>
      </rPr>
      <t>IE</t>
    </r>
    <r>
      <rPr>
        <sz val="11"/>
        <rFont val="Calibri"/>
        <family val="2"/>
        <scheme val="minor"/>
      </rPr>
      <t xml:space="preserve"> Kit</t>
    </r>
  </si>
  <si>
    <t>IE</t>
  </si>
  <si>
    <t>*Costs from IL TRM.  5.5.8</t>
  </si>
  <si>
    <t>Measure Category</t>
  </si>
  <si>
    <r>
      <t>Watts</t>
    </r>
    <r>
      <rPr>
        <vertAlign val="subscript"/>
        <sz val="11"/>
        <rFont val="Calibri"/>
        <family val="2"/>
        <scheme val="minor"/>
      </rPr>
      <t>Base</t>
    </r>
  </si>
  <si>
    <t>Baseline Wattage</t>
  </si>
  <si>
    <t>The lumen-equivalent halogen wattage for LEDs - Ameren Missouri EE KITS PY2018</t>
  </si>
  <si>
    <t>Matches value used in Lighting Deemed Table</t>
  </si>
  <si>
    <r>
      <t>LED 8W Globe Light G25 Bulb (Halogen Baseline) -</t>
    </r>
    <r>
      <rPr>
        <sz val="11"/>
        <color rgb="FFFF0000"/>
        <rFont val="Calibri"/>
        <family val="2"/>
        <scheme val="minor"/>
      </rPr>
      <t xml:space="preserve"> IE</t>
    </r>
    <r>
      <rPr>
        <sz val="11"/>
        <rFont val="Calibri"/>
        <family val="2"/>
        <scheme val="minor"/>
      </rPr>
      <t xml:space="preserve"> Kit</t>
    </r>
  </si>
  <si>
    <t xml:space="preserve"> Ameren Missouri Lighting Evaluation PY2018 </t>
  </si>
  <si>
    <r>
      <t>LED 20W (Halogen baseline) (1490-2600 lumens) -</t>
    </r>
    <r>
      <rPr>
        <sz val="11"/>
        <color rgb="FFFF0000"/>
        <rFont val="Calibri"/>
        <family val="2"/>
        <scheme val="minor"/>
      </rPr>
      <t xml:space="preserve"> IE </t>
    </r>
    <r>
      <rPr>
        <sz val="11"/>
        <rFont val="Calibri"/>
        <family val="2"/>
        <scheme val="minor"/>
      </rPr>
      <t>Kit</t>
    </r>
  </si>
  <si>
    <r>
      <t>LED 15W Flood Light PAR30 Bulb (Halogen Baseline) -</t>
    </r>
    <r>
      <rPr>
        <sz val="11"/>
        <color rgb="FFFF0000"/>
        <rFont val="Calibri"/>
        <family val="2"/>
        <scheme val="minor"/>
      </rPr>
      <t xml:space="preserve"> IE</t>
    </r>
    <r>
      <rPr>
        <sz val="11"/>
        <rFont val="Calibri"/>
        <family val="2"/>
        <scheme val="minor"/>
      </rPr>
      <t xml:space="preserve"> Kit</t>
    </r>
  </si>
  <si>
    <r>
      <t>Watts</t>
    </r>
    <r>
      <rPr>
        <vertAlign val="subscript"/>
        <sz val="11"/>
        <rFont val="Calibri"/>
        <family val="2"/>
        <scheme val="minor"/>
      </rPr>
      <t>EE</t>
    </r>
  </si>
  <si>
    <t>Wattage of new LED installed</t>
  </si>
  <si>
    <t>LED - 10W (CFL baseline)</t>
  </si>
  <si>
    <t>LED - 10W (Halogen baseline)</t>
  </si>
  <si>
    <t>9-watt ENERGY STAR LEDs with 800 lumen output.</t>
  </si>
  <si>
    <t>Program wattage</t>
  </si>
  <si>
    <r>
      <t>Hours</t>
    </r>
    <r>
      <rPr>
        <vertAlign val="subscript"/>
        <sz val="11"/>
        <rFont val="Calibri"/>
        <family val="2"/>
        <scheme val="minor"/>
      </rPr>
      <t>RES</t>
    </r>
  </si>
  <si>
    <t>The average hours of use per day</t>
  </si>
  <si>
    <t xml:space="preserve">2017 Ameren MO Lighting study </t>
  </si>
  <si>
    <t xml:space="preserve">Matches  Ameren Missouri  Evaluation PY2018 </t>
  </si>
  <si>
    <t>Nighlight</t>
  </si>
  <si>
    <t>Days</t>
  </si>
  <si>
    <t>Conversion Factor (day/yr)</t>
  </si>
  <si>
    <t>Conversion Factor (Wh/kWh)</t>
  </si>
  <si>
    <t>WHF</t>
  </si>
  <si>
    <t>WHF to account for interactive effects</t>
  </si>
  <si>
    <t>2017 Ameren MO Lighting study</t>
  </si>
  <si>
    <t>Electric Saturation</t>
  </si>
  <si>
    <t>% Homes with Electric Lighting</t>
  </si>
  <si>
    <t>Electric only measure</t>
  </si>
  <si>
    <t>% Homes in Service Territory</t>
  </si>
  <si>
    <t>Ameren Missouri EE Kits Evaluation PY2019 (Table 7-9)</t>
  </si>
  <si>
    <t>This parameter is sometimes described in terms of Utility Adjustment, where the Utility Adjusment = 1 - Leakage</t>
  </si>
  <si>
    <t>Utility Adjustment (1-Leakage)</t>
  </si>
  <si>
    <t>Multifamily</t>
  </si>
  <si>
    <t>Assumption based on program design</t>
  </si>
  <si>
    <r>
      <rPr>
        <strike/>
        <sz val="11"/>
        <color rgb="FFFF0000"/>
        <rFont val="Calibri"/>
        <family val="2"/>
        <scheme val="minor"/>
      </rPr>
      <t>LI</t>
    </r>
    <r>
      <rPr>
        <sz val="11"/>
        <color rgb="FFFF0000"/>
        <rFont val="Calibri"/>
        <family val="2"/>
        <scheme val="minor"/>
      </rPr>
      <t xml:space="preserve">IE </t>
    </r>
    <r>
      <rPr>
        <sz val="11"/>
        <rFont val="Calibri"/>
        <family val="2"/>
        <scheme val="minor"/>
      </rPr>
      <t>Kits</t>
    </r>
  </si>
  <si>
    <t>Ameren Missouri Appliance Recycling Evaluation PY2019 (Appendix Table 56)</t>
  </si>
  <si>
    <t>Ameren Missouir  EE MF Kits Evaluation PY2018</t>
  </si>
  <si>
    <t>Ameren Missouri Appliance Recycling Evaluation PY2019 (Table 9-9; cumulative value)</t>
  </si>
  <si>
    <t>Kit Faucet Aerators (Kitchen)</t>
  </si>
  <si>
    <t>EPG_electric</t>
  </si>
  <si>
    <t>300450_2019_12_</t>
  </si>
  <si>
    <t>Kit Faucet Aerator (Kitchen)</t>
  </si>
  <si>
    <t>300460_2020_12_</t>
  </si>
  <si>
    <t>Kit Faucet Aerator (Kitchen) - ARP Kits</t>
  </si>
  <si>
    <t>300500_2019_12_</t>
  </si>
  <si>
    <t>300501_2020_12_</t>
  </si>
  <si>
    <r>
      <t>Kit Faucet Aerator (Kitchen) - SF</t>
    </r>
    <r>
      <rPr>
        <sz val="11"/>
        <color rgb="FFFF0000"/>
        <rFont val="Calibri"/>
        <family val="2"/>
        <scheme val="minor"/>
      </rPr>
      <t xml:space="preserve">IE </t>
    </r>
    <r>
      <rPr>
        <sz val="11"/>
        <rFont val="Calibri"/>
        <family val="2"/>
        <scheme val="minor"/>
      </rPr>
      <t>Kits</t>
    </r>
  </si>
  <si>
    <t>Channel</t>
  </si>
  <si>
    <t>%Electric DHW</t>
  </si>
  <si>
    <t>% Homes with Electric Water Heating</t>
  </si>
  <si>
    <t>School Kits</t>
  </si>
  <si>
    <t>Ameren Missouri EE Kits Evaluation PY2019 (Appendix Table 43)</t>
  </si>
  <si>
    <t>Ameren Missouri  EE Kits PY18 Program Data</t>
  </si>
  <si>
    <r>
      <rPr>
        <strike/>
        <sz val="11"/>
        <color rgb="FFFF0000"/>
        <rFont val="Calibri"/>
        <family val="2"/>
        <scheme val="minor"/>
      </rPr>
      <t>SFLI</t>
    </r>
    <r>
      <rPr>
        <sz val="11"/>
        <color rgb="FFFF0000"/>
        <rFont val="Calibri"/>
        <family val="2"/>
        <scheme val="minor"/>
      </rPr>
      <t>SFIE</t>
    </r>
    <r>
      <rPr>
        <sz val="11"/>
        <rFont val="Calibri"/>
        <family val="2"/>
        <scheme val="minor"/>
      </rPr>
      <t xml:space="preserve"> Kits</t>
    </r>
  </si>
  <si>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</si>
  <si>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</si>
  <si>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</si>
  <si>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</si>
  <si>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</si>
  <si>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</si>
  <si>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</si>
  <si>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Cadmus PY3 metering study. Cited in Ameren Missouri Low Income and Process Evaluation: program Year 2015. p.23</t>
  </si>
  <si>
    <t>GPM_low</t>
  </si>
  <si>
    <t>Rated flowrate of the low flow faucet</t>
  </si>
  <si>
    <t>Actual</t>
  </si>
  <si>
    <t>L_low</t>
  </si>
  <si>
    <t>The average length of low flow faucet use per day (min/day/person)</t>
  </si>
  <si>
    <t>The number of people using faucet aerators (people/household)</t>
  </si>
  <si>
    <t>PY18 Energy Efficiency Kits Property Manager Survey results (I1-I2)</t>
  </si>
  <si>
    <t>PY6 program data (not reported in PY2016).  Ameren Missouri Low Income and Process Evaluation: program Year 2015. p.23</t>
  </si>
  <si>
    <t>Ameren Missouri Appliance Recycling Evaluation PY2019 (Appendix Table 54)</t>
  </si>
  <si>
    <t>DF</t>
  </si>
  <si>
    <t xml:space="preserve">Drain Factor </t>
  </si>
  <si>
    <r>
      <t>Non-</t>
    </r>
    <r>
      <rPr>
        <strike/>
        <sz val="11"/>
        <color rgb="FFFF0000"/>
        <rFont val="Calibri"/>
        <family val="2"/>
        <scheme val="minor"/>
      </rPr>
      <t>SFLI</t>
    </r>
    <r>
      <rPr>
        <sz val="11"/>
        <color rgb="FFFF0000"/>
        <rFont val="Calibri"/>
        <family val="2"/>
        <scheme val="minor"/>
      </rPr>
      <t>SFIE</t>
    </r>
    <r>
      <rPr>
        <sz val="11"/>
        <rFont val="Calibri"/>
        <family val="2"/>
        <scheme val="minor"/>
      </rPr>
      <t xml:space="preserve"> Kits</t>
    </r>
  </si>
  <si>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</si>
  <si>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</si>
  <si>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</si>
  <si>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 xml:space="preserve">Ameren Missouiri PY18 EE Kits School Survey </t>
  </si>
  <si>
    <t>PY13 Program Data</t>
  </si>
  <si>
    <t xml:space="preserve">Matches EE Kits EM&amp;V.  Community Savers EM&amp;V (1.86) does not make sense for kitchen faucets. </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</si>
  <si>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</si>
  <si>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</si>
  <si>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</si>
  <si>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</si>
  <si>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</si>
  <si>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</si>
  <si>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</si>
  <si>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</si>
  <si>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</si>
  <si>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</si>
  <si>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</si>
  <si>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</si>
  <si>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</si>
  <si>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</si>
  <si>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Non-School Kits</t>
  </si>
  <si>
    <t>Ameren Missouri Single Family Low Income Evaluation PY2019 (Table 10-10)</t>
  </si>
  <si>
    <t>Kit Faucet Aerators (Bathroom)</t>
  </si>
  <si>
    <t>300550_2019_12_</t>
  </si>
  <si>
    <t>Kit Faucet Aerator (Bathroom)</t>
  </si>
  <si>
    <t>300560_2020_12_</t>
  </si>
  <si>
    <t>Kit Faucet Aerator (Bathroom) - ARP Kits</t>
  </si>
  <si>
    <t>300600_2019_12_</t>
  </si>
  <si>
    <t>300601_2020_12_</t>
  </si>
  <si>
    <t>Kit Faucet Aerator (Bathroom) - SFLI Kits</t>
  </si>
  <si>
    <t>Assumed to be the same as Income Eligible Deemed Tables DI measure</t>
  </si>
  <si>
    <r>
      <t>Non-</t>
    </r>
    <r>
      <rPr>
        <strike/>
        <sz val="11"/>
        <color rgb="FFFF0000"/>
        <rFont val="Calibri"/>
        <family val="2"/>
        <scheme val="minor"/>
      </rPr>
      <t>Low-</t>
    </r>
    <r>
      <rPr>
        <sz val="11"/>
        <rFont val="Calibri"/>
        <family val="2"/>
        <scheme val="minor"/>
      </rPr>
      <t>Income</t>
    </r>
    <r>
      <rPr>
        <sz val="11"/>
        <color rgb="FFFF0000"/>
        <rFont val="Calibri"/>
        <family val="2"/>
        <scheme val="minor"/>
      </rPr>
      <t>-Eligible</t>
    </r>
  </si>
  <si>
    <t>Cadmus and Opinion Dynamics Evaluation Team. Showerhead and Faucet Aerator Meter Study. Memorandum prepared for Michigan Evaluation Working Group. 2013. pp. 10.</t>
  </si>
  <si>
    <t>Matches Community Savers EM&amp;V</t>
  </si>
  <si>
    <t>Non-Low-Income</t>
  </si>
  <si>
    <t>Ameren Missouri  EE Kits PY18 Property Manager Survey results (I1-I2)</t>
  </si>
  <si>
    <t>Not accounted for in EM&amp;V</t>
  </si>
  <si>
    <t>Ameren Missouri  EE Kits PY18 Property Manager Application data</t>
  </si>
  <si>
    <t>Ameren Missouri Community Savers Evaluation: PY2018</t>
  </si>
  <si>
    <t>Vermont Technical Reference Manual, 2009</t>
  </si>
  <si>
    <t>Same as DI measure in Income Eligible Deemed Table.</t>
  </si>
  <si>
    <t xml:space="preserve">Low Flow Showerheads </t>
  </si>
  <si>
    <t>300650_2019_12_</t>
  </si>
  <si>
    <t>Low Flow Showerheads</t>
  </si>
  <si>
    <t>300660_2020_12_</t>
  </si>
  <si>
    <t>Low Flow Showerheads - ARP Kits</t>
  </si>
  <si>
    <t>300700_2019_12_</t>
  </si>
  <si>
    <t>300701_2021_12_</t>
  </si>
  <si>
    <r>
      <t>Low Flow Showerheads - SF</t>
    </r>
    <r>
      <rPr>
        <sz val="11"/>
        <color rgb="FFFF0000"/>
        <rFont val="Calibri"/>
        <family val="2"/>
        <scheme val="minor"/>
      </rPr>
      <t>IE</t>
    </r>
    <r>
      <rPr>
        <sz val="11"/>
        <rFont val="Calibri"/>
        <family val="2"/>
        <scheme val="minor"/>
      </rPr>
      <t xml:space="preserve"> Kits</t>
    </r>
  </si>
  <si>
    <t>Ameren Missouri EE Kits Evaluation PY2019 (Appendix Table 44)</t>
  </si>
  <si>
    <t xml:space="preserve">Ameren Missouiri PY18 EE Kits Evaluation </t>
  </si>
  <si>
    <t>Rated flowrate of the baseline showerhead</t>
  </si>
  <si>
    <t>Non-Income Eligible</t>
  </si>
  <si>
    <t>Illinois Statewide Technical Reference Manual for Energy Efficiency Version 5.0. pp. 184. 2016. Available Online: http://ilsagfiles.org/SAG_files/Technical_Reference
_Manual/Version_5/Final/IL-TRM_Version_5.0_dated_February-11-2016_Final_Compiled_Volumes_1-4.pdf</t>
  </si>
  <si>
    <t xml:space="preserve">Ameren Missouri Community Savers Evaluation PY2018 </t>
  </si>
  <si>
    <t>The average shower length  with baseline showerhead(min/shower)</t>
  </si>
  <si>
    <t>Cadmus and Opinion Dynamics Evaluation Team. Showerhead and Faucet Aerator Meter Study. Memorandum prepared for Michigan Evaluation Working Group. pp 10. 2013. </t>
  </si>
  <si>
    <t>DeOreo, William, P. Mayer, L. Martien, M. Hayden, A. Funk, M. Kramer-Duffield, and R. Davis (2011). “California SingleFamily
Water Use Efficiency Study.” </t>
  </si>
  <si>
    <t>Rated flowrate of the low flow showerhead</t>
  </si>
  <si>
    <t>The average shower length with low flow showerhead (min/shower)</t>
  </si>
  <si>
    <t>The number of people taking showers (ppl/household)</t>
  </si>
  <si>
    <t>Missouri TRM</t>
  </si>
  <si>
    <t xml:space="preserve">Matches SF value for IE.  MF not represented in this assumption. </t>
  </si>
  <si>
    <t>Ameren Missouri Appliance Recycling Evaluation PY2019 (Appendix Table 55)</t>
  </si>
  <si>
    <t>SPDC</t>
  </si>
  <si>
    <t>The number of showers per day, per person (shower/day-ppl)</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</si>
  <si>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</si>
  <si>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</si>
  <si>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</si>
  <si>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</si>
  <si>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</si>
  <si>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</si>
  <si>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Ameren Missouri Efficient Kits Impact and Process Evaluation: PY2018PY2019 (Table 7-10)</t>
  </si>
  <si>
    <t xml:space="preserve">Match value for Income Eligible (Non DI) showerhead. </t>
  </si>
  <si>
    <t>Ameren Missouri Appliance Recycling Evaluation PY2019 (Table 9-10)</t>
  </si>
  <si>
    <t>Pipe Insulation</t>
  </si>
  <si>
    <t>300750_2019_12_</t>
  </si>
  <si>
    <t>per foot</t>
  </si>
  <si>
    <t>300760_2020_12_</t>
  </si>
  <si>
    <t>Pipe Insulation - ARP Kits</t>
  </si>
  <si>
    <t>300800_2019_12_</t>
  </si>
  <si>
    <t>300801_2020_12_</t>
  </si>
  <si>
    <r>
      <t>Pipe Insulation - SF</t>
    </r>
    <r>
      <rPr>
        <sz val="11"/>
        <color rgb="FFFF0000"/>
        <rFont val="Calibri"/>
        <family val="2"/>
        <scheme val="minor"/>
      </rPr>
      <t>IE</t>
    </r>
    <r>
      <rPr>
        <sz val="11"/>
        <rFont val="Calibri"/>
        <family val="2"/>
        <scheme val="minor"/>
      </rPr>
      <t xml:space="preserve"> Kits</t>
    </r>
  </si>
  <si>
    <r>
      <t>C</t>
    </r>
    <r>
      <rPr>
        <vertAlign val="subscript"/>
        <sz val="11"/>
        <rFont val="Calibri"/>
        <family val="2"/>
        <scheme val="minor"/>
      </rPr>
      <t>Base</t>
    </r>
  </si>
  <si>
    <t>Circumference (feet) of uninsulated pipe with 0.75 inch diameter</t>
  </si>
  <si>
    <t>Calculated from Pipe Diameter (value below)</t>
  </si>
  <si>
    <t>Updated for .75 inch Pipe</t>
  </si>
  <si>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</si>
  <si>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</si>
  <si>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</si>
  <si>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C</t>
    </r>
    <r>
      <rPr>
        <vertAlign val="subscript"/>
        <sz val="11"/>
        <rFont val="Calibri"/>
        <family val="2"/>
        <scheme val="minor"/>
      </rPr>
      <t>EE</t>
    </r>
  </si>
  <si>
    <t>Circumference (ft) of insulated pipe = diameter (in) * π/12</t>
  </si>
  <si>
    <t>Calculated from Pipe Diameter and Pipe Wrap Width (values below)</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</si>
  <si>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</si>
  <si>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R</t>
    </r>
    <r>
      <rPr>
        <vertAlign val="subscript"/>
        <sz val="11"/>
        <rFont val="Calibri"/>
        <family val="2"/>
        <scheme val="minor"/>
      </rPr>
      <t>EE</t>
    </r>
  </si>
  <si>
    <t>Thermal resistance coefficient (hr-°F-ft2)/Btu) of insulated pipe</t>
  </si>
  <si>
    <t>Division of Energy. State of Missouri Technical Reference Manual. pp 71. 2017. energy.mo.gov/about/trm (assuming R-4 wrap)</t>
  </si>
  <si>
    <t>Based on EM&amp;V, Franklin Energy assumed insulation provided in kits has an Ree value of 5.  Statewide defaul Ree is 5.</t>
  </si>
  <si>
    <t>L</t>
  </si>
  <si>
    <t>Length of pipe from water heating source covered by Pipe Insulation (ft)</t>
  </si>
  <si>
    <t>Per installed foot</t>
  </si>
  <si>
    <t>DT</t>
  </si>
  <si>
    <t>Average temperature difference between supplied hot water and outside air temperatures (°F)</t>
  </si>
  <si>
    <t>Revised to match EM&amp;V</t>
  </si>
  <si>
    <t>Hours</t>
  </si>
  <si>
    <t>Hours per year</t>
  </si>
  <si>
    <r>
      <t>ȠDHW</t>
    </r>
    <r>
      <rPr>
        <vertAlign val="subscript"/>
        <sz val="11"/>
        <rFont val="Calibri"/>
        <family val="2"/>
        <scheme val="minor"/>
      </rPr>
      <t>Elec</t>
    </r>
  </si>
  <si>
    <t>Recovery Efficiency of electric hot water heater</t>
  </si>
  <si>
    <t>Conversion factor from Btu to kWh</t>
  </si>
  <si>
    <t>*Electric Saturation</t>
  </si>
  <si>
    <t>Ameren Missouri EE Kits Evaluation PY2019 (Appendix Table 44) (adopting Faucet Aerator value)</t>
  </si>
  <si>
    <t>PY18 Program Data</t>
  </si>
  <si>
    <t xml:space="preserve">PY18 Energy Efficiency Kits School Survey Results </t>
  </si>
  <si>
    <t xml:space="preserve">Based on Ameren MEEIA 3 V1 file. </t>
  </si>
  <si>
    <t>Ameren Missouri Community Savers Evaluation PY2018 Site Visits</t>
  </si>
  <si>
    <t>Pipe diameter</t>
  </si>
  <si>
    <t>Diameter of uninsulated pipe, weighted average of  1/2" and 3/4"</t>
  </si>
  <si>
    <t>Pipe Wrap</t>
  </si>
  <si>
    <t>Pipe wrap width</t>
  </si>
  <si>
    <t>Pipe wrap width/thickness</t>
  </si>
  <si>
    <t>Advanced Power Strips Tier 1  / Load Sensing</t>
  </si>
  <si>
    <t>300850_2019_12_</t>
  </si>
  <si>
    <t>Unknown</t>
  </si>
  <si>
    <t>Advanced Tier 1 Power Strips -TOS/NC - Home Office</t>
  </si>
  <si>
    <t>300851_2020_12_</t>
  </si>
  <si>
    <t>Advanced Tier 1 Power Strips -DI - Home Office</t>
  </si>
  <si>
    <t>300900_2019_12_</t>
  </si>
  <si>
    <t>Advanced Tier 1 Power Strips -Kits - Home Office</t>
  </si>
  <si>
    <t>300950_2019_12_</t>
  </si>
  <si>
    <t>Advanced Tier 1 Power Strips -TOS/NC - Home Entertainment</t>
  </si>
  <si>
    <t>300951_2020_12_</t>
  </si>
  <si>
    <t>Advanced Tier 1 Power Strips -DI - Home Entertainment</t>
  </si>
  <si>
    <t>301000_2019_12_</t>
  </si>
  <si>
    <t>Advanced Tier 1 Power Strips -Kits - Home Entertainment</t>
  </si>
  <si>
    <t>301050_2019_12_</t>
  </si>
  <si>
    <t>Advanced Tier 1 Power Strips -TOS/NC - Unknown Location</t>
  </si>
  <si>
    <t>301051_2020_12_</t>
  </si>
  <si>
    <t>Advanced Tier 1 Power Strips -DI - Unknown Location</t>
  </si>
  <si>
    <t>301100_2019_12_</t>
  </si>
  <si>
    <t>Advanced Tier 1 Power Strips -Kits - Unknown Location</t>
  </si>
  <si>
    <r>
      <rPr>
        <strike/>
        <sz val="11"/>
        <color rgb="FFFF0000"/>
        <rFont val="Calibri"/>
        <family val="2"/>
        <scheme val="minor"/>
      </rPr>
      <t xml:space="preserve">Office </t>
    </r>
    <r>
      <rPr>
        <sz val="11"/>
        <color rgb="FFFF0000"/>
        <rFont val="Calibri"/>
        <family val="2"/>
        <scheme val="minor"/>
      </rPr>
      <t>Parameter</t>
    </r>
  </si>
  <si>
    <r>
      <rPr>
        <strike/>
        <sz val="11"/>
        <color rgb="FFFF0000"/>
        <rFont val="Calibri"/>
        <family val="2"/>
        <scheme val="minor"/>
      </rPr>
      <t xml:space="preserve">Entertainment </t>
    </r>
    <r>
      <rPr>
        <sz val="11"/>
        <color rgb="FFFF0000"/>
        <rFont val="Calibri"/>
        <family val="2"/>
        <scheme val="minor"/>
      </rPr>
      <t>Value</t>
    </r>
  </si>
  <si>
    <t>KWh</t>
  </si>
  <si>
    <t>kWh Installation by Location</t>
  </si>
  <si>
    <t>Home Office</t>
  </si>
  <si>
    <t>Home Entertainment</t>
  </si>
  <si>
    <t>Weighting Entertainment</t>
  </si>
  <si>
    <t>% Entertainment</t>
  </si>
  <si>
    <t>Unknown Location - TOS/NC/DI</t>
  </si>
  <si>
    <t>Unknown Location - Kits</t>
  </si>
  <si>
    <t>Weighting Office</t>
  </si>
  <si>
    <t>% OFFICE</t>
  </si>
  <si>
    <t>TOS/NC/DI</t>
  </si>
  <si>
    <t>Adopting APS Tier 2 value, from Ameren Missouri Single Family Low Income Evaluation PY2019 (Table 10-10)</t>
  </si>
  <si>
    <t>Kits</t>
  </si>
  <si>
    <t>Adopting APS Tier 2 value, from Ameren Missouri Energy Efficient Products Evaluation PY2019 (Table 6-9)</t>
  </si>
  <si>
    <t>Direct Install (DI)</t>
  </si>
  <si>
    <t>301149_2021_12_</t>
  </si>
  <si>
    <t>Advanced Tier 2 Power Strips - TOS/NC/DI - Unknown Location</t>
  </si>
  <si>
    <t>301150_2021_12_</t>
  </si>
  <si>
    <r>
      <t>Advanced Tier 2 Power Strips - SF</t>
    </r>
    <r>
      <rPr>
        <sz val="11"/>
        <color rgb="FFFF0000"/>
        <rFont val="Calibri"/>
        <family val="2"/>
        <scheme val="minor"/>
      </rPr>
      <t>IE</t>
    </r>
    <r>
      <rPr>
        <sz val="11"/>
        <rFont val="Calibri"/>
        <family val="2"/>
        <scheme val="minor"/>
      </rPr>
      <t xml:space="preserve"> Kits - Unknown Location</t>
    </r>
  </si>
  <si>
    <t>Assume same as Tier 1 APS</t>
  </si>
  <si>
    <t>RESIDENTIAL HVAC</t>
  </si>
  <si>
    <t>ECM/ Blower Motor</t>
  </si>
  <si>
    <t>Auto kWh</t>
  </si>
  <si>
    <t>Continous kWh</t>
  </si>
  <si>
    <t>350050_2021_12_</t>
  </si>
  <si>
    <t>ECM Auto Fan ROF-SF</t>
  </si>
  <si>
    <t>350100_2021_12_</t>
  </si>
  <si>
    <t>ECM Auto Fan ROF-MF</t>
  </si>
  <si>
    <t>350150_2021_12_</t>
  </si>
  <si>
    <t>ECM Auto Fan ER1 - SF</t>
  </si>
  <si>
    <t>ECM Auto Fan ER2 - SF</t>
  </si>
  <si>
    <t>350175_2021_12_</t>
  </si>
  <si>
    <t>ECM Auto Fan ER1 - MF</t>
  </si>
  <si>
    <t>ECM Auto Fan ER2 - MF</t>
  </si>
  <si>
    <t>350200_2021_12_</t>
  </si>
  <si>
    <t>ECM Continuous Fan ROF- SF</t>
  </si>
  <si>
    <t>350250_2021_12_</t>
  </si>
  <si>
    <t>ECM Continuous Fan ROF- MF</t>
  </si>
  <si>
    <t>350300_2021_12_</t>
  </si>
  <si>
    <t>ECM Continuous Fan ER1 - SF</t>
  </si>
  <si>
    <t>ECM Continuous Fan ER2 - SF</t>
  </si>
  <si>
    <t>350350_2021_12_</t>
  </si>
  <si>
    <t>ECM Continuous Fan ER1 - MF</t>
  </si>
  <si>
    <t>ECM Continuous Fan ER2 - MF</t>
  </si>
  <si>
    <r>
      <t xml:space="preserve">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 </t>
    </r>
    <r>
      <rPr>
        <sz val="11"/>
        <color rgb="FFFF0000"/>
        <rFont val="Calibri Light"/>
        <family val="2"/>
      </rPr>
      <t>Savings are only allowable for EREP measures, for the remaining useful life of the existing equipment (ER1, 6 years). Therefore, the EUL of the measure is assumed to be 6 years. (ER1 = 6, ER2 = 0).</t>
    </r>
  </si>
  <si>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</si>
  <si>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</si>
  <si>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</si>
  <si>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</si>
  <si>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</si>
  <si>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</si>
  <si>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</si>
  <si>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</si>
  <si>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</si>
  <si>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</si>
  <si>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</si>
  <si>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</si>
  <si>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</si>
  <si>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</si>
  <si>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</si>
  <si>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</si>
  <si>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</si>
  <si>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</si>
  <si>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</si>
  <si>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</si>
  <si>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</si>
  <si>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</si>
  <si>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</si>
  <si>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</si>
  <si>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</si>
  <si>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</si>
  <si>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</si>
  <si>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</si>
  <si>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</si>
  <si>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</si>
  <si>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</si>
  <si>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</si>
  <si>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In Service Rate</t>
  </si>
  <si>
    <r>
      <rPr>
        <strike/>
        <sz val="11"/>
        <color rgb="FFFF0000"/>
        <rFont val="Calibri"/>
        <family val="2"/>
        <scheme val="minor"/>
      </rPr>
      <t xml:space="preserve">Ameren Missouri HVAC PY2019 Evaluation (Table 4-13) </t>
    </r>
    <r>
      <rPr>
        <sz val="11"/>
        <color rgb="FFFF0000"/>
        <rFont val="Calibri"/>
        <family val="2"/>
        <scheme val="minor"/>
      </rPr>
      <t>Ameren Missouri HVAC PY2020 Evaluation (Table 28)</t>
    </r>
  </si>
  <si>
    <t>End of Useful Life</t>
  </si>
  <si>
    <r>
      <t xml:space="preserve">ER  </t>
    </r>
    <r>
      <rPr>
        <sz val="11"/>
        <rFont val="Calibri"/>
        <family val="2"/>
        <scheme val="minor"/>
      </rPr>
      <t>($)</t>
    </r>
  </si>
  <si>
    <r>
      <t>ROF</t>
    </r>
    <r>
      <rPr>
        <sz val="11"/>
        <rFont val="Calibri"/>
        <family val="2"/>
        <scheme val="minor"/>
      </rPr>
      <t xml:space="preserve"> ($)</t>
    </r>
  </si>
  <si>
    <t>ECM</t>
  </si>
  <si>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</si>
  <si>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</si>
  <si>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</si>
  <si>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</si>
  <si>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</si>
  <si>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</si>
  <si>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</si>
  <si>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</si>
  <si>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</si>
  <si>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</si>
  <si>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350400_2021_12_</t>
  </si>
  <si>
    <t>CAC-SEER14_ER1_SF</t>
  </si>
  <si>
    <t>CAC-SEER14_ER2_SF</t>
  </si>
  <si>
    <t>Cooling RES ER2</t>
  </si>
  <si>
    <t>350450_2021_12_</t>
  </si>
  <si>
    <t>CAC-SEER14_ROF_SF</t>
  </si>
  <si>
    <t>350500_2021_12_</t>
  </si>
  <si>
    <t>CAC-SEER14_ER1_MF</t>
  </si>
  <si>
    <t>CAC-SEER14_ER2_MF</t>
  </si>
  <si>
    <t>350501_2021_12_</t>
  </si>
  <si>
    <t>CAC-SEER14_ER1_MF_CompE</t>
  </si>
  <si>
    <t>CAC-SEER14_ER2_MF_CompE</t>
  </si>
  <si>
    <t>350550_2021_12_</t>
  </si>
  <si>
    <t>CAC-SEER14_ROF_MF</t>
  </si>
  <si>
    <t>350551_2021_12_</t>
  </si>
  <si>
    <t>CAC-SEER14_ROF_MF_CompE</t>
  </si>
  <si>
    <t>350600_2021_12_</t>
  </si>
  <si>
    <t>CAC-SEER15_ER1_SF</t>
  </si>
  <si>
    <t>CAC-SEER15_ER2_SF</t>
  </si>
  <si>
    <t>350650_2021_12_</t>
  </si>
  <si>
    <t>CAC-SEER15_ROF_SF</t>
  </si>
  <si>
    <t>350700_2021_12_</t>
  </si>
  <si>
    <t>CAC-SEER15_ER1_MF</t>
  </si>
  <si>
    <t>CAC-SEER15_ER2_MF</t>
  </si>
  <si>
    <t>350701_2021_12_</t>
  </si>
  <si>
    <t>CAC-SEER15_ER1_MF_CompE</t>
  </si>
  <si>
    <t>CAC-SEER15_ER2_MF_CompE</t>
  </si>
  <si>
    <t>350750_2021_12_</t>
  </si>
  <si>
    <t>CAC-SEER15_ROF_MF</t>
  </si>
  <si>
    <t>350751_2021_12_</t>
  </si>
  <si>
    <t>CAC-SEER15_ROF_MF_CompE</t>
  </si>
  <si>
    <t>350800_2021_12_</t>
  </si>
  <si>
    <t>CAC-SEER16_ER1_SF</t>
  </si>
  <si>
    <t>CAC-SEER16_ER2_SF</t>
  </si>
  <si>
    <t>350850_2021_12_</t>
  </si>
  <si>
    <t>CAC-SEER16_ROF_SF</t>
  </si>
  <si>
    <t>350900_2021_12_</t>
  </si>
  <si>
    <t>CAC-SEER16_ER1_MF</t>
  </si>
  <si>
    <t>CAC-SEER16_ER2_MF</t>
  </si>
  <si>
    <t>350901_2021_12_</t>
  </si>
  <si>
    <t>CAC-SEER16_ER1_MF_CompE</t>
  </si>
  <si>
    <t>CAC-SEER16_ER2_MF_CompE</t>
  </si>
  <si>
    <t>350950_2021_12_</t>
  </si>
  <si>
    <t>CAC-SEER16_ROF_MF</t>
  </si>
  <si>
    <t>350951_2021_12_</t>
  </si>
  <si>
    <t>CAC-SEER16_ROF_MF_CompE</t>
  </si>
  <si>
    <t>351000_2021_12_</t>
  </si>
  <si>
    <t>CAC-SEER17_ER1_SF</t>
  </si>
  <si>
    <t>CAC-SEER17_ER2_SF</t>
  </si>
  <si>
    <t>351050_2021_12_</t>
  </si>
  <si>
    <t>CAC-SEER17_ROF_SF</t>
  </si>
  <si>
    <t>351100_2021_12_</t>
  </si>
  <si>
    <t>CAC-SEER17_ER1_MF</t>
  </si>
  <si>
    <t>CAC-SEER17_ER2_MF</t>
  </si>
  <si>
    <t>351101_2021_12_</t>
  </si>
  <si>
    <t>CAC-SEER17_ER1_MF_CompE</t>
  </si>
  <si>
    <t>CAC-SEER17_ER2_MF_CompE</t>
  </si>
  <si>
    <t>351150_2021_12_</t>
  </si>
  <si>
    <t>CAC-SEER17_ROF_MF</t>
  </si>
  <si>
    <t>351151_2021_12_</t>
  </si>
  <si>
    <t>CAC-SEER17_ROF_MF_CompE</t>
  </si>
  <si>
    <t>CAC-SEER18_ER1_SF</t>
  </si>
  <si>
    <t>CAC-SEER18_ER2_SF</t>
  </si>
  <si>
    <t>CAC-SEER18_ROF_SF</t>
  </si>
  <si>
    <t>CAC-SEER18_ER1_MF</t>
  </si>
  <si>
    <t>CAC-SEER18_ER2_MF</t>
  </si>
  <si>
    <t>CAC-SEER18_ER1_MF_CompE</t>
  </si>
  <si>
    <t>CAC-SEER18_ER2_MF_CompE</t>
  </si>
  <si>
    <t>CAC-SEER18_ROF_MF</t>
  </si>
  <si>
    <t>CAC-SEER18_ROF_MF_CompE</t>
  </si>
  <si>
    <t>CAC-SEER19_ER1_SF</t>
  </si>
  <si>
    <t>CAC-SEER19_ER2_SF</t>
  </si>
  <si>
    <t>CAC-SEER19_ROF_SF</t>
  </si>
  <si>
    <t>CAC-SEER19_ER1_MF</t>
  </si>
  <si>
    <t>CAC-SEER19_ER2_MF</t>
  </si>
  <si>
    <t>CAC-SEER19_ER1_MF_CompE</t>
  </si>
  <si>
    <t>CAC-SEER19_ER2_MF_CompE</t>
  </si>
  <si>
    <t>CAC-SEER19_ROF_MF</t>
  </si>
  <si>
    <t>CAC-SEER19_ROF_MF_CompE</t>
  </si>
  <si>
    <t>CAC-SEER20_ER1_SF</t>
  </si>
  <si>
    <t>CAC-SEER20_ER2_SF</t>
  </si>
  <si>
    <t>CAC-SEER20_ROF_SF</t>
  </si>
  <si>
    <t>CAC-SEER20_ER1_MF</t>
  </si>
  <si>
    <t>CAC-SEER20_ER2_MF</t>
  </si>
  <si>
    <t>CAC-SEER20_ER1_MF_CompE</t>
  </si>
  <si>
    <t>CAC-SEER20_ER2_MF_CompE</t>
  </si>
  <si>
    <t>CAC-SEER20_ROF_MF</t>
  </si>
  <si>
    <t>CAC-SEER20_ROF_MF_CompE</t>
  </si>
  <si>
    <t>CAC-SEER21+_ER1_SF</t>
  </si>
  <si>
    <t>CAC-SEER21+_ER2_SF</t>
  </si>
  <si>
    <t>CAC-SEER21+_ROF_SF</t>
  </si>
  <si>
    <t>CAC-SEER21+_ER1_MF</t>
  </si>
  <si>
    <t>CAC-SEER21+_ER2_MF</t>
  </si>
  <si>
    <t>CAC-SEER21+_ER1_MF_CompE</t>
  </si>
  <si>
    <t>CAC-SEER21+_ER2_MF_CompE</t>
  </si>
  <si>
    <t>CAC-SEER21+_ROF_MF</t>
  </si>
  <si>
    <t>CAC-SEER21+_ROF_MF_CompE</t>
  </si>
  <si>
    <t xml:space="preserve">ER1 represents 1st 6 years of Early Replacement. </t>
  </si>
  <si>
    <t>ER2 represents the last 12 years of Early Replacement.</t>
  </si>
  <si>
    <t>CAC</t>
  </si>
  <si>
    <t>*Incremental Cost</t>
  </si>
  <si>
    <t xml:space="preserve">Ton(s) </t>
  </si>
  <si>
    <t xml:space="preserve">ER ($) </t>
  </si>
  <si>
    <t>ROF ($)</t>
  </si>
  <si>
    <t>FLHcool</t>
  </si>
  <si>
    <t>Full load cooling hours</t>
  </si>
  <si>
    <t>SEER 14</t>
  </si>
  <si>
    <t>IL TRM 8.0</t>
  </si>
  <si>
    <t>SEER 15</t>
  </si>
  <si>
    <t>SEER 16</t>
  </si>
  <si>
    <t>SEER 17</t>
  </si>
  <si>
    <t>SEER 18</t>
  </si>
  <si>
    <t>SEER 19</t>
  </si>
  <si>
    <t>SEER 20</t>
  </si>
  <si>
    <t>Derived using IL TRM ($/unit) and the % change in Mid-Atlantic TRM V9 ($/ton)</t>
  </si>
  <si>
    <t>SEER 21</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</si>
  <si>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</si>
  <si>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</si>
  <si>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</si>
  <si>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</si>
  <si>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</si>
  <si>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</si>
  <si>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</si>
  <si>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</si>
  <si>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</si>
  <si>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</si>
  <si>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</si>
  <si>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</si>
  <si>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 xml:space="preserve">Match similar unit. </t>
  </si>
  <si>
    <r>
      <rPr>
        <strike/>
        <sz val="11"/>
        <color rgb="FFFF0000"/>
        <rFont val="Calibri"/>
        <family val="2"/>
        <scheme val="minor"/>
      </rPr>
      <t xml:space="preserve">PY2019 Program Data </t>
    </r>
    <r>
      <rPr>
        <sz val="11"/>
        <color rgb="FFFF0000"/>
        <rFont val="Calibri"/>
        <family val="2"/>
        <scheme val="minor"/>
      </rPr>
      <t>Ameren Missouri HVAC PY2020 Program Data Averages</t>
    </r>
  </si>
  <si>
    <r>
      <rPr>
        <strike/>
        <sz val="11"/>
        <color rgb="FFFF0000"/>
        <rFont val="Calibri"/>
        <family val="2"/>
        <scheme val="minor"/>
      </rPr>
      <t xml:space="preserve">Ameren Missouri Community Savers EM&amp;V PY2019 </t>
    </r>
    <r>
      <rPr>
        <sz val="11"/>
        <color rgb="FFFF0000"/>
        <rFont val="Calibri"/>
        <family val="2"/>
        <scheme val="minor"/>
      </rPr>
      <t>Match similar unit.</t>
    </r>
  </si>
  <si>
    <r>
      <rPr>
        <strike/>
        <sz val="11"/>
        <color rgb="FFFF0000"/>
        <rFont val="Calibri"/>
        <family val="2"/>
        <scheme val="minor"/>
      </rPr>
      <t xml:space="preserve">Used standard of 3 ton for SF &amp; 2 ton for MF </t>
    </r>
    <r>
      <rPr>
        <sz val="11"/>
        <color rgb="FFFF0000"/>
        <rFont val="Calibri"/>
        <family val="2"/>
        <scheme val="minor"/>
      </rPr>
      <t>Ameren Missouri HVAC PY2020 Program Data Averages</t>
    </r>
  </si>
  <si>
    <t>Ameren Missouri HVAC PY2020 Program Data Averages</t>
  </si>
  <si>
    <t>SEERbase</t>
  </si>
  <si>
    <t>Seasonal Energy Efficiency Ratio of baseline unit (kBtu/kWh)</t>
  </si>
  <si>
    <t>MO TRM</t>
  </si>
  <si>
    <t>SEERee</t>
  </si>
  <si>
    <t>Seasonal Energy Efficiency Ratio of ENERGY STAR unit (kBtu/kWh)</t>
  </si>
  <si>
    <t>Ameren Missouri Community Savers EM&amp;V PY18</t>
  </si>
  <si>
    <t>SEERexist</t>
  </si>
  <si>
    <t>Seasonal Energy Efficiency Ratio of existing unit (kBtu/kWh)</t>
  </si>
  <si>
    <t>PY2019 Program Data</t>
  </si>
  <si>
    <r>
      <rPr>
        <strike/>
        <sz val="11"/>
        <color rgb="FFFF0000"/>
        <rFont val="Calibri"/>
        <family val="2"/>
        <scheme val="minor"/>
      </rPr>
      <t xml:space="preserve">Match similar unit. </t>
    </r>
    <r>
      <rPr>
        <sz val="11"/>
        <color rgb="FFFF0000"/>
        <rFont val="Calibri"/>
        <family val="2"/>
        <scheme val="minor"/>
      </rPr>
      <t>Ameren Missouri HVAC PY2020 Program Data Averages</t>
    </r>
  </si>
  <si>
    <r>
      <rPr>
        <strike/>
        <sz val="11"/>
        <color rgb="FFFF0000"/>
        <rFont val="Calibri"/>
        <family val="2"/>
        <scheme val="minor"/>
      </rPr>
      <t xml:space="preserve">Ameren Missouri HVAC EM&amp;V PY2018 </t>
    </r>
    <r>
      <rPr>
        <sz val="11"/>
        <color rgb="FFFF0000"/>
        <rFont val="Calibri"/>
        <family val="2"/>
        <scheme val="minor"/>
      </rPr>
      <t>Ameren Missouri HVAC PY2020 Program Data Averages</t>
    </r>
  </si>
  <si>
    <t>HF of 65% used to convert residential to multifamily</t>
  </si>
  <si>
    <r>
      <rPr>
        <strike/>
        <sz val="11"/>
        <color rgb="FFFF0000"/>
        <rFont val="Calibri"/>
        <family val="2"/>
        <scheme val="minor"/>
      </rPr>
      <t xml:space="preserve">Ameren Missouri HVAC Program Evaluation PY2019 (Table 4-13) </t>
    </r>
    <r>
      <rPr>
        <sz val="11"/>
        <color rgb="FFFF0000"/>
        <rFont val="Calibri"/>
        <family val="2"/>
        <scheme val="minor"/>
      </rPr>
      <t>Ameren Missouri HVAC Program Evaluation PY2020 (Table 28)</t>
    </r>
  </si>
  <si>
    <t>*Incremental cost to be adjusted based on cost testing used</t>
  </si>
  <si>
    <r>
      <rPr>
        <strike/>
        <sz val="11"/>
        <color rgb="FFFF0000"/>
        <rFont val="Calibri"/>
        <family val="2"/>
        <scheme val="minor"/>
      </rPr>
      <t xml:space="preserve">Ductless Heat Pumps and Air Conditioners </t>
    </r>
    <r>
      <rPr>
        <sz val="11"/>
        <color rgb="FFFF0000"/>
        <rFont val="Calibri"/>
        <family val="2"/>
        <scheme val="minor"/>
      </rPr>
      <t>Mini/Multi-Split Heat Pumps and Air Conditioners</t>
    </r>
  </si>
  <si>
    <t>351200_2021_12_</t>
  </si>
  <si>
    <t>Mini/MultiSplitAC_ER1_SF</t>
  </si>
  <si>
    <t>Mini/MultiSplitAC_ER2_SF</t>
  </si>
  <si>
    <t>351250_2021_12_</t>
  </si>
  <si>
    <t>Mini/MultiSplitAC_ROF_SF</t>
  </si>
  <si>
    <t>351300_2021_12_</t>
  </si>
  <si>
    <t>Mini/MultiSplitASHP_ROF_SF_NC</t>
  </si>
  <si>
    <t>351350_2021_12_</t>
  </si>
  <si>
    <t>Mini/MultiSplitASHP_ROF_SF</t>
  </si>
  <si>
    <t>351400_2021_12_</t>
  </si>
  <si>
    <t>Mini/MultiSplitASHP-Replace_CAC_ElectricHeat_ER1_SF</t>
  </si>
  <si>
    <t>Mini/MultiSplitASHP-Replace_CAC_ElectricHeat_ER2_SF</t>
  </si>
  <si>
    <t>Heating RES ER2</t>
  </si>
  <si>
    <t>351450_2021_12_</t>
  </si>
  <si>
    <t>Mini/MultiSplitASHP-Replace_CAC_ElectricHeat_ROF_SF</t>
  </si>
  <si>
    <t>351500_2021_12_</t>
  </si>
  <si>
    <t>Mini/MultiSplitASHP_ER1_SF</t>
  </si>
  <si>
    <t>Mini/MultiSplitASHP_ER2_SF</t>
  </si>
  <si>
    <t>351550_2021_12_</t>
  </si>
  <si>
    <t>Mini/MultiSplitAC_ER1_MF</t>
  </si>
  <si>
    <t>Mini/MultiSplitAC_ER2_MF</t>
  </si>
  <si>
    <t>351551_2021_12_</t>
  </si>
  <si>
    <t>Mini/MultiSplitAC_ER1_MF_CompE</t>
  </si>
  <si>
    <t>Mini/MultiSplitAC_ER2_MF_CompE</t>
  </si>
  <si>
    <t>351600_2021_12_</t>
  </si>
  <si>
    <t>Mini/MultiSplitAC_ROF_MF</t>
  </si>
  <si>
    <t>351601_2021_12_</t>
  </si>
  <si>
    <t>Mini/MultiSplitAC_ROF_MF_CompE</t>
  </si>
  <si>
    <t>351650_2021_12_</t>
  </si>
  <si>
    <t>Mini/MultiSplitASHP_ROF_MF_NC</t>
  </si>
  <si>
    <t>351651_2021_12_</t>
  </si>
  <si>
    <t>Mini/MultiSplitASHP_ROF_MF_NC_CompE</t>
  </si>
  <si>
    <t>351700_2021_12_</t>
  </si>
  <si>
    <t>Mini/MultiSplitASHP_ROF_MF</t>
  </si>
  <si>
    <t>351701_2021_12_</t>
  </si>
  <si>
    <t>Mini/MultiSplitASHP_ROF_MF_CompE</t>
  </si>
  <si>
    <t>351750_2021_12_</t>
  </si>
  <si>
    <t>Mini/MultiSplitASHP-Replace_CAC_ElectricHeat_ER1_MF</t>
  </si>
  <si>
    <t>Mini/MultiSplitASHP-Replace_CAC_ElectricHeat_ER2_MF</t>
  </si>
  <si>
    <t>351751_2021_12_</t>
  </si>
  <si>
    <t>Mini/MultiSplitASHP-Replace_CAC_ElectricHeat_ER1_MF_CompE</t>
  </si>
  <si>
    <t>Mini/MultiSplitASHP-Replace_CAC_ElectricHeat_ER2_MF_CompE</t>
  </si>
  <si>
    <t>351800_2021_12_</t>
  </si>
  <si>
    <t>Mini/MultiSplitASHP-Replace_CAC_ElectricHeat_ROF_MF</t>
  </si>
  <si>
    <t>351801_2021_12_</t>
  </si>
  <si>
    <t>Mini/MultiSplitASHP-Replace_CAC_ElectricHeat_ROF_MF_CompE</t>
  </si>
  <si>
    <t>351850_2021_12_</t>
  </si>
  <si>
    <t>Mini/MultiSplitASHP_ER1_MF</t>
  </si>
  <si>
    <t>Mini/MultiSplitASHP_ER2_MF</t>
  </si>
  <si>
    <t>351851_2021_12_</t>
  </si>
  <si>
    <t>Mini/MultiSplitASHP_ER1_MF_CompE</t>
  </si>
  <si>
    <t>Mini/MultiSplitASHP_ER2_MF_CompE</t>
  </si>
  <si>
    <t xml:space="preserve">*MFc = Multifamily Comprehensive envelope,  CompE = Comprehensive Envelope </t>
  </si>
  <si>
    <t>ER2 represents the last 12 years of Early Replacement, or all years of Replace on Failure.</t>
  </si>
  <si>
    <t>Ductless HP</t>
  </si>
  <si>
    <t>Capacityheat</t>
  </si>
  <si>
    <t>Heating capacity of the ductless heat pump unit in Btu/hr</t>
  </si>
  <si>
    <t>no heating</t>
  </si>
  <si>
    <t>Example costs for Capacity:</t>
  </si>
  <si>
    <t>tons</t>
  </si>
  <si>
    <r>
      <rPr>
        <strike/>
        <sz val="11"/>
        <color rgb="FFFF0000"/>
        <rFont val="Calibri"/>
        <family val="2"/>
        <scheme val="minor"/>
      </rPr>
      <t xml:space="preserve">Match Similar Unit </t>
    </r>
    <r>
      <rPr>
        <sz val="11"/>
        <color rgb="FFFF0000"/>
        <rFont val="Calibri"/>
        <family val="2"/>
        <scheme val="minor"/>
      </rPr>
      <t>Ameren Missouri HVAC PY2020 Program Data Averages</t>
    </r>
  </si>
  <si>
    <t>Baseline</t>
  </si>
  <si>
    <t>ER ($)</t>
  </si>
  <si>
    <t>IL TRM 8.0, ROF HSPFee in 10-10.9 range</t>
  </si>
  <si>
    <t>ER - ASHP</t>
  </si>
  <si>
    <t>IL TRM 8.0, ER HSPFee in 11-12.9 range</t>
  </si>
  <si>
    <t>ER - CAC</t>
  </si>
  <si>
    <t>ER - Elec Resist</t>
  </si>
  <si>
    <t>Match Similar Unit</t>
  </si>
  <si>
    <t>Efficient Total Cost of Installation ($/ton)</t>
  </si>
  <si>
    <t>Efficiency</t>
  </si>
  <si>
    <t>ROF - ASHP</t>
  </si>
  <si>
    <t>HSPF 10-10.9</t>
  </si>
  <si>
    <t>IL TRM 8.0, p. 141</t>
  </si>
  <si>
    <t>HSPF 11-12.9</t>
  </si>
  <si>
    <t>Baseline Total Cost of Installation ($/ton)</t>
  </si>
  <si>
    <t>ER Deferred</t>
  </si>
  <si>
    <t>ASHP</t>
  </si>
  <si>
    <t>IL TRM 8.0, p. 142</t>
  </si>
  <si>
    <t>Elec Resist</t>
  </si>
  <si>
    <t>EFLHheat</t>
  </si>
  <si>
    <t>Equivalent Full Load Hours for heating</t>
  </si>
  <si>
    <t>Ameren MO 2017 IRP</t>
  </si>
  <si>
    <t>1/3 of 18 EUL</t>
  </si>
  <si>
    <t>HSPFbase</t>
  </si>
  <si>
    <t>HSPF rating of baseline equipment (kbtu/kwh)</t>
  </si>
  <si>
    <t>Matches Ameren Missouri HVAC EM&amp;V PY2018</t>
  </si>
  <si>
    <t>HSPFexist</t>
  </si>
  <si>
    <t>HSPF rating of existing equipment (kbtu/kwh)</t>
  </si>
  <si>
    <t>Per TRM</t>
  </si>
  <si>
    <t>HSPFee</t>
  </si>
  <si>
    <t>HSPF rating of new equipment (kbtu/kwh)</t>
  </si>
  <si>
    <t>Capacitycool</t>
  </si>
  <si>
    <t>Cooling capacity of the ductless heat pump unit in Btu/hr</t>
  </si>
  <si>
    <r>
      <t xml:space="preserve">Ameren Missouri HVAC </t>
    </r>
    <r>
      <rPr>
        <strike/>
        <sz val="11"/>
        <color rgb="FFFF0000"/>
        <rFont val="Calibri"/>
        <family val="2"/>
        <scheme val="minor"/>
      </rPr>
      <t xml:space="preserve">EM&amp;V PY2017 workpapers </t>
    </r>
    <r>
      <rPr>
        <sz val="11"/>
        <color rgb="FFFF0000"/>
        <rFont val="Calibri"/>
        <family val="2"/>
        <scheme val="minor"/>
      </rPr>
      <t>PY2020 Program Data Averages</t>
    </r>
  </si>
  <si>
    <t>EFLHcool</t>
  </si>
  <si>
    <t>Equivalent Full Load Hours for cooling</t>
  </si>
  <si>
    <t>SEER rating of baseline equipment (kbtu/kwh)</t>
  </si>
  <si>
    <t>Federal standard, minimum efficiency</t>
  </si>
  <si>
    <t>SEER rating of existing equipment (kbtu/kwh)</t>
  </si>
  <si>
    <r>
      <rPr>
        <strike/>
        <sz val="11"/>
        <color rgb="FFFF0000"/>
        <rFont val="Calibri"/>
        <family val="2"/>
        <scheme val="minor"/>
      </rPr>
      <t xml:space="preserve">MO TRM </t>
    </r>
    <r>
      <rPr>
        <sz val="11"/>
        <color rgb="FFFF0000"/>
        <rFont val="Calibri"/>
        <family val="2"/>
        <scheme val="minor"/>
      </rPr>
      <t>Ameren Missouri HVAC PY2020 Program Data Averages</t>
    </r>
  </si>
  <si>
    <t>Match similar unit</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</si>
  <si>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</si>
  <si>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</si>
  <si>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</si>
  <si>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r>
      <rPr>
        <strike/>
        <sz val="11"/>
        <color rgb="FFFF0000"/>
        <rFont val="Calibri"/>
        <family val="2"/>
        <scheme val="minor"/>
      </rPr>
      <t xml:space="preserve">Ameren Missouri HVAC Evaluation PY2019 (Table 4-13) </t>
    </r>
    <r>
      <rPr>
        <sz val="11"/>
        <color rgb="FFFF0000"/>
        <rFont val="Calibri"/>
        <family val="2"/>
        <scheme val="minor"/>
      </rPr>
      <t>HVAC Ameren Missouri HVAC Program Evaluation PY2020 (Table 28)</t>
    </r>
  </si>
  <si>
    <t>IL-TRM v8.0</t>
  </si>
  <si>
    <t>Dual Fuel Heat Pumps</t>
  </si>
  <si>
    <t>351900_2019_12_</t>
  </si>
  <si>
    <t>DFHP-SEER19-ROF_MF</t>
  </si>
  <si>
    <t>Cooling Res</t>
  </si>
  <si>
    <t>Heating Res</t>
  </si>
  <si>
    <t>351901_2019_12_</t>
  </si>
  <si>
    <t>DFHP-SEER19-ROF_MF_CompE</t>
  </si>
  <si>
    <t>351950_2019_12_</t>
  </si>
  <si>
    <t>DFHP-SEER20-ROF_MF</t>
  </si>
  <si>
    <t>351951_2019_12_</t>
  </si>
  <si>
    <t>DFHP-SEER20-ROF_MF_CompE</t>
  </si>
  <si>
    <t>352000_2019_12_</t>
  </si>
  <si>
    <t>DFHP-SEER21-ROF_MF</t>
  </si>
  <si>
    <t>352001_2019_12_</t>
  </si>
  <si>
    <t>DFHP-SEER21-ROF_MF_CompE</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</si>
  <si>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</si>
  <si>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</si>
  <si>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</si>
  <si>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</si>
  <si>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</si>
  <si>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</si>
  <si>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</si>
  <si>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</si>
  <si>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</si>
  <si>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</si>
  <si>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</si>
  <si>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</si>
  <si>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</si>
  <si>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</si>
  <si>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</si>
  <si>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</si>
  <si>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</si>
  <si>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</si>
  <si>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</si>
  <si>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</si>
  <si>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</si>
  <si>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</si>
  <si>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</si>
  <si>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End Useful Life</t>
  </si>
  <si>
    <t>Ground Source Heat Pumps</t>
  </si>
  <si>
    <t>352050_2021_12_</t>
  </si>
  <si>
    <t>GSHP-EER23-Replace_CAC_ElectricHeat_ROF_SF</t>
  </si>
  <si>
    <t>352100_2021_12_</t>
  </si>
  <si>
    <t>GSHP-EER23-Replace_CAC_ElectricHeat_ER1_SF</t>
  </si>
  <si>
    <t>GSHP-EER23-Replace_CAC_ElectricHeat_ER2_SF</t>
  </si>
  <si>
    <t>Cooling Res ER2</t>
  </si>
  <si>
    <t>352200_2021_12_</t>
  </si>
  <si>
    <t>GSHP-EER23_ER1_SF</t>
  </si>
  <si>
    <t>GSHP-EER23_ER2_SF</t>
  </si>
  <si>
    <t>352250_2021_12_</t>
  </si>
  <si>
    <t>GSHP-EER23_ROF_SF</t>
  </si>
  <si>
    <t>Heating Capacity of Heat Pump (Btu/hr)</t>
  </si>
  <si>
    <r>
      <rPr>
        <strike/>
        <sz val="11"/>
        <color rgb="FFFF0000"/>
        <rFont val="Calibri"/>
        <family val="2"/>
        <scheme val="minor"/>
      </rPr>
      <t xml:space="preserve">PY2019 Program Data </t>
    </r>
    <r>
      <rPr>
        <sz val="11"/>
        <color rgb="FFFF0000"/>
        <rFont val="Calibri"/>
        <family val="2"/>
        <scheme val="minor"/>
      </rPr>
      <t>PY2020 Program Data</t>
    </r>
  </si>
  <si>
    <t>Heating System Performance Factor of efficient Heat Pump
   (kBtu/kWh)</t>
  </si>
  <si>
    <t>Cooling Capacity of Heat Pump (Btu/hr)</t>
  </si>
  <si>
    <t>EFLHcooling</t>
  </si>
  <si>
    <t>SEERbase / exist</t>
  </si>
  <si>
    <r>
      <rPr>
        <strike/>
        <sz val="11"/>
        <color rgb="FFFF0000"/>
        <rFont val="Calibri"/>
        <family val="2"/>
        <scheme val="minor"/>
      </rPr>
      <t>Ameren Missouri HVAC EM&amp;V PY2018 workpapers</t>
    </r>
    <r>
      <rPr>
        <sz val="11"/>
        <color rgb="FFFF0000"/>
        <rFont val="Calibri"/>
        <family val="2"/>
        <scheme val="minor"/>
      </rPr>
      <t xml:space="preserve"> PY2020 Program Data</t>
    </r>
  </si>
  <si>
    <t>Seasonal Energy Efficiency Ratio of efficient Heat Pump (kBtu/kWh)</t>
  </si>
  <si>
    <t>Air Source Heat Pumps</t>
  </si>
  <si>
    <t>352300_2019_12_</t>
  </si>
  <si>
    <t>352300_2021_12_</t>
  </si>
  <si>
    <t>ASHP-SEER15-Replace_CAC_ElectricHeat_ER1_SF</t>
  </si>
  <si>
    <t>ASHP-SEER15-Replace_CAC_ElectricHeat_ER2_SF</t>
  </si>
  <si>
    <t>Heating Res ER2</t>
  </si>
  <si>
    <t>352310_2021_12_</t>
  </si>
  <si>
    <t>ASHP-SEER15-Replace_CAC_NonElectricHeat_ER1_SF</t>
  </si>
  <si>
    <t>ASHP-SEER15-Replace_CAC_NonElectricHeat_ER2_SF</t>
  </si>
  <si>
    <t>352350_2019_12_</t>
  </si>
  <si>
    <t>352350_2021_12_</t>
  </si>
  <si>
    <t>ASHP-SEER15_ER1_SF</t>
  </si>
  <si>
    <t>ASHP-SEER15_ER2_SF</t>
  </si>
  <si>
    <t>352400_2019_12_</t>
  </si>
  <si>
    <t>352400_2021_12_</t>
  </si>
  <si>
    <t>ASHP-SEER15-Replace_CAC_ElectricHeat_ROF_SF</t>
  </si>
  <si>
    <t>352410_2021_12_</t>
  </si>
  <si>
    <t>ASHP-SEER15-Replace_CAC_NonElectricHeat_ROF_SF</t>
  </si>
  <si>
    <t>352450_2019_12_</t>
  </si>
  <si>
    <t>352450_2021_12_</t>
  </si>
  <si>
    <t>ASHP-SEER15_ROF_SF</t>
  </si>
  <si>
    <t>352500_2019_12_</t>
  </si>
  <si>
    <t>352500_2021_12_</t>
  </si>
  <si>
    <t>ASHP-SEER16-Replace_CAC_ElectricHeat_ER1_SF</t>
  </si>
  <si>
    <t>ASHP-SEER16-Replace_CAC_ElectricHeat_ER2_SF</t>
  </si>
  <si>
    <t>352510_2021_12_</t>
  </si>
  <si>
    <t>ASHP-SEER16-Replace_CAC_NonElectricHeat_ER1_SF</t>
  </si>
  <si>
    <t>ASHP-SEER16-Replace_CAC_NonElectricHeat_ER2_SF</t>
  </si>
  <si>
    <t>352550_2019_12_</t>
  </si>
  <si>
    <t>352550_2021_12_</t>
  </si>
  <si>
    <t>ASHP-SEER16_ER1_SF</t>
  </si>
  <si>
    <t>ASHP-SEER16_ER2_SF</t>
  </si>
  <si>
    <t>352600_2019_12_</t>
  </si>
  <si>
    <t>352600_2021_12_</t>
  </si>
  <si>
    <t>ASHP-SEER16-Replace_CAC_ElectricHeat_ROF_SF</t>
  </si>
  <si>
    <t>352650_2019_12_</t>
  </si>
  <si>
    <t>352650_2021_12_</t>
  </si>
  <si>
    <t>ASHP-SEER16_ROF_SF</t>
  </si>
  <si>
    <t>352700_2019_12_</t>
  </si>
  <si>
    <t>352700_2021_12_</t>
  </si>
  <si>
    <t>ASHP-SEER15_ER1_MF</t>
  </si>
  <si>
    <t>ASHP-SEER15_ER2_MF</t>
  </si>
  <si>
    <t>352701_2019_12_</t>
  </si>
  <si>
    <t>352701_2021_12_</t>
  </si>
  <si>
    <t>ASHP-SEER15_ER1_MF_CompE</t>
  </si>
  <si>
    <t>ASHP-SEER15_ER2_MF_CompE</t>
  </si>
  <si>
    <t>352750_2019_12_</t>
  </si>
  <si>
    <t>352750_2021_12_</t>
  </si>
  <si>
    <t>ASHP-SEER15-Replace_CAC_ElectricHeat_ER1_MF</t>
  </si>
  <si>
    <t>ASHP-SEER15-Replace_CAC_ElectricHeat_ER2_MF</t>
  </si>
  <si>
    <t>352751_2019_12_</t>
  </si>
  <si>
    <t>352751_2021_12_</t>
  </si>
  <si>
    <t>ASHP-SEER15-Replace_CAC_ElectricHeat_ER1_MF_CompE</t>
  </si>
  <si>
    <t>ASHP-SEER15-Replace_CAC_ElectricHeat_ER2_MF_CompE</t>
  </si>
  <si>
    <t>352760_2021_12_</t>
  </si>
  <si>
    <t>ASHP-SEER15-Replace_CAC_NonElectricHeat_ER1_MF</t>
  </si>
  <si>
    <t>ASHP-SEER15-Replace_CAC_NonElectricHeat_ER2_MF</t>
  </si>
  <si>
    <t>352761_2021_12_</t>
  </si>
  <si>
    <t>ASHP-SEER15-Replace_CAC_NonElectricHeat_ER1_MF_CompE</t>
  </si>
  <si>
    <t>ASHP-SEER15-Replace_CAC_NonElectricHeat_ER2_MF_CompE</t>
  </si>
  <si>
    <t>352800_2019_12_</t>
  </si>
  <si>
    <t>ASHP-SEER15-Replace_CAC_ElectricHeat_ROF_MF</t>
  </si>
  <si>
    <t>352801_2019_12_</t>
  </si>
  <si>
    <t>ASHP-SEER15-Replace_CAC_ElectricHeat_ROF_MF_CompE</t>
  </si>
  <si>
    <t>352810_2021_12_</t>
  </si>
  <si>
    <t>ASHP-SEER15-Replace_CAC_NonElectricHeat_ROF_MF</t>
  </si>
  <si>
    <t>352811_2021_12_</t>
  </si>
  <si>
    <t>ASHP-SEER15-Replace_CAC_NonElectricHeat_ROF_MF_CompE</t>
  </si>
  <si>
    <t>352850_2019_12_</t>
  </si>
  <si>
    <t>352850_2021_12_</t>
  </si>
  <si>
    <t>ASHP-SEER16_ER1_MF</t>
  </si>
  <si>
    <t>ASHP-SEER16_ER2_MF</t>
  </si>
  <si>
    <t>352851_2019_12_</t>
  </si>
  <si>
    <t>352851_2021_12_</t>
  </si>
  <si>
    <t>ASHP-SEER16_ER1_MF_CompE</t>
  </si>
  <si>
    <t>ASHP-SEER16_ER2_MF_CompE</t>
  </si>
  <si>
    <t>352900_2019_12_</t>
  </si>
  <si>
    <t>352900_2021_12_</t>
  </si>
  <si>
    <t>ASHP-SEER16_ROF_MF</t>
  </si>
  <si>
    <t>352901_2019_12_</t>
  </si>
  <si>
    <t>352901_2021_12_</t>
  </si>
  <si>
    <t>ASHP-SEER16_ROF_MF_CompE</t>
  </si>
  <si>
    <t>352950_2019_12_</t>
  </si>
  <si>
    <t>ASHP-SEER16-Replace_CAC_ElectricHeat_ROF_MF</t>
  </si>
  <si>
    <t>352951_2019_12_</t>
  </si>
  <si>
    <t>ASHP-SEER16-Replace_CAC_ElectricHeat_ROF_MF_CompE</t>
  </si>
  <si>
    <t>352960_2021_12_</t>
  </si>
  <si>
    <t>ASHP-SEER16-Replace_CAC_NonElectricHeat_ROF_MF</t>
  </si>
  <si>
    <t>352961_2021_12_</t>
  </si>
  <si>
    <t>ASHP-SEER16-Replace_CAC_NonElectricHeat_ROF_MF_CompE</t>
  </si>
  <si>
    <t>353000_2019_12_</t>
  </si>
  <si>
    <t>353000_2021_12_</t>
  </si>
  <si>
    <t>ASHP-SEER16-Replace_CAC_ElectricHeat_ER1_MF</t>
  </si>
  <si>
    <t>ASHP-SEER16-Replace_CAC_ElectricHeat_ER2_MF</t>
  </si>
  <si>
    <t>353001_2019_12_</t>
  </si>
  <si>
    <t>353001_2021_12_</t>
  </si>
  <si>
    <t>ASHP-SEER16-Replace_CAC_ElectricHeat_ER1_MF_CompE</t>
  </si>
  <si>
    <t>ASHP-SEER16-Replace_CAC_ElectricHeat_ER2_MF_CompE</t>
  </si>
  <si>
    <t>353010_2021_12_</t>
  </si>
  <si>
    <t>ASHP-SEER16-Replace_CAC_NonElectricHeat_ER1_MF</t>
  </si>
  <si>
    <t>ASHP-SEER16-Replace_CAC_NonElectricHeat_ER2_MF</t>
  </si>
  <si>
    <t>353011_2021_12_</t>
  </si>
  <si>
    <t>ASHP-SEER16-Replace_CAC_NonElectricHeat_ER1_MF_CompE</t>
  </si>
  <si>
    <t>ASHP-SEER16-Replace_CAC_NonElectricHeat_ER2_MF_CompE</t>
  </si>
  <si>
    <t>353050_2019_12_</t>
  </si>
  <si>
    <t>353050_2021_12_</t>
  </si>
  <si>
    <t>ASHP-SEER15_ROF_MF</t>
  </si>
  <si>
    <t>353051_2019_12_</t>
  </si>
  <si>
    <t>353051_2021_12_</t>
  </si>
  <si>
    <t>ASHP-SEER15_ROF_MF_CompE</t>
  </si>
  <si>
    <t>353100_2019_12_</t>
  </si>
  <si>
    <t>353100_2021_12_</t>
  </si>
  <si>
    <t>ASHP-SEER17-Replace_CAC_ElectricHeat_ROF_SF</t>
  </si>
  <si>
    <t>353150_2019_12_</t>
  </si>
  <si>
    <t>ASHP-SEER17-Replace_CAC_ElectricHeat_ROF_MF</t>
  </si>
  <si>
    <t>353151_2019_12_</t>
  </si>
  <si>
    <t>ASHP-SEER17-Replace_CAC_ElectricHeat_ROF_MF_CompE</t>
  </si>
  <si>
    <t>353160_2021_12_</t>
  </si>
  <si>
    <t>ASHP-SEER17-Replace_CAC_NonElectricHeat_ROF_MF</t>
  </si>
  <si>
    <t>353161_2021_12_</t>
  </si>
  <si>
    <t>ASHP-SEER17-Replace_CAC_NonElectricHeat_ROF_MF_CompE</t>
  </si>
  <si>
    <t>353200_2019_12_</t>
  </si>
  <si>
    <t>353200_2021_12_</t>
  </si>
  <si>
    <t>ASHP-SEER18-Replace_CAC_ElectricHeat_ROF_SF</t>
  </si>
  <si>
    <t>353250_2019_12_</t>
  </si>
  <si>
    <t>353250_2021_12_</t>
  </si>
  <si>
    <t>ASHP-SEER18-Replace_CAC_ElectricHeat_ROF_MF</t>
  </si>
  <si>
    <t>353251_2019_12_</t>
  </si>
  <si>
    <t>353251_2021_12_</t>
  </si>
  <si>
    <t>ASHP-SEER18-Replace_CAC_ElectricHeat_ROF_MF_CompE</t>
  </si>
  <si>
    <t>353260_2021_12_</t>
  </si>
  <si>
    <t>ASHP-SEER18-Replace_CAC_NonElectricHeat_ROF_MF</t>
  </si>
  <si>
    <t>353261_2021_12_</t>
  </si>
  <si>
    <t>ASHP-SEER18-Replace_CAC_NonElectricHeat_ROF_MF_CompE</t>
  </si>
  <si>
    <t>353300_2019_12_</t>
  </si>
  <si>
    <t>353300_2021_12_</t>
  </si>
  <si>
    <t>ASHP-SEER19-Replace_CAC_ElectricHeat_ROF_SF</t>
  </si>
  <si>
    <t>353350_2019_12_</t>
  </si>
  <si>
    <t>353350_2021_12_</t>
  </si>
  <si>
    <t>ASHP-SEER19-Replace_CAC_ElectricHeat_ROF_MF</t>
  </si>
  <si>
    <t>353351_2019_12_</t>
  </si>
  <si>
    <t>ASHP-SEER19-Replace_CAC_ElectricHeat_ROF_MF_CompE</t>
  </si>
  <si>
    <t>353360_2021_12_</t>
  </si>
  <si>
    <t>ASHP-SEER19-Replace_CAC_NonElectricHeat_ROF_MF</t>
  </si>
  <si>
    <t>353361_2021_12_</t>
  </si>
  <si>
    <t>ASHP-SEER19-Replace_CAC_NonElectricHeat_ROF_MF_CompE</t>
  </si>
  <si>
    <t>353400_2019_12_</t>
  </si>
  <si>
    <t>353400_2021_12_</t>
  </si>
  <si>
    <t>ASHP-SEER20-Replace_CAC_ElectricHeat_ER1_SF</t>
  </si>
  <si>
    <t>ASHP-SEER20-Replace_CAC_ElectricHeat_ER2_SF</t>
  </si>
  <si>
    <t>353410_2021_12_</t>
  </si>
  <si>
    <t>ASHP-SEER20-Replace_CAC_NonElectricHeat_ER1_SF</t>
  </si>
  <si>
    <t>ASHP-SEER20-Replace_CAC_NonElectricHeat_ER2_SF</t>
  </si>
  <si>
    <t>353450_2019_12_</t>
  </si>
  <si>
    <t>353450_2021_12_</t>
  </si>
  <si>
    <t>ASHP-SEER20-Replace_CAC_ElectricHeat_ROF_SF</t>
  </si>
  <si>
    <t>353500_2019_12_</t>
  </si>
  <si>
    <t>ASHP-SEER20-Replace_CAC_ElectricHeat_ROF_MF</t>
  </si>
  <si>
    <t>353501_2019_12_</t>
  </si>
  <si>
    <t>ASHP-SEER20-Replace_CAC_ElectricHeat_ROF_MF_CompE</t>
  </si>
  <si>
    <t>353510_2021_12_</t>
  </si>
  <si>
    <t>ASHP-SEER20-Replace_CAC_NonElectricHeat_ROF_MF</t>
  </si>
  <si>
    <t>353511_2021_12_</t>
  </si>
  <si>
    <t>ASHP-SEER20-Replace_CAC_NonElectricHeat_ROF_MF_CompE</t>
  </si>
  <si>
    <t>353550_2019_12_</t>
  </si>
  <si>
    <t>353550_2021_12_</t>
  </si>
  <si>
    <t>ASHP-SEER21-Replace_CAC_ElectricHeat_ER1_SF</t>
  </si>
  <si>
    <t>ASHP-SEER21-Replace_CAC_ElectricHeat_ER2_SF</t>
  </si>
  <si>
    <t>353560_2021_12_</t>
  </si>
  <si>
    <t>ASHP-SEER21-Replace_CAC_NonElectricHeat_ER1_SF</t>
  </si>
  <si>
    <t>ASHP-SEER21-Replace_CAC_NonElectricHeat_ER2_SF</t>
  </si>
  <si>
    <t>353600_2019_12_</t>
  </si>
  <si>
    <t>ASHP-SEER21-Replace_CAC_ElectricHeat_ER1_MF</t>
  </si>
  <si>
    <t>ASHP-SEER21-Replace_CAC_ElectricHeat_ER2_MF</t>
  </si>
  <si>
    <t>353601_2019_12_</t>
  </si>
  <si>
    <t>ASHP-SEER21-Replace_CAC_ElectricHeat_ER1_MF_CompE</t>
  </si>
  <si>
    <t>ASHP-SEER21-Replace_CAC_ElectricHeat_ER2_MF_CompE</t>
  </si>
  <si>
    <t>353610_2021_12_</t>
  </si>
  <si>
    <t>ASHP-SEER21-Replace_CAC_NonElectricHeat_ER1_MF</t>
  </si>
  <si>
    <t>ASHP-SEER21-Replace_CAC_NonElectricHeat_ER2_MF</t>
  </si>
  <si>
    <t>353611_2021_12_</t>
  </si>
  <si>
    <t>ASHP-SEER21-Replace_CAC_NonElectricHeat_ER1_MF_CompE</t>
  </si>
  <si>
    <t>ASHP-SEER21-Replace_CAC_NonElectricHeat_ER2_MF_CompE</t>
  </si>
  <si>
    <t>353650_2019_12_</t>
  </si>
  <si>
    <t>353650_2021_12_</t>
  </si>
  <si>
    <t>ASHP-SEER21-Replace_CAC_ElectricHeat_ROF_SF</t>
  </si>
  <si>
    <t>353700_2019_12_</t>
  </si>
  <si>
    <t>ASHP-SEER21+-Replace_CAC_ElectricHeat_ROF_MF</t>
  </si>
  <si>
    <t>353701_2019_12_</t>
  </si>
  <si>
    <t>ASHP-SEER21+-Replace_CAC_ElectricHeat_ROF_MF_CompE</t>
  </si>
  <si>
    <t>353710_2021_12_</t>
  </si>
  <si>
    <t>ASHP-SEER21+-Replace_CAC_NonElectricHeat_ROF_MF</t>
  </si>
  <si>
    <t>353711_2021_12_</t>
  </si>
  <si>
    <t>ASHP-SEER21+-Replace_CAC_NonElectricHeat_ROF_MF_CompE</t>
  </si>
  <si>
    <t>353750_2019_12_</t>
  </si>
  <si>
    <t>353750_2021_12_</t>
  </si>
  <si>
    <t>ASHP-SEER17_ER1_SF</t>
  </si>
  <si>
    <t>ASHP-SEER17_ER2_SF</t>
  </si>
  <si>
    <t>353800_2019_12_</t>
  </si>
  <si>
    <t>353800_2021_12_</t>
  </si>
  <si>
    <t>ASHP-SEER17_ROF_SF</t>
  </si>
  <si>
    <t>353850_2019_12_</t>
  </si>
  <si>
    <t>353850_2021_12_</t>
  </si>
  <si>
    <t>ASHP-SEER18_ER1_SF</t>
  </si>
  <si>
    <t>ASHP-SEER18_ER2_SF</t>
  </si>
  <si>
    <t>353950_2019_12_</t>
  </si>
  <si>
    <t>353950_2021_12_</t>
  </si>
  <si>
    <t>ASHP-SEER18_ROF_SF</t>
  </si>
  <si>
    <t>354000_2019_12_</t>
  </si>
  <si>
    <t>354000_2021_12_</t>
  </si>
  <si>
    <t>ASHP-SEER19_ER1_SF</t>
  </si>
  <si>
    <t>ASHP-SEER19_ER2_SF</t>
  </si>
  <si>
    <t>354050_2019_12_</t>
  </si>
  <si>
    <t>354050_2021_12_</t>
  </si>
  <si>
    <t>ASHP-SEER19_ROF_SF</t>
  </si>
  <si>
    <t>354100_2019_12_</t>
  </si>
  <si>
    <t>354100_2021_12_</t>
  </si>
  <si>
    <t>ASHP-SEER17-Replace_CAC_ElectricHeat_ER1_SF</t>
  </si>
  <si>
    <t>ASHP-SEER17-Replace_CAC_ElectricHeat_ER2_SF</t>
  </si>
  <si>
    <t>354110_2021_12_</t>
  </si>
  <si>
    <t>ASHP-SEER17-Replace_CAC_NonElectricHeat_ER1_SF</t>
  </si>
  <si>
    <t>ASHP-SEER17-Replace_CAC_NonElectricHeat_ER2_SF</t>
  </si>
  <si>
    <t>354150_2019_12_</t>
  </si>
  <si>
    <t>ASHP-SEER17-Replace_CAC_ElectricHeat_ER1_MF</t>
  </si>
  <si>
    <t>ASHP-SEER17-Replace_CAC_ElectricHeat_ER2_MF</t>
  </si>
  <si>
    <t>354151_2019_12_</t>
  </si>
  <si>
    <t>ASHP-SEER17-Replace_CAC_ElectricHeat_ER1_MF_CompE</t>
  </si>
  <si>
    <t>ASHP-SEER17-Replace_CAC_ElectricHeat_ER2_MF_CompE</t>
  </si>
  <si>
    <t>354160_2021_12_</t>
  </si>
  <si>
    <t>ASHP-SEER17-Replace_CAC_NonElectricHeat_ER1_MF</t>
  </si>
  <si>
    <t>ASHP-SEER17-Replace_CAC_NonElectricHeat_ER2_MF</t>
  </si>
  <si>
    <t>354161_2021_12_</t>
  </si>
  <si>
    <t>ASHP-SEER17-Replace_CAC_NonElectricHeat_ER1_MF_CompE</t>
  </si>
  <si>
    <t>ASHP-SEER17-Replace_CAC_NonElectricHeat_ER2_MF_CompE</t>
  </si>
  <si>
    <t>354200_2019_12_</t>
  </si>
  <si>
    <t>ASHP-SEER17_ER1_MF</t>
  </si>
  <si>
    <t>ASHP-SEER17_ER2_MF</t>
  </si>
  <si>
    <t>354201_2019_12_</t>
  </si>
  <si>
    <t>ASHP-SEER17_ER1_MF_CompE</t>
  </si>
  <si>
    <t>ASHP-SEER17_ER2_MF_CompE</t>
  </si>
  <si>
    <t>354250_2019_12_</t>
  </si>
  <si>
    <t>354250_2021_12_</t>
  </si>
  <si>
    <t>ASHP-SEER18-Replace_CAC_ElectricHeat_ER1_SF</t>
  </si>
  <si>
    <t>ASHP-SEER18-Replace_CAC_ElectricHeat_ER2_SF</t>
  </si>
  <si>
    <t>354260_2021_12_</t>
  </si>
  <si>
    <t>ASHP-SEER18-Replace_CAC_NonElectricHeat_ER1_SF</t>
  </si>
  <si>
    <t>ASHP-SEER18-Replace_CAC_NonElectricHeat_ER2_SF</t>
  </si>
  <si>
    <t>354300_2019_12_</t>
  </si>
  <si>
    <t>354300_2021_12_</t>
  </si>
  <si>
    <t>ASHP-SEER18-Replace_CAC_ElectricHeat_ER1_MF</t>
  </si>
  <si>
    <t>ASHP-SEER18-Replace_CAC_ElectricHeat_ER2_MF</t>
  </si>
  <si>
    <t>354301_2019_12_</t>
  </si>
  <si>
    <t>354301_2021_12_</t>
  </si>
  <si>
    <t>ASHP-SEER18-Replace_CAC_ElectricHeat_ER1_MF_CompE</t>
  </si>
  <si>
    <t>ASHP-SEER18-Replace_CAC_ElectricHeat_ER2_MF_CompE</t>
  </si>
  <si>
    <t>354310_2021_12_</t>
  </si>
  <si>
    <t>ASHP-SEER18-Replace_CAC_NonElectricHeat_ER1_MF</t>
  </si>
  <si>
    <t>ASHP-SEER18-Replace_CAC_NonElectricHeat_ER2_MF</t>
  </si>
  <si>
    <t>354311_2021_12_</t>
  </si>
  <si>
    <t>ASHP-SEER18-Replace_CAC_NonElectricHeat_ER1_MF_CompE</t>
  </si>
  <si>
    <t>ASHP-SEER18-Replace_CAC_NonElectricHeat_ER2_MF_CompE</t>
  </si>
  <si>
    <t>354350_2019_12_</t>
  </si>
  <si>
    <t>354350_2021_12_</t>
  </si>
  <si>
    <t>ASHP-SEER18_ER1_MF</t>
  </si>
  <si>
    <t>ASHP-SEER18_ER2_MF</t>
  </si>
  <si>
    <t>354351_2019_12_</t>
  </si>
  <si>
    <t>354351_2021_12_</t>
  </si>
  <si>
    <t>ASHP-SEER18_ER1_MF_CompE</t>
  </si>
  <si>
    <t>ASHP-SEER18_ER2_MF_CompE</t>
  </si>
  <si>
    <t>354400_2019_12_</t>
  </si>
  <si>
    <t>354400_2021_12_</t>
  </si>
  <si>
    <t>ASHP-SEER19-Replace_CAC_ElectricHeat_ER1_SF</t>
  </si>
  <si>
    <t>ASHP-SEER19-Replace_CAC_ElectricHeat_ER2_SF</t>
  </si>
  <si>
    <t>354410_2021_12_</t>
  </si>
  <si>
    <t>ASHP-SEER19-Replace_CAC_NonElectricHeat_ER1_SF</t>
  </si>
  <si>
    <t>ASHP-SEER19-Replace_CAC_NonElectricHeat_ER2_SF</t>
  </si>
  <si>
    <t>354450_2019_12_</t>
  </si>
  <si>
    <t>ASHP-SEER19-Replace_CAC_ElectricHeat_ER1_MF</t>
  </si>
  <si>
    <t>ASHP-SEER19-Replace_CAC_ElectricHeat_ER2_MF</t>
  </si>
  <si>
    <t>354451_2019_12_</t>
  </si>
  <si>
    <t>ASHP-SEER19-Replace_CAC_ElectricHeat_ER1_MF_CompE</t>
  </si>
  <si>
    <t>ASHP-SEER19-Replace_CAC_ElectricHeat_ER2_MF_CompE</t>
  </si>
  <si>
    <t>354460_2021_12_</t>
  </si>
  <si>
    <t>ASHP-SEER19-Replace_CAC_NonElectricHeat_ER1_MF</t>
  </si>
  <si>
    <t>ASHP-SEER19-Replace_CAC_NonElectricHeat_ER2_MF</t>
  </si>
  <si>
    <t>354461_2021_12_</t>
  </si>
  <si>
    <t>ASHP-SEER19-Replace_CAC_NonElectricHeat_ER1_MF_CompE</t>
  </si>
  <si>
    <t>ASHP-SEER19-Replace_CAC_NonElectricHeat_ER2_MF_CompE</t>
  </si>
  <si>
    <t>354500_2019_12_</t>
  </si>
  <si>
    <t>ASHP-SEER19_ER1_MF</t>
  </si>
  <si>
    <t>ASHP-SEER19_ER2_MF</t>
  </si>
  <si>
    <t>354501_2019_12_</t>
  </si>
  <si>
    <t>ASHP-SEER19_ER1_MF_CompE</t>
  </si>
  <si>
    <t>ASHP-SEER19_ER2_MF_CompE</t>
  </si>
  <si>
    <t>354550_2019_12_</t>
  </si>
  <si>
    <t>354550_2021_12_</t>
  </si>
  <si>
    <t>ASHP-SEER20_ER1_SF</t>
  </si>
  <si>
    <t>ASHP-SEER20_ER2_SF</t>
  </si>
  <si>
    <t>354600_2019_12_</t>
  </si>
  <si>
    <t>354600_2021_12_</t>
  </si>
  <si>
    <t>ASHP-SEER20_ROF_SF</t>
  </si>
  <si>
    <t>354650_2019_12_</t>
  </si>
  <si>
    <t>ASHP-SEER20-Replace_CAC_ElectricHeat_ER1_MF</t>
  </si>
  <si>
    <t>ASHP-SEER20-Replace_CAC_ElectricHeat_ER2_MF</t>
  </si>
  <si>
    <t>354651_2019_12_</t>
  </si>
  <si>
    <t>ASHP-SEER20-Replace_CAC_ElectricHeat_ER1_MF_CompE</t>
  </si>
  <si>
    <t>ASHP-SEER20-Replace_CAC_ElectricHeat_ER2_MF_CompE</t>
  </si>
  <si>
    <t>354660_2021_12_</t>
  </si>
  <si>
    <t>ASHP-SEER20-Replace_CAC_NonElectricHeat_ER1_MF</t>
  </si>
  <si>
    <t>ASHP-SEER20-Replace_CAC_NonElectricHeat_ER2_MF</t>
  </si>
  <si>
    <t>354661_2021_12_</t>
  </si>
  <si>
    <t>ASHP-SEER20-Replace_CAC_NonElectricHeat_ER1_MF_CompE</t>
  </si>
  <si>
    <t>ASHP-SEER20-Replace_CAC_NonElectricHeat_ER2_MF_CompE</t>
  </si>
  <si>
    <t>354700_2019_12_</t>
  </si>
  <si>
    <t>ASHP-SEER20_ER1_MF</t>
  </si>
  <si>
    <t>ASHP-SEER20_ER2_MF</t>
  </si>
  <si>
    <t>354701_2019_12_</t>
  </si>
  <si>
    <t>ASHP-SEER20_ER1_MF_CompE</t>
  </si>
  <si>
    <t>ASHP-SEER20_ER2_MF_CompE</t>
  </si>
  <si>
    <t>354750_2019_12_</t>
  </si>
  <si>
    <t>354750_2021_12_</t>
  </si>
  <si>
    <t>ASHP-SEER21_ER1_SF</t>
  </si>
  <si>
    <t>ASHP-SEER21_ER2_SF</t>
  </si>
  <si>
    <t>354800_2019_12_</t>
  </si>
  <si>
    <t>354800_2021_12_</t>
  </si>
  <si>
    <t>ASHP-SEER21_ROF_SF</t>
  </si>
  <si>
    <t>354850_2019_12_</t>
  </si>
  <si>
    <t>ASHP-SEER21-Replace_CAC_ElectricHeat_ROF_MF</t>
  </si>
  <si>
    <t>354851_2019_12_</t>
  </si>
  <si>
    <t>ASHP-SEER21-Replace_CAC_ElectricHeat_ROF_MF_CompE</t>
  </si>
  <si>
    <t>354860_2021_12_</t>
  </si>
  <si>
    <t>ASHP-SEER21-Replace_CAC_NonElectricHeat_ROF_MF</t>
  </si>
  <si>
    <t>354861_2021_12_</t>
  </si>
  <si>
    <t>ASHP-SEER21-Replace_CAC_NonElectricHeat_ROF_MF_CompE</t>
  </si>
  <si>
    <t>354900_2019_12_</t>
  </si>
  <si>
    <t>ASHP-SEER21_ER1_MF</t>
  </si>
  <si>
    <t>ASHP-SEER21_ER2_MF</t>
  </si>
  <si>
    <t>354901_2019_12_</t>
  </si>
  <si>
    <t>ASHP-SEER21_ER1_MF_CompE</t>
  </si>
  <si>
    <t>ASHP-SEER21_ER2_MF_CompE</t>
  </si>
  <si>
    <t>354950_2019_12_</t>
  </si>
  <si>
    <t>ASHP-SEER17_ROF_MF</t>
  </si>
  <si>
    <t>354951_2019_12_</t>
  </si>
  <si>
    <t>ASHP-SEER17_ROF_MF_CompE</t>
  </si>
  <si>
    <t>355000_2019_12_</t>
  </si>
  <si>
    <t>ASHP-SEER18_ROF_MF</t>
  </si>
  <si>
    <t>355001_2019_12_</t>
  </si>
  <si>
    <t>ASHP-SEER18_ROF_MF_CompE</t>
  </si>
  <si>
    <t>355050_2019_12_</t>
  </si>
  <si>
    <t>ASHP-SEER19_ROF_MF</t>
  </si>
  <si>
    <t>355051_2019_12_</t>
  </si>
  <si>
    <t>ASHP-SEER19_ROF_MF_CompE</t>
  </si>
  <si>
    <t>355100_2019_12_</t>
  </si>
  <si>
    <t>ASHP-SEER20_ROF_MF</t>
  </si>
  <si>
    <t>355101_2019_12_</t>
  </si>
  <si>
    <t>ASHP-SEER20_ROF_MF_CompE</t>
  </si>
  <si>
    <t>355150_2019_12_</t>
  </si>
  <si>
    <t>ASHP-SEER21_ROF_MF</t>
  </si>
  <si>
    <t>355151_2019_12_</t>
  </si>
  <si>
    <t>ASHP-SEER21_ROF_MF_CompE</t>
  </si>
  <si>
    <r>
      <rPr>
        <strike/>
        <sz val="11"/>
        <color rgb="FFFF0000"/>
        <rFont val="Calibri"/>
        <family val="2"/>
        <scheme val="minor"/>
      </rPr>
      <t xml:space="preserve">Ameren Missouri HVAC EM&amp;V PY2018 workpapers </t>
    </r>
    <r>
      <rPr>
        <sz val="11"/>
        <color rgb="FFFF0000"/>
        <rFont val="Calibri"/>
        <family val="2"/>
        <scheme val="minor"/>
      </rPr>
      <t>Ameren Missouri HVAC PY2020 Program Data Averages</t>
    </r>
  </si>
  <si>
    <r>
      <rPr>
        <strike/>
        <sz val="11"/>
        <color rgb="FFFF0000"/>
        <rFont val="Calibri"/>
        <family val="2"/>
        <scheme val="minor"/>
      </rPr>
      <t xml:space="preserve">PY19 Program Data </t>
    </r>
    <r>
      <rPr>
        <sz val="11"/>
        <color rgb="FFFF0000"/>
        <rFont val="Calibri"/>
        <family val="2"/>
        <scheme val="minor"/>
      </rPr>
      <t>Ameren Missouri HVAC PY2020 Program Data Averages</t>
    </r>
  </si>
  <si>
    <r>
      <t>Full Cost of Installation</t>
    </r>
    <r>
      <rPr>
        <sz val="11"/>
        <rFont val="Calibri"/>
        <family val="2"/>
        <scheme val="minor"/>
      </rPr>
      <t xml:space="preserve"> ($/ton)</t>
    </r>
  </si>
  <si>
    <t>PY19 Program Data</t>
  </si>
  <si>
    <r>
      <rPr>
        <strike/>
        <sz val="11"/>
        <color rgb="FFFF0000"/>
        <rFont val="Calibri"/>
        <family val="2"/>
        <scheme val="minor"/>
      </rPr>
      <t xml:space="preserve">From Evaluation </t>
    </r>
    <r>
      <rPr>
        <sz val="11"/>
        <color rgb="FFFF0000"/>
        <rFont val="Calibri"/>
        <family val="2"/>
        <scheme val="minor"/>
      </rPr>
      <t>Ameren Missouri HVAC PY2020 Program Data Averages</t>
    </r>
  </si>
  <si>
    <r>
      <rPr>
        <strike/>
        <sz val="11"/>
        <color rgb="FFFF0000"/>
        <rFont val="Calibri"/>
        <family val="2"/>
        <scheme val="minor"/>
      </rPr>
      <t xml:space="preserve">Based on similar Measure </t>
    </r>
    <r>
      <rPr>
        <sz val="11"/>
        <color rgb="FFFF0000"/>
        <rFont val="Calibri"/>
        <family val="2"/>
        <scheme val="minor"/>
      </rPr>
      <t>Ameren Missouri HVAC PY2020 Program Data Averages</t>
    </r>
  </si>
  <si>
    <t>Based on similar Measure</t>
  </si>
  <si>
    <t>Ameren Missouri HVAC EM&amp;V PY2017 - 2016 -2017 AMR Data &amp; HP Metering</t>
  </si>
  <si>
    <t>From Evaluation - Opinion Dynamics review PY2019</t>
  </si>
  <si>
    <t>Replacing non-electric heating system</t>
  </si>
  <si>
    <t>Ameren Missouri Comm. Savers EM&amp;V PY2018</t>
  </si>
  <si>
    <t>Heating System Performance Factor of efficient Air Source Heat Pump
   (kBtu/kWh)</t>
  </si>
  <si>
    <t>Cooling Capacity of Air Source Heat Pump (Btu/hr)</t>
  </si>
  <si>
    <r>
      <rPr>
        <strike/>
        <sz val="11"/>
        <color rgb="FFFF0000"/>
        <rFont val="Calibri"/>
        <family val="2"/>
        <scheme val="minor"/>
      </rPr>
      <t xml:space="preserve">Matches Ameren Missouri HVAC EM&amp;V PY2018 </t>
    </r>
    <r>
      <rPr>
        <sz val="11"/>
        <color rgb="FFFF0000"/>
        <rFont val="Calibri"/>
        <family val="2"/>
        <scheme val="minor"/>
      </rPr>
      <t>Ameren Missouri HVAC PY2020 Program Data Averages</t>
    </r>
  </si>
  <si>
    <t>Seasonal Energy Efficiency Ratio of efficient Air Source Heat Pump (kBtu/kWh)</t>
  </si>
  <si>
    <r>
      <rPr>
        <strike/>
        <sz val="11"/>
        <color rgb="FFFF0000"/>
        <rFont val="Calibri"/>
        <family val="2"/>
        <scheme val="minor"/>
      </rPr>
      <t xml:space="preserve">Based on measure name </t>
    </r>
    <r>
      <rPr>
        <sz val="11"/>
        <color rgb="FFFF0000"/>
        <rFont val="Calibri"/>
        <family val="2"/>
        <scheme val="minor"/>
      </rPr>
      <t>Ameren Missouri HVAC PY2020 Program Data Averages</t>
    </r>
  </si>
  <si>
    <t>Based on measure name</t>
  </si>
  <si>
    <r>
      <rPr>
        <strike/>
        <sz val="11"/>
        <color rgb="FFFF0000"/>
        <rFont val="Calibri"/>
        <family val="2"/>
        <scheme val="minor"/>
      </rPr>
      <t>Ameren Missouri HVAC Evaluation PY2019 (Table 4-13)</t>
    </r>
    <r>
      <rPr>
        <sz val="11"/>
        <color rgb="FFFF0000"/>
        <rFont val="Calibri"/>
        <family val="2"/>
        <scheme val="minor"/>
      </rPr>
      <t xml:space="preserve"> Ameren Missouri HVAC Program Evaluation PY2020 (Table 28)</t>
    </r>
  </si>
  <si>
    <t>RESIDENTIAL INCOME ELIGIBLE</t>
  </si>
  <si>
    <t>AC Tune-up</t>
  </si>
  <si>
    <r>
      <t>*MF</t>
    </r>
    <r>
      <rPr>
        <strike/>
        <sz val="11"/>
        <color rgb="FFFF0000"/>
        <rFont val="Calibri"/>
        <family val="2"/>
        <scheme val="minor"/>
      </rPr>
      <t>LI</t>
    </r>
    <r>
      <rPr>
        <sz val="11"/>
        <color rgb="FFFF0000"/>
        <rFont val="Calibri"/>
        <family val="2"/>
        <scheme val="minor"/>
      </rPr>
      <t>IE</t>
    </r>
    <r>
      <rPr>
        <sz val="11"/>
        <rFont val="Calibri"/>
        <family val="2"/>
        <scheme val="minor"/>
      </rPr>
      <t xml:space="preserve">c = Multifamily </t>
    </r>
    <r>
      <rPr>
        <strike/>
        <sz val="11"/>
        <color rgb="FFFF0000"/>
        <rFont val="Calibri"/>
        <family val="2"/>
        <scheme val="minor"/>
      </rPr>
      <t>Low Income</t>
    </r>
    <r>
      <rPr>
        <sz val="11"/>
        <color rgb="FFFF0000"/>
        <rFont val="Calibri"/>
        <family val="2"/>
        <scheme val="minor"/>
      </rPr>
      <t xml:space="preserve"> Income Eligible </t>
    </r>
    <r>
      <rPr>
        <sz val="11"/>
        <rFont val="Calibri"/>
        <family val="2"/>
        <scheme val="minor"/>
      </rPr>
      <t xml:space="preserve">Comprehensive Envelope,  CompE = Comprehensive Envelope </t>
    </r>
  </si>
  <si>
    <t>SFIE</t>
  </si>
  <si>
    <t>MFIE</t>
  </si>
  <si>
    <t>MFIEc</t>
  </si>
  <si>
    <t>400050_2019_12_</t>
  </si>
  <si>
    <t>AC General Tune-Up (no charge or coil clean) SF</t>
  </si>
  <si>
    <t>400100_2019_12_</t>
  </si>
  <si>
    <r>
      <rPr>
        <sz val="11"/>
        <color theme="1"/>
        <rFont val="Calibri"/>
        <family val="2"/>
        <scheme val="minor"/>
      </rPr>
      <t>MF</t>
    </r>
    <r>
      <rPr>
        <sz val="11"/>
        <color rgb="FFFF0000"/>
        <rFont val="Calibri"/>
        <family val="2"/>
        <scheme val="minor"/>
      </rPr>
      <t>IE</t>
    </r>
  </si>
  <si>
    <t>AC General Tune-Up (no charge or coil clean) MF</t>
  </si>
  <si>
    <t>400101_2019_12_</t>
  </si>
  <si>
    <t>400150_2019_12_</t>
  </si>
  <si>
    <t>AC Tune-up / Refrigerant charge SF</t>
  </si>
  <si>
    <t>400200_2019_12_</t>
  </si>
  <si>
    <t>AC Tune-up / Refrigerant charge MF</t>
  </si>
  <si>
    <t>400201_2019_12_</t>
  </si>
  <si>
    <r>
      <t>MF</t>
    </r>
    <r>
      <rPr>
        <sz val="11"/>
        <color rgb="FFFF0000"/>
        <rFont val="Calibri"/>
        <family val="2"/>
        <scheme val="minor"/>
      </rPr>
      <t>IE</t>
    </r>
    <r>
      <rPr>
        <sz val="11"/>
        <rFont val="Calibri"/>
        <family val="2"/>
        <scheme val="minor"/>
      </rPr>
      <t>c</t>
    </r>
  </si>
  <si>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</si>
  <si>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</si>
  <si>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</si>
  <si>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</si>
  <si>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</si>
  <si>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</si>
  <si>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</si>
  <si>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</si>
  <si>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</si>
  <si>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</si>
  <si>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</si>
  <si>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rFont val="Calibri"/>
        <family val="2"/>
        <scheme val="minor"/>
      </rPr>
      <t>cool</t>
    </r>
  </si>
  <si>
    <r>
      <t>Capacity</t>
    </r>
    <r>
      <rPr>
        <vertAlign val="subscript"/>
        <sz val="11"/>
        <rFont val="Calibri"/>
        <family val="2"/>
        <scheme val="minor"/>
      </rPr>
      <t>cool</t>
    </r>
  </si>
  <si>
    <t>Value not provided in TRM.  Average value from 'Air Source Heat Pump' measures provides consistancy in assumptions.</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</si>
  <si>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</si>
  <si>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</si>
  <si>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</si>
  <si>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</si>
  <si>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</si>
  <si>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</si>
  <si>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</si>
  <si>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</si>
  <si>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</si>
  <si>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</si>
  <si>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</si>
  <si>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</si>
  <si>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</si>
  <si>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</si>
  <si>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r>
      <t xml:space="preserve">Air Sealing (Infiltration reduction) - 30% MF </t>
    </r>
    <r>
      <rPr>
        <sz val="11"/>
        <color rgb="FFFF0000"/>
        <rFont val="Calibri"/>
        <family val="2"/>
        <scheme val="minor"/>
      </rPr>
      <t>IE</t>
    </r>
    <r>
      <rPr>
        <sz val="11"/>
        <rFont val="Calibri"/>
        <family val="2"/>
        <scheme val="minor"/>
      </rPr>
      <t xml:space="preserve"> DI electric furnace base</t>
    </r>
  </si>
  <si>
    <t>Building Shell RES</t>
  </si>
  <si>
    <t>400500_2019_12_</t>
  </si>
  <si>
    <r>
      <t xml:space="preserve">Air Sealing (Infiltration reduction) - 30% MF </t>
    </r>
    <r>
      <rPr>
        <sz val="11"/>
        <color rgb="FFFF0000"/>
        <rFont val="Calibri"/>
        <family val="2"/>
        <scheme val="minor"/>
      </rPr>
      <t>IE</t>
    </r>
    <r>
      <rPr>
        <sz val="11"/>
        <rFont val="Calibri"/>
        <family val="2"/>
        <scheme val="minor"/>
      </rPr>
      <t xml:space="preserve"> DI heat pump base</t>
    </r>
  </si>
  <si>
    <t>400550_2019_12_</t>
  </si>
  <si>
    <r>
      <t xml:space="preserve">Air Sealing (Infiltration reduction) - 30% SF </t>
    </r>
    <r>
      <rPr>
        <sz val="11"/>
        <color rgb="FFFF0000"/>
        <rFont val="Calibri"/>
        <family val="2"/>
        <scheme val="minor"/>
      </rPr>
      <t>IE</t>
    </r>
    <r>
      <rPr>
        <sz val="11"/>
        <rFont val="Calibri"/>
        <family val="2"/>
        <scheme val="minor"/>
      </rPr>
      <t xml:space="preserve"> DI electric furnace base</t>
    </r>
  </si>
  <si>
    <t>400551_2019_12_</t>
  </si>
  <si>
    <r>
      <t xml:space="preserve">Air Sealing (Infiltration reduction) - 30% SF </t>
    </r>
    <r>
      <rPr>
        <sz val="11"/>
        <color rgb="FFFF0000"/>
        <rFont val="Calibri"/>
        <family val="2"/>
        <scheme val="minor"/>
      </rPr>
      <t>IE</t>
    </r>
    <r>
      <rPr>
        <sz val="11"/>
        <rFont val="Calibri"/>
        <family val="2"/>
        <scheme val="minor"/>
      </rPr>
      <t xml:space="preserve"> DI Gas furnace base</t>
    </r>
  </si>
  <si>
    <t>400600_2019_12_</t>
  </si>
  <si>
    <r>
      <t xml:space="preserve">Air Sealing (Infiltration reduction) - 30% SF </t>
    </r>
    <r>
      <rPr>
        <sz val="11"/>
        <color rgb="FFFF0000"/>
        <rFont val="Calibri"/>
        <family val="2"/>
        <scheme val="minor"/>
      </rPr>
      <t>IE</t>
    </r>
    <r>
      <rPr>
        <sz val="11"/>
        <rFont val="Calibri"/>
        <family val="2"/>
        <scheme val="minor"/>
      </rPr>
      <t xml:space="preserve"> DI heat pump base</t>
    </r>
  </si>
  <si>
    <t>400650_2019_12_</t>
  </si>
  <si>
    <r>
      <t xml:space="preserve">MH Adjusted Air Sealing (Infiltration reduction) - 30% SF </t>
    </r>
    <r>
      <rPr>
        <sz val="11"/>
        <color rgb="FFFF0000"/>
        <rFont val="Calibri"/>
        <family val="2"/>
        <scheme val="minor"/>
      </rPr>
      <t>IE</t>
    </r>
    <r>
      <rPr>
        <sz val="11"/>
        <rFont val="Calibri"/>
        <family val="2"/>
        <scheme val="minor"/>
      </rPr>
      <t xml:space="preserve"> DI electric furnace base</t>
    </r>
  </si>
  <si>
    <t>400651_2019_12_</t>
  </si>
  <si>
    <r>
      <t xml:space="preserve">MH Adjusted Air Sealing (Infiltration reduction) - 30% SF </t>
    </r>
    <r>
      <rPr>
        <sz val="11"/>
        <color rgb="FFFF0000"/>
        <rFont val="Calibri"/>
        <family val="2"/>
        <scheme val="minor"/>
      </rPr>
      <t>IE</t>
    </r>
    <r>
      <rPr>
        <sz val="11"/>
        <rFont val="Calibri"/>
        <family val="2"/>
        <scheme val="minor"/>
      </rPr>
      <t xml:space="preserve"> DI heat pump base</t>
    </r>
  </si>
  <si>
    <t>400652_2019_12_</t>
  </si>
  <si>
    <r>
      <t xml:space="preserve">MH Adjusted Air Sealing (Infiltration reduction) - 30% SF </t>
    </r>
    <r>
      <rPr>
        <sz val="11"/>
        <color rgb="FFFF0000"/>
        <rFont val="Calibri"/>
        <family val="2"/>
        <scheme val="minor"/>
      </rPr>
      <t>IE</t>
    </r>
    <r>
      <rPr>
        <sz val="11"/>
        <rFont val="Calibri"/>
        <family val="2"/>
        <scheme val="minor"/>
      </rPr>
      <t xml:space="preserve"> DI gas furnace base</t>
    </r>
  </si>
  <si>
    <t>(Conservative Deemed Approach)</t>
  </si>
  <si>
    <r>
      <t>Default</t>
    </r>
    <r>
      <rPr>
        <i/>
        <vertAlign val="subscript"/>
        <sz val="11"/>
        <rFont val="Calibri"/>
        <family val="2"/>
        <scheme val="minor"/>
      </rPr>
      <t>heat</t>
    </r>
  </si>
  <si>
    <t>Sq. Ft.</t>
  </si>
  <si>
    <t>Average size house (902 sq. ft.) insulation</t>
  </si>
  <si>
    <t>Assumes 65% HF</t>
  </si>
  <si>
    <t xml:space="preserve">Average size house (1387 sq. ft.) insulation </t>
  </si>
  <si>
    <t>Average size house (1387 sq. ft.) insulation</t>
  </si>
  <si>
    <t>Average mobile Home (15'x72' =1080 sq. ft.)</t>
  </si>
  <si>
    <r>
      <t>Default</t>
    </r>
    <r>
      <rPr>
        <i/>
        <vertAlign val="subscript"/>
        <sz val="11"/>
        <rFont val="Calibri"/>
        <family val="2"/>
        <scheme val="minor"/>
      </rPr>
      <t>cool</t>
    </r>
  </si>
  <si>
    <t>Default Therms per sq.ft.</t>
  </si>
  <si>
    <t>Default Therms saved per sq ft</t>
  </si>
  <si>
    <t>Use Actual Square footage where applicable.</t>
  </si>
  <si>
    <t>No measures in PY18</t>
  </si>
  <si>
    <t>Ceiling Insulation</t>
  </si>
  <si>
    <t>Units - area of ceiling/attic (ft2)</t>
  </si>
  <si>
    <t>400700_2019_12_</t>
  </si>
  <si>
    <r>
      <t xml:space="preserve">Ceiling Insulation R11-R49 MF </t>
    </r>
    <r>
      <rPr>
        <sz val="11"/>
        <color rgb="FFFF0000"/>
        <rFont val="Calibri"/>
        <family val="2"/>
        <scheme val="minor"/>
      </rPr>
      <t>IE</t>
    </r>
    <r>
      <rPr>
        <sz val="11"/>
        <rFont val="Calibri"/>
        <family val="2"/>
        <scheme val="minor"/>
      </rPr>
      <t xml:space="preserve"> DI electric furnace base</t>
    </r>
  </si>
  <si>
    <t>400750_2019_12_</t>
  </si>
  <si>
    <r>
      <t xml:space="preserve">Ceiling Insulation R11-R49 MF </t>
    </r>
    <r>
      <rPr>
        <sz val="11"/>
        <color rgb="FFFF0000"/>
        <rFont val="Calibri"/>
        <family val="2"/>
        <scheme val="minor"/>
      </rPr>
      <t>IE</t>
    </r>
    <r>
      <rPr>
        <sz val="11"/>
        <rFont val="Calibri"/>
        <family val="2"/>
        <scheme val="minor"/>
      </rPr>
      <t xml:space="preserve"> DI heat pump base</t>
    </r>
  </si>
  <si>
    <t>400800_2019_12_</t>
  </si>
  <si>
    <r>
      <t xml:space="preserve">Ceiling Insulation R11-R49 MF </t>
    </r>
    <r>
      <rPr>
        <sz val="11"/>
        <color rgb="FFFF0000"/>
        <rFont val="Calibri"/>
        <family val="2"/>
        <scheme val="minor"/>
      </rPr>
      <t>IE</t>
    </r>
    <r>
      <rPr>
        <sz val="11"/>
        <rFont val="Calibri"/>
        <family val="2"/>
        <scheme val="minor"/>
      </rPr>
      <t xml:space="preserve"> DI gas heat electric cool base</t>
    </r>
  </si>
  <si>
    <t>400850_2019_12_</t>
  </si>
  <si>
    <r>
      <t xml:space="preserve">Ceiling Insulation R11-R49 SF </t>
    </r>
    <r>
      <rPr>
        <sz val="11"/>
        <color rgb="FFFF0000"/>
        <rFont val="Calibri"/>
        <family val="2"/>
        <scheme val="minor"/>
      </rPr>
      <t>IE</t>
    </r>
    <r>
      <rPr>
        <sz val="11"/>
        <rFont val="Calibri"/>
        <family val="2"/>
        <scheme val="minor"/>
      </rPr>
      <t xml:space="preserve"> DI electric furnace base</t>
    </r>
  </si>
  <si>
    <t>400900_2019_12_</t>
  </si>
  <si>
    <r>
      <t xml:space="preserve">Ceiling Insulation R11-R49 SF </t>
    </r>
    <r>
      <rPr>
        <sz val="11"/>
        <color rgb="FFFF0000"/>
        <rFont val="Calibri"/>
        <family val="2"/>
        <scheme val="minor"/>
      </rPr>
      <t>IE</t>
    </r>
    <r>
      <rPr>
        <sz val="11"/>
        <rFont val="Calibri"/>
        <family val="2"/>
        <scheme val="minor"/>
      </rPr>
      <t xml:space="preserve"> DI heat pump base</t>
    </r>
  </si>
  <si>
    <t>400950_2019_12_</t>
  </si>
  <si>
    <r>
      <t xml:space="preserve">Ceiling Insulation R11-R49 SF </t>
    </r>
    <r>
      <rPr>
        <sz val="11"/>
        <color rgb="FFFF0000"/>
        <rFont val="Calibri"/>
        <family val="2"/>
        <scheme val="minor"/>
      </rPr>
      <t>IE</t>
    </r>
    <r>
      <rPr>
        <sz val="11"/>
        <rFont val="Calibri"/>
        <family val="2"/>
        <scheme val="minor"/>
      </rPr>
      <t xml:space="preserve"> DI gas heat electric cool base</t>
    </r>
  </si>
  <si>
    <t>401000_2019_12_</t>
  </si>
  <si>
    <r>
      <t xml:space="preserve">Ceiling Insulation R5-R30 MF </t>
    </r>
    <r>
      <rPr>
        <sz val="11"/>
        <color rgb="FFFF0000"/>
        <rFont val="Calibri"/>
        <family val="2"/>
        <scheme val="minor"/>
      </rPr>
      <t>IE</t>
    </r>
    <r>
      <rPr>
        <sz val="11"/>
        <rFont val="Calibri"/>
        <family val="2"/>
        <scheme val="minor"/>
      </rPr>
      <t xml:space="preserve"> DI electric furnace base</t>
    </r>
  </si>
  <si>
    <t>401050_2019_12_</t>
  </si>
  <si>
    <r>
      <t xml:space="preserve">Ceiling Insulation R5-R30 MF </t>
    </r>
    <r>
      <rPr>
        <sz val="11"/>
        <color rgb="FFFF0000"/>
        <rFont val="Calibri"/>
        <family val="2"/>
        <scheme val="minor"/>
      </rPr>
      <t>IE</t>
    </r>
    <r>
      <rPr>
        <sz val="11"/>
        <rFont val="Calibri"/>
        <family val="2"/>
        <scheme val="minor"/>
      </rPr>
      <t xml:space="preserve"> DI heat pump base</t>
    </r>
  </si>
  <si>
    <t>401100_2019_12_</t>
  </si>
  <si>
    <r>
      <t xml:space="preserve">Ceiling Insulation R5-R30 MF </t>
    </r>
    <r>
      <rPr>
        <sz val="11"/>
        <color rgb="FFFF0000"/>
        <rFont val="Calibri"/>
        <family val="2"/>
        <scheme val="minor"/>
      </rPr>
      <t>IE</t>
    </r>
    <r>
      <rPr>
        <sz val="11"/>
        <rFont val="Calibri"/>
        <family val="2"/>
        <scheme val="minor"/>
      </rPr>
      <t xml:space="preserve"> DI gas heat electric cool base</t>
    </r>
  </si>
  <si>
    <t>401150_2019_12_</t>
  </si>
  <si>
    <r>
      <t xml:space="preserve">Ceiling Insulation R5-R30 SF </t>
    </r>
    <r>
      <rPr>
        <sz val="11"/>
        <color rgb="FFFF0000"/>
        <rFont val="Calibri"/>
        <family val="2"/>
        <scheme val="minor"/>
      </rPr>
      <t>IE</t>
    </r>
    <r>
      <rPr>
        <sz val="11"/>
        <rFont val="Calibri"/>
        <family val="2"/>
        <scheme val="minor"/>
      </rPr>
      <t xml:space="preserve"> DI electric furnace base</t>
    </r>
  </si>
  <si>
    <t>401200_2019_12_</t>
  </si>
  <si>
    <r>
      <t xml:space="preserve">Ceiling Insulation R5-R30 SF </t>
    </r>
    <r>
      <rPr>
        <sz val="11"/>
        <color rgb="FFFF0000"/>
        <rFont val="Calibri"/>
        <family val="2"/>
        <scheme val="minor"/>
      </rPr>
      <t>IE</t>
    </r>
    <r>
      <rPr>
        <sz val="11"/>
        <rFont val="Calibri"/>
        <family val="2"/>
        <scheme val="minor"/>
      </rPr>
      <t xml:space="preserve"> DI heat pump base</t>
    </r>
  </si>
  <si>
    <t>401250_2019_12_</t>
  </si>
  <si>
    <r>
      <t xml:space="preserve">Ceiling Insulation R5-R30 SF </t>
    </r>
    <r>
      <rPr>
        <sz val="11"/>
        <color rgb="FFFF0000"/>
        <rFont val="Calibri"/>
        <family val="2"/>
        <scheme val="minor"/>
      </rPr>
      <t>IE</t>
    </r>
    <r>
      <rPr>
        <sz val="11"/>
        <rFont val="Calibri"/>
        <family val="2"/>
        <scheme val="minor"/>
      </rPr>
      <t xml:space="preserve"> DI gas heat electric cool base</t>
    </r>
  </si>
  <si>
    <t>401300_2019_12_</t>
  </si>
  <si>
    <r>
      <t xml:space="preserve">Ceiling Insulation R5-R38 MF </t>
    </r>
    <r>
      <rPr>
        <sz val="11"/>
        <color rgb="FFFF0000"/>
        <rFont val="Calibri"/>
        <family val="2"/>
        <scheme val="minor"/>
      </rPr>
      <t>IE</t>
    </r>
    <r>
      <rPr>
        <sz val="11"/>
        <rFont val="Calibri"/>
        <family val="2"/>
        <scheme val="minor"/>
      </rPr>
      <t xml:space="preserve"> DI electric furnace base</t>
    </r>
  </si>
  <si>
    <t>401350_2019_12_</t>
  </si>
  <si>
    <r>
      <t xml:space="preserve">Ceiling Insulation R5-R38 MF </t>
    </r>
    <r>
      <rPr>
        <sz val="11"/>
        <color rgb="FFFF0000"/>
        <rFont val="Calibri"/>
        <family val="2"/>
        <scheme val="minor"/>
      </rPr>
      <t>IE</t>
    </r>
    <r>
      <rPr>
        <sz val="11"/>
        <rFont val="Calibri"/>
        <family val="2"/>
        <scheme val="minor"/>
      </rPr>
      <t xml:space="preserve"> DI heat pump base</t>
    </r>
  </si>
  <si>
    <t>401400_2019_12_</t>
  </si>
  <si>
    <r>
      <t xml:space="preserve">Ceiling Insulation R5-R38 MF </t>
    </r>
    <r>
      <rPr>
        <sz val="11"/>
        <color rgb="FFFF0000"/>
        <rFont val="Calibri"/>
        <family val="2"/>
        <scheme val="minor"/>
      </rPr>
      <t>IE</t>
    </r>
    <r>
      <rPr>
        <sz val="11"/>
        <rFont val="Calibri"/>
        <family val="2"/>
        <scheme val="minor"/>
      </rPr>
      <t xml:space="preserve"> DI gas heat electric cool base</t>
    </r>
  </si>
  <si>
    <t>401450_2019_12_</t>
  </si>
  <si>
    <r>
      <t xml:space="preserve">Ceiling Insulation R5-R38 SF </t>
    </r>
    <r>
      <rPr>
        <sz val="11"/>
        <color rgb="FFFF0000"/>
        <rFont val="Calibri"/>
        <family val="2"/>
        <scheme val="minor"/>
      </rPr>
      <t>IE</t>
    </r>
    <r>
      <rPr>
        <sz val="11"/>
        <rFont val="Calibri"/>
        <family val="2"/>
        <scheme val="minor"/>
      </rPr>
      <t xml:space="preserve"> DI electric furnace base</t>
    </r>
  </si>
  <si>
    <t>401500_2019_12_</t>
  </si>
  <si>
    <r>
      <t xml:space="preserve">Ceiling Insulation R5-R38 SF </t>
    </r>
    <r>
      <rPr>
        <sz val="11"/>
        <color rgb="FFFF0000"/>
        <rFont val="Calibri"/>
        <family val="2"/>
        <scheme val="minor"/>
      </rPr>
      <t>IE</t>
    </r>
    <r>
      <rPr>
        <sz val="11"/>
        <rFont val="Calibri"/>
        <family val="2"/>
        <scheme val="minor"/>
      </rPr>
      <t xml:space="preserve"> DI heat pump base</t>
    </r>
  </si>
  <si>
    <t>401550_2019_12_</t>
  </si>
  <si>
    <r>
      <t xml:space="preserve">Ceiling Insulation R5-R38 SF </t>
    </r>
    <r>
      <rPr>
        <sz val="11"/>
        <color rgb="FFFF0000"/>
        <rFont val="Calibri"/>
        <family val="2"/>
        <scheme val="minor"/>
      </rPr>
      <t>IE</t>
    </r>
    <r>
      <rPr>
        <sz val="11"/>
        <rFont val="Calibri"/>
        <family val="2"/>
        <scheme val="minor"/>
      </rPr>
      <t xml:space="preserve"> DI gas heat electric cool base</t>
    </r>
  </si>
  <si>
    <t>401600_2019_12_</t>
  </si>
  <si>
    <r>
      <t xml:space="preserve">Ceiling Insulation R5-R49 MF </t>
    </r>
    <r>
      <rPr>
        <sz val="11"/>
        <color rgb="FFFF0000"/>
        <rFont val="Calibri"/>
        <family val="2"/>
        <scheme val="minor"/>
      </rPr>
      <t>IE</t>
    </r>
    <r>
      <rPr>
        <sz val="11"/>
        <rFont val="Calibri"/>
        <family val="2"/>
        <scheme val="minor"/>
      </rPr>
      <t xml:space="preserve"> DI electric furnace base</t>
    </r>
  </si>
  <si>
    <t>401650_2019_12_</t>
  </si>
  <si>
    <r>
      <t xml:space="preserve">Ceiling Insulation R5-R49 MF </t>
    </r>
    <r>
      <rPr>
        <sz val="11"/>
        <color rgb="FFFF0000"/>
        <rFont val="Calibri"/>
        <family val="2"/>
        <scheme val="minor"/>
      </rPr>
      <t>IE</t>
    </r>
    <r>
      <rPr>
        <sz val="11"/>
        <rFont val="Calibri"/>
        <family val="2"/>
        <scheme val="minor"/>
      </rPr>
      <t xml:space="preserve"> DI heat pump base</t>
    </r>
  </si>
  <si>
    <t>401700_2019_12_</t>
  </si>
  <si>
    <r>
      <t xml:space="preserve">Ceiling Insulation R5-R49 MF </t>
    </r>
    <r>
      <rPr>
        <sz val="11"/>
        <color rgb="FFFF0000"/>
        <rFont val="Calibri"/>
        <family val="2"/>
        <scheme val="minor"/>
      </rPr>
      <t>IE</t>
    </r>
    <r>
      <rPr>
        <sz val="11"/>
        <rFont val="Calibri"/>
        <family val="2"/>
        <scheme val="minor"/>
      </rPr>
      <t xml:space="preserve"> DI gas heat electric cool base</t>
    </r>
  </si>
  <si>
    <t>401750_2019_12_</t>
  </si>
  <si>
    <r>
      <t xml:space="preserve">Ceiling Insulation R5-R49 SF </t>
    </r>
    <r>
      <rPr>
        <sz val="11"/>
        <color rgb="FFFF0000"/>
        <rFont val="Calibri"/>
        <family val="2"/>
        <scheme val="minor"/>
      </rPr>
      <t>IE</t>
    </r>
    <r>
      <rPr>
        <sz val="11"/>
        <rFont val="Calibri"/>
        <family val="2"/>
        <scheme val="minor"/>
      </rPr>
      <t xml:space="preserve"> DI electric furnace base</t>
    </r>
  </si>
  <si>
    <t>401800_2019_12_</t>
  </si>
  <si>
    <r>
      <t xml:space="preserve">Ceiling Insulation R5-R49 SF </t>
    </r>
    <r>
      <rPr>
        <sz val="11"/>
        <color rgb="FFFF0000"/>
        <rFont val="Calibri"/>
        <family val="2"/>
        <scheme val="minor"/>
      </rPr>
      <t>IE</t>
    </r>
    <r>
      <rPr>
        <sz val="11"/>
        <rFont val="Calibri"/>
        <family val="2"/>
        <scheme val="minor"/>
      </rPr>
      <t xml:space="preserve"> DI heat pump base</t>
    </r>
  </si>
  <si>
    <t>401850_2019_12_</t>
  </si>
  <si>
    <r>
      <t xml:space="preserve">Ceiling Insulation R5-R49 SF </t>
    </r>
    <r>
      <rPr>
        <sz val="11"/>
        <color rgb="FFFF0000"/>
        <rFont val="Calibri"/>
        <family val="2"/>
        <scheme val="minor"/>
      </rPr>
      <t>IE</t>
    </r>
    <r>
      <rPr>
        <sz val="11"/>
        <rFont val="Calibri"/>
        <family val="2"/>
        <scheme val="minor"/>
      </rPr>
      <t xml:space="preserve"> DI gas heat electric cool base</t>
    </r>
  </si>
  <si>
    <t>401900_2019_12_</t>
  </si>
  <si>
    <r>
      <t xml:space="preserve">Ceiling Insulation R5-R60 MF </t>
    </r>
    <r>
      <rPr>
        <sz val="11"/>
        <color rgb="FFFF0000"/>
        <rFont val="Calibri"/>
        <family val="2"/>
        <scheme val="minor"/>
      </rPr>
      <t>IE</t>
    </r>
    <r>
      <rPr>
        <sz val="11"/>
        <rFont val="Calibri"/>
        <family val="2"/>
        <scheme val="minor"/>
      </rPr>
      <t xml:space="preserve"> DI electric furnace base</t>
    </r>
  </si>
  <si>
    <t>401950_2019_12_</t>
  </si>
  <si>
    <r>
      <t xml:space="preserve">Ceiling Insulation R5-R60 MF </t>
    </r>
    <r>
      <rPr>
        <sz val="11"/>
        <color rgb="FFFF0000"/>
        <rFont val="Calibri"/>
        <family val="2"/>
        <scheme val="minor"/>
      </rPr>
      <t>IE</t>
    </r>
    <r>
      <rPr>
        <sz val="11"/>
        <rFont val="Calibri"/>
        <family val="2"/>
        <scheme val="minor"/>
      </rPr>
      <t xml:space="preserve"> DI heat pump base</t>
    </r>
  </si>
  <si>
    <t>402000_2019_12_</t>
  </si>
  <si>
    <r>
      <t xml:space="preserve">Ceiling Insulation R5-R60 MF </t>
    </r>
    <r>
      <rPr>
        <sz val="11"/>
        <color rgb="FFFF0000"/>
        <rFont val="Calibri"/>
        <family val="2"/>
        <scheme val="minor"/>
      </rPr>
      <t>IE</t>
    </r>
    <r>
      <rPr>
        <sz val="11"/>
        <rFont val="Calibri"/>
        <family val="2"/>
        <scheme val="minor"/>
      </rPr>
      <t xml:space="preserve"> DI gas heat electric cool base</t>
    </r>
  </si>
  <si>
    <t>402050_2019_12_</t>
  </si>
  <si>
    <r>
      <t xml:space="preserve">Ceiling Insulation R5-R60 SF </t>
    </r>
    <r>
      <rPr>
        <sz val="11"/>
        <color rgb="FFFF0000"/>
        <rFont val="Calibri"/>
        <family val="2"/>
        <scheme val="minor"/>
      </rPr>
      <t>IE</t>
    </r>
    <r>
      <rPr>
        <sz val="11"/>
        <rFont val="Calibri"/>
        <family val="2"/>
        <scheme val="minor"/>
      </rPr>
      <t xml:space="preserve"> DI electric furnace base</t>
    </r>
  </si>
  <si>
    <t>402100_2019_12_</t>
  </si>
  <si>
    <r>
      <t xml:space="preserve">Ceiling Insulation R5-R60 SF </t>
    </r>
    <r>
      <rPr>
        <sz val="11"/>
        <color rgb="FFFF0000"/>
        <rFont val="Calibri"/>
        <family val="2"/>
        <scheme val="minor"/>
      </rPr>
      <t>IE</t>
    </r>
    <r>
      <rPr>
        <sz val="11"/>
        <rFont val="Calibri"/>
        <family val="2"/>
        <scheme val="minor"/>
      </rPr>
      <t xml:space="preserve"> DI heat pump base</t>
    </r>
  </si>
  <si>
    <t>402150_2019_12_</t>
  </si>
  <si>
    <r>
      <t xml:space="preserve">Ceiling Insulation R5-R60 SF </t>
    </r>
    <r>
      <rPr>
        <sz val="11"/>
        <color rgb="FFFF0000"/>
        <rFont val="Calibri"/>
        <family val="2"/>
        <scheme val="minor"/>
      </rPr>
      <t>IE</t>
    </r>
    <r>
      <rPr>
        <sz val="11"/>
        <rFont val="Calibri"/>
        <family val="2"/>
        <scheme val="minor"/>
      </rPr>
      <t xml:space="preserve"> DI gas heat electric cool base</t>
    </r>
  </si>
  <si>
    <r>
      <t>R</t>
    </r>
    <r>
      <rPr>
        <i/>
        <vertAlign val="subscript"/>
        <sz val="11"/>
        <rFont val="Calibri"/>
        <family val="2"/>
        <scheme val="minor"/>
      </rPr>
      <t>old</t>
    </r>
  </si>
  <si>
    <t>Assumes R5 of Assembly is not inlcuded in R value</t>
  </si>
  <si>
    <r>
      <t>R</t>
    </r>
    <r>
      <rPr>
        <i/>
        <vertAlign val="subscript"/>
        <sz val="11"/>
        <rFont val="Calibri"/>
        <family val="2"/>
        <scheme val="minor"/>
      </rPr>
      <t>Attic</t>
    </r>
  </si>
  <si>
    <r>
      <t>A</t>
    </r>
    <r>
      <rPr>
        <i/>
        <vertAlign val="subscript"/>
        <sz val="11"/>
        <rFont val="Calibri"/>
        <family val="2"/>
        <scheme val="minor"/>
      </rPr>
      <t>Attic</t>
    </r>
  </si>
  <si>
    <t>PY5 Evaluation</t>
  </si>
  <si>
    <t>Avg. size home 875.55 sq. ft.</t>
  </si>
  <si>
    <t>Avg. size home 1347 sq. ft.</t>
  </si>
  <si>
    <t>Avg. size home 718.9 sq. ft.</t>
  </si>
  <si>
    <t>Avg. size home 1106 sq. ft.</t>
  </si>
  <si>
    <t>Assumed same as R5-R30</t>
  </si>
  <si>
    <r>
      <t>Framing Factor</t>
    </r>
    <r>
      <rPr>
        <i/>
        <vertAlign val="subscript"/>
        <sz val="11"/>
        <rFont val="Calibri"/>
        <family val="2"/>
        <scheme val="minor"/>
      </rPr>
      <t>Attic</t>
    </r>
  </si>
  <si>
    <t>MO -TRM</t>
  </si>
  <si>
    <t>HDD</t>
  </si>
  <si>
    <t>HDD65</t>
  </si>
  <si>
    <r>
      <t>Adj</t>
    </r>
    <r>
      <rPr>
        <i/>
        <vertAlign val="subscript"/>
        <sz val="11"/>
        <rFont val="Calibri"/>
        <family val="2"/>
        <scheme val="minor"/>
      </rPr>
      <t>Attic</t>
    </r>
  </si>
  <si>
    <t>ƞheat</t>
  </si>
  <si>
    <t>CDD</t>
  </si>
  <si>
    <t>CDD65</t>
  </si>
  <si>
    <t>DUA</t>
  </si>
  <si>
    <t>%cool</t>
  </si>
  <si>
    <t>Joint Program</t>
  </si>
  <si>
    <t>Adv. Tstat value</t>
  </si>
  <si>
    <t>ƞcool</t>
  </si>
  <si>
    <t>PY15 Evaluation</t>
  </si>
  <si>
    <t>Floor Insulation</t>
  </si>
  <si>
    <t>*MH = Mobile Home</t>
  </si>
  <si>
    <t>Units - area of floor (ft2)</t>
  </si>
  <si>
    <t>402200_2019_12_</t>
  </si>
  <si>
    <t>Floor Insulation R25 (R-3.96 base) MH electric furnace/baseboard and electric cooling</t>
  </si>
  <si>
    <t>402201_2019_12_</t>
  </si>
  <si>
    <t>Floor Insulation R25 (R-3.96 base) MH heat pump and electric cooling</t>
  </si>
  <si>
    <t>402202_2019_12_</t>
  </si>
  <si>
    <t>Floor Insulation R25 (R-3.96 base) MH gas furnace/baseboard and electric cooling</t>
  </si>
  <si>
    <t>402203_2020_02_</t>
  </si>
  <si>
    <t>Floor Insulation R25 (R-13 base) MH electric furnace/baseboard and electric cooling</t>
  </si>
  <si>
    <t>402204_2020_02_</t>
  </si>
  <si>
    <t>Floor Insulation R25 (R-13 base) MH heat pump and electric cooling</t>
  </si>
  <si>
    <t>402205_2020_02_</t>
  </si>
  <si>
    <t>Floor Insulation R25 (R-13 base) MH gas furnace/baseboard and electric cooling</t>
  </si>
  <si>
    <t>Floor Insulation R25 MH - No existing insulatin</t>
  </si>
  <si>
    <t xml:space="preserve">3/4" plywood subfloor and carpet with pad. </t>
  </si>
  <si>
    <t>Floor Insulation R25 MH - Pre-existing insulatin (R-13)</t>
  </si>
  <si>
    <t>3.96 from MO TRM, 13 added</t>
  </si>
  <si>
    <r>
      <t>R</t>
    </r>
    <r>
      <rPr>
        <i/>
        <vertAlign val="subscript"/>
        <sz val="11"/>
        <rFont val="Calibri"/>
        <family val="2"/>
        <scheme val="minor"/>
      </rPr>
      <t>added</t>
    </r>
  </si>
  <si>
    <t>Floor Insulation R25 MH electric furnace/baseboard and electric cooling</t>
  </si>
  <si>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</si>
  <si>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</si>
  <si>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</si>
  <si>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t>HDD50</t>
  </si>
  <si>
    <r>
      <t>Adj</t>
    </r>
    <r>
      <rPr>
        <i/>
        <vertAlign val="subscript"/>
        <sz val="11"/>
        <rFont val="Calibri"/>
        <family val="2"/>
        <scheme val="minor"/>
      </rPr>
      <t>Floor</t>
    </r>
  </si>
  <si>
    <t>MO - TRM Average value of 3 values provided</t>
  </si>
  <si>
    <t>CDD75</t>
  </si>
  <si>
    <t>PY5 Evaluaiton - Insulation</t>
  </si>
  <si>
    <t>402250_2019_12_</t>
  </si>
  <si>
    <r>
      <t>Dirty Filter Alarm_MF</t>
    </r>
    <r>
      <rPr>
        <sz val="11"/>
        <color rgb="FFFF0000"/>
        <rFont val="Calibri"/>
        <family val="2"/>
        <scheme val="minor"/>
      </rPr>
      <t>IE</t>
    </r>
  </si>
  <si>
    <t>402251_2019_12_</t>
  </si>
  <si>
    <r>
      <t>EFLH</t>
    </r>
    <r>
      <rPr>
        <i/>
        <vertAlign val="subscript"/>
        <sz val="11"/>
        <color theme="1"/>
        <rFont val="Calibri"/>
        <family val="2"/>
        <scheme val="minor"/>
      </rPr>
      <t>heat</t>
    </r>
  </si>
  <si>
    <t>Assumed DI and 100%</t>
  </si>
  <si>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</si>
  <si>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</si>
  <si>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</si>
  <si>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</si>
  <si>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</si>
  <si>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</si>
  <si>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</si>
  <si>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</si>
  <si>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</si>
  <si>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</si>
  <si>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</si>
  <si>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</si>
  <si>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</si>
  <si>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</si>
  <si>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</si>
  <si>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</si>
  <si>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r>
      <t>R</t>
    </r>
    <r>
      <rPr>
        <vertAlign val="subscript"/>
        <sz val="10"/>
        <rFont val="Calibri"/>
        <family val="2"/>
        <scheme val="minor"/>
      </rPr>
      <t>existing</t>
    </r>
  </si>
  <si>
    <t>Duct heat loss coefficient with existing insulation ((hr-⁰F-ft2)/Btu)</t>
  </si>
  <si>
    <t>Case Studies of Duct Retrofits and Guidelines for Attic and Crawl Space Duct Sealing', Oak Ridge National Laboratory, November 2011, pg. 11</t>
  </si>
  <si>
    <r>
      <t>R</t>
    </r>
    <r>
      <rPr>
        <vertAlign val="subscript"/>
        <sz val="10"/>
        <rFont val="Calibri"/>
        <family val="2"/>
        <scheme val="minor"/>
      </rPr>
      <t>new</t>
    </r>
  </si>
  <si>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</si>
  <si>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</si>
  <si>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</si>
  <si>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</si>
  <si>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</si>
  <si>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</si>
  <si>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</si>
  <si>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</si>
  <si>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r>
      <rPr>
        <sz val="11"/>
        <rFont val="Calibri"/>
        <family val="2"/>
        <scheme val="minor"/>
      </rPr>
      <t xml:space="preserve">Evaluation recommendation PY2019 </t>
    </r>
    <r>
      <rPr>
        <strike/>
        <sz val="11"/>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</si>
  <si>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t>Matches MO TRM.  Measure not found in Community Savers EM&amp;V</t>
  </si>
  <si>
    <r>
      <t>ΔT</t>
    </r>
    <r>
      <rPr>
        <vertAlign val="subscript"/>
        <sz val="10"/>
        <rFont val="Calibri"/>
        <family val="2"/>
        <scheme val="minor"/>
      </rPr>
      <t>AVG, cooling</t>
    </r>
  </si>
  <si>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</si>
  <si>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</si>
  <si>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</si>
  <si>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</si>
  <si>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</si>
  <si>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r>
      <t>ΔT</t>
    </r>
    <r>
      <rPr>
        <vertAlign val="subscript"/>
        <sz val="10"/>
        <rFont val="Calibri"/>
        <family val="2"/>
        <scheme val="minor"/>
      </rPr>
      <t>AVG, heating</t>
    </r>
  </si>
  <si>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</si>
  <si>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</si>
  <si>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</si>
  <si>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</si>
  <si>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</si>
  <si>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r>
      <t>F</t>
    </r>
    <r>
      <rPr>
        <vertAlign val="subscript"/>
        <sz val="11"/>
        <rFont val="Calibri"/>
        <family val="2"/>
        <scheme val="minor"/>
      </rPr>
      <t>e</t>
    </r>
  </si>
  <si>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</si>
  <si>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</si>
  <si>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</si>
  <si>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</si>
  <si>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</si>
  <si>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</si>
  <si>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</si>
  <si>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r>
      <t>Eff</t>
    </r>
    <r>
      <rPr>
        <vertAlign val="subscript"/>
        <sz val="11"/>
        <rFont val="Calibri"/>
        <family val="2"/>
        <scheme val="minor"/>
      </rPr>
      <t>heat</t>
    </r>
  </si>
  <si>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</si>
  <si>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</si>
  <si>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</si>
  <si>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</si>
  <si>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</si>
  <si>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</si>
  <si>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</si>
  <si>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</si>
  <si>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t>Duct Repair (Sealing) - Electric Heating SF</t>
  </si>
  <si>
    <t>402451_2021_12_</t>
  </si>
  <si>
    <t>Duct Repair (Sealing) - Gas Heating SF</t>
  </si>
  <si>
    <t>402452_2020_12_</t>
  </si>
  <si>
    <t>Duct Repair (Sealing) - Electric Heating MF Adjusted</t>
  </si>
  <si>
    <t>402453_2021_12_</t>
  </si>
  <si>
    <t>Duct Repair (Sealing) - Gas Heating  MF Adjusted</t>
  </si>
  <si>
    <t>402500_2019_12_</t>
  </si>
  <si>
    <t>Duct Repair (Sealing) - Electric Heating MH Adjusted</t>
  </si>
  <si>
    <t>402501_2021_12_</t>
  </si>
  <si>
    <t>Duct Repair (Sealing) - Gas Heating  MH Adjusted</t>
  </si>
  <si>
    <t>(Method 3)</t>
  </si>
  <si>
    <t>CoolSavingsPerUnit</t>
  </si>
  <si>
    <t>Annual cooling savings per linear foot of duct (kWh/ft)</t>
  </si>
  <si>
    <t>Missouri TRM &amp; Iowa TRM inputs here are sourced from same Cadmus Assessment noted below.</t>
  </si>
  <si>
    <t>MH</t>
  </si>
  <si>
    <t>Iowa TRM v2.0</t>
  </si>
  <si>
    <r>
      <t>Duct</t>
    </r>
    <r>
      <rPr>
        <vertAlign val="subscript"/>
        <sz val="11"/>
        <rFont val="Calibri"/>
        <family val="2"/>
        <scheme val="minor"/>
      </rPr>
      <t>Length</t>
    </r>
  </si>
  <si>
    <t>Duct Length (ft)</t>
  </si>
  <si>
    <t>HeatSavingsPerUnit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</si>
  <si>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</si>
  <si>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</si>
  <si>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</si>
  <si>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</si>
  <si>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</si>
  <si>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</si>
  <si>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</si>
  <si>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</si>
  <si>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</si>
  <si>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402550_2021_12_</t>
  </si>
  <si>
    <t>ECM Auto Fan EUL Replacement -SF</t>
  </si>
  <si>
    <t>402600_2021_12_</t>
  </si>
  <si>
    <t>ECM Auto Fan Early Replacement ER1 (Full Cost) - SF</t>
  </si>
  <si>
    <t>ECM Auto Fan Early Replacement ER2 (Remaining Life) - SF</t>
  </si>
  <si>
    <t>402650_2021_12_</t>
  </si>
  <si>
    <t>ECM Continous Fan EUL Replacement - SF</t>
  </si>
  <si>
    <t>402700_2021_12_</t>
  </si>
  <si>
    <t>ECM Continous Fan Early Replacement ER1 (Full Cost) - SF</t>
  </si>
  <si>
    <t>ECM Continous Fan Early Replacement ER2 (Remaining Life) - SF</t>
  </si>
  <si>
    <t>402750_2021_12_</t>
  </si>
  <si>
    <t>ECM Auto Fan EUL Replacement - MF</t>
  </si>
  <si>
    <t>402800_2021_12_</t>
  </si>
  <si>
    <t>ECM Auto Fan Early Replacement ER1 (Full Cost) - MF</t>
  </si>
  <si>
    <t>ECM Auto Fan Early Replacement ER2 (Remaining Life) - MF</t>
  </si>
  <si>
    <t>402850_2021_12_</t>
  </si>
  <si>
    <t>ECM Continous Fan EUL Replacement - MF</t>
  </si>
  <si>
    <t>402900_2021_12_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</si>
  <si>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</si>
  <si>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</si>
  <si>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</si>
  <si>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</si>
  <si>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</si>
  <si>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</si>
  <si>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</si>
  <si>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</si>
  <si>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r>
      <t xml:space="preserve">EFLH </t>
    </r>
    <r>
      <rPr>
        <vertAlign val="subscript"/>
        <sz val="11"/>
        <rFont val="Calibri"/>
        <family val="2"/>
        <scheme val="minor"/>
      </rPr>
      <t>heating</t>
    </r>
  </si>
  <si>
    <r>
      <t xml:space="preserve">WI_EFLH </t>
    </r>
    <r>
      <rPr>
        <vertAlign val="subscript"/>
        <sz val="11"/>
        <rFont val="Calibri"/>
        <family val="2"/>
        <scheme val="minor"/>
      </rPr>
      <t>heating</t>
    </r>
  </si>
  <si>
    <r>
      <t xml:space="preserve">EFLH </t>
    </r>
    <r>
      <rPr>
        <vertAlign val="subscript"/>
        <sz val="11"/>
        <rFont val="Calibri"/>
        <family val="2"/>
        <scheme val="minor"/>
      </rPr>
      <t>cooling</t>
    </r>
  </si>
  <si>
    <r>
      <t xml:space="preserve">WI_EFLH </t>
    </r>
    <r>
      <rPr>
        <vertAlign val="subscript"/>
        <sz val="11"/>
        <rFont val="Calibri"/>
        <family val="2"/>
        <scheme val="minor"/>
      </rPr>
      <t>cooling</t>
    </r>
  </si>
  <si>
    <t>Household Factor</t>
  </si>
  <si>
    <t>ECM Auto Fan Early Replacement ER 1 (Full Cost) - SF</t>
  </si>
  <si>
    <t>ECM Auto Fan Early Replacement ER 2 (Remaining Life) - SF</t>
  </si>
  <si>
    <t>ER  ($)</t>
  </si>
  <si>
    <t>ECM Auto Fan Early Replacement ER 1 (Full Cost) - MF</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</si>
  <si>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</si>
  <si>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</si>
  <si>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</si>
  <si>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</si>
  <si>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</si>
  <si>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</si>
  <si>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</si>
  <si>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</si>
  <si>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</si>
  <si>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</si>
  <si>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</si>
  <si>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</si>
  <si>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</si>
  <si>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</si>
  <si>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</si>
  <si>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</si>
  <si>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</si>
  <si>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</si>
  <si>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</si>
  <si>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403301_2019_12_</t>
  </si>
  <si>
    <t>EUL Sourced from DEER Database Technology and Measure Cost Data. Per MO TRM</t>
  </si>
  <si>
    <r>
      <t>EFLH</t>
    </r>
    <r>
      <rPr>
        <vertAlign val="subscript"/>
        <sz val="11"/>
        <color theme="1"/>
        <rFont val="Calibri"/>
        <family val="2"/>
        <scheme val="minor"/>
      </rPr>
      <t>cool</t>
    </r>
  </si>
  <si>
    <t>Average capacity of 'Air Source Heat Pumps' measures in 'HVAC' program.  Values come from evaluation</t>
  </si>
  <si>
    <r>
      <t>Capacity</t>
    </r>
    <r>
      <rPr>
        <vertAlign val="subscript"/>
        <sz val="11"/>
        <color theme="1"/>
        <rFont val="Calibri"/>
        <family val="2"/>
        <scheme val="minor"/>
      </rPr>
      <t>cool</t>
    </r>
  </si>
  <si>
    <r>
      <t>SEER</t>
    </r>
    <r>
      <rPr>
        <vertAlign val="subscript"/>
        <sz val="11"/>
        <color theme="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</si>
  <si>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</si>
  <si>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</si>
  <si>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</si>
  <si>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</si>
  <si>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</si>
  <si>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</si>
  <si>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</si>
  <si>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</si>
  <si>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</si>
  <si>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</si>
  <si>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</si>
  <si>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</si>
  <si>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Low Flow Faucet Aerators (Bathroom)</t>
  </si>
  <si>
    <t>403350_2019_12_</t>
  </si>
  <si>
    <r>
      <t>Low Flow Bathroom Faucet Aerator MF</t>
    </r>
    <r>
      <rPr>
        <sz val="11"/>
        <color rgb="FFFF0000"/>
        <rFont val="Calibri"/>
        <family val="2"/>
        <scheme val="minor"/>
      </rPr>
      <t>IE</t>
    </r>
  </si>
  <si>
    <t>Water heating RES</t>
  </si>
  <si>
    <t>403351_2020_12_</t>
  </si>
  <si>
    <r>
      <t>Low Flow Bathroom Faucet Aerator SF</t>
    </r>
    <r>
      <rPr>
        <sz val="11"/>
        <color rgb="FFFF0000"/>
        <rFont val="Calibri"/>
        <family val="2"/>
        <scheme val="minor"/>
      </rPr>
      <t>IE</t>
    </r>
  </si>
  <si>
    <t>403400_2019_12_</t>
  </si>
  <si>
    <r>
      <t>MF</t>
    </r>
    <r>
      <rPr>
        <sz val="11"/>
        <color rgb="FFFF0000"/>
        <rFont val="Calibri"/>
        <family val="2"/>
        <scheme val="minor"/>
      </rPr>
      <t>IE</t>
    </r>
    <r>
      <rPr>
        <sz val="11"/>
        <rFont val="Calibri"/>
        <family val="2"/>
        <scheme val="minor"/>
      </rPr>
      <t xml:space="preserve"> DI</t>
    </r>
  </si>
  <si>
    <r>
      <t>Low Flow Bathroom Faucet Aerator MF</t>
    </r>
    <r>
      <rPr>
        <sz val="11"/>
        <color rgb="FFFF0000"/>
        <rFont val="Calibri"/>
        <family val="2"/>
        <scheme val="minor"/>
      </rPr>
      <t>IE</t>
    </r>
    <r>
      <rPr>
        <sz val="11"/>
        <rFont val="Calibri"/>
        <family val="2"/>
        <scheme val="minor"/>
      </rPr>
      <t xml:space="preserve"> DI</t>
    </r>
  </si>
  <si>
    <t>403450_2019_12_</t>
  </si>
  <si>
    <r>
      <t>SF</t>
    </r>
    <r>
      <rPr>
        <sz val="11"/>
        <color rgb="FFFF0000"/>
        <rFont val="Calibri"/>
        <family val="2"/>
        <scheme val="minor"/>
      </rPr>
      <t>IE</t>
    </r>
    <r>
      <rPr>
        <sz val="11"/>
        <rFont val="Calibri"/>
        <family val="2"/>
        <scheme val="minor"/>
      </rPr>
      <t xml:space="preserve"> DI</t>
    </r>
  </si>
  <si>
    <r>
      <t>Low Flow Bathroom Faucet Aerator SF</t>
    </r>
    <r>
      <rPr>
        <sz val="11"/>
        <color rgb="FFFF0000"/>
        <rFont val="Calibri"/>
        <family val="2"/>
        <scheme val="minor"/>
      </rPr>
      <t>IE</t>
    </r>
    <r>
      <rPr>
        <sz val="11"/>
        <rFont val="Calibri"/>
        <family val="2"/>
        <scheme val="minor"/>
      </rPr>
      <t xml:space="preserve"> DI</t>
    </r>
  </si>
  <si>
    <t>Parameters</t>
  </si>
  <si>
    <t>Rated flowrate of the baseline aerator</t>
  </si>
  <si>
    <t>The average length of faucet use per day (min/day)</t>
  </si>
  <si>
    <t>Rated flowrate of the low flow aerator</t>
  </si>
  <si>
    <t xml:space="preserve">PY2016 Program Data, per Community Saves 2016 EM&amp;V report. </t>
  </si>
  <si>
    <t>The number of people in the home (ppl/household)</t>
  </si>
  <si>
    <t>The number of days per year (day/yr)</t>
  </si>
  <si>
    <t>The number of faucets installed per home</t>
  </si>
  <si>
    <t>Revised to match Community Savers EM&amp;V</t>
  </si>
  <si>
    <t>The specific water heat (Btu/lb degrees F)</t>
  </si>
  <si>
    <t>The average water temperature out of the faucet (°F)</t>
  </si>
  <si>
    <t>The average inlet water temperature (°F)</t>
  </si>
  <si>
    <t>Recovery efficiency of the electric hot water heater</t>
  </si>
  <si>
    <t>Cadmus PY3 site visits.  Cited in Ameren Missouri Low Income and Process Evaluation: program Year 2015. p.20</t>
  </si>
  <si>
    <t>PY7 site visits</t>
  </si>
  <si>
    <t>Matches Ameren Missouri  EE Kits for Non DI PY2017</t>
  </si>
  <si>
    <t>Low Flow Faucet Aerators (Kitchen)</t>
  </si>
  <si>
    <t>403470_2020_12_</t>
  </si>
  <si>
    <r>
      <t>Low Flow Kitchen Faucet Aerator MF</t>
    </r>
    <r>
      <rPr>
        <sz val="11"/>
        <color rgb="FFFF0000"/>
        <rFont val="Calibri"/>
        <family val="2"/>
        <scheme val="minor"/>
      </rPr>
      <t>IE</t>
    </r>
  </si>
  <si>
    <t>403471_2020_12_</t>
  </si>
  <si>
    <r>
      <t>Low Flow Kitchen Faucet Aerator SF</t>
    </r>
    <r>
      <rPr>
        <sz val="11"/>
        <color rgb="FFFF0000"/>
        <rFont val="Calibri"/>
        <family val="2"/>
        <scheme val="minor"/>
      </rPr>
      <t>IE</t>
    </r>
  </si>
  <si>
    <t>403480_2020_12_</t>
  </si>
  <si>
    <r>
      <t>Low Flow Kitchen Faucet Aerator MF</t>
    </r>
    <r>
      <rPr>
        <sz val="11"/>
        <color rgb="FFFF0000"/>
        <rFont val="Calibri"/>
        <family val="2"/>
        <scheme val="minor"/>
      </rPr>
      <t>IE</t>
    </r>
    <r>
      <rPr>
        <sz val="11"/>
        <rFont val="Calibri"/>
        <family val="2"/>
        <scheme val="minor"/>
      </rPr>
      <t xml:space="preserve"> DI</t>
    </r>
  </si>
  <si>
    <t>403481_2020_12_</t>
  </si>
  <si>
    <r>
      <t>Low Flow Kitchen Faucet Aerator SF</t>
    </r>
    <r>
      <rPr>
        <sz val="11"/>
        <color rgb="FFFF0000"/>
        <rFont val="Calibri"/>
        <family val="2"/>
        <scheme val="minor"/>
      </rPr>
      <t>IE</t>
    </r>
    <r>
      <rPr>
        <sz val="11"/>
        <rFont val="Calibri"/>
        <family val="2"/>
        <scheme val="minor"/>
      </rPr>
      <t xml:space="preserve"> DI</t>
    </r>
  </si>
  <si>
    <t>Estimated Useful Life</t>
  </si>
  <si>
    <t>403500_2021_12_</t>
  </si>
  <si>
    <r>
      <t>Low Flow Showerhead MF</t>
    </r>
    <r>
      <rPr>
        <sz val="11"/>
        <color rgb="FFFF0000"/>
        <rFont val="Calibri"/>
        <family val="2"/>
        <scheme val="minor"/>
      </rPr>
      <t>IE</t>
    </r>
  </si>
  <si>
    <t>403550_2021_12_</t>
  </si>
  <si>
    <r>
      <t>Low Flow Showerhead MF</t>
    </r>
    <r>
      <rPr>
        <sz val="11"/>
        <color rgb="FFFF0000"/>
        <rFont val="Calibri"/>
        <family val="2"/>
        <scheme val="minor"/>
      </rPr>
      <t>IE</t>
    </r>
    <r>
      <rPr>
        <sz val="11"/>
        <rFont val="Calibri"/>
        <family val="2"/>
        <scheme val="minor"/>
      </rPr>
      <t xml:space="preserve"> DI</t>
    </r>
  </si>
  <si>
    <t>403551_2021_12_</t>
  </si>
  <si>
    <r>
      <t>Low Flow Handheld Showerhead MF</t>
    </r>
    <r>
      <rPr>
        <sz val="11"/>
        <color rgb="FFFF0000"/>
        <rFont val="Calibri"/>
        <family val="2"/>
        <scheme val="minor"/>
      </rPr>
      <t>IE</t>
    </r>
    <r>
      <rPr>
        <sz val="11"/>
        <rFont val="Calibri"/>
        <family val="2"/>
        <scheme val="minor"/>
      </rPr>
      <t xml:space="preserve"> DI</t>
    </r>
  </si>
  <si>
    <t>403600_2021_12_</t>
  </si>
  <si>
    <r>
      <t>Low Flow Showerhead SF</t>
    </r>
    <r>
      <rPr>
        <sz val="11"/>
        <color rgb="FFFF0000"/>
        <rFont val="Calibri"/>
        <family val="2"/>
        <scheme val="minor"/>
      </rPr>
      <t>IE</t>
    </r>
    <r>
      <rPr>
        <sz val="11"/>
        <rFont val="Calibri"/>
        <family val="2"/>
        <scheme val="minor"/>
      </rPr>
      <t xml:space="preserve"> DI</t>
    </r>
  </si>
  <si>
    <t>403601_2021_12_</t>
  </si>
  <si>
    <r>
      <t>Low Flow Handheld Showerhead SF</t>
    </r>
    <r>
      <rPr>
        <sz val="11"/>
        <color rgb="FFFF0000"/>
        <rFont val="Calibri"/>
        <family val="2"/>
        <scheme val="minor"/>
      </rPr>
      <t>IE</t>
    </r>
    <r>
      <rPr>
        <sz val="11"/>
        <rFont val="Calibri"/>
        <family val="2"/>
        <scheme val="minor"/>
      </rPr>
      <t xml:space="preserve"> DI</t>
    </r>
  </si>
  <si>
    <t>The average shower length (min/shower)</t>
  </si>
  <si>
    <t xml:space="preserve">DeOreo, William, P. Mayer, L. Martien, M. Hayden, A. Funk, M. Kramer-Duffield, and R. Davis (2011). “California SingleFamily
Water Use Efficiency Study.” </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</si>
  <si>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</si>
  <si>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</si>
  <si>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</si>
  <si>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</si>
  <si>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</si>
  <si>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</si>
  <si>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</si>
  <si>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DI (Single Family)</t>
  </si>
  <si>
    <t>Ameren Missouri Single Family Low Income Impact and Process Evaluation: PY2019 (Table 10-10)</t>
  </si>
  <si>
    <t>DI (Multifamily)</t>
  </si>
  <si>
    <t>Ameren Missouri Community Savers Evaluation PY2018 Tenant Surveys and Site Visits</t>
  </si>
  <si>
    <t>Showerhead - Non-DI (SF &amp; MF)</t>
  </si>
  <si>
    <t>Showerhead DI</t>
  </si>
  <si>
    <t>Handheld Showerhead DI (SF)</t>
  </si>
  <si>
    <t>Program data - PY19</t>
  </si>
  <si>
    <t>Handheld Showerhead DI (MF)</t>
  </si>
  <si>
    <t>403650_2019_12_</t>
  </si>
  <si>
    <r>
      <t>Pipe Insulation MF</t>
    </r>
    <r>
      <rPr>
        <sz val="11"/>
        <color rgb="FFFF0000"/>
        <rFont val="Calibri"/>
        <family val="2"/>
        <scheme val="minor"/>
      </rPr>
      <t>IE</t>
    </r>
  </si>
  <si>
    <t>403700_2019_12_</t>
  </si>
  <si>
    <r>
      <t>Pipe Insulation MF</t>
    </r>
    <r>
      <rPr>
        <sz val="11"/>
        <color rgb="FFFF0000"/>
        <rFont val="Calibri"/>
        <family val="2"/>
        <scheme val="minor"/>
      </rPr>
      <t>IE</t>
    </r>
    <r>
      <rPr>
        <sz val="11"/>
        <rFont val="Calibri"/>
        <family val="2"/>
        <scheme val="minor"/>
      </rPr>
      <t xml:space="preserve"> DI</t>
    </r>
  </si>
  <si>
    <t>403750_2019_12_</t>
  </si>
  <si>
    <r>
      <t>Pipe Insulation SF</t>
    </r>
    <r>
      <rPr>
        <sz val="11"/>
        <color rgb="FFFF0000"/>
        <rFont val="Calibri"/>
        <family val="2"/>
        <scheme val="minor"/>
      </rPr>
      <t>IE</t>
    </r>
    <r>
      <rPr>
        <sz val="11"/>
        <rFont val="Calibri"/>
        <family val="2"/>
        <scheme val="minor"/>
      </rPr>
      <t xml:space="preserve"> DI</t>
    </r>
  </si>
  <si>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</si>
  <si>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</si>
  <si>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</si>
  <si>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</si>
  <si>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</si>
  <si>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Pipe Diameter</t>
  </si>
  <si>
    <t>Effective Useful Life (All)</t>
  </si>
  <si>
    <t>Incremental Cost - Non-DI</t>
  </si>
  <si>
    <t>Incremental Cost - Direct Install (DI)</t>
  </si>
  <si>
    <t>Actual SFIE program cost (set rate established with installing contractor).</t>
  </si>
  <si>
    <t>Programmable Thermostat</t>
  </si>
  <si>
    <t xml:space="preserve">*MFLIc = Multifamily Low Income Comprehensive Envelope,  CompE = Comprehensive Envelope </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</si>
  <si>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</si>
  <si>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</si>
  <si>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</si>
  <si>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</si>
  <si>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</si>
  <si>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</si>
  <si>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</si>
  <si>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</si>
  <si>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</si>
  <si>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</si>
  <si>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</si>
  <si>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</si>
  <si>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</si>
  <si>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</si>
  <si>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</si>
  <si>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</si>
  <si>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</si>
  <si>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</si>
  <si>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</si>
  <si>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</si>
  <si>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r>
      <t>Capacity</t>
    </r>
    <r>
      <rPr>
        <vertAlign val="subscript"/>
        <sz val="11"/>
        <rFont val="Calibri"/>
        <family val="2"/>
        <scheme val="minor"/>
      </rPr>
      <t>Cooling</t>
    </r>
  </si>
  <si>
    <t>Ameren Missouri Community Savers Evaluation PY2018  Program Data</t>
  </si>
  <si>
    <t>IL-TRM (Based on minimum federal standards between 1992 and 2006) Ameren Missouri Community Savers Evaluation PY2018</t>
  </si>
  <si>
    <r>
      <t>Sbdegrees</t>
    </r>
    <r>
      <rPr>
        <vertAlign val="subscript"/>
        <sz val="11"/>
        <rFont val="Calibri"/>
        <family val="2"/>
        <scheme val="minor"/>
      </rPr>
      <t>cooling</t>
    </r>
  </si>
  <si>
    <t>Ameren Missouri Community Savers Evaluation PY2018 Site Visit Thermostat SB Data</t>
  </si>
  <si>
    <r>
      <t>SF</t>
    </r>
    <r>
      <rPr>
        <vertAlign val="subscript"/>
        <sz val="11"/>
        <rFont val="Calibri"/>
        <family val="2"/>
        <scheme val="minor"/>
      </rPr>
      <t>cooling</t>
    </r>
  </si>
  <si>
    <t>ENERGY STAR Calculator - Ameren Missouri Community Savers Evaluation PY2018</t>
  </si>
  <si>
    <r>
      <t>EF</t>
    </r>
    <r>
      <rPr>
        <vertAlign val="subscript"/>
        <sz val="11"/>
        <rFont val="Calibri"/>
        <family val="2"/>
        <scheme val="minor"/>
      </rPr>
      <t>cooling</t>
    </r>
  </si>
  <si>
    <t>Ameren Missouri Community Savers Evaluation PY2018 Program Data</t>
  </si>
  <si>
    <r>
      <t>Capacity</t>
    </r>
    <r>
      <rPr>
        <vertAlign val="subscript"/>
        <sz val="11"/>
        <rFont val="Calibri"/>
        <family val="2"/>
        <scheme val="minor"/>
      </rPr>
      <t>Heating</t>
    </r>
  </si>
  <si>
    <t>HSPF</t>
  </si>
  <si>
    <t>IL-TRM (Based on minimum federal standards between 1992 and 2006) - Ameren Missouri Community Savers Evaluation PY2018</t>
  </si>
  <si>
    <r>
      <t>Sbdegrees</t>
    </r>
    <r>
      <rPr>
        <vertAlign val="subscript"/>
        <sz val="11"/>
        <rFont val="Calibri"/>
        <family val="2"/>
        <scheme val="minor"/>
      </rPr>
      <t>heating</t>
    </r>
  </si>
  <si>
    <r>
      <t>SF</t>
    </r>
    <r>
      <rPr>
        <vertAlign val="subscript"/>
        <sz val="11"/>
        <rFont val="Calibri"/>
        <family val="2"/>
        <scheme val="minor"/>
      </rPr>
      <t>heating</t>
    </r>
  </si>
  <si>
    <t>ENERGY STAR Calculator</t>
  </si>
  <si>
    <r>
      <t>EF</t>
    </r>
    <r>
      <rPr>
        <vertAlign val="subscript"/>
        <sz val="11"/>
        <rFont val="Calibri"/>
        <family val="2"/>
        <scheme val="minor"/>
      </rPr>
      <t>heating</t>
    </r>
  </si>
  <si>
    <t>Thermostatic Restrictor Shower Valve</t>
  </si>
  <si>
    <t>404200_2019_12_</t>
  </si>
  <si>
    <r>
      <t>Shower Start 1.5 gpm electric water heater SF</t>
    </r>
    <r>
      <rPr>
        <sz val="11"/>
        <color rgb="FFFF0000"/>
        <rFont val="Calibri"/>
        <family val="2"/>
        <scheme val="minor"/>
      </rPr>
      <t>IE</t>
    </r>
    <r>
      <rPr>
        <sz val="11"/>
        <rFont val="Calibri"/>
        <family val="2"/>
        <scheme val="minor"/>
      </rPr>
      <t xml:space="preserve"> DI</t>
    </r>
  </si>
  <si>
    <t>404250_2019_12_</t>
  </si>
  <si>
    <r>
      <t>Shower Start 1.5 gpm electric water heater MF</t>
    </r>
    <r>
      <rPr>
        <sz val="11"/>
        <color rgb="FFFF0000"/>
        <rFont val="Calibri"/>
        <family val="2"/>
        <scheme val="minor"/>
      </rPr>
      <t>IE</t>
    </r>
    <r>
      <rPr>
        <sz val="11"/>
        <rFont val="Calibri"/>
        <family val="2"/>
        <scheme val="minor"/>
      </rPr>
      <t xml:space="preserve"> DI</t>
    </r>
  </si>
  <si>
    <t>Assumed for DI</t>
  </si>
  <si>
    <r>
      <t>GPM</t>
    </r>
    <r>
      <rPr>
        <vertAlign val="subscript"/>
        <sz val="11"/>
        <rFont val="Calibri"/>
        <family val="2"/>
        <scheme val="minor"/>
      </rPr>
      <t>base</t>
    </r>
  </si>
  <si>
    <t xml:space="preserve">Assumes this measure is installed in tandem with DI low flow showerheads.  </t>
  </si>
  <si>
    <r>
      <t>L</t>
    </r>
    <r>
      <rPr>
        <vertAlign val="subscript"/>
        <sz val="11"/>
        <rFont val="Calibri"/>
        <family val="2"/>
        <scheme val="minor"/>
      </rPr>
      <t>base</t>
    </r>
  </si>
  <si>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</si>
  <si>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</si>
  <si>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</si>
  <si>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</si>
  <si>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</si>
  <si>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</si>
  <si>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</si>
  <si>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</si>
  <si>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r>
      <t>Water Heater Wrap SF</t>
    </r>
    <r>
      <rPr>
        <sz val="11"/>
        <color rgb="FFFF0000"/>
        <rFont val="Calibri"/>
        <family val="2"/>
        <scheme val="minor"/>
      </rPr>
      <t>IE</t>
    </r>
  </si>
  <si>
    <r>
      <t>A</t>
    </r>
    <r>
      <rPr>
        <vertAlign val="subscript"/>
        <sz val="11"/>
        <rFont val="Calibri"/>
        <family val="2"/>
        <scheme val="minor"/>
      </rPr>
      <t>Base</t>
    </r>
  </si>
  <si>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</si>
  <si>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</si>
  <si>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</si>
  <si>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</si>
  <si>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</si>
  <si>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r>
      <t>A</t>
    </r>
    <r>
      <rPr>
        <vertAlign val="subscript"/>
        <sz val="11"/>
        <rFont val="Calibri"/>
        <family val="2"/>
        <scheme val="minor"/>
      </rPr>
      <t>EE</t>
    </r>
  </si>
  <si>
    <t>Surface area (ft2) of storage tank after addition of tank wrap</t>
  </si>
  <si>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</si>
  <si>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</si>
  <si>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</si>
  <si>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</si>
  <si>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</si>
  <si>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</si>
  <si>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</si>
  <si>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</si>
  <si>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</si>
  <si>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</si>
  <si>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</si>
  <si>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</si>
  <si>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</si>
  <si>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</si>
  <si>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</si>
  <si>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</si>
  <si>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</si>
  <si>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</si>
  <si>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</si>
  <si>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</si>
  <si>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</si>
  <si>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r>
      <t>GPM</t>
    </r>
    <r>
      <rPr>
        <vertAlign val="subscript"/>
        <sz val="11"/>
        <rFont val="Calibri"/>
        <family val="2"/>
        <scheme val="minor"/>
      </rPr>
      <t>low</t>
    </r>
  </si>
  <si>
    <r>
      <t>L</t>
    </r>
    <r>
      <rPr>
        <vertAlign val="subscript"/>
        <sz val="11"/>
        <rFont val="Calibri"/>
        <family val="2"/>
        <scheme val="minor"/>
      </rPr>
      <t>low</t>
    </r>
  </si>
  <si>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</si>
  <si>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</si>
  <si>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</si>
  <si>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</si>
  <si>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</si>
  <si>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404450_2019_12_</t>
  </si>
  <si>
    <r>
      <t>SF</t>
    </r>
    <r>
      <rPr>
        <sz val="11"/>
        <color rgb="FFFF0000"/>
        <rFont val="Calibri"/>
        <family val="2"/>
        <scheme val="minor"/>
      </rPr>
      <t>IE</t>
    </r>
    <r>
      <rPr>
        <sz val="11"/>
        <rFont val="Calibri"/>
        <family val="2"/>
        <scheme val="minor"/>
      </rPr>
      <t xml:space="preserve"> / MF</t>
    </r>
    <r>
      <rPr>
        <sz val="11"/>
        <color rgb="FFFF0000"/>
        <rFont val="Calibri"/>
        <family val="2"/>
        <scheme val="minor"/>
      </rPr>
      <t>IE</t>
    </r>
  </si>
  <si>
    <r>
      <t xml:space="preserve">LED - 10.5W Downlight E26 (EISA baseline) </t>
    </r>
    <r>
      <rPr>
        <sz val="11"/>
        <color rgb="FFFF0000"/>
        <rFont val="Calibri"/>
        <family val="2"/>
        <scheme val="minor"/>
      </rPr>
      <t>IE</t>
    </r>
    <r>
      <rPr>
        <sz val="11"/>
        <rFont val="Calibri"/>
        <family val="2"/>
        <scheme val="minor"/>
      </rPr>
      <t xml:space="preserve"> DI</t>
    </r>
  </si>
  <si>
    <t>404500_2019_12_</t>
  </si>
  <si>
    <r>
      <t xml:space="preserve">LED - 10W (Halogen baseline) (750-1049 lumens) </t>
    </r>
    <r>
      <rPr>
        <sz val="11"/>
        <color rgb="FFFF0000"/>
        <rFont val="Calibri"/>
        <family val="2"/>
        <scheme val="minor"/>
      </rPr>
      <t>IE</t>
    </r>
    <r>
      <rPr>
        <sz val="11"/>
        <rFont val="Calibri"/>
        <family val="2"/>
        <scheme val="minor"/>
      </rPr>
      <t>DI</t>
    </r>
  </si>
  <si>
    <t>404550_2019_12_</t>
  </si>
  <si>
    <r>
      <t xml:space="preserve">LED - 12W (Halogen baseline) </t>
    </r>
    <r>
      <rPr>
        <sz val="11"/>
        <color rgb="FFFF0000"/>
        <rFont val="Calibri"/>
        <family val="2"/>
        <scheme val="minor"/>
      </rPr>
      <t>IE</t>
    </r>
    <r>
      <rPr>
        <sz val="11"/>
        <rFont val="Calibri"/>
        <family val="2"/>
        <scheme val="minor"/>
      </rPr>
      <t xml:space="preserve"> DI</t>
    </r>
  </si>
  <si>
    <t>404600_2019_12_</t>
  </si>
  <si>
    <r>
      <t xml:space="preserve">LED - 12W Dimmable Light Bulb (Replacing Specialty Incandescent) </t>
    </r>
    <r>
      <rPr>
        <sz val="11"/>
        <color rgb="FFFF0000"/>
        <rFont val="Calibri"/>
        <family val="2"/>
        <scheme val="minor"/>
      </rPr>
      <t>IE</t>
    </r>
    <r>
      <rPr>
        <sz val="11"/>
        <rFont val="Calibri"/>
        <family val="2"/>
        <scheme val="minor"/>
      </rPr>
      <t xml:space="preserve"> DI</t>
    </r>
  </si>
  <si>
    <t>404650_2019_12_</t>
  </si>
  <si>
    <r>
      <t xml:space="preserve">LED - 15W (Halogen baseline) (1050-1489 lumens) </t>
    </r>
    <r>
      <rPr>
        <sz val="11"/>
        <color rgb="FFFF0000"/>
        <rFont val="Calibri"/>
        <family val="2"/>
        <scheme val="minor"/>
      </rPr>
      <t>IE</t>
    </r>
    <r>
      <rPr>
        <sz val="11"/>
        <rFont val="Calibri"/>
        <family val="2"/>
        <scheme val="minor"/>
      </rPr>
      <t>DI</t>
    </r>
  </si>
  <si>
    <t>404651_2020_12_</t>
  </si>
  <si>
    <r>
      <t xml:space="preserve">LED - 11W Flood Light BR30 Bulb (Halogen baseline) </t>
    </r>
    <r>
      <rPr>
        <sz val="11"/>
        <color rgb="FFFF0000"/>
        <rFont val="Calibri"/>
        <family val="2"/>
        <scheme val="minor"/>
      </rPr>
      <t>IE</t>
    </r>
    <r>
      <rPr>
        <sz val="11"/>
        <rFont val="Calibri"/>
        <family val="2"/>
        <scheme val="minor"/>
      </rPr>
      <t xml:space="preserve"> DI</t>
    </r>
  </si>
  <si>
    <t>404700_2019_12_</t>
  </si>
  <si>
    <r>
      <t xml:space="preserve">LED - 15W Flood Light PAR30 Bulb (Halogen baseline) </t>
    </r>
    <r>
      <rPr>
        <sz val="11"/>
        <color rgb="FFFF0000"/>
        <rFont val="Calibri"/>
        <family val="2"/>
        <scheme val="minor"/>
      </rPr>
      <t>IE</t>
    </r>
    <r>
      <rPr>
        <sz val="11"/>
        <rFont val="Calibri"/>
        <family val="2"/>
        <scheme val="minor"/>
      </rPr>
      <t xml:space="preserve"> DI</t>
    </r>
  </si>
  <si>
    <t>404750_2019_12_</t>
  </si>
  <si>
    <r>
      <t xml:space="preserve">LED - 18W Flood Light PAR38 Bulb (Halogen baseline) </t>
    </r>
    <r>
      <rPr>
        <sz val="11"/>
        <color rgb="FFFF0000"/>
        <rFont val="Calibri"/>
        <family val="2"/>
        <scheme val="minor"/>
      </rPr>
      <t>IE</t>
    </r>
    <r>
      <rPr>
        <sz val="11"/>
        <rFont val="Calibri"/>
        <family val="2"/>
        <scheme val="minor"/>
      </rPr>
      <t xml:space="preserve"> DI</t>
    </r>
  </si>
  <si>
    <t>404800_2019_12_</t>
  </si>
  <si>
    <r>
      <t xml:space="preserve">LED - 20W (Halogen baseline) (1490-2600 lumens) </t>
    </r>
    <r>
      <rPr>
        <sz val="11"/>
        <color rgb="FFFF0000"/>
        <rFont val="Calibri"/>
        <family val="2"/>
        <scheme val="minor"/>
      </rPr>
      <t>IE</t>
    </r>
    <r>
      <rPr>
        <sz val="11"/>
        <rFont val="Calibri"/>
        <family val="2"/>
        <scheme val="minor"/>
      </rPr>
      <t>DI</t>
    </r>
  </si>
  <si>
    <t>404850_2019_12_</t>
  </si>
  <si>
    <r>
      <t xml:space="preserve">LED - 4W Candelabra (Replacing Specialty Incandescent) </t>
    </r>
    <r>
      <rPr>
        <sz val="11"/>
        <color rgb="FFFF0000"/>
        <rFont val="Calibri"/>
        <family val="2"/>
        <scheme val="minor"/>
      </rPr>
      <t>IE</t>
    </r>
    <r>
      <rPr>
        <sz val="11"/>
        <rFont val="Calibri"/>
        <family val="2"/>
        <scheme val="minor"/>
      </rPr>
      <t xml:space="preserve"> DI</t>
    </r>
  </si>
  <si>
    <t>404900_2019_12_</t>
  </si>
  <si>
    <r>
      <t xml:space="preserve">LED - 4W Candelabra (CFL baseline) </t>
    </r>
    <r>
      <rPr>
        <sz val="11"/>
        <color rgb="FFFF0000"/>
        <rFont val="Calibri"/>
        <family val="2"/>
        <scheme val="minor"/>
      </rPr>
      <t>IE</t>
    </r>
    <r>
      <rPr>
        <sz val="11"/>
        <rFont val="Calibri"/>
        <family val="2"/>
        <scheme val="minor"/>
      </rPr>
      <t>DI</t>
    </r>
  </si>
  <si>
    <t>404950_2019_12_</t>
  </si>
  <si>
    <r>
      <t xml:space="preserve">LED - 8W Globe Light G25 Bulb (Replacing Specialty Incandescent) </t>
    </r>
    <r>
      <rPr>
        <sz val="11"/>
        <color rgb="FFFF0000"/>
        <rFont val="Calibri"/>
        <family val="2"/>
        <scheme val="minor"/>
      </rPr>
      <t>IE</t>
    </r>
    <r>
      <rPr>
        <sz val="11"/>
        <rFont val="Calibri"/>
        <family val="2"/>
        <scheme val="minor"/>
      </rPr>
      <t xml:space="preserve"> DI</t>
    </r>
  </si>
  <si>
    <t>405000_2019_12_</t>
  </si>
  <si>
    <r>
      <t xml:space="preserve">LED - 8W Globe Light G25 Bulb (Replacing CFL) </t>
    </r>
    <r>
      <rPr>
        <sz val="11"/>
        <color rgb="FFFF0000"/>
        <rFont val="Calibri"/>
        <family val="2"/>
        <scheme val="minor"/>
      </rPr>
      <t>IE</t>
    </r>
    <r>
      <rPr>
        <sz val="11"/>
        <rFont val="Calibri"/>
        <family val="2"/>
        <scheme val="minor"/>
      </rPr>
      <t>DI</t>
    </r>
  </si>
  <si>
    <t>405050_2019_12_</t>
  </si>
  <si>
    <r>
      <t xml:space="preserve">LED - 10W (CFL baseline) (750-1049 lumens) </t>
    </r>
    <r>
      <rPr>
        <sz val="11"/>
        <color rgb="FFFF0000"/>
        <rFont val="Calibri"/>
        <family val="2"/>
        <scheme val="minor"/>
      </rPr>
      <t>IE</t>
    </r>
    <r>
      <rPr>
        <sz val="11"/>
        <rFont val="Calibri"/>
        <family val="2"/>
        <scheme val="minor"/>
      </rPr>
      <t>DI</t>
    </r>
  </si>
  <si>
    <t>405100_2019_12_</t>
  </si>
  <si>
    <r>
      <t xml:space="preserve">LED - 10.5W Downlight E26 (CFL baseline) </t>
    </r>
    <r>
      <rPr>
        <sz val="11"/>
        <color rgb="FFFF0000"/>
        <rFont val="Calibri"/>
        <family val="2"/>
        <scheme val="minor"/>
      </rPr>
      <t>IE</t>
    </r>
    <r>
      <rPr>
        <sz val="11"/>
        <rFont val="Calibri"/>
        <family val="2"/>
        <scheme val="minor"/>
      </rPr>
      <t>DI</t>
    </r>
  </si>
  <si>
    <t>405150_2019_12_</t>
  </si>
  <si>
    <r>
      <t xml:space="preserve">LED - 12W Dimmable Light Bulb (Replacing CFL) </t>
    </r>
    <r>
      <rPr>
        <sz val="11"/>
        <color rgb="FFFF0000"/>
        <rFont val="Calibri"/>
        <family val="2"/>
        <scheme val="minor"/>
      </rPr>
      <t>IE</t>
    </r>
    <r>
      <rPr>
        <sz val="11"/>
        <rFont val="Calibri"/>
        <family val="2"/>
        <scheme val="minor"/>
      </rPr>
      <t>DI</t>
    </r>
  </si>
  <si>
    <t>405200_2019_12_</t>
  </si>
  <si>
    <r>
      <t xml:space="preserve">LED - 12W (Replacing CFL) </t>
    </r>
    <r>
      <rPr>
        <sz val="11"/>
        <color rgb="FFFF0000"/>
        <rFont val="Calibri"/>
        <family val="2"/>
        <scheme val="minor"/>
      </rPr>
      <t>IE</t>
    </r>
    <r>
      <rPr>
        <sz val="11"/>
        <rFont val="Calibri"/>
        <family val="2"/>
        <scheme val="minor"/>
      </rPr>
      <t>DI</t>
    </r>
  </si>
  <si>
    <t>405250_2019_12_</t>
  </si>
  <si>
    <r>
      <t xml:space="preserve">LED - 15W (CFL baseline) (1050-1489 lumens) </t>
    </r>
    <r>
      <rPr>
        <sz val="11"/>
        <color rgb="FFFF0000"/>
        <rFont val="Calibri"/>
        <family val="2"/>
        <scheme val="minor"/>
      </rPr>
      <t>IE</t>
    </r>
    <r>
      <rPr>
        <sz val="11"/>
        <rFont val="Calibri"/>
        <family val="2"/>
        <scheme val="minor"/>
      </rPr>
      <t>DI</t>
    </r>
  </si>
  <si>
    <t>405251_2020_12_</t>
  </si>
  <si>
    <r>
      <t xml:space="preserve">LED - 11W Flood Light BR30 Bulb (CFL baseline) </t>
    </r>
    <r>
      <rPr>
        <sz val="11"/>
        <color rgb="FFFF0000"/>
        <rFont val="Calibri"/>
        <family val="2"/>
        <scheme val="minor"/>
      </rPr>
      <t>IE</t>
    </r>
    <r>
      <rPr>
        <sz val="11"/>
        <rFont val="Calibri"/>
        <family val="2"/>
        <scheme val="minor"/>
      </rPr>
      <t>DI</t>
    </r>
  </si>
  <si>
    <t>405300_2019_12_</t>
  </si>
  <si>
    <r>
      <t xml:space="preserve">LED - 15W Flood Light PAR30 Bulb (CFL baseline) </t>
    </r>
    <r>
      <rPr>
        <sz val="11"/>
        <color rgb="FFFF0000"/>
        <rFont val="Calibri"/>
        <family val="2"/>
        <scheme val="minor"/>
      </rPr>
      <t>IE</t>
    </r>
    <r>
      <rPr>
        <sz val="11"/>
        <rFont val="Calibri"/>
        <family val="2"/>
        <scheme val="minor"/>
      </rPr>
      <t>DI</t>
    </r>
  </si>
  <si>
    <t>405350_2019_12_</t>
  </si>
  <si>
    <r>
      <t xml:space="preserve">LED - 18W Flood Light PAR38 Bulb (CFL baseline) </t>
    </r>
    <r>
      <rPr>
        <sz val="11"/>
        <color rgb="FFFF0000"/>
        <rFont val="Calibri"/>
        <family val="2"/>
        <scheme val="minor"/>
      </rPr>
      <t>IE</t>
    </r>
    <r>
      <rPr>
        <sz val="11"/>
        <rFont val="Calibri"/>
        <family val="2"/>
        <scheme val="minor"/>
      </rPr>
      <t>DI</t>
    </r>
  </si>
  <si>
    <t>405400_2019_12_</t>
  </si>
  <si>
    <r>
      <t xml:space="preserve">LED - 20W (CFL baseline) (1490-2600 lumens) </t>
    </r>
    <r>
      <rPr>
        <sz val="11"/>
        <color rgb="FFFF0000"/>
        <rFont val="Calibri"/>
        <family val="2"/>
        <scheme val="minor"/>
      </rPr>
      <t>IE</t>
    </r>
    <r>
      <rPr>
        <sz val="11"/>
        <rFont val="Calibri"/>
        <family val="2"/>
        <scheme val="minor"/>
      </rPr>
      <t>DI</t>
    </r>
  </si>
  <si>
    <t>405409_2021_12_</t>
  </si>
  <si>
    <t>SFIE / MFIE</t>
  </si>
  <si>
    <t>LED - 6W (CFL baseline) (310-749 lumens) IEDI</t>
  </si>
  <si>
    <t>405410_2019_12_</t>
  </si>
  <si>
    <r>
      <t xml:space="preserve">LED - 6W (Halogen baseline) (310-749 lumens) </t>
    </r>
    <r>
      <rPr>
        <sz val="11"/>
        <color rgb="FFFF0000"/>
        <rFont val="Calibri"/>
        <family val="2"/>
        <scheme val="minor"/>
      </rPr>
      <t>IE</t>
    </r>
    <r>
      <rPr>
        <sz val="11"/>
        <rFont val="Calibri"/>
        <family val="2"/>
        <scheme val="minor"/>
      </rPr>
      <t>DI</t>
    </r>
  </si>
  <si>
    <t>501450_2021_12_</t>
  </si>
  <si>
    <t>Watt Base</t>
  </si>
  <si>
    <t>Average lumen-equivalent halogen wattage for program bulbs. (Value updated to align the measure with new lumen range and not overlap with the 6W measure.)</t>
  </si>
  <si>
    <t>Average lumen-equivalent halogen wattage for program bulbs</t>
  </si>
  <si>
    <t>IL TRM V8.0, section 5.5.6.</t>
  </si>
  <si>
    <t>Ameren Missouri Community Savers Evaluation PY2017</t>
  </si>
  <si>
    <t>2021 IL TRM, section 5.5.11</t>
  </si>
  <si>
    <t>Watt EE</t>
  </si>
  <si>
    <t>Program Wattage - Ameren Missouri Community Savers Evaluation PY2018 workpapers</t>
  </si>
  <si>
    <t>Program Wattage - Ameren Missouri Community Savers Evaluation PY2017 workpapers</t>
  </si>
  <si>
    <t>Actual wattage for bulb offered by programs, https://amerenmissouristore.com/led-11-watt-flood-br30-65w-eqv/</t>
  </si>
  <si>
    <r>
      <t xml:space="preserve">MF </t>
    </r>
    <r>
      <rPr>
        <sz val="11"/>
        <color rgb="FFFF0000"/>
        <rFont val="Calibri"/>
        <family val="2"/>
        <scheme val="minor"/>
      </rPr>
      <t>IE</t>
    </r>
    <r>
      <rPr>
        <sz val="11"/>
        <rFont val="Calibri"/>
        <family val="2"/>
        <scheme val="minor"/>
      </rPr>
      <t xml:space="preserve"> (this value should be used in the custom savings calculations for MF </t>
    </r>
    <r>
      <rPr>
        <sz val="11"/>
        <color rgb="FFFF0000"/>
        <rFont val="Calibri"/>
        <family val="2"/>
        <scheme val="minor"/>
      </rPr>
      <t>IE</t>
    </r>
    <r>
      <rPr>
        <sz val="11"/>
        <rFont val="Calibri"/>
        <family val="2"/>
        <scheme val="minor"/>
      </rPr>
      <t xml:space="preserve"> measures)</t>
    </r>
  </si>
  <si>
    <t>Ameren Missouri Community Savers Evaluation PY2018 workpapers</t>
  </si>
  <si>
    <r>
      <t xml:space="preserve">SF </t>
    </r>
    <r>
      <rPr>
        <sz val="11"/>
        <color rgb="FFFF0000"/>
        <rFont val="Calibri"/>
        <family val="2"/>
        <scheme val="minor"/>
      </rPr>
      <t>IE</t>
    </r>
  </si>
  <si>
    <t>PY19 Evaluation (Table 10-10)</t>
  </si>
  <si>
    <t>Ameren Missouri Community Savers Evaluation PY2018 workpapers- Weighted Avg. HOU from ADM workpapers</t>
  </si>
  <si>
    <t>Res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</si>
  <si>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</si>
  <si>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</si>
  <si>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</si>
  <si>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</si>
  <si>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</si>
  <si>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</si>
  <si>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</si>
  <si>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</si>
  <si>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</si>
  <si>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</si>
  <si>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</si>
  <si>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</si>
  <si>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Nightlights</t>
  </si>
  <si>
    <t>Effective Useful Life - Business</t>
  </si>
  <si>
    <t>Matched value for LED - 10W (Halogen Baseline)</t>
  </si>
  <si>
    <t>405450_2021_12_</t>
  </si>
  <si>
    <t>Advanced Tier 1 Power Strips / TOS/NC - Home Office</t>
  </si>
  <si>
    <t>405451_2021_12_</t>
  </si>
  <si>
    <t>Advanced Tier 1 Power Strips / DI - Home Office</t>
  </si>
  <si>
    <t>405500_2019_12_</t>
  </si>
  <si>
    <t>Advanced Tier 1 Power Strips / Kits - Home Office</t>
  </si>
  <si>
    <t>405550_2021_12_</t>
  </si>
  <si>
    <t>Advanced Tier 1 Power Strips / TOS/NC - Home Entertainment</t>
  </si>
  <si>
    <t>405551_2021_12_</t>
  </si>
  <si>
    <t>Advanced Tier 1 Power Strips / DI - Home Entertainment</t>
  </si>
  <si>
    <t>405600_2019_12_</t>
  </si>
  <si>
    <t>Advanced Tier 1 Power Strips / Kits - Home Entertainment</t>
  </si>
  <si>
    <t>405650_2021_12_</t>
  </si>
  <si>
    <t>Advanced Tier 1 Power Strips / TOS/NC - Unknown Location</t>
  </si>
  <si>
    <t>405651_2021_12_</t>
  </si>
  <si>
    <t>Advanced Tier 1 Power Strips / DI - Unknown Location</t>
  </si>
  <si>
    <t>405700_2019_12_</t>
  </si>
  <si>
    <t>Advanced Tier 1 Power  / Kits - Unknown Location</t>
  </si>
  <si>
    <t>405750_2019_12_</t>
  </si>
  <si>
    <t>405751_2020_12_</t>
  </si>
  <si>
    <r>
      <rPr>
        <strike/>
        <sz val="11"/>
        <color rgb="FFFF0000"/>
        <rFont val="Calibri"/>
        <family val="2"/>
        <scheme val="minor"/>
      </rPr>
      <t>Comments</t>
    </r>
    <r>
      <rPr>
        <sz val="11"/>
        <color rgb="FFFF0000"/>
        <rFont val="Calibri"/>
        <family val="2"/>
        <scheme val="minor"/>
      </rPr>
      <t>Source:</t>
    </r>
  </si>
  <si>
    <t>“Advanced Power Strip Research Report.” Note that estimates are not based on pre/post metering but on analysis based on frequency and consumption of likely products in active, standby, and off modes. This measure should be reviewed frequently to ensure that assumptions continue to be appropriate.</t>
  </si>
  <si>
    <t>“Advanced Power Strip Research Report.”</t>
  </si>
  <si>
    <t>Based on measure name.</t>
  </si>
  <si>
    <t>Ameren Missouri Efficient Product Impact and Process Evaluation: Program Year 2015</t>
  </si>
  <si>
    <t>in service/installation rate</t>
  </si>
  <si>
    <t>Ameren Missouri Single Family Low Income Evaluation: PY2019, Table 10-10.</t>
  </si>
  <si>
    <r>
      <rPr>
        <strike/>
        <sz val="11"/>
        <color rgb="FFFF0000"/>
        <rFont val="Calibri"/>
        <family val="2"/>
        <scheme val="minor"/>
      </rPr>
      <t>Inc. Cost</t>
    </r>
    <r>
      <rPr>
        <sz val="11"/>
        <color rgb="FFFF0000"/>
        <rFont val="Calibri"/>
        <family val="2"/>
        <scheme val="minor"/>
      </rPr>
      <t>EUL</t>
    </r>
  </si>
  <si>
    <r>
      <rPr>
        <strike/>
        <sz val="11"/>
        <color rgb="FFFF0000"/>
        <rFont val="Calibri"/>
        <family val="2"/>
        <scheme val="minor"/>
      </rPr>
      <t xml:space="preserve">Incremental Cost - Non-DI </t>
    </r>
    <r>
      <rPr>
        <sz val="11"/>
        <color rgb="FFFF0000"/>
        <rFont val="Calibri"/>
        <family val="2"/>
        <scheme val="minor"/>
      </rPr>
      <t>Effective Useful Life</t>
    </r>
  </si>
  <si>
    <t>“Advanced Power Strip Research Report,” NYSERDA, August 2011.</t>
  </si>
  <si>
    <t>Tier 1 - Non-DI</t>
  </si>
  <si>
    <t>Tier 1 - Direct Install (DI)</t>
  </si>
  <si>
    <t>Tier 2 - Non-DI</t>
  </si>
  <si>
    <t>Tier 2 - Direct Install (DI)</t>
  </si>
  <si>
    <t xml:space="preserve">Class B and G are the 2 classes of power strip currently in the market, therefore the savings of class B and G were averaged for savings estimate (See efficient products deemed table) </t>
  </si>
  <si>
    <t>Refrigerator</t>
  </si>
  <si>
    <t>405800_2019_12_</t>
  </si>
  <si>
    <t>Refrigerator - early replacement ER1</t>
  </si>
  <si>
    <t>Refrigeration RES</t>
  </si>
  <si>
    <t>Refrigerator - early replacement ER2</t>
  </si>
  <si>
    <t>Refrigeration RES ER2</t>
  </si>
  <si>
    <t>405825_2019_12_</t>
  </si>
  <si>
    <t>Refrigerator - Pre 1993 - ER1</t>
  </si>
  <si>
    <t>Refrigerator - Pre 1993 - ER2</t>
  </si>
  <si>
    <r>
      <t>kWh</t>
    </r>
    <r>
      <rPr>
        <vertAlign val="subscript"/>
        <sz val="11"/>
        <rFont val="Calibri"/>
        <family val="2"/>
        <scheme val="minor"/>
      </rPr>
      <t>Base</t>
    </r>
  </si>
  <si>
    <t>Existing kWh Consumption</t>
  </si>
  <si>
    <t>Baseline Refrigerator Usage</t>
  </si>
  <si>
    <t>Existing kWh Consumption - Pre 1993</t>
  </si>
  <si>
    <r>
      <t>kWh</t>
    </r>
    <r>
      <rPr>
        <vertAlign val="subscript"/>
        <sz val="11"/>
        <rFont val="Calibri"/>
        <family val="2"/>
        <scheme val="minor"/>
      </rPr>
      <t>new</t>
    </r>
  </si>
  <si>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</si>
  <si>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</si>
  <si>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</si>
  <si>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</si>
  <si>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</si>
  <si>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</si>
  <si>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</si>
  <si>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</si>
  <si>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</si>
  <si>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</si>
  <si>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</si>
  <si>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</si>
  <si>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r>
      <t>kWh</t>
    </r>
    <r>
      <rPr>
        <vertAlign val="subscript"/>
        <sz val="11"/>
        <rFont val="Calibri"/>
        <family val="2"/>
        <scheme val="minor"/>
      </rPr>
      <t>2011-2015</t>
    </r>
  </si>
  <si>
    <t xml:space="preserve">Average kWh for refrigerators installed from 2011-2015 </t>
  </si>
  <si>
    <t>2011-2015</t>
  </si>
  <si>
    <r>
      <t>kWh</t>
    </r>
    <r>
      <rPr>
        <vertAlign val="subscript"/>
        <sz val="11"/>
        <rFont val="Calibri"/>
        <family val="2"/>
        <scheme val="minor"/>
      </rPr>
      <t>2001(after July)-2010</t>
    </r>
  </si>
  <si>
    <t>Average kWh for refrigerators installed from 2001(after july)-2010</t>
  </si>
  <si>
    <t>2001(after July)-2010</t>
  </si>
  <si>
    <r>
      <t>kWh</t>
    </r>
    <r>
      <rPr>
        <vertAlign val="subscript"/>
        <sz val="11"/>
        <rFont val="Calibri"/>
        <family val="2"/>
        <scheme val="minor"/>
      </rPr>
      <t>1993-2001(before June)</t>
    </r>
  </si>
  <si>
    <t>Average kWh for refrigerators installed from 1993-2001(before june)</t>
  </si>
  <si>
    <t>1993-2001(before June)</t>
  </si>
  <si>
    <r>
      <t>kWh</t>
    </r>
    <r>
      <rPr>
        <vertAlign val="subscript"/>
        <sz val="11"/>
        <rFont val="Calibri"/>
        <family val="2"/>
        <scheme val="minor"/>
      </rPr>
      <t>1990-1992</t>
    </r>
  </si>
  <si>
    <t>Average kWh for refrigerators installed from 1990-1992</t>
  </si>
  <si>
    <t>1990-1992</t>
  </si>
  <si>
    <r>
      <t>kWh</t>
    </r>
    <r>
      <rPr>
        <vertAlign val="subscript"/>
        <sz val="11"/>
        <rFont val="Calibri"/>
        <family val="2"/>
        <scheme val="minor"/>
      </rPr>
      <t>1980-1989</t>
    </r>
  </si>
  <si>
    <t>Average kWh for refrigerators installed from 1980-1989</t>
  </si>
  <si>
    <t>1980-1989</t>
  </si>
  <si>
    <r>
      <t>kWh</t>
    </r>
    <r>
      <rPr>
        <vertAlign val="subscript"/>
        <sz val="11"/>
        <rFont val="Calibri"/>
        <family val="2"/>
        <scheme val="minor"/>
      </rPr>
      <t>before 1980</t>
    </r>
  </si>
  <si>
    <t>Average kWh for refrigerators installed from before 1980</t>
  </si>
  <si>
    <t>before 1980</t>
  </si>
  <si>
    <r>
      <t>Number of Units</t>
    </r>
    <r>
      <rPr>
        <vertAlign val="subscript"/>
        <sz val="11"/>
        <rFont val="Calibri"/>
        <family val="2"/>
        <scheme val="minor"/>
      </rPr>
      <t>2011-2015</t>
    </r>
  </si>
  <si>
    <t xml:space="preserve">Number of Unitsfrom 2011-2015 </t>
  </si>
  <si>
    <r>
      <t>Number of Units</t>
    </r>
    <r>
      <rPr>
        <vertAlign val="subscript"/>
        <sz val="11"/>
        <rFont val="Calibri"/>
        <family val="2"/>
        <scheme val="minor"/>
      </rPr>
      <t>2001(after July)-2010</t>
    </r>
  </si>
  <si>
    <t>Number of Unitsfrom 2001(after july)-2010</t>
  </si>
  <si>
    <r>
      <t>Number of Units</t>
    </r>
    <r>
      <rPr>
        <vertAlign val="subscript"/>
        <sz val="11"/>
        <rFont val="Calibri"/>
        <family val="2"/>
        <scheme val="minor"/>
      </rPr>
      <t>1993-2001(before June)</t>
    </r>
  </si>
  <si>
    <t>Number of Unitsfrom 1993-2001(before june)</t>
  </si>
  <si>
    <r>
      <t>Number of Units</t>
    </r>
    <r>
      <rPr>
        <vertAlign val="subscript"/>
        <sz val="11"/>
        <rFont val="Calibri"/>
        <family val="2"/>
        <scheme val="minor"/>
      </rPr>
      <t>1990-1992</t>
    </r>
  </si>
  <si>
    <t>Number of Unitsfrom 1990-1992</t>
  </si>
  <si>
    <r>
      <t>Number of Units</t>
    </r>
    <r>
      <rPr>
        <vertAlign val="subscript"/>
        <sz val="11"/>
        <rFont val="Calibri"/>
        <family val="2"/>
        <scheme val="minor"/>
      </rPr>
      <t>1980-1989</t>
    </r>
  </si>
  <si>
    <t>Number of Unitsfrom 1980-1989</t>
  </si>
  <si>
    <r>
      <t>Number of Units</t>
    </r>
    <r>
      <rPr>
        <vertAlign val="subscript"/>
        <sz val="11"/>
        <rFont val="Calibri"/>
        <family val="2"/>
        <scheme val="minor"/>
      </rPr>
      <t>before 1980</t>
    </r>
  </si>
  <si>
    <t>Number of Unitsfrom before 1980</t>
  </si>
  <si>
    <t>PY18 Evaluation used different methodology</t>
  </si>
  <si>
    <t>405850_2021_12_</t>
  </si>
  <si>
    <t>AC - Energy Star Room _unknown size_Thru-Wall_MF</t>
  </si>
  <si>
    <t>405900_2021_12_</t>
  </si>
  <si>
    <t>AC - Energy Star Room  _unknown size_Thru-Wall_SF</t>
  </si>
  <si>
    <t>405950_2021_12_</t>
  </si>
  <si>
    <t>AC - Energy Star Room _unknown size_MF</t>
  </si>
  <si>
    <t>406000_2021_12_</t>
  </si>
  <si>
    <t>AC - Energy Star Room _unknown size_SF</t>
  </si>
  <si>
    <t>405851_2021_12_</t>
  </si>
  <si>
    <t>AC - Energy Star Room _5kBtu_Thru-Wall_MF</t>
  </si>
  <si>
    <t>405901_2021_12_</t>
  </si>
  <si>
    <t>AC - Energy Star Room _5kBtu _Thru-Wall_SF</t>
  </si>
  <si>
    <t>405951_2021_12_</t>
  </si>
  <si>
    <t>AC - Energy Star Room_5kBtu_MF</t>
  </si>
  <si>
    <t>406001_2021_12_</t>
  </si>
  <si>
    <t>AC - Energy Star Room_5kBtu_SF</t>
  </si>
  <si>
    <t>405852_2021_12_</t>
  </si>
  <si>
    <t>AC - Energy Star Room _8kBtu_Thru-Wall_MF</t>
  </si>
  <si>
    <t>405902_2021_12_</t>
  </si>
  <si>
    <t>AC - Energy Star Room _8kBtu_Thru-Wall_SF</t>
  </si>
  <si>
    <t>405952_2021_12_</t>
  </si>
  <si>
    <t>AC - Energy Star Room_8kBtu_MF</t>
  </si>
  <si>
    <t>406002_2021_12_</t>
  </si>
  <si>
    <t>AC - Energy Star Room_8kBtu_SF</t>
  </si>
  <si>
    <t>405853_2021_12_</t>
  </si>
  <si>
    <t>AC - Energy Star Room _10kBtu_Thru-Wall_MF</t>
  </si>
  <si>
    <t>405903_2021_12_</t>
  </si>
  <si>
    <t>AC - Energy Star Room _10kBtu_Thru-Wall_SF</t>
  </si>
  <si>
    <t>405953_2021_12_</t>
  </si>
  <si>
    <t>AC - Energy Star Room_10kBtu_MF</t>
  </si>
  <si>
    <t>406003_2021_12_</t>
  </si>
  <si>
    <t>AC - Energy Star Room_10kBtu_SF</t>
  </si>
  <si>
    <t>405854_2021_12_</t>
  </si>
  <si>
    <t>AC - Energy Star Room _12kBtu_Thru-Wall_MF</t>
  </si>
  <si>
    <t>405904_2021_12_</t>
  </si>
  <si>
    <t>AC - Energy Star Room _12kBtu_Thru-Wall_SF</t>
  </si>
  <si>
    <t>405954_2021_12_</t>
  </si>
  <si>
    <t>AC - Energy Star Room_12kBtu_MF</t>
  </si>
  <si>
    <t>406004_2021_12_</t>
  </si>
  <si>
    <t>AC - Energy Star Room_12kBtu_SF</t>
  </si>
  <si>
    <t>405855_2021_12_</t>
  </si>
  <si>
    <t>AC - Energy Star Room _15kBtu_Thru-Wall_MF</t>
  </si>
  <si>
    <t>405905_2021_12_</t>
  </si>
  <si>
    <t>AC - Energy Star Room _15kBtu_Thru-Wall_SF</t>
  </si>
  <si>
    <t>405955_2021_12_</t>
  </si>
  <si>
    <t>AC - Energy Star Room_15kBtu_MF</t>
  </si>
  <si>
    <t>406005_2021_12_</t>
  </si>
  <si>
    <t>AC - Energy Star Room_15kBtu_SF</t>
  </si>
  <si>
    <t>*</t>
  </si>
  <si>
    <r>
      <t xml:space="preserve">SFLI </t>
    </r>
    <r>
      <rPr>
        <strike/>
        <sz val="11"/>
        <color rgb="FFFF0000"/>
        <rFont val="Calibri"/>
        <family val="2"/>
        <scheme val="minor"/>
      </rPr>
      <t xml:space="preserve">SFIE </t>
    </r>
    <r>
      <rPr>
        <sz val="11"/>
        <color rgb="FFFF0000"/>
        <rFont val="Calibri"/>
        <family val="2"/>
        <scheme val="minor"/>
      </rPr>
      <t>Source</t>
    </r>
  </si>
  <si>
    <r>
      <t xml:space="preserve">Value </t>
    </r>
    <r>
      <rPr>
        <strike/>
        <sz val="11"/>
        <color rgb="FFFF0000"/>
        <rFont val="Calibri"/>
        <family val="2"/>
        <scheme val="minor"/>
      </rPr>
      <t xml:space="preserve">SFLI </t>
    </r>
    <r>
      <rPr>
        <sz val="11"/>
        <color rgb="FFFF0000"/>
        <rFont val="Calibri"/>
        <family val="2"/>
        <scheme val="minor"/>
      </rPr>
      <t>SFIE</t>
    </r>
  </si>
  <si>
    <t>MF Source</t>
  </si>
  <si>
    <r>
      <t xml:space="preserve">Value </t>
    </r>
    <r>
      <rPr>
        <strike/>
        <sz val="11"/>
        <color rgb="FFFF0000"/>
        <rFont val="Calibri"/>
        <family val="2"/>
        <scheme val="minor"/>
      </rPr>
      <t xml:space="preserve">MFLI </t>
    </r>
    <r>
      <rPr>
        <sz val="11"/>
        <color rgb="FFFF0000"/>
        <rFont val="Calibri"/>
        <family val="2"/>
        <scheme val="minor"/>
      </rPr>
      <t>MFIE</t>
    </r>
  </si>
  <si>
    <r>
      <t>MF</t>
    </r>
    <r>
      <rPr>
        <strike/>
        <sz val="11"/>
        <color rgb="FFFF0000"/>
        <rFont val="Calibri"/>
        <family val="2"/>
        <scheme val="minor"/>
      </rPr>
      <t>LI</t>
    </r>
    <r>
      <rPr>
        <sz val="11"/>
        <color rgb="FFFF0000"/>
        <rFont val="Calibri"/>
        <family val="2"/>
        <scheme val="minor"/>
      </rPr>
      <t xml:space="preserve"> Value</t>
    </r>
  </si>
  <si>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</si>
  <si>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</si>
  <si>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</si>
  <si>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</si>
  <si>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</si>
  <si>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</si>
  <si>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</si>
  <si>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</si>
  <si>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</si>
  <si>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</si>
  <si>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</si>
  <si>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</si>
  <si>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PY16 Participant Survey </t>
  </si>
  <si>
    <t xml:space="preserve">Ameren Missouri Community Savers Evaluation PY16 Participant Survey </t>
  </si>
  <si>
    <t>Storm Window</t>
  </si>
  <si>
    <t>406025_2020_12_</t>
  </si>
  <si>
    <t>Storm Window - Single Pane, Double Hung - Electric Furnace</t>
  </si>
  <si>
    <t>per sq ft</t>
  </si>
  <si>
    <t>406050_2020_12_</t>
  </si>
  <si>
    <t>Storm Window - Single Pane, Double Hung - Heat Pump</t>
  </si>
  <si>
    <t>406075_2020_12_</t>
  </si>
  <si>
    <t>Storm Window - Single Pane, Double Hung - Gas Heating</t>
  </si>
  <si>
    <t>406100_2020_12_</t>
  </si>
  <si>
    <t>Storm Window - Double Pane, Double Hung - Electric Furnace</t>
  </si>
  <si>
    <t>406125_2020_12_</t>
  </si>
  <si>
    <t>Storm Window - Double Pane, Double Hung - Heat Pump</t>
  </si>
  <si>
    <t>406150_2020_12_</t>
  </si>
  <si>
    <t>Storm Window - Double Pane, Double Hung - Gas Heating</t>
  </si>
  <si>
    <t>406175_2020_12_</t>
  </si>
  <si>
    <t>Storm Window - Single Pane, Fixed - Electric Furnace</t>
  </si>
  <si>
    <t>406200_2020_12_</t>
  </si>
  <si>
    <t>Storm Window - Single Pane, Fixed - Heat Pump</t>
  </si>
  <si>
    <t>406225_2020_12_</t>
  </si>
  <si>
    <t>Storm Window - Single Pane, Fixed - Gas Heating</t>
  </si>
  <si>
    <t>406250_2020_12_</t>
  </si>
  <si>
    <t>Storm Window - Double Pane, Fixed - Electric Furnace</t>
  </si>
  <si>
    <t>406275_2020_12_</t>
  </si>
  <si>
    <t>Storm Window - Double Pane, Fixed - Heat Pump</t>
  </si>
  <si>
    <t>406300_2020_12_</t>
  </si>
  <si>
    <t>Storm Window - Double Pane, Fixed - Gas Heating</t>
  </si>
  <si>
    <t>A</t>
  </si>
  <si>
    <t>Area (square footage) of storm windows installed</t>
  </si>
  <si>
    <t>Saving are per sq ft</t>
  </si>
  <si>
    <t>Σcool</t>
  </si>
  <si>
    <t>Savings factor for cooling.</t>
  </si>
  <si>
    <t>Single Pane, Double Hung</t>
  </si>
  <si>
    <t>Ameren MO TRM 2017 Volume 3, pg. 197</t>
  </si>
  <si>
    <t xml:space="preserve">Average value for clear/low-e and exterior/interior glass.  </t>
  </si>
  <si>
    <t>Double Pane, Double Hung</t>
  </si>
  <si>
    <t>Single Pane, Fixed</t>
  </si>
  <si>
    <t>Double Pane, Fixed</t>
  </si>
  <si>
    <t>ηCool</t>
  </si>
  <si>
    <t>Efficiency (SEER) of Air Conditioning equipment (kBtu/kWh).</t>
  </si>
  <si>
    <t>PY5 Evaluaiton for other shell measures (see Ceiling and Floor Insulation)</t>
  </si>
  <si>
    <t>ΣHeat</t>
  </si>
  <si>
    <t>Savings factor for heating.</t>
  </si>
  <si>
    <t>ηHeat</t>
  </si>
  <si>
    <t>Efficiency of heating system.</t>
  </si>
  <si>
    <t>Electric Furnace</t>
  </si>
  <si>
    <t>Ameren MO TRM 2017 Volume 3, pg. 199</t>
  </si>
  <si>
    <t>Heat Pump</t>
  </si>
  <si>
    <t>Ameren MO TRM 2017 Volume 3, pg. 199 Average value of 3 values provided.</t>
  </si>
  <si>
    <t>Gas Furnace</t>
  </si>
  <si>
    <t>Heating kWh savings not calculated for gas furnace.</t>
  </si>
  <si>
    <t>Converts kBtu to kWh</t>
  </si>
  <si>
    <t>Ameren MO TRM 2017 Volume 3, pg. 193</t>
  </si>
  <si>
    <t>Inc Cost</t>
  </si>
  <si>
    <t>Clear</t>
  </si>
  <si>
    <t>$30 cost per window for installation divided by average area (15 sq ft)</t>
  </si>
  <si>
    <t>RESIDENTIAL HOME ENERGY REPORT</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</si>
  <si>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</si>
  <si>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Home Energy Report</t>
  </si>
  <si>
    <t>450050_2021_12_</t>
  </si>
  <si>
    <t xml:space="preserve">Home Energy Report </t>
  </si>
  <si>
    <t>per report</t>
  </si>
  <si>
    <t>First Year Annual kWh</t>
  </si>
  <si>
    <t>Annual Savings Decay</t>
  </si>
  <si>
    <t>Year</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</si>
  <si>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</si>
  <si>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</si>
  <si>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</si>
  <si>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</si>
  <si>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</si>
  <si>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</si>
  <si>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</si>
  <si>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</si>
  <si>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</si>
  <si>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</si>
  <si>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</si>
  <si>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</si>
  <si>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</si>
  <si>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</si>
  <si>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</si>
  <si>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</si>
  <si>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</si>
  <si>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</si>
  <si>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</si>
  <si>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</si>
  <si>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</si>
  <si>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500250_2019_12_</t>
  </si>
  <si>
    <t>Ceiling Insulation R11-R49 MFMR electric furnace base</t>
  </si>
  <si>
    <t>500300_2019_12_</t>
  </si>
  <si>
    <t>Ceiling Insulation R11-R49 MFMR gas heat and electric cool base</t>
  </si>
  <si>
    <t>500350_2019_12_</t>
  </si>
  <si>
    <t>Ceiling Insulation R5-R30 MFMR electric furnace base</t>
  </si>
  <si>
    <t>500400_2019_12_</t>
  </si>
  <si>
    <t>Ceiling Insulation R5-R30 MFMR gas heat and electric cool base</t>
  </si>
  <si>
    <t>500450_2019_12_</t>
  </si>
  <si>
    <t>Ceiling Insulation R5-R38 MFMR electric furnace base</t>
  </si>
  <si>
    <t>500500_2019_12_</t>
  </si>
  <si>
    <t>Ceiling Insulation R5-R38 MFMR gas heat and electric cool base</t>
  </si>
  <si>
    <t>500550_2019_12_</t>
  </si>
  <si>
    <t>Ceiling Insulation R5-R49 MFMR electric furnace base</t>
  </si>
  <si>
    <t>500600_2019_12_</t>
  </si>
  <si>
    <t>Ceiling Insulation R5-R49 MFMR gas heat and electric cool base</t>
  </si>
  <si>
    <t>500650_2019_12_</t>
  </si>
  <si>
    <t>Ceiling Insulation R5-R60 MFMR electric furnace base</t>
  </si>
  <si>
    <t>500700_2019_12_</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</si>
  <si>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</si>
  <si>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</si>
  <si>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</si>
  <si>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</si>
  <si>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</si>
  <si>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</si>
  <si>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</si>
  <si>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</si>
  <si>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</si>
  <si>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</si>
  <si>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</si>
  <si>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t>Avg. size home 875.55 sq.ft.</t>
  </si>
  <si>
    <t>Assumed same as R5-R49</t>
  </si>
  <si>
    <t>Avg. size home 718.9 sq.ft.</t>
  </si>
  <si>
    <t>Assumed same as R5-R50</t>
  </si>
  <si>
    <t>Program. Tstat value</t>
  </si>
  <si>
    <t xml:space="preserve">MO - TRM </t>
  </si>
  <si>
    <t>500750_2019_12_</t>
  </si>
  <si>
    <t>Dirty Filter Alarm_MFMR</t>
  </si>
  <si>
    <t>500751_2019_12_</t>
  </si>
  <si>
    <r>
      <t>EFLH</t>
    </r>
    <r>
      <rPr>
        <i/>
        <vertAlign val="subscript"/>
        <sz val="11"/>
        <rFont val="Calibri Light"/>
        <family val="2"/>
        <scheme val="major"/>
      </rPr>
      <t>heat</t>
    </r>
  </si>
  <si>
    <t>Dirty Filter Alarm_MFLI</t>
  </si>
  <si>
    <t>Assumed all have Ameren as electric Utility provider.</t>
  </si>
  <si>
    <t>Assumed filter changes by customer require reinstallation</t>
  </si>
  <si>
    <t>MO-Evaluation</t>
  </si>
  <si>
    <r>
      <t>EFLH</t>
    </r>
    <r>
      <rPr>
        <i/>
        <vertAlign val="subscript"/>
        <sz val="11"/>
        <rFont val="Calibri Light"/>
        <family val="2"/>
        <scheme val="major"/>
      </rPr>
      <t>cool</t>
    </r>
  </si>
  <si>
    <t>EUL*</t>
  </si>
  <si>
    <t>500800_2021_12_</t>
  </si>
  <si>
    <t>ECM Auto Fan Early Replacement ER1 (Full Cost) - MFMR</t>
  </si>
  <si>
    <t>ECM Auto Fan Early Replacement ER2 (Remaining Life) - MFMR</t>
  </si>
  <si>
    <t>HVAC RES ER2</t>
  </si>
  <si>
    <r>
      <t xml:space="preserve">EFLH </t>
    </r>
    <r>
      <rPr>
        <vertAlign val="subscript"/>
        <sz val="11"/>
        <rFont val="Calibri Light"/>
        <family val="2"/>
        <scheme val="major"/>
      </rPr>
      <t>heating</t>
    </r>
  </si>
  <si>
    <r>
      <t xml:space="preserve">EFLH </t>
    </r>
    <r>
      <rPr>
        <i/>
        <vertAlign val="subscript"/>
        <sz val="11"/>
        <rFont val="Calibri Light"/>
        <family val="2"/>
        <scheme val="major"/>
      </rPr>
      <t>heating</t>
    </r>
  </si>
  <si>
    <r>
      <t xml:space="preserve">WI_EFLH </t>
    </r>
    <r>
      <rPr>
        <vertAlign val="subscript"/>
        <sz val="11"/>
        <rFont val="Calibri Light"/>
        <family val="2"/>
        <scheme val="major"/>
      </rPr>
      <t>heating</t>
    </r>
  </si>
  <si>
    <r>
      <t xml:space="preserve">WI_EFLH </t>
    </r>
    <r>
      <rPr>
        <i/>
        <vertAlign val="subscript"/>
        <sz val="11"/>
        <rFont val="Calibri Light"/>
        <family val="2"/>
        <scheme val="major"/>
      </rPr>
      <t>heating</t>
    </r>
  </si>
  <si>
    <t>ROF Efficiency Level Cost per Unit</t>
  </si>
  <si>
    <t>ER Efficiency Level ($) per Unit</t>
  </si>
  <si>
    <r>
      <t xml:space="preserve">EFLH </t>
    </r>
    <r>
      <rPr>
        <vertAlign val="subscript"/>
        <sz val="11"/>
        <rFont val="Calibri Light"/>
        <family val="2"/>
        <scheme val="major"/>
      </rPr>
      <t>cooling</t>
    </r>
  </si>
  <si>
    <r>
      <t xml:space="preserve">EFLH </t>
    </r>
    <r>
      <rPr>
        <i/>
        <vertAlign val="subscript"/>
        <sz val="11"/>
        <rFont val="Calibri Light"/>
        <family val="2"/>
        <scheme val="major"/>
      </rPr>
      <t>cooling</t>
    </r>
  </si>
  <si>
    <r>
      <t xml:space="preserve">WI_EFLH </t>
    </r>
    <r>
      <rPr>
        <vertAlign val="subscript"/>
        <sz val="11"/>
        <rFont val="Calibri Light"/>
        <family val="2"/>
        <scheme val="major"/>
      </rPr>
      <t>cooling</t>
    </r>
  </si>
  <si>
    <r>
      <rPr>
        <strike/>
        <sz val="11"/>
        <rFont val="Calibri"/>
        <family val="2"/>
        <scheme val="minor"/>
      </rPr>
      <t>SEER14</t>
    </r>
    <r>
      <rPr>
        <sz val="11"/>
        <rFont val="Calibri"/>
        <family val="2"/>
        <scheme val="minor"/>
      </rPr>
      <t xml:space="preserve"> ECM</t>
    </r>
  </si>
  <si>
    <r>
      <t xml:space="preserve">WI_EFLH </t>
    </r>
    <r>
      <rPr>
        <i/>
        <vertAlign val="subscript"/>
        <sz val="11"/>
        <rFont val="Calibri Light"/>
        <family val="2"/>
        <scheme val="major"/>
      </rPr>
      <t>cooling</t>
    </r>
  </si>
  <si>
    <t>% run time</t>
  </si>
  <si>
    <r>
      <rPr>
        <strike/>
        <sz val="11"/>
        <color rgb="FFFF0000"/>
        <rFont val="Calibri Light"/>
        <family val="2"/>
      </rPr>
      <t xml:space="preserve">Ameren Missouri HVAC PY2019 Evaluation (Table 4-13) </t>
    </r>
    <r>
      <rPr>
        <sz val="11"/>
        <color rgb="FFFF0000"/>
        <rFont val="Calibri Light"/>
        <family val="2"/>
      </rPr>
      <t>Ameren Missouri HVAC Program Evaluation PY2020 (Table 28)</t>
    </r>
  </si>
  <si>
    <t>500850_2019_12_</t>
  </si>
  <si>
    <t>500900_2019_12_</t>
  </si>
  <si>
    <t>500950_2019_12_</t>
  </si>
  <si>
    <t>501000_2019_12_</t>
  </si>
  <si>
    <t>501050_2019_12_</t>
  </si>
  <si>
    <t>LED - 12W (Halogen baseline)</t>
  </si>
  <si>
    <t>501100_2019_12_</t>
  </si>
  <si>
    <t>LED - 12W (Replacing CFL)</t>
  </si>
  <si>
    <t>501150_2019_12_</t>
  </si>
  <si>
    <t>501200_2019_12_</t>
  </si>
  <si>
    <t>501250_2019_12_</t>
  </si>
  <si>
    <t>501300_2019_12_</t>
  </si>
  <si>
    <t>501310_2020_12_</t>
  </si>
  <si>
    <t>LED - 11W Flood Light BR30 Bulb (Halogen baseline)</t>
  </si>
  <si>
    <t>501311_2020_12_</t>
  </si>
  <si>
    <t>501350_2019_12_</t>
  </si>
  <si>
    <t>501400_2019_12_</t>
  </si>
  <si>
    <t>501401_2019_12_</t>
  </si>
  <si>
    <t xml:space="preserve">LED - 6W (Halogen baseline) (310-749 lumens) </t>
  </si>
  <si>
    <t>501402_2021_12_</t>
  </si>
  <si>
    <t xml:space="preserve">LED - 6W (CFL baseline) (310-749 lumens) </t>
  </si>
  <si>
    <t xml:space="preserve">Statewide Formula: </t>
  </si>
  <si>
    <t>Updated UMP Method (based on initial install value from PY17 inventory)</t>
  </si>
  <si>
    <t xml:space="preserve">ADM 2017 Community Savers EM&amp;V </t>
  </si>
  <si>
    <t>Match to LED - 10W (Halogen baseline)</t>
  </si>
  <si>
    <t>Match to LED - 10W (CFL baseline)</t>
  </si>
  <si>
    <t>Faucet Aerators (Kitchen)</t>
  </si>
  <si>
    <t>501500_2021_12_</t>
  </si>
  <si>
    <t>Faucet Aerators (Kitchen) MFMR</t>
  </si>
  <si>
    <t>Assumed for MF Market.</t>
  </si>
  <si>
    <t>Matches EE Kits EM&amp;V.</t>
  </si>
  <si>
    <t xml:space="preserve">PY14 Community Savers Program Data </t>
  </si>
  <si>
    <t xml:space="preserve">PY15 Evaluation </t>
  </si>
  <si>
    <t>Faucet Aerators (Bathroom)</t>
  </si>
  <si>
    <t>501550_2021_12_</t>
  </si>
  <si>
    <t>Faucet Aerators (Bathroom) MFMR</t>
  </si>
  <si>
    <t>Multifamily Value</t>
  </si>
  <si>
    <t>Multifamily Source</t>
  </si>
  <si>
    <t>Low Flow Showerhead</t>
  </si>
  <si>
    <t>501600_2021_12_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</si>
  <si>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</si>
  <si>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</si>
  <si>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 xml:space="preserve">DeOreo, William, P. Mayer, L. Martien, M. Hayden, A. Funk, M. Kramer-Duffield, and R. Davis (2011). “California SingleFamily_x000D_
Water Use Efficiency Study.” </t>
  </si>
  <si>
    <t>Matches Community Savers EM&amp;V</t>
  </si>
  <si>
    <t>Retrieving data. Wait a few seconds and try to cut or copy again.</t>
  </si>
  <si>
    <t>Direct Install</t>
  </si>
  <si>
    <t>Time of Sale</t>
  </si>
  <si>
    <t>501650_2019_12_</t>
  </si>
  <si>
    <t>Advanced Tier 1 Power Strips / TOS/NC/DI - Home Office</t>
  </si>
  <si>
    <t>501700_2019_12_</t>
  </si>
  <si>
    <t>501750_2019_12_</t>
  </si>
  <si>
    <t>Advanced Tier 1 Power Strips / TOS/NC/DI - Home Entertainment</t>
  </si>
  <si>
    <t>501800_2019_12_</t>
  </si>
  <si>
    <t>501850_2019_12_</t>
  </si>
  <si>
    <t>Advanced Tier 1 Power Strips / TOS/NC/DI - Unknown Location</t>
  </si>
  <si>
    <t>501900_2019_12_</t>
  </si>
  <si>
    <t>Location</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</si>
  <si>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</si>
  <si>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</si>
  <si>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</si>
  <si>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</si>
  <si>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</si>
  <si>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</si>
  <si>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</si>
  <si>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</si>
  <si>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</si>
  <si>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</si>
  <si>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Online market research (matches Products)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</si>
  <si>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</si>
  <si>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</si>
  <si>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</si>
  <si>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</si>
  <si>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</si>
  <si>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</si>
  <si>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</si>
  <si>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</si>
  <si>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</si>
  <si>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</si>
  <si>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</si>
  <si>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</si>
  <si>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t>Energy factor (gallons/watt-hr)  in high speed (hs) using multi-speed pump</t>
  </si>
  <si>
    <t>Energy factor (gallons/watt-hr)  in low speed (ls) using multi-speed pump</t>
  </si>
  <si>
    <t>502450_2019_12_</t>
  </si>
  <si>
    <t>Refrigerator - early replacement ER1 (full cost)   -  MFMR</t>
  </si>
  <si>
    <t xml:space="preserve">Refrigerator - early replacement ER2 (remaining life) - MFMR </t>
  </si>
  <si>
    <t>Reference Table, kWh Use</t>
  </si>
  <si>
    <t>PY16EM&amp;V - Community Savers</t>
  </si>
  <si>
    <t>RESIDENTIAL APPLIANCE RECYCLING</t>
  </si>
  <si>
    <t>Refrigerator Recycling</t>
  </si>
  <si>
    <t>550050_2019_12_</t>
  </si>
  <si>
    <t>Appliance Recycling</t>
  </si>
  <si>
    <t>Refrigerator recycling (pre-1990)</t>
  </si>
  <si>
    <t>550100_2019_12_</t>
  </si>
  <si>
    <t>Refrigerator recycling (post-1990)</t>
  </si>
  <si>
    <t>UEC</t>
  </si>
  <si>
    <t>Unit Energy Consumption</t>
  </si>
  <si>
    <t>Cadmus evaluation of Ameren Missouri refrigerator recycling program year 2015</t>
  </si>
  <si>
    <t>Part Use Factor</t>
  </si>
  <si>
    <t>To account for units not used throughout the entire year</t>
  </si>
  <si>
    <t>Ameren Missouri Appliance Recycling Evaluation PY2019 survey results</t>
  </si>
  <si>
    <r>
      <t>Freezer</t>
    </r>
    <r>
      <rPr>
        <sz val="11"/>
        <color rgb="FFFF0000"/>
        <rFont val="Calibri"/>
        <family val="2"/>
        <scheme val="minor"/>
      </rPr>
      <t xml:space="preserve"> Recycling</t>
    </r>
  </si>
  <si>
    <t>550150_2019_12_</t>
  </si>
  <si>
    <t>Freezer recycling</t>
  </si>
  <si>
    <t>Freezer RES</t>
  </si>
  <si>
    <t>Room AC Recycling</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</si>
  <si>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</si>
  <si>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</si>
  <si>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</si>
  <si>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</si>
  <si>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</si>
  <si>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</si>
  <si>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</si>
  <si>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</si>
  <si>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</si>
  <si>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</si>
  <si>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</si>
  <si>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EERexist</t>
  </si>
  <si>
    <t>Efficiency of recycled unit</t>
  </si>
  <si>
    <t>% replaced</t>
  </si>
  <si>
    <t>Percentage of units dropped off that are replaced</t>
  </si>
  <si>
    <t>EERNewBase</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</si>
  <si>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</si>
  <si>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</si>
  <si>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</si>
  <si>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</si>
  <si>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</si>
  <si>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</si>
  <si>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</si>
  <si>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</si>
  <si>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</si>
  <si>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</si>
  <si>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Measure [1]</t>
  </si>
  <si>
    <t>Gross kWh Annual Savings [2]</t>
  </si>
  <si>
    <t>End Use [3]</t>
  </si>
  <si>
    <t>kW Factor [4]</t>
  </si>
  <si>
    <t>kW (Annual) [5]</t>
  </si>
  <si>
    <t>600050_2020_12_</t>
  </si>
  <si>
    <t>DR</t>
  </si>
  <si>
    <t>per thermostat</t>
  </si>
  <si>
    <t>600100_2021_12_</t>
  </si>
  <si>
    <t xml:space="preserve">[Note 1] </t>
  </si>
  <si>
    <t xml:space="preserve">[Note 2] </t>
  </si>
  <si>
    <t>Source for Savings: Ameren MO PY2019 Final Report
Demand Impact, Per Device:  Table 4-13. Residential DR Program – Resource Capability Impacts
Optimization Energy Savings Summary, Per Device: Table 4-19. Residential DR Program – Device Optimization Energy Savings Summary</t>
  </si>
  <si>
    <t>[Note 3]</t>
  </si>
  <si>
    <t xml:space="preserve">[Note 4] </t>
  </si>
  <si>
    <t>The kW factor based on end use is not used because the actual demand impacts are directly measured.</t>
  </si>
  <si>
    <t xml:space="preserve">[Note 5] </t>
  </si>
  <si>
    <t xml:space="preserve">Demand savings are calculated for demand response events, therefore no demand savings are calculated based on the energy savings for this measure. For planning estimates a value of 1.41 kW/thermostat is assumed based on the PY19 evaluation results. </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</si>
  <si>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</si>
  <si>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</si>
  <si>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RESIDENTIAL</t>
  </si>
  <si>
    <t>Source: Ameren MO PY2019 Final Report</t>
  </si>
  <si>
    <t>Demand Impact, Per Device:  Table 4-13. Residential DR Program – Resource Capability Impacts</t>
  </si>
  <si>
    <t>Optimization Energy Savings Summary, Per Device: Table 4-19. Residential DR Program – Device Optimization Energy Savings Summary</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</si>
  <si>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</si>
  <si>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</si>
  <si>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</si>
  <si>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t>PROGRAMS:  All</t>
  </si>
  <si>
    <t>800050_2019_12_</t>
  </si>
  <si>
    <t>C&amp;I</t>
  </si>
  <si>
    <t>LED &lt;=11 Watt Lamp Replacing Interior Halogen A 28-52 Watt Lamp</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</si>
  <si>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</si>
  <si>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</si>
  <si>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</si>
  <si>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</si>
  <si>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</si>
  <si>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</si>
  <si>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</si>
  <si>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</si>
  <si>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</si>
  <si>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</si>
  <si>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</si>
  <si>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</si>
  <si>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</si>
  <si>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</si>
  <si>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</si>
  <si>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</si>
  <si>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</si>
  <si>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</si>
  <si>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</si>
  <si>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</si>
  <si>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</si>
  <si>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</si>
  <si>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</si>
  <si>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</si>
  <si>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</si>
  <si>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</si>
  <si>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</si>
  <si>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</si>
  <si>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</si>
  <si>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</si>
  <si>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800800_2020_12_</t>
  </si>
  <si>
    <t xml:space="preserve">LED Replacing Interior T5 Fluorescent (Type A / Hybrid) </t>
  </si>
  <si>
    <t>800801_2020_12_</t>
  </si>
  <si>
    <t>800850_2020_12_</t>
  </si>
  <si>
    <t xml:space="preserve">LED Replacing Interior T8 Fluorescent (Type A / Hybrid) </t>
  </si>
  <si>
    <t>800851_2020_12_</t>
  </si>
  <si>
    <t>800900_2020_12_</t>
  </si>
  <si>
    <t xml:space="preserve">LED Replacing Interior T12 Fluorescent (Type A / Hybrid) </t>
  </si>
  <si>
    <t>800901_2020_12_</t>
  </si>
  <si>
    <t>800950_2019_12_</t>
  </si>
  <si>
    <t>LED Specialty Lamp</t>
  </si>
  <si>
    <t>Evaluation Formula</t>
  </si>
  <si>
    <t>Watts Base</t>
  </si>
  <si>
    <t>Watts EE</t>
  </si>
  <si>
    <t>HOU</t>
  </si>
  <si>
    <t>WHFe + -IFkWh</t>
  </si>
  <si>
    <t>Lighting - Occupancy Sensor Lighting Controls</t>
  </si>
  <si>
    <t>801010_2020_07</t>
  </si>
  <si>
    <t>Fixture Mounted Occupancy Sensor Controlling &gt; 60 Watts</t>
  </si>
  <si>
    <t>801020_2020_07</t>
  </si>
  <si>
    <t>Remote Mounted Occupancy Sensor Controlling &gt; 150 Watts</t>
  </si>
  <si>
    <t>kWControlled</t>
  </si>
  <si>
    <t>ESF</t>
  </si>
  <si>
    <t>ESF =Energy Savings factor (represents the percentage reduction to the operating Hours from the non-controlled baseline lighting system). Determined on a site-specific basis or use 24% as default value</t>
  </si>
  <si>
    <t>Lighting - LED with Network Controls</t>
  </si>
  <si>
    <t>801225_2020_12_</t>
  </si>
  <si>
    <t>LED Retrofit Kit with Network Controls Replacing Interior T5 Fluorescent</t>
  </si>
  <si>
    <t>801227_2020_12_</t>
  </si>
  <si>
    <t>LED Fixture with Network Controls Replacing Interior T5 Fluorescent</t>
  </si>
  <si>
    <t>801229_2020_12_</t>
  </si>
  <si>
    <t>LED Retrofit Kit with Network Controls Replacing Interior T8 Fluorescent</t>
  </si>
  <si>
    <t>801231_2020_12_</t>
  </si>
  <si>
    <t>LED Fixture with Network Controls Replacing Interior T8 Fluorescent</t>
  </si>
  <si>
    <t>801233_2020_12_</t>
  </si>
  <si>
    <t>LED Retrofit Kit with Network Controls Replacing Interior T12 Fluorescent</t>
  </si>
  <si>
    <t>801235_2020_12_</t>
  </si>
  <si>
    <t>LED Fixture with Network Controls Replacing Interior T12 Fluorescent</t>
  </si>
  <si>
    <t>801237_2020_12_</t>
  </si>
  <si>
    <t>LED Retrofit Kit with Network Controls Replacing Interior HID</t>
  </si>
  <si>
    <t>801239_2020_12_</t>
  </si>
  <si>
    <t>LED Fixture with Network Controls Replacing Interior HID</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</si>
  <si>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</si>
  <si>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</si>
  <si>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</si>
  <si>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</si>
  <si>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</si>
  <si>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</si>
  <si>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</si>
  <si>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</si>
  <si>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</si>
  <si>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</si>
  <si>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</si>
  <si>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</si>
  <si>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</si>
  <si>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</si>
  <si>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</si>
  <si>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</si>
  <si>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</si>
  <si>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</si>
  <si>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</si>
  <si>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</si>
  <si>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</si>
  <si>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</si>
  <si>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</si>
  <si>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</si>
  <si>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</si>
  <si>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</si>
  <si>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</si>
  <si>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</si>
  <si>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</si>
  <si>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</si>
  <si>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</si>
  <si>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</si>
  <si>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</si>
  <si>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</si>
  <si>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</si>
  <si>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</si>
  <si>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</si>
  <si>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</si>
  <si>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</si>
  <si>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</si>
  <si>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</si>
  <si>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</si>
  <si>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Freezer</t>
  </si>
  <si>
    <t>(A x V) + B</t>
  </si>
  <si>
    <t>(C x V) + D</t>
  </si>
  <si>
    <t>V</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</si>
  <si>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</si>
  <si>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</si>
  <si>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</si>
  <si>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</si>
  <si>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</si>
  <si>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</si>
  <si>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</si>
  <si>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</si>
  <si>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</si>
  <si>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</si>
  <si>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</si>
  <si>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</si>
  <si>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</si>
  <si>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</si>
  <si>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</si>
  <si>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</si>
  <si>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</si>
  <si>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</si>
  <si>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</si>
  <si>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</si>
  <si>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</si>
  <si>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</si>
  <si>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</si>
  <si>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</si>
  <si>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</si>
  <si>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</si>
  <si>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</si>
  <si>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</si>
  <si>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</si>
  <si>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</si>
  <si>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</si>
  <si>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</si>
  <si>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</si>
  <si>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</si>
  <si>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</si>
  <si>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</si>
  <si>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</si>
  <si>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</si>
  <si>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</si>
  <si>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</si>
  <si>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</si>
  <si>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</si>
  <si>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</si>
  <si>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</si>
  <si>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</si>
  <si>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</si>
  <si>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</si>
  <si>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</si>
  <si>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</si>
  <si>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</si>
  <si>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</si>
  <si>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</si>
  <si>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</si>
  <si>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</si>
  <si>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</si>
  <si>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</si>
  <si>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</si>
  <si>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</si>
  <si>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</si>
  <si>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</si>
  <si>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</si>
  <si>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</si>
  <si>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</si>
  <si>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</si>
  <si>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</si>
  <si>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</si>
  <si>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</si>
  <si>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</si>
  <si>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</si>
  <si>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</si>
  <si>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</si>
  <si>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</si>
  <si>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</si>
  <si>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</si>
  <si>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</si>
  <si>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</si>
  <si>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</si>
  <si>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</si>
  <si>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</si>
  <si>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</si>
  <si>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</si>
  <si>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</si>
  <si>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</si>
  <si>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</si>
  <si>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</si>
  <si>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</si>
  <si>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</si>
  <si>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</si>
  <si>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</si>
  <si>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</si>
  <si>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</si>
  <si>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</si>
  <si>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</si>
  <si>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</si>
  <si>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</si>
  <si>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</si>
  <si>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</si>
  <si>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</si>
  <si>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</si>
  <si>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</si>
  <si>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</si>
  <si>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</si>
  <si>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</si>
  <si>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</si>
  <si>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</si>
  <si>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</si>
  <si>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</si>
  <si>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</si>
  <si>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r>
      <t xml:space="preserve">13 </t>
    </r>
    <r>
      <rPr>
        <sz val="11"/>
        <rFont val="Calibri"/>
        <family val="2"/>
      </rPr>
      <t>≤ V &lt;28</t>
    </r>
  </si>
  <si>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</si>
  <si>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</si>
  <si>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</si>
  <si>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</si>
  <si>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</si>
  <si>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</si>
  <si>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</si>
  <si>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</si>
  <si>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</si>
  <si>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</si>
  <si>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</si>
  <si>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</si>
  <si>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</si>
  <si>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</si>
  <si>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</si>
  <si>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</si>
  <si>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</si>
  <si>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</si>
  <si>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803100_2020_07_</t>
  </si>
  <si>
    <t>VFD on Chilled Water Pump &gt;= 1HP</t>
  </si>
  <si>
    <t>per Hp</t>
  </si>
  <si>
    <t>803150_2020_07_</t>
  </si>
  <si>
    <t>VFD on Hot Water Pump &gt;= 1HP</t>
  </si>
  <si>
    <t>HVAC BUS</t>
  </si>
  <si>
    <t>803155_2020_07_</t>
  </si>
  <si>
    <t>VFD on Condenser Water Pump &gt;= 1HP</t>
  </si>
  <si>
    <t>803160_2020_07_</t>
  </si>
  <si>
    <t>VFD on Cooling Tower Fan &gt;= 1HP</t>
  </si>
  <si>
    <t>BHP</t>
  </si>
  <si>
    <t>EEFi</t>
  </si>
  <si>
    <t>803200_2020_07_</t>
  </si>
  <si>
    <t xml:space="preserve"> VFD on HVAC Fans &gt;= 1HP </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</si>
  <si>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</si>
  <si>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</si>
  <si>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</si>
  <si>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</si>
  <si>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</si>
  <si>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</si>
  <si>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</si>
  <si>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</si>
  <si>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</si>
  <si>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</si>
  <si>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</si>
  <si>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</si>
  <si>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</si>
  <si>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ηmotor</t>
  </si>
  <si>
    <t>RHRSBase</t>
  </si>
  <si>
    <t>ControlTypeFactorBase</t>
  </si>
  <si>
    <t>ControlTypeFactorEff</t>
  </si>
  <si>
    <t>IEenergy</t>
  </si>
  <si>
    <t>kWh Annual Savings (per ton)</t>
  </si>
  <si>
    <t>803250_2020_07_</t>
  </si>
  <si>
    <t>Single Packag or Split Sytem Unitary AC_DX 135 - 240kbtu</t>
  </si>
  <si>
    <t>per ton</t>
  </si>
  <si>
    <t>803300_2020_07_</t>
  </si>
  <si>
    <t>Single Packag or Split Sytem Unitary AC_DX 240 - 760kbtu</t>
  </si>
  <si>
    <t>803350_2020_07_</t>
  </si>
  <si>
    <t>Single Packag or Split Sytem Unitary AC_DX 65 -135kbtu</t>
  </si>
  <si>
    <t>803400_2020_07_</t>
  </si>
  <si>
    <t>Single Packag or Split Sytem Unitary AC_DX &gt;760kbtu</t>
  </si>
  <si>
    <t>803450_2020_07_</t>
  </si>
  <si>
    <t>Single Packag or Split Sytem Unitary AC_DX &lt;65kbtu</t>
  </si>
  <si>
    <t>&lt;65 kBtu/hr</t>
  </si>
  <si>
    <r>
      <rPr>
        <b/>
        <sz val="11"/>
        <rFont val="Calibri"/>
        <family val="2"/>
      </rPr>
      <t>≥</t>
    </r>
    <r>
      <rPr>
        <b/>
        <sz val="11"/>
        <rFont val="Calibri"/>
        <family val="2"/>
        <scheme val="minor"/>
      </rPr>
      <t>65 kBtu/hr</t>
    </r>
  </si>
  <si>
    <t>kBtu/hrCool</t>
  </si>
  <si>
    <t>SEERBase/
IEERBase</t>
  </si>
  <si>
    <t>SEERee/
IEERee</t>
  </si>
  <si>
    <t>EFLH</t>
  </si>
  <si>
    <t>Cooling</t>
  </si>
  <si>
    <t>Heating</t>
  </si>
  <si>
    <t>Cooling kWh Annual Savings (per ton)</t>
  </si>
  <si>
    <t>Inc. Cost     (per ton)</t>
  </si>
  <si>
    <t>803500_2019_12_</t>
  </si>
  <si>
    <t>GSHP &lt;135kbtu; ≥17EER</t>
  </si>
  <si>
    <t>803550_2019_12_</t>
  </si>
  <si>
    <t>GSHP &lt;135kbtu; ≥19EER</t>
  </si>
  <si>
    <t>803600_2020_07_</t>
  </si>
  <si>
    <t>ASHP 65 - 135kbtu</t>
  </si>
  <si>
    <t>803650_2020_07_</t>
  </si>
  <si>
    <t>ASHP 135 - 240kbtu</t>
  </si>
  <si>
    <t>803700_2020_07_</t>
  </si>
  <si>
    <t>ASHP &gt;240kbtu</t>
  </si>
  <si>
    <t>803750_2020_07_</t>
  </si>
  <si>
    <t>ASHP &lt;65kbtu</t>
  </si>
  <si>
    <r>
      <rPr>
        <b/>
        <sz val="10"/>
        <rFont val="Calibri"/>
        <family val="2"/>
      </rPr>
      <t>≥</t>
    </r>
    <r>
      <rPr>
        <b/>
        <sz val="10"/>
        <rFont val="Calibri"/>
        <family val="2"/>
        <scheme val="minor"/>
      </rPr>
      <t>65 kBtu/hr</t>
    </r>
  </si>
  <si>
    <t>EERBase</t>
  </si>
  <si>
    <t>EERee</t>
  </si>
  <si>
    <t>SEERbase/
IEERbase</t>
  </si>
  <si>
    <t>COPbase</t>
  </si>
  <si>
    <t>COPee</t>
  </si>
  <si>
    <t>HSPFBase</t>
  </si>
  <si>
    <t>kBtu/hrHeat</t>
  </si>
  <si>
    <t>EFLHHeat</t>
  </si>
  <si>
    <t>Comment</t>
  </si>
  <si>
    <t>COPee values from Trane product catalog</t>
  </si>
  <si>
    <t>HSPFee values from Trane product catalog</t>
  </si>
  <si>
    <t>Inc. Cost (per ton)</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</si>
  <si>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</si>
  <si>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</si>
  <si>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</si>
  <si>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</si>
  <si>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</si>
  <si>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</si>
  <si>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</si>
  <si>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</si>
  <si>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</si>
  <si>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</si>
  <si>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</si>
  <si>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</si>
  <si>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</si>
  <si>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</si>
  <si>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</si>
  <si>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</si>
  <si>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</si>
  <si>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</si>
  <si>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</si>
  <si>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</si>
  <si>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</si>
  <si>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</si>
  <si>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</si>
  <si>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</si>
  <si>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</si>
  <si>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</si>
  <si>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</si>
  <si>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</si>
  <si>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</si>
  <si>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</si>
  <si>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</si>
  <si>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</si>
  <si>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</si>
  <si>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</si>
  <si>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</si>
  <si>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</si>
  <si>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</si>
  <si>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</si>
  <si>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</si>
  <si>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</si>
  <si>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</si>
  <si>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</si>
  <si>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</si>
  <si>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</si>
  <si>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</si>
  <si>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</si>
  <si>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</si>
  <si>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</si>
  <si>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</si>
  <si>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</si>
  <si>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</si>
  <si>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</si>
  <si>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</si>
  <si>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</si>
  <si>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</si>
  <si>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</si>
  <si>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</si>
  <si>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</si>
  <si>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</si>
  <si>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</si>
  <si>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</si>
  <si>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</si>
  <si>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</si>
  <si>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</si>
  <si>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</si>
  <si>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</si>
  <si>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</si>
  <si>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</si>
  <si>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</si>
  <si>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</si>
  <si>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</si>
  <si>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</si>
  <si>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</si>
  <si>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</si>
  <si>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</si>
  <si>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</si>
  <si>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805000_2020_07_</t>
  </si>
  <si>
    <t>VSD Air Compressor 5-40 HP</t>
  </si>
  <si>
    <t>"=(127*HPcomp)+1446"</t>
  </si>
  <si>
    <t>per HP</t>
  </si>
  <si>
    <t>hpcompressor</t>
  </si>
  <si>
    <t>CFb</t>
  </si>
  <si>
    <t>Cfe</t>
  </si>
  <si>
    <t>Combination Oven</t>
  </si>
  <si>
    <t>805050_2019_12_</t>
  </si>
  <si>
    <t>Combination Oven (Pan Capacity &lt; 15)</t>
  </si>
  <si>
    <t>805100_2019_12_</t>
  </si>
  <si>
    <r>
      <t xml:space="preserve">Combination Oven (Pan Capacity </t>
    </r>
    <r>
      <rPr>
        <sz val="11"/>
        <rFont val="Calibri"/>
        <family val="2"/>
      </rPr>
      <t>≥</t>
    </r>
    <r>
      <rPr>
        <sz val="9.9"/>
        <rFont val="Calibri"/>
        <family val="2"/>
      </rPr>
      <t xml:space="preserve"> 15</t>
    </r>
    <r>
      <rPr>
        <sz val="11"/>
        <rFont val="Calibri"/>
        <family val="2"/>
        <scheme val="minor"/>
      </rPr>
      <t>)</t>
    </r>
  </si>
  <si>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</si>
  <si>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</si>
  <si>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</si>
  <si>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</si>
  <si>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</si>
  <si>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</si>
  <si>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</si>
  <si>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</si>
  <si>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</si>
  <si>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</si>
  <si>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</si>
  <si>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</si>
  <si>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</si>
  <si>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</si>
  <si>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</si>
  <si>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</si>
  <si>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</si>
  <si>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</si>
  <si>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</si>
  <si>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</si>
  <si>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</si>
  <si>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</si>
  <si>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</si>
  <si>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</si>
  <si>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</si>
  <si>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</si>
  <si>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</si>
  <si>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</si>
  <si>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</si>
  <si>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</si>
  <si>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</si>
  <si>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</si>
  <si>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</si>
  <si>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</si>
  <si>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</si>
  <si>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</si>
  <si>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</si>
  <si>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</si>
  <si>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</si>
  <si>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</si>
  <si>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</si>
  <si>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</si>
  <si>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</si>
  <si>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</si>
  <si>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Kitchen Demand Ventilation Controls</t>
  </si>
  <si>
    <t>Inc. Cost (per Hp)</t>
  </si>
  <si>
    <t>805405_2020_07_</t>
  </si>
  <si>
    <t>Kitchen Demand Ventilation Controls, Retrofit</t>
  </si>
  <si>
    <t>805410_2020_07_</t>
  </si>
  <si>
    <t>Kitchen Demand Ventilation Controls, New</t>
  </si>
  <si>
    <t>Savings per HP (kWh)</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</si>
  <si>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</si>
  <si>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</si>
  <si>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</si>
  <si>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</si>
  <si>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</si>
  <si>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</si>
  <si>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</si>
  <si>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</si>
  <si>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</si>
  <si>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</si>
  <si>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</si>
  <si>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</si>
  <si>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</si>
  <si>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</si>
  <si>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</si>
  <si>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</si>
  <si>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</si>
  <si>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</si>
  <si>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</si>
  <si>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</si>
  <si>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</si>
  <si>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</si>
  <si>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</si>
  <si>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</si>
  <si>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</si>
  <si>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Savings Factor kWh/sqft-yr</t>
  </si>
  <si>
    <t>PF</t>
  </si>
  <si>
    <t>805650_2019_12_</t>
  </si>
  <si>
    <t>Demand Controlled Ventillation (Gas Heat)</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</si>
  <si>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</si>
  <si>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</si>
  <si>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</si>
  <si>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</si>
  <si>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</si>
  <si>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</si>
  <si>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</si>
  <si>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</si>
  <si>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</si>
  <si>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</si>
  <si>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</si>
  <si>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</si>
  <si>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</si>
  <si>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</si>
  <si>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</si>
  <si>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</si>
  <si>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</si>
  <si>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</si>
  <si>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</si>
  <si>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</si>
  <si>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</si>
  <si>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</si>
  <si>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</si>
  <si>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</si>
  <si>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</si>
  <si>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</si>
  <si>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</si>
  <si>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</si>
  <si>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</si>
  <si>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</si>
  <si>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</si>
  <si>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</si>
  <si>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</si>
  <si>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</si>
  <si>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</si>
  <si>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</si>
  <si>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</si>
  <si>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</si>
  <si>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</si>
  <si>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High Volume Low Speed Fans</t>
  </si>
  <si>
    <t>kWh Annual Savings (per measure)</t>
  </si>
  <si>
    <t>806100_2020_07_</t>
  </si>
  <si>
    <t>High Volume Low Speed Fan, 20</t>
  </si>
  <si>
    <t>806110_2020_07_</t>
  </si>
  <si>
    <t>High Volume Low Speed Fan, 22</t>
  </si>
  <si>
    <t>806120_2020_07_</t>
  </si>
  <si>
    <t>High Volume Low Speed Fan, 24</t>
  </si>
  <si>
    <t>Savings per Fan (kWh)</t>
  </si>
  <si>
    <t>Fans</t>
  </si>
  <si>
    <t>Custom Measure</t>
  </si>
  <si>
    <t>999999_2019_12</t>
  </si>
  <si>
    <t>Custom</t>
  </si>
  <si>
    <t>Variable</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</si>
  <si>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</si>
  <si>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</si>
  <si>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</si>
  <si>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</si>
  <si>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</si>
  <si>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</si>
  <si>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</si>
  <si>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</si>
  <si>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</si>
  <si>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</si>
  <si>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</si>
  <si>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</si>
  <si>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</si>
  <si>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</si>
  <si>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</si>
  <si>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</si>
  <si>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</si>
  <si>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</si>
  <si>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</si>
  <si>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</si>
  <si>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</si>
  <si>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</si>
  <si>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</si>
  <si>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</si>
  <si>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</si>
  <si>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</si>
  <si>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</si>
  <si>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</si>
  <si>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</si>
  <si>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</si>
  <si>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</si>
  <si>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</si>
  <si>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</si>
  <si>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</si>
  <si>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</si>
  <si>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</si>
  <si>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</si>
  <si>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</si>
  <si>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</si>
  <si>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</si>
  <si>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</si>
  <si>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</si>
  <si>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</si>
  <si>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</si>
  <si>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</si>
  <si>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</si>
  <si>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</si>
  <si>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</si>
  <si>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</si>
  <si>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</si>
  <si>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</si>
  <si>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</si>
  <si>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</si>
  <si>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</si>
  <si>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</si>
  <si>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</si>
  <si>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</si>
  <si>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</si>
  <si>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</si>
  <si>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</si>
  <si>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</si>
  <si>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</si>
  <si>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</si>
  <si>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</si>
  <si>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</si>
  <si>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</si>
  <si>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</si>
  <si>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</si>
  <si>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</si>
  <si>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</si>
  <si>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</si>
  <si>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</si>
  <si>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</si>
  <si>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</si>
  <si>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</si>
  <si>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</si>
  <si>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</si>
  <si>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</si>
  <si>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</si>
  <si>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</si>
  <si>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</si>
  <si>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</si>
  <si>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</si>
  <si>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</si>
  <si>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</si>
  <si>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</si>
  <si>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</si>
  <si>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</si>
  <si>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</si>
  <si>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</si>
  <si>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</si>
  <si>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</si>
  <si>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</si>
  <si>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</si>
  <si>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</si>
  <si>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</si>
  <si>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</si>
  <si>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</si>
  <si>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</si>
  <si>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</si>
  <si>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</si>
  <si>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</si>
  <si>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</si>
  <si>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</si>
  <si>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</si>
  <si>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</si>
  <si>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</si>
  <si>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</si>
  <si>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</si>
  <si>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</si>
  <si>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</si>
  <si>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</si>
  <si>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</si>
  <si>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</si>
  <si>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</si>
  <si>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</si>
  <si>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</si>
  <si>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</si>
  <si>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</si>
  <si>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</si>
  <si>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</si>
  <si>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</si>
  <si>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</si>
  <si>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</si>
  <si>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</si>
  <si>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</si>
  <si>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</si>
  <si>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</si>
  <si>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</si>
  <si>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</si>
  <si>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</si>
  <si>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</si>
  <si>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</si>
  <si>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</si>
  <si>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</si>
  <si>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</si>
  <si>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</si>
  <si>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</si>
  <si>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</si>
  <si>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</si>
  <si>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</si>
  <si>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</si>
  <si>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</si>
  <si>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</si>
  <si>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</si>
  <si>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</si>
  <si>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</si>
  <si>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</si>
  <si>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</si>
  <si>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</si>
  <si>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</si>
  <si>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</si>
  <si>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</si>
  <si>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</si>
  <si>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</si>
  <si>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</si>
  <si>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</si>
  <si>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</si>
  <si>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</si>
  <si>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</si>
  <si>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</si>
  <si>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</si>
  <si>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</si>
  <si>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</si>
  <si>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</si>
  <si>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</si>
  <si>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</si>
  <si>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</si>
  <si>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</si>
  <si>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</si>
  <si>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</si>
  <si>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</si>
  <si>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</si>
  <si>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</si>
  <si>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</si>
  <si>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</si>
  <si>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</si>
  <si>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</si>
  <si>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</si>
  <si>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</si>
  <si>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</si>
  <si>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</si>
  <si>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</si>
  <si>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</si>
  <si>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</si>
  <si>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</si>
  <si>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</si>
  <si>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</si>
  <si>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</si>
  <si>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</si>
  <si>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</si>
  <si>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</si>
  <si>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</si>
  <si>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</si>
  <si>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</si>
  <si>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</si>
  <si>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</si>
  <si>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</si>
  <si>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</si>
  <si>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</si>
  <si>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</si>
  <si>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</si>
  <si>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</si>
  <si>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</si>
  <si>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</si>
  <si>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</si>
  <si>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</si>
  <si>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</si>
  <si>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</si>
  <si>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</si>
  <si>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</si>
  <si>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</si>
  <si>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</si>
  <si>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</si>
  <si>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</si>
  <si>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</si>
  <si>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</si>
  <si>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</si>
  <si>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</si>
  <si>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</si>
  <si>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</si>
  <si>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</si>
  <si>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</si>
  <si>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</si>
  <si>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</si>
  <si>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</si>
  <si>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</si>
  <si>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</si>
  <si>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</si>
  <si>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</si>
  <si>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</si>
  <si>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</si>
  <si>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</si>
  <si>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</si>
  <si>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</si>
  <si>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</si>
  <si>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</si>
  <si>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</si>
  <si>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</si>
  <si>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</si>
  <si>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</si>
  <si>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</si>
  <si>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</si>
  <si>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</si>
  <si>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</si>
  <si>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</si>
  <si>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</si>
  <si>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</si>
  <si>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</si>
  <si>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</si>
  <si>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</si>
  <si>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</si>
  <si>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</si>
  <si>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</si>
  <si>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</si>
  <si>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</si>
  <si>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</si>
  <si>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</si>
  <si>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</si>
  <si>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</si>
  <si>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</si>
  <si>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</si>
  <si>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</si>
  <si>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</si>
  <si>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</si>
  <si>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</si>
  <si>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</si>
  <si>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</si>
  <si>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</si>
  <si>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</si>
  <si>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</si>
  <si>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</si>
  <si>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</si>
  <si>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</si>
  <si>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</si>
  <si>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</si>
  <si>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</si>
  <si>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</si>
  <si>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</si>
  <si>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</si>
  <si>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</si>
  <si>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</si>
  <si>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</si>
  <si>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</si>
  <si>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</si>
  <si>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</si>
  <si>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</si>
  <si>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</si>
  <si>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</si>
  <si>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</si>
  <si>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</si>
  <si>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</si>
  <si>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</si>
  <si>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</si>
  <si>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</si>
  <si>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</si>
  <si>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</si>
  <si>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</si>
  <si>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</si>
  <si>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</si>
  <si>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</si>
  <si>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</si>
  <si>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</si>
  <si>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</si>
  <si>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</si>
  <si>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</si>
  <si>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</si>
  <si>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</si>
  <si>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</si>
  <si>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</si>
  <si>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</si>
  <si>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</si>
  <si>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</si>
  <si>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</si>
  <si>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</si>
  <si>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</si>
  <si>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</si>
  <si>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</si>
  <si>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</si>
  <si>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</si>
  <si>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</si>
  <si>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</si>
  <si>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</si>
  <si>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</si>
  <si>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</si>
  <si>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</si>
  <si>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</si>
  <si>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</si>
  <si>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</si>
  <si>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</si>
  <si>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</si>
  <si>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</si>
  <si>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</si>
  <si>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</si>
  <si>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</si>
  <si>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</si>
  <si>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</si>
  <si>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</si>
  <si>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</si>
  <si>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</si>
  <si>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</si>
  <si>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</si>
  <si>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</si>
  <si>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</si>
  <si>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</si>
  <si>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</si>
  <si>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</si>
  <si>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</si>
  <si>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</si>
  <si>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</si>
  <si>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</si>
  <si>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</si>
  <si>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</si>
  <si>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</si>
  <si>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</si>
  <si>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</si>
  <si>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</si>
  <si>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</si>
  <si>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</si>
  <si>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</si>
  <si>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</si>
  <si>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</si>
  <si>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</si>
  <si>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</si>
  <si>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</si>
  <si>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</si>
  <si>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</si>
  <si>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</si>
  <si>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</si>
  <si>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</si>
  <si>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</si>
  <si>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</si>
  <si>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</si>
  <si>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</si>
  <si>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</si>
  <si>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</si>
  <si>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</si>
  <si>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</si>
  <si>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</si>
  <si>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</si>
  <si>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</si>
  <si>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</si>
  <si>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</si>
  <si>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</si>
  <si>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</si>
  <si>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</si>
  <si>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</si>
  <si>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</si>
  <si>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</si>
  <si>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</si>
  <si>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</si>
  <si>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</si>
  <si>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</si>
  <si>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</si>
  <si>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</si>
  <si>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</si>
  <si>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</si>
  <si>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</si>
  <si>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</si>
  <si>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</si>
  <si>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</si>
  <si>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</si>
  <si>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</si>
  <si>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</si>
  <si>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</si>
  <si>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</si>
  <si>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</si>
  <si>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</si>
  <si>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</si>
  <si>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</si>
  <si>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</si>
  <si>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</si>
  <si>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</si>
  <si>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</si>
  <si>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</si>
  <si>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</si>
  <si>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</si>
  <si>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</si>
  <si>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</si>
  <si>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</si>
  <si>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</si>
  <si>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</si>
  <si>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</si>
  <si>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</si>
  <si>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</si>
  <si>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</si>
  <si>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</si>
  <si>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</si>
  <si>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</si>
  <si>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</si>
  <si>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</si>
  <si>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</si>
  <si>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</si>
  <si>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</si>
  <si>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</si>
  <si>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</si>
  <si>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</si>
  <si>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</si>
  <si>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</si>
  <si>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</si>
  <si>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</si>
  <si>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</si>
  <si>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</si>
  <si>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</si>
  <si>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</si>
  <si>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</si>
  <si>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</si>
  <si>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</si>
  <si>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</si>
  <si>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</si>
  <si>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</si>
  <si>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</si>
  <si>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</si>
  <si>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</si>
  <si>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</si>
  <si>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</si>
  <si>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</si>
  <si>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</si>
  <si>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</si>
  <si>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</si>
  <si>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</si>
  <si>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</si>
  <si>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</si>
  <si>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</si>
  <si>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</si>
  <si>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</si>
  <si>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</si>
  <si>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</si>
  <si>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</si>
  <si>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</si>
  <si>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</si>
  <si>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</si>
  <si>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</si>
  <si>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</si>
  <si>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</si>
  <si>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</si>
  <si>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</si>
  <si>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</si>
  <si>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</si>
  <si>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</si>
  <si>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</si>
  <si>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</si>
  <si>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</si>
  <si>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</si>
  <si>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</si>
  <si>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</si>
  <si>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</si>
  <si>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</si>
  <si>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</si>
  <si>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</si>
  <si>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</si>
  <si>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</si>
  <si>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</si>
  <si>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</si>
  <si>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</si>
  <si>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</si>
  <si>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</si>
  <si>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</si>
  <si>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</si>
  <si>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</si>
  <si>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</si>
  <si>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</si>
  <si>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</si>
  <si>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</si>
  <si>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</si>
  <si>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</si>
  <si>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</si>
  <si>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</si>
  <si>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</si>
  <si>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</si>
  <si>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</si>
  <si>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</si>
  <si>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</si>
  <si>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</si>
  <si>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</si>
  <si>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</si>
  <si>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</si>
  <si>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</si>
  <si>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</si>
  <si>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</si>
  <si>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</si>
  <si>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</si>
  <si>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</si>
  <si>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</si>
  <si>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</si>
  <si>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</si>
  <si>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</si>
  <si>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</si>
  <si>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</si>
  <si>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</si>
  <si>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</si>
  <si>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</si>
  <si>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</si>
  <si>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</si>
  <si>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</si>
  <si>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</si>
  <si>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</si>
  <si>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</si>
  <si>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</si>
  <si>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</si>
  <si>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</si>
  <si>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</si>
  <si>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</si>
  <si>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</si>
  <si>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</si>
  <si>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</si>
  <si>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</si>
  <si>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</si>
  <si>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</si>
  <si>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</si>
  <si>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</si>
  <si>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</si>
  <si>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</si>
  <si>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</si>
  <si>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</si>
  <si>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</si>
  <si>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</si>
  <si>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</si>
  <si>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</si>
  <si>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</si>
  <si>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</si>
  <si>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</si>
  <si>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</si>
  <si>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</si>
  <si>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</si>
  <si>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</si>
  <si>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</si>
  <si>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</si>
  <si>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</si>
  <si>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</si>
  <si>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</si>
  <si>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</si>
  <si>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</si>
  <si>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</si>
  <si>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</si>
  <si>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</si>
  <si>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</si>
  <si>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</si>
  <si>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</si>
  <si>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</si>
  <si>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</si>
  <si>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</si>
  <si>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</si>
  <si>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</si>
  <si>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</si>
  <si>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</si>
  <si>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</si>
  <si>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</si>
  <si>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</si>
  <si>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</si>
  <si>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</si>
  <si>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</si>
  <si>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</si>
  <si>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</si>
  <si>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</si>
  <si>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</si>
  <si>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</si>
  <si>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</si>
  <si>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</si>
  <si>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</si>
  <si>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</si>
  <si>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</si>
  <si>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</si>
  <si>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</si>
  <si>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</si>
  <si>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</si>
  <si>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</si>
  <si>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</si>
  <si>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</si>
  <si>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</si>
  <si>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</si>
  <si>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</si>
  <si>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</si>
  <si>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</si>
  <si>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</si>
  <si>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</si>
  <si>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</si>
  <si>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</si>
  <si>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</si>
  <si>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</si>
  <si>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</si>
  <si>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</si>
  <si>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</si>
  <si>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</si>
  <si>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</si>
  <si>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</si>
  <si>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</si>
  <si>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</si>
  <si>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</si>
  <si>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</si>
  <si>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</si>
  <si>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</si>
  <si>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</si>
  <si>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</si>
  <si>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</si>
  <si>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</si>
  <si>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</si>
  <si>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</si>
  <si>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</si>
  <si>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</si>
  <si>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</si>
  <si>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</si>
  <si>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</si>
  <si>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</si>
  <si>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</si>
  <si>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</si>
  <si>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</si>
  <si>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</si>
  <si>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</si>
  <si>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</si>
  <si>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</si>
  <si>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</si>
  <si>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</si>
  <si>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</si>
  <si>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</si>
  <si>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</si>
  <si>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</si>
  <si>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</si>
  <si>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</si>
  <si>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</si>
  <si>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</si>
  <si>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</si>
  <si>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</si>
  <si>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</si>
  <si>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</si>
  <si>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</si>
  <si>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</si>
  <si>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</si>
  <si>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</si>
  <si>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</si>
  <si>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</si>
  <si>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</si>
  <si>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</si>
  <si>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</si>
  <si>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</si>
  <si>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</si>
  <si>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</si>
  <si>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</si>
  <si>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</si>
  <si>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</si>
  <si>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</si>
  <si>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</si>
  <si>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</si>
  <si>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</si>
  <si>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</si>
  <si>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</si>
  <si>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</si>
  <si>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</si>
  <si>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</si>
  <si>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</si>
  <si>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</si>
  <si>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</si>
  <si>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</si>
  <si>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</si>
  <si>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</si>
  <si>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</si>
  <si>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</si>
  <si>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</si>
  <si>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</si>
  <si>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</si>
  <si>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</si>
  <si>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</si>
  <si>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</si>
  <si>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</si>
  <si>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</si>
  <si>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</si>
  <si>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</si>
  <si>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</si>
  <si>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</si>
  <si>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</si>
  <si>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</si>
  <si>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</si>
  <si>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</si>
  <si>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</si>
  <si>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</si>
  <si>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</si>
  <si>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</si>
  <si>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</si>
  <si>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</si>
  <si>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</si>
  <si>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</si>
  <si>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</si>
  <si>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</si>
  <si>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</si>
  <si>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</si>
  <si>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</si>
  <si>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</si>
  <si>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</si>
  <si>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</si>
  <si>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</si>
  <si>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</si>
  <si>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</si>
  <si>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</si>
  <si>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</si>
  <si>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</si>
  <si>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</si>
  <si>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</si>
  <si>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</si>
  <si>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</si>
  <si>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</si>
  <si>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</si>
  <si>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</si>
  <si>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</si>
  <si>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</si>
  <si>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</si>
  <si>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</si>
  <si>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</si>
  <si>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</si>
  <si>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</si>
  <si>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</si>
  <si>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</si>
  <si>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</si>
  <si>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</si>
  <si>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</si>
  <si>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</si>
  <si>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</si>
  <si>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</si>
  <si>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</si>
  <si>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</si>
  <si>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</si>
  <si>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</si>
  <si>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</si>
  <si>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</si>
  <si>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</si>
  <si>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</si>
  <si>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</si>
  <si>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</si>
  <si>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</si>
  <si>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</si>
  <si>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</si>
  <si>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</si>
  <si>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</si>
  <si>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</si>
  <si>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</si>
  <si>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</si>
  <si>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</si>
  <si>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</si>
  <si>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</si>
  <si>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</si>
  <si>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</si>
  <si>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</si>
  <si>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</si>
  <si>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</si>
  <si>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</si>
  <si>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</si>
  <si>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</si>
  <si>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</si>
  <si>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</si>
  <si>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</si>
  <si>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</si>
  <si>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</si>
  <si>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</si>
  <si>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</si>
  <si>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</si>
  <si>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</si>
  <si>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</si>
  <si>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</si>
  <si>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</si>
  <si>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</si>
  <si>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</si>
  <si>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</si>
  <si>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</si>
  <si>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</si>
  <si>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</si>
  <si>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</si>
  <si>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</si>
  <si>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</si>
  <si>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</si>
  <si>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</si>
  <si>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</si>
  <si>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</si>
  <si>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</si>
  <si>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</si>
  <si>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</si>
  <si>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</si>
  <si>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</si>
  <si>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</si>
  <si>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</si>
  <si>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</si>
  <si>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</si>
  <si>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</si>
  <si>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</si>
  <si>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</si>
  <si>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</si>
  <si>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</si>
  <si>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</si>
  <si>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</si>
  <si>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</si>
  <si>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</si>
  <si>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</si>
  <si>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</si>
  <si>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</si>
  <si>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</si>
  <si>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</si>
  <si>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</si>
  <si>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</si>
  <si>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</si>
  <si>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</si>
  <si>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</si>
  <si>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</si>
  <si>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</si>
  <si>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</si>
  <si>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</si>
  <si>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</si>
  <si>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</si>
  <si>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</si>
  <si>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</si>
  <si>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</si>
  <si>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</si>
  <si>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</si>
  <si>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</si>
  <si>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</si>
  <si>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</si>
  <si>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</si>
  <si>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</si>
  <si>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</si>
  <si>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</si>
  <si>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Appliances RES</t>
  </si>
  <si>
    <t>Clothes Dryer RES</t>
  </si>
  <si>
    <t>Clothes Washer RES</t>
  </si>
  <si>
    <t>Color TV RES</t>
  </si>
  <si>
    <t>Cooking RES</t>
  </si>
  <si>
    <t>Dishwasher RES</t>
  </si>
  <si>
    <t>Freezer RES ER2</t>
  </si>
  <si>
    <t>BUSINESS</t>
  </si>
  <si>
    <t>Building Shell BUS</t>
  </si>
  <si>
    <t>Process BUS</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</si>
  <si>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</si>
  <si>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Measure Name</t>
  </si>
  <si>
    <t>Total 1st year kWh per measure</t>
  </si>
  <si>
    <t>Total last year kWh per measure</t>
  </si>
  <si>
    <t>KWh per Measure</t>
  </si>
  <si>
    <t>Total 1st year kW per measure</t>
  </si>
  <si>
    <t>Total last year kW per measure</t>
  </si>
  <si>
    <t>KW per Measure</t>
  </si>
  <si>
    <t>0-9 EUL (EO) KW</t>
  </si>
  <si>
    <t>10-14 EUL (EO) KW</t>
  </si>
  <si>
    <t>15+ EUL (EO) KW</t>
  </si>
  <si>
    <t>TRC</t>
  </si>
  <si>
    <t>2020 ER1 Total Benefits (2019 $)</t>
  </si>
  <si>
    <t>2020 ER2 Total Benefits (2019 $)</t>
  </si>
  <si>
    <t>PY2020 ER1 Benefits (2019 $)</t>
  </si>
  <si>
    <t>PY2020 ER2 Benefits (2019 $)</t>
  </si>
  <si>
    <t>added on 3-24-2020</t>
  </si>
  <si>
    <t xml:space="preserve">ER1 </t>
  </si>
  <si>
    <t>ER2</t>
  </si>
  <si>
    <t>ER1 Cooling</t>
  </si>
  <si>
    <t>ER1 Heating</t>
  </si>
  <si>
    <t>ER2 Cooling</t>
  </si>
  <si>
    <t>ER2 Heating</t>
  </si>
  <si>
    <t>KW_ER1</t>
  </si>
  <si>
    <t>KW_ER2</t>
  </si>
  <si>
    <t>ER1</t>
  </si>
  <si>
    <t>Total EUL</t>
  </si>
  <si>
    <t>Tons/unit</t>
  </si>
  <si>
    <t xml:space="preserve">Delete - check </t>
  </si>
  <si>
    <t>Formula error in Nov 2019 TRM update (correct with next TRM update opportunity)</t>
  </si>
  <si>
    <t>Savings includes some heating that is not counted in C/E/Benefits here</t>
  </si>
  <si>
    <t>variable</t>
  </si>
  <si>
    <t>350050_2019_12_</t>
  </si>
  <si>
    <t>450050_2020_12_</t>
  </si>
  <si>
    <t>250100_2019_12_</t>
  </si>
  <si>
    <t>350100_2019_12_</t>
  </si>
  <si>
    <t>250101_2019_12_</t>
  </si>
  <si>
    <t>300060_2020_12_</t>
  </si>
  <si>
    <t>350150_2019_12_</t>
  </si>
  <si>
    <t>250102_2019_12_</t>
  </si>
  <si>
    <t>350175_2019_12_</t>
  </si>
  <si>
    <t>250150_2019_12_</t>
  </si>
  <si>
    <t>350200_2019_12_</t>
  </si>
  <si>
    <t>250151_2019_12_</t>
  </si>
  <si>
    <t>350250_2019_12_</t>
  </si>
  <si>
    <t>250250_2019_12_</t>
  </si>
  <si>
    <t>350300_2019_12_</t>
  </si>
  <si>
    <t>250350_2019_12_</t>
  </si>
  <si>
    <t>350350_2019_12_</t>
  </si>
  <si>
    <t>200401_2020_11_</t>
  </si>
  <si>
    <t>250351_2019_12_</t>
  </si>
  <si>
    <t>350400_2019_12_</t>
  </si>
  <si>
    <t>200402_2020_11_</t>
  </si>
  <si>
    <t>250352_2019_12_</t>
  </si>
  <si>
    <t>350450_2019_12_</t>
  </si>
  <si>
    <t>250450_2019_12_</t>
  </si>
  <si>
    <t>350500_2019_12_</t>
  </si>
  <si>
    <t>250451_2019_12_</t>
  </si>
  <si>
    <t>350501_2019_12_</t>
  </si>
  <si>
    <t>250452_2019_12_</t>
  </si>
  <si>
    <t>350550_2019_12_</t>
  </si>
  <si>
    <t>250500_2019_12_</t>
  </si>
  <si>
    <t>350551_2019_12_</t>
  </si>
  <si>
    <t>250550_2019_12_</t>
  </si>
  <si>
    <t>350600_2019_12_</t>
  </si>
  <si>
    <t>350650_2019_12_</t>
  </si>
  <si>
    <t>350700_2019_12_</t>
  </si>
  <si>
    <t>350701_2019_12_</t>
  </si>
  <si>
    <t>350750_2019_12_</t>
  </si>
  <si>
    <t>350751_2019_12_</t>
  </si>
  <si>
    <t>350800_2019_12_</t>
  </si>
  <si>
    <t>500800_2019_12_</t>
  </si>
  <si>
    <t>350850_2019_12_</t>
  </si>
  <si>
    <t>350900_2019_12_</t>
  </si>
  <si>
    <t>350901_2019_12_</t>
  </si>
  <si>
    <t>350950_2019_12_</t>
  </si>
  <si>
    <t>350951_2019_12_</t>
  </si>
  <si>
    <t>351000_2019_12_</t>
  </si>
  <si>
    <t>300701_2020_12_</t>
  </si>
  <si>
    <t>351050_2019_12_</t>
  </si>
  <si>
    <t>351100_2019_12_</t>
  </si>
  <si>
    <t>351101_2019_12_</t>
  </si>
  <si>
    <t>351150_2019_12_</t>
  </si>
  <si>
    <t>351151_2019_12_</t>
  </si>
  <si>
    <t>351160_2020_02_</t>
  </si>
  <si>
    <t>351161_2020_02_</t>
  </si>
  <si>
    <t>351162_2020_02_</t>
  </si>
  <si>
    <t>351163_2020_02_</t>
  </si>
  <si>
    <t>351164_2020_02_</t>
  </si>
  <si>
    <t>501450_2019_12_</t>
  </si>
  <si>
    <t>351165_2020_02_</t>
  </si>
  <si>
    <t>501500_2019_12_</t>
  </si>
  <si>
    <t>351170_2020_02_</t>
  </si>
  <si>
    <t>501550_2019_12_</t>
  </si>
  <si>
    <t>351171_2020_02_</t>
  </si>
  <si>
    <t>501600_2019_12_</t>
  </si>
  <si>
    <t>351172_2020_02_</t>
  </si>
  <si>
    <t>301149_2020_12_</t>
  </si>
  <si>
    <t>351173_2020_02_</t>
  </si>
  <si>
    <t>301150_2020_12_</t>
  </si>
  <si>
    <t>351174_2020_02_</t>
  </si>
  <si>
    <t>351175_2020_02_</t>
  </si>
  <si>
    <t>351180_2020_02_</t>
  </si>
  <si>
    <t>351181_2020_02_</t>
  </si>
  <si>
    <t>351182_2020_02_</t>
  </si>
  <si>
    <t>351183_2020_02_</t>
  </si>
  <si>
    <t>351184_2020_02_</t>
  </si>
  <si>
    <t>351185_2020_02_</t>
  </si>
  <si>
    <t>351190_2020_02_</t>
  </si>
  <si>
    <t>351191_2020_02_</t>
  </si>
  <si>
    <t>351192_2020_02_</t>
  </si>
  <si>
    <t>351193_2020_02_</t>
  </si>
  <si>
    <t>351194_2020_02_</t>
  </si>
  <si>
    <t>351195_2020_02_</t>
  </si>
  <si>
    <t>351200_2019_12_</t>
  </si>
  <si>
    <t>351250_2019_12_</t>
  </si>
  <si>
    <t>351300_2019_12_</t>
  </si>
  <si>
    <t>351350_2019_12_</t>
  </si>
  <si>
    <t>351400_2019_12_</t>
  </si>
  <si>
    <t>351450_2019_12_</t>
  </si>
  <si>
    <t>351500_2019_12_</t>
  </si>
  <si>
    <t>402451_2019_12_</t>
  </si>
  <si>
    <t>351550_2019_12_</t>
  </si>
  <si>
    <t>351551_2019_12_</t>
  </si>
  <si>
    <t>402453_2020_12_</t>
  </si>
  <si>
    <t>351600_2019_12_</t>
  </si>
  <si>
    <t>351601_2019_12_</t>
  </si>
  <si>
    <t>402501_2019_12_</t>
  </si>
  <si>
    <t>351650_2019_12_</t>
  </si>
  <si>
    <t>402550_2019_12_</t>
  </si>
  <si>
    <t>351651_2019_12_</t>
  </si>
  <si>
    <t>402600_2019_12_</t>
  </si>
  <si>
    <t>351700_2019_12_</t>
  </si>
  <si>
    <t>402650_2019_12_</t>
  </si>
  <si>
    <t>351701_2019_12_</t>
  </si>
  <si>
    <t>402700_2019_12_</t>
  </si>
  <si>
    <t>351750_2019_12_</t>
  </si>
  <si>
    <t>402750_2019_12_</t>
  </si>
  <si>
    <t>351751_2019_12_</t>
  </si>
  <si>
    <t>402800_2019_12_</t>
  </si>
  <si>
    <t>351800_2019_12_</t>
  </si>
  <si>
    <t>402850_2019_12_</t>
  </si>
  <si>
    <t>351801_2019_12_</t>
  </si>
  <si>
    <t>402900_2019_12_</t>
  </si>
  <si>
    <t>351850_2019_12_</t>
  </si>
  <si>
    <t>351851_2019_12_</t>
  </si>
  <si>
    <t>352050_2019_12_</t>
  </si>
  <si>
    <t>352100_2019_12_</t>
  </si>
  <si>
    <t>352200_2019_12_</t>
  </si>
  <si>
    <t>352250_2019_12_</t>
  </si>
  <si>
    <t>403351_2020_11_</t>
  </si>
  <si>
    <t>403500_2019_12_</t>
  </si>
  <si>
    <t>403550_2019_12_</t>
  </si>
  <si>
    <t>403551_2019_12_</t>
  </si>
  <si>
    <t>403600_2019_12_</t>
  </si>
  <si>
    <t>403601_2019_12_</t>
  </si>
  <si>
    <t>404651_2020_11_</t>
  </si>
  <si>
    <t>405251_2020_11_</t>
  </si>
  <si>
    <t>405450_2019_12_</t>
  </si>
  <si>
    <t>405451_2020_12_</t>
  </si>
  <si>
    <t>405550_2019_12_</t>
  </si>
  <si>
    <t>405551_2020_12_</t>
  </si>
  <si>
    <t>405650_2019_12_</t>
  </si>
  <si>
    <t>405651_2020_12_</t>
  </si>
  <si>
    <t>405850_2019_12_</t>
  </si>
  <si>
    <t>405900_2019_12_</t>
  </si>
  <si>
    <t>405950_2019_12_</t>
  </si>
  <si>
    <t>406000_2019_12_</t>
  </si>
  <si>
    <t>405851_2019_12_</t>
  </si>
  <si>
    <t>405901_2019_12_</t>
  </si>
  <si>
    <t>405951_2019_12_</t>
  </si>
  <si>
    <t>406001_2019_12_</t>
  </si>
  <si>
    <t>405852_2019_12_</t>
  </si>
  <si>
    <t>405902_2019_12_</t>
  </si>
  <si>
    <t>405952_2019_12_</t>
  </si>
  <si>
    <t>406002_2019_12_</t>
  </si>
  <si>
    <t>405853_2019_12_</t>
  </si>
  <si>
    <t>405903_2019_12_</t>
  </si>
  <si>
    <t>405953_2019_12_</t>
  </si>
  <si>
    <t>406003_2019_12_</t>
  </si>
  <si>
    <t>405854_2019_12_</t>
  </si>
  <si>
    <t>405904_2019_12_</t>
  </si>
  <si>
    <t>405954_2019_12_</t>
  </si>
  <si>
    <t>406004_2019_12_</t>
  </si>
  <si>
    <t>405855_2019_12_</t>
  </si>
  <si>
    <t>405905_2019_12_</t>
  </si>
  <si>
    <t>405955_2019_12_</t>
  </si>
  <si>
    <t>406005_2019_12_</t>
  </si>
  <si>
    <t>Modifications  to Deemed Savings Tables revision 3.1 on 02/06/2020</t>
  </si>
  <si>
    <t>#</t>
  </si>
  <si>
    <t>Deemed Table</t>
  </si>
  <si>
    <t>Update Type</t>
  </si>
  <si>
    <t>Cell Reference</t>
  </si>
  <si>
    <t>Efficient Kits</t>
  </si>
  <si>
    <t>Clean up Item</t>
  </si>
  <si>
    <t>C45</t>
  </si>
  <si>
    <t>Update measure ID to show "2019_12" rather than "2018_12"</t>
  </si>
  <si>
    <t>Update</t>
  </si>
  <si>
    <t>C-146 to C181</t>
  </si>
  <si>
    <t>Add higher SEER CAC Measures with existing inputs.</t>
  </si>
  <si>
    <t>BB777, BB796, BB797</t>
  </si>
  <si>
    <t>Update equation to calculate TRC for these rows</t>
  </si>
  <si>
    <t>I1416-I1643</t>
  </si>
  <si>
    <t>27  Multifamily comprehensive envelope ASHP measures included the same KW value as the similiare non comprehensive measure.  Corrected formulas here to multiply the kWh by the CP factor.   Impacted measures have not yet been implemented in programs.</t>
  </si>
  <si>
    <t>Income Eligible</t>
  </si>
  <si>
    <t>BC438, BC439</t>
  </si>
  <si>
    <t>C440-C442</t>
  </si>
  <si>
    <t>Add Floor Insulation measure with R-13 baseline insulation in addition to existing measures which had no insulation for a baseline.</t>
  </si>
  <si>
    <t>C666,C667</t>
  </si>
  <si>
    <t>Update measure ID to show "43301" rather than "43300" as it is duplicate of the measure before it.</t>
  </si>
  <si>
    <t>C40-49 &amp; C160,161</t>
  </si>
  <si>
    <t>BC188-189</t>
  </si>
  <si>
    <t>Annual Savings over the 5-Year EUL</t>
  </si>
  <si>
    <t>Savings per household (kWh)</t>
  </si>
  <si>
    <t>Table 46. Final Adjusted Net Program Savings (MWh)</t>
  </si>
  <si>
    <t>Table 42. Number of Customers Treated</t>
  </si>
  <si>
    <r>
      <t xml:space="preserve">kWh Annual Savings </t>
    </r>
    <r>
      <rPr>
        <sz val="11"/>
        <color rgb="FFFF0000"/>
        <rFont val="Calibri"/>
        <family val="2"/>
        <scheme val="minor"/>
      </rPr>
      <t>[1]</t>
    </r>
  </si>
  <si>
    <r>
      <t xml:space="preserve">[1] Ameren MO </t>
    </r>
    <r>
      <rPr>
        <strike/>
        <sz val="11"/>
        <color rgb="FFFF0000"/>
        <rFont val="Calibri"/>
        <family val="2"/>
        <scheme val="minor"/>
      </rPr>
      <t>PY19</t>
    </r>
    <r>
      <rPr>
        <sz val="11"/>
        <color rgb="FFFF0000"/>
        <rFont val="Calibri"/>
        <family val="2"/>
        <scheme val="minor"/>
      </rPr>
      <t xml:space="preserve"> PY20 Evaluation Report, PY2020 HER Program Adjusted Net Annual Savings / Number of Customers Treated)</t>
    </r>
  </si>
  <si>
    <t>[2] EUL is 5.0 years; however, the annual energy savings are estimated to decline each year over the 5-year lifetime. The table below shows the estimated annual savings for each year in the measure life.</t>
  </si>
  <si>
    <r>
      <t>EUL</t>
    </r>
    <r>
      <rPr>
        <sz val="11"/>
        <color rgb="FFFF0000"/>
        <rFont val="Calibri"/>
        <family val="2"/>
        <scheme val="minor"/>
      </rPr>
      <t xml:space="preserve"> [2]</t>
    </r>
  </si>
  <si>
    <r>
      <rPr>
        <strike/>
        <sz val="11"/>
        <color rgb="FFFF0000"/>
        <rFont val="Calibri"/>
        <family val="2"/>
        <scheme val="minor"/>
      </rPr>
      <t xml:space="preserve">Based on 20,000 hour rated lamp lifetime, with 19-year measure life cap. </t>
    </r>
    <r>
      <rPr>
        <sz val="11"/>
        <color rgb="FFFF0000"/>
        <rFont val="Calibri"/>
        <family val="2"/>
        <scheme val="minor"/>
      </rPr>
      <t xml:space="preserve">
EUL estimated based on the ratio of average equipment lifetime specifications to the estimated annual operating hours. EULs of 19 years for residential is based on average rated lifetime for 2021 progrmaprogram measures (through 8/3/2021) divided by 995 hours for residential settings. </t>
    </r>
  </si>
  <si>
    <r>
      <t xml:space="preserve">EUL estimated based on </t>
    </r>
    <r>
      <rPr>
        <strike/>
        <sz val="11"/>
        <color rgb="FFFF0000"/>
        <rFont val="Calibri"/>
        <family val="2"/>
        <scheme val="minor"/>
      </rPr>
      <t>20,000 lifetime hours: 20,000 lifetime hours / 3,612 annual hours = 5.5 years; rounded to 6.0.</t>
    </r>
    <r>
      <rPr>
        <sz val="11"/>
        <color rgb="FFFF0000"/>
        <rFont val="Calibri"/>
        <family val="2"/>
        <scheme val="minor"/>
      </rPr>
      <t xml:space="preserve">
the ratio of average equipment lifetime specifications to the estimated annual operating hours. EUL of 6 years for non-residential are based on average rated lifetime for 2021 program measures (through 8/3/2021) divided by 3,351 for non-residential settings.</t>
    </r>
  </si>
  <si>
    <t>Variable Speed Pool Pump - ER</t>
  </si>
  <si>
    <r>
      <t xml:space="preserve">Variable Speed Pool Pump </t>
    </r>
    <r>
      <rPr>
        <sz val="11"/>
        <color rgb="FFFF0000"/>
        <rFont val="Calibri"/>
        <family val="2"/>
        <scheme val="minor"/>
      </rPr>
      <t>- ROF</t>
    </r>
  </si>
  <si>
    <t>502400_2021_12_</t>
  </si>
  <si>
    <t>502401_2021_12_</t>
  </si>
  <si>
    <r>
      <t>EF</t>
    </r>
    <r>
      <rPr>
        <strike/>
        <vertAlign val="subscript"/>
        <sz val="11"/>
        <color rgb="FFFF0000"/>
        <rFont val="Calibri"/>
        <family val="2"/>
        <scheme val="minor"/>
      </rPr>
      <t>ss</t>
    </r>
  </si>
  <si>
    <r>
      <t>EF</t>
    </r>
    <r>
      <rPr>
        <strike/>
        <vertAlign val="subscript"/>
        <sz val="11"/>
        <color rgb="FFFF0000"/>
        <rFont val="Calibri"/>
        <family val="2"/>
        <scheme val="minor"/>
      </rPr>
      <t>hs</t>
    </r>
  </si>
  <si>
    <r>
      <t>EF</t>
    </r>
    <r>
      <rPr>
        <strike/>
        <vertAlign val="subscript"/>
        <sz val="11"/>
        <color rgb="FFFF0000"/>
        <rFont val="Calibri"/>
        <family val="2"/>
        <scheme val="minor"/>
      </rPr>
      <t>ls</t>
    </r>
  </si>
  <si>
    <t>355001_2021_12_</t>
  </si>
  <si>
    <t>800980_2021_12</t>
  </si>
  <si>
    <t>LED Lighting Redesign</t>
  </si>
  <si>
    <t>per project</t>
  </si>
  <si>
    <t>EMV Adjustment (ADJ_EMV)</t>
  </si>
  <si>
    <t xml:space="preserve">EMV Adjustment Factor for Lighting Measures </t>
  </si>
  <si>
    <t>Program</t>
  </si>
  <si>
    <t>ΔWatts Adjustment</t>
  </si>
  <si>
    <t>HOU Adjustment</t>
  </si>
  <si>
    <t>Total EMV Adjustment</t>
  </si>
  <si>
    <t>Weight</t>
  </si>
  <si>
    <t>Standard</t>
  </si>
  <si>
    <t>SBDI</t>
  </si>
  <si>
    <t>BSS</t>
  </si>
  <si>
    <t>Weighted Average EM&amp;V Adjustment</t>
  </si>
  <si>
    <t>SOURCE: ΔWatts and HOU Adjustment factors are calculated based on desk review and on-site data collection during the PY2019 Impact Evaluation. Weights are based on PY2020 Final Ex Ante Gross Annual kWh for each program. These values should be updated/replaced if and when new EM&amp;V verification occurs.</t>
  </si>
  <si>
    <t>LED Replacting Interior T8 Fluorescent (Type C)</t>
  </si>
  <si>
    <t>LED Replacing Interior T5 Fluorescent (Type C)</t>
  </si>
  <si>
    <t>LED Replacing Interior T12 Fluorescent (Type C)</t>
  </si>
  <si>
    <t>Lighting - Lighting Power Density (LPD)</t>
  </si>
  <si>
    <t>800990_2021_12</t>
  </si>
  <si>
    <t>Lighting Power Density</t>
  </si>
  <si>
    <t>per sqft</t>
  </si>
  <si>
    <t>WSFbase (W/ft^2)</t>
  </si>
  <si>
    <t>WSFee  (W/ft^2)</t>
  </si>
  <si>
    <t>803810_2021_12_</t>
  </si>
  <si>
    <t>Water Cooled Chiller</t>
  </si>
  <si>
    <t>IPLV_base: AC Chiller Baseline IPLV assumes the 12.5 EER Minimum Requirement for &lt; 150 ton unit in IECC 2009/2012; WC Chiller Baseline IPLV assumes the 0.58 kW/ton Minimum Requirement for 150-300 ton WC Chiller in IECC 2009/2012</t>
  </si>
  <si>
    <t>IPLV_ee: WC Chiller Baseline IPLV assumes 20% improvement in chiller efficiency compared to baseline</t>
  </si>
  <si>
    <t>WSFbase</t>
  </si>
  <si>
    <r>
      <rPr>
        <strike/>
        <sz val="11"/>
        <color rgb="FFFF0000"/>
        <rFont val="Calibri"/>
        <family val="2"/>
        <scheme val="minor"/>
      </rPr>
      <t xml:space="preserve">kW Controlled </t>
    </r>
    <r>
      <rPr>
        <sz val="11"/>
        <color rgb="FFFF0000"/>
        <rFont val="Calibri"/>
        <family val="2"/>
        <scheme val="minor"/>
      </rPr>
      <t>Watts Base</t>
    </r>
  </si>
  <si>
    <t>Note: ASHPs replacing non-electric heating are eligible for cooling savings only.</t>
  </si>
  <si>
    <t>351160_2021_12_</t>
  </si>
  <si>
    <t>351161_2021_12_</t>
  </si>
  <si>
    <t>351162_2021_12_</t>
  </si>
  <si>
    <t>351163_2021_12_</t>
  </si>
  <si>
    <t>351164_2021_12_</t>
  </si>
  <si>
    <t>351165_2021_12_</t>
  </si>
  <si>
    <t>351170_2021_12_</t>
  </si>
  <si>
    <t>351171_2021_12_</t>
  </si>
  <si>
    <t>351172_2021_12_</t>
  </si>
  <si>
    <t>351173_2021_12_</t>
  </si>
  <si>
    <t>351174_2021_12_</t>
  </si>
  <si>
    <t>351175_2021_12_</t>
  </si>
  <si>
    <t>351180_2021_12_</t>
  </si>
  <si>
    <t>351181_2021_12_</t>
  </si>
  <si>
    <t>351182_2021_12_</t>
  </si>
  <si>
    <t>351183_2021_12_</t>
  </si>
  <si>
    <t>351184_2021_12_</t>
  </si>
  <si>
    <t>351185_2021_12_</t>
  </si>
  <si>
    <t>351190_2021_12_</t>
  </si>
  <si>
    <t>351191_2021_12_</t>
  </si>
  <si>
    <t>351192_2021_12_</t>
  </si>
  <si>
    <t>351193_2021_12_</t>
  </si>
  <si>
    <t>351194_2021_12_</t>
  </si>
  <si>
    <t>351195_2021_12_</t>
  </si>
  <si>
    <t>End Use may be "HVAC RES" for optimization routines that save energy during the cooling and heating seasons, or "Cooling RES" for optimization routines that save energy only during the cooling season.</t>
  </si>
  <si>
    <t>Demand Response Advanced Thermostat - without Program-Driven Optimization</t>
  </si>
  <si>
    <r>
      <t xml:space="preserve">Demand Response Advanced Thermostat - </t>
    </r>
    <r>
      <rPr>
        <sz val="11"/>
        <color rgb="FFFF0000"/>
        <rFont val="Calibri"/>
        <family val="2"/>
        <scheme val="minor"/>
      </rPr>
      <t>with</t>
    </r>
    <r>
      <rPr>
        <sz val="11"/>
        <rFont val="Calibri"/>
        <family val="2"/>
        <scheme val="minor"/>
      </rPr>
      <t xml:space="preserve"> Program-driven Optimization</t>
    </r>
  </si>
  <si>
    <t>352801_2021_12_</t>
  </si>
  <si>
    <t>Packaged Service</t>
  </si>
  <si>
    <t>AC Tune-up / Packaged Service SF</t>
  </si>
  <si>
    <t>AC Tune-up / Packaged Service MF</t>
  </si>
  <si>
    <t>Btu / kBtu</t>
  </si>
  <si>
    <t>Btu / lBtu</t>
  </si>
  <si>
    <t>HP tune-up / Packaged Service SF</t>
  </si>
  <si>
    <t>HP tune-up / Packaged Service MF</t>
  </si>
  <si>
    <t>HP tune-up / Packaged Service MF_CompE</t>
  </si>
  <si>
    <r>
      <t>LED Replacing Interior T5 Fluorescent (Type B,</t>
    </r>
    <r>
      <rPr>
        <sz val="11"/>
        <color rgb="FFFF0000"/>
        <rFont val="Calibri"/>
        <family val="2"/>
        <scheme val="minor"/>
      </rPr>
      <t xml:space="preserve"> </t>
    </r>
    <r>
      <rPr>
        <sz val="11"/>
        <rFont val="Calibri"/>
        <family val="2"/>
        <scheme val="minor"/>
      </rPr>
      <t>Kits, and Fixtures)</t>
    </r>
  </si>
  <si>
    <t>LED Replacting Interior T8 Fluorescent (Type B, Kits, and Fixtures)</t>
  </si>
  <si>
    <t xml:space="preserve">LED Replacing Interior T12 Fluorescent (Type B, Kits, and Fixtures) </t>
  </si>
  <si>
    <t>Demand Controlled Ventilation</t>
  </si>
  <si>
    <t xml:space="preserve">WSFee </t>
  </si>
  <si>
    <t>Average capacity for SF multiplied by 0.65</t>
  </si>
  <si>
    <t>Average cooling capacity for ASHP measures for SF homes in the PY2020 HVAC Program (rounded)</t>
  </si>
  <si>
    <t>Based on 13.6% average improvement from 75 PY2019 MFIE packaged tune-up measures.</t>
  </si>
  <si>
    <t xml:space="preserve">Packaged Service </t>
  </si>
  <si>
    <t>Matched to value for MFIE</t>
  </si>
  <si>
    <r>
      <t>EFLH</t>
    </r>
    <r>
      <rPr>
        <vertAlign val="subscript"/>
        <sz val="11"/>
        <color rgb="FFFF0000"/>
        <rFont val="Calibri"/>
        <family val="2"/>
        <scheme val="minor"/>
      </rPr>
      <t>cool</t>
    </r>
  </si>
  <si>
    <r>
      <t>Capacity</t>
    </r>
    <r>
      <rPr>
        <vertAlign val="subscript"/>
        <sz val="11"/>
        <color rgb="FFFF0000"/>
        <rFont val="Calibri"/>
        <family val="2"/>
        <scheme val="minor"/>
      </rPr>
      <t>cool</t>
    </r>
  </si>
  <si>
    <r>
      <t>SEER</t>
    </r>
    <r>
      <rPr>
        <vertAlign val="subscript"/>
        <sz val="11"/>
        <color rgb="FFFF0000"/>
        <rFont val="Calibri"/>
        <family val="2"/>
        <scheme val="minor"/>
      </rPr>
      <t>test-in</t>
    </r>
  </si>
  <si>
    <r>
      <t>SEER</t>
    </r>
    <r>
      <rPr>
        <vertAlign val="subscript"/>
        <sz val="11"/>
        <color rgb="FFFF0000"/>
        <rFont val="Calibri"/>
        <family val="2"/>
        <scheme val="minor"/>
      </rPr>
      <t>test-out</t>
    </r>
  </si>
  <si>
    <t>HP Tune-up</t>
  </si>
  <si>
    <r>
      <t>HSPF</t>
    </r>
    <r>
      <rPr>
        <vertAlign val="subscript"/>
        <sz val="11"/>
        <color rgb="FFFF0000"/>
        <rFont val="Calibri"/>
        <family val="2"/>
        <scheme val="minor"/>
      </rPr>
      <t>test-in</t>
    </r>
  </si>
  <si>
    <r>
      <t>HSPF</t>
    </r>
    <r>
      <rPr>
        <vertAlign val="subscript"/>
        <sz val="11"/>
        <color rgb="FFFF0000"/>
        <rFont val="Calibri"/>
        <family val="2"/>
        <scheme val="minor"/>
      </rPr>
      <t>test-out</t>
    </r>
  </si>
  <si>
    <t>Heating Seasonal Performance Factor after tuning (kBtu/kWh)</t>
  </si>
  <si>
    <t>Matched to cooling capacity value</t>
  </si>
  <si>
    <t>Assuming:  EER = (-0.02 * SEER2) + (1.12 * SEER), 
this SEER value is based on test-in efficiency of 10.5 EER, as listed in “Ameren Missouri Heating and Cooling Program Impact and Process Evaluation: Program Year 2015.”
Matches MO TRM.  Measure not found in Cadmus Heating and Cooling EM&amp;V</t>
  </si>
  <si>
    <t>Source and Notes</t>
  </si>
  <si>
    <t>%improvement</t>
  </si>
  <si>
    <t>General Tune-Up (no charge or coil clean)</t>
  </si>
  <si>
    <t>AC Tune-up / refrigerant charge</t>
  </si>
  <si>
    <t>Indoor Coil (Evaporator) Cleaning</t>
  </si>
  <si>
    <t>Outdoor Coil (Condenser) Cleaning</t>
  </si>
  <si>
    <t>ENERGY STAR® Pool Pump Calculator, cost for a variable speed pool pump.</t>
  </si>
  <si>
    <t>ENERGY STAR® Pool Pump Calculator, using variable speed pool pump costs.</t>
  </si>
  <si>
    <t>As advanced thermostats mature, some models include embedded optimization routines that achieve energy savings. The program differentiates between thermostats with “program-driven optimization,” which achieve savings through program influence to operate optional optimization, and without “program-driven optimization,” which achieve no energy savings due to either the default optimization baseline or no optimization routine employed.</t>
  </si>
  <si>
    <t>Estimate of avearge packaged service tune-up costs provided by implementer using 2014-2016 tune-up data.</t>
  </si>
  <si>
    <t>500210_2021_12</t>
  </si>
  <si>
    <t>500211_2021_12</t>
  </si>
  <si>
    <t>400410_2021_12</t>
  </si>
  <si>
    <t>400411_2021_12</t>
  </si>
  <si>
    <t>400412_2021_12</t>
  </si>
  <si>
    <t>403310_2021_12</t>
  </si>
  <si>
    <t>403311_2021_12</t>
  </si>
  <si>
    <t>403312_2021_12</t>
  </si>
  <si>
    <t>500230_2021_12</t>
  </si>
  <si>
    <t>500231_2021_12</t>
  </si>
  <si>
    <t>AC Tune-up / Packaged Service / MFMR</t>
  </si>
  <si>
    <t>AC Tune-up / Packaged Service / MFMR_CompE</t>
  </si>
  <si>
    <t>HP Tune-up / Packaged Service / MFMR</t>
  </si>
  <si>
    <t xml:space="preserve">HP Tune-up / Packaged Service / MFMR_CompE </t>
  </si>
  <si>
    <t xml:space="preserve">HP Tune-up / Packaged Service / MFMR_CompE  </t>
  </si>
  <si>
    <t>800802_2021_12_</t>
  </si>
  <si>
    <t>800852_2021_12_</t>
  </si>
  <si>
    <t>800902_2021_12_</t>
  </si>
  <si>
    <t>405430_2021_12_</t>
  </si>
  <si>
    <t>300430_2021_12_</t>
  </si>
  <si>
    <t>201130_2021_12_</t>
  </si>
  <si>
    <t>AC Tune-up / Packaged Service MF_CompE</t>
  </si>
  <si>
    <t>* Note all current TRM redlines are NOT indicated on this tab, primarily new measures added and Measure ID's that have changed for various reasons are redlined here.</t>
  </si>
  <si>
    <t>RESIDENTIAL MULTI-FAMILY MARKET RATE</t>
  </si>
  <si>
    <t xml:space="preserve">Updated "Deemed Tables" with PY20 Evaluation results, variations of existing measures such as non-electric heat ASHP, Lighting, Water Chillers, Home Energy Report EUL, and updated Appendix G, H and I for consistency. </t>
  </si>
  <si>
    <t>Updated "Deemed Tables" with PY2018 Evaluation results.   Also includes revisions to HVAC measures and multifamily measures, based on feedback from evaluation contractor. This includes updates to Volume 3 of the TRM.</t>
  </si>
  <si>
    <t>Updated "Deemed Tables" with updates for 11 step process/program updates and minor corrections found since prior TRMupdate.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</si>
</sst>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0.00000000"/>
    <numFmt numFmtId="189" formatCode="#,##0.000_);\(#,##0.000\)"/>
    <numFmt numFmtId="190" formatCode="0.000%"/>
    <numFmt numFmtId="191" formatCode="_(* #,##0.000_);_(* \(#,##0.000\);_(* &quot;-&quot;??_);_(@_)"/>
    <numFmt numFmtId="192" formatCode="0.000000000"/>
    <numFmt numFmtId="193" formatCode="#,##0.000000_);\(#,##0.000000\)"/>
    <numFmt numFmtId="194" formatCode="_(* #,##0.0000000_);_(* \(#,##0.0000000\);_(* &quot;-&quot;??_);_(@_)"/>
    <numFmt numFmtId="195" formatCode="_(* #,##0.0_);_(* \(#,##0.0\);_(* &quot;-&quot;??_);_(@_)"/>
    <numFmt numFmtId="196" formatCode="&quot;$&quot;#,##0.00000_);\(&quot;$&quot;#,##0.00000\)"/>
    <numFmt numFmtId="197" formatCode="&quot;$&quot;#,##0.000_);\(&quot;$&quot;#,##0.000\)"/>
    <numFmt numFmtId="198" formatCode="#,##0.00000000000_);\(#,##0.00000000000\)"/>
    <numFmt numFmtId="199" formatCode="0.0000000"/>
    <numFmt numFmtId="200" formatCode="[$$-409]#,##0.00_);\([$$-409]#,##0.00\)"/>
    <numFmt numFmtId="201" formatCode="#,##0.000000000_);\(#,##0.000000000\)"/>
    <numFmt numFmtId="202" formatCode="_([$$-409]* #,##0.00_);_([$$-409]* \(#,##0.00\);_([$$-409]* &quot;-&quot;??_);_(@_)"/>
    <numFmt numFmtId="203" formatCode="0.000000000000"/>
    <numFmt numFmtId="204" formatCode="0.0000%"/>
    <numFmt numFmtId="205" formatCode="_(* #,##0.000000_);_(* \(#,##0.000000\);_(* &quot;-&quot;??????_);_(@_)"/>
    <numFmt numFmtId="206" formatCode="_(* #,##0.00000000_);_(* \(#,##0.00000000\);_(* &quot;-&quot;??_);_(@_)"/>
    <numFmt numFmtId="207" formatCode="0.0000000000000"/>
    <numFmt numFmtId="208" formatCode="&quot;$&quot;#,##0.000000"/>
  </numFmts>
  <fonts count="118" x14ac:knownFonts="1">
    <font>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0" tint="-0.34998626667073579"/>
      <name val="Calibri"/>
      <family val="2"/>
      <scheme val="minor"/>
    </font>
    <font>
      <sz val="10"/>
      <name val="Arial"/>
      <family val="2"/>
    </font>
    <font>
      <sz val="11"/>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1"/>
      <name val="Calibri Light"/>
      <family val="2"/>
      <scheme val="major"/>
    </font>
    <font>
      <sz val="10"/>
      <color theme="0"/>
      <name val="Arial"/>
      <family val="2"/>
    </font>
    <font>
      <sz val="10"/>
      <color rgb="FF00B050"/>
      <name val="Arial"/>
      <family val="2"/>
    </font>
    <font>
      <sz val="16"/>
      <name val="Calibri"/>
      <family val="2"/>
      <scheme val="minor"/>
    </font>
    <font>
      <b/>
      <sz val="26"/>
      <name val="Calibri"/>
      <family val="2"/>
      <scheme val="minor"/>
    </font>
    <font>
      <b/>
      <sz val="10"/>
      <name val="Calibri"/>
      <family val="2"/>
    </font>
    <font>
      <sz val="9.9"/>
      <name val="Calibri"/>
      <family val="2"/>
    </font>
    <font>
      <sz val="12"/>
      <name val="Calibri"/>
      <family val="2"/>
      <scheme val="minor"/>
    </font>
    <font>
      <sz val="12"/>
      <color theme="0"/>
      <name val="Calibri"/>
      <family val="2"/>
      <scheme val="minor"/>
    </font>
    <font>
      <sz val="9"/>
      <name val="Calibri"/>
      <family val="2"/>
      <scheme val="minor"/>
    </font>
    <font>
      <sz val="18"/>
      <name val="Calibri"/>
      <family val="2"/>
      <scheme val="minor"/>
    </font>
    <font>
      <sz val="20"/>
      <name val="Calibri"/>
      <family val="2"/>
      <scheme val="minor"/>
    </font>
    <font>
      <sz val="22"/>
      <name val="Calibri"/>
      <family val="2"/>
      <scheme val="minor"/>
    </font>
    <font>
      <b/>
      <sz val="11"/>
      <name val="Calibri Light"/>
      <family val="2"/>
    </font>
    <font>
      <u/>
      <sz val="11"/>
      <name val="Calibri"/>
      <family val="2"/>
      <scheme val="minor"/>
    </font>
    <font>
      <vertAlign val="subscript"/>
      <sz val="10"/>
      <name val="Calibri"/>
      <family val="2"/>
      <scheme val="minor"/>
    </font>
    <font>
      <b/>
      <u/>
      <sz val="11"/>
      <name val="Calibri Light"/>
      <family val="2"/>
    </font>
    <font>
      <i/>
      <strike/>
      <sz val="11"/>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1"/>
      <color rgb="FFFF0000"/>
      <name val="Calibri"/>
      <family val="2"/>
      <scheme val="minor"/>
    </font>
    <font>
      <sz val="11"/>
      <color theme="0" tint="-0.34998626667073579"/>
      <name val="Calibri"/>
      <family val="2"/>
      <scheme val="minor"/>
    </font>
    <font>
      <b/>
      <sz val="20"/>
      <color theme="1"/>
      <name val="Calibri"/>
      <family val="2"/>
      <scheme val="minor"/>
    </font>
    <font>
      <strike/>
      <sz val="11"/>
      <color rgb="FFFF0000"/>
      <name val="Calibri"/>
      <family val="2"/>
      <scheme val="minor"/>
    </font>
    <font>
      <b/>
      <sz val="11"/>
      <name val="Calibri"/>
      <family val="2"/>
    </font>
    <font>
      <vertAlign val="subscript"/>
      <sz val="11"/>
      <name val="Calibri Light"/>
      <family val="2"/>
      <scheme val="major"/>
    </font>
    <font>
      <b/>
      <strike/>
      <sz val="11"/>
      <color rgb="FFFF0000"/>
      <name val="Calibri"/>
      <family val="2"/>
      <scheme val="minor"/>
    </font>
    <font>
      <sz val="11"/>
      <color theme="1"/>
      <name val="Calibri"/>
      <family val="2"/>
    </font>
    <font>
      <sz val="11"/>
      <color theme="2" tint="-0.249977111117893"/>
      <name val="Calibri"/>
      <family val="2"/>
      <scheme val="minor"/>
    </font>
    <font>
      <sz val="11"/>
      <color theme="2" tint="-0.249977111117893"/>
      <name val="Calibri Light"/>
      <family val="2"/>
    </font>
    <font>
      <sz val="10"/>
      <color theme="2" tint="-0.249977111117893"/>
      <name val="Arial"/>
      <family val="2"/>
    </font>
    <font>
      <b/>
      <sz val="14"/>
      <name val="Calibri"/>
      <family val="2"/>
      <scheme val="minor"/>
    </font>
    <font>
      <strike/>
      <sz val="11"/>
      <color rgb="FFFF0000"/>
      <name val="Calibri Light"/>
      <family val="2"/>
    </font>
    <font>
      <sz val="10"/>
      <color rgb="FFFF0000"/>
      <name val="Arial"/>
      <family val="2"/>
    </font>
    <font>
      <sz val="11"/>
      <color rgb="FFFF0000"/>
      <name val="Arial"/>
      <family val="2"/>
    </font>
    <font>
      <strike/>
      <vertAlign val="subscript"/>
      <sz val="11"/>
      <color rgb="FFFF0000"/>
      <name val="Calibri"/>
      <family val="2"/>
      <scheme val="minor"/>
    </font>
    <font>
      <sz val="11"/>
      <color rgb="FFFF0000"/>
      <name val="Calibri Light"/>
      <family val="2"/>
      <scheme val="major"/>
    </font>
    <font>
      <sz val="10"/>
      <color rgb="FFFF0000"/>
      <name val="Calibri"/>
      <family val="2"/>
    </font>
    <font>
      <sz val="10"/>
      <color rgb="FFFF0000"/>
      <name val="Times New Roman"/>
      <family val="1"/>
    </font>
    <font>
      <sz val="11"/>
      <color rgb="FFFF0000"/>
      <name val="Times New Roman"/>
      <family val="1"/>
    </font>
    <font>
      <vertAlign val="subscript"/>
      <sz val="11"/>
      <color rgb="FFFF0000"/>
      <name val="Calibri"/>
      <family val="2"/>
      <scheme val="minor"/>
    </font>
  </fonts>
  <fills count="34">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s>
  <borders count="102">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medium">
        <color indexed="64"/>
      </top>
      <bottom style="medium">
        <color indexed="64"/>
      </bottom>
      <diagonal/>
    </border>
    <border>
      <left style="medium">
        <color rgb="FFBFBFBF"/>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6A6A6"/>
      </left>
      <right style="thin">
        <color rgb="FFA6A6A6"/>
      </right>
      <top style="thin">
        <color rgb="FFA6A6A6"/>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2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3" borderId="1" applyNumberFormat="0" applyAlignment="0" applyProtection="0"/>
    <xf numFmtId="0" fontId="12" fillId="0" borderId="0"/>
    <xf numFmtId="0" fontId="1" fillId="0" borderId="0"/>
    <xf numFmtId="9" fontId="26" fillId="0" borderId="0">
      <alignment horizontal="right" vertical="center" wrapText="1" readingOrder="1"/>
    </xf>
    <xf numFmtId="0" fontId="28"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7" fillId="0" borderId="0"/>
    <xf numFmtId="0" fontId="1" fillId="0" borderId="0"/>
    <xf numFmtId="0" fontId="40" fillId="2" borderId="0" applyNumberFormat="0" applyBorder="0" applyAlignment="0" applyProtection="0"/>
    <xf numFmtId="9" fontId="47" fillId="0" borderId="0" applyFont="0" applyFill="0" applyBorder="0" applyAlignment="0" applyProtection="0"/>
    <xf numFmtId="9" fontId="48" fillId="0" borderId="0" applyFont="0" applyFill="0" applyBorder="0" applyAlignment="0" applyProtection="0"/>
    <xf numFmtId="0" fontId="62" fillId="0" borderId="0" applyNumberFormat="0" applyFill="0" applyBorder="0" applyAlignment="0" applyProtection="0"/>
    <xf numFmtId="0" fontId="37" fillId="0" borderId="0"/>
    <xf numFmtId="44" fontId="1" fillId="0" borderId="0" applyFont="0" applyFill="0" applyBorder="0" applyAlignment="0" applyProtection="0"/>
    <xf numFmtId="9" fontId="1" fillId="0" borderId="0" applyFont="0" applyFill="0" applyBorder="0" applyAlignment="0" applyProtection="0"/>
  </cellStyleXfs>
  <cellXfs count="4547">
    <xf numFmtId="0" fontId="0" fillId="0" borderId="0" xfId="0"/>
    <xf numFmtId="0" fontId="0" fillId="0" borderId="0" xfId="0" applyAlignment="1">
      <alignment horizont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165" fontId="10" fillId="0" borderId="3"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65" fontId="10" fillId="0" borderId="4" xfId="0" applyNumberFormat="1" applyFont="1" applyBorder="1" applyAlignment="1">
      <alignment horizontal="center" vertical="center" wrapText="1"/>
    </xf>
    <xf numFmtId="0" fontId="10" fillId="0" borderId="5" xfId="0" applyFont="1" applyBorder="1" applyAlignment="1">
      <alignment horizontal="left" vertical="center" wrapText="1"/>
    </xf>
    <xf numFmtId="165" fontId="10" fillId="0" borderId="8" xfId="0" applyNumberFormat="1" applyFont="1" applyBorder="1" applyAlignment="1">
      <alignment horizontal="center" vertical="center" wrapText="1"/>
    </xf>
    <xf numFmtId="14" fontId="10" fillId="0" borderId="9" xfId="0" applyNumberFormat="1" applyFont="1" applyBorder="1" applyAlignment="1">
      <alignment horizontal="justify" vertical="center" wrapText="1"/>
    </xf>
    <xf numFmtId="165" fontId="10" fillId="0" borderId="9" xfId="0" applyNumberFormat="1" applyFont="1" applyBorder="1" applyAlignment="1">
      <alignment horizontal="center" vertical="center" wrapText="1"/>
    </xf>
    <xf numFmtId="0" fontId="10" fillId="0" borderId="10" xfId="0" applyFont="1" applyBorder="1" applyAlignment="1">
      <alignment horizontal="left" vertical="center" wrapText="1"/>
    </xf>
    <xf numFmtId="165" fontId="10" fillId="0" borderId="13" xfId="0" applyNumberFormat="1" applyFont="1" applyBorder="1" applyAlignment="1">
      <alignment horizontal="center" vertical="center" wrapText="1"/>
    </xf>
    <xf numFmtId="14" fontId="10" fillId="0" borderId="14" xfId="0" applyNumberFormat="1" applyFont="1" applyBorder="1" applyAlignment="1">
      <alignment horizontal="justify" vertical="center" wrapText="1"/>
    </xf>
    <xf numFmtId="165" fontId="10" fillId="0" borderId="14" xfId="0" applyNumberFormat="1" applyFont="1" applyBorder="1" applyAlignment="1">
      <alignment horizontal="center" vertical="center" wrapText="1"/>
    </xf>
    <xf numFmtId="0" fontId="10" fillId="0" borderId="15" xfId="0" applyFont="1" applyBorder="1" applyAlignment="1">
      <alignment horizontal="left" vertical="center" wrapText="1"/>
    </xf>
    <xf numFmtId="0" fontId="13" fillId="6" borderId="0" xfId="5" applyFont="1" applyFill="1"/>
    <xf numFmtId="0" fontId="12" fillId="6" borderId="0" xfId="5" applyFill="1"/>
    <xf numFmtId="0" fontId="12" fillId="0" borderId="0" xfId="5"/>
    <xf numFmtId="2" fontId="12" fillId="0" borderId="0" xfId="5" applyNumberFormat="1" applyAlignment="1">
      <alignment horizontal="center"/>
    </xf>
    <xf numFmtId="0" fontId="13" fillId="0" borderId="0" xfId="5" applyFont="1" applyFill="1"/>
    <xf numFmtId="0" fontId="12" fillId="0" borderId="0" xfId="5" applyFill="1"/>
    <xf numFmtId="2" fontId="12" fillId="0" borderId="0" xfId="5" applyNumberFormat="1" applyFill="1" applyAlignment="1">
      <alignment horizontal="center"/>
    </xf>
    <xf numFmtId="0" fontId="14" fillId="0" borderId="0" xfId="5" applyFont="1"/>
    <xf numFmtId="0" fontId="5" fillId="0" borderId="0" xfId="5" applyFont="1" applyFill="1" applyBorder="1" applyAlignment="1">
      <alignment horizontal="center" vertical="center" wrapText="1"/>
    </xf>
    <xf numFmtId="0" fontId="15" fillId="9" borderId="0" xfId="5" applyFont="1" applyFill="1"/>
    <xf numFmtId="0" fontId="16" fillId="9" borderId="0" xfId="5" applyFont="1" applyFill="1"/>
    <xf numFmtId="0" fontId="12" fillId="9" borderId="0" xfId="5" applyFill="1"/>
    <xf numFmtId="0" fontId="14" fillId="0" borderId="0" xfId="5" applyFont="1" applyAlignment="1">
      <alignment horizontal="center"/>
    </xf>
    <xf numFmtId="0" fontId="20" fillId="4" borderId="9" xfId="5" applyFont="1" applyFill="1" applyBorder="1" applyAlignment="1">
      <alignment wrapText="1"/>
    </xf>
    <xf numFmtId="0" fontId="21" fillId="4" borderId="9" xfId="5" applyFont="1" applyFill="1" applyBorder="1" applyAlignment="1">
      <alignment wrapText="1"/>
    </xf>
    <xf numFmtId="0" fontId="22" fillId="4" borderId="9" xfId="5" applyFont="1" applyFill="1" applyBorder="1" applyAlignment="1">
      <alignment wrapText="1"/>
    </xf>
    <xf numFmtId="0" fontId="23" fillId="4" borderId="9" xfId="5" applyFont="1" applyFill="1" applyBorder="1" applyAlignment="1">
      <alignment wrapText="1"/>
    </xf>
    <xf numFmtId="0" fontId="1" fillId="4" borderId="0" xfId="6" applyFont="1" applyFill="1"/>
    <xf numFmtId="0" fontId="1" fillId="4" borderId="0" xfId="6" applyFill="1"/>
    <xf numFmtId="0" fontId="1" fillId="0" borderId="0" xfId="6"/>
    <xf numFmtId="0" fontId="1" fillId="0" borderId="0" xfId="6" applyFont="1"/>
    <xf numFmtId="2" fontId="1" fillId="0" borderId="0" xfId="6" applyNumberFormat="1" applyFont="1" applyAlignment="1">
      <alignment horizontal="center"/>
    </xf>
    <xf numFmtId="0" fontId="24" fillId="0" borderId="0" xfId="5" applyFont="1" applyFill="1" applyBorder="1"/>
    <xf numFmtId="0" fontId="12" fillId="0" borderId="0" xfId="6" applyFont="1" applyFill="1" applyBorder="1"/>
    <xf numFmtId="0" fontId="1" fillId="0" borderId="0" xfId="6" applyBorder="1"/>
    <xf numFmtId="0" fontId="24" fillId="11" borderId="9" xfId="6" applyFont="1" applyFill="1" applyBorder="1" applyAlignment="1">
      <alignment horizontal="center" vertical="center" wrapText="1"/>
    </xf>
    <xf numFmtId="166" fontId="24" fillId="11" borderId="9" xfId="5" applyNumberFormat="1" applyFont="1" applyFill="1" applyBorder="1" applyAlignment="1">
      <alignment horizontal="center" vertical="center" wrapText="1"/>
    </xf>
    <xf numFmtId="0" fontId="24" fillId="11" borderId="19" xfId="6" applyFont="1" applyFill="1" applyBorder="1" applyAlignment="1">
      <alignment horizontal="center" vertical="center" wrapText="1"/>
    </xf>
    <xf numFmtId="0" fontId="24" fillId="8" borderId="9" xfId="0" applyFont="1" applyFill="1" applyBorder="1"/>
    <xf numFmtId="0" fontId="0" fillId="8" borderId="9" xfId="0" applyFill="1" applyBorder="1" applyAlignment="1">
      <alignment horizontal="center" wrapText="1"/>
    </xf>
    <xf numFmtId="0" fontId="0" fillId="0" borderId="0" xfId="0" applyFont="1"/>
    <xf numFmtId="2" fontId="0" fillId="0" borderId="22" xfId="1" applyNumberFormat="1" applyFont="1" applyBorder="1" applyAlignment="1">
      <alignment horizontal="center"/>
    </xf>
    <xf numFmtId="2" fontId="0" fillId="0" borderId="25" xfId="1" applyNumberFormat="1" applyFont="1" applyBorder="1" applyAlignment="1">
      <alignment horizontal="center"/>
    </xf>
    <xf numFmtId="0" fontId="12" fillId="4" borderId="0" xfId="5" applyFill="1"/>
    <xf numFmtId="0" fontId="12" fillId="0" borderId="0" xfId="6" applyFont="1"/>
    <xf numFmtId="0" fontId="0" fillId="12" borderId="0" xfId="0" applyFill="1"/>
    <xf numFmtId="0" fontId="24" fillId="12" borderId="9" xfId="0" applyFont="1" applyFill="1" applyBorder="1" applyAlignment="1">
      <alignment horizontal="center" vertical="center" wrapText="1"/>
    </xf>
    <xf numFmtId="166" fontId="24" fillId="12" borderId="9" xfId="0" applyNumberFormat="1" applyFont="1" applyFill="1" applyBorder="1" applyAlignment="1">
      <alignment horizontal="center" vertical="center" wrapText="1"/>
    </xf>
    <xf numFmtId="2" fontId="24" fillId="7" borderId="9" xfId="0" applyNumberFormat="1" applyFont="1" applyFill="1" applyBorder="1" applyAlignment="1">
      <alignment horizontal="center"/>
    </xf>
    <xf numFmtId="168" fontId="24" fillId="4"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24" fillId="0" borderId="9" xfId="0" applyNumberFormat="1" applyFont="1" applyBorder="1" applyAlignment="1">
      <alignment horizontal="center"/>
    </xf>
    <xf numFmtId="0" fontId="24" fillId="0" borderId="9" xfId="0" applyFont="1" applyBorder="1" applyAlignment="1">
      <alignment horizontal="center"/>
    </xf>
    <xf numFmtId="170" fontId="24" fillId="0" borderId="9" xfId="5" applyNumberFormat="1" applyFont="1" applyFill="1" applyBorder="1" applyAlignment="1">
      <alignment horizontal="center"/>
    </xf>
    <xf numFmtId="2" fontId="24" fillId="4" borderId="9" xfId="0" applyNumberFormat="1" applyFont="1" applyFill="1" applyBorder="1" applyAlignment="1">
      <alignment horizontal="center"/>
    </xf>
    <xf numFmtId="165" fontId="24" fillId="4" borderId="9" xfId="0" applyNumberFormat="1" applyFont="1" applyFill="1" applyBorder="1" applyAlignment="1">
      <alignment horizontal="center"/>
    </xf>
    <xf numFmtId="0" fontId="12" fillId="0" borderId="0" xfId="5" applyAlignment="1">
      <alignment horizontal="center"/>
    </xf>
    <xf numFmtId="165" fontId="24" fillId="0" borderId="9" xfId="0" applyNumberFormat="1" applyFont="1" applyBorder="1" applyAlignment="1">
      <alignment horizontal="center"/>
    </xf>
    <xf numFmtId="44" fontId="0" fillId="0" borderId="27" xfId="2" applyFont="1" applyFill="1" applyBorder="1"/>
    <xf numFmtId="44" fontId="0" fillId="0" borderId="0" xfId="2" applyFont="1" applyFill="1" applyBorder="1"/>
    <xf numFmtId="44" fontId="0" fillId="0" borderId="28" xfId="2" applyFont="1" applyFill="1" applyBorder="1"/>
    <xf numFmtId="2" fontId="12" fillId="0" borderId="0" xfId="6" applyNumberFormat="1" applyFont="1" applyAlignment="1">
      <alignment horizontal="center"/>
    </xf>
    <xf numFmtId="2" fontId="24" fillId="0" borderId="0" xfId="5" applyNumberFormat="1" applyFont="1" applyFill="1" applyBorder="1" applyAlignment="1">
      <alignment horizontal="center"/>
    </xf>
    <xf numFmtId="165" fontId="1" fillId="0" borderId="29" xfId="6" applyNumberFormat="1" applyFill="1" applyBorder="1" applyAlignment="1">
      <alignment horizontal="center"/>
    </xf>
    <xf numFmtId="165" fontId="1" fillId="0" borderId="9" xfId="5" applyNumberFormat="1" applyFont="1" applyFill="1" applyBorder="1" applyAlignment="1">
      <alignment horizontal="center"/>
    </xf>
    <xf numFmtId="0" fontId="24" fillId="11" borderId="30" xfId="5" applyFont="1" applyFill="1" applyBorder="1" applyAlignment="1">
      <alignment horizontal="center" vertical="center" wrapText="1"/>
    </xf>
    <xf numFmtId="0" fontId="24" fillId="11" borderId="23" xfId="5" applyFont="1" applyFill="1" applyBorder="1" applyAlignment="1">
      <alignment horizontal="center" vertical="center" wrapText="1"/>
    </xf>
    <xf numFmtId="0" fontId="24" fillId="11" borderId="20" xfId="5" applyFont="1" applyFill="1" applyBorder="1" applyAlignment="1">
      <alignment vertical="center" wrapText="1"/>
    </xf>
    <xf numFmtId="170" fontId="1" fillId="0" borderId="9" xfId="5" applyNumberFormat="1" applyFont="1" applyFill="1" applyBorder="1" applyAlignment="1">
      <alignment horizontal="center"/>
    </xf>
    <xf numFmtId="0" fontId="24" fillId="11" borderId="9" xfId="5" applyFont="1" applyFill="1" applyBorder="1" applyAlignment="1">
      <alignment vertical="center" wrapText="1"/>
    </xf>
    <xf numFmtId="0" fontId="32" fillId="11" borderId="19" xfId="5" applyFont="1" applyFill="1" applyBorder="1" applyAlignment="1">
      <alignment horizontal="center" vertical="center" wrapText="1"/>
    </xf>
    <xf numFmtId="0" fontId="0" fillId="0" borderId="0" xfId="6" applyFont="1"/>
    <xf numFmtId="1" fontId="24" fillId="11" borderId="19" xfId="5" applyNumberFormat="1" applyFont="1" applyFill="1" applyBorder="1" applyAlignment="1">
      <alignment horizontal="center" vertical="center" wrapText="1"/>
    </xf>
    <xf numFmtId="0" fontId="1" fillId="4" borderId="0" xfId="6" applyFill="1" applyBorder="1"/>
    <xf numFmtId="165" fontId="1" fillId="0" borderId="9" xfId="6" applyNumberFormat="1" applyFill="1" applyBorder="1" applyAlignment="1">
      <alignment horizontal="center"/>
    </xf>
    <xf numFmtId="165" fontId="24" fillId="0" borderId="9" xfId="5" applyNumberFormat="1" applyFont="1" applyFill="1" applyBorder="1" applyAlignment="1">
      <alignment horizontal="center" vertical="center"/>
    </xf>
    <xf numFmtId="180" fontId="24" fillId="0" borderId="9" xfId="5" applyNumberFormat="1" applyFont="1" applyFill="1" applyBorder="1" applyAlignment="1">
      <alignment horizontal="center" vertical="center"/>
    </xf>
    <xf numFmtId="9" fontId="24" fillId="0" borderId="9" xfId="3" applyFont="1" applyFill="1" applyBorder="1" applyAlignment="1">
      <alignment horizontal="center" vertical="center"/>
    </xf>
    <xf numFmtId="0" fontId="24" fillId="4" borderId="9" xfId="5" applyFont="1" applyFill="1" applyBorder="1" applyAlignment="1">
      <alignment horizontal="center"/>
    </xf>
    <xf numFmtId="1" fontId="24" fillId="7" borderId="9" xfId="3" applyNumberFormat="1" applyFont="1" applyFill="1" applyBorder="1" applyAlignment="1">
      <alignment horizontal="center" vertical="center"/>
    </xf>
    <xf numFmtId="165" fontId="1" fillId="0" borderId="19" xfId="6" applyNumberFormat="1" applyFill="1" applyBorder="1" applyAlignment="1">
      <alignment horizontal="center"/>
    </xf>
    <xf numFmtId="1" fontId="0" fillId="4" borderId="0" xfId="11" applyNumberFormat="1" applyFont="1" applyFill="1" applyBorder="1" applyAlignment="1">
      <alignment horizontal="center" vertical="center"/>
    </xf>
    <xf numFmtId="2" fontId="0" fillId="4" borderId="0" xfId="11" applyNumberFormat="1" applyFont="1" applyFill="1" applyBorder="1" applyAlignment="1">
      <alignment horizontal="center" vertical="center"/>
    </xf>
    <xf numFmtId="9" fontId="0" fillId="0" borderId="9" xfId="3" applyFont="1" applyFill="1" applyBorder="1" applyAlignment="1">
      <alignment horizontal="center"/>
    </xf>
    <xf numFmtId="9" fontId="0" fillId="0" borderId="9" xfId="3" applyNumberFormat="1" applyFont="1" applyFill="1" applyBorder="1" applyAlignment="1">
      <alignment horizontal="center"/>
    </xf>
    <xf numFmtId="0" fontId="25" fillId="0" borderId="0" xfId="5" applyFont="1" applyFill="1"/>
    <xf numFmtId="0" fontId="1" fillId="0" borderId="0" xfId="6" applyFill="1"/>
    <xf numFmtId="165" fontId="4" fillId="0" borderId="9" xfId="6" applyNumberFormat="1" applyFont="1" applyFill="1" applyBorder="1" applyAlignment="1">
      <alignment horizontal="center"/>
    </xf>
    <xf numFmtId="0" fontId="4" fillId="4" borderId="9" xfId="0" applyFont="1" applyFill="1" applyBorder="1" applyAlignment="1">
      <alignment horizontal="center" vertical="center" wrapText="1"/>
    </xf>
    <xf numFmtId="0" fontId="4" fillId="0" borderId="0" xfId="0" applyFont="1"/>
    <xf numFmtId="170" fontId="4" fillId="4" borderId="9" xfId="5" applyNumberFormat="1" applyFont="1" applyFill="1" applyBorder="1" applyAlignment="1">
      <alignment horizontal="center"/>
    </xf>
    <xf numFmtId="171" fontId="4" fillId="4" borderId="9" xfId="5" applyNumberFormat="1" applyFont="1" applyFill="1" applyBorder="1" applyAlignment="1">
      <alignment horizontal="center" vertical="center" wrapText="1"/>
    </xf>
    <xf numFmtId="0" fontId="0" fillId="0" borderId="0" xfId="0" applyAlignment="1">
      <alignment horizontal="center"/>
    </xf>
    <xf numFmtId="0" fontId="24" fillId="0" borderId="9" xfId="0" applyFont="1" applyBorder="1" applyAlignment="1">
      <alignment horizontal="center" vertical="center" wrapText="1"/>
    </xf>
    <xf numFmtId="2" fontId="24" fillId="4" borderId="9" xfId="0" applyNumberFormat="1" applyFont="1" applyFill="1" applyBorder="1" applyAlignment="1">
      <alignment horizontal="center" vertical="center" wrapText="1"/>
    </xf>
    <xf numFmtId="169" fontId="24" fillId="0" borderId="9" xfId="0" applyNumberFormat="1" applyFont="1" applyBorder="1" applyAlignment="1">
      <alignment horizontal="center" vertical="center" wrapText="1"/>
    </xf>
    <xf numFmtId="0" fontId="38" fillId="0" borderId="9" xfId="12" applyFont="1" applyFill="1" applyBorder="1" applyAlignment="1">
      <alignment horizontal="center"/>
    </xf>
    <xf numFmtId="165" fontId="24" fillId="0" borderId="9" xfId="0" applyNumberFormat="1" applyFont="1" applyBorder="1" applyAlignment="1">
      <alignment horizontal="center" vertical="center" wrapText="1"/>
    </xf>
    <xf numFmtId="2" fontId="24" fillId="4" borderId="9" xfId="0" applyNumberFormat="1" applyFont="1" applyFill="1" applyBorder="1"/>
    <xf numFmtId="43" fontId="0" fillId="0" borderId="20" xfId="1" applyFont="1" applyBorder="1"/>
    <xf numFmtId="7" fontId="0" fillId="0" borderId="27" xfId="0" applyNumberFormat="1" applyFont="1" applyBorder="1"/>
    <xf numFmtId="2" fontId="4" fillId="4" borderId="9" xfId="0" applyNumberFormat="1" applyFont="1" applyFill="1" applyBorder="1"/>
    <xf numFmtId="43" fontId="0" fillId="0" borderId="22" xfId="1" applyFont="1" applyBorder="1"/>
    <xf numFmtId="7" fontId="0" fillId="0" borderId="0" xfId="0" applyNumberFormat="1" applyFont="1" applyBorder="1"/>
    <xf numFmtId="2" fontId="4" fillId="4" borderId="9" xfId="0" applyNumberFormat="1" applyFont="1" applyFill="1" applyBorder="1" applyAlignment="1">
      <alignment horizontal="center" vertical="center" wrapText="1"/>
    </xf>
    <xf numFmtId="165" fontId="4" fillId="0" borderId="9" xfId="0" applyNumberFormat="1" applyFont="1" applyBorder="1" applyAlignment="1">
      <alignment horizontal="center" vertical="center" wrapText="1"/>
    </xf>
    <xf numFmtId="165" fontId="4" fillId="0" borderId="9" xfId="0" applyNumberFormat="1" applyFont="1" applyFill="1" applyBorder="1" applyAlignment="1">
      <alignment horizontal="center" vertical="center" wrapText="1"/>
    </xf>
    <xf numFmtId="43" fontId="0" fillId="0" borderId="25" xfId="1" applyFont="1" applyBorder="1"/>
    <xf numFmtId="7" fontId="0" fillId="0" borderId="28" xfId="0" applyNumberFormat="1" applyFont="1" applyBorder="1"/>
    <xf numFmtId="0" fontId="24" fillId="0" borderId="0" xfId="0" applyFont="1" applyBorder="1" applyAlignment="1">
      <alignment horizontal="center"/>
    </xf>
    <xf numFmtId="0" fontId="0" fillId="0" borderId="0" xfId="0" applyAlignment="1">
      <alignment horizontal="left"/>
    </xf>
    <xf numFmtId="0" fontId="39" fillId="0" borderId="0" xfId="0" applyFont="1"/>
    <xf numFmtId="0" fontId="24" fillId="0" borderId="0" xfId="0" applyFont="1"/>
    <xf numFmtId="2" fontId="24" fillId="4" borderId="4" xfId="0" applyNumberFormat="1" applyFont="1" applyFill="1" applyBorder="1"/>
    <xf numFmtId="2" fontId="0" fillId="0" borderId="4" xfId="0" applyNumberFormat="1" applyFill="1" applyBorder="1"/>
    <xf numFmtId="2" fontId="0" fillId="4" borderId="9" xfId="0" applyNumberFormat="1" applyFill="1" applyBorder="1"/>
    <xf numFmtId="2" fontId="0" fillId="0" borderId="9" xfId="0" applyNumberFormat="1" applyBorder="1"/>
    <xf numFmtId="165" fontId="4" fillId="0" borderId="0" xfId="0" applyNumberFormat="1" applyFont="1" applyBorder="1"/>
    <xf numFmtId="2" fontId="24" fillId="0" borderId="9" xfId="0" applyNumberFormat="1" applyFont="1" applyFill="1" applyBorder="1"/>
    <xf numFmtId="2" fontId="24" fillId="4" borderId="9" xfId="14" applyNumberFormat="1" applyFont="1" applyFill="1" applyBorder="1"/>
    <xf numFmtId="2" fontId="24" fillId="0" borderId="9" xfId="14" applyNumberFormat="1" applyFont="1" applyFill="1" applyBorder="1"/>
    <xf numFmtId="2" fontId="24" fillId="0" borderId="4" xfId="0" applyNumberFormat="1" applyFont="1" applyBorder="1"/>
    <xf numFmtId="2" fontId="4" fillId="0" borderId="4" xfId="0" applyNumberFormat="1" applyFont="1" applyBorder="1"/>
    <xf numFmtId="2" fontId="4" fillId="4" borderId="9" xfId="14" applyNumberFormat="1" applyFont="1" applyFill="1" applyBorder="1"/>
    <xf numFmtId="165" fontId="4" fillId="0" borderId="9" xfId="0" applyNumberFormat="1" applyFont="1" applyFill="1" applyBorder="1"/>
    <xf numFmtId="10" fontId="32" fillId="0" borderId="23" xfId="7" applyNumberFormat="1" applyFont="1" applyFill="1" applyBorder="1" applyAlignment="1">
      <alignment horizontal="center" vertical="center" wrapText="1"/>
    </xf>
    <xf numFmtId="10" fontId="27" fillId="0" borderId="9" xfId="7" applyNumberFormat="1" applyFont="1" applyFill="1" applyBorder="1" applyAlignment="1">
      <alignment horizontal="center" vertical="center" wrapText="1"/>
    </xf>
    <xf numFmtId="39" fontId="24" fillId="4" borderId="9" xfId="5" applyNumberFormat="1" applyFont="1" applyFill="1" applyBorder="1" applyAlignment="1">
      <alignment horizontal="center"/>
    </xf>
    <xf numFmtId="39" fontId="4" fillId="0" borderId="9" xfId="5" applyNumberFormat="1" applyFont="1" applyFill="1" applyBorder="1" applyAlignment="1">
      <alignment horizontal="center"/>
    </xf>
    <xf numFmtId="9" fontId="32" fillId="0" borderId="9" xfId="7" applyFont="1" applyFill="1" applyBorder="1" applyAlignment="1">
      <alignment horizontal="center" vertical="center" wrapText="1"/>
    </xf>
    <xf numFmtId="165" fontId="24" fillId="4" borderId="9" xfId="0" applyNumberFormat="1" applyFont="1" applyFill="1" applyBorder="1" applyAlignment="1">
      <alignment horizontal="center" vertical="center" wrapText="1"/>
    </xf>
    <xf numFmtId="2" fontId="12" fillId="0" borderId="0" xfId="5" applyNumberFormat="1"/>
    <xf numFmtId="0" fontId="43" fillId="0" borderId="0" xfId="5" applyFont="1" applyAlignment="1">
      <alignment horizontal="center"/>
    </xf>
    <xf numFmtId="0" fontId="44" fillId="0" borderId="0" xfId="0" applyFont="1" applyFill="1" applyAlignment="1">
      <alignment horizontal="center"/>
    </xf>
    <xf numFmtId="0" fontId="44" fillId="0" borderId="0" xfId="0" applyFont="1" applyFill="1" applyAlignment="1">
      <alignment horizontal="left"/>
    </xf>
    <xf numFmtId="2" fontId="12" fillId="0" borderId="0" xfId="5" applyNumberFormat="1" applyFill="1"/>
    <xf numFmtId="0" fontId="24" fillId="0" borderId="0" xfId="0" applyFont="1" applyFill="1" applyBorder="1"/>
    <xf numFmtId="2" fontId="24" fillId="0" borderId="0" xfId="0" applyNumberFormat="1" applyFont="1" applyFill="1" applyBorder="1"/>
    <xf numFmtId="0" fontId="24" fillId="0" borderId="0" xfId="6" applyFont="1" applyAlignment="1">
      <alignment horizontal="center"/>
    </xf>
    <xf numFmtId="0" fontId="24" fillId="0" borderId="0" xfId="6" applyFont="1" applyAlignment="1">
      <alignment horizontal="left"/>
    </xf>
    <xf numFmtId="0" fontId="24" fillId="0" borderId="0" xfId="6" applyFont="1"/>
    <xf numFmtId="0" fontId="4" fillId="0" borderId="0" xfId="6" applyFont="1"/>
    <xf numFmtId="2" fontId="1" fillId="0" borderId="0" xfId="6" applyNumberFormat="1"/>
    <xf numFmtId="0" fontId="24" fillId="4" borderId="9" xfId="6" applyFont="1" applyFill="1" applyBorder="1" applyAlignment="1">
      <alignment horizontal="left"/>
    </xf>
    <xf numFmtId="182" fontId="24" fillId="4" borderId="9" xfId="1" applyNumberFormat="1" applyFont="1" applyFill="1" applyBorder="1" applyAlignment="1">
      <alignment horizontal="center"/>
    </xf>
    <xf numFmtId="2" fontId="24" fillId="4" borderId="9" xfId="6" applyNumberFormat="1" applyFont="1" applyFill="1" applyBorder="1" applyAlignment="1">
      <alignment horizontal="center"/>
    </xf>
    <xf numFmtId="169" fontId="24" fillId="4" borderId="9" xfId="6" applyNumberFormat="1" applyFont="1" applyFill="1" applyBorder="1" applyAlignment="1">
      <alignment horizontal="center"/>
    </xf>
    <xf numFmtId="165" fontId="24" fillId="4" borderId="9" xfId="6" applyNumberFormat="1" applyFont="1" applyFill="1" applyBorder="1" applyAlignment="1">
      <alignment horizontal="center"/>
    </xf>
    <xf numFmtId="7" fontId="29" fillId="4" borderId="9" xfId="2" applyNumberFormat="1" applyFont="1" applyFill="1" applyBorder="1"/>
    <xf numFmtId="0" fontId="0" fillId="0" borderId="9" xfId="0" applyBorder="1"/>
    <xf numFmtId="189" fontId="0" fillId="4" borderId="9" xfId="1" applyNumberFormat="1" applyFont="1" applyFill="1" applyBorder="1" applyAlignment="1">
      <alignment horizontal="center"/>
    </xf>
    <xf numFmtId="2" fontId="4" fillId="4" borderId="9" xfId="6" applyNumberFormat="1" applyFont="1" applyFill="1" applyBorder="1" applyAlignment="1">
      <alignment horizontal="center"/>
    </xf>
    <xf numFmtId="9" fontId="0" fillId="0" borderId="0" xfId="3" applyFont="1"/>
    <xf numFmtId="189" fontId="1" fillId="0" borderId="0" xfId="6" applyNumberFormat="1"/>
    <xf numFmtId="2" fontId="0" fillId="0" borderId="16" xfId="1" applyNumberFormat="1" applyFont="1" applyBorder="1"/>
    <xf numFmtId="7" fontId="0" fillId="0" borderId="17" xfId="0" applyNumberFormat="1" applyFont="1" applyBorder="1"/>
    <xf numFmtId="0" fontId="24" fillId="4" borderId="0" xfId="6" applyFont="1" applyFill="1" applyAlignment="1">
      <alignment horizontal="left"/>
    </xf>
    <xf numFmtId="0" fontId="24" fillId="4" borderId="0" xfId="6" applyFont="1" applyFill="1" applyBorder="1" applyAlignment="1">
      <alignment horizontal="left"/>
    </xf>
    <xf numFmtId="180" fontId="44" fillId="0" borderId="0" xfId="6" applyNumberFormat="1" applyFont="1" applyBorder="1"/>
    <xf numFmtId="0" fontId="24" fillId="0" borderId="0" xfId="6" applyFont="1" applyBorder="1"/>
    <xf numFmtId="2" fontId="1" fillId="0" borderId="0" xfId="6" applyNumberFormat="1" applyFill="1"/>
    <xf numFmtId="0" fontId="1" fillId="0" borderId="0" xfId="13"/>
    <xf numFmtId="0" fontId="24" fillId="0" borderId="0" xfId="13" applyFont="1" applyAlignment="1">
      <alignment horizontal="center"/>
    </xf>
    <xf numFmtId="0" fontId="24" fillId="4" borderId="0" xfId="13" applyFont="1" applyFill="1" applyAlignment="1">
      <alignment horizontal="left"/>
    </xf>
    <xf numFmtId="1" fontId="24" fillId="0" borderId="0" xfId="13" applyNumberFormat="1" applyFont="1" applyBorder="1"/>
    <xf numFmtId="0" fontId="24" fillId="0" borderId="0" xfId="13" applyFont="1"/>
    <xf numFmtId="0" fontId="44" fillId="0" borderId="0" xfId="13" applyFont="1" applyAlignment="1">
      <alignment horizontal="left"/>
    </xf>
    <xf numFmtId="0" fontId="1" fillId="0" borderId="0" xfId="0" applyFont="1"/>
    <xf numFmtId="0" fontId="24" fillId="0" borderId="0" xfId="13" applyFont="1" applyBorder="1" applyAlignment="1">
      <alignment horizontal="left"/>
    </xf>
    <xf numFmtId="0" fontId="24" fillId="0" borderId="0" xfId="13" applyFont="1" applyAlignment="1">
      <alignment horizontal="left"/>
    </xf>
    <xf numFmtId="0" fontId="24" fillId="0" borderId="0" xfId="6" applyFont="1" applyFill="1" applyAlignment="1">
      <alignment horizontal="center"/>
    </xf>
    <xf numFmtId="180" fontId="24" fillId="4" borderId="9" xfId="13" applyNumberFormat="1" applyFont="1" applyFill="1" applyBorder="1" applyAlignment="1">
      <alignment horizontal="center" vertical="center" wrapText="1"/>
    </xf>
    <xf numFmtId="165" fontId="24" fillId="4" borderId="9" xfId="13" applyNumberFormat="1" applyFont="1" applyFill="1" applyBorder="1" applyAlignment="1">
      <alignment vertical="center" wrapText="1"/>
    </xf>
    <xf numFmtId="0" fontId="0" fillId="0" borderId="0" xfId="6" applyFont="1" applyFill="1"/>
    <xf numFmtId="0" fontId="4" fillId="0" borderId="0" xfId="6" applyFont="1" applyFill="1"/>
    <xf numFmtId="180" fontId="4" fillId="0" borderId="9" xfId="13" applyNumberFormat="1" applyFont="1" applyFill="1" applyBorder="1" applyAlignment="1">
      <alignment horizontal="center" vertical="center" wrapText="1"/>
    </xf>
    <xf numFmtId="180" fontId="4" fillId="4" borderId="9" xfId="13" applyNumberFormat="1" applyFont="1" applyFill="1" applyBorder="1" applyAlignment="1">
      <alignment horizontal="center" vertical="center" wrapText="1"/>
    </xf>
    <xf numFmtId="180" fontId="24" fillId="0" borderId="9" xfId="13" applyNumberFormat="1" applyFont="1" applyFill="1" applyBorder="1" applyAlignment="1">
      <alignment horizontal="center" vertical="center" wrapText="1"/>
    </xf>
    <xf numFmtId="2" fontId="24" fillId="4" borderId="9" xfId="13" applyNumberFormat="1" applyFont="1" applyFill="1" applyBorder="1" applyAlignment="1">
      <alignment horizontal="center" vertical="center" wrapText="1"/>
    </xf>
    <xf numFmtId="2" fontId="1" fillId="4" borderId="9" xfId="13" applyNumberFormat="1" applyFont="1" applyFill="1" applyBorder="1" applyAlignment="1">
      <alignment horizontal="center" vertical="center" wrapText="1"/>
    </xf>
    <xf numFmtId="2" fontId="4" fillId="0" borderId="9" xfId="13" applyNumberFormat="1" applyFont="1" applyFill="1" applyBorder="1" applyAlignment="1">
      <alignment horizontal="center" vertical="center" wrapText="1"/>
    </xf>
    <xf numFmtId="2" fontId="4" fillId="4" borderId="9" xfId="13" applyNumberFormat="1" applyFont="1" applyFill="1" applyBorder="1" applyAlignment="1">
      <alignment horizontal="center" vertical="center" wrapText="1"/>
    </xf>
    <xf numFmtId="2" fontId="1" fillId="0" borderId="9" xfId="13" applyNumberFormat="1" applyFont="1" applyFill="1" applyBorder="1" applyAlignment="1">
      <alignment horizontal="center" vertical="center" wrapText="1"/>
    </xf>
    <xf numFmtId="2" fontId="24" fillId="0" borderId="9" xfId="13" applyNumberFormat="1" applyFont="1" applyFill="1" applyBorder="1" applyAlignment="1">
      <alignment horizontal="center" vertical="center" wrapText="1"/>
    </xf>
    <xf numFmtId="2" fontId="24" fillId="4" borderId="9" xfId="13" applyNumberFormat="1" applyFont="1" applyFill="1" applyBorder="1" applyAlignment="1">
      <alignment horizontal="left" vertical="center" wrapText="1"/>
    </xf>
    <xf numFmtId="165" fontId="24" fillId="4" borderId="9" xfId="13" applyNumberFormat="1" applyFont="1" applyFill="1" applyBorder="1" applyAlignment="1">
      <alignment horizontal="center" vertical="center" wrapText="1"/>
    </xf>
    <xf numFmtId="165" fontId="1" fillId="4" borderId="9" xfId="13" applyNumberFormat="1" applyFont="1" applyFill="1" applyBorder="1" applyAlignment="1">
      <alignment horizontal="center" vertical="center" wrapText="1"/>
    </xf>
    <xf numFmtId="165" fontId="1" fillId="0" borderId="9" xfId="13" applyNumberFormat="1" applyFont="1" applyFill="1" applyBorder="1" applyAlignment="1">
      <alignment horizontal="center" vertical="center" wrapText="1"/>
    </xf>
    <xf numFmtId="0" fontId="1" fillId="0" borderId="0" xfId="6" applyFill="1" applyAlignment="1">
      <alignment horizontal="center"/>
    </xf>
    <xf numFmtId="165" fontId="4" fillId="0" borderId="9" xfId="13" applyNumberFormat="1" applyFont="1" applyFill="1" applyBorder="1" applyAlignment="1">
      <alignment horizontal="center" vertical="center" wrapText="1"/>
    </xf>
    <xf numFmtId="1" fontId="24" fillId="4" borderId="9" xfId="13" applyNumberFormat="1" applyFont="1" applyFill="1" applyBorder="1" applyAlignment="1">
      <alignment horizontal="center" vertical="center" wrapText="1"/>
    </xf>
    <xf numFmtId="1" fontId="1" fillId="4" borderId="9" xfId="13" applyNumberFormat="1" applyFont="1" applyFill="1" applyBorder="1" applyAlignment="1">
      <alignment horizontal="center" vertical="center" wrapText="1"/>
    </xf>
    <xf numFmtId="1" fontId="1" fillId="0" borderId="9" xfId="13" applyNumberFormat="1" applyFont="1" applyFill="1" applyBorder="1" applyAlignment="1">
      <alignment horizontal="center" vertical="center" wrapText="1"/>
    </xf>
    <xf numFmtId="0" fontId="24" fillId="4" borderId="9" xfId="13" applyFont="1" applyFill="1" applyBorder="1" applyAlignment="1">
      <alignment horizontal="left"/>
    </xf>
    <xf numFmtId="9" fontId="24" fillId="4" borderId="9" xfId="13" applyNumberFormat="1" applyFont="1" applyFill="1" applyBorder="1" applyAlignment="1">
      <alignment horizontal="center" vertical="center"/>
    </xf>
    <xf numFmtId="9" fontId="4" fillId="4" borderId="9" xfId="13" applyNumberFormat="1" applyFont="1" applyFill="1" applyBorder="1" applyAlignment="1">
      <alignment horizontal="center"/>
    </xf>
    <xf numFmtId="9" fontId="24" fillId="4" borderId="9" xfId="13" applyNumberFormat="1" applyFont="1" applyFill="1" applyBorder="1" applyAlignment="1">
      <alignment horizontal="center"/>
    </xf>
    <xf numFmtId="0" fontId="24" fillId="4" borderId="9" xfId="13" applyFont="1" applyFill="1" applyBorder="1" applyAlignment="1">
      <alignment horizontal="left" vertical="center"/>
    </xf>
    <xf numFmtId="0" fontId="24" fillId="4" borderId="9" xfId="13" applyFont="1" applyFill="1" applyBorder="1" applyAlignment="1">
      <alignment horizontal="center" vertical="center"/>
    </xf>
    <xf numFmtId="0" fontId="24" fillId="4" borderId="9" xfId="13" applyFont="1" applyFill="1" applyBorder="1" applyAlignment="1">
      <alignment horizontal="left" vertical="center" wrapText="1"/>
    </xf>
    <xf numFmtId="2" fontId="24" fillId="4" borderId="9" xfId="13" applyNumberFormat="1" applyFont="1" applyFill="1" applyBorder="1" applyAlignment="1">
      <alignment horizontal="center"/>
    </xf>
    <xf numFmtId="180" fontId="1" fillId="4" borderId="9" xfId="13" applyNumberFormat="1" applyFont="1" applyFill="1" applyBorder="1" applyAlignment="1">
      <alignment horizontal="center" vertical="center" wrapText="1"/>
    </xf>
    <xf numFmtId="180" fontId="1" fillId="0" borderId="9" xfId="13" applyNumberFormat="1" applyFont="1" applyFill="1" applyBorder="1" applyAlignment="1">
      <alignment horizontal="center" vertical="center" wrapText="1"/>
    </xf>
    <xf numFmtId="9" fontId="24" fillId="4" borderId="9" xfId="3" applyFont="1" applyFill="1" applyBorder="1" applyAlignment="1">
      <alignment horizontal="center" vertical="center" wrapText="1"/>
    </xf>
    <xf numFmtId="9" fontId="1" fillId="4"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4" borderId="9" xfId="6" applyNumberFormat="1" applyFont="1" applyFill="1" applyBorder="1" applyAlignment="1">
      <alignment horizontal="center"/>
    </xf>
    <xf numFmtId="7" fontId="29" fillId="4" borderId="9" xfId="2" applyNumberFormat="1" applyFont="1" applyFill="1" applyBorder="1" applyAlignment="1">
      <alignment horizontal="center"/>
    </xf>
    <xf numFmtId="7" fontId="28" fillId="4" borderId="9" xfId="2" applyNumberFormat="1" applyFont="1" applyFill="1" applyBorder="1" applyAlignment="1">
      <alignment horizontal="center"/>
    </xf>
    <xf numFmtId="0" fontId="46" fillId="0" borderId="0" xfId="6" applyFont="1" applyFill="1" applyBorder="1" applyAlignment="1">
      <alignment horizontal="left" vertical="center" wrapText="1"/>
    </xf>
    <xf numFmtId="0" fontId="46" fillId="0" borderId="0" xfId="6" applyFont="1" applyFill="1" applyBorder="1" applyAlignment="1">
      <alignment horizontal="center" vertical="center" wrapText="1"/>
    </xf>
    <xf numFmtId="0" fontId="24" fillId="0" borderId="0" xfId="6" applyFont="1" applyFill="1" applyAlignment="1">
      <alignment horizontal="left"/>
    </xf>
    <xf numFmtId="0" fontId="24" fillId="0" borderId="0" xfId="6" applyFont="1" applyFill="1"/>
    <xf numFmtId="0" fontId="28" fillId="0" borderId="0" xfId="8"/>
    <xf numFmtId="0" fontId="29" fillId="0" borderId="0" xfId="8" applyFont="1" applyBorder="1" applyAlignment="1">
      <alignment horizontal="center"/>
    </xf>
    <xf numFmtId="0" fontId="29" fillId="0" borderId="40" xfId="8" applyFont="1" applyBorder="1"/>
    <xf numFmtId="0" fontId="0" fillId="0" borderId="0" xfId="0" applyFill="1"/>
    <xf numFmtId="0" fontId="24" fillId="0" borderId="0" xfId="0" applyFont="1" applyFill="1"/>
    <xf numFmtId="0" fontId="29" fillId="0" borderId="0" xfId="8" applyFont="1" applyFill="1"/>
    <xf numFmtId="2" fontId="0" fillId="8" borderId="9" xfId="1" applyNumberFormat="1" applyFont="1" applyFill="1" applyBorder="1" applyAlignment="1">
      <alignment horizontal="center" wrapText="1"/>
    </xf>
    <xf numFmtId="0" fontId="29" fillId="0" borderId="19" xfId="8" applyFont="1" applyBorder="1" applyAlignment="1">
      <alignment horizontal="left"/>
    </xf>
    <xf numFmtId="4" fontId="29" fillId="0" borderId="9" xfId="8" applyNumberFormat="1" applyFont="1" applyBorder="1" applyAlignment="1">
      <alignment horizontal="center"/>
    </xf>
    <xf numFmtId="0" fontId="29" fillId="0" borderId="9" xfId="8" applyFont="1" applyBorder="1" applyAlignment="1">
      <alignment horizontal="center"/>
    </xf>
    <xf numFmtId="169" fontId="29" fillId="0" borderId="9" xfId="2" applyNumberFormat="1" applyFont="1" applyBorder="1" applyAlignment="1">
      <alignment horizontal="center"/>
    </xf>
    <xf numFmtId="181" fontId="29" fillId="0" borderId="0" xfId="8" applyNumberFormat="1" applyFont="1" applyFill="1"/>
    <xf numFmtId="170" fontId="24" fillId="4" borderId="9" xfId="1" applyNumberFormat="1" applyFont="1" applyFill="1" applyBorder="1" applyAlignment="1">
      <alignment horizontal="center"/>
    </xf>
    <xf numFmtId="170" fontId="4" fillId="4" borderId="9" xfId="1" applyNumberFormat="1" applyFont="1" applyFill="1" applyBorder="1" applyAlignment="1">
      <alignment horizontal="center"/>
    </xf>
    <xf numFmtId="39" fontId="4" fillId="4" borderId="9" xfId="1" applyNumberFormat="1" applyFont="1" applyFill="1" applyBorder="1" applyAlignment="1">
      <alignment horizontal="center"/>
    </xf>
    <xf numFmtId="2" fontId="0" fillId="0" borderId="20" xfId="1" applyNumberFormat="1" applyFont="1" applyBorder="1"/>
    <xf numFmtId="0" fontId="29" fillId="0" borderId="23" xfId="8" applyFont="1" applyBorder="1" applyAlignment="1">
      <alignment horizontal="left"/>
    </xf>
    <xf numFmtId="9" fontId="24" fillId="0" borderId="0" xfId="3" applyFont="1" applyFill="1" applyBorder="1"/>
    <xf numFmtId="2" fontId="0" fillId="8" borderId="22" xfId="1" applyNumberFormat="1" applyFont="1" applyFill="1" applyBorder="1"/>
    <xf numFmtId="165" fontId="30" fillId="0" borderId="9" xfId="8" applyNumberFormat="1" applyFont="1" applyBorder="1" applyAlignment="1">
      <alignment horizontal="center"/>
    </xf>
    <xf numFmtId="2" fontId="0" fillId="0" borderId="22" xfId="1" applyNumberFormat="1" applyFont="1" applyBorder="1"/>
    <xf numFmtId="9" fontId="24" fillId="0" borderId="0" xfId="0" applyNumberFormat="1" applyFont="1" applyFill="1" applyBorder="1"/>
    <xf numFmtId="2" fontId="0" fillId="8" borderId="25" xfId="1" applyNumberFormat="1" applyFont="1" applyFill="1" applyBorder="1"/>
    <xf numFmtId="0" fontId="29" fillId="0" borderId="0" xfId="8" applyFont="1" applyAlignment="1">
      <alignment horizontal="left"/>
    </xf>
    <xf numFmtId="39" fontId="29" fillId="0" borderId="0" xfId="1" applyNumberFormat="1" applyFont="1" applyAlignment="1">
      <alignment horizontal="center"/>
    </xf>
    <xf numFmtId="0" fontId="29" fillId="0" borderId="0" xfId="8" applyFont="1"/>
    <xf numFmtId="0" fontId="1" fillId="0" borderId="0" xfId="13" applyFill="1"/>
    <xf numFmtId="0" fontId="4" fillId="0" borderId="0" xfId="13" applyFont="1" applyFill="1"/>
    <xf numFmtId="2" fontId="1" fillId="0" borderId="0" xfId="13" applyNumberFormat="1" applyFill="1"/>
    <xf numFmtId="0" fontId="29" fillId="0" borderId="41" xfId="8" applyFont="1" applyBorder="1" applyAlignment="1">
      <alignment horizontal="center"/>
    </xf>
    <xf numFmtId="0" fontId="29" fillId="0" borderId="0" xfId="8" applyFont="1" applyBorder="1" applyAlignment="1">
      <alignment horizontal="left" vertical="top" wrapText="1"/>
    </xf>
    <xf numFmtId="0" fontId="29" fillId="0" borderId="0" xfId="8" applyFont="1" applyBorder="1" applyAlignment="1">
      <alignment vertical="top" wrapText="1"/>
    </xf>
    <xf numFmtId="9" fontId="29" fillId="0" borderId="0" xfId="3" applyFont="1" applyFill="1"/>
    <xf numFmtId="0" fontId="24" fillId="0" borderId="0" xfId="13" applyFont="1" applyFill="1"/>
    <xf numFmtId="0" fontId="1" fillId="0" borderId="0" xfId="13" applyFill="1" applyAlignment="1">
      <alignment wrapText="1"/>
    </xf>
    <xf numFmtId="0" fontId="29" fillId="0" borderId="0" xfId="8" applyFont="1" applyFill="1" applyAlignment="1">
      <alignment wrapText="1"/>
    </xf>
    <xf numFmtId="9" fontId="29" fillId="0" borderId="0" xfId="3" applyFont="1" applyFill="1" applyAlignment="1">
      <alignment wrapText="1"/>
    </xf>
    <xf numFmtId="189" fontId="1" fillId="0" borderId="0" xfId="6" applyNumberFormat="1" applyAlignment="1">
      <alignment wrapText="1"/>
    </xf>
    <xf numFmtId="2" fontId="1" fillId="0" borderId="0" xfId="13" applyNumberFormat="1" applyFill="1" applyAlignment="1">
      <alignment wrapText="1"/>
    </xf>
    <xf numFmtId="10" fontId="29" fillId="0" borderId="9" xfId="8" applyNumberFormat="1" applyFont="1" applyFill="1" applyBorder="1" applyAlignment="1">
      <alignment vertical="top" wrapText="1"/>
    </xf>
    <xf numFmtId="10" fontId="1" fillId="0" borderId="9" xfId="3" applyNumberFormat="1" applyFill="1" applyBorder="1"/>
    <xf numFmtId="10" fontId="4" fillId="0" borderId="9" xfId="3" applyNumberFormat="1" applyFont="1" applyFill="1" applyBorder="1"/>
    <xf numFmtId="0" fontId="1" fillId="0" borderId="9" xfId="13" applyFill="1" applyBorder="1"/>
    <xf numFmtId="0" fontId="29" fillId="0" borderId="39" xfId="8" applyFont="1" applyBorder="1" applyAlignment="1">
      <alignment horizontal="center"/>
    </xf>
    <xf numFmtId="0" fontId="29" fillId="0" borderId="42" xfId="8" applyFont="1" applyBorder="1" applyAlignment="1">
      <alignment horizontal="center"/>
    </xf>
    <xf numFmtId="9" fontId="29" fillId="4" borderId="9" xfId="3" applyFont="1" applyFill="1" applyBorder="1" applyAlignment="1">
      <alignment horizontal="center"/>
    </xf>
    <xf numFmtId="0" fontId="29" fillId="0" borderId="9" xfId="8" applyFont="1" applyFill="1" applyBorder="1"/>
    <xf numFmtId="9" fontId="28" fillId="0" borderId="9" xfId="3" applyFont="1" applyBorder="1" applyAlignment="1">
      <alignment horizontal="center"/>
    </xf>
    <xf numFmtId="9" fontId="28" fillId="4" borderId="9" xfId="3" applyFont="1" applyFill="1" applyBorder="1" applyAlignment="1">
      <alignment horizontal="center"/>
    </xf>
    <xf numFmtId="9" fontId="30" fillId="4" borderId="9" xfId="3" applyFont="1" applyFill="1" applyBorder="1" applyAlignment="1">
      <alignment horizontal="center"/>
    </xf>
    <xf numFmtId="9" fontId="30" fillId="0" borderId="9" xfId="3" applyFont="1" applyBorder="1" applyAlignment="1">
      <alignment horizontal="center"/>
    </xf>
    <xf numFmtId="172" fontId="4" fillId="4" borderId="9" xfId="16" applyNumberFormat="1" applyFont="1" applyFill="1" applyBorder="1" applyAlignment="1">
      <alignment horizontal="center"/>
    </xf>
    <xf numFmtId="1" fontId="29" fillId="4" borderId="9" xfId="3" applyNumberFormat="1" applyFont="1" applyFill="1" applyBorder="1" applyAlignment="1">
      <alignment horizontal="center"/>
    </xf>
    <xf numFmtId="1" fontId="28" fillId="0" borderId="9" xfId="3" applyNumberFormat="1" applyFont="1" applyBorder="1" applyAlignment="1">
      <alignment horizontal="center"/>
    </xf>
    <xf numFmtId="1" fontId="30" fillId="4" borderId="9" xfId="3" applyNumberFormat="1" applyFont="1" applyFill="1" applyBorder="1" applyAlignment="1">
      <alignment horizontal="center"/>
    </xf>
    <xf numFmtId="1" fontId="28" fillId="4" borderId="9" xfId="3" applyNumberFormat="1" applyFont="1" applyFill="1" applyBorder="1" applyAlignment="1">
      <alignment horizontal="center"/>
    </xf>
    <xf numFmtId="0" fontId="1" fillId="0" borderId="9" xfId="6" applyFill="1" applyBorder="1"/>
    <xf numFmtId="3" fontId="1" fillId="0" borderId="9" xfId="6" applyNumberFormat="1" applyFill="1" applyBorder="1"/>
    <xf numFmtId="3" fontId="4" fillId="4" borderId="9" xfId="0" applyNumberFormat="1" applyFont="1" applyFill="1" applyBorder="1" applyAlignment="1">
      <alignment horizontal="center"/>
    </xf>
    <xf numFmtId="172" fontId="30" fillId="4" borderId="9" xfId="3" applyNumberFormat="1" applyFont="1" applyFill="1" applyBorder="1" applyAlignment="1">
      <alignment horizontal="center"/>
    </xf>
    <xf numFmtId="172" fontId="4" fillId="0" borderId="9" xfId="3" applyNumberFormat="1" applyFont="1" applyFill="1" applyBorder="1" applyAlignment="1">
      <alignment horizontal="center"/>
    </xf>
    <xf numFmtId="3" fontId="1" fillId="0" borderId="0" xfId="6" applyNumberFormat="1" applyFill="1"/>
    <xf numFmtId="172" fontId="28" fillId="0" borderId="9" xfId="3" applyNumberFormat="1" applyFont="1" applyBorder="1" applyAlignment="1">
      <alignment horizontal="center"/>
    </xf>
    <xf numFmtId="190" fontId="4" fillId="0" borderId="9" xfId="3" applyNumberFormat="1" applyFont="1" applyFill="1" applyBorder="1" applyAlignment="1">
      <alignment horizontal="center"/>
    </xf>
    <xf numFmtId="172" fontId="28" fillId="4" borderId="9" xfId="3" applyNumberFormat="1" applyFont="1" applyFill="1" applyBorder="1" applyAlignment="1">
      <alignment horizontal="center"/>
    </xf>
    <xf numFmtId="9" fontId="29" fillId="0" borderId="9" xfId="3" applyFont="1" applyBorder="1" applyAlignment="1">
      <alignment horizontal="center"/>
    </xf>
    <xf numFmtId="39" fontId="30" fillId="4" borderId="9" xfId="1" applyNumberFormat="1" applyFont="1" applyFill="1" applyBorder="1" applyAlignment="1">
      <alignment horizontal="center"/>
    </xf>
    <xf numFmtId="178" fontId="29" fillId="0" borderId="0" xfId="8" applyNumberFormat="1" applyFont="1"/>
    <xf numFmtId="39" fontId="28" fillId="0" borderId="9" xfId="1" applyNumberFormat="1" applyFont="1" applyBorder="1" applyAlignment="1">
      <alignment horizontal="center"/>
    </xf>
    <xf numFmtId="39" fontId="28" fillId="4" borderId="9" xfId="1" applyNumberFormat="1" applyFont="1" applyFill="1" applyBorder="1" applyAlignment="1">
      <alignment horizontal="center"/>
    </xf>
    <xf numFmtId="39" fontId="30" fillId="0" borderId="9" xfId="1" applyNumberFormat="1" applyFont="1" applyBorder="1" applyAlignment="1">
      <alignment horizontal="center"/>
    </xf>
    <xf numFmtId="10" fontId="28" fillId="0" borderId="9" xfId="3" applyNumberFormat="1" applyFont="1" applyBorder="1" applyAlignment="1">
      <alignment horizontal="center"/>
    </xf>
    <xf numFmtId="10" fontId="30" fillId="0" borderId="9" xfId="3" applyNumberFormat="1" applyFont="1" applyBorder="1" applyAlignment="1">
      <alignment horizontal="center"/>
    </xf>
    <xf numFmtId="37" fontId="28" fillId="0" borderId="9" xfId="1" applyNumberFormat="1" applyFont="1" applyBorder="1" applyAlignment="1">
      <alignment horizontal="center"/>
    </xf>
    <xf numFmtId="37" fontId="30" fillId="0" borderId="9" xfId="1" applyNumberFormat="1" applyFont="1" applyBorder="1" applyAlignment="1">
      <alignment horizontal="center"/>
    </xf>
    <xf numFmtId="0" fontId="42" fillId="0" borderId="9" xfId="8" applyFont="1" applyFill="1" applyBorder="1" applyAlignment="1">
      <alignment horizontal="left"/>
    </xf>
    <xf numFmtId="189" fontId="29" fillId="4" borderId="9" xfId="1" applyNumberFormat="1" applyFont="1" applyFill="1" applyBorder="1" applyAlignment="1">
      <alignment horizontal="center"/>
    </xf>
    <xf numFmtId="179" fontId="4" fillId="0" borderId="9" xfId="0" applyNumberFormat="1" applyFont="1" applyFill="1" applyBorder="1" applyAlignment="1">
      <alignment horizontal="center"/>
    </xf>
    <xf numFmtId="172" fontId="29" fillId="0" borderId="9" xfId="3" applyNumberFormat="1" applyFont="1" applyBorder="1" applyAlignment="1">
      <alignment horizontal="center"/>
    </xf>
    <xf numFmtId="1" fontId="30" fillId="0" borderId="9" xfId="3" applyNumberFormat="1" applyFont="1" applyBorder="1" applyAlignment="1">
      <alignment horizontal="center"/>
    </xf>
    <xf numFmtId="165" fontId="42" fillId="0" borderId="9" xfId="8" applyNumberFormat="1" applyFont="1" applyFill="1" applyBorder="1" applyAlignment="1">
      <alignment horizontal="left" vertical="center"/>
    </xf>
    <xf numFmtId="1" fontId="29" fillId="0" borderId="9" xfId="3" applyNumberFormat="1" applyFont="1" applyBorder="1" applyAlignment="1">
      <alignment horizontal="center"/>
    </xf>
    <xf numFmtId="171" fontId="24" fillId="0" borderId="9" xfId="6" applyNumberFormat="1" applyFont="1" applyFill="1" applyBorder="1" applyAlignment="1">
      <alignment horizontal="center"/>
    </xf>
    <xf numFmtId="0" fontId="24" fillId="0" borderId="9" xfId="6" applyFont="1" applyBorder="1" applyAlignment="1">
      <alignment horizontal="left" wrapText="1"/>
    </xf>
    <xf numFmtId="0" fontId="1" fillId="0" borderId="9" xfId="6" applyBorder="1"/>
    <xf numFmtId="179" fontId="28" fillId="0" borderId="9" xfId="8" applyNumberFormat="1" applyBorder="1" applyAlignment="1">
      <alignment horizontal="center"/>
    </xf>
    <xf numFmtId="2" fontId="0" fillId="0" borderId="25" xfId="1" applyNumberFormat="1" applyFont="1" applyBorder="1"/>
    <xf numFmtId="0" fontId="29" fillId="0" borderId="9" xfId="8" applyFont="1" applyBorder="1" applyAlignment="1">
      <alignment horizontal="left"/>
    </xf>
    <xf numFmtId="179" fontId="39" fillId="0" borderId="0" xfId="9" applyNumberFormat="1" applyFont="1" applyFill="1" applyBorder="1" applyAlignment="1">
      <alignment horizontal="left" vertical="center" wrapText="1"/>
    </xf>
    <xf numFmtId="179" fontId="39" fillId="0" borderId="0" xfId="9" applyNumberFormat="1" applyFont="1" applyFill="1" applyBorder="1" applyAlignment="1">
      <alignment horizontal="center" vertical="center" wrapText="1"/>
    </xf>
    <xf numFmtId="179" fontId="24" fillId="0" borderId="0" xfId="9" applyNumberFormat="1" applyFont="1" applyFill="1" applyBorder="1" applyAlignment="1">
      <alignment horizontal="left" vertical="center" wrapText="1"/>
    </xf>
    <xf numFmtId="0" fontId="39" fillId="0" borderId="0" xfId="13" applyFont="1" applyBorder="1" applyAlignment="1">
      <alignment horizontal="left" vertical="center" wrapText="1"/>
    </xf>
    <xf numFmtId="0" fontId="24" fillId="0" borderId="0" xfId="13" applyFont="1" applyAlignment="1">
      <alignment vertical="center"/>
    </xf>
    <xf numFmtId="0" fontId="50" fillId="0" borderId="0" xfId="13" applyFont="1" applyAlignment="1">
      <alignment horizontal="left"/>
    </xf>
    <xf numFmtId="0" fontId="1" fillId="0" borderId="0" xfId="13" applyFont="1"/>
    <xf numFmtId="165" fontId="24" fillId="0" borderId="9" xfId="6" applyNumberFormat="1" applyFont="1" applyFill="1" applyBorder="1" applyAlignment="1">
      <alignment horizontal="center" vertical="center" wrapText="1"/>
    </xf>
    <xf numFmtId="0" fontId="1" fillId="0" borderId="0" xfId="6" applyFill="1" applyBorder="1"/>
    <xf numFmtId="165" fontId="0" fillId="0" borderId="9" xfId="6" applyNumberFormat="1" applyFont="1" applyFill="1" applyBorder="1" applyAlignment="1">
      <alignment horizontal="left" vertical="center" wrapText="1"/>
    </xf>
    <xf numFmtId="165" fontId="1" fillId="0" borderId="9" xfId="6" applyNumberFormat="1" applyFont="1" applyFill="1" applyBorder="1" applyAlignment="1">
      <alignment horizontal="center" vertical="center" wrapText="1"/>
    </xf>
    <xf numFmtId="9" fontId="24" fillId="0" borderId="9" xfId="3" applyFont="1" applyFill="1" applyBorder="1" applyAlignment="1">
      <alignment horizontal="center" vertical="center" wrapText="1"/>
    </xf>
    <xf numFmtId="165" fontId="1" fillId="0" borderId="9" xfId="6" applyNumberFormat="1" applyFont="1" applyFill="1" applyBorder="1" applyAlignment="1">
      <alignment horizontal="left" vertical="center" wrapText="1"/>
    </xf>
    <xf numFmtId="165" fontId="24" fillId="0" borderId="9" xfId="6" applyNumberFormat="1" applyFont="1" applyFill="1" applyBorder="1" applyAlignment="1">
      <alignment horizontal="center"/>
    </xf>
    <xf numFmtId="165" fontId="51" fillId="0" borderId="9" xfId="8" applyNumberFormat="1" applyFont="1" applyBorder="1" applyAlignment="1">
      <alignment horizontal="left" vertical="center"/>
    </xf>
    <xf numFmtId="171" fontId="1" fillId="4" borderId="9" xfId="6" applyNumberFormat="1"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xf>
    <xf numFmtId="0" fontId="4" fillId="0" borderId="9" xfId="0" applyFont="1" applyBorder="1" applyAlignment="1">
      <alignment horizontal="center" vertical="center" wrapText="1"/>
    </xf>
    <xf numFmtId="0" fontId="37" fillId="0" borderId="9" xfId="12" applyFont="1" applyFill="1" applyBorder="1" applyAlignment="1">
      <alignment horizontal="center"/>
    </xf>
    <xf numFmtId="165" fontId="0" fillId="0" borderId="9" xfId="0" applyNumberFormat="1" applyFont="1" applyBorder="1" applyAlignment="1">
      <alignment horizontal="center" vertical="center" wrapText="1"/>
    </xf>
    <xf numFmtId="0" fontId="37" fillId="0" borderId="9" xfId="12" applyFont="1" applyFill="1" applyBorder="1" applyAlignment="1">
      <alignment horizontal="center" vertical="center"/>
    </xf>
    <xf numFmtId="182" fontId="24" fillId="4" borderId="9" xfId="1" applyNumberFormat="1" applyFont="1" applyFill="1" applyBorder="1" applyAlignment="1">
      <alignment horizontal="center" vertical="center"/>
    </xf>
    <xf numFmtId="0" fontId="24" fillId="0" borderId="0" xfId="6" applyFont="1" applyFill="1" applyAlignment="1">
      <alignment vertical="center"/>
    </xf>
    <xf numFmtId="0" fontId="1" fillId="0" borderId="0" xfId="6" applyFill="1" applyAlignment="1">
      <alignment vertical="center"/>
    </xf>
    <xf numFmtId="0" fontId="1" fillId="0" borderId="9" xfId="6" applyFill="1" applyBorder="1" applyAlignment="1">
      <alignment vertical="center"/>
    </xf>
    <xf numFmtId="0" fontId="4" fillId="4" borderId="0" xfId="0" applyFont="1" applyFill="1"/>
    <xf numFmtId="0" fontId="24" fillId="0" borderId="9" xfId="6" applyFont="1" applyBorder="1" applyAlignment="1">
      <alignment horizontal="center"/>
    </xf>
    <xf numFmtId="9" fontId="1" fillId="0" borderId="9" xfId="3" applyBorder="1" applyAlignment="1">
      <alignment horizontal="left"/>
    </xf>
    <xf numFmtId="0" fontId="1" fillId="12" borderId="0" xfId="6" applyFill="1" applyBorder="1"/>
    <xf numFmtId="0" fontId="1" fillId="0" borderId="0" xfId="6" applyBorder="1" applyAlignment="1">
      <alignment horizontal="center"/>
    </xf>
    <xf numFmtId="0" fontId="24" fillId="0" borderId="9" xfId="6" applyFont="1" applyFill="1" applyBorder="1"/>
    <xf numFmtId="179" fontId="1" fillId="0" borderId="9" xfId="1" applyNumberFormat="1" applyBorder="1" applyAlignment="1">
      <alignment horizontal="left"/>
    </xf>
    <xf numFmtId="171" fontId="24" fillId="0" borderId="9" xfId="13" applyNumberFormat="1" applyFont="1" applyFill="1" applyBorder="1" applyAlignment="1">
      <alignment horizontal="center"/>
    </xf>
    <xf numFmtId="0" fontId="24" fillId="0" borderId="0" xfId="6" applyFont="1" applyAlignment="1"/>
    <xf numFmtId="0" fontId="24" fillId="11" borderId="9" xfId="0" applyFont="1" applyFill="1" applyBorder="1" applyAlignment="1">
      <alignment horizontal="center" vertical="center"/>
    </xf>
    <xf numFmtId="4" fontId="29" fillId="0" borderId="9" xfId="8" applyNumberFormat="1" applyFont="1" applyFill="1" applyBorder="1" applyAlignment="1">
      <alignment horizontal="center"/>
    </xf>
    <xf numFmtId="0" fontId="4" fillId="4" borderId="9" xfId="0" applyFont="1" applyFill="1" applyBorder="1" applyAlignment="1">
      <alignment horizontal="center" vertical="center"/>
    </xf>
    <xf numFmtId="171" fontId="1" fillId="4" borderId="9" xfId="13" applyNumberFormat="1" applyFont="1" applyFill="1" applyBorder="1" applyAlignment="1">
      <alignment horizontal="center" vertical="center"/>
    </xf>
    <xf numFmtId="180" fontId="24" fillId="4" borderId="0" xfId="6" applyNumberFormat="1" applyFont="1" applyFill="1" applyAlignment="1">
      <alignment horizontal="center" vertical="center"/>
    </xf>
    <xf numFmtId="0" fontId="24" fillId="4" borderId="0" xfId="6" applyFont="1" applyFill="1" applyAlignment="1"/>
    <xf numFmtId="0" fontId="24" fillId="0" borderId="0" xfId="0" applyFont="1" applyAlignment="1"/>
    <xf numFmtId="179" fontId="24" fillId="0" borderId="0" xfId="9" applyNumberFormat="1" applyFont="1" applyFill="1" applyBorder="1" applyAlignment="1">
      <alignment horizontal="left" vertical="center"/>
    </xf>
    <xf numFmtId="179" fontId="24" fillId="0" borderId="0" xfId="9" applyNumberFormat="1" applyFont="1" applyFill="1" applyBorder="1" applyAlignment="1">
      <alignment horizontal="center" vertical="center"/>
    </xf>
    <xf numFmtId="0" fontId="24" fillId="0" borderId="0" xfId="13" applyFont="1" applyAlignment="1"/>
    <xf numFmtId="0" fontId="1" fillId="0" borderId="0" xfId="13" applyFill="1" applyAlignment="1">
      <alignment horizontal="center"/>
    </xf>
    <xf numFmtId="0" fontId="24" fillId="0" borderId="0" xfId="13" applyFont="1" applyBorder="1" applyAlignment="1">
      <alignment horizontal="left" vertical="center"/>
    </xf>
    <xf numFmtId="0" fontId="24" fillId="11" borderId="9" xfId="0" applyFont="1" applyFill="1" applyBorder="1" applyAlignment="1">
      <alignment horizontal="left" vertical="center"/>
    </xf>
    <xf numFmtId="167" fontId="5" fillId="12" borderId="0" xfId="0" applyNumberFormat="1" applyFont="1" applyFill="1" applyAlignment="1">
      <alignment horizontal="center"/>
    </xf>
    <xf numFmtId="165" fontId="24" fillId="0" borderId="9"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1" fillId="0" borderId="9" xfId="6" applyNumberFormat="1" applyFont="1" applyFill="1" applyBorder="1" applyAlignment="1">
      <alignment horizontal="center" vertical="center"/>
    </xf>
    <xf numFmtId="180" fontId="24" fillId="0" borderId="9" xfId="6" applyNumberFormat="1" applyFont="1" applyFill="1" applyBorder="1" applyAlignment="1">
      <alignment horizontal="center" vertical="center"/>
    </xf>
    <xf numFmtId="180" fontId="4" fillId="0" borderId="9" xfId="6" applyNumberFormat="1" applyFont="1" applyFill="1" applyBorder="1" applyAlignment="1">
      <alignment horizontal="center" vertical="center"/>
    </xf>
    <xf numFmtId="2" fontId="4" fillId="0" borderId="9" xfId="0" applyNumberFormat="1" applyFont="1" applyFill="1" applyBorder="1" applyAlignment="1">
      <alignment horizontal="center"/>
    </xf>
    <xf numFmtId="0" fontId="24" fillId="0" borderId="0" xfId="6" applyFont="1" applyFill="1" applyAlignment="1"/>
    <xf numFmtId="9" fontId="1" fillId="0" borderId="9" xfId="3" applyFont="1" applyFill="1" applyBorder="1" applyAlignment="1">
      <alignment horizontal="center" vertical="center"/>
    </xf>
    <xf numFmtId="9" fontId="4" fillId="0" borderId="9" xfId="3" applyFont="1" applyFill="1" applyBorder="1" applyAlignment="1">
      <alignment horizontal="center" vertical="center"/>
    </xf>
    <xf numFmtId="171" fontId="24" fillId="0" borderId="9" xfId="13" applyNumberFormat="1" applyFont="1" applyFill="1" applyBorder="1" applyAlignment="1">
      <alignment horizontal="center" vertical="center"/>
    </xf>
    <xf numFmtId="165" fontId="24" fillId="0" borderId="0" xfId="6" applyNumberFormat="1" applyFont="1" applyFill="1" applyBorder="1" applyAlignment="1">
      <alignment horizontal="left" vertical="center" wrapText="1"/>
    </xf>
    <xf numFmtId="9" fontId="24" fillId="0" borderId="0" xfId="3" applyFont="1" applyFill="1" applyBorder="1" applyAlignment="1">
      <alignment horizontal="left" vertical="center"/>
    </xf>
    <xf numFmtId="9" fontId="24" fillId="0" borderId="0" xfId="3" applyFont="1" applyFill="1" applyBorder="1" applyAlignment="1">
      <alignment horizontal="left" vertical="center" wrapText="1"/>
    </xf>
    <xf numFmtId="0" fontId="4" fillId="0" borderId="9" xfId="0" applyFont="1" applyBorder="1" applyAlignment="1">
      <alignment horizontal="center" vertical="center"/>
    </xf>
    <xf numFmtId="0" fontId="24" fillId="0" borderId="9" xfId="0" applyFont="1" applyFill="1" applyBorder="1" applyAlignment="1">
      <alignment horizontal="center" vertical="center"/>
    </xf>
    <xf numFmtId="0" fontId="1" fillId="0" borderId="9" xfId="6" applyFill="1" applyBorder="1" applyAlignment="1">
      <alignment horizontal="center" vertical="center"/>
    </xf>
    <xf numFmtId="2" fontId="1" fillId="0" borderId="9" xfId="6" applyNumberFormat="1" applyFill="1" applyBorder="1" applyAlignment="1">
      <alignment horizontal="center" vertical="center"/>
    </xf>
    <xf numFmtId="0" fontId="24" fillId="0" borderId="0" xfId="13" applyFont="1" applyFill="1" applyAlignment="1">
      <alignment horizontal="center"/>
    </xf>
    <xf numFmtId="0" fontId="24" fillId="0" borderId="0" xfId="13" applyFont="1" applyFill="1" applyAlignment="1">
      <alignment horizontal="left"/>
    </xf>
    <xf numFmtId="0" fontId="24" fillId="11" borderId="19" xfId="0" applyFont="1" applyFill="1" applyBorder="1" applyAlignment="1">
      <alignment horizontal="left" vertical="center" wrapText="1"/>
    </xf>
    <xf numFmtId="0" fontId="24" fillId="11" borderId="19" xfId="0" applyFont="1" applyFill="1" applyBorder="1" applyAlignment="1">
      <alignment horizontal="left" vertical="center"/>
    </xf>
    <xf numFmtId="0" fontId="24" fillId="11" borderId="19" xfId="0" applyFont="1" applyFill="1" applyBorder="1" applyAlignment="1">
      <alignment horizontal="center" vertical="center"/>
    </xf>
    <xf numFmtId="0" fontId="24" fillId="0" borderId="4" xfId="0" applyFont="1" applyBorder="1" applyAlignment="1">
      <alignment horizontal="center" vertical="center" wrapText="1"/>
    </xf>
    <xf numFmtId="3" fontId="24" fillId="0" borderId="9" xfId="0" applyNumberFormat="1" applyFont="1" applyBorder="1" applyAlignment="1">
      <alignment horizontal="center" vertical="center" wrapText="1"/>
    </xf>
    <xf numFmtId="0" fontId="24" fillId="0" borderId="19" xfId="0" applyFont="1" applyBorder="1" applyAlignment="1">
      <alignment horizontal="center" vertical="center" wrapText="1"/>
    </xf>
    <xf numFmtId="3" fontId="24" fillId="0" borderId="19" xfId="0" applyNumberFormat="1" applyFont="1" applyBorder="1" applyAlignment="1">
      <alignment horizontal="center" vertical="center" wrapText="1"/>
    </xf>
    <xf numFmtId="0" fontId="24" fillId="0" borderId="14" xfId="0" applyFont="1" applyBorder="1" applyAlignment="1">
      <alignment horizontal="center" vertical="center" wrapText="1"/>
    </xf>
    <xf numFmtId="3" fontId="24" fillId="0" borderId="14" xfId="0" applyNumberFormat="1" applyFont="1" applyBorder="1" applyAlignment="1">
      <alignment horizontal="center" vertical="center" wrapText="1"/>
    </xf>
    <xf numFmtId="165" fontId="24" fillId="0" borderId="23" xfId="0" applyNumberFormat="1" applyFont="1" applyFill="1" applyBorder="1" applyAlignment="1">
      <alignment horizontal="center" vertical="center" wrapText="1"/>
    </xf>
    <xf numFmtId="0" fontId="53" fillId="0" borderId="0" xfId="0" applyFont="1" applyBorder="1" applyAlignment="1">
      <alignment horizontal="left" vertical="center" wrapText="1"/>
    </xf>
    <xf numFmtId="0" fontId="53" fillId="0" borderId="0" xfId="0" applyFont="1" applyBorder="1" applyAlignment="1">
      <alignment horizontal="center" vertical="center" wrapText="1"/>
    </xf>
    <xf numFmtId="0" fontId="1" fillId="0" borderId="0" xfId="6" applyFont="1" applyFill="1"/>
    <xf numFmtId="179" fontId="29" fillId="0" borderId="9" xfId="8" applyNumberFormat="1" applyFont="1" applyFill="1" applyBorder="1" applyAlignment="1">
      <alignment horizontal="center"/>
    </xf>
    <xf numFmtId="9" fontId="1" fillId="0" borderId="0" xfId="3" applyFont="1"/>
    <xf numFmtId="0" fontId="1" fillId="0" borderId="9" xfId="6" applyFont="1" applyFill="1" applyBorder="1"/>
    <xf numFmtId="2" fontId="1" fillId="0" borderId="9" xfId="6" applyNumberFormat="1" applyFont="1" applyFill="1" applyBorder="1" applyAlignment="1">
      <alignment horizontal="center"/>
    </xf>
    <xf numFmtId="2" fontId="4" fillId="0" borderId="9" xfId="6" applyNumberFormat="1" applyFont="1" applyFill="1" applyBorder="1" applyAlignment="1">
      <alignment horizontal="center"/>
    </xf>
    <xf numFmtId="191" fontId="44" fillId="0" borderId="0" xfId="9" applyNumberFormat="1" applyFont="1" applyFill="1" applyBorder="1" applyAlignment="1">
      <alignment horizontal="left"/>
    </xf>
    <xf numFmtId="180" fontId="44" fillId="0" borderId="0" xfId="13" applyNumberFormat="1" applyFont="1"/>
    <xf numFmtId="168" fontId="44" fillId="0" borderId="0" xfId="9" applyNumberFormat="1" applyFont="1" applyFill="1" applyBorder="1" applyAlignment="1">
      <alignment horizontal="left"/>
    </xf>
    <xf numFmtId="0" fontId="39" fillId="0" borderId="0" xfId="6" applyFont="1"/>
    <xf numFmtId="168" fontId="24" fillId="0" borderId="0" xfId="9" applyNumberFormat="1" applyFont="1" applyAlignment="1">
      <alignment horizontal="left"/>
    </xf>
    <xf numFmtId="165" fontId="4" fillId="0" borderId="9" xfId="6" applyNumberFormat="1" applyFont="1" applyFill="1" applyBorder="1" applyAlignment="1">
      <alignment horizontal="center" vertical="center" wrapText="1"/>
    </xf>
    <xf numFmtId="2" fontId="24" fillId="0" borderId="9" xfId="6" applyNumberFormat="1" applyFont="1" applyFill="1" applyBorder="1" applyAlignment="1">
      <alignment horizontal="center" vertical="center" wrapText="1"/>
    </xf>
    <xf numFmtId="165" fontId="55" fillId="0" borderId="9" xfId="6" applyNumberFormat="1" applyFont="1" applyFill="1" applyBorder="1" applyAlignment="1">
      <alignment horizontal="center" vertical="center" wrapText="1"/>
    </xf>
    <xf numFmtId="0" fontId="24" fillId="0" borderId="0" xfId="6" applyFont="1" applyAlignment="1">
      <alignment horizontal="center" wrapText="1"/>
    </xf>
    <xf numFmtId="165" fontId="1" fillId="4" borderId="9" xfId="6" applyNumberFormat="1" applyFont="1" applyFill="1" applyBorder="1" applyAlignment="1">
      <alignment horizontal="center" vertical="center" wrapText="1"/>
    </xf>
    <xf numFmtId="165" fontId="1" fillId="0" borderId="14" xfId="6" applyNumberFormat="1" applyFont="1" applyFill="1" applyBorder="1" applyAlignment="1">
      <alignment horizontal="left" vertical="center" wrapText="1"/>
    </xf>
    <xf numFmtId="9" fontId="1" fillId="0" borderId="14" xfId="3" applyFont="1" applyFill="1" applyBorder="1" applyAlignment="1">
      <alignment horizontal="center" vertical="center" wrapText="1"/>
    </xf>
    <xf numFmtId="9" fontId="4" fillId="0" borderId="14" xfId="3" applyFont="1" applyFill="1" applyBorder="1" applyAlignment="1">
      <alignment horizontal="center" vertical="center" wrapText="1"/>
    </xf>
    <xf numFmtId="0" fontId="1" fillId="0" borderId="14" xfId="6" applyFill="1" applyBorder="1"/>
    <xf numFmtId="165" fontId="1" fillId="0" borderId="23" xfId="6" applyNumberFormat="1" applyFont="1" applyFill="1" applyBorder="1" applyAlignment="1">
      <alignment horizontal="left" vertical="center" wrapText="1"/>
    </xf>
    <xf numFmtId="165" fontId="1" fillId="0" borderId="23" xfId="6" applyNumberFormat="1" applyFont="1" applyFill="1" applyBorder="1" applyAlignment="1">
      <alignment horizontal="center" vertical="center"/>
    </xf>
    <xf numFmtId="168" fontId="39" fillId="0" borderId="0" xfId="9" applyNumberFormat="1" applyFont="1" applyBorder="1" applyAlignment="1">
      <alignment horizontal="left" vertical="center" wrapText="1"/>
    </xf>
    <xf numFmtId="168" fontId="39" fillId="0" borderId="0" xfId="9" applyNumberFormat="1" applyFont="1" applyBorder="1" applyAlignment="1">
      <alignment vertical="center" wrapText="1"/>
    </xf>
    <xf numFmtId="168" fontId="39" fillId="0" borderId="0" xfId="9" applyNumberFormat="1" applyFont="1" applyFill="1" applyBorder="1" applyAlignment="1">
      <alignment vertical="center" wrapText="1"/>
    </xf>
    <xf numFmtId="0" fontId="12" fillId="0" borderId="0" xfId="5" applyAlignment="1">
      <alignment horizontal="center" wrapText="1"/>
    </xf>
    <xf numFmtId="0" fontId="12" fillId="0" borderId="0" xfId="5" applyFill="1" applyAlignment="1">
      <alignment horizontal="center" wrapText="1"/>
    </xf>
    <xf numFmtId="0" fontId="29" fillId="0" borderId="40" xfId="8" applyFont="1" applyBorder="1" applyAlignment="1">
      <alignment horizontal="left"/>
    </xf>
    <xf numFmtId="0" fontId="24" fillId="0" borderId="9" xfId="8" applyFont="1" applyBorder="1" applyAlignment="1">
      <alignment horizontal="left"/>
    </xf>
    <xf numFmtId="39" fontId="0" fillId="0" borderId="9" xfId="1" applyNumberFormat="1" applyFont="1" applyBorder="1" applyAlignment="1">
      <alignment horizontal="center"/>
    </xf>
    <xf numFmtId="0" fontId="0" fillId="4" borderId="0" xfId="0" applyFill="1"/>
    <xf numFmtId="170" fontId="0" fillId="4" borderId="9" xfId="1" applyNumberFormat="1" applyFont="1" applyFill="1" applyBorder="1" applyAlignment="1">
      <alignment horizontal="center"/>
    </xf>
    <xf numFmtId="170" fontId="24" fillId="4" borderId="9" xfId="0" applyNumberFormat="1" applyFont="1" applyFill="1" applyBorder="1" applyAlignment="1">
      <alignment horizontal="center" vertical="center" wrapText="1"/>
    </xf>
    <xf numFmtId="39" fontId="4" fillId="0" borderId="9" xfId="0" applyNumberFormat="1" applyFont="1" applyBorder="1" applyAlignment="1">
      <alignment horizontal="center"/>
    </xf>
    <xf numFmtId="0" fontId="24" fillId="0" borderId="19" xfId="8" applyFont="1" applyBorder="1" applyAlignment="1">
      <alignment horizontal="left"/>
    </xf>
    <xf numFmtId="0" fontId="24" fillId="0" borderId="0" xfId="8" applyFont="1" applyBorder="1" applyAlignment="1">
      <alignment horizontal="left"/>
    </xf>
    <xf numFmtId="44" fontId="0" fillId="0" borderId="0" xfId="2" applyFont="1" applyFill="1" applyAlignment="1">
      <alignment horizontal="center" wrapText="1"/>
    </xf>
    <xf numFmtId="0" fontId="24" fillId="0" borderId="0" xfId="8" applyFont="1" applyAlignment="1">
      <alignment horizontal="left"/>
    </xf>
    <xf numFmtId="0" fontId="28" fillId="4" borderId="0" xfId="8" applyFill="1"/>
    <xf numFmtId="167" fontId="0" fillId="0" borderId="0" xfId="0" applyNumberFormat="1"/>
    <xf numFmtId="9" fontId="29" fillId="0" borderId="9" xfId="3" applyFont="1" applyFill="1" applyBorder="1" applyAlignment="1">
      <alignment horizontal="center"/>
    </xf>
    <xf numFmtId="0" fontId="30" fillId="4" borderId="0" xfId="8" applyFont="1" applyFill="1"/>
    <xf numFmtId="2" fontId="29" fillId="0" borderId="9" xfId="3" applyNumberFormat="1" applyFont="1" applyFill="1" applyBorder="1" applyAlignment="1">
      <alignment horizontal="center"/>
    </xf>
    <xf numFmtId="0" fontId="29" fillId="0" borderId="9" xfId="8" applyFont="1" applyFill="1" applyBorder="1" applyAlignment="1">
      <alignment horizontal="center" wrapText="1"/>
    </xf>
    <xf numFmtId="2" fontId="29" fillId="0" borderId="9" xfId="3" applyNumberFormat="1" applyFont="1" applyBorder="1" applyAlignment="1">
      <alignment horizontal="center"/>
    </xf>
    <xf numFmtId="1" fontId="29" fillId="0" borderId="9" xfId="3" applyNumberFormat="1" applyFont="1" applyFill="1" applyBorder="1" applyAlignment="1">
      <alignment horizontal="center"/>
    </xf>
    <xf numFmtId="9" fontId="29" fillId="0" borderId="16" xfId="3" applyFont="1" applyFill="1" applyBorder="1" applyAlignment="1">
      <alignment horizontal="center"/>
    </xf>
    <xf numFmtId="9" fontId="30" fillId="0" borderId="9" xfId="3" applyNumberFormat="1" applyFont="1" applyBorder="1" applyAlignment="1">
      <alignment horizontal="center"/>
    </xf>
    <xf numFmtId="1" fontId="29" fillId="0" borderId="16" xfId="3" applyNumberFormat="1" applyFont="1" applyFill="1" applyBorder="1" applyAlignment="1">
      <alignment horizontal="center"/>
    </xf>
    <xf numFmtId="165" fontId="24" fillId="4" borderId="9" xfId="8" applyNumberFormat="1" applyFont="1" applyFill="1" applyBorder="1" applyAlignment="1">
      <alignment horizontal="center"/>
    </xf>
    <xf numFmtId="7" fontId="24" fillId="4" borderId="9" xfId="2" applyNumberFormat="1" applyFont="1" applyFill="1" applyBorder="1" applyAlignment="1">
      <alignment horizontal="center"/>
    </xf>
    <xf numFmtId="44" fontId="24" fillId="4" borderId="9" xfId="2" applyFont="1" applyFill="1" applyBorder="1" applyAlignment="1">
      <alignment horizontal="center"/>
    </xf>
    <xf numFmtId="7" fontId="29" fillId="0" borderId="9" xfId="2" applyNumberFormat="1" applyFont="1" applyFill="1" applyBorder="1" applyAlignment="1">
      <alignment horizontal="center"/>
    </xf>
    <xf numFmtId="44" fontId="29" fillId="4" borderId="9" xfId="2" applyFont="1" applyFill="1" applyBorder="1" applyAlignment="1">
      <alignment horizontal="center"/>
    </xf>
    <xf numFmtId="0" fontId="0" fillId="0" borderId="0" xfId="0" applyFont="1" applyAlignment="1"/>
    <xf numFmtId="0" fontId="24" fillId="0" borderId="9" xfId="0" applyFont="1" applyBorder="1" applyAlignment="1">
      <alignment horizontal="left" vertical="center"/>
    </xf>
    <xf numFmtId="2" fontId="24" fillId="4" borderId="9" xfId="0" applyNumberFormat="1" applyFont="1" applyFill="1" applyBorder="1" applyAlignment="1">
      <alignment horizontal="center" vertical="center"/>
    </xf>
    <xf numFmtId="182" fontId="24" fillId="0" borderId="9" xfId="1" applyNumberFormat="1" applyFont="1" applyFill="1" applyBorder="1" applyAlignment="1">
      <alignment horizontal="center"/>
    </xf>
    <xf numFmtId="169" fontId="24" fillId="0" borderId="9" xfId="0" applyNumberFormat="1" applyFont="1" applyFill="1" applyBorder="1" applyAlignment="1">
      <alignment horizontal="center" vertical="center"/>
    </xf>
    <xf numFmtId="0" fontId="24" fillId="0" borderId="9" xfId="8" applyFont="1" applyFill="1" applyBorder="1" applyAlignment="1">
      <alignment horizontal="center"/>
    </xf>
    <xf numFmtId="0" fontId="29" fillId="0" borderId="0" xfId="8" applyFont="1" applyAlignment="1"/>
    <xf numFmtId="165" fontId="0" fillId="0" borderId="9" xfId="0" applyNumberFormat="1" applyBorder="1" applyAlignment="1">
      <alignment horizontal="center" vertical="center"/>
    </xf>
    <xf numFmtId="2" fontId="4" fillId="4" borderId="9" xfId="0" applyNumberFormat="1" applyFont="1" applyFill="1" applyBorder="1" applyAlignment="1">
      <alignment horizontal="center" vertical="center"/>
    </xf>
    <xf numFmtId="0" fontId="0" fillId="0" borderId="0" xfId="0" applyFont="1" applyAlignment="1">
      <alignment horizontal="center"/>
    </xf>
    <xf numFmtId="0" fontId="0" fillId="0" borderId="0" xfId="0" applyAlignment="1">
      <alignment wrapText="1"/>
    </xf>
    <xf numFmtId="0" fontId="24" fillId="4" borderId="0" xfId="0" applyFont="1" applyFill="1" applyBorder="1" applyAlignment="1">
      <alignment horizontal="center" vertical="center"/>
    </xf>
    <xf numFmtId="39" fontId="24" fillId="0" borderId="9" xfId="0" applyNumberFormat="1" applyFont="1" applyBorder="1" applyAlignment="1">
      <alignment horizontal="center" vertical="center"/>
    </xf>
    <xf numFmtId="39" fontId="0" fillId="0" borderId="9" xfId="0" applyNumberFormat="1" applyFont="1" applyBorder="1" applyAlignment="1">
      <alignment horizontal="center" vertical="center"/>
    </xf>
    <xf numFmtId="39" fontId="4" fillId="0" borderId="9" xfId="0" applyNumberFormat="1" applyFont="1" applyBorder="1" applyAlignment="1">
      <alignment horizontal="center" vertical="center"/>
    </xf>
    <xf numFmtId="39" fontId="24" fillId="4" borderId="9" xfId="0" applyNumberFormat="1" applyFont="1" applyFill="1" applyBorder="1" applyAlignment="1">
      <alignment horizontal="center" vertical="center"/>
    </xf>
    <xf numFmtId="0" fontId="0" fillId="0" borderId="9" xfId="0" applyFont="1" applyBorder="1" applyAlignment="1">
      <alignment horizontal="left" vertical="center"/>
    </xf>
    <xf numFmtId="0" fontId="24" fillId="0" borderId="9" xfId="0" applyFont="1" applyBorder="1" applyAlignment="1">
      <alignment horizontal="center" vertical="center"/>
    </xf>
    <xf numFmtId="0" fontId="0" fillId="0" borderId="9" xfId="0" applyFont="1" applyBorder="1" applyAlignment="1">
      <alignment horizontal="center" vertical="center"/>
    </xf>
    <xf numFmtId="3" fontId="24" fillId="0" borderId="9" xfId="0" applyNumberFormat="1" applyFont="1" applyFill="1" applyBorder="1" applyAlignment="1">
      <alignment horizontal="left" vertical="center"/>
    </xf>
    <xf numFmtId="3" fontId="24" fillId="0" borderId="9" xfId="0" applyNumberFormat="1" applyFont="1" applyBorder="1" applyAlignment="1">
      <alignment horizontal="center" vertical="center"/>
    </xf>
    <xf numFmtId="3" fontId="0" fillId="0" borderId="9" xfId="0" applyNumberFormat="1" applyFont="1" applyBorder="1" applyAlignment="1">
      <alignment horizontal="center" vertical="center"/>
    </xf>
    <xf numFmtId="0" fontId="0" fillId="0" borderId="9" xfId="0" applyFont="1" applyFill="1" applyBorder="1" applyAlignment="1">
      <alignment horizontal="center" vertical="center"/>
    </xf>
    <xf numFmtId="0" fontId="4" fillId="0" borderId="9" xfId="0" applyFont="1" applyFill="1" applyBorder="1" applyAlignment="1">
      <alignment horizontal="center" vertical="center"/>
    </xf>
    <xf numFmtId="9" fontId="24" fillId="0" borderId="16" xfId="0" applyNumberFormat="1" applyFont="1" applyFill="1" applyBorder="1" applyAlignment="1">
      <alignment horizontal="center" vertical="center"/>
    </xf>
    <xf numFmtId="9" fontId="0" fillId="0" borderId="9" xfId="0" applyNumberFormat="1" applyFont="1" applyFill="1" applyBorder="1" applyAlignment="1">
      <alignment horizontal="center" vertical="center"/>
    </xf>
    <xf numFmtId="9" fontId="4" fillId="0" borderId="9" xfId="0" applyNumberFormat="1" applyFont="1" applyFill="1" applyBorder="1" applyAlignment="1">
      <alignment horizontal="center" vertical="center"/>
    </xf>
    <xf numFmtId="9" fontId="24" fillId="0" borderId="9" xfId="3" applyFont="1" applyFill="1" applyBorder="1" applyAlignment="1">
      <alignment horizontal="center"/>
    </xf>
    <xf numFmtId="9" fontId="24" fillId="0" borderId="16" xfId="3" applyFont="1" applyFill="1" applyBorder="1" applyAlignment="1">
      <alignment horizontal="center"/>
    </xf>
    <xf numFmtId="9" fontId="4" fillId="0" borderId="9" xfId="3" applyFont="1" applyFill="1" applyBorder="1" applyAlignment="1">
      <alignment horizontal="center"/>
    </xf>
    <xf numFmtId="9" fontId="0" fillId="0" borderId="9" xfId="3" applyFont="1" applyBorder="1" applyAlignment="1">
      <alignment horizontal="center"/>
    </xf>
    <xf numFmtId="0" fontId="24" fillId="0" borderId="0" xfId="0" applyFont="1" applyFill="1" applyBorder="1" applyAlignment="1">
      <alignment horizontal="left" vertical="center"/>
    </xf>
    <xf numFmtId="0" fontId="24" fillId="0" borderId="0" xfId="0" applyFont="1" applyFill="1" applyBorder="1" applyAlignment="1">
      <alignment horizontal="center" wrapText="1"/>
    </xf>
    <xf numFmtId="0" fontId="4" fillId="0" borderId="0" xfId="0" applyFont="1" applyAlignment="1">
      <alignment wrapText="1"/>
    </xf>
    <xf numFmtId="2"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71" fontId="24" fillId="0" borderId="9" xfId="0" applyNumberFormat="1" applyFont="1" applyBorder="1" applyAlignment="1">
      <alignment horizontal="center" vertical="center" wrapText="1"/>
    </xf>
    <xf numFmtId="170" fontId="24" fillId="4" borderId="22" xfId="1" applyNumberFormat="1" applyFont="1" applyFill="1" applyBorder="1" applyAlignment="1" applyProtection="1">
      <alignment horizontal="right"/>
    </xf>
    <xf numFmtId="0" fontId="39" fillId="0" borderId="0" xfId="0" applyFont="1" applyBorder="1" applyAlignment="1">
      <alignment horizontal="left" vertical="center" wrapText="1"/>
    </xf>
    <xf numFmtId="0" fontId="5" fillId="0" borderId="0" xfId="0" applyFont="1"/>
    <xf numFmtId="0" fontId="24" fillId="4" borderId="0" xfId="0" applyFont="1" applyFill="1" applyBorder="1" applyAlignment="1">
      <alignment horizontal="center" vertical="center" wrapText="1"/>
    </xf>
    <xf numFmtId="9" fontId="24" fillId="4" borderId="9" xfId="0" applyNumberFormat="1" applyFont="1" applyFill="1" applyBorder="1" applyAlignment="1">
      <alignment horizontal="center" vertical="center" wrapText="1"/>
    </xf>
    <xf numFmtId="9" fontId="0" fillId="4" borderId="9"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9" fontId="4" fillId="4" borderId="9" xfId="0" applyNumberFormat="1" applyFont="1" applyFill="1" applyBorder="1" applyAlignment="1">
      <alignment horizontal="center" vertical="center" wrapText="1"/>
    </xf>
    <xf numFmtId="0" fontId="0" fillId="4" borderId="9" xfId="0" applyFont="1" applyFill="1" applyBorder="1" applyAlignment="1">
      <alignment horizontal="center" vertical="center" wrapText="1"/>
    </xf>
    <xf numFmtId="0" fontId="24" fillId="4" borderId="9" xfId="0" applyFont="1" applyFill="1" applyBorder="1" applyAlignment="1">
      <alignment horizontal="center" vertical="center"/>
    </xf>
    <xf numFmtId="0" fontId="0" fillId="4" borderId="9" xfId="0" applyFont="1" applyFill="1" applyBorder="1" applyAlignment="1">
      <alignment horizontal="center" vertical="center"/>
    </xf>
    <xf numFmtId="180" fontId="24" fillId="4" borderId="9"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180" fontId="4" fillId="4" borderId="9" xfId="0" applyNumberFormat="1" applyFont="1" applyFill="1" applyBorder="1" applyAlignment="1">
      <alignment horizontal="center" vertical="center"/>
    </xf>
    <xf numFmtId="180" fontId="4" fillId="0" borderId="9" xfId="0" applyNumberFormat="1" applyFont="1" applyFill="1" applyBorder="1" applyAlignment="1">
      <alignment horizontal="center" vertical="center"/>
    </xf>
    <xf numFmtId="180" fontId="4" fillId="0" borderId="9"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178" fontId="24" fillId="4" borderId="9" xfId="0" applyNumberFormat="1" applyFont="1" applyFill="1" applyBorder="1" applyAlignment="1">
      <alignment horizontal="center" vertical="center"/>
    </xf>
    <xf numFmtId="178" fontId="24" fillId="0" borderId="9" xfId="0" applyNumberFormat="1" applyFont="1" applyFill="1" applyBorder="1" applyAlignment="1">
      <alignment horizontal="center" vertical="center"/>
    </xf>
    <xf numFmtId="178" fontId="0" fillId="0" borderId="9" xfId="0" applyNumberFormat="1" applyFont="1" applyFill="1" applyBorder="1" applyAlignment="1">
      <alignment horizontal="center" vertical="center"/>
    </xf>
    <xf numFmtId="178" fontId="0" fillId="4" borderId="9" xfId="0" applyNumberFormat="1" applyFont="1" applyFill="1" applyBorder="1" applyAlignment="1">
      <alignment horizontal="center" vertical="center"/>
    </xf>
    <xf numFmtId="178" fontId="4"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24" fillId="4" borderId="9" xfId="0" applyNumberFormat="1" applyFont="1" applyFill="1" applyBorder="1" applyAlignment="1">
      <alignment horizontal="center" vertical="center" wrapText="1"/>
    </xf>
    <xf numFmtId="3" fontId="24" fillId="0" borderId="9"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3" fontId="0" fillId="4" borderId="9" xfId="0" applyNumberFormat="1"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190" fontId="24" fillId="4" borderId="9"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90" fontId="4" fillId="4" borderId="9" xfId="0" applyNumberFormat="1" applyFont="1" applyFill="1" applyBorder="1" applyAlignment="1">
      <alignment horizontal="center" vertical="center" wrapText="1"/>
    </xf>
    <xf numFmtId="10" fontId="4" fillId="0" borderId="9" xfId="0" applyNumberFormat="1" applyFont="1" applyFill="1" applyBorder="1" applyAlignment="1">
      <alignment horizontal="center" vertical="center" wrapText="1"/>
    </xf>
    <xf numFmtId="190" fontId="0" fillId="0" borderId="9" xfId="0" applyNumberFormat="1" applyFont="1" applyFill="1" applyBorder="1" applyAlignment="1">
      <alignment horizontal="center" vertical="center" wrapText="1"/>
    </xf>
    <xf numFmtId="0" fontId="24" fillId="0" borderId="0" xfId="0" applyFont="1" applyFill="1" applyAlignment="1">
      <alignment horizontal="left"/>
    </xf>
    <xf numFmtId="0" fontId="24" fillId="4" borderId="0" xfId="0" applyFont="1" applyFill="1" applyBorder="1"/>
    <xf numFmtId="165" fontId="0" fillId="0" borderId="9" xfId="0" applyNumberFormat="1" applyFont="1" applyFill="1" applyBorder="1" applyAlignment="1">
      <alignment horizontal="center" vertical="center" wrapText="1"/>
    </xf>
    <xf numFmtId="171" fontId="24" fillId="0" borderId="9" xfId="0" applyNumberFormat="1" applyFont="1" applyFill="1" applyBorder="1" applyAlignment="1">
      <alignment horizontal="center" vertical="center" wrapText="1"/>
    </xf>
    <xf numFmtId="39" fontId="24" fillId="4" borderId="0" xfId="1" applyNumberFormat="1" applyFont="1" applyFill="1" applyBorder="1" applyAlignment="1" applyProtection="1">
      <alignment horizontal="right"/>
    </xf>
    <xf numFmtId="10" fontId="24" fillId="4" borderId="9" xfId="0" applyNumberFormat="1" applyFont="1" applyFill="1" applyBorder="1" applyAlignment="1">
      <alignment horizontal="center" vertical="center" wrapText="1"/>
    </xf>
    <xf numFmtId="10" fontId="4" fillId="4" borderId="9" xfId="0" applyNumberFormat="1" applyFont="1" applyFill="1" applyBorder="1" applyAlignment="1">
      <alignment horizontal="center" vertical="center" wrapText="1"/>
    </xf>
    <xf numFmtId="172" fontId="4" fillId="0" borderId="9" xfId="0" applyNumberFormat="1" applyFont="1" applyFill="1" applyBorder="1" applyAlignment="1">
      <alignment horizontal="center" vertical="center" wrapText="1"/>
    </xf>
    <xf numFmtId="2" fontId="0" fillId="0" borderId="9" xfId="0" applyNumberFormat="1" applyFont="1" applyFill="1" applyBorder="1" applyAlignment="1">
      <alignment horizontal="center" vertical="center"/>
    </xf>
    <xf numFmtId="2" fontId="4" fillId="0" borderId="9" xfId="0" applyNumberFormat="1" applyFont="1" applyFill="1" applyBorder="1" applyAlignment="1">
      <alignment horizontal="center" vertical="center"/>
    </xf>
    <xf numFmtId="180" fontId="24" fillId="0" borderId="9" xfId="0" applyNumberFormat="1" applyFont="1" applyFill="1" applyBorder="1" applyAlignment="1">
      <alignment horizontal="center" vertical="center" wrapText="1"/>
    </xf>
    <xf numFmtId="2" fontId="4" fillId="0" borderId="9" xfId="0" applyNumberFormat="1" applyFont="1" applyFill="1" applyBorder="1" applyAlignment="1">
      <alignment horizontal="center" vertical="center" wrapText="1"/>
    </xf>
    <xf numFmtId="2" fontId="0" fillId="4" borderId="9" xfId="0" applyNumberFormat="1" applyFont="1" applyFill="1" applyBorder="1" applyAlignment="1">
      <alignment horizontal="center" vertical="center"/>
    </xf>
    <xf numFmtId="3" fontId="0" fillId="0" borderId="9" xfId="0" applyNumberFormat="1" applyFont="1" applyFill="1" applyBorder="1" applyAlignment="1">
      <alignment horizontal="center" vertical="center" wrapText="1"/>
    </xf>
    <xf numFmtId="0" fontId="24" fillId="0" borderId="0" xfId="0" applyFont="1" applyBorder="1" applyAlignment="1">
      <alignment horizontal="left"/>
    </xf>
    <xf numFmtId="2" fontId="24" fillId="0" borderId="9" xfId="0" applyNumberFormat="1" applyFont="1" applyFill="1" applyBorder="1" applyAlignment="1">
      <alignment horizontal="center" vertical="center" wrapText="1"/>
    </xf>
    <xf numFmtId="7" fontId="24" fillId="4" borderId="9" xfId="2" applyNumberFormat="1" applyFont="1" applyFill="1" applyBorder="1" applyAlignment="1">
      <alignment horizontal="center" vertical="center" wrapText="1"/>
    </xf>
    <xf numFmtId="170" fontId="24" fillId="4" borderId="0" xfId="1" applyNumberFormat="1" applyFont="1" applyFill="1" applyBorder="1" applyAlignment="1" applyProtection="1">
      <alignment horizontal="right"/>
    </xf>
    <xf numFmtId="165" fontId="4" fillId="4" borderId="9" xfId="0" applyNumberFormat="1" applyFont="1" applyFill="1" applyBorder="1" applyAlignment="1">
      <alignment horizontal="center" vertical="center" wrapText="1"/>
    </xf>
    <xf numFmtId="7" fontId="4" fillId="4" borderId="9" xfId="2" applyNumberFormat="1" applyFont="1" applyFill="1" applyBorder="1" applyAlignment="1">
      <alignment horizontal="center" vertical="center" wrapText="1"/>
    </xf>
    <xf numFmtId="9" fontId="24" fillId="4" borderId="0" xfId="0" applyNumberFormat="1" applyFont="1" applyFill="1" applyBorder="1" applyAlignment="1">
      <alignment horizontal="center" vertical="center" wrapText="1"/>
    </xf>
    <xf numFmtId="9" fontId="4"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24" fillId="0" borderId="9" xfId="0" applyFont="1" applyBorder="1" applyAlignment="1">
      <alignment horizontal="center" wrapText="1"/>
    </xf>
    <xf numFmtId="165" fontId="24" fillId="4" borderId="0" xfId="0" applyNumberFormat="1" applyFont="1" applyFill="1" applyBorder="1" applyAlignment="1">
      <alignment horizontal="center" vertical="center" wrapText="1"/>
    </xf>
    <xf numFmtId="0" fontId="0" fillId="0" borderId="9" xfId="0" applyBorder="1" applyAlignment="1">
      <alignment horizontal="center" wrapText="1"/>
    </xf>
    <xf numFmtId="3" fontId="24" fillId="4" borderId="0" xfId="0" applyNumberFormat="1"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190" fontId="4" fillId="0" borderId="9" xfId="3" applyNumberFormat="1" applyFont="1" applyBorder="1" applyAlignment="1">
      <alignment horizontal="center" wrapText="1"/>
    </xf>
    <xf numFmtId="165" fontId="4" fillId="4" borderId="9" xfId="8" applyNumberFormat="1" applyFont="1" applyFill="1" applyBorder="1" applyAlignment="1">
      <alignment horizontal="center"/>
    </xf>
    <xf numFmtId="7" fontId="4" fillId="0" borderId="9" xfId="2" applyNumberFormat="1" applyFont="1" applyFill="1" applyBorder="1" applyAlignment="1">
      <alignment horizontal="center"/>
    </xf>
    <xf numFmtId="171" fontId="24"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center"/>
    </xf>
    <xf numFmtId="2" fontId="4" fillId="4" borderId="9" xfId="0" applyNumberFormat="1" applyFont="1" applyFill="1" applyBorder="1" applyAlignment="1">
      <alignment horizontal="center"/>
    </xf>
    <xf numFmtId="0" fontId="0" fillId="0" borderId="9" xfId="0" applyBorder="1" applyAlignment="1">
      <alignment horizontal="center"/>
    </xf>
    <xf numFmtId="0" fontId="44" fillId="12" borderId="0" xfId="0" applyFont="1" applyFill="1"/>
    <xf numFmtId="167" fontId="44" fillId="12" borderId="0" xfId="0" applyNumberFormat="1" applyFont="1" applyFill="1"/>
    <xf numFmtId="180" fontId="24" fillId="4" borderId="9" xfId="0" applyNumberFormat="1" applyFont="1" applyFill="1" applyBorder="1" applyAlignment="1">
      <alignment horizontal="center"/>
    </xf>
    <xf numFmtId="180" fontId="0" fillId="4" borderId="9" xfId="0" applyNumberFormat="1" applyFill="1" applyBorder="1" applyAlignment="1">
      <alignment horizontal="center"/>
    </xf>
    <xf numFmtId="2" fontId="0" fillId="4" borderId="9" xfId="0" applyNumberFormat="1" applyFill="1" applyBorder="1" applyAlignment="1">
      <alignment horizontal="center"/>
    </xf>
    <xf numFmtId="179" fontId="24" fillId="4" borderId="9" xfId="0" applyNumberFormat="1" applyFont="1" applyFill="1" applyBorder="1" applyAlignment="1">
      <alignment horizontal="center" vertical="center" wrapText="1"/>
    </xf>
    <xf numFmtId="0" fontId="24" fillId="0" borderId="0" xfId="0" applyFont="1" applyFill="1" applyAlignment="1">
      <alignment wrapText="1"/>
    </xf>
    <xf numFmtId="4" fontId="24" fillId="4" borderId="9" xfId="0" applyNumberFormat="1" applyFont="1" applyFill="1" applyBorder="1" applyAlignment="1">
      <alignment horizontal="center" vertical="center" wrapText="1"/>
    </xf>
    <xf numFmtId="39" fontId="24" fillId="4" borderId="9" xfId="1" applyNumberFormat="1" applyFont="1" applyFill="1" applyBorder="1" applyAlignment="1">
      <alignment horizontal="center" vertical="center" wrapText="1"/>
    </xf>
    <xf numFmtId="39" fontId="4" fillId="0" borderId="9" xfId="1" applyNumberFormat="1" applyFont="1" applyFill="1" applyBorder="1" applyAlignment="1">
      <alignment horizontal="center" vertical="center" wrapText="1"/>
    </xf>
    <xf numFmtId="0" fontId="24" fillId="0" borderId="0" xfId="0" applyFont="1" applyAlignment="1">
      <alignment wrapText="1"/>
    </xf>
    <xf numFmtId="39" fontId="4" fillId="4" borderId="9" xfId="1" applyNumberFormat="1" applyFont="1" applyFill="1" applyBorder="1" applyAlignment="1">
      <alignment horizontal="center" vertical="center" wrapText="1"/>
    </xf>
    <xf numFmtId="0" fontId="24" fillId="0" borderId="9" xfId="12" applyFont="1" applyFill="1" applyBorder="1" applyAlignment="1">
      <alignment horizontal="center"/>
    </xf>
    <xf numFmtId="180" fontId="0" fillId="0" borderId="9" xfId="0" applyNumberFormat="1" applyBorder="1" applyAlignment="1">
      <alignment horizontal="center"/>
    </xf>
    <xf numFmtId="2" fontId="0" fillId="0" borderId="9" xfId="0" applyNumberFormat="1" applyBorder="1" applyAlignment="1">
      <alignment horizontal="center"/>
    </xf>
    <xf numFmtId="2" fontId="0" fillId="4" borderId="9" xfId="0" applyNumberFormat="1" applyFont="1" applyFill="1" applyBorder="1" applyAlignment="1">
      <alignment horizontal="center" vertical="center" wrapText="1"/>
    </xf>
    <xf numFmtId="10" fontId="0" fillId="0" borderId="9" xfId="3" applyNumberFormat="1" applyFont="1" applyBorder="1" applyAlignment="1">
      <alignment horizontal="center"/>
    </xf>
    <xf numFmtId="10" fontId="0" fillId="4" borderId="9" xfId="3" applyNumberFormat="1" applyFont="1" applyFill="1" applyBorder="1" applyAlignment="1">
      <alignment horizontal="center" vertical="center" wrapText="1"/>
    </xf>
    <xf numFmtId="10" fontId="0" fillId="0" borderId="9" xfId="0" applyNumberFormat="1" applyFont="1" applyBorder="1"/>
    <xf numFmtId="2" fontId="12" fillId="0" borderId="0" xfId="1" applyNumberFormat="1" applyFont="1"/>
    <xf numFmtId="0" fontId="39" fillId="4" borderId="0" xfId="5" applyFont="1" applyFill="1"/>
    <xf numFmtId="44" fontId="12" fillId="0" borderId="0" xfId="5" applyNumberFormat="1" applyAlignment="1">
      <alignment horizontal="center"/>
    </xf>
    <xf numFmtId="2" fontId="12" fillId="0" borderId="0" xfId="1" applyNumberFormat="1" applyFont="1" applyFill="1"/>
    <xf numFmtId="44" fontId="12" fillId="0" borderId="0" xfId="5" applyNumberFormat="1" applyFill="1" applyAlignment="1">
      <alignment horizontal="center"/>
    </xf>
    <xf numFmtId="2" fontId="0" fillId="0" borderId="0" xfId="1" applyNumberFormat="1" applyFont="1"/>
    <xf numFmtId="0" fontId="24" fillId="4" borderId="0" xfId="0" applyFont="1" applyFill="1"/>
    <xf numFmtId="44" fontId="0" fillId="0" borderId="0" xfId="0" applyNumberFormat="1" applyAlignment="1">
      <alignment horizontal="center"/>
    </xf>
    <xf numFmtId="44" fontId="0" fillId="8" borderId="9" xfId="0" applyNumberFormat="1" applyFill="1" applyBorder="1" applyAlignment="1">
      <alignment horizontal="center" wrapText="1"/>
    </xf>
    <xf numFmtId="39" fontId="24" fillId="0" borderId="9" xfId="1" applyNumberFormat="1" applyFont="1" applyBorder="1" applyAlignment="1">
      <alignment horizontal="center"/>
    </xf>
    <xf numFmtId="192" fontId="24" fillId="0" borderId="9" xfId="2" applyNumberFormat="1" applyFont="1" applyBorder="1" applyAlignment="1">
      <alignment horizontal="center"/>
    </xf>
    <xf numFmtId="44" fontId="0" fillId="0" borderId="20" xfId="0" applyNumberFormat="1" applyFont="1" applyBorder="1" applyAlignment="1">
      <alignment horizontal="center"/>
    </xf>
    <xf numFmtId="44" fontId="0" fillId="0" borderId="22" xfId="0" applyNumberFormat="1" applyFont="1" applyBorder="1" applyAlignment="1">
      <alignment horizontal="center"/>
    </xf>
    <xf numFmtId="0" fontId="24" fillId="4" borderId="19" xfId="8" applyFont="1" applyFill="1" applyBorder="1" applyAlignment="1">
      <alignment horizontal="left"/>
    </xf>
    <xf numFmtId="7" fontId="24" fillId="4" borderId="0" xfId="0" applyNumberFormat="1" applyFont="1" applyFill="1"/>
    <xf numFmtId="44" fontId="0" fillId="0" borderId="0" xfId="2" applyFont="1" applyFill="1"/>
    <xf numFmtId="0" fontId="58" fillId="4" borderId="0" xfId="0" applyFont="1" applyFill="1"/>
    <xf numFmtId="0" fontId="59" fillId="4" borderId="0" xfId="0" applyFont="1" applyFill="1"/>
    <xf numFmtId="0" fontId="59" fillId="0" borderId="0" xfId="0" applyFont="1"/>
    <xf numFmtId="0" fontId="60" fillId="4" borderId="0" xfId="0" applyFont="1" applyFill="1"/>
    <xf numFmtId="9" fontId="24" fillId="4" borderId="4" xfId="3" applyFont="1" applyFill="1" applyBorder="1" applyAlignment="1">
      <alignment horizontal="center"/>
    </xf>
    <xf numFmtId="0" fontId="24" fillId="4" borderId="4" xfId="8" applyFont="1" applyFill="1" applyBorder="1" applyAlignment="1"/>
    <xf numFmtId="0" fontId="24" fillId="4" borderId="5" xfId="8" applyFont="1" applyFill="1" applyBorder="1"/>
    <xf numFmtId="9" fontId="0" fillId="0" borderId="4" xfId="3" applyFont="1" applyFill="1" applyBorder="1" applyAlignment="1">
      <alignment horizontal="center"/>
    </xf>
    <xf numFmtId="9" fontId="4" fillId="4" borderId="4" xfId="3" applyFont="1" applyFill="1" applyBorder="1" applyAlignment="1">
      <alignment horizontal="center"/>
    </xf>
    <xf numFmtId="9" fontId="24" fillId="4" borderId="9" xfId="3" applyNumberFormat="1" applyFont="1" applyFill="1" applyBorder="1" applyAlignment="1">
      <alignment horizontal="center"/>
    </xf>
    <xf numFmtId="0" fontId="24" fillId="4" borderId="9" xfId="8" applyFont="1" applyFill="1" applyBorder="1" applyAlignment="1"/>
    <xf numFmtId="0" fontId="24" fillId="4" borderId="45" xfId="8" applyFont="1" applyFill="1" applyBorder="1"/>
    <xf numFmtId="9" fontId="4" fillId="4" borderId="9" xfId="3" applyFont="1" applyFill="1" applyBorder="1" applyAlignment="1">
      <alignment horizontal="center"/>
    </xf>
    <xf numFmtId="9" fontId="24" fillId="4" borderId="9" xfId="3" applyFont="1" applyFill="1" applyBorder="1" applyAlignment="1">
      <alignment horizontal="center"/>
    </xf>
    <xf numFmtId="0" fontId="24" fillId="4" borderId="10" xfId="8" applyFont="1" applyFill="1" applyBorder="1"/>
    <xf numFmtId="0" fontId="24" fillId="4" borderId="46" xfId="8" applyFont="1" applyFill="1" applyBorder="1"/>
    <xf numFmtId="0" fontId="24" fillId="4" borderId="14" xfId="0" applyFont="1" applyFill="1" applyBorder="1"/>
    <xf numFmtId="0" fontId="24" fillId="4" borderId="15" xfId="8" applyFont="1" applyFill="1" applyBorder="1"/>
    <xf numFmtId="9" fontId="0" fillId="0" borderId="19" xfId="3" applyFont="1" applyFill="1" applyBorder="1" applyAlignment="1">
      <alignment horizontal="center"/>
    </xf>
    <xf numFmtId="9" fontId="4" fillId="4" borderId="19" xfId="3" applyFont="1" applyFill="1" applyBorder="1" applyAlignment="1">
      <alignment horizontal="center"/>
    </xf>
    <xf numFmtId="0" fontId="24" fillId="0" borderId="5" xfId="8" applyFont="1" applyBorder="1" applyAlignment="1">
      <alignment wrapText="1"/>
    </xf>
    <xf numFmtId="1" fontId="24" fillId="0" borderId="48" xfId="3" applyNumberFormat="1" applyFont="1" applyFill="1" applyBorder="1" applyAlignment="1">
      <alignment horizontal="center"/>
    </xf>
    <xf numFmtId="1" fontId="24" fillId="4" borderId="48" xfId="3" applyNumberFormat="1" applyFont="1" applyFill="1" applyBorder="1" applyAlignment="1">
      <alignment horizontal="center"/>
    </xf>
    <xf numFmtId="9" fontId="0" fillId="0" borderId="48" xfId="3" applyFont="1" applyFill="1" applyBorder="1" applyAlignment="1">
      <alignment horizontal="center"/>
    </xf>
    <xf numFmtId="0" fontId="52" fillId="4" borderId="3" xfId="8" applyFont="1" applyFill="1" applyBorder="1" applyAlignment="1">
      <alignment horizontal="left" vertical="center" wrapText="1"/>
    </xf>
    <xf numFmtId="1" fontId="0" fillId="0" borderId="23" xfId="3" applyNumberFormat="1" applyFont="1" applyFill="1" applyBorder="1" applyAlignment="1">
      <alignment horizontal="center"/>
    </xf>
    <xf numFmtId="1" fontId="4" fillId="4" borderId="23" xfId="3" applyNumberFormat="1" applyFont="1" applyFill="1" applyBorder="1" applyAlignment="1">
      <alignment horizontal="center"/>
    </xf>
    <xf numFmtId="0" fontId="52" fillId="4" borderId="13" xfId="8" applyFont="1" applyFill="1" applyBorder="1" applyAlignment="1">
      <alignment horizontal="left" vertical="center" wrapText="1"/>
    </xf>
    <xf numFmtId="2" fontId="0" fillId="0" borderId="19" xfId="3" applyNumberFormat="1" applyFont="1" applyFill="1" applyBorder="1" applyAlignment="1">
      <alignment horizontal="center"/>
    </xf>
    <xf numFmtId="2" fontId="4" fillId="4" borderId="19" xfId="3" applyNumberFormat="1" applyFont="1" applyFill="1" applyBorder="1" applyAlignment="1">
      <alignment horizontal="center"/>
    </xf>
    <xf numFmtId="9" fontId="24" fillId="4" borderId="4" xfId="3" applyNumberFormat="1" applyFont="1" applyFill="1" applyBorder="1" applyAlignment="1">
      <alignment horizontal="center"/>
    </xf>
    <xf numFmtId="9" fontId="0" fillId="4" borderId="9" xfId="3" applyFont="1" applyFill="1" applyBorder="1" applyAlignment="1">
      <alignment horizontal="center"/>
    </xf>
    <xf numFmtId="0" fontId="28" fillId="0" borderId="0" xfId="8" applyAlignment="1">
      <alignment horizontal="center"/>
    </xf>
    <xf numFmtId="9" fontId="0" fillId="0" borderId="14" xfId="3" applyFont="1" applyFill="1" applyBorder="1" applyAlignment="1">
      <alignment horizontal="center"/>
    </xf>
    <xf numFmtId="9" fontId="4" fillId="4" borderId="14" xfId="3" applyFont="1" applyFill="1" applyBorder="1" applyAlignment="1">
      <alignment horizontal="center"/>
    </xf>
    <xf numFmtId="9" fontId="0" fillId="4" borderId="14" xfId="3" applyFont="1" applyFill="1" applyBorder="1" applyAlignment="1">
      <alignment horizontal="center"/>
    </xf>
    <xf numFmtId="2" fontId="0" fillId="4" borderId="23" xfId="3" applyNumberFormat="1" applyFont="1" applyFill="1" applyBorder="1" applyAlignment="1">
      <alignment horizontal="center"/>
    </xf>
    <xf numFmtId="2" fontId="0" fillId="0" borderId="23" xfId="3" applyNumberFormat="1" applyFont="1" applyBorder="1" applyAlignment="1">
      <alignment horizontal="center"/>
    </xf>
    <xf numFmtId="2" fontId="4" fillId="4" borderId="23" xfId="3" applyNumberFormat="1" applyFont="1" applyFill="1" applyBorder="1" applyAlignment="1">
      <alignment horizontal="center"/>
    </xf>
    <xf numFmtId="0" fontId="52" fillId="4" borderId="8" xfId="8" applyFont="1" applyFill="1" applyBorder="1" applyAlignment="1">
      <alignment horizontal="left" vertical="center" wrapText="1"/>
    </xf>
    <xf numFmtId="165" fontId="0" fillId="0" borderId="9" xfId="3" applyNumberFormat="1" applyFont="1" applyBorder="1" applyAlignment="1">
      <alignment horizontal="center"/>
    </xf>
    <xf numFmtId="165" fontId="4" fillId="0" borderId="9" xfId="3" applyNumberFormat="1" applyFont="1" applyBorder="1" applyAlignment="1">
      <alignment horizontal="center"/>
    </xf>
    <xf numFmtId="165" fontId="4" fillId="4" borderId="9" xfId="3" applyNumberFormat="1" applyFont="1" applyFill="1" applyBorder="1" applyAlignment="1">
      <alignment horizontal="center"/>
    </xf>
    <xf numFmtId="165" fontId="24" fillId="0" borderId="9" xfId="3" applyNumberFormat="1" applyFont="1" applyBorder="1" applyAlignment="1">
      <alignment horizontal="center"/>
    </xf>
    <xf numFmtId="2" fontId="0" fillId="0" borderId="0" xfId="1" applyNumberFormat="1" applyFont="1" applyFill="1"/>
    <xf numFmtId="44" fontId="0" fillId="0" borderId="0" xfId="0" applyNumberFormat="1" applyFill="1" applyAlignment="1">
      <alignment horizontal="center"/>
    </xf>
    <xf numFmtId="10" fontId="4" fillId="4" borderId="9" xfId="3" applyNumberFormat="1" applyFont="1" applyFill="1" applyBorder="1" applyAlignment="1">
      <alignment horizontal="center"/>
    </xf>
    <xf numFmtId="10" fontId="24" fillId="4" borderId="9" xfId="3" applyNumberFormat="1" applyFont="1" applyFill="1" applyBorder="1" applyAlignment="1">
      <alignment horizontal="center"/>
    </xf>
    <xf numFmtId="165" fontId="24" fillId="0" borderId="14" xfId="3" applyNumberFormat="1" applyFont="1" applyBorder="1" applyAlignment="1">
      <alignment horizontal="center"/>
    </xf>
    <xf numFmtId="9" fontId="0" fillId="0" borderId="4" xfId="3" applyFont="1" applyBorder="1" applyAlignment="1">
      <alignment horizontal="center"/>
    </xf>
    <xf numFmtId="0" fontId="24" fillId="4" borderId="23" xfId="8" applyFont="1" applyFill="1" applyBorder="1"/>
    <xf numFmtId="0" fontId="24" fillId="4" borderId="49" xfId="8" applyFont="1" applyFill="1" applyBorder="1"/>
    <xf numFmtId="165" fontId="24" fillId="0" borderId="23" xfId="3" applyNumberFormat="1" applyFont="1" applyBorder="1" applyAlignment="1">
      <alignment horizontal="center"/>
    </xf>
    <xf numFmtId="9" fontId="0" fillId="0" borderId="23" xfId="3" applyFont="1" applyBorder="1" applyAlignment="1">
      <alignment horizontal="center"/>
    </xf>
    <xf numFmtId="0" fontId="24" fillId="4" borderId="9" xfId="8" applyFont="1" applyFill="1" applyBorder="1"/>
    <xf numFmtId="0" fontId="24" fillId="4" borderId="50" xfId="8" applyFont="1" applyFill="1" applyBorder="1"/>
    <xf numFmtId="9" fontId="0" fillId="0" borderId="19" xfId="3" applyFont="1" applyBorder="1" applyAlignment="1">
      <alignment horizontal="center"/>
    </xf>
    <xf numFmtId="0" fontId="24" fillId="4" borderId="19" xfId="8" applyFont="1" applyFill="1" applyBorder="1"/>
    <xf numFmtId="9" fontId="0" fillId="0" borderId="14" xfId="3" applyFont="1" applyBorder="1" applyAlignment="1">
      <alignment horizontal="center"/>
    </xf>
    <xf numFmtId="0" fontId="24" fillId="4" borderId="14" xfId="8" applyFont="1" applyFill="1" applyBorder="1"/>
    <xf numFmtId="170" fontId="0" fillId="0" borderId="4" xfId="1" applyNumberFormat="1" applyFont="1" applyBorder="1" applyAlignment="1">
      <alignment horizontal="center"/>
    </xf>
    <xf numFmtId="0" fontId="24" fillId="4" borderId="51" xfId="8" applyFont="1" applyFill="1" applyBorder="1"/>
    <xf numFmtId="170" fontId="0" fillId="0" borderId="23" xfId="1" applyNumberFormat="1" applyFont="1" applyBorder="1" applyAlignment="1">
      <alignment horizontal="center"/>
    </xf>
    <xf numFmtId="170" fontId="0" fillId="0" borderId="9" xfId="1" applyNumberFormat="1" applyFont="1" applyBorder="1" applyAlignment="1">
      <alignment horizontal="center"/>
    </xf>
    <xf numFmtId="0" fontId="24" fillId="15" borderId="18" xfId="0" applyFont="1" applyFill="1" applyBorder="1" applyAlignment="1">
      <alignment horizontal="center" vertical="center" wrapText="1"/>
    </xf>
    <xf numFmtId="44" fontId="24" fillId="0" borderId="9" xfId="2" applyNumberFormat="1" applyFont="1" applyFill="1" applyBorder="1" applyAlignment="1">
      <alignment horizontal="center"/>
    </xf>
    <xf numFmtId="170" fontId="0" fillId="0" borderId="19" xfId="1" applyNumberFormat="1" applyFont="1" applyBorder="1" applyAlignment="1">
      <alignment horizontal="center"/>
    </xf>
    <xf numFmtId="44" fontId="24" fillId="0" borderId="27" xfId="2" applyFont="1" applyFill="1" applyBorder="1"/>
    <xf numFmtId="7" fontId="24" fillId="0" borderId="27" xfId="2" applyNumberFormat="1" applyFont="1" applyFill="1" applyBorder="1" applyAlignment="1">
      <alignment horizontal="center"/>
    </xf>
    <xf numFmtId="170" fontId="0" fillId="0" borderId="14" xfId="1" applyNumberFormat="1" applyFont="1" applyBorder="1" applyAlignment="1">
      <alignment horizontal="center"/>
    </xf>
    <xf numFmtId="171" fontId="0" fillId="0" borderId="4" xfId="3" applyNumberFormat="1" applyFont="1" applyBorder="1" applyAlignment="1">
      <alignment horizontal="center"/>
    </xf>
    <xf numFmtId="171" fontId="0" fillId="0" borderId="23" xfId="3" applyNumberFormat="1" applyFont="1" applyBorder="1" applyAlignment="1">
      <alignment horizontal="center"/>
    </xf>
    <xf numFmtId="8" fontId="24" fillId="0" borderId="9" xfId="2" applyNumberFormat="1" applyFont="1" applyFill="1" applyBorder="1"/>
    <xf numFmtId="171" fontId="0" fillId="0" borderId="9" xfId="3" applyNumberFormat="1" applyFont="1" applyBorder="1" applyAlignment="1">
      <alignment horizontal="center"/>
    </xf>
    <xf numFmtId="190" fontId="24" fillId="0" borderId="9" xfId="3" applyNumberFormat="1" applyFont="1" applyFill="1" applyBorder="1"/>
    <xf numFmtId="0" fontId="24" fillId="0" borderId="16" xfId="0" applyFont="1" applyFill="1" applyBorder="1" applyAlignment="1">
      <alignment horizontal="left"/>
    </xf>
    <xf numFmtId="0" fontId="24" fillId="0" borderId="18" xfId="0" applyFont="1" applyFill="1" applyBorder="1" applyAlignment="1">
      <alignment horizontal="left"/>
    </xf>
    <xf numFmtId="171" fontId="0" fillId="0" borderId="19" xfId="3" applyNumberFormat="1" applyFont="1" applyBorder="1" applyAlignment="1">
      <alignment horizontal="center"/>
    </xf>
    <xf numFmtId="171" fontId="0" fillId="0" borderId="14" xfId="3" applyNumberFormat="1" applyFont="1" applyBorder="1" applyAlignment="1">
      <alignment horizontal="center"/>
    </xf>
    <xf numFmtId="44" fontId="0" fillId="8" borderId="9" xfId="1" applyNumberFormat="1" applyFont="1" applyFill="1" applyBorder="1" applyAlignment="1">
      <alignment horizontal="center" wrapText="1"/>
    </xf>
    <xf numFmtId="37" fontId="24" fillId="0" borderId="9" xfId="0" applyNumberFormat="1" applyFont="1" applyBorder="1" applyAlignment="1">
      <alignment horizontal="center"/>
    </xf>
    <xf numFmtId="5" fontId="24" fillId="4" borderId="9" xfId="2" applyNumberFormat="1" applyFont="1" applyFill="1" applyBorder="1" applyAlignment="1">
      <alignment horizontal="center"/>
    </xf>
    <xf numFmtId="168" fontId="0" fillId="0" borderId="9" xfId="1" applyNumberFormat="1" applyFont="1" applyBorder="1"/>
    <xf numFmtId="168" fontId="4" fillId="0" borderId="9" xfId="1" applyNumberFormat="1" applyFont="1" applyBorder="1"/>
    <xf numFmtId="43" fontId="24" fillId="0" borderId="9" xfId="1" applyNumberFormat="1" applyFont="1" applyBorder="1"/>
    <xf numFmtId="44" fontId="0" fillId="0" borderId="27" xfId="0" applyNumberFormat="1" applyFont="1" applyBorder="1" applyAlignment="1">
      <alignment horizontal="center"/>
    </xf>
    <xf numFmtId="39" fontId="24" fillId="4" borderId="9" xfId="1" applyNumberFormat="1" applyFont="1" applyFill="1" applyBorder="1" applyAlignment="1">
      <alignment horizontal="center"/>
    </xf>
    <xf numFmtId="44" fontId="0" fillId="0" borderId="0" xfId="0" applyNumberFormat="1" applyFont="1" applyBorder="1" applyAlignment="1">
      <alignment horizontal="center"/>
    </xf>
    <xf numFmtId="168" fontId="24" fillId="4" borderId="9" xfId="0" applyNumberFormat="1" applyFont="1" applyFill="1" applyBorder="1" applyAlignment="1">
      <alignment horizontal="left"/>
    </xf>
    <xf numFmtId="39" fontId="4" fillId="0" borderId="9" xfId="1" applyNumberFormat="1" applyFont="1" applyBorder="1" applyAlignment="1">
      <alignment horizontal="center"/>
    </xf>
    <xf numFmtId="37" fontId="24" fillId="4" borderId="9" xfId="0" applyNumberFormat="1" applyFont="1" applyFill="1" applyBorder="1" applyAlignment="1">
      <alignment horizontal="center"/>
    </xf>
    <xf numFmtId="44" fontId="0" fillId="0" borderId="28" xfId="0" applyNumberFormat="1" applyFont="1" applyBorder="1" applyAlignment="1">
      <alignment horizontal="center"/>
    </xf>
    <xf numFmtId="44" fontId="0" fillId="0" borderId="0" xfId="0" applyNumberFormat="1" applyFont="1" applyAlignment="1">
      <alignment horizontal="center"/>
    </xf>
    <xf numFmtId="0" fontId="24" fillId="0" borderId="0" xfId="0" applyFont="1" applyFill="1" applyBorder="1" applyAlignment="1">
      <alignment horizontal="left"/>
    </xf>
    <xf numFmtId="0" fontId="24" fillId="4" borderId="4" xfId="0" applyFont="1" applyFill="1" applyBorder="1"/>
    <xf numFmtId="2" fontId="24" fillId="0" borderId="16" xfId="0" applyNumberFormat="1" applyFont="1" applyBorder="1" applyAlignment="1">
      <alignment wrapText="1"/>
    </xf>
    <xf numFmtId="7" fontId="4" fillId="4" borderId="9" xfId="2" applyNumberFormat="1" applyFont="1" applyFill="1" applyBorder="1" applyAlignment="1">
      <alignment horizontal="center"/>
    </xf>
    <xf numFmtId="7" fontId="24" fillId="0" borderId="9" xfId="2" applyNumberFormat="1" applyFont="1" applyBorder="1" applyAlignment="1">
      <alignment horizontal="center"/>
    </xf>
    <xf numFmtId="0" fontId="24" fillId="4" borderId="9" xfId="0" applyFont="1" applyFill="1" applyBorder="1"/>
    <xf numFmtId="0" fontId="24" fillId="0" borderId="0" xfId="0" applyFont="1" applyBorder="1"/>
    <xf numFmtId="2" fontId="24" fillId="0" borderId="16" xfId="0" applyNumberFormat="1" applyFont="1" applyBorder="1" applyAlignment="1">
      <alignment horizontal="left" wrapText="1"/>
    </xf>
    <xf numFmtId="44" fontId="24" fillId="0" borderId="9" xfId="2" applyNumberFormat="1" applyFont="1" applyBorder="1"/>
    <xf numFmtId="190" fontId="24" fillId="0" borderId="18" xfId="3" applyNumberFormat="1" applyFont="1" applyBorder="1"/>
    <xf numFmtId="8" fontId="24" fillId="0" borderId="16" xfId="0" applyNumberFormat="1" applyFont="1" applyBorder="1" applyAlignment="1">
      <alignment horizontal="left"/>
    </xf>
    <xf numFmtId="2" fontId="24" fillId="0" borderId="0" xfId="0" applyNumberFormat="1" applyFont="1" applyAlignment="1">
      <alignment horizontal="left"/>
    </xf>
    <xf numFmtId="0" fontId="0" fillId="0" borderId="0" xfId="0" applyFont="1" applyFill="1" applyBorder="1"/>
    <xf numFmtId="0" fontId="4" fillId="4" borderId="19" xfId="0" applyFont="1" applyFill="1" applyBorder="1" applyAlignment="1">
      <alignment horizontal="left" vertical="top" wrapText="1"/>
    </xf>
    <xf numFmtId="0" fontId="24" fillId="4" borderId="19" xfId="0" applyFont="1" applyFill="1" applyBorder="1" applyAlignment="1">
      <alignment horizontal="left" vertical="top" wrapText="1"/>
    </xf>
    <xf numFmtId="0" fontId="4" fillId="4" borderId="30" xfId="0" applyFont="1" applyFill="1" applyBorder="1" applyAlignment="1">
      <alignment horizontal="left" vertical="top" wrapText="1"/>
    </xf>
    <xf numFmtId="0" fontId="24" fillId="4" borderId="30" xfId="0" applyFont="1" applyFill="1" applyBorder="1" applyAlignment="1">
      <alignment horizontal="left" vertical="top" wrapText="1"/>
    </xf>
    <xf numFmtId="0" fontId="24" fillId="4" borderId="23"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0" xfId="0" applyFont="1" applyFill="1" applyBorder="1"/>
    <xf numFmtId="0" fontId="0" fillId="4" borderId="9" xfId="0" applyFont="1" applyFill="1" applyBorder="1" applyAlignment="1">
      <alignment horizontal="left" vertical="top" wrapText="1"/>
    </xf>
    <xf numFmtId="0" fontId="0" fillId="4" borderId="23" xfId="0" applyFont="1" applyFill="1" applyBorder="1" applyAlignment="1">
      <alignment horizontal="left" vertical="top" wrapText="1"/>
    </xf>
    <xf numFmtId="2" fontId="4" fillId="4" borderId="4" xfId="0" applyNumberFormat="1" applyFont="1" applyFill="1" applyBorder="1" applyAlignment="1">
      <alignment horizontal="left" vertical="top" wrapText="1"/>
    </xf>
    <xf numFmtId="2" fontId="24" fillId="4" borderId="9" xfId="0" applyNumberFormat="1" applyFont="1" applyFill="1" applyBorder="1" applyAlignment="1">
      <alignment horizontal="left" vertical="top" wrapText="1"/>
    </xf>
    <xf numFmtId="2" fontId="4" fillId="4" borderId="9" xfId="0" applyNumberFormat="1" applyFont="1" applyFill="1" applyBorder="1" applyAlignment="1">
      <alignment horizontal="left" vertical="top" wrapText="1"/>
    </xf>
    <xf numFmtId="2" fontId="24" fillId="4" borderId="19" xfId="0" applyNumberFormat="1" applyFont="1" applyFill="1" applyBorder="1" applyAlignment="1">
      <alignment horizontal="left" vertical="top" wrapText="1"/>
    </xf>
    <xf numFmtId="2" fontId="24" fillId="4" borderId="30" xfId="0" applyNumberFormat="1" applyFont="1" applyFill="1" applyBorder="1" applyAlignment="1">
      <alignment horizontal="left" vertical="top" wrapText="1"/>
    </xf>
    <xf numFmtId="9" fontId="24" fillId="4" borderId="4" xfId="0" applyNumberFormat="1" applyFont="1" applyFill="1" applyBorder="1" applyAlignment="1">
      <alignment horizontal="left" vertical="top"/>
    </xf>
    <xf numFmtId="2" fontId="0" fillId="0" borderId="0" xfId="1" applyNumberFormat="1" applyFont="1" applyAlignment="1"/>
    <xf numFmtId="9" fontId="24" fillId="4" borderId="9" xfId="0" applyNumberFormat="1" applyFont="1" applyFill="1" applyBorder="1" applyAlignment="1">
      <alignment horizontal="left" vertical="top"/>
    </xf>
    <xf numFmtId="9" fontId="4" fillId="4" borderId="9" xfId="0" applyNumberFormat="1" applyFont="1" applyFill="1" applyBorder="1" applyAlignment="1">
      <alignment horizontal="left" vertical="top"/>
    </xf>
    <xf numFmtId="0" fontId="24" fillId="4" borderId="19" xfId="0" applyFont="1" applyFill="1" applyBorder="1" applyAlignment="1">
      <alignment horizontal="left" vertical="top"/>
    </xf>
    <xf numFmtId="9" fontId="24" fillId="4" borderId="19" xfId="0" applyNumberFormat="1" applyFont="1" applyFill="1" applyBorder="1" applyAlignment="1">
      <alignment horizontal="left" vertical="top"/>
    </xf>
    <xf numFmtId="9" fontId="24" fillId="4" borderId="30" xfId="0" applyNumberFormat="1" applyFont="1" applyFill="1" applyBorder="1" applyAlignment="1">
      <alignment horizontal="left" vertical="top"/>
    </xf>
    <xf numFmtId="9" fontId="4" fillId="4" borderId="23" xfId="0" applyNumberFormat="1" applyFont="1" applyFill="1" applyBorder="1" applyAlignment="1">
      <alignment horizontal="left" vertical="top"/>
    </xf>
    <xf numFmtId="9" fontId="24" fillId="4" borderId="23" xfId="0" applyNumberFormat="1" applyFont="1" applyFill="1" applyBorder="1" applyAlignment="1">
      <alignment horizontal="left" vertical="top"/>
    </xf>
    <xf numFmtId="39" fontId="24" fillId="4" borderId="4" xfId="1" applyNumberFormat="1" applyFont="1" applyFill="1" applyBorder="1" applyAlignment="1">
      <alignment horizontal="center" vertical="top"/>
    </xf>
    <xf numFmtId="39" fontId="24" fillId="4" borderId="9" xfId="1" applyNumberFormat="1" applyFont="1" applyFill="1" applyBorder="1" applyAlignment="1">
      <alignment horizontal="center" vertical="top"/>
    </xf>
    <xf numFmtId="39" fontId="4" fillId="4" borderId="9" xfId="1" applyNumberFormat="1" applyFont="1" applyFill="1" applyBorder="1" applyAlignment="1">
      <alignment horizontal="center" vertical="top"/>
    </xf>
    <xf numFmtId="39" fontId="24" fillId="4" borderId="19" xfId="1" applyNumberFormat="1" applyFont="1" applyFill="1" applyBorder="1" applyAlignment="1">
      <alignment horizontal="center" vertical="top"/>
    </xf>
    <xf numFmtId="39" fontId="24" fillId="4" borderId="14" xfId="1" applyNumberFormat="1" applyFont="1" applyFill="1" applyBorder="1" applyAlignment="1">
      <alignment horizontal="center" vertical="top"/>
    </xf>
    <xf numFmtId="5" fontId="24" fillId="4" borderId="23" xfId="2" applyNumberFormat="1" applyFont="1" applyFill="1" applyBorder="1" applyAlignment="1">
      <alignment horizontal="center"/>
    </xf>
    <xf numFmtId="197" fontId="4" fillId="4" borderId="23" xfId="2" applyNumberFormat="1" applyFont="1" applyFill="1" applyBorder="1" applyAlignment="1">
      <alignment horizontal="center"/>
    </xf>
    <xf numFmtId="197" fontId="24" fillId="4" borderId="9" xfId="2" applyNumberFormat="1" applyFont="1" applyFill="1" applyBorder="1" applyAlignment="1">
      <alignment horizontal="center"/>
    </xf>
    <xf numFmtId="197" fontId="4" fillId="4" borderId="9" xfId="2" applyNumberFormat="1" applyFont="1" applyFill="1" applyBorder="1" applyAlignment="1">
      <alignment horizontal="center"/>
    </xf>
    <xf numFmtId="5" fontId="24" fillId="4" borderId="19" xfId="2" applyNumberFormat="1" applyFont="1" applyFill="1" applyBorder="1" applyAlignment="1">
      <alignment horizontal="center"/>
    </xf>
    <xf numFmtId="197" fontId="24" fillId="4" borderId="19" xfId="2" applyNumberFormat="1" applyFont="1" applyFill="1" applyBorder="1" applyAlignment="1">
      <alignment horizontal="center"/>
    </xf>
    <xf numFmtId="197" fontId="4" fillId="4" borderId="19" xfId="2" applyNumberFormat="1" applyFont="1" applyFill="1" applyBorder="1" applyAlignment="1">
      <alignment horizontal="center"/>
    </xf>
    <xf numFmtId="5" fontId="24" fillId="4" borderId="14" xfId="2" applyNumberFormat="1" applyFont="1" applyFill="1" applyBorder="1" applyAlignment="1">
      <alignment horizontal="center"/>
    </xf>
    <xf numFmtId="197" fontId="4" fillId="4" borderId="14" xfId="2" applyNumberFormat="1" applyFont="1" applyFill="1" applyBorder="1" applyAlignment="1">
      <alignment horizontal="center"/>
    </xf>
    <xf numFmtId="0" fontId="24" fillId="10" borderId="17" xfId="0" applyFont="1" applyFill="1" applyBorder="1" applyAlignment="1">
      <alignment horizontal="center"/>
    </xf>
    <xf numFmtId="168" fontId="0" fillId="0" borderId="9" xfId="1" applyNumberFormat="1" applyFont="1" applyBorder="1" applyAlignment="1"/>
    <xf numFmtId="43" fontId="4" fillId="0" borderId="9" xfId="0" applyNumberFormat="1" applyFont="1" applyBorder="1"/>
    <xf numFmtId="9" fontId="0" fillId="0" borderId="9" xfId="3" applyFont="1" applyFill="1" applyBorder="1" applyAlignment="1">
      <alignment horizontal="center" vertical="center" wrapText="1"/>
    </xf>
    <xf numFmtId="43" fontId="4" fillId="4" borderId="9" xfId="0" applyNumberFormat="1" applyFont="1" applyFill="1" applyBorder="1"/>
    <xf numFmtId="2" fontId="0" fillId="13" borderId="22" xfId="1" applyNumberFormat="1" applyFont="1" applyFill="1" applyBorder="1"/>
    <xf numFmtId="165" fontId="24" fillId="0" borderId="19" xfId="0" applyNumberFormat="1" applyFont="1" applyFill="1" applyBorder="1" applyAlignment="1">
      <alignment horizontal="center" vertical="center" wrapText="1"/>
    </xf>
    <xf numFmtId="7" fontId="24" fillId="4" borderId="19" xfId="2" applyNumberFormat="1" applyFont="1" applyFill="1" applyBorder="1" applyAlignment="1">
      <alignment horizontal="center"/>
    </xf>
    <xf numFmtId="39" fontId="24" fillId="4" borderId="9" xfId="1" quotePrefix="1" applyNumberFormat="1" applyFont="1" applyFill="1" applyBorder="1" applyAlignment="1">
      <alignment horizontal="center" vertical="center" wrapText="1"/>
    </xf>
    <xf numFmtId="2" fontId="0" fillId="0" borderId="0" xfId="0" applyNumberFormat="1" applyFont="1"/>
    <xf numFmtId="2" fontId="0" fillId="0" borderId="9" xfId="1" applyNumberFormat="1" applyFont="1" applyBorder="1" applyAlignment="1"/>
    <xf numFmtId="2" fontId="4" fillId="0" borderId="9" xfId="1" applyNumberFormat="1" applyFont="1" applyBorder="1"/>
    <xf numFmtId="2" fontId="0" fillId="0" borderId="0" xfId="3" applyNumberFormat="1" applyFont="1"/>
    <xf numFmtId="39" fontId="4" fillId="4" borderId="9" xfId="1" quotePrefix="1" applyNumberFormat="1" applyFont="1" applyFill="1" applyBorder="1" applyAlignment="1">
      <alignment horizontal="center" vertical="center" wrapText="1"/>
    </xf>
    <xf numFmtId="9" fontId="4" fillId="0" borderId="9" xfId="3" applyFont="1" applyFill="1" applyBorder="1" applyAlignment="1">
      <alignment horizontal="center" vertical="center" wrapText="1"/>
    </xf>
    <xf numFmtId="2" fontId="0" fillId="13" borderId="25" xfId="1" applyNumberFormat="1" applyFont="1" applyFill="1" applyBorder="1"/>
    <xf numFmtId="0" fontId="24" fillId="8" borderId="37" xfId="0" applyFont="1" applyFill="1" applyBorder="1"/>
    <xf numFmtId="0" fontId="24" fillId="16" borderId="5" xfId="0" applyFont="1" applyFill="1" applyBorder="1" applyAlignment="1">
      <alignment horizontal="left" vertical="top"/>
    </xf>
    <xf numFmtId="0" fontId="24" fillId="4" borderId="5" xfId="0" applyFont="1" applyFill="1" applyBorder="1" applyAlignment="1">
      <alignment horizontal="left" vertical="top" wrapText="1"/>
    </xf>
    <xf numFmtId="0" fontId="24" fillId="8" borderId="16" xfId="0" applyFont="1" applyFill="1" applyBorder="1" applyAlignment="1">
      <alignment horizontal="center"/>
    </xf>
    <xf numFmtId="0" fontId="24" fillId="16" borderId="10" xfId="0" applyFont="1" applyFill="1" applyBorder="1" applyAlignment="1">
      <alignment horizontal="left" vertical="top"/>
    </xf>
    <xf numFmtId="2" fontId="24" fillId="0" borderId="10" xfId="0" applyNumberFormat="1" applyFont="1" applyFill="1" applyBorder="1" applyAlignment="1"/>
    <xf numFmtId="0" fontId="24" fillId="4" borderId="15" xfId="0" applyFont="1" applyFill="1" applyBorder="1" applyAlignment="1">
      <alignment horizontal="left" vertical="top" wrapText="1"/>
    </xf>
    <xf numFmtId="0" fontId="24" fillId="5" borderId="37" xfId="0" applyFont="1" applyFill="1" applyBorder="1" applyAlignment="1">
      <alignment horizontal="left" vertical="top" wrapText="1"/>
    </xf>
    <xf numFmtId="0" fontId="24" fillId="5" borderId="16"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5" borderId="14" xfId="0" applyFont="1" applyFill="1" applyBorder="1" applyAlignment="1">
      <alignment horizontal="left" vertical="top" wrapText="1"/>
    </xf>
    <xf numFmtId="9" fontId="24" fillId="4" borderId="23" xfId="0" applyNumberFormat="1" applyFont="1" applyFill="1" applyBorder="1" applyAlignment="1">
      <alignment horizontal="left" vertical="top" wrapText="1"/>
    </xf>
    <xf numFmtId="0" fontId="24" fillId="8" borderId="4" xfId="0" applyFont="1" applyFill="1" applyBorder="1" applyAlignment="1">
      <alignment horizontal="left" vertical="top" wrapText="1"/>
    </xf>
    <xf numFmtId="9" fontId="24" fillId="4" borderId="4" xfId="0" applyNumberFormat="1" applyFont="1" applyFill="1" applyBorder="1" applyAlignment="1">
      <alignment horizontal="left" vertical="top" wrapText="1"/>
    </xf>
    <xf numFmtId="9" fontId="24" fillId="4" borderId="5" xfId="0" applyNumberFormat="1" applyFont="1" applyFill="1" applyBorder="1" applyAlignment="1">
      <alignment horizontal="left" vertical="top" wrapText="1"/>
    </xf>
    <xf numFmtId="9" fontId="24" fillId="4" borderId="9" xfId="0" applyNumberFormat="1" applyFont="1" applyFill="1" applyBorder="1" applyAlignment="1">
      <alignment horizontal="left" vertical="top" wrapText="1"/>
    </xf>
    <xf numFmtId="0" fontId="24" fillId="8" borderId="9" xfId="0" applyFont="1" applyFill="1" applyBorder="1" applyAlignment="1">
      <alignment horizontal="left" vertical="top" wrapText="1"/>
    </xf>
    <xf numFmtId="9" fontId="24" fillId="4" borderId="10" xfId="0" applyNumberFormat="1" applyFont="1" applyFill="1" applyBorder="1" applyAlignment="1">
      <alignment horizontal="left" vertical="top" wrapText="1"/>
    </xf>
    <xf numFmtId="9" fontId="4" fillId="4" borderId="9" xfId="0" applyNumberFormat="1" applyFont="1" applyFill="1" applyBorder="1" applyAlignment="1">
      <alignment horizontal="left" vertical="top" wrapText="1"/>
    </xf>
    <xf numFmtId="9" fontId="24" fillId="4" borderId="45" xfId="0" applyNumberFormat="1" applyFont="1" applyFill="1" applyBorder="1" applyAlignment="1">
      <alignment horizontal="left" vertical="top" wrapText="1"/>
    </xf>
    <xf numFmtId="9" fontId="4" fillId="4" borderId="14" xfId="0" applyNumberFormat="1" applyFont="1" applyFill="1" applyBorder="1" applyAlignment="1">
      <alignment horizontal="left" vertical="top" wrapText="1"/>
    </xf>
    <xf numFmtId="0" fontId="24" fillId="8" borderId="14" xfId="0" applyFont="1" applyFill="1" applyBorder="1" applyAlignment="1">
      <alignment horizontal="left" vertical="top" wrapText="1"/>
    </xf>
    <xf numFmtId="9" fontId="24" fillId="4" borderId="14" xfId="0" applyNumberFormat="1" applyFont="1" applyFill="1" applyBorder="1" applyAlignment="1">
      <alignment horizontal="left" vertical="top" wrapText="1"/>
    </xf>
    <xf numFmtId="9" fontId="24" fillId="4" borderId="15" xfId="0" applyNumberFormat="1" applyFont="1" applyFill="1" applyBorder="1" applyAlignment="1">
      <alignment horizontal="left" vertical="top" wrapText="1"/>
    </xf>
    <xf numFmtId="39" fontId="24" fillId="4" borderId="23" xfId="1" applyNumberFormat="1" applyFont="1" applyFill="1" applyBorder="1" applyAlignment="1">
      <alignment horizontal="left" vertical="top" wrapText="1"/>
    </xf>
    <xf numFmtId="39" fontId="24" fillId="4" borderId="4" xfId="1" applyNumberFormat="1" applyFont="1" applyFill="1" applyBorder="1" applyAlignment="1">
      <alignment horizontal="left" vertical="top" wrapText="1"/>
    </xf>
    <xf numFmtId="39" fontId="24" fillId="4" borderId="9" xfId="1" applyNumberFormat="1" applyFont="1" applyFill="1" applyBorder="1" applyAlignment="1">
      <alignment horizontal="left" vertical="top" wrapText="1"/>
    </xf>
    <xf numFmtId="39" fontId="24" fillId="4" borderId="14" xfId="1" applyNumberFormat="1" applyFont="1" applyFill="1" applyBorder="1" applyAlignment="1">
      <alignment horizontal="left" vertical="top" wrapText="1"/>
    </xf>
    <xf numFmtId="0" fontId="24" fillId="16" borderId="15" xfId="0" applyFont="1" applyFill="1" applyBorder="1" applyAlignment="1">
      <alignment horizontal="left" vertical="top"/>
    </xf>
    <xf numFmtId="7" fontId="4" fillId="4" borderId="9" xfId="2" applyNumberFormat="1" applyFont="1" applyFill="1" applyBorder="1" applyAlignment="1">
      <alignment horizontal="left"/>
    </xf>
    <xf numFmtId="7" fontId="24" fillId="4" borderId="4" xfId="2" applyNumberFormat="1" applyFont="1" applyFill="1" applyBorder="1" applyAlignment="1">
      <alignment horizontal="left"/>
    </xf>
    <xf numFmtId="7" fontId="4" fillId="4" borderId="4" xfId="2" applyNumberFormat="1" applyFont="1" applyFill="1" applyBorder="1" applyAlignment="1">
      <alignment horizontal="left"/>
    </xf>
    <xf numFmtId="7" fontId="24" fillId="4" borderId="9" xfId="2" applyNumberFormat="1" applyFont="1" applyFill="1" applyBorder="1" applyAlignment="1">
      <alignment horizontal="left"/>
    </xf>
    <xf numFmtId="7" fontId="4" fillId="4" borderId="9" xfId="2" applyNumberFormat="1" applyFont="1" applyFill="1" applyBorder="1" applyAlignment="1">
      <alignment horizontal="left" vertical="center" wrapText="1"/>
    </xf>
    <xf numFmtId="7" fontId="24" fillId="4" borderId="9" xfId="2" applyNumberFormat="1" applyFont="1" applyFill="1" applyBorder="1" applyAlignment="1">
      <alignment horizontal="left" vertical="center" wrapText="1"/>
    </xf>
    <xf numFmtId="7" fontId="24" fillId="0" borderId="9" xfId="2" applyNumberFormat="1" applyFont="1" applyFill="1" applyBorder="1" applyAlignment="1">
      <alignment horizontal="left" vertical="center" wrapText="1"/>
    </xf>
    <xf numFmtId="39" fontId="0" fillId="4" borderId="9" xfId="1" quotePrefix="1" applyNumberFormat="1" applyFont="1" applyFill="1" applyBorder="1" applyAlignment="1">
      <alignment horizontal="center" vertical="center" wrapText="1"/>
    </xf>
    <xf numFmtId="8" fontId="24" fillId="0" borderId="0" xfId="0" applyNumberFormat="1" applyFont="1" applyFill="1"/>
    <xf numFmtId="4" fontId="0" fillId="0" borderId="9" xfId="0" applyNumberFormat="1" applyFont="1" applyBorder="1"/>
    <xf numFmtId="0" fontId="24" fillId="16" borderId="5" xfId="0" applyFont="1" applyFill="1" applyBorder="1" applyAlignment="1">
      <alignment horizontal="left" vertical="top" wrapText="1"/>
    </xf>
    <xf numFmtId="0" fontId="24" fillId="16" borderId="45" xfId="0" applyFont="1" applyFill="1" applyBorder="1" applyAlignment="1">
      <alignment horizontal="left" vertical="top" wrapText="1"/>
    </xf>
    <xf numFmtId="0" fontId="24" fillId="16" borderId="10" xfId="0" applyFont="1" applyFill="1" applyBorder="1" applyAlignment="1">
      <alignment horizontal="left" vertical="top" wrapText="1"/>
    </xf>
    <xf numFmtId="0" fontId="24" fillId="16" borderId="45" xfId="0" applyFont="1" applyFill="1" applyBorder="1" applyAlignment="1">
      <alignment horizontal="left" vertical="top"/>
    </xf>
    <xf numFmtId="9" fontId="24" fillId="4" borderId="4" xfId="3" applyFont="1" applyFill="1" applyBorder="1" applyAlignment="1">
      <alignment horizontal="left" vertical="top" wrapText="1"/>
    </xf>
    <xf numFmtId="0" fontId="24" fillId="16" borderId="23" xfId="0" applyFont="1" applyFill="1" applyBorder="1" applyAlignment="1">
      <alignment horizontal="left" vertical="top" wrapText="1"/>
    </xf>
    <xf numFmtId="9" fontId="4" fillId="4" borderId="9" xfId="3" applyFont="1" applyFill="1" applyBorder="1" applyAlignment="1">
      <alignment horizontal="left" vertical="top" wrapText="1"/>
    </xf>
    <xf numFmtId="9" fontId="24" fillId="4" borderId="23" xfId="3" applyFont="1" applyFill="1" applyBorder="1" applyAlignment="1">
      <alignment horizontal="left" vertical="top" wrapText="1"/>
    </xf>
    <xf numFmtId="9" fontId="24" fillId="4" borderId="9" xfId="3" applyFont="1" applyFill="1" applyBorder="1" applyAlignment="1">
      <alignment horizontal="left" vertical="top" wrapText="1"/>
    </xf>
    <xf numFmtId="39" fontId="4" fillId="4" borderId="9" xfId="1" applyNumberFormat="1" applyFont="1" applyFill="1" applyBorder="1" applyAlignment="1">
      <alignment horizontal="left" vertical="top" wrapText="1"/>
    </xf>
    <xf numFmtId="7" fontId="24" fillId="4" borderId="4" xfId="2" applyNumberFormat="1" applyFont="1" applyFill="1" applyBorder="1" applyAlignment="1">
      <alignment horizontal="left" vertical="top" wrapText="1"/>
    </xf>
    <xf numFmtId="7" fontId="4" fillId="4" borderId="9" xfId="2" applyNumberFormat="1" applyFont="1" applyFill="1" applyBorder="1" applyAlignment="1">
      <alignment horizontal="left" vertical="top" wrapText="1"/>
    </xf>
    <xf numFmtId="7" fontId="24" fillId="4" borderId="23" xfId="2" applyNumberFormat="1" applyFont="1" applyFill="1" applyBorder="1" applyAlignment="1">
      <alignment horizontal="left" vertical="top" wrapText="1"/>
    </xf>
    <xf numFmtId="7" fontId="24" fillId="4" borderId="9" xfId="2" applyNumberFormat="1" applyFont="1" applyFill="1" applyBorder="1" applyAlignment="1">
      <alignment horizontal="left" vertical="top" wrapText="1"/>
    </xf>
    <xf numFmtId="0" fontId="24" fillId="16" borderId="15" xfId="0" applyFont="1" applyFill="1" applyBorder="1" applyAlignment="1">
      <alignment horizontal="left" vertical="top" wrapText="1"/>
    </xf>
    <xf numFmtId="0" fontId="24" fillId="16" borderId="0" xfId="0" applyFont="1" applyFill="1" applyBorder="1" applyAlignment="1">
      <alignment horizontal="left" vertical="top" wrapText="1"/>
    </xf>
    <xf numFmtId="165" fontId="0" fillId="4" borderId="9" xfId="0" applyNumberFormat="1" applyFont="1" applyFill="1" applyBorder="1" applyAlignment="1">
      <alignment horizontal="center" vertical="center" wrapText="1"/>
    </xf>
    <xf numFmtId="170" fontId="24" fillId="4" borderId="9" xfId="1" quotePrefix="1" applyNumberFormat="1" applyFont="1" applyFill="1" applyBorder="1" applyAlignment="1">
      <alignment horizontal="center" vertical="center" wrapText="1"/>
    </xf>
    <xf numFmtId="170" fontId="4" fillId="0" borderId="9" xfId="0" applyNumberFormat="1" applyFont="1" applyBorder="1"/>
    <xf numFmtId="170" fontId="4" fillId="4" borderId="9" xfId="1" quotePrefix="1" applyNumberFormat="1" applyFont="1" applyFill="1" applyBorder="1" applyAlignment="1">
      <alignment horizontal="center" vertical="center" wrapText="1"/>
    </xf>
    <xf numFmtId="170" fontId="4" fillId="4" borderId="9" xfId="0" applyNumberFormat="1" applyFont="1" applyFill="1" applyBorder="1" applyAlignment="1">
      <alignment horizontal="center" vertical="center" wrapText="1"/>
    </xf>
    <xf numFmtId="0" fontId="24" fillId="4" borderId="16" xfId="0" applyFont="1" applyFill="1" applyBorder="1"/>
    <xf numFmtId="2" fontId="24" fillId="4" borderId="23" xfId="0" applyNumberFormat="1" applyFont="1" applyFill="1" applyBorder="1" applyAlignment="1">
      <alignment horizontal="left" vertical="top" wrapText="1"/>
    </xf>
    <xf numFmtId="2" fontId="4" fillId="4" borderId="23" xfId="0" applyNumberFormat="1" applyFont="1" applyFill="1" applyBorder="1" applyAlignment="1">
      <alignment horizontal="left" vertical="top" wrapText="1"/>
    </xf>
    <xf numFmtId="165" fontId="24" fillId="4" borderId="4" xfId="0" applyNumberFormat="1" applyFont="1" applyFill="1" applyBorder="1" applyAlignment="1">
      <alignment horizontal="left" vertical="top" wrapText="1"/>
    </xf>
    <xf numFmtId="165" fontId="4" fillId="4" borderId="4" xfId="0" applyNumberFormat="1" applyFont="1" applyFill="1" applyBorder="1" applyAlignment="1">
      <alignment horizontal="left" vertical="top" wrapText="1"/>
    </xf>
    <xf numFmtId="0" fontId="24" fillId="4" borderId="37" xfId="0" applyFont="1" applyFill="1" applyBorder="1"/>
    <xf numFmtId="165" fontId="4" fillId="4" borderId="9" xfId="0" applyNumberFormat="1" applyFont="1" applyFill="1" applyBorder="1" applyAlignment="1">
      <alignment horizontal="left" vertical="top" wrapText="1"/>
    </xf>
    <xf numFmtId="2" fontId="24" fillId="4" borderId="16" xfId="0" applyNumberFormat="1" applyFont="1" applyFill="1" applyBorder="1" applyAlignment="1">
      <alignment wrapText="1"/>
    </xf>
    <xf numFmtId="7" fontId="24" fillId="4" borderId="14" xfId="2" applyNumberFormat="1" applyFont="1" applyFill="1" applyBorder="1" applyAlignment="1">
      <alignment horizontal="left" vertical="top" wrapText="1"/>
    </xf>
    <xf numFmtId="2" fontId="24" fillId="4" borderId="35" xfId="0" applyNumberFormat="1" applyFont="1" applyFill="1" applyBorder="1" applyAlignment="1">
      <alignment wrapText="1"/>
    </xf>
    <xf numFmtId="7" fontId="24" fillId="0" borderId="9" xfId="2" applyNumberFormat="1" applyFont="1" applyBorder="1" applyAlignment="1">
      <alignment horizontal="center" vertical="center" wrapText="1"/>
    </xf>
    <xf numFmtId="170" fontId="24" fillId="0" borderId="9" xfId="1" applyNumberFormat="1" applyFont="1" applyBorder="1" applyAlignment="1">
      <alignment horizontal="center" vertical="center" wrapText="1"/>
    </xf>
    <xf numFmtId="170" fontId="0" fillId="4" borderId="9" xfId="1" quotePrefix="1" applyNumberFormat="1" applyFont="1" applyFill="1" applyBorder="1" applyAlignment="1">
      <alignment horizontal="center" vertical="center" wrapText="1"/>
    </xf>
    <xf numFmtId="37" fontId="4" fillId="4" borderId="9" xfId="1" quotePrefix="1" applyNumberFormat="1" applyFont="1" applyFill="1" applyBorder="1" applyAlignment="1">
      <alignment horizontal="center" vertical="center" wrapText="1"/>
    </xf>
    <xf numFmtId="37" fontId="0" fillId="0" borderId="0" xfId="0" applyNumberFormat="1" applyFont="1"/>
    <xf numFmtId="7" fontId="24" fillId="0" borderId="0" xfId="2" applyNumberFormat="1" applyFont="1" applyFill="1" applyBorder="1" applyAlignment="1">
      <alignment horizontal="center" vertical="center" wrapText="1"/>
    </xf>
    <xf numFmtId="0" fontId="24" fillId="4" borderId="23" xfId="0" applyFont="1" applyFill="1" applyBorder="1" applyAlignment="1">
      <alignment horizontal="left" vertical="top"/>
    </xf>
    <xf numFmtId="7" fontId="4" fillId="0" borderId="9" xfId="2" applyNumberFormat="1" applyFont="1" applyBorder="1" applyAlignment="1">
      <alignment horizontal="center" vertical="center" wrapText="1"/>
    </xf>
    <xf numFmtId="7" fontId="4" fillId="0" borderId="0" xfId="2" applyNumberFormat="1" applyFont="1" applyFill="1" applyBorder="1" applyAlignment="1">
      <alignment horizontal="center" vertical="center" wrapText="1"/>
    </xf>
    <xf numFmtId="37" fontId="24" fillId="4" borderId="9" xfId="1" quotePrefix="1" applyNumberFormat="1" applyFont="1" applyFill="1" applyBorder="1" applyAlignment="1">
      <alignment horizontal="center" vertical="center" wrapText="1"/>
    </xf>
    <xf numFmtId="37" fontId="0" fillId="4" borderId="9" xfId="1" quotePrefix="1" applyNumberFormat="1" applyFont="1" applyFill="1" applyBorder="1" applyAlignment="1">
      <alignment horizontal="center" vertical="center" wrapText="1"/>
    </xf>
    <xf numFmtId="170" fontId="24" fillId="4" borderId="9" xfId="1" applyNumberFormat="1" applyFont="1" applyFill="1" applyBorder="1" applyAlignment="1">
      <alignment horizontal="center" vertical="center" wrapText="1"/>
    </xf>
    <xf numFmtId="0" fontId="24" fillId="4" borderId="0" xfId="0" applyFont="1" applyFill="1" applyAlignment="1">
      <alignment horizontal="left"/>
    </xf>
    <xf numFmtId="171" fontId="24" fillId="4" borderId="0" xfId="2" applyNumberFormat="1" applyFont="1" applyFill="1" applyBorder="1" applyAlignment="1">
      <alignment horizontal="center"/>
    </xf>
    <xf numFmtId="186" fontId="0" fillId="0" borderId="0" xfId="0" applyNumberFormat="1" applyFont="1"/>
    <xf numFmtId="171" fontId="24" fillId="15" borderId="9" xfId="0" applyNumberFormat="1" applyFont="1" applyFill="1" applyBorder="1" applyAlignment="1">
      <alignment horizontal="center"/>
    </xf>
    <xf numFmtId="0" fontId="24" fillId="0" borderId="0" xfId="0" applyFont="1" applyBorder="1" applyAlignment="1"/>
    <xf numFmtId="6" fontId="24" fillId="0" borderId="0" xfId="0" applyNumberFormat="1" applyFont="1" applyAlignment="1">
      <alignment horizontal="left"/>
    </xf>
    <xf numFmtId="2" fontId="24" fillId="0" borderId="9" xfId="0" applyNumberFormat="1" applyFont="1" applyBorder="1" applyAlignment="1">
      <alignment wrapText="1"/>
    </xf>
    <xf numFmtId="171" fontId="24" fillId="4" borderId="9" xfId="2" applyNumberFormat="1" applyFont="1" applyFill="1" applyBorder="1" applyAlignment="1">
      <alignment horizontal="center"/>
    </xf>
    <xf numFmtId="9" fontId="24" fillId="0" borderId="0" xfId="3" applyFont="1" applyBorder="1" applyAlignment="1"/>
    <xf numFmtId="1" fontId="24" fillId="4" borderId="10" xfId="0" applyNumberFormat="1" applyFont="1" applyFill="1" applyBorder="1" applyAlignment="1">
      <alignment horizontal="left"/>
    </xf>
    <xf numFmtId="171" fontId="24" fillId="0" borderId="9" xfId="0" applyNumberFormat="1" applyFont="1" applyBorder="1" applyAlignment="1">
      <alignment wrapText="1"/>
    </xf>
    <xf numFmtId="171" fontId="24" fillId="0" borderId="9" xfId="0" applyNumberFormat="1" applyFont="1" applyBorder="1" applyAlignment="1">
      <alignment horizontal="center"/>
    </xf>
    <xf numFmtId="171" fontId="24" fillId="0" borderId="0" xfId="0" applyNumberFormat="1" applyFont="1" applyBorder="1" applyAlignment="1">
      <alignment wrapText="1"/>
    </xf>
    <xf numFmtId="190" fontId="24" fillId="0" borderId="9" xfId="3" applyNumberFormat="1" applyFont="1" applyBorder="1"/>
    <xf numFmtId="0" fontId="24" fillId="4" borderId="0" xfId="0" applyFont="1" applyFill="1" applyBorder="1" applyAlignment="1"/>
    <xf numFmtId="8" fontId="24" fillId="0" borderId="9" xfId="0" applyNumberFormat="1" applyFont="1" applyBorder="1" applyAlignment="1">
      <alignment horizontal="center"/>
    </xf>
    <xf numFmtId="2" fontId="24" fillId="0" borderId="0" xfId="0" applyNumberFormat="1" applyFont="1" applyFill="1" applyBorder="1" applyAlignment="1">
      <alignment horizontal="center"/>
    </xf>
    <xf numFmtId="2" fontId="24" fillId="0" borderId="0" xfId="0" applyNumberFormat="1" applyFont="1" applyFill="1" applyBorder="1" applyAlignment="1">
      <alignment horizontal="left"/>
    </xf>
    <xf numFmtId="1" fontId="24" fillId="4" borderId="46" xfId="0" applyNumberFormat="1" applyFont="1" applyFill="1" applyBorder="1" applyAlignment="1">
      <alignment horizontal="left"/>
    </xf>
    <xf numFmtId="0" fontId="24" fillId="16" borderId="28" xfId="0" applyFont="1" applyFill="1" applyBorder="1" applyAlignment="1">
      <alignment vertical="top" wrapText="1"/>
    </xf>
    <xf numFmtId="0" fontId="24" fillId="16" borderId="26" xfId="0" applyFont="1" applyFill="1" applyBorder="1" applyAlignment="1">
      <alignment vertical="top" wrapText="1"/>
    </xf>
    <xf numFmtId="0" fontId="24" fillId="4" borderId="5" xfId="0" applyFont="1" applyFill="1" applyBorder="1" applyAlignment="1">
      <alignment horizontal="left" vertical="center"/>
    </xf>
    <xf numFmtId="0" fontId="24" fillId="8" borderId="16" xfId="0" applyFont="1" applyFill="1" applyBorder="1"/>
    <xf numFmtId="2" fontId="24" fillId="8" borderId="16" xfId="0" applyNumberFormat="1" applyFont="1" applyFill="1" applyBorder="1" applyAlignment="1">
      <alignment wrapText="1"/>
    </xf>
    <xf numFmtId="2" fontId="24" fillId="8" borderId="20" xfId="0" applyNumberFormat="1" applyFont="1" applyFill="1" applyBorder="1" applyAlignment="1">
      <alignment wrapText="1"/>
    </xf>
    <xf numFmtId="0" fontId="4" fillId="4" borderId="33" xfId="0" applyFont="1" applyFill="1" applyBorder="1" applyAlignment="1">
      <alignment horizontal="left" vertical="top" wrapText="1"/>
    </xf>
    <xf numFmtId="2" fontId="24" fillId="8" borderId="60" xfId="0" applyNumberFormat="1" applyFont="1" applyFill="1" applyBorder="1" applyAlignment="1">
      <alignment wrapText="1"/>
    </xf>
    <xf numFmtId="0" fontId="24" fillId="4" borderId="33" xfId="0" applyFont="1" applyFill="1" applyBorder="1" applyAlignment="1">
      <alignment horizontal="left" vertical="top" wrapText="1"/>
    </xf>
    <xf numFmtId="1" fontId="24" fillId="4" borderId="15" xfId="0" applyNumberFormat="1" applyFont="1" applyFill="1" applyBorder="1" applyAlignment="1">
      <alignment horizontal="left"/>
    </xf>
    <xf numFmtId="0" fontId="24" fillId="4" borderId="5" xfId="0" applyFont="1" applyFill="1" applyBorder="1"/>
    <xf numFmtId="0" fontId="24" fillId="0" borderId="10" xfId="0" applyFont="1" applyBorder="1"/>
    <xf numFmtId="2" fontId="24" fillId="8" borderId="22" xfId="0" applyNumberFormat="1" applyFont="1" applyFill="1" applyBorder="1" applyAlignment="1">
      <alignment wrapText="1"/>
    </xf>
    <xf numFmtId="0" fontId="24" fillId="0" borderId="5" xfId="0" applyFont="1" applyBorder="1"/>
    <xf numFmtId="2" fontId="24" fillId="8" borderId="9" xfId="0" applyNumberFormat="1" applyFont="1" applyFill="1" applyBorder="1" applyAlignment="1">
      <alignment wrapText="1"/>
    </xf>
    <xf numFmtId="2" fontId="24" fillId="8" borderId="19" xfId="0" applyNumberFormat="1" applyFont="1" applyFill="1" applyBorder="1" applyAlignment="1">
      <alignment wrapText="1"/>
    </xf>
    <xf numFmtId="9" fontId="24" fillId="4" borderId="19" xfId="3" applyFont="1" applyFill="1" applyBorder="1" applyAlignment="1">
      <alignment horizontal="left" vertical="top" wrapText="1"/>
    </xf>
    <xf numFmtId="170" fontId="24" fillId="4" borderId="4" xfId="1" applyNumberFormat="1" applyFont="1" applyFill="1" applyBorder="1" applyAlignment="1">
      <alignment horizontal="left" vertical="top" wrapText="1"/>
    </xf>
    <xf numFmtId="170" fontId="24" fillId="4" borderId="9" xfId="1" applyNumberFormat="1" applyFont="1" applyFill="1" applyBorder="1" applyAlignment="1">
      <alignment horizontal="left" vertical="top" wrapText="1"/>
    </xf>
    <xf numFmtId="170" fontId="24" fillId="4" borderId="23" xfId="1" applyNumberFormat="1" applyFont="1" applyFill="1" applyBorder="1" applyAlignment="1">
      <alignment horizontal="left" vertical="top" wrapText="1"/>
    </xf>
    <xf numFmtId="170" fontId="24" fillId="4" borderId="14" xfId="1" applyNumberFormat="1" applyFont="1" applyFill="1" applyBorder="1" applyAlignment="1">
      <alignment horizontal="left" vertical="top" wrapText="1"/>
    </xf>
    <xf numFmtId="7" fontId="4" fillId="4" borderId="14" xfId="2" applyNumberFormat="1" applyFont="1" applyFill="1" applyBorder="1" applyAlignment="1">
      <alignment horizontal="center" vertical="center" wrapText="1"/>
    </xf>
    <xf numFmtId="7" fontId="24" fillId="4" borderId="14" xfId="2" applyNumberFormat="1" applyFont="1" applyFill="1" applyBorder="1" applyAlignment="1">
      <alignment horizontal="center" vertical="center" wrapText="1"/>
    </xf>
    <xf numFmtId="7" fontId="4" fillId="0" borderId="14" xfId="2" applyNumberFormat="1" applyFont="1" applyBorder="1" applyAlignment="1">
      <alignment horizontal="center" vertical="center" wrapText="1"/>
    </xf>
    <xf numFmtId="9" fontId="24" fillId="4" borderId="14" xfId="3" applyFont="1" applyFill="1" applyBorder="1" applyAlignment="1">
      <alignment horizontal="left" vertical="top" wrapText="1"/>
    </xf>
    <xf numFmtId="0" fontId="12" fillId="9" borderId="0" xfId="5" applyFill="1" applyAlignment="1">
      <alignment horizontal="center"/>
    </xf>
    <xf numFmtId="0" fontId="44" fillId="0" borderId="0" xfId="5" applyFont="1" applyFill="1" applyBorder="1" applyAlignment="1">
      <alignment horizontal="center" vertical="center" wrapText="1"/>
    </xf>
    <xf numFmtId="0" fontId="39" fillId="0" borderId="0" xfId="5" applyFont="1" applyFill="1"/>
    <xf numFmtId="0" fontId="12" fillId="0" borderId="0" xfId="5" applyFill="1" applyAlignment="1">
      <alignment horizontal="center"/>
    </xf>
    <xf numFmtId="2" fontId="28" fillId="0" borderId="0" xfId="8" applyNumberFormat="1" applyAlignment="1">
      <alignment horizontal="center"/>
    </xf>
    <xf numFmtId="0" fontId="28" fillId="0" borderId="0" xfId="8" applyFont="1"/>
    <xf numFmtId="168" fontId="24" fillId="0" borderId="9" xfId="0" applyNumberFormat="1" applyFont="1" applyBorder="1" applyAlignment="1">
      <alignment horizontal="left"/>
    </xf>
    <xf numFmtId="165" fontId="24" fillId="4" borderId="9" xfId="13" applyNumberFormat="1" applyFont="1" applyFill="1" applyBorder="1" applyAlignment="1">
      <alignment horizontal="center"/>
    </xf>
    <xf numFmtId="171" fontId="24" fillId="4" borderId="9" xfId="13" applyNumberFormat="1" applyFont="1" applyFill="1" applyBorder="1" applyAlignment="1">
      <alignment horizontal="center"/>
    </xf>
    <xf numFmtId="189" fontId="24" fillId="4" borderId="9" xfId="0" applyNumberFormat="1" applyFont="1" applyFill="1" applyBorder="1" applyAlignment="1">
      <alignment horizontal="center" vertical="center" wrapText="1"/>
    </xf>
    <xf numFmtId="39" fontId="24" fillId="4" borderId="9" xfId="0" applyNumberFormat="1" applyFont="1" applyFill="1" applyBorder="1" applyAlignment="1">
      <alignment horizontal="center" vertical="center" wrapText="1"/>
    </xf>
    <xf numFmtId="189" fontId="28" fillId="0" borderId="0" xfId="8" applyNumberFormat="1" applyFont="1"/>
    <xf numFmtId="2" fontId="4" fillId="0" borderId="9" xfId="13" applyNumberFormat="1" applyFont="1" applyBorder="1" applyAlignment="1">
      <alignment horizontal="center"/>
    </xf>
    <xf numFmtId="39" fontId="4" fillId="4" borderId="9" xfId="0" applyNumberFormat="1" applyFont="1" applyFill="1" applyBorder="1" applyAlignment="1">
      <alignment horizontal="center" vertical="center" wrapText="1"/>
    </xf>
    <xf numFmtId="1" fontId="1" fillId="0" borderId="16" xfId="13" applyNumberFormat="1" applyFont="1" applyFill="1" applyBorder="1" applyAlignment="1">
      <alignment horizontal="center" vertical="center" wrapText="1"/>
    </xf>
    <xf numFmtId="1" fontId="4" fillId="0" borderId="16" xfId="13" applyNumberFormat="1" applyFont="1" applyFill="1" applyBorder="1" applyAlignment="1">
      <alignment horizontal="center" vertical="center" wrapText="1"/>
    </xf>
    <xf numFmtId="165" fontId="1" fillId="0" borderId="16" xfId="13" applyNumberFormat="1" applyFont="1" applyFill="1" applyBorder="1" applyAlignment="1">
      <alignment horizontal="center" vertical="center" wrapText="1"/>
    </xf>
    <xf numFmtId="1" fontId="1" fillId="0" borderId="9" xfId="13" applyNumberFormat="1" applyFont="1" applyFill="1" applyBorder="1" applyAlignment="1">
      <alignment horizontal="left" vertical="center" wrapText="1"/>
    </xf>
    <xf numFmtId="171" fontId="1" fillId="0" borderId="9" xfId="13" applyNumberFormat="1" applyFont="1" applyFill="1" applyBorder="1" applyAlignment="1">
      <alignment horizontal="center"/>
    </xf>
    <xf numFmtId="2" fontId="0" fillId="0" borderId="0" xfId="0" applyNumberFormat="1" applyFont="1" applyAlignment="1">
      <alignment horizontal="center"/>
    </xf>
    <xf numFmtId="0" fontId="1" fillId="0" borderId="0" xfId="8" applyFont="1"/>
    <xf numFmtId="169" fontId="24" fillId="0" borderId="9" xfId="2" applyNumberFormat="1" applyFont="1" applyBorder="1" applyAlignment="1">
      <alignment horizontal="center"/>
    </xf>
    <xf numFmtId="7" fontId="1" fillId="0" borderId="9" xfId="2" applyNumberFormat="1" applyFont="1" applyFill="1" applyBorder="1" applyAlignment="1">
      <alignment horizontal="center"/>
    </xf>
    <xf numFmtId="0" fontId="29" fillId="0" borderId="66" xfId="8" applyFont="1" applyBorder="1"/>
    <xf numFmtId="0" fontId="29" fillId="0" borderId="69" xfId="8" applyFont="1" applyBorder="1"/>
    <xf numFmtId="180" fontId="1" fillId="0" borderId="9" xfId="8" applyNumberFormat="1" applyFont="1" applyBorder="1" applyAlignment="1">
      <alignment horizontal="center"/>
    </xf>
    <xf numFmtId="180" fontId="4" fillId="0" borderId="9" xfId="8" applyNumberFormat="1" applyFont="1" applyBorder="1" applyAlignment="1">
      <alignment horizontal="center"/>
    </xf>
    <xf numFmtId="0" fontId="28" fillId="0" borderId="9" xfId="8" applyBorder="1"/>
    <xf numFmtId="1" fontId="4"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1" fillId="0" borderId="9" xfId="8" applyNumberFormat="1" applyFont="1" applyFill="1" applyBorder="1" applyAlignment="1">
      <alignment horizontal="center"/>
    </xf>
    <xf numFmtId="180" fontId="4" fillId="0" borderId="9" xfId="8" applyNumberFormat="1" applyFont="1" applyFill="1" applyBorder="1" applyAlignment="1">
      <alignment horizontal="center"/>
    </xf>
    <xf numFmtId="180" fontId="4" fillId="4" borderId="9" xfId="8" applyNumberFormat="1" applyFont="1" applyFill="1" applyBorder="1" applyAlignment="1">
      <alignment horizontal="center"/>
    </xf>
    <xf numFmtId="0" fontId="29" fillId="0" borderId="0" xfId="8" applyFont="1" applyAlignment="1">
      <alignment horizontal="center"/>
    </xf>
    <xf numFmtId="2" fontId="1" fillId="0" borderId="0" xfId="8" applyNumberFormat="1" applyFont="1" applyAlignment="1">
      <alignment horizontal="center"/>
    </xf>
    <xf numFmtId="0" fontId="24" fillId="0" borderId="0" xfId="8" applyFont="1" applyBorder="1" applyAlignment="1">
      <alignment horizontal="center"/>
    </xf>
    <xf numFmtId="0" fontId="24" fillId="0" borderId="40" xfId="8" applyFont="1" applyBorder="1"/>
    <xf numFmtId="0" fontId="1" fillId="0" borderId="19" xfId="8" applyFont="1" applyBorder="1" applyAlignment="1">
      <alignment horizontal="left"/>
    </xf>
    <xf numFmtId="0" fontId="24" fillId="0" borderId="0" xfId="8" applyFont="1"/>
    <xf numFmtId="0" fontId="1" fillId="0" borderId="0" xfId="8" applyFont="1" applyAlignment="1">
      <alignment horizontal="center"/>
    </xf>
    <xf numFmtId="0" fontId="24" fillId="0" borderId="41" xfId="8" applyFont="1" applyBorder="1" applyAlignment="1">
      <alignment horizontal="center"/>
    </xf>
    <xf numFmtId="0" fontId="24" fillId="0" borderId="39" xfId="8" applyFont="1" applyBorder="1" applyAlignment="1">
      <alignment horizontal="center"/>
    </xf>
    <xf numFmtId="0" fontId="24" fillId="0" borderId="42" xfId="8" applyFont="1" applyBorder="1" applyAlignment="1">
      <alignment horizontal="center"/>
    </xf>
    <xf numFmtId="9" fontId="1" fillId="0" borderId="9" xfId="3" applyFont="1" applyBorder="1" applyAlignment="1">
      <alignment horizontal="center"/>
    </xf>
    <xf numFmtId="2" fontId="4" fillId="0" borderId="9" xfId="3" applyNumberFormat="1" applyFont="1" applyBorder="1" applyAlignment="1">
      <alignment horizontal="center"/>
    </xf>
    <xf numFmtId="0" fontId="56" fillId="0" borderId="9" xfId="8" applyFont="1" applyBorder="1" applyAlignment="1">
      <alignment horizontal="left" vertical="center"/>
    </xf>
    <xf numFmtId="0" fontId="24" fillId="0" borderId="0" xfId="8" applyFont="1" applyBorder="1"/>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56" fillId="4" borderId="9" xfId="8" applyFont="1" applyFill="1" applyBorder="1" applyAlignment="1">
      <alignment horizontal="left" vertical="center"/>
    </xf>
    <xf numFmtId="165" fontId="1" fillId="4" borderId="9" xfId="3" applyNumberFormat="1" applyFont="1" applyFill="1" applyBorder="1" applyAlignment="1">
      <alignment horizontal="center"/>
    </xf>
    <xf numFmtId="0" fontId="1" fillId="0" borderId="9" xfId="8" applyFont="1" applyFill="1" applyBorder="1" applyAlignment="1">
      <alignment horizontal="left"/>
    </xf>
    <xf numFmtId="7" fontId="1" fillId="4" borderId="9" xfId="2" applyNumberFormat="1" applyFont="1" applyFill="1" applyBorder="1" applyAlignment="1">
      <alignment horizontal="center"/>
    </xf>
    <xf numFmtId="0" fontId="24" fillId="0" borderId="0" xfId="8" applyFont="1" applyBorder="1" applyAlignment="1">
      <alignment vertical="center" wrapText="1"/>
    </xf>
    <xf numFmtId="1" fontId="4" fillId="0" borderId="9" xfId="3" applyNumberFormat="1" applyFont="1" applyBorder="1" applyAlignment="1">
      <alignment horizontal="center"/>
    </xf>
    <xf numFmtId="1" fontId="1" fillId="4" borderId="9" xfId="3" applyNumberFormat="1" applyFont="1" applyFill="1" applyBorder="1" applyAlignment="1">
      <alignment horizontal="center"/>
    </xf>
    <xf numFmtId="9" fontId="1" fillId="4" borderId="9" xfId="3" applyFont="1" applyFill="1" applyBorder="1" applyAlignment="1">
      <alignment horizontal="center"/>
    </xf>
    <xf numFmtId="2" fontId="1" fillId="4" borderId="9" xfId="3" applyNumberFormat="1" applyFont="1" applyFill="1" applyBorder="1" applyAlignment="1">
      <alignment horizontal="center"/>
    </xf>
    <xf numFmtId="2" fontId="4" fillId="4" borderId="9" xfId="3" applyNumberFormat="1" applyFont="1" applyFill="1" applyBorder="1" applyAlignment="1">
      <alignment horizontal="center"/>
    </xf>
    <xf numFmtId="0" fontId="56" fillId="0" borderId="9" xfId="8" applyFont="1" applyFill="1" applyBorder="1" applyAlignment="1">
      <alignment horizontal="left" vertic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56" fillId="0" borderId="9" xfId="8" applyNumberFormat="1" applyFont="1" applyFill="1" applyBorder="1" applyAlignment="1">
      <alignment horizontal="left" vertical="center"/>
    </xf>
    <xf numFmtId="0" fontId="24" fillId="0" borderId="0" xfId="8" applyFont="1" applyAlignment="1">
      <alignment horizontal="center"/>
    </xf>
    <xf numFmtId="0" fontId="52" fillId="4" borderId="9" xfId="8" applyFont="1" applyFill="1" applyBorder="1" applyAlignment="1">
      <alignment horizontal="left" vertical="center"/>
    </xf>
    <xf numFmtId="2" fontId="24" fillId="0" borderId="9" xfId="3" applyNumberFormat="1" applyFont="1" applyBorder="1" applyAlignment="1">
      <alignment horizontal="center"/>
    </xf>
    <xf numFmtId="2" fontId="1" fillId="0" borderId="9" xfId="3" applyNumberFormat="1" applyFont="1" applyFill="1" applyBorder="1" applyAlignment="1">
      <alignment horizontal="center"/>
    </xf>
    <xf numFmtId="1" fontId="4" fillId="4" borderId="9" xfId="3" applyNumberFormat="1" applyFont="1" applyFill="1" applyBorder="1" applyAlignment="1">
      <alignment horizontal="center"/>
    </xf>
    <xf numFmtId="10" fontId="24" fillId="0" borderId="9" xfId="3" applyNumberFormat="1" applyFont="1" applyBorder="1" applyAlignment="1">
      <alignment horizontal="center"/>
    </xf>
    <xf numFmtId="9" fontId="24" fillId="0" borderId="9" xfId="3" applyFont="1" applyBorder="1" applyAlignment="1">
      <alignment horizontal="center"/>
    </xf>
    <xf numFmtId="10" fontId="4" fillId="0" borderId="9" xfId="3" applyNumberFormat="1" applyFont="1" applyBorder="1" applyAlignment="1">
      <alignment horizontal="center"/>
    </xf>
    <xf numFmtId="1" fontId="24" fillId="4" borderId="9" xfId="3" applyNumberFormat="1" applyFont="1" applyFill="1" applyBorder="1" applyAlignment="1">
      <alignment horizontal="center"/>
    </xf>
    <xf numFmtId="0" fontId="29" fillId="4" borderId="0" xfId="8" applyFont="1" applyFill="1" applyBorder="1" applyAlignment="1">
      <alignment horizontal="center"/>
    </xf>
    <xf numFmtId="0" fontId="29" fillId="4" borderId="9" xfId="8" applyFont="1" applyFill="1" applyBorder="1"/>
    <xf numFmtId="0" fontId="51" fillId="0" borderId="9" xfId="8" applyFont="1" applyBorder="1" applyAlignment="1">
      <alignment horizontal="left" vertical="center"/>
    </xf>
    <xf numFmtId="2" fontId="0" fillId="0" borderId="0" xfId="0" applyNumberFormat="1" applyAlignment="1">
      <alignment horizontal="center"/>
    </xf>
    <xf numFmtId="165" fontId="52" fillId="4" borderId="9" xfId="8" applyNumberFormat="1" applyFont="1" applyFill="1" applyBorder="1" applyAlignment="1">
      <alignment horizontal="left" vertical="center"/>
    </xf>
    <xf numFmtId="165" fontId="24" fillId="4" borderId="9" xfId="3" applyNumberFormat="1" applyFont="1" applyFill="1" applyBorder="1" applyAlignment="1">
      <alignment horizontal="center"/>
    </xf>
    <xf numFmtId="0" fontId="1" fillId="4" borderId="9" xfId="8" applyFont="1" applyFill="1" applyBorder="1" applyAlignment="1">
      <alignment horizontal="left"/>
    </xf>
    <xf numFmtId="2" fontId="24" fillId="4" borderId="9" xfId="8" applyNumberFormat="1" applyFont="1" applyFill="1" applyBorder="1" applyAlignment="1">
      <alignment horizontal="center"/>
    </xf>
    <xf numFmtId="170" fontId="1" fillId="4" borderId="9" xfId="8" applyNumberFormat="1" applyFont="1" applyFill="1" applyBorder="1" applyAlignment="1">
      <alignment horizontal="center"/>
    </xf>
    <xf numFmtId="39" fontId="4" fillId="4" borderId="9" xfId="8" applyNumberFormat="1" applyFont="1" applyFill="1" applyBorder="1" applyAlignment="1">
      <alignment horizontal="center"/>
    </xf>
    <xf numFmtId="0" fontId="1" fillId="4" borderId="0" xfId="8" applyFont="1" applyFill="1"/>
    <xf numFmtId="0" fontId="24" fillId="4" borderId="0" xfId="8" applyFont="1" applyFill="1"/>
    <xf numFmtId="0" fontId="24" fillId="4" borderId="0" xfId="8" applyFont="1" applyFill="1" applyBorder="1"/>
    <xf numFmtId="0" fontId="1" fillId="0" borderId="9" xfId="8" applyFont="1" applyFill="1" applyBorder="1" applyAlignment="1">
      <alignment horizontal="center" vertical="center" wrapText="1"/>
    </xf>
    <xf numFmtId="165" fontId="1" fillId="0" borderId="9" xfId="8" applyNumberFormat="1" applyFont="1" applyFill="1" applyBorder="1" applyAlignment="1">
      <alignment horizontal="center" vertical="center" wrapText="1"/>
    </xf>
    <xf numFmtId="165" fontId="1" fillId="0" borderId="16" xfId="8" applyNumberFormat="1" applyFont="1" applyFill="1" applyBorder="1" applyAlignment="1">
      <alignment horizontal="center" vertical="center" wrapText="1"/>
    </xf>
    <xf numFmtId="1" fontId="4" fillId="0" borderId="9" xfId="13" applyNumberFormat="1" applyFont="1" applyFill="1" applyBorder="1" applyAlignment="1">
      <alignment horizontal="center" vertical="center" wrapText="1"/>
    </xf>
    <xf numFmtId="10" fontId="1" fillId="0" borderId="9" xfId="13" applyNumberFormat="1" applyFont="1" applyFill="1" applyBorder="1" applyAlignment="1">
      <alignment horizontal="center" vertical="center" wrapText="1"/>
    </xf>
    <xf numFmtId="9" fontId="1" fillId="0" borderId="9" xfId="13" applyNumberFormat="1" applyFont="1" applyFill="1" applyBorder="1" applyAlignment="1">
      <alignment horizontal="center" vertical="center" wrapText="1"/>
    </xf>
    <xf numFmtId="9" fontId="1" fillId="0" borderId="9" xfId="0" applyNumberFormat="1" applyFont="1" applyFill="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4" borderId="9" xfId="1" applyNumberFormat="1" applyFont="1" applyFill="1" applyBorder="1" applyAlignment="1">
      <alignment horizontal="center" vertical="center" wrapText="1"/>
    </xf>
    <xf numFmtId="189" fontId="1" fillId="0" borderId="9" xfId="1" applyNumberFormat="1" applyFont="1" applyBorder="1" applyAlignment="1">
      <alignment horizontal="center"/>
    </xf>
    <xf numFmtId="0" fontId="1" fillId="0" borderId="9" xfId="8" applyFont="1" applyFill="1" applyBorder="1" applyAlignment="1">
      <alignment horizontal="center" wrapText="1"/>
    </xf>
    <xf numFmtId="2" fontId="1" fillId="0" borderId="9" xfId="8" applyNumberFormat="1" applyFont="1" applyFill="1" applyBorder="1" applyAlignment="1">
      <alignment horizontal="center" wrapText="1"/>
    </xf>
    <xf numFmtId="0" fontId="24" fillId="0" borderId="9" xfId="8" applyFont="1" applyFill="1" applyBorder="1" applyAlignment="1">
      <alignment horizontal="center" wrapText="1"/>
    </xf>
    <xf numFmtId="170" fontId="1" fillId="0" borderId="9" xfId="1" applyNumberFormat="1" applyFont="1" applyBorder="1" applyAlignment="1">
      <alignment horizontal="center"/>
    </xf>
    <xf numFmtId="2" fontId="4" fillId="0" borderId="9" xfId="1" applyNumberFormat="1" applyFont="1" applyBorder="1" applyAlignment="1">
      <alignment horizontal="center"/>
    </xf>
    <xf numFmtId="0" fontId="0" fillId="4" borderId="19" xfId="8" applyFont="1" applyFill="1" applyBorder="1" applyAlignment="1">
      <alignment horizontal="left"/>
    </xf>
    <xf numFmtId="0" fontId="0" fillId="4" borderId="23" xfId="8" applyFont="1" applyFill="1" applyBorder="1" applyAlignment="1">
      <alignment horizontal="left"/>
    </xf>
    <xf numFmtId="2" fontId="0" fillId="8" borderId="22" xfId="1" applyNumberFormat="1" applyFont="1" applyFill="1" applyBorder="1" applyAlignment="1">
      <alignment horizontal="center"/>
    </xf>
    <xf numFmtId="165" fontId="24" fillId="0" borderId="9" xfId="8" applyNumberFormat="1" applyFont="1" applyBorder="1" applyAlignment="1">
      <alignment horizontal="center"/>
    </xf>
    <xf numFmtId="2" fontId="0" fillId="8" borderId="25" xfId="1" applyNumberFormat="1" applyFont="1" applyFill="1" applyBorder="1" applyAlignment="1">
      <alignment horizontal="center"/>
    </xf>
    <xf numFmtId="0" fontId="24" fillId="0" borderId="9" xfId="8" applyFont="1" applyFill="1" applyBorder="1" applyAlignment="1">
      <alignment horizontal="left"/>
    </xf>
    <xf numFmtId="0" fontId="24" fillId="0" borderId="9" xfId="8" applyFont="1" applyFill="1" applyBorder="1"/>
    <xf numFmtId="1" fontId="24" fillId="0" borderId="9" xfId="3" applyNumberFormat="1" applyFont="1" applyFill="1" applyBorder="1" applyAlignment="1">
      <alignment horizontal="center"/>
    </xf>
    <xf numFmtId="2" fontId="24" fillId="0" borderId="9" xfId="3" applyNumberFormat="1" applyFont="1" applyFill="1" applyBorder="1" applyAlignment="1">
      <alignment horizontal="center"/>
    </xf>
    <xf numFmtId="165" fontId="24" fillId="0" borderId="9" xfId="3" applyNumberFormat="1" applyFont="1" applyFill="1" applyBorder="1" applyAlignment="1">
      <alignment horizontal="center"/>
    </xf>
    <xf numFmtId="8" fontId="24" fillId="0" borderId="0" xfId="0" applyNumberFormat="1" applyFont="1"/>
    <xf numFmtId="170" fontId="24" fillId="0" borderId="9" xfId="1" applyNumberFormat="1" applyFont="1" applyFill="1" applyBorder="1" applyAlignment="1">
      <alignment horizontal="center"/>
    </xf>
    <xf numFmtId="170" fontId="1" fillId="4" borderId="9" xfId="1" applyNumberFormat="1" applyFont="1" applyFill="1" applyBorder="1" applyAlignment="1">
      <alignment horizontal="center"/>
    </xf>
    <xf numFmtId="170" fontId="1" fillId="0" borderId="9" xfId="1" applyNumberFormat="1" applyFont="1" applyFill="1" applyBorder="1" applyAlignment="1">
      <alignment horizontal="center"/>
    </xf>
    <xf numFmtId="2" fontId="1" fillId="0" borderId="0" xfId="6" applyNumberFormat="1" applyAlignment="1">
      <alignment horizontal="center"/>
    </xf>
    <xf numFmtId="0" fontId="12" fillId="0" borderId="0" xfId="13" applyFont="1" applyFill="1" applyBorder="1"/>
    <xf numFmtId="165" fontId="24" fillId="0" borderId="9" xfId="13" applyNumberFormat="1" applyFont="1" applyFill="1" applyBorder="1" applyAlignment="1">
      <alignment horizontal="center"/>
    </xf>
    <xf numFmtId="0" fontId="24" fillId="0" borderId="9" xfId="13" applyFont="1" applyFill="1" applyBorder="1" applyAlignment="1">
      <alignment horizontal="center"/>
    </xf>
    <xf numFmtId="165" fontId="1" fillId="0" borderId="9" xfId="13" applyNumberFormat="1" applyFont="1" applyBorder="1" applyAlignment="1">
      <alignment horizontal="center"/>
    </xf>
    <xf numFmtId="0" fontId="0" fillId="0" borderId="23" xfId="8" applyFont="1" applyBorder="1" applyAlignment="1">
      <alignment horizontal="left"/>
    </xf>
    <xf numFmtId="2" fontId="0" fillId="0" borderId="9" xfId="13" applyNumberFormat="1" applyFont="1" applyBorder="1" applyAlignment="1">
      <alignment horizontal="center"/>
    </xf>
    <xf numFmtId="165" fontId="0" fillId="0" borderId="9" xfId="13" applyNumberFormat="1" applyFont="1" applyBorder="1" applyAlignment="1">
      <alignment horizontal="center"/>
    </xf>
    <xf numFmtId="0" fontId="1" fillId="0" borderId="0" xfId="6" applyAlignment="1">
      <alignment horizontal="center"/>
    </xf>
    <xf numFmtId="0" fontId="4" fillId="0" borderId="0" xfId="6" applyFont="1" applyAlignment="1">
      <alignment horizontal="center"/>
    </xf>
    <xf numFmtId="1" fontId="24" fillId="0" borderId="16" xfId="13" applyNumberFormat="1" applyFont="1" applyFill="1" applyBorder="1" applyAlignment="1">
      <alignment horizontal="center" vertical="center" wrapText="1"/>
    </xf>
    <xf numFmtId="1" fontId="24" fillId="4" borderId="16" xfId="13" applyNumberFormat="1" applyFont="1" applyFill="1" applyBorder="1" applyAlignment="1">
      <alignment horizontal="center" vertical="center" wrapText="1"/>
    </xf>
    <xf numFmtId="2" fontId="1" fillId="0" borderId="0" xfId="6" applyNumberFormat="1" applyFill="1" applyAlignment="1">
      <alignment horizontal="center"/>
    </xf>
    <xf numFmtId="1" fontId="4" fillId="4" borderId="9" xfId="13" applyNumberFormat="1" applyFont="1" applyFill="1" applyBorder="1" applyAlignment="1">
      <alignment horizontal="center" vertical="center" wrapText="1"/>
    </xf>
    <xf numFmtId="0" fontId="24" fillId="0" borderId="9" xfId="13" applyFont="1" applyFill="1" applyBorder="1" applyAlignment="1">
      <alignment wrapText="1"/>
    </xf>
    <xf numFmtId="165" fontId="24" fillId="4" borderId="16" xfId="13" applyNumberFormat="1" applyFont="1" applyFill="1" applyBorder="1" applyAlignment="1">
      <alignment horizontal="center" vertical="center" wrapText="1"/>
    </xf>
    <xf numFmtId="165" fontId="29" fillId="4" borderId="9" xfId="8" applyNumberFormat="1" applyFont="1" applyFill="1" applyBorder="1" applyAlignment="1">
      <alignment horizontal="center" vertical="center"/>
    </xf>
    <xf numFmtId="1" fontId="24" fillId="0" borderId="9" xfId="13" applyNumberFormat="1" applyFont="1" applyFill="1" applyBorder="1" applyAlignment="1">
      <alignment horizontal="left" vertical="center" wrapText="1"/>
    </xf>
    <xf numFmtId="0" fontId="24" fillId="0" borderId="9" xfId="8" applyFont="1" applyFill="1" applyBorder="1" applyAlignment="1">
      <alignment horizontal="left" wrapText="1"/>
    </xf>
    <xf numFmtId="1" fontId="4" fillId="4" borderId="16" xfId="13" applyNumberFormat="1" applyFont="1" applyFill="1" applyBorder="1" applyAlignment="1">
      <alignment horizontal="center" vertical="center" wrapText="1"/>
    </xf>
    <xf numFmtId="2" fontId="0" fillId="4" borderId="9" xfId="13" applyNumberFormat="1" applyFont="1" applyFill="1" applyBorder="1" applyAlignment="1">
      <alignment horizontal="center" vertical="center" wrapText="1"/>
    </xf>
    <xf numFmtId="2" fontId="0" fillId="0" borderId="9" xfId="13" applyNumberFormat="1" applyFont="1" applyFill="1" applyBorder="1" applyAlignment="1">
      <alignment horizontal="center" vertical="center" wrapText="1"/>
    </xf>
    <xf numFmtId="165" fontId="29" fillId="4" borderId="0" xfId="8" applyNumberFormat="1" applyFont="1" applyFill="1" applyAlignment="1">
      <alignment horizontal="center" vertical="center"/>
    </xf>
    <xf numFmtId="9" fontId="24" fillId="0" borderId="19" xfId="3" applyFont="1" applyFill="1" applyBorder="1" applyAlignment="1">
      <alignment horizontal="left" vertical="center" wrapText="1"/>
    </xf>
    <xf numFmtId="2" fontId="24" fillId="0" borderId="16" xfId="13" applyNumberFormat="1" applyFont="1" applyFill="1" applyBorder="1" applyAlignment="1">
      <alignment horizontal="center" vertical="center" wrapText="1"/>
    </xf>
    <xf numFmtId="2" fontId="24" fillId="4" borderId="16" xfId="13" applyNumberFormat="1" applyFont="1" applyFill="1" applyBorder="1" applyAlignment="1">
      <alignment horizontal="center" vertical="center" wrapText="1"/>
    </xf>
    <xf numFmtId="0" fontId="1" fillId="0" borderId="9" xfId="0" applyFont="1" applyBorder="1"/>
    <xf numFmtId="170" fontId="1" fillId="0" borderId="9" xfId="0" applyNumberFormat="1" applyFont="1" applyFill="1" applyBorder="1" applyAlignment="1">
      <alignment horizontal="center" vertical="center" wrapText="1"/>
    </xf>
    <xf numFmtId="189" fontId="1" fillId="0" borderId="0" xfId="8" applyNumberFormat="1" applyFont="1"/>
    <xf numFmtId="2" fontId="1" fillId="0" borderId="20" xfId="1" applyNumberFormat="1" applyFont="1" applyBorder="1" applyAlignment="1">
      <alignment horizontal="center"/>
    </xf>
    <xf numFmtId="44" fontId="1" fillId="0" borderId="21" xfId="2" applyFont="1" applyFill="1" applyBorder="1"/>
    <xf numFmtId="170" fontId="1" fillId="0" borderId="9" xfId="1" applyNumberFormat="1" applyFont="1" applyFill="1" applyBorder="1" applyAlignment="1">
      <alignment horizontal="center" wrapText="1"/>
    </xf>
    <xf numFmtId="2" fontId="1" fillId="0" borderId="22" xfId="1" applyNumberFormat="1" applyFont="1" applyBorder="1" applyAlignment="1">
      <alignment horizontal="center"/>
    </xf>
    <xf numFmtId="44" fontId="1" fillId="0" borderId="24" xfId="2" applyFont="1" applyFill="1" applyBorder="1"/>
    <xf numFmtId="2" fontId="1" fillId="0" borderId="25" xfId="1" applyNumberFormat="1" applyFont="1" applyBorder="1" applyAlignment="1">
      <alignment horizontal="center"/>
    </xf>
    <xf numFmtId="44" fontId="1" fillId="0" borderId="26" xfId="2" applyFont="1" applyFill="1" applyBorder="1"/>
    <xf numFmtId="178" fontId="29" fillId="4" borderId="0" xfId="8" applyNumberFormat="1" applyFont="1" applyFill="1" applyBorder="1"/>
    <xf numFmtId="0" fontId="29" fillId="4" borderId="0" xfId="8" applyFont="1" applyFill="1"/>
    <xf numFmtId="0" fontId="1" fillId="0" borderId="9" xfId="0" applyFont="1" applyFill="1" applyBorder="1" applyAlignment="1">
      <alignment horizontal="center" vertical="center" wrapText="1"/>
    </xf>
    <xf numFmtId="180" fontId="29" fillId="4" borderId="9" xfId="8" applyNumberFormat="1" applyFont="1" applyFill="1" applyBorder="1" applyAlignment="1">
      <alignment horizontal="center"/>
    </xf>
    <xf numFmtId="39" fontId="4" fillId="0" borderId="9" xfId="1" applyNumberFormat="1" applyFont="1" applyBorder="1" applyAlignment="1">
      <alignment horizontal="center" wrapText="1"/>
    </xf>
    <xf numFmtId="180" fontId="30" fillId="4" borderId="9" xfId="8" applyNumberFormat="1" applyFont="1" applyFill="1" applyBorder="1" applyAlignment="1">
      <alignment horizontal="center"/>
    </xf>
    <xf numFmtId="39" fontId="24" fillId="0" borderId="9" xfId="1" applyNumberFormat="1" applyFont="1" applyBorder="1" applyAlignment="1">
      <alignment horizontal="center" wrapText="1"/>
    </xf>
    <xf numFmtId="39" fontId="4" fillId="4" borderId="9" xfId="1" applyNumberFormat="1" applyFont="1" applyFill="1" applyBorder="1" applyAlignment="1">
      <alignment horizontal="center" wrapText="1"/>
    </xf>
    <xf numFmtId="0" fontId="28" fillId="4" borderId="9" xfId="8" applyFill="1" applyBorder="1" applyAlignment="1">
      <alignment horizontal="center"/>
    </xf>
    <xf numFmtId="9" fontId="1" fillId="0" borderId="9" xfId="3" applyFont="1" applyBorder="1" applyAlignment="1">
      <alignment horizontal="center" wrapText="1"/>
    </xf>
    <xf numFmtId="0" fontId="29" fillId="0" borderId="73" xfId="8" applyFont="1" applyBorder="1" applyAlignment="1">
      <alignment horizontal="center"/>
    </xf>
    <xf numFmtId="39" fontId="4" fillId="0" borderId="9" xfId="1" applyNumberFormat="1" applyFont="1" applyFill="1" applyBorder="1" applyAlignment="1">
      <alignment horizontal="center" wrapText="1"/>
    </xf>
    <xf numFmtId="0" fontId="29" fillId="0" borderId="0" xfId="8" applyFont="1" applyBorder="1"/>
    <xf numFmtId="9" fontId="24" fillId="0" borderId="0" xfId="0" applyNumberFormat="1" applyFont="1" applyFill="1" applyBorder="1" applyAlignment="1">
      <alignment horizontal="center" vertical="center" wrapText="1"/>
    </xf>
    <xf numFmtId="9" fontId="24" fillId="0" borderId="9" xfId="0" applyNumberFormat="1" applyFont="1" applyFill="1" applyBorder="1" applyAlignment="1">
      <alignment horizontal="center" vertical="center" wrapText="1"/>
    </xf>
    <xf numFmtId="178" fontId="24" fillId="0" borderId="9" xfId="0" applyNumberFormat="1" applyFont="1" applyFill="1" applyBorder="1" applyAlignment="1">
      <alignment horizontal="center" vertical="center" wrapText="1"/>
    </xf>
    <xf numFmtId="178" fontId="4" fillId="0" borderId="9" xfId="0" applyNumberFormat="1" applyFont="1" applyFill="1" applyBorder="1" applyAlignment="1">
      <alignment horizontal="center" vertical="center" wrapText="1"/>
    </xf>
    <xf numFmtId="39" fontId="24"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4" fillId="0" borderId="0" xfId="1" applyNumberFormat="1" applyFont="1" applyBorder="1" applyAlignment="1">
      <alignment horizontal="center" wrapText="1"/>
    </xf>
    <xf numFmtId="37" fontId="24" fillId="0" borderId="9" xfId="1" applyNumberFormat="1" applyFont="1" applyBorder="1" applyAlignment="1">
      <alignment horizontal="center" wrapText="1"/>
    </xf>
    <xf numFmtId="9" fontId="24" fillId="0" borderId="0" xfId="3" applyFont="1" applyBorder="1" applyAlignment="1">
      <alignment horizontal="center" wrapText="1"/>
    </xf>
    <xf numFmtId="189" fontId="24" fillId="0" borderId="9" xfId="1" applyNumberFormat="1" applyFont="1" applyBorder="1" applyAlignment="1">
      <alignment horizontal="center" wrapText="1"/>
    </xf>
    <xf numFmtId="189" fontId="1" fillId="0" borderId="9" xfId="1" applyNumberFormat="1" applyFont="1" applyBorder="1" applyAlignment="1">
      <alignment horizontal="center" wrapText="1"/>
    </xf>
    <xf numFmtId="189" fontId="4" fillId="0" borderId="9" xfId="1" applyNumberFormat="1" applyFont="1" applyBorder="1" applyAlignment="1">
      <alignment horizontal="center" wrapText="1"/>
    </xf>
    <xf numFmtId="170" fontId="1" fillId="0" borderId="9" xfId="2" applyNumberFormat="1" applyFont="1" applyFill="1" applyBorder="1" applyAlignment="1">
      <alignment horizontal="center" vertical="center" wrapText="1"/>
    </xf>
    <xf numFmtId="7" fontId="24"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24" fillId="0" borderId="9" xfId="2" applyNumberFormat="1" applyFont="1" applyBorder="1" applyAlignment="1">
      <alignment horizontal="center" wrapText="1"/>
    </xf>
    <xf numFmtId="7" fontId="4" fillId="0" borderId="9" xfId="2" applyNumberFormat="1" applyFont="1" applyBorder="1" applyAlignment="1">
      <alignment horizontal="center" wrapText="1"/>
    </xf>
    <xf numFmtId="189" fontId="1" fillId="4"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4" fillId="4" borderId="9" xfId="0" applyNumberFormat="1" applyFont="1" applyFill="1" applyBorder="1" applyAlignment="1">
      <alignment horizontal="center"/>
    </xf>
    <xf numFmtId="178" fontId="24" fillId="0" borderId="0" xfId="8" applyNumberFormat="1" applyFont="1" applyFill="1"/>
    <xf numFmtId="0" fontId="24" fillId="0" borderId="0" xfId="8" applyFont="1" applyFill="1"/>
    <xf numFmtId="180" fontId="1" fillId="4" borderId="9" xfId="0" applyNumberFormat="1" applyFont="1" applyFill="1" applyBorder="1" applyAlignment="1">
      <alignment horizontal="center"/>
    </xf>
    <xf numFmtId="39" fontId="24" fillId="4" borderId="9" xfId="1" applyNumberFormat="1" applyFont="1" applyFill="1" applyBorder="1" applyAlignment="1">
      <alignment horizontal="center" wrapText="1"/>
    </xf>
    <xf numFmtId="39" fontId="47" fillId="4" borderId="9" xfId="1" applyNumberFormat="1" applyFont="1" applyFill="1" applyBorder="1" applyAlignment="1">
      <alignment horizontal="center" wrapText="1"/>
    </xf>
    <xf numFmtId="2" fontId="1" fillId="4" borderId="9" xfId="0" applyNumberFormat="1" applyFont="1" applyFill="1" applyBorder="1" applyAlignment="1">
      <alignment horizontal="center" vertical="center"/>
    </xf>
    <xf numFmtId="0" fontId="1" fillId="0" borderId="9" xfId="0" applyFont="1" applyBorder="1" applyAlignment="1">
      <alignment horizontal="center"/>
    </xf>
    <xf numFmtId="179" fontId="4" fillId="4" borderId="9" xfId="0" applyNumberFormat="1" applyFont="1" applyFill="1" applyBorder="1" applyAlignment="1">
      <alignment horizontal="center" vertical="center" wrapText="1"/>
    </xf>
    <xf numFmtId="9" fontId="47" fillId="0" borderId="9" xfId="0" applyNumberFormat="1" applyFont="1" applyFill="1" applyBorder="1" applyAlignment="1">
      <alignment horizontal="center" vertical="center" wrapText="1"/>
    </xf>
    <xf numFmtId="39" fontId="47" fillId="0" borderId="9" xfId="1" applyNumberFormat="1" applyFont="1" applyFill="1" applyBorder="1" applyAlignment="1">
      <alignment horizontal="center" wrapText="1"/>
    </xf>
    <xf numFmtId="39" fontId="24" fillId="0" borderId="9" xfId="1" applyNumberFormat="1" applyFont="1" applyFill="1" applyBorder="1" applyAlignment="1">
      <alignment horizontal="center" wrapText="1"/>
    </xf>
    <xf numFmtId="7" fontId="1" fillId="4" borderId="9" xfId="2" applyNumberFormat="1" applyFont="1" applyFill="1" applyBorder="1" applyAlignment="1">
      <alignment horizontal="center" wrapText="1"/>
    </xf>
    <xf numFmtId="0" fontId="29" fillId="0" borderId="0" xfId="8" applyFont="1" applyBorder="1" applyAlignment="1">
      <alignment horizontal="center" vertical="center"/>
    </xf>
    <xf numFmtId="2" fontId="24" fillId="4" borderId="9" xfId="3" applyNumberFormat="1" applyFont="1" applyFill="1" applyBorder="1" applyAlignment="1">
      <alignment horizontal="center"/>
    </xf>
    <xf numFmtId="180" fontId="24" fillId="4" borderId="9" xfId="3" applyNumberFormat="1" applyFont="1" applyFill="1" applyBorder="1" applyAlignment="1">
      <alignment horizontal="center"/>
    </xf>
    <xf numFmtId="180" fontId="1" fillId="4" borderId="9" xfId="3" applyNumberFormat="1" applyFont="1" applyFill="1" applyBorder="1" applyAlignment="1">
      <alignment horizontal="center"/>
    </xf>
    <xf numFmtId="189" fontId="30" fillId="4" borderId="9" xfId="1" applyNumberFormat="1" applyFont="1" applyFill="1" applyBorder="1" applyAlignment="1">
      <alignment horizontal="center"/>
    </xf>
    <xf numFmtId="171" fontId="29" fillId="0" borderId="9" xfId="8" applyNumberFormat="1" applyFont="1" applyFill="1" applyBorder="1" applyAlignment="1">
      <alignment horizontal="center"/>
    </xf>
    <xf numFmtId="165" fontId="1" fillId="0" borderId="9" xfId="0" applyNumberFormat="1" applyFont="1" applyFill="1" applyBorder="1" applyAlignment="1">
      <alignment horizontal="center" vertical="center" wrapText="1"/>
    </xf>
    <xf numFmtId="178" fontId="29" fillId="4" borderId="0" xfId="8" applyNumberFormat="1" applyFont="1" applyFill="1"/>
    <xf numFmtId="0" fontId="55" fillId="0" borderId="0" xfId="8" applyFont="1"/>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24" fillId="0" borderId="16" xfId="1" applyNumberFormat="1" applyFont="1" applyFill="1" applyBorder="1" applyAlignment="1">
      <alignment horizontal="center" wrapText="1"/>
    </xf>
    <xf numFmtId="37" fontId="24"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4" fillId="0" borderId="16" xfId="0" applyNumberFormat="1" applyFont="1" applyFill="1" applyBorder="1" applyAlignment="1">
      <alignment horizontal="center" vertical="center" wrapText="1"/>
    </xf>
    <xf numFmtId="170" fontId="24" fillId="0" borderId="9" xfId="1" applyNumberFormat="1" applyFont="1" applyFill="1" applyBorder="1" applyAlignment="1">
      <alignment horizontal="center" vertical="center" wrapText="1"/>
    </xf>
    <xf numFmtId="7" fontId="24" fillId="0" borderId="9" xfId="2" applyNumberFormat="1" applyFont="1" applyFill="1" applyBorder="1" applyAlignment="1">
      <alignment horizontal="center" wrapText="1"/>
    </xf>
    <xf numFmtId="171" fontId="24" fillId="0" borderId="9" xfId="8" applyNumberFormat="1" applyFont="1" applyFill="1" applyBorder="1" applyAlignment="1">
      <alignment horizontal="center"/>
    </xf>
    <xf numFmtId="2" fontId="1" fillId="0" borderId="16" xfId="1" applyNumberFormat="1" applyFont="1" applyBorder="1" applyAlignment="1">
      <alignment horizontal="center"/>
    </xf>
    <xf numFmtId="44" fontId="1" fillId="0" borderId="18" xfId="2" applyFont="1" applyFill="1" applyBorder="1"/>
    <xf numFmtId="189" fontId="1" fillId="0" borderId="16" xfId="1" applyNumberFormat="1" applyFont="1" applyFill="1" applyBorder="1" applyAlignment="1">
      <alignment horizontal="center" wrapText="1"/>
    </xf>
    <xf numFmtId="189" fontId="1"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0" fontId="4" fillId="4" borderId="0" xfId="8" applyFont="1" applyFill="1"/>
    <xf numFmtId="170" fontId="1" fillId="0" borderId="9" xfId="1" applyNumberFormat="1" applyFont="1" applyBorder="1" applyAlignment="1">
      <alignment horizontal="center" wrapText="1"/>
    </xf>
    <xf numFmtId="178" fontId="24" fillId="0" borderId="0" xfId="8" applyNumberFormat="1" applyFont="1" applyBorder="1"/>
    <xf numFmtId="189" fontId="24" fillId="0" borderId="9" xfId="1" applyNumberFormat="1" applyFont="1" applyFill="1" applyBorder="1" applyAlignment="1">
      <alignment horizontal="center" wrapText="1"/>
    </xf>
    <xf numFmtId="178" fontId="24" fillId="0" borderId="0" xfId="8" applyNumberFormat="1" applyFont="1"/>
    <xf numFmtId="189" fontId="1" fillId="0" borderId="16" xfId="1" applyNumberFormat="1" applyFont="1" applyBorder="1" applyAlignment="1">
      <alignment horizontal="center" wrapText="1"/>
    </xf>
    <xf numFmtId="0" fontId="39" fillId="0" borderId="9" xfId="12" applyFont="1" applyFill="1" applyBorder="1" applyAlignment="1">
      <alignment horizontal="center"/>
    </xf>
    <xf numFmtId="171" fontId="24" fillId="0" borderId="19" xfId="4" applyNumberFormat="1" applyFont="1" applyFill="1" applyBorder="1" applyAlignment="1" applyProtection="1">
      <alignment horizontal="center"/>
      <protection locked="0"/>
    </xf>
    <xf numFmtId="171" fontId="24" fillId="0" borderId="19" xfId="4" applyNumberFormat="1" applyFont="1" applyFill="1" applyBorder="1" applyProtection="1">
      <protection locked="0"/>
    </xf>
    <xf numFmtId="189" fontId="24" fillId="0" borderId="9" xfId="0" applyNumberFormat="1" applyFont="1" applyFill="1" applyBorder="1" applyAlignment="1">
      <alignment horizontal="center" vertical="center" wrapText="1"/>
    </xf>
    <xf numFmtId="0" fontId="39" fillId="4" borderId="9" xfId="12" applyFont="1" applyFill="1" applyBorder="1" applyAlignment="1">
      <alignment horizontal="center"/>
    </xf>
    <xf numFmtId="171" fontId="24" fillId="0" borderId="9" xfId="4" applyNumberFormat="1" applyFont="1" applyFill="1" applyBorder="1" applyAlignment="1" applyProtection="1">
      <alignment horizontal="center"/>
      <protection locked="0"/>
    </xf>
    <xf numFmtId="171" fontId="24" fillId="0" borderId="9" xfId="4" applyNumberFormat="1" applyFont="1" applyFill="1" applyBorder="1" applyProtection="1">
      <protection locked="0"/>
    </xf>
    <xf numFmtId="0" fontId="24" fillId="0" borderId="0" xfId="0" applyFont="1" applyBorder="1" applyAlignment="1">
      <alignment horizontal="left" vertical="center" wrapText="1"/>
    </xf>
    <xf numFmtId="0" fontId="37" fillId="0" borderId="0" xfId="12" applyFont="1" applyFill="1" applyBorder="1" applyAlignment="1">
      <alignment horizontal="center"/>
    </xf>
    <xf numFmtId="165" fontId="24" fillId="0" borderId="0" xfId="0" applyNumberFormat="1" applyFont="1" applyBorder="1" applyAlignment="1">
      <alignment horizontal="center" vertical="center" wrapText="1"/>
    </xf>
    <xf numFmtId="0" fontId="24" fillId="4" borderId="0" xfId="0" applyFont="1" applyFill="1" applyBorder="1" applyAlignment="1">
      <alignment horizontal="left" vertical="center" wrapText="1"/>
    </xf>
    <xf numFmtId="0" fontId="37" fillId="4" borderId="0" xfId="12" applyFont="1" applyFill="1" applyBorder="1" applyAlignment="1">
      <alignment horizontal="center"/>
    </xf>
    <xf numFmtId="180" fontId="24" fillId="0" borderId="0" xfId="0" applyNumberFormat="1" applyFont="1" applyBorder="1" applyAlignment="1">
      <alignment horizontal="center" vertical="center" wrapText="1"/>
    </xf>
    <xf numFmtId="0" fontId="24" fillId="0" borderId="24" xfId="0" applyFont="1" applyBorder="1" applyAlignment="1">
      <alignment horizontal="center"/>
    </xf>
    <xf numFmtId="0" fontId="24" fillId="11" borderId="9" xfId="5" applyFont="1" applyFill="1" applyBorder="1" applyAlignment="1">
      <alignment horizontal="left" vertical="center" wrapText="1"/>
    </xf>
    <xf numFmtId="168" fontId="24" fillId="0" borderId="9" xfId="5" applyNumberFormat="1" applyFont="1" applyFill="1" applyBorder="1" applyAlignment="1">
      <alignment horizontal="left" vertical="center"/>
    </xf>
    <xf numFmtId="2" fontId="24" fillId="0" borderId="18" xfId="0" applyNumberFormat="1" applyFont="1" applyFill="1" applyBorder="1" applyAlignment="1">
      <alignment horizontal="center"/>
    </xf>
    <xf numFmtId="2" fontId="1" fillId="0" borderId="9" xfId="0" applyNumberFormat="1" applyFont="1" applyBorder="1" applyAlignment="1">
      <alignment horizontal="center"/>
    </xf>
    <xf numFmtId="2" fontId="29" fillId="0" borderId="9" xfId="8" applyNumberFormat="1" applyFont="1" applyBorder="1" applyAlignment="1">
      <alignment horizontal="center"/>
    </xf>
    <xf numFmtId="2" fontId="1" fillId="4" borderId="9" xfId="0" applyNumberFormat="1" applyFont="1" applyFill="1" applyBorder="1" applyAlignment="1">
      <alignment horizontal="center"/>
    </xf>
    <xf numFmtId="2" fontId="28" fillId="0" borderId="9" xfId="8" applyNumberFormat="1" applyBorder="1" applyAlignment="1">
      <alignment horizontal="center"/>
    </xf>
    <xf numFmtId="2" fontId="1" fillId="4" borderId="19" xfId="0" applyNumberFormat="1" applyFont="1" applyFill="1" applyBorder="1" applyAlignment="1">
      <alignment horizontal="center"/>
    </xf>
    <xf numFmtId="2" fontId="29" fillId="0" borderId="19" xfId="8" applyNumberFormat="1" applyFont="1" applyBorder="1" applyAlignment="1">
      <alignment horizontal="center"/>
    </xf>
    <xf numFmtId="0" fontId="24" fillId="4" borderId="14" xfId="0" applyFont="1" applyFill="1" applyBorder="1" applyAlignment="1">
      <alignment horizontal="center"/>
    </xf>
    <xf numFmtId="0" fontId="1" fillId="4" borderId="9" xfId="0" applyFont="1" applyFill="1" applyBorder="1" applyAlignment="1">
      <alignment horizontal="center"/>
    </xf>
    <xf numFmtId="2" fontId="24" fillId="0" borderId="23" xfId="0" applyNumberFormat="1" applyFont="1" applyFill="1" applyBorder="1" applyAlignment="1">
      <alignment horizontal="center"/>
    </xf>
    <xf numFmtId="2" fontId="24" fillId="0" borderId="26" xfId="0" applyNumberFormat="1" applyFont="1" applyFill="1" applyBorder="1" applyAlignment="1">
      <alignment horizontal="center"/>
    </xf>
    <xf numFmtId="2" fontId="24" fillId="4" borderId="9" xfId="14" applyNumberFormat="1" applyFont="1" applyFill="1" applyBorder="1" applyAlignment="1">
      <alignment horizontal="center"/>
    </xf>
    <xf numFmtId="2" fontId="24" fillId="0" borderId="9" xfId="0" applyNumberFormat="1" applyFont="1" applyFill="1" applyBorder="1" applyAlignment="1">
      <alignment horizontal="center"/>
    </xf>
    <xf numFmtId="9" fontId="24" fillId="0" borderId="0" xfId="3" applyFont="1"/>
    <xf numFmtId="2" fontId="30" fillId="0" borderId="9" xfId="8" applyNumberFormat="1" applyFont="1" applyBorder="1" applyAlignment="1">
      <alignment horizontal="center"/>
    </xf>
    <xf numFmtId="39" fontId="24" fillId="0" borderId="9" xfId="5" applyNumberFormat="1" applyFont="1" applyBorder="1" applyAlignment="1">
      <alignment horizontal="center"/>
    </xf>
    <xf numFmtId="9" fontId="24" fillId="0" borderId="9" xfId="7" applyNumberFormat="1" applyFont="1" applyBorder="1" applyAlignment="1">
      <alignment horizontal="center" vertical="center" wrapText="1"/>
    </xf>
    <xf numFmtId="193" fontId="24" fillId="0" borderId="9" xfId="5" applyNumberFormat="1" applyFont="1" applyBorder="1" applyAlignment="1">
      <alignment horizontal="center"/>
    </xf>
    <xf numFmtId="193" fontId="1" fillId="0" borderId="9" xfId="5" applyNumberFormat="1" applyFont="1" applyBorder="1" applyAlignment="1">
      <alignment horizontal="center"/>
    </xf>
    <xf numFmtId="170" fontId="24" fillId="0" borderId="9" xfId="5" applyNumberFormat="1" applyFont="1" applyBorder="1" applyAlignment="1">
      <alignment horizontal="center"/>
    </xf>
    <xf numFmtId="170" fontId="1" fillId="0" borderId="9" xfId="5" applyNumberFormat="1" applyFont="1" applyBorder="1" applyAlignment="1">
      <alignment horizontal="center"/>
    </xf>
    <xf numFmtId="171" fontId="24" fillId="4" borderId="9" xfId="4" applyNumberFormat="1" applyFont="1" applyFill="1" applyBorder="1" applyAlignment="1" applyProtection="1">
      <alignment horizontal="center"/>
      <protection locked="0"/>
    </xf>
    <xf numFmtId="171" fontId="29" fillId="4" borderId="9" xfId="2" applyNumberFormat="1" applyFont="1" applyFill="1" applyBorder="1" applyAlignment="1">
      <alignment horizontal="center"/>
    </xf>
    <xf numFmtId="0" fontId="37" fillId="4" borderId="9" xfId="12" applyFont="1" applyFill="1" applyBorder="1" applyAlignment="1">
      <alignment horizontal="center"/>
    </xf>
    <xf numFmtId="39" fontId="0" fillId="4" borderId="9" xfId="1" applyNumberFormat="1" applyFont="1" applyFill="1" applyBorder="1" applyAlignment="1">
      <alignment horizontal="center"/>
    </xf>
    <xf numFmtId="39" fontId="28" fillId="0" borderId="9" xfId="8" applyNumberFormat="1" applyBorder="1" applyAlignment="1">
      <alignment horizontal="center"/>
    </xf>
    <xf numFmtId="39" fontId="28" fillId="0" borderId="9" xfId="8" applyNumberFormat="1" applyFont="1" applyBorder="1" applyAlignment="1">
      <alignment horizontal="center"/>
    </xf>
    <xf numFmtId="0" fontId="28" fillId="0" borderId="9" xfId="8" applyFont="1" applyBorder="1"/>
    <xf numFmtId="180" fontId="24" fillId="4" borderId="9" xfId="0" applyNumberFormat="1" applyFont="1" applyFill="1" applyBorder="1" applyAlignment="1">
      <alignment horizontal="center" vertical="center" wrapText="1"/>
    </xf>
    <xf numFmtId="0" fontId="28" fillId="0" borderId="0" xfId="8" applyAlignment="1">
      <alignment vertical="center"/>
    </xf>
    <xf numFmtId="0" fontId="28" fillId="0" borderId="0" xfId="8" applyFont="1" applyAlignment="1">
      <alignment vertical="center"/>
    </xf>
    <xf numFmtId="180" fontId="24" fillId="4" borderId="0" xfId="0" applyNumberFormat="1" applyFont="1" applyFill="1" applyBorder="1" applyAlignment="1">
      <alignment horizontal="center" vertical="center" wrapText="1"/>
    </xf>
    <xf numFmtId="0" fontId="28" fillId="0" borderId="0" xfId="8" applyAlignment="1">
      <alignment horizontal="center" vertical="center"/>
    </xf>
    <xf numFmtId="0" fontId="24" fillId="11" borderId="25" xfId="0" applyFont="1" applyFill="1" applyBorder="1" applyAlignment="1">
      <alignment horizontal="center" vertical="center" wrapText="1"/>
    </xf>
    <xf numFmtId="0" fontId="24" fillId="11" borderId="28" xfId="0" applyFont="1" applyFill="1" applyBorder="1" applyAlignment="1">
      <alignment horizontal="center" vertical="center" wrapText="1"/>
    </xf>
    <xf numFmtId="0" fontId="24" fillId="11" borderId="26" xfId="0" applyFont="1" applyFill="1" applyBorder="1" applyAlignment="1">
      <alignment horizontal="center" vertical="center" wrapText="1"/>
    </xf>
    <xf numFmtId="2" fontId="28" fillId="4" borderId="9" xfId="8" applyNumberFormat="1" applyFill="1" applyBorder="1" applyAlignment="1">
      <alignment horizontal="center"/>
    </xf>
    <xf numFmtId="0" fontId="29" fillId="0" borderId="0" xfId="8" applyFont="1" applyAlignment="1">
      <alignment wrapText="1"/>
    </xf>
    <xf numFmtId="39" fontId="24" fillId="0" borderId="9" xfId="1" applyNumberFormat="1" applyFont="1" applyFill="1" applyBorder="1" applyAlignment="1">
      <alignment horizontal="center" vertical="center" wrapText="1"/>
    </xf>
    <xf numFmtId="39" fontId="70" fillId="0" borderId="9" xfId="1" applyNumberFormat="1" applyFont="1" applyFill="1" applyBorder="1" applyAlignment="1">
      <alignment horizontal="center" vertical="center" wrapText="1"/>
    </xf>
    <xf numFmtId="9" fontId="70" fillId="0" borderId="9" xfId="3" applyFont="1" applyFill="1" applyBorder="1" applyAlignment="1">
      <alignment horizontal="center" vertical="center" wrapText="1"/>
    </xf>
    <xf numFmtId="0" fontId="29" fillId="0" borderId="9" xfId="8" applyFont="1" applyBorder="1" applyAlignment="1">
      <alignment wrapText="1"/>
    </xf>
    <xf numFmtId="0" fontId="29" fillId="0" borderId="9" xfId="8" applyFont="1" applyBorder="1"/>
    <xf numFmtId="37" fontId="24" fillId="0" borderId="9" xfId="1" applyNumberFormat="1" applyFont="1" applyFill="1" applyBorder="1" applyAlignment="1">
      <alignment horizontal="center" vertical="center" wrapText="1"/>
    </xf>
    <xf numFmtId="37" fontId="70" fillId="0" borderId="9" xfId="1" applyNumberFormat="1" applyFont="1" applyFill="1" applyBorder="1" applyAlignment="1">
      <alignment horizontal="center" vertical="center" wrapText="1"/>
    </xf>
    <xf numFmtId="171" fontId="70" fillId="0" borderId="9" xfId="0" applyNumberFormat="1" applyFont="1" applyFill="1" applyBorder="1" applyAlignment="1">
      <alignment horizontal="center" vertical="center" wrapText="1"/>
    </xf>
    <xf numFmtId="165" fontId="29" fillId="0" borderId="9" xfId="8" applyNumberFormat="1" applyFont="1" applyBorder="1" applyAlignment="1">
      <alignment horizontal="center"/>
    </xf>
    <xf numFmtId="171" fontId="24" fillId="4" borderId="9" xfId="13" applyNumberFormat="1" applyFont="1" applyFill="1" applyBorder="1" applyAlignment="1">
      <alignment horizontal="center" vertical="center"/>
    </xf>
    <xf numFmtId="0" fontId="24" fillId="4" borderId="14" xfId="6" applyFont="1" applyFill="1" applyBorder="1" applyAlignment="1">
      <alignment horizontal="left"/>
    </xf>
    <xf numFmtId="171" fontId="24" fillId="4" borderId="14" xfId="13" applyNumberFormat="1" applyFont="1" applyFill="1" applyBorder="1" applyAlignment="1">
      <alignment horizontal="center" vertical="center"/>
    </xf>
    <xf numFmtId="0" fontId="4" fillId="4" borderId="0" xfId="6" applyFont="1" applyFill="1" applyAlignment="1">
      <alignment horizontal="center"/>
    </xf>
    <xf numFmtId="0" fontId="1" fillId="4" borderId="0" xfId="6" applyFill="1" applyAlignment="1">
      <alignment horizontal="center"/>
    </xf>
    <xf numFmtId="0" fontId="24" fillId="0" borderId="9" xfId="6" applyFont="1" applyFill="1" applyBorder="1" applyAlignment="1">
      <alignment horizontal="center"/>
    </xf>
    <xf numFmtId="2" fontId="24" fillId="0" borderId="9" xfId="6" applyNumberFormat="1" applyFont="1" applyFill="1" applyBorder="1"/>
    <xf numFmtId="37" fontId="4" fillId="0" borderId="9" xfId="1" applyNumberFormat="1" applyFont="1" applyFill="1" applyBorder="1" applyAlignment="1">
      <alignment horizontal="center" vertical="center" wrapText="1"/>
    </xf>
    <xf numFmtId="0" fontId="1" fillId="0" borderId="9" xfId="6" applyFill="1" applyBorder="1" applyAlignment="1">
      <alignment horizontal="center"/>
    </xf>
    <xf numFmtId="165" fontId="55" fillId="0" borderId="9" xfId="6" applyNumberFormat="1" applyFont="1" applyFill="1" applyBorder="1" applyAlignment="1">
      <alignment horizontal="left" vertical="center" wrapText="1"/>
    </xf>
    <xf numFmtId="0" fontId="4" fillId="4" borderId="9" xfId="6" applyFont="1" applyFill="1" applyBorder="1" applyAlignment="1">
      <alignment horizontal="center"/>
    </xf>
    <xf numFmtId="165" fontId="24" fillId="4" borderId="9" xfId="6" applyNumberFormat="1" applyFont="1" applyFill="1" applyBorder="1" applyAlignment="1">
      <alignment horizontal="center" vertical="center" wrapText="1"/>
    </xf>
    <xf numFmtId="165" fontId="1" fillId="4" borderId="9" xfId="6" applyNumberFormat="1" applyFont="1" applyFill="1" applyBorder="1" applyAlignment="1">
      <alignment horizontal="left" vertical="center" wrapText="1"/>
    </xf>
    <xf numFmtId="165" fontId="4" fillId="4" borderId="9" xfId="6"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4" fillId="0" borderId="14" xfId="3" applyFont="1" applyFill="1" applyBorder="1" applyAlignment="1">
      <alignment horizontal="center" vertical="center" wrapText="1"/>
    </xf>
    <xf numFmtId="0" fontId="24" fillId="0" borderId="9" xfId="6" applyFont="1" applyFill="1" applyBorder="1" applyAlignment="1"/>
    <xf numFmtId="165" fontId="24" fillId="0" borderId="23" xfId="6" applyNumberFormat="1" applyFont="1" applyFill="1" applyBorder="1" applyAlignment="1">
      <alignment horizontal="center" vertical="center"/>
    </xf>
    <xf numFmtId="0" fontId="17" fillId="4" borderId="0" xfId="5" applyFont="1" applyFill="1" applyBorder="1" applyAlignment="1">
      <alignment vertical="center" wrapText="1"/>
    </xf>
    <xf numFmtId="0" fontId="36" fillId="4" borderId="0" xfId="0" applyFont="1" applyFill="1" applyBorder="1" applyAlignment="1">
      <alignment vertical="center" wrapText="1"/>
    </xf>
    <xf numFmtId="0" fontId="0" fillId="0" borderId="0" xfId="0" applyBorder="1" applyAlignment="1">
      <alignment vertical="center" wrapText="1"/>
    </xf>
    <xf numFmtId="0" fontId="37" fillId="0" borderId="9" xfId="12" applyFont="1" applyBorder="1" applyAlignment="1">
      <alignment horizontal="center"/>
    </xf>
    <xf numFmtId="165" fontId="0" fillId="0" borderId="9" xfId="0" applyNumberFormat="1" applyBorder="1" applyAlignment="1">
      <alignment horizontal="center" vertical="center" wrapText="1"/>
    </xf>
    <xf numFmtId="43" fontId="0" fillId="0" borderId="16" xfId="1" applyFont="1" applyBorder="1"/>
    <xf numFmtId="0" fontId="71" fillId="4" borderId="0" xfId="5" applyFont="1" applyFill="1" applyBorder="1" applyAlignment="1">
      <alignment vertical="center" wrapText="1"/>
    </xf>
    <xf numFmtId="0" fontId="24" fillId="0" borderId="0" xfId="6" applyFont="1" applyBorder="1" applyAlignment="1">
      <alignment horizontal="left" vertical="center" wrapText="1"/>
    </xf>
    <xf numFmtId="1" fontId="0" fillId="0" borderId="9" xfId="13" applyNumberFormat="1" applyFont="1" applyFill="1" applyBorder="1" applyAlignment="1">
      <alignment horizontal="center" vertical="center" wrapText="1"/>
    </xf>
    <xf numFmtId="165" fontId="0" fillId="0" borderId="9" xfId="13" applyNumberFormat="1" applyFont="1" applyFill="1" applyBorder="1" applyAlignment="1">
      <alignment horizontal="center" vertical="center" wrapText="1"/>
    </xf>
    <xf numFmtId="0" fontId="24" fillId="0" borderId="9" xfId="8" applyFont="1" applyBorder="1" applyAlignment="1">
      <alignment horizontal="left" wrapText="1"/>
    </xf>
    <xf numFmtId="0" fontId="72" fillId="0" borderId="0" xfId="0" applyFont="1" applyAlignment="1">
      <alignment horizontal="left"/>
    </xf>
    <xf numFmtId="200" fontId="24" fillId="0" borderId="9" xfId="8" applyNumberFormat="1" applyFont="1" applyBorder="1" applyAlignment="1">
      <alignment horizontal="center"/>
    </xf>
    <xf numFmtId="39" fontId="24" fillId="0" borderId="9" xfId="0" applyNumberFormat="1" applyFont="1" applyFill="1" applyBorder="1" applyAlignment="1">
      <alignment horizontal="center" vertical="center" wrapText="1"/>
    </xf>
    <xf numFmtId="1" fontId="0" fillId="0" borderId="9" xfId="3" applyNumberFormat="1" applyFont="1" applyBorder="1" applyAlignment="1">
      <alignment horizontal="center"/>
    </xf>
    <xf numFmtId="2" fontId="0" fillId="0" borderId="9" xfId="3" applyNumberFormat="1" applyFont="1" applyBorder="1" applyAlignment="1">
      <alignment horizontal="center"/>
    </xf>
    <xf numFmtId="1" fontId="24" fillId="0" borderId="9" xfId="3" applyNumberFormat="1" applyFont="1" applyBorder="1" applyAlignment="1">
      <alignment horizontal="center"/>
    </xf>
    <xf numFmtId="0" fontId="24" fillId="0" borderId="9" xfId="8" applyFont="1" applyBorder="1"/>
    <xf numFmtId="0" fontId="24" fillId="0" borderId="9" xfId="13" applyFont="1" applyBorder="1" applyAlignment="1">
      <alignment horizontal="center"/>
    </xf>
    <xf numFmtId="165" fontId="28" fillId="4" borderId="9" xfId="8" applyNumberFormat="1" applyFill="1" applyBorder="1" applyAlignment="1">
      <alignment horizontal="center"/>
    </xf>
    <xf numFmtId="165" fontId="29" fillId="4" borderId="9" xfId="8" applyNumberFormat="1" applyFont="1" applyFill="1" applyBorder="1" applyAlignment="1">
      <alignment horizontal="center"/>
    </xf>
    <xf numFmtId="0" fontId="29" fillId="4" borderId="0" xfId="8" applyFont="1" applyFill="1" applyBorder="1" applyAlignment="1">
      <alignment horizontal="left"/>
    </xf>
    <xf numFmtId="0" fontId="42" fillId="0" borderId="9" xfId="8" applyFont="1" applyBorder="1" applyAlignment="1">
      <alignment horizontal="left" vertical="center"/>
    </xf>
    <xf numFmtId="2" fontId="28" fillId="0" borderId="9" xfId="3" applyNumberFormat="1" applyFont="1" applyBorder="1" applyAlignment="1">
      <alignment horizontal="center"/>
    </xf>
    <xf numFmtId="169" fontId="24" fillId="4" borderId="9" xfId="2" applyNumberFormat="1" applyFont="1" applyFill="1" applyBorder="1" applyAlignment="1">
      <alignment horizontal="center"/>
    </xf>
    <xf numFmtId="0" fontId="39" fillId="4" borderId="9" xfId="13" applyFont="1" applyFill="1" applyBorder="1" applyAlignment="1">
      <alignment horizontal="center"/>
    </xf>
    <xf numFmtId="0" fontId="29" fillId="4" borderId="0" xfId="8" applyFont="1" applyFill="1" applyAlignment="1">
      <alignment horizontal="left"/>
    </xf>
    <xf numFmtId="178" fontId="24" fillId="4" borderId="0" xfId="2" applyNumberFormat="1" applyFont="1" applyFill="1" applyBorder="1" applyAlignment="1">
      <alignment horizontal="center"/>
    </xf>
    <xf numFmtId="2" fontId="29" fillId="4" borderId="9" xfId="3" applyNumberFormat="1" applyFont="1" applyFill="1" applyBorder="1" applyAlignment="1">
      <alignment horizontal="center"/>
    </xf>
    <xf numFmtId="2" fontId="28" fillId="4" borderId="9" xfId="3" applyNumberFormat="1" applyFont="1" applyFill="1" applyBorder="1" applyAlignment="1">
      <alignment horizontal="center"/>
    </xf>
    <xf numFmtId="9" fontId="4" fillId="4" borderId="9" xfId="3" applyNumberFormat="1" applyFont="1" applyFill="1" applyBorder="1" applyAlignment="1">
      <alignment horizontal="center"/>
    </xf>
    <xf numFmtId="0" fontId="29" fillId="0" borderId="0" xfId="8" applyFont="1" applyFill="1" applyAlignment="1">
      <alignment horizontal="center"/>
    </xf>
    <xf numFmtId="165" fontId="29" fillId="4" borderId="9" xfId="3" applyNumberFormat="1" applyFont="1" applyFill="1" applyBorder="1" applyAlignment="1">
      <alignment horizontal="center"/>
    </xf>
    <xf numFmtId="44" fontId="24" fillId="0" borderId="9" xfId="2" applyFont="1" applyFill="1" applyBorder="1"/>
    <xf numFmtId="165" fontId="28" fillId="4" borderId="9" xfId="3" applyNumberFormat="1" applyFont="1" applyFill="1" applyBorder="1" applyAlignment="1">
      <alignment horizontal="center"/>
    </xf>
    <xf numFmtId="9" fontId="29" fillId="4" borderId="23" xfId="3" applyFont="1" applyFill="1" applyBorder="1" applyAlignment="1">
      <alignment horizontal="center"/>
    </xf>
    <xf numFmtId="44" fontId="29" fillId="0" borderId="0" xfId="8" applyNumberFormat="1" applyFont="1" applyFill="1"/>
    <xf numFmtId="170" fontId="24" fillId="0" borderId="9" xfId="1" applyNumberFormat="1" applyFont="1" applyBorder="1" applyAlignment="1">
      <alignment horizontal="center"/>
    </xf>
    <xf numFmtId="171" fontId="24" fillId="0" borderId="9" xfId="3" applyNumberFormat="1" applyFont="1" applyBorder="1" applyAlignment="1">
      <alignment horizontal="center"/>
    </xf>
    <xf numFmtId="171" fontId="4" fillId="0" borderId="9" xfId="3" applyNumberFormat="1" applyFont="1" applyBorder="1" applyAlignment="1">
      <alignment horizontal="center"/>
    </xf>
    <xf numFmtId="0" fontId="39" fillId="0" borderId="0" xfId="12" applyFont="1" applyFill="1" applyBorder="1" applyAlignment="1">
      <alignment horizontal="center"/>
    </xf>
    <xf numFmtId="168" fontId="24" fillId="0" borderId="9" xfId="5" applyNumberFormat="1" applyFont="1" applyBorder="1" applyAlignment="1">
      <alignment horizontal="left" vertical="center"/>
    </xf>
    <xf numFmtId="2" fontId="0" fillId="4" borderId="9" xfId="0" applyNumberFormat="1" applyFont="1" applyFill="1" applyBorder="1" applyAlignment="1">
      <alignment horizontal="center"/>
    </xf>
    <xf numFmtId="0" fontId="24" fillId="4" borderId="9" xfId="0" applyFont="1" applyFill="1" applyBorder="1" applyAlignment="1">
      <alignment horizontal="center"/>
    </xf>
    <xf numFmtId="200" fontId="70" fillId="0" borderId="9" xfId="8" applyNumberFormat="1" applyFont="1" applyBorder="1" applyAlignment="1">
      <alignment horizontal="center"/>
    </xf>
    <xf numFmtId="2" fontId="0" fillId="0" borderId="0" xfId="0" applyNumberFormat="1" applyAlignment="1">
      <alignment horizontal="center" wrapText="1"/>
    </xf>
    <xf numFmtId="0" fontId="29" fillId="0" borderId="39" xfId="8" applyFont="1" applyBorder="1"/>
    <xf numFmtId="189" fontId="29" fillId="0" borderId="0" xfId="8" applyNumberFormat="1" applyFont="1"/>
    <xf numFmtId="2" fontId="29" fillId="0" borderId="0" xfId="8" applyNumberFormat="1" applyFont="1" applyAlignment="1">
      <alignment horizontal="center"/>
    </xf>
    <xf numFmtId="179" fontId="0" fillId="4" borderId="9" xfId="0" applyNumberFormat="1" applyFont="1" applyFill="1" applyBorder="1" applyAlignment="1">
      <alignment horizontal="center" vertical="center" wrapText="1"/>
    </xf>
    <xf numFmtId="0" fontId="24" fillId="0" borderId="0" xfId="0" applyFont="1" applyFill="1" applyBorder="1" applyAlignment="1">
      <alignment horizontal="left" vertical="center" wrapText="1"/>
    </xf>
    <xf numFmtId="0" fontId="73" fillId="0" borderId="0" xfId="0" applyFont="1" applyBorder="1" applyAlignment="1">
      <alignment horizontal="left" vertical="center" wrapText="1"/>
    </xf>
    <xf numFmtId="170" fontId="24" fillId="0" borderId="9" xfId="0" applyNumberFormat="1" applyFont="1" applyFill="1" applyBorder="1" applyAlignment="1">
      <alignment horizontal="center" vertical="center" wrapText="1"/>
    </xf>
    <xf numFmtId="2" fontId="0" fillId="4" borderId="9" xfId="1" applyNumberFormat="1" applyFont="1" applyFill="1" applyBorder="1" applyAlignment="1">
      <alignment horizontal="center"/>
    </xf>
    <xf numFmtId="0" fontId="24" fillId="0" borderId="22" xfId="0" applyFont="1" applyFill="1" applyBorder="1" applyAlignment="1">
      <alignment horizontal="center" vertical="center" wrapText="1"/>
    </xf>
    <xf numFmtId="39" fontId="70" fillId="4"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24" fillId="0" borderId="18" xfId="8" applyFont="1" applyBorder="1" applyAlignment="1">
      <alignment horizontal="left" wrapText="1"/>
    </xf>
    <xf numFmtId="37" fontId="0" fillId="0" borderId="9" xfId="1" applyNumberFormat="1" applyFont="1" applyFill="1" applyBorder="1" applyAlignment="1">
      <alignment horizontal="center" vertical="center" wrapText="1"/>
    </xf>
    <xf numFmtId="2" fontId="0" fillId="0" borderId="9" xfId="0" applyNumberFormat="1" applyBorder="1" applyAlignment="1">
      <alignment horizontal="center" vertical="center" wrapText="1"/>
    </xf>
    <xf numFmtId="0" fontId="0" fillId="0" borderId="9" xfId="6" applyFont="1" applyBorder="1"/>
    <xf numFmtId="168" fontId="0" fillId="0" borderId="9" xfId="5" applyNumberFormat="1" applyFont="1" applyBorder="1" applyAlignment="1">
      <alignment horizontal="left" vertical="center" wrapText="1"/>
    </xf>
    <xf numFmtId="2" fontId="0" fillId="0" borderId="9" xfId="0" applyNumberFormat="1" applyBorder="1" applyAlignment="1">
      <alignment wrapText="1"/>
    </xf>
    <xf numFmtId="0" fontId="0" fillId="0" borderId="9" xfId="0" applyBorder="1" applyAlignment="1"/>
    <xf numFmtId="2" fontId="0" fillId="0" borderId="9" xfId="0" applyNumberFormat="1" applyBorder="1" applyAlignment="1">
      <alignment horizontal="center" wrapText="1"/>
    </xf>
    <xf numFmtId="9" fontId="0" fillId="0" borderId="9" xfId="3" applyNumberFormat="1" applyFont="1" applyBorder="1" applyAlignment="1">
      <alignment horizontal="center" wrapText="1"/>
    </xf>
    <xf numFmtId="43" fontId="0" fillId="0" borderId="9" xfId="1" applyNumberFormat="1" applyFont="1" applyBorder="1" applyAlignment="1">
      <alignment horizontal="center" wrapText="1"/>
    </xf>
    <xf numFmtId="0" fontId="39" fillId="4" borderId="0" xfId="0" applyFont="1" applyFill="1"/>
    <xf numFmtId="203" fontId="0" fillId="0" borderId="0" xfId="0" applyNumberFormat="1"/>
    <xf numFmtId="0" fontId="0" fillId="18" borderId="16" xfId="0" applyFill="1" applyBorder="1"/>
    <xf numFmtId="166" fontId="0" fillId="18" borderId="18" xfId="0" applyNumberFormat="1" applyFill="1" applyBorder="1"/>
    <xf numFmtId="0" fontId="37" fillId="4" borderId="9" xfId="12" applyFont="1" applyFill="1" applyBorder="1"/>
    <xf numFmtId="166" fontId="0" fillId="4" borderId="9" xfId="0" applyNumberFormat="1" applyFill="1" applyBorder="1"/>
    <xf numFmtId="0" fontId="37" fillId="14" borderId="16" xfId="12" applyFont="1" applyFill="1" applyBorder="1"/>
    <xf numFmtId="166" fontId="0" fillId="14" borderId="18" xfId="0" applyNumberFormat="1" applyFill="1" applyBorder="1"/>
    <xf numFmtId="203" fontId="0" fillId="0" borderId="9" xfId="0" applyNumberFormat="1" applyBorder="1"/>
    <xf numFmtId="166" fontId="0" fillId="0" borderId="0" xfId="0" applyNumberFormat="1"/>
    <xf numFmtId="204" fontId="0" fillId="4" borderId="0" xfId="3" applyNumberFormat="1" applyFont="1" applyFill="1"/>
    <xf numFmtId="0" fontId="37" fillId="4" borderId="0" xfId="18" applyFill="1"/>
    <xf numFmtId="0" fontId="75" fillId="4" borderId="0" xfId="18" applyFont="1" applyFill="1"/>
    <xf numFmtId="0" fontId="6" fillId="4" borderId="0" xfId="0" applyFont="1" applyFill="1"/>
    <xf numFmtId="0" fontId="37" fillId="4" borderId="0" xfId="18" applyFont="1" applyFill="1"/>
    <xf numFmtId="0" fontId="76" fillId="4" borderId="0" xfId="18" applyFont="1" applyFill="1"/>
    <xf numFmtId="0" fontId="55" fillId="4" borderId="0" xfId="0" applyFont="1" applyFill="1"/>
    <xf numFmtId="0" fontId="24" fillId="0" borderId="27" xfId="8" applyFont="1" applyBorder="1" applyAlignment="1">
      <alignment horizontal="center"/>
    </xf>
    <xf numFmtId="169" fontId="24" fillId="0" borderId="27" xfId="2" applyNumberFormat="1" applyFont="1" applyBorder="1"/>
    <xf numFmtId="0" fontId="0" fillId="0" borderId="27" xfId="0" applyBorder="1"/>
    <xf numFmtId="170" fontId="24" fillId="4" borderId="27" xfId="1" applyNumberFormat="1" applyFont="1" applyFill="1" applyBorder="1" applyAlignment="1">
      <alignment horizontal="center"/>
    </xf>
    <xf numFmtId="170" fontId="24" fillId="4" borderId="27" xfId="0" applyNumberFormat="1" applyFont="1" applyFill="1" applyBorder="1" applyAlignment="1">
      <alignment horizontal="center" vertical="center" wrapText="1"/>
    </xf>
    <xf numFmtId="0" fontId="4" fillId="0" borderId="27" xfId="0" applyFont="1" applyBorder="1" applyAlignment="1">
      <alignment horizontal="center"/>
    </xf>
    <xf numFmtId="0" fontId="24" fillId="0" borderId="23" xfId="0" applyFont="1" applyFill="1" applyBorder="1" applyAlignment="1">
      <alignment horizontal="left"/>
    </xf>
    <xf numFmtId="0" fontId="39" fillId="0" borderId="0" xfId="5" applyFont="1"/>
    <xf numFmtId="0" fontId="24" fillId="0" borderId="0" xfId="0" applyFont="1" applyFill="1" applyAlignment="1"/>
    <xf numFmtId="0" fontId="43" fillId="0" borderId="0" xfId="5" applyFont="1"/>
    <xf numFmtId="0" fontId="24" fillId="0" borderId="0" xfId="5" applyFont="1"/>
    <xf numFmtId="0" fontId="44" fillId="4" borderId="0" xfId="6" applyFont="1" applyFill="1" applyAlignment="1">
      <alignment horizontal="left" vertical="center"/>
    </xf>
    <xf numFmtId="0" fontId="43" fillId="4" borderId="0" xfId="6" applyFont="1" applyFill="1" applyAlignment="1">
      <alignment horizontal="left" vertical="center"/>
    </xf>
    <xf numFmtId="166" fontId="43" fillId="4" borderId="0" xfId="6" applyNumberFormat="1" applyFont="1" applyFill="1" applyAlignment="1">
      <alignment horizontal="center" vertical="center"/>
    </xf>
    <xf numFmtId="0" fontId="24" fillId="4" borderId="0" xfId="6" applyFont="1" applyFill="1"/>
    <xf numFmtId="0" fontId="50" fillId="0" borderId="0" xfId="6" applyFont="1"/>
    <xf numFmtId="166" fontId="24" fillId="0" borderId="0" xfId="5" applyNumberFormat="1" applyFont="1" applyAlignment="1">
      <alignment horizontal="center"/>
    </xf>
    <xf numFmtId="0" fontId="39" fillId="0" borderId="0" xfId="6" applyFont="1" applyFill="1" applyBorder="1"/>
    <xf numFmtId="168" fontId="24" fillId="0" borderId="9" xfId="5" applyNumberFormat="1" applyFont="1" applyBorder="1" applyAlignment="1">
      <alignment horizontal="center"/>
    </xf>
    <xf numFmtId="168" fontId="24" fillId="0" borderId="9" xfId="5" applyNumberFormat="1" applyFont="1" applyFill="1" applyBorder="1" applyAlignment="1">
      <alignment horizontal="center"/>
    </xf>
    <xf numFmtId="166" fontId="24" fillId="0" borderId="9" xfId="5" applyNumberFormat="1" applyFont="1" applyFill="1" applyBorder="1" applyAlignment="1">
      <alignment horizontal="center"/>
    </xf>
    <xf numFmtId="165" fontId="24" fillId="4" borderId="9" xfId="6" applyNumberFormat="1" applyFont="1" applyFill="1" applyBorder="1" applyAlignment="1">
      <alignment horizontal="left" vertical="center" wrapText="1" indent="3"/>
    </xf>
    <xf numFmtId="168" fontId="39" fillId="0" borderId="0" xfId="5" applyNumberFormat="1" applyFont="1"/>
    <xf numFmtId="4" fontId="24" fillId="0" borderId="0" xfId="5" applyNumberFormat="1" applyFont="1"/>
    <xf numFmtId="9" fontId="32" fillId="0" borderId="0" xfId="7" applyFont="1">
      <alignment horizontal="right" vertical="center" wrapText="1" readingOrder="1"/>
    </xf>
    <xf numFmtId="169" fontId="24" fillId="0" borderId="0" xfId="5" applyNumberFormat="1" applyFont="1"/>
    <xf numFmtId="172" fontId="32" fillId="0" borderId="0" xfId="7" applyNumberFormat="1" applyFont="1">
      <alignment horizontal="right" vertical="center" wrapText="1" readingOrder="1"/>
    </xf>
    <xf numFmtId="168" fontId="24" fillId="0" borderId="9" xfId="5" applyNumberFormat="1" applyFont="1" applyFill="1" applyBorder="1" applyAlignment="1">
      <alignment wrapText="1"/>
    </xf>
    <xf numFmtId="166" fontId="24" fillId="0" borderId="0" xfId="5" applyNumberFormat="1" applyFont="1" applyAlignment="1">
      <alignment horizontal="center" wrapText="1"/>
    </xf>
    <xf numFmtId="0" fontId="44" fillId="0" borderId="0" xfId="5" applyFont="1"/>
    <xf numFmtId="166" fontId="39" fillId="0" borderId="0" xfId="5" applyNumberFormat="1" applyFont="1" applyAlignment="1">
      <alignment horizontal="center" wrapText="1"/>
    </xf>
    <xf numFmtId="168" fontId="24" fillId="4" borderId="9" xfId="5" applyNumberFormat="1" applyFont="1" applyFill="1" applyBorder="1" applyAlignment="1">
      <alignment horizontal="left" vertical="center"/>
    </xf>
    <xf numFmtId="0" fontId="39" fillId="0" borderId="0" xfId="6" applyFont="1" applyAlignment="1">
      <alignment horizontal="right"/>
    </xf>
    <xf numFmtId="3" fontId="39" fillId="0" borderId="0" xfId="6" applyNumberFormat="1" applyFont="1" applyAlignment="1">
      <alignment horizontal="right"/>
    </xf>
    <xf numFmtId="0" fontId="39" fillId="0" borderId="0" xfId="5" applyFont="1" applyAlignment="1">
      <alignment horizontal="right"/>
    </xf>
    <xf numFmtId="3" fontId="39" fillId="0" borderId="0" xfId="5" applyNumberFormat="1" applyFont="1" applyAlignment="1">
      <alignment horizontal="right"/>
    </xf>
    <xf numFmtId="168" fontId="24" fillId="0" borderId="0" xfId="5" applyNumberFormat="1" applyFont="1" applyBorder="1"/>
    <xf numFmtId="168" fontId="24" fillId="0" borderId="9" xfId="5" applyNumberFormat="1" applyFont="1" applyBorder="1"/>
    <xf numFmtId="0" fontId="24" fillId="0" borderId="9" xfId="5" applyNumberFormat="1" applyFont="1" applyFill="1" applyBorder="1" applyAlignment="1">
      <alignment horizontal="center"/>
    </xf>
    <xf numFmtId="171" fontId="24" fillId="7" borderId="9" xfId="5" applyNumberFormat="1" applyFont="1" applyFill="1" applyBorder="1" applyAlignment="1">
      <alignment horizontal="center"/>
    </xf>
    <xf numFmtId="1" fontId="24" fillId="7" borderId="9" xfId="3" applyNumberFormat="1" applyFont="1" applyFill="1" applyBorder="1" applyAlignment="1">
      <alignment horizontal="center"/>
    </xf>
    <xf numFmtId="9" fontId="24" fillId="7" borderId="9" xfId="3" applyFont="1" applyFill="1" applyBorder="1" applyAlignment="1">
      <alignment horizontal="center"/>
    </xf>
    <xf numFmtId="168" fontId="24" fillId="4" borderId="0" xfId="5" applyNumberFormat="1" applyFont="1" applyFill="1" applyBorder="1" applyAlignment="1">
      <alignment horizontal="left" vertical="center"/>
    </xf>
    <xf numFmtId="39" fontId="24" fillId="0" borderId="0" xfId="5" applyNumberFormat="1" applyFont="1" applyFill="1" applyBorder="1" applyAlignment="1">
      <alignment horizontal="center"/>
    </xf>
    <xf numFmtId="37" fontId="24" fillId="0" borderId="0" xfId="5" applyNumberFormat="1" applyFont="1" applyFill="1" applyBorder="1" applyAlignment="1">
      <alignment horizontal="center"/>
    </xf>
    <xf numFmtId="165" fontId="24" fillId="0" borderId="29" xfId="6" applyNumberFormat="1" applyFont="1" applyFill="1" applyBorder="1" applyAlignment="1">
      <alignment horizontal="center"/>
    </xf>
    <xf numFmtId="165" fontId="24" fillId="0" borderId="9" xfId="5" applyNumberFormat="1" applyFont="1" applyFill="1" applyBorder="1" applyAlignment="1">
      <alignment horizontal="center"/>
    </xf>
    <xf numFmtId="7" fontId="39" fillId="0" borderId="22" xfId="5" applyNumberFormat="1" applyFont="1" applyBorder="1" applyAlignment="1">
      <alignment wrapText="1"/>
    </xf>
    <xf numFmtId="168" fontId="24" fillId="0" borderId="9" xfId="5" applyNumberFormat="1" applyFont="1" applyFill="1" applyBorder="1"/>
    <xf numFmtId="0" fontId="39" fillId="0" borderId="0" xfId="5" applyFont="1" applyAlignment="1">
      <alignment wrapText="1"/>
    </xf>
    <xf numFmtId="0" fontId="39" fillId="0" borderId="0" xfId="5" applyFont="1" applyBorder="1"/>
    <xf numFmtId="166" fontId="39" fillId="0" borderId="0" xfId="5" applyNumberFormat="1" applyFont="1" applyBorder="1" applyAlignment="1">
      <alignment horizontal="center" wrapText="1"/>
    </xf>
    <xf numFmtId="174" fontId="24" fillId="7" borderId="9" xfId="9" applyNumberFormat="1" applyFont="1" applyFill="1" applyBorder="1" applyAlignment="1">
      <alignment horizontal="center" vertical="center"/>
    </xf>
    <xf numFmtId="174" fontId="24" fillId="0" borderId="9" xfId="9" applyNumberFormat="1" applyFont="1" applyFill="1" applyBorder="1" applyAlignment="1">
      <alignment horizontal="center" vertical="center"/>
    </xf>
    <xf numFmtId="174" fontId="24" fillId="0" borderId="9" xfId="9" applyNumberFormat="1" applyFont="1" applyFill="1" applyBorder="1" applyAlignment="1">
      <alignment horizontal="center"/>
    </xf>
    <xf numFmtId="174" fontId="24" fillId="0" borderId="9" xfId="9" applyNumberFormat="1" applyFont="1" applyFill="1" applyBorder="1" applyAlignment="1">
      <alignment horizontal="center" vertical="center" wrapText="1"/>
    </xf>
    <xf numFmtId="168" fontId="24" fillId="5" borderId="9" xfId="5" applyNumberFormat="1" applyFont="1" applyFill="1" applyBorder="1" applyAlignment="1">
      <alignment horizontal="center" vertical="center"/>
    </xf>
    <xf numFmtId="174" fontId="24" fillId="0" borderId="9" xfId="9" applyNumberFormat="1" applyFont="1" applyFill="1" applyBorder="1" applyAlignment="1">
      <alignment horizontal="center" vertical="top" wrapText="1"/>
    </xf>
    <xf numFmtId="7" fontId="24" fillId="7" borderId="9" xfId="10" applyNumberFormat="1" applyFont="1" applyFill="1" applyBorder="1" applyAlignment="1">
      <alignment horizontal="center"/>
    </xf>
    <xf numFmtId="2" fontId="24" fillId="0" borderId="9" xfId="5" applyNumberFormat="1" applyFont="1" applyFill="1" applyBorder="1" applyAlignment="1">
      <alignment horizontal="center" vertical="center"/>
    </xf>
    <xf numFmtId="175" fontId="24" fillId="7" borderId="9" xfId="9" applyNumberFormat="1" applyFont="1" applyFill="1" applyBorder="1" applyAlignment="1">
      <alignment horizontal="center" vertical="center"/>
    </xf>
    <xf numFmtId="172" fontId="24" fillId="7" borderId="9" xfId="11" applyNumberFormat="1" applyFont="1" applyFill="1" applyBorder="1" applyAlignment="1">
      <alignment horizontal="center" vertical="center"/>
    </xf>
    <xf numFmtId="175" fontId="24" fillId="0" borderId="9" xfId="9" applyNumberFormat="1" applyFont="1" applyFill="1" applyBorder="1" applyAlignment="1">
      <alignment horizontal="center"/>
    </xf>
    <xf numFmtId="176" fontId="24" fillId="0" borderId="9" xfId="9" applyNumberFormat="1" applyFont="1" applyFill="1" applyBorder="1" applyAlignment="1">
      <alignment horizontal="center"/>
    </xf>
    <xf numFmtId="168" fontId="24" fillId="0" borderId="9" xfId="5" applyNumberFormat="1" applyFont="1" applyFill="1" applyBorder="1" applyAlignment="1">
      <alignment horizontal="center" vertical="center"/>
    </xf>
    <xf numFmtId="175" fontId="24" fillId="5" borderId="9" xfId="9" applyNumberFormat="1" applyFont="1" applyFill="1" applyBorder="1" applyAlignment="1">
      <alignment horizontal="center" vertical="center"/>
    </xf>
    <xf numFmtId="172" fontId="24" fillId="5" borderId="9" xfId="11" applyNumberFormat="1" applyFont="1" applyFill="1" applyBorder="1" applyAlignment="1">
      <alignment horizontal="center" vertical="center"/>
    </xf>
    <xf numFmtId="9" fontId="24" fillId="7" borderId="9" xfId="11" applyFont="1" applyFill="1" applyBorder="1" applyAlignment="1">
      <alignment horizontal="center" vertical="center"/>
    </xf>
    <xf numFmtId="168" fontId="24" fillId="7" borderId="9" xfId="1" applyNumberFormat="1" applyFont="1" applyFill="1" applyBorder="1" applyAlignment="1">
      <alignment horizontal="center" vertical="center"/>
    </xf>
    <xf numFmtId="1" fontId="24" fillId="7" borderId="9" xfId="11" applyNumberFormat="1" applyFont="1" applyFill="1" applyBorder="1" applyAlignment="1">
      <alignment horizontal="center" vertical="center"/>
    </xf>
    <xf numFmtId="175" fontId="24" fillId="7" borderId="9" xfId="9" applyNumberFormat="1" applyFont="1" applyFill="1" applyBorder="1" applyAlignment="1">
      <alignment horizontal="center"/>
    </xf>
    <xf numFmtId="177" fontId="24" fillId="0" borderId="9" xfId="9" applyNumberFormat="1" applyFont="1" applyFill="1" applyBorder="1" applyAlignment="1">
      <alignment horizontal="center"/>
    </xf>
    <xf numFmtId="176" fontId="24" fillId="8" borderId="9" xfId="9" applyNumberFormat="1" applyFont="1" applyFill="1" applyBorder="1" applyAlignment="1">
      <alignment horizontal="center"/>
    </xf>
    <xf numFmtId="9" fontId="24" fillId="0" borderId="9" xfId="11" applyFont="1" applyFill="1" applyBorder="1" applyAlignment="1">
      <alignment horizontal="center" vertical="center"/>
    </xf>
    <xf numFmtId="166" fontId="39" fillId="0" borderId="0" xfId="5" applyNumberFormat="1" applyFont="1" applyAlignment="1">
      <alignment horizontal="center"/>
    </xf>
    <xf numFmtId="0" fontId="39" fillId="0" borderId="0" xfId="5" applyFont="1" applyFill="1" applyBorder="1"/>
    <xf numFmtId="0" fontId="24" fillId="0" borderId="0" xfId="5" applyFont="1" applyBorder="1"/>
    <xf numFmtId="2" fontId="24" fillId="4" borderId="9" xfId="10" applyNumberFormat="1" applyFont="1" applyFill="1" applyBorder="1" applyAlignment="1">
      <alignment horizontal="center"/>
    </xf>
    <xf numFmtId="0" fontId="46" fillId="0" borderId="0" xfId="5" applyFont="1"/>
    <xf numFmtId="2" fontId="24" fillId="8" borderId="9" xfId="5" applyNumberFormat="1" applyFont="1" applyFill="1" applyBorder="1" applyAlignment="1">
      <alignment horizontal="center" vertical="center"/>
    </xf>
    <xf numFmtId="172" fontId="24" fillId="0" borderId="9" xfId="11" applyNumberFormat="1" applyFont="1" applyFill="1" applyBorder="1" applyAlignment="1">
      <alignment horizontal="center" vertical="center"/>
    </xf>
    <xf numFmtId="9" fontId="24" fillId="7" borderId="9" xfId="11" applyFont="1" applyFill="1" applyBorder="1" applyAlignment="1">
      <alignment horizontal="center"/>
    </xf>
    <xf numFmtId="2" fontId="24" fillId="7" borderId="9" xfId="5" applyNumberFormat="1" applyFont="1" applyFill="1" applyBorder="1" applyAlignment="1">
      <alignment horizontal="center" vertical="center"/>
    </xf>
    <xf numFmtId="2" fontId="24" fillId="0" borderId="9" xfId="10" applyNumberFormat="1" applyFont="1" applyFill="1" applyBorder="1" applyAlignment="1">
      <alignment horizontal="center"/>
    </xf>
    <xf numFmtId="0" fontId="44" fillId="0" borderId="0" xfId="5" applyFont="1" applyFill="1"/>
    <xf numFmtId="1" fontId="24" fillId="0" borderId="9" xfId="5" applyNumberFormat="1" applyFont="1" applyFill="1" applyBorder="1" applyAlignment="1">
      <alignment horizontal="center" vertical="center"/>
    </xf>
    <xf numFmtId="1" fontId="24" fillId="7" borderId="9" xfId="5" applyNumberFormat="1" applyFont="1" applyFill="1" applyBorder="1" applyAlignment="1">
      <alignment horizontal="center" vertical="center"/>
    </xf>
    <xf numFmtId="165" fontId="24" fillId="0" borderId="0" xfId="6" applyNumberFormat="1" applyFont="1" applyFill="1" applyBorder="1" applyAlignment="1">
      <alignment horizontal="center"/>
    </xf>
    <xf numFmtId="168" fontId="24" fillId="8" borderId="9" xfId="5" applyNumberFormat="1" applyFont="1" applyFill="1" applyBorder="1" applyAlignment="1">
      <alignment horizontal="center" vertical="center"/>
    </xf>
    <xf numFmtId="2" fontId="24" fillId="8" borderId="9" xfId="11" applyNumberFormat="1" applyFont="1" applyFill="1" applyBorder="1" applyAlignment="1">
      <alignment horizontal="center" vertical="center"/>
    </xf>
    <xf numFmtId="1" fontId="24" fillId="0" borderId="9" xfId="11" applyNumberFormat="1" applyFont="1" applyFill="1" applyBorder="1" applyAlignment="1">
      <alignment horizontal="center" vertical="center"/>
    </xf>
    <xf numFmtId="176" fontId="24" fillId="7" borderId="9" xfId="9" applyNumberFormat="1" applyFont="1" applyFill="1" applyBorder="1" applyAlignment="1">
      <alignment horizontal="center"/>
    </xf>
    <xf numFmtId="0" fontId="24" fillId="0" borderId="9" xfId="5" applyFont="1" applyFill="1" applyBorder="1" applyAlignment="1">
      <alignment horizontal="center"/>
    </xf>
    <xf numFmtId="1" fontId="24" fillId="8" borderId="9" xfId="11" applyNumberFormat="1" applyFont="1" applyFill="1" applyBorder="1" applyAlignment="1">
      <alignment horizontal="center" vertical="center"/>
    </xf>
    <xf numFmtId="1" fontId="24" fillId="8" borderId="9" xfId="11" applyNumberFormat="1" applyFont="1" applyFill="1" applyBorder="1" applyAlignment="1">
      <alignment horizontal="center"/>
    </xf>
    <xf numFmtId="1" fontId="24" fillId="7" borderId="9" xfId="11" applyNumberFormat="1" applyFont="1" applyFill="1" applyBorder="1" applyAlignment="1">
      <alignment horizontal="center"/>
    </xf>
    <xf numFmtId="173" fontId="39" fillId="0" borderId="0" xfId="2" applyNumberFormat="1" applyFont="1"/>
    <xf numFmtId="173" fontId="39" fillId="0" borderId="0" xfId="2" applyNumberFormat="1" applyFont="1" applyFill="1" applyBorder="1"/>
    <xf numFmtId="168" fontId="24" fillId="0" borderId="9" xfId="5" applyNumberFormat="1" applyFont="1" applyBorder="1" applyAlignment="1">
      <alignment horizontal="left"/>
    </xf>
    <xf numFmtId="169" fontId="24" fillId="0" borderId="9" xfId="5" applyNumberFormat="1" applyFont="1" applyFill="1" applyBorder="1" applyAlignment="1">
      <alignment horizontal="center"/>
    </xf>
    <xf numFmtId="165" fontId="24" fillId="7" borderId="9" xfId="5" applyNumberFormat="1" applyFont="1" applyFill="1" applyBorder="1" applyAlignment="1">
      <alignment horizontal="center" vertical="center"/>
    </xf>
    <xf numFmtId="3" fontId="24" fillId="0" borderId="9" xfId="1" applyNumberFormat="1" applyFont="1" applyFill="1" applyBorder="1" applyAlignment="1">
      <alignment horizontal="center" vertical="center"/>
    </xf>
    <xf numFmtId="178" fontId="24" fillId="7" borderId="9" xfId="5" applyNumberFormat="1" applyFont="1" applyFill="1" applyBorder="1" applyAlignment="1">
      <alignment horizontal="center" vertical="center"/>
    </xf>
    <xf numFmtId="1" fontId="24" fillId="0" borderId="9" xfId="6" applyNumberFormat="1" applyFont="1" applyFill="1" applyBorder="1" applyAlignment="1">
      <alignment horizontal="center" vertical="center" wrapText="1"/>
    </xf>
    <xf numFmtId="7" fontId="24" fillId="0" borderId="0" xfId="5" applyNumberFormat="1" applyFont="1"/>
    <xf numFmtId="9" fontId="24" fillId="7" borderId="9" xfId="3" applyFont="1" applyFill="1" applyBorder="1" applyAlignment="1">
      <alignment horizontal="center" vertical="center"/>
    </xf>
    <xf numFmtId="0" fontId="39" fillId="14" borderId="3" xfId="5" applyFont="1" applyFill="1" applyBorder="1"/>
    <xf numFmtId="0" fontId="39" fillId="14" borderId="5" xfId="5" applyFont="1" applyFill="1" applyBorder="1"/>
    <xf numFmtId="0" fontId="39" fillId="0" borderId="8" xfId="5" applyFont="1" applyBorder="1"/>
    <xf numFmtId="0" fontId="39" fillId="0" borderId="10" xfId="5" applyFont="1" applyBorder="1"/>
    <xf numFmtId="0" fontId="39" fillId="0" borderId="8" xfId="5" applyFont="1" applyBorder="1" applyAlignment="1">
      <alignment horizontal="right"/>
    </xf>
    <xf numFmtId="0" fontId="39" fillId="0" borderId="13" xfId="5" applyFont="1" applyBorder="1" applyAlignment="1">
      <alignment horizontal="right"/>
    </xf>
    <xf numFmtId="0" fontId="39" fillId="0" borderId="15" xfId="5" applyFont="1" applyBorder="1"/>
    <xf numFmtId="172" fontId="24" fillId="0" borderId="9" xfId="3" applyNumberFormat="1" applyFont="1" applyFill="1" applyBorder="1" applyAlignment="1">
      <alignment horizontal="center" vertical="center"/>
    </xf>
    <xf numFmtId="0" fontId="39" fillId="0" borderId="0" xfId="5" applyFont="1" applyAlignment="1"/>
    <xf numFmtId="0" fontId="39" fillId="0" borderId="0" xfId="6" applyFont="1" applyFill="1" applyBorder="1" applyAlignment="1"/>
    <xf numFmtId="0" fontId="39" fillId="0" borderId="0" xfId="5" applyFont="1" applyAlignment="1">
      <alignment horizontal="center" vertical="center"/>
    </xf>
    <xf numFmtId="174" fontId="24" fillId="7" borderId="9" xfId="9" applyNumberFormat="1" applyFont="1" applyFill="1" applyBorder="1" applyAlignment="1">
      <alignment horizontal="center"/>
    </xf>
    <xf numFmtId="175" fontId="24" fillId="0" borderId="9" xfId="9" applyNumberFormat="1" applyFont="1" applyFill="1" applyBorder="1" applyAlignment="1">
      <alignment horizontal="left" vertical="center"/>
    </xf>
    <xf numFmtId="168" fontId="24" fillId="7" borderId="9" xfId="5" applyNumberFormat="1" applyFont="1" applyFill="1" applyBorder="1" applyAlignment="1">
      <alignment horizontal="center" vertical="center"/>
    </xf>
    <xf numFmtId="2" fontId="24" fillId="0" borderId="9" xfId="11" applyNumberFormat="1" applyFont="1" applyFill="1" applyBorder="1" applyAlignment="1">
      <alignment horizontal="center" vertical="center"/>
    </xf>
    <xf numFmtId="44" fontId="39" fillId="0" borderId="0" xfId="2" applyNumberFormat="1" applyFont="1"/>
    <xf numFmtId="179" fontId="24" fillId="7" borderId="9" xfId="1" applyNumberFormat="1" applyFont="1" applyFill="1" applyBorder="1" applyAlignment="1">
      <alignment horizontal="center" vertical="center"/>
    </xf>
    <xf numFmtId="179" fontId="24" fillId="0" borderId="9" xfId="1" applyNumberFormat="1" applyFont="1" applyFill="1" applyBorder="1" applyAlignment="1">
      <alignment horizontal="center" vertical="center"/>
    </xf>
    <xf numFmtId="3" fontId="24" fillId="7" borderId="9" xfId="1" applyNumberFormat="1" applyFont="1" applyFill="1" applyBorder="1" applyAlignment="1">
      <alignment horizontal="center" vertical="center"/>
    </xf>
    <xf numFmtId="4" fontId="24" fillId="0" borderId="9" xfId="1" applyNumberFormat="1" applyFont="1" applyFill="1" applyBorder="1" applyAlignment="1">
      <alignment horizontal="center" vertical="center"/>
    </xf>
    <xf numFmtId="181" fontId="24" fillId="0" borderId="9" xfId="1" applyNumberFormat="1" applyFont="1" applyFill="1" applyBorder="1" applyAlignment="1">
      <alignment horizontal="center" vertical="center"/>
    </xf>
    <xf numFmtId="180" fontId="24" fillId="0" borderId="9" xfId="3" applyNumberFormat="1" applyFont="1" applyFill="1" applyBorder="1" applyAlignment="1">
      <alignment horizontal="center" vertical="center"/>
    </xf>
    <xf numFmtId="165" fontId="24" fillId="0" borderId="19" xfId="6" applyNumberFormat="1" applyFont="1" applyFill="1" applyBorder="1" applyAlignment="1">
      <alignment horizontal="center"/>
    </xf>
    <xf numFmtId="165" fontId="24" fillId="0" borderId="9" xfId="11" applyNumberFormat="1" applyFont="1" applyFill="1" applyBorder="1" applyAlignment="1">
      <alignment horizontal="center" vertical="center"/>
    </xf>
    <xf numFmtId="165" fontId="24" fillId="0" borderId="9" xfId="3" applyNumberFormat="1" applyFont="1" applyFill="1" applyBorder="1" applyAlignment="1">
      <alignment horizontal="center" vertical="center"/>
    </xf>
    <xf numFmtId="9" fontId="24" fillId="8" borderId="9" xfId="3" applyFont="1" applyFill="1" applyBorder="1" applyAlignment="1">
      <alignment horizontal="center"/>
    </xf>
    <xf numFmtId="168" fontId="24" fillId="4" borderId="0" xfId="5" applyNumberFormat="1" applyFont="1" applyFill="1" applyBorder="1" applyAlignment="1">
      <alignment horizontal="center" vertical="center"/>
    </xf>
    <xf numFmtId="165" fontId="24" fillId="4" borderId="0" xfId="11" applyNumberFormat="1" applyFont="1" applyFill="1" applyBorder="1" applyAlignment="1">
      <alignment horizontal="center" vertical="center"/>
    </xf>
    <xf numFmtId="9" fontId="24" fillId="4" borderId="0" xfId="3" applyFont="1" applyFill="1" applyBorder="1" applyAlignment="1">
      <alignment horizontal="center" vertical="center"/>
    </xf>
    <xf numFmtId="165" fontId="24" fillId="4" borderId="0" xfId="3" applyNumberFormat="1" applyFont="1" applyFill="1" applyBorder="1" applyAlignment="1">
      <alignment horizontal="center" vertical="center"/>
    </xf>
    <xf numFmtId="9" fontId="24" fillId="4" borderId="0" xfId="3" applyFont="1" applyFill="1" applyBorder="1" applyAlignment="1">
      <alignment horizontal="center"/>
    </xf>
    <xf numFmtId="175" fontId="24" fillId="4" borderId="0" xfId="9" applyNumberFormat="1" applyFont="1" applyFill="1" applyBorder="1" applyAlignment="1">
      <alignment horizontal="center"/>
    </xf>
    <xf numFmtId="1" fontId="24" fillId="4" borderId="0" xfId="11" applyNumberFormat="1" applyFont="1" applyFill="1" applyBorder="1" applyAlignment="1">
      <alignment horizontal="center" vertical="center"/>
    </xf>
    <xf numFmtId="175" fontId="24" fillId="4" borderId="0" xfId="9" applyNumberFormat="1" applyFont="1" applyFill="1" applyBorder="1" applyAlignment="1">
      <alignment horizontal="center" vertical="center"/>
    </xf>
    <xf numFmtId="175" fontId="24" fillId="8" borderId="9" xfId="9" applyNumberFormat="1" applyFont="1" applyFill="1" applyBorder="1" applyAlignment="1">
      <alignment horizontal="center" vertical="center"/>
    </xf>
    <xf numFmtId="1" fontId="24" fillId="0" borderId="9" xfId="3" applyNumberFormat="1" applyFont="1" applyFill="1" applyBorder="1" applyAlignment="1">
      <alignment horizontal="center" vertical="center"/>
    </xf>
    <xf numFmtId="9" fontId="24" fillId="0" borderId="9" xfId="3" applyNumberFormat="1" applyFont="1" applyFill="1" applyBorder="1" applyAlignment="1">
      <alignment horizontal="center"/>
    </xf>
    <xf numFmtId="9" fontId="24" fillId="7" borderId="9" xfId="3" applyNumberFormat="1" applyFont="1" applyFill="1" applyBorder="1" applyAlignment="1">
      <alignment horizontal="center"/>
    </xf>
    <xf numFmtId="2" fontId="24" fillId="7" borderId="9" xfId="3" applyNumberFormat="1" applyFont="1" applyFill="1" applyBorder="1" applyAlignment="1">
      <alignment horizontal="center" vertical="center"/>
    </xf>
    <xf numFmtId="10" fontId="24" fillId="0" borderId="9" xfId="5" applyNumberFormat="1" applyFont="1" applyFill="1" applyBorder="1" applyAlignment="1">
      <alignment horizontal="center" vertical="center"/>
    </xf>
    <xf numFmtId="2" fontId="24" fillId="8" borderId="9" xfId="3" applyNumberFormat="1" applyFont="1" applyFill="1" applyBorder="1" applyAlignment="1">
      <alignment horizontal="center" vertical="center"/>
    </xf>
    <xf numFmtId="9" fontId="24" fillId="7" borderId="9" xfId="3" applyNumberFormat="1" applyFont="1" applyFill="1" applyBorder="1" applyAlignment="1">
      <alignment horizontal="center" vertical="center"/>
    </xf>
    <xf numFmtId="0" fontId="44" fillId="4" borderId="0" xfId="5" applyFont="1" applyFill="1"/>
    <xf numFmtId="180" fontId="24" fillId="0" borderId="9" xfId="11" applyNumberFormat="1" applyFont="1" applyFill="1" applyBorder="1" applyAlignment="1">
      <alignment horizontal="center" vertical="center"/>
    </xf>
    <xf numFmtId="178" fontId="24" fillId="0" borderId="16" xfId="5" applyNumberFormat="1" applyFont="1" applyFill="1" applyBorder="1" applyAlignment="1">
      <alignment horizontal="center"/>
    </xf>
    <xf numFmtId="180" fontId="24" fillId="0" borderId="16" xfId="5" applyNumberFormat="1" applyFont="1" applyFill="1" applyBorder="1" applyAlignment="1">
      <alignment horizontal="center"/>
    </xf>
    <xf numFmtId="165" fontId="24" fillId="7" borderId="9" xfId="3" applyNumberFormat="1" applyFont="1" applyFill="1" applyBorder="1" applyAlignment="1">
      <alignment horizontal="center" vertical="center"/>
    </xf>
    <xf numFmtId="165" fontId="24" fillId="7" borderId="9" xfId="3" applyNumberFormat="1" applyFont="1" applyFill="1" applyBorder="1" applyAlignment="1">
      <alignment horizontal="center"/>
    </xf>
    <xf numFmtId="0" fontId="24" fillId="0" borderId="0" xfId="5" applyFont="1" applyFill="1"/>
    <xf numFmtId="178" fontId="24" fillId="8" borderId="9" xfId="11" applyNumberFormat="1" applyFont="1" applyFill="1" applyBorder="1" applyAlignment="1">
      <alignment horizontal="center" vertical="center"/>
    </xf>
    <xf numFmtId="183" fontId="24" fillId="0" borderId="9" xfId="1" applyNumberFormat="1" applyFont="1" applyBorder="1" applyAlignment="1">
      <alignment horizontal="center"/>
    </xf>
    <xf numFmtId="2" fontId="24" fillId="0" borderId="0" xfId="0" applyNumberFormat="1" applyFont="1"/>
    <xf numFmtId="0" fontId="24" fillId="0" borderId="32" xfId="0" applyFont="1" applyBorder="1" applyAlignment="1">
      <alignment wrapText="1"/>
    </xf>
    <xf numFmtId="181" fontId="24" fillId="0" borderId="0" xfId="6" applyNumberFormat="1" applyFont="1" applyFill="1"/>
    <xf numFmtId="9" fontId="24" fillId="0" borderId="0" xfId="3" applyFont="1" applyFill="1"/>
    <xf numFmtId="4" fontId="24" fillId="0" borderId="0" xfId="6" applyNumberFormat="1" applyFont="1"/>
    <xf numFmtId="2" fontId="39" fillId="0" borderId="0" xfId="6" applyNumberFormat="1" applyFont="1"/>
    <xf numFmtId="0" fontId="39" fillId="0" borderId="0" xfId="6" applyFont="1" applyFill="1"/>
    <xf numFmtId="0" fontId="24" fillId="4" borderId="9" xfId="13" applyFont="1" applyFill="1" applyBorder="1" applyAlignment="1">
      <alignment horizontal="left" wrapText="1"/>
    </xf>
    <xf numFmtId="165" fontId="24" fillId="4" borderId="23" xfId="13" applyNumberFormat="1" applyFont="1" applyFill="1" applyBorder="1" applyAlignment="1">
      <alignment vertical="center" wrapText="1"/>
    </xf>
    <xf numFmtId="0" fontId="29" fillId="0" borderId="39" xfId="8" applyFont="1" applyFill="1" applyBorder="1"/>
    <xf numFmtId="0" fontId="29" fillId="4" borderId="40" xfId="8" applyFont="1" applyFill="1" applyBorder="1"/>
    <xf numFmtId="0" fontId="39" fillId="0" borderId="9" xfId="6" applyFont="1" applyBorder="1" applyAlignment="1">
      <alignment horizontal="center"/>
    </xf>
    <xf numFmtId="0" fontId="24" fillId="0" borderId="0" xfId="13" applyFont="1" applyFill="1" applyAlignment="1">
      <alignment wrapText="1"/>
    </xf>
    <xf numFmtId="0" fontId="29" fillId="0" borderId="39" xfId="8" applyFont="1" applyFill="1" applyBorder="1" applyAlignment="1">
      <alignment wrapText="1"/>
    </xf>
    <xf numFmtId="180" fontId="24" fillId="0" borderId="0" xfId="6" applyNumberFormat="1" applyFont="1" applyFill="1"/>
    <xf numFmtId="39" fontId="29" fillId="4" borderId="9" xfId="1" applyNumberFormat="1" applyFont="1" applyFill="1" applyBorder="1" applyAlignment="1">
      <alignment horizontal="center"/>
    </xf>
    <xf numFmtId="0" fontId="24" fillId="0" borderId="0" xfId="13" applyFont="1" applyFill="1" applyBorder="1"/>
    <xf numFmtId="165" fontId="24" fillId="0" borderId="0" xfId="6" applyNumberFormat="1" applyFont="1" applyFill="1" applyBorder="1" applyAlignment="1">
      <alignment horizontal="center" vertical="center" wrapText="1"/>
    </xf>
    <xf numFmtId="0" fontId="24" fillId="0" borderId="0" xfId="6" applyFont="1" applyFill="1" applyBorder="1"/>
    <xf numFmtId="9" fontId="24" fillId="0" borderId="0" xfId="3" applyFont="1" applyFill="1" applyBorder="1" applyAlignment="1">
      <alignment horizontal="center" vertical="center" wrapText="1"/>
    </xf>
    <xf numFmtId="9" fontId="24" fillId="0" borderId="0" xfId="3" applyFont="1" applyFill="1" applyBorder="1" applyAlignment="1">
      <alignment horizontal="left"/>
    </xf>
    <xf numFmtId="0" fontId="24" fillId="0" borderId="0" xfId="6" applyFont="1" applyFill="1" applyBorder="1" applyAlignment="1">
      <alignment horizontal="center"/>
    </xf>
    <xf numFmtId="0" fontId="39" fillId="0" borderId="0" xfId="6" applyFont="1" applyAlignment="1"/>
    <xf numFmtId="180" fontId="24" fillId="0" borderId="0" xfId="6" applyNumberFormat="1" applyFont="1" applyFill="1" applyBorder="1"/>
    <xf numFmtId="181" fontId="24" fillId="0" borderId="0" xfId="6" applyNumberFormat="1" applyFont="1" applyFill="1" applyBorder="1"/>
    <xf numFmtId="0" fontId="24" fillId="0" borderId="0" xfId="6" applyFont="1" applyFill="1" applyBorder="1" applyAlignment="1">
      <alignment vertical="center"/>
    </xf>
    <xf numFmtId="0" fontId="53" fillId="0" borderId="0" xfId="0" applyFont="1" applyFill="1" applyBorder="1" applyAlignment="1">
      <alignment horizontal="center" vertical="center" wrapText="1"/>
    </xf>
    <xf numFmtId="3" fontId="53" fillId="0" borderId="0" xfId="0" applyNumberFormat="1" applyFont="1" applyFill="1" applyBorder="1" applyAlignment="1">
      <alignment horizontal="center" vertical="center" wrapText="1"/>
    </xf>
    <xf numFmtId="0" fontId="39" fillId="0" borderId="0" xfId="6" applyFont="1" applyAlignment="1">
      <alignment wrapText="1"/>
    </xf>
    <xf numFmtId="3" fontId="24" fillId="0" borderId="0" xfId="0" applyNumberFormat="1" applyFont="1" applyFill="1" applyBorder="1" applyAlignment="1">
      <alignment horizontal="left" vertical="center"/>
    </xf>
    <xf numFmtId="0" fontId="39" fillId="0" borderId="0" xfId="5" applyFont="1" applyFill="1" applyAlignment="1">
      <alignment wrapText="1"/>
    </xf>
    <xf numFmtId="0" fontId="29" fillId="0" borderId="41" xfId="8" applyFont="1" applyBorder="1"/>
    <xf numFmtId="2" fontId="24" fillId="0" borderId="9" xfId="8" applyNumberFormat="1" applyFont="1" applyBorder="1" applyAlignment="1">
      <alignment horizontal="center"/>
    </xf>
    <xf numFmtId="39" fontId="24" fillId="0" borderId="18" xfId="1" applyNumberFormat="1" applyFont="1" applyBorder="1" applyAlignment="1">
      <alignment horizontal="center"/>
    </xf>
    <xf numFmtId="39" fontId="24" fillId="0" borderId="0" xfId="1" applyNumberFormat="1" applyFont="1" applyBorder="1" applyAlignment="1">
      <alignment horizontal="center"/>
    </xf>
    <xf numFmtId="0" fontId="24" fillId="4" borderId="0" xfId="8" applyFont="1" applyFill="1" applyBorder="1" applyAlignment="1">
      <alignment horizontal="center"/>
    </xf>
    <xf numFmtId="182" fontId="24" fillId="4" borderId="0" xfId="1" applyNumberFormat="1" applyFont="1" applyFill="1" applyBorder="1" applyAlignment="1">
      <alignment horizontal="center"/>
    </xf>
    <xf numFmtId="2" fontId="24" fillId="0" borderId="0" xfId="8" applyNumberFormat="1" applyFont="1" applyBorder="1" applyAlignment="1">
      <alignment horizontal="center"/>
    </xf>
    <xf numFmtId="2" fontId="24" fillId="0" borderId="0" xfId="8" applyNumberFormat="1" applyFont="1" applyBorder="1"/>
    <xf numFmtId="2" fontId="24" fillId="0" borderId="0" xfId="2" applyNumberFormat="1" applyFont="1" applyBorder="1"/>
    <xf numFmtId="1" fontId="24" fillId="4" borderId="0" xfId="8" applyNumberFormat="1" applyFont="1" applyFill="1" applyBorder="1"/>
    <xf numFmtId="44" fontId="24" fillId="4" borderId="0" xfId="2" applyFont="1" applyFill="1" applyBorder="1" applyAlignment="1">
      <alignment wrapText="1"/>
    </xf>
    <xf numFmtId="39" fontId="24" fillId="0" borderId="0" xfId="1" applyNumberFormat="1" applyFont="1" applyAlignment="1">
      <alignment horizontal="center"/>
    </xf>
    <xf numFmtId="0" fontId="24" fillId="0" borderId="9" xfId="0" applyFont="1" applyFill="1" applyBorder="1" applyAlignment="1">
      <alignment horizontal="center"/>
    </xf>
    <xf numFmtId="0" fontId="52" fillId="0" borderId="0" xfId="0" applyFont="1" applyAlignment="1"/>
    <xf numFmtId="0" fontId="24" fillId="0" borderId="0" xfId="0" applyFont="1" applyBorder="1" applyAlignment="1">
      <alignment vertical="center"/>
    </xf>
    <xf numFmtId="0" fontId="24" fillId="0" borderId="0" xfId="0" applyFont="1" applyBorder="1" applyAlignment="1">
      <alignment horizontal="left" vertical="center"/>
    </xf>
    <xf numFmtId="0" fontId="39" fillId="0" borderId="9" xfId="0" applyFont="1" applyFill="1" applyBorder="1" applyAlignment="1">
      <alignment horizontal="left" vertical="center" wrapText="1"/>
    </xf>
    <xf numFmtId="9" fontId="24" fillId="0" borderId="0" xfId="3" applyFont="1" applyFill="1" applyBorder="1" applyAlignment="1">
      <alignment horizontal="center"/>
    </xf>
    <xf numFmtId="9" fontId="24" fillId="0" borderId="0" xfId="3" applyFont="1" applyBorder="1" applyAlignment="1">
      <alignment horizontal="center"/>
    </xf>
    <xf numFmtId="165" fontId="39" fillId="0" borderId="0" xfId="0" applyNumberFormat="1" applyFont="1" applyBorder="1" applyAlignment="1">
      <alignment horizontal="center" vertical="center" wrapText="1"/>
    </xf>
    <xf numFmtId="0" fontId="39" fillId="0" borderId="0" xfId="0" applyFont="1" applyBorder="1" applyAlignment="1">
      <alignment horizontal="center" vertical="center" wrapText="1"/>
    </xf>
    <xf numFmtId="166" fontId="39" fillId="0" borderId="0" xfId="0" applyNumberFormat="1" applyFont="1" applyBorder="1" applyAlignment="1">
      <alignment horizontal="center" vertical="center" wrapText="1"/>
    </xf>
    <xf numFmtId="180" fontId="39" fillId="0" borderId="0" xfId="0" applyNumberFormat="1" applyFont="1" applyBorder="1" applyAlignment="1">
      <alignment horizontal="center" vertical="center" wrapText="1"/>
    </xf>
    <xf numFmtId="0" fontId="24" fillId="0" borderId="0" xfId="0" applyFont="1" applyAlignment="1">
      <alignment horizontal="center" wrapText="1"/>
    </xf>
    <xf numFmtId="0" fontId="39" fillId="4" borderId="0" xfId="0" applyFont="1" applyFill="1" applyBorder="1" applyAlignment="1">
      <alignment horizontal="center" vertical="center"/>
    </xf>
    <xf numFmtId="165" fontId="24" fillId="4" borderId="0" xfId="0" applyNumberFormat="1" applyFont="1" applyFill="1" applyBorder="1" applyAlignment="1">
      <alignment horizontal="center" vertical="center"/>
    </xf>
    <xf numFmtId="178" fontId="24" fillId="4" borderId="0" xfId="0" applyNumberFormat="1" applyFont="1" applyFill="1" applyBorder="1" applyAlignment="1">
      <alignment horizontal="center" vertical="center"/>
    </xf>
    <xf numFmtId="181" fontId="24" fillId="4" borderId="0" xfId="0" applyNumberFormat="1" applyFont="1" applyFill="1" applyBorder="1" applyAlignment="1">
      <alignment horizontal="center" vertical="center" wrapText="1"/>
    </xf>
    <xf numFmtId="4" fontId="24" fillId="4" borderId="0" xfId="0" applyNumberFormat="1" applyFont="1" applyFill="1" applyBorder="1" applyAlignment="1">
      <alignment horizontal="center" vertical="center" wrapText="1"/>
    </xf>
    <xf numFmtId="190" fontId="24" fillId="4" borderId="0" xfId="0" applyNumberFormat="1" applyFont="1" applyFill="1" applyBorder="1" applyAlignment="1">
      <alignment horizontal="center" vertical="center" wrapText="1"/>
    </xf>
    <xf numFmtId="10" fontId="24" fillId="4" borderId="0" xfId="0" applyNumberFormat="1" applyFont="1" applyFill="1" applyBorder="1" applyAlignment="1">
      <alignment horizontal="center" vertical="center" wrapText="1"/>
    </xf>
    <xf numFmtId="188" fontId="24" fillId="0" borderId="9" xfId="0" applyNumberFormat="1" applyFont="1" applyFill="1" applyBorder="1" applyAlignment="1">
      <alignment horizontal="center" vertical="center" wrapText="1"/>
    </xf>
    <xf numFmtId="2" fontId="24" fillId="0" borderId="9" xfId="0" applyNumberFormat="1" applyFont="1" applyBorder="1" applyAlignment="1">
      <alignment horizontal="center" vertical="center" wrapText="1"/>
    </xf>
    <xf numFmtId="0" fontId="52" fillId="0" borderId="0" xfId="0" applyFont="1"/>
    <xf numFmtId="0" fontId="52" fillId="0" borderId="0" xfId="0" applyFont="1" applyFill="1"/>
    <xf numFmtId="0" fontId="24" fillId="0" borderId="9" xfId="0" applyFont="1" applyFill="1" applyBorder="1" applyAlignment="1">
      <alignment horizontal="center" wrapText="1"/>
    </xf>
    <xf numFmtId="0" fontId="44" fillId="0" borderId="0" xfId="0" applyFont="1" applyFill="1"/>
    <xf numFmtId="0" fontId="24" fillId="0" borderId="22" xfId="0" applyFont="1" applyFill="1" applyBorder="1" applyAlignment="1">
      <alignment wrapText="1"/>
    </xf>
    <xf numFmtId="0" fontId="83" fillId="0" borderId="0" xfId="0" applyFont="1" applyFill="1"/>
    <xf numFmtId="43" fontId="24" fillId="0" borderId="0" xfId="1" applyFont="1"/>
    <xf numFmtId="39" fontId="29" fillId="4" borderId="0" xfId="1" applyNumberFormat="1" applyFont="1" applyFill="1" applyAlignment="1">
      <alignment horizontal="center"/>
    </xf>
    <xf numFmtId="0" fontId="29" fillId="4" borderId="0" xfId="8" applyFont="1" applyFill="1" applyAlignment="1">
      <alignment horizontal="center"/>
    </xf>
    <xf numFmtId="0" fontId="84" fillId="4" borderId="0" xfId="0" applyFont="1" applyFill="1"/>
    <xf numFmtId="0" fontId="85" fillId="4" borderId="0" xfId="0" applyFont="1" applyFill="1"/>
    <xf numFmtId="0" fontId="86" fillId="4" borderId="0" xfId="0" applyFont="1" applyFill="1"/>
    <xf numFmtId="0" fontId="24" fillId="4" borderId="3" xfId="8" applyFont="1" applyFill="1" applyBorder="1" applyAlignment="1">
      <alignment horizontal="left" vertical="center" wrapText="1"/>
    </xf>
    <xf numFmtId="165" fontId="24" fillId="4" borderId="48" xfId="3" applyNumberFormat="1" applyFont="1" applyFill="1" applyBorder="1" applyAlignment="1">
      <alignment horizontal="center"/>
    </xf>
    <xf numFmtId="0" fontId="24" fillId="4" borderId="14" xfId="8" applyFont="1" applyFill="1" applyBorder="1" applyAlignment="1"/>
    <xf numFmtId="1" fontId="24" fillId="4" borderId="23" xfId="3" applyNumberFormat="1" applyFont="1" applyFill="1" applyBorder="1" applyAlignment="1">
      <alignment horizontal="center"/>
    </xf>
    <xf numFmtId="2" fontId="24" fillId="4" borderId="19" xfId="3" applyNumberFormat="1" applyFont="1" applyFill="1" applyBorder="1" applyAlignment="1">
      <alignment horizontal="center"/>
    </xf>
    <xf numFmtId="2" fontId="24" fillId="4" borderId="23" xfId="3" applyNumberFormat="1" applyFont="1" applyFill="1" applyBorder="1" applyAlignment="1">
      <alignment horizontal="center"/>
    </xf>
    <xf numFmtId="0" fontId="24" fillId="4" borderId="19" xfId="8" applyFont="1" applyFill="1" applyBorder="1" applyAlignment="1"/>
    <xf numFmtId="0" fontId="29" fillId="0" borderId="41" xfId="8" applyFont="1" applyFill="1" applyBorder="1" applyAlignment="1">
      <alignment horizontal="center"/>
    </xf>
    <xf numFmtId="0" fontId="87" fillId="0" borderId="0" xfId="8" applyFont="1" applyFill="1" applyAlignment="1">
      <alignment horizontal="center"/>
    </xf>
    <xf numFmtId="0" fontId="24" fillId="4" borderId="13" xfId="8" applyFont="1" applyFill="1" applyBorder="1" applyAlignment="1">
      <alignment horizontal="left" vertical="center" wrapText="1"/>
    </xf>
    <xf numFmtId="165" fontId="24" fillId="4" borderId="14" xfId="3" applyNumberFormat="1" applyFont="1" applyFill="1" applyBorder="1" applyAlignment="1">
      <alignment horizontal="center"/>
    </xf>
    <xf numFmtId="9" fontId="24" fillId="0" borderId="4" xfId="3" applyFont="1" applyBorder="1" applyAlignment="1">
      <alignment horizontal="center"/>
    </xf>
    <xf numFmtId="9" fontId="24" fillId="0" borderId="23" xfId="3" applyFont="1" applyBorder="1" applyAlignment="1">
      <alignment horizontal="center"/>
    </xf>
    <xf numFmtId="9" fontId="24" fillId="0" borderId="19" xfId="3" applyFont="1" applyBorder="1" applyAlignment="1">
      <alignment horizontal="center"/>
    </xf>
    <xf numFmtId="9" fontId="24" fillId="0" borderId="14" xfId="3" applyFont="1" applyBorder="1" applyAlignment="1">
      <alignment horizontal="center"/>
    </xf>
    <xf numFmtId="170" fontId="24" fillId="0" borderId="4" xfId="1" applyNumberFormat="1" applyFont="1" applyBorder="1" applyAlignment="1">
      <alignment horizontal="center"/>
    </xf>
    <xf numFmtId="170" fontId="24" fillId="0" borderId="23" xfId="1" applyNumberFormat="1" applyFont="1" applyBorder="1" applyAlignment="1">
      <alignment horizontal="center"/>
    </xf>
    <xf numFmtId="0" fontId="24" fillId="15" borderId="16" xfId="0" applyFont="1" applyFill="1" applyBorder="1"/>
    <xf numFmtId="170" fontId="24" fillId="0" borderId="19" xfId="1" applyNumberFormat="1" applyFont="1" applyBorder="1" applyAlignment="1">
      <alignment horizontal="center"/>
    </xf>
    <xf numFmtId="170" fontId="24" fillId="0" borderId="14" xfId="1" applyNumberFormat="1" applyFont="1" applyBorder="1" applyAlignment="1">
      <alignment horizontal="center"/>
    </xf>
    <xf numFmtId="171" fontId="24" fillId="0" borderId="4" xfId="3" applyNumberFormat="1" applyFont="1" applyBorder="1" applyAlignment="1">
      <alignment horizontal="center"/>
    </xf>
    <xf numFmtId="0" fontId="88" fillId="0" borderId="0" xfId="17" applyFont="1"/>
    <xf numFmtId="171" fontId="24" fillId="0" borderId="23" xfId="3" applyNumberFormat="1" applyFont="1" applyBorder="1" applyAlignment="1">
      <alignment horizontal="center"/>
    </xf>
    <xf numFmtId="44" fontId="88" fillId="0" borderId="0" xfId="17" applyNumberFormat="1" applyFont="1" applyFill="1"/>
    <xf numFmtId="8" fontId="29" fillId="0" borderId="0" xfId="8" applyNumberFormat="1" applyFont="1"/>
    <xf numFmtId="171" fontId="24" fillId="0" borderId="19" xfId="3" applyNumberFormat="1" applyFont="1" applyBorder="1" applyAlignment="1">
      <alignment horizontal="center"/>
    </xf>
    <xf numFmtId="171" fontId="24" fillId="0" borderId="14" xfId="3" applyNumberFormat="1" applyFont="1" applyBorder="1" applyAlignment="1">
      <alignment horizontal="center"/>
    </xf>
    <xf numFmtId="193" fontId="24" fillId="0" borderId="9" xfId="0" applyNumberFormat="1" applyFont="1" applyBorder="1" applyAlignment="1">
      <alignment horizontal="center"/>
    </xf>
    <xf numFmtId="168" fontId="24" fillId="0" borderId="9" xfId="0" applyNumberFormat="1" applyFont="1" applyFill="1" applyBorder="1" applyAlignment="1">
      <alignment horizontal="center"/>
    </xf>
    <xf numFmtId="7" fontId="24" fillId="0" borderId="0" xfId="0" applyNumberFormat="1" applyFont="1"/>
    <xf numFmtId="170" fontId="24" fillId="0" borderId="0" xfId="0" applyNumberFormat="1" applyFont="1"/>
    <xf numFmtId="0" fontId="24" fillId="0" borderId="0" xfId="0" applyFont="1" applyFill="1" applyBorder="1" applyAlignment="1">
      <alignment horizontal="center"/>
    </xf>
    <xf numFmtId="168" fontId="52" fillId="0" borderId="0" xfId="0" applyNumberFormat="1" applyFont="1" applyBorder="1" applyAlignment="1">
      <alignment horizontal="left" vertical="top"/>
    </xf>
    <xf numFmtId="168" fontId="52" fillId="0" borderId="0" xfId="0" applyNumberFormat="1" applyFont="1" applyBorder="1" applyAlignment="1">
      <alignment horizontal="left"/>
    </xf>
    <xf numFmtId="37" fontId="24" fillId="0" borderId="0" xfId="1" quotePrefix="1" applyNumberFormat="1" applyFont="1" applyFill="1" applyBorder="1" applyAlignment="1">
      <alignment horizontal="center" vertical="center" wrapText="1"/>
    </xf>
    <xf numFmtId="168" fontId="24" fillId="0" borderId="0" xfId="0" applyNumberFormat="1" applyFont="1" applyBorder="1" applyAlignment="1">
      <alignment horizontal="left"/>
    </xf>
    <xf numFmtId="194" fontId="24" fillId="0" borderId="0" xfId="0" applyNumberFormat="1" applyFont="1" applyBorder="1" applyAlignment="1">
      <alignment horizontal="center"/>
    </xf>
    <xf numFmtId="43" fontId="24" fillId="0" borderId="0" xfId="0" applyNumberFormat="1" applyFont="1" applyBorder="1" applyAlignment="1">
      <alignment horizontal="center"/>
    </xf>
    <xf numFmtId="195" fontId="24" fillId="0" borderId="0" xfId="0" applyNumberFormat="1" applyFont="1" applyBorder="1" applyAlignment="1">
      <alignment horizontal="center"/>
    </xf>
    <xf numFmtId="184" fontId="24" fillId="0" borderId="0" xfId="0" applyNumberFormat="1" applyFont="1" applyBorder="1" applyAlignment="1">
      <alignment horizontal="center"/>
    </xf>
    <xf numFmtId="196" fontId="24" fillId="0" borderId="0" xfId="0" applyNumberFormat="1" applyFont="1"/>
    <xf numFmtId="0" fontId="24" fillId="4" borderId="0" xfId="0" applyFont="1" applyFill="1" applyAlignment="1">
      <alignment horizontal="center"/>
    </xf>
    <xf numFmtId="9" fontId="24" fillId="0" borderId="0" xfId="3" applyFont="1" applyAlignment="1">
      <alignment horizontal="left"/>
    </xf>
    <xf numFmtId="0" fontId="24" fillId="4" borderId="0" xfId="0" applyFont="1" applyFill="1" applyBorder="1" applyAlignment="1">
      <alignment horizontal="left" vertical="top" wrapText="1"/>
    </xf>
    <xf numFmtId="0" fontId="24" fillId="0" borderId="16" xfId="0" applyFont="1" applyBorder="1"/>
    <xf numFmtId="2" fontId="24" fillId="0" borderId="0" xfId="0" applyNumberFormat="1" applyFont="1" applyBorder="1" applyAlignment="1">
      <alignment wrapText="1"/>
    </xf>
    <xf numFmtId="2" fontId="24" fillId="0" borderId="0" xfId="0" applyNumberFormat="1" applyFont="1" applyFill="1" applyBorder="1" applyAlignment="1">
      <alignment wrapText="1"/>
    </xf>
    <xf numFmtId="0" fontId="24" fillId="17" borderId="17" xfId="0" applyFont="1" applyFill="1" applyBorder="1" applyAlignment="1"/>
    <xf numFmtId="0" fontId="24" fillId="17" borderId="18" xfId="0" applyFont="1" applyFill="1" applyBorder="1" applyAlignment="1"/>
    <xf numFmtId="168" fontId="24" fillId="0" borderId="9" xfId="0" applyNumberFormat="1" applyFont="1" applyBorder="1" applyAlignment="1">
      <alignment horizontal="center"/>
    </xf>
    <xf numFmtId="169" fontId="24" fillId="0" borderId="9" xfId="0" applyNumberFormat="1" applyFont="1" applyFill="1" applyBorder="1" applyAlignment="1">
      <alignment horizontal="center" vertical="center" wrapText="1"/>
    </xf>
    <xf numFmtId="43" fontId="24" fillId="0" borderId="0" xfId="0" applyNumberFormat="1" applyFont="1"/>
    <xf numFmtId="193" fontId="24" fillId="0" borderId="0" xfId="0" applyNumberFormat="1" applyFont="1"/>
    <xf numFmtId="168" fontId="24" fillId="0" borderId="19" xfId="0" applyNumberFormat="1" applyFont="1" applyFill="1" applyBorder="1" applyAlignment="1">
      <alignment horizontal="center"/>
    </xf>
    <xf numFmtId="9" fontId="24" fillId="0" borderId="19" xfId="3" applyFont="1" applyFill="1" applyBorder="1" applyAlignment="1">
      <alignment horizontal="center" vertical="center"/>
    </xf>
    <xf numFmtId="182" fontId="24" fillId="4" borderId="19" xfId="1" applyNumberFormat="1" applyFont="1" applyFill="1" applyBorder="1" applyAlignment="1">
      <alignment horizontal="center"/>
    </xf>
    <xf numFmtId="169" fontId="24" fillId="0" borderId="19" xfId="0" applyNumberFormat="1" applyFont="1" applyFill="1" applyBorder="1" applyAlignment="1">
      <alignment horizontal="center" vertical="center" wrapText="1"/>
    </xf>
    <xf numFmtId="170" fontId="24" fillId="4" borderId="19" xfId="1" applyNumberFormat="1" applyFont="1" applyFill="1" applyBorder="1" applyAlignment="1">
      <alignment horizontal="center"/>
    </xf>
    <xf numFmtId="2" fontId="24" fillId="0" borderId="0" xfId="3" applyNumberFormat="1" applyFont="1" applyFill="1"/>
    <xf numFmtId="182" fontId="24" fillId="4" borderId="4" xfId="1" applyNumberFormat="1" applyFont="1" applyFill="1" applyBorder="1" applyAlignment="1">
      <alignment horizontal="center"/>
    </xf>
    <xf numFmtId="168" fontId="24" fillId="0" borderId="23" xfId="0" applyNumberFormat="1" applyFont="1" applyFill="1" applyBorder="1" applyAlignment="1">
      <alignment horizontal="center"/>
    </xf>
    <xf numFmtId="7" fontId="24" fillId="4" borderId="23" xfId="2" applyNumberFormat="1" applyFont="1" applyFill="1" applyBorder="1" applyAlignment="1">
      <alignment horizontal="center"/>
    </xf>
    <xf numFmtId="9" fontId="24" fillId="0" borderId="23" xfId="3" applyFont="1" applyFill="1" applyBorder="1" applyAlignment="1">
      <alignment horizontal="center" vertical="center" wrapText="1"/>
    </xf>
    <xf numFmtId="182" fontId="24" fillId="4" borderId="23" xfId="1" applyNumberFormat="1" applyFont="1" applyFill="1" applyBorder="1" applyAlignment="1">
      <alignment horizontal="center"/>
    </xf>
    <xf numFmtId="169" fontId="24" fillId="0" borderId="23" xfId="0" applyNumberFormat="1" applyFont="1" applyFill="1" applyBorder="1" applyAlignment="1">
      <alignment horizontal="center" vertical="center" wrapText="1"/>
    </xf>
    <xf numFmtId="170" fontId="24" fillId="4" borderId="23" xfId="1" applyNumberFormat="1" applyFont="1" applyFill="1" applyBorder="1" applyAlignment="1">
      <alignment horizontal="center"/>
    </xf>
    <xf numFmtId="0" fontId="24" fillId="0" borderId="0" xfId="0" applyFont="1" applyFill="1" applyBorder="1" applyAlignment="1">
      <alignment horizontal="left" vertical="top" wrapText="1"/>
    </xf>
    <xf numFmtId="2" fontId="24" fillId="0" borderId="15" xfId="0" applyNumberFormat="1" applyFont="1" applyFill="1" applyBorder="1" applyAlignment="1"/>
    <xf numFmtId="0" fontId="24" fillId="5" borderId="9" xfId="0" applyFont="1" applyFill="1" applyBorder="1" applyAlignment="1">
      <alignment horizontal="left" vertical="top" wrapText="1"/>
    </xf>
    <xf numFmtId="0" fontId="24" fillId="0" borderId="0" xfId="0" applyFont="1" applyFill="1" applyBorder="1" applyAlignment="1">
      <alignment horizontal="left" vertical="top"/>
    </xf>
    <xf numFmtId="0" fontId="24" fillId="0" borderId="0" xfId="0" applyFont="1" applyFill="1" applyBorder="1" applyAlignment="1">
      <alignment vertical="top"/>
    </xf>
    <xf numFmtId="0" fontId="24" fillId="4" borderId="9" xfId="0" applyFont="1" applyFill="1" applyBorder="1" applyAlignment="1">
      <alignment horizontal="center" wrapText="1"/>
    </xf>
    <xf numFmtId="0" fontId="52" fillId="0" borderId="0" xfId="0" applyFont="1" applyAlignment="1">
      <alignment horizontal="left"/>
    </xf>
    <xf numFmtId="171" fontId="24" fillId="4" borderId="9" xfId="0" applyNumberFormat="1" applyFont="1" applyFill="1" applyBorder="1" applyAlignment="1">
      <alignment horizontal="center"/>
    </xf>
    <xf numFmtId="168" fontId="24" fillId="4" borderId="9" xfId="0" applyNumberFormat="1" applyFont="1" applyFill="1" applyBorder="1" applyAlignment="1">
      <alignment horizontal="center"/>
    </xf>
    <xf numFmtId="44" fontId="24" fillId="4" borderId="9" xfId="2" applyFont="1" applyFill="1" applyBorder="1" applyAlignment="1">
      <alignment horizontal="center" vertical="center" wrapText="1"/>
    </xf>
    <xf numFmtId="9" fontId="24" fillId="4" borderId="9" xfId="3" applyFont="1" applyFill="1" applyBorder="1" applyAlignment="1">
      <alignment horizontal="center" vertical="center"/>
    </xf>
    <xf numFmtId="0" fontId="24" fillId="0" borderId="0" xfId="0" applyFont="1" applyAlignment="1">
      <alignment horizontal="left" vertical="center"/>
    </xf>
    <xf numFmtId="0" fontId="24" fillId="4" borderId="35" xfId="0" applyFont="1" applyFill="1" applyBorder="1"/>
    <xf numFmtId="0" fontId="24" fillId="0" borderId="0" xfId="0" applyFont="1" applyBorder="1" applyAlignment="1">
      <alignment horizontal="center" wrapText="1"/>
    </xf>
    <xf numFmtId="0" fontId="24" fillId="4" borderId="25" xfId="0" applyFont="1" applyFill="1" applyBorder="1"/>
    <xf numFmtId="0" fontId="24" fillId="0" borderId="0" xfId="0" applyFont="1" applyFill="1" applyBorder="1" applyAlignment="1">
      <alignment horizontal="center" vertical="center"/>
    </xf>
    <xf numFmtId="0" fontId="24" fillId="0" borderId="0" xfId="0" applyFont="1" applyFill="1" applyBorder="1" applyAlignment="1">
      <alignment vertical="center"/>
    </xf>
    <xf numFmtId="184" fontId="24" fillId="0" borderId="0" xfId="0" applyNumberFormat="1" applyFont="1"/>
    <xf numFmtId="2" fontId="24" fillId="0" borderId="0" xfId="1" applyNumberFormat="1" applyFont="1"/>
    <xf numFmtId="2" fontId="24" fillId="0" borderId="24" xfId="0" applyNumberFormat="1" applyFont="1" applyBorder="1"/>
    <xf numFmtId="39" fontId="24" fillId="0" borderId="0" xfId="0" applyNumberFormat="1" applyFont="1"/>
    <xf numFmtId="171" fontId="24" fillId="4" borderId="0" xfId="0" applyNumberFormat="1" applyFont="1" applyFill="1" applyBorder="1"/>
    <xf numFmtId="171" fontId="24" fillId="0" borderId="9" xfId="0" applyNumberFormat="1" applyFont="1" applyBorder="1" applyAlignment="1"/>
    <xf numFmtId="9" fontId="24" fillId="4" borderId="0" xfId="3" applyFont="1" applyFill="1" applyBorder="1" applyAlignment="1">
      <alignment horizontal="left"/>
    </xf>
    <xf numFmtId="171" fontId="24" fillId="0" borderId="9" xfId="0" applyNumberFormat="1" applyFont="1" applyBorder="1"/>
    <xf numFmtId="0" fontId="24" fillId="0" borderId="10" xfId="0" applyFont="1" applyBorder="1" applyAlignment="1">
      <alignment horizontal="center" vertical="center"/>
    </xf>
    <xf numFmtId="0" fontId="24" fillId="4" borderId="54" xfId="0" applyFont="1" applyFill="1" applyBorder="1"/>
    <xf numFmtId="2" fontId="24" fillId="8" borderId="9" xfId="0" applyNumberFormat="1" applyFont="1" applyFill="1" applyBorder="1" applyAlignment="1">
      <alignment horizontal="right"/>
    </xf>
    <xf numFmtId="2" fontId="24" fillId="8" borderId="14" xfId="0" applyNumberFormat="1" applyFont="1" applyFill="1" applyBorder="1" applyAlignment="1">
      <alignment horizontal="right"/>
    </xf>
    <xf numFmtId="0" fontId="24" fillId="16" borderId="54" xfId="0" applyFont="1" applyFill="1" applyBorder="1" applyAlignment="1">
      <alignment horizontal="left" vertical="top" wrapText="1"/>
    </xf>
    <xf numFmtId="2" fontId="24" fillId="0" borderId="27" xfId="0" applyNumberFormat="1" applyFont="1" applyBorder="1" applyAlignment="1"/>
    <xf numFmtId="2" fontId="24" fillId="0" borderId="9" xfId="13" applyNumberFormat="1" applyFont="1" applyBorder="1" applyAlignment="1">
      <alignment horizontal="center"/>
    </xf>
    <xf numFmtId="180" fontId="44" fillId="0" borderId="0" xfId="6" applyNumberFormat="1" applyFont="1"/>
    <xf numFmtId="179" fontId="24" fillId="0" borderId="0" xfId="9" applyNumberFormat="1" applyFont="1" applyFill="1" applyBorder="1" applyAlignment="1">
      <alignment horizontal="center" vertical="center" wrapText="1"/>
    </xf>
    <xf numFmtId="0" fontId="53" fillId="0" borderId="0" xfId="0" applyFont="1" applyAlignment="1">
      <alignment horizontal="left" vertical="center"/>
    </xf>
    <xf numFmtId="165" fontId="24" fillId="0" borderId="9" xfId="6" applyNumberFormat="1" applyFont="1" applyFill="1" applyBorder="1" applyAlignment="1"/>
    <xf numFmtId="0" fontId="24" fillId="0" borderId="39" xfId="8" applyFont="1" applyBorder="1"/>
    <xf numFmtId="0" fontId="24" fillId="4" borderId="9" xfId="0" applyFont="1" applyFill="1" applyBorder="1" applyAlignment="1">
      <alignment horizontal="left"/>
    </xf>
    <xf numFmtId="0" fontId="29" fillId="0" borderId="64" xfId="8" applyFont="1" applyBorder="1" applyAlignment="1">
      <alignment horizontal="left"/>
    </xf>
    <xf numFmtId="0" fontId="29" fillId="0" borderId="65" xfId="8" applyFont="1" applyBorder="1" applyAlignment="1">
      <alignment horizontal="left"/>
    </xf>
    <xf numFmtId="0" fontId="29" fillId="0" borderId="65" xfId="8" applyFont="1" applyBorder="1"/>
    <xf numFmtId="0" fontId="29" fillId="0" borderId="67" xfId="8" applyFont="1" applyBorder="1" applyAlignment="1">
      <alignment horizontal="left"/>
    </xf>
    <xf numFmtId="0" fontId="29" fillId="0" borderId="68" xfId="8" applyFont="1" applyBorder="1" applyAlignment="1">
      <alignment horizontal="left"/>
    </xf>
    <xf numFmtId="0" fontId="29" fillId="0" borderId="68" xfId="8" applyFont="1" applyBorder="1"/>
    <xf numFmtId="0" fontId="29" fillId="0" borderId="70" xfId="8" applyFont="1" applyBorder="1" applyAlignment="1">
      <alignment horizontal="left"/>
    </xf>
    <xf numFmtId="180" fontId="24" fillId="0" borderId="9" xfId="8" applyNumberFormat="1" applyFont="1" applyBorder="1" applyAlignment="1">
      <alignment horizontal="center"/>
    </xf>
    <xf numFmtId="180" fontId="24" fillId="0" borderId="9" xfId="8" applyNumberFormat="1" applyFont="1" applyFill="1" applyBorder="1" applyAlignment="1">
      <alignment horizontal="center"/>
    </xf>
    <xf numFmtId="180" fontId="24" fillId="4" borderId="9" xfId="8" applyNumberFormat="1" applyFont="1" applyFill="1" applyBorder="1" applyAlignment="1">
      <alignment horizontal="center"/>
    </xf>
    <xf numFmtId="0" fontId="24" fillId="0" borderId="40" xfId="8" applyFont="1" applyBorder="1" applyAlignment="1">
      <alignment horizontal="left"/>
    </xf>
    <xf numFmtId="0" fontId="24" fillId="4" borderId="40" xfId="8" applyFont="1" applyFill="1" applyBorder="1"/>
    <xf numFmtId="0" fontId="24" fillId="0" borderId="22" xfId="8" applyFont="1" applyBorder="1" applyAlignment="1">
      <alignment horizontal="left"/>
    </xf>
    <xf numFmtId="0" fontId="24" fillId="0" borderId="19" xfId="8" applyFont="1" applyBorder="1" applyAlignment="1">
      <alignment horizontal="center"/>
    </xf>
    <xf numFmtId="165" fontId="24" fillId="0" borderId="19" xfId="8" applyNumberFormat="1" applyFont="1" applyBorder="1" applyAlignment="1">
      <alignment horizontal="center"/>
    </xf>
    <xf numFmtId="2" fontId="24" fillId="0" borderId="19" xfId="8" applyNumberFormat="1" applyFont="1" applyBorder="1" applyAlignment="1">
      <alignment horizontal="center"/>
    </xf>
    <xf numFmtId="0" fontId="24" fillId="0" borderId="42" xfId="8" applyFont="1" applyBorder="1"/>
    <xf numFmtId="0" fontId="24" fillId="0" borderId="27" xfId="8" applyFont="1" applyBorder="1" applyAlignment="1">
      <alignment horizontal="left"/>
    </xf>
    <xf numFmtId="39" fontId="24" fillId="0" borderId="27" xfId="1" applyNumberFormat="1" applyFont="1" applyBorder="1" applyAlignment="1">
      <alignment horizontal="center"/>
    </xf>
    <xf numFmtId="198" fontId="24" fillId="0" borderId="27" xfId="1" applyNumberFormat="1" applyFont="1" applyBorder="1" applyAlignment="1">
      <alignment horizontal="center"/>
    </xf>
    <xf numFmtId="2" fontId="24" fillId="0" borderId="27" xfId="8" applyNumberFormat="1" applyFont="1" applyBorder="1" applyAlignment="1">
      <alignment horizontal="center"/>
    </xf>
    <xf numFmtId="2" fontId="24" fillId="0" borderId="27" xfId="8" applyNumberFormat="1" applyFont="1" applyBorder="1"/>
    <xf numFmtId="165" fontId="24" fillId="0" borderId="27" xfId="8" applyNumberFormat="1" applyFont="1" applyBorder="1" applyAlignment="1">
      <alignment horizontal="center"/>
    </xf>
    <xf numFmtId="44" fontId="24" fillId="0" borderId="27" xfId="2" applyFont="1" applyBorder="1"/>
    <xf numFmtId="0" fontId="24" fillId="0" borderId="27" xfId="8" applyFont="1" applyBorder="1"/>
    <xf numFmtId="0" fontId="24" fillId="0" borderId="41" xfId="8" applyFont="1" applyBorder="1"/>
    <xf numFmtId="1" fontId="24" fillId="0" borderId="21" xfId="3" applyNumberFormat="1" applyFont="1" applyBorder="1" applyAlignment="1">
      <alignment horizontal="center"/>
    </xf>
    <xf numFmtId="1" fontId="24" fillId="0" borderId="19" xfId="3" applyNumberFormat="1" applyFont="1" applyBorder="1" applyAlignment="1">
      <alignment horizontal="center"/>
    </xf>
    <xf numFmtId="165" fontId="52" fillId="0" borderId="30" xfId="8" applyNumberFormat="1" applyFont="1" applyFill="1" applyBorder="1" applyAlignment="1">
      <alignment horizontal="left" vertical="center"/>
    </xf>
    <xf numFmtId="172" fontId="24" fillId="0" borderId="0" xfId="3" applyNumberFormat="1" applyFont="1" applyBorder="1"/>
    <xf numFmtId="9" fontId="24" fillId="0" borderId="0" xfId="3" applyFont="1" applyBorder="1"/>
    <xf numFmtId="0" fontId="24" fillId="4" borderId="9" xfId="8" applyFont="1" applyFill="1" applyBorder="1" applyAlignment="1">
      <alignment horizontal="left" wrapText="1"/>
    </xf>
    <xf numFmtId="169" fontId="24" fillId="4" borderId="9" xfId="8" applyNumberFormat="1" applyFont="1" applyFill="1" applyBorder="1" applyAlignment="1">
      <alignment horizontal="center"/>
    </xf>
    <xf numFmtId="0" fontId="24" fillId="4" borderId="0" xfId="8" applyFont="1" applyFill="1" applyAlignment="1">
      <alignment horizontal="left"/>
    </xf>
    <xf numFmtId="0" fontId="24" fillId="4" borderId="0" xfId="8" applyFont="1" applyFill="1" applyBorder="1" applyAlignment="1">
      <alignment horizontal="left"/>
    </xf>
    <xf numFmtId="0" fontId="24" fillId="4" borderId="0" xfId="8" applyFont="1" applyFill="1" applyBorder="1" applyAlignment="1">
      <alignment horizontal="right"/>
    </xf>
    <xf numFmtId="165" fontId="24" fillId="0" borderId="19" xfId="13" applyNumberFormat="1" applyFont="1" applyFill="1" applyBorder="1" applyAlignment="1">
      <alignment horizontal="center" vertical="center" wrapText="1"/>
    </xf>
    <xf numFmtId="0" fontId="24" fillId="0" borderId="9" xfId="8" applyFont="1" applyFill="1" applyBorder="1" applyAlignment="1">
      <alignment horizontal="center" vertical="center" wrapText="1"/>
    </xf>
    <xf numFmtId="165" fontId="24" fillId="0" borderId="9" xfId="8" applyNumberFormat="1" applyFont="1" applyFill="1" applyBorder="1" applyAlignment="1">
      <alignment horizontal="center" vertical="center" wrapText="1"/>
    </xf>
    <xf numFmtId="165" fontId="24" fillId="0" borderId="16" xfId="8" applyNumberFormat="1" applyFont="1" applyFill="1" applyBorder="1" applyAlignment="1">
      <alignment horizontal="center" vertical="center" wrapText="1"/>
    </xf>
    <xf numFmtId="0" fontId="24" fillId="0" borderId="9" xfId="8" applyFont="1" applyBorder="1" applyAlignment="1">
      <alignment horizontal="left" vertical="center" wrapText="1"/>
    </xf>
    <xf numFmtId="1" fontId="24" fillId="0" borderId="9" xfId="13" applyNumberFormat="1" applyFont="1" applyFill="1" applyBorder="1" applyAlignment="1">
      <alignment horizontal="center" vertical="center" wrapText="1"/>
    </xf>
    <xf numFmtId="0" fontId="24" fillId="4" borderId="0" xfId="8" applyFont="1" applyFill="1" applyAlignment="1">
      <alignment wrapText="1"/>
    </xf>
    <xf numFmtId="10" fontId="24" fillId="0" borderId="9" xfId="13" applyNumberFormat="1" applyFont="1" applyFill="1" applyBorder="1" applyAlignment="1">
      <alignment horizontal="center" vertical="center" wrapText="1"/>
    </xf>
    <xf numFmtId="3" fontId="24" fillId="0" borderId="9" xfId="8" applyNumberFormat="1" applyFont="1" applyBorder="1" applyAlignment="1">
      <alignment horizontal="left" vertical="center" wrapText="1"/>
    </xf>
    <xf numFmtId="9" fontId="24" fillId="0" borderId="9" xfId="13" applyNumberFormat="1" applyFont="1" applyFill="1" applyBorder="1" applyAlignment="1">
      <alignment horizontal="left" vertical="center" wrapText="1"/>
    </xf>
    <xf numFmtId="9" fontId="24" fillId="0" borderId="9" xfId="13" applyNumberFormat="1" applyFont="1" applyFill="1" applyBorder="1" applyAlignment="1">
      <alignment horizontal="center" vertical="center" wrapText="1"/>
    </xf>
    <xf numFmtId="0" fontId="24" fillId="0" borderId="9" xfId="8" applyFont="1" applyFill="1" applyBorder="1" applyAlignment="1">
      <alignment vertical="center" wrapText="1"/>
    </xf>
    <xf numFmtId="0" fontId="24" fillId="0" borderId="0" xfId="8" applyFont="1" applyAlignment="1">
      <alignment horizontal="left" wrapText="1"/>
    </xf>
    <xf numFmtId="0" fontId="24" fillId="0" borderId="0" xfId="8" applyFont="1" applyAlignment="1">
      <alignment wrapText="1"/>
    </xf>
    <xf numFmtId="2" fontId="24" fillId="0" borderId="9" xfId="8" applyNumberFormat="1" applyFont="1" applyFill="1" applyBorder="1" applyAlignment="1">
      <alignment horizontal="center" wrapText="1"/>
    </xf>
    <xf numFmtId="2" fontId="24" fillId="0" borderId="9" xfId="1" applyNumberFormat="1" applyFont="1" applyBorder="1" applyAlignment="1">
      <alignment horizontal="center"/>
    </xf>
    <xf numFmtId="1" fontId="24" fillId="0" borderId="9" xfId="8" applyNumberFormat="1" applyFont="1" applyFill="1" applyBorder="1" applyAlignment="1">
      <alignment horizontal="center"/>
    </xf>
    <xf numFmtId="44" fontId="24" fillId="0" borderId="9" xfId="2" applyFont="1" applyBorder="1" applyAlignment="1">
      <alignment horizontal="center"/>
    </xf>
    <xf numFmtId="39" fontId="29" fillId="0" borderId="0" xfId="1" applyNumberFormat="1" applyFont="1" applyAlignment="1">
      <alignment horizontal="left"/>
    </xf>
    <xf numFmtId="0" fontId="39" fillId="0" borderId="0" xfId="13" applyFont="1" applyFill="1" applyBorder="1"/>
    <xf numFmtId="0" fontId="24" fillId="0" borderId="0" xfId="13" applyFont="1" applyBorder="1" applyAlignment="1">
      <alignment horizontal="center"/>
    </xf>
    <xf numFmtId="178" fontId="24" fillId="0" borderId="0" xfId="13" applyNumberFormat="1" applyFont="1" applyFill="1" applyBorder="1" applyAlignment="1">
      <alignment horizontal="center"/>
    </xf>
    <xf numFmtId="169" fontId="24" fillId="0" borderId="9" xfId="8" applyNumberFormat="1" applyFont="1" applyFill="1" applyBorder="1" applyAlignment="1">
      <alignment horizontal="center"/>
    </xf>
    <xf numFmtId="39" fontId="29" fillId="4" borderId="0" xfId="1" applyNumberFormat="1" applyFont="1" applyFill="1" applyAlignment="1">
      <alignment horizontal="center" wrapText="1"/>
    </xf>
    <xf numFmtId="166" fontId="29" fillId="4" borderId="0" xfId="8" applyNumberFormat="1" applyFont="1" applyFill="1" applyBorder="1"/>
    <xf numFmtId="0" fontId="29" fillId="4" borderId="0" xfId="8" applyFont="1" applyFill="1" applyBorder="1"/>
    <xf numFmtId="166" fontId="29" fillId="4" borderId="0" xfId="8" applyNumberFormat="1" applyFont="1" applyFill="1"/>
    <xf numFmtId="0" fontId="29" fillId="4" borderId="64" xfId="8" applyFont="1" applyFill="1" applyBorder="1" applyAlignment="1">
      <alignment horizontal="left"/>
    </xf>
    <xf numFmtId="0" fontId="29" fillId="4" borderId="65" xfId="8" applyFont="1" applyFill="1" applyBorder="1" applyAlignment="1">
      <alignment horizontal="left"/>
    </xf>
    <xf numFmtId="0" fontId="29" fillId="4" borderId="65" xfId="8" applyFont="1" applyFill="1" applyBorder="1"/>
    <xf numFmtId="0" fontId="29" fillId="4" borderId="67" xfId="8" applyFont="1" applyFill="1" applyBorder="1" applyAlignment="1">
      <alignment horizontal="left"/>
    </xf>
    <xf numFmtId="0" fontId="29" fillId="4" borderId="68" xfId="8" applyFont="1" applyFill="1" applyBorder="1" applyAlignment="1">
      <alignment horizontal="left"/>
    </xf>
    <xf numFmtId="0" fontId="29" fillId="4" borderId="68" xfId="8" applyFont="1" applyFill="1" applyBorder="1"/>
    <xf numFmtId="0" fontId="29" fillId="0" borderId="72" xfId="8" applyFont="1" applyBorder="1"/>
    <xf numFmtId="0" fontId="29" fillId="0" borderId="0" xfId="8" applyFont="1" applyBorder="1" applyAlignment="1">
      <alignment horizontal="left"/>
    </xf>
    <xf numFmtId="0" fontId="29" fillId="0" borderId="9" xfId="8" applyFont="1" applyBorder="1" applyAlignment="1">
      <alignment horizontal="left" vertical="center"/>
    </xf>
    <xf numFmtId="9" fontId="24" fillId="0" borderId="9" xfId="3" applyFont="1" applyBorder="1" applyAlignment="1">
      <alignment horizontal="center" wrapText="1"/>
    </xf>
    <xf numFmtId="0" fontId="29" fillId="0" borderId="64" xfId="8" applyFont="1" applyBorder="1"/>
    <xf numFmtId="43" fontId="24" fillId="0" borderId="0" xfId="1" applyFont="1" applyFill="1" applyBorder="1" applyAlignment="1">
      <alignment horizontal="center" vertical="center" wrapText="1"/>
    </xf>
    <xf numFmtId="0" fontId="29" fillId="0" borderId="0" xfId="8" applyFont="1" applyFill="1" applyBorder="1"/>
    <xf numFmtId="1" fontId="29" fillId="4" borderId="0" xfId="8" applyNumberFormat="1" applyFont="1" applyFill="1"/>
    <xf numFmtId="0" fontId="29" fillId="4" borderId="66" xfId="8" applyFont="1" applyFill="1" applyBorder="1"/>
    <xf numFmtId="0" fontId="29" fillId="4" borderId="69" xfId="8" applyFont="1" applyFill="1" applyBorder="1"/>
    <xf numFmtId="170" fontId="24" fillId="0" borderId="9" xfId="2" applyNumberFormat="1" applyFont="1" applyFill="1" applyBorder="1" applyAlignment="1">
      <alignment horizontal="center" vertical="center" wrapText="1"/>
    </xf>
    <xf numFmtId="0" fontId="24" fillId="4" borderId="65" xfId="8" applyFont="1" applyFill="1" applyBorder="1" applyAlignment="1">
      <alignment horizontal="left"/>
    </xf>
    <xf numFmtId="0" fontId="24" fillId="4" borderId="65" xfId="8" applyFont="1" applyFill="1" applyBorder="1"/>
    <xf numFmtId="0" fontId="24" fillId="4" borderId="67" xfId="8" applyFont="1" applyFill="1" applyBorder="1" applyAlignment="1">
      <alignment horizontal="left"/>
    </xf>
    <xf numFmtId="0" fontId="24" fillId="4" borderId="68" xfId="8" applyFont="1" applyFill="1" applyBorder="1" applyAlignment="1">
      <alignment horizontal="left"/>
    </xf>
    <xf numFmtId="0" fontId="24" fillId="4" borderId="68" xfId="8" applyFont="1" applyFill="1" applyBorder="1"/>
    <xf numFmtId="0" fontId="24" fillId="0" borderId="67" xfId="8" applyFont="1" applyBorder="1" applyAlignment="1">
      <alignment horizontal="left"/>
    </xf>
    <xf numFmtId="0" fontId="24" fillId="0" borderId="68" xfId="8" applyFont="1" applyBorder="1" applyAlignment="1">
      <alignment horizontal="left"/>
    </xf>
    <xf numFmtId="0" fontId="24" fillId="0" borderId="68" xfId="8" applyFont="1" applyBorder="1"/>
    <xf numFmtId="0" fontId="24" fillId="0" borderId="72" xfId="8" applyFont="1" applyBorder="1"/>
    <xf numFmtId="3" fontId="24" fillId="0" borderId="9" xfId="0" applyNumberFormat="1" applyFont="1" applyBorder="1" applyAlignment="1">
      <alignment horizontal="left" vertical="center"/>
    </xf>
    <xf numFmtId="7" fontId="24" fillId="4" borderId="9" xfId="2" applyNumberFormat="1" applyFont="1" applyFill="1" applyBorder="1" applyAlignment="1">
      <alignment horizontal="center" wrapText="1"/>
    </xf>
    <xf numFmtId="0" fontId="24" fillId="0" borderId="19" xfId="8" applyFont="1" applyBorder="1" applyAlignment="1">
      <alignment horizontal="left" wrapText="1"/>
    </xf>
    <xf numFmtId="0" fontId="24" fillId="0" borderId="23" xfId="8" applyFont="1" applyBorder="1" applyAlignment="1">
      <alignment horizontal="left" wrapText="1"/>
    </xf>
    <xf numFmtId="0" fontId="42" fillId="0" borderId="0" xfId="8" applyFont="1" applyBorder="1" applyAlignment="1">
      <alignment horizontal="left" vertical="center"/>
    </xf>
    <xf numFmtId="9" fontId="29" fillId="0" borderId="0" xfId="3" applyFont="1" applyBorder="1" applyAlignment="1">
      <alignment horizontal="center"/>
    </xf>
    <xf numFmtId="0" fontId="29" fillId="0" borderId="0" xfId="8" applyFont="1" applyBorder="1" applyAlignment="1">
      <alignment wrapText="1"/>
    </xf>
    <xf numFmtId="0" fontId="90" fillId="4" borderId="0" xfId="8" applyFont="1" applyFill="1"/>
    <xf numFmtId="39" fontId="24" fillId="0" borderId="16" xfId="1" applyNumberFormat="1" applyFont="1" applyBorder="1" applyAlignment="1">
      <alignment horizontal="center" wrapText="1"/>
    </xf>
    <xf numFmtId="189" fontId="24" fillId="0" borderId="16" xfId="1" applyNumberFormat="1" applyFont="1" applyFill="1" applyBorder="1" applyAlignment="1">
      <alignment horizontal="center" wrapText="1"/>
    </xf>
    <xf numFmtId="0" fontId="24" fillId="0" borderId="9" xfId="8" applyFont="1" applyBorder="1" applyAlignment="1">
      <alignment horizontal="left" vertical="center"/>
    </xf>
    <xf numFmtId="166" fontId="24" fillId="0" borderId="0" xfId="8" applyNumberFormat="1" applyFont="1" applyBorder="1"/>
    <xf numFmtId="39" fontId="24" fillId="0" borderId="0" xfId="1" applyNumberFormat="1" applyFont="1" applyAlignment="1">
      <alignment horizontal="center" wrapText="1"/>
    </xf>
    <xf numFmtId="166" fontId="24" fillId="0" borderId="0" xfId="8" applyNumberFormat="1" applyFont="1"/>
    <xf numFmtId="0" fontId="24" fillId="0" borderId="64" xfId="8" applyFont="1" applyBorder="1" applyAlignment="1">
      <alignment horizontal="left"/>
    </xf>
    <xf numFmtId="0" fontId="24" fillId="0" borderId="65" xfId="8" applyFont="1" applyBorder="1" applyAlignment="1">
      <alignment horizontal="left"/>
    </xf>
    <xf numFmtId="0" fontId="24" fillId="0" borderId="65" xfId="8" applyFont="1" applyBorder="1"/>
    <xf numFmtId="171" fontId="24" fillId="0" borderId="9" xfId="8" applyNumberFormat="1" applyFont="1" applyBorder="1" applyAlignment="1">
      <alignment horizontal="center"/>
    </xf>
    <xf numFmtId="1" fontId="24" fillId="0" borderId="0" xfId="8" applyNumberFormat="1" applyFont="1"/>
    <xf numFmtId="0" fontId="24" fillId="0" borderId="66" xfId="8" applyFont="1" applyBorder="1"/>
    <xf numFmtId="0" fontId="24" fillId="0" borderId="69" xfId="8" applyFont="1" applyBorder="1"/>
    <xf numFmtId="37" fontId="24" fillId="0" borderId="16" xfId="1" applyNumberFormat="1" applyFont="1" applyBorder="1" applyAlignment="1">
      <alignment horizontal="center" wrapText="1"/>
    </xf>
    <xf numFmtId="189" fontId="24" fillId="0" borderId="16" xfId="1" applyNumberFormat="1" applyFont="1" applyBorder="1" applyAlignment="1">
      <alignment horizontal="center" wrapText="1"/>
    </xf>
    <xf numFmtId="189" fontId="24" fillId="0" borderId="0" xfId="1" applyNumberFormat="1" applyFont="1" applyBorder="1" applyAlignment="1">
      <alignment horizontal="center" wrapText="1"/>
    </xf>
    <xf numFmtId="0" fontId="24" fillId="0" borderId="0" xfId="8" applyFont="1" applyBorder="1" applyAlignment="1">
      <alignment wrapText="1"/>
    </xf>
    <xf numFmtId="183" fontId="24" fillId="4" borderId="9" xfId="1" applyNumberFormat="1" applyFont="1" applyFill="1" applyBorder="1" applyAlignment="1">
      <alignment horizontal="center"/>
    </xf>
    <xf numFmtId="183" fontId="24" fillId="0" borderId="0" xfId="1" applyNumberFormat="1" applyFont="1" applyBorder="1" applyAlignment="1">
      <alignment horizontal="center"/>
    </xf>
    <xf numFmtId="165" fontId="24" fillId="0" borderId="0" xfId="0" applyNumberFormat="1" applyFont="1" applyFill="1" applyBorder="1" applyAlignment="1">
      <alignment horizontal="center" vertical="center" wrapText="1"/>
    </xf>
    <xf numFmtId="1" fontId="24" fillId="0" borderId="0" xfId="0" applyNumberFormat="1" applyFont="1" applyBorder="1" applyAlignment="1">
      <alignment horizontal="center" vertical="center" wrapText="1"/>
    </xf>
    <xf numFmtId="1" fontId="24" fillId="0" borderId="0" xfId="0" applyNumberFormat="1" applyFont="1" applyFill="1" applyBorder="1" applyAlignment="1">
      <alignment horizontal="center" vertical="center" wrapText="1"/>
    </xf>
    <xf numFmtId="44" fontId="29" fillId="0" borderId="0" xfId="2" applyFont="1" applyBorder="1"/>
    <xf numFmtId="166" fontId="24" fillId="4" borderId="0" xfId="0" applyNumberFormat="1" applyFont="1" applyFill="1" applyBorder="1" applyAlignment="1">
      <alignment horizontal="center" vertical="center" wrapText="1"/>
    </xf>
    <xf numFmtId="171" fontId="29" fillId="0" borderId="9" xfId="2" applyNumberFormat="1" applyFont="1" applyFill="1" applyBorder="1" applyAlignment="1">
      <alignment horizontal="center"/>
    </xf>
    <xf numFmtId="0" fontId="29" fillId="0" borderId="0" xfId="8" applyFont="1" applyAlignment="1">
      <alignment vertical="center"/>
    </xf>
    <xf numFmtId="1" fontId="24" fillId="4" borderId="0" xfId="0" applyNumberFormat="1" applyFont="1" applyFill="1" applyBorder="1" applyAlignment="1">
      <alignment horizontal="center" vertical="center" wrapText="1"/>
    </xf>
    <xf numFmtId="0" fontId="24" fillId="0" borderId="27" xfId="0" applyFont="1" applyBorder="1" applyAlignment="1">
      <alignment horizontal="left" vertical="center"/>
    </xf>
    <xf numFmtId="2" fontId="29" fillId="4" borderId="9" xfId="8" applyNumberFormat="1" applyFont="1" applyFill="1" applyBorder="1" applyAlignment="1">
      <alignment horizontal="center"/>
    </xf>
    <xf numFmtId="2" fontId="29" fillId="4" borderId="9" xfId="1" applyNumberFormat="1" applyFont="1" applyFill="1" applyBorder="1" applyAlignment="1">
      <alignment horizontal="center"/>
    </xf>
    <xf numFmtId="0" fontId="29" fillId="0" borderId="9" xfId="8" applyFont="1" applyBorder="1" applyAlignment="1">
      <alignment horizontal="left" wrapText="1"/>
    </xf>
    <xf numFmtId="0" fontId="24" fillId="4" borderId="9" xfId="6" applyFont="1" applyFill="1" applyBorder="1" applyAlignment="1">
      <alignment horizontal="center"/>
    </xf>
    <xf numFmtId="0" fontId="24" fillId="4" borderId="14" xfId="0" applyFont="1" applyFill="1" applyBorder="1" applyAlignment="1">
      <alignment horizontal="center" vertical="center" wrapText="1"/>
    </xf>
    <xf numFmtId="182" fontId="24" fillId="4" borderId="14" xfId="1" applyNumberFormat="1" applyFont="1" applyFill="1" applyBorder="1" applyAlignment="1">
      <alignment horizontal="center"/>
    </xf>
    <xf numFmtId="193" fontId="24" fillId="0" borderId="14" xfId="0" applyNumberFormat="1" applyFont="1" applyBorder="1" applyAlignment="1">
      <alignment horizontal="center"/>
    </xf>
    <xf numFmtId="165" fontId="24" fillId="0" borderId="14" xfId="6" applyNumberFormat="1" applyFont="1" applyFill="1" applyBorder="1" applyAlignment="1">
      <alignment horizontal="center"/>
    </xf>
    <xf numFmtId="0" fontId="24" fillId="4" borderId="14" xfId="6" applyFont="1" applyFill="1" applyBorder="1" applyAlignment="1">
      <alignment horizontal="center"/>
    </xf>
    <xf numFmtId="0" fontId="24" fillId="4" borderId="4" xfId="6" applyFont="1" applyFill="1" applyBorder="1" applyAlignment="1">
      <alignment horizontal="left"/>
    </xf>
    <xf numFmtId="0" fontId="24" fillId="4" borderId="4" xfId="0" applyFont="1" applyFill="1" applyBorder="1" applyAlignment="1">
      <alignment horizontal="center" vertical="center" wrapText="1"/>
    </xf>
    <xf numFmtId="193" fontId="24" fillId="0" borderId="4" xfId="0" applyNumberFormat="1" applyFont="1" applyBorder="1" applyAlignment="1">
      <alignment horizontal="center"/>
    </xf>
    <xf numFmtId="165" fontId="24" fillId="0" borderId="4" xfId="6" applyNumberFormat="1" applyFont="1" applyFill="1" applyBorder="1" applyAlignment="1">
      <alignment horizontal="center"/>
    </xf>
    <xf numFmtId="171" fontId="24" fillId="4" borderId="4" xfId="13" applyNumberFormat="1" applyFont="1" applyFill="1" applyBorder="1" applyAlignment="1">
      <alignment horizontal="center" vertical="center"/>
    </xf>
    <xf numFmtId="0" fontId="24" fillId="4" borderId="4" xfId="6" applyFont="1" applyFill="1" applyBorder="1" applyAlignment="1">
      <alignment horizontal="center"/>
    </xf>
    <xf numFmtId="0" fontId="24" fillId="4" borderId="0" xfId="8" applyFont="1" applyFill="1" applyAlignment="1">
      <alignment horizontal="center"/>
    </xf>
    <xf numFmtId="0" fontId="81" fillId="4" borderId="0" xfId="0" applyFont="1" applyFill="1" applyBorder="1" applyAlignment="1">
      <alignment vertical="center" wrapText="1"/>
    </xf>
    <xf numFmtId="0" fontId="24" fillId="0" borderId="0" xfId="0" applyFont="1" applyBorder="1" applyAlignment="1">
      <alignment vertical="center" wrapText="1"/>
    </xf>
    <xf numFmtId="0" fontId="24" fillId="0" borderId="9" xfId="13" applyFont="1" applyBorder="1" applyAlignment="1">
      <alignment horizontal="left"/>
    </xf>
    <xf numFmtId="0" fontId="72" fillId="0" borderId="0" xfId="0" applyFont="1"/>
    <xf numFmtId="0" fontId="72" fillId="0" borderId="0" xfId="0" applyFont="1" applyAlignment="1">
      <alignment horizontal="center"/>
    </xf>
    <xf numFmtId="39" fontId="29" fillId="4" borderId="0" xfId="1" applyNumberFormat="1" applyFont="1" applyFill="1" applyBorder="1" applyAlignment="1">
      <alignment horizontal="center"/>
    </xf>
    <xf numFmtId="2" fontId="29" fillId="4" borderId="0" xfId="8" applyNumberFormat="1" applyFont="1" applyFill="1" applyBorder="1" applyAlignment="1">
      <alignment horizontal="center"/>
    </xf>
    <xf numFmtId="2" fontId="29" fillId="4" borderId="0" xfId="8" applyNumberFormat="1" applyFont="1" applyFill="1" applyBorder="1"/>
    <xf numFmtId="1" fontId="29" fillId="0" borderId="0" xfId="8" applyNumberFormat="1" applyFont="1" applyBorder="1"/>
    <xf numFmtId="2" fontId="29" fillId="0" borderId="0" xfId="2" applyNumberFormat="1" applyFont="1" applyBorder="1"/>
    <xf numFmtId="39" fontId="24" fillId="4" borderId="0" xfId="1" applyNumberFormat="1" applyFont="1" applyFill="1" applyAlignment="1">
      <alignment horizontal="center"/>
    </xf>
    <xf numFmtId="9" fontId="24" fillId="4" borderId="19" xfId="3" applyFont="1" applyFill="1" applyBorder="1" applyAlignment="1">
      <alignment horizontal="center"/>
    </xf>
    <xf numFmtId="1" fontId="29" fillId="4" borderId="9" xfId="3" applyNumberFormat="1" applyFont="1" applyFill="1" applyBorder="1" applyAlignment="1">
      <alignment horizontal="center" vertical="center"/>
    </xf>
    <xf numFmtId="201" fontId="24" fillId="4" borderId="0" xfId="1" applyNumberFormat="1" applyFont="1" applyFill="1" applyBorder="1" applyAlignment="1">
      <alignment horizontal="center"/>
    </xf>
    <xf numFmtId="178" fontId="24" fillId="4" borderId="9" xfId="0" applyNumberFormat="1" applyFont="1" applyFill="1" applyBorder="1" applyAlignment="1">
      <alignment horizontal="left" vertical="center" wrapText="1"/>
    </xf>
    <xf numFmtId="4" fontId="24" fillId="0" borderId="9" xfId="0" applyNumberFormat="1" applyFont="1" applyFill="1" applyBorder="1" applyAlignment="1">
      <alignment horizontal="center" vertical="center" wrapText="1"/>
    </xf>
    <xf numFmtId="0" fontId="91" fillId="0" borderId="0" xfId="0" applyFont="1"/>
    <xf numFmtId="0" fontId="72" fillId="0" borderId="0" xfId="0" applyFont="1" applyAlignment="1">
      <alignment wrapText="1"/>
    </xf>
    <xf numFmtId="0" fontId="72" fillId="0" borderId="0" xfId="0" applyFont="1" applyAlignment="1">
      <alignment horizontal="center" wrapText="1"/>
    </xf>
    <xf numFmtId="3" fontId="24" fillId="0" borderId="0" xfId="0" applyNumberFormat="1" applyFont="1" applyFill="1" applyBorder="1" applyAlignment="1">
      <alignment horizontal="left" vertical="center" wrapText="1"/>
    </xf>
    <xf numFmtId="3" fontId="72" fillId="0" borderId="0" xfId="0" applyNumberFormat="1" applyFont="1" applyFill="1" applyBorder="1" applyAlignment="1">
      <alignment horizontal="left" vertical="center" wrapText="1"/>
    </xf>
    <xf numFmtId="0" fontId="73" fillId="0" borderId="0" xfId="0" applyFont="1" applyBorder="1" applyAlignment="1">
      <alignment horizontal="center" vertical="center" wrapText="1"/>
    </xf>
    <xf numFmtId="165" fontId="73" fillId="0" borderId="0" xfId="0" applyNumberFormat="1" applyFont="1" applyBorder="1" applyAlignment="1">
      <alignment horizontal="center" vertical="center" wrapText="1"/>
    </xf>
    <xf numFmtId="166" fontId="73" fillId="0" borderId="0" xfId="0" applyNumberFormat="1" applyFont="1" applyBorder="1" applyAlignment="1">
      <alignment horizontal="center" vertical="center" wrapText="1"/>
    </xf>
    <xf numFmtId="180" fontId="73" fillId="0" borderId="0" xfId="0" applyNumberFormat="1" applyFont="1" applyBorder="1" applyAlignment="1">
      <alignment horizontal="center" vertical="center" wrapText="1"/>
    </xf>
    <xf numFmtId="3" fontId="24" fillId="0" borderId="0" xfId="0" applyNumberFormat="1" applyFont="1" applyFill="1" applyBorder="1" applyAlignment="1">
      <alignment horizontal="center" vertical="center" wrapText="1"/>
    </xf>
    <xf numFmtId="9" fontId="24" fillId="0" borderId="0" xfId="3" applyFont="1" applyAlignment="1">
      <alignment horizontal="center"/>
    </xf>
    <xf numFmtId="178" fontId="24" fillId="0" borderId="9" xfId="0" applyNumberFormat="1" applyFont="1" applyBorder="1"/>
    <xf numFmtId="0" fontId="72" fillId="0" borderId="0" xfId="0" applyFont="1" applyFill="1" applyBorder="1" applyAlignment="1">
      <alignment horizontal="left" vertical="center" wrapText="1"/>
    </xf>
    <xf numFmtId="9" fontId="72" fillId="0" borderId="0" xfId="0" applyNumberFormat="1" applyFont="1" applyFill="1" applyBorder="1" applyAlignment="1">
      <alignment horizontal="center" vertical="center" wrapText="1"/>
    </xf>
    <xf numFmtId="2" fontId="24" fillId="4" borderId="9" xfId="1" applyNumberFormat="1" applyFont="1" applyFill="1" applyBorder="1" applyAlignment="1">
      <alignment horizontal="center"/>
    </xf>
    <xf numFmtId="0" fontId="24" fillId="0" borderId="30" xfId="8" applyFont="1" applyFill="1" applyBorder="1" applyAlignment="1">
      <alignment wrapText="1"/>
    </xf>
    <xf numFmtId="0" fontId="24" fillId="0" borderId="0" xfId="8" applyFont="1" applyFill="1" applyBorder="1" applyAlignment="1">
      <alignment wrapText="1"/>
    </xf>
    <xf numFmtId="0" fontId="44" fillId="0" borderId="0" xfId="0" applyFont="1"/>
    <xf numFmtId="9" fontId="24" fillId="0" borderId="9" xfId="3" applyNumberFormat="1" applyFont="1" applyBorder="1" applyAlignment="1">
      <alignment wrapText="1"/>
    </xf>
    <xf numFmtId="43" fontId="24" fillId="0" borderId="9" xfId="1" applyNumberFormat="1" applyFont="1" applyBorder="1" applyAlignment="1">
      <alignment wrapText="1"/>
    </xf>
    <xf numFmtId="168" fontId="24" fillId="0" borderId="0" xfId="5" applyNumberFormat="1" applyFont="1" applyBorder="1" applyAlignment="1">
      <alignment horizontal="left" vertical="center" wrapText="1"/>
    </xf>
    <xf numFmtId="0" fontId="24" fillId="0" borderId="0" xfId="0" applyFont="1" applyBorder="1" applyAlignment="1">
      <alignment horizontal="left" wrapText="1"/>
    </xf>
    <xf numFmtId="43" fontId="24" fillId="0" borderId="0" xfId="1" applyNumberFormat="1" applyFont="1" applyBorder="1" applyAlignment="1">
      <alignment wrapText="1"/>
    </xf>
    <xf numFmtId="168" fontId="24" fillId="0" borderId="0" xfId="5" applyNumberFormat="1" applyFont="1" applyBorder="1" applyAlignment="1">
      <alignment horizontal="left" vertical="top" wrapText="1"/>
    </xf>
    <xf numFmtId="202" fontId="24" fillId="0" borderId="0" xfId="0" applyNumberFormat="1" applyFont="1" applyBorder="1" applyAlignment="1">
      <alignment horizontal="center" vertical="center" wrapText="1"/>
    </xf>
    <xf numFmtId="0" fontId="29" fillId="0" borderId="9" xfId="8" applyFont="1" applyBorder="1" applyAlignment="1">
      <alignment horizontal="center" vertical="center"/>
    </xf>
    <xf numFmtId="0" fontId="92" fillId="0" borderId="0" xfId="0" applyFont="1"/>
    <xf numFmtId="0" fontId="70" fillId="0" borderId="0" xfId="0" applyFont="1"/>
    <xf numFmtId="0" fontId="93" fillId="0" borderId="0" xfId="0" applyFont="1"/>
    <xf numFmtId="0" fontId="94" fillId="0" borderId="0" xfId="0" applyFont="1"/>
    <xf numFmtId="0" fontId="95" fillId="0" borderId="0" xfId="0" applyFont="1"/>
    <xf numFmtId="200" fontId="4" fillId="0" borderId="9" xfId="8" applyNumberFormat="1" applyFont="1" applyBorder="1" applyAlignment="1">
      <alignment horizontal="center"/>
    </xf>
    <xf numFmtId="39" fontId="4" fillId="0" borderId="9" xfId="0" applyNumberFormat="1" applyFont="1" applyFill="1" applyBorder="1" applyAlignment="1">
      <alignment horizontal="center" vertical="center" wrapText="1"/>
    </xf>
    <xf numFmtId="165" fontId="52" fillId="0" borderId="9" xfId="8" applyNumberFormat="1" applyFont="1" applyFill="1" applyBorder="1" applyAlignment="1">
      <alignment horizontal="left" vertical="center"/>
    </xf>
    <xf numFmtId="0" fontId="57" fillId="19" borderId="19" xfId="0" applyFont="1" applyFill="1" applyBorder="1" applyAlignment="1">
      <alignment horizontal="center" wrapText="1"/>
    </xf>
    <xf numFmtId="0" fontId="44" fillId="19" borderId="9" xfId="0" applyFont="1" applyFill="1" applyBorder="1" applyAlignment="1">
      <alignment horizontal="center" wrapText="1"/>
    </xf>
    <xf numFmtId="0" fontId="0" fillId="0" borderId="0" xfId="0" applyAlignment="1">
      <alignment vertical="center"/>
    </xf>
    <xf numFmtId="205" fontId="0" fillId="26" borderId="0" xfId="0" applyNumberFormat="1" applyFill="1"/>
    <xf numFmtId="43" fontId="4" fillId="0" borderId="0" xfId="0" applyNumberFormat="1" applyFont="1"/>
    <xf numFmtId="205" fontId="0" fillId="28" borderId="0" xfId="0" applyNumberFormat="1" applyFill="1"/>
    <xf numFmtId="43" fontId="0" fillId="0" borderId="0" xfId="1" applyFont="1"/>
    <xf numFmtId="207" fontId="0" fillId="0" borderId="0" xfId="0" applyNumberFormat="1"/>
    <xf numFmtId="205" fontId="0" fillId="25" borderId="0" xfId="0" applyNumberFormat="1" applyFill="1"/>
    <xf numFmtId="206" fontId="0" fillId="25" borderId="0" xfId="0" applyNumberFormat="1" applyFill="1"/>
    <xf numFmtId="0" fontId="4" fillId="25" borderId="0" xfId="0" applyFont="1" applyFill="1"/>
    <xf numFmtId="7" fontId="0" fillId="0" borderId="0" xfId="1" applyNumberFormat="1" applyFont="1"/>
    <xf numFmtId="44" fontId="12" fillId="0" borderId="0" xfId="5" applyNumberFormat="1"/>
    <xf numFmtId="0" fontId="0" fillId="28" borderId="0" xfId="0" applyFill="1"/>
    <xf numFmtId="0" fontId="6" fillId="28" borderId="0" xfId="0" applyFont="1" applyFill="1"/>
    <xf numFmtId="0" fontId="44" fillId="19" borderId="30" xfId="0" applyFont="1" applyFill="1" applyBorder="1" applyAlignment="1">
      <alignment horizontal="center" wrapText="1"/>
    </xf>
    <xf numFmtId="0" fontId="44" fillId="21" borderId="9" xfId="0" applyFont="1" applyFill="1" applyBorder="1" applyAlignment="1">
      <alignment horizontal="center" wrapText="1"/>
    </xf>
    <xf numFmtId="0" fontId="96" fillId="24" borderId="9" xfId="0" applyFont="1" applyFill="1" applyBorder="1" applyAlignment="1">
      <alignment horizontal="center" wrapText="1"/>
    </xf>
    <xf numFmtId="171" fontId="71" fillId="13" borderId="9" xfId="0" applyNumberFormat="1" applyFont="1" applyFill="1" applyBorder="1" applyAlignment="1">
      <alignment horizontal="center" wrapText="1"/>
    </xf>
    <xf numFmtId="171" fontId="71" fillId="13" borderId="9" xfId="2" applyNumberFormat="1" applyFont="1" applyFill="1" applyBorder="1" applyAlignment="1">
      <alignment horizontal="center" wrapText="1"/>
    </xf>
    <xf numFmtId="205" fontId="0" fillId="26" borderId="9" xfId="0" applyNumberFormat="1" applyFill="1" applyBorder="1"/>
    <xf numFmtId="0" fontId="0" fillId="26" borderId="9" xfId="0" applyFill="1" applyBorder="1"/>
    <xf numFmtId="205" fontId="55" fillId="26" borderId="9" xfId="0" applyNumberFormat="1" applyFont="1" applyFill="1" applyBorder="1"/>
    <xf numFmtId="205" fontId="70" fillId="26" borderId="9" xfId="0" applyNumberFormat="1" applyFont="1" applyFill="1" applyBorder="1"/>
    <xf numFmtId="0" fontId="0" fillId="0" borderId="0" xfId="0" applyAlignment="1">
      <alignment vertical="center" wrapText="1"/>
    </xf>
    <xf numFmtId="0" fontId="98" fillId="0" borderId="0" xfId="0" applyFont="1" applyAlignment="1">
      <alignment horizontal="center"/>
    </xf>
    <xf numFmtId="39" fontId="0" fillId="0" borderId="9" xfId="0" applyNumberFormat="1" applyFont="1" applyBorder="1"/>
    <xf numFmtId="43" fontId="71" fillId="27" borderId="20" xfId="1" applyFont="1" applyFill="1" applyBorder="1" applyAlignment="1">
      <alignment horizontal="center" wrapText="1"/>
    </xf>
    <xf numFmtId="165" fontId="0" fillId="0" borderId="9" xfId="0" applyNumberFormat="1" applyBorder="1" applyAlignment="1">
      <alignment horizontal="center"/>
    </xf>
    <xf numFmtId="43" fontId="71" fillId="30" borderId="20" xfId="1" applyFont="1" applyFill="1" applyBorder="1" applyAlignment="1">
      <alignment horizontal="center" wrapText="1"/>
    </xf>
    <xf numFmtId="7" fontId="24" fillId="0" borderId="0" xfId="2" applyNumberFormat="1" applyFont="1" applyFill="1" applyBorder="1" applyAlignment="1">
      <alignment horizontal="center"/>
    </xf>
    <xf numFmtId="44" fontId="24" fillId="0" borderId="0" xfId="0" applyNumberFormat="1" applyFont="1"/>
    <xf numFmtId="0" fontId="4" fillId="0" borderId="0" xfId="0" applyFont="1" applyFill="1"/>
    <xf numFmtId="0" fontId="24" fillId="11" borderId="24" xfId="0" applyFont="1" applyFill="1" applyBorder="1" applyAlignment="1">
      <alignment horizontal="left" vertical="center" wrapText="1"/>
    </xf>
    <xf numFmtId="0" fontId="24" fillId="11" borderId="30" xfId="0" applyFont="1" applyFill="1" applyBorder="1" applyAlignment="1">
      <alignment horizontal="left" vertical="center" wrapText="1"/>
    </xf>
    <xf numFmtId="0" fontId="24" fillId="11" borderId="22" xfId="0" applyFont="1" applyFill="1" applyBorder="1" applyAlignment="1">
      <alignment horizontal="center" vertical="center" wrapText="1"/>
    </xf>
    <xf numFmtId="0" fontId="24" fillId="11" borderId="0" xfId="0" applyFont="1" applyFill="1" applyBorder="1" applyAlignment="1">
      <alignment horizontal="center" vertical="center" wrapText="1"/>
    </xf>
    <xf numFmtId="0" fontId="24" fillId="11" borderId="24" xfId="0" applyFont="1" applyFill="1" applyBorder="1" applyAlignment="1">
      <alignment horizontal="center" vertical="center" wrapText="1"/>
    </xf>
    <xf numFmtId="0" fontId="24" fillId="11" borderId="30" xfId="0" applyFont="1" applyFill="1" applyBorder="1" applyAlignment="1">
      <alignment horizontal="center" vertical="center" wrapText="1"/>
    </xf>
    <xf numFmtId="7" fontId="24" fillId="0" borderId="0" xfId="0" applyNumberFormat="1" applyFont="1" applyFill="1" applyBorder="1"/>
    <xf numFmtId="2" fontId="24" fillId="0" borderId="0" xfId="0" applyNumberFormat="1" applyFont="1" applyFill="1" applyBorder="1" applyAlignment="1"/>
    <xf numFmtId="2" fontId="24" fillId="0" borderId="0" xfId="0" applyNumberFormat="1" applyFont="1" applyFill="1" applyBorder="1" applyAlignment="1">
      <alignment horizontal="left" wrapText="1"/>
    </xf>
    <xf numFmtId="44" fontId="24" fillId="0" borderId="0" xfId="2" applyNumberFormat="1" applyFont="1" applyFill="1" applyBorder="1"/>
    <xf numFmtId="44" fontId="24" fillId="0" borderId="0" xfId="0" applyNumberFormat="1" applyFont="1" applyFill="1" applyBorder="1"/>
    <xf numFmtId="190" fontId="24" fillId="0" borderId="0" xfId="3" applyNumberFormat="1" applyFont="1" applyFill="1" applyBorder="1"/>
    <xf numFmtId="8" fontId="24" fillId="0" borderId="0" xfId="0" applyNumberFormat="1" applyFont="1" applyFill="1" applyBorder="1" applyAlignment="1">
      <alignment horizontal="left"/>
    </xf>
    <xf numFmtId="195" fontId="24" fillId="0" borderId="0" xfId="0" applyNumberFormat="1" applyFont="1" applyFill="1" applyBorder="1" applyAlignment="1">
      <alignment horizontal="center"/>
    </xf>
    <xf numFmtId="5" fontId="4" fillId="4" borderId="9" xfId="2" applyNumberFormat="1" applyFont="1" applyFill="1" applyBorder="1" applyAlignment="1">
      <alignment horizontal="center"/>
    </xf>
    <xf numFmtId="6" fontId="24" fillId="4" borderId="0" xfId="0" applyNumberFormat="1" applyFont="1" applyFill="1" applyBorder="1"/>
    <xf numFmtId="0" fontId="24" fillId="4" borderId="75" xfId="8" quotePrefix="1" applyFont="1" applyFill="1" applyBorder="1" applyAlignment="1">
      <alignment wrapText="1"/>
    </xf>
    <xf numFmtId="0" fontId="24" fillId="4" borderId="46" xfId="8" applyFont="1" applyFill="1" applyBorder="1" applyAlignment="1"/>
    <xf numFmtId="0" fontId="24" fillId="4" borderId="15" xfId="8" applyFont="1" applyFill="1" applyBorder="1" applyAlignment="1"/>
    <xf numFmtId="2" fontId="0" fillId="4" borderId="16" xfId="1" applyNumberFormat="1" applyFont="1" applyFill="1" applyBorder="1" applyAlignment="1">
      <alignment horizontal="center"/>
    </xf>
    <xf numFmtId="7" fontId="0" fillId="4" borderId="17" xfId="0" applyNumberFormat="1" applyFont="1" applyFill="1" applyBorder="1"/>
    <xf numFmtId="44" fontId="0" fillId="4" borderId="18" xfId="2" applyFont="1" applyFill="1" applyBorder="1"/>
    <xf numFmtId="0" fontId="0" fillId="0" borderId="54" xfId="0" applyBorder="1" applyAlignment="1">
      <alignment horizontal="left" vertical="center" wrapText="1"/>
    </xf>
    <xf numFmtId="0" fontId="24" fillId="16" borderId="19" xfId="0" applyFont="1" applyFill="1" applyBorder="1" applyAlignment="1">
      <alignment horizontal="left" vertical="top" wrapText="1"/>
    </xf>
    <xf numFmtId="0" fontId="24" fillId="4" borderId="20" xfId="0" applyFont="1" applyFill="1" applyBorder="1"/>
    <xf numFmtId="39" fontId="4" fillId="0" borderId="9" xfId="0" applyNumberFormat="1" applyFont="1" applyBorder="1"/>
    <xf numFmtId="0" fontId="24" fillId="4" borderId="9" xfId="0" applyFont="1" applyFill="1" applyBorder="1" applyAlignment="1">
      <alignment vertical="center"/>
    </xf>
    <xf numFmtId="0" fontId="0" fillId="21" borderId="0" xfId="0" applyFill="1" applyAlignment="1">
      <alignment horizontal="center" vertical="center"/>
    </xf>
    <xf numFmtId="0" fontId="0" fillId="21" borderId="0" xfId="0" applyFill="1" applyAlignment="1">
      <alignment horizontal="left" vertical="center" wrapText="1"/>
    </xf>
    <xf numFmtId="0" fontId="24" fillId="0" borderId="16" xfId="8" applyFont="1" applyBorder="1" applyAlignment="1">
      <alignment horizontal="center"/>
    </xf>
    <xf numFmtId="0" fontId="24" fillId="4" borderId="19" xfId="0" applyFont="1" applyFill="1" applyBorder="1" applyAlignment="1">
      <alignment horizontal="center" vertical="center" wrapText="1"/>
    </xf>
    <xf numFmtId="0" fontId="0" fillId="4" borderId="0" xfId="0" applyFont="1" applyFill="1" applyAlignment="1">
      <alignment horizontal="center"/>
    </xf>
    <xf numFmtId="0" fontId="0" fillId="0" borderId="0" xfId="0" applyFont="1" applyFill="1" applyAlignment="1">
      <alignment horizontal="center"/>
    </xf>
    <xf numFmtId="0" fontId="0" fillId="0" borderId="0" xfId="0" applyFont="1" applyFill="1" applyAlignment="1">
      <alignment vertical="center"/>
    </xf>
    <xf numFmtId="0" fontId="0" fillId="0" borderId="0" xfId="0" applyFont="1" applyFill="1" applyAlignment="1">
      <alignment vertical="center" wrapText="1"/>
    </xf>
    <xf numFmtId="0" fontId="0" fillId="0" borderId="0" xfId="0" applyFill="1" applyAlignment="1">
      <alignment horizontal="center"/>
    </xf>
    <xf numFmtId="0" fontId="0" fillId="0" borderId="0" xfId="0" applyFill="1" applyAlignment="1">
      <alignment vertical="center"/>
    </xf>
    <xf numFmtId="0" fontId="0" fillId="0" borderId="0" xfId="0" applyFill="1" applyAlignment="1">
      <alignment vertical="center" wrapText="1"/>
    </xf>
    <xf numFmtId="0" fontId="0" fillId="4" borderId="4" xfId="0" applyFont="1" applyFill="1" applyBorder="1" applyAlignment="1">
      <alignment horizontal="left" vertical="top" wrapText="1"/>
    </xf>
    <xf numFmtId="0" fontId="0" fillId="4" borderId="4" xfId="0" applyFont="1" applyFill="1" applyBorder="1"/>
    <xf numFmtId="0" fontId="0" fillId="4" borderId="9" xfId="0" applyFont="1" applyFill="1" applyBorder="1"/>
    <xf numFmtId="0" fontId="0" fillId="4" borderId="23" xfId="0" applyFont="1" applyFill="1" applyBorder="1"/>
    <xf numFmtId="0" fontId="0" fillId="4" borderId="19" xfId="0" applyFont="1" applyFill="1" applyBorder="1"/>
    <xf numFmtId="0" fontId="0" fillId="4" borderId="19" xfId="0" applyFont="1" applyFill="1" applyBorder="1" applyAlignment="1">
      <alignment horizontal="left" vertical="top" wrapText="1"/>
    </xf>
    <xf numFmtId="0" fontId="0" fillId="4" borderId="14" xfId="0" applyFont="1" applyFill="1" applyBorder="1" applyAlignment="1">
      <alignment horizontal="left" vertical="top" wrapText="1"/>
    </xf>
    <xf numFmtId="0" fontId="0" fillId="4" borderId="14" xfId="0" applyFont="1" applyFill="1" applyBorder="1"/>
    <xf numFmtId="2" fontId="0" fillId="4" borderId="4" xfId="0" applyNumberFormat="1" applyFont="1" applyFill="1" applyBorder="1" applyAlignment="1">
      <alignment horizontal="center"/>
    </xf>
    <xf numFmtId="2" fontId="0" fillId="4" borderId="14" xfId="0" applyNumberFormat="1" applyFont="1" applyFill="1" applyBorder="1" applyAlignment="1">
      <alignment horizontal="center"/>
    </xf>
    <xf numFmtId="0" fontId="0" fillId="4" borderId="4" xfId="0" applyFont="1" applyFill="1" applyBorder="1" applyAlignment="1"/>
    <xf numFmtId="0" fontId="0" fillId="4" borderId="5" xfId="0" applyFont="1" applyFill="1" applyBorder="1" applyAlignment="1"/>
    <xf numFmtId="0" fontId="0" fillId="4" borderId="9" xfId="0" applyFont="1" applyFill="1" applyBorder="1" applyAlignment="1"/>
    <xf numFmtId="0" fontId="0" fillId="4" borderId="10" xfId="0" applyFont="1" applyFill="1" applyBorder="1" applyAlignment="1"/>
    <xf numFmtId="0" fontId="0" fillId="4" borderId="19" xfId="0" applyFont="1" applyFill="1" applyBorder="1" applyAlignment="1"/>
    <xf numFmtId="0" fontId="0" fillId="4" borderId="46" xfId="0" applyFont="1" applyFill="1" applyBorder="1" applyAlignment="1"/>
    <xf numFmtId="39" fontId="0" fillId="4" borderId="4" xfId="1" applyNumberFormat="1" applyFont="1" applyFill="1" applyBorder="1" applyAlignment="1">
      <alignment horizontal="left" vertical="top"/>
    </xf>
    <xf numFmtId="39" fontId="0" fillId="4" borderId="9" xfId="1" applyNumberFormat="1" applyFont="1" applyFill="1" applyBorder="1" applyAlignment="1">
      <alignment horizontal="left" vertical="top"/>
    </xf>
    <xf numFmtId="39" fontId="0" fillId="4" borderId="19" xfId="1" applyNumberFormat="1" applyFont="1" applyFill="1" applyBorder="1" applyAlignment="1">
      <alignment horizontal="left" vertical="top"/>
    </xf>
    <xf numFmtId="0" fontId="0" fillId="4" borderId="33" xfId="0" applyFont="1" applyFill="1" applyBorder="1" applyAlignment="1"/>
    <xf numFmtId="0" fontId="0" fillId="4" borderId="54" xfId="0" applyFont="1" applyFill="1" applyBorder="1" applyAlignment="1"/>
    <xf numFmtId="7" fontId="0" fillId="4" borderId="4" xfId="2" applyNumberFormat="1" applyFont="1" applyFill="1" applyBorder="1" applyAlignment="1">
      <alignment horizontal="center"/>
    </xf>
    <xf numFmtId="7" fontId="0" fillId="4" borderId="0" xfId="0" applyNumberFormat="1" applyFont="1" applyFill="1" applyBorder="1" applyAlignment="1">
      <alignment horizontal="center"/>
    </xf>
    <xf numFmtId="7" fontId="0" fillId="4" borderId="9" xfId="2" applyNumberFormat="1" applyFont="1" applyFill="1" applyBorder="1" applyAlignment="1">
      <alignment horizontal="center"/>
    </xf>
    <xf numFmtId="7" fontId="0" fillId="4" borderId="19" xfId="2" applyNumberFormat="1" applyFont="1" applyFill="1" applyBorder="1" applyAlignment="1">
      <alignment horizontal="center"/>
    </xf>
    <xf numFmtId="7" fontId="0" fillId="4" borderId="14" xfId="2" applyNumberFormat="1" applyFont="1" applyFill="1" applyBorder="1" applyAlignment="1">
      <alignment horizontal="center"/>
    </xf>
    <xf numFmtId="0" fontId="0" fillId="4" borderId="15" xfId="0" applyFont="1" applyFill="1" applyBorder="1" applyAlignment="1"/>
    <xf numFmtId="9" fontId="4" fillId="4" borderId="19" xfId="0" applyNumberFormat="1" applyFont="1" applyFill="1" applyBorder="1" applyAlignment="1">
      <alignment horizontal="left" vertical="top"/>
    </xf>
    <xf numFmtId="9" fontId="4" fillId="4" borderId="30" xfId="0" applyNumberFormat="1" applyFont="1" applyFill="1" applyBorder="1" applyAlignment="1">
      <alignment horizontal="left" vertical="top"/>
    </xf>
    <xf numFmtId="39" fontId="4" fillId="4" borderId="19" xfId="1" applyNumberFormat="1" applyFont="1" applyFill="1" applyBorder="1" applyAlignment="1">
      <alignment horizontal="center" vertical="top"/>
    </xf>
    <xf numFmtId="39" fontId="4" fillId="4" borderId="14" xfId="1" applyNumberFormat="1" applyFont="1" applyFill="1" applyBorder="1" applyAlignment="1">
      <alignment horizontal="center" vertical="top"/>
    </xf>
    <xf numFmtId="39" fontId="24" fillId="4" borderId="23" xfId="1" applyNumberFormat="1" applyFont="1" applyFill="1" applyBorder="1" applyAlignment="1">
      <alignment horizontal="center" vertical="top"/>
    </xf>
    <xf numFmtId="39" fontId="4" fillId="4" borderId="23" xfId="1" applyNumberFormat="1" applyFont="1" applyFill="1" applyBorder="1" applyAlignment="1">
      <alignment horizontal="center" vertical="top"/>
    </xf>
    <xf numFmtId="5" fontId="4" fillId="4" borderId="19" xfId="2" applyNumberFormat="1" applyFont="1" applyFill="1" applyBorder="1" applyAlignment="1">
      <alignment horizontal="center"/>
    </xf>
    <xf numFmtId="7" fontId="4" fillId="4" borderId="0" xfId="0" applyNumberFormat="1" applyFont="1" applyFill="1" applyBorder="1" applyAlignment="1">
      <alignment horizontal="center"/>
    </xf>
    <xf numFmtId="7" fontId="4" fillId="4" borderId="19" xfId="2" applyNumberFormat="1" applyFont="1" applyFill="1" applyBorder="1" applyAlignment="1">
      <alignment horizontal="center"/>
    </xf>
    <xf numFmtId="7" fontId="4" fillId="4" borderId="14" xfId="2" applyNumberFormat="1" applyFont="1" applyFill="1" applyBorder="1" applyAlignment="1">
      <alignment horizontal="center"/>
    </xf>
    <xf numFmtId="7" fontId="4" fillId="4" borderId="23" xfId="2" applyNumberFormat="1" applyFont="1" applyFill="1" applyBorder="1" applyAlignment="1">
      <alignment horizontal="center"/>
    </xf>
    <xf numFmtId="5" fontId="24" fillId="4" borderId="4" xfId="2" applyNumberFormat="1" applyFont="1" applyFill="1" applyBorder="1" applyAlignment="1">
      <alignment horizontal="center"/>
    </xf>
    <xf numFmtId="197" fontId="4" fillId="4" borderId="4" xfId="2" applyNumberFormat="1" applyFont="1" applyFill="1" applyBorder="1" applyAlignment="1">
      <alignment horizontal="center"/>
    </xf>
    <xf numFmtId="5" fontId="4" fillId="4" borderId="4" xfId="2" applyNumberFormat="1" applyFont="1" applyFill="1" applyBorder="1" applyAlignment="1">
      <alignment horizontal="center"/>
    </xf>
    <xf numFmtId="197" fontId="24" fillId="0" borderId="0" xfId="0" applyNumberFormat="1" applyFont="1" applyBorder="1" applyAlignment="1"/>
    <xf numFmtId="197" fontId="4" fillId="4" borderId="0" xfId="0" applyNumberFormat="1" applyFont="1" applyFill="1" applyBorder="1" applyAlignment="1"/>
    <xf numFmtId="2" fontId="24" fillId="4" borderId="22" xfId="1" applyNumberFormat="1" applyFont="1" applyFill="1" applyBorder="1"/>
    <xf numFmtId="2" fontId="24" fillId="4" borderId="16" xfId="1" applyNumberFormat="1" applyFont="1" applyFill="1" applyBorder="1" applyAlignment="1">
      <alignment horizontal="center"/>
    </xf>
    <xf numFmtId="14" fontId="10" fillId="0" borderId="9" xfId="0" applyNumberFormat="1" applyFont="1" applyBorder="1" applyAlignment="1">
      <alignment horizontal="center" vertical="center" wrapText="1"/>
    </xf>
    <xf numFmtId="168" fontId="24" fillId="0" borderId="23" xfId="0" applyNumberFormat="1" applyFont="1" applyBorder="1" applyAlignment="1">
      <alignment horizontal="center"/>
    </xf>
    <xf numFmtId="0" fontId="24" fillId="32" borderId="9" xfId="0" applyFont="1" applyFill="1" applyBorder="1"/>
    <xf numFmtId="0" fontId="0" fillId="18" borderId="0" xfId="0" applyFill="1"/>
    <xf numFmtId="2" fontId="0" fillId="0" borderId="80" xfId="1" applyNumberFormat="1" applyFont="1" applyBorder="1" applyAlignment="1">
      <alignment horizontal="center"/>
    </xf>
    <xf numFmtId="0" fontId="24" fillId="4" borderId="81" xfId="8" applyFont="1" applyFill="1" applyBorder="1" applyAlignment="1">
      <alignment horizontal="left"/>
    </xf>
    <xf numFmtId="44" fontId="0" fillId="0" borderId="82" xfId="2" applyFont="1" applyFill="1" applyBorder="1"/>
    <xf numFmtId="170" fontId="4" fillId="0" borderId="9" xfId="5" applyNumberFormat="1" applyFont="1" applyFill="1" applyBorder="1" applyAlignment="1">
      <alignment horizontal="center"/>
    </xf>
    <xf numFmtId="2" fontId="0" fillId="0" borderId="83" xfId="1" applyNumberFormat="1" applyFont="1" applyBorder="1" applyAlignment="1">
      <alignment horizontal="center"/>
    </xf>
    <xf numFmtId="0" fontId="24" fillId="4" borderId="84" xfId="8" applyFont="1" applyFill="1" applyBorder="1" applyAlignment="1">
      <alignment horizontal="left"/>
    </xf>
    <xf numFmtId="44" fontId="0" fillId="0" borderId="84" xfId="2" applyFont="1" applyFill="1" applyBorder="1"/>
    <xf numFmtId="205" fontId="4" fillId="26" borderId="9" xfId="0" applyNumberFormat="1" applyFont="1" applyFill="1" applyBorder="1"/>
    <xf numFmtId="171" fontId="4" fillId="17" borderId="9" xfId="2" applyNumberFormat="1" applyFont="1" applyFill="1" applyBorder="1" applyAlignment="1">
      <alignment horizontal="center"/>
    </xf>
    <xf numFmtId="171" fontId="4" fillId="4" borderId="9" xfId="5" applyNumberFormat="1" applyFont="1" applyFill="1" applyBorder="1" applyAlignment="1">
      <alignment horizontal="center"/>
    </xf>
    <xf numFmtId="1" fontId="4" fillId="4" borderId="9" xfId="0" applyNumberFormat="1" applyFont="1" applyFill="1" applyBorder="1"/>
    <xf numFmtId="0" fontId="0" fillId="0" borderId="0" xfId="0"/>
    <xf numFmtId="0" fontId="12" fillId="0" borderId="0" xfId="5"/>
    <xf numFmtId="2" fontId="12" fillId="0" borderId="0" xfId="5" applyNumberFormat="1" applyAlignment="1">
      <alignment horizontal="center"/>
    </xf>
    <xf numFmtId="0" fontId="12" fillId="0" borderId="0" xfId="5" applyFill="1"/>
    <xf numFmtId="0" fontId="1" fillId="0" borderId="0" xfId="6" applyFont="1"/>
    <xf numFmtId="0" fontId="24" fillId="0" borderId="0" xfId="5" applyFont="1" applyFill="1" applyBorder="1"/>
    <xf numFmtId="0" fontId="5" fillId="12" borderId="0" xfId="0" applyFont="1" applyFill="1"/>
    <xf numFmtId="167" fontId="5" fillId="12" borderId="0" xfId="0" applyNumberFormat="1" applyFont="1" applyFill="1"/>
    <xf numFmtId="2" fontId="0" fillId="8" borderId="9" xfId="1" applyNumberFormat="1" applyFont="1" applyFill="1" applyBorder="1" applyAlignment="1">
      <alignment horizontal="center"/>
    </xf>
    <xf numFmtId="2" fontId="0" fillId="0" borderId="9" xfId="0" applyNumberFormat="1" applyFont="1" applyBorder="1"/>
    <xf numFmtId="2" fontId="4" fillId="0" borderId="9" xfId="0" applyNumberFormat="1" applyFont="1" applyBorder="1"/>
    <xf numFmtId="0" fontId="0" fillId="0" borderId="9" xfId="0" applyFont="1" applyBorder="1"/>
    <xf numFmtId="0" fontId="0" fillId="0" borderId="0" xfId="0" applyFont="1"/>
    <xf numFmtId="170" fontId="24"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2" fontId="0" fillId="0" borderId="20" xfId="1" applyNumberFormat="1" applyFont="1" applyBorder="1" applyAlignment="1">
      <alignment horizontal="center"/>
    </xf>
    <xf numFmtId="44" fontId="0" fillId="0" borderId="21" xfId="2" applyFont="1" applyFill="1" applyBorder="1"/>
    <xf numFmtId="2" fontId="24" fillId="0" borderId="9" xfId="0" applyNumberFormat="1" applyFont="1" applyBorder="1"/>
    <xf numFmtId="0" fontId="24" fillId="4" borderId="23" xfId="8" applyFont="1" applyFill="1" applyBorder="1" applyAlignment="1">
      <alignment horizontal="left"/>
    </xf>
    <xf numFmtId="44" fontId="0" fillId="0" borderId="24" xfId="2" applyFont="1" applyFill="1" applyBorder="1"/>
    <xf numFmtId="44" fontId="0" fillId="0" borderId="26" xfId="2" applyFont="1" applyFill="1" applyBorder="1"/>
    <xf numFmtId="2" fontId="4" fillId="0" borderId="9" xfId="0" applyNumberFormat="1" applyFont="1" applyBorder="1" applyAlignment="1">
      <alignment horizontal="center"/>
    </xf>
    <xf numFmtId="165" fontId="4" fillId="0" borderId="9" xfId="0" applyNumberFormat="1" applyFont="1" applyBorder="1" applyAlignment="1">
      <alignment horizontal="center"/>
    </xf>
    <xf numFmtId="2" fontId="0" fillId="8" borderId="9" xfId="1" applyNumberFormat="1" applyFont="1" applyFill="1" applyBorder="1"/>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171" fontId="0" fillId="4" borderId="9" xfId="5" applyNumberFormat="1" applyFont="1" applyFill="1" applyBorder="1" applyAlignment="1">
      <alignment horizontal="center"/>
    </xf>
    <xf numFmtId="0" fontId="4" fillId="0" borderId="9" xfId="0" applyFont="1" applyBorder="1"/>
    <xf numFmtId="39" fontId="24" fillId="0" borderId="9" xfId="5" applyNumberFormat="1" applyFont="1" applyFill="1" applyBorder="1" applyAlignment="1">
      <alignment horizontal="center"/>
    </xf>
    <xf numFmtId="0" fontId="4" fillId="4" borderId="9" xfId="0" applyFont="1" applyFill="1" applyBorder="1"/>
    <xf numFmtId="43" fontId="4" fillId="0" borderId="9" xfId="1" applyNumberFormat="1" applyFont="1" applyBorder="1"/>
    <xf numFmtId="0" fontId="24" fillId="0" borderId="9" xfId="0" applyFont="1" applyBorder="1"/>
    <xf numFmtId="43" fontId="4" fillId="0" borderId="9" xfId="1" applyFont="1" applyBorder="1"/>
    <xf numFmtId="165" fontId="0" fillId="0" borderId="9" xfId="0" applyNumberFormat="1" applyFont="1" applyBorder="1" applyAlignment="1">
      <alignment horizontal="center"/>
    </xf>
    <xf numFmtId="0" fontId="39" fillId="0" borderId="0" xfId="5" applyFont="1"/>
    <xf numFmtId="0" fontId="24" fillId="0" borderId="0" xfId="5" applyFont="1"/>
    <xf numFmtId="168" fontId="24" fillId="4" borderId="9" xfId="5" applyNumberFormat="1" applyFont="1" applyFill="1" applyBorder="1" applyAlignment="1">
      <alignment horizontal="center" vertical="center"/>
    </xf>
    <xf numFmtId="0" fontId="39" fillId="0" borderId="0" xfId="5" applyFont="1" applyAlignment="1">
      <alignment wrapText="1"/>
    </xf>
    <xf numFmtId="166" fontId="39" fillId="0" borderId="0" xfId="5" applyNumberFormat="1" applyFont="1" applyAlignment="1">
      <alignment horizontal="center"/>
    </xf>
    <xf numFmtId="2" fontId="24" fillId="7" borderId="9" xfId="11" applyNumberFormat="1" applyFont="1" applyFill="1" applyBorder="1" applyAlignment="1">
      <alignment horizontal="center" vertical="center"/>
    </xf>
    <xf numFmtId="205" fontId="0" fillId="0" borderId="0" xfId="0" applyNumberFormat="1"/>
    <xf numFmtId="206" fontId="0" fillId="0" borderId="0" xfId="0" applyNumberFormat="1"/>
    <xf numFmtId="43" fontId="97" fillId="0" borderId="9" xfId="1" applyFont="1" applyBorder="1"/>
    <xf numFmtId="205" fontId="97" fillId="0" borderId="9" xfId="0" applyNumberFormat="1" applyFont="1" applyBorder="1"/>
    <xf numFmtId="0" fontId="4" fillId="0" borderId="9" xfId="0" applyFont="1" applyBorder="1" applyAlignment="1">
      <alignment horizontal="center"/>
    </xf>
    <xf numFmtId="205" fontId="4" fillId="0" borderId="9" xfId="0" applyNumberFormat="1" applyFont="1" applyBorder="1"/>
    <xf numFmtId="2" fontId="100" fillId="7" borderId="9" xfId="11" applyNumberFormat="1" applyFont="1" applyFill="1" applyBorder="1" applyAlignment="1">
      <alignment horizontal="center" vertical="center"/>
    </xf>
    <xf numFmtId="0" fontId="25" fillId="0" borderId="0" xfId="5" applyFont="1"/>
    <xf numFmtId="2" fontId="0" fillId="0" borderId="30" xfId="1" applyNumberFormat="1" applyFont="1" applyBorder="1" applyAlignment="1">
      <alignment horizontal="center"/>
    </xf>
    <xf numFmtId="2" fontId="0" fillId="0" borderId="23" xfId="1" applyNumberFormat="1" applyFont="1" applyBorder="1" applyAlignment="1">
      <alignment horizontal="center"/>
    </xf>
    <xf numFmtId="39" fontId="4" fillId="0" borderId="9" xfId="5" applyNumberFormat="1" applyFont="1" applyBorder="1" applyAlignment="1">
      <alignment horizontal="center"/>
    </xf>
    <xf numFmtId="44" fontId="4" fillId="0" borderId="9" xfId="2" applyFont="1" applyBorder="1"/>
    <xf numFmtId="0" fontId="24" fillId="11" borderId="16" xfId="5" applyFont="1" applyFill="1" applyBorder="1" applyAlignment="1">
      <alignment horizontal="center" vertical="center" wrapText="1"/>
    </xf>
    <xf numFmtId="0" fontId="24" fillId="11" borderId="18" xfId="5" applyFont="1" applyFill="1" applyBorder="1" applyAlignment="1">
      <alignment horizontal="center" vertical="center" wrapText="1"/>
    </xf>
    <xf numFmtId="44" fontId="0" fillId="0" borderId="9" xfId="2" applyFont="1" applyFill="1" applyBorder="1"/>
    <xf numFmtId="189" fontId="24" fillId="7" borderId="9" xfId="5" applyNumberFormat="1" applyFont="1" applyFill="1" applyBorder="1" applyAlignment="1">
      <alignment horizontal="center"/>
    </xf>
    <xf numFmtId="168" fontId="24" fillId="0" borderId="9" xfId="5" applyNumberFormat="1" applyFont="1" applyFill="1" applyBorder="1" applyAlignment="1">
      <alignment horizontal="left"/>
    </xf>
    <xf numFmtId="171" fontId="24" fillId="4" borderId="9" xfId="5" quotePrefix="1" applyNumberFormat="1" applyFont="1" applyFill="1" applyBorder="1" applyAlignment="1">
      <alignment horizontal="center"/>
    </xf>
    <xf numFmtId="0" fontId="24" fillId="0" borderId="9" xfId="6" applyFont="1" applyFill="1" applyBorder="1" applyAlignment="1">
      <alignment horizontal="center" vertical="center" wrapText="1"/>
    </xf>
    <xf numFmtId="0" fontId="24" fillId="0" borderId="9" xfId="5" applyFont="1" applyFill="1" applyBorder="1" applyAlignment="1">
      <alignment horizontal="left" vertical="center" wrapText="1"/>
    </xf>
    <xf numFmtId="169" fontId="24" fillId="0" borderId="16" xfId="5" applyNumberFormat="1" applyFont="1" applyBorder="1" applyAlignment="1">
      <alignment horizontal="center"/>
    </xf>
    <xf numFmtId="165" fontId="24" fillId="0" borderId="9" xfId="6" applyNumberFormat="1" applyFont="1" applyBorder="1" applyAlignment="1">
      <alignment horizontal="center"/>
    </xf>
    <xf numFmtId="37" fontId="24" fillId="0" borderId="9" xfId="5" applyNumberFormat="1" applyFont="1" applyBorder="1" applyAlignment="1">
      <alignment horizontal="center"/>
    </xf>
    <xf numFmtId="0" fontId="24" fillId="0" borderId="9" xfId="5" applyFont="1" applyBorder="1" applyAlignment="1">
      <alignment horizontal="center"/>
    </xf>
    <xf numFmtId="178" fontId="24" fillId="0" borderId="16" xfId="5" applyNumberFormat="1" applyFont="1" applyBorder="1" applyAlignment="1">
      <alignment horizontal="center"/>
    </xf>
    <xf numFmtId="1" fontId="24" fillId="0" borderId="9" xfId="6" applyNumberFormat="1" applyFont="1" applyBorder="1" applyAlignment="1">
      <alignment horizontal="center" vertical="center" wrapText="1"/>
    </xf>
    <xf numFmtId="0" fontId="24" fillId="0" borderId="9" xfId="5" applyNumberFormat="1" applyFont="1" applyFill="1" applyBorder="1"/>
    <xf numFmtId="171" fontId="0" fillId="0" borderId="9" xfId="0" applyNumberFormat="1" applyFont="1" applyBorder="1"/>
    <xf numFmtId="168" fontId="24" fillId="4" borderId="9" xfId="0" applyNumberFormat="1"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3" fontId="24" fillId="0" borderId="18" xfId="0" applyNumberFormat="1" applyFont="1" applyFill="1" applyBorder="1" applyAlignment="1">
      <alignment horizontal="center" vertical="center" wrapText="1"/>
    </xf>
    <xf numFmtId="2" fontId="0" fillId="0" borderId="9" xfId="0" applyNumberFormat="1" applyFont="1" applyFill="1" applyBorder="1"/>
    <xf numFmtId="0" fontId="4" fillId="0" borderId="9" xfId="0" applyFont="1" applyFill="1" applyBorder="1"/>
    <xf numFmtId="0" fontId="4" fillId="0" borderId="0" xfId="0" applyFont="1" applyAlignment="1">
      <alignment horizontal="center"/>
    </xf>
    <xf numFmtId="10" fontId="32" fillId="0" borderId="4" xfId="7" applyNumberFormat="1" applyFont="1" applyFill="1" applyBorder="1" applyAlignment="1">
      <alignment horizontal="center" vertical="center" wrapText="1"/>
    </xf>
    <xf numFmtId="9" fontId="32" fillId="0" borderId="23" xfId="7" applyFont="1" applyFill="1" applyBorder="1" applyAlignment="1">
      <alignment horizontal="center" vertical="center" wrapText="1"/>
    </xf>
    <xf numFmtId="0" fontId="29" fillId="4" borderId="23" xfId="8" applyFont="1" applyFill="1" applyBorder="1" applyAlignment="1">
      <alignment horizontal="left"/>
    </xf>
    <xf numFmtId="168" fontId="24" fillId="4" borderId="26" xfId="5" applyNumberFormat="1" applyFont="1" applyFill="1" applyBorder="1" applyAlignment="1">
      <alignment horizontal="center" vertical="center" wrapText="1"/>
    </xf>
    <xf numFmtId="9" fontId="32" fillId="4" borderId="23" xfId="7" applyFont="1" applyFill="1" applyBorder="1" applyAlignment="1">
      <alignment horizontal="center" vertical="center" wrapText="1"/>
    </xf>
    <xf numFmtId="9" fontId="32" fillId="0" borderId="4" xfId="7" applyFont="1" applyFill="1" applyBorder="1" applyAlignment="1">
      <alignment horizontal="center" vertical="center" wrapText="1"/>
    </xf>
    <xf numFmtId="168" fontId="24" fillId="0" borderId="60" xfId="5" applyNumberFormat="1" applyFont="1" applyBorder="1" applyAlignment="1">
      <alignment horizontal="center" vertical="center"/>
    </xf>
    <xf numFmtId="39" fontId="24" fillId="0" borderId="33" xfId="5" applyNumberFormat="1" applyFont="1" applyFill="1" applyBorder="1" applyAlignment="1">
      <alignment horizontal="center"/>
    </xf>
    <xf numFmtId="0" fontId="29" fillId="4" borderId="33" xfId="8" applyFont="1" applyFill="1" applyBorder="1" applyAlignment="1">
      <alignment horizontal="left"/>
    </xf>
    <xf numFmtId="165" fontId="24" fillId="4" borderId="33" xfId="0" applyNumberFormat="1" applyFont="1" applyFill="1" applyBorder="1" applyAlignment="1">
      <alignment horizontal="center" vertical="center" wrapText="1"/>
    </xf>
    <xf numFmtId="10" fontId="27" fillId="0" borderId="23" xfId="7" applyNumberFormat="1" applyFont="1" applyFill="1" applyBorder="1" applyAlignment="1">
      <alignment horizontal="center" vertical="center" wrapText="1"/>
    </xf>
    <xf numFmtId="185" fontId="29" fillId="4" borderId="23" xfId="2" applyNumberFormat="1" applyFont="1" applyFill="1" applyBorder="1"/>
    <xf numFmtId="10" fontId="32" fillId="0" borderId="33" xfId="7" applyNumberFormat="1" applyFont="1" applyFill="1" applyBorder="1" applyAlignment="1">
      <alignment horizontal="center" vertical="center" wrapText="1"/>
    </xf>
    <xf numFmtId="168" fontId="1" fillId="0" borderId="60" xfId="5" applyNumberFormat="1" applyFont="1" applyBorder="1" applyAlignment="1">
      <alignment horizontal="center" vertical="center"/>
    </xf>
    <xf numFmtId="39" fontId="1" fillId="0" borderId="33" xfId="5" applyNumberFormat="1" applyFont="1" applyFill="1" applyBorder="1" applyAlignment="1">
      <alignment horizontal="center"/>
    </xf>
    <xf numFmtId="39" fontId="4" fillId="0" borderId="33" xfId="5" applyNumberFormat="1" applyFont="1" applyFill="1" applyBorder="1" applyAlignment="1">
      <alignment horizontal="center"/>
    </xf>
    <xf numFmtId="9" fontId="32" fillId="0" borderId="14" xfId="7" applyFont="1" applyFill="1" applyBorder="1" applyAlignment="1">
      <alignment horizontal="center" vertical="center" wrapText="1"/>
    </xf>
    <xf numFmtId="2" fontId="38" fillId="0" borderId="9" xfId="12" applyNumberFormat="1" applyFont="1" applyFill="1" applyBorder="1" applyAlignment="1">
      <alignment horizontal="center"/>
    </xf>
    <xf numFmtId="165" fontId="1" fillId="4" borderId="9" xfId="13" applyNumberFormat="1" applyFont="1" applyFill="1" applyBorder="1" applyAlignment="1">
      <alignment horizontal="left" vertical="center" wrapText="1"/>
    </xf>
    <xf numFmtId="0" fontId="1" fillId="4" borderId="9" xfId="13" applyFont="1" applyFill="1" applyBorder="1" applyAlignment="1">
      <alignment horizontal="center"/>
    </xf>
    <xf numFmtId="0" fontId="4" fillId="0" borderId="9" xfId="13" applyFont="1" applyFill="1" applyBorder="1" applyAlignment="1">
      <alignment horizontal="center"/>
    </xf>
    <xf numFmtId="0" fontId="1" fillId="0" borderId="9" xfId="13" applyFont="1" applyFill="1" applyBorder="1" applyAlignment="1">
      <alignment horizontal="center"/>
    </xf>
    <xf numFmtId="9" fontId="1" fillId="4" borderId="9" xfId="13" applyNumberFormat="1" applyFont="1" applyFill="1" applyBorder="1" applyAlignment="1">
      <alignment horizontal="center"/>
    </xf>
    <xf numFmtId="9" fontId="1" fillId="0" borderId="9" xfId="13" applyNumberFormat="1" applyFont="1" applyFill="1" applyBorder="1" applyAlignment="1">
      <alignment horizontal="center"/>
    </xf>
    <xf numFmtId="2" fontId="1" fillId="4" borderId="9" xfId="13" applyNumberFormat="1" applyFont="1" applyFill="1" applyBorder="1" applyAlignment="1">
      <alignment horizontal="center"/>
    </xf>
    <xf numFmtId="2" fontId="1" fillId="0" borderId="9" xfId="13" applyNumberFormat="1" applyFont="1" applyFill="1" applyBorder="1" applyAlignment="1">
      <alignment horizontal="center"/>
    </xf>
    <xf numFmtId="2" fontId="4" fillId="0" borderId="9" xfId="13" applyNumberFormat="1" applyFont="1" applyFill="1" applyBorder="1" applyAlignment="1">
      <alignment horizontal="center"/>
    </xf>
    <xf numFmtId="0" fontId="4" fillId="4" borderId="9" xfId="13" applyFont="1" applyFill="1" applyBorder="1" applyAlignment="1">
      <alignment horizontal="center"/>
    </xf>
    <xf numFmtId="0" fontId="1" fillId="0" borderId="0" xfId="13" applyFont="1" applyFill="1"/>
    <xf numFmtId="0" fontId="24" fillId="0" borderId="18" xfId="0" applyFont="1" applyFill="1" applyBorder="1" applyAlignment="1">
      <alignment wrapText="1"/>
    </xf>
    <xf numFmtId="9" fontId="30" fillId="0" borderId="16" xfId="3" applyFont="1" applyFill="1" applyBorder="1" applyAlignment="1">
      <alignment horizontal="center"/>
    </xf>
    <xf numFmtId="9" fontId="4" fillId="0" borderId="16" xfId="3" applyFont="1" applyFill="1" applyBorder="1" applyAlignment="1">
      <alignment horizontal="center"/>
    </xf>
    <xf numFmtId="9" fontId="4" fillId="0" borderId="16" xfId="0" applyNumberFormat="1" applyFont="1" applyFill="1" applyBorder="1" applyAlignment="1">
      <alignment horizontal="center" vertical="center"/>
    </xf>
    <xf numFmtId="0" fontId="4" fillId="0" borderId="9" xfId="0" applyFont="1" applyFill="1" applyBorder="1" applyAlignment="1">
      <alignment horizontal="center"/>
    </xf>
    <xf numFmtId="190" fontId="24" fillId="4" borderId="9" xfId="0" applyNumberFormat="1" applyFont="1" applyFill="1" applyBorder="1" applyAlignment="1">
      <alignment horizontal="left" vertical="center" wrapText="1"/>
    </xf>
    <xf numFmtId="0" fontId="29" fillId="0" borderId="9" xfId="8" applyFont="1" applyFill="1" applyBorder="1" applyAlignment="1">
      <alignment horizontal="left" vertical="center"/>
    </xf>
    <xf numFmtId="10" fontId="24" fillId="4" borderId="9" xfId="0" applyNumberFormat="1" applyFont="1" applyFill="1" applyBorder="1" applyAlignment="1">
      <alignment horizontal="left" vertical="center" wrapText="1"/>
    </xf>
    <xf numFmtId="9" fontId="4" fillId="4" borderId="9" xfId="3" applyFont="1" applyFill="1" applyBorder="1" applyAlignment="1">
      <alignment horizontal="center" vertical="center" wrapText="1"/>
    </xf>
    <xf numFmtId="181" fontId="24" fillId="4" borderId="9" xfId="0" applyNumberFormat="1" applyFont="1" applyFill="1" applyBorder="1" applyAlignment="1">
      <alignment horizontal="center" vertical="center"/>
    </xf>
    <xf numFmtId="181" fontId="4" fillId="0" borderId="9" xfId="0" applyNumberFormat="1" applyFont="1" applyFill="1" applyBorder="1" applyAlignment="1">
      <alignment horizontal="center" vertical="center" wrapText="1"/>
    </xf>
    <xf numFmtId="180" fontId="24" fillId="0" borderId="9" xfId="0" applyNumberFormat="1" applyFont="1" applyBorder="1" applyAlignment="1">
      <alignment horizontal="left" wrapText="1"/>
    </xf>
    <xf numFmtId="172" fontId="24" fillId="0" borderId="9" xfId="3" applyNumberFormat="1" applyFont="1" applyBorder="1" applyAlignment="1">
      <alignment horizontal="left" wrapText="1"/>
    </xf>
    <xf numFmtId="0" fontId="4" fillId="0" borderId="9" xfId="0" applyFont="1" applyBorder="1" applyAlignment="1">
      <alignment horizontal="center" wrapText="1"/>
    </xf>
    <xf numFmtId="180" fontId="4" fillId="0" borderId="9" xfId="0" applyNumberFormat="1" applyFont="1" applyBorder="1" applyAlignment="1">
      <alignment horizontal="center" wrapText="1"/>
    </xf>
    <xf numFmtId="9" fontId="4" fillId="0" borderId="9" xfId="3" applyFont="1" applyBorder="1" applyAlignment="1">
      <alignment horizontal="center" wrapText="1"/>
    </xf>
    <xf numFmtId="9" fontId="4" fillId="0" borderId="9" xfId="3" applyFont="1" applyBorder="1" applyAlignment="1">
      <alignment horizontal="center" vertical="center" wrapText="1"/>
    </xf>
    <xf numFmtId="0" fontId="29" fillId="0" borderId="9" xfId="8" applyFont="1" applyFill="1" applyBorder="1" applyAlignment="1">
      <alignment horizontal="left"/>
    </xf>
    <xf numFmtId="0" fontId="100" fillId="0" borderId="0" xfId="0" applyFont="1"/>
    <xf numFmtId="2" fontId="4" fillId="0" borderId="9" xfId="0" applyNumberFormat="1" applyFont="1" applyBorder="1" applyAlignment="1">
      <alignment wrapText="1"/>
    </xf>
    <xf numFmtId="0" fontId="24" fillId="0" borderId="9" xfId="12" applyFont="1" applyBorder="1" applyAlignment="1">
      <alignment horizontal="center"/>
    </xf>
    <xf numFmtId="39" fontId="0" fillId="0" borderId="9" xfId="0" applyNumberFormat="1" applyBorder="1"/>
    <xf numFmtId="0" fontId="16" fillId="0" borderId="0" xfId="5" applyFont="1"/>
    <xf numFmtId="0" fontId="16" fillId="0" borderId="0" xfId="5" applyFont="1" applyFill="1"/>
    <xf numFmtId="0" fontId="6" fillId="0" borderId="0" xfId="0" applyFont="1" applyFill="1"/>
    <xf numFmtId="0" fontId="6" fillId="4" borderId="0" xfId="0" applyFont="1" applyFill="1" applyAlignment="1"/>
    <xf numFmtId="0" fontId="6" fillId="4" borderId="0" xfId="0" applyFont="1" applyFill="1" applyBorder="1" applyAlignment="1">
      <alignment wrapText="1"/>
    </xf>
    <xf numFmtId="6" fontId="6" fillId="4" borderId="0" xfId="0" applyNumberFormat="1" applyFont="1" applyFill="1" applyBorder="1" applyAlignment="1">
      <alignment wrapText="1"/>
    </xf>
    <xf numFmtId="9" fontId="0" fillId="0" borderId="30" xfId="3" applyFont="1" applyBorder="1" applyAlignment="1">
      <alignment horizontal="center"/>
    </xf>
    <xf numFmtId="9" fontId="4" fillId="0" borderId="30" xfId="3" applyFont="1" applyBorder="1" applyAlignment="1">
      <alignment horizontal="center"/>
    </xf>
    <xf numFmtId="0" fontId="0" fillId="0" borderId="48" xfId="3" applyNumberFormat="1" applyFont="1" applyFill="1" applyBorder="1" applyAlignment="1">
      <alignment horizontal="center"/>
    </xf>
    <xf numFmtId="0" fontId="28" fillId="0" borderId="23" xfId="8" applyBorder="1"/>
    <xf numFmtId="171" fontId="30" fillId="0" borderId="9" xfId="2" applyNumberFormat="1" applyFont="1" applyFill="1" applyBorder="1" applyAlignment="1">
      <alignment horizontal="center"/>
    </xf>
    <xf numFmtId="171" fontId="4" fillId="0" borderId="9" xfId="4" applyNumberFormat="1" applyFont="1" applyFill="1" applyBorder="1" applyAlignment="1" applyProtection="1">
      <alignment horizontal="center"/>
      <protection locked="0"/>
    </xf>
    <xf numFmtId="2" fontId="4" fillId="4" borderId="14" xfId="0" applyNumberFormat="1" applyFont="1" applyFill="1" applyBorder="1" applyAlignment="1">
      <alignment horizontal="center"/>
    </xf>
    <xf numFmtId="171" fontId="4" fillId="0" borderId="9" xfId="2" applyNumberFormat="1" applyFont="1" applyBorder="1" applyAlignment="1">
      <alignment horizontal="center"/>
    </xf>
    <xf numFmtId="2" fontId="24" fillId="0" borderId="9" xfId="1" applyNumberFormat="1" applyFont="1" applyBorder="1" applyAlignment="1">
      <alignment horizontal="center" wrapText="1"/>
    </xf>
    <xf numFmtId="2" fontId="24" fillId="4" borderId="9" xfId="0" applyNumberFormat="1" applyFont="1" applyFill="1" applyBorder="1" applyAlignment="1"/>
    <xf numFmtId="168" fontId="24" fillId="0" borderId="23" xfId="5" applyNumberFormat="1" applyFont="1" applyBorder="1" applyAlignment="1">
      <alignment horizontal="left" vertical="center"/>
    </xf>
    <xf numFmtId="0" fontId="24" fillId="0" borderId="14" xfId="0" applyFont="1" applyBorder="1" applyAlignment="1">
      <alignment horizontal="left"/>
    </xf>
    <xf numFmtId="2" fontId="24" fillId="0" borderId="14" xfId="0" applyNumberFormat="1" applyFont="1" applyBorder="1" applyAlignment="1">
      <alignment horizontal="center"/>
    </xf>
    <xf numFmtId="10" fontId="24" fillId="4" borderId="23" xfId="7" applyNumberFormat="1" applyFont="1" applyFill="1" applyBorder="1" applyAlignment="1">
      <alignment horizontal="center" vertical="center" wrapText="1"/>
    </xf>
    <xf numFmtId="0" fontId="24" fillId="0" borderId="4" xfId="0" applyFont="1" applyBorder="1" applyAlignment="1">
      <alignment horizontal="left"/>
    </xf>
    <xf numFmtId="2" fontId="24" fillId="0" borderId="4" xfId="0" applyNumberFormat="1" applyFont="1" applyBorder="1" applyAlignment="1">
      <alignment horizontal="center"/>
    </xf>
    <xf numFmtId="0" fontId="24" fillId="0" borderId="14" xfId="0" applyFont="1" applyBorder="1" applyAlignment="1">
      <alignment vertical="center" wrapText="1"/>
    </xf>
    <xf numFmtId="0" fontId="74" fillId="0" borderId="9" xfId="8" applyFont="1" applyFill="1" applyBorder="1" applyAlignment="1">
      <alignment horizontal="left" vertical="center"/>
    </xf>
    <xf numFmtId="0" fontId="74" fillId="0" borderId="9" xfId="8" applyFont="1" applyFill="1" applyBorder="1" applyAlignment="1">
      <alignment horizontal="left"/>
    </xf>
    <xf numFmtId="165" fontId="74" fillId="0" borderId="9" xfId="8" applyNumberFormat="1" applyFont="1" applyFill="1" applyBorder="1" applyAlignment="1">
      <alignment horizontal="left" vertical="center"/>
    </xf>
    <xf numFmtId="167" fontId="97" fillId="12" borderId="0" xfId="0" applyNumberFormat="1" applyFont="1" applyFill="1"/>
    <xf numFmtId="0" fontId="4" fillId="0" borderId="9" xfId="6" applyFont="1" applyFill="1" applyBorder="1"/>
    <xf numFmtId="39" fontId="24" fillId="0" borderId="9" xfId="1" applyNumberFormat="1" applyFont="1" applyFill="1" applyBorder="1" applyAlignment="1">
      <alignment horizontal="center"/>
    </xf>
    <xf numFmtId="184" fontId="24" fillId="0" borderId="9" xfId="1" applyNumberFormat="1" applyFont="1" applyFill="1" applyBorder="1" applyAlignment="1">
      <alignment horizontal="center"/>
    </xf>
    <xf numFmtId="185" fontId="29" fillId="0" borderId="9" xfId="2" applyNumberFormat="1" applyFont="1" applyFill="1" applyBorder="1"/>
    <xf numFmtId="171" fontId="24" fillId="0" borderId="9" xfId="5" applyNumberFormat="1" applyFont="1" applyFill="1" applyBorder="1" applyAlignment="1">
      <alignment horizontal="center" vertical="center" wrapText="1"/>
    </xf>
    <xf numFmtId="165" fontId="24" fillId="0" borderId="9" xfId="6" applyNumberFormat="1" applyFont="1" applyFill="1" applyBorder="1" applyAlignment="1">
      <alignment horizontal="left" vertical="center" wrapText="1" indent="3"/>
    </xf>
    <xf numFmtId="171" fontId="4" fillId="0" borderId="9" xfId="5" applyNumberFormat="1" applyFont="1" applyFill="1" applyBorder="1" applyAlignment="1">
      <alignment horizontal="center" vertical="center" wrapText="1"/>
    </xf>
    <xf numFmtId="0" fontId="24" fillId="15" borderId="9" xfId="5" applyFont="1" applyFill="1" applyBorder="1" applyAlignment="1">
      <alignment horizontal="center" vertical="center" wrapText="1"/>
    </xf>
    <xf numFmtId="2" fontId="0" fillId="0" borderId="9" xfId="0" applyNumberFormat="1" applyFont="1" applyFill="1" applyBorder="1" applyAlignment="1">
      <alignment horizontal="center"/>
    </xf>
    <xf numFmtId="0" fontId="0" fillId="0" borderId="9" xfId="0" applyFont="1" applyFill="1" applyBorder="1" applyAlignment="1">
      <alignment horizontal="center"/>
    </xf>
    <xf numFmtId="0" fontId="12" fillId="0" borderId="0" xfId="6" applyFont="1" applyFill="1" applyAlignment="1">
      <alignment horizontal="center"/>
    </xf>
    <xf numFmtId="165" fontId="4" fillId="0" borderId="9" xfId="0" applyNumberFormat="1" applyFont="1" applyFill="1" applyBorder="1" applyAlignment="1">
      <alignment horizontal="center"/>
    </xf>
    <xf numFmtId="165" fontId="0" fillId="0" borderId="9" xfId="0" applyNumberFormat="1" applyFont="1" applyFill="1" applyBorder="1" applyAlignment="1">
      <alignment horizontal="center"/>
    </xf>
    <xf numFmtId="0" fontId="12" fillId="0" borderId="0" xfId="6" applyFont="1" applyFill="1"/>
    <xf numFmtId="165" fontId="24" fillId="0" borderId="9" xfId="0" applyNumberFormat="1" applyFont="1" applyFill="1" applyBorder="1" applyAlignment="1">
      <alignment horizontal="center"/>
    </xf>
    <xf numFmtId="2" fontId="4" fillId="0" borderId="9" xfId="0" applyNumberFormat="1" applyFont="1" applyFill="1" applyBorder="1"/>
    <xf numFmtId="0" fontId="0" fillId="0" borderId="9" xfId="0" applyFont="1" applyFill="1" applyBorder="1"/>
    <xf numFmtId="0" fontId="0" fillId="0" borderId="0" xfId="0" applyFont="1" applyFill="1"/>
    <xf numFmtId="165" fontId="0" fillId="0" borderId="9" xfId="0" applyNumberFormat="1" applyFont="1" applyFill="1" applyBorder="1"/>
    <xf numFmtId="171" fontId="1" fillId="0" borderId="9" xfId="5" applyNumberFormat="1" applyFont="1" applyFill="1" applyBorder="1" applyAlignment="1">
      <alignment horizontal="center" vertical="center" wrapText="1"/>
    </xf>
    <xf numFmtId="171" fontId="0" fillId="0" borderId="9" xfId="0" applyNumberFormat="1" applyFont="1" applyFill="1" applyBorder="1"/>
    <xf numFmtId="7" fontId="1" fillId="0" borderId="9" xfId="10" applyNumberFormat="1" applyFont="1" applyFill="1" applyBorder="1" applyAlignment="1">
      <alignment horizontal="center"/>
    </xf>
    <xf numFmtId="2" fontId="1" fillId="0" borderId="9" xfId="10" applyNumberFormat="1" applyFont="1" applyFill="1" applyBorder="1" applyAlignment="1">
      <alignment horizontal="center"/>
    </xf>
    <xf numFmtId="171" fontId="0" fillId="0" borderId="9" xfId="5" applyNumberFormat="1" applyFont="1" applyFill="1" applyBorder="1" applyAlignment="1">
      <alignment horizontal="center"/>
    </xf>
    <xf numFmtId="187" fontId="0" fillId="0" borderId="0" xfId="3" applyNumberFormat="1" applyFont="1" applyFill="1"/>
    <xf numFmtId="2" fontId="24" fillId="0" borderId="0" xfId="0" applyNumberFormat="1" applyFont="1" applyFill="1"/>
    <xf numFmtId="2" fontId="0" fillId="0" borderId="0" xfId="0" applyNumberFormat="1" applyFill="1"/>
    <xf numFmtId="0" fontId="24" fillId="0" borderId="32" xfId="0" applyFont="1" applyFill="1" applyBorder="1" applyAlignment="1">
      <alignment wrapText="1"/>
    </xf>
    <xf numFmtId="168" fontId="24" fillId="0" borderId="32" xfId="5" applyNumberFormat="1" applyFont="1" applyFill="1" applyBorder="1" applyAlignment="1">
      <alignment horizontal="center" vertical="center" wrapText="1"/>
    </xf>
    <xf numFmtId="168" fontId="24" fillId="0" borderId="62" xfId="5" applyNumberFormat="1" applyFont="1" applyFill="1" applyBorder="1" applyAlignment="1">
      <alignment horizontal="center" vertical="center" wrapText="1"/>
    </xf>
    <xf numFmtId="168" fontId="24" fillId="0" borderId="18" xfId="5" applyNumberFormat="1" applyFont="1" applyFill="1" applyBorder="1" applyAlignment="1">
      <alignment horizontal="center" vertical="center" wrapText="1"/>
    </xf>
    <xf numFmtId="168" fontId="24" fillId="0" borderId="34" xfId="5" applyNumberFormat="1" applyFont="1" applyFill="1" applyBorder="1" applyAlignment="1">
      <alignment horizontal="center" vertical="center" wrapText="1"/>
    </xf>
    <xf numFmtId="9" fontId="32" fillId="0" borderId="33" xfId="7" applyFont="1" applyFill="1" applyBorder="1" applyAlignment="1">
      <alignment horizontal="center" vertical="center" wrapText="1"/>
    </xf>
    <xf numFmtId="2" fontId="24" fillId="0" borderId="4" xfId="0" applyNumberFormat="1" applyFont="1" applyFill="1" applyBorder="1"/>
    <xf numFmtId="2" fontId="0" fillId="0" borderId="9" xfId="0" applyNumberFormat="1" applyFill="1" applyBorder="1"/>
    <xf numFmtId="2" fontId="4" fillId="0" borderId="9" xfId="14" applyNumberFormat="1" applyFont="1" applyFill="1" applyBorder="1"/>
    <xf numFmtId="165" fontId="24" fillId="0" borderId="9" xfId="0" applyNumberFormat="1" applyFont="1" applyFill="1" applyBorder="1"/>
    <xf numFmtId="0" fontId="24" fillId="0" borderId="9" xfId="13" applyFont="1" applyFill="1" applyBorder="1" applyAlignment="1">
      <alignment horizontal="left" vertical="center" wrapText="1"/>
    </xf>
    <xf numFmtId="2" fontId="24" fillId="0" borderId="9" xfId="13" applyNumberFormat="1" applyFont="1" applyFill="1" applyBorder="1" applyAlignment="1">
      <alignment horizontal="center"/>
    </xf>
    <xf numFmtId="0" fontId="24" fillId="0" borderId="14" xfId="13" applyFont="1" applyFill="1" applyBorder="1" applyAlignment="1">
      <alignment horizontal="left" vertical="center" wrapText="1"/>
    </xf>
    <xf numFmtId="2" fontId="24" fillId="0" borderId="14" xfId="13" applyNumberFormat="1" applyFont="1" applyFill="1" applyBorder="1" applyAlignment="1">
      <alignment horizontal="center"/>
    </xf>
    <xf numFmtId="0" fontId="24" fillId="0" borderId="23" xfId="13" applyFont="1" applyFill="1" applyBorder="1" applyAlignment="1">
      <alignment horizontal="left"/>
    </xf>
    <xf numFmtId="2" fontId="24" fillId="0" borderId="23" xfId="13" applyNumberFormat="1" applyFont="1" applyFill="1" applyBorder="1" applyAlignment="1">
      <alignment horizontal="center"/>
    </xf>
    <xf numFmtId="0" fontId="24" fillId="0" borderId="9" xfId="13" applyFont="1" applyFill="1" applyBorder="1" applyAlignment="1">
      <alignment horizontal="left"/>
    </xf>
    <xf numFmtId="9" fontId="4" fillId="0" borderId="9" xfId="13" applyNumberFormat="1" applyFont="1" applyFill="1" applyBorder="1" applyAlignment="1">
      <alignment horizontal="center"/>
    </xf>
    <xf numFmtId="188" fontId="24" fillId="0" borderId="9" xfId="13" applyNumberFormat="1" applyFont="1" applyFill="1" applyBorder="1" applyAlignment="1">
      <alignment horizontal="center" vertical="center" wrapText="1"/>
    </xf>
    <xf numFmtId="0" fontId="0" fillId="0" borderId="9" xfId="0" applyFill="1" applyBorder="1"/>
    <xf numFmtId="9" fontId="24" fillId="0" borderId="9" xfId="13" applyNumberFormat="1" applyFont="1" applyFill="1" applyBorder="1" applyAlignment="1">
      <alignment horizontal="center"/>
    </xf>
    <xf numFmtId="165" fontId="1" fillId="0" borderId="9" xfId="6" applyNumberFormat="1" applyFont="1" applyFill="1" applyBorder="1" applyAlignment="1">
      <alignment horizontal="center"/>
    </xf>
    <xf numFmtId="7" fontId="28" fillId="0" borderId="9" xfId="2" applyNumberFormat="1" applyFont="1" applyFill="1" applyBorder="1" applyAlignment="1">
      <alignment horizontal="center"/>
    </xf>
    <xf numFmtId="10" fontId="24" fillId="0" borderId="9" xfId="3" applyNumberFormat="1" applyFont="1" applyFill="1" applyBorder="1"/>
    <xf numFmtId="10" fontId="24" fillId="0" borderId="9" xfId="15" applyNumberFormat="1" applyFont="1" applyFill="1" applyBorder="1"/>
    <xf numFmtId="172" fontId="24" fillId="0" borderId="9" xfId="16" applyNumberFormat="1" applyFont="1" applyFill="1" applyBorder="1" applyAlignment="1">
      <alignment horizontal="center"/>
    </xf>
    <xf numFmtId="172" fontId="29" fillId="0" borderId="9" xfId="3" applyNumberFormat="1" applyFont="1" applyFill="1" applyBorder="1" applyAlignment="1">
      <alignment horizontal="center"/>
    </xf>
    <xf numFmtId="190" fontId="24" fillId="0" borderId="9" xfId="3" applyNumberFormat="1" applyFont="1" applyFill="1" applyBorder="1" applyAlignment="1">
      <alignment horizontal="center"/>
    </xf>
    <xf numFmtId="172" fontId="30" fillId="0" borderId="9" xfId="3" applyNumberFormat="1" applyFont="1" applyFill="1" applyBorder="1" applyAlignment="1">
      <alignment horizontal="center"/>
    </xf>
    <xf numFmtId="9" fontId="30" fillId="0" borderId="9" xfId="3" applyFont="1" applyFill="1" applyBorder="1" applyAlignment="1">
      <alignment horizontal="center"/>
    </xf>
    <xf numFmtId="39" fontId="29" fillId="0" borderId="9" xfId="1" applyNumberFormat="1" applyFont="1" applyFill="1" applyBorder="1" applyAlignment="1">
      <alignment horizontal="center"/>
    </xf>
    <xf numFmtId="10" fontId="29" fillId="0" borderId="9" xfId="3" applyNumberFormat="1" applyFont="1" applyFill="1" applyBorder="1" applyAlignment="1">
      <alignment horizontal="center"/>
    </xf>
    <xf numFmtId="37" fontId="29" fillId="0" borderId="9" xfId="1" applyNumberFormat="1" applyFont="1" applyFill="1" applyBorder="1" applyAlignment="1">
      <alignment horizontal="center"/>
    </xf>
    <xf numFmtId="179" fontId="24" fillId="0" borderId="9" xfId="0" applyNumberFormat="1" applyFont="1" applyFill="1" applyBorder="1" applyAlignment="1">
      <alignment horizontal="center"/>
    </xf>
    <xf numFmtId="189" fontId="29" fillId="0" borderId="9" xfId="1" applyNumberFormat="1" applyFont="1" applyFill="1" applyBorder="1" applyAlignment="1">
      <alignment horizontal="center"/>
    </xf>
    <xf numFmtId="171" fontId="4" fillId="0" borderId="9" xfId="6" applyNumberFormat="1" applyFont="1" applyFill="1" applyBorder="1" applyAlignment="1">
      <alignment horizontal="center"/>
    </xf>
    <xf numFmtId="171" fontId="1" fillId="0" borderId="9" xfId="6" applyNumberFormat="1" applyFont="1" applyFill="1" applyBorder="1" applyAlignment="1">
      <alignment horizontal="center"/>
    </xf>
    <xf numFmtId="0" fontId="4" fillId="0" borderId="9" xfId="6" applyFont="1" applyFill="1" applyBorder="1" applyAlignment="1">
      <alignment horizontal="center"/>
    </xf>
    <xf numFmtId="9" fontId="4" fillId="0" borderId="18" xfId="3" applyFont="1" applyFill="1" applyBorder="1" applyAlignment="1">
      <alignment horizontal="center"/>
    </xf>
    <xf numFmtId="172" fontId="4" fillId="0" borderId="21" xfId="3" applyNumberFormat="1" applyFont="1" applyFill="1" applyBorder="1" applyAlignment="1">
      <alignment horizontal="center"/>
    </xf>
    <xf numFmtId="10" fontId="4" fillId="0" borderId="19" xfId="6" applyNumberFormat="1" applyFont="1" applyFill="1" applyBorder="1" applyAlignment="1">
      <alignment horizontal="center"/>
    </xf>
    <xf numFmtId="10" fontId="4" fillId="0" borderId="20" xfId="6" applyNumberFormat="1" applyFont="1" applyFill="1" applyBorder="1" applyAlignment="1">
      <alignment horizontal="center"/>
    </xf>
    <xf numFmtId="165" fontId="4" fillId="0" borderId="19" xfId="6" applyNumberFormat="1" applyFont="1" applyFill="1" applyBorder="1" applyAlignment="1">
      <alignment horizontal="center"/>
    </xf>
    <xf numFmtId="165" fontId="4" fillId="0" borderId="20" xfId="6" applyNumberFormat="1" applyFont="1" applyFill="1" applyBorder="1" applyAlignment="1">
      <alignment horizontal="center"/>
    </xf>
    <xf numFmtId="171" fontId="4" fillId="0" borderId="87" xfId="13" applyNumberFormat="1" applyFont="1" applyFill="1" applyBorder="1" applyAlignment="1">
      <alignment horizontal="center"/>
    </xf>
    <xf numFmtId="171" fontId="4" fillId="0" borderId="89" xfId="13" applyNumberFormat="1" applyFont="1" applyFill="1" applyBorder="1" applyAlignment="1">
      <alignment horizontal="center"/>
    </xf>
    <xf numFmtId="179" fontId="1" fillId="0" borderId="9" xfId="1" applyNumberFormat="1" applyFill="1" applyBorder="1" applyAlignment="1">
      <alignment horizontal="left"/>
    </xf>
    <xf numFmtId="171" fontId="1" fillId="0" borderId="9" xfId="2" applyNumberFormat="1" applyFill="1" applyBorder="1" applyAlignment="1">
      <alignment horizontal="left"/>
    </xf>
    <xf numFmtId="2" fontId="24" fillId="0" borderId="9" xfId="6" applyNumberFormat="1" applyFont="1" applyFill="1" applyBorder="1" applyAlignment="1">
      <alignment horizontal="center"/>
    </xf>
    <xf numFmtId="182" fontId="24" fillId="0" borderId="9" xfId="1" applyNumberFormat="1" applyFont="1" applyFill="1" applyBorder="1" applyAlignment="1">
      <alignment horizontal="center" vertical="center"/>
    </xf>
    <xf numFmtId="169" fontId="29" fillId="0" borderId="9" xfId="2" applyNumberFormat="1" applyFont="1" applyFill="1" applyBorder="1" applyAlignment="1">
      <alignment horizontal="center"/>
    </xf>
    <xf numFmtId="0" fontId="24" fillId="0" borderId="0" xfId="0" applyFont="1" applyFill="1" applyAlignment="1">
      <alignment horizontal="center"/>
    </xf>
    <xf numFmtId="39" fontId="24" fillId="0" borderId="9" xfId="0" applyNumberFormat="1" applyFont="1" applyBorder="1" applyAlignment="1">
      <alignment horizontal="center"/>
    </xf>
    <xf numFmtId="10" fontId="29" fillId="0" borderId="9" xfId="3" applyNumberFormat="1" applyFont="1" applyBorder="1" applyAlignment="1">
      <alignment horizontal="center"/>
    </xf>
    <xf numFmtId="9" fontId="29" fillId="0" borderId="9" xfId="3" applyNumberFormat="1" applyFont="1" applyBorder="1" applyAlignment="1">
      <alignment horizontal="center"/>
    </xf>
    <xf numFmtId="180" fontId="24" fillId="0" borderId="9" xfId="0" applyNumberFormat="1" applyFont="1" applyFill="1" applyBorder="1" applyAlignment="1">
      <alignment horizontal="center" vertical="center"/>
    </xf>
    <xf numFmtId="10" fontId="24" fillId="0" borderId="9" xfId="0" applyNumberFormat="1" applyFont="1" applyFill="1" applyBorder="1" applyAlignment="1">
      <alignment horizontal="center" vertical="center" wrapText="1"/>
    </xf>
    <xf numFmtId="2" fontId="24" fillId="0" borderId="9" xfId="0" applyNumberFormat="1" applyFont="1" applyFill="1" applyBorder="1" applyAlignment="1">
      <alignment horizontal="center" vertical="center"/>
    </xf>
    <xf numFmtId="190" fontId="24" fillId="0" borderId="9" xfId="3" applyNumberFormat="1" applyFont="1" applyBorder="1" applyAlignment="1">
      <alignment horizontal="center" wrapText="1"/>
    </xf>
    <xf numFmtId="0" fontId="29" fillId="0" borderId="14" xfId="8" applyFont="1" applyFill="1" applyBorder="1" applyAlignment="1">
      <alignment horizontal="left"/>
    </xf>
    <xf numFmtId="9" fontId="29" fillId="0" borderId="35" xfId="3" applyFont="1" applyFill="1" applyBorder="1" applyAlignment="1">
      <alignment horizontal="center"/>
    </xf>
    <xf numFmtId="9" fontId="30" fillId="0" borderId="37" xfId="3" applyFont="1" applyFill="1" applyBorder="1" applyAlignment="1">
      <alignment horizontal="center"/>
    </xf>
    <xf numFmtId="9" fontId="30" fillId="0" borderId="35" xfId="3" applyFont="1" applyFill="1" applyBorder="1" applyAlignment="1">
      <alignment horizontal="center"/>
    </xf>
    <xf numFmtId="0" fontId="0" fillId="0" borderId="23" xfId="0" applyBorder="1"/>
    <xf numFmtId="9" fontId="29" fillId="0" borderId="23" xfId="3" applyFont="1" applyBorder="1" applyAlignment="1">
      <alignment horizontal="center"/>
    </xf>
    <xf numFmtId="10" fontId="30" fillId="0" borderId="23" xfId="3" applyNumberFormat="1" applyFont="1" applyBorder="1" applyAlignment="1">
      <alignment horizontal="center"/>
    </xf>
    <xf numFmtId="10" fontId="29" fillId="0" borderId="23" xfId="3" applyNumberFormat="1" applyFont="1" applyBorder="1" applyAlignment="1">
      <alignment horizontal="center"/>
    </xf>
    <xf numFmtId="9" fontId="29" fillId="0" borderId="14" xfId="3" applyFont="1" applyBorder="1" applyAlignment="1">
      <alignment horizontal="center"/>
    </xf>
    <xf numFmtId="0" fontId="0" fillId="0" borderId="14" xfId="0" applyBorder="1"/>
    <xf numFmtId="9" fontId="30" fillId="0" borderId="14" xfId="3" applyNumberFormat="1" applyFont="1" applyBorder="1" applyAlignment="1">
      <alignment horizontal="center"/>
    </xf>
    <xf numFmtId="9" fontId="29" fillId="0" borderId="14" xfId="3" applyNumberFormat="1" applyFont="1" applyBorder="1" applyAlignment="1">
      <alignment horizontal="center"/>
    </xf>
    <xf numFmtId="10" fontId="29" fillId="0" borderId="25" xfId="3" applyNumberFormat="1" applyFont="1" applyFill="1" applyBorder="1" applyAlignment="1">
      <alignment horizontal="center"/>
    </xf>
    <xf numFmtId="0" fontId="100" fillId="12" borderId="9" xfId="0" applyFont="1" applyFill="1" applyBorder="1" applyAlignment="1">
      <alignment horizontal="center" vertical="center" wrapText="1"/>
    </xf>
    <xf numFmtId="0" fontId="24" fillId="0" borderId="4" xfId="0" applyFont="1" applyFill="1" applyBorder="1" applyAlignment="1">
      <alignment horizontal="left" vertical="center"/>
    </xf>
    <xf numFmtId="39" fontId="24" fillId="0" borderId="4" xfId="0" applyNumberFormat="1" applyFont="1" applyBorder="1" applyAlignment="1">
      <alignment horizontal="center" vertical="center"/>
    </xf>
    <xf numFmtId="0" fontId="29" fillId="0" borderId="23" xfId="8" applyFont="1" applyFill="1" applyBorder="1"/>
    <xf numFmtId="9" fontId="24" fillId="0" borderId="14" xfId="0" applyNumberFormat="1" applyFont="1" applyFill="1" applyBorder="1" applyAlignment="1">
      <alignment horizontal="center" vertical="center"/>
    </xf>
    <xf numFmtId="9" fontId="4" fillId="0" borderId="35" xfId="0" applyNumberFormat="1" applyFont="1" applyFill="1" applyBorder="1" applyAlignment="1">
      <alignment horizontal="center" vertical="center"/>
    </xf>
    <xf numFmtId="9" fontId="4" fillId="0" borderId="14" xfId="3" applyFont="1" applyFill="1" applyBorder="1" applyAlignment="1">
      <alignment horizontal="center"/>
    </xf>
    <xf numFmtId="9" fontId="24" fillId="0" borderId="33" xfId="0" applyNumberFormat="1" applyFont="1" applyFill="1" applyBorder="1" applyAlignment="1">
      <alignment horizontal="center" vertical="center"/>
    </xf>
    <xf numFmtId="39" fontId="24" fillId="4" borderId="4" xfId="0" applyNumberFormat="1" applyFont="1" applyFill="1" applyBorder="1" applyAlignment="1">
      <alignment horizontal="center" vertical="center"/>
    </xf>
    <xf numFmtId="39" fontId="0" fillId="0" borderId="4" xfId="0" applyNumberFormat="1" applyFont="1" applyBorder="1" applyAlignment="1">
      <alignment horizontal="center" vertical="center"/>
    </xf>
    <xf numFmtId="9" fontId="0" fillId="0" borderId="14"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9" fontId="4" fillId="0" borderId="4" xfId="3" applyFont="1" applyFill="1" applyBorder="1" applyAlignment="1">
      <alignment horizontal="center"/>
    </xf>
    <xf numFmtId="10" fontId="4" fillId="0" borderId="9" xfId="3" applyNumberFormat="1" applyFont="1" applyFill="1" applyBorder="1" applyAlignment="1">
      <alignment horizontal="center" vertical="center" wrapText="1"/>
    </xf>
    <xf numFmtId="10" fontId="4" fillId="4" borderId="9" xfId="3" applyNumberFormat="1" applyFont="1" applyFill="1" applyBorder="1" applyAlignment="1">
      <alignment horizontal="center" vertical="center" wrapText="1"/>
    </xf>
    <xf numFmtId="10" fontId="24" fillId="4" borderId="9" xfId="3" applyNumberFormat="1" applyFont="1" applyFill="1" applyBorder="1" applyAlignment="1">
      <alignment horizontal="center" vertical="center" wrapText="1"/>
    </xf>
    <xf numFmtId="10" fontId="4" fillId="0" borderId="9" xfId="3" applyNumberFormat="1" applyFont="1" applyBorder="1" applyAlignment="1">
      <alignment horizontal="center" vertical="center" wrapText="1"/>
    </xf>
    <xf numFmtId="10" fontId="4" fillId="0" borderId="9" xfId="3" applyNumberFormat="1" applyFont="1" applyBorder="1" applyAlignment="1">
      <alignment horizontal="center" wrapText="1"/>
    </xf>
    <xf numFmtId="9" fontId="4" fillId="0" borderId="9" xfId="3" applyNumberFormat="1" applyFont="1" applyBorder="1" applyAlignment="1">
      <alignment horizontal="center" wrapText="1"/>
    </xf>
    <xf numFmtId="10" fontId="4" fillId="0" borderId="9" xfId="0" applyNumberFormat="1" applyFont="1" applyBorder="1"/>
    <xf numFmtId="0" fontId="103" fillId="0" borderId="0" xfId="0" applyFont="1"/>
    <xf numFmtId="180" fontId="4" fillId="0" borderId="9" xfId="0" applyNumberFormat="1" applyFont="1" applyBorder="1" applyAlignment="1">
      <alignment horizontal="center"/>
    </xf>
    <xf numFmtId="9" fontId="4" fillId="0" borderId="0" xfId="3" applyFont="1"/>
    <xf numFmtId="172" fontId="4" fillId="4" borderId="9" xfId="3" applyNumberFormat="1" applyFont="1" applyFill="1" applyBorder="1" applyAlignment="1">
      <alignment horizontal="center"/>
    </xf>
    <xf numFmtId="165" fontId="4" fillId="4" borderId="9" xfId="6" applyNumberFormat="1" applyFont="1" applyFill="1" applyBorder="1" applyAlignment="1">
      <alignment horizontal="center"/>
    </xf>
    <xf numFmtId="7" fontId="4" fillId="4" borderId="9" xfId="2" applyNumberFormat="1" applyFont="1" applyFill="1" applyBorder="1" applyAlignment="1">
      <alignment horizontal="center" wrapText="1"/>
    </xf>
    <xf numFmtId="9" fontId="24" fillId="4" borderId="14" xfId="3" applyFont="1" applyFill="1" applyBorder="1" applyAlignment="1">
      <alignment horizontal="center"/>
    </xf>
    <xf numFmtId="9" fontId="24" fillId="0" borderId="30" xfId="3" applyFont="1" applyBorder="1" applyAlignment="1">
      <alignment horizontal="center"/>
    </xf>
    <xf numFmtId="2" fontId="24" fillId="4" borderId="4" xfId="0" applyNumberFormat="1" applyFont="1" applyFill="1" applyBorder="1" applyAlignment="1">
      <alignment horizontal="left" vertical="top" wrapText="1"/>
    </xf>
    <xf numFmtId="7" fontId="24" fillId="4" borderId="0" xfId="0" applyNumberFormat="1" applyFont="1" applyFill="1" applyBorder="1" applyAlignment="1">
      <alignment horizontal="center"/>
    </xf>
    <xf numFmtId="7" fontId="24" fillId="4" borderId="14" xfId="2" applyNumberFormat="1" applyFont="1" applyFill="1" applyBorder="1" applyAlignment="1">
      <alignment horizontal="center"/>
    </xf>
    <xf numFmtId="43" fontId="24" fillId="0" borderId="9" xfId="0" applyNumberFormat="1" applyFont="1" applyBorder="1"/>
    <xf numFmtId="43" fontId="24" fillId="4" borderId="9" xfId="0" applyNumberFormat="1" applyFont="1" applyFill="1" applyBorder="1"/>
    <xf numFmtId="0" fontId="24" fillId="5" borderId="14" xfId="0" applyFont="1" applyFill="1" applyBorder="1" applyAlignment="1">
      <alignment horizontal="left" vertical="top" wrapText="1"/>
    </xf>
    <xf numFmtId="170" fontId="24" fillId="0" borderId="9" xfId="0" applyNumberFormat="1" applyFont="1" applyBorder="1"/>
    <xf numFmtId="165" fontId="24" fillId="4" borderId="9" xfId="0" applyNumberFormat="1" applyFont="1" applyFill="1" applyBorder="1" applyAlignment="1">
      <alignment horizontal="left" vertical="top" wrapText="1"/>
    </xf>
    <xf numFmtId="9" fontId="24" fillId="4" borderId="33" xfId="0" applyNumberFormat="1" applyFont="1" applyFill="1" applyBorder="1" applyAlignment="1">
      <alignment horizontal="left" vertical="top"/>
    </xf>
    <xf numFmtId="9" fontId="4" fillId="4" borderId="33" xfId="0" applyNumberFormat="1" applyFont="1" applyFill="1" applyBorder="1" applyAlignment="1">
      <alignment horizontal="left" vertical="top"/>
    </xf>
    <xf numFmtId="1" fontId="0" fillId="4" borderId="4" xfId="0" applyNumberFormat="1" applyFill="1" applyBorder="1" applyAlignment="1">
      <alignment horizontal="left" vertical="top" wrapText="1"/>
    </xf>
    <xf numFmtId="1" fontId="0" fillId="4" borderId="9" xfId="0" applyNumberFormat="1" applyFill="1" applyBorder="1" applyAlignment="1">
      <alignment horizontal="left" vertical="top" wrapText="1"/>
    </xf>
    <xf numFmtId="1" fontId="0" fillId="4" borderId="23" xfId="0" applyNumberFormat="1" applyFill="1" applyBorder="1" applyAlignment="1">
      <alignment horizontal="left" vertical="top" wrapText="1"/>
    </xf>
    <xf numFmtId="1" fontId="0" fillId="0" borderId="9" xfId="0" applyNumberFormat="1" applyFill="1" applyBorder="1" applyAlignment="1">
      <alignment horizontal="left" vertical="top" wrapText="1"/>
    </xf>
    <xf numFmtId="1" fontId="4" fillId="0" borderId="9" xfId="1" applyNumberFormat="1" applyFont="1" applyFill="1" applyBorder="1" applyAlignment="1">
      <alignment horizontal="left" vertical="top" wrapText="1"/>
    </xf>
    <xf numFmtId="1" fontId="4" fillId="0" borderId="9" xfId="0" applyNumberFormat="1" applyFont="1" applyFill="1" applyBorder="1" applyAlignment="1">
      <alignment horizontal="left" vertical="top" wrapText="1"/>
    </xf>
    <xf numFmtId="2" fontId="0" fillId="0" borderId="4" xfId="0" applyNumberFormat="1" applyFill="1" applyBorder="1" applyAlignment="1">
      <alignment horizontal="left" vertical="top" wrapText="1"/>
    </xf>
    <xf numFmtId="2" fontId="0" fillId="0" borderId="9" xfId="0" applyNumberFormat="1" applyFill="1" applyBorder="1" applyAlignment="1">
      <alignment horizontal="left" vertical="top" wrapText="1"/>
    </xf>
    <xf numFmtId="2" fontId="4" fillId="0" borderId="9" xfId="0" applyNumberFormat="1" applyFont="1" applyFill="1" applyBorder="1" applyAlignment="1">
      <alignment horizontal="left" vertical="top" wrapText="1"/>
    </xf>
    <xf numFmtId="2" fontId="0" fillId="0" borderId="19" xfId="0" applyNumberFormat="1" applyFill="1" applyBorder="1" applyAlignment="1">
      <alignment horizontal="left" vertical="top" wrapText="1"/>
    </xf>
    <xf numFmtId="2" fontId="0" fillId="0" borderId="30" xfId="0" applyNumberFormat="1" applyFill="1" applyBorder="1" applyAlignment="1">
      <alignment horizontal="left" vertical="top" wrapText="1"/>
    </xf>
    <xf numFmtId="39" fontId="0" fillId="0" borderId="9" xfId="0" applyNumberFormat="1" applyBorder="1" applyAlignment="1">
      <alignment horizontal="center"/>
    </xf>
    <xf numFmtId="193" fontId="24" fillId="0" borderId="0" xfId="0" applyNumberFormat="1" applyFont="1" applyFill="1"/>
    <xf numFmtId="9" fontId="4" fillId="0" borderId="30" xfId="0" applyNumberFormat="1" applyFont="1" applyFill="1" applyBorder="1" applyAlignment="1">
      <alignment horizontal="left" vertical="top" wrapText="1"/>
    </xf>
    <xf numFmtId="9" fontId="4" fillId="0" borderId="48" xfId="0" applyNumberFormat="1" applyFont="1" applyFill="1" applyBorder="1" applyAlignment="1">
      <alignment horizontal="left" vertical="top" wrapText="1"/>
    </xf>
    <xf numFmtId="0" fontId="4" fillId="0" borderId="0" xfId="0" applyFont="1" applyFill="1" applyAlignment="1">
      <alignment horizontal="left" vertical="top" wrapText="1"/>
    </xf>
    <xf numFmtId="193" fontId="4" fillId="0" borderId="0" xfId="0" applyNumberFormat="1" applyFont="1" applyFill="1"/>
    <xf numFmtId="9" fontId="4" fillId="0" borderId="53" xfId="0" applyNumberFormat="1" applyFont="1" applyFill="1" applyBorder="1" applyAlignment="1">
      <alignment horizontal="left" vertical="top" wrapText="1"/>
    </xf>
    <xf numFmtId="2" fontId="4" fillId="0" borderId="0" xfId="1" applyNumberFormat="1" applyFont="1" applyFill="1"/>
    <xf numFmtId="0" fontId="4" fillId="16" borderId="10" xfId="0" applyFont="1" applyFill="1" applyBorder="1" applyAlignment="1">
      <alignment horizontal="left" vertical="top"/>
    </xf>
    <xf numFmtId="2" fontId="24" fillId="8" borderId="16" xfId="0" applyNumberFormat="1" applyFont="1" applyFill="1" applyBorder="1" applyAlignment="1">
      <alignment horizontal="center"/>
    </xf>
    <xf numFmtId="1" fontId="4" fillId="0" borderId="16" xfId="0" applyNumberFormat="1" applyFont="1" applyFill="1" applyBorder="1" applyAlignment="1">
      <alignment horizontal="left" vertical="top" wrapText="1"/>
    </xf>
    <xf numFmtId="0" fontId="24" fillId="0" borderId="16" xfId="0" applyFont="1" applyFill="1" applyBorder="1" applyAlignment="1">
      <alignment horizontal="left" vertical="top" wrapText="1"/>
    </xf>
    <xf numFmtId="0" fontId="24" fillId="0" borderId="10" xfId="0" applyFont="1" applyFill="1" applyBorder="1" applyAlignment="1">
      <alignment horizontal="left" vertical="top"/>
    </xf>
    <xf numFmtId="0" fontId="24" fillId="0" borderId="37" xfId="0" applyFont="1" applyFill="1" applyBorder="1" applyAlignment="1">
      <alignment horizontal="left" vertical="top" wrapText="1"/>
    </xf>
    <xf numFmtId="2" fontId="4" fillId="0" borderId="16" xfId="0" applyNumberFormat="1" applyFont="1" applyFill="1" applyBorder="1" applyAlignment="1">
      <alignment horizontal="left" vertical="top" wrapText="1"/>
    </xf>
    <xf numFmtId="2" fontId="24" fillId="0" borderId="10" xfId="0" applyNumberFormat="1" applyFont="1" applyFill="1" applyBorder="1"/>
    <xf numFmtId="2" fontId="24" fillId="8" borderId="37" xfId="0" applyNumberFormat="1" applyFont="1" applyFill="1" applyBorder="1" applyAlignment="1">
      <alignment horizontal="center"/>
    </xf>
    <xf numFmtId="165" fontId="24" fillId="0" borderId="16" xfId="0" applyNumberFormat="1" applyFont="1" applyFill="1" applyBorder="1" applyAlignment="1">
      <alignment horizontal="left" vertical="top" wrapText="1"/>
    </xf>
    <xf numFmtId="165" fontId="4" fillId="0" borderId="16" xfId="0" applyNumberFormat="1" applyFont="1" applyFill="1" applyBorder="1" applyAlignment="1">
      <alignment horizontal="left" vertical="top" wrapText="1"/>
    </xf>
    <xf numFmtId="9" fontId="24" fillId="0" borderId="23" xfId="0" applyNumberFormat="1" applyFont="1" applyFill="1" applyBorder="1" applyAlignment="1">
      <alignment horizontal="left" vertical="top" wrapText="1"/>
    </xf>
    <xf numFmtId="2" fontId="24" fillId="0" borderId="37" xfId="0" applyNumberFormat="1" applyFont="1" applyFill="1" applyBorder="1" applyAlignment="1">
      <alignment horizontal="left" vertical="top" wrapText="1"/>
    </xf>
    <xf numFmtId="2" fontId="24" fillId="0" borderId="16" xfId="0" applyNumberFormat="1" applyFont="1" applyFill="1" applyBorder="1" applyAlignment="1">
      <alignment horizontal="left" vertical="top" wrapText="1"/>
    </xf>
    <xf numFmtId="2" fontId="4" fillId="0" borderId="14" xfId="0" applyNumberFormat="1" applyFont="1" applyFill="1" applyBorder="1" applyAlignment="1">
      <alignment horizontal="left" vertical="top" wrapText="1"/>
    </xf>
    <xf numFmtId="2" fontId="4" fillId="0" borderId="0" xfId="0" applyNumberFormat="1" applyFont="1" applyFill="1" applyAlignment="1">
      <alignment horizontal="left"/>
    </xf>
    <xf numFmtId="2" fontId="4" fillId="0" borderId="0" xfId="0" applyNumberFormat="1" applyFont="1" applyFill="1" applyAlignment="1">
      <alignment horizontal="center"/>
    </xf>
    <xf numFmtId="2" fontId="24" fillId="8" borderId="9" xfId="0" applyNumberFormat="1" applyFont="1" applyFill="1" applyBorder="1" applyAlignment="1">
      <alignment horizontal="left" vertical="top" wrapText="1"/>
    </xf>
    <xf numFmtId="2" fontId="24" fillId="8" borderId="14" xfId="0" applyNumberFormat="1" applyFont="1" applyFill="1" applyBorder="1" applyAlignment="1">
      <alignment horizontal="left" vertical="top" wrapText="1"/>
    </xf>
    <xf numFmtId="44" fontId="4" fillId="4" borderId="4" xfId="2" applyFont="1" applyFill="1" applyBorder="1" applyAlignment="1">
      <alignment horizontal="left" vertical="top" wrapText="1"/>
    </xf>
    <xf numFmtId="44" fontId="4" fillId="4" borderId="9" xfId="2" applyFont="1" applyFill="1" applyBorder="1" applyAlignment="1">
      <alignment horizontal="left" vertical="top" wrapText="1"/>
    </xf>
    <xf numFmtId="1" fontId="4" fillId="0" borderId="4" xfId="0" applyNumberFormat="1" applyFont="1" applyFill="1" applyBorder="1" applyAlignment="1">
      <alignment horizontal="left" vertical="top" wrapText="1"/>
    </xf>
    <xf numFmtId="1" fontId="4" fillId="0" borderId="14" xfId="0" applyNumberFormat="1" applyFont="1" applyFill="1" applyBorder="1" applyAlignment="1">
      <alignment horizontal="left" vertical="top" wrapText="1"/>
    </xf>
    <xf numFmtId="1" fontId="4" fillId="0" borderId="19" xfId="0" applyNumberFormat="1" applyFont="1" applyFill="1" applyBorder="1" applyAlignment="1">
      <alignment horizontal="left" vertical="top" wrapText="1"/>
    </xf>
    <xf numFmtId="165" fontId="4" fillId="0" borderId="14" xfId="0" applyNumberFormat="1" applyFont="1" applyFill="1" applyBorder="1" applyAlignment="1">
      <alignment horizontal="left" vertical="top" wrapText="1"/>
    </xf>
    <xf numFmtId="0" fontId="4" fillId="0" borderId="19" xfId="0" applyFont="1" applyFill="1" applyBorder="1" applyAlignment="1">
      <alignment horizontal="left" vertical="top" wrapText="1"/>
    </xf>
    <xf numFmtId="165" fontId="4" fillId="0" borderId="4" xfId="0" applyNumberFormat="1" applyFont="1" applyFill="1" applyBorder="1" applyAlignment="1">
      <alignment horizontal="left" vertical="top" wrapText="1"/>
    </xf>
    <xf numFmtId="165" fontId="4" fillId="0" borderId="9" xfId="0" applyNumberFormat="1" applyFont="1" applyFill="1" applyBorder="1" applyAlignment="1">
      <alignment horizontal="left" vertical="top" wrapText="1"/>
    </xf>
    <xf numFmtId="165" fontId="4" fillId="0" borderId="19" xfId="0" applyNumberFormat="1" applyFont="1" applyFill="1" applyBorder="1" applyAlignment="1">
      <alignment horizontal="left" vertical="top" wrapText="1"/>
    </xf>
    <xf numFmtId="0" fontId="4" fillId="0" borderId="23" xfId="0" applyFont="1" applyFill="1" applyBorder="1" applyAlignment="1">
      <alignment horizontal="left" vertical="top" wrapText="1"/>
    </xf>
    <xf numFmtId="9" fontId="4" fillId="0" borderId="23" xfId="0" applyNumberFormat="1" applyFont="1" applyFill="1" applyBorder="1" applyAlignment="1">
      <alignment horizontal="left" vertical="top" wrapText="1"/>
    </xf>
    <xf numFmtId="0" fontId="4" fillId="0" borderId="0" xfId="0" applyFont="1" applyFill="1" applyAlignment="1">
      <alignment wrapText="1"/>
    </xf>
    <xf numFmtId="165" fontId="4" fillId="0" borderId="23" xfId="0" applyNumberFormat="1" applyFont="1" applyFill="1" applyBorder="1" applyAlignment="1">
      <alignment horizontal="left" vertical="top" wrapText="1"/>
    </xf>
    <xf numFmtId="0" fontId="4" fillId="0" borderId="33" xfId="0" applyFont="1" applyFill="1" applyBorder="1" applyAlignment="1">
      <alignment horizontal="left" vertical="top" wrapText="1"/>
    </xf>
    <xf numFmtId="165" fontId="4" fillId="4" borderId="14" xfId="0" applyNumberFormat="1" applyFont="1" applyFill="1" applyBorder="1" applyAlignment="1">
      <alignment horizontal="left" vertical="top" wrapText="1"/>
    </xf>
    <xf numFmtId="165" fontId="24" fillId="4" borderId="14" xfId="0" applyNumberFormat="1" applyFont="1" applyFill="1" applyBorder="1" applyAlignment="1">
      <alignment horizontal="left" vertical="top" wrapText="1"/>
    </xf>
    <xf numFmtId="9" fontId="4" fillId="0" borderId="33" xfId="3" applyFont="1" applyFill="1" applyBorder="1" applyAlignment="1">
      <alignment horizontal="left"/>
    </xf>
    <xf numFmtId="1" fontId="4" fillId="0" borderId="23" xfId="0" applyNumberFormat="1" applyFont="1" applyFill="1" applyBorder="1" applyAlignment="1">
      <alignment horizontal="left" vertical="top" wrapText="1"/>
    </xf>
    <xf numFmtId="0" fontId="24" fillId="0" borderId="23" xfId="0" applyFont="1" applyFill="1" applyBorder="1" applyAlignment="1">
      <alignment horizontal="left" vertical="top" wrapText="1"/>
    </xf>
    <xf numFmtId="1" fontId="24" fillId="0" borderId="10" xfId="0" applyNumberFormat="1" applyFont="1" applyFill="1" applyBorder="1" applyAlignment="1">
      <alignment horizontal="left"/>
    </xf>
    <xf numFmtId="1" fontId="24" fillId="0" borderId="46" xfId="0" applyNumberFormat="1" applyFont="1" applyFill="1" applyBorder="1" applyAlignment="1">
      <alignment horizontal="left"/>
    </xf>
    <xf numFmtId="1" fontId="24" fillId="0" borderId="53" xfId="0" applyNumberFormat="1" applyFont="1" applyFill="1" applyBorder="1" applyAlignment="1">
      <alignment horizontal="left"/>
    </xf>
    <xf numFmtId="2" fontId="4" fillId="0" borderId="4" xfId="0" applyNumberFormat="1" applyFont="1" applyFill="1" applyBorder="1" applyAlignment="1">
      <alignment horizontal="left" vertical="top" wrapText="1"/>
    </xf>
    <xf numFmtId="2" fontId="24" fillId="0" borderId="9" xfId="0" applyNumberFormat="1" applyFont="1" applyFill="1" applyBorder="1" applyAlignment="1">
      <alignment horizontal="left" vertical="top" wrapText="1"/>
    </xf>
    <xf numFmtId="2" fontId="24" fillId="0" borderId="33" xfId="0" applyNumberFormat="1" applyFont="1" applyFill="1" applyBorder="1" applyAlignment="1">
      <alignment horizontal="left" vertical="top" wrapText="1"/>
    </xf>
    <xf numFmtId="0" fontId="24" fillId="0" borderId="10" xfId="0" applyFont="1" applyFill="1" applyBorder="1" applyAlignment="1">
      <alignment vertical="center"/>
    </xf>
    <xf numFmtId="0" fontId="24" fillId="0" borderId="33" xfId="0" applyFont="1" applyFill="1" applyBorder="1" applyAlignment="1">
      <alignment horizontal="left" vertical="top" wrapText="1"/>
    </xf>
    <xf numFmtId="9" fontId="24" fillId="0" borderId="4" xfId="3" applyFont="1" applyFill="1" applyBorder="1" applyAlignment="1">
      <alignment horizontal="left" vertical="top" wrapText="1"/>
    </xf>
    <xf numFmtId="0" fontId="24" fillId="0" borderId="15" xfId="0" applyFont="1" applyFill="1" applyBorder="1" applyAlignment="1">
      <alignment vertical="center"/>
    </xf>
    <xf numFmtId="0" fontId="24" fillId="16" borderId="61" xfId="0" applyFont="1" applyFill="1" applyBorder="1" applyAlignment="1">
      <alignment vertical="top" wrapText="1"/>
    </xf>
    <xf numFmtId="0" fontId="24" fillId="16" borderId="62" xfId="0" applyFont="1" applyFill="1" applyBorder="1" applyAlignment="1">
      <alignment vertical="top" wrapText="1"/>
    </xf>
    <xf numFmtId="9" fontId="4" fillId="0" borderId="23" xfId="3" applyFont="1" applyFill="1" applyBorder="1" applyAlignment="1">
      <alignment horizontal="left" vertical="top" wrapText="1"/>
    </xf>
    <xf numFmtId="9" fontId="4" fillId="0" borderId="30" xfId="3" applyFont="1" applyFill="1" applyBorder="1" applyAlignment="1">
      <alignment horizontal="left" vertical="top" wrapText="1"/>
    </xf>
    <xf numFmtId="44" fontId="4" fillId="0" borderId="0" xfId="0" applyNumberFormat="1" applyFont="1" applyFill="1" applyAlignment="1">
      <alignment horizontal="center"/>
    </xf>
    <xf numFmtId="44" fontId="4" fillId="0" borderId="0" xfId="2" applyFont="1" applyFill="1"/>
    <xf numFmtId="9" fontId="24" fillId="4" borderId="33" xfId="3" applyFont="1" applyFill="1" applyBorder="1" applyAlignment="1">
      <alignment horizontal="left" vertical="top" wrapText="1"/>
    </xf>
    <xf numFmtId="9" fontId="4" fillId="4" borderId="14" xfId="3" applyFont="1" applyFill="1" applyBorder="1" applyAlignment="1">
      <alignment horizontal="left" vertical="top" wrapText="1"/>
    </xf>
    <xf numFmtId="168" fontId="24" fillId="0" borderId="23" xfId="5" applyNumberFormat="1" applyFont="1" applyFill="1" applyBorder="1" applyAlignment="1">
      <alignment horizontal="left" vertical="center"/>
    </xf>
    <xf numFmtId="7" fontId="24" fillId="0" borderId="9" xfId="2" applyNumberFormat="1" applyFont="1" applyFill="1" applyBorder="1" applyAlignment="1">
      <alignment horizontal="center"/>
    </xf>
    <xf numFmtId="165" fontId="24" fillId="0" borderId="9" xfId="8" applyNumberFormat="1" applyFont="1" applyFill="1" applyBorder="1" applyAlignment="1">
      <alignment horizontal="center"/>
    </xf>
    <xf numFmtId="170" fontId="24" fillId="13" borderId="9" xfId="5" applyNumberFormat="1" applyFont="1" applyFill="1" applyBorder="1" applyAlignment="1">
      <alignment horizontal="center"/>
    </xf>
    <xf numFmtId="39" fontId="24" fillId="4" borderId="9" xfId="8" applyNumberFormat="1" applyFont="1" applyFill="1" applyBorder="1" applyAlignment="1">
      <alignment horizontal="center"/>
    </xf>
    <xf numFmtId="2" fontId="24" fillId="0" borderId="9" xfId="1" applyNumberFormat="1" applyFont="1" applyFill="1" applyBorder="1" applyAlignment="1">
      <alignment horizontal="center"/>
    </xf>
    <xf numFmtId="0" fontId="29" fillId="4" borderId="9" xfId="8" applyFont="1" applyFill="1" applyBorder="1" applyAlignment="1">
      <alignment horizontal="center"/>
    </xf>
    <xf numFmtId="2" fontId="4" fillId="0" borderId="9" xfId="8" applyNumberFormat="1" applyFont="1" applyFill="1" applyBorder="1" applyAlignment="1">
      <alignment horizontal="center" wrapText="1"/>
    </xf>
    <xf numFmtId="0" fontId="4" fillId="0" borderId="9" xfId="8" applyFont="1" applyFill="1" applyBorder="1" applyAlignment="1">
      <alignment horizontal="center" wrapText="1"/>
    </xf>
    <xf numFmtId="189" fontId="4" fillId="0" borderId="9" xfId="1" applyNumberFormat="1" applyFont="1" applyBorder="1" applyAlignment="1">
      <alignment horizontal="center"/>
    </xf>
    <xf numFmtId="189" fontId="4" fillId="4" borderId="9" xfId="0" applyNumberFormat="1" applyFont="1" applyFill="1" applyBorder="1" applyAlignment="1">
      <alignment horizontal="center" vertical="center" wrapText="1"/>
    </xf>
    <xf numFmtId="0" fontId="52" fillId="4" borderId="9" xfId="8" applyFont="1" applyFill="1" applyBorder="1" applyAlignment="1">
      <alignment horizontal="left" vertical="center" wrapText="1"/>
    </xf>
    <xf numFmtId="0" fontId="29" fillId="4" borderId="9" xfId="8" applyFont="1" applyFill="1" applyBorder="1" applyAlignment="1">
      <alignment wrapText="1"/>
    </xf>
    <xf numFmtId="0" fontId="24" fillId="4" borderId="9" xfId="0" applyFont="1" applyFill="1" applyBorder="1" applyAlignment="1">
      <alignment wrapText="1"/>
    </xf>
    <xf numFmtId="0" fontId="30" fillId="0" borderId="9" xfId="8" applyFont="1" applyBorder="1" applyAlignment="1">
      <alignment horizontal="center"/>
    </xf>
    <xf numFmtId="7" fontId="24" fillId="0" borderId="9" xfId="1" applyNumberFormat="1" applyFont="1" applyBorder="1" applyAlignment="1">
      <alignment horizontal="center" wrapText="1"/>
    </xf>
    <xf numFmtId="7" fontId="4" fillId="0" borderId="9" xfId="1" applyNumberFormat="1" applyFont="1" applyBorder="1" applyAlignment="1">
      <alignment horizontal="center" wrapText="1"/>
    </xf>
    <xf numFmtId="165" fontId="1" fillId="0" borderId="9" xfId="1" applyNumberFormat="1" applyFont="1" applyBorder="1" applyAlignment="1">
      <alignment horizontal="center" wrapText="1"/>
    </xf>
    <xf numFmtId="165" fontId="28" fillId="0" borderId="9" xfId="8" applyNumberFormat="1" applyBorder="1" applyAlignment="1">
      <alignment horizontal="center"/>
    </xf>
    <xf numFmtId="170" fontId="24" fillId="0" borderId="9" xfId="1" applyNumberFormat="1" applyFont="1" applyBorder="1" applyAlignment="1">
      <alignment horizontal="center" wrapText="1"/>
    </xf>
    <xf numFmtId="165" fontId="30" fillId="0" borderId="9" xfId="8" applyNumberFormat="1" applyFont="1" applyFill="1" applyBorder="1" applyAlignment="1">
      <alignment horizontal="center"/>
    </xf>
    <xf numFmtId="0" fontId="30" fillId="0" borderId="0" xfId="8" applyFont="1"/>
    <xf numFmtId="170" fontId="4" fillId="0" borderId="9" xfId="1" applyNumberFormat="1" applyFont="1" applyBorder="1" applyAlignment="1">
      <alignment horizontal="center" wrapText="1"/>
    </xf>
    <xf numFmtId="186" fontId="4" fillId="0" borderId="9" xfId="0" applyNumberFormat="1" applyFont="1" applyFill="1" applyBorder="1" applyAlignment="1">
      <alignment horizontal="center" vertical="center" wrapText="1"/>
    </xf>
    <xf numFmtId="0" fontId="30" fillId="4" borderId="9" xfId="8" applyFont="1" applyFill="1" applyBorder="1" applyAlignment="1">
      <alignment horizontal="center"/>
    </xf>
    <xf numFmtId="170" fontId="4" fillId="0" borderId="9" xfId="0" applyNumberFormat="1" applyFont="1" applyFill="1" applyBorder="1" applyAlignment="1">
      <alignment horizontal="center" vertical="center" wrapText="1"/>
    </xf>
    <xf numFmtId="170" fontId="4" fillId="0" borderId="9" xfId="1" applyNumberFormat="1" applyFont="1" applyFill="1" applyBorder="1" applyAlignment="1">
      <alignment horizontal="center" wrapText="1"/>
    </xf>
    <xf numFmtId="2" fontId="24" fillId="4" borderId="23" xfId="0" applyNumberFormat="1" applyFont="1" applyFill="1" applyBorder="1" applyAlignment="1">
      <alignment horizontal="center"/>
    </xf>
    <xf numFmtId="2" fontId="29" fillId="0" borderId="14" xfId="8" applyNumberFormat="1" applyFont="1" applyBorder="1" applyAlignment="1">
      <alignment horizontal="center"/>
    </xf>
    <xf numFmtId="0" fontId="28" fillId="0" borderId="14" xfId="8" applyBorder="1"/>
    <xf numFmtId="2" fontId="1" fillId="0" borderId="4" xfId="0" applyNumberFormat="1" applyFont="1" applyBorder="1" applyAlignment="1">
      <alignment horizontal="center"/>
    </xf>
    <xf numFmtId="2" fontId="4" fillId="0" borderId="4" xfId="0" applyNumberFormat="1" applyFont="1" applyFill="1" applyBorder="1" applyAlignment="1">
      <alignment horizontal="center"/>
    </xf>
    <xf numFmtId="2" fontId="4" fillId="4" borderId="4" xfId="0" applyNumberFormat="1" applyFont="1" applyFill="1" applyBorder="1" applyAlignment="1">
      <alignment horizontal="center"/>
    </xf>
    <xf numFmtId="2" fontId="24" fillId="4" borderId="4" xfId="0" applyNumberFormat="1" applyFont="1" applyFill="1" applyBorder="1" applyAlignment="1">
      <alignment horizontal="center"/>
    </xf>
    <xf numFmtId="0" fontId="28" fillId="0" borderId="4" xfId="8" applyBorder="1"/>
    <xf numFmtId="2" fontId="24" fillId="4" borderId="14" xfId="0" applyNumberFormat="1" applyFont="1" applyFill="1" applyBorder="1" applyAlignment="1">
      <alignment horizontal="center"/>
    </xf>
    <xf numFmtId="10" fontId="24" fillId="0" borderId="4" xfId="7" applyNumberFormat="1" applyFont="1" applyFill="1" applyBorder="1" applyAlignment="1">
      <alignment horizontal="center" vertical="center" wrapText="1"/>
    </xf>
    <xf numFmtId="2" fontId="24" fillId="0" borderId="32" xfId="0" applyNumberFormat="1" applyFont="1" applyFill="1" applyBorder="1" applyAlignment="1">
      <alignment horizontal="center"/>
    </xf>
    <xf numFmtId="10" fontId="4" fillId="0" borderId="14" xfId="7" applyNumberFormat="1" applyFont="1" applyFill="1" applyBorder="1" applyAlignment="1">
      <alignment horizontal="center" vertical="center" wrapText="1"/>
    </xf>
    <xf numFmtId="10" fontId="47" fillId="0" borderId="4" xfId="7" applyNumberFormat="1" applyFont="1" applyBorder="1" applyAlignment="1">
      <alignment horizontal="center" vertical="center" wrapText="1"/>
    </xf>
    <xf numFmtId="10" fontId="4" fillId="0" borderId="4" xfId="7" applyNumberFormat="1" applyFont="1" applyFill="1" applyBorder="1" applyAlignment="1">
      <alignment horizontal="center" vertical="center" wrapText="1"/>
    </xf>
    <xf numFmtId="10" fontId="30" fillId="4" borderId="4" xfId="3" applyNumberFormat="1" applyFont="1" applyFill="1" applyBorder="1" applyAlignment="1">
      <alignment horizontal="center"/>
    </xf>
    <xf numFmtId="10" fontId="29" fillId="4" borderId="4" xfId="3" applyNumberFormat="1" applyFont="1" applyFill="1" applyBorder="1" applyAlignment="1">
      <alignment horizontal="center"/>
    </xf>
    <xf numFmtId="10" fontId="47" fillId="0" borderId="14" xfId="7" applyNumberFormat="1" applyFont="1" applyBorder="1" applyAlignment="1">
      <alignment horizontal="center" vertical="center" wrapText="1"/>
    </xf>
    <xf numFmtId="10" fontId="30" fillId="4" borderId="14" xfId="3" applyNumberFormat="1" applyFont="1" applyFill="1" applyBorder="1" applyAlignment="1">
      <alignment horizontal="center"/>
    </xf>
    <xf numFmtId="10" fontId="29" fillId="4" borderId="14" xfId="3" applyNumberFormat="1" applyFont="1" applyFill="1" applyBorder="1" applyAlignment="1">
      <alignment horizontal="center"/>
    </xf>
    <xf numFmtId="7" fontId="24" fillId="0" borderId="87" xfId="2" applyNumberFormat="1" applyFont="1" applyFill="1" applyBorder="1" applyAlignment="1">
      <alignment horizontal="center" wrapText="1"/>
    </xf>
    <xf numFmtId="0" fontId="24" fillId="0" borderId="0" xfId="0" applyFont="1" applyAlignment="1">
      <alignment vertical="center" wrapText="1"/>
    </xf>
    <xf numFmtId="167" fontId="103" fillId="12" borderId="0" xfId="0" applyNumberFormat="1" applyFont="1" applyFill="1" applyAlignment="1">
      <alignment horizontal="center"/>
    </xf>
    <xf numFmtId="9" fontId="4" fillId="0" borderId="9" xfId="0" applyNumberFormat="1" applyFont="1" applyBorder="1" applyAlignment="1">
      <alignment horizontal="center" vertical="center" wrapText="1"/>
    </xf>
    <xf numFmtId="9" fontId="4" fillId="0" borderId="19" xfId="0" applyNumberFormat="1" applyFont="1" applyBorder="1" applyAlignment="1">
      <alignment horizontal="center" vertical="center" wrapText="1"/>
    </xf>
    <xf numFmtId="0" fontId="4" fillId="11" borderId="23" xfId="0" applyFont="1" applyFill="1" applyBorder="1" applyAlignment="1">
      <alignment horizontal="left" vertical="center" wrapText="1"/>
    </xf>
    <xf numFmtId="0" fontId="4" fillId="11" borderId="23" xfId="0" applyFont="1" applyFill="1" applyBorder="1" applyAlignment="1">
      <alignment horizontal="center" vertical="center" wrapText="1"/>
    </xf>
    <xf numFmtId="165" fontId="4" fillId="0" borderId="0" xfId="0" applyNumberFormat="1" applyFont="1" applyBorder="1" applyAlignment="1">
      <alignment horizontal="left" vertical="center" wrapText="1"/>
    </xf>
    <xf numFmtId="7" fontId="4" fillId="0" borderId="27" xfId="2" applyNumberFormat="1" applyFont="1" applyFill="1" applyBorder="1" applyAlignment="1">
      <alignment horizontal="center" wrapText="1"/>
    </xf>
    <xf numFmtId="7" fontId="4" fillId="0" borderId="0" xfId="2" applyNumberFormat="1" applyFont="1" applyFill="1" applyBorder="1" applyAlignment="1">
      <alignment horizontal="center" wrapText="1"/>
    </xf>
    <xf numFmtId="7" fontId="4" fillId="0" borderId="0" xfId="2" applyNumberFormat="1" applyFont="1" applyBorder="1" applyAlignment="1">
      <alignment horizontal="center" wrapText="1"/>
    </xf>
    <xf numFmtId="7" fontId="24" fillId="0" borderId="0" xfId="2" applyNumberFormat="1" applyFont="1" applyBorder="1" applyAlignment="1">
      <alignment horizontal="center" wrapText="1"/>
    </xf>
    <xf numFmtId="165" fontId="4" fillId="0" borderId="27" xfId="0" applyNumberFormat="1" applyFont="1" applyBorder="1" applyAlignment="1">
      <alignment horizontal="left" vertical="center" wrapText="1"/>
    </xf>
    <xf numFmtId="189" fontId="4" fillId="0" borderId="0" xfId="6" applyNumberFormat="1" applyFont="1"/>
    <xf numFmtId="2" fontId="4" fillId="0" borderId="0" xfId="6" applyNumberFormat="1" applyFont="1" applyAlignment="1">
      <alignment horizontal="center"/>
    </xf>
    <xf numFmtId="0" fontId="30" fillId="0" borderId="0" xfId="8" applyFont="1" applyAlignment="1">
      <alignment horizontal="center"/>
    </xf>
    <xf numFmtId="2" fontId="30" fillId="0" borderId="0" xfId="8" applyNumberFormat="1" applyFont="1" applyAlignment="1">
      <alignment horizontal="center"/>
    </xf>
    <xf numFmtId="0" fontId="4" fillId="0" borderId="16" xfId="8" applyFont="1" applyFill="1" applyBorder="1" applyAlignment="1">
      <alignment horizontal="center" vertical="center" wrapText="1"/>
    </xf>
    <xf numFmtId="0" fontId="30" fillId="0" borderId="0" xfId="8" applyFont="1" applyFill="1"/>
    <xf numFmtId="165" fontId="4" fillId="0" borderId="16" xfId="8" applyNumberFormat="1" applyFont="1" applyFill="1" applyBorder="1" applyAlignment="1">
      <alignment horizontal="center" vertical="center" wrapText="1"/>
    </xf>
    <xf numFmtId="165" fontId="4" fillId="0" borderId="16" xfId="13" applyNumberFormat="1" applyFont="1" applyFill="1" applyBorder="1" applyAlignment="1">
      <alignment horizontal="center" vertical="center" wrapText="1"/>
    </xf>
    <xf numFmtId="2" fontId="4" fillId="0" borderId="16" xfId="8" applyNumberFormat="1" applyFont="1" applyFill="1" applyBorder="1" applyAlignment="1">
      <alignment horizontal="center" vertical="center" wrapText="1"/>
    </xf>
    <xf numFmtId="2" fontId="4" fillId="0" borderId="9" xfId="3" applyNumberFormat="1" applyFont="1" applyFill="1" applyBorder="1" applyAlignment="1">
      <alignment horizontal="center"/>
    </xf>
    <xf numFmtId="180" fontId="4" fillId="0" borderId="16" xfId="8" applyNumberFormat="1" applyFont="1" applyFill="1" applyBorder="1" applyAlignment="1">
      <alignment horizontal="center" vertical="center" wrapText="1"/>
    </xf>
    <xf numFmtId="171" fontId="4" fillId="0" borderId="16" xfId="8" applyNumberFormat="1" applyFont="1" applyFill="1" applyBorder="1" applyAlignment="1">
      <alignment horizontal="center" vertical="center" wrapText="1"/>
    </xf>
    <xf numFmtId="0" fontId="30" fillId="0" borderId="9" xfId="8" applyFont="1" applyFill="1" applyBorder="1"/>
    <xf numFmtId="0" fontId="30" fillId="0" borderId="9" xfId="8" applyFont="1" applyFill="1" applyBorder="1" applyAlignment="1">
      <alignment horizontal="center"/>
    </xf>
    <xf numFmtId="0" fontId="30" fillId="0" borderId="0" xfId="8" applyFont="1" applyFill="1" applyAlignment="1">
      <alignment horizontal="center"/>
    </xf>
    <xf numFmtId="0" fontId="0" fillId="0" borderId="9" xfId="3" applyNumberFormat="1" applyFont="1" applyBorder="1" applyAlignment="1">
      <alignment horizontal="center"/>
    </xf>
    <xf numFmtId="2" fontId="0" fillId="4" borderId="23" xfId="0" applyNumberFormat="1" applyFont="1" applyFill="1" applyBorder="1" applyAlignment="1">
      <alignment horizontal="center"/>
    </xf>
    <xf numFmtId="0" fontId="0" fillId="4" borderId="14" xfId="0" applyFont="1" applyFill="1" applyBorder="1" applyAlignment="1">
      <alignment horizontal="center"/>
    </xf>
    <xf numFmtId="10" fontId="47" fillId="4" borderId="23" xfId="7" applyNumberFormat="1" applyFont="1" applyFill="1" applyBorder="1" applyAlignment="1">
      <alignment horizontal="center" vertical="center" wrapText="1"/>
    </xf>
    <xf numFmtId="0" fontId="74" fillId="0" borderId="23" xfId="8" applyFont="1" applyFill="1" applyBorder="1" applyAlignment="1">
      <alignment vertical="center" wrapText="1"/>
    </xf>
    <xf numFmtId="200" fontId="24" fillId="0" borderId="23" xfId="8" applyNumberFormat="1" applyFont="1" applyBorder="1" applyAlignment="1">
      <alignment horizontal="center"/>
    </xf>
    <xf numFmtId="200" fontId="70" fillId="0" borderId="23" xfId="8" applyNumberFormat="1" applyFont="1" applyBorder="1" applyAlignment="1">
      <alignment horizontal="center"/>
    </xf>
    <xf numFmtId="7" fontId="4" fillId="0" borderId="9" xfId="0" applyNumberFormat="1" applyFont="1" applyFill="1" applyBorder="1" applyAlignment="1">
      <alignment horizontal="center"/>
    </xf>
    <xf numFmtId="2" fontId="100" fillId="0" borderId="0" xfId="0" applyNumberFormat="1" applyFont="1" applyAlignment="1">
      <alignment horizontal="center"/>
    </xf>
    <xf numFmtId="9" fontId="24" fillId="0" borderId="18" xfId="3" applyFont="1" applyFill="1" applyBorder="1" applyAlignment="1">
      <alignment horizontal="center"/>
    </xf>
    <xf numFmtId="172" fontId="24" fillId="0" borderId="21" xfId="3" applyNumberFormat="1" applyFont="1" applyFill="1" applyBorder="1" applyAlignment="1">
      <alignment horizontal="center"/>
    </xf>
    <xf numFmtId="0" fontId="24" fillId="0" borderId="19" xfId="6" applyFont="1" applyFill="1" applyBorder="1"/>
    <xf numFmtId="0" fontId="24" fillId="0" borderId="87" xfId="6" applyFont="1" applyFill="1" applyBorder="1"/>
    <xf numFmtId="0" fontId="100" fillId="0" borderId="19" xfId="0" applyFont="1" applyFill="1" applyBorder="1" applyAlignment="1">
      <alignment horizontal="center" vertical="center" wrapText="1"/>
    </xf>
    <xf numFmtId="180" fontId="0" fillId="0" borderId="9" xfId="0" applyNumberFormat="1" applyFont="1" applyFill="1" applyBorder="1"/>
    <xf numFmtId="180" fontId="4" fillId="0" borderId="9" xfId="0" applyNumberFormat="1" applyFont="1" applyBorder="1"/>
    <xf numFmtId="165" fontId="0" fillId="0" borderId="9" xfId="0" applyNumberFormat="1" applyFont="1" applyBorder="1"/>
    <xf numFmtId="1" fontId="0" fillId="0" borderId="9" xfId="0" applyNumberFormat="1" applyFont="1" applyFill="1" applyBorder="1" applyAlignment="1">
      <alignment horizontal="center"/>
    </xf>
    <xf numFmtId="170" fontId="0" fillId="0" borderId="9" xfId="0" applyNumberFormat="1" applyFont="1" applyBorder="1" applyAlignment="1">
      <alignment horizontal="center"/>
    </xf>
    <xf numFmtId="9" fontId="0" fillId="0" borderId="9" xfId="0" applyNumberFormat="1" applyFont="1" applyBorder="1"/>
    <xf numFmtId="7" fontId="0" fillId="0" borderId="9" xfId="0" applyNumberFormat="1" applyFont="1" applyFill="1" applyBorder="1"/>
    <xf numFmtId="171" fontId="4" fillId="0" borderId="9" xfId="0" applyNumberFormat="1" applyFont="1" applyBorder="1"/>
    <xf numFmtId="0" fontId="24" fillId="0" borderId="0" xfId="13" applyFont="1" applyFill="1" applyBorder="1" applyAlignment="1"/>
    <xf numFmtId="0" fontId="39" fillId="0" borderId="0" xfId="0" applyFont="1" applyFill="1" applyBorder="1" applyAlignment="1">
      <alignment horizontal="left"/>
    </xf>
    <xf numFmtId="0" fontId="24" fillId="0" borderId="0" xfId="0" applyFont="1" applyFill="1" applyBorder="1" applyAlignment="1">
      <alignment horizontal="left" wrapText="1"/>
    </xf>
    <xf numFmtId="0" fontId="4" fillId="16" borderId="15" xfId="0" applyFont="1" applyFill="1" applyBorder="1" applyAlignment="1">
      <alignment horizontal="left" vertical="top"/>
    </xf>
    <xf numFmtId="0" fontId="24" fillId="8" borderId="35" xfId="0" applyFont="1" applyFill="1" applyBorder="1" applyAlignment="1">
      <alignment horizontal="center"/>
    </xf>
    <xf numFmtId="9" fontId="24" fillId="0" borderId="4" xfId="0" applyNumberFormat="1" applyFont="1" applyFill="1" applyBorder="1" applyAlignment="1">
      <alignment horizontal="left" vertical="top" wrapText="1"/>
    </xf>
    <xf numFmtId="1" fontId="24" fillId="0" borderId="16" xfId="3" applyNumberFormat="1" applyFont="1" applyFill="1" applyBorder="1" applyAlignment="1">
      <alignment horizontal="center"/>
    </xf>
    <xf numFmtId="0" fontId="24" fillId="0" borderId="18" xfId="8" applyFont="1" applyFill="1" applyBorder="1"/>
    <xf numFmtId="0" fontId="24" fillId="0" borderId="14" xfId="8" applyFont="1" applyFill="1" applyBorder="1" applyAlignment="1">
      <alignment horizontal="left"/>
    </xf>
    <xf numFmtId="9" fontId="24" fillId="0" borderId="35" xfId="3" applyFont="1" applyFill="1" applyBorder="1" applyAlignment="1">
      <alignment horizontal="center"/>
    </xf>
    <xf numFmtId="0" fontId="24" fillId="0" borderId="34" xfId="8" applyFont="1" applyFill="1" applyBorder="1"/>
    <xf numFmtId="0" fontId="24" fillId="0" borderId="32" xfId="8" applyFont="1" applyFill="1" applyBorder="1"/>
    <xf numFmtId="9" fontId="24" fillId="0" borderId="25" xfId="3" applyFont="1" applyFill="1" applyBorder="1" applyAlignment="1">
      <alignment horizontal="center"/>
    </xf>
    <xf numFmtId="0" fontId="24" fillId="0" borderId="26" xfId="8" applyFont="1" applyFill="1" applyBorder="1"/>
    <xf numFmtId="0" fontId="24" fillId="25" borderId="9" xfId="0" applyFont="1" applyFill="1" applyBorder="1" applyAlignment="1">
      <alignment horizontal="center" vertical="center" wrapText="1"/>
    </xf>
    <xf numFmtId="199" fontId="24" fillId="0" borderId="9" xfId="0" applyNumberFormat="1" applyFont="1" applyBorder="1" applyAlignment="1">
      <alignment horizontal="center" vertical="center" wrapText="1"/>
    </xf>
    <xf numFmtId="0" fontId="16" fillId="9" borderId="0" xfId="5" applyFont="1" applyFill="1" applyAlignment="1">
      <alignment horizontal="center"/>
    </xf>
    <xf numFmtId="167" fontId="44" fillId="12" borderId="0" xfId="0" applyNumberFormat="1" applyFont="1" applyFill="1" applyAlignment="1">
      <alignment horizontal="center"/>
    </xf>
    <xf numFmtId="0" fontId="43" fillId="0" borderId="0" xfId="5" applyFont="1" applyAlignment="1">
      <alignment horizontal="left"/>
    </xf>
    <xf numFmtId="0" fontId="44" fillId="0" borderId="0" xfId="0" applyFont="1" applyFill="1" applyAlignment="1"/>
    <xf numFmtId="0" fontId="29" fillId="0" borderId="40" xfId="8" applyFont="1" applyBorder="1" applyAlignment="1"/>
    <xf numFmtId="0" fontId="24" fillId="0" borderId="0" xfId="8" applyFont="1" applyBorder="1" applyAlignment="1"/>
    <xf numFmtId="0" fontId="24" fillId="0" borderId="0" xfId="8" applyFont="1" applyAlignment="1"/>
    <xf numFmtId="0" fontId="24" fillId="0" borderId="14" xfId="8" applyFont="1" applyFill="1" applyBorder="1" applyAlignment="1"/>
    <xf numFmtId="0" fontId="24" fillId="0" borderId="23" xfId="8" applyFont="1" applyFill="1" applyBorder="1" applyAlignment="1"/>
    <xf numFmtId="0" fontId="24" fillId="11" borderId="9" xfId="0" applyFont="1" applyFill="1" applyBorder="1" applyAlignment="1">
      <alignment vertical="center"/>
    </xf>
    <xf numFmtId="0" fontId="24" fillId="0" borderId="9" xfId="0" applyFont="1" applyFill="1" applyBorder="1" applyAlignment="1">
      <alignment vertical="center"/>
    </xf>
    <xf numFmtId="0" fontId="29" fillId="0" borderId="23" xfId="8" applyFont="1" applyFill="1" applyBorder="1" applyAlignment="1"/>
    <xf numFmtId="0" fontId="39" fillId="0" borderId="0" xfId="0" applyFont="1" applyBorder="1" applyAlignment="1">
      <alignment vertical="center" wrapText="1"/>
    </xf>
    <xf numFmtId="0" fontId="52" fillId="0" borderId="0" xfId="0" applyFont="1" applyFill="1" applyAlignment="1"/>
    <xf numFmtId="2" fontId="4" fillId="0" borderId="9" xfId="0" applyNumberFormat="1" applyFont="1" applyBorder="1" applyAlignment="1">
      <alignment horizontal="center" wrapText="1"/>
    </xf>
    <xf numFmtId="2" fontId="24" fillId="0" borderId="9" xfId="0" applyNumberFormat="1" applyFont="1" applyBorder="1" applyAlignment="1">
      <alignment horizontal="center" wrapText="1"/>
    </xf>
    <xf numFmtId="43" fontId="24" fillId="0" borderId="16" xfId="1" applyFont="1" applyBorder="1"/>
    <xf numFmtId="44" fontId="24" fillId="0" borderId="18" xfId="2" applyFont="1" applyFill="1" applyBorder="1"/>
    <xf numFmtId="171" fontId="4" fillId="0" borderId="9" xfId="0" applyNumberFormat="1" applyFont="1" applyBorder="1" applyAlignment="1">
      <alignment horizontal="center"/>
    </xf>
    <xf numFmtId="172" fontId="24" fillId="0" borderId="9" xfId="0" applyNumberFormat="1" applyFont="1" applyFill="1" applyBorder="1" applyAlignment="1">
      <alignment horizontal="center" vertical="center" wrapText="1"/>
    </xf>
    <xf numFmtId="0" fontId="0" fillId="0" borderId="23" xfId="0" applyFont="1" applyBorder="1" applyAlignment="1">
      <alignment horizontal="left" vertical="center" wrapText="1"/>
    </xf>
    <xf numFmtId="7" fontId="0" fillId="0" borderId="9" xfId="0" applyNumberFormat="1" applyFont="1" applyBorder="1"/>
    <xf numFmtId="170" fontId="4" fillId="0" borderId="9" xfId="0" applyNumberFormat="1" applyFont="1" applyBorder="1" applyAlignment="1">
      <alignment horizontal="center"/>
    </xf>
    <xf numFmtId="43" fontId="4" fillId="0" borderId="9" xfId="0" applyNumberFormat="1" applyFont="1" applyBorder="1" applyAlignment="1">
      <alignment horizontal="center"/>
    </xf>
    <xf numFmtId="171" fontId="4" fillId="29" borderId="9" xfId="2" applyNumberFormat="1" applyFont="1" applyFill="1" applyBorder="1" applyAlignment="1">
      <alignment horizontal="center"/>
    </xf>
    <xf numFmtId="206" fontId="4" fillId="0" borderId="0" xfId="0" applyNumberFormat="1" applyFont="1"/>
    <xf numFmtId="205" fontId="4" fillId="26" borderId="0" xfId="0" applyNumberFormat="1" applyFont="1" applyFill="1"/>
    <xf numFmtId="207" fontId="4" fillId="0" borderId="0" xfId="0" applyNumberFormat="1" applyFont="1"/>
    <xf numFmtId="171" fontId="4" fillId="27" borderId="9" xfId="2" applyNumberFormat="1" applyFont="1" applyFill="1" applyBorder="1" applyAlignment="1">
      <alignment horizontal="center"/>
    </xf>
    <xf numFmtId="205" fontId="4" fillId="0" borderId="0" xfId="0" applyNumberFormat="1" applyFont="1"/>
    <xf numFmtId="43" fontId="44" fillId="0" borderId="9" xfId="1" applyFont="1" applyBorder="1"/>
    <xf numFmtId="43" fontId="24" fillId="0" borderId="9" xfId="1" applyFont="1" applyBorder="1"/>
    <xf numFmtId="205" fontId="44" fillId="0" borderId="9" xfId="0" applyNumberFormat="1" applyFont="1" applyBorder="1"/>
    <xf numFmtId="205" fontId="24" fillId="0" borderId="9" xfId="0" applyNumberFormat="1" applyFont="1" applyBorder="1"/>
    <xf numFmtId="205" fontId="24" fillId="26" borderId="9" xfId="0" applyNumberFormat="1" applyFont="1" applyFill="1" applyBorder="1"/>
    <xf numFmtId="206" fontId="24" fillId="0" borderId="0" xfId="0" applyNumberFormat="1" applyFont="1"/>
    <xf numFmtId="205" fontId="24" fillId="0" borderId="0" xfId="0" applyNumberFormat="1" applyFont="1"/>
    <xf numFmtId="0" fontId="4" fillId="26" borderId="9" xfId="0" applyFont="1" applyFill="1" applyBorder="1"/>
    <xf numFmtId="7" fontId="0" fillId="0" borderId="9" xfId="0" applyNumberFormat="1" applyFont="1" applyBorder="1" applyAlignment="1">
      <alignment horizontal="center" wrapText="1"/>
    </xf>
    <xf numFmtId="44" fontId="0" fillId="0" borderId="9" xfId="2" applyFont="1" applyFill="1" applyBorder="1" applyAlignment="1">
      <alignment horizontal="center" wrapText="1"/>
    </xf>
    <xf numFmtId="43" fontId="0" fillId="0" borderId="9" xfId="1" applyFont="1" applyBorder="1"/>
    <xf numFmtId="0" fontId="4" fillId="31" borderId="9" xfId="0" applyFont="1" applyFill="1" applyBorder="1"/>
    <xf numFmtId="0" fontId="4" fillId="21" borderId="9" xfId="0" applyFont="1" applyFill="1" applyBorder="1"/>
    <xf numFmtId="171" fontId="24" fillId="17" borderId="9" xfId="2" applyNumberFormat="1" applyFont="1" applyFill="1" applyBorder="1" applyAlignment="1">
      <alignment horizontal="center"/>
    </xf>
    <xf numFmtId="44" fontId="4" fillId="0" borderId="9" xfId="2" applyFont="1" applyBorder="1" applyAlignment="1">
      <alignment horizontal="center"/>
    </xf>
    <xf numFmtId="44" fontId="24" fillId="0" borderId="9" xfId="2" applyFont="1" applyBorder="1"/>
    <xf numFmtId="179" fontId="104" fillId="0" borderId="9" xfId="8" applyNumberFormat="1" applyFont="1" applyBorder="1" applyAlignment="1">
      <alignment horizontal="center"/>
    </xf>
    <xf numFmtId="4" fontId="104" fillId="0" borderId="9" xfId="8" applyNumberFormat="1" applyFont="1" applyBorder="1" applyAlignment="1">
      <alignment horizontal="center"/>
    </xf>
    <xf numFmtId="4" fontId="104" fillId="0" borderId="9" xfId="8" applyNumberFormat="1" applyFont="1" applyFill="1" applyBorder="1" applyAlignment="1">
      <alignment horizontal="center"/>
    </xf>
    <xf numFmtId="4" fontId="41" fillId="0" borderId="9" xfId="8" applyNumberFormat="1" applyFont="1" applyFill="1" applyBorder="1" applyAlignment="1">
      <alignment horizontal="center"/>
    </xf>
    <xf numFmtId="179" fontId="104" fillId="0" borderId="9" xfId="6" applyNumberFormat="1" applyFont="1" applyBorder="1" applyAlignment="1">
      <alignment horizontal="center"/>
    </xf>
    <xf numFmtId="4" fontId="104" fillId="0" borderId="9" xfId="6" applyNumberFormat="1" applyFont="1" applyBorder="1" applyAlignment="1">
      <alignment horizontal="center"/>
    </xf>
    <xf numFmtId="4" fontId="104" fillId="0" borderId="9" xfId="6" applyNumberFormat="1" applyFont="1" applyFill="1" applyBorder="1" applyAlignment="1">
      <alignment horizontal="center"/>
    </xf>
    <xf numFmtId="0" fontId="44" fillId="0" borderId="0" xfId="5" applyFont="1" applyAlignment="1">
      <alignment horizontal="center"/>
    </xf>
    <xf numFmtId="0" fontId="24" fillId="0" borderId="9" xfId="5" applyFont="1" applyFill="1" applyBorder="1"/>
    <xf numFmtId="0" fontId="24" fillId="4" borderId="9" xfId="5" applyFont="1" applyFill="1" applyBorder="1"/>
    <xf numFmtId="165" fontId="0" fillId="0" borderId="9" xfId="6" applyNumberFormat="1" applyFont="1" applyFill="1" applyBorder="1" applyAlignment="1">
      <alignment horizontal="center" vertical="center"/>
    </xf>
    <xf numFmtId="171" fontId="0" fillId="4" borderId="9" xfId="13" applyNumberFormat="1" applyFont="1" applyFill="1" applyBorder="1" applyAlignment="1">
      <alignment horizontal="center" vertical="center"/>
    </xf>
    <xf numFmtId="171" fontId="0" fillId="0" borderId="9" xfId="13" applyNumberFormat="1" applyFont="1" applyFill="1" applyBorder="1" applyAlignment="1">
      <alignment horizontal="center" vertical="center"/>
    </xf>
    <xf numFmtId="0" fontId="0" fillId="0" borderId="4" xfId="0" applyFont="1" applyBorder="1" applyAlignment="1">
      <alignment horizontal="center" vertical="center" wrapText="1"/>
    </xf>
    <xf numFmtId="0" fontId="0" fillId="0" borderId="4" xfId="0" applyFont="1" applyFill="1" applyBorder="1" applyAlignment="1">
      <alignment horizontal="center" vertical="center" wrapText="1"/>
    </xf>
    <xf numFmtId="3" fontId="0" fillId="0" borderId="19" xfId="0" applyNumberFormat="1" applyFont="1" applyBorder="1" applyAlignment="1">
      <alignment horizontal="center" vertical="center" wrapText="1"/>
    </xf>
    <xf numFmtId="3" fontId="0" fillId="0" borderId="19" xfId="0" applyNumberFormat="1" applyFont="1" applyFill="1" applyBorder="1" applyAlignment="1">
      <alignment horizontal="center" vertical="center" wrapText="1"/>
    </xf>
    <xf numFmtId="0" fontId="47" fillId="0" borderId="4" xfId="0" applyFont="1" applyBorder="1" applyAlignment="1">
      <alignment horizontal="center" vertical="center" wrapText="1"/>
    </xf>
    <xf numFmtId="0" fontId="47" fillId="0" borderId="4" xfId="0" applyFont="1" applyFill="1" applyBorder="1" applyAlignment="1">
      <alignment horizontal="center" vertical="center" wrapText="1"/>
    </xf>
    <xf numFmtId="0" fontId="47" fillId="0" borderId="9" xfId="0" applyFont="1" applyBorder="1" applyAlignment="1">
      <alignment horizontal="center" vertical="center" wrapText="1"/>
    </xf>
    <xf numFmtId="0" fontId="47" fillId="0" borderId="9" xfId="0" applyFont="1" applyFill="1" applyBorder="1" applyAlignment="1">
      <alignment horizontal="center" vertical="center" wrapText="1"/>
    </xf>
    <xf numFmtId="3" fontId="47" fillId="0" borderId="9" xfId="0" applyNumberFormat="1" applyFont="1" applyBorder="1" applyAlignment="1">
      <alignment horizontal="center" vertical="center" wrapText="1"/>
    </xf>
    <xf numFmtId="3" fontId="47" fillId="0" borderId="9" xfId="0" applyNumberFormat="1" applyFont="1" applyFill="1" applyBorder="1" applyAlignment="1">
      <alignment horizontal="center" vertical="center" wrapText="1"/>
    </xf>
    <xf numFmtId="3" fontId="47" fillId="0" borderId="14" xfId="0" applyNumberFormat="1" applyFont="1" applyBorder="1" applyAlignment="1">
      <alignment horizontal="center" vertical="center" wrapText="1"/>
    </xf>
    <xf numFmtId="3" fontId="47" fillId="0" borderId="14" xfId="0" applyNumberFormat="1" applyFont="1" applyFill="1" applyBorder="1" applyAlignment="1">
      <alignment horizontal="center" vertical="center" wrapText="1"/>
    </xf>
    <xf numFmtId="0" fontId="0" fillId="0" borderId="23" xfId="0" applyFont="1" applyBorder="1" applyAlignment="1">
      <alignment horizontal="center" vertical="center" wrapText="1"/>
    </xf>
    <xf numFmtId="0" fontId="0" fillId="0" borderId="23" xfId="0" applyFont="1" applyFill="1" applyBorder="1" applyAlignment="1">
      <alignment horizontal="center" vertical="center" wrapText="1"/>
    </xf>
    <xf numFmtId="208" fontId="24" fillId="0" borderId="23" xfId="2" applyNumberFormat="1" applyFont="1" applyBorder="1" applyAlignment="1">
      <alignment horizontal="center" vertical="center" wrapText="1"/>
    </xf>
    <xf numFmtId="0" fontId="24" fillId="4" borderId="0" xfId="8" applyFont="1" applyFill="1" applyBorder="1" applyAlignment="1">
      <alignment vertical="center" wrapText="1"/>
    </xf>
    <xf numFmtId="1" fontId="24" fillId="0" borderId="9" xfId="1" applyNumberFormat="1" applyFont="1" applyBorder="1" applyAlignment="1">
      <alignment horizontal="center" vertical="center"/>
    </xf>
    <xf numFmtId="1" fontId="24" fillId="4" borderId="9" xfId="1" applyNumberFormat="1" applyFont="1" applyFill="1" applyBorder="1" applyAlignment="1">
      <alignment horizontal="center" vertical="center"/>
    </xf>
    <xf numFmtId="0" fontId="24" fillId="0" borderId="0" xfId="0" applyFont="1" applyAlignment="1">
      <alignment horizontal="center" vertical="center"/>
    </xf>
    <xf numFmtId="168" fontId="24" fillId="0" borderId="26" xfId="5" applyNumberFormat="1" applyFont="1" applyFill="1" applyBorder="1" applyAlignment="1">
      <alignment horizontal="center" vertical="center" wrapText="1"/>
    </xf>
    <xf numFmtId="10" fontId="24" fillId="0" borderId="9" xfId="0" applyNumberFormat="1" applyFont="1" applyFill="1" applyBorder="1" applyAlignment="1">
      <alignment horizontal="center"/>
    </xf>
    <xf numFmtId="168" fontId="24" fillId="0" borderId="0" xfId="1" applyNumberFormat="1" applyFont="1" applyAlignment="1">
      <alignment horizontal="center" vertical="center"/>
    </xf>
    <xf numFmtId="10" fontId="24" fillId="0" borderId="14" xfId="0" applyNumberFormat="1" applyFont="1" applyFill="1" applyBorder="1" applyAlignment="1">
      <alignment horizontal="center"/>
    </xf>
    <xf numFmtId="4" fontId="24" fillId="4" borderId="9" xfId="6" applyNumberFormat="1" applyFont="1" applyFill="1" applyBorder="1" applyAlignment="1">
      <alignment horizontal="center"/>
    </xf>
    <xf numFmtId="165" fontId="74" fillId="0" borderId="19" xfId="8" applyNumberFormat="1" applyFont="1" applyFill="1" applyBorder="1" applyAlignment="1">
      <alignment horizontal="left" vertical="center"/>
    </xf>
    <xf numFmtId="10" fontId="24" fillId="0" borderId="19" xfId="6" applyNumberFormat="1" applyFont="1" applyFill="1" applyBorder="1" applyAlignment="1">
      <alignment horizontal="center"/>
    </xf>
    <xf numFmtId="171" fontId="24" fillId="0" borderId="87" xfId="13" applyNumberFormat="1" applyFont="1" applyFill="1" applyBorder="1" applyAlignment="1">
      <alignment horizontal="center"/>
    </xf>
    <xf numFmtId="0" fontId="88" fillId="0" borderId="87" xfId="17" applyFont="1" applyFill="1" applyBorder="1" applyAlignment="1"/>
    <xf numFmtId="171" fontId="24" fillId="0" borderId="87" xfId="13" applyNumberFormat="1" applyFont="1" applyFill="1" applyBorder="1" applyAlignment="1">
      <alignment horizontal="left"/>
    </xf>
    <xf numFmtId="0" fontId="105" fillId="0" borderId="9" xfId="0" applyFont="1" applyBorder="1" applyAlignment="1">
      <alignment horizontal="center" vertical="center" wrapText="1"/>
    </xf>
    <xf numFmtId="0" fontId="105" fillId="0" borderId="9" xfId="0" applyFont="1" applyFill="1" applyBorder="1" applyAlignment="1">
      <alignment horizontal="center" vertical="center" wrapText="1"/>
    </xf>
    <xf numFmtId="0" fontId="105" fillId="4" borderId="9" xfId="0" applyFont="1" applyFill="1" applyBorder="1" applyAlignment="1">
      <alignment horizontal="left" vertical="center" wrapText="1"/>
    </xf>
    <xf numFmtId="4" fontId="106" fillId="0" borderId="9" xfId="8" applyNumberFormat="1" applyFont="1" applyBorder="1" applyAlignment="1">
      <alignment horizontal="center"/>
    </xf>
    <xf numFmtId="0" fontId="107" fillId="0" borderId="9" xfId="12" applyFont="1" applyFill="1" applyBorder="1" applyAlignment="1">
      <alignment horizontal="center"/>
    </xf>
    <xf numFmtId="182" fontId="105" fillId="4" borderId="9" xfId="1" applyNumberFormat="1" applyFont="1" applyFill="1" applyBorder="1" applyAlignment="1">
      <alignment horizontal="center"/>
    </xf>
    <xf numFmtId="169" fontId="106" fillId="0" borderId="9" xfId="2" applyNumberFormat="1" applyFont="1" applyBorder="1" applyAlignment="1">
      <alignment horizontal="center"/>
    </xf>
    <xf numFmtId="165" fontId="105" fillId="0" borderId="9" xfId="0" applyNumberFormat="1" applyFont="1" applyBorder="1" applyAlignment="1">
      <alignment horizontal="center" vertical="center" wrapText="1"/>
    </xf>
    <xf numFmtId="171" fontId="105" fillId="4" borderId="9" xfId="13" applyNumberFormat="1" applyFont="1" applyFill="1" applyBorder="1" applyAlignment="1">
      <alignment horizontal="center"/>
    </xf>
    <xf numFmtId="0" fontId="105" fillId="4" borderId="9" xfId="0" applyFont="1" applyFill="1" applyBorder="1" applyAlignment="1">
      <alignment horizontal="center"/>
    </xf>
    <xf numFmtId="0" fontId="105" fillId="0" borderId="9" xfId="0" applyFont="1" applyFill="1" applyBorder="1" applyAlignment="1">
      <alignment horizontal="left" vertical="center" wrapText="1"/>
    </xf>
    <xf numFmtId="4" fontId="106" fillId="0" borderId="9" xfId="8" applyNumberFormat="1" applyFont="1" applyFill="1" applyBorder="1" applyAlignment="1">
      <alignment horizontal="center"/>
    </xf>
    <xf numFmtId="182" fontId="105" fillId="0" borderId="9" xfId="1" applyNumberFormat="1" applyFont="1" applyFill="1" applyBorder="1" applyAlignment="1">
      <alignment horizontal="center"/>
    </xf>
    <xf numFmtId="169" fontId="106" fillId="0" borderId="9" xfId="2" applyNumberFormat="1" applyFont="1" applyFill="1" applyBorder="1" applyAlignment="1">
      <alignment horizontal="center"/>
    </xf>
    <xf numFmtId="0" fontId="105" fillId="0" borderId="9" xfId="0" applyFont="1" applyFill="1" applyBorder="1" applyAlignment="1">
      <alignment horizontal="center"/>
    </xf>
    <xf numFmtId="0" fontId="24" fillId="0" borderId="4" xfId="8" applyFont="1" applyFill="1" applyBorder="1" applyAlignment="1"/>
    <xf numFmtId="0" fontId="24" fillId="0" borderId="14" xfId="0" applyFont="1" applyFill="1" applyBorder="1" applyAlignment="1">
      <alignment horizontal="left" vertical="center"/>
    </xf>
    <xf numFmtId="9" fontId="24" fillId="0" borderId="9" xfId="0" applyNumberFormat="1" applyFont="1" applyFill="1" applyBorder="1" applyAlignment="1">
      <alignment horizontal="center" vertical="center"/>
    </xf>
    <xf numFmtId="9" fontId="24" fillId="0" borderId="35" xfId="0" applyNumberFormat="1" applyFont="1" applyFill="1" applyBorder="1" applyAlignment="1">
      <alignment horizontal="center" vertical="center"/>
    </xf>
    <xf numFmtId="9" fontId="24" fillId="0" borderId="14" xfId="3" applyFont="1" applyFill="1" applyBorder="1" applyAlignment="1">
      <alignment horizontal="center"/>
    </xf>
    <xf numFmtId="181" fontId="24" fillId="0" borderId="9" xfId="0" applyNumberFormat="1" applyFont="1" applyFill="1" applyBorder="1" applyAlignment="1">
      <alignment horizontal="center" vertical="center" wrapText="1"/>
    </xf>
    <xf numFmtId="9" fontId="24" fillId="0" borderId="9" xfId="3" applyFont="1" applyBorder="1" applyAlignment="1">
      <alignment horizontal="center" vertical="center" wrapText="1"/>
    </xf>
    <xf numFmtId="180" fontId="24" fillId="0" borderId="9" xfId="0" applyNumberFormat="1" applyFont="1" applyBorder="1" applyAlignment="1">
      <alignment horizontal="center" wrapText="1"/>
    </xf>
    <xf numFmtId="9" fontId="24" fillId="0" borderId="9" xfId="3" applyNumberFormat="1" applyFont="1" applyBorder="1" applyAlignment="1">
      <alignment horizontal="center" wrapText="1"/>
    </xf>
    <xf numFmtId="190" fontId="24" fillId="0" borderId="9" xfId="3" applyNumberFormat="1" applyFont="1" applyBorder="1" applyAlignment="1">
      <alignment horizontal="left" wrapText="1"/>
    </xf>
    <xf numFmtId="10" fontId="24" fillId="0" borderId="9" xfId="3" applyNumberFormat="1" applyFont="1" applyBorder="1" applyAlignment="1">
      <alignment horizontal="center" wrapText="1"/>
    </xf>
    <xf numFmtId="172" fontId="24" fillId="4" borderId="9" xfId="3" applyNumberFormat="1" applyFont="1" applyFill="1" applyBorder="1" applyAlignment="1">
      <alignment horizontal="center" vertical="center" wrapText="1"/>
    </xf>
    <xf numFmtId="0" fontId="24" fillId="4" borderId="9" xfId="12" applyFont="1" applyFill="1" applyBorder="1" applyAlignment="1">
      <alignment horizontal="center" vertical="center"/>
    </xf>
    <xf numFmtId="169" fontId="24" fillId="4" borderId="9" xfId="2" applyNumberFormat="1" applyFont="1" applyFill="1" applyBorder="1" applyAlignment="1">
      <alignment horizontal="center" vertical="center"/>
    </xf>
    <xf numFmtId="0" fontId="24" fillId="4" borderId="9" xfId="6" applyFont="1" applyFill="1" applyBorder="1"/>
    <xf numFmtId="9" fontId="24" fillId="4" borderId="18" xfId="3" applyFont="1" applyFill="1" applyBorder="1" applyAlignment="1">
      <alignment horizontal="center"/>
    </xf>
    <xf numFmtId="172" fontId="24" fillId="4" borderId="21" xfId="3" applyNumberFormat="1" applyFont="1" applyFill="1" applyBorder="1" applyAlignment="1">
      <alignment horizontal="center"/>
    </xf>
    <xf numFmtId="0" fontId="24" fillId="4" borderId="19" xfId="6" applyFont="1" applyFill="1" applyBorder="1"/>
    <xf numFmtId="165" fontId="74" fillId="4" borderId="19" xfId="8" applyNumberFormat="1" applyFont="1" applyFill="1" applyBorder="1" applyAlignment="1">
      <alignment vertical="center"/>
    </xf>
    <xf numFmtId="165" fontId="74" fillId="4" borderId="19" xfId="8" applyNumberFormat="1" applyFont="1" applyFill="1" applyBorder="1" applyAlignment="1">
      <alignment horizontal="left" vertical="center"/>
    </xf>
    <xf numFmtId="165" fontId="24" fillId="4" borderId="19" xfId="6" applyNumberFormat="1" applyFont="1" applyFill="1" applyBorder="1" applyAlignment="1">
      <alignment horizontal="center"/>
    </xf>
    <xf numFmtId="0" fontId="24" fillId="4" borderId="87" xfId="6" applyFont="1" applyFill="1" applyBorder="1"/>
    <xf numFmtId="7" fontId="24" fillId="4" borderId="87" xfId="2" applyNumberFormat="1" applyFont="1" applyFill="1" applyBorder="1" applyAlignment="1">
      <alignment horizontal="center" wrapText="1"/>
    </xf>
    <xf numFmtId="0" fontId="88" fillId="4" borderId="87" xfId="17" applyFont="1" applyFill="1" applyBorder="1" applyAlignment="1"/>
    <xf numFmtId="171" fontId="24" fillId="4" borderId="87" xfId="13" applyNumberFormat="1" applyFont="1" applyFill="1" applyBorder="1" applyAlignment="1">
      <alignment horizontal="left"/>
    </xf>
    <xf numFmtId="0" fontId="44" fillId="12" borderId="9" xfId="0" applyFont="1" applyFill="1" applyBorder="1"/>
    <xf numFmtId="165" fontId="74" fillId="4" borderId="9" xfId="8" applyNumberFormat="1" applyFont="1" applyFill="1" applyBorder="1" applyAlignment="1">
      <alignment vertical="center"/>
    </xf>
    <xf numFmtId="167" fontId="44" fillId="12" borderId="9" xfId="0" applyNumberFormat="1" applyFont="1" applyFill="1" applyBorder="1" applyAlignment="1">
      <alignment horizontal="center"/>
    </xf>
    <xf numFmtId="167" fontId="44" fillId="12" borderId="9" xfId="0" applyNumberFormat="1" applyFont="1" applyFill="1" applyBorder="1"/>
    <xf numFmtId="0" fontId="108" fillId="9" borderId="0" xfId="5" applyFont="1" applyFill="1"/>
    <xf numFmtId="0" fontId="24" fillId="12" borderId="0" xfId="0" applyFont="1" applyFill="1"/>
    <xf numFmtId="0" fontId="72" fillId="12" borderId="0" xfId="0" applyFont="1" applyFill="1"/>
    <xf numFmtId="3" fontId="24" fillId="4" borderId="9" xfId="0" applyNumberFormat="1" applyFont="1" applyFill="1" applyBorder="1" applyAlignment="1">
      <alignment horizontal="left" vertical="center"/>
    </xf>
    <xf numFmtId="0" fontId="24" fillId="4" borderId="74" xfId="8" applyFont="1" applyFill="1" applyBorder="1"/>
    <xf numFmtId="1" fontId="24" fillId="4" borderId="4" xfId="0" applyNumberFormat="1" applyFont="1" applyFill="1" applyBorder="1" applyAlignment="1">
      <alignment horizontal="left" vertical="top" wrapText="1"/>
    </xf>
    <xf numFmtId="1" fontId="24" fillId="4" borderId="5" xfId="0" applyNumberFormat="1" applyFont="1" applyFill="1" applyBorder="1" applyAlignment="1">
      <alignment horizontal="left" vertical="top" wrapText="1"/>
    </xf>
    <xf numFmtId="1" fontId="24" fillId="4" borderId="9" xfId="0" applyNumberFormat="1" applyFont="1" applyFill="1" applyBorder="1" applyAlignment="1">
      <alignment horizontal="left" vertical="top" wrapText="1"/>
    </xf>
    <xf numFmtId="1" fontId="24" fillId="4" borderId="45" xfId="0" applyNumberFormat="1" applyFont="1" applyFill="1" applyBorder="1" applyAlignment="1">
      <alignment horizontal="left" vertical="top" wrapText="1"/>
    </xf>
    <xf numFmtId="1" fontId="24" fillId="4" borderId="23" xfId="0" applyNumberFormat="1" applyFont="1" applyFill="1" applyBorder="1" applyAlignment="1">
      <alignment horizontal="left" vertical="top" wrapText="1"/>
    </xf>
    <xf numFmtId="1" fontId="24" fillId="4" borderId="10" xfId="0" applyNumberFormat="1" applyFont="1" applyFill="1" applyBorder="1" applyAlignment="1">
      <alignment horizontal="left" vertical="top" wrapText="1"/>
    </xf>
    <xf numFmtId="1" fontId="24" fillId="0" borderId="9" xfId="0" applyNumberFormat="1" applyFont="1" applyFill="1" applyBorder="1" applyAlignment="1">
      <alignment horizontal="left" vertical="top" wrapText="1"/>
    </xf>
    <xf numFmtId="1" fontId="24" fillId="0" borderId="10" xfId="0" applyNumberFormat="1" applyFont="1" applyFill="1" applyBorder="1" applyAlignment="1">
      <alignment horizontal="left" vertical="top" wrapText="1"/>
    </xf>
    <xf numFmtId="1" fontId="24" fillId="4" borderId="10" xfId="0" applyNumberFormat="1" applyFont="1" applyFill="1" applyBorder="1"/>
    <xf numFmtId="0" fontId="24" fillId="0" borderId="5" xfId="0" applyFont="1" applyFill="1" applyBorder="1"/>
    <xf numFmtId="0" fontId="24" fillId="0" borderId="10" xfId="0" applyFont="1" applyFill="1" applyBorder="1"/>
    <xf numFmtId="0" fontId="24" fillId="4" borderId="19" xfId="0" applyFont="1" applyFill="1" applyBorder="1"/>
    <xf numFmtId="0" fontId="24" fillId="4" borderId="23" xfId="0" applyFont="1" applyFill="1" applyBorder="1"/>
    <xf numFmtId="0" fontId="24" fillId="0" borderId="25" xfId="0" applyFont="1" applyFill="1" applyBorder="1"/>
    <xf numFmtId="0" fontId="24" fillId="0" borderId="15" xfId="0" applyFont="1" applyFill="1" applyBorder="1"/>
    <xf numFmtId="2" fontId="24" fillId="0" borderId="4" xfId="0" applyNumberFormat="1" applyFont="1" applyFill="1" applyBorder="1" applyAlignment="1">
      <alignment horizontal="left" vertical="top" wrapText="1"/>
    </xf>
    <xf numFmtId="0" fontId="24" fillId="0" borderId="4" xfId="0" applyFont="1" applyFill="1" applyBorder="1"/>
    <xf numFmtId="0" fontId="24" fillId="0" borderId="5" xfId="0" applyFont="1" applyFill="1" applyBorder="1" applyAlignment="1">
      <alignment horizontal="left" vertical="top" wrapText="1"/>
    </xf>
    <xf numFmtId="0" fontId="24" fillId="0" borderId="10" xfId="0" applyFont="1" applyFill="1" applyBorder="1" applyAlignment="1">
      <alignment horizontal="left" vertical="top" wrapText="1"/>
    </xf>
    <xf numFmtId="2" fontId="24" fillId="0" borderId="19" xfId="0" applyNumberFormat="1" applyFont="1" applyFill="1" applyBorder="1" applyAlignment="1">
      <alignment horizontal="left" vertical="top" wrapText="1"/>
    </xf>
    <xf numFmtId="0" fontId="24" fillId="0" borderId="19" xfId="0" applyFont="1" applyFill="1" applyBorder="1"/>
    <xf numFmtId="0" fontId="24" fillId="0" borderId="46" xfId="0" applyFont="1" applyFill="1" applyBorder="1" applyAlignment="1">
      <alignment horizontal="left" vertical="top" wrapText="1"/>
    </xf>
    <xf numFmtId="0" fontId="24" fillId="0" borderId="30" xfId="0" applyFont="1" applyFill="1" applyBorder="1"/>
    <xf numFmtId="0" fontId="24" fillId="0" borderId="15" xfId="0" applyFont="1" applyFill="1" applyBorder="1" applyAlignment="1">
      <alignment horizontal="left" vertical="top" wrapText="1"/>
    </xf>
    <xf numFmtId="2" fontId="24" fillId="0" borderId="45" xfId="0" applyNumberFormat="1" applyFont="1" applyFill="1" applyBorder="1" applyAlignment="1">
      <alignment vertical="center" wrapText="1"/>
    </xf>
    <xf numFmtId="2" fontId="24" fillId="0" borderId="10" xfId="0" applyNumberFormat="1" applyFont="1" applyFill="1" applyBorder="1" applyAlignment="1">
      <alignment vertical="center" wrapText="1"/>
    </xf>
    <xf numFmtId="2" fontId="24" fillId="0" borderId="19" xfId="0" applyNumberFormat="1" applyFont="1" applyFill="1" applyBorder="1"/>
    <xf numFmtId="2" fontId="24" fillId="0" borderId="30" xfId="0" applyNumberFormat="1" applyFont="1" applyFill="1" applyBorder="1" applyAlignment="1">
      <alignment horizontal="left" vertical="top" wrapText="1"/>
    </xf>
    <xf numFmtId="2" fontId="24" fillId="0" borderId="30" xfId="0" applyNumberFormat="1" applyFont="1" applyFill="1" applyBorder="1"/>
    <xf numFmtId="0" fontId="24" fillId="4" borderId="4" xfId="0" applyFont="1" applyFill="1" applyBorder="1" applyAlignment="1"/>
    <xf numFmtId="0" fontId="24" fillId="4" borderId="5" xfId="0" applyFont="1" applyFill="1" applyBorder="1" applyAlignment="1"/>
    <xf numFmtId="0" fontId="24" fillId="4" borderId="9" xfId="0" applyFont="1" applyFill="1" applyBorder="1" applyAlignment="1"/>
    <xf numFmtId="0" fontId="24" fillId="4" borderId="10" xfId="0" applyFont="1" applyFill="1" applyBorder="1" applyAlignment="1"/>
    <xf numFmtId="0" fontId="24" fillId="4" borderId="19" xfId="0" applyFont="1" applyFill="1" applyBorder="1" applyAlignment="1"/>
    <xf numFmtId="0" fontId="24" fillId="4" borderId="46" xfId="0" applyFont="1" applyFill="1" applyBorder="1" applyAlignment="1"/>
    <xf numFmtId="9" fontId="24" fillId="4" borderId="14" xfId="0" applyNumberFormat="1" applyFont="1" applyFill="1" applyBorder="1" applyAlignment="1">
      <alignment horizontal="left" vertical="top"/>
    </xf>
    <xf numFmtId="0" fontId="24" fillId="4" borderId="14" xfId="0" applyFont="1" applyFill="1" applyBorder="1" applyAlignment="1"/>
    <xf numFmtId="0" fontId="24" fillId="4" borderId="15" xfId="0" applyFont="1" applyFill="1" applyBorder="1" applyAlignment="1"/>
    <xf numFmtId="0" fontId="24" fillId="0" borderId="30" xfId="0" applyFont="1" applyFill="1" applyBorder="1" applyAlignment="1">
      <alignment horizontal="left" vertical="top"/>
    </xf>
    <xf numFmtId="0" fontId="24" fillId="0" borderId="45" xfId="0" applyFont="1" applyFill="1" applyBorder="1" applyAlignment="1">
      <alignment horizontal="left" vertical="top"/>
    </xf>
    <xf numFmtId="2" fontId="24" fillId="0" borderId="15" xfId="0" applyNumberFormat="1" applyFont="1" applyFill="1" applyBorder="1"/>
    <xf numFmtId="0" fontId="24" fillId="0" borderId="94" xfId="0" applyFont="1" applyFill="1" applyBorder="1" applyAlignment="1">
      <alignment horizontal="left" vertical="center" wrapText="1"/>
    </xf>
    <xf numFmtId="0" fontId="24" fillId="0" borderId="86" xfId="0" applyFont="1" applyFill="1" applyBorder="1" applyAlignment="1">
      <alignment horizontal="left" vertical="center" wrapText="1"/>
    </xf>
    <xf numFmtId="9" fontId="24" fillId="0" borderId="48" xfId="0" applyNumberFormat="1" applyFont="1" applyFill="1" applyBorder="1" applyAlignment="1">
      <alignment horizontal="left" vertical="center" wrapText="1"/>
    </xf>
    <xf numFmtId="0" fontId="24" fillId="0" borderId="48" xfId="0" applyFont="1" applyFill="1" applyBorder="1" applyAlignment="1">
      <alignment horizontal="left" vertical="top" wrapText="1"/>
    </xf>
    <xf numFmtId="2" fontId="24" fillId="0" borderId="0" xfId="0" applyNumberFormat="1" applyFont="1" applyFill="1" applyAlignment="1">
      <alignment horizontal="left"/>
    </xf>
    <xf numFmtId="2" fontId="24" fillId="0" borderId="0" xfId="0" applyNumberFormat="1" applyFont="1" applyFill="1" applyAlignment="1">
      <alignment horizontal="center"/>
    </xf>
    <xf numFmtId="2" fontId="88" fillId="0" borderId="0" xfId="0" applyNumberFormat="1" applyFont="1" applyFill="1" applyAlignment="1">
      <alignment horizontal="right"/>
    </xf>
    <xf numFmtId="0" fontId="88" fillId="0" borderId="0" xfId="0" applyFont="1" applyFill="1" applyAlignment="1">
      <alignment horizontal="center"/>
    </xf>
    <xf numFmtId="2" fontId="24" fillId="0" borderId="9" xfId="0" applyNumberFormat="1" applyFont="1" applyFill="1" applyBorder="1" applyAlignment="1">
      <alignment wrapText="1"/>
    </xf>
    <xf numFmtId="171" fontId="24" fillId="0" borderId="9" xfId="0" applyNumberFormat="1" applyFont="1" applyFill="1" applyBorder="1"/>
    <xf numFmtId="171" fontId="24" fillId="0" borderId="9" xfId="2" applyNumberFormat="1" applyFont="1" applyFill="1" applyBorder="1" applyAlignment="1">
      <alignment horizontal="center"/>
    </xf>
    <xf numFmtId="171" fontId="24" fillId="0" borderId="9" xfId="0" applyNumberFormat="1" applyFont="1" applyFill="1" applyBorder="1" applyAlignment="1">
      <alignment horizontal="right"/>
    </xf>
    <xf numFmtId="171" fontId="24" fillId="0" borderId="9" xfId="0" applyNumberFormat="1" applyFont="1" applyFill="1" applyBorder="1" applyAlignment="1">
      <alignment wrapText="1"/>
    </xf>
    <xf numFmtId="8" fontId="24" fillId="0" borderId="9" xfId="0" applyNumberFormat="1" applyFont="1" applyFill="1" applyBorder="1" applyAlignment="1">
      <alignment horizontal="center"/>
    </xf>
    <xf numFmtId="37" fontId="24" fillId="0" borderId="9" xfId="0" applyNumberFormat="1" applyFont="1" applyFill="1" applyBorder="1"/>
    <xf numFmtId="0" fontId="24" fillId="0" borderId="19" xfId="0" applyFont="1" applyFill="1" applyBorder="1" applyAlignment="1">
      <alignment horizontal="left" vertical="top" wrapText="1"/>
    </xf>
    <xf numFmtId="0" fontId="24" fillId="0" borderId="37" xfId="0" applyFont="1" applyFill="1" applyBorder="1"/>
    <xf numFmtId="2" fontId="24" fillId="0" borderId="20" xfId="0" applyNumberFormat="1" applyFont="1" applyFill="1" applyBorder="1" applyAlignment="1">
      <alignment wrapText="1"/>
    </xf>
    <xf numFmtId="2" fontId="24" fillId="0" borderId="35" xfId="0" applyNumberFormat="1" applyFont="1" applyFill="1" applyBorder="1" applyAlignment="1">
      <alignment wrapText="1"/>
    </xf>
    <xf numFmtId="2" fontId="24" fillId="0" borderId="25" xfId="0" applyNumberFormat="1" applyFont="1" applyFill="1" applyBorder="1" applyAlignment="1">
      <alignment wrapText="1"/>
    </xf>
    <xf numFmtId="0" fontId="24" fillId="0" borderId="44" xfId="0" applyFont="1" applyFill="1" applyBorder="1" applyAlignment="1">
      <alignment horizontal="left" vertical="center" wrapText="1"/>
    </xf>
    <xf numFmtId="0" fontId="24" fillId="0" borderId="25" xfId="0" applyFont="1" applyFill="1" applyBorder="1" applyAlignment="1">
      <alignment vertical="top" wrapText="1"/>
    </xf>
    <xf numFmtId="0" fontId="24" fillId="0" borderId="28" xfId="0" applyFont="1" applyFill="1" applyBorder="1" applyAlignment="1">
      <alignment vertical="top" wrapText="1"/>
    </xf>
    <xf numFmtId="0" fontId="24" fillId="0" borderId="26" xfId="0" applyFont="1" applyFill="1" applyBorder="1" applyAlignment="1">
      <alignment vertical="top" wrapText="1"/>
    </xf>
    <xf numFmtId="9" fontId="24" fillId="0" borderId="23" xfId="3" applyFont="1" applyFill="1" applyBorder="1" applyAlignment="1">
      <alignment horizontal="left" vertical="top" wrapText="1"/>
    </xf>
    <xf numFmtId="186" fontId="24" fillId="0" borderId="0" xfId="0" applyNumberFormat="1" applyFont="1"/>
    <xf numFmtId="2" fontId="24" fillId="0" borderId="9" xfId="8" applyNumberFormat="1" applyFont="1" applyFill="1" applyBorder="1" applyAlignment="1">
      <alignment horizontal="center"/>
    </xf>
    <xf numFmtId="169" fontId="24" fillId="0" borderId="9" xfId="2" applyNumberFormat="1" applyFont="1" applyFill="1" applyBorder="1" applyAlignment="1">
      <alignment horizontal="center"/>
    </xf>
    <xf numFmtId="2" fontId="24" fillId="0" borderId="9" xfId="1" applyNumberFormat="1" applyFont="1" applyFill="1" applyBorder="1" applyAlignment="1">
      <alignment horizontal="center" wrapText="1"/>
    </xf>
    <xf numFmtId="178" fontId="24" fillId="0" borderId="9" xfId="0" applyNumberFormat="1" applyFont="1" applyFill="1" applyBorder="1" applyAlignment="1">
      <alignment horizontal="left" vertical="center" wrapText="1"/>
    </xf>
    <xf numFmtId="200" fontId="24" fillId="0" borderId="9" xfId="8" applyNumberFormat="1" applyFont="1" applyFill="1" applyBorder="1" applyAlignment="1">
      <alignment horizontal="center"/>
    </xf>
    <xf numFmtId="165" fontId="29" fillId="0" borderId="9" xfId="8" applyNumberFormat="1" applyFont="1" applyFill="1" applyBorder="1" applyAlignment="1">
      <alignment horizontal="center"/>
    </xf>
    <xf numFmtId="10" fontId="24" fillId="0" borderId="14" xfId="7" applyNumberFormat="1" applyFont="1" applyFill="1" applyBorder="1" applyAlignment="1">
      <alignment horizontal="center" vertical="center" wrapText="1"/>
    </xf>
    <xf numFmtId="2" fontId="24" fillId="0" borderId="34" xfId="0" applyNumberFormat="1" applyFont="1" applyFill="1" applyBorder="1" applyAlignment="1">
      <alignment horizontal="center"/>
    </xf>
    <xf numFmtId="171" fontId="24" fillId="0" borderId="9" xfId="2" applyNumberFormat="1" applyFont="1" applyBorder="1" applyAlignment="1">
      <alignment horizontal="center"/>
    </xf>
    <xf numFmtId="9" fontId="24" fillId="0" borderId="0" xfId="3" applyFont="1" applyFill="1" applyAlignment="1">
      <alignment horizontal="center"/>
    </xf>
    <xf numFmtId="9" fontId="24" fillId="0" borderId="19" xfId="0" applyNumberFormat="1" applyFont="1" applyBorder="1" applyAlignment="1">
      <alignment horizontal="center" vertical="center" wrapText="1"/>
    </xf>
    <xf numFmtId="165" fontId="24" fillId="0" borderId="9" xfId="0" applyNumberFormat="1" applyFont="1" applyBorder="1" applyAlignment="1">
      <alignment horizontal="left" vertical="center" wrapText="1"/>
    </xf>
    <xf numFmtId="170" fontId="24" fillId="0" borderId="16" xfId="1" applyNumberFormat="1" applyFont="1" applyFill="1" applyBorder="1" applyAlignment="1">
      <alignment horizontal="left" vertical="center" wrapText="1"/>
    </xf>
    <xf numFmtId="170" fontId="24" fillId="0" borderId="87" xfId="1" applyNumberFormat="1" applyFont="1" applyFill="1" applyBorder="1" applyAlignment="1">
      <alignment horizontal="center" vertical="center" wrapText="1"/>
    </xf>
    <xf numFmtId="7" fontId="24" fillId="0" borderId="16" xfId="2" applyNumberFormat="1" applyFont="1" applyFill="1" applyBorder="1" applyAlignment="1">
      <alignment horizontal="left" wrapText="1"/>
    </xf>
    <xf numFmtId="7" fontId="24" fillId="0" borderId="20" xfId="2" applyNumberFormat="1" applyFont="1" applyFill="1" applyBorder="1" applyAlignment="1">
      <alignment horizontal="left" wrapText="1"/>
    </xf>
    <xf numFmtId="7" fontId="24" fillId="0" borderId="90" xfId="2" applyNumberFormat="1" applyFont="1" applyFill="1" applyBorder="1" applyAlignment="1">
      <alignment horizontal="center" wrapText="1"/>
    </xf>
    <xf numFmtId="0" fontId="24" fillId="0" borderId="9" xfId="6" applyFont="1" applyFill="1" applyBorder="1" applyAlignment="1">
      <alignment horizontal="left"/>
    </xf>
    <xf numFmtId="193" fontId="24" fillId="0" borderId="9" xfId="0" applyNumberFormat="1" applyFont="1" applyFill="1" applyBorder="1" applyAlignment="1">
      <alignment horizontal="center"/>
    </xf>
    <xf numFmtId="49" fontId="24" fillId="0" borderId="9" xfId="2" applyNumberFormat="1" applyFont="1" applyFill="1" applyBorder="1" applyAlignment="1">
      <alignment horizontal="center" vertical="center"/>
    </xf>
    <xf numFmtId="181" fontId="24" fillId="0" borderId="0" xfId="6" applyNumberFormat="1" applyFont="1"/>
    <xf numFmtId="0" fontId="24" fillId="0" borderId="16" xfId="8" applyFont="1" applyFill="1" applyBorder="1" applyAlignment="1">
      <alignment horizontal="center" vertical="center" wrapText="1"/>
    </xf>
    <xf numFmtId="2" fontId="24" fillId="0" borderId="16" xfId="8" applyNumberFormat="1" applyFont="1" applyFill="1" applyBorder="1" applyAlignment="1">
      <alignment horizontal="center" vertical="center" wrapText="1"/>
    </xf>
    <xf numFmtId="180" fontId="24" fillId="0" borderId="16" xfId="8" applyNumberFormat="1" applyFont="1" applyFill="1" applyBorder="1" applyAlignment="1">
      <alignment horizontal="center" vertical="center" wrapText="1"/>
    </xf>
    <xf numFmtId="171" fontId="24" fillId="0" borderId="16" xfId="8" applyNumberFormat="1" applyFont="1" applyFill="1" applyBorder="1" applyAlignment="1">
      <alignment horizontal="center" vertical="center" wrapText="1"/>
    </xf>
    <xf numFmtId="0" fontId="29" fillId="0" borderId="0" xfId="8" applyFont="1" applyFill="1" applyAlignment="1">
      <alignment horizontal="left"/>
    </xf>
    <xf numFmtId="9" fontId="24" fillId="4" borderId="9" xfId="3" applyNumberFormat="1" applyFont="1" applyFill="1" applyBorder="1" applyAlignment="1">
      <alignment horizontal="center" vertical="center" wrapText="1"/>
    </xf>
    <xf numFmtId="170" fontId="24" fillId="0" borderId="16" xfId="1" applyNumberFormat="1" applyFont="1" applyFill="1" applyBorder="1" applyAlignment="1">
      <alignment vertical="center" wrapText="1"/>
    </xf>
    <xf numFmtId="7" fontId="24" fillId="0" borderId="16" xfId="2" applyNumberFormat="1" applyFont="1" applyFill="1" applyBorder="1" applyAlignment="1">
      <alignment wrapText="1"/>
    </xf>
    <xf numFmtId="7" fontId="24" fillId="0" borderId="9" xfId="0" applyNumberFormat="1" applyFont="1" applyFill="1" applyBorder="1" applyAlignment="1">
      <alignment horizontal="center"/>
    </xf>
    <xf numFmtId="0" fontId="24" fillId="0" borderId="19" xfId="6" applyFont="1" applyFill="1" applyBorder="1" applyAlignment="1">
      <alignment vertical="center"/>
    </xf>
    <xf numFmtId="165" fontId="74" fillId="0" borderId="19" xfId="8" applyNumberFormat="1" applyFont="1" applyFill="1" applyBorder="1" applyAlignment="1">
      <alignment vertical="center"/>
    </xf>
    <xf numFmtId="0" fontId="42" fillId="0" borderId="87" xfId="8" applyFont="1" applyFill="1" applyBorder="1" applyAlignment="1">
      <alignment vertical="center"/>
    </xf>
    <xf numFmtId="0" fontId="29" fillId="0" borderId="87" xfId="8" applyFont="1" applyFill="1" applyBorder="1" applyAlignment="1">
      <alignment vertical="center"/>
    </xf>
    <xf numFmtId="37" fontId="24" fillId="7" borderId="9" xfId="1" applyNumberFormat="1" applyFont="1" applyFill="1" applyBorder="1" applyAlignment="1">
      <alignment horizontal="center"/>
    </xf>
    <xf numFmtId="39" fontId="24" fillId="7" borderId="9" xfId="5" applyNumberFormat="1" applyFont="1" applyFill="1" applyBorder="1" applyAlignment="1">
      <alignment horizontal="center"/>
    </xf>
    <xf numFmtId="0" fontId="24" fillId="4" borderId="9" xfId="5" applyNumberFormat="1" applyFont="1" applyFill="1" applyBorder="1"/>
    <xf numFmtId="2" fontId="39" fillId="0" borderId="0" xfId="5" applyNumberFormat="1" applyFont="1" applyAlignment="1">
      <alignment horizontal="center"/>
    </xf>
    <xf numFmtId="2" fontId="24" fillId="33" borderId="9" xfId="1" applyNumberFormat="1" applyFont="1" applyFill="1" applyBorder="1" applyAlignment="1">
      <alignment horizontal="center"/>
    </xf>
    <xf numFmtId="2" fontId="24" fillId="8" borderId="9" xfId="1" applyNumberFormat="1" applyFont="1" applyFill="1" applyBorder="1"/>
    <xf numFmtId="44" fontId="24" fillId="4" borderId="9" xfId="2" applyFont="1" applyFill="1" applyBorder="1"/>
    <xf numFmtId="2" fontId="24" fillId="8" borderId="23" xfId="1" applyNumberFormat="1" applyFont="1" applyFill="1" applyBorder="1"/>
    <xf numFmtId="44" fontId="24" fillId="4" borderId="17" xfId="2" applyFont="1" applyFill="1" applyBorder="1"/>
    <xf numFmtId="2" fontId="0" fillId="0" borderId="25" xfId="1" applyNumberFormat="1" applyFont="1" applyFill="1" applyBorder="1" applyAlignment="1">
      <alignment horizontal="center"/>
    </xf>
    <xf numFmtId="2" fontId="0" fillId="0" borderId="20" xfId="1" applyNumberFormat="1" applyFont="1" applyFill="1" applyBorder="1" applyAlignment="1">
      <alignment horizontal="center"/>
    </xf>
    <xf numFmtId="2" fontId="0" fillId="0" borderId="22" xfId="1" applyNumberFormat="1" applyFont="1" applyFill="1" applyBorder="1" applyAlignment="1">
      <alignment horizontal="center"/>
    </xf>
    <xf numFmtId="2" fontId="0" fillId="0" borderId="16" xfId="1" applyNumberFormat="1" applyFont="1" applyFill="1" applyBorder="1" applyAlignment="1">
      <alignment horizontal="center"/>
    </xf>
    <xf numFmtId="2" fontId="24" fillId="0" borderId="22" xfId="1" applyNumberFormat="1" applyFont="1" applyBorder="1" applyAlignment="1">
      <alignment horizontal="center"/>
    </xf>
    <xf numFmtId="44" fontId="24" fillId="0" borderId="24" xfId="2" applyFont="1" applyFill="1" applyBorder="1"/>
    <xf numFmtId="2" fontId="24" fillId="0" borderId="25" xfId="1" applyNumberFormat="1" applyFont="1" applyBorder="1" applyAlignment="1">
      <alignment horizontal="center"/>
    </xf>
    <xf numFmtId="44" fontId="24" fillId="0" borderId="26" xfId="2" applyFont="1" applyFill="1" applyBorder="1"/>
    <xf numFmtId="165" fontId="11" fillId="0" borderId="8" xfId="0" applyNumberFormat="1" applyFont="1" applyBorder="1" applyAlignment="1">
      <alignment horizontal="center"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0" fontId="24" fillId="4" borderId="9" xfId="13" applyFont="1" applyFill="1" applyBorder="1" applyAlignment="1">
      <alignment horizontal="center"/>
    </xf>
    <xf numFmtId="0" fontId="24" fillId="0" borderId="9" xfId="8" applyFont="1" applyBorder="1" applyAlignment="1">
      <alignment horizontal="center"/>
    </xf>
    <xf numFmtId="14" fontId="11" fillId="0" borderId="9" xfId="0" applyNumberFormat="1" applyFont="1" applyBorder="1" applyAlignment="1">
      <alignment horizontal="center" vertical="center" wrapText="1"/>
    </xf>
    <xf numFmtId="0" fontId="24" fillId="0" borderId="18" xfId="0" applyFont="1" applyBorder="1"/>
    <xf numFmtId="0" fontId="24" fillId="0" borderId="9" xfId="0" applyFont="1" applyFill="1" applyBorder="1"/>
    <xf numFmtId="0" fontId="24" fillId="0" borderId="16" xfId="0" applyFont="1" applyFill="1" applyBorder="1"/>
    <xf numFmtId="0" fontId="24" fillId="0" borderId="18" xfId="0" applyFont="1" applyFill="1" applyBorder="1"/>
    <xf numFmtId="0" fontId="24" fillId="16" borderId="9" xfId="0" applyFont="1" applyFill="1" applyBorder="1" applyAlignment="1">
      <alignment vertical="top" wrapText="1"/>
    </xf>
    <xf numFmtId="0" fontId="24" fillId="16" borderId="14" xfId="0" applyFont="1" applyFill="1" applyBorder="1" applyAlignment="1">
      <alignment vertical="top" wrapText="1"/>
    </xf>
    <xf numFmtId="0" fontId="24" fillId="16" borderId="4" xfId="0" applyFont="1" applyFill="1" applyBorder="1" applyAlignment="1">
      <alignment vertical="top" wrapText="1"/>
    </xf>
    <xf numFmtId="0" fontId="24" fillId="16" borderId="17" xfId="0" applyFont="1" applyFill="1" applyBorder="1" applyAlignment="1">
      <alignment vertical="top" wrapText="1"/>
    </xf>
    <xf numFmtId="0" fontId="24" fillId="16" borderId="18" xfId="0" applyFont="1" applyFill="1" applyBorder="1" applyAlignment="1">
      <alignment vertical="top" wrapText="1"/>
    </xf>
    <xf numFmtId="0" fontId="24" fillId="4" borderId="17" xfId="0" applyFont="1" applyFill="1" applyBorder="1" applyAlignment="1">
      <alignment vertical="top" wrapText="1"/>
    </xf>
    <xf numFmtId="0" fontId="24" fillId="4" borderId="18" xfId="0" applyFont="1" applyFill="1" applyBorder="1" applyAlignment="1">
      <alignment vertical="top" wrapText="1"/>
    </xf>
    <xf numFmtId="0" fontId="24" fillId="4" borderId="25" xfId="0" applyFont="1" applyFill="1" applyBorder="1" applyAlignment="1">
      <alignment horizontal="left" vertical="top" wrapText="1"/>
    </xf>
    <xf numFmtId="0" fontId="24" fillId="15" borderId="20" xfId="0" applyFont="1" applyFill="1" applyBorder="1" applyAlignment="1">
      <alignment horizontal="center" vertical="center" wrapText="1"/>
    </xf>
    <xf numFmtId="0" fontId="24" fillId="15" borderId="27" xfId="0" applyFont="1" applyFill="1" applyBorder="1" applyAlignment="1">
      <alignment horizontal="center" vertical="center" wrapText="1"/>
    </xf>
    <xf numFmtId="0" fontId="24" fillId="15" borderId="21" xfId="0" applyFont="1" applyFill="1" applyBorder="1" applyAlignment="1">
      <alignment horizontal="center" vertical="center" wrapText="1"/>
    </xf>
    <xf numFmtId="1" fontId="4" fillId="0" borderId="9" xfId="0" applyNumberFormat="1" applyFont="1" applyFill="1" applyBorder="1" applyAlignment="1">
      <alignment horizontal="center"/>
    </xf>
    <xf numFmtId="9" fontId="24" fillId="0" borderId="4" xfId="3" applyFont="1" applyFill="1" applyBorder="1" applyAlignment="1">
      <alignment horizontal="center"/>
    </xf>
    <xf numFmtId="2" fontId="4" fillId="0" borderId="9" xfId="8" applyNumberFormat="1" applyFont="1" applyBorder="1" applyAlignment="1">
      <alignment horizontal="center"/>
    </xf>
    <xf numFmtId="183" fontId="4" fillId="0" borderId="9" xfId="1" applyNumberFormat="1" applyFont="1" applyBorder="1" applyAlignment="1">
      <alignment horizontal="center"/>
    </xf>
    <xf numFmtId="2" fontId="24" fillId="4" borderId="14" xfId="0" applyNumberFormat="1" applyFont="1" applyFill="1" applyBorder="1" applyAlignment="1">
      <alignment horizontal="left" vertical="top" wrapText="1"/>
    </xf>
    <xf numFmtId="39" fontId="4" fillId="0" borderId="9" xfId="1" quotePrefix="1" applyNumberFormat="1" applyFont="1" applyFill="1" applyBorder="1" applyAlignment="1">
      <alignment horizontal="center" vertical="center" wrapText="1"/>
    </xf>
    <xf numFmtId="4" fontId="30" fillId="0" borderId="9" xfId="8" applyNumberFormat="1" applyFont="1" applyFill="1" applyBorder="1" applyAlignment="1">
      <alignment horizontal="center"/>
    </xf>
    <xf numFmtId="4" fontId="30" fillId="0" borderId="14" xfId="8" applyNumberFormat="1" applyFont="1" applyFill="1" applyBorder="1" applyAlignment="1">
      <alignment horizontal="center"/>
    </xf>
    <xf numFmtId="4" fontId="30" fillId="0" borderId="4" xfId="8" applyNumberFormat="1" applyFont="1" applyFill="1" applyBorder="1" applyAlignment="1">
      <alignment horizontal="center"/>
    </xf>
    <xf numFmtId="189" fontId="30" fillId="0" borderId="9" xfId="1" applyNumberFormat="1" applyFont="1" applyFill="1" applyBorder="1" applyAlignment="1">
      <alignment horizontal="center"/>
    </xf>
    <xf numFmtId="37" fontId="30" fillId="0" borderId="9" xfId="1" applyNumberFormat="1" applyFont="1" applyFill="1" applyBorder="1" applyAlignment="1">
      <alignment horizontal="center"/>
    </xf>
    <xf numFmtId="168" fontId="4" fillId="0" borderId="9" xfId="0" applyNumberFormat="1" applyFont="1" applyBorder="1" applyAlignment="1">
      <alignment horizontal="center"/>
    </xf>
    <xf numFmtId="0" fontId="4" fillId="4" borderId="14" xfId="6" applyFont="1" applyFill="1" applyBorder="1" applyAlignment="1">
      <alignment horizontal="center"/>
    </xf>
    <xf numFmtId="9" fontId="24" fillId="0" borderId="9" xfId="3" applyFont="1" applyFill="1" applyBorder="1" applyAlignment="1">
      <alignment horizontal="center" wrapText="1"/>
    </xf>
    <xf numFmtId="0" fontId="4" fillId="0" borderId="9" xfId="8" applyFont="1" applyFill="1" applyBorder="1"/>
    <xf numFmtId="10" fontId="4" fillId="0" borderId="23" xfId="0" applyNumberFormat="1" applyFont="1" applyFill="1" applyBorder="1" applyAlignment="1">
      <alignment horizontal="left" vertical="top"/>
    </xf>
    <xf numFmtId="0" fontId="4" fillId="0" borderId="75" xfId="0" applyFont="1" applyFill="1" applyBorder="1" applyAlignment="1">
      <alignment horizontal="left" vertical="top" wrapText="1"/>
    </xf>
    <xf numFmtId="0" fontId="4" fillId="0" borderId="53" xfId="0" applyFont="1" applyFill="1" applyBorder="1" applyAlignment="1">
      <alignment vertical="center" wrapText="1"/>
    </xf>
    <xf numFmtId="0" fontId="4" fillId="0" borderId="53" xfId="0" applyFont="1" applyFill="1" applyBorder="1" applyAlignment="1">
      <alignment wrapText="1"/>
    </xf>
    <xf numFmtId="0" fontId="4" fillId="0" borderId="45" xfId="0" applyFont="1" applyFill="1" applyBorder="1" applyAlignment="1">
      <alignment wrapText="1"/>
    </xf>
    <xf numFmtId="0" fontId="4" fillId="0" borderId="48" xfId="8" applyFont="1" applyFill="1" applyBorder="1" applyAlignment="1">
      <alignment wrapText="1"/>
    </xf>
    <xf numFmtId="0" fontId="30" fillId="4" borderId="9" xfId="8" applyFont="1" applyFill="1" applyBorder="1" applyAlignment="1">
      <alignment wrapText="1"/>
    </xf>
    <xf numFmtId="2" fontId="4" fillId="0" borderId="25" xfId="0" applyNumberFormat="1" applyFont="1" applyFill="1" applyBorder="1"/>
    <xf numFmtId="2" fontId="4" fillId="0" borderId="14" xfId="0" applyNumberFormat="1" applyFont="1" applyFill="1" applyBorder="1" applyAlignment="1">
      <alignment wrapText="1"/>
    </xf>
    <xf numFmtId="2" fontId="4" fillId="0" borderId="37" xfId="0" applyNumberFormat="1" applyFont="1" applyFill="1" applyBorder="1"/>
    <xf numFmtId="2" fontId="4" fillId="0" borderId="16" xfId="0" applyNumberFormat="1" applyFont="1" applyFill="1" applyBorder="1" applyAlignment="1">
      <alignment wrapText="1"/>
    </xf>
    <xf numFmtId="0" fontId="24" fillId="4" borderId="52" xfId="0" applyFont="1" applyFill="1" applyBorder="1" applyAlignment="1">
      <alignment vertical="center" wrapText="1"/>
    </xf>
    <xf numFmtId="0" fontId="24" fillId="0" borderId="54" xfId="0" applyFont="1" applyBorder="1" applyAlignment="1">
      <alignment vertical="center" wrapText="1"/>
    </xf>
    <xf numFmtId="0" fontId="4" fillId="0" borderId="53" xfId="0" applyFont="1" applyBorder="1" applyAlignment="1">
      <alignment vertical="center" wrapText="1"/>
    </xf>
    <xf numFmtId="0" fontId="30" fillId="0" borderId="39" xfId="8" applyFont="1" applyBorder="1"/>
    <xf numFmtId="0" fontId="0" fillId="0" borderId="0" xfId="0" applyBorder="1"/>
    <xf numFmtId="165" fontId="0" fillId="0" borderId="0" xfId="0" applyNumberFormat="1" applyBorder="1" applyAlignment="1">
      <alignment horizontal="center" vertical="center" wrapText="1"/>
    </xf>
    <xf numFmtId="165" fontId="4" fillId="0" borderId="0" xfId="0" applyNumberFormat="1" applyFont="1" applyBorder="1" applyAlignment="1">
      <alignment horizontal="center" vertical="center" wrapText="1"/>
    </xf>
    <xf numFmtId="43" fontId="0" fillId="0" borderId="0" xfId="1" applyFont="1" applyBorder="1"/>
    <xf numFmtId="165" fontId="24" fillId="0" borderId="9" xfId="0" applyNumberFormat="1" applyFont="1" applyFill="1" applyBorder="1" applyAlignment="1">
      <alignment horizontal="center" vertical="center" wrapText="1"/>
    </xf>
    <xf numFmtId="0" fontId="4" fillId="0" borderId="9" xfId="0" applyFont="1" applyFill="1" applyBorder="1" applyAlignment="1">
      <alignment horizontal="left" vertical="center" wrapText="1"/>
    </xf>
    <xf numFmtId="0" fontId="110" fillId="0" borderId="9" xfId="12" applyFont="1" applyFill="1" applyBorder="1" applyAlignment="1">
      <alignment horizontal="center"/>
    </xf>
    <xf numFmtId="182" fontId="4" fillId="0" borderId="9" xfId="1" applyNumberFormat="1" applyFont="1" applyFill="1" applyBorder="1" applyAlignment="1">
      <alignment horizontal="center"/>
    </xf>
    <xf numFmtId="1" fontId="4" fillId="0" borderId="52" xfId="0" applyNumberFormat="1" applyFont="1" applyFill="1" applyBorder="1" applyAlignment="1">
      <alignment vertical="center"/>
    </xf>
    <xf numFmtId="1" fontId="4" fillId="0" borderId="10" xfId="0" applyNumberFormat="1" applyFont="1" applyFill="1" applyBorder="1" applyAlignment="1">
      <alignment horizontal="left"/>
    </xf>
    <xf numFmtId="1" fontId="4" fillId="0" borderId="53" xfId="0" applyNumberFormat="1" applyFont="1" applyFill="1" applyBorder="1" applyAlignment="1">
      <alignment vertical="center"/>
    </xf>
    <xf numFmtId="2" fontId="4" fillId="8" borderId="4" xfId="0" applyNumberFormat="1" applyFont="1" applyFill="1" applyBorder="1" applyAlignment="1">
      <alignment horizontal="right"/>
    </xf>
    <xf numFmtId="2" fontId="4" fillId="8" borderId="9" xfId="0" applyNumberFormat="1" applyFont="1" applyFill="1" applyBorder="1" applyAlignment="1">
      <alignment horizontal="right"/>
    </xf>
    <xf numFmtId="2" fontId="24" fillId="4" borderId="33" xfId="0" applyNumberFormat="1" applyFont="1" applyFill="1" applyBorder="1" applyAlignment="1">
      <alignment horizontal="left" vertical="top" wrapText="1"/>
    </xf>
    <xf numFmtId="1" fontId="4" fillId="0" borderId="0" xfId="0" applyNumberFormat="1" applyFont="1" applyFill="1" applyBorder="1" applyAlignment="1">
      <alignment horizontal="left"/>
    </xf>
    <xf numFmtId="1" fontId="4" fillId="0" borderId="38" xfId="0" applyNumberFormat="1" applyFont="1" applyFill="1" applyBorder="1" applyAlignment="1">
      <alignment horizontal="left"/>
    </xf>
    <xf numFmtId="1" fontId="4" fillId="0" borderId="10" xfId="0" applyNumberFormat="1" applyFont="1" applyFill="1" applyBorder="1" applyAlignment="1">
      <alignment vertical="center"/>
    </xf>
    <xf numFmtId="0" fontId="4" fillId="0" borderId="10" xfId="0" applyFont="1" applyFill="1" applyBorder="1" applyAlignment="1">
      <alignment horizontal="left" vertical="top"/>
    </xf>
    <xf numFmtId="165" fontId="4" fillId="0" borderId="9" xfId="8" applyNumberFormat="1" applyFont="1" applyBorder="1" applyAlignment="1">
      <alignment horizontal="center"/>
    </xf>
    <xf numFmtId="2" fontId="4" fillId="0" borderId="9" xfId="8" applyNumberFormat="1" applyFont="1" applyFill="1" applyBorder="1" applyAlignment="1">
      <alignment horizontal="center"/>
    </xf>
    <xf numFmtId="0" fontId="4" fillId="0" borderId="9" xfId="8" applyFont="1" applyBorder="1" applyAlignment="1">
      <alignment horizontal="center"/>
    </xf>
    <xf numFmtId="0" fontId="111" fillId="0" borderId="9" xfId="12" applyFont="1" applyFill="1" applyBorder="1" applyAlignment="1">
      <alignment horizontal="center"/>
    </xf>
    <xf numFmtId="2" fontId="24" fillId="4" borderId="19" xfId="0" applyNumberFormat="1" applyFont="1" applyFill="1" applyBorder="1"/>
    <xf numFmtId="2" fontId="24" fillId="0" borderId="19" xfId="0" applyNumberFormat="1" applyFont="1" applyBorder="1"/>
    <xf numFmtId="2" fontId="4" fillId="0" borderId="19" xfId="0" applyNumberFormat="1" applyFont="1" applyBorder="1"/>
    <xf numFmtId="2" fontId="24" fillId="4" borderId="30" xfId="0" applyNumberFormat="1" applyFont="1" applyFill="1" applyBorder="1"/>
    <xf numFmtId="2" fontId="24" fillId="0" borderId="30" xfId="0" applyNumberFormat="1" applyFont="1" applyBorder="1"/>
    <xf numFmtId="2" fontId="4" fillId="0" borderId="30" xfId="0" applyNumberFormat="1" applyFont="1" applyBorder="1"/>
    <xf numFmtId="2" fontId="4" fillId="4" borderId="19" xfId="0" applyNumberFormat="1" applyFont="1" applyFill="1" applyBorder="1"/>
    <xf numFmtId="0" fontId="4" fillId="0" borderId="24" xfId="0" applyFont="1" applyBorder="1" applyAlignment="1">
      <alignment wrapText="1"/>
    </xf>
    <xf numFmtId="2" fontId="4" fillId="4" borderId="30" xfId="0" applyNumberFormat="1" applyFont="1" applyFill="1" applyBorder="1"/>
    <xf numFmtId="0" fontId="4" fillId="0" borderId="21" xfId="0" applyFont="1" applyBorder="1" applyAlignment="1">
      <alignment wrapText="1"/>
    </xf>
    <xf numFmtId="2" fontId="24" fillId="0" borderId="33" xfId="0" applyNumberFormat="1" applyFont="1" applyBorder="1"/>
    <xf numFmtId="39" fontId="0" fillId="0" borderId="33" xfId="5" applyNumberFormat="1" applyFont="1" applyFill="1" applyBorder="1" applyAlignment="1">
      <alignment horizontal="center"/>
    </xf>
    <xf numFmtId="39" fontId="24" fillId="0" borderId="4" xfId="5" applyNumberFormat="1" applyFont="1" applyFill="1" applyBorder="1" applyAlignment="1">
      <alignment horizontal="center"/>
    </xf>
    <xf numFmtId="168" fontId="4" fillId="0" borderId="4" xfId="5" applyNumberFormat="1" applyFont="1" applyFill="1" applyBorder="1" applyAlignment="1">
      <alignment horizontal="center" vertical="center" wrapText="1"/>
    </xf>
    <xf numFmtId="168" fontId="4" fillId="0" borderId="62" xfId="5" applyNumberFormat="1" applyFont="1" applyFill="1" applyBorder="1" applyAlignment="1">
      <alignment horizontal="center" vertical="center" wrapText="1"/>
    </xf>
    <xf numFmtId="39" fontId="0" fillId="0" borderId="9" xfId="5" applyNumberFormat="1" applyFont="1" applyFill="1" applyBorder="1" applyAlignment="1">
      <alignment horizontal="center"/>
    </xf>
    <xf numFmtId="2" fontId="4" fillId="0" borderId="19" xfId="0" applyNumberFormat="1" applyFont="1" applyFill="1" applyBorder="1"/>
    <xf numFmtId="2" fontId="4" fillId="0" borderId="30" xfId="0" applyNumberFormat="1" applyFont="1" applyFill="1" applyBorder="1"/>
    <xf numFmtId="165" fontId="4" fillId="0" borderId="33" xfId="0" applyNumberFormat="1" applyFont="1" applyFill="1" applyBorder="1" applyAlignment="1">
      <alignment horizontal="center" vertical="center" wrapText="1"/>
    </xf>
    <xf numFmtId="165" fontId="24" fillId="4" borderId="4" xfId="0" applyNumberFormat="1" applyFont="1" applyFill="1" applyBorder="1" applyAlignment="1">
      <alignment horizontal="center" vertical="center" wrapText="1"/>
    </xf>
    <xf numFmtId="185" fontId="30" fillId="0" borderId="9" xfId="2" applyNumberFormat="1" applyFont="1" applyFill="1" applyBorder="1"/>
    <xf numFmtId="169" fontId="4" fillId="0" borderId="9" xfId="0" applyNumberFormat="1" applyFont="1" applyFill="1" applyBorder="1" applyAlignment="1">
      <alignment horizontal="center" vertical="center" wrapText="1"/>
    </xf>
    <xf numFmtId="184" fontId="4" fillId="0" borderId="9" xfId="1" applyNumberFormat="1" applyFont="1" applyFill="1" applyBorder="1" applyAlignment="1">
      <alignment horizontal="center"/>
    </xf>
    <xf numFmtId="2" fontId="111" fillId="0" borderId="9" xfId="12" applyNumberFormat="1" applyFont="1" applyFill="1" applyBorder="1" applyAlignment="1">
      <alignment horizontal="center"/>
    </xf>
    <xf numFmtId="39" fontId="4" fillId="0" borderId="9" xfId="1" applyNumberFormat="1" applyFont="1" applyFill="1" applyBorder="1" applyAlignment="1">
      <alignment horizontal="center"/>
    </xf>
    <xf numFmtId="39" fontId="1" fillId="0" borderId="4" xfId="5" applyNumberFormat="1" applyFont="1" applyFill="1" applyBorder="1" applyAlignment="1">
      <alignment horizontal="center"/>
    </xf>
    <xf numFmtId="39" fontId="24" fillId="4" borderId="9" xfId="5" applyNumberFormat="1" applyFont="1" applyFill="1" applyBorder="1" applyAlignment="1"/>
    <xf numFmtId="39" fontId="4" fillId="0" borderId="9" xfId="5" applyNumberFormat="1" applyFont="1" applyFill="1" applyBorder="1" applyAlignment="1"/>
    <xf numFmtId="39" fontId="24" fillId="0" borderId="9" xfId="5" applyNumberFormat="1" applyFont="1" applyFill="1" applyBorder="1" applyAlignment="1"/>
    <xf numFmtId="39" fontId="0" fillId="0" borderId="9" xfId="5" applyNumberFormat="1" applyFont="1" applyFill="1" applyBorder="1" applyAlignment="1"/>
    <xf numFmtId="39" fontId="24" fillId="4" borderId="33" xfId="5" applyNumberFormat="1" applyFont="1" applyFill="1" applyBorder="1" applyAlignment="1"/>
    <xf numFmtId="39" fontId="4" fillId="0" borderId="33" xfId="5" applyNumberFormat="1" applyFont="1" applyFill="1" applyBorder="1" applyAlignment="1"/>
    <xf numFmtId="39" fontId="24" fillId="0" borderId="33" xfId="5" applyNumberFormat="1" applyFont="1" applyFill="1" applyBorder="1" applyAlignment="1"/>
    <xf numFmtId="39" fontId="0" fillId="0" borderId="33" xfId="5" applyNumberFormat="1" applyFont="1" applyFill="1" applyBorder="1" applyAlignment="1"/>
    <xf numFmtId="39" fontId="1" fillId="0" borderId="33" xfId="5" applyNumberFormat="1" applyFont="1" applyFill="1" applyBorder="1" applyAlignment="1"/>
    <xf numFmtId="39" fontId="24" fillId="4" borderId="4" xfId="5" applyNumberFormat="1" applyFont="1" applyFill="1" applyBorder="1" applyAlignment="1"/>
    <xf numFmtId="39" fontId="4" fillId="0" borderId="4" xfId="5" applyNumberFormat="1" applyFont="1" applyFill="1" applyBorder="1" applyAlignment="1"/>
    <xf numFmtId="39" fontId="24" fillId="0" borderId="4" xfId="5" applyNumberFormat="1" applyFont="1" applyFill="1" applyBorder="1" applyAlignment="1"/>
    <xf numFmtId="39" fontId="1" fillId="0" borderId="4" xfId="5" applyNumberFormat="1" applyFont="1" applyFill="1" applyBorder="1" applyAlignment="1"/>
    <xf numFmtId="185" fontId="29" fillId="4" borderId="23" xfId="2" applyNumberFormat="1" applyFont="1" applyFill="1" applyBorder="1" applyAlignment="1"/>
    <xf numFmtId="185" fontId="29" fillId="0" borderId="23" xfId="2" applyNumberFormat="1" applyFont="1" applyFill="1" applyBorder="1" applyAlignment="1"/>
    <xf numFmtId="2" fontId="24" fillId="4" borderId="19" xfId="0" applyNumberFormat="1" applyFont="1" applyFill="1" applyBorder="1" applyAlignment="1"/>
    <xf numFmtId="2" fontId="4" fillId="0" borderId="19" xfId="0" applyNumberFormat="1" applyFont="1" applyBorder="1" applyAlignment="1"/>
    <xf numFmtId="2" fontId="24" fillId="0" borderId="19" xfId="0" applyNumberFormat="1" applyFont="1" applyFill="1" applyBorder="1" applyAlignment="1"/>
    <xf numFmtId="2" fontId="4" fillId="0" borderId="19" xfId="0" applyNumberFormat="1" applyFont="1" applyFill="1" applyBorder="1" applyAlignment="1"/>
    <xf numFmtId="2" fontId="24" fillId="0" borderId="9" xfId="0" applyNumberFormat="1" applyFont="1" applyBorder="1" applyAlignment="1"/>
    <xf numFmtId="2" fontId="4" fillId="0" borderId="9" xfId="0" applyNumberFormat="1" applyFont="1" applyBorder="1" applyAlignment="1"/>
    <xf numFmtId="2" fontId="24" fillId="0" borderId="9" xfId="0" applyNumberFormat="1" applyFont="1" applyFill="1" applyBorder="1" applyAlignment="1"/>
    <xf numFmtId="2" fontId="24" fillId="4" borderId="33" xfId="0" applyNumberFormat="1" applyFont="1" applyFill="1" applyBorder="1" applyAlignment="1"/>
    <xf numFmtId="2" fontId="24" fillId="0" borderId="33" xfId="0" applyNumberFormat="1" applyFont="1" applyBorder="1" applyAlignment="1"/>
    <xf numFmtId="2" fontId="4" fillId="0" borderId="33" xfId="0" applyNumberFormat="1" applyFont="1" applyBorder="1" applyAlignment="1"/>
    <xf numFmtId="2" fontId="24" fillId="0" borderId="33" xfId="0" applyNumberFormat="1" applyFont="1" applyFill="1" applyBorder="1" applyAlignment="1"/>
    <xf numFmtId="2" fontId="4" fillId="0" borderId="33" xfId="0" applyNumberFormat="1" applyFont="1" applyFill="1" applyBorder="1" applyAlignment="1"/>
    <xf numFmtId="10" fontId="32" fillId="4" borderId="23" xfId="7" applyNumberFormat="1" applyFont="1" applyFill="1" applyBorder="1" applyAlignment="1">
      <alignment wrapText="1"/>
    </xf>
    <xf numFmtId="10" fontId="41" fillId="0" borderId="23" xfId="7" applyNumberFormat="1" applyFont="1" applyFill="1" applyBorder="1" applyAlignment="1">
      <alignment wrapText="1"/>
    </xf>
    <xf numFmtId="10" fontId="32" fillId="0" borderId="23" xfId="7" applyNumberFormat="1" applyFont="1" applyFill="1" applyBorder="1" applyAlignment="1">
      <alignment wrapText="1"/>
    </xf>
    <xf numFmtId="10" fontId="32" fillId="4" borderId="33" xfId="7" applyNumberFormat="1" applyFont="1" applyFill="1" applyBorder="1" applyAlignment="1">
      <alignment wrapText="1"/>
    </xf>
    <xf numFmtId="10" fontId="41" fillId="0" borderId="33" xfId="7" applyNumberFormat="1" applyFont="1" applyFill="1" applyBorder="1" applyAlignment="1">
      <alignment wrapText="1"/>
    </xf>
    <xf numFmtId="10" fontId="32" fillId="0" borderId="33" xfId="7" applyNumberFormat="1" applyFont="1" applyFill="1" applyBorder="1" applyAlignment="1">
      <alignment wrapText="1"/>
    </xf>
    <xf numFmtId="10" fontId="27" fillId="0" borderId="23" xfId="7" applyNumberFormat="1" applyFont="1" applyFill="1" applyBorder="1" applyAlignment="1">
      <alignment wrapText="1"/>
    </xf>
    <xf numFmtId="10" fontId="32" fillId="4" borderId="9" xfId="7" applyNumberFormat="1" applyFont="1" applyFill="1" applyBorder="1" applyAlignment="1">
      <alignment wrapText="1"/>
    </xf>
    <xf numFmtId="10" fontId="41" fillId="0" borderId="9" xfId="7" applyNumberFormat="1" applyFont="1" applyFill="1" applyBorder="1" applyAlignment="1">
      <alignment wrapText="1"/>
    </xf>
    <xf numFmtId="10" fontId="32" fillId="0" borderId="9" xfId="7" applyNumberFormat="1" applyFont="1" applyFill="1" applyBorder="1" applyAlignment="1">
      <alignment wrapText="1"/>
    </xf>
    <xf numFmtId="10" fontId="27" fillId="0" borderId="9" xfId="7" applyNumberFormat="1" applyFont="1" applyFill="1" applyBorder="1" applyAlignment="1">
      <alignment wrapText="1"/>
    </xf>
    <xf numFmtId="9" fontId="32" fillId="4" borderId="23" xfId="7" applyFont="1" applyFill="1" applyBorder="1" applyAlignment="1">
      <alignment wrapText="1"/>
    </xf>
    <xf numFmtId="9" fontId="41" fillId="0" borderId="23" xfId="7" applyFont="1" applyFill="1" applyBorder="1" applyAlignment="1">
      <alignment wrapText="1"/>
    </xf>
    <xf numFmtId="9" fontId="32" fillId="0" borderId="23" xfId="7" applyFont="1" applyFill="1" applyBorder="1" applyAlignment="1">
      <alignment wrapText="1"/>
    </xf>
    <xf numFmtId="9" fontId="32" fillId="4" borderId="9" xfId="7" applyFont="1" applyFill="1" applyBorder="1" applyAlignment="1">
      <alignment wrapText="1"/>
    </xf>
    <xf numFmtId="9" fontId="41" fillId="0" borderId="9" xfId="7" applyFont="1" applyFill="1" applyBorder="1" applyAlignment="1">
      <alignment wrapText="1"/>
    </xf>
    <xf numFmtId="9" fontId="32" fillId="0" borderId="9" xfId="7" applyFont="1" applyFill="1" applyBorder="1" applyAlignment="1">
      <alignment wrapText="1"/>
    </xf>
    <xf numFmtId="9" fontId="32" fillId="4" borderId="14" xfId="7" applyFont="1" applyFill="1" applyBorder="1" applyAlignment="1">
      <alignment wrapText="1"/>
    </xf>
    <xf numFmtId="9" fontId="41" fillId="0" borderId="14" xfId="7" applyFont="1" applyFill="1" applyBorder="1" applyAlignment="1">
      <alignment wrapText="1"/>
    </xf>
    <xf numFmtId="9" fontId="32" fillId="0" borderId="14" xfId="7" applyFont="1" applyFill="1" applyBorder="1" applyAlignment="1">
      <alignment wrapText="1"/>
    </xf>
    <xf numFmtId="165" fontId="24" fillId="4" borderId="4" xfId="0" applyNumberFormat="1" applyFont="1" applyFill="1" applyBorder="1" applyAlignment="1">
      <alignment wrapText="1"/>
    </xf>
    <xf numFmtId="165" fontId="24" fillId="0" borderId="4" xfId="0" applyNumberFormat="1" applyFont="1" applyFill="1" applyBorder="1" applyAlignment="1">
      <alignment wrapText="1"/>
    </xf>
    <xf numFmtId="165" fontId="24" fillId="4" borderId="33" xfId="0" applyNumberFormat="1" applyFont="1" applyFill="1" applyBorder="1" applyAlignment="1">
      <alignment wrapText="1"/>
    </xf>
    <xf numFmtId="165" fontId="24" fillId="0" borderId="33" xfId="0" applyNumberFormat="1" applyFont="1" applyFill="1" applyBorder="1" applyAlignment="1">
      <alignment wrapText="1"/>
    </xf>
    <xf numFmtId="165" fontId="4" fillId="0" borderId="33" xfId="0" applyNumberFormat="1" applyFont="1" applyFill="1" applyBorder="1" applyAlignment="1">
      <alignment wrapText="1"/>
    </xf>
    <xf numFmtId="0" fontId="24" fillId="16" borderId="36" xfId="0" applyFont="1" applyFill="1" applyBorder="1" applyAlignment="1">
      <alignment vertical="top" wrapText="1"/>
    </xf>
    <xf numFmtId="0" fontId="24" fillId="16" borderId="34" xfId="0" applyFont="1" applyFill="1" applyBorder="1" applyAlignment="1">
      <alignment vertical="top" wrapText="1"/>
    </xf>
    <xf numFmtId="0" fontId="24" fillId="16" borderId="38" xfId="0" applyFont="1" applyFill="1" applyBorder="1" applyAlignment="1">
      <alignment vertical="top" wrapText="1"/>
    </xf>
    <xf numFmtId="0" fontId="4" fillId="0" borderId="10" xfId="0" applyFont="1" applyFill="1" applyBorder="1" applyAlignment="1">
      <alignment vertical="center"/>
    </xf>
    <xf numFmtId="0" fontId="24" fillId="16" borderId="32" xfId="0" applyFont="1" applyFill="1" applyBorder="1" applyAlignment="1">
      <alignment vertical="top" wrapText="1"/>
    </xf>
    <xf numFmtId="0" fontId="4" fillId="4" borderId="9" xfId="0" applyFont="1" applyFill="1" applyBorder="1" applyAlignment="1">
      <alignment horizontal="left"/>
    </xf>
    <xf numFmtId="169" fontId="4" fillId="0" borderId="9" xfId="0" applyNumberFormat="1" applyFont="1" applyFill="1" applyBorder="1" applyAlignment="1">
      <alignment horizontal="center" vertical="center"/>
    </xf>
    <xf numFmtId="7" fontId="30" fillId="0" borderId="9" xfId="2" applyNumberFormat="1" applyFont="1" applyFill="1" applyBorder="1" applyAlignment="1">
      <alignment horizontal="center"/>
    </xf>
    <xf numFmtId="0" fontId="4" fillId="0" borderId="9" xfId="8" applyFont="1" applyFill="1" applyBorder="1" applyAlignment="1">
      <alignment horizontal="center"/>
    </xf>
    <xf numFmtId="39" fontId="0" fillId="0" borderId="30" xfId="0" applyNumberFormat="1" applyFont="1" applyBorder="1" applyAlignment="1">
      <alignment horizontal="center" vertical="center"/>
    </xf>
    <xf numFmtId="39" fontId="4" fillId="0" borderId="30" xfId="0" applyNumberFormat="1" applyFont="1" applyBorder="1" applyAlignment="1">
      <alignment horizontal="center" vertical="center"/>
    </xf>
    <xf numFmtId="0" fontId="4" fillId="0" borderId="33" xfId="0" applyFont="1" applyFill="1" applyBorder="1" applyAlignment="1">
      <alignment horizontal="left" vertical="center"/>
    </xf>
    <xf numFmtId="0" fontId="4" fillId="0" borderId="30" xfId="0" applyFont="1" applyFill="1" applyBorder="1" applyAlignment="1">
      <alignment horizontal="left" vertical="center"/>
    </xf>
    <xf numFmtId="0" fontId="4" fillId="0" borderId="30" xfId="0" applyFont="1" applyFill="1" applyBorder="1" applyAlignment="1">
      <alignment horizontal="left" vertical="center" wrapText="1"/>
    </xf>
    <xf numFmtId="39" fontId="4" fillId="0" borderId="33" xfId="0" applyNumberFormat="1" applyFont="1" applyBorder="1" applyAlignment="1">
      <alignment horizontal="center" vertical="center"/>
    </xf>
    <xf numFmtId="0" fontId="4" fillId="0" borderId="33" xfId="0" applyFont="1" applyFill="1" applyBorder="1" applyAlignment="1">
      <alignment horizontal="left" vertical="center" wrapText="1"/>
    </xf>
    <xf numFmtId="39" fontId="0" fillId="0" borderId="33" xfId="0" applyNumberFormat="1" applyFont="1" applyBorder="1" applyAlignment="1">
      <alignment horizontal="center" vertical="center"/>
    </xf>
    <xf numFmtId="0" fontId="72" fillId="0" borderId="23" xfId="0" applyFont="1" applyFill="1" applyBorder="1" applyAlignment="1">
      <alignment horizontal="left" vertical="center"/>
    </xf>
    <xf numFmtId="0" fontId="72" fillId="0" borderId="23" xfId="0" applyFont="1" applyFill="1" applyBorder="1" applyAlignment="1">
      <alignment vertical="center"/>
    </xf>
    <xf numFmtId="0" fontId="72" fillId="0" borderId="23" xfId="0" applyFont="1" applyBorder="1" applyAlignment="1">
      <alignment horizontal="center" vertical="center"/>
    </xf>
    <xf numFmtId="0" fontId="72" fillId="0" borderId="23" xfId="0" applyFont="1" applyFill="1" applyBorder="1" applyAlignment="1">
      <alignment horizontal="left" vertical="center" wrapText="1"/>
    </xf>
    <xf numFmtId="2" fontId="24" fillId="4" borderId="4" xfId="0" applyNumberFormat="1" applyFont="1" applyFill="1" applyBorder="1" applyAlignment="1">
      <alignment horizontal="center" vertical="center"/>
    </xf>
    <xf numFmtId="0" fontId="24" fillId="4" borderId="4" xfId="0" applyFont="1" applyFill="1" applyBorder="1" applyAlignment="1">
      <alignment horizontal="left" vertical="center" wrapText="1"/>
    </xf>
    <xf numFmtId="0" fontId="4" fillId="0" borderId="4" xfId="0" applyFont="1" applyFill="1" applyBorder="1" applyAlignment="1">
      <alignment horizontal="left" vertical="center"/>
    </xf>
    <xf numFmtId="2" fontId="4" fillId="4" borderId="33" xfId="0" applyNumberFormat="1" applyFont="1" applyFill="1" applyBorder="1" applyAlignment="1">
      <alignment horizontal="center" vertical="center"/>
    </xf>
    <xf numFmtId="0" fontId="4" fillId="4" borderId="33" xfId="0" applyFont="1" applyFill="1" applyBorder="1" applyAlignment="1">
      <alignment horizontal="left" vertical="center" wrapText="1"/>
    </xf>
    <xf numFmtId="0" fontId="4" fillId="0" borderId="23" xfId="0" applyFont="1" applyBorder="1" applyAlignment="1">
      <alignment horizontal="center" vertical="center"/>
    </xf>
    <xf numFmtId="178" fontId="0" fillId="0" borderId="4" xfId="0" applyNumberFormat="1" applyFont="1" applyBorder="1" applyAlignment="1">
      <alignment horizontal="center" vertical="center"/>
    </xf>
    <xf numFmtId="178" fontId="24" fillId="0" borderId="4" xfId="0" applyNumberFormat="1" applyFont="1" applyBorder="1" applyAlignment="1">
      <alignment horizontal="center" vertical="center"/>
    </xf>
    <xf numFmtId="178" fontId="0" fillId="0" borderId="33" xfId="0" applyNumberFormat="1" applyFont="1" applyBorder="1" applyAlignment="1">
      <alignment horizontal="center" vertical="center"/>
    </xf>
    <xf numFmtId="178" fontId="24" fillId="0" borderId="33" xfId="0" applyNumberFormat="1" applyFont="1" applyBorder="1" applyAlignment="1">
      <alignment horizontal="center" vertical="center"/>
    </xf>
    <xf numFmtId="178" fontId="4" fillId="0" borderId="33" xfId="0" applyNumberFormat="1" applyFont="1" applyBorder="1" applyAlignment="1">
      <alignment horizontal="center" vertical="center"/>
    </xf>
    <xf numFmtId="178" fontId="4" fillId="0" borderId="4" xfId="0" applyNumberFormat="1" applyFont="1" applyBorder="1" applyAlignment="1">
      <alignment horizontal="center" vertical="center"/>
    </xf>
    <xf numFmtId="165" fontId="24" fillId="4" borderId="4" xfId="8" applyNumberFormat="1" applyFont="1" applyFill="1" applyBorder="1" applyAlignment="1">
      <alignment horizontal="center"/>
    </xf>
    <xf numFmtId="0" fontId="29" fillId="0" borderId="4" xfId="8" applyFont="1" applyFill="1" applyBorder="1"/>
    <xf numFmtId="165" fontId="4" fillId="4" borderId="33" xfId="8" applyNumberFormat="1" applyFont="1" applyFill="1" applyBorder="1" applyAlignment="1">
      <alignment horizontal="center"/>
    </xf>
    <xf numFmtId="0" fontId="30" fillId="0" borderId="33" xfId="8" applyFont="1" applyFill="1" applyBorder="1" applyAlignment="1">
      <alignment wrapText="1"/>
    </xf>
    <xf numFmtId="0" fontId="29" fillId="0" borderId="33" xfId="8" applyFont="1" applyFill="1" applyBorder="1"/>
    <xf numFmtId="44" fontId="24" fillId="4" borderId="23" xfId="2" applyFont="1" applyFill="1" applyBorder="1" applyAlignment="1">
      <alignment horizontal="center"/>
    </xf>
    <xf numFmtId="165" fontId="24" fillId="4" borderId="33" xfId="8" applyNumberFormat="1" applyFont="1" applyFill="1" applyBorder="1" applyAlignment="1">
      <alignment horizontal="center"/>
    </xf>
    <xf numFmtId="2" fontId="4" fillId="0" borderId="16" xfId="0" applyNumberFormat="1" applyFont="1" applyFill="1" applyBorder="1"/>
    <xf numFmtId="0" fontId="24" fillId="0" borderId="9" xfId="0" applyFont="1" applyFill="1" applyBorder="1" applyAlignment="1">
      <alignment horizontal="left" vertical="top" wrapText="1"/>
    </xf>
    <xf numFmtId="0" fontId="24" fillId="4" borderId="16"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37" xfId="0" applyFont="1" applyFill="1" applyBorder="1" applyAlignment="1">
      <alignment horizontal="left" vertical="top" wrapText="1"/>
    </xf>
    <xf numFmtId="0" fontId="24" fillId="4" borderId="35" xfId="0" applyFont="1" applyFill="1" applyBorder="1" applyAlignment="1">
      <alignment horizontal="left" vertical="top" wrapText="1"/>
    </xf>
    <xf numFmtId="0" fontId="24" fillId="4" borderId="14"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16" borderId="9" xfId="0" applyFont="1" applyFill="1" applyBorder="1" applyAlignment="1">
      <alignment horizontal="left" vertical="top" wrapText="1"/>
    </xf>
    <xf numFmtId="0" fontId="24" fillId="16" borderId="14" xfId="0" applyFont="1" applyFill="1" applyBorder="1" applyAlignment="1">
      <alignment horizontal="left" vertical="top" wrapText="1"/>
    </xf>
    <xf numFmtId="0" fontId="24" fillId="16" borderId="4" xfId="0" applyFont="1" applyFill="1" applyBorder="1" applyAlignment="1">
      <alignment horizontal="left" vertical="top" wrapText="1"/>
    </xf>
    <xf numFmtId="0" fontId="4" fillId="4" borderId="9" xfId="0" applyFont="1" applyFill="1" applyBorder="1" applyAlignment="1">
      <alignment horizontal="left" vertical="center" wrapText="1"/>
    </xf>
    <xf numFmtId="0" fontId="25" fillId="4" borderId="9" xfId="12" applyFont="1" applyFill="1" applyBorder="1" applyAlignment="1">
      <alignment horizontal="center"/>
    </xf>
    <xf numFmtId="182" fontId="4" fillId="4" borderId="9" xfId="1" applyNumberFormat="1" applyFont="1" applyFill="1" applyBorder="1" applyAlignment="1">
      <alignment horizontal="center"/>
    </xf>
    <xf numFmtId="183" fontId="4" fillId="4" borderId="9" xfId="1" applyNumberFormat="1" applyFont="1" applyFill="1" applyBorder="1" applyAlignment="1">
      <alignment horizontal="center"/>
    </xf>
    <xf numFmtId="169" fontId="4" fillId="0" borderId="9" xfId="0" applyNumberFormat="1" applyFont="1" applyBorder="1" applyAlignment="1">
      <alignment horizontal="center" vertical="center" wrapText="1"/>
    </xf>
    <xf numFmtId="171" fontId="4" fillId="0" borderId="9" xfId="4" applyNumberFormat="1" applyFont="1" applyFill="1" applyBorder="1" applyProtection="1">
      <protection locked="0"/>
    </xf>
    <xf numFmtId="2" fontId="24" fillId="4" borderId="19" xfId="0" applyNumberFormat="1" applyFont="1" applyFill="1" applyBorder="1" applyAlignment="1">
      <alignment horizontal="center"/>
    </xf>
    <xf numFmtId="0" fontId="1" fillId="4" borderId="30" xfId="0" applyFont="1" applyFill="1" applyBorder="1" applyAlignment="1">
      <alignment horizontal="center"/>
    </xf>
    <xf numFmtId="0" fontId="28" fillId="0" borderId="19" xfId="8" applyBorder="1"/>
    <xf numFmtId="2" fontId="24" fillId="4" borderId="30" xfId="0" applyNumberFormat="1" applyFont="1" applyFill="1" applyBorder="1" applyAlignment="1">
      <alignment horizontal="center"/>
    </xf>
    <xf numFmtId="2" fontId="29" fillId="0" borderId="30" xfId="8" applyNumberFormat="1" applyFont="1" applyBorder="1" applyAlignment="1">
      <alignment horizontal="center"/>
    </xf>
    <xf numFmtId="2" fontId="4" fillId="4" borderId="30" xfId="0" applyNumberFormat="1" applyFont="1" applyFill="1" applyBorder="1" applyAlignment="1">
      <alignment horizontal="center"/>
    </xf>
    <xf numFmtId="0" fontId="28" fillId="0" borderId="30" xfId="8" applyBorder="1"/>
    <xf numFmtId="0" fontId="4" fillId="4" borderId="19" xfId="0" applyFont="1" applyFill="1" applyBorder="1" applyAlignment="1">
      <alignment horizontal="left" vertical="center" wrapText="1"/>
    </xf>
    <xf numFmtId="2" fontId="4" fillId="4" borderId="19" xfId="0" applyNumberFormat="1" applyFont="1" applyFill="1" applyBorder="1" applyAlignment="1">
      <alignment horizontal="center"/>
    </xf>
    <xf numFmtId="2" fontId="4" fillId="0" borderId="19" xfId="0" applyNumberFormat="1" applyFont="1" applyFill="1" applyBorder="1" applyAlignment="1">
      <alignment horizontal="center"/>
    </xf>
    <xf numFmtId="0" fontId="4" fillId="4" borderId="14" xfId="0" applyFont="1" applyFill="1" applyBorder="1" applyAlignment="1">
      <alignment horizontal="left" vertical="center" wrapText="1"/>
    </xf>
    <xf numFmtId="2" fontId="4" fillId="0" borderId="34" xfId="0" applyNumberFormat="1" applyFont="1" applyFill="1" applyBorder="1" applyAlignment="1">
      <alignment horizontal="center"/>
    </xf>
    <xf numFmtId="2" fontId="4" fillId="4" borderId="33" xfId="0" applyNumberFormat="1" applyFont="1" applyFill="1" applyBorder="1" applyAlignment="1">
      <alignment horizontal="center"/>
    </xf>
    <xf numFmtId="10" fontId="24" fillId="0" borderId="23" xfId="7" applyNumberFormat="1" applyFont="1" applyFill="1" applyBorder="1" applyAlignment="1">
      <alignment horizontal="center" vertical="center" wrapText="1"/>
    </xf>
    <xf numFmtId="2" fontId="4" fillId="0" borderId="34" xfId="0" applyNumberFormat="1" applyFont="1" applyBorder="1" applyAlignment="1">
      <alignment horizontal="center"/>
    </xf>
    <xf numFmtId="39" fontId="24" fillId="0" borderId="23" xfId="5" applyNumberFormat="1" applyFont="1" applyFill="1" applyBorder="1" applyAlignment="1">
      <alignment horizontal="center"/>
    </xf>
    <xf numFmtId="168" fontId="24" fillId="0" borderId="48" xfId="5" applyNumberFormat="1" applyFont="1" applyFill="1" applyBorder="1" applyAlignment="1">
      <alignment horizontal="left" vertical="center"/>
    </xf>
    <xf numFmtId="10" fontId="24" fillId="0" borderId="48" xfId="7" applyNumberFormat="1" applyFont="1" applyBorder="1" applyAlignment="1">
      <alignment horizontal="center" vertical="center" wrapText="1"/>
    </xf>
    <xf numFmtId="2" fontId="24" fillId="0" borderId="86" xfId="0" applyNumberFormat="1" applyFont="1" applyFill="1" applyBorder="1" applyAlignment="1">
      <alignment horizontal="center"/>
    </xf>
    <xf numFmtId="39" fontId="24" fillId="0" borderId="23" xfId="5" applyNumberFormat="1" applyFont="1" applyBorder="1" applyAlignment="1">
      <alignment horizontal="center"/>
    </xf>
    <xf numFmtId="168" fontId="4" fillId="0" borderId="4" xfId="5" applyNumberFormat="1" applyFont="1" applyFill="1" applyBorder="1" applyAlignment="1">
      <alignment horizontal="left" vertical="center"/>
    </xf>
    <xf numFmtId="168" fontId="4" fillId="0" borderId="14" xfId="5" applyNumberFormat="1" applyFont="1" applyFill="1" applyBorder="1" applyAlignment="1">
      <alignment horizontal="left" vertical="center"/>
    </xf>
    <xf numFmtId="39" fontId="24" fillId="0" borderId="14" xfId="5" applyNumberFormat="1" applyFont="1" applyFill="1" applyBorder="1" applyAlignment="1">
      <alignment horizontal="center"/>
    </xf>
    <xf numFmtId="39" fontId="4" fillId="0" borderId="14" xfId="5" applyNumberFormat="1" applyFont="1" applyFill="1" applyBorder="1" applyAlignment="1">
      <alignment horizontal="center"/>
    </xf>
    <xf numFmtId="39" fontId="1" fillId="0" borderId="23" xfId="5" applyNumberFormat="1" applyFont="1" applyBorder="1" applyAlignment="1">
      <alignment horizontal="center"/>
    </xf>
    <xf numFmtId="39" fontId="4" fillId="0" borderId="23" xfId="5" applyNumberFormat="1" applyFont="1" applyFill="1" applyBorder="1" applyAlignment="1">
      <alignment horizontal="center"/>
    </xf>
    <xf numFmtId="2" fontId="30" fillId="0" borderId="23" xfId="8" applyNumberFormat="1" applyFont="1" applyBorder="1" applyAlignment="1">
      <alignment horizontal="center"/>
    </xf>
    <xf numFmtId="2" fontId="29" fillId="0" borderId="23" xfId="8" applyNumberFormat="1" applyFont="1" applyBorder="1" applyAlignment="1">
      <alignment horizontal="center"/>
    </xf>
    <xf numFmtId="168" fontId="24" fillId="0" borderId="48" xfId="5" applyNumberFormat="1" applyFont="1" applyBorder="1" applyAlignment="1">
      <alignment horizontal="left" vertical="center"/>
    </xf>
    <xf numFmtId="10" fontId="47" fillId="0" borderId="48" xfId="7" applyNumberFormat="1" applyFont="1" applyBorder="1" applyAlignment="1">
      <alignment horizontal="center" vertical="center" wrapText="1"/>
    </xf>
    <xf numFmtId="10" fontId="4" fillId="0" borderId="48" xfId="7" applyNumberFormat="1" applyFont="1" applyBorder="1" applyAlignment="1">
      <alignment horizontal="center" vertical="center" wrapText="1"/>
    </xf>
    <xf numFmtId="0" fontId="28" fillId="0" borderId="48" xfId="8" applyBorder="1"/>
    <xf numFmtId="39" fontId="1" fillId="0" borderId="4" xfId="5" applyNumberFormat="1" applyFont="1" applyBorder="1" applyAlignment="1">
      <alignment horizontal="center"/>
    </xf>
    <xf numFmtId="39" fontId="4" fillId="0" borderId="4" xfId="5" applyNumberFormat="1" applyFont="1" applyFill="1" applyBorder="1" applyAlignment="1">
      <alignment horizontal="center"/>
    </xf>
    <xf numFmtId="2" fontId="30" fillId="0" borderId="4" xfId="8" applyNumberFormat="1" applyFont="1" applyBorder="1" applyAlignment="1">
      <alignment horizontal="center"/>
    </xf>
    <xf numFmtId="2" fontId="29" fillId="0" borderId="4" xfId="8" applyNumberFormat="1" applyFont="1" applyBorder="1" applyAlignment="1">
      <alignment horizontal="center"/>
    </xf>
    <xf numFmtId="39" fontId="1" fillId="0" borderId="14" xfId="5" applyNumberFormat="1" applyFont="1" applyBorder="1" applyAlignment="1">
      <alignment horizontal="center"/>
    </xf>
    <xf numFmtId="2" fontId="30" fillId="0" borderId="14" xfId="8" applyNumberFormat="1" applyFont="1" applyBorder="1" applyAlignment="1">
      <alignment horizontal="center"/>
    </xf>
    <xf numFmtId="2" fontId="4" fillId="0" borderId="9" xfId="1" applyNumberFormat="1" applyFont="1" applyBorder="1" applyAlignment="1">
      <alignment horizontal="center" wrapText="1"/>
    </xf>
    <xf numFmtId="168" fontId="24" fillId="0" borderId="14" xfId="5" applyNumberFormat="1" applyFont="1" applyFill="1" applyBorder="1" applyAlignment="1">
      <alignment horizontal="left" vertical="center"/>
    </xf>
    <xf numFmtId="170" fontId="24" fillId="0" borderId="14" xfId="5" applyNumberFormat="1" applyFont="1" applyBorder="1" applyAlignment="1">
      <alignment horizontal="center"/>
    </xf>
    <xf numFmtId="165" fontId="4" fillId="0" borderId="9" xfId="0" applyNumberFormat="1" applyFont="1" applyFill="1" applyBorder="1" applyAlignment="1">
      <alignment horizontal="left" vertical="center" wrapText="1"/>
    </xf>
    <xf numFmtId="39" fontId="24" fillId="0" borderId="33" xfId="5" applyNumberFormat="1" applyFont="1" applyBorder="1" applyAlignment="1">
      <alignment horizontal="center"/>
    </xf>
    <xf numFmtId="2" fontId="24" fillId="0" borderId="62" xfId="0" applyNumberFormat="1" applyFont="1" applyFill="1" applyBorder="1" applyAlignment="1">
      <alignment horizontal="center"/>
    </xf>
    <xf numFmtId="39" fontId="1" fillId="0" borderId="48" xfId="5" applyNumberFormat="1" applyFont="1" applyBorder="1" applyAlignment="1">
      <alignment horizontal="center"/>
    </xf>
    <xf numFmtId="2" fontId="30" fillId="0" borderId="48" xfId="8" applyNumberFormat="1" applyFont="1" applyBorder="1" applyAlignment="1">
      <alignment horizontal="center"/>
    </xf>
    <xf numFmtId="2" fontId="29" fillId="0" borderId="48" xfId="8" applyNumberFormat="1" applyFont="1" applyBorder="1" applyAlignment="1">
      <alignment horizontal="center"/>
    </xf>
    <xf numFmtId="39" fontId="24" fillId="0" borderId="48" xfId="5" applyNumberFormat="1" applyFont="1" applyBorder="1" applyAlignment="1">
      <alignment horizontal="center"/>
    </xf>
    <xf numFmtId="168" fontId="24" fillId="0" borderId="14" xfId="5" applyNumberFormat="1" applyFont="1" applyBorder="1" applyAlignment="1">
      <alignment horizontal="left" vertical="center"/>
    </xf>
    <xf numFmtId="171" fontId="24" fillId="4" borderId="18" xfId="4" applyNumberFormat="1" applyFont="1" applyFill="1" applyBorder="1" applyAlignment="1" applyProtection="1">
      <alignment horizontal="center"/>
      <protection locked="0"/>
    </xf>
    <xf numFmtId="171" fontId="29" fillId="4" borderId="18" xfId="2" applyNumberFormat="1" applyFont="1" applyFill="1" applyBorder="1" applyAlignment="1">
      <alignment horizontal="center"/>
    </xf>
    <xf numFmtId="0" fontId="4" fillId="0" borderId="9" xfId="0" applyFont="1" applyBorder="1" applyAlignment="1">
      <alignment horizontal="left" vertical="center" wrapText="1"/>
    </xf>
    <xf numFmtId="170" fontId="4" fillId="0" borderId="9" xfId="1" applyNumberFormat="1" applyFont="1" applyBorder="1" applyAlignment="1">
      <alignment horizontal="center"/>
    </xf>
    <xf numFmtId="2" fontId="24" fillId="4" borderId="19" xfId="14" applyNumberFormat="1" applyFont="1" applyFill="1" applyBorder="1" applyAlignment="1">
      <alignment horizontal="center"/>
    </xf>
    <xf numFmtId="2" fontId="4" fillId="0" borderId="19" xfId="0" applyNumberFormat="1" applyFont="1" applyBorder="1" applyAlignment="1">
      <alignment horizontal="center"/>
    </xf>
    <xf numFmtId="0" fontId="4" fillId="0" borderId="19" xfId="0" applyFont="1" applyBorder="1" applyAlignment="1">
      <alignment horizontal="left"/>
    </xf>
    <xf numFmtId="2" fontId="4" fillId="4" borderId="20" xfId="0" applyNumberFormat="1" applyFont="1" applyFill="1" applyBorder="1" applyAlignment="1"/>
    <xf numFmtId="2" fontId="4" fillId="4" borderId="21" xfId="0" applyNumberFormat="1" applyFont="1" applyFill="1" applyBorder="1" applyAlignment="1"/>
    <xf numFmtId="2" fontId="0" fillId="4" borderId="19" xfId="0" applyNumberFormat="1" applyFont="1" applyFill="1" applyBorder="1" applyAlignment="1">
      <alignment horizontal="center"/>
    </xf>
    <xf numFmtId="0" fontId="4" fillId="4" borderId="14" xfId="0" applyFont="1" applyFill="1" applyBorder="1" applyAlignment="1">
      <alignment horizontal="center"/>
    </xf>
    <xf numFmtId="2" fontId="4" fillId="0" borderId="14" xfId="0" applyNumberFormat="1" applyFont="1" applyBorder="1" applyAlignment="1">
      <alignment horizontal="center"/>
    </xf>
    <xf numFmtId="168" fontId="4" fillId="0" borderId="9" xfId="5" applyNumberFormat="1" applyFont="1" applyBorder="1" applyAlignment="1">
      <alignment horizontal="left" vertical="center"/>
    </xf>
    <xf numFmtId="39" fontId="24" fillId="4" borderId="23" xfId="5" applyNumberFormat="1" applyFont="1" applyFill="1" applyBorder="1" applyAlignment="1">
      <alignment horizontal="center"/>
    </xf>
    <xf numFmtId="10" fontId="24" fillId="4" borderId="14" xfId="7" applyNumberFormat="1" applyFont="1" applyFill="1" applyBorder="1" applyAlignment="1">
      <alignment horizontal="center" vertical="center" wrapText="1"/>
    </xf>
    <xf numFmtId="168" fontId="4" fillId="0" borderId="14" xfId="5" applyNumberFormat="1" applyFont="1" applyBorder="1" applyAlignment="1">
      <alignment horizontal="left" vertical="center"/>
    </xf>
    <xf numFmtId="39" fontId="4" fillId="4" borderId="14" xfId="5" applyNumberFormat="1" applyFont="1" applyFill="1" applyBorder="1" applyAlignment="1">
      <alignment horizontal="center"/>
    </xf>
    <xf numFmtId="39" fontId="24" fillId="4" borderId="14" xfId="5" applyNumberFormat="1" applyFont="1" applyFill="1" applyBorder="1" applyAlignment="1">
      <alignment horizontal="center"/>
    </xf>
    <xf numFmtId="39" fontId="0" fillId="4" borderId="23" xfId="5" applyNumberFormat="1" applyFont="1" applyFill="1" applyBorder="1" applyAlignment="1">
      <alignment horizontal="center"/>
    </xf>
    <xf numFmtId="39" fontId="24" fillId="4" borderId="33" xfId="5" applyNumberFormat="1" applyFont="1" applyFill="1" applyBorder="1" applyAlignment="1">
      <alignment horizontal="center"/>
    </xf>
    <xf numFmtId="165" fontId="1" fillId="0" borderId="14" xfId="13" applyNumberFormat="1" applyFont="1" applyFill="1" applyBorder="1" applyAlignment="1">
      <alignment horizontal="left" vertical="center" wrapText="1"/>
    </xf>
    <xf numFmtId="10" fontId="47" fillId="4" borderId="14" xfId="7" applyNumberFormat="1" applyFont="1" applyFill="1" applyBorder="1" applyAlignment="1">
      <alignment horizontal="center" vertical="center" wrapText="1"/>
    </xf>
    <xf numFmtId="39" fontId="0" fillId="4" borderId="14" xfId="5" applyNumberFormat="1" applyFont="1" applyFill="1" applyBorder="1" applyAlignment="1">
      <alignment horizontal="center"/>
    </xf>
    <xf numFmtId="39" fontId="0" fillId="4" borderId="33" xfId="5" applyNumberFormat="1" applyFont="1" applyFill="1" applyBorder="1" applyAlignment="1">
      <alignment horizontal="center"/>
    </xf>
    <xf numFmtId="0" fontId="70" fillId="0" borderId="33" xfId="0" applyFont="1" applyFill="1" applyBorder="1" applyAlignment="1">
      <alignment horizontal="center" vertical="center"/>
    </xf>
    <xf numFmtId="0" fontId="24" fillId="0" borderId="23" xfId="0" applyFont="1" applyFill="1" applyBorder="1" applyAlignment="1">
      <alignment horizontal="center" vertical="center"/>
    </xf>
    <xf numFmtId="0" fontId="70" fillId="0" borderId="23" xfId="0" applyFont="1" applyFill="1" applyBorder="1" applyAlignment="1">
      <alignment horizontal="center" vertical="center"/>
    </xf>
    <xf numFmtId="9" fontId="24" fillId="4" borderId="14" xfId="7" applyFont="1" applyFill="1" applyBorder="1" applyAlignment="1">
      <alignment horizontal="center" vertical="center" wrapText="1"/>
    </xf>
    <xf numFmtId="0" fontId="4" fillId="0" borderId="33" xfId="0" applyFont="1" applyFill="1" applyBorder="1" applyAlignment="1">
      <alignment horizontal="center" vertical="center"/>
    </xf>
    <xf numFmtId="0" fontId="24" fillId="0" borderId="4" xfId="0" applyFont="1" applyFill="1" applyBorder="1" applyAlignment="1">
      <alignment horizontal="center" vertical="center"/>
    </xf>
    <xf numFmtId="0" fontId="30" fillId="0" borderId="4" xfId="8" applyFont="1" applyFill="1" applyBorder="1" applyAlignment="1">
      <alignment horizontal="left"/>
    </xf>
    <xf numFmtId="0" fontId="30" fillId="0" borderId="33" xfId="8" applyFont="1" applyFill="1" applyBorder="1" applyAlignment="1">
      <alignment horizontal="left" vertical="center"/>
    </xf>
    <xf numFmtId="200" fontId="4" fillId="0" borderId="19" xfId="8" applyNumberFormat="1" applyFont="1" applyBorder="1" applyAlignment="1">
      <alignment horizontal="center"/>
    </xf>
    <xf numFmtId="0" fontId="4" fillId="0" borderId="9" xfId="0" applyFont="1" applyBorder="1" applyAlignment="1">
      <alignment vertical="center" wrapText="1"/>
    </xf>
    <xf numFmtId="200" fontId="4" fillId="0" borderId="14" xfId="8" applyNumberFormat="1" applyFont="1" applyBorder="1" applyAlignment="1">
      <alignment horizontal="center"/>
    </xf>
    <xf numFmtId="1" fontId="4" fillId="4" borderId="16" xfId="0" applyNumberFormat="1" applyFont="1" applyFill="1" applyBorder="1" applyAlignment="1">
      <alignment horizontal="left" vertical="top" wrapText="1"/>
    </xf>
    <xf numFmtId="0" fontId="4" fillId="0" borderId="37" xfId="0" applyFont="1" applyFill="1" applyBorder="1" applyAlignment="1">
      <alignment horizontal="left" vertical="top" wrapText="1"/>
    </xf>
    <xf numFmtId="2" fontId="4" fillId="8" borderId="16" xfId="0" applyNumberFormat="1" applyFont="1" applyFill="1" applyBorder="1" applyAlignment="1">
      <alignment horizontal="center"/>
    </xf>
    <xf numFmtId="2" fontId="4" fillId="0" borderId="10" xfId="0" applyNumberFormat="1" applyFont="1" applyFill="1" applyBorder="1"/>
    <xf numFmtId="0" fontId="4" fillId="0" borderId="5" xfId="0" applyFont="1" applyFill="1" applyBorder="1" applyAlignment="1">
      <alignment horizontal="left" vertical="top"/>
    </xf>
    <xf numFmtId="165" fontId="4" fillId="0" borderId="37" xfId="0" applyNumberFormat="1" applyFont="1" applyFill="1" applyBorder="1" applyAlignment="1">
      <alignment horizontal="left" vertical="top" wrapText="1"/>
    </xf>
    <xf numFmtId="0" fontId="4" fillId="16" borderId="5" xfId="0" applyFont="1" applyFill="1" applyBorder="1" applyAlignment="1">
      <alignment horizontal="left" vertical="top"/>
    </xf>
    <xf numFmtId="2" fontId="4" fillId="0" borderId="37" xfId="0" applyNumberFormat="1" applyFont="1" applyFill="1" applyBorder="1" applyAlignment="1">
      <alignment horizontal="left" vertical="top" wrapText="1"/>
    </xf>
    <xf numFmtId="0" fontId="4" fillId="4" borderId="4" xfId="0" applyFont="1" applyFill="1" applyBorder="1" applyAlignment="1">
      <alignment horizontal="left" vertical="top"/>
    </xf>
    <xf numFmtId="0" fontId="4" fillId="4" borderId="9" xfId="0" applyFont="1" applyFill="1" applyBorder="1" applyAlignment="1">
      <alignment horizontal="left" vertical="top"/>
    </xf>
    <xf numFmtId="0" fontId="4" fillId="4" borderId="19" xfId="0" applyFont="1" applyFill="1" applyBorder="1" applyAlignment="1">
      <alignment horizontal="left" vertical="top"/>
    </xf>
    <xf numFmtId="0" fontId="4" fillId="4" borderId="33" xfId="0" applyFont="1" applyFill="1" applyBorder="1" applyAlignment="1">
      <alignment horizontal="left" vertical="top"/>
    </xf>
    <xf numFmtId="0" fontId="4" fillId="4" borderId="14" xfId="0" applyFont="1" applyFill="1" applyBorder="1" applyAlignment="1">
      <alignment horizontal="left" vertical="top"/>
    </xf>
    <xf numFmtId="1" fontId="4" fillId="4" borderId="9" xfId="0" applyNumberFormat="1" applyFont="1" applyFill="1" applyBorder="1" applyAlignment="1">
      <alignment horizontal="left" vertical="top" wrapText="1"/>
    </xf>
    <xf numFmtId="1" fontId="4" fillId="4" borderId="10" xfId="0" applyNumberFormat="1" applyFont="1" applyFill="1" applyBorder="1" applyAlignment="1">
      <alignment horizontal="left" vertical="top"/>
    </xf>
    <xf numFmtId="1" fontId="4" fillId="4" borderId="10" xfId="0" applyNumberFormat="1" applyFont="1" applyFill="1" applyBorder="1" applyAlignment="1">
      <alignment horizontal="left" vertical="top" wrapText="1"/>
    </xf>
    <xf numFmtId="1" fontId="4" fillId="0" borderId="10" xfId="0" applyNumberFormat="1" applyFont="1" applyFill="1" applyBorder="1" applyAlignment="1">
      <alignment horizontal="left" vertical="top"/>
    </xf>
    <xf numFmtId="1" fontId="4" fillId="4" borderId="53" xfId="0" applyNumberFormat="1" applyFont="1" applyFill="1" applyBorder="1"/>
    <xf numFmtId="2" fontId="4" fillId="0" borderId="10" xfId="0" applyNumberFormat="1" applyFont="1" applyFill="1" applyBorder="1" applyAlignment="1">
      <alignment vertical="center"/>
    </xf>
    <xf numFmtId="2" fontId="100" fillId="0" borderId="10" xfId="0" applyNumberFormat="1" applyFont="1" applyFill="1" applyBorder="1" applyAlignment="1">
      <alignment vertical="center" wrapText="1"/>
    </xf>
    <xf numFmtId="2" fontId="100" fillId="0" borderId="15" xfId="0" applyNumberFormat="1" applyFont="1" applyFill="1" applyBorder="1" applyAlignment="1">
      <alignment vertical="center" wrapText="1"/>
    </xf>
    <xf numFmtId="1" fontId="100" fillId="0" borderId="10" xfId="0" applyNumberFormat="1" applyFont="1" applyFill="1" applyBorder="1" applyAlignment="1">
      <alignment horizontal="left"/>
    </xf>
    <xf numFmtId="39" fontId="4" fillId="0" borderId="9" xfId="0" applyNumberFormat="1" applyFont="1" applyBorder="1" applyAlignment="1">
      <alignment horizontal="right"/>
    </xf>
    <xf numFmtId="192" fontId="4" fillId="0" borderId="9" xfId="2" applyNumberFormat="1" applyFont="1" applyBorder="1" applyAlignment="1">
      <alignment horizontal="center"/>
    </xf>
    <xf numFmtId="2" fontId="4" fillId="0" borderId="23" xfId="1" applyNumberFormat="1" applyFont="1" applyBorder="1" applyAlignment="1">
      <alignment horizontal="center" wrapText="1"/>
    </xf>
    <xf numFmtId="0" fontId="4" fillId="11" borderId="20" xfId="0" applyFont="1" applyFill="1" applyBorder="1" applyAlignment="1">
      <alignment horizontal="center" vertical="center" wrapText="1"/>
    </xf>
    <xf numFmtId="165" fontId="4" fillId="0" borderId="9" xfId="0" applyNumberFormat="1" applyFont="1" applyBorder="1" applyAlignment="1">
      <alignment horizontal="left" vertical="center" wrapText="1"/>
    </xf>
    <xf numFmtId="2" fontId="4" fillId="4" borderId="9" xfId="1" applyNumberFormat="1" applyFont="1" applyFill="1" applyBorder="1" applyAlignment="1">
      <alignment horizontal="center"/>
    </xf>
    <xf numFmtId="180" fontId="4" fillId="4" borderId="9" xfId="0" applyNumberFormat="1" applyFont="1" applyFill="1" applyBorder="1" applyAlignment="1">
      <alignment horizontal="center" vertical="center" wrapText="1"/>
    </xf>
    <xf numFmtId="0" fontId="4" fillId="0" borderId="0" xfId="0" applyFont="1" applyAlignment="1">
      <alignment horizontal="left"/>
    </xf>
    <xf numFmtId="2" fontId="4" fillId="0" borderId="0" xfId="0" applyNumberFormat="1" applyFont="1" applyAlignment="1">
      <alignment horizontal="left"/>
    </xf>
    <xf numFmtId="0" fontId="4" fillId="0" borderId="0" xfId="13" applyFont="1" applyBorder="1" applyAlignment="1">
      <alignment horizontal="left"/>
    </xf>
    <xf numFmtId="0" fontId="4" fillId="0" borderId="0" xfId="13" applyFont="1" applyAlignment="1">
      <alignment vertical="center"/>
    </xf>
    <xf numFmtId="4" fontId="30" fillId="0" borderId="9" xfId="8" applyNumberFormat="1" applyFont="1" applyBorder="1" applyAlignment="1">
      <alignment horizontal="center"/>
    </xf>
    <xf numFmtId="0" fontId="4" fillId="0" borderId="9" xfId="6" applyFont="1" applyBorder="1" applyAlignment="1">
      <alignment horizontal="center"/>
    </xf>
    <xf numFmtId="165" fontId="100" fillId="0" borderId="9" xfId="6" applyNumberFormat="1" applyFont="1" applyFill="1" applyBorder="1" applyAlignment="1">
      <alignment horizontal="center"/>
    </xf>
    <xf numFmtId="171" fontId="100" fillId="0" borderId="9" xfId="6" applyNumberFormat="1" applyFont="1" applyFill="1" applyBorder="1" applyAlignment="1">
      <alignment horizontal="center"/>
    </xf>
    <xf numFmtId="169" fontId="30" fillId="0" borderId="9" xfId="2" applyNumberFormat="1" applyFont="1" applyBorder="1" applyAlignment="1">
      <alignment horizontal="center"/>
    </xf>
    <xf numFmtId="0" fontId="4" fillId="0" borderId="9" xfId="6" applyFont="1" applyBorder="1"/>
    <xf numFmtId="165" fontId="100" fillId="0" borderId="9" xfId="6" applyNumberFormat="1" applyFont="1" applyFill="1" applyBorder="1" applyAlignment="1">
      <alignment horizontal="center" vertical="center" wrapText="1"/>
    </xf>
    <xf numFmtId="0" fontId="100" fillId="11" borderId="9" xfId="0" applyFont="1" applyFill="1" applyBorder="1" applyAlignment="1">
      <alignment horizontal="center" vertical="center" wrapText="1"/>
    </xf>
    <xf numFmtId="9" fontId="100" fillId="0" borderId="9" xfId="3" applyFont="1" applyFill="1" applyBorder="1" applyAlignment="1">
      <alignment horizontal="center" vertical="center" wrapText="1"/>
    </xf>
    <xf numFmtId="3" fontId="4" fillId="0" borderId="9" xfId="3" applyNumberFormat="1" applyFont="1" applyFill="1" applyBorder="1" applyAlignment="1">
      <alignment horizontal="center" vertical="center" wrapText="1"/>
    </xf>
    <xf numFmtId="4" fontId="4" fillId="0" borderId="9" xfId="3" applyNumberFormat="1" applyFont="1" applyFill="1" applyBorder="1" applyAlignment="1">
      <alignment horizontal="center" vertical="center" wrapText="1"/>
    </xf>
    <xf numFmtId="167" fontId="103" fillId="12" borderId="0" xfId="0" applyNumberFormat="1" applyFont="1" applyFill="1"/>
    <xf numFmtId="165" fontId="100" fillId="0" borderId="9" xfId="13" applyNumberFormat="1" applyFont="1" applyFill="1" applyBorder="1" applyAlignment="1">
      <alignment horizontal="center" vertical="center" wrapText="1"/>
    </xf>
    <xf numFmtId="165" fontId="100" fillId="4" borderId="9" xfId="6" applyNumberFormat="1" applyFont="1" applyFill="1" applyBorder="1" applyAlignment="1">
      <alignment horizontal="center"/>
    </xf>
    <xf numFmtId="171" fontId="100" fillId="4" borderId="9" xfId="6" applyNumberFormat="1" applyFont="1" applyFill="1" applyBorder="1" applyAlignment="1">
      <alignment horizontal="center"/>
    </xf>
    <xf numFmtId="4" fontId="28" fillId="0" borderId="9" xfId="8" applyNumberFormat="1" applyBorder="1" applyAlignment="1">
      <alignment horizontal="center"/>
    </xf>
    <xf numFmtId="0" fontId="4" fillId="0" borderId="9" xfId="6" applyFont="1" applyBorder="1" applyAlignment="1">
      <alignment horizontal="left"/>
    </xf>
    <xf numFmtId="0" fontId="4" fillId="4" borderId="23" xfId="0" applyFont="1" applyFill="1" applyBorder="1" applyAlignment="1">
      <alignment horizontal="left" vertical="center" wrapText="1"/>
    </xf>
    <xf numFmtId="168" fontId="4" fillId="4" borderId="9" xfId="0" applyNumberFormat="1" applyFont="1" applyFill="1" applyBorder="1" applyAlignment="1">
      <alignment horizontal="left"/>
    </xf>
    <xf numFmtId="0" fontId="4" fillId="4" borderId="30" xfId="0" applyFont="1" applyFill="1" applyBorder="1" applyAlignment="1">
      <alignment horizontal="left" vertical="center" wrapText="1"/>
    </xf>
    <xf numFmtId="0" fontId="4" fillId="4" borderId="23" xfId="0" applyFont="1" applyFill="1" applyBorder="1" applyAlignment="1">
      <alignment horizontal="left" vertical="top"/>
    </xf>
    <xf numFmtId="0" fontId="4" fillId="16" borderId="4" xfId="0" applyFont="1" applyFill="1" applyBorder="1" applyAlignment="1">
      <alignment vertical="top" wrapText="1"/>
    </xf>
    <xf numFmtId="0" fontId="4" fillId="16" borderId="16" xfId="0" applyFont="1" applyFill="1" applyBorder="1" applyAlignment="1">
      <alignment vertical="top" wrapText="1"/>
    </xf>
    <xf numFmtId="0" fontId="4" fillId="4" borderId="16" xfId="0" applyFont="1" applyFill="1" applyBorder="1" applyAlignment="1">
      <alignment vertical="top" wrapText="1"/>
    </xf>
    <xf numFmtId="0" fontId="4" fillId="16" borderId="25" xfId="0" applyFont="1" applyFill="1" applyBorder="1" applyAlignment="1">
      <alignment vertical="top" wrapText="1"/>
    </xf>
    <xf numFmtId="0" fontId="4" fillId="16" borderId="37" xfId="0" applyFont="1" applyFill="1" applyBorder="1" applyAlignment="1">
      <alignment vertical="top" wrapText="1"/>
    </xf>
    <xf numFmtId="0" fontId="4" fillId="16" borderId="35" xfId="0" applyFont="1" applyFill="1" applyBorder="1" applyAlignment="1">
      <alignment vertical="top" wrapText="1"/>
    </xf>
    <xf numFmtId="0" fontId="4" fillId="16" borderId="60" xfId="0" applyFont="1" applyFill="1" applyBorder="1" applyAlignment="1">
      <alignment vertical="top" wrapText="1"/>
    </xf>
    <xf numFmtId="0" fontId="4" fillId="16" borderId="9" xfId="0" applyFont="1" applyFill="1" applyBorder="1" applyAlignment="1">
      <alignment vertical="top" wrapText="1"/>
    </xf>
    <xf numFmtId="0" fontId="4" fillId="16" borderId="14" xfId="0" applyFont="1" applyFill="1" applyBorder="1" applyAlignment="1">
      <alignment vertical="top" wrapText="1"/>
    </xf>
    <xf numFmtId="0" fontId="24" fillId="0" borderId="18" xfId="6" applyFont="1" applyFill="1" applyBorder="1" applyAlignment="1">
      <alignment horizontal="center"/>
    </xf>
    <xf numFmtId="10" fontId="24" fillId="0" borderId="21" xfId="6" applyNumberFormat="1" applyFont="1" applyFill="1" applyBorder="1" applyAlignment="1">
      <alignment horizontal="center"/>
    </xf>
    <xf numFmtId="172" fontId="4" fillId="0" borderId="19" xfId="3" applyNumberFormat="1" applyFont="1" applyFill="1" applyBorder="1" applyAlignment="1">
      <alignment horizontal="center"/>
    </xf>
    <xf numFmtId="10" fontId="4" fillId="0" borderId="9" xfId="6" applyNumberFormat="1" applyFont="1" applyFill="1" applyBorder="1" applyAlignment="1">
      <alignment horizontal="center"/>
    </xf>
    <xf numFmtId="0" fontId="4" fillId="0" borderId="9" xfId="8" applyFont="1" applyBorder="1" applyAlignment="1">
      <alignment horizontal="left"/>
    </xf>
    <xf numFmtId="9" fontId="30" fillId="0" borderId="25" xfId="3" applyFont="1" applyFill="1" applyBorder="1" applyAlignment="1">
      <alignment horizontal="center"/>
    </xf>
    <xf numFmtId="9" fontId="29" fillId="4" borderId="4" xfId="3" applyFont="1" applyFill="1" applyBorder="1" applyAlignment="1">
      <alignment horizontal="center"/>
    </xf>
    <xf numFmtId="0" fontId="0" fillId="0" borderId="4" xfId="0" applyBorder="1"/>
    <xf numFmtId="9" fontId="29" fillId="4" borderId="14" xfId="3" applyFont="1" applyFill="1" applyBorder="1" applyAlignment="1">
      <alignment horizontal="center"/>
    </xf>
    <xf numFmtId="2" fontId="0" fillId="0" borderId="9" xfId="1" applyNumberFormat="1" applyFont="1" applyBorder="1" applyAlignment="1">
      <alignment horizontal="center"/>
    </xf>
    <xf numFmtId="0" fontId="4" fillId="0" borderId="9" xfId="0" applyFont="1" applyFill="1" applyBorder="1" applyAlignment="1">
      <alignment horizontal="left"/>
    </xf>
    <xf numFmtId="172" fontId="4" fillId="4" borderId="9" xfId="3" applyNumberFormat="1" applyFont="1" applyFill="1" applyBorder="1" applyAlignment="1">
      <alignment horizontal="center" vertical="center" wrapText="1"/>
    </xf>
    <xf numFmtId="172" fontId="0" fillId="0" borderId="9" xfId="0" applyNumberFormat="1" applyFont="1" applyBorder="1" applyAlignment="1">
      <alignment horizontal="center"/>
    </xf>
    <xf numFmtId="9" fontId="0" fillId="0" borderId="9" xfId="3" applyNumberFormat="1" applyFont="1" applyBorder="1" applyAlignment="1">
      <alignment horizontal="center"/>
    </xf>
    <xf numFmtId="9" fontId="0" fillId="4" borderId="9" xfId="3" applyNumberFormat="1" applyFont="1" applyFill="1" applyBorder="1" applyAlignment="1">
      <alignment horizontal="center" vertical="center" wrapText="1"/>
    </xf>
    <xf numFmtId="9" fontId="0" fillId="0" borderId="9" xfId="0" applyNumberFormat="1" applyFont="1" applyBorder="1" applyAlignment="1">
      <alignment horizontal="center"/>
    </xf>
    <xf numFmtId="0" fontId="4" fillId="11" borderId="9" xfId="0" applyFont="1" applyFill="1" applyBorder="1" applyAlignment="1">
      <alignment horizontal="center" vertical="center" wrapText="1"/>
    </xf>
    <xf numFmtId="10" fontId="4" fillId="0" borderId="9" xfId="0" applyNumberFormat="1" applyFont="1" applyBorder="1" applyAlignment="1">
      <alignment horizontal="center"/>
    </xf>
    <xf numFmtId="1" fontId="24" fillId="4" borderId="9" xfId="0" applyNumberFormat="1" applyFont="1" applyFill="1" applyBorder="1" applyAlignment="1">
      <alignment horizontal="center" vertical="center" wrapText="1"/>
    </xf>
    <xf numFmtId="9" fontId="24" fillId="0" borderId="9" xfId="3" applyNumberFormat="1" applyFont="1" applyBorder="1" applyAlignment="1">
      <alignment horizontal="center"/>
    </xf>
    <xf numFmtId="4" fontId="4" fillId="4" borderId="9" xfId="8" applyNumberFormat="1" applyFont="1" applyFill="1" applyBorder="1" applyAlignment="1">
      <alignment horizontal="center"/>
    </xf>
    <xf numFmtId="0" fontId="4" fillId="4" borderId="9" xfId="0" applyFont="1" applyFill="1" applyBorder="1" applyAlignment="1">
      <alignment horizontal="left" vertical="center"/>
    </xf>
    <xf numFmtId="0" fontId="4" fillId="4" borderId="9" xfId="8" applyFont="1" applyFill="1" applyBorder="1" applyAlignment="1">
      <alignment horizontal="center"/>
    </xf>
    <xf numFmtId="0" fontId="4" fillId="4" borderId="9" xfId="0" applyFont="1" applyFill="1" applyBorder="1" applyAlignment="1">
      <alignment horizontal="center"/>
    </xf>
    <xf numFmtId="7" fontId="4" fillId="4" borderId="23" xfId="2" applyNumberFormat="1" applyFont="1" applyFill="1" applyBorder="1" applyAlignment="1">
      <alignment horizontal="left"/>
    </xf>
    <xf numFmtId="2" fontId="4" fillId="8" borderId="23" xfId="0" applyNumberFormat="1" applyFont="1" applyFill="1" applyBorder="1" applyAlignment="1">
      <alignment horizontal="left" vertical="top" wrapText="1"/>
    </xf>
    <xf numFmtId="2" fontId="4" fillId="8" borderId="9" xfId="0" applyNumberFormat="1" applyFont="1" applyFill="1" applyBorder="1" applyAlignment="1">
      <alignment horizontal="left" vertical="top" wrapText="1"/>
    </xf>
    <xf numFmtId="170" fontId="4" fillId="4" borderId="23" xfId="1" applyNumberFormat="1" applyFont="1" applyFill="1" applyBorder="1" applyAlignment="1">
      <alignment horizontal="center"/>
    </xf>
    <xf numFmtId="0" fontId="4" fillId="0" borderId="19" xfId="0" applyFont="1" applyFill="1" applyBorder="1" applyAlignment="1">
      <alignment horizontal="center"/>
    </xf>
    <xf numFmtId="0" fontId="4" fillId="4" borderId="23" xfId="0" applyFont="1" applyFill="1" applyBorder="1" applyAlignment="1">
      <alignment horizontal="center"/>
    </xf>
    <xf numFmtId="0" fontId="4" fillId="4" borderId="30" xfId="0" applyFont="1" applyFill="1" applyBorder="1" applyAlignment="1">
      <alignment horizontal="left" vertical="top"/>
    </xf>
    <xf numFmtId="0" fontId="24" fillId="4" borderId="30" xfId="0" applyFont="1" applyFill="1" applyBorder="1" applyAlignment="1">
      <alignment horizontal="left" vertical="top"/>
    </xf>
    <xf numFmtId="9" fontId="4" fillId="4" borderId="9" xfId="3" applyFont="1" applyFill="1" applyBorder="1" applyAlignment="1">
      <alignment horizontal="center" vertical="center"/>
    </xf>
    <xf numFmtId="2" fontId="4" fillId="0" borderId="23" xfId="0" applyNumberFormat="1" applyFont="1" applyFill="1" applyBorder="1" applyAlignment="1">
      <alignment horizontal="left" vertical="top" wrapText="1"/>
    </xf>
    <xf numFmtId="9" fontId="4" fillId="0" borderId="9" xfId="3" applyFont="1" applyFill="1" applyBorder="1" applyAlignment="1">
      <alignment horizontal="left" vertical="top" wrapText="1"/>
    </xf>
    <xf numFmtId="9" fontId="4" fillId="4" borderId="19" xfId="3" applyFont="1" applyFill="1" applyBorder="1" applyAlignment="1">
      <alignment horizontal="left" vertical="top" wrapText="1"/>
    </xf>
    <xf numFmtId="170" fontId="4" fillId="4" borderId="9" xfId="1" applyNumberFormat="1" applyFont="1" applyFill="1" applyBorder="1" applyAlignment="1">
      <alignment horizontal="left" vertical="top" wrapText="1"/>
    </xf>
    <xf numFmtId="170" fontId="4" fillId="4" borderId="23" xfId="1" applyNumberFormat="1" applyFont="1" applyFill="1" applyBorder="1" applyAlignment="1">
      <alignment horizontal="left" vertical="top" wrapText="1"/>
    </xf>
    <xf numFmtId="0" fontId="4" fillId="0" borderId="0" xfId="0" applyFont="1" applyFill="1" applyBorder="1" applyAlignment="1">
      <alignment horizontal="center"/>
    </xf>
    <xf numFmtId="0" fontId="4" fillId="0" borderId="0" xfId="6" applyFont="1" applyFill="1" applyBorder="1" applyAlignment="1">
      <alignment horizontal="center"/>
    </xf>
    <xf numFmtId="0" fontId="4" fillId="0" borderId="0" xfId="6" applyFont="1" applyFill="1" applyBorder="1" applyAlignment="1">
      <alignment horizontal="center" vertical="center"/>
    </xf>
    <xf numFmtId="0" fontId="103" fillId="0" borderId="0" xfId="0" applyFont="1" applyAlignment="1">
      <alignment horizontal="left"/>
    </xf>
    <xf numFmtId="0" fontId="4" fillId="16" borderId="23" xfId="0" applyFont="1" applyFill="1" applyBorder="1" applyAlignment="1">
      <alignment vertical="top" wrapText="1"/>
    </xf>
    <xf numFmtId="0" fontId="24" fillId="16" borderId="23" xfId="0" applyFont="1" applyFill="1" applyBorder="1" applyAlignment="1">
      <alignment vertical="top" wrapText="1"/>
    </xf>
    <xf numFmtId="2" fontId="24" fillId="8" borderId="30" xfId="0" applyNumberFormat="1" applyFont="1" applyFill="1" applyBorder="1" applyAlignment="1">
      <alignment wrapText="1"/>
    </xf>
    <xf numFmtId="170" fontId="4" fillId="4" borderId="30" xfId="1" applyNumberFormat="1" applyFont="1" applyFill="1" applyBorder="1" applyAlignment="1">
      <alignment horizontal="left" vertical="top" wrapText="1"/>
    </xf>
    <xf numFmtId="0" fontId="24" fillId="16" borderId="19" xfId="0" applyFont="1" applyFill="1" applyBorder="1" applyAlignment="1">
      <alignment vertical="top" wrapText="1"/>
    </xf>
    <xf numFmtId="9" fontId="24" fillId="4" borderId="5" xfId="3" applyFont="1" applyFill="1" applyBorder="1"/>
    <xf numFmtId="9" fontId="24" fillId="4" borderId="10" xfId="3" applyFont="1" applyFill="1" applyBorder="1"/>
    <xf numFmtId="9" fontId="24" fillId="4" borderId="46" xfId="3" applyFont="1" applyFill="1" applyBorder="1"/>
    <xf numFmtId="9" fontId="24" fillId="4" borderId="15" xfId="3" applyFont="1" applyFill="1" applyBorder="1"/>
    <xf numFmtId="2" fontId="4" fillId="0" borderId="4" xfId="0" applyNumberFormat="1" applyFont="1" applyFill="1" applyBorder="1" applyAlignment="1">
      <alignment horizontal="center" vertical="top" wrapText="1"/>
    </xf>
    <xf numFmtId="2" fontId="4" fillId="0" borderId="9" xfId="0" applyNumberFormat="1" applyFont="1" applyFill="1" applyBorder="1" applyAlignment="1">
      <alignment horizontal="center" vertical="top" wrapText="1"/>
    </xf>
    <xf numFmtId="2" fontId="4" fillId="0" borderId="23" xfId="0" applyNumberFormat="1" applyFont="1" applyFill="1" applyBorder="1" applyAlignment="1">
      <alignment horizontal="center" vertical="top" wrapText="1"/>
    </xf>
    <xf numFmtId="2" fontId="24" fillId="0" borderId="9" xfId="0" applyNumberFormat="1" applyFont="1" applyFill="1" applyBorder="1" applyAlignment="1">
      <alignment horizontal="center" vertical="top" wrapText="1"/>
    </xf>
    <xf numFmtId="168" fontId="24" fillId="0" borderId="9" xfId="5" applyNumberFormat="1" applyFont="1" applyBorder="1" applyAlignment="1">
      <alignment horizontal="left" vertical="top" wrapText="1"/>
    </xf>
    <xf numFmtId="0" fontId="24" fillId="0" borderId="17" xfId="0" applyFont="1" applyBorder="1" applyAlignment="1"/>
    <xf numFmtId="0" fontId="24" fillId="0" borderId="18" xfId="0" applyFont="1" applyBorder="1" applyAlignment="1"/>
    <xf numFmtId="168" fontId="24" fillId="0" borderId="9" xfId="5" applyNumberFormat="1" applyFont="1" applyBorder="1" applyAlignment="1">
      <alignment horizontal="left"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0" fillId="0" borderId="17" xfId="0" applyBorder="1" applyAlignment="1"/>
    <xf numFmtId="0" fontId="0" fillId="0" borderId="18" xfId="0" applyBorder="1" applyAlignment="1"/>
    <xf numFmtId="0" fontId="24" fillId="11" borderId="19" xfId="5" applyFont="1" applyFill="1" applyBorder="1" applyAlignment="1">
      <alignment horizontal="center" vertical="center" wrapText="1"/>
    </xf>
    <xf numFmtId="0" fontId="24" fillId="0" borderId="0" xfId="0" applyFont="1" applyBorder="1" applyAlignment="1">
      <alignment wrapText="1"/>
    </xf>
    <xf numFmtId="0" fontId="71" fillId="6" borderId="0" xfId="5" applyFont="1" applyFill="1" applyAlignment="1">
      <alignment vertical="center"/>
    </xf>
    <xf numFmtId="0" fontId="24" fillId="0" borderId="9" xfId="6" applyFont="1" applyFill="1" applyBorder="1" applyAlignment="1">
      <alignment wrapText="1"/>
    </xf>
    <xf numFmtId="0" fontId="24" fillId="0" borderId="9" xfId="0" applyFont="1" applyBorder="1" applyAlignment="1">
      <alignment wrapText="1"/>
    </xf>
    <xf numFmtId="0" fontId="24" fillId="11" borderId="9" xfId="0" applyFont="1" applyFill="1" applyBorder="1" applyAlignment="1">
      <alignment horizontal="center" vertical="center" wrapText="1"/>
    </xf>
    <xf numFmtId="0" fontId="24" fillId="0" borderId="9" xfId="0" applyFont="1" applyBorder="1" applyAlignment="1"/>
    <xf numFmtId="0" fontId="24" fillId="0" borderId="4"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14" xfId="0" applyFont="1" applyFill="1" applyBorder="1" applyAlignment="1">
      <alignment horizontal="left" vertical="center" wrapText="1"/>
    </xf>
    <xf numFmtId="165" fontId="24" fillId="0" borderId="9" xfId="6" applyNumberFormat="1" applyFont="1" applyFill="1" applyBorder="1" applyAlignment="1">
      <alignment horizontal="left" vertical="center" wrapText="1"/>
    </xf>
    <xf numFmtId="0" fontId="24" fillId="0" borderId="9" xfId="0" applyFont="1" applyFill="1" applyBorder="1" applyAlignment="1">
      <alignment wrapText="1"/>
    </xf>
    <xf numFmtId="165" fontId="4" fillId="0" borderId="9" xfId="6" applyNumberFormat="1" applyFont="1" applyFill="1" applyBorder="1" applyAlignment="1">
      <alignment horizontal="left" vertical="center" wrapText="1"/>
    </xf>
    <xf numFmtId="165" fontId="100" fillId="0" borderId="9" xfId="6" applyNumberFormat="1" applyFont="1" applyFill="1" applyBorder="1" applyAlignment="1">
      <alignment horizontal="left" vertical="center" wrapText="1"/>
    </xf>
    <xf numFmtId="0" fontId="24" fillId="0" borderId="23" xfId="0" applyFont="1" applyBorder="1" applyAlignment="1">
      <alignment horizontal="left" vertical="center"/>
    </xf>
    <xf numFmtId="0" fontId="4" fillId="10" borderId="16" xfId="0" applyFont="1" applyFill="1" applyBorder="1" applyAlignment="1">
      <alignment horizontal="left"/>
    </xf>
    <xf numFmtId="0" fontId="42" fillId="0" borderId="23" xfId="8" applyFont="1" applyFill="1" applyBorder="1" applyAlignment="1">
      <alignment horizontal="left" vertical="center"/>
    </xf>
    <xf numFmtId="165" fontId="24" fillId="0" borderId="23" xfId="13" applyNumberFormat="1"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165" fontId="24" fillId="4" borderId="9" xfId="13" applyNumberFormat="1" applyFont="1" applyFill="1" applyBorder="1" applyAlignment="1">
      <alignment horizontal="left" vertical="center" wrapText="1"/>
    </xf>
    <xf numFmtId="165" fontId="24" fillId="0" borderId="14" xfId="13" applyNumberFormat="1" applyFont="1" applyFill="1" applyBorder="1" applyAlignment="1">
      <alignment horizontal="left" vertical="center" wrapText="1"/>
    </xf>
    <xf numFmtId="0" fontId="29" fillId="0" borderId="9" xfId="8" applyFont="1" applyFill="1" applyBorder="1" applyAlignment="1">
      <alignment horizontal="left" wrapText="1"/>
    </xf>
    <xf numFmtId="0" fontId="24" fillId="0" borderId="33" xfId="0" applyFont="1" applyFill="1" applyBorder="1" applyAlignment="1">
      <alignment horizontal="left" vertical="center"/>
    </xf>
    <xf numFmtId="0" fontId="24" fillId="0" borderId="33" xfId="0" applyFont="1" applyFill="1" applyBorder="1" applyAlignment="1">
      <alignment horizontal="center" vertical="center"/>
    </xf>
    <xf numFmtId="3" fontId="24" fillId="0" borderId="9" xfId="0" applyNumberFormat="1" applyFont="1" applyFill="1" applyBorder="1" applyAlignment="1">
      <alignment horizontal="left" vertical="center" wrapText="1"/>
    </xf>
    <xf numFmtId="0" fontId="24" fillId="0" borderId="19"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4" fillId="0" borderId="30" xfId="0" applyFont="1" applyFill="1" applyBorder="1" applyAlignment="1">
      <alignment horizontal="left" vertical="center" wrapText="1"/>
    </xf>
    <xf numFmtId="180" fontId="24" fillId="4" borderId="9" xfId="0" applyNumberFormat="1" applyFont="1" applyFill="1" applyBorder="1" applyAlignment="1">
      <alignment horizontal="left" vertical="center"/>
    </xf>
    <xf numFmtId="0" fontId="42" fillId="0" borderId="9" xfId="8" applyFont="1" applyFill="1" applyBorder="1" applyAlignment="1">
      <alignment horizontal="left" vertical="center"/>
    </xf>
    <xf numFmtId="0" fontId="29" fillId="0" borderId="9" xfId="8" applyFont="1" applyFill="1" applyBorder="1" applyAlignment="1"/>
    <xf numFmtId="0" fontId="24" fillId="0" borderId="16" xfId="0" applyFont="1" applyBorder="1" applyAlignment="1">
      <alignment horizontal="left"/>
    </xf>
    <xf numFmtId="0" fontId="24" fillId="0" borderId="18" xfId="0" applyFont="1" applyBorder="1" applyAlignment="1">
      <alignment horizontal="left"/>
    </xf>
    <xf numFmtId="0" fontId="24" fillId="0" borderId="19" xfId="0" applyFont="1" applyFill="1" applyBorder="1" applyAlignment="1">
      <alignment vertical="center" wrapText="1"/>
    </xf>
    <xf numFmtId="0" fontId="24" fillId="4" borderId="19"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24" fillId="0" borderId="30" xfId="0" applyFont="1" applyBorder="1" applyAlignment="1">
      <alignment horizontal="left" vertical="center" wrapText="1"/>
    </xf>
    <xf numFmtId="0" fontId="24" fillId="0" borderId="23" xfId="0" applyFont="1" applyBorder="1" applyAlignment="1">
      <alignment horizontal="left" vertical="center" wrapText="1"/>
    </xf>
    <xf numFmtId="0" fontId="42" fillId="4" borderId="23" xfId="8" applyFont="1" applyFill="1" applyBorder="1" applyAlignment="1">
      <alignment horizontal="left" vertical="center"/>
    </xf>
    <xf numFmtId="0" fontId="24" fillId="0" borderId="18" xfId="0" applyFont="1" applyBorder="1" applyAlignment="1">
      <alignment horizontal="center"/>
    </xf>
    <xf numFmtId="0" fontId="24" fillId="4" borderId="9" xfId="0" applyFont="1" applyFill="1" applyBorder="1" applyAlignment="1">
      <alignment horizontal="left" vertical="center" wrapText="1"/>
    </xf>
    <xf numFmtId="0" fontId="24" fillId="0" borderId="9" xfId="0" applyFont="1" applyBorder="1" applyAlignment="1">
      <alignment vertical="center" wrapText="1"/>
    </xf>
    <xf numFmtId="0" fontId="24" fillId="4" borderId="9" xfId="0" applyFont="1" applyFill="1" applyBorder="1" applyAlignment="1">
      <alignment vertical="center" wrapText="1"/>
    </xf>
    <xf numFmtId="0" fontId="24" fillId="0" borderId="9" xfId="0" applyFont="1" applyFill="1" applyBorder="1" applyAlignment="1">
      <alignment vertical="center" wrapText="1"/>
    </xf>
    <xf numFmtId="0" fontId="24" fillId="0" borderId="9" xfId="0" applyFont="1" applyFill="1" applyBorder="1" applyAlignment="1">
      <alignment horizontal="left" vertical="center"/>
    </xf>
    <xf numFmtId="0" fontId="24" fillId="0" borderId="18" xfId="0" applyFont="1" applyFill="1" applyBorder="1" applyAlignment="1">
      <alignment horizontal="left" vertical="center" wrapText="1"/>
    </xf>
    <xf numFmtId="0" fontId="24" fillId="0" borderId="9" xfId="0" applyFont="1" applyBorder="1" applyAlignment="1">
      <alignment horizontal="left" vertical="center" wrapText="1"/>
    </xf>
    <xf numFmtId="9" fontId="24" fillId="4" borderId="9" xfId="0" applyNumberFormat="1" applyFont="1" applyFill="1" applyBorder="1" applyAlignment="1">
      <alignment horizontal="left" vertical="center" wrapText="1"/>
    </xf>
    <xf numFmtId="0" fontId="24" fillId="0" borderId="9" xfId="0" applyFont="1" applyBorder="1" applyAlignment="1">
      <alignment horizontal="left" wrapText="1"/>
    </xf>
    <xf numFmtId="0" fontId="24" fillId="4" borderId="30" xfId="0" applyFont="1" applyFill="1" applyBorder="1" applyAlignment="1">
      <alignment horizontal="left" vertical="center" wrapText="1"/>
    </xf>
    <xf numFmtId="7" fontId="24" fillId="0" borderId="9" xfId="2" applyNumberFormat="1" applyFont="1" applyFill="1" applyBorder="1" applyAlignment="1">
      <alignment horizontal="left"/>
    </xf>
    <xf numFmtId="165" fontId="24" fillId="0" borderId="9" xfId="8" applyNumberFormat="1" applyFont="1" applyFill="1" applyBorder="1" applyAlignment="1">
      <alignment horizontal="left"/>
    </xf>
    <xf numFmtId="3" fontId="24" fillId="0" borderId="9" xfId="0" applyNumberFormat="1" applyFont="1" applyFill="1" applyBorder="1" applyAlignment="1">
      <alignment vertical="center" wrapText="1"/>
    </xf>
    <xf numFmtId="178" fontId="24" fillId="4" borderId="9" xfId="0" applyNumberFormat="1" applyFont="1" applyFill="1" applyBorder="1" applyAlignment="1">
      <alignment horizontal="left" vertical="center"/>
    </xf>
    <xf numFmtId="165" fontId="24" fillId="0" borderId="16" xfId="13" applyNumberFormat="1" applyFont="1" applyFill="1" applyBorder="1" applyAlignment="1">
      <alignment horizontal="center" vertical="center" wrapText="1"/>
    </xf>
    <xf numFmtId="0" fontId="24" fillId="11" borderId="16" xfId="0" applyFont="1" applyFill="1" applyBorder="1" applyAlignment="1">
      <alignment horizontal="center" vertical="center" wrapText="1"/>
    </xf>
    <xf numFmtId="165" fontId="24" fillId="0" borderId="16" xfId="13" applyNumberFormat="1" applyFont="1" applyFill="1" applyBorder="1" applyAlignment="1">
      <alignment horizontal="left" vertical="center" wrapText="1"/>
    </xf>
    <xf numFmtId="165" fontId="24" fillId="0" borderId="18" xfId="13" applyNumberFormat="1" applyFont="1" applyFill="1" applyBorder="1" applyAlignment="1">
      <alignment horizontal="left" vertical="center" wrapText="1"/>
    </xf>
    <xf numFmtId="0" fontId="24" fillId="0" borderId="23" xfId="0" applyFont="1" applyFill="1" applyBorder="1" applyAlignment="1">
      <alignment horizontal="left" vertical="center"/>
    </xf>
    <xf numFmtId="0" fontId="24" fillId="11" borderId="18" xfId="0" applyFont="1" applyFill="1" applyBorder="1" applyAlignment="1">
      <alignment horizontal="center" vertical="center" wrapText="1"/>
    </xf>
    <xf numFmtId="0" fontId="24" fillId="0" borderId="33" xfId="0" applyFont="1" applyFill="1" applyBorder="1" applyAlignment="1">
      <alignment vertical="center"/>
    </xf>
    <xf numFmtId="0" fontId="52" fillId="0" borderId="9" xfId="8" applyFont="1" applyFill="1" applyBorder="1" applyAlignment="1">
      <alignment horizontal="left" vertical="center"/>
    </xf>
    <xf numFmtId="0" fontId="24" fillId="0" borderId="33" xfId="0" applyFont="1" applyFill="1" applyBorder="1" applyAlignment="1">
      <alignment horizontal="left" vertical="center" wrapText="1"/>
    </xf>
    <xf numFmtId="0" fontId="24" fillId="4" borderId="19" xfId="0" applyFont="1" applyFill="1" applyBorder="1" applyAlignment="1">
      <alignment vertical="center" wrapText="1"/>
    </xf>
    <xf numFmtId="0" fontId="24" fillId="4" borderId="9" xfId="0" applyFont="1" applyFill="1" applyBorder="1" applyAlignment="1">
      <alignment horizontal="left" vertical="center"/>
    </xf>
    <xf numFmtId="0" fontId="24" fillId="0" borderId="16" xfId="0" applyFont="1" applyFill="1" applyBorder="1" applyAlignment="1">
      <alignment horizontal="center" vertical="center" wrapText="1"/>
    </xf>
    <xf numFmtId="0" fontId="24" fillId="16" borderId="44" xfId="0" applyFont="1" applyFill="1" applyBorder="1" applyAlignment="1">
      <alignment horizontal="left" vertical="center" wrapText="1"/>
    </xf>
    <xf numFmtId="0" fontId="24" fillId="0" borderId="44" xfId="0" applyFont="1" applyBorder="1" applyAlignment="1">
      <alignment horizontal="left" vertical="center" wrapText="1"/>
    </xf>
    <xf numFmtId="0" fontId="29" fillId="0" borderId="0" xfId="8" applyFont="1" applyAlignment="1">
      <alignment horizontal="left" wrapText="1"/>
    </xf>
    <xf numFmtId="0" fontId="4" fillId="0" borderId="9" xfId="0" applyFont="1" applyFill="1" applyBorder="1" applyAlignment="1">
      <alignment horizontal="left" vertical="top" wrapText="1"/>
    </xf>
    <xf numFmtId="0" fontId="4" fillId="0" borderId="16" xfId="0" applyFont="1" applyFill="1" applyBorder="1" applyAlignment="1">
      <alignment horizontal="left" vertical="top" wrapText="1"/>
    </xf>
    <xf numFmtId="0" fontId="24" fillId="11" borderId="17" xfId="0" applyFont="1" applyFill="1" applyBorder="1" applyAlignment="1">
      <alignment horizontal="center" vertical="center" wrapText="1"/>
    </xf>
    <xf numFmtId="0" fontId="24" fillId="0" borderId="33" xfId="0" applyFont="1" applyBorder="1" applyAlignment="1">
      <alignment horizontal="left" vertical="center" wrapText="1"/>
    </xf>
    <xf numFmtId="0" fontId="4" fillId="4" borderId="16" xfId="0" applyFont="1" applyFill="1" applyBorder="1" applyAlignment="1">
      <alignment horizontal="left" vertical="top" wrapText="1"/>
    </xf>
    <xf numFmtId="0" fontId="4" fillId="4" borderId="9" xfId="0" applyFont="1" applyFill="1" applyBorder="1" applyAlignment="1">
      <alignment horizontal="left" vertical="top" wrapText="1"/>
    </xf>
    <xf numFmtId="0" fontId="4" fillId="4" borderId="14"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23" xfId="0" applyFont="1" applyFill="1" applyBorder="1" applyAlignment="1">
      <alignment horizontal="left" vertical="top" wrapText="1"/>
    </xf>
    <xf numFmtId="0" fontId="24" fillId="0" borderId="0" xfId="0" applyFont="1" applyFill="1" applyBorder="1" applyAlignment="1">
      <alignment horizontal="center" vertical="center" wrapText="1"/>
    </xf>
    <xf numFmtId="0" fontId="24" fillId="0" borderId="0" xfId="0" applyFont="1" applyFill="1" applyBorder="1" applyAlignment="1"/>
    <xf numFmtId="0" fontId="24" fillId="11" borderId="19" xfId="0" applyFont="1" applyFill="1" applyBorder="1" applyAlignment="1">
      <alignment horizontal="center" vertical="center" wrapText="1"/>
    </xf>
    <xf numFmtId="0" fontId="24" fillId="0" borderId="0" xfId="0" applyFont="1" applyFill="1" applyBorder="1" applyAlignment="1">
      <alignment wrapText="1"/>
    </xf>
    <xf numFmtId="0" fontId="24" fillId="4" borderId="0" xfId="0" applyFont="1" applyFill="1" applyBorder="1" applyAlignment="1">
      <alignment wrapText="1"/>
    </xf>
    <xf numFmtId="0" fontId="24" fillId="16" borderId="46" xfId="0" applyFont="1" applyFill="1" applyBorder="1" applyAlignment="1">
      <alignment horizontal="left" vertical="top" wrapText="1"/>
    </xf>
    <xf numFmtId="0" fontId="24" fillId="0" borderId="53" xfId="0" applyFont="1" applyBorder="1" applyAlignment="1">
      <alignment vertical="center" wrapText="1"/>
    </xf>
    <xf numFmtId="0" fontId="24" fillId="4" borderId="9" xfId="8" applyFont="1" applyFill="1" applyBorder="1" applyAlignment="1">
      <alignment horizontal="left"/>
    </xf>
    <xf numFmtId="0" fontId="24" fillId="4" borderId="44" xfId="8" applyFont="1" applyFill="1" applyBorder="1" applyAlignment="1">
      <alignment horizontal="left" vertical="center" wrapText="1"/>
    </xf>
    <xf numFmtId="0" fontId="24" fillId="4" borderId="30" xfId="8" applyFont="1" applyFill="1" applyBorder="1" applyAlignment="1">
      <alignment horizontal="left" vertical="center" wrapText="1"/>
    </xf>
    <xf numFmtId="0" fontId="24" fillId="0" borderId="18" xfId="0" applyFont="1" applyBorder="1" applyAlignment="1">
      <alignment wrapText="1"/>
    </xf>
    <xf numFmtId="0" fontId="24" fillId="10" borderId="18" xfId="0" applyFont="1" applyFill="1" applyBorder="1" applyAlignment="1">
      <alignment horizontal="left"/>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2" fontId="24" fillId="0" borderId="16" xfId="0" applyNumberFormat="1" applyFont="1" applyFill="1" applyBorder="1" applyAlignment="1">
      <alignment wrapText="1"/>
    </xf>
    <xf numFmtId="0" fontId="24" fillId="4" borderId="8" xfId="8" applyFont="1" applyFill="1" applyBorder="1" applyAlignment="1">
      <alignment horizontal="left" vertical="center" wrapText="1"/>
    </xf>
    <xf numFmtId="0" fontId="24" fillId="4" borderId="9" xfId="8" applyFont="1" applyFill="1" applyBorder="1" applyAlignment="1">
      <alignment horizontal="left" vertical="center" wrapText="1"/>
    </xf>
    <xf numFmtId="0" fontId="24" fillId="4" borderId="9" xfId="8" applyFont="1" applyFill="1" applyBorder="1" applyAlignment="1">
      <alignment horizontal="center"/>
    </xf>
    <xf numFmtId="0" fontId="24" fillId="0" borderId="0" xfId="0" applyFont="1" applyAlignment="1">
      <alignment vertical="center"/>
    </xf>
    <xf numFmtId="0" fontId="24" fillId="4" borderId="4" xfId="8" applyFont="1" applyFill="1" applyBorder="1" applyAlignment="1">
      <alignment horizontal="left" vertical="center"/>
    </xf>
    <xf numFmtId="0" fontId="24" fillId="4" borderId="9" xfId="8" applyFont="1" applyFill="1" applyBorder="1" applyAlignment="1">
      <alignment horizontal="left" vertical="center"/>
    </xf>
    <xf numFmtId="0" fontId="24" fillId="4" borderId="14" xfId="8" applyFont="1" applyFill="1" applyBorder="1" applyAlignment="1">
      <alignment horizontal="left" vertical="center"/>
    </xf>
    <xf numFmtId="0" fontId="24" fillId="0" borderId="18" xfId="8" applyFont="1" applyFill="1" applyBorder="1" applyAlignment="1">
      <alignment wrapText="1"/>
    </xf>
    <xf numFmtId="0" fontId="24" fillId="0" borderId="9" xfId="8" applyFont="1" applyFill="1" applyBorder="1" applyAlignment="1">
      <alignment wrapText="1"/>
    </xf>
    <xf numFmtId="165" fontId="24" fillId="0" borderId="23" xfId="0" applyNumberFormat="1" applyFont="1" applyFill="1" applyBorder="1" applyAlignment="1">
      <alignment horizontal="left" vertical="center" wrapText="1"/>
    </xf>
    <xf numFmtId="0" fontId="24" fillId="0" borderId="9" xfId="8" applyFont="1" applyFill="1" applyBorder="1" applyAlignment="1">
      <alignment horizontal="left" vertical="center" wrapText="1"/>
    </xf>
    <xf numFmtId="165" fontId="53" fillId="0" borderId="16" xfId="0" applyNumberFormat="1" applyFont="1" applyFill="1" applyBorder="1" applyAlignment="1">
      <alignment horizontal="center" vertical="center" wrapText="1"/>
    </xf>
    <xf numFmtId="171" fontId="53" fillId="0" borderId="16" xfId="0" applyNumberFormat="1" applyFont="1" applyFill="1" applyBorder="1" applyAlignment="1">
      <alignment horizontal="center" vertical="center" wrapText="1"/>
    </xf>
    <xf numFmtId="0" fontId="24" fillId="15" borderId="9" xfId="0" applyFont="1" applyFill="1" applyBorder="1" applyAlignment="1">
      <alignment horizontal="center" vertical="center" wrapText="1"/>
    </xf>
    <xf numFmtId="0" fontId="24" fillId="0" borderId="9" xfId="0" applyFont="1" applyFill="1" applyBorder="1" applyAlignment="1"/>
    <xf numFmtId="0" fontId="24" fillId="11" borderId="19" xfId="5" applyFont="1" applyFill="1" applyBorder="1" applyAlignment="1">
      <alignment horizontal="left" vertical="center" wrapText="1"/>
    </xf>
    <xf numFmtId="0" fontId="24" fillId="0" borderId="26" xfId="0" applyFont="1" applyBorder="1" applyAlignment="1">
      <alignment horizontal="center" vertical="center" wrapText="1"/>
    </xf>
    <xf numFmtId="165" fontId="24" fillId="0" borderId="9" xfId="8" applyNumberFormat="1" applyFont="1" applyFill="1" applyBorder="1" applyAlignment="1">
      <alignment horizontal="left" vertical="center"/>
    </xf>
    <xf numFmtId="165" fontId="24" fillId="0" borderId="9" xfId="0" applyNumberFormat="1" applyFont="1" applyFill="1" applyBorder="1" applyAlignment="1">
      <alignment horizontal="left" vertical="center" wrapText="1"/>
    </xf>
    <xf numFmtId="0" fontId="29" fillId="0" borderId="9" xfId="8" applyFont="1" applyBorder="1" applyAlignment="1">
      <alignment horizontal="left" vertical="center" wrapText="1"/>
    </xf>
    <xf numFmtId="0" fontId="29" fillId="0" borderId="9" xfId="8" applyFont="1" applyFill="1" applyBorder="1" applyAlignment="1">
      <alignment wrapText="1"/>
    </xf>
    <xf numFmtId="0" fontId="24" fillId="0" borderId="9" xfId="0" applyFont="1" applyFill="1" applyBorder="1" applyAlignment="1">
      <alignment horizontal="left"/>
    </xf>
    <xf numFmtId="0" fontId="24" fillId="11" borderId="9" xfId="5" applyFont="1" applyFill="1" applyBorder="1" applyAlignment="1">
      <alignment horizontal="center" vertical="center" wrapText="1"/>
    </xf>
    <xf numFmtId="0" fontId="24" fillId="0" borderId="23" xfId="0" applyFont="1" applyBorder="1" applyAlignment="1">
      <alignment horizontal="center" vertical="center" wrapText="1"/>
    </xf>
    <xf numFmtId="0" fontId="1" fillId="0" borderId="23" xfId="0" applyFont="1" applyFill="1" applyBorder="1" applyAlignment="1">
      <alignment horizontal="left" vertical="center" wrapText="1"/>
    </xf>
    <xf numFmtId="0" fontId="24" fillId="4" borderId="9" xfId="8" applyFont="1" applyFill="1" applyBorder="1" applyAlignment="1">
      <alignment wrapText="1"/>
    </xf>
    <xf numFmtId="0" fontId="24" fillId="0" borderId="9" xfId="8" applyFont="1" applyBorder="1" applyAlignment="1"/>
    <xf numFmtId="0" fontId="24" fillId="0" borderId="9" xfId="8" applyFont="1" applyBorder="1" applyAlignment="1">
      <alignment wrapText="1"/>
    </xf>
    <xf numFmtId="0" fontId="24" fillId="0" borderId="9" xfId="8" applyFont="1" applyFill="1" applyBorder="1" applyAlignment="1"/>
    <xf numFmtId="165" fontId="24" fillId="0" borderId="9" xfId="13" applyNumberFormat="1" applyFont="1" applyFill="1" applyBorder="1" applyAlignment="1">
      <alignment vertical="center" wrapText="1"/>
    </xf>
    <xf numFmtId="0" fontId="24" fillId="0" borderId="19" xfId="8" applyFont="1" applyBorder="1" applyAlignment="1">
      <alignment horizontal="left" vertical="center" wrapText="1"/>
    </xf>
    <xf numFmtId="0" fontId="24" fillId="11" borderId="9" xfId="0" applyFont="1" applyFill="1" applyBorder="1" applyAlignment="1">
      <alignment vertical="center" wrapText="1"/>
    </xf>
    <xf numFmtId="0" fontId="24" fillId="0" borderId="19" xfId="8" applyFont="1" applyFill="1" applyBorder="1" applyAlignment="1">
      <alignment horizontal="left" vertical="center"/>
    </xf>
    <xf numFmtId="0" fontId="56" fillId="0" borderId="19" xfId="8" applyFont="1" applyBorder="1" applyAlignment="1">
      <alignment horizontal="left" vertical="center"/>
    </xf>
    <xf numFmtId="0" fontId="1" fillId="0" borderId="9" xfId="0" applyFont="1" applyFill="1" applyBorder="1" applyAlignment="1">
      <alignment horizontal="left" vertical="center" wrapText="1"/>
    </xf>
    <xf numFmtId="0" fontId="24" fillId="0" borderId="23" xfId="0" applyFont="1" applyFill="1" applyBorder="1" applyAlignment="1">
      <alignment horizontal="center" vertical="center" wrapText="1"/>
    </xf>
    <xf numFmtId="0" fontId="24" fillId="0" borderId="19" xfId="8" applyFont="1" applyFill="1" applyBorder="1" applyAlignment="1">
      <alignment horizontal="left" vertical="center" wrapText="1"/>
    </xf>
    <xf numFmtId="165" fontId="0" fillId="0" borderId="9" xfId="0" applyNumberFormat="1" applyFont="1" applyFill="1" applyBorder="1" applyAlignment="1">
      <alignment horizontal="left" vertical="center" wrapText="1"/>
    </xf>
    <xf numFmtId="0" fontId="0" fillId="0" borderId="9" xfId="0" applyFont="1" applyFill="1" applyBorder="1" applyAlignment="1">
      <alignment horizontal="left" vertical="center" wrapText="1"/>
    </xf>
    <xf numFmtId="0" fontId="24" fillId="11" borderId="21" xfId="0" applyFont="1" applyFill="1" applyBorder="1" applyAlignment="1">
      <alignment horizontal="center" vertical="center" wrapText="1"/>
    </xf>
    <xf numFmtId="165" fontId="1" fillId="0" borderId="23" xfId="13" applyNumberFormat="1" applyFont="1" applyFill="1" applyBorder="1" applyAlignment="1">
      <alignment horizontal="left" vertical="center" wrapText="1"/>
    </xf>
    <xf numFmtId="165" fontId="24" fillId="0" borderId="19" xfId="13" applyNumberFormat="1" applyFont="1" applyFill="1" applyBorder="1" applyAlignment="1">
      <alignment horizontal="left" vertical="center" wrapText="1"/>
    </xf>
    <xf numFmtId="165" fontId="24" fillId="0" borderId="9" xfId="13" applyNumberFormat="1" applyFont="1" applyFill="1" applyBorder="1" applyAlignment="1">
      <alignment horizontal="center" vertical="center" wrapText="1"/>
    </xf>
    <xf numFmtId="165" fontId="1" fillId="0" borderId="9" xfId="13" applyNumberFormat="1" applyFont="1" applyFill="1" applyBorder="1" applyAlignment="1">
      <alignment horizontal="left" vertical="center" wrapText="1"/>
    </xf>
    <xf numFmtId="0" fontId="24" fillId="0" borderId="9" xfId="8" applyFont="1" applyFill="1" applyBorder="1" applyAlignment="1">
      <alignment horizontal="left" vertical="center"/>
    </xf>
    <xf numFmtId="0" fontId="0" fillId="0" borderId="19" xfId="8" applyFont="1" applyBorder="1" applyAlignment="1">
      <alignment horizontal="left" vertical="center" wrapText="1"/>
    </xf>
    <xf numFmtId="0" fontId="24" fillId="0" borderId="0" xfId="0" applyFont="1" applyAlignment="1">
      <alignment wrapText="1"/>
    </xf>
    <xf numFmtId="0" fontId="52" fillId="4" borderId="19" xfId="8" applyFont="1" applyFill="1" applyBorder="1" applyAlignment="1">
      <alignment horizontal="left" vertical="center"/>
    </xf>
    <xf numFmtId="0" fontId="56" fillId="0" borderId="19" xfId="8" applyFont="1" applyFill="1" applyBorder="1" applyAlignment="1">
      <alignment horizontal="left" vertical="center"/>
    </xf>
    <xf numFmtId="0" fontId="52" fillId="0" borderId="19" xfId="8" applyFont="1" applyBorder="1" applyAlignment="1">
      <alignment horizontal="left" vertical="center"/>
    </xf>
    <xf numFmtId="0" fontId="24" fillId="0" borderId="19" xfId="8" applyFont="1" applyBorder="1" applyAlignment="1"/>
    <xf numFmtId="0" fontId="24" fillId="0" borderId="0" xfId="8" applyFont="1" applyBorder="1" applyAlignment="1">
      <alignment horizontal="left" vertical="center" wrapText="1"/>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27"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8" xfId="0" applyFont="1" applyBorder="1" applyAlignment="1">
      <alignment horizontal="center" vertical="center" wrapText="1"/>
    </xf>
    <xf numFmtId="168" fontId="24" fillId="0" borderId="33" xfId="5" applyNumberFormat="1" applyFont="1" applyFill="1" applyBorder="1" applyAlignment="1">
      <alignment horizontal="left" vertical="center"/>
    </xf>
    <xf numFmtId="0" fontId="4" fillId="0" borderId="9" xfId="0" applyFont="1" applyFill="1" applyBorder="1" applyAlignment="1"/>
    <xf numFmtId="0" fontId="0" fillId="0" borderId="0" xfId="0" applyAlignment="1">
      <alignment vertical="center"/>
    </xf>
    <xf numFmtId="165" fontId="1" fillId="0" borderId="33" xfId="13" applyNumberFormat="1" applyFont="1" applyFill="1" applyBorder="1" applyAlignment="1">
      <alignment horizontal="left" vertical="center" wrapText="1"/>
    </xf>
    <xf numFmtId="165" fontId="24" fillId="0" borderId="9" xfId="6" applyNumberFormat="1" applyFont="1" applyFill="1" applyBorder="1" applyAlignment="1">
      <alignment vertical="center" wrapText="1"/>
    </xf>
    <xf numFmtId="0" fontId="24" fillId="11" borderId="9" xfId="0" applyFont="1" applyFill="1" applyBorder="1" applyAlignment="1">
      <alignment horizontal="left" vertical="center" wrapText="1"/>
    </xf>
    <xf numFmtId="3" fontId="24" fillId="0" borderId="9" xfId="0" applyNumberFormat="1" applyFont="1" applyBorder="1" applyAlignment="1">
      <alignment horizontal="left" vertical="center" wrapText="1"/>
    </xf>
    <xf numFmtId="168" fontId="24" fillId="0" borderId="9" xfId="5" applyNumberFormat="1" applyFont="1" applyBorder="1" applyAlignment="1">
      <alignment vertical="top" wrapText="1"/>
    </xf>
    <xf numFmtId="0" fontId="29" fillId="4" borderId="9" xfId="8" applyFont="1" applyFill="1" applyBorder="1" applyAlignment="1">
      <alignment horizontal="left" vertical="center"/>
    </xf>
    <xf numFmtId="0" fontId="29" fillId="4" borderId="9" xfId="8" applyFont="1" applyFill="1" applyBorder="1" applyAlignment="1">
      <alignment horizontal="left"/>
    </xf>
    <xf numFmtId="0" fontId="74" fillId="4" borderId="9" xfId="8" applyFont="1" applyFill="1" applyBorder="1" applyAlignment="1">
      <alignment horizontal="left" vertical="center"/>
    </xf>
    <xf numFmtId="0" fontId="42" fillId="4" borderId="9" xfId="8" applyFont="1" applyFill="1" applyBorder="1" applyAlignment="1">
      <alignment horizontal="left" vertical="center"/>
    </xf>
    <xf numFmtId="0" fontId="42" fillId="0" borderId="19" xfId="8" applyFont="1" applyBorder="1" applyAlignment="1">
      <alignment horizontal="left" vertical="center"/>
    </xf>
    <xf numFmtId="165" fontId="52" fillId="0" borderId="9" xfId="8" applyNumberFormat="1" applyFont="1" applyBorder="1" applyAlignment="1">
      <alignment horizontal="left" vertical="center"/>
    </xf>
    <xf numFmtId="0" fontId="52" fillId="0" borderId="9" xfId="8" applyFont="1" applyBorder="1" applyAlignment="1">
      <alignment horizontal="left" vertical="center"/>
    </xf>
    <xf numFmtId="0" fontId="24" fillId="0" borderId="9" xfId="0" applyFont="1" applyBorder="1" applyAlignment="1">
      <alignment horizontal="left"/>
    </xf>
    <xf numFmtId="0" fontId="24" fillId="0" borderId="0" xfId="0" applyFont="1" applyAlignment="1">
      <alignment horizontal="left" wrapText="1"/>
    </xf>
    <xf numFmtId="0" fontId="44" fillId="6" borderId="0" xfId="0" applyFont="1" applyFill="1" applyAlignment="1">
      <alignment horizontal="center"/>
    </xf>
    <xf numFmtId="0" fontId="24" fillId="11" borderId="20" xfId="5" applyFont="1" applyFill="1" applyBorder="1" applyAlignment="1">
      <alignment horizontal="center" vertical="center" wrapText="1"/>
    </xf>
    <xf numFmtId="0" fontId="4" fillId="0" borderId="25" xfId="0" applyFont="1" applyFill="1" applyBorder="1" applyAlignment="1">
      <alignment vertical="top" wrapText="1"/>
    </xf>
    <xf numFmtId="0" fontId="24" fillId="11" borderId="14" xfId="0" applyFont="1" applyFill="1" applyBorder="1" applyAlignment="1">
      <alignment horizontal="center" vertical="center" wrapText="1"/>
    </xf>
    <xf numFmtId="0" fontId="4" fillId="4" borderId="10" xfId="0" applyFont="1" applyFill="1" applyBorder="1"/>
    <xf numFmtId="0" fontId="4" fillId="16" borderId="45" xfId="0" applyFont="1" applyFill="1" applyBorder="1" applyAlignment="1">
      <alignment horizontal="left" vertical="top" wrapText="1"/>
    </xf>
    <xf numFmtId="1" fontId="4" fillId="4" borderId="53" xfId="0" applyNumberFormat="1" applyFont="1" applyFill="1" applyBorder="1" applyAlignment="1">
      <alignment horizontal="left"/>
    </xf>
    <xf numFmtId="0" fontId="4" fillId="0" borderId="9" xfId="13" applyFont="1" applyBorder="1" applyAlignment="1">
      <alignment horizontal="center"/>
    </xf>
    <xf numFmtId="0" fontId="4" fillId="11" borderId="9" xfId="0" applyFont="1" applyFill="1" applyBorder="1" applyAlignment="1">
      <alignment horizontal="left" vertical="center" wrapText="1"/>
    </xf>
    <xf numFmtId="0" fontId="4" fillId="12" borderId="9" xfId="0" applyFont="1" applyFill="1" applyBorder="1" applyAlignment="1">
      <alignment horizontal="center" vertical="center" wrapText="1"/>
    </xf>
    <xf numFmtId="0" fontId="4" fillId="4" borderId="9" xfId="0" applyNumberFormat="1" applyFont="1" applyFill="1" applyBorder="1" applyAlignment="1">
      <alignment horizontal="center"/>
    </xf>
    <xf numFmtId="0" fontId="4" fillId="4" borderId="14" xfId="0" applyNumberFormat="1" applyFont="1" applyFill="1" applyBorder="1" applyAlignment="1">
      <alignment horizontal="center"/>
    </xf>
    <xf numFmtId="0" fontId="4" fillId="4" borderId="4" xfId="0" applyNumberFormat="1" applyFont="1" applyFill="1" applyBorder="1" applyAlignment="1">
      <alignment horizontal="center"/>
    </xf>
    <xf numFmtId="0" fontId="24" fillId="0" borderId="0" xfId="0" applyFont="1" applyBorder="1" applyAlignment="1">
      <alignment wrapText="1"/>
    </xf>
    <xf numFmtId="165" fontId="4" fillId="0" borderId="9" xfId="6" applyNumberFormat="1" applyFont="1" applyFill="1" applyBorder="1" applyAlignment="1">
      <alignment horizontal="left" vertical="center" wrapText="1"/>
    </xf>
    <xf numFmtId="0" fontId="24" fillId="4" borderId="9" xfId="0" applyFont="1" applyFill="1" applyBorder="1" applyAlignment="1">
      <alignment horizontal="center" vertical="center" wrapText="1"/>
    </xf>
    <xf numFmtId="0" fontId="97" fillId="0" borderId="0" xfId="0" applyFont="1" applyAlignment="1">
      <alignment horizontal="left"/>
    </xf>
    <xf numFmtId="43" fontId="4" fillId="0" borderId="0" xfId="1" applyFont="1" applyAlignment="1">
      <alignment horizontal="left"/>
    </xf>
    <xf numFmtId="168" fontId="4" fillId="0" borderId="0" xfId="1" applyNumberFormat="1" applyFont="1"/>
    <xf numFmtId="43" fontId="4" fillId="0" borderId="0" xfId="1" applyNumberFormat="1" applyFont="1"/>
    <xf numFmtId="165" fontId="24" fillId="0" borderId="33" xfId="0" applyNumberFormat="1" applyFont="1" applyFill="1" applyBorder="1" applyAlignment="1">
      <alignment horizontal="center" vertical="center" wrapText="1"/>
    </xf>
    <xf numFmtId="165" fontId="24" fillId="0" borderId="4" xfId="0" applyNumberFormat="1" applyFont="1" applyFill="1" applyBorder="1" applyAlignment="1">
      <alignment horizontal="center"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0" borderId="18" xfId="0" applyFont="1" applyFill="1" applyBorder="1" applyAlignment="1">
      <alignment horizontal="left"/>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11" borderId="9" xfId="5" applyFont="1" applyFill="1" applyBorder="1" applyAlignment="1">
      <alignment horizontal="center" vertical="center" wrapText="1"/>
    </xf>
    <xf numFmtId="178" fontId="4" fillId="0" borderId="9" xfId="0" applyNumberFormat="1" applyFont="1" applyBorder="1"/>
    <xf numFmtId="0" fontId="100" fillId="4" borderId="9" xfId="0" applyFont="1" applyFill="1" applyBorder="1" applyAlignment="1">
      <alignment horizontal="left" vertical="center" wrapText="1"/>
    </xf>
    <xf numFmtId="0" fontId="100" fillId="0" borderId="9" xfId="0" applyFont="1" applyBorder="1" applyAlignment="1">
      <alignment horizontal="left" vertical="center" wrapText="1"/>
    </xf>
    <xf numFmtId="0" fontId="100" fillId="0" borderId="9" xfId="0" applyFont="1" applyBorder="1" applyAlignment="1">
      <alignment horizontal="center" vertical="center" wrapText="1"/>
    </xf>
    <xf numFmtId="3" fontId="100" fillId="0" borderId="9" xfId="0" applyNumberFormat="1" applyFont="1" applyBorder="1" applyAlignment="1">
      <alignment horizontal="left" vertical="center" wrapText="1"/>
    </xf>
    <xf numFmtId="0" fontId="100" fillId="0" borderId="9" xfId="0" applyFont="1" applyFill="1" applyBorder="1" applyAlignment="1">
      <alignment horizontal="center" vertical="center" wrapText="1"/>
    </xf>
    <xf numFmtId="165" fontId="100" fillId="0" borderId="9" xfId="0" applyNumberFormat="1" applyFont="1" applyBorder="1" applyAlignment="1">
      <alignment horizontal="center" vertical="center" wrapText="1"/>
    </xf>
    <xf numFmtId="3" fontId="100" fillId="0" borderId="9" xfId="0" applyNumberFormat="1" applyFont="1" applyBorder="1" applyAlignment="1">
      <alignment horizontal="center" vertical="center" wrapText="1"/>
    </xf>
    <xf numFmtId="9" fontId="100" fillId="0" borderId="9" xfId="0" applyNumberFormat="1" applyFont="1" applyFill="1" applyBorder="1" applyAlignment="1">
      <alignment horizontal="left" vertical="center" wrapText="1"/>
    </xf>
    <xf numFmtId="9" fontId="4" fillId="4" borderId="45" xfId="3" applyFont="1" applyFill="1" applyBorder="1"/>
    <xf numFmtId="9" fontId="4" fillId="4" borderId="10" xfId="3" applyFont="1" applyFill="1" applyBorder="1"/>
    <xf numFmtId="7" fontId="24" fillId="0" borderId="19" xfId="2" applyNumberFormat="1" applyFont="1" applyFill="1" applyBorder="1" applyAlignment="1">
      <alignment horizontal="center" vertical="center" wrapText="1"/>
    </xf>
    <xf numFmtId="7" fontId="24" fillId="0" borderId="14" xfId="2" applyNumberFormat="1" applyFont="1" applyFill="1" applyBorder="1" applyAlignment="1">
      <alignment horizontal="center" vertical="center" wrapText="1"/>
    </xf>
    <xf numFmtId="2" fontId="24" fillId="4" borderId="14" xfId="0" applyNumberFormat="1" applyFont="1" applyFill="1" applyBorder="1"/>
    <xf numFmtId="7" fontId="24" fillId="4" borderId="23" xfId="2" applyNumberFormat="1" applyFont="1" applyFill="1" applyBorder="1" applyAlignment="1">
      <alignment horizontal="center" vertical="center" wrapText="1"/>
    </xf>
    <xf numFmtId="7" fontId="4" fillId="0" borderId="23" xfId="2" applyNumberFormat="1" applyFont="1" applyBorder="1" applyAlignment="1">
      <alignment horizontal="center" vertical="center" wrapText="1"/>
    </xf>
    <xf numFmtId="7" fontId="4" fillId="4" borderId="23" xfId="2" applyNumberFormat="1" applyFont="1" applyFill="1" applyBorder="1" applyAlignment="1">
      <alignment horizontal="center" vertical="center" wrapText="1"/>
    </xf>
    <xf numFmtId="170" fontId="4" fillId="4" borderId="14" xfId="1" applyNumberFormat="1" applyFont="1" applyFill="1" applyBorder="1" applyAlignment="1">
      <alignment horizontal="left" vertical="top" wrapText="1"/>
    </xf>
    <xf numFmtId="7" fontId="4" fillId="0" borderId="9" xfId="2" applyNumberFormat="1" applyFont="1" applyFill="1" applyBorder="1" applyAlignment="1">
      <alignment horizontal="center" vertical="center" wrapText="1"/>
    </xf>
    <xf numFmtId="43" fontId="24" fillId="4" borderId="9" xfId="1" applyFont="1" applyFill="1" applyBorder="1" applyAlignment="1">
      <alignment horizontal="left" vertical="top" wrapText="1"/>
    </xf>
    <xf numFmtId="170" fontId="4" fillId="0" borderId="9" xfId="1" applyNumberFormat="1" applyFont="1" applyFill="1" applyBorder="1" applyAlignment="1">
      <alignment horizontal="center" vertical="center" wrapText="1"/>
    </xf>
    <xf numFmtId="0" fontId="4" fillId="0" borderId="4" xfId="0" applyFont="1" applyFill="1" applyBorder="1" applyAlignment="1">
      <alignment vertical="top" wrapText="1"/>
    </xf>
    <xf numFmtId="0" fontId="4" fillId="0" borderId="16" xfId="0" applyFont="1" applyFill="1" applyBorder="1" applyAlignment="1">
      <alignment vertical="top" wrapText="1"/>
    </xf>
    <xf numFmtId="0" fontId="24" fillId="0" borderId="16" xfId="0" applyFont="1" applyFill="1" applyBorder="1" applyAlignment="1">
      <alignment vertical="top" wrapText="1"/>
    </xf>
    <xf numFmtId="0" fontId="24" fillId="0" borderId="60" xfId="0" applyFont="1" applyFill="1" applyBorder="1" applyAlignment="1">
      <alignment vertical="top" wrapText="1"/>
    </xf>
    <xf numFmtId="0" fontId="4" fillId="0" borderId="9" xfId="0" applyFont="1" applyFill="1" applyBorder="1" applyAlignment="1">
      <alignment vertical="top" wrapText="1"/>
    </xf>
    <xf numFmtId="0" fontId="24" fillId="0" borderId="9" xfId="0" applyFont="1" applyFill="1" applyBorder="1" applyAlignment="1">
      <alignment vertical="top" wrapText="1"/>
    </xf>
    <xf numFmtId="0" fontId="24" fillId="0" borderId="23" xfId="0" applyFont="1" applyFill="1" applyBorder="1" applyAlignment="1">
      <alignment vertical="top" wrapText="1"/>
    </xf>
    <xf numFmtId="0" fontId="24" fillId="0" borderId="19" xfId="0" applyFont="1" applyFill="1" applyBorder="1" applyAlignment="1">
      <alignment vertical="top" wrapText="1"/>
    </xf>
    <xf numFmtId="0" fontId="24" fillId="0" borderId="14" xfId="0" applyFont="1" applyFill="1" applyBorder="1" applyAlignment="1">
      <alignment vertical="top" wrapText="1"/>
    </xf>
    <xf numFmtId="7" fontId="24" fillId="4" borderId="26" xfId="2" applyNumberFormat="1" applyFont="1" applyFill="1" applyBorder="1" applyAlignment="1">
      <alignment horizontal="center" vertical="center" wrapText="1"/>
    </xf>
    <xf numFmtId="7" fontId="24" fillId="4" borderId="18" xfId="2" applyNumberFormat="1" applyFont="1" applyFill="1" applyBorder="1" applyAlignment="1">
      <alignment horizontal="center" vertical="center" wrapText="1"/>
    </xf>
    <xf numFmtId="7" fontId="24" fillId="4" borderId="21" xfId="2" applyNumberFormat="1" applyFont="1" applyFill="1" applyBorder="1" applyAlignment="1">
      <alignment horizontal="center" vertical="center" wrapText="1"/>
    </xf>
    <xf numFmtId="7" fontId="4" fillId="4" borderId="19" xfId="2" applyNumberFormat="1" applyFont="1" applyFill="1" applyBorder="1" applyAlignment="1">
      <alignment horizontal="center" vertical="center" wrapText="1"/>
    </xf>
    <xf numFmtId="7" fontId="24" fillId="4" borderId="19" xfId="2" applyNumberFormat="1" applyFont="1" applyFill="1" applyBorder="1" applyAlignment="1">
      <alignment horizontal="center" vertical="center" wrapText="1"/>
    </xf>
    <xf numFmtId="0" fontId="4" fillId="0" borderId="9" xfId="5" applyNumberFormat="1" applyFont="1" applyFill="1" applyBorder="1"/>
    <xf numFmtId="168" fontId="4" fillId="0" borderId="9" xfId="5" applyNumberFormat="1" applyFont="1" applyFill="1" applyBorder="1" applyAlignment="1">
      <alignment horizontal="center"/>
    </xf>
    <xf numFmtId="168" fontId="4" fillId="0" borderId="9" xfId="5" applyNumberFormat="1" applyFont="1" applyFill="1" applyBorder="1" applyAlignment="1">
      <alignment wrapText="1"/>
    </xf>
    <xf numFmtId="166" fontId="4" fillId="0" borderId="9" xfId="5" applyNumberFormat="1" applyFont="1" applyFill="1" applyBorder="1" applyAlignment="1">
      <alignment horizontal="center"/>
    </xf>
    <xf numFmtId="169" fontId="4" fillId="0" borderId="9" xfId="5" applyNumberFormat="1" applyFont="1" applyFill="1" applyBorder="1" applyAlignment="1">
      <alignment horizontal="center"/>
    </xf>
    <xf numFmtId="165" fontId="4" fillId="0" borderId="9" xfId="6" applyNumberFormat="1" applyFont="1" applyFill="1" applyBorder="1" applyAlignment="1">
      <alignment horizontal="left" vertical="center" wrapText="1" indent="3"/>
    </xf>
    <xf numFmtId="0" fontId="0" fillId="0" borderId="0" xfId="0" applyFont="1" applyFill="1" applyBorder="1" applyAlignment="1">
      <alignment horizontal="center"/>
    </xf>
    <xf numFmtId="168" fontId="4" fillId="0" borderId="9" xfId="5" applyNumberFormat="1" applyFont="1" applyFill="1" applyBorder="1" applyAlignment="1">
      <alignment horizontal="left" vertical="center"/>
    </xf>
    <xf numFmtId="2" fontId="4" fillId="7" borderId="9" xfId="0" applyNumberFormat="1" applyFont="1" applyFill="1" applyBorder="1" applyAlignment="1">
      <alignment horizontal="center"/>
    </xf>
    <xf numFmtId="37" fontId="4" fillId="7" borderId="9" xfId="1" applyNumberFormat="1" applyFont="1" applyFill="1" applyBorder="1" applyAlignment="1">
      <alignment horizontal="center"/>
    </xf>
    <xf numFmtId="170" fontId="4" fillId="13" borderId="9" xfId="5" applyNumberFormat="1" applyFont="1" applyFill="1" applyBorder="1" applyAlignment="1">
      <alignment horizontal="center"/>
    </xf>
    <xf numFmtId="0" fontId="4" fillId="11" borderId="9" xfId="5" applyFont="1" applyFill="1" applyBorder="1" applyAlignment="1">
      <alignment horizontal="center" vertical="center" wrapText="1"/>
    </xf>
    <xf numFmtId="180" fontId="4" fillId="7" borderId="9" xfId="0" applyNumberFormat="1" applyFont="1" applyFill="1" applyBorder="1" applyAlignment="1">
      <alignment horizontal="center"/>
    </xf>
    <xf numFmtId="0" fontId="4" fillId="11" borderId="98" xfId="5" applyFont="1" applyFill="1" applyBorder="1" applyAlignment="1">
      <alignment horizontal="center" vertical="center" wrapText="1"/>
    </xf>
    <xf numFmtId="0" fontId="25" fillId="0" borderId="98" xfId="6" applyFont="1" applyBorder="1"/>
    <xf numFmtId="172" fontId="25" fillId="0" borderId="98" xfId="6" applyNumberFormat="1" applyFont="1" applyBorder="1"/>
    <xf numFmtId="172" fontId="114" fillId="0" borderId="98" xfId="0" applyNumberFormat="1" applyFont="1" applyBorder="1"/>
    <xf numFmtId="0" fontId="39" fillId="0" borderId="98" xfId="6" applyFont="1" applyBorder="1"/>
    <xf numFmtId="0" fontId="25" fillId="0" borderId="98" xfId="6" applyFont="1" applyBorder="1" applyAlignment="1">
      <alignment horizontal="right"/>
    </xf>
    <xf numFmtId="172" fontId="25" fillId="0" borderId="98" xfId="3" applyNumberFormat="1" applyFont="1" applyBorder="1"/>
    <xf numFmtId="168" fontId="4" fillId="4" borderId="9" xfId="5" applyNumberFormat="1" applyFont="1" applyFill="1" applyBorder="1" applyAlignment="1">
      <alignment horizontal="left" vertical="center"/>
    </xf>
    <xf numFmtId="168" fontId="4" fillId="0" borderId="9" xfId="5" applyNumberFormat="1" applyFont="1" applyBorder="1" applyAlignment="1">
      <alignment horizontal="center"/>
    </xf>
    <xf numFmtId="168" fontId="4" fillId="0" borderId="9" xfId="5" applyNumberFormat="1" applyFont="1" applyBorder="1"/>
    <xf numFmtId="0" fontId="4" fillId="0" borderId="9" xfId="5" applyNumberFormat="1" applyFont="1" applyFill="1" applyBorder="1" applyAlignment="1">
      <alignment horizontal="center"/>
    </xf>
    <xf numFmtId="171" fontId="4" fillId="7" borderId="9" xfId="5" applyNumberFormat="1" applyFont="1" applyFill="1" applyBorder="1" applyAlignment="1">
      <alignment horizontal="center"/>
    </xf>
    <xf numFmtId="165" fontId="4" fillId="4" borderId="9" xfId="6" applyNumberFormat="1" applyFont="1" applyFill="1" applyBorder="1" applyAlignment="1">
      <alignment horizontal="left" vertical="center" wrapText="1" indent="3"/>
    </xf>
    <xf numFmtId="0" fontId="4" fillId="0" borderId="0" xfId="5" applyFont="1"/>
    <xf numFmtId="168" fontId="4" fillId="4" borderId="9" xfId="5" applyNumberFormat="1" applyFont="1" applyFill="1" applyBorder="1" applyAlignment="1">
      <alignment horizontal="center" vertical="center"/>
    </xf>
    <xf numFmtId="0" fontId="4" fillId="11" borderId="9" xfId="6" applyFont="1" applyFill="1" applyBorder="1" applyAlignment="1">
      <alignment horizontal="center" vertical="center" wrapText="1"/>
    </xf>
    <xf numFmtId="166" fontId="4" fillId="11" borderId="9" xfId="5" applyNumberFormat="1" applyFont="1" applyFill="1" applyBorder="1" applyAlignment="1">
      <alignment horizontal="center" vertical="center" wrapText="1"/>
    </xf>
    <xf numFmtId="0" fontId="4" fillId="15" borderId="9" xfId="5" applyFont="1" applyFill="1" applyBorder="1" applyAlignment="1">
      <alignment horizontal="center" vertical="center" wrapText="1"/>
    </xf>
    <xf numFmtId="189" fontId="4" fillId="7" borderId="9" xfId="5" applyNumberFormat="1" applyFont="1" applyFill="1" applyBorder="1" applyAlignment="1">
      <alignment horizontal="center"/>
    </xf>
    <xf numFmtId="180" fontId="4" fillId="7" borderId="9" xfId="3" applyNumberFormat="1" applyFont="1" applyFill="1" applyBorder="1" applyAlignment="1">
      <alignment horizontal="center"/>
    </xf>
    <xf numFmtId="37" fontId="4" fillId="7" borderId="9" xfId="5" applyNumberFormat="1" applyFont="1" applyFill="1" applyBorder="1" applyAlignment="1">
      <alignment horizontal="center"/>
    </xf>
    <xf numFmtId="39" fontId="4" fillId="7" borderId="9" xfId="5" applyNumberFormat="1" applyFont="1" applyFill="1" applyBorder="1" applyAlignment="1">
      <alignment horizontal="center"/>
    </xf>
    <xf numFmtId="0" fontId="4" fillId="0" borderId="9" xfId="5" applyFont="1" applyFill="1" applyBorder="1" applyAlignment="1">
      <alignment horizontal="center"/>
    </xf>
    <xf numFmtId="168" fontId="4" fillId="0" borderId="9" xfId="5" applyNumberFormat="1" applyFont="1" applyFill="1" applyBorder="1"/>
    <xf numFmtId="1" fontId="4" fillId="0" borderId="9" xfId="6" applyNumberFormat="1" applyFont="1" applyFill="1" applyBorder="1" applyAlignment="1">
      <alignment horizontal="center" vertical="center" wrapText="1"/>
    </xf>
    <xf numFmtId="168" fontId="4" fillId="7" borderId="9" xfId="5" applyNumberFormat="1" applyFont="1" applyFill="1" applyBorder="1" applyAlignment="1">
      <alignment horizontal="center" vertical="center"/>
    </xf>
    <xf numFmtId="2" fontId="4" fillId="0" borderId="9" xfId="11" applyNumberFormat="1" applyFont="1" applyFill="1" applyBorder="1" applyAlignment="1">
      <alignment horizontal="center" vertical="center"/>
    </xf>
    <xf numFmtId="2" fontId="4" fillId="7" borderId="9" xfId="11" applyNumberFormat="1" applyFont="1" applyFill="1" applyBorder="1" applyAlignment="1">
      <alignment horizontal="center" vertical="center"/>
    </xf>
    <xf numFmtId="39" fontId="0" fillId="0" borderId="9" xfId="0" applyNumberFormat="1" applyFont="1" applyFill="1" applyBorder="1"/>
    <xf numFmtId="39" fontId="4" fillId="0" borderId="9" xfId="0" applyNumberFormat="1" applyFont="1" applyFill="1" applyBorder="1"/>
    <xf numFmtId="2" fontId="0" fillId="19" borderId="9" xfId="0" applyNumberFormat="1" applyFont="1" applyFill="1" applyBorder="1"/>
    <xf numFmtId="2" fontId="24" fillId="19" borderId="9" xfId="0" applyNumberFormat="1" applyFont="1" applyFill="1" applyBorder="1"/>
    <xf numFmtId="170" fontId="4" fillId="0" borderId="9" xfId="0" applyNumberFormat="1" applyFont="1" applyFill="1" applyBorder="1"/>
    <xf numFmtId="170" fontId="24" fillId="19" borderId="9" xfId="5" applyNumberFormat="1" applyFont="1" applyFill="1" applyBorder="1" applyAlignment="1">
      <alignment horizontal="center"/>
    </xf>
    <xf numFmtId="165" fontId="0" fillId="19" borderId="9" xfId="0" applyNumberFormat="1" applyFont="1" applyFill="1" applyBorder="1"/>
    <xf numFmtId="171" fontId="1" fillId="19" borderId="9" xfId="5" applyNumberFormat="1" applyFont="1" applyFill="1" applyBorder="1" applyAlignment="1">
      <alignment horizontal="center" vertical="center" wrapText="1"/>
    </xf>
    <xf numFmtId="171" fontId="0" fillId="19" borderId="9" xfId="0" applyNumberFormat="1" applyFont="1" applyFill="1" applyBorder="1"/>
    <xf numFmtId="170" fontId="0" fillId="0" borderId="9" xfId="0" applyNumberFormat="1" applyFont="1" applyFill="1" applyBorder="1" applyAlignment="1">
      <alignment horizontal="center"/>
    </xf>
    <xf numFmtId="165" fontId="24" fillId="19" borderId="9" xfId="0" applyNumberFormat="1" applyFont="1" applyFill="1" applyBorder="1" applyAlignment="1">
      <alignment horizontal="center"/>
    </xf>
    <xf numFmtId="165" fontId="0" fillId="19" borderId="9" xfId="0" applyNumberFormat="1" applyFont="1" applyFill="1" applyBorder="1" applyAlignment="1">
      <alignment horizontal="center"/>
    </xf>
    <xf numFmtId="39" fontId="0" fillId="0" borderId="9" xfId="0" applyNumberFormat="1" applyFont="1" applyFill="1" applyBorder="1" applyAlignment="1">
      <alignment horizontal="center"/>
    </xf>
    <xf numFmtId="37" fontId="0" fillId="19" borderId="9" xfId="1" applyNumberFormat="1" applyFont="1" applyFill="1" applyBorder="1" applyAlignment="1">
      <alignment horizontal="center"/>
    </xf>
    <xf numFmtId="37" fontId="24" fillId="19" borderId="9" xfId="1" applyNumberFormat="1" applyFont="1" applyFill="1" applyBorder="1" applyAlignment="1">
      <alignment horizontal="center"/>
    </xf>
    <xf numFmtId="168" fontId="4" fillId="4" borderId="9" xfId="0" applyNumberFormat="1" applyFont="1" applyFill="1" applyBorder="1" applyAlignment="1">
      <alignment horizontal="left" vertical="center" wrapText="1"/>
    </xf>
    <xf numFmtId="2" fontId="0" fillId="19" borderId="9" xfId="0" applyNumberFormat="1" applyFont="1" applyFill="1" applyBorder="1" applyAlignment="1">
      <alignment horizontal="center"/>
    </xf>
    <xf numFmtId="2" fontId="24" fillId="19" borderId="9" xfId="0" applyNumberFormat="1" applyFont="1" applyFill="1" applyBorder="1" applyAlignment="1">
      <alignment horizontal="center"/>
    </xf>
    <xf numFmtId="189" fontId="0" fillId="0" borderId="9" xfId="0" applyNumberFormat="1" applyFont="1" applyFill="1" applyBorder="1" applyAlignment="1">
      <alignment horizontal="center"/>
    </xf>
    <xf numFmtId="189" fontId="0" fillId="0" borderId="9" xfId="0" applyNumberFormat="1" applyFont="1" applyFill="1" applyBorder="1" applyAlignment="1">
      <alignment horizontal="right"/>
    </xf>
    <xf numFmtId="37" fontId="0" fillId="0" borderId="9" xfId="0" applyNumberFormat="1" applyFont="1" applyBorder="1"/>
    <xf numFmtId="170" fontId="0" fillId="0" borderId="9" xfId="0" applyNumberFormat="1" applyFont="1" applyBorder="1"/>
    <xf numFmtId="0" fontId="0" fillId="19" borderId="9" xfId="0" applyFont="1" applyFill="1" applyBorder="1"/>
    <xf numFmtId="170" fontId="4" fillId="19" borderId="9" xfId="5" applyNumberFormat="1" applyFont="1" applyFill="1" applyBorder="1" applyAlignment="1">
      <alignment horizontal="center"/>
    </xf>
    <xf numFmtId="170" fontId="0" fillId="19" borderId="9" xfId="0" applyNumberFormat="1" applyFont="1" applyFill="1" applyBorder="1" applyAlignment="1">
      <alignment horizontal="center"/>
    </xf>
    <xf numFmtId="0" fontId="4" fillId="4" borderId="9" xfId="0" applyNumberFormat="1" applyFont="1" applyFill="1" applyBorder="1" applyAlignment="1">
      <alignment horizontal="center" vertical="center" wrapText="1"/>
    </xf>
    <xf numFmtId="0" fontId="24" fillId="4" borderId="9" xfId="8" applyFont="1" applyFill="1" applyBorder="1" applyAlignment="1">
      <alignment horizontal="left"/>
    </xf>
    <xf numFmtId="165" fontId="115" fillId="0" borderId="8" xfId="0" applyNumberFormat="1" applyFont="1" applyFill="1" applyBorder="1" applyAlignment="1">
      <alignment horizontal="center" vertical="center" wrapText="1"/>
    </xf>
    <xf numFmtId="14" fontId="115" fillId="0" borderId="9" xfId="0" applyNumberFormat="1" applyFont="1" applyFill="1" applyBorder="1" applyAlignment="1">
      <alignment horizontal="center" vertical="center" wrapText="1"/>
    </xf>
    <xf numFmtId="165" fontId="115" fillId="0" borderId="9" xfId="0" applyNumberFormat="1" applyFont="1" applyFill="1" applyBorder="1" applyAlignment="1">
      <alignment horizontal="center" vertical="center" wrapText="1"/>
    </xf>
    <xf numFmtId="0" fontId="115" fillId="0" borderId="10"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24" fillId="4" borderId="9" xfId="8" applyFont="1" applyFill="1" applyBorder="1" applyAlignment="1">
      <alignment horizontal="left"/>
    </xf>
    <xf numFmtId="168" fontId="4" fillId="4" borderId="16" xfId="0" applyNumberFormat="1" applyFont="1" applyFill="1" applyBorder="1" applyAlignment="1">
      <alignment vertical="top"/>
    </xf>
    <xf numFmtId="168" fontId="4" fillId="4" borderId="17" xfId="0" applyNumberFormat="1" applyFont="1" applyFill="1" applyBorder="1" applyAlignment="1">
      <alignment vertical="top"/>
    </xf>
    <xf numFmtId="168" fontId="4" fillId="4" borderId="18" xfId="0" applyNumberFormat="1" applyFont="1" applyFill="1" applyBorder="1" applyAlignment="1">
      <alignment vertical="top"/>
    </xf>
    <xf numFmtId="168" fontId="4" fillId="16" borderId="37" xfId="0" applyNumberFormat="1" applyFont="1" applyFill="1" applyBorder="1" applyAlignment="1">
      <alignment vertical="top"/>
    </xf>
    <xf numFmtId="168" fontId="4" fillId="16" borderId="38" xfId="0" applyNumberFormat="1" applyFont="1" applyFill="1" applyBorder="1" applyAlignment="1">
      <alignment vertical="top"/>
    </xf>
    <xf numFmtId="168" fontId="4" fillId="16" borderId="32" xfId="0" applyNumberFormat="1" applyFont="1" applyFill="1" applyBorder="1" applyAlignment="1">
      <alignment vertical="top"/>
    </xf>
    <xf numFmtId="168" fontId="4" fillId="16" borderId="16" xfId="0" applyNumberFormat="1" applyFont="1" applyFill="1" applyBorder="1" applyAlignment="1">
      <alignment vertical="top"/>
    </xf>
    <xf numFmtId="168" fontId="4" fillId="16" borderId="17" xfId="0" applyNumberFormat="1" applyFont="1" applyFill="1" applyBorder="1" applyAlignment="1">
      <alignment vertical="top"/>
    </xf>
    <xf numFmtId="168" fontId="4" fillId="16" borderId="18" xfId="0" applyNumberFormat="1" applyFont="1" applyFill="1" applyBorder="1" applyAlignment="1">
      <alignment vertical="top"/>
    </xf>
    <xf numFmtId="168" fontId="4" fillId="4" borderId="35" xfId="0" applyNumberFormat="1" applyFont="1" applyFill="1" applyBorder="1" applyAlignment="1">
      <alignment vertical="top"/>
    </xf>
    <xf numFmtId="168" fontId="4" fillId="4" borderId="36" xfId="0" applyNumberFormat="1" applyFont="1" applyFill="1" applyBorder="1" applyAlignment="1">
      <alignment vertical="top"/>
    </xf>
    <xf numFmtId="168" fontId="4" fillId="4" borderId="34" xfId="0" applyNumberFormat="1" applyFont="1" applyFill="1" applyBorder="1" applyAlignment="1">
      <alignment vertical="top"/>
    </xf>
    <xf numFmtId="168" fontId="24" fillId="0" borderId="60" xfId="0" applyNumberFormat="1" applyFont="1" applyFill="1" applyBorder="1" applyAlignment="1">
      <alignment vertical="top"/>
    </xf>
    <xf numFmtId="168" fontId="24" fillId="0" borderId="61" xfId="0" applyNumberFormat="1" applyFont="1" applyFill="1" applyBorder="1" applyAlignment="1">
      <alignment vertical="top"/>
    </xf>
    <xf numFmtId="168" fontId="24" fillId="0" borderId="62" xfId="0" applyNumberFormat="1" applyFont="1" applyFill="1" applyBorder="1" applyAlignment="1">
      <alignment vertical="top"/>
    </xf>
    <xf numFmtId="168" fontId="4" fillId="4" borderId="9" xfId="0" applyNumberFormat="1" applyFont="1" applyFill="1" applyBorder="1" applyAlignment="1">
      <alignment vertical="top"/>
    </xf>
    <xf numFmtId="0" fontId="4" fillId="16" borderId="38" xfId="0" applyFont="1" applyFill="1" applyBorder="1" applyAlignment="1">
      <alignment vertical="top" wrapText="1"/>
    </xf>
    <xf numFmtId="0" fontId="4" fillId="16" borderId="32" xfId="0" applyFont="1" applyFill="1" applyBorder="1" applyAlignment="1">
      <alignment vertical="top" wrapText="1"/>
    </xf>
    <xf numFmtId="0" fontId="4" fillId="16" borderId="17" xfId="0" applyFont="1" applyFill="1" applyBorder="1" applyAlignment="1">
      <alignment vertical="top" wrapText="1"/>
    </xf>
    <xf numFmtId="0" fontId="4" fillId="16" borderId="18" xfId="0" applyFont="1" applyFill="1" applyBorder="1" applyAlignment="1">
      <alignment vertical="top" wrapText="1"/>
    </xf>
    <xf numFmtId="0" fontId="4" fillId="4" borderId="17" xfId="0" applyFont="1" applyFill="1" applyBorder="1" applyAlignment="1">
      <alignment vertical="top" wrapText="1"/>
    </xf>
    <xf numFmtId="0" fontId="4" fillId="4" borderId="18" xfId="0" applyFont="1" applyFill="1" applyBorder="1" applyAlignment="1">
      <alignment vertical="top" wrapText="1"/>
    </xf>
    <xf numFmtId="0" fontId="4" fillId="4" borderId="35" xfId="0" applyFont="1" applyFill="1" applyBorder="1" applyAlignment="1">
      <alignment vertical="top" wrapText="1"/>
    </xf>
    <xf numFmtId="0" fontId="4" fillId="4" borderId="36" xfId="0" applyFont="1" applyFill="1" applyBorder="1" applyAlignment="1">
      <alignment vertical="top" wrapText="1"/>
    </xf>
    <xf numFmtId="0" fontId="4" fillId="4" borderId="34" xfId="0" applyFont="1" applyFill="1" applyBorder="1" applyAlignment="1">
      <alignment vertical="top" wrapText="1"/>
    </xf>
    <xf numFmtId="0" fontId="4" fillId="16" borderId="4" xfId="0" applyFont="1" applyFill="1" applyBorder="1" applyAlignment="1">
      <alignment horizontal="left" vertical="top"/>
    </xf>
    <xf numFmtId="0" fontId="4" fillId="16" borderId="9" xfId="0" applyFont="1" applyFill="1" applyBorder="1" applyAlignment="1">
      <alignment horizontal="left" vertical="top"/>
    </xf>
    <xf numFmtId="0" fontId="4" fillId="16" borderId="14" xfId="0" applyFont="1" applyFill="1" applyBorder="1" applyAlignment="1">
      <alignment horizontal="left" vertical="top"/>
    </xf>
    <xf numFmtId="0" fontId="4" fillId="16" borderId="57" xfId="0" applyFont="1" applyFill="1" applyBorder="1" applyAlignment="1">
      <alignment vertical="top"/>
    </xf>
    <xf numFmtId="0" fontId="4" fillId="16" borderId="58" xfId="0" applyFont="1" applyFill="1" applyBorder="1" applyAlignment="1">
      <alignment vertical="top"/>
    </xf>
    <xf numFmtId="0" fontId="4" fillId="16" borderId="59" xfId="0" applyFont="1" applyFill="1" applyBorder="1" applyAlignment="1">
      <alignment vertical="top"/>
    </xf>
    <xf numFmtId="0" fontId="4" fillId="16" borderId="22" xfId="0" applyFont="1" applyFill="1" applyBorder="1" applyAlignment="1">
      <alignment vertical="top"/>
    </xf>
    <xf numFmtId="0" fontId="4" fillId="16" borderId="0" xfId="0" applyFont="1" applyFill="1" applyBorder="1" applyAlignment="1">
      <alignment vertical="top"/>
    </xf>
    <xf numFmtId="0" fontId="4" fillId="16" borderId="24" xfId="0" applyFont="1" applyFill="1" applyBorder="1" applyAlignment="1">
      <alignment vertical="top"/>
    </xf>
    <xf numFmtId="0" fontId="4" fillId="16" borderId="25" xfId="0" applyFont="1" applyFill="1" applyBorder="1" applyAlignment="1">
      <alignment vertical="top"/>
    </xf>
    <xf numFmtId="0" fontId="4" fillId="16" borderId="28" xfId="0" applyFont="1" applyFill="1" applyBorder="1" applyAlignment="1">
      <alignment vertical="top"/>
    </xf>
    <xf numFmtId="0" fontId="4" fillId="16" borderId="26" xfId="0" applyFont="1" applyFill="1" applyBorder="1" applyAlignment="1">
      <alignment vertical="top"/>
    </xf>
    <xf numFmtId="0" fontId="4" fillId="16" borderId="20" xfId="0" applyFont="1" applyFill="1" applyBorder="1" applyAlignment="1">
      <alignment vertical="top"/>
    </xf>
    <xf numFmtId="0" fontId="4" fillId="16" borderId="27" xfId="0" applyFont="1" applyFill="1" applyBorder="1" applyAlignment="1">
      <alignment vertical="top"/>
    </xf>
    <xf numFmtId="0" fontId="4" fillId="16" borderId="21" xfId="0" applyFont="1" applyFill="1" applyBorder="1" applyAlignment="1">
      <alignment vertical="top"/>
    </xf>
    <xf numFmtId="0" fontId="4" fillId="16" borderId="16" xfId="0" applyFont="1" applyFill="1" applyBorder="1" applyAlignment="1">
      <alignment vertical="top"/>
    </xf>
    <xf numFmtId="0" fontId="4" fillId="16" borderId="17" xfId="0" applyFont="1" applyFill="1" applyBorder="1" applyAlignment="1">
      <alignment vertical="top"/>
    </xf>
    <xf numFmtId="0" fontId="4" fillId="16" borderId="18" xfId="0" applyFont="1" applyFill="1" applyBorder="1" applyAlignment="1">
      <alignment vertical="top"/>
    </xf>
    <xf numFmtId="0" fontId="24" fillId="0" borderId="85" xfId="0" applyFont="1" applyFill="1" applyBorder="1" applyAlignment="1">
      <alignment vertical="center"/>
    </xf>
    <xf numFmtId="0" fontId="24" fillId="0" borderId="88" xfId="0" applyFont="1" applyFill="1" applyBorder="1" applyAlignment="1">
      <alignment vertical="center"/>
    </xf>
    <xf numFmtId="0" fontId="24" fillId="0" borderId="86" xfId="0" applyFont="1" applyFill="1" applyBorder="1" applyAlignment="1">
      <alignment vertical="center"/>
    </xf>
    <xf numFmtId="0" fontId="4" fillId="16" borderId="60" xfId="0" applyFont="1" applyFill="1" applyBorder="1" applyAlignment="1">
      <alignment vertical="top"/>
    </xf>
    <xf numFmtId="0" fontId="4" fillId="16" borderId="61" xfId="0" applyFont="1" applyFill="1" applyBorder="1" applyAlignment="1">
      <alignment vertical="top"/>
    </xf>
    <xf numFmtId="0" fontId="4" fillId="16" borderId="62" xfId="0" applyFont="1" applyFill="1" applyBorder="1" applyAlignment="1">
      <alignment vertical="top"/>
    </xf>
    <xf numFmtId="0" fontId="4" fillId="16" borderId="36" xfId="0" applyFont="1" applyFill="1" applyBorder="1" applyAlignment="1">
      <alignment vertical="top" wrapText="1"/>
    </xf>
    <xf numFmtId="0" fontId="4" fillId="16" borderId="34" xfId="0" applyFont="1" applyFill="1" applyBorder="1" applyAlignment="1">
      <alignment vertical="top" wrapText="1"/>
    </xf>
    <xf numFmtId="0" fontId="24" fillId="0" borderId="48" xfId="0" applyFont="1" applyFill="1" applyBorder="1" applyAlignment="1">
      <alignment horizontal="left" vertical="center"/>
    </xf>
    <xf numFmtId="0" fontId="24" fillId="0" borderId="9" xfId="0" applyFont="1" applyBorder="1" applyAlignment="1">
      <alignment horizontal="left" wrapText="1"/>
    </xf>
    <xf numFmtId="178" fontId="24" fillId="4" borderId="9" xfId="0" applyNumberFormat="1" applyFont="1" applyFill="1" applyBorder="1" applyAlignment="1">
      <alignment horizontal="center" wrapText="1"/>
    </xf>
    <xf numFmtId="165" fontId="24" fillId="0" borderId="9" xfId="0" applyNumberFormat="1" applyFont="1" applyBorder="1" applyAlignment="1">
      <alignment horizontal="center" wrapText="1"/>
    </xf>
    <xf numFmtId="171" fontId="24" fillId="0" borderId="9" xfId="0" applyNumberFormat="1" applyFont="1" applyBorder="1" applyAlignment="1">
      <alignment horizontal="center" wrapText="1"/>
    </xf>
    <xf numFmtId="0" fontId="4" fillId="0" borderId="9" xfId="0" applyFont="1" applyFill="1" applyBorder="1" applyAlignment="1">
      <alignment horizontal="left" wrapText="1"/>
    </xf>
    <xf numFmtId="2" fontId="4" fillId="0" borderId="9" xfId="0" applyNumberFormat="1" applyFont="1" applyFill="1" applyBorder="1" applyAlignment="1">
      <alignment horizontal="center" wrapText="1"/>
    </xf>
    <xf numFmtId="178" fontId="4" fillId="0" borderId="9" xfId="0" applyNumberFormat="1" applyFont="1" applyFill="1" applyBorder="1" applyAlignment="1">
      <alignment horizontal="center" wrapText="1"/>
    </xf>
    <xf numFmtId="165" fontId="4" fillId="0" borderId="9" xfId="0" applyNumberFormat="1" applyFont="1" applyFill="1" applyBorder="1" applyAlignment="1">
      <alignment horizontal="center" wrapText="1"/>
    </xf>
    <xf numFmtId="171" fontId="4" fillId="0" borderId="9" xfId="0" applyNumberFormat="1" applyFont="1" applyFill="1" applyBorder="1" applyAlignment="1">
      <alignment horizontal="center" wrapText="1"/>
    </xf>
    <xf numFmtId="169" fontId="4" fillId="16" borderId="9" xfId="0" applyNumberFormat="1" applyFont="1" applyFill="1" applyBorder="1" applyAlignment="1">
      <alignment horizontal="left" vertical="top"/>
    </xf>
    <xf numFmtId="169" fontId="4" fillId="16" borderId="14" xfId="0" applyNumberFormat="1" applyFont="1" applyFill="1" applyBorder="1" applyAlignment="1">
      <alignment horizontal="left" vertical="top"/>
    </xf>
    <xf numFmtId="0" fontId="4" fillId="16" borderId="23" xfId="0" applyFont="1" applyFill="1" applyBorder="1" applyAlignment="1">
      <alignment horizontal="left" vertical="top"/>
    </xf>
    <xf numFmtId="0" fontId="24" fillId="4" borderId="9" xfId="8" applyFont="1" applyFill="1" applyBorder="1" applyAlignment="1">
      <alignment horizontal="left"/>
    </xf>
    <xf numFmtId="7" fontId="24" fillId="4" borderId="4" xfId="2" applyNumberFormat="1" applyFont="1" applyFill="1" applyBorder="1" applyAlignment="1">
      <alignment horizontal="center"/>
    </xf>
    <xf numFmtId="2" fontId="0" fillId="0" borderId="9" xfId="0" applyNumberFormat="1" applyFont="1" applyFill="1" applyBorder="1" applyAlignment="1">
      <alignment horizontal="left" vertical="top" wrapText="1"/>
    </xf>
    <xf numFmtId="165" fontId="24" fillId="0" borderId="9" xfId="0" applyNumberFormat="1" applyFont="1" applyFill="1" applyBorder="1" applyAlignment="1">
      <alignment horizontal="left" vertical="top" wrapText="1"/>
    </xf>
    <xf numFmtId="7" fontId="4" fillId="0" borderId="4" xfId="2" applyNumberFormat="1" applyFont="1" applyFill="1" applyBorder="1" applyAlignment="1">
      <alignment horizontal="center" vertical="center" wrapText="1"/>
    </xf>
    <xf numFmtId="0" fontId="24" fillId="4" borderId="9" xfId="8" applyFont="1" applyFill="1" applyBorder="1" applyAlignment="1">
      <alignment horizontal="left"/>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4" fillId="0" borderId="9" xfId="13" applyFont="1" applyFill="1" applyBorder="1" applyAlignment="1">
      <alignment wrapText="1"/>
    </xf>
    <xf numFmtId="171" fontId="4" fillId="0" borderId="9" xfId="13" applyNumberFormat="1" applyFont="1" applyFill="1" applyBorder="1" applyAlignment="1">
      <alignment horizontal="center"/>
    </xf>
    <xf numFmtId="189" fontId="0" fillId="25" borderId="9" xfId="1" applyNumberFormat="1" applyFont="1" applyFill="1" applyBorder="1" applyAlignment="1">
      <alignment horizontal="center"/>
    </xf>
    <xf numFmtId="189" fontId="24" fillId="25" borderId="9" xfId="0" applyNumberFormat="1" applyFont="1" applyFill="1" applyBorder="1" applyAlignment="1">
      <alignment horizontal="center" vertical="center" wrapText="1"/>
    </xf>
    <xf numFmtId="39" fontId="24" fillId="25" borderId="9" xfId="0" applyNumberFormat="1" applyFont="1" applyFill="1" applyBorder="1" applyAlignment="1">
      <alignment horizontal="center" vertical="center" wrapText="1"/>
    </xf>
    <xf numFmtId="193" fontId="4" fillId="0" borderId="9" xfId="0" applyNumberFormat="1" applyFont="1" applyBorder="1" applyAlignment="1">
      <alignment horizontal="center"/>
    </xf>
    <xf numFmtId="165" fontId="4" fillId="0" borderId="9" xfId="13" applyNumberFormat="1" applyFont="1" applyFill="1" applyBorder="1" applyAlignment="1">
      <alignment horizontal="center"/>
    </xf>
    <xf numFmtId="165" fontId="0" fillId="25" borderId="9" xfId="13" applyNumberFormat="1" applyFont="1" applyFill="1" applyBorder="1" applyAlignment="1">
      <alignment horizontal="center"/>
    </xf>
    <xf numFmtId="165" fontId="24" fillId="25" borderId="9" xfId="0" applyNumberFormat="1" applyFont="1" applyFill="1" applyBorder="1" applyAlignment="1">
      <alignment horizontal="center" vertical="center" wrapText="1"/>
    </xf>
    <xf numFmtId="2" fontId="4" fillId="25" borderId="9" xfId="0" applyNumberFormat="1" applyFont="1" applyFill="1" applyBorder="1" applyAlignment="1">
      <alignment horizontal="center"/>
    </xf>
    <xf numFmtId="2" fontId="24" fillId="25" borderId="9" xfId="0" applyNumberFormat="1" applyFont="1" applyFill="1" applyBorder="1" applyAlignment="1">
      <alignment horizontal="center"/>
    </xf>
    <xf numFmtId="165" fontId="4" fillId="0" borderId="9" xfId="6" applyNumberFormat="1"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0" fontId="24" fillId="4" borderId="9" xfId="8" applyFont="1" applyFill="1" applyBorder="1" applyAlignment="1">
      <alignment horizontal="left"/>
    </xf>
    <xf numFmtId="165" fontId="4" fillId="0" borderId="9" xfId="13" applyNumberFormat="1" applyFont="1" applyFill="1" applyBorder="1" applyAlignment="1">
      <alignment horizontal="left" vertical="center" wrapText="1"/>
    </xf>
    <xf numFmtId="165" fontId="1" fillId="0" borderId="9" xfId="13" applyNumberFormat="1" applyFont="1" applyFill="1" applyBorder="1" applyAlignment="1">
      <alignment horizontal="left" vertical="center" wrapText="1"/>
    </xf>
    <xf numFmtId="165" fontId="24" fillId="0" borderId="19" xfId="8" applyNumberFormat="1" applyFont="1" applyFill="1" applyBorder="1" applyAlignment="1">
      <alignment horizontal="left" vertical="center"/>
    </xf>
    <xf numFmtId="165" fontId="4" fillId="0" borderId="9" xfId="13" applyNumberFormat="1" applyFont="1" applyFill="1" applyBorder="1" applyAlignment="1">
      <alignment horizontal="center" vertical="center" wrapText="1"/>
    </xf>
    <xf numFmtId="0" fontId="77" fillId="0" borderId="0" xfId="5" applyFont="1" applyFill="1" applyAlignment="1">
      <alignment wrapText="1"/>
    </xf>
    <xf numFmtId="171" fontId="4" fillId="0" borderId="9" xfId="0" applyNumberFormat="1" applyFont="1" applyFill="1" applyBorder="1"/>
    <xf numFmtId="2" fontId="4" fillId="4" borderId="9" xfId="10" applyNumberFormat="1" applyFont="1" applyFill="1" applyBorder="1" applyAlignment="1">
      <alignment horizontal="center"/>
    </xf>
    <xf numFmtId="0" fontId="39" fillId="0" borderId="0" xfId="5" applyFont="1" applyBorder="1" applyAlignment="1">
      <alignment vertical="center" wrapText="1"/>
    </xf>
    <xf numFmtId="0" fontId="5" fillId="12" borderId="9" xfId="0" applyFont="1" applyFill="1" applyBorder="1"/>
    <xf numFmtId="168" fontId="0" fillId="0" borderId="9" xfId="1" applyNumberFormat="1" applyFont="1" applyFill="1" applyBorder="1" applyAlignment="1">
      <alignment horizontal="center"/>
    </xf>
    <xf numFmtId="168" fontId="4" fillId="0" borderId="9" xfId="1" applyNumberFormat="1" applyFont="1" applyFill="1" applyBorder="1" applyAlignment="1">
      <alignment horizontal="center"/>
    </xf>
    <xf numFmtId="168" fontId="24" fillId="0" borderId="9" xfId="1" applyNumberFormat="1" applyFont="1" applyFill="1" applyBorder="1" applyAlignment="1">
      <alignment horizontal="center"/>
    </xf>
    <xf numFmtId="168" fontId="30" fillId="0" borderId="9" xfId="1" applyNumberFormat="1" applyFont="1" applyFill="1" applyBorder="1" applyAlignment="1">
      <alignment horizontal="center" vertical="center" wrapText="1"/>
    </xf>
    <xf numFmtId="168" fontId="0" fillId="19" borderId="9" xfId="1" applyNumberFormat="1" applyFont="1" applyFill="1" applyBorder="1" applyAlignment="1">
      <alignment horizontal="center"/>
    </xf>
    <xf numFmtId="168" fontId="24" fillId="19" borderId="9" xfId="1" applyNumberFormat="1" applyFont="1" applyFill="1" applyBorder="1" applyAlignment="1">
      <alignment horizontal="center"/>
    </xf>
    <xf numFmtId="37" fontId="4" fillId="0" borderId="9" xfId="0" applyNumberFormat="1" applyFont="1" applyBorder="1"/>
    <xf numFmtId="180" fontId="4" fillId="0" borderId="9" xfId="0" applyNumberFormat="1" applyFont="1" applyFill="1" applyBorder="1" applyAlignment="1">
      <alignment horizontal="center"/>
    </xf>
    <xf numFmtId="0" fontId="39" fillId="0" borderId="0" xfId="5" applyFont="1" applyAlignment="1">
      <alignment vertical="center" wrapText="1"/>
    </xf>
    <xf numFmtId="166" fontId="4" fillId="0" borderId="9"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171" fontId="4" fillId="0" borderId="9" xfId="0" applyNumberFormat="1" applyFont="1" applyFill="1" applyBorder="1" applyAlignment="1">
      <alignment horizontal="center" vertical="center" wrapText="1"/>
    </xf>
    <xf numFmtId="37" fontId="24" fillId="4" borderId="9" xfId="0" applyNumberFormat="1" applyFont="1" applyFill="1" applyBorder="1" applyAlignment="1">
      <alignment horizontal="center" vertical="center" wrapText="1"/>
    </xf>
    <xf numFmtId="171" fontId="24" fillId="0" borderId="16" xfId="13" applyNumberFormat="1" applyFont="1" applyFill="1" applyBorder="1" applyAlignment="1">
      <alignment horizontal="center" vertical="center" wrapText="1"/>
    </xf>
    <xf numFmtId="171" fontId="24" fillId="0" borderId="9" xfId="13" applyNumberFormat="1" applyFont="1" applyFill="1" applyBorder="1" applyAlignment="1">
      <alignment horizontal="center" vertical="center" wrapText="1"/>
    </xf>
    <xf numFmtId="171" fontId="4" fillId="0" borderId="9" xfId="13" applyNumberFormat="1" applyFont="1" applyFill="1" applyBorder="1" applyAlignment="1">
      <alignment horizontal="center" vertical="center" wrapText="1"/>
    </xf>
    <xf numFmtId="168" fontId="4" fillId="0" borderId="9" xfId="0" applyNumberFormat="1" applyFont="1" applyFill="1" applyBorder="1" applyAlignment="1">
      <alignment horizontal="center"/>
    </xf>
    <xf numFmtId="0" fontId="4" fillId="0" borderId="19" xfId="8" applyFont="1" applyFill="1" applyBorder="1" applyAlignment="1">
      <alignment horizontal="left"/>
    </xf>
    <xf numFmtId="0" fontId="4" fillId="0" borderId="23" xfId="8" applyFont="1" applyFill="1" applyBorder="1" applyAlignment="1">
      <alignment horizontal="left"/>
    </xf>
    <xf numFmtId="0" fontId="4" fillId="0" borderId="0" xfId="13" applyFont="1" applyFill="1" applyBorder="1" applyAlignment="1">
      <alignment horizontal="center"/>
    </xf>
    <xf numFmtId="168" fontId="4" fillId="0" borderId="0" xfId="0" applyNumberFormat="1" applyFont="1" applyFill="1" applyBorder="1" applyAlignment="1">
      <alignment horizontal="center"/>
    </xf>
    <xf numFmtId="0" fontId="4" fillId="0" borderId="0" xfId="8" applyFont="1" applyFill="1" applyBorder="1" applyAlignment="1">
      <alignment horizontal="left"/>
    </xf>
    <xf numFmtId="2" fontId="4" fillId="0" borderId="0" xfId="13" applyNumberFormat="1" applyFont="1" applyFill="1" applyBorder="1" applyAlignment="1">
      <alignment horizontal="center"/>
    </xf>
    <xf numFmtId="193" fontId="4" fillId="0" borderId="0" xfId="0" applyNumberFormat="1" applyFont="1" applyBorder="1" applyAlignment="1">
      <alignment horizontal="center"/>
    </xf>
    <xf numFmtId="165" fontId="4" fillId="0" borderId="0" xfId="13" applyNumberFormat="1" applyFont="1" applyFill="1" applyBorder="1" applyAlignment="1">
      <alignment horizontal="center"/>
    </xf>
    <xf numFmtId="7" fontId="4" fillId="0" borderId="0" xfId="2" applyNumberFormat="1" applyFont="1" applyFill="1" applyBorder="1" applyAlignment="1">
      <alignment horizontal="center"/>
    </xf>
    <xf numFmtId="2" fontId="4" fillId="0" borderId="0" xfId="13" applyNumberFormat="1" applyFont="1" applyBorder="1" applyAlignment="1">
      <alignment horizontal="center"/>
    </xf>
    <xf numFmtId="0" fontId="0" fillId="0" borderId="0" xfId="8" applyFont="1" applyBorder="1" applyAlignment="1">
      <alignment horizontal="left"/>
    </xf>
    <xf numFmtId="165" fontId="24" fillId="0" borderId="9" xfId="13" applyNumberFormat="1" applyFont="1" applyBorder="1" applyAlignment="1">
      <alignment horizontal="center"/>
    </xf>
    <xf numFmtId="1" fontId="24" fillId="0" borderId="9" xfId="13" applyNumberFormat="1" applyFont="1" applyBorder="1" applyAlignment="1">
      <alignment horizontal="center"/>
    </xf>
    <xf numFmtId="2" fontId="4" fillId="0" borderId="16" xfId="13" applyNumberFormat="1" applyFont="1" applyFill="1" applyBorder="1" applyAlignment="1">
      <alignment horizontal="center" vertical="center" wrapText="1"/>
    </xf>
    <xf numFmtId="168" fontId="24" fillId="0" borderId="0" xfId="0" applyNumberFormat="1" applyFont="1" applyBorder="1" applyAlignment="1">
      <alignment horizontal="center"/>
    </xf>
    <xf numFmtId="0" fontId="4" fillId="0" borderId="9" xfId="13" applyFont="1" applyBorder="1" applyAlignment="1">
      <alignment horizontal="left"/>
    </xf>
    <xf numFmtId="0" fontId="4" fillId="0" borderId="9" xfId="13" applyFont="1" applyFill="1" applyBorder="1" applyAlignment="1">
      <alignment horizontal="left"/>
    </xf>
    <xf numFmtId="193" fontId="4" fillId="0" borderId="9" xfId="0" applyNumberFormat="1" applyFont="1" applyFill="1" applyBorder="1" applyAlignment="1">
      <alignment horizontal="center"/>
    </xf>
    <xf numFmtId="0" fontId="4" fillId="0" borderId="0" xfId="0" applyFont="1" applyFill="1" applyBorder="1"/>
    <xf numFmtId="2" fontId="4" fillId="0" borderId="0" xfId="0" applyNumberFormat="1" applyFont="1" applyFill="1" applyBorder="1" applyAlignment="1">
      <alignment horizontal="center"/>
    </xf>
    <xf numFmtId="0" fontId="4" fillId="0" borderId="0" xfId="6" applyFont="1" applyAlignment="1">
      <alignment horizontal="left"/>
    </xf>
    <xf numFmtId="2" fontId="4" fillId="0" borderId="0" xfId="0" applyNumberFormat="1" applyFont="1" applyAlignment="1">
      <alignment horizontal="center"/>
    </xf>
    <xf numFmtId="0" fontId="25" fillId="0" borderId="0" xfId="6" applyFont="1" applyFill="1" applyBorder="1"/>
    <xf numFmtId="0" fontId="4" fillId="11" borderId="18" xfId="0" applyFont="1" applyFill="1" applyBorder="1" applyAlignment="1">
      <alignment horizontal="center" vertical="center" wrapText="1"/>
    </xf>
    <xf numFmtId="0" fontId="97" fillId="12" borderId="0" xfId="0" applyFont="1" applyFill="1"/>
    <xf numFmtId="2" fontId="4" fillId="8" borderId="9" xfId="1" applyNumberFormat="1" applyFont="1" applyFill="1" applyBorder="1" applyAlignment="1">
      <alignment horizontal="center"/>
    </xf>
    <xf numFmtId="44" fontId="4" fillId="8" borderId="9" xfId="0" applyNumberFormat="1" applyFont="1" applyFill="1" applyBorder="1" applyAlignment="1">
      <alignment horizontal="center" wrapText="1"/>
    </xf>
    <xf numFmtId="0" fontId="4" fillId="8" borderId="9" xfId="0" applyFont="1" applyFill="1" applyBorder="1" applyAlignment="1">
      <alignment horizontal="center" wrapText="1"/>
    </xf>
    <xf numFmtId="2" fontId="4" fillId="0" borderId="22" xfId="1" applyNumberFormat="1" applyFont="1" applyBorder="1" applyAlignment="1">
      <alignment horizontal="center"/>
    </xf>
    <xf numFmtId="0" fontId="4" fillId="4" borderId="23" xfId="8" applyFont="1" applyFill="1" applyBorder="1" applyAlignment="1">
      <alignment horizontal="left"/>
    </xf>
    <xf numFmtId="7" fontId="4" fillId="0" borderId="0" xfId="0" applyNumberFormat="1" applyFont="1" applyBorder="1"/>
    <xf numFmtId="44" fontId="4" fillId="0" borderId="24" xfId="2" applyFont="1" applyFill="1" applyBorder="1"/>
    <xf numFmtId="0" fontId="4" fillId="0" borderId="0" xfId="0" applyFont="1" applyBorder="1"/>
    <xf numFmtId="7" fontId="4" fillId="0" borderId="28" xfId="0" applyNumberFormat="1" applyFont="1" applyBorder="1"/>
    <xf numFmtId="44" fontId="4" fillId="0" borderId="26" xfId="2" applyFont="1" applyFill="1" applyBorder="1"/>
    <xf numFmtId="0" fontId="4" fillId="0" borderId="0" xfId="13" applyFont="1" applyBorder="1" applyAlignment="1">
      <alignment horizontal="center"/>
    </xf>
    <xf numFmtId="0" fontId="4" fillId="0" borderId="0" xfId="8" applyFont="1" applyBorder="1" applyAlignment="1">
      <alignment horizontal="center"/>
    </xf>
    <xf numFmtId="168" fontId="4" fillId="0" borderId="0" xfId="0" applyNumberFormat="1" applyFont="1" applyBorder="1" applyAlignment="1">
      <alignment horizontal="center"/>
    </xf>
    <xf numFmtId="2" fontId="4" fillId="0" borderId="0" xfId="0" applyNumberFormat="1" applyFont="1" applyBorder="1" applyAlignment="1">
      <alignment horizontal="center"/>
    </xf>
    <xf numFmtId="2" fontId="4" fillId="0" borderId="0" xfId="1" applyNumberFormat="1" applyFont="1" applyBorder="1" applyAlignment="1">
      <alignment horizontal="center"/>
    </xf>
    <xf numFmtId="180" fontId="97" fillId="0" borderId="0" xfId="6" applyNumberFormat="1" applyFont="1"/>
    <xf numFmtId="0" fontId="4" fillId="4" borderId="0" xfId="13" applyFont="1" applyFill="1" applyAlignment="1">
      <alignment horizontal="left"/>
    </xf>
    <xf numFmtId="179" fontId="4" fillId="0" borderId="0" xfId="9" applyNumberFormat="1" applyFont="1" applyFill="1" applyBorder="1" applyAlignment="1">
      <alignment horizontal="left" vertical="center" wrapText="1"/>
    </xf>
    <xf numFmtId="179" fontId="4" fillId="0" borderId="0" xfId="9" applyNumberFormat="1" applyFont="1" applyFill="1" applyBorder="1" applyAlignment="1">
      <alignment horizontal="center" vertical="center" wrapText="1"/>
    </xf>
    <xf numFmtId="0" fontId="4" fillId="0" borderId="0" xfId="6" applyFont="1" applyBorder="1" applyAlignment="1">
      <alignment horizontal="left" vertical="center" wrapText="1"/>
    </xf>
    <xf numFmtId="0" fontId="116" fillId="0" borderId="0" xfId="0" applyFont="1" applyAlignment="1">
      <alignment horizontal="left" vertical="center"/>
    </xf>
    <xf numFmtId="0" fontId="25" fillId="0" borderId="0" xfId="6" applyFont="1"/>
    <xf numFmtId="0" fontId="4" fillId="0" borderId="0" xfId="6" applyFont="1" applyFill="1" applyAlignment="1">
      <alignment horizontal="center"/>
    </xf>
    <xf numFmtId="0" fontId="100" fillId="0" borderId="0" xfId="0" applyFont="1" applyAlignment="1">
      <alignment horizontal="center"/>
    </xf>
    <xf numFmtId="1" fontId="4" fillId="0" borderId="9" xfId="13" applyNumberFormat="1" applyFont="1" applyFill="1" applyBorder="1" applyAlignment="1">
      <alignment horizontal="left" vertical="center" wrapText="1"/>
    </xf>
    <xf numFmtId="0" fontId="4" fillId="0" borderId="0" xfId="6" applyFont="1" applyAlignment="1"/>
    <xf numFmtId="165" fontId="4" fillId="0" borderId="19" xfId="8" applyNumberFormat="1" applyFont="1" applyFill="1" applyBorder="1" applyAlignment="1">
      <alignment horizontal="left" vertical="center"/>
    </xf>
    <xf numFmtId="2" fontId="4" fillId="0" borderId="0" xfId="6" applyNumberFormat="1" applyFont="1" applyFill="1" applyAlignment="1">
      <alignment horizontal="center"/>
    </xf>
    <xf numFmtId="0" fontId="100" fillId="0" borderId="0" xfId="0" applyFont="1" applyAlignment="1">
      <alignment horizontal="left"/>
    </xf>
    <xf numFmtId="165" fontId="0" fillId="25" borderId="9" xfId="13" applyNumberFormat="1" applyFont="1" applyFill="1" applyBorder="1" applyAlignment="1">
      <alignment horizontal="center" vertical="center" wrapText="1"/>
    </xf>
    <xf numFmtId="165" fontId="24" fillId="25" borderId="9" xfId="13" applyNumberFormat="1" applyFont="1" applyFill="1" applyBorder="1" applyAlignment="1">
      <alignment horizontal="center" vertical="center" wrapText="1"/>
    </xf>
    <xf numFmtId="2" fontId="0" fillId="25" borderId="9" xfId="13" applyNumberFormat="1" applyFont="1" applyFill="1" applyBorder="1" applyAlignment="1">
      <alignment horizontal="center"/>
    </xf>
    <xf numFmtId="2" fontId="24" fillId="25" borderId="9" xfId="13" applyNumberFormat="1" applyFont="1" applyFill="1" applyBorder="1" applyAlignment="1">
      <alignment horizontal="center"/>
    </xf>
    <xf numFmtId="2" fontId="0" fillId="25" borderId="9" xfId="0" applyNumberFormat="1" applyFill="1" applyBorder="1" applyAlignment="1">
      <alignment horizontal="center"/>
    </xf>
    <xf numFmtId="165" fontId="4" fillId="0" borderId="9" xfId="8" applyNumberFormat="1" applyFont="1" applyFill="1" applyBorder="1" applyAlignment="1">
      <alignment horizontal="left" vertical="center"/>
    </xf>
    <xf numFmtId="0" fontId="4" fillId="0" borderId="9" xfId="8" applyFont="1" applyBorder="1" applyAlignment="1">
      <alignment horizontal="left" vertical="center" wrapText="1"/>
    </xf>
    <xf numFmtId="165" fontId="4" fillId="0" borderId="19" xfId="13" applyNumberFormat="1" applyFont="1" applyFill="1" applyBorder="1" applyAlignment="1">
      <alignment horizontal="left" vertical="center" wrapText="1"/>
    </xf>
    <xf numFmtId="0" fontId="4" fillId="8" borderId="19" xfId="0" applyFont="1" applyFill="1" applyBorder="1"/>
    <xf numFmtId="0" fontId="4" fillId="4" borderId="19" xfId="8" applyFont="1" applyFill="1" applyBorder="1" applyAlignment="1">
      <alignment horizontal="left"/>
    </xf>
    <xf numFmtId="165" fontId="24" fillId="0" borderId="0" xfId="6" applyNumberFormat="1" applyFont="1" applyFill="1"/>
    <xf numFmtId="10" fontId="24" fillId="0" borderId="0" xfId="3" applyNumberFormat="1" applyFont="1" applyFill="1"/>
    <xf numFmtId="0" fontId="24" fillId="4" borderId="19"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24" fillId="4" borderId="9" xfId="8" applyFont="1" applyFill="1" applyBorder="1" applyAlignment="1">
      <alignment horizontal="left"/>
    </xf>
    <xf numFmtId="0" fontId="24" fillId="0" borderId="0" xfId="0" applyFont="1" applyAlignment="1">
      <alignment wrapText="1"/>
    </xf>
    <xf numFmtId="170" fontId="0" fillId="25" borderId="9" xfId="1" applyNumberFormat="1" applyFont="1" applyFill="1" applyBorder="1" applyAlignment="1">
      <alignment horizontal="center"/>
    </xf>
    <xf numFmtId="170" fontId="24" fillId="25" borderId="9" xfId="0" applyNumberFormat="1" applyFont="1" applyFill="1" applyBorder="1" applyAlignment="1">
      <alignment horizontal="center" vertical="center" wrapText="1"/>
    </xf>
    <xf numFmtId="2" fontId="4" fillId="0" borderId="16" xfId="1" applyNumberFormat="1" applyFont="1" applyBorder="1" applyAlignment="1">
      <alignment horizontal="center"/>
    </xf>
    <xf numFmtId="0" fontId="4" fillId="4" borderId="9" xfId="8" applyFont="1" applyFill="1" applyBorder="1" applyAlignment="1">
      <alignment horizontal="left"/>
    </xf>
    <xf numFmtId="7" fontId="4" fillId="0" borderId="17" xfId="0" applyNumberFormat="1" applyFont="1" applyBorder="1"/>
    <xf numFmtId="44" fontId="4" fillId="0" borderId="18" xfId="2" applyFont="1" applyFill="1" applyBorder="1"/>
    <xf numFmtId="179" fontId="104" fillId="25" borderId="9" xfId="8" applyNumberFormat="1" applyFont="1" applyFill="1" applyBorder="1" applyAlignment="1">
      <alignment horizontal="center"/>
    </xf>
    <xf numFmtId="179" fontId="104" fillId="25" borderId="9" xfId="6" applyNumberFormat="1" applyFont="1" applyFill="1" applyBorder="1" applyAlignment="1">
      <alignment horizontal="center"/>
    </xf>
    <xf numFmtId="4" fontId="104" fillId="25" borderId="9" xfId="6" applyNumberFormat="1" applyFont="1" applyFill="1" applyBorder="1" applyAlignment="1">
      <alignment horizontal="center"/>
    </xf>
    <xf numFmtId="171" fontId="100" fillId="25" borderId="9" xfId="6" applyNumberFormat="1" applyFont="1" applyFill="1" applyBorder="1" applyAlignment="1">
      <alignment horizontal="center"/>
    </xf>
    <xf numFmtId="171" fontId="1" fillId="25" borderId="9" xfId="6" applyNumberFormat="1" applyFont="1" applyFill="1" applyBorder="1" applyAlignment="1">
      <alignment horizontal="center"/>
    </xf>
    <xf numFmtId="171" fontId="24" fillId="25" borderId="9" xfId="6" applyNumberFormat="1" applyFont="1" applyFill="1" applyBorder="1" applyAlignment="1">
      <alignment horizontal="center"/>
    </xf>
    <xf numFmtId="9" fontId="1" fillId="25" borderId="9" xfId="3" applyFont="1" applyFill="1" applyBorder="1" applyAlignment="1">
      <alignment horizontal="center" vertical="center" wrapText="1"/>
    </xf>
    <xf numFmtId="9" fontId="24" fillId="25" borderId="9" xfId="3" applyFont="1" applyFill="1" applyBorder="1" applyAlignment="1">
      <alignment horizontal="center" vertical="center" wrapText="1"/>
    </xf>
    <xf numFmtId="2" fontId="4" fillId="0" borderId="25" xfId="1" applyNumberFormat="1" applyFont="1" applyBorder="1" applyAlignment="1">
      <alignment horizontal="center"/>
    </xf>
    <xf numFmtId="0" fontId="24" fillId="10" borderId="16" xfId="0" applyFont="1" applyFill="1" applyBorder="1" applyAlignment="1">
      <alignment horizontal="left"/>
    </xf>
    <xf numFmtId="0" fontId="24" fillId="10" borderId="17" xfId="0" applyFont="1" applyFill="1" applyBorder="1" applyAlignment="1">
      <alignment horizontal="left"/>
    </xf>
    <xf numFmtId="0" fontId="29" fillId="0" borderId="0" xfId="8" applyFont="1" applyAlignment="1">
      <alignment horizontal="left" wrapText="1"/>
    </xf>
    <xf numFmtId="0" fontId="24" fillId="10" borderId="18" xfId="0" applyFont="1" applyFill="1" applyBorder="1" applyAlignment="1">
      <alignment horizontal="left"/>
    </xf>
    <xf numFmtId="43" fontId="44" fillId="0" borderId="0" xfId="1" applyFont="1" applyAlignment="1">
      <alignment horizontal="center"/>
    </xf>
    <xf numFmtId="43" fontId="24" fillId="0" borderId="0" xfId="1" applyFont="1" applyAlignment="1">
      <alignment horizontal="center"/>
    </xf>
    <xf numFmtId="0" fontId="44" fillId="0" borderId="0" xfId="0" applyFont="1" applyAlignment="1">
      <alignment horizontal="center"/>
    </xf>
    <xf numFmtId="43" fontId="71" fillId="30" borderId="30" xfId="1" applyFont="1" applyFill="1" applyBorder="1" applyAlignment="1">
      <alignment horizontal="center" wrapText="1"/>
    </xf>
    <xf numFmtId="43" fontId="81" fillId="22" borderId="30" xfId="1" applyFont="1" applyFill="1" applyBorder="1" applyAlignment="1">
      <alignment horizontal="center" wrapText="1"/>
    </xf>
    <xf numFmtId="0" fontId="71" fillId="27" borderId="30" xfId="0" applyFont="1" applyFill="1" applyBorder="1" applyAlignment="1">
      <alignment horizontal="center" wrapText="1"/>
    </xf>
    <xf numFmtId="0" fontId="81" fillId="23" borderId="30" xfId="0" applyFont="1" applyFill="1" applyBorder="1" applyAlignment="1">
      <alignment horizontal="center" wrapText="1"/>
    </xf>
    <xf numFmtId="0" fontId="24" fillId="19" borderId="9" xfId="0" applyFont="1" applyFill="1" applyBorder="1" applyAlignment="1">
      <alignment horizontal="center" wrapText="1"/>
    </xf>
    <xf numFmtId="43" fontId="71" fillId="30" borderId="9" xfId="1" applyFont="1" applyFill="1" applyBorder="1" applyAlignment="1">
      <alignment horizontal="center" wrapText="1"/>
    </xf>
    <xf numFmtId="43" fontId="81" fillId="22" borderId="9" xfId="1" applyFont="1" applyFill="1" applyBorder="1" applyAlignment="1">
      <alignment horizontal="center" wrapText="1"/>
    </xf>
    <xf numFmtId="0" fontId="71" fillId="27" borderId="9" xfId="0" applyFont="1" applyFill="1" applyBorder="1" applyAlignment="1">
      <alignment horizontal="center" wrapText="1"/>
    </xf>
    <xf numFmtId="0" fontId="81" fillId="23" borderId="9" xfId="0" applyFont="1" applyFill="1" applyBorder="1" applyAlignment="1">
      <alignment horizontal="center" wrapText="1"/>
    </xf>
    <xf numFmtId="43" fontId="24" fillId="25" borderId="9" xfId="1" applyFont="1" applyFill="1" applyBorder="1"/>
    <xf numFmtId="9" fontId="24" fillId="0" borderId="9" xfId="0" applyNumberFormat="1" applyFont="1" applyBorder="1"/>
    <xf numFmtId="43" fontId="24" fillId="5" borderId="9" xfId="1" applyFont="1" applyFill="1" applyBorder="1"/>
    <xf numFmtId="205" fontId="24" fillId="5" borderId="9" xfId="0" applyNumberFormat="1" applyFont="1" applyFill="1" applyBorder="1"/>
    <xf numFmtId="39" fontId="24" fillId="0" borderId="9" xfId="0" applyNumberFormat="1" applyFont="1" applyBorder="1"/>
    <xf numFmtId="43" fontId="44" fillId="0" borderId="0" xfId="1" applyFont="1"/>
    <xf numFmtId="165" fontId="24" fillId="0" borderId="0" xfId="0" applyNumberFormat="1" applyFont="1" applyAlignment="1">
      <alignment horizontal="center"/>
    </xf>
    <xf numFmtId="171" fontId="24" fillId="0" borderId="0" xfId="0" applyNumberFormat="1" applyFont="1" applyAlignment="1">
      <alignment horizontal="center"/>
    </xf>
    <xf numFmtId="171" fontId="24" fillId="0" borderId="0" xfId="2" applyNumberFormat="1" applyFont="1" applyAlignment="1">
      <alignment horizontal="center"/>
    </xf>
    <xf numFmtId="171" fontId="24" fillId="30" borderId="0" xfId="0" applyNumberFormat="1" applyFont="1" applyFill="1" applyAlignment="1">
      <alignment horizontal="center"/>
    </xf>
    <xf numFmtId="171" fontId="24" fillId="30" borderId="0" xfId="2" applyNumberFormat="1" applyFont="1" applyFill="1" applyAlignment="1">
      <alignment horizontal="center"/>
    </xf>
    <xf numFmtId="0" fontId="24" fillId="30" borderId="0" xfId="0" applyFont="1" applyFill="1" applyAlignment="1">
      <alignment horizontal="center"/>
    </xf>
    <xf numFmtId="0" fontId="24" fillId="30" borderId="0" xfId="0" applyFont="1" applyFill="1"/>
    <xf numFmtId="0" fontId="24" fillId="18" borderId="0" xfId="0" applyFont="1" applyFill="1"/>
    <xf numFmtId="165" fontId="81" fillId="13" borderId="30" xfId="0" applyNumberFormat="1" applyFont="1" applyFill="1" applyBorder="1" applyAlignment="1">
      <alignment horizontal="center" wrapText="1"/>
    </xf>
    <xf numFmtId="165" fontId="81" fillId="13" borderId="9" xfId="0" applyNumberFormat="1" applyFont="1" applyFill="1" applyBorder="1" applyAlignment="1">
      <alignment horizontal="center" wrapText="1"/>
    </xf>
    <xf numFmtId="0" fontId="81" fillId="13" borderId="9" xfId="0" applyFont="1" applyFill="1" applyBorder="1" applyAlignment="1">
      <alignment horizontal="center" wrapText="1"/>
    </xf>
    <xf numFmtId="171" fontId="81" fillId="13" borderId="9" xfId="0" applyNumberFormat="1" applyFont="1" applyFill="1" applyBorder="1" applyAlignment="1">
      <alignment horizontal="center" wrapText="1"/>
    </xf>
    <xf numFmtId="43" fontId="24" fillId="0" borderId="9" xfId="0" applyNumberFormat="1" applyFont="1" applyBorder="1" applyAlignment="1">
      <alignment horizontal="center"/>
    </xf>
    <xf numFmtId="171" fontId="24" fillId="29" borderId="9" xfId="2" applyNumberFormat="1" applyFont="1" applyFill="1" applyBorder="1" applyAlignment="1">
      <alignment horizontal="center"/>
    </xf>
    <xf numFmtId="171" fontId="24" fillId="27" borderId="9" xfId="2" applyNumberFormat="1" applyFont="1" applyFill="1" applyBorder="1" applyAlignment="1">
      <alignment horizontal="center"/>
    </xf>
    <xf numFmtId="7" fontId="24" fillId="4" borderId="9" xfId="0" applyNumberFormat="1" applyFont="1" applyFill="1" applyBorder="1"/>
    <xf numFmtId="0" fontId="24" fillId="18" borderId="9" xfId="0" applyFont="1" applyFill="1" applyBorder="1"/>
    <xf numFmtId="7" fontId="24" fillId="18" borderId="9" xfId="0" applyNumberFormat="1" applyFont="1" applyFill="1" applyBorder="1"/>
    <xf numFmtId="43" fontId="24" fillId="25" borderId="9" xfId="0" applyNumberFormat="1" applyFont="1" applyFill="1" applyBorder="1" applyAlignment="1">
      <alignment horizontal="center"/>
    </xf>
    <xf numFmtId="44" fontId="44" fillId="0" borderId="9" xfId="2" applyFont="1" applyBorder="1"/>
    <xf numFmtId="43" fontId="24" fillId="20" borderId="9" xfId="0" applyNumberFormat="1" applyFont="1" applyFill="1" applyBorder="1"/>
    <xf numFmtId="0" fontId="24" fillId="20" borderId="9" xfId="0" applyFont="1" applyFill="1" applyBorder="1"/>
    <xf numFmtId="0" fontId="24" fillId="22" borderId="9" xfId="0" applyFont="1" applyFill="1" applyBorder="1"/>
    <xf numFmtId="44" fontId="24" fillId="33" borderId="9" xfId="0" applyNumberFormat="1" applyFont="1" applyFill="1" applyBorder="1"/>
    <xf numFmtId="0" fontId="24" fillId="33" borderId="9" xfId="0" applyFont="1" applyFill="1" applyBorder="1"/>
    <xf numFmtId="7" fontId="24" fillId="33" borderId="9" xfId="0" applyNumberFormat="1" applyFont="1" applyFill="1" applyBorder="1"/>
    <xf numFmtId="0" fontId="24" fillId="24" borderId="9" xfId="0" applyFont="1" applyFill="1" applyBorder="1"/>
    <xf numFmtId="0" fontId="24" fillId="31" borderId="9" xfId="0" applyFont="1" applyFill="1" applyBorder="1"/>
    <xf numFmtId="2" fontId="24" fillId="5" borderId="9" xfId="0" applyNumberFormat="1" applyFont="1" applyFill="1" applyBorder="1" applyAlignment="1">
      <alignment horizontal="center"/>
    </xf>
    <xf numFmtId="44" fontId="24" fillId="5" borderId="9" xfId="2" applyFont="1" applyFill="1" applyBorder="1" applyAlignment="1">
      <alignment horizontal="center"/>
    </xf>
    <xf numFmtId="0" fontId="24" fillId="21" borderId="9" xfId="0" applyFont="1" applyFill="1" applyBorder="1"/>
    <xf numFmtId="171" fontId="24" fillId="20" borderId="9" xfId="0" applyNumberFormat="1" applyFont="1" applyFill="1" applyBorder="1" applyAlignment="1">
      <alignment horizontal="center"/>
    </xf>
    <xf numFmtId="0" fontId="24" fillId="27" borderId="9" xfId="0" applyFont="1" applyFill="1" applyBorder="1"/>
    <xf numFmtId="43" fontId="24" fillId="5" borderId="9" xfId="0" applyNumberFormat="1" applyFont="1" applyFill="1" applyBorder="1" applyAlignment="1">
      <alignment horizontal="center"/>
    </xf>
    <xf numFmtId="1" fontId="24" fillId="4" borderId="9" xfId="0" applyNumberFormat="1" applyFont="1" applyFill="1" applyBorder="1"/>
    <xf numFmtId="1" fontId="24" fillId="22" borderId="9" xfId="0" applyNumberFormat="1" applyFont="1" applyFill="1" applyBorder="1"/>
    <xf numFmtId="2" fontId="24" fillId="8" borderId="9" xfId="0" applyNumberFormat="1" applyFont="1" applyFill="1" applyBorder="1" applyAlignment="1">
      <alignment horizontal="center"/>
    </xf>
    <xf numFmtId="1" fontId="24" fillId="33" borderId="9" xfId="0" applyNumberFormat="1" applyFont="1" applyFill="1" applyBorder="1"/>
    <xf numFmtId="171" fontId="24" fillId="17" borderId="9" xfId="0" applyNumberFormat="1" applyFont="1" applyFill="1" applyBorder="1" applyAlignment="1">
      <alignment horizontal="center"/>
    </xf>
    <xf numFmtId="192" fontId="24" fillId="0" borderId="0" xfId="0" applyNumberFormat="1" applyFont="1" applyAlignment="1">
      <alignment horizontal="center"/>
    </xf>
    <xf numFmtId="203" fontId="4" fillId="0" borderId="9" xfId="0" applyNumberFormat="1" applyFont="1" applyBorder="1"/>
    <xf numFmtId="9" fontId="4" fillId="0" borderId="9" xfId="0" applyNumberFormat="1" applyFont="1" applyBorder="1"/>
    <xf numFmtId="43" fontId="4" fillId="0" borderId="0" xfId="1" applyFont="1"/>
    <xf numFmtId="205" fontId="4" fillId="28" borderId="0" xfId="0" applyNumberFormat="1" applyFont="1" applyFill="1"/>
    <xf numFmtId="43" fontId="4" fillId="0" borderId="16" xfId="1" applyFont="1" applyBorder="1"/>
    <xf numFmtId="7" fontId="4" fillId="0" borderId="9" xfId="0" applyNumberFormat="1" applyFont="1" applyBorder="1"/>
    <xf numFmtId="7" fontId="4" fillId="0" borderId="9" xfId="2" applyNumberFormat="1" applyFont="1" applyBorder="1"/>
    <xf numFmtId="0" fontId="4" fillId="0" borderId="19" xfId="13" applyFont="1" applyFill="1" applyBorder="1" applyAlignment="1">
      <alignment horizontal="left"/>
    </xf>
    <xf numFmtId="0" fontId="4" fillId="0" borderId="23" xfId="13" applyFont="1" applyFill="1" applyBorder="1" applyAlignment="1">
      <alignment horizontal="left"/>
    </xf>
    <xf numFmtId="165" fontId="42" fillId="0" borderId="0" xfId="8" applyNumberFormat="1" applyFont="1" applyFill="1" applyBorder="1" applyAlignment="1">
      <alignment horizontal="left" vertical="center"/>
    </xf>
    <xf numFmtId="171" fontId="4" fillId="0" borderId="0" xfId="6" applyNumberFormat="1" applyFont="1" applyFill="1" applyBorder="1" applyAlignment="1">
      <alignment horizontal="center"/>
    </xf>
    <xf numFmtId="165" fontId="4" fillId="0" borderId="0" xfId="6" applyNumberFormat="1" applyFont="1" applyFill="1" applyBorder="1" applyAlignment="1">
      <alignment horizontal="left" vertical="center" wrapText="1"/>
    </xf>
    <xf numFmtId="0" fontId="4" fillId="22" borderId="9" xfId="0" applyFont="1" applyFill="1" applyBorder="1"/>
    <xf numFmtId="43" fontId="4" fillId="5" borderId="9" xfId="0" applyNumberFormat="1" applyFont="1" applyFill="1" applyBorder="1" applyAlignment="1">
      <alignment horizontal="center"/>
    </xf>
    <xf numFmtId="44" fontId="4" fillId="5" borderId="9" xfId="2" applyFont="1" applyFill="1" applyBorder="1" applyAlignment="1">
      <alignment horizontal="center"/>
    </xf>
    <xf numFmtId="170" fontId="24" fillId="0" borderId="4" xfId="1" applyNumberFormat="1" applyFont="1" applyFill="1" applyBorder="1" applyAlignment="1">
      <alignment horizontal="center"/>
    </xf>
    <xf numFmtId="170" fontId="24" fillId="0" borderId="23" xfId="1" applyNumberFormat="1" applyFont="1" applyFill="1" applyBorder="1" applyAlignment="1">
      <alignment horizontal="center"/>
    </xf>
    <xf numFmtId="165" fontId="24" fillId="4" borderId="9" xfId="1" applyNumberFormat="1" applyFont="1" applyFill="1" applyBorder="1" applyAlignment="1">
      <alignment horizontal="center"/>
    </xf>
    <xf numFmtId="0" fontId="4" fillId="0" borderId="0" xfId="0" applyFont="1" applyAlignment="1">
      <alignment horizontal="right"/>
    </xf>
    <xf numFmtId="170" fontId="4" fillId="0" borderId="9" xfId="1" applyNumberFormat="1" applyFont="1" applyFill="1" applyBorder="1" applyAlignment="1">
      <alignment horizontal="center"/>
    </xf>
    <xf numFmtId="165" fontId="4" fillId="0" borderId="9" xfId="8" applyNumberFormat="1" applyFont="1" applyFill="1" applyBorder="1" applyAlignment="1">
      <alignment horizontal="center"/>
    </xf>
    <xf numFmtId="1" fontId="4" fillId="0" borderId="9" xfId="8" applyNumberFormat="1" applyFont="1" applyFill="1" applyBorder="1" applyAlignment="1">
      <alignment horizontal="center"/>
    </xf>
    <xf numFmtId="165" fontId="52" fillId="4" borderId="0" xfId="8" applyNumberFormat="1" applyFont="1" applyFill="1" applyBorder="1" applyAlignment="1">
      <alignment horizontal="left" vertical="center"/>
    </xf>
    <xf numFmtId="7" fontId="24" fillId="4" borderId="0" xfId="2" applyNumberFormat="1" applyFont="1" applyFill="1" applyBorder="1" applyAlignment="1">
      <alignment horizontal="center"/>
    </xf>
    <xf numFmtId="0" fontId="24" fillId="4" borderId="0" xfId="8" applyFont="1" applyFill="1" applyBorder="1" applyAlignment="1">
      <alignment wrapText="1"/>
    </xf>
    <xf numFmtId="0" fontId="56" fillId="0" borderId="0" xfId="8" applyFont="1" applyBorder="1" applyAlignment="1">
      <alignment horizontal="left" vertical="center"/>
    </xf>
    <xf numFmtId="7" fontId="1" fillId="4" borderId="0" xfId="2" applyNumberFormat="1" applyFont="1" applyFill="1" applyBorder="1" applyAlignment="1">
      <alignment horizontal="center"/>
    </xf>
    <xf numFmtId="1" fontId="1" fillId="0" borderId="0" xfId="3" applyNumberFormat="1" applyFont="1" applyBorder="1" applyAlignment="1">
      <alignment horizontal="center"/>
    </xf>
    <xf numFmtId="9" fontId="24" fillId="0" borderId="0" xfId="3" applyFont="1" applyFill="1" applyBorder="1" applyAlignment="1">
      <alignment horizontal="left" vertical="top" wrapText="1"/>
    </xf>
    <xf numFmtId="0" fontId="35" fillId="6" borderId="0" xfId="5" applyFont="1" applyFill="1" applyBorder="1" applyAlignment="1">
      <alignment vertical="center"/>
    </xf>
    <xf numFmtId="44" fontId="4" fillId="0" borderId="22" xfId="0" applyNumberFormat="1" applyFont="1" applyBorder="1" applyAlignment="1">
      <alignment horizontal="center"/>
    </xf>
    <xf numFmtId="44" fontId="4" fillId="0" borderId="25" xfId="0" applyNumberFormat="1" applyFont="1" applyBorder="1" applyAlignment="1">
      <alignment horizontal="center"/>
    </xf>
    <xf numFmtId="0" fontId="3" fillId="4" borderId="0" xfId="0" applyFont="1" applyFill="1" applyAlignment="1">
      <alignment horizontal="center"/>
    </xf>
    <xf numFmtId="0" fontId="0" fillId="4" borderId="0" xfId="0" applyFill="1" applyAlignment="1"/>
    <xf numFmtId="0" fontId="7" fillId="0" borderId="0" xfId="0" applyFont="1" applyAlignment="1">
      <alignment horizontal="center" wrapText="1"/>
    </xf>
    <xf numFmtId="164" fontId="8" fillId="0" borderId="0" xfId="0" applyNumberFormat="1" applyFont="1" applyAlignment="1">
      <alignment horizontal="center" wrapText="1"/>
    </xf>
    <xf numFmtId="164" fontId="0" fillId="0" borderId="0" xfId="0" applyNumberFormat="1" applyAlignment="1">
      <alignment horizontal="center" wrapText="1"/>
    </xf>
    <xf numFmtId="0" fontId="9" fillId="5" borderId="2" xfId="0" applyFont="1" applyFill="1" applyBorder="1" applyAlignment="1">
      <alignment horizontal="center" vertical="center" wrapText="1"/>
    </xf>
    <xf numFmtId="0" fontId="0" fillId="5" borderId="6" xfId="0" applyFill="1" applyBorder="1" applyAlignment="1">
      <alignment wrapText="1"/>
    </xf>
    <xf numFmtId="0" fontId="0" fillId="5" borderId="7" xfId="0" applyFill="1" applyBorder="1" applyAlignment="1">
      <alignment horizontal="center" vertical="center" wrapText="1"/>
    </xf>
    <xf numFmtId="0" fontId="0" fillId="5" borderId="12" xfId="0" applyFill="1" applyBorder="1" applyAlignment="1">
      <alignment horizontal="center" vertical="center" wrapText="1"/>
    </xf>
    <xf numFmtId="0" fontId="9" fillId="5" borderId="3" xfId="0" applyFont="1"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24" fillId="0" borderId="31" xfId="0" applyFont="1" applyBorder="1" applyAlignment="1">
      <alignment horizontal="center" vertical="center"/>
    </xf>
    <xf numFmtId="0" fontId="24" fillId="0" borderId="33" xfId="0" applyFont="1" applyBorder="1" applyAlignment="1">
      <alignment horizontal="center" vertical="center"/>
    </xf>
    <xf numFmtId="168" fontId="24" fillId="0" borderId="31" xfId="5" applyNumberFormat="1" applyFont="1" applyBorder="1" applyAlignment="1">
      <alignment horizontal="center" vertical="center"/>
    </xf>
    <xf numFmtId="168" fontId="24" fillId="0" borderId="33" xfId="5" applyNumberFormat="1" applyFont="1" applyBorder="1" applyAlignment="1">
      <alignment horizontal="center" vertical="center"/>
    </xf>
    <xf numFmtId="168" fontId="4" fillId="0" borderId="35" xfId="5" applyNumberFormat="1" applyFont="1" applyFill="1" applyBorder="1" applyAlignment="1">
      <alignment horizontal="left" vertical="top" wrapText="1"/>
    </xf>
    <xf numFmtId="168" fontId="4" fillId="0" borderId="36" xfId="5" applyNumberFormat="1" applyFont="1" applyFill="1" applyBorder="1" applyAlignment="1">
      <alignment horizontal="left" vertical="top" wrapText="1"/>
    </xf>
    <xf numFmtId="168" fontId="4" fillId="0" borderId="34" xfId="5" applyNumberFormat="1" applyFont="1" applyFill="1" applyBorder="1" applyAlignment="1">
      <alignment horizontal="left" vertical="top" wrapText="1"/>
    </xf>
    <xf numFmtId="168" fontId="1" fillId="0" borderId="19" xfId="5" applyNumberFormat="1" applyFont="1" applyFill="1" applyBorder="1" applyAlignment="1">
      <alignment horizontal="center" vertical="center"/>
    </xf>
    <xf numFmtId="168" fontId="1" fillId="0" borderId="33" xfId="5" applyNumberFormat="1" applyFont="1" applyFill="1" applyBorder="1" applyAlignment="1">
      <alignment horizontal="center" vertical="center"/>
    </xf>
    <xf numFmtId="0" fontId="29" fillId="4" borderId="31" xfId="8" applyFont="1" applyFill="1" applyBorder="1" applyAlignment="1">
      <alignment horizontal="center" vertical="center" wrapText="1"/>
    </xf>
    <xf numFmtId="0" fontId="29" fillId="4" borderId="33" xfId="8" applyFont="1" applyFill="1" applyBorder="1" applyAlignment="1">
      <alignment horizontal="center" vertical="center" wrapText="1"/>
    </xf>
    <xf numFmtId="168" fontId="4" fillId="0" borderId="33" xfId="5" applyNumberFormat="1" applyFont="1" applyFill="1" applyBorder="1" applyAlignment="1">
      <alignment horizontal="left" vertical="center" wrapText="1"/>
    </xf>
    <xf numFmtId="0" fontId="29" fillId="4" borderId="31" xfId="8" applyFont="1" applyFill="1" applyBorder="1" applyAlignment="1">
      <alignment horizontal="center" vertical="center"/>
    </xf>
    <xf numFmtId="0" fontId="29" fillId="4" borderId="33" xfId="8" applyFont="1" applyFill="1" applyBorder="1" applyAlignment="1">
      <alignment horizontal="center" vertical="center"/>
    </xf>
    <xf numFmtId="168" fontId="1" fillId="0" borderId="31" xfId="5" applyNumberFormat="1" applyFont="1" applyBorder="1" applyAlignment="1">
      <alignment horizontal="center" vertical="center"/>
    </xf>
    <xf numFmtId="168" fontId="1" fillId="0" borderId="33" xfId="5" applyNumberFormat="1" applyFont="1" applyBorder="1" applyAlignment="1">
      <alignment horizontal="center" vertical="center"/>
    </xf>
    <xf numFmtId="0" fontId="24" fillId="0" borderId="31" xfId="0" applyFont="1" applyBorder="1" applyAlignment="1">
      <alignment horizontal="left" vertical="center"/>
    </xf>
    <xf numFmtId="0" fontId="24" fillId="0" borderId="30" xfId="0" applyFont="1" applyBorder="1" applyAlignment="1">
      <alignment horizontal="left" vertical="center"/>
    </xf>
    <xf numFmtId="0" fontId="24" fillId="0" borderId="33" xfId="0" applyFont="1" applyBorder="1" applyAlignment="1">
      <alignment horizontal="left" vertical="center"/>
    </xf>
    <xf numFmtId="168" fontId="24" fillId="0" borderId="30" xfId="5" applyNumberFormat="1" applyFont="1" applyBorder="1" applyAlignment="1">
      <alignment horizontal="center" vertical="center"/>
    </xf>
    <xf numFmtId="168" fontId="24" fillId="0" borderId="57" xfId="5" applyNumberFormat="1" applyFont="1" applyFill="1" applyBorder="1" applyAlignment="1">
      <alignment horizontal="left" vertical="center" wrapText="1"/>
    </xf>
    <xf numFmtId="168" fontId="24" fillId="0" borderId="58" xfId="5" applyNumberFormat="1" applyFont="1" applyFill="1" applyBorder="1" applyAlignment="1">
      <alignment horizontal="left" vertical="center" wrapText="1"/>
    </xf>
    <xf numFmtId="168" fontId="24" fillId="0" borderId="59" xfId="5" applyNumberFormat="1" applyFont="1" applyFill="1" applyBorder="1" applyAlignment="1">
      <alignment horizontal="left" vertical="center" wrapText="1"/>
    </xf>
    <xf numFmtId="168" fontId="24" fillId="0" borderId="22" xfId="5" applyNumberFormat="1" applyFont="1" applyFill="1" applyBorder="1" applyAlignment="1">
      <alignment horizontal="left" vertical="center" wrapText="1"/>
    </xf>
    <xf numFmtId="168" fontId="24" fillId="0" borderId="0" xfId="5" applyNumberFormat="1" applyFont="1" applyFill="1" applyBorder="1" applyAlignment="1">
      <alignment horizontal="left" vertical="center" wrapText="1"/>
    </xf>
    <xf numFmtId="168" fontId="24" fillId="0" borderId="24" xfId="5" applyNumberFormat="1" applyFont="1" applyFill="1" applyBorder="1" applyAlignment="1">
      <alignment horizontal="left" vertical="center" wrapText="1"/>
    </xf>
    <xf numFmtId="168" fontId="24" fillId="0" borderId="60" xfId="5" applyNumberFormat="1" applyFont="1" applyFill="1" applyBorder="1" applyAlignment="1">
      <alignment horizontal="left" vertical="center" wrapText="1"/>
    </xf>
    <xf numFmtId="168" fontId="24" fillId="0" borderId="61" xfId="5" applyNumberFormat="1" applyFont="1" applyFill="1" applyBorder="1" applyAlignment="1">
      <alignment horizontal="left" vertical="center" wrapText="1"/>
    </xf>
    <xf numFmtId="168" fontId="24" fillId="0" borderId="62" xfId="5" applyNumberFormat="1" applyFont="1" applyFill="1" applyBorder="1" applyAlignment="1">
      <alignment horizontal="left" vertical="center" wrapText="1"/>
    </xf>
    <xf numFmtId="168" fontId="1" fillId="0" borderId="30" xfId="5" applyNumberFormat="1" applyFont="1" applyBorder="1" applyAlignment="1">
      <alignment horizontal="center" vertical="center"/>
    </xf>
    <xf numFmtId="168" fontId="1" fillId="0" borderId="23" xfId="5" applyNumberFormat="1" applyFont="1" applyBorder="1" applyAlignment="1">
      <alignment horizontal="center" vertical="center"/>
    </xf>
    <xf numFmtId="168" fontId="0" fillId="0" borderId="31" xfId="5" applyNumberFormat="1" applyFont="1" applyBorder="1" applyAlignment="1">
      <alignment horizontal="center" vertical="center"/>
    </xf>
    <xf numFmtId="168" fontId="0" fillId="0" borderId="30" xfId="5" applyNumberFormat="1" applyFont="1" applyBorder="1" applyAlignment="1">
      <alignment horizontal="center" vertical="center"/>
    </xf>
    <xf numFmtId="168" fontId="0" fillId="0" borderId="33" xfId="5" applyNumberFormat="1" applyFont="1" applyBorder="1" applyAlignment="1">
      <alignment horizontal="center" vertical="center"/>
    </xf>
    <xf numFmtId="168" fontId="24" fillId="0" borderId="16" xfId="5" applyNumberFormat="1" applyFont="1" applyFill="1" applyBorder="1" applyAlignment="1">
      <alignment horizontal="left" vertical="top" wrapText="1"/>
    </xf>
    <xf numFmtId="168" fontId="24" fillId="0" borderId="17" xfId="5" applyNumberFormat="1" applyFont="1" applyFill="1" applyBorder="1" applyAlignment="1">
      <alignment horizontal="left" vertical="top" wrapText="1"/>
    </xf>
    <xf numFmtId="168" fontId="24" fillId="0" borderId="18" xfId="5" applyNumberFormat="1" applyFont="1" applyFill="1" applyBorder="1" applyAlignment="1">
      <alignment horizontal="left" vertical="top" wrapText="1"/>
    </xf>
    <xf numFmtId="168" fontId="24" fillId="0" borderId="16" xfId="5" applyNumberFormat="1" applyFont="1" applyBorder="1" applyAlignment="1">
      <alignment horizontal="left" vertical="top" wrapText="1"/>
    </xf>
    <xf numFmtId="168" fontId="24" fillId="0" borderId="17" xfId="5" applyNumberFormat="1" applyFont="1" applyBorder="1" applyAlignment="1">
      <alignment horizontal="left" vertical="top" wrapText="1"/>
    </xf>
    <xf numFmtId="168" fontId="24" fillId="0" borderId="18" xfId="5" applyNumberFormat="1" applyFont="1" applyBorder="1" applyAlignment="1">
      <alignment horizontal="left" vertical="top" wrapText="1"/>
    </xf>
    <xf numFmtId="168" fontId="24" fillId="0" borderId="9" xfId="5" applyNumberFormat="1" applyFont="1" applyBorder="1" applyAlignment="1">
      <alignment horizontal="left" vertical="top" wrapText="1"/>
    </xf>
    <xf numFmtId="168" fontId="24" fillId="0" borderId="23" xfId="5" applyNumberFormat="1" applyFont="1" applyFill="1" applyBorder="1" applyAlignment="1">
      <alignment horizontal="left" vertical="center" wrapText="1"/>
    </xf>
    <xf numFmtId="168" fontId="24" fillId="0" borderId="33" xfId="5" applyNumberFormat="1" applyFont="1" applyFill="1" applyBorder="1" applyAlignment="1">
      <alignment horizontal="left" vertical="center" wrapText="1"/>
    </xf>
    <xf numFmtId="168" fontId="24" fillId="0" borderId="4" xfId="5" applyNumberFormat="1" applyFont="1" applyFill="1" applyBorder="1" applyAlignment="1">
      <alignment horizontal="left" vertical="center" wrapText="1"/>
    </xf>
    <xf numFmtId="0" fontId="4" fillId="0" borderId="4" xfId="5" quotePrefix="1" applyNumberFormat="1" applyFont="1" applyFill="1" applyBorder="1" applyAlignment="1">
      <alignment horizontal="left" vertical="center" wrapText="1"/>
    </xf>
    <xf numFmtId="0" fontId="24" fillId="0" borderId="4" xfId="5" applyNumberFormat="1" applyFont="1" applyFill="1" applyBorder="1" applyAlignment="1">
      <alignment horizontal="left" vertical="center" wrapText="1"/>
    </xf>
    <xf numFmtId="0" fontId="4" fillId="0" borderId="33" xfId="5" applyNumberFormat="1" applyFont="1" applyFill="1" applyBorder="1" applyAlignment="1">
      <alignment horizontal="left" vertical="center" wrapText="1"/>
    </xf>
    <xf numFmtId="168" fontId="24" fillId="0" borderId="4" xfId="5" applyNumberFormat="1" applyFont="1" applyFill="1" applyBorder="1" applyAlignment="1">
      <alignment horizontal="left" vertical="top" wrapText="1"/>
    </xf>
    <xf numFmtId="168" fontId="4" fillId="0" borderId="16" xfId="5" applyNumberFormat="1" applyFont="1" applyFill="1" applyBorder="1" applyAlignment="1">
      <alignment horizontal="left" vertical="center" wrapText="1"/>
    </xf>
    <xf numFmtId="168" fontId="4" fillId="0" borderId="17" xfId="5" applyNumberFormat="1" applyFont="1" applyFill="1" applyBorder="1" applyAlignment="1">
      <alignment horizontal="left" vertical="center" wrapText="1"/>
    </xf>
    <xf numFmtId="168" fontId="4" fillId="0" borderId="18" xfId="5" applyNumberFormat="1" applyFont="1" applyFill="1" applyBorder="1" applyAlignment="1">
      <alignment horizontal="left" vertical="center" wrapText="1"/>
    </xf>
    <xf numFmtId="168" fontId="24" fillId="0" borderId="37" xfId="5" applyNumberFormat="1" applyFont="1" applyBorder="1" applyAlignment="1">
      <alignment horizontal="left" vertical="top" wrapText="1"/>
    </xf>
    <xf numFmtId="168" fontId="24" fillId="0" borderId="38" xfId="5" applyNumberFormat="1" applyFont="1" applyBorder="1" applyAlignment="1">
      <alignment horizontal="left" vertical="top" wrapText="1"/>
    </xf>
    <xf numFmtId="168" fontId="24" fillId="0" borderId="32" xfId="5" applyNumberFormat="1" applyFont="1" applyBorder="1" applyAlignment="1">
      <alignment horizontal="left" vertical="top" wrapText="1"/>
    </xf>
    <xf numFmtId="0" fontId="24" fillId="0" borderId="30" xfId="0" applyFont="1" applyBorder="1" applyAlignment="1">
      <alignment horizontal="center" vertical="center"/>
    </xf>
    <xf numFmtId="2" fontId="24" fillId="0" borderId="16" xfId="0" applyNumberFormat="1" applyFont="1" applyBorder="1" applyAlignment="1"/>
    <xf numFmtId="0" fontId="24" fillId="0" borderId="17" xfId="0" applyFont="1" applyBorder="1" applyAlignment="1"/>
    <xf numFmtId="0" fontId="24" fillId="0" borderId="18" xfId="0" applyFont="1" applyBorder="1" applyAlignment="1"/>
    <xf numFmtId="168" fontId="24" fillId="0" borderId="9" xfId="5" applyNumberFormat="1" applyFont="1" applyBorder="1" applyAlignment="1">
      <alignment horizontal="left" vertical="center" wrapText="1"/>
    </xf>
    <xf numFmtId="168" fontId="24" fillId="0" borderId="16" xfId="5" applyNumberFormat="1" applyFont="1" applyFill="1" applyBorder="1" applyAlignment="1">
      <alignment horizontal="left" vertical="center" wrapText="1"/>
    </xf>
    <xf numFmtId="168" fontId="24" fillId="0" borderId="17" xfId="5" applyNumberFormat="1" applyFont="1" applyFill="1" applyBorder="1" applyAlignment="1">
      <alignment horizontal="left" vertical="center" wrapText="1"/>
    </xf>
    <xf numFmtId="168" fontId="24" fillId="0" borderId="18" xfId="5" applyNumberFormat="1" applyFont="1" applyFill="1" applyBorder="1" applyAlignment="1">
      <alignment horizontal="left"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0" fillId="0" borderId="17" xfId="0" applyBorder="1" applyAlignment="1"/>
    <xf numFmtId="0" fontId="0" fillId="0" borderId="18" xfId="0" applyBorder="1" applyAlignment="1"/>
    <xf numFmtId="0" fontId="24" fillId="11" borderId="19" xfId="5" applyFont="1" applyFill="1" applyBorder="1" applyAlignment="1">
      <alignment horizontal="center" vertical="center" wrapText="1"/>
    </xf>
    <xf numFmtId="0" fontId="24" fillId="0" borderId="0" xfId="0" applyFont="1" applyBorder="1" applyAlignment="1">
      <alignment wrapText="1"/>
    </xf>
    <xf numFmtId="0" fontId="35" fillId="6" borderId="0" xfId="5" applyFont="1" applyFill="1" applyAlignment="1">
      <alignment vertical="center"/>
    </xf>
    <xf numFmtId="0" fontId="82" fillId="0" borderId="0" xfId="0" applyFont="1" applyAlignment="1">
      <alignment vertical="center"/>
    </xf>
    <xf numFmtId="0" fontId="71" fillId="6" borderId="0" xfId="5" applyFont="1" applyFill="1" applyAlignment="1">
      <alignment vertical="center"/>
    </xf>
    <xf numFmtId="0" fontId="81" fillId="0" borderId="0" xfId="0" applyFont="1" applyAlignment="1">
      <alignment vertical="center"/>
    </xf>
    <xf numFmtId="0" fontId="71" fillId="0" borderId="0" xfId="5" applyFont="1" applyFill="1" applyBorder="1" applyAlignment="1">
      <alignment vertical="center" wrapText="1"/>
    </xf>
    <xf numFmtId="0" fontId="81" fillId="0" borderId="0" xfId="0" applyFont="1" applyFill="1" applyBorder="1" applyAlignment="1">
      <alignment vertical="center" wrapText="1"/>
    </xf>
    <xf numFmtId="0" fontId="24" fillId="0" borderId="0" xfId="0" applyFont="1" applyFill="1" applyBorder="1" applyAlignment="1">
      <alignment vertical="center" wrapText="1"/>
    </xf>
    <xf numFmtId="2" fontId="4" fillId="0" borderId="16" xfId="0" applyNumberFormat="1" applyFont="1" applyFill="1" applyBorder="1" applyAlignment="1"/>
    <xf numFmtId="0" fontId="4" fillId="0" borderId="17" xfId="0" applyFont="1" applyFill="1" applyBorder="1" applyAlignment="1"/>
    <xf numFmtId="0" fontId="4" fillId="0" borderId="18" xfId="0" applyFont="1" applyFill="1" applyBorder="1" applyAlignment="1"/>
    <xf numFmtId="2" fontId="4" fillId="0" borderId="35" xfId="0" applyNumberFormat="1" applyFont="1" applyFill="1" applyBorder="1" applyAlignment="1">
      <alignment horizontal="left"/>
    </xf>
    <xf numFmtId="2" fontId="4" fillId="0" borderId="36" xfId="0" applyNumberFormat="1" applyFont="1" applyFill="1" applyBorder="1" applyAlignment="1">
      <alignment horizontal="left"/>
    </xf>
    <xf numFmtId="2" fontId="4" fillId="0" borderId="34" xfId="0" applyNumberFormat="1" applyFont="1" applyFill="1" applyBorder="1" applyAlignment="1">
      <alignment horizontal="left"/>
    </xf>
    <xf numFmtId="168" fontId="24" fillId="0" borderId="9" xfId="5" applyNumberFormat="1" applyFont="1" applyFill="1" applyBorder="1" applyAlignment="1">
      <alignment horizontal="left" vertical="top" wrapText="1"/>
    </xf>
    <xf numFmtId="168" fontId="24" fillId="0" borderId="9" xfId="5" applyNumberFormat="1" applyFont="1" applyFill="1" applyBorder="1" applyAlignment="1">
      <alignment horizontal="left" vertical="center" wrapText="1"/>
    </xf>
    <xf numFmtId="0" fontId="24" fillId="0" borderId="9" xfId="6" applyFont="1" applyFill="1" applyBorder="1" applyAlignment="1">
      <alignment wrapText="1"/>
    </xf>
    <xf numFmtId="0" fontId="24" fillId="0" borderId="9" xfId="0" applyFont="1" applyBorder="1" applyAlignment="1">
      <alignment wrapText="1"/>
    </xf>
    <xf numFmtId="0" fontId="24" fillId="11" borderId="9" xfId="0" applyFont="1" applyFill="1" applyBorder="1" applyAlignment="1">
      <alignment horizontal="center" vertical="center" wrapText="1"/>
    </xf>
    <xf numFmtId="0" fontId="24" fillId="0" borderId="9" xfId="0" applyFont="1" applyBorder="1" applyAlignment="1"/>
    <xf numFmtId="0" fontId="24" fillId="0" borderId="4"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4" xfId="6" applyFont="1" applyFill="1" applyBorder="1" applyAlignment="1">
      <alignment horizontal="left" vertical="center" wrapText="1"/>
    </xf>
    <xf numFmtId="0" fontId="24" fillId="0" borderId="9" xfId="6" applyFont="1" applyFill="1" applyBorder="1" applyAlignment="1">
      <alignment horizontal="left" vertical="center" wrapText="1"/>
    </xf>
    <xf numFmtId="0" fontId="24" fillId="0" borderId="19" xfId="6"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14" xfId="6" applyFont="1" applyFill="1" applyBorder="1" applyAlignment="1">
      <alignment horizontal="left" vertical="center" wrapText="1"/>
    </xf>
    <xf numFmtId="165" fontId="24" fillId="0" borderId="9" xfId="6" applyNumberFormat="1" applyFont="1" applyFill="1" applyBorder="1" applyAlignment="1">
      <alignment horizontal="left" vertical="center" wrapText="1"/>
    </xf>
    <xf numFmtId="0" fontId="24" fillId="0" borderId="9" xfId="0" applyFont="1" applyFill="1" applyBorder="1" applyAlignment="1">
      <alignment wrapText="1"/>
    </xf>
    <xf numFmtId="165" fontId="24" fillId="0" borderId="16" xfId="6" applyNumberFormat="1" applyFont="1" applyFill="1" applyBorder="1" applyAlignment="1">
      <alignment horizontal="left" vertical="center" wrapText="1"/>
    </xf>
    <xf numFmtId="165" fontId="24" fillId="0" borderId="18" xfId="6" applyNumberFormat="1" applyFont="1" applyFill="1" applyBorder="1" applyAlignment="1">
      <alignment horizontal="left" vertical="center" wrapText="1"/>
    </xf>
    <xf numFmtId="165" fontId="4" fillId="0" borderId="9" xfId="6" applyNumberFormat="1" applyFont="1" applyFill="1" applyBorder="1" applyAlignment="1">
      <alignment horizontal="left" vertical="center" wrapText="1"/>
    </xf>
    <xf numFmtId="0" fontId="24" fillId="0" borderId="9" xfId="6" applyFont="1" applyFill="1" applyBorder="1" applyAlignment="1">
      <alignment horizontal="left" vertical="center"/>
    </xf>
    <xf numFmtId="0" fontId="24" fillId="0" borderId="20" xfId="6" applyFont="1" applyFill="1" applyBorder="1" applyAlignment="1">
      <alignment horizontal="left"/>
    </xf>
    <xf numFmtId="0" fontId="24" fillId="0" borderId="25" xfId="6" applyFont="1" applyFill="1" applyBorder="1" applyAlignment="1">
      <alignment horizontal="left"/>
    </xf>
    <xf numFmtId="0" fontId="24" fillId="0" borderId="19" xfId="6" applyFont="1" applyFill="1" applyBorder="1" applyAlignment="1">
      <alignment horizontal="left" vertical="center"/>
    </xf>
    <xf numFmtId="0" fontId="24" fillId="0" borderId="23" xfId="6" applyFont="1" applyFill="1" applyBorder="1" applyAlignment="1">
      <alignment horizontal="left" vertical="center"/>
    </xf>
    <xf numFmtId="165" fontId="42" fillId="0" borderId="87" xfId="8" applyNumberFormat="1" applyFont="1" applyFill="1" applyBorder="1" applyAlignment="1">
      <alignment horizontal="left" vertical="center"/>
    </xf>
    <xf numFmtId="165" fontId="42" fillId="0" borderId="19" xfId="8" applyNumberFormat="1" applyFont="1" applyFill="1" applyBorder="1" applyAlignment="1">
      <alignment horizontal="left" vertical="center"/>
    </xf>
    <xf numFmtId="165" fontId="42" fillId="0" borderId="23" xfId="8" applyNumberFormat="1" applyFont="1" applyFill="1" applyBorder="1" applyAlignment="1">
      <alignment horizontal="left" vertical="center"/>
    </xf>
    <xf numFmtId="165" fontId="100" fillId="0" borderId="9" xfId="6" applyNumberFormat="1" applyFont="1" applyFill="1" applyBorder="1" applyAlignment="1">
      <alignment horizontal="left" vertical="center" wrapText="1"/>
    </xf>
    <xf numFmtId="165" fontId="51" fillId="0" borderId="19" xfId="8" applyNumberFormat="1" applyFont="1" applyBorder="1" applyAlignment="1">
      <alignment horizontal="left" vertical="center"/>
    </xf>
    <xf numFmtId="165" fontId="51" fillId="0" borderId="23" xfId="8" applyNumberFormat="1" applyFont="1" applyBorder="1" applyAlignment="1">
      <alignment horizontal="left" vertical="center"/>
    </xf>
    <xf numFmtId="165" fontId="100" fillId="4" borderId="9" xfId="6" applyNumberFormat="1" applyFont="1" applyFill="1" applyBorder="1" applyAlignment="1">
      <alignment horizontal="left" vertical="center" wrapText="1"/>
    </xf>
    <xf numFmtId="0" fontId="74" fillId="0" borderId="19" xfId="8" applyFont="1" applyFill="1" applyBorder="1" applyAlignment="1">
      <alignment horizontal="left" vertical="center"/>
    </xf>
    <xf numFmtId="0" fontId="74" fillId="0" borderId="30" xfId="8" applyFont="1" applyFill="1" applyBorder="1" applyAlignment="1">
      <alignment horizontal="left" vertical="center"/>
    </xf>
    <xf numFmtId="0" fontId="24" fillId="0" borderId="23" xfId="0" applyFont="1" applyBorder="1" applyAlignment="1">
      <alignment horizontal="left" vertical="center"/>
    </xf>
    <xf numFmtId="0" fontId="42" fillId="0" borderId="19" xfId="8" applyFont="1" applyFill="1" applyBorder="1" applyAlignment="1">
      <alignment horizontal="left" vertical="center"/>
    </xf>
    <xf numFmtId="0" fontId="42" fillId="0" borderId="30" xfId="8" applyFont="1" applyFill="1" applyBorder="1" applyAlignment="1">
      <alignment horizontal="left" vertical="center"/>
    </xf>
    <xf numFmtId="0" fontId="0" fillId="0" borderId="23" xfId="0" applyBorder="1" applyAlignment="1">
      <alignment horizontal="left" vertical="center"/>
    </xf>
    <xf numFmtId="0" fontId="4" fillId="10" borderId="16" xfId="0" applyFont="1" applyFill="1" applyBorder="1" applyAlignment="1">
      <alignment horizontal="left"/>
    </xf>
    <xf numFmtId="0" fontId="4" fillId="10" borderId="17" xfId="0" applyFont="1" applyFill="1" applyBorder="1" applyAlignment="1">
      <alignment horizontal="left"/>
    </xf>
    <xf numFmtId="0" fontId="4" fillId="0" borderId="17" xfId="0" applyFont="1" applyBorder="1" applyAlignment="1"/>
    <xf numFmtId="0" fontId="4" fillId="0" borderId="18" xfId="0" applyFont="1" applyBorder="1" applyAlignment="1"/>
    <xf numFmtId="0" fontId="29" fillId="0" borderId="16" xfId="8" applyFont="1" applyFill="1" applyBorder="1" applyAlignment="1">
      <alignment horizontal="left" wrapText="1"/>
    </xf>
    <xf numFmtId="0" fontId="29" fillId="0" borderId="18" xfId="8" applyFont="1" applyFill="1" applyBorder="1" applyAlignment="1">
      <alignment horizontal="left" wrapText="1"/>
    </xf>
    <xf numFmtId="0" fontId="30" fillId="0" borderId="9" xfId="8" applyFont="1" applyFill="1" applyBorder="1" applyAlignment="1">
      <alignment horizontal="left" wrapText="1"/>
    </xf>
    <xf numFmtId="0" fontId="0" fillId="0" borderId="30" xfId="0" applyBorder="1" applyAlignment="1">
      <alignment horizontal="left" vertical="center"/>
    </xf>
    <xf numFmtId="0" fontId="74" fillId="0" borderId="23" xfId="8" applyFont="1" applyFill="1" applyBorder="1" applyAlignment="1">
      <alignment horizontal="left" vertical="center"/>
    </xf>
    <xf numFmtId="0" fontId="42" fillId="0" borderId="23" xfId="8" applyFont="1" applyFill="1" applyBorder="1" applyAlignment="1">
      <alignment horizontal="left" vertical="center"/>
    </xf>
    <xf numFmtId="0" fontId="29" fillId="0" borderId="19" xfId="8" applyFont="1" applyFill="1" applyBorder="1" applyAlignment="1">
      <alignment vertical="center" wrapText="1"/>
    </xf>
    <xf numFmtId="0" fontId="29" fillId="0" borderId="30" xfId="8" applyFont="1" applyFill="1" applyBorder="1" applyAlignment="1">
      <alignment vertical="center" wrapText="1"/>
    </xf>
    <xf numFmtId="0" fontId="24" fillId="0" borderId="30" xfId="0" applyFont="1" applyFill="1" applyBorder="1" applyAlignment="1">
      <alignment vertical="center" wrapText="1"/>
    </xf>
    <xf numFmtId="0" fontId="24" fillId="0" borderId="23" xfId="0" applyFont="1" applyFill="1" applyBorder="1" applyAlignment="1">
      <alignment vertical="center" wrapText="1"/>
    </xf>
    <xf numFmtId="165" fontId="24" fillId="0" borderId="23" xfId="13" applyNumberFormat="1"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0" fontId="30" fillId="0" borderId="20" xfId="8" applyFont="1" applyFill="1" applyBorder="1" applyAlignment="1">
      <alignment horizontal="left" wrapText="1"/>
    </xf>
    <xf numFmtId="0" fontId="30" fillId="0" borderId="21" xfId="8" applyFont="1" applyFill="1" applyBorder="1" applyAlignment="1">
      <alignment horizontal="left" wrapText="1"/>
    </xf>
    <xf numFmtId="0" fontId="30" fillId="0" borderId="25" xfId="8" applyFont="1" applyFill="1" applyBorder="1" applyAlignment="1">
      <alignment horizontal="left" wrapText="1"/>
    </xf>
    <xf numFmtId="0" fontId="30" fillId="0" borderId="26" xfId="8" applyFont="1" applyFill="1" applyBorder="1" applyAlignment="1">
      <alignment horizontal="left" wrapText="1"/>
    </xf>
    <xf numFmtId="165" fontId="24" fillId="4" borderId="9" xfId="13" applyNumberFormat="1" applyFont="1" applyFill="1" applyBorder="1" applyAlignment="1">
      <alignment horizontal="left" vertical="center" wrapText="1"/>
    </xf>
    <xf numFmtId="0" fontId="24" fillId="0" borderId="19" xfId="13" applyFont="1" applyFill="1" applyBorder="1" applyAlignment="1">
      <alignment horizontal="left" vertical="center" wrapText="1"/>
    </xf>
    <xf numFmtId="0" fontId="24" fillId="0" borderId="30" xfId="13" applyFont="1" applyFill="1" applyBorder="1" applyAlignment="1">
      <alignment horizontal="left" vertical="center" wrapText="1"/>
    </xf>
    <xf numFmtId="0" fontId="24" fillId="0" borderId="33" xfId="13" applyFont="1" applyFill="1" applyBorder="1" applyAlignment="1">
      <alignment horizontal="left" vertical="center" wrapText="1"/>
    </xf>
    <xf numFmtId="0" fontId="1" fillId="4" borderId="19" xfId="13" applyFont="1" applyFill="1" applyBorder="1" applyAlignment="1">
      <alignment horizontal="left" vertical="center" wrapText="1"/>
    </xf>
    <xf numFmtId="0" fontId="1" fillId="4" borderId="30" xfId="13" applyFont="1" applyFill="1" applyBorder="1" applyAlignment="1">
      <alignment horizontal="left" vertical="center" wrapText="1"/>
    </xf>
    <xf numFmtId="0" fontId="1" fillId="4" borderId="23" xfId="13" applyFont="1" applyFill="1" applyBorder="1" applyAlignment="1">
      <alignment horizontal="left" vertical="center" wrapText="1"/>
    </xf>
    <xf numFmtId="165" fontId="24" fillId="0" borderId="14" xfId="13" applyNumberFormat="1" applyFont="1" applyFill="1" applyBorder="1" applyAlignment="1">
      <alignment horizontal="left" vertical="center" wrapText="1"/>
    </xf>
    <xf numFmtId="165" fontId="24" fillId="4" borderId="19" xfId="13" applyNumberFormat="1" applyFont="1" applyFill="1" applyBorder="1" applyAlignment="1">
      <alignment vertical="center" wrapText="1"/>
    </xf>
    <xf numFmtId="0" fontId="24" fillId="0" borderId="30" xfId="0" applyFont="1" applyBorder="1" applyAlignment="1">
      <alignment vertical="center" wrapText="1"/>
    </xf>
    <xf numFmtId="0" fontId="24" fillId="0" borderId="23" xfId="0" applyFont="1" applyBorder="1" applyAlignment="1">
      <alignment vertical="center" wrapText="1"/>
    </xf>
    <xf numFmtId="0" fontId="29" fillId="0" borderId="16" xfId="8" applyFont="1" applyFill="1" applyBorder="1" applyAlignment="1">
      <alignment horizontal="center" wrapText="1"/>
    </xf>
    <xf numFmtId="0" fontId="29" fillId="0" borderId="18" xfId="8" applyFont="1" applyFill="1" applyBorder="1" applyAlignment="1">
      <alignment horizontal="center" wrapText="1"/>
    </xf>
    <xf numFmtId="0" fontId="29" fillId="0" borderId="9" xfId="8" applyFont="1" applyFill="1" applyBorder="1" applyAlignment="1">
      <alignment horizontal="left" wrapText="1"/>
    </xf>
    <xf numFmtId="0" fontId="30" fillId="0" borderId="16" xfId="8" applyFont="1" applyFill="1" applyBorder="1" applyAlignment="1">
      <alignment horizontal="left" wrapText="1"/>
    </xf>
    <xf numFmtId="0" fontId="30" fillId="0" borderId="18" xfId="8" applyFont="1" applyFill="1" applyBorder="1" applyAlignment="1">
      <alignment horizontal="left" wrapText="1"/>
    </xf>
    <xf numFmtId="0" fontId="29" fillId="0" borderId="20" xfId="8" applyFont="1" applyFill="1" applyBorder="1" applyAlignment="1">
      <alignment horizontal="left" vertical="center" wrapText="1"/>
    </xf>
    <xf numFmtId="0" fontId="29" fillId="0" borderId="21" xfId="8" applyFont="1" applyFill="1" applyBorder="1" applyAlignment="1">
      <alignment horizontal="left" vertical="center" wrapText="1"/>
    </xf>
    <xf numFmtId="0" fontId="29" fillId="0" borderId="22" xfId="8" applyFont="1" applyFill="1" applyBorder="1" applyAlignment="1">
      <alignment horizontal="left" vertical="center" wrapText="1"/>
    </xf>
    <xf numFmtId="0" fontId="29" fillId="0" borderId="24" xfId="8" applyFont="1" applyFill="1" applyBorder="1" applyAlignment="1">
      <alignment horizontal="left" vertical="center" wrapText="1"/>
    </xf>
    <xf numFmtId="0" fontId="29" fillId="0" borderId="25" xfId="8" applyFont="1" applyFill="1" applyBorder="1" applyAlignment="1">
      <alignment horizontal="left" vertical="center" wrapText="1"/>
    </xf>
    <xf numFmtId="0" fontId="29" fillId="0" borderId="26" xfId="8" applyFont="1" applyFill="1" applyBorder="1" applyAlignment="1">
      <alignment horizontal="left" vertical="center" wrapText="1"/>
    </xf>
    <xf numFmtId="0" fontId="29" fillId="0" borderId="20" xfId="8" applyFont="1" applyFill="1" applyBorder="1" applyAlignment="1">
      <alignment horizontal="left" wrapText="1"/>
    </xf>
    <xf numFmtId="0" fontId="29" fillId="0" borderId="21" xfId="8" applyFont="1" applyFill="1" applyBorder="1" applyAlignment="1">
      <alignment horizontal="left" wrapText="1"/>
    </xf>
    <xf numFmtId="0" fontId="29" fillId="0" borderId="25" xfId="8" applyFont="1" applyFill="1" applyBorder="1" applyAlignment="1">
      <alignment horizontal="left" wrapText="1"/>
    </xf>
    <xf numFmtId="0" fontId="29" fillId="0" borderId="26" xfId="8" applyFont="1" applyFill="1" applyBorder="1" applyAlignment="1">
      <alignment horizontal="left" wrapText="1"/>
    </xf>
    <xf numFmtId="0" fontId="113" fillId="0" borderId="31" xfId="8" applyFont="1" applyFill="1" applyBorder="1" applyAlignment="1">
      <alignment horizontal="left" vertical="center"/>
    </xf>
    <xf numFmtId="0" fontId="113" fillId="0" borderId="33" xfId="8" applyFont="1" applyFill="1" applyBorder="1" applyAlignment="1">
      <alignment horizontal="left" vertical="center"/>
    </xf>
    <xf numFmtId="0" fontId="24" fillId="0" borderId="31" xfId="0" applyFont="1" applyFill="1" applyBorder="1" applyAlignment="1">
      <alignment horizontal="left" vertical="center"/>
    </xf>
    <xf numFmtId="0" fontId="24" fillId="0" borderId="30" xfId="0" applyFont="1" applyFill="1" applyBorder="1" applyAlignment="1">
      <alignment horizontal="left" vertical="center"/>
    </xf>
    <xf numFmtId="0" fontId="24" fillId="0" borderId="33" xfId="0" applyFont="1" applyFill="1" applyBorder="1" applyAlignment="1">
      <alignment horizontal="left" vertical="center"/>
    </xf>
    <xf numFmtId="0" fontId="24" fillId="0" borderId="31" xfId="0" applyFont="1" applyFill="1" applyBorder="1" applyAlignment="1">
      <alignment horizontal="center" vertical="center"/>
    </xf>
    <xf numFmtId="0" fontId="24" fillId="0" borderId="30" xfId="0" applyFont="1" applyFill="1" applyBorder="1" applyAlignment="1">
      <alignment horizontal="center" vertical="center"/>
    </xf>
    <xf numFmtId="0" fontId="24" fillId="0" borderId="33" xfId="0" applyFont="1" applyFill="1" applyBorder="1" applyAlignment="1">
      <alignment horizontal="center" vertical="center"/>
    </xf>
    <xf numFmtId="0" fontId="24" fillId="0" borderId="19" xfId="0" applyFont="1" applyFill="1" applyBorder="1" applyAlignment="1">
      <alignment horizontal="center" vertical="center"/>
    </xf>
    <xf numFmtId="0" fontId="24" fillId="0" borderId="19" xfId="0" applyFont="1" applyBorder="1" applyAlignment="1">
      <alignment horizontal="left" vertical="center"/>
    </xf>
    <xf numFmtId="0" fontId="24" fillId="0" borderId="31" xfId="0" applyFont="1" applyFill="1" applyBorder="1" applyAlignment="1">
      <alignment horizontal="center" vertical="center" wrapText="1"/>
    </xf>
    <xf numFmtId="0" fontId="24" fillId="0" borderId="33" xfId="0" applyFont="1" applyFill="1" applyBorder="1" applyAlignment="1">
      <alignment horizontal="center" vertical="center" wrapText="1"/>
    </xf>
    <xf numFmtId="9" fontId="24" fillId="0" borderId="9" xfId="0" applyNumberFormat="1" applyFont="1" applyFill="1" applyBorder="1" applyAlignment="1">
      <alignment horizontal="left" vertical="center" wrapText="1"/>
    </xf>
    <xf numFmtId="3" fontId="24" fillId="0" borderId="9" xfId="0" applyNumberFormat="1" applyFont="1" applyFill="1" applyBorder="1" applyAlignment="1">
      <alignment horizontal="left" vertical="center" wrapText="1"/>
    </xf>
    <xf numFmtId="0" fontId="29" fillId="0" borderId="31" xfId="8" applyFont="1" applyFill="1" applyBorder="1" applyAlignment="1">
      <alignment horizontal="left" vertical="center"/>
    </xf>
    <xf numFmtId="0" fontId="29" fillId="0" borderId="33" xfId="8" applyFont="1" applyFill="1" applyBorder="1" applyAlignment="1">
      <alignment horizontal="left" vertical="center"/>
    </xf>
    <xf numFmtId="0" fontId="29" fillId="4" borderId="31" xfId="8" applyFont="1" applyFill="1" applyBorder="1" applyAlignment="1">
      <alignment horizontal="left" vertical="center"/>
    </xf>
    <xf numFmtId="0" fontId="29" fillId="4" borderId="33" xfId="8" applyFont="1" applyFill="1" applyBorder="1" applyAlignment="1">
      <alignment horizontal="left" vertical="center"/>
    </xf>
    <xf numFmtId="0" fontId="24" fillId="0" borderId="19"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4" fillId="0" borderId="30" xfId="0" applyFont="1" applyFill="1" applyBorder="1" applyAlignment="1">
      <alignment horizontal="left" vertical="center" wrapText="1"/>
    </xf>
    <xf numFmtId="180" fontId="24" fillId="4" borderId="9" xfId="0" applyNumberFormat="1" applyFont="1" applyFill="1" applyBorder="1" applyAlignment="1">
      <alignment horizontal="left" vertical="center"/>
    </xf>
    <xf numFmtId="0" fontId="29" fillId="4" borderId="87" xfId="8" applyFont="1" applyFill="1" applyBorder="1" applyAlignment="1">
      <alignment vertical="center"/>
    </xf>
    <xf numFmtId="0" fontId="42" fillId="0" borderId="9" xfId="8" applyFont="1" applyFill="1" applyBorder="1" applyAlignment="1">
      <alignment horizontal="left" vertical="center"/>
    </xf>
    <xf numFmtId="0" fontId="29" fillId="0" borderId="9" xfId="8" applyFont="1" applyFill="1" applyBorder="1" applyAlignment="1"/>
    <xf numFmtId="0" fontId="24" fillId="0" borderId="16" xfId="0" applyFont="1" applyBorder="1" applyAlignment="1">
      <alignment horizontal="left"/>
    </xf>
    <xf numFmtId="0" fontId="24" fillId="0" borderId="18" xfId="0" applyFont="1" applyBorder="1" applyAlignment="1">
      <alignment horizontal="left"/>
    </xf>
    <xf numFmtId="0" fontId="24" fillId="0" borderId="19" xfId="0" applyFont="1" applyFill="1" applyBorder="1" applyAlignment="1">
      <alignment vertical="center" wrapText="1"/>
    </xf>
    <xf numFmtId="0" fontId="24" fillId="4" borderId="9" xfId="6" applyFont="1" applyFill="1" applyBorder="1" applyAlignment="1">
      <alignment vertical="center"/>
    </xf>
    <xf numFmtId="0" fontId="42" fillId="4" borderId="9" xfId="8" applyFont="1" applyFill="1" applyBorder="1" applyAlignment="1">
      <alignment vertical="center"/>
    </xf>
    <xf numFmtId="0" fontId="24" fillId="4" borderId="19" xfId="6" applyFont="1" applyFill="1" applyBorder="1" applyAlignment="1">
      <alignment vertical="center"/>
    </xf>
    <xf numFmtId="0" fontId="24" fillId="4" borderId="30" xfId="6" applyFont="1" applyFill="1" applyBorder="1" applyAlignment="1">
      <alignment vertical="center"/>
    </xf>
    <xf numFmtId="0" fontId="24" fillId="4" borderId="23" xfId="6" applyFont="1" applyFill="1" applyBorder="1" applyAlignment="1">
      <alignment vertical="center"/>
    </xf>
    <xf numFmtId="0" fontId="24" fillId="4" borderId="19"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24" fillId="0" borderId="19" xfId="0" applyFont="1" applyBorder="1" applyAlignment="1">
      <alignment horizontal="left" vertical="center" wrapText="1"/>
    </xf>
    <xf numFmtId="0" fontId="24" fillId="0" borderId="30" xfId="0" applyFont="1" applyBorder="1" applyAlignment="1">
      <alignment horizontal="left" vertical="center" wrapText="1"/>
    </xf>
    <xf numFmtId="0" fontId="24" fillId="0" borderId="23" xfId="0" applyFont="1" applyBorder="1" applyAlignment="1">
      <alignment horizontal="left" vertical="center" wrapText="1"/>
    </xf>
    <xf numFmtId="0" fontId="42" fillId="4" borderId="19" xfId="8" applyFont="1" applyFill="1" applyBorder="1" applyAlignment="1">
      <alignment horizontal="left" vertical="center"/>
    </xf>
    <xf numFmtId="0" fontId="42" fillId="4" borderId="23" xfId="8" applyFont="1" applyFill="1" applyBorder="1" applyAlignment="1">
      <alignment horizontal="left" vertical="center"/>
    </xf>
    <xf numFmtId="0" fontId="24" fillId="0" borderId="16" xfId="0" applyFont="1" applyBorder="1" applyAlignment="1">
      <alignment horizontal="center"/>
    </xf>
    <xf numFmtId="0" fontId="24" fillId="0" borderId="18" xfId="0" applyFont="1" applyBorder="1" applyAlignment="1">
      <alignment horizontal="center"/>
    </xf>
    <xf numFmtId="0" fontId="24" fillId="4" borderId="9" xfId="0" applyFont="1" applyFill="1" applyBorder="1" applyAlignment="1">
      <alignment horizontal="left" vertical="center" wrapText="1"/>
    </xf>
    <xf numFmtId="0" fontId="24" fillId="0" borderId="9" xfId="0" applyFont="1" applyBorder="1" applyAlignment="1">
      <alignment vertical="center" wrapText="1"/>
    </xf>
    <xf numFmtId="0" fontId="24" fillId="4" borderId="9" xfId="0" applyFont="1" applyFill="1" applyBorder="1" applyAlignment="1">
      <alignment vertical="center" wrapText="1"/>
    </xf>
    <xf numFmtId="0" fontId="42" fillId="4" borderId="87" xfId="8" applyFont="1" applyFill="1" applyBorder="1" applyAlignment="1">
      <alignment vertical="center"/>
    </xf>
    <xf numFmtId="0" fontId="24" fillId="4" borderId="19" xfId="0" applyFont="1" applyFill="1" applyBorder="1" applyAlignment="1">
      <alignment horizontal="left" vertical="center"/>
    </xf>
    <xf numFmtId="0" fontId="24" fillId="4" borderId="23" xfId="0" applyFont="1" applyFill="1" applyBorder="1" applyAlignment="1">
      <alignment horizontal="left" vertical="center"/>
    </xf>
    <xf numFmtId="0" fontId="24" fillId="0" borderId="9" xfId="0" applyFont="1" applyFill="1" applyBorder="1" applyAlignment="1">
      <alignment vertical="center" wrapText="1"/>
    </xf>
    <xf numFmtId="0" fontId="24" fillId="0" borderId="9" xfId="0" applyFont="1" applyFill="1" applyBorder="1" applyAlignment="1">
      <alignment horizontal="left" vertical="center"/>
    </xf>
    <xf numFmtId="0" fontId="24" fillId="0" borderId="16" xfId="0" applyFont="1" applyFill="1" applyBorder="1" applyAlignment="1">
      <alignment horizontal="left" vertical="center" wrapText="1"/>
    </xf>
    <xf numFmtId="0" fontId="24" fillId="0" borderId="17"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24" fillId="4" borderId="16" xfId="0" applyFont="1" applyFill="1" applyBorder="1" applyAlignment="1">
      <alignment horizontal="left" vertical="center" wrapText="1"/>
    </xf>
    <xf numFmtId="0" fontId="24" fillId="4" borderId="17" xfId="0" applyFont="1" applyFill="1" applyBorder="1" applyAlignment="1">
      <alignment horizontal="left" vertical="center" wrapText="1"/>
    </xf>
    <xf numFmtId="0" fontId="24" fillId="4" borderId="18" xfId="0" applyFont="1" applyFill="1" applyBorder="1" applyAlignment="1">
      <alignment horizontal="left" vertical="center" wrapText="1"/>
    </xf>
    <xf numFmtId="0" fontId="24" fillId="0" borderId="9" xfId="0" applyFont="1" applyBorder="1" applyAlignment="1">
      <alignment horizontal="left" vertical="center" wrapText="1"/>
    </xf>
    <xf numFmtId="9" fontId="24" fillId="4" borderId="9" xfId="0" applyNumberFormat="1" applyFont="1" applyFill="1" applyBorder="1" applyAlignment="1">
      <alignment horizontal="left" vertical="center" wrapText="1"/>
    </xf>
    <xf numFmtId="0" fontId="24" fillId="0" borderId="9" xfId="0" applyFont="1" applyBorder="1" applyAlignment="1">
      <alignment horizontal="left" wrapText="1"/>
    </xf>
    <xf numFmtId="0" fontId="24" fillId="4" borderId="30" xfId="0" applyFont="1" applyFill="1" applyBorder="1" applyAlignment="1">
      <alignment horizontal="left" vertical="center" wrapText="1"/>
    </xf>
    <xf numFmtId="39" fontId="24" fillId="0" borderId="9" xfId="1" applyNumberFormat="1" applyFont="1" applyFill="1" applyBorder="1" applyAlignment="1">
      <alignment horizontal="left" vertical="center" wrapText="1"/>
    </xf>
    <xf numFmtId="7" fontId="24" fillId="0" borderId="9" xfId="2" applyNumberFormat="1" applyFont="1" applyFill="1" applyBorder="1" applyAlignment="1">
      <alignment horizontal="left"/>
    </xf>
    <xf numFmtId="165" fontId="24" fillId="0" borderId="9" xfId="8" applyNumberFormat="1" applyFont="1" applyFill="1" applyBorder="1" applyAlignment="1">
      <alignment horizontal="left"/>
    </xf>
    <xf numFmtId="3" fontId="24" fillId="0" borderId="9" xfId="0" applyNumberFormat="1" applyFont="1" applyFill="1" applyBorder="1" applyAlignment="1">
      <alignment vertical="center" wrapText="1"/>
    </xf>
    <xf numFmtId="178" fontId="24" fillId="4" borderId="9" xfId="0" applyNumberFormat="1" applyFont="1" applyFill="1" applyBorder="1" applyAlignment="1">
      <alignment horizontal="left" vertical="center"/>
    </xf>
    <xf numFmtId="165" fontId="24" fillId="0" borderId="16" xfId="13" applyNumberFormat="1" applyFont="1" applyFill="1" applyBorder="1" applyAlignment="1">
      <alignment horizontal="center" vertical="center" wrapText="1"/>
    </xf>
    <xf numFmtId="165" fontId="24" fillId="0" borderId="18" xfId="13" applyNumberFormat="1" applyFont="1" applyFill="1" applyBorder="1" applyAlignment="1">
      <alignment horizontal="center" vertical="center" wrapText="1"/>
    </xf>
    <xf numFmtId="190" fontId="24" fillId="0" borderId="16" xfId="0" applyNumberFormat="1" applyFont="1" applyFill="1" applyBorder="1" applyAlignment="1">
      <alignment horizontal="left" vertical="center" wrapText="1"/>
    </xf>
    <xf numFmtId="190" fontId="24" fillId="0" borderId="18" xfId="0" applyNumberFormat="1" applyFont="1" applyFill="1" applyBorder="1" applyAlignment="1">
      <alignment horizontal="left" vertical="center" wrapText="1"/>
    </xf>
    <xf numFmtId="0" fontId="24" fillId="11" borderId="16" xfId="0" applyFont="1" applyFill="1" applyBorder="1" applyAlignment="1">
      <alignment horizontal="center" vertical="center" wrapText="1"/>
    </xf>
    <xf numFmtId="0" fontId="24" fillId="0" borderId="18" xfId="0" applyFont="1" applyBorder="1" applyAlignment="1">
      <alignment horizontal="center" vertical="center" wrapText="1"/>
    </xf>
    <xf numFmtId="165" fontId="24" fillId="0" borderId="16" xfId="13" applyNumberFormat="1" applyFont="1" applyFill="1" applyBorder="1" applyAlignment="1">
      <alignment horizontal="left" vertical="center" wrapText="1"/>
    </xf>
    <xf numFmtId="165" fontId="24" fillId="0" borderId="18" xfId="13" applyNumberFormat="1" applyFont="1" applyFill="1" applyBorder="1" applyAlignment="1">
      <alignment horizontal="left" vertical="center" wrapText="1"/>
    </xf>
    <xf numFmtId="3" fontId="24" fillId="0" borderId="16" xfId="0" applyNumberFormat="1" applyFont="1" applyFill="1" applyBorder="1" applyAlignment="1">
      <alignment horizontal="left" vertical="center" wrapText="1"/>
    </xf>
    <xf numFmtId="3" fontId="24" fillId="0" borderId="18" xfId="0" applyNumberFormat="1" applyFont="1" applyFill="1" applyBorder="1" applyAlignment="1">
      <alignment horizontal="left" vertical="center" wrapText="1"/>
    </xf>
    <xf numFmtId="0" fontId="24" fillId="0" borderId="19" xfId="0" applyFont="1" applyFill="1" applyBorder="1" applyAlignment="1">
      <alignment horizontal="left" vertical="center"/>
    </xf>
    <xf numFmtId="0" fontId="24" fillId="0" borderId="23" xfId="0" applyFont="1" applyFill="1" applyBorder="1" applyAlignment="1">
      <alignment horizontal="left" vertical="center"/>
    </xf>
    <xf numFmtId="0" fontId="24" fillId="11" borderId="18" xfId="0" applyFont="1" applyFill="1" applyBorder="1" applyAlignment="1">
      <alignment horizontal="center" vertical="center" wrapText="1"/>
    </xf>
    <xf numFmtId="0" fontId="52" fillId="0" borderId="19" xfId="8" applyFont="1" applyFill="1" applyBorder="1" applyAlignment="1">
      <alignment horizontal="left" vertical="center"/>
    </xf>
    <xf numFmtId="0" fontId="24" fillId="0" borderId="30" xfId="0" applyFont="1" applyFill="1" applyBorder="1" applyAlignment="1">
      <alignment vertical="center"/>
    </xf>
    <xf numFmtId="0" fontId="24" fillId="0" borderId="33" xfId="0" applyFont="1" applyFill="1" applyBorder="1" applyAlignment="1">
      <alignment vertical="center"/>
    </xf>
    <xf numFmtId="0" fontId="52" fillId="0" borderId="30" xfId="8" applyFont="1" applyFill="1" applyBorder="1" applyAlignment="1">
      <alignment horizontal="left" vertical="center"/>
    </xf>
    <xf numFmtId="0" fontId="52" fillId="0" borderId="9" xfId="8" applyFont="1" applyFill="1" applyBorder="1" applyAlignment="1">
      <alignment horizontal="left" vertical="center"/>
    </xf>
    <xf numFmtId="0" fontId="24" fillId="0" borderId="30" xfId="0" applyFont="1" applyFill="1" applyBorder="1" applyAlignment="1">
      <alignment horizontal="center" vertical="center" wrapText="1"/>
    </xf>
    <xf numFmtId="0" fontId="24" fillId="0" borderId="16" xfId="0" applyFont="1" applyFill="1" applyBorder="1" applyAlignment="1">
      <alignment horizontal="left" vertical="center"/>
    </xf>
    <xf numFmtId="0" fontId="24" fillId="0" borderId="18" xfId="0" applyFont="1" applyFill="1" applyBorder="1" applyAlignment="1">
      <alignment horizontal="left" vertical="center"/>
    </xf>
    <xf numFmtId="0" fontId="24" fillId="0" borderId="37" xfId="0" applyFont="1" applyFill="1" applyBorder="1" applyAlignment="1">
      <alignment horizontal="left" vertical="center"/>
    </xf>
    <xf numFmtId="0" fontId="24" fillId="0" borderId="32" xfId="0" applyFont="1" applyFill="1" applyBorder="1" applyAlignment="1">
      <alignment horizontal="left" vertical="center"/>
    </xf>
    <xf numFmtId="0" fontId="24" fillId="0" borderId="16" xfId="0" applyFont="1" applyBorder="1" applyAlignment="1">
      <alignment horizontal="left" vertical="center" wrapText="1"/>
    </xf>
    <xf numFmtId="0" fontId="24" fillId="0" borderId="18" xfId="0" applyFont="1" applyBorder="1" applyAlignment="1">
      <alignment horizontal="left" vertical="center" wrapText="1"/>
    </xf>
    <xf numFmtId="0" fontId="24" fillId="0" borderId="31" xfId="0" applyFont="1" applyFill="1" applyBorder="1" applyAlignment="1">
      <alignment vertical="center"/>
    </xf>
    <xf numFmtId="0" fontId="24" fillId="0" borderId="31" xfId="0" applyFont="1" applyFill="1" applyBorder="1" applyAlignment="1">
      <alignment horizontal="left" vertical="center" wrapText="1"/>
    </xf>
    <xf numFmtId="0" fontId="24" fillId="0" borderId="33" xfId="0" applyFont="1" applyFill="1" applyBorder="1" applyAlignment="1">
      <alignment horizontal="left" vertical="center" wrapText="1"/>
    </xf>
    <xf numFmtId="0" fontId="113" fillId="0" borderId="30" xfId="8" applyFont="1" applyFill="1" applyBorder="1" applyAlignment="1">
      <alignment horizontal="left" vertical="center"/>
    </xf>
    <xf numFmtId="0" fontId="4" fillId="0" borderId="30" xfId="8" applyFont="1" applyFill="1" applyBorder="1" applyAlignment="1">
      <alignment vertical="center"/>
    </xf>
    <xf numFmtId="0" fontId="4" fillId="0" borderId="33" xfId="8" applyFont="1" applyFill="1" applyBorder="1" applyAlignment="1">
      <alignment vertical="center"/>
    </xf>
    <xf numFmtId="0" fontId="4" fillId="0" borderId="31" xfId="8" applyFont="1" applyFill="1" applyBorder="1" applyAlignment="1">
      <alignment vertical="center"/>
    </xf>
    <xf numFmtId="0" fontId="6" fillId="0" borderId="0" xfId="0" applyFont="1" applyAlignment="1">
      <alignment vertical="center"/>
    </xf>
    <xf numFmtId="0" fontId="24" fillId="0" borderId="16" xfId="8" applyFont="1" applyFill="1" applyBorder="1" applyAlignment="1">
      <alignment horizontal="left"/>
    </xf>
    <xf numFmtId="0" fontId="24" fillId="0" borderId="18" xfId="8" applyFont="1" applyFill="1" applyBorder="1" applyAlignment="1">
      <alignment horizontal="left"/>
    </xf>
    <xf numFmtId="0" fontId="24" fillId="0" borderId="35" xfId="0" applyFont="1" applyBorder="1" applyAlignment="1">
      <alignment horizontal="left" vertical="center"/>
    </xf>
    <xf numFmtId="0" fontId="24" fillId="0" borderId="34" xfId="0" applyFont="1" applyBorder="1" applyAlignment="1">
      <alignment horizontal="left" vertical="center"/>
    </xf>
    <xf numFmtId="0" fontId="24" fillId="0" borderId="16" xfId="0" applyFont="1" applyBorder="1" applyAlignment="1">
      <alignment horizontal="left" vertical="center"/>
    </xf>
    <xf numFmtId="0" fontId="24" fillId="0" borderId="18" xfId="0" applyFont="1" applyBorder="1" applyAlignment="1">
      <alignment horizontal="left" vertical="center"/>
    </xf>
    <xf numFmtId="0" fontId="24" fillId="0" borderId="95" xfId="0" applyFont="1" applyBorder="1" applyAlignment="1">
      <alignment horizontal="left" vertical="center"/>
    </xf>
    <xf numFmtId="0" fontId="24" fillId="0" borderId="35" xfId="0" applyFont="1" applyFill="1" applyBorder="1" applyAlignment="1">
      <alignment horizontal="left" vertical="center"/>
    </xf>
    <xf numFmtId="0" fontId="24" fillId="0" borderId="34" xfId="0" applyFont="1" applyFill="1" applyBorder="1" applyAlignment="1">
      <alignment horizontal="left" vertical="center"/>
    </xf>
    <xf numFmtId="0" fontId="24" fillId="0" borderId="25" xfId="0" applyFont="1" applyFill="1" applyBorder="1" applyAlignment="1">
      <alignment horizontal="left" vertical="center"/>
    </xf>
    <xf numFmtId="0" fontId="24" fillId="0" borderId="26" xfId="0" applyFont="1" applyFill="1" applyBorder="1" applyAlignment="1">
      <alignment horizontal="left" vertical="center"/>
    </xf>
    <xf numFmtId="9" fontId="24" fillId="4" borderId="16" xfId="0" applyNumberFormat="1" applyFont="1" applyFill="1" applyBorder="1" applyAlignment="1">
      <alignment horizontal="left" vertical="center" wrapText="1"/>
    </xf>
    <xf numFmtId="9" fontId="24" fillId="4" borderId="18" xfId="0" applyNumberFormat="1" applyFont="1" applyFill="1" applyBorder="1" applyAlignment="1">
      <alignment horizontal="left" vertical="center" wrapText="1"/>
    </xf>
    <xf numFmtId="180" fontId="24" fillId="4" borderId="16" xfId="0" applyNumberFormat="1" applyFont="1" applyFill="1" applyBorder="1" applyAlignment="1">
      <alignment horizontal="left" vertical="center"/>
    </xf>
    <xf numFmtId="180" fontId="24" fillId="4" borderId="18" xfId="0" applyNumberFormat="1" applyFont="1" applyFill="1" applyBorder="1" applyAlignment="1">
      <alignment horizontal="left" vertical="center"/>
    </xf>
    <xf numFmtId="0" fontId="24" fillId="4" borderId="16" xfId="0" applyFont="1" applyFill="1" applyBorder="1" applyAlignment="1">
      <alignment horizontal="left" vertical="center"/>
    </xf>
    <xf numFmtId="0" fontId="24" fillId="4" borderId="18" xfId="0" applyFont="1" applyFill="1" applyBorder="1" applyAlignment="1">
      <alignment horizontal="left" vertical="center"/>
    </xf>
    <xf numFmtId="178" fontId="24" fillId="0" borderId="16" xfId="0" applyNumberFormat="1" applyFont="1" applyFill="1" applyBorder="1" applyAlignment="1">
      <alignment horizontal="left" vertical="center"/>
    </xf>
    <xf numFmtId="178" fontId="24" fillId="0" borderId="18" xfId="0" applyNumberFormat="1" applyFont="1" applyFill="1" applyBorder="1" applyAlignment="1">
      <alignment horizontal="left" vertical="center"/>
    </xf>
    <xf numFmtId="2" fontId="24" fillId="4" borderId="9" xfId="0" applyNumberFormat="1" applyFont="1" applyFill="1" applyBorder="1" applyAlignment="1">
      <alignment horizontal="left" vertical="center"/>
    </xf>
    <xf numFmtId="0" fontId="24" fillId="4" borderId="19" xfId="0" applyFont="1" applyFill="1" applyBorder="1" applyAlignment="1">
      <alignment vertical="center" wrapText="1"/>
    </xf>
    <xf numFmtId="0" fontId="24" fillId="4" borderId="30" xfId="0" applyFont="1" applyFill="1" applyBorder="1" applyAlignment="1">
      <alignment vertical="center" wrapText="1"/>
    </xf>
    <xf numFmtId="0" fontId="24" fillId="4" borderId="23" xfId="0" applyFont="1" applyFill="1" applyBorder="1" applyAlignment="1">
      <alignment vertical="center" wrapText="1"/>
    </xf>
    <xf numFmtId="180" fontId="24" fillId="4" borderId="9" xfId="0" applyNumberFormat="1" applyFont="1" applyFill="1" applyBorder="1" applyAlignment="1">
      <alignment horizontal="left"/>
    </xf>
    <xf numFmtId="0" fontId="24" fillId="4" borderId="9" xfId="0" applyFont="1" applyFill="1" applyBorder="1" applyAlignment="1">
      <alignment horizontal="left" vertical="center"/>
    </xf>
    <xf numFmtId="165" fontId="24" fillId="4" borderId="9" xfId="0" applyNumberFormat="1" applyFont="1" applyFill="1" applyBorder="1" applyAlignment="1">
      <alignment horizontal="left" vertical="center" wrapText="1"/>
    </xf>
    <xf numFmtId="0" fontId="24" fillId="0" borderId="16"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29" fillId="0" borderId="27" xfId="8" applyFont="1" applyBorder="1" applyAlignment="1">
      <alignment horizontal="left" wrapText="1"/>
    </xf>
    <xf numFmtId="0" fontId="29" fillId="0" borderId="0" xfId="8" applyFont="1" applyAlignment="1">
      <alignment horizontal="left" wrapText="1"/>
    </xf>
    <xf numFmtId="0" fontId="24" fillId="0" borderId="60" xfId="0" applyFont="1" applyFill="1" applyBorder="1" applyAlignment="1">
      <alignment horizontal="center" vertical="top" wrapText="1"/>
    </xf>
    <xf numFmtId="0" fontId="24" fillId="0" borderId="61" xfId="0" applyFont="1" applyFill="1" applyBorder="1" applyAlignment="1">
      <alignment horizontal="center" vertical="top" wrapText="1"/>
    </xf>
    <xf numFmtId="0" fontId="24" fillId="0" borderId="62" xfId="0" applyFont="1" applyFill="1" applyBorder="1" applyAlignment="1">
      <alignment horizontal="center" vertical="top" wrapText="1"/>
    </xf>
    <xf numFmtId="0" fontId="24" fillId="16" borderId="52" xfId="0" applyFont="1" applyFill="1" applyBorder="1" applyAlignment="1">
      <alignment horizontal="left" vertical="center" wrapText="1"/>
    </xf>
    <xf numFmtId="0" fontId="24" fillId="16" borderId="53" xfId="0" applyFont="1" applyFill="1" applyBorder="1" applyAlignment="1">
      <alignment horizontal="left" vertical="center" wrapText="1"/>
    </xf>
    <xf numFmtId="0" fontId="24" fillId="16" borderId="54" xfId="0" applyFont="1" applyFill="1" applyBorder="1" applyAlignment="1">
      <alignment horizontal="left" vertical="center" wrapText="1"/>
    </xf>
    <xf numFmtId="0" fontId="24" fillId="16" borderId="43" xfId="0" applyFont="1" applyFill="1" applyBorder="1" applyAlignment="1">
      <alignment horizontal="left" vertical="center" wrapText="1"/>
    </xf>
    <xf numFmtId="0" fontId="24" fillId="16" borderId="44" xfId="0" applyFont="1" applyFill="1" applyBorder="1" applyAlignment="1">
      <alignment horizontal="left" vertical="center" wrapText="1"/>
    </xf>
    <xf numFmtId="0" fontId="24" fillId="16" borderId="47" xfId="0" applyFont="1" applyFill="1" applyBorder="1" applyAlignment="1">
      <alignment horizontal="left" vertical="center" wrapText="1"/>
    </xf>
    <xf numFmtId="0" fontId="4" fillId="0" borderId="9"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18" xfId="0" applyFont="1" applyFill="1" applyBorder="1" applyAlignment="1">
      <alignment horizontal="left" vertical="top" wrapText="1"/>
    </xf>
    <xf numFmtId="0" fontId="24" fillId="16" borderId="4" xfId="0" applyFont="1" applyFill="1" applyBorder="1" applyAlignment="1">
      <alignment horizontal="left" vertical="center" wrapText="1"/>
    </xf>
    <xf numFmtId="0" fontId="24" fillId="0" borderId="14" xfId="0" applyFont="1" applyBorder="1" applyAlignment="1">
      <alignment horizontal="left" vertical="center" wrapText="1"/>
    </xf>
    <xf numFmtId="0" fontId="4" fillId="16" borderId="17" xfId="0" applyFont="1" applyFill="1" applyBorder="1" applyAlignment="1">
      <alignment horizontal="left" vertical="top" wrapText="1"/>
    </xf>
    <xf numFmtId="0" fontId="4" fillId="16" borderId="18" xfId="0" applyFont="1" applyFill="1" applyBorder="1" applyAlignment="1">
      <alignment horizontal="left" vertical="top" wrapText="1"/>
    </xf>
    <xf numFmtId="0" fontId="4" fillId="16" borderId="36" xfId="0" applyFont="1" applyFill="1" applyBorder="1" applyAlignment="1">
      <alignment horizontal="left" vertical="top" wrapText="1"/>
    </xf>
    <xf numFmtId="0" fontId="4" fillId="16" borderId="34" xfId="0" applyFont="1" applyFill="1" applyBorder="1" applyAlignment="1">
      <alignment horizontal="left" vertical="top" wrapText="1"/>
    </xf>
    <xf numFmtId="0" fontId="4" fillId="16" borderId="77" xfId="0" applyFont="1" applyFill="1" applyBorder="1" applyAlignment="1">
      <alignment horizontal="left" vertical="top" wrapText="1"/>
    </xf>
    <xf numFmtId="0" fontId="4" fillId="16" borderId="27" xfId="0" applyFont="1" applyFill="1" applyBorder="1" applyAlignment="1">
      <alignment horizontal="left" vertical="top" wrapText="1"/>
    </xf>
    <xf numFmtId="0" fontId="4" fillId="16" borderId="21" xfId="0" applyFont="1" applyFill="1" applyBorder="1" applyAlignment="1">
      <alignment horizontal="left" vertical="top" wrapText="1"/>
    </xf>
    <xf numFmtId="0" fontId="24" fillId="0" borderId="44" xfId="0" applyFont="1" applyBorder="1" applyAlignment="1">
      <alignment horizontal="left"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0" fontId="24" fillId="16" borderId="31" xfId="0" applyFont="1" applyFill="1" applyBorder="1" applyAlignment="1">
      <alignment horizontal="left" vertical="center" wrapText="1"/>
    </xf>
    <xf numFmtId="0" fontId="24" fillId="16" borderId="30" xfId="0" applyFont="1" applyFill="1" applyBorder="1" applyAlignment="1">
      <alignment horizontal="left" vertical="center" wrapText="1"/>
    </xf>
    <xf numFmtId="0" fontId="0" fillId="0" borderId="30" xfId="0" applyBorder="1" applyAlignment="1">
      <alignment horizontal="left" vertical="center" wrapText="1"/>
    </xf>
    <xf numFmtId="0" fontId="0" fillId="0" borderId="33" xfId="0" applyBorder="1" applyAlignment="1">
      <alignment horizontal="left" vertical="center" wrapText="1"/>
    </xf>
    <xf numFmtId="0" fontId="24" fillId="4" borderId="43" xfId="0" applyFont="1" applyFill="1" applyBorder="1" applyAlignment="1">
      <alignment horizontal="left" vertical="center" wrapText="1"/>
    </xf>
    <xf numFmtId="0" fontId="24" fillId="4" borderId="44" xfId="0" applyFont="1" applyFill="1" applyBorder="1" applyAlignment="1">
      <alignment horizontal="left" vertical="center" wrapText="1"/>
    </xf>
    <xf numFmtId="0" fontId="24" fillId="4" borderId="47" xfId="0" applyFont="1" applyFill="1" applyBorder="1" applyAlignment="1">
      <alignment horizontal="left" vertical="center" wrapText="1"/>
    </xf>
    <xf numFmtId="0" fontId="24" fillId="16" borderId="2" xfId="0" applyFont="1" applyFill="1" applyBorder="1" applyAlignment="1">
      <alignment horizontal="left" vertical="center" wrapText="1"/>
    </xf>
    <xf numFmtId="0" fontId="24" fillId="16" borderId="7" xfId="0" applyFont="1" applyFill="1" applyBorder="1" applyAlignment="1">
      <alignment horizontal="left" vertical="center" wrapText="1"/>
    </xf>
    <xf numFmtId="0" fontId="24"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24" fillId="16" borderId="9" xfId="0" applyFont="1" applyFill="1" applyBorder="1" applyAlignment="1">
      <alignment horizontal="left" vertical="center" wrapText="1"/>
    </xf>
    <xf numFmtId="0" fontId="24" fillId="16" borderId="14" xfId="0" applyFont="1" applyFill="1" applyBorder="1" applyAlignment="1">
      <alignment horizontal="left" vertical="center" wrapText="1"/>
    </xf>
    <xf numFmtId="0" fontId="24" fillId="16" borderId="3" xfId="0" applyFont="1" applyFill="1" applyBorder="1" applyAlignment="1">
      <alignment horizontal="left" vertical="center" wrapText="1"/>
    </xf>
    <xf numFmtId="0" fontId="24" fillId="16" borderId="8" xfId="0" applyFont="1" applyFill="1" applyBorder="1" applyAlignment="1">
      <alignment horizontal="left" vertical="center" wrapText="1"/>
    </xf>
    <xf numFmtId="0" fontId="24" fillId="16" borderId="13" xfId="0" applyFont="1" applyFill="1" applyBorder="1" applyAlignment="1">
      <alignment horizontal="left" vertical="center" wrapText="1"/>
    </xf>
    <xf numFmtId="0" fontId="24" fillId="16" borderId="33" xfId="0" applyFont="1" applyFill="1" applyBorder="1" applyAlignment="1">
      <alignment horizontal="left" vertical="center" wrapText="1"/>
    </xf>
    <xf numFmtId="0" fontId="24" fillId="16" borderId="55" xfId="0" applyFont="1" applyFill="1" applyBorder="1" applyAlignment="1">
      <alignment horizontal="left" vertical="center" wrapText="1"/>
    </xf>
    <xf numFmtId="0" fontId="24" fillId="16" borderId="29" xfId="0" applyFont="1" applyFill="1" applyBorder="1" applyAlignment="1">
      <alignment horizontal="left" vertical="center" wrapText="1"/>
    </xf>
    <xf numFmtId="0" fontId="24" fillId="16" borderId="56" xfId="0" applyFont="1" applyFill="1" applyBorder="1" applyAlignment="1">
      <alignment horizontal="left" vertical="center" wrapText="1"/>
    </xf>
    <xf numFmtId="0" fontId="24" fillId="16" borderId="12" xfId="0" applyFont="1" applyFill="1" applyBorder="1" applyAlignment="1">
      <alignment horizontal="left" vertical="center" wrapText="1"/>
    </xf>
    <xf numFmtId="0" fontId="4" fillId="16" borderId="43" xfId="0" applyFont="1" applyFill="1" applyBorder="1" applyAlignment="1">
      <alignment horizontal="left" vertical="center" wrapText="1"/>
    </xf>
    <xf numFmtId="0" fontId="4" fillId="16" borderId="44" xfId="0" applyFont="1" applyFill="1" applyBorder="1" applyAlignment="1">
      <alignment horizontal="left" vertical="center" wrapText="1"/>
    </xf>
    <xf numFmtId="0" fontId="4" fillId="16" borderId="47" xfId="0" applyFont="1" applyFill="1" applyBorder="1" applyAlignment="1">
      <alignment horizontal="left" vertical="center" wrapText="1"/>
    </xf>
    <xf numFmtId="0" fontId="4" fillId="16" borderId="29" xfId="0" applyFont="1" applyFill="1" applyBorder="1" applyAlignment="1">
      <alignment horizontal="left" vertical="center" wrapText="1"/>
    </xf>
    <xf numFmtId="0" fontId="4" fillId="16" borderId="56" xfId="0" applyFont="1" applyFill="1" applyBorder="1" applyAlignment="1">
      <alignment horizontal="left" vertical="center" wrapText="1"/>
    </xf>
    <xf numFmtId="0" fontId="24" fillId="0" borderId="47" xfId="0" applyFont="1" applyBorder="1" applyAlignment="1">
      <alignment horizontal="left" vertical="center" wrapText="1"/>
    </xf>
    <xf numFmtId="0" fontId="24" fillId="0" borderId="33" xfId="0" applyFont="1" applyBorder="1" applyAlignment="1">
      <alignment horizontal="left" vertical="center" wrapText="1"/>
    </xf>
    <xf numFmtId="0" fontId="24" fillId="11" borderId="17" xfId="0" applyFont="1" applyFill="1" applyBorder="1" applyAlignment="1">
      <alignment horizontal="center" vertical="center" wrapText="1"/>
    </xf>
    <xf numFmtId="0" fontId="24" fillId="16" borderId="57" xfId="0" applyFont="1" applyFill="1" applyBorder="1" applyAlignment="1">
      <alignment horizontal="left" vertical="center" wrapText="1"/>
    </xf>
    <xf numFmtId="0" fontId="24" fillId="16" borderId="63" xfId="0" applyFont="1" applyFill="1" applyBorder="1" applyAlignment="1">
      <alignment horizontal="left" vertical="center" wrapText="1"/>
    </xf>
    <xf numFmtId="0" fontId="4" fillId="4" borderId="16"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4" borderId="18" xfId="0" applyFont="1" applyFill="1" applyBorder="1" applyAlignment="1">
      <alignment horizontal="left" vertical="top" wrapText="1"/>
    </xf>
    <xf numFmtId="0" fontId="4" fillId="4" borderId="9" xfId="0" applyFont="1" applyFill="1" applyBorder="1" applyAlignment="1">
      <alignment horizontal="left" vertical="top" wrapText="1"/>
    </xf>
    <xf numFmtId="0" fontId="4" fillId="4" borderId="37" xfId="0" applyFont="1" applyFill="1" applyBorder="1" applyAlignment="1">
      <alignment horizontal="left" vertical="top" wrapText="1"/>
    </xf>
    <xf numFmtId="0" fontId="4" fillId="4" borderId="38" xfId="0" applyFont="1" applyFill="1" applyBorder="1" applyAlignment="1">
      <alignment horizontal="left" vertical="top" wrapText="1"/>
    </xf>
    <xf numFmtId="0" fontId="4" fillId="4" borderId="32" xfId="0" applyFont="1" applyFill="1" applyBorder="1" applyAlignment="1">
      <alignment horizontal="left" vertical="top" wrapText="1"/>
    </xf>
    <xf numFmtId="0" fontId="4" fillId="4" borderId="35" xfId="0" applyFont="1" applyFill="1" applyBorder="1" applyAlignment="1">
      <alignment horizontal="left" vertical="top" wrapText="1"/>
    </xf>
    <xf numFmtId="0" fontId="4" fillId="4" borderId="36" xfId="0" applyFont="1" applyFill="1" applyBorder="1" applyAlignment="1">
      <alignment horizontal="left" vertical="top" wrapText="1"/>
    </xf>
    <xf numFmtId="0" fontId="4" fillId="4" borderId="34" xfId="0" applyFont="1" applyFill="1" applyBorder="1" applyAlignment="1">
      <alignment horizontal="left" vertical="top" wrapText="1"/>
    </xf>
    <xf numFmtId="0" fontId="4" fillId="4" borderId="4" xfId="0" applyFont="1" applyFill="1" applyBorder="1" applyAlignment="1">
      <alignment horizontal="left" vertical="top" wrapText="1"/>
    </xf>
    <xf numFmtId="0" fontId="24" fillId="4" borderId="52" xfId="0" applyFont="1" applyFill="1" applyBorder="1" applyAlignment="1">
      <alignment horizontal="left" vertical="center"/>
    </xf>
    <xf numFmtId="0" fontId="24" fillId="4" borderId="53" xfId="0" applyFont="1" applyFill="1" applyBorder="1" applyAlignment="1">
      <alignment horizontal="left" vertical="center"/>
    </xf>
    <xf numFmtId="0" fontId="24" fillId="4" borderId="54" xfId="0" applyFont="1" applyFill="1" applyBorder="1" applyAlignment="1">
      <alignment horizontal="left" vertical="center"/>
    </xf>
    <xf numFmtId="0" fontId="4" fillId="4" borderId="14" xfId="0" applyFont="1" applyFill="1" applyBorder="1" applyAlignment="1">
      <alignment horizontal="left" vertical="top" wrapText="1"/>
    </xf>
    <xf numFmtId="0" fontId="4" fillId="0" borderId="52" xfId="0" applyFont="1" applyFill="1" applyBorder="1" applyAlignment="1">
      <alignment horizontal="left" vertical="center" wrapText="1"/>
    </xf>
    <xf numFmtId="0" fontId="4" fillId="0" borderId="53" xfId="0" applyFont="1" applyFill="1" applyBorder="1" applyAlignment="1">
      <alignment horizontal="left" vertical="center" wrapText="1"/>
    </xf>
    <xf numFmtId="0" fontId="4" fillId="0" borderId="54" xfId="0" applyFont="1" applyFill="1" applyBorder="1" applyAlignment="1">
      <alignment horizontal="left" vertical="center" wrapText="1"/>
    </xf>
    <xf numFmtId="0" fontId="4" fillId="4" borderId="23" xfId="0" applyFont="1" applyFill="1" applyBorder="1" applyAlignment="1">
      <alignment horizontal="left" vertical="top" wrapText="1"/>
    </xf>
    <xf numFmtId="0" fontId="24" fillId="4" borderId="52" xfId="0" applyFont="1" applyFill="1" applyBorder="1" applyAlignment="1">
      <alignment horizontal="left" vertical="center" wrapText="1"/>
    </xf>
    <xf numFmtId="0" fontId="24" fillId="0" borderId="53" xfId="0" applyFont="1" applyBorder="1" applyAlignment="1">
      <alignment horizontal="left" vertical="center" wrapText="1"/>
    </xf>
    <xf numFmtId="0" fontId="24" fillId="0" borderId="45" xfId="0" applyFont="1" applyBorder="1" applyAlignment="1">
      <alignment horizontal="left" wrapText="1"/>
    </xf>
    <xf numFmtId="0" fontId="24" fillId="4" borderId="46" xfId="0" applyFont="1" applyFill="1" applyBorder="1" applyAlignment="1">
      <alignment horizontal="left" vertical="center" wrapText="1"/>
    </xf>
    <xf numFmtId="0" fontId="24" fillId="0" borderId="54" xfId="0" applyFont="1" applyBorder="1" applyAlignment="1">
      <alignment horizontal="left" vertical="center" wrapText="1"/>
    </xf>
    <xf numFmtId="0" fontId="24" fillId="0" borderId="0" xfId="0" applyFont="1" applyFill="1" applyBorder="1" applyAlignment="1">
      <alignment horizontal="center" vertical="center" wrapText="1"/>
    </xf>
    <xf numFmtId="0" fontId="24" fillId="0" borderId="0" xfId="0" applyFont="1" applyFill="1" applyBorder="1" applyAlignment="1"/>
    <xf numFmtId="0" fontId="24" fillId="0" borderId="53" xfId="0" applyFont="1" applyBorder="1" applyAlignment="1">
      <alignment horizontal="left" wrapText="1"/>
    </xf>
    <xf numFmtId="0" fontId="24" fillId="0" borderId="54" xfId="0" applyFont="1" applyBorder="1" applyAlignment="1">
      <alignment horizontal="left" wrapText="1"/>
    </xf>
    <xf numFmtId="0" fontId="24" fillId="11" borderId="19" xfId="0" applyFont="1" applyFill="1" applyBorder="1" applyAlignment="1">
      <alignment horizontal="center" vertical="center" wrapText="1"/>
    </xf>
    <xf numFmtId="0" fontId="24" fillId="0" borderId="0" xfId="0" applyFont="1" applyFill="1" applyBorder="1" applyAlignment="1">
      <alignment wrapText="1"/>
    </xf>
    <xf numFmtId="0" fontId="24" fillId="4" borderId="0" xfId="0" applyFont="1" applyFill="1" applyBorder="1" applyAlignment="1">
      <alignment wrapText="1"/>
    </xf>
    <xf numFmtId="0" fontId="4" fillId="16" borderId="78" xfId="0" applyFont="1" applyFill="1" applyBorder="1" applyAlignment="1">
      <alignment horizontal="left" vertical="top" wrapText="1"/>
    </xf>
    <xf numFmtId="0" fontId="4" fillId="16" borderId="76" xfId="0" applyFont="1" applyFill="1" applyBorder="1" applyAlignment="1">
      <alignment horizontal="left" vertical="top" wrapText="1"/>
    </xf>
    <xf numFmtId="0" fontId="4" fillId="16" borderId="38" xfId="0" applyFont="1" applyFill="1" applyBorder="1" applyAlignment="1">
      <alignment horizontal="left" vertical="top" wrapText="1"/>
    </xf>
    <xf numFmtId="0" fontId="4" fillId="16" borderId="32" xfId="0" applyFont="1" applyFill="1" applyBorder="1" applyAlignment="1">
      <alignment horizontal="left" vertical="top" wrapText="1"/>
    </xf>
    <xf numFmtId="0" fontId="4" fillId="16" borderId="79" xfId="0" applyFont="1" applyFill="1" applyBorder="1" applyAlignment="1">
      <alignment horizontal="left" vertical="top" wrapText="1"/>
    </xf>
    <xf numFmtId="0" fontId="4" fillId="16" borderId="28" xfId="0" applyFont="1" applyFill="1" applyBorder="1" applyAlignment="1">
      <alignment horizontal="left" vertical="top" wrapText="1"/>
    </xf>
    <xf numFmtId="0" fontId="4" fillId="16" borderId="26" xfId="0" applyFont="1" applyFill="1" applyBorder="1" applyAlignment="1">
      <alignment horizontal="left" vertical="top" wrapText="1"/>
    </xf>
    <xf numFmtId="0" fontId="24" fillId="16" borderId="52" xfId="0" applyFont="1" applyFill="1" applyBorder="1" applyAlignment="1">
      <alignment horizontal="left" vertical="top"/>
    </xf>
    <xf numFmtId="0" fontId="24" fillId="0" borderId="53" xfId="0" applyFont="1" applyBorder="1" applyAlignment="1">
      <alignment horizontal="left" vertical="top"/>
    </xf>
    <xf numFmtId="0" fontId="24" fillId="0" borderId="45" xfId="0" applyFont="1" applyBorder="1" applyAlignment="1">
      <alignment horizontal="left" vertical="top"/>
    </xf>
    <xf numFmtId="0" fontId="24" fillId="16" borderId="46" xfId="0" applyFont="1" applyFill="1" applyBorder="1" applyAlignment="1">
      <alignment horizontal="left" vertical="top" wrapText="1"/>
    </xf>
    <xf numFmtId="0" fontId="24" fillId="0" borderId="53" xfId="0" applyFont="1" applyBorder="1" applyAlignment="1">
      <alignment horizontal="left" vertical="top" wrapText="1"/>
    </xf>
    <xf numFmtId="0" fontId="24" fillId="0" borderId="54" xfId="0" applyFont="1" applyBorder="1" applyAlignment="1">
      <alignment horizontal="left" vertical="top" wrapText="1"/>
    </xf>
    <xf numFmtId="0" fontId="24" fillId="0" borderId="53" xfId="0" applyFont="1" applyBorder="1" applyAlignment="1">
      <alignment vertical="center" wrapText="1"/>
    </xf>
    <xf numFmtId="0" fontId="24" fillId="0" borderId="45" xfId="0" applyFont="1" applyBorder="1" applyAlignment="1">
      <alignment vertical="center" wrapText="1"/>
    </xf>
    <xf numFmtId="0" fontId="24" fillId="16" borderId="52" xfId="0" applyFont="1" applyFill="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0" borderId="12" xfId="0" applyFont="1" applyBorder="1" applyAlignment="1">
      <alignment horizontal="left" vertical="center" wrapText="1"/>
    </xf>
    <xf numFmtId="0" fontId="24" fillId="0" borderId="45" xfId="0" applyFont="1" applyBorder="1" applyAlignment="1">
      <alignment horizontal="left" vertical="top" wrapText="1"/>
    </xf>
    <xf numFmtId="0" fontId="24" fillId="16" borderId="53" xfId="0" applyFont="1" applyFill="1" applyBorder="1" applyAlignment="1">
      <alignment horizontal="center" vertical="center" wrapText="1"/>
    </xf>
    <xf numFmtId="0" fontId="24" fillId="16" borderId="54" xfId="0" applyFont="1" applyFill="1" applyBorder="1" applyAlignment="1">
      <alignment horizontal="center" vertical="center" wrapText="1"/>
    </xf>
    <xf numFmtId="168" fontId="4" fillId="4" borderId="16" xfId="0" applyNumberFormat="1" applyFont="1" applyFill="1" applyBorder="1" applyAlignment="1">
      <alignment horizontal="left" vertical="top"/>
    </xf>
    <xf numFmtId="168" fontId="4" fillId="4" borderId="17" xfId="0" applyNumberFormat="1" applyFont="1" applyFill="1" applyBorder="1" applyAlignment="1">
      <alignment horizontal="left" vertical="top"/>
    </xf>
    <xf numFmtId="168" fontId="4" fillId="4" borderId="18" xfId="0" applyNumberFormat="1" applyFont="1" applyFill="1" applyBorder="1" applyAlignment="1">
      <alignment horizontal="left" vertical="top"/>
    </xf>
    <xf numFmtId="0" fontId="0" fillId="4" borderId="52" xfId="0" applyFont="1" applyFill="1" applyBorder="1" applyAlignment="1">
      <alignment horizontal="center" vertical="center" wrapText="1"/>
    </xf>
    <xf numFmtId="0" fontId="0" fillId="0" borderId="53" xfId="0" applyFont="1" applyBorder="1" applyAlignment="1">
      <alignment horizontal="center" vertical="center" wrapText="1"/>
    </xf>
    <xf numFmtId="0" fontId="0" fillId="0" borderId="54" xfId="0" applyFont="1" applyBorder="1" applyAlignment="1">
      <alignment horizontal="center" vertical="center" wrapText="1"/>
    </xf>
    <xf numFmtId="168" fontId="4" fillId="4" borderId="25" xfId="0" applyNumberFormat="1" applyFont="1" applyFill="1" applyBorder="1" applyAlignment="1">
      <alignment horizontal="left" vertical="top"/>
    </xf>
    <xf numFmtId="168" fontId="4" fillId="4" borderId="28" xfId="0" applyNumberFormat="1" applyFont="1" applyFill="1" applyBorder="1" applyAlignment="1">
      <alignment horizontal="left" vertical="top"/>
    </xf>
    <xf numFmtId="168" fontId="4" fillId="4" borderId="26" xfId="0" applyNumberFormat="1" applyFont="1" applyFill="1" applyBorder="1" applyAlignment="1">
      <alignment horizontal="left" vertical="top"/>
    </xf>
    <xf numFmtId="0" fontId="24" fillId="4" borderId="31" xfId="8" applyFont="1" applyFill="1" applyBorder="1" applyAlignment="1">
      <alignment horizontal="left" vertical="center" wrapText="1"/>
    </xf>
    <xf numFmtId="0" fontId="24" fillId="4" borderId="30" xfId="8" applyFont="1" applyFill="1" applyBorder="1" applyAlignment="1">
      <alignment horizontal="left" vertical="center" wrapText="1"/>
    </xf>
    <xf numFmtId="0" fontId="24" fillId="4" borderId="33" xfId="8" applyFont="1" applyFill="1" applyBorder="1" applyAlignment="1">
      <alignment horizontal="left" vertical="center" wrapText="1"/>
    </xf>
    <xf numFmtId="0" fontId="24" fillId="4" borderId="4" xfId="8" applyFont="1" applyFill="1" applyBorder="1" applyAlignment="1">
      <alignment horizontal="left"/>
    </xf>
    <xf numFmtId="168" fontId="4" fillId="4" borderId="9" xfId="0" applyNumberFormat="1" applyFont="1" applyFill="1" applyBorder="1" applyAlignment="1">
      <alignment horizontal="left" vertical="top"/>
    </xf>
    <xf numFmtId="0" fontId="24" fillId="4" borderId="43" xfId="8" applyFont="1" applyFill="1" applyBorder="1" applyAlignment="1">
      <alignment horizontal="left" vertical="center" wrapText="1"/>
    </xf>
    <xf numFmtId="0" fontId="24" fillId="4" borderId="44" xfId="8" applyFont="1" applyFill="1" applyBorder="1" applyAlignment="1">
      <alignment horizontal="left" vertical="center" wrapText="1"/>
    </xf>
    <xf numFmtId="0" fontId="24" fillId="4" borderId="47" xfId="8" applyFont="1" applyFill="1" applyBorder="1" applyAlignment="1">
      <alignment horizontal="left" vertical="center" wrapText="1"/>
    </xf>
    <xf numFmtId="0" fontId="24" fillId="4" borderId="9" xfId="8" applyFont="1" applyFill="1" applyBorder="1" applyAlignment="1">
      <alignment horizontal="left"/>
    </xf>
    <xf numFmtId="2" fontId="24" fillId="0" borderId="16" xfId="0" applyNumberFormat="1" applyFont="1" applyFill="1" applyBorder="1" applyAlignment="1">
      <alignment horizontal="left" wrapText="1"/>
    </xf>
    <xf numFmtId="2" fontId="24" fillId="0" borderId="18" xfId="0" applyNumberFormat="1" applyFont="1" applyFill="1" applyBorder="1" applyAlignment="1">
      <alignment horizontal="left" wrapText="1"/>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0" fontId="24" fillId="0" borderId="17" xfId="0" applyFont="1" applyBorder="1" applyAlignment="1">
      <alignment horizontal="center" vertical="center" wrapText="1"/>
    </xf>
    <xf numFmtId="168" fontId="4" fillId="4" borderId="37" xfId="0" applyNumberFormat="1" applyFont="1" applyFill="1" applyBorder="1" applyAlignment="1">
      <alignment horizontal="left" vertical="top"/>
    </xf>
    <xf numFmtId="168" fontId="4" fillId="4" borderId="38" xfId="0" applyNumberFormat="1" applyFont="1" applyFill="1" applyBorder="1" applyAlignment="1">
      <alignment horizontal="left" vertical="top"/>
    </xf>
    <xf numFmtId="168" fontId="4" fillId="4" borderId="32" xfId="0" applyNumberFormat="1" applyFont="1" applyFill="1" applyBorder="1" applyAlignment="1">
      <alignment horizontal="left" vertical="top"/>
    </xf>
    <xf numFmtId="0" fontId="24" fillId="4" borderId="14" xfId="8" applyFont="1" applyFill="1" applyBorder="1" applyAlignment="1">
      <alignment horizontal="left"/>
    </xf>
    <xf numFmtId="0" fontId="24" fillId="10" borderId="18" xfId="0" applyFont="1" applyFill="1" applyBorder="1" applyAlignment="1">
      <alignment horizontal="left"/>
    </xf>
    <xf numFmtId="0" fontId="24" fillId="16" borderId="59" xfId="0" applyFont="1" applyFill="1" applyBorder="1" applyAlignment="1">
      <alignment horizontal="left" vertical="center" wrapText="1"/>
    </xf>
    <xf numFmtId="0" fontId="24" fillId="16" borderId="24" xfId="0" applyFont="1" applyFill="1" applyBorder="1" applyAlignment="1">
      <alignment horizontal="left" vertical="center" wrapText="1"/>
    </xf>
    <xf numFmtId="0" fontId="24" fillId="0" borderId="24" xfId="0" applyFont="1" applyBorder="1" applyAlignment="1">
      <alignment horizontal="left" vertical="center" wrapText="1"/>
    </xf>
    <xf numFmtId="0" fontId="0" fillId="0" borderId="24" xfId="0" applyBorder="1" applyAlignment="1">
      <alignment horizontal="left" vertical="center" wrapText="1"/>
    </xf>
    <xf numFmtId="0" fontId="0" fillId="0" borderId="62" xfId="0" applyBorder="1" applyAlignment="1">
      <alignment horizontal="left" vertical="center" wrapText="1"/>
    </xf>
    <xf numFmtId="0" fontId="24" fillId="4" borderId="85" xfId="8" applyFont="1" applyFill="1" applyBorder="1" applyAlignment="1">
      <alignment horizontal="left"/>
    </xf>
    <xf numFmtId="0" fontId="24" fillId="4" borderId="88" xfId="8" applyFont="1" applyFill="1" applyBorder="1" applyAlignment="1">
      <alignment horizontal="left"/>
    </xf>
    <xf numFmtId="0" fontId="24" fillId="4" borderId="86" xfId="8" applyFont="1" applyFill="1" applyBorder="1" applyAlignment="1">
      <alignment horizontal="left"/>
    </xf>
    <xf numFmtId="0" fontId="24" fillId="0" borderId="17" xfId="0" applyFont="1" applyBorder="1" applyAlignment="1">
      <alignment wrapText="1"/>
    </xf>
    <xf numFmtId="0" fontId="24" fillId="0" borderId="18" xfId="0" applyFont="1" applyBorder="1" applyAlignment="1">
      <alignment wrapText="1"/>
    </xf>
    <xf numFmtId="2" fontId="24" fillId="0" borderId="16" xfId="0" applyNumberFormat="1" applyFont="1" applyFill="1" applyBorder="1" applyAlignment="1">
      <alignment wrapText="1"/>
    </xf>
    <xf numFmtId="2" fontId="24" fillId="0" borderId="18" xfId="0" applyNumberFormat="1" applyFont="1" applyFill="1" applyBorder="1" applyAlignment="1">
      <alignment wrapText="1"/>
    </xf>
    <xf numFmtId="2" fontId="24" fillId="0" borderId="27" xfId="0" applyNumberFormat="1" applyFont="1" applyFill="1" applyBorder="1" applyAlignment="1">
      <alignment wrapText="1"/>
    </xf>
    <xf numFmtId="0" fontId="24" fillId="4" borderId="4" xfId="8" applyFont="1" applyFill="1" applyBorder="1" applyAlignment="1">
      <alignment horizontal="center"/>
    </xf>
    <xf numFmtId="0" fontId="24" fillId="4" borderId="9" xfId="8" applyFont="1" applyFill="1" applyBorder="1" applyAlignment="1">
      <alignment horizontal="center"/>
    </xf>
    <xf numFmtId="0" fontId="24" fillId="4" borderId="19" xfId="8" quotePrefix="1" applyFont="1" applyFill="1" applyBorder="1" applyAlignment="1">
      <alignment wrapText="1"/>
    </xf>
    <xf numFmtId="0" fontId="24" fillId="0" borderId="23" xfId="0" applyFont="1" applyBorder="1" applyAlignment="1">
      <alignment wrapText="1"/>
    </xf>
    <xf numFmtId="0" fontId="52" fillId="4" borderId="43" xfId="8" applyFont="1" applyFill="1" applyBorder="1" applyAlignment="1">
      <alignment horizontal="left" vertical="center" wrapText="1"/>
    </xf>
    <xf numFmtId="0" fontId="52" fillId="4" borderId="44" xfId="8" applyFont="1" applyFill="1" applyBorder="1" applyAlignment="1">
      <alignment horizontal="left" vertical="center" wrapText="1"/>
    </xf>
    <xf numFmtId="0" fontId="52" fillId="4" borderId="47" xfId="8" applyFont="1" applyFill="1" applyBorder="1" applyAlignment="1">
      <alignment horizontal="left" vertical="center" wrapText="1"/>
    </xf>
    <xf numFmtId="0" fontId="24" fillId="4" borderId="4" xfId="8" applyFont="1" applyFill="1" applyBorder="1" applyAlignment="1">
      <alignment horizontal="left" vertical="center"/>
    </xf>
    <xf numFmtId="0" fontId="24" fillId="4" borderId="23" xfId="8" applyFont="1" applyFill="1" applyBorder="1" applyAlignment="1">
      <alignment horizontal="left" vertical="center"/>
    </xf>
    <xf numFmtId="0" fontId="24" fillId="4" borderId="9" xfId="8" applyFont="1" applyFill="1" applyBorder="1" applyAlignment="1">
      <alignment horizontal="left" vertical="center"/>
    </xf>
    <xf numFmtId="0" fontId="24" fillId="4" borderId="19" xfId="8" applyFont="1" applyFill="1" applyBorder="1" applyAlignment="1">
      <alignment horizontal="left" vertical="center"/>
    </xf>
    <xf numFmtId="0" fontId="24" fillId="4" borderId="14" xfId="8" applyFont="1" applyFill="1" applyBorder="1" applyAlignment="1">
      <alignment horizontal="left" vertical="center"/>
    </xf>
    <xf numFmtId="0" fontId="24" fillId="4" borderId="8" xfId="8" applyFont="1" applyFill="1" applyBorder="1" applyAlignment="1">
      <alignment horizontal="left" vertical="center" wrapText="1"/>
    </xf>
    <xf numFmtId="0" fontId="24" fillId="4" borderId="9" xfId="8" applyFont="1" applyFill="1" applyBorder="1" applyAlignment="1">
      <alignment horizontal="left" vertical="center" wrapText="1"/>
    </xf>
    <xf numFmtId="0" fontId="24" fillId="4" borderId="14" xfId="8" applyFont="1" applyFill="1" applyBorder="1" applyAlignment="1">
      <alignment horizontal="center"/>
    </xf>
    <xf numFmtId="0" fontId="24" fillId="0" borderId="0" xfId="0" applyFont="1" applyAlignment="1">
      <alignment vertical="center"/>
    </xf>
    <xf numFmtId="0" fontId="24" fillId="0" borderId="18" xfId="8" applyFont="1" applyFill="1" applyBorder="1" applyAlignment="1">
      <alignment wrapText="1"/>
    </xf>
    <xf numFmtId="0" fontId="24" fillId="0" borderId="9" xfId="8" applyFont="1" applyFill="1" applyBorder="1" applyAlignment="1">
      <alignment wrapText="1"/>
    </xf>
    <xf numFmtId="0" fontId="24" fillId="0" borderId="89" xfId="8" applyFont="1" applyFill="1" applyBorder="1" applyAlignment="1">
      <alignment wrapText="1"/>
    </xf>
    <xf numFmtId="0" fontId="24" fillId="0" borderId="91" xfId="8" applyFont="1" applyFill="1" applyBorder="1" applyAlignment="1">
      <alignment wrapText="1"/>
    </xf>
    <xf numFmtId="0" fontId="24" fillId="11" borderId="20" xfId="0" applyFont="1" applyFill="1" applyBorder="1" applyAlignment="1">
      <alignment horizontal="center" vertical="center" wrapText="1"/>
    </xf>
    <xf numFmtId="0" fontId="24" fillId="0" borderId="87" xfId="8" applyFont="1" applyFill="1" applyBorder="1" applyAlignment="1">
      <alignment wrapText="1"/>
    </xf>
    <xf numFmtId="165" fontId="24" fillId="0" borderId="19" xfId="0" applyNumberFormat="1" applyFont="1" applyFill="1" applyBorder="1" applyAlignment="1">
      <alignment horizontal="left" vertical="center" wrapText="1"/>
    </xf>
    <xf numFmtId="165" fontId="24" fillId="0" borderId="23" xfId="0" applyNumberFormat="1" applyFont="1" applyFill="1" applyBorder="1" applyAlignment="1">
      <alignment horizontal="left" vertical="center" wrapText="1"/>
    </xf>
    <xf numFmtId="165" fontId="24" fillId="0" borderId="19" xfId="6" applyNumberFormat="1" applyFont="1" applyFill="1" applyBorder="1" applyAlignment="1">
      <alignment horizontal="left" vertical="center" wrapText="1"/>
    </xf>
    <xf numFmtId="165" fontId="1" fillId="0" borderId="19" xfId="6" applyNumberFormat="1" applyFont="1" applyFill="1" applyBorder="1" applyAlignment="1">
      <alignment horizontal="left" vertical="center" wrapText="1"/>
    </xf>
    <xf numFmtId="0" fontId="0" fillId="0" borderId="23" xfId="0" applyBorder="1" applyAlignment="1">
      <alignment horizontal="left" vertical="center" wrapText="1"/>
    </xf>
    <xf numFmtId="0" fontId="24" fillId="0" borderId="9" xfId="8" applyFont="1" applyFill="1" applyBorder="1" applyAlignment="1">
      <alignment horizontal="left" vertical="center" wrapText="1"/>
    </xf>
    <xf numFmtId="165" fontId="24" fillId="0" borderId="87" xfId="13" applyNumberFormat="1" applyFont="1" applyFill="1" applyBorder="1" applyAlignment="1">
      <alignment horizontal="left" vertical="center" wrapText="1"/>
    </xf>
    <xf numFmtId="165" fontId="53" fillId="0" borderId="16" xfId="0" applyNumberFormat="1" applyFont="1" applyFill="1" applyBorder="1" applyAlignment="1">
      <alignment horizontal="center" vertical="center" wrapText="1"/>
    </xf>
    <xf numFmtId="165" fontId="53" fillId="0" borderId="17" xfId="0" applyNumberFormat="1" applyFont="1" applyFill="1" applyBorder="1" applyAlignment="1">
      <alignment horizontal="center" vertical="center" wrapText="1"/>
    </xf>
    <xf numFmtId="165" fontId="53" fillId="0" borderId="18" xfId="0" applyNumberFormat="1" applyFont="1" applyFill="1" applyBorder="1" applyAlignment="1">
      <alignment horizontal="center" vertical="center" wrapText="1"/>
    </xf>
    <xf numFmtId="171" fontId="53" fillId="0" borderId="16" xfId="0" applyNumberFormat="1" applyFont="1" applyFill="1" applyBorder="1" applyAlignment="1">
      <alignment horizontal="center" vertical="center" wrapText="1"/>
    </xf>
    <xf numFmtId="171" fontId="53" fillId="0" borderId="17" xfId="0" applyNumberFormat="1" applyFont="1" applyFill="1" applyBorder="1" applyAlignment="1">
      <alignment horizontal="center" vertical="center" wrapText="1"/>
    </xf>
    <xf numFmtId="171" fontId="53" fillId="0" borderId="18" xfId="0" applyNumberFormat="1" applyFont="1" applyFill="1" applyBorder="1" applyAlignment="1">
      <alignment horizontal="center" vertical="center" wrapText="1"/>
    </xf>
    <xf numFmtId="0" fontId="24" fillId="0" borderId="92" xfId="8" applyFont="1" applyFill="1" applyBorder="1" applyAlignment="1">
      <alignment wrapText="1"/>
    </xf>
    <xf numFmtId="0" fontId="24" fillId="0" borderId="93" xfId="8" applyFont="1" applyFill="1" applyBorder="1" applyAlignment="1">
      <alignment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24" fillId="0" borderId="19" xfId="8" applyFont="1" applyFill="1" applyBorder="1" applyAlignment="1">
      <alignment horizontal="left" wrapText="1"/>
    </xf>
    <xf numFmtId="0" fontId="24" fillId="0" borderId="23" xfId="0" applyFont="1" applyBorder="1" applyAlignment="1">
      <alignment horizontal="left" wrapText="1"/>
    </xf>
    <xf numFmtId="0" fontId="0" fillId="0" borderId="23" xfId="0" applyBorder="1" applyAlignment="1">
      <alignment horizontal="left" wrapText="1"/>
    </xf>
    <xf numFmtId="0" fontId="24" fillId="15" borderId="9" xfId="0" applyFont="1" applyFill="1" applyBorder="1" applyAlignment="1">
      <alignment horizontal="left" vertical="center" wrapText="1"/>
    </xf>
    <xf numFmtId="0" fontId="24" fillId="15" borderId="9" xfId="0" applyFont="1" applyFill="1" applyBorder="1" applyAlignment="1">
      <alignment horizontal="center" vertical="center" wrapText="1"/>
    </xf>
    <xf numFmtId="0" fontId="24" fillId="15" borderId="16" xfId="0" applyFont="1" applyFill="1" applyBorder="1" applyAlignment="1">
      <alignment horizontal="center" vertical="center" wrapText="1"/>
    </xf>
    <xf numFmtId="0" fontId="24" fillId="15" borderId="17" xfId="0" applyFont="1" applyFill="1" applyBorder="1" applyAlignment="1">
      <alignment horizontal="center" vertical="center" wrapText="1"/>
    </xf>
    <xf numFmtId="0" fontId="24" fillId="15" borderId="17" xfId="0" applyFont="1" applyFill="1" applyBorder="1" applyAlignment="1">
      <alignment vertical="center" wrapText="1"/>
    </xf>
    <xf numFmtId="0" fontId="24" fillId="15" borderId="18" xfId="0" applyFont="1" applyFill="1" applyBorder="1" applyAlignment="1">
      <alignment vertical="center" wrapText="1"/>
    </xf>
    <xf numFmtId="165" fontId="24" fillId="0" borderId="19" xfId="0" applyNumberFormat="1" applyFont="1" applyBorder="1" applyAlignment="1">
      <alignment horizontal="left" vertical="center" wrapText="1"/>
    </xf>
    <xf numFmtId="165" fontId="24" fillId="0" borderId="30" xfId="0" applyNumberFormat="1" applyFont="1" applyBorder="1" applyAlignment="1">
      <alignment horizontal="left" vertical="center" wrapText="1"/>
    </xf>
    <xf numFmtId="165" fontId="24" fillId="0" borderId="23" xfId="0" applyNumberFormat="1" applyFont="1" applyBorder="1" applyAlignment="1">
      <alignment horizontal="left" vertical="center" wrapText="1"/>
    </xf>
    <xf numFmtId="165" fontId="24" fillId="0" borderId="30" xfId="0" applyNumberFormat="1" applyFont="1" applyFill="1" applyBorder="1" applyAlignment="1">
      <alignment horizontal="left" vertical="center" wrapText="1"/>
    </xf>
    <xf numFmtId="168" fontId="24" fillId="0" borderId="23" xfId="5" applyNumberFormat="1" applyFont="1" applyFill="1" applyBorder="1" applyAlignment="1">
      <alignment horizontal="left" vertical="top" wrapText="1"/>
    </xf>
    <xf numFmtId="0" fontId="24" fillId="0" borderId="23" xfId="0" applyFont="1" applyFill="1" applyBorder="1" applyAlignment="1"/>
    <xf numFmtId="0" fontId="24" fillId="0" borderId="9" xfId="0" applyFont="1" applyFill="1" applyBorder="1" applyAlignment="1"/>
    <xf numFmtId="0" fontId="24" fillId="11" borderId="19" xfId="5" applyFont="1" applyFill="1" applyBorder="1" applyAlignment="1">
      <alignment horizontal="left" vertical="center" wrapText="1"/>
    </xf>
    <xf numFmtId="0" fontId="24" fillId="11" borderId="21" xfId="5" applyFont="1" applyFill="1" applyBorder="1" applyAlignment="1">
      <alignment horizontal="left" vertical="center" wrapText="1"/>
    </xf>
    <xf numFmtId="0" fontId="24" fillId="0" borderId="26" xfId="0" applyFont="1" applyBorder="1" applyAlignment="1">
      <alignment horizontal="left" vertical="center" wrapText="1"/>
    </xf>
    <xf numFmtId="0" fontId="24" fillId="11" borderId="21" xfId="5" applyFont="1" applyFill="1" applyBorder="1" applyAlignment="1">
      <alignment horizontal="center" vertical="center" wrapText="1"/>
    </xf>
    <xf numFmtId="0" fontId="24" fillId="0" borderId="26" xfId="0" applyFont="1" applyBorder="1" applyAlignment="1">
      <alignment horizontal="center" vertical="center" wrapText="1"/>
    </xf>
    <xf numFmtId="0" fontId="24" fillId="11" borderId="20" xfId="5" applyFont="1" applyFill="1" applyBorder="1" applyAlignment="1">
      <alignment horizontal="left" vertical="center" wrapText="1"/>
    </xf>
    <xf numFmtId="0" fontId="24" fillId="0" borderId="21" xfId="0" applyFont="1" applyBorder="1" applyAlignment="1">
      <alignment horizontal="left" vertical="center" wrapText="1"/>
    </xf>
    <xf numFmtId="0" fontId="24" fillId="0" borderId="25" xfId="0" applyFont="1" applyBorder="1" applyAlignment="1">
      <alignment horizontal="left" vertical="center" wrapText="1"/>
    </xf>
    <xf numFmtId="0" fontId="30" fillId="0" borderId="20" xfId="8" applyFont="1" applyFill="1" applyBorder="1" applyAlignment="1">
      <alignment horizontal="left" vertical="top" wrapText="1"/>
    </xf>
    <xf numFmtId="0" fontId="30" fillId="0" borderId="21" xfId="8" applyFont="1" applyFill="1" applyBorder="1" applyAlignment="1">
      <alignment horizontal="left" vertical="top" wrapText="1"/>
    </xf>
    <xf numFmtId="165" fontId="24" fillId="0" borderId="17" xfId="6" applyNumberFormat="1" applyFont="1" applyFill="1" applyBorder="1" applyAlignment="1">
      <alignment horizontal="left" vertical="center" wrapText="1"/>
    </xf>
    <xf numFmtId="0" fontId="29" fillId="0" borderId="16" xfId="8" applyFont="1" applyFill="1" applyBorder="1" applyAlignment="1">
      <alignment wrapText="1"/>
    </xf>
    <xf numFmtId="0" fontId="29" fillId="0" borderId="18" xfId="8" applyFont="1" applyFill="1" applyBorder="1" applyAlignment="1">
      <alignment wrapText="1"/>
    </xf>
    <xf numFmtId="165" fontId="24" fillId="0" borderId="9" xfId="8" applyNumberFormat="1" applyFont="1" applyFill="1" applyBorder="1" applyAlignment="1">
      <alignment horizontal="left" vertical="center"/>
    </xf>
    <xf numFmtId="165" fontId="24" fillId="0" borderId="9" xfId="0" applyNumberFormat="1" applyFont="1" applyFill="1" applyBorder="1" applyAlignment="1">
      <alignment horizontal="left" vertical="center" wrapText="1"/>
    </xf>
    <xf numFmtId="0" fontId="29" fillId="0" borderId="9" xfId="8" applyFont="1" applyBorder="1" applyAlignment="1">
      <alignment horizontal="left" vertical="center" wrapText="1"/>
    </xf>
    <xf numFmtId="168" fontId="24" fillId="0" borderId="14" xfId="5" applyNumberFormat="1" applyFont="1" applyFill="1" applyBorder="1" applyAlignment="1">
      <alignment horizontal="left" vertical="top" wrapText="1"/>
    </xf>
    <xf numFmtId="0" fontId="24" fillId="0" borderId="14" xfId="0" applyFont="1" applyFill="1" applyBorder="1" applyAlignment="1"/>
    <xf numFmtId="0" fontId="29" fillId="0" borderId="16" xfId="8" applyFont="1" applyBorder="1" applyAlignment="1">
      <alignment wrapText="1"/>
    </xf>
    <xf numFmtId="0" fontId="29" fillId="0" borderId="18" xfId="8" applyFont="1" applyBorder="1" applyAlignment="1">
      <alignment wrapText="1"/>
    </xf>
    <xf numFmtId="165" fontId="24" fillId="0" borderId="16" xfId="6" applyNumberFormat="1" applyFont="1" applyFill="1" applyBorder="1" applyAlignment="1">
      <alignment vertical="center" wrapText="1"/>
    </xf>
    <xf numFmtId="165" fontId="24" fillId="0" borderId="17" xfId="6" applyNumberFormat="1" applyFont="1" applyFill="1" applyBorder="1" applyAlignment="1">
      <alignment vertical="center" wrapText="1"/>
    </xf>
    <xf numFmtId="165" fontId="24" fillId="0" borderId="18" xfId="6" applyNumberFormat="1" applyFont="1" applyFill="1" applyBorder="1" applyAlignment="1">
      <alignment vertical="center" wrapText="1"/>
    </xf>
    <xf numFmtId="168" fontId="24" fillId="0" borderId="48" xfId="5" applyNumberFormat="1" applyFont="1" applyFill="1" applyBorder="1" applyAlignment="1">
      <alignment horizontal="left" vertical="top" wrapText="1"/>
    </xf>
    <xf numFmtId="0" fontId="24" fillId="0" borderId="48" xfId="0" applyFont="1" applyFill="1" applyBorder="1" applyAlignment="1"/>
    <xf numFmtId="168" fontId="24" fillId="0" borderId="37" xfId="5" applyNumberFormat="1" applyFont="1" applyFill="1" applyBorder="1" applyAlignment="1">
      <alignment horizontal="left" vertical="top" wrapText="1"/>
    </xf>
    <xf numFmtId="168" fontId="24" fillId="0" borderId="32" xfId="5" applyNumberFormat="1" applyFont="1" applyFill="1" applyBorder="1" applyAlignment="1">
      <alignment horizontal="left" vertical="top" wrapText="1"/>
    </xf>
    <xf numFmtId="168" fontId="24" fillId="0" borderId="33" xfId="5" applyNumberFormat="1" applyFont="1" applyFill="1" applyBorder="1" applyAlignment="1">
      <alignment horizontal="left" vertical="top" wrapText="1"/>
    </xf>
    <xf numFmtId="0" fontId="24" fillId="0" borderId="33" xfId="0" applyFont="1" applyFill="1" applyBorder="1" applyAlignment="1"/>
    <xf numFmtId="168" fontId="24" fillId="0" borderId="25" xfId="5" applyNumberFormat="1" applyFont="1" applyFill="1" applyBorder="1" applyAlignment="1">
      <alignment horizontal="left" vertical="top" wrapText="1"/>
    </xf>
    <xf numFmtId="168" fontId="24" fillId="0" borderId="26" xfId="5" applyNumberFormat="1" applyFont="1" applyFill="1" applyBorder="1" applyAlignment="1">
      <alignment horizontal="left" vertical="top" wrapText="1"/>
    </xf>
    <xf numFmtId="0" fontId="29" fillId="0" borderId="9" xfId="8" applyFont="1" applyFill="1" applyBorder="1" applyAlignment="1">
      <alignment wrapText="1"/>
    </xf>
    <xf numFmtId="0" fontId="29" fillId="0" borderId="16" xfId="8" applyFont="1" applyFill="1" applyBorder="1" applyAlignment="1">
      <alignment horizontal="left"/>
    </xf>
    <xf numFmtId="0" fontId="29" fillId="0" borderId="17" xfId="8" applyFont="1" applyFill="1" applyBorder="1" applyAlignment="1">
      <alignment horizontal="left"/>
    </xf>
    <xf numFmtId="0" fontId="29" fillId="0" borderId="18" xfId="8" applyFont="1" applyFill="1" applyBorder="1" applyAlignment="1">
      <alignment horizontal="left"/>
    </xf>
    <xf numFmtId="0" fontId="24" fillId="0" borderId="9" xfId="0" applyFont="1" applyFill="1" applyBorder="1" applyAlignment="1">
      <alignment horizontal="left"/>
    </xf>
    <xf numFmtId="0" fontId="24" fillId="11" borderId="9" xfId="5" applyFont="1" applyFill="1" applyBorder="1" applyAlignment="1">
      <alignment horizontal="center" vertical="center" wrapText="1"/>
    </xf>
    <xf numFmtId="0" fontId="24" fillId="0" borderId="23" xfId="0" applyFont="1" applyBorder="1" applyAlignment="1">
      <alignment horizontal="center" vertical="center" wrapText="1"/>
    </xf>
    <xf numFmtId="0" fontId="1" fillId="0" borderId="17" xfId="0" applyFont="1" applyBorder="1" applyAlignment="1"/>
    <xf numFmtId="0" fontId="1" fillId="0" borderId="18" xfId="0" applyFont="1" applyBorder="1" applyAlignment="1"/>
    <xf numFmtId="165" fontId="1" fillId="0" borderId="19" xfId="0" applyNumberFormat="1" applyFont="1" applyFill="1" applyBorder="1" applyAlignment="1">
      <alignment horizontal="left" vertical="center" wrapText="1"/>
    </xf>
    <xf numFmtId="0" fontId="1" fillId="0" borderId="23" xfId="0" applyFont="1" applyFill="1" applyBorder="1" applyAlignment="1">
      <alignment horizontal="left" vertical="center" wrapText="1"/>
    </xf>
    <xf numFmtId="0" fontId="24" fillId="4" borderId="9" xfId="8" applyFont="1" applyFill="1" applyBorder="1" applyAlignment="1">
      <alignment wrapText="1"/>
    </xf>
    <xf numFmtId="0" fontId="24" fillId="0" borderId="9" xfId="8" applyFont="1" applyBorder="1" applyAlignment="1"/>
    <xf numFmtId="0" fontId="24" fillId="0" borderId="9" xfId="8" applyFont="1" applyBorder="1" applyAlignment="1">
      <alignment wrapText="1"/>
    </xf>
    <xf numFmtId="0" fontId="24" fillId="0" borderId="9" xfId="8" applyFont="1" applyFill="1" applyBorder="1" applyAlignment="1"/>
    <xf numFmtId="165" fontId="24" fillId="0" borderId="9" xfId="13" applyNumberFormat="1" applyFont="1" applyFill="1" applyBorder="1" applyAlignment="1">
      <alignment vertical="center" wrapText="1"/>
    </xf>
    <xf numFmtId="0" fontId="24" fillId="0" borderId="19" xfId="8" applyFont="1" applyBorder="1" applyAlignment="1">
      <alignment horizontal="left" vertical="center" wrapText="1"/>
    </xf>
    <xf numFmtId="0" fontId="24" fillId="0" borderId="23" xfId="8" applyFont="1" applyBorder="1" applyAlignment="1">
      <alignment horizontal="left" vertical="center" wrapText="1"/>
    </xf>
    <xf numFmtId="0" fontId="24" fillId="0" borderId="16" xfId="8" applyFont="1" applyBorder="1" applyAlignment="1">
      <alignment wrapText="1"/>
    </xf>
    <xf numFmtId="0" fontId="24" fillId="0" borderId="18" xfId="8" applyFont="1" applyBorder="1" applyAlignment="1">
      <alignment wrapText="1"/>
    </xf>
    <xf numFmtId="0" fontId="1" fillId="0" borderId="19" xfId="0" applyFont="1" applyFill="1" applyBorder="1" applyAlignment="1">
      <alignment horizontal="left" vertical="center" wrapText="1"/>
    </xf>
    <xf numFmtId="165" fontId="24" fillId="0" borderId="17" xfId="13" applyNumberFormat="1" applyFont="1" applyFill="1" applyBorder="1" applyAlignment="1">
      <alignment horizontal="left" vertical="center" wrapText="1"/>
    </xf>
    <xf numFmtId="0" fontId="24" fillId="11" borderId="9" xfId="0" applyFont="1" applyFill="1" applyBorder="1" applyAlignment="1">
      <alignment vertical="center" wrapText="1"/>
    </xf>
    <xf numFmtId="0" fontId="24" fillId="0" borderId="19" xfId="8" applyFont="1" applyFill="1" applyBorder="1" applyAlignment="1">
      <alignment horizontal="left" vertical="center"/>
    </xf>
    <xf numFmtId="0" fontId="24" fillId="0" borderId="30" xfId="8" applyFont="1" applyFill="1" applyBorder="1" applyAlignment="1">
      <alignment horizontal="left" vertical="center"/>
    </xf>
    <xf numFmtId="0" fontId="24" fillId="0" borderId="23" xfId="8" applyFont="1" applyFill="1" applyBorder="1" applyAlignment="1">
      <alignment horizontal="left" vertical="center"/>
    </xf>
    <xf numFmtId="0" fontId="56" fillId="0" borderId="19" xfId="8" applyFont="1" applyBorder="1" applyAlignment="1">
      <alignment horizontal="left" vertical="center"/>
    </xf>
    <xf numFmtId="0" fontId="56" fillId="0" borderId="30" xfId="8" applyFont="1" applyBorder="1" applyAlignment="1">
      <alignment horizontal="left" vertical="center"/>
    </xf>
    <xf numFmtId="0" fontId="56" fillId="0" borderId="23" xfId="8" applyFont="1" applyBorder="1" applyAlignment="1">
      <alignment horizontal="left" vertical="center"/>
    </xf>
    <xf numFmtId="0" fontId="24" fillId="0" borderId="19" xfId="8" applyFont="1" applyBorder="1" applyAlignment="1">
      <alignment vertical="center" wrapText="1"/>
    </xf>
    <xf numFmtId="0" fontId="24" fillId="0" borderId="16" xfId="8" applyFont="1" applyFill="1" applyBorder="1" applyAlignment="1">
      <alignment wrapText="1"/>
    </xf>
    <xf numFmtId="0" fontId="24" fillId="0" borderId="16" xfId="0" applyFont="1" applyFill="1" applyBorder="1" applyAlignment="1">
      <alignment vertical="center" wrapText="1"/>
    </xf>
    <xf numFmtId="0" fontId="24" fillId="0" borderId="17" xfId="0" applyFont="1" applyFill="1" applyBorder="1" applyAlignment="1">
      <alignment vertical="center" wrapText="1"/>
    </xf>
    <xf numFmtId="0" fontId="24" fillId="0" borderId="18" xfId="0" applyFont="1" applyFill="1" applyBorder="1" applyAlignment="1">
      <alignment vertical="center" wrapText="1"/>
    </xf>
    <xf numFmtId="0" fontId="24" fillId="4" borderId="16" xfId="0" applyFont="1" applyFill="1" applyBorder="1" applyAlignment="1">
      <alignment vertical="center" wrapText="1"/>
    </xf>
    <xf numFmtId="0" fontId="24" fillId="4" borderId="17" xfId="0" applyFont="1" applyFill="1" applyBorder="1" applyAlignment="1">
      <alignment vertical="center" wrapText="1"/>
    </xf>
    <xf numFmtId="0" fontId="24" fillId="4" borderId="18" xfId="0" applyFont="1" applyFill="1" applyBorder="1" applyAlignment="1">
      <alignment vertical="center" wrapText="1"/>
    </xf>
    <xf numFmtId="0" fontId="24" fillId="4" borderId="16" xfId="8" applyFont="1" applyFill="1" applyBorder="1" applyAlignment="1">
      <alignment wrapText="1"/>
    </xf>
    <xf numFmtId="0" fontId="24" fillId="4" borderId="18" xfId="8" applyFont="1" applyFill="1" applyBorder="1" applyAlignment="1">
      <alignment wrapText="1"/>
    </xf>
    <xf numFmtId="0" fontId="24" fillId="4" borderId="16" xfId="8" applyFont="1" applyFill="1" applyBorder="1" applyAlignment="1"/>
    <xf numFmtId="0" fontId="24" fillId="4" borderId="18" xfId="8" applyFont="1" applyFill="1" applyBorder="1" applyAlignment="1"/>
    <xf numFmtId="0" fontId="1" fillId="0" borderId="9" xfId="0" applyFont="1" applyFill="1" applyBorder="1" applyAlignment="1">
      <alignment horizontal="left" vertical="center" wrapText="1"/>
    </xf>
    <xf numFmtId="0" fontId="0" fillId="0" borderId="9" xfId="0" applyBorder="1" applyAlignment="1">
      <alignment horizontal="left" vertical="center" wrapText="1"/>
    </xf>
    <xf numFmtId="165" fontId="24" fillId="0" borderId="22" xfId="13" applyNumberFormat="1" applyFont="1" applyFill="1" applyBorder="1" applyAlignment="1">
      <alignment vertical="center" wrapText="1"/>
    </xf>
    <xf numFmtId="165" fontId="24" fillId="0" borderId="0" xfId="13" applyNumberFormat="1" applyFont="1" applyFill="1" applyBorder="1" applyAlignment="1">
      <alignment vertical="center" wrapText="1"/>
    </xf>
    <xf numFmtId="0" fontId="24" fillId="0" borderId="19"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19" xfId="8" applyFont="1" applyFill="1" applyBorder="1" applyAlignment="1">
      <alignment horizontal="left" vertical="center" wrapText="1"/>
    </xf>
    <xf numFmtId="0" fontId="24" fillId="0" borderId="30" xfId="8" applyFont="1" applyFill="1" applyBorder="1" applyAlignment="1">
      <alignment horizontal="left" vertical="center" wrapText="1"/>
    </xf>
    <xf numFmtId="0" fontId="24" fillId="0" borderId="23" xfId="8" applyFont="1" applyFill="1" applyBorder="1" applyAlignment="1">
      <alignment horizontal="left" vertical="center" wrapText="1"/>
    </xf>
    <xf numFmtId="0" fontId="24" fillId="0" borderId="16" xfId="8" applyFont="1" applyFill="1" applyBorder="1" applyAlignment="1">
      <alignment horizontal="center" wrapText="1"/>
    </xf>
    <xf numFmtId="0" fontId="24" fillId="0" borderId="18" xfId="8" applyFont="1" applyFill="1" applyBorder="1" applyAlignment="1">
      <alignment horizontal="center" wrapText="1"/>
    </xf>
    <xf numFmtId="165" fontId="24" fillId="0" borderId="16" xfId="13" applyNumberFormat="1" applyFont="1" applyFill="1" applyBorder="1" applyAlignment="1">
      <alignment vertical="center" wrapText="1"/>
    </xf>
    <xf numFmtId="165" fontId="24" fillId="0" borderId="17" xfId="13" applyNumberFormat="1" applyFont="1" applyFill="1" applyBorder="1" applyAlignment="1">
      <alignment vertical="center" wrapText="1"/>
    </xf>
    <xf numFmtId="165" fontId="24" fillId="0" borderId="18" xfId="13" applyNumberFormat="1" applyFont="1" applyFill="1" applyBorder="1" applyAlignment="1">
      <alignment vertical="center" wrapText="1"/>
    </xf>
    <xf numFmtId="165" fontId="0" fillId="0" borderId="9" xfId="0" applyNumberFormat="1" applyFont="1" applyFill="1" applyBorder="1" applyAlignment="1">
      <alignment horizontal="left" vertical="center" wrapText="1"/>
    </xf>
    <xf numFmtId="0" fontId="0" fillId="0" borderId="9" xfId="0" applyFont="1" applyFill="1" applyBorder="1" applyAlignment="1">
      <alignment horizontal="left" vertical="center" wrapText="1"/>
    </xf>
    <xf numFmtId="0" fontId="24" fillId="11" borderId="27" xfId="0" applyFont="1" applyFill="1" applyBorder="1" applyAlignment="1">
      <alignment horizontal="center" vertical="center" wrapText="1"/>
    </xf>
    <xf numFmtId="0" fontId="24" fillId="11" borderId="21" xfId="0" applyFont="1" applyFill="1" applyBorder="1" applyAlignment="1">
      <alignment horizontal="center" vertical="center" wrapText="1"/>
    </xf>
    <xf numFmtId="165" fontId="24" fillId="0" borderId="25" xfId="6" applyNumberFormat="1" applyFont="1" applyFill="1" applyBorder="1" applyAlignment="1">
      <alignment vertical="center" wrapText="1"/>
    </xf>
    <xf numFmtId="165" fontId="24" fillId="0" borderId="28" xfId="6" applyNumberFormat="1" applyFont="1" applyFill="1" applyBorder="1" applyAlignment="1">
      <alignment vertical="center" wrapText="1"/>
    </xf>
    <xf numFmtId="165" fontId="24" fillId="0" borderId="9" xfId="13" applyNumberFormat="1" applyFont="1" applyFill="1" applyBorder="1" applyAlignment="1">
      <alignment horizontal="center" vertical="center" wrapText="1"/>
    </xf>
    <xf numFmtId="165" fontId="4" fillId="0" borderId="9" xfId="13" applyNumberFormat="1" applyFont="1" applyFill="1" applyBorder="1" applyAlignment="1">
      <alignment horizontal="left" vertical="center" wrapText="1"/>
    </xf>
    <xf numFmtId="165" fontId="1" fillId="0" borderId="9" xfId="13" applyNumberFormat="1" applyFont="1" applyFill="1" applyBorder="1" applyAlignment="1">
      <alignment horizontal="left" vertical="center" wrapText="1"/>
    </xf>
    <xf numFmtId="165" fontId="24" fillId="0" borderId="19" xfId="13" applyNumberFormat="1" applyFont="1" applyFill="1" applyBorder="1" applyAlignment="1">
      <alignment horizontal="left" vertical="center" wrapText="1"/>
    </xf>
    <xf numFmtId="165" fontId="24" fillId="0" borderId="30" xfId="13" applyNumberFormat="1" applyFont="1" applyFill="1" applyBorder="1" applyAlignment="1">
      <alignment horizontal="left" vertical="center" wrapText="1"/>
    </xf>
    <xf numFmtId="9" fontId="24" fillId="0" borderId="19" xfId="3" applyFont="1" applyFill="1" applyBorder="1" applyAlignment="1">
      <alignment horizontal="left" vertical="center" wrapText="1"/>
    </xf>
    <xf numFmtId="9" fontId="24" fillId="0" borderId="30" xfId="3" applyFont="1" applyFill="1" applyBorder="1" applyAlignment="1">
      <alignment horizontal="left" vertical="center" wrapText="1"/>
    </xf>
    <xf numFmtId="9" fontId="24" fillId="0" borderId="23" xfId="3" applyFont="1" applyFill="1" applyBorder="1" applyAlignment="1">
      <alignment horizontal="left" vertical="center" wrapText="1"/>
    </xf>
    <xf numFmtId="9" fontId="24" fillId="0" borderId="19" xfId="3" applyFont="1" applyFill="1" applyBorder="1" applyAlignment="1">
      <alignment horizontal="center" vertical="center" wrapText="1"/>
    </xf>
    <xf numFmtId="9" fontId="24" fillId="0" borderId="30" xfId="3" applyFont="1" applyFill="1" applyBorder="1" applyAlignment="1">
      <alignment horizontal="center" vertical="center" wrapText="1"/>
    </xf>
    <xf numFmtId="9" fontId="24" fillId="0" borderId="23" xfId="3" applyFont="1" applyFill="1" applyBorder="1" applyAlignment="1">
      <alignment horizontal="center" vertical="center" wrapText="1"/>
    </xf>
    <xf numFmtId="165" fontId="4" fillId="0" borderId="16" xfId="13" applyNumberFormat="1" applyFont="1" applyFill="1" applyBorder="1" applyAlignment="1">
      <alignment horizontal="left" vertical="center" wrapText="1"/>
    </xf>
    <xf numFmtId="165" fontId="4" fillId="0" borderId="18" xfId="13" applyNumberFormat="1" applyFont="1" applyFill="1" applyBorder="1" applyAlignment="1">
      <alignment horizontal="left" vertical="center" wrapText="1"/>
    </xf>
    <xf numFmtId="165" fontId="97" fillId="0" borderId="9" xfId="13" applyNumberFormat="1" applyFont="1" applyFill="1" applyBorder="1" applyAlignment="1">
      <alignment horizontal="left" vertical="center" wrapText="1"/>
    </xf>
    <xf numFmtId="165" fontId="24" fillId="0" borderId="17" xfId="13" applyNumberFormat="1" applyFont="1" applyFill="1" applyBorder="1" applyAlignment="1">
      <alignment horizontal="center" vertical="center" wrapText="1"/>
    </xf>
    <xf numFmtId="165" fontId="4" fillId="0" borderId="17" xfId="13" applyNumberFormat="1" applyFont="1" applyFill="1" applyBorder="1" applyAlignment="1">
      <alignment horizontal="left" vertical="center" wrapText="1"/>
    </xf>
    <xf numFmtId="165" fontId="24" fillId="0" borderId="20" xfId="13" applyNumberFormat="1" applyFont="1" applyFill="1" applyBorder="1" applyAlignment="1">
      <alignment horizontal="left" vertical="center" wrapText="1"/>
    </xf>
    <xf numFmtId="165" fontId="24" fillId="0" borderId="21" xfId="13" applyNumberFormat="1" applyFont="1" applyFill="1" applyBorder="1" applyAlignment="1">
      <alignment horizontal="left" vertical="center" wrapText="1"/>
    </xf>
    <xf numFmtId="165" fontId="24" fillId="0" borderId="20" xfId="13" applyNumberFormat="1" applyFont="1" applyFill="1" applyBorder="1" applyAlignment="1">
      <alignment horizontal="center" vertical="center" wrapText="1"/>
    </xf>
    <xf numFmtId="165" fontId="24" fillId="0" borderId="27" xfId="13" applyNumberFormat="1" applyFont="1" applyFill="1" applyBorder="1" applyAlignment="1">
      <alignment horizontal="center" vertical="center" wrapText="1"/>
    </xf>
    <xf numFmtId="165" fontId="24" fillId="0" borderId="21" xfId="13" applyNumberFormat="1" applyFont="1" applyFill="1" applyBorder="1" applyAlignment="1">
      <alignment horizontal="center" vertical="center" wrapText="1"/>
    </xf>
    <xf numFmtId="165" fontId="24" fillId="0" borderId="25" xfId="13" applyNumberFormat="1" applyFont="1" applyFill="1" applyBorder="1" applyAlignment="1">
      <alignment horizontal="center" vertical="center" wrapText="1"/>
    </xf>
    <xf numFmtId="165" fontId="24" fillId="0" borderId="28" xfId="13" applyNumberFormat="1" applyFont="1" applyFill="1" applyBorder="1" applyAlignment="1">
      <alignment horizontal="center" vertical="center" wrapText="1"/>
    </xf>
    <xf numFmtId="165" fontId="24" fillId="0" borderId="26" xfId="13" applyNumberFormat="1" applyFont="1" applyFill="1" applyBorder="1" applyAlignment="1">
      <alignment horizontal="center" vertical="center" wrapText="1"/>
    </xf>
    <xf numFmtId="165" fontId="24" fillId="0" borderId="19" xfId="8" applyNumberFormat="1" applyFont="1" applyFill="1" applyBorder="1" applyAlignment="1">
      <alignment horizontal="left" vertical="center"/>
    </xf>
    <xf numFmtId="0" fontId="24" fillId="0" borderId="9" xfId="8" applyFont="1" applyFill="1" applyBorder="1" applyAlignment="1">
      <alignment horizontal="left" vertical="center"/>
    </xf>
    <xf numFmtId="0" fontId="0" fillId="0" borderId="19" xfId="8" applyFont="1" applyBorder="1" applyAlignment="1">
      <alignment horizontal="left" vertical="center" wrapText="1"/>
    </xf>
    <xf numFmtId="0" fontId="0" fillId="0" borderId="30" xfId="8" applyFont="1" applyBorder="1" applyAlignment="1">
      <alignment horizontal="left" vertical="center" wrapText="1"/>
    </xf>
    <xf numFmtId="0" fontId="0" fillId="0" borderId="23" xfId="8" applyFont="1" applyBorder="1" applyAlignment="1">
      <alignment horizontal="left" vertical="center" wrapText="1"/>
    </xf>
    <xf numFmtId="0" fontId="24" fillId="0" borderId="20" xfId="8" applyFont="1" applyFill="1" applyBorder="1" applyAlignment="1">
      <alignment wrapText="1"/>
    </xf>
    <xf numFmtId="0" fontId="24" fillId="0" borderId="27" xfId="8" applyFont="1" applyFill="1" applyBorder="1" applyAlignment="1">
      <alignment wrapText="1"/>
    </xf>
    <xf numFmtId="0" fontId="24" fillId="0" borderId="21" xfId="8" applyFont="1" applyFill="1" applyBorder="1" applyAlignment="1">
      <alignment wrapText="1"/>
    </xf>
    <xf numFmtId="0" fontId="24" fillId="0" borderId="22" xfId="0" applyFont="1" applyBorder="1" applyAlignment="1">
      <alignment wrapText="1"/>
    </xf>
    <xf numFmtId="0" fontId="24" fillId="0" borderId="0" xfId="0" applyFont="1" applyAlignment="1">
      <alignment wrapText="1"/>
    </xf>
    <xf numFmtId="0" fontId="24" fillId="0" borderId="24" xfId="0" applyFont="1" applyBorder="1" applyAlignment="1">
      <alignment wrapText="1"/>
    </xf>
    <xf numFmtId="0" fontId="24" fillId="0" borderId="25" xfId="0" applyFont="1" applyBorder="1" applyAlignment="1">
      <alignment wrapText="1"/>
    </xf>
    <xf numFmtId="0" fontId="24" fillId="0" borderId="28" xfId="0" applyFont="1" applyBorder="1" applyAlignment="1">
      <alignment wrapText="1"/>
    </xf>
    <xf numFmtId="0" fontId="24" fillId="0" borderId="26" xfId="0" applyFont="1" applyBorder="1" applyAlignment="1">
      <alignment wrapText="1"/>
    </xf>
    <xf numFmtId="0" fontId="72" fillId="0" borderId="9" xfId="8" applyFont="1" applyFill="1" applyBorder="1" applyAlignment="1">
      <alignment wrapText="1"/>
    </xf>
    <xf numFmtId="0" fontId="24" fillId="0" borderId="30" xfId="8" applyFont="1" applyBorder="1" applyAlignment="1">
      <alignment horizontal="left" vertical="center" wrapText="1"/>
    </xf>
    <xf numFmtId="165" fontId="72" fillId="0" borderId="23" xfId="13" applyNumberFormat="1" applyFont="1" applyFill="1" applyBorder="1" applyAlignment="1">
      <alignment horizontal="left" vertical="center" wrapText="1"/>
    </xf>
    <xf numFmtId="165" fontId="24" fillId="0" borderId="25" xfId="13" applyNumberFormat="1" applyFont="1" applyFill="1" applyBorder="1" applyAlignment="1">
      <alignment horizontal="left" vertical="center" wrapText="1"/>
    </xf>
    <xf numFmtId="165" fontId="72" fillId="0" borderId="9" xfId="13" applyNumberFormat="1" applyFont="1" applyFill="1" applyBorder="1" applyAlignment="1">
      <alignment vertical="center" wrapText="1"/>
    </xf>
    <xf numFmtId="0" fontId="52" fillId="4" borderId="19" xfId="8" applyFont="1" applyFill="1" applyBorder="1" applyAlignment="1">
      <alignment horizontal="left" vertical="center"/>
    </xf>
    <xf numFmtId="0" fontId="56" fillId="0" borderId="19" xfId="8" applyFont="1" applyFill="1" applyBorder="1" applyAlignment="1">
      <alignment horizontal="left" vertical="center"/>
    </xf>
    <xf numFmtId="0" fontId="52" fillId="0" borderId="19" xfId="8" applyFont="1" applyBorder="1" applyAlignment="1">
      <alignment horizontal="left" vertical="center"/>
    </xf>
    <xf numFmtId="0" fontId="52" fillId="0" borderId="30" xfId="8" applyFont="1" applyBorder="1" applyAlignment="1">
      <alignment horizontal="left" vertical="center"/>
    </xf>
    <xf numFmtId="0" fontId="52" fillId="0" borderId="23" xfId="8" applyFont="1" applyBorder="1" applyAlignment="1">
      <alignment horizontal="left" vertical="center"/>
    </xf>
    <xf numFmtId="0" fontId="24" fillId="0" borderId="19" xfId="8" applyFont="1" applyBorder="1" applyAlignment="1">
      <alignment wrapText="1"/>
    </xf>
    <xf numFmtId="0" fontId="24" fillId="0" borderId="30" xfId="0" applyFont="1" applyBorder="1" applyAlignment="1">
      <alignment wrapText="1"/>
    </xf>
    <xf numFmtId="0" fontId="24" fillId="0" borderId="19" xfId="8" applyFont="1" applyBorder="1" applyAlignment="1"/>
    <xf numFmtId="0" fontId="24" fillId="0" borderId="30" xfId="0" applyFont="1" applyBorder="1" applyAlignment="1"/>
    <xf numFmtId="0" fontId="24" fillId="0" borderId="23" xfId="0" applyFont="1" applyBorder="1" applyAlignment="1"/>
    <xf numFmtId="0" fontId="24" fillId="0" borderId="0" xfId="8" applyFont="1" applyBorder="1" applyAlignment="1">
      <alignment horizontal="left" vertical="center" wrapText="1"/>
    </xf>
    <xf numFmtId="0" fontId="52" fillId="0" borderId="22" xfId="8" applyFont="1" applyBorder="1" applyAlignment="1">
      <alignment horizontal="left" vertical="center"/>
    </xf>
    <xf numFmtId="0" fontId="29" fillId="4" borderId="19" xfId="8" applyFont="1" applyFill="1" applyBorder="1" applyAlignment="1">
      <alignment horizontal="left" vertical="center" wrapText="1"/>
    </xf>
    <xf numFmtId="0" fontId="52" fillId="0" borderId="22" xfId="8" applyFont="1" applyFill="1" applyBorder="1" applyAlignment="1">
      <alignment horizontal="left" vertical="center"/>
    </xf>
    <xf numFmtId="0" fontId="52" fillId="0" borderId="23" xfId="8" applyFont="1" applyFill="1" applyBorder="1" applyAlignment="1">
      <alignment horizontal="left" vertical="center"/>
    </xf>
    <xf numFmtId="0" fontId="24" fillId="0" borderId="19" xfId="8" applyFont="1" applyFill="1" applyBorder="1" applyAlignment="1">
      <alignment vertical="center" wrapText="1"/>
    </xf>
    <xf numFmtId="0" fontId="56" fillId="4" borderId="19" xfId="8" applyFont="1" applyFill="1" applyBorder="1" applyAlignment="1">
      <alignment horizontal="left" vertical="center"/>
    </xf>
    <xf numFmtId="0" fontId="56" fillId="4" borderId="30" xfId="8" applyFont="1" applyFill="1" applyBorder="1" applyAlignment="1">
      <alignment horizontal="left" vertical="center"/>
    </xf>
    <xf numFmtId="0" fontId="56" fillId="4" borderId="23" xfId="8" applyFont="1" applyFill="1" applyBorder="1" applyAlignment="1">
      <alignment horizontal="left" vertical="center"/>
    </xf>
    <xf numFmtId="0" fontId="24" fillId="0" borderId="19" xfId="8" applyFont="1" applyBorder="1" applyAlignment="1">
      <alignment horizontal="left" vertical="center"/>
    </xf>
    <xf numFmtId="0" fontId="24" fillId="0" borderId="30" xfId="8" applyFont="1" applyBorder="1" applyAlignment="1">
      <alignment horizontal="left" vertical="center"/>
    </xf>
    <xf numFmtId="0" fontId="24" fillId="0" borderId="0" xfId="8" applyFont="1" applyBorder="1" applyAlignment="1">
      <alignment horizontal="center" vertical="center" wrapText="1"/>
    </xf>
    <xf numFmtId="0" fontId="24" fillId="4" borderId="9" xfId="0" applyFont="1" applyFill="1" applyBorder="1" applyAlignment="1">
      <alignment horizontal="center" vertical="center" wrapText="1"/>
    </xf>
    <xf numFmtId="0" fontId="24" fillId="0" borderId="71" xfId="8" applyFont="1" applyBorder="1" applyAlignment="1">
      <alignment horizontal="center" vertical="center" wrapText="1"/>
    </xf>
    <xf numFmtId="0" fontId="24" fillId="0" borderId="42" xfId="8" applyFont="1" applyBorder="1" applyAlignment="1">
      <alignment horizontal="center" vertical="center" wrapText="1"/>
    </xf>
    <xf numFmtId="0" fontId="4" fillId="4" borderId="9" xfId="0" applyFont="1" applyFill="1" applyBorder="1" applyAlignment="1">
      <alignment horizontal="left" vertical="center" wrapText="1"/>
    </xf>
    <xf numFmtId="165" fontId="4" fillId="0" borderId="9" xfId="13" applyNumberFormat="1" applyFont="1" applyFill="1" applyBorder="1" applyAlignment="1">
      <alignment horizontal="center" vertical="center" wrapText="1"/>
    </xf>
    <xf numFmtId="2" fontId="24" fillId="0" borderId="9" xfId="13" applyNumberFormat="1" applyFont="1" applyFill="1" applyBorder="1" applyAlignment="1">
      <alignment horizontal="left" vertical="center" wrapText="1"/>
    </xf>
    <xf numFmtId="0" fontId="24" fillId="0" borderId="9" xfId="0" applyFont="1" applyFill="1" applyBorder="1" applyAlignment="1">
      <alignment horizontal="center" vertical="center" wrapText="1"/>
    </xf>
    <xf numFmtId="165" fontId="1" fillId="0" borderId="19" xfId="13" applyNumberFormat="1" applyFont="1" applyFill="1" applyBorder="1" applyAlignment="1">
      <alignment horizontal="left" vertical="center" wrapText="1"/>
    </xf>
    <xf numFmtId="165" fontId="1" fillId="0" borderId="30" xfId="13" applyNumberFormat="1" applyFont="1" applyFill="1" applyBorder="1" applyAlignment="1">
      <alignment horizontal="left" vertical="center" wrapText="1"/>
    </xf>
    <xf numFmtId="165" fontId="1" fillId="0" borderId="23" xfId="13" applyNumberFormat="1" applyFont="1" applyFill="1" applyBorder="1" applyAlignment="1">
      <alignment horizontal="left" vertical="center" wrapText="1"/>
    </xf>
    <xf numFmtId="165" fontId="0" fillId="0" borderId="19" xfId="13" applyNumberFormat="1" applyFont="1" applyFill="1" applyBorder="1" applyAlignment="1">
      <alignment horizontal="left" vertical="center" wrapText="1"/>
    </xf>
    <xf numFmtId="165" fontId="0" fillId="0" borderId="30" xfId="13" applyNumberFormat="1" applyFont="1" applyFill="1" applyBorder="1" applyAlignment="1">
      <alignment horizontal="left" vertical="center" wrapText="1"/>
    </xf>
    <xf numFmtId="165" fontId="0" fillId="0" borderId="23" xfId="13" applyNumberFormat="1" applyFont="1" applyFill="1" applyBorder="1" applyAlignment="1">
      <alignment horizontal="left" vertical="center" wrapText="1"/>
    </xf>
    <xf numFmtId="0" fontId="24" fillId="10" borderId="9" xfId="0" applyFont="1" applyFill="1" applyBorder="1" applyAlignment="1">
      <alignment horizontal="left"/>
    </xf>
    <xf numFmtId="0" fontId="24" fillId="0" borderId="27"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8" xfId="0" applyFont="1" applyBorder="1" applyAlignment="1">
      <alignment horizontal="center" vertical="center" wrapText="1"/>
    </xf>
    <xf numFmtId="168" fontId="4" fillId="0" borderId="9" xfId="5" applyNumberFormat="1" applyFont="1" applyFill="1" applyBorder="1" applyAlignment="1">
      <alignment horizontal="left" vertical="top" wrapText="1"/>
    </xf>
    <xf numFmtId="168" fontId="24" fillId="0" borderId="31" xfId="5" applyNumberFormat="1" applyFont="1" applyFill="1" applyBorder="1" applyAlignment="1">
      <alignment horizontal="left" vertical="center"/>
    </xf>
    <xf numFmtId="168" fontId="24" fillId="0" borderId="33" xfId="5" applyNumberFormat="1" applyFont="1" applyFill="1" applyBorder="1" applyAlignment="1">
      <alignment horizontal="left" vertical="center"/>
    </xf>
    <xf numFmtId="165" fontId="24" fillId="0" borderId="16" xfId="0" applyNumberFormat="1" applyFont="1" applyFill="1" applyBorder="1" applyAlignment="1">
      <alignment horizontal="left" vertical="center" wrapText="1"/>
    </xf>
    <xf numFmtId="168" fontId="24" fillId="0" borderId="19" xfId="5" applyNumberFormat="1" applyFont="1" applyBorder="1" applyAlignment="1">
      <alignment horizontal="center" vertical="center"/>
    </xf>
    <xf numFmtId="168" fontId="24" fillId="0" borderId="31" xfId="5" applyNumberFormat="1" applyFont="1" applyBorder="1" applyAlignment="1">
      <alignment horizontal="left" vertical="center"/>
    </xf>
    <xf numFmtId="168" fontId="24" fillId="0" borderId="33" xfId="5" applyNumberFormat="1" applyFont="1" applyBorder="1" applyAlignment="1">
      <alignment horizontal="left" vertical="center"/>
    </xf>
    <xf numFmtId="168" fontId="24" fillId="0" borderId="19" xfId="5" applyNumberFormat="1" applyFont="1" applyFill="1" applyBorder="1" applyAlignment="1">
      <alignment horizontal="left" vertical="center"/>
    </xf>
    <xf numFmtId="168" fontId="24" fillId="0" borderId="30" xfId="5" applyNumberFormat="1" applyFont="1" applyFill="1" applyBorder="1" applyAlignment="1">
      <alignment horizontal="left" vertical="center"/>
    </xf>
    <xf numFmtId="168" fontId="4" fillId="0" borderId="14" xfId="5" applyNumberFormat="1" applyFont="1" applyFill="1" applyBorder="1" applyAlignment="1">
      <alignment horizontal="left" vertical="top" wrapText="1"/>
    </xf>
    <xf numFmtId="0" fontId="4" fillId="0" borderId="9" xfId="0" applyFont="1" applyFill="1" applyBorder="1" applyAlignment="1"/>
    <xf numFmtId="0" fontId="4" fillId="0" borderId="14" xfId="0" applyFont="1" applyFill="1" applyBorder="1" applyAlignment="1"/>
    <xf numFmtId="168" fontId="24" fillId="0" borderId="35" xfId="5" applyNumberFormat="1" applyFont="1" applyFill="1" applyBorder="1" applyAlignment="1">
      <alignment horizontal="left" vertical="top" wrapText="1"/>
    </xf>
    <xf numFmtId="168" fontId="24" fillId="0" borderId="34" xfId="5" applyNumberFormat="1" applyFont="1" applyFill="1" applyBorder="1" applyAlignment="1">
      <alignment horizontal="left" vertical="top" wrapText="1"/>
    </xf>
    <xf numFmtId="0" fontId="4" fillId="0" borderId="0" xfId="0" applyFont="1" applyAlignment="1">
      <alignment horizontal="left" vertical="top" wrapText="1"/>
    </xf>
    <xf numFmtId="0" fontId="0" fillId="0" borderId="0" xfId="0" applyAlignment="1">
      <alignment vertical="center"/>
    </xf>
    <xf numFmtId="0" fontId="17" fillId="0" borderId="0" xfId="5" applyFont="1" applyFill="1" applyBorder="1" applyAlignment="1">
      <alignment vertical="center" wrapText="1"/>
    </xf>
    <xf numFmtId="0" fontId="36" fillId="0" borderId="0" xfId="0" applyFont="1" applyFill="1" applyBorder="1" applyAlignment="1">
      <alignment vertical="center" wrapText="1"/>
    </xf>
    <xf numFmtId="0" fontId="0" fillId="0" borderId="0" xfId="0" applyFill="1" applyBorder="1" applyAlignment="1">
      <alignment vertical="center" wrapText="1"/>
    </xf>
    <xf numFmtId="0" fontId="4" fillId="0" borderId="16"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100" fillId="0" borderId="9" xfId="0" applyFont="1" applyBorder="1" applyAlignment="1">
      <alignment horizontal="left" vertical="center" wrapText="1"/>
    </xf>
    <xf numFmtId="0" fontId="29" fillId="4" borderId="16" xfId="8" applyFont="1" applyFill="1" applyBorder="1" applyAlignment="1">
      <alignment horizontal="left"/>
    </xf>
    <xf numFmtId="0" fontId="29" fillId="4" borderId="17" xfId="8" applyFont="1" applyFill="1" applyBorder="1" applyAlignment="1">
      <alignment horizontal="left"/>
    </xf>
    <xf numFmtId="0" fontId="29" fillId="4" borderId="18" xfId="8" applyFont="1" applyFill="1" applyBorder="1" applyAlignment="1">
      <alignment horizontal="left"/>
    </xf>
    <xf numFmtId="165" fontId="1" fillId="0" borderId="33" xfId="13" applyNumberFormat="1" applyFont="1" applyFill="1" applyBorder="1" applyAlignment="1">
      <alignment horizontal="left" vertical="center" wrapText="1"/>
    </xf>
    <xf numFmtId="165" fontId="1" fillId="0" borderId="31" xfId="13" applyNumberFormat="1" applyFont="1" applyFill="1" applyBorder="1" applyAlignment="1">
      <alignment horizontal="left" vertical="center" wrapText="1"/>
    </xf>
    <xf numFmtId="0" fontId="24" fillId="0" borderId="9" xfId="6" applyFont="1" applyFill="1" applyBorder="1" applyAlignment="1">
      <alignment vertical="center"/>
    </xf>
    <xf numFmtId="0" fontId="24" fillId="11" borderId="25" xfId="0" applyFont="1" applyFill="1" applyBorder="1" applyAlignment="1">
      <alignment horizontal="center" vertical="center" wrapText="1"/>
    </xf>
    <xf numFmtId="0" fontId="24" fillId="11" borderId="28" xfId="0" applyFont="1" applyFill="1" applyBorder="1" applyAlignment="1">
      <alignment horizontal="center" vertical="center" wrapText="1"/>
    </xf>
    <xf numFmtId="165" fontId="4" fillId="0" borderId="19" xfId="13" applyNumberFormat="1" applyFont="1" applyFill="1" applyBorder="1" applyAlignment="1">
      <alignment horizontal="left" vertical="center" wrapText="1"/>
    </xf>
    <xf numFmtId="165" fontId="4" fillId="0" borderId="23" xfId="13" applyNumberFormat="1" applyFont="1" applyFill="1" applyBorder="1" applyAlignment="1">
      <alignment horizontal="left" vertical="center" wrapText="1"/>
    </xf>
    <xf numFmtId="1" fontId="4" fillId="0" borderId="19" xfId="13" applyNumberFormat="1" applyFont="1" applyFill="1" applyBorder="1" applyAlignment="1">
      <alignment horizontal="left" vertical="center" wrapText="1"/>
    </xf>
    <xf numFmtId="1" fontId="4" fillId="0" borderId="23" xfId="13" applyNumberFormat="1" applyFont="1" applyFill="1" applyBorder="1" applyAlignment="1">
      <alignment horizontal="left" vertical="center" wrapText="1"/>
    </xf>
    <xf numFmtId="0" fontId="4" fillId="0" borderId="19" xfId="8" applyFont="1" applyBorder="1" applyAlignment="1">
      <alignment horizontal="left" vertical="center" wrapText="1"/>
    </xf>
    <xf numFmtId="0" fontId="4" fillId="0" borderId="23" xfId="8" applyFont="1" applyBorder="1" applyAlignment="1">
      <alignment horizontal="left" vertical="center" wrapText="1"/>
    </xf>
    <xf numFmtId="0" fontId="24" fillId="0" borderId="9" xfId="8" applyFont="1" applyBorder="1" applyAlignment="1">
      <alignment horizontal="left" vertical="center" wrapText="1"/>
    </xf>
    <xf numFmtId="0" fontId="4" fillId="10" borderId="18" xfId="0" applyFont="1" applyFill="1" applyBorder="1" applyAlignment="1">
      <alignment horizontal="left"/>
    </xf>
    <xf numFmtId="0" fontId="4" fillId="0" borderId="23" xfId="0" applyFont="1" applyBorder="1" applyAlignment="1">
      <alignment horizontal="left" vertical="center" wrapText="1"/>
    </xf>
    <xf numFmtId="165" fontId="24" fillId="0" borderId="30" xfId="6" applyNumberFormat="1" applyFont="1" applyFill="1" applyBorder="1" applyAlignment="1">
      <alignment horizontal="left" vertical="center" wrapText="1"/>
    </xf>
    <xf numFmtId="165" fontId="24" fillId="0" borderId="23" xfId="6" applyNumberFormat="1"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11" borderId="17" xfId="0" applyFont="1" applyFill="1" applyBorder="1" applyAlignment="1">
      <alignment horizontal="center" vertical="center" wrapText="1"/>
    </xf>
    <xf numFmtId="0" fontId="4" fillId="11" borderId="18" xfId="0" applyFont="1" applyFill="1" applyBorder="1" applyAlignment="1">
      <alignment horizontal="center" vertical="center" wrapText="1"/>
    </xf>
    <xf numFmtId="0" fontId="24" fillId="0" borderId="16" xfId="0" applyFont="1" applyFill="1" applyBorder="1" applyAlignment="1"/>
    <xf numFmtId="0" fontId="24" fillId="0" borderId="18" xfId="0" applyFont="1" applyFill="1" applyBorder="1" applyAlignment="1"/>
    <xf numFmtId="165" fontId="24" fillId="0" borderId="9" xfId="6" applyNumberFormat="1" applyFont="1" applyFill="1" applyBorder="1" applyAlignment="1">
      <alignment vertical="center" wrapText="1"/>
    </xf>
    <xf numFmtId="0" fontId="29" fillId="0" borderId="19" xfId="8" applyFont="1" applyFill="1" applyBorder="1" applyAlignment="1">
      <alignment horizontal="left" vertical="center"/>
    </xf>
    <xf numFmtId="0" fontId="29" fillId="0" borderId="23" xfId="8" applyFont="1" applyFill="1" applyBorder="1" applyAlignment="1">
      <alignment horizontal="left" vertical="center"/>
    </xf>
    <xf numFmtId="0" fontId="74" fillId="4" borderId="19" xfId="8" applyFont="1" applyFill="1" applyBorder="1" applyAlignment="1">
      <alignment horizontal="left" vertical="center"/>
    </xf>
    <xf numFmtId="0" fontId="74" fillId="4" borderId="23" xfId="8" applyFont="1" applyFill="1" applyBorder="1" applyAlignment="1">
      <alignment horizontal="left" vertical="center"/>
    </xf>
    <xf numFmtId="0" fontId="24" fillId="0" borderId="9" xfId="0" applyFont="1" applyBorder="1" applyAlignment="1">
      <alignment horizontal="center" vertical="center" wrapText="1"/>
    </xf>
    <xf numFmtId="0" fontId="24" fillId="11" borderId="18" xfId="0" applyFont="1" applyFill="1" applyBorder="1" applyAlignment="1">
      <alignment horizontal="left" vertical="center" wrapText="1"/>
    </xf>
    <xf numFmtId="0" fontId="24" fillId="11" borderId="9" xfId="0" applyFont="1" applyFill="1" applyBorder="1" applyAlignment="1">
      <alignment horizontal="left" vertical="center" wrapText="1"/>
    </xf>
    <xf numFmtId="3" fontId="24" fillId="0" borderId="9" xfId="0" applyNumberFormat="1" applyFont="1" applyBorder="1" applyAlignment="1">
      <alignment horizontal="left" vertical="center" wrapText="1"/>
    </xf>
    <xf numFmtId="3" fontId="24" fillId="4" borderId="9" xfId="0" applyNumberFormat="1" applyFont="1" applyFill="1" applyBorder="1" applyAlignment="1">
      <alignment horizontal="left" vertical="center" wrapText="1"/>
    </xf>
    <xf numFmtId="165" fontId="24" fillId="0" borderId="9" xfId="6" applyNumberFormat="1" applyFont="1" applyBorder="1" applyAlignment="1">
      <alignment horizontal="left" vertical="center" wrapText="1"/>
    </xf>
    <xf numFmtId="0" fontId="42" fillId="0" borderId="30" xfId="8" applyFont="1" applyFill="1" applyBorder="1" applyAlignment="1">
      <alignment horizontal="left" vertical="center" wrapText="1"/>
    </xf>
    <xf numFmtId="168" fontId="4" fillId="0" borderId="9" xfId="5" applyNumberFormat="1" applyFont="1" applyFill="1" applyBorder="1" applyAlignment="1">
      <alignment horizontal="left" vertical="center" wrapText="1"/>
    </xf>
    <xf numFmtId="168" fontId="24" fillId="0" borderId="9" xfId="5" applyNumberFormat="1" applyFont="1" applyFill="1" applyBorder="1" applyAlignment="1">
      <alignment vertical="center" wrapText="1"/>
    </xf>
    <xf numFmtId="168" fontId="24" fillId="0" borderId="9" xfId="5" applyNumberFormat="1" applyFont="1" applyBorder="1" applyAlignment="1">
      <alignment vertical="center" wrapText="1"/>
    </xf>
    <xf numFmtId="2" fontId="24" fillId="4" borderId="16" xfId="0" applyNumberFormat="1" applyFont="1" applyFill="1" applyBorder="1" applyAlignment="1"/>
    <xf numFmtId="2" fontId="24" fillId="4" borderId="18" xfId="0" applyNumberFormat="1" applyFont="1" applyFill="1" applyBorder="1" applyAlignment="1"/>
    <xf numFmtId="168" fontId="24" fillId="0" borderId="23" xfId="5" applyNumberFormat="1" applyFont="1" applyBorder="1" applyAlignment="1">
      <alignment vertical="center" wrapText="1"/>
    </xf>
    <xf numFmtId="168" fontId="24" fillId="0" borderId="14" xfId="5" applyNumberFormat="1" applyFont="1" applyBorder="1" applyAlignment="1">
      <alignment vertical="center" wrapText="1"/>
    </xf>
    <xf numFmtId="168" fontId="24" fillId="0" borderId="4" xfId="5" applyNumberFormat="1" applyFont="1" applyBorder="1" applyAlignment="1">
      <alignment vertical="center" wrapText="1"/>
    </xf>
    <xf numFmtId="0" fontId="42" fillId="0" borderId="23" xfId="8" applyFont="1" applyFill="1" applyBorder="1" applyAlignment="1">
      <alignment horizontal="left" vertical="center" wrapText="1"/>
    </xf>
    <xf numFmtId="168" fontId="24" fillId="0" borderId="23" xfId="5" applyNumberFormat="1" applyFont="1" applyBorder="1" applyAlignment="1">
      <alignment horizontal="left" vertical="center" wrapText="1"/>
    </xf>
    <xf numFmtId="0" fontId="4" fillId="0" borderId="14" xfId="0" applyFont="1" applyFill="1" applyBorder="1" applyAlignment="1">
      <alignment wrapText="1"/>
    </xf>
    <xf numFmtId="168" fontId="24" fillId="0" borderId="30" xfId="5" applyNumberFormat="1" applyFont="1" applyBorder="1" applyAlignment="1">
      <alignment horizontal="left" vertical="center"/>
    </xf>
    <xf numFmtId="0" fontId="4" fillId="0" borderId="14" xfId="0" applyFont="1" applyBorder="1" applyAlignment="1">
      <alignment wrapText="1"/>
    </xf>
    <xf numFmtId="168" fontId="24" fillId="0" borderId="9" xfId="5" applyNumberFormat="1" applyFont="1" applyBorder="1" applyAlignment="1">
      <alignment vertical="top" wrapText="1"/>
    </xf>
    <xf numFmtId="165" fontId="24" fillId="4" borderId="19" xfId="8" applyNumberFormat="1" applyFont="1" applyFill="1" applyBorder="1" applyAlignment="1">
      <alignment horizontal="left" vertical="center" wrapText="1"/>
    </xf>
    <xf numFmtId="168" fontId="24" fillId="0" borderId="19" xfId="5" applyNumberFormat="1" applyFont="1" applyBorder="1" applyAlignment="1">
      <alignment horizontal="left" vertical="center"/>
    </xf>
    <xf numFmtId="165" fontId="24" fillId="4" borderId="9" xfId="8" applyNumberFormat="1" applyFont="1" applyFill="1" applyBorder="1" applyAlignment="1">
      <alignment horizontal="left" vertical="center" wrapText="1"/>
    </xf>
    <xf numFmtId="0" fontId="29" fillId="4" borderId="23" xfId="8" applyFont="1" applyFill="1" applyBorder="1" applyAlignment="1">
      <alignment horizontal="left" vertical="center"/>
    </xf>
    <xf numFmtId="0" fontId="29" fillId="4" borderId="9" xfId="8" applyFont="1" applyFill="1" applyBorder="1" applyAlignment="1">
      <alignment horizontal="left" vertical="center"/>
    </xf>
    <xf numFmtId="0" fontId="29" fillId="4" borderId="9" xfId="8" applyFont="1" applyFill="1" applyBorder="1" applyAlignment="1">
      <alignment horizontal="left"/>
    </xf>
    <xf numFmtId="0" fontId="29" fillId="4" borderId="16" xfId="8" quotePrefix="1" applyFont="1" applyFill="1" applyBorder="1" applyAlignment="1">
      <alignment vertical="center" wrapText="1"/>
    </xf>
    <xf numFmtId="0" fontId="29" fillId="4" borderId="20" xfId="8" quotePrefix="1" applyFont="1" applyFill="1" applyBorder="1" applyAlignment="1">
      <alignment vertical="center" wrapText="1"/>
    </xf>
    <xf numFmtId="0" fontId="24" fillId="4" borderId="21" xfId="0" applyFont="1" applyFill="1" applyBorder="1" applyAlignment="1">
      <alignment vertical="center" wrapText="1"/>
    </xf>
    <xf numFmtId="0" fontId="24" fillId="0" borderId="25" xfId="0" applyFont="1" applyBorder="1" applyAlignment="1"/>
    <xf numFmtId="0" fontId="24" fillId="0" borderId="26" xfId="0" applyFont="1" applyBorder="1" applyAlignment="1"/>
    <xf numFmtId="0" fontId="24" fillId="0" borderId="19" xfId="0" applyFont="1" applyBorder="1" applyAlignment="1">
      <alignment horizontal="left"/>
    </xf>
    <xf numFmtId="0" fontId="24" fillId="0" borderId="23" xfId="0" applyFont="1" applyBorder="1" applyAlignment="1">
      <alignment horizontal="left"/>
    </xf>
    <xf numFmtId="0" fontId="29" fillId="4" borderId="16" xfId="8" applyFont="1" applyFill="1" applyBorder="1" applyAlignment="1">
      <alignment horizontal="left" vertical="center"/>
    </xf>
    <xf numFmtId="0" fontId="29" fillId="4" borderId="17" xfId="8" applyFont="1" applyFill="1" applyBorder="1" applyAlignment="1">
      <alignment horizontal="left" vertical="center"/>
    </xf>
    <xf numFmtId="0" fontId="29" fillId="4" borderId="18" xfId="8" applyFont="1" applyFill="1" applyBorder="1" applyAlignment="1">
      <alignment horizontal="left" vertical="center"/>
    </xf>
    <xf numFmtId="0" fontId="74" fillId="4" borderId="9" xfId="8" applyFont="1" applyFill="1" applyBorder="1" applyAlignment="1">
      <alignment horizontal="left" vertical="center" wrapText="1"/>
    </xf>
    <xf numFmtId="0" fontId="42" fillId="4" borderId="9" xfId="8" applyFont="1" applyFill="1" applyBorder="1" applyAlignment="1">
      <alignment horizontal="left" vertical="center" wrapText="1"/>
    </xf>
    <xf numFmtId="0" fontId="74" fillId="4" borderId="9" xfId="8" applyFont="1" applyFill="1" applyBorder="1" applyAlignment="1">
      <alignment horizontal="left" vertical="center"/>
    </xf>
    <xf numFmtId="0" fontId="42" fillId="4" borderId="9" xfId="8" applyFont="1" applyFill="1" applyBorder="1" applyAlignment="1">
      <alignment horizontal="left" vertical="center"/>
    </xf>
    <xf numFmtId="0" fontId="42" fillId="0" borderId="19" xfId="8" applyFont="1" applyBorder="1" applyAlignment="1">
      <alignment horizontal="left" vertical="center"/>
    </xf>
    <xf numFmtId="0" fontId="24" fillId="0" borderId="19" xfId="0" applyFont="1" applyBorder="1" applyAlignment="1"/>
    <xf numFmtId="165" fontId="52" fillId="0" borderId="9" xfId="8" applyNumberFormat="1" applyFont="1" applyBorder="1" applyAlignment="1">
      <alignment horizontal="left" vertical="center"/>
    </xf>
    <xf numFmtId="0" fontId="52" fillId="0" borderId="9" xfId="8" applyFont="1" applyBorder="1" applyAlignment="1">
      <alignment horizontal="left" vertical="center"/>
    </xf>
    <xf numFmtId="0" fontId="24" fillId="0" borderId="19" xfId="8" applyFont="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0" fillId="0" borderId="19" xfId="8" applyFont="1" applyBorder="1" applyAlignment="1">
      <alignment horizontal="left" vertical="center"/>
    </xf>
    <xf numFmtId="0" fontId="0" fillId="0" borderId="30" xfId="8" applyFont="1" applyBorder="1" applyAlignment="1">
      <alignment horizontal="left" vertical="center"/>
    </xf>
    <xf numFmtId="2" fontId="4" fillId="4" borderId="16" xfId="0" applyNumberFormat="1" applyFont="1" applyFill="1" applyBorder="1" applyAlignment="1"/>
    <xf numFmtId="2" fontId="4" fillId="4" borderId="18" xfId="0" applyNumberFormat="1" applyFont="1" applyFill="1" applyBorder="1" applyAlignment="1"/>
    <xf numFmtId="0" fontId="29" fillId="0" borderId="30" xfId="8" applyFont="1" applyFill="1" applyBorder="1" applyAlignment="1">
      <alignment horizontal="left" vertical="center"/>
    </xf>
    <xf numFmtId="168" fontId="4" fillId="0" borderId="14" xfId="5" applyNumberFormat="1" applyFont="1" applyBorder="1" applyAlignment="1">
      <alignment vertical="center" wrapText="1"/>
    </xf>
    <xf numFmtId="168" fontId="24" fillId="0" borderId="37" xfId="5" applyNumberFormat="1" applyFont="1" applyBorder="1" applyAlignment="1">
      <alignment vertical="center" wrapText="1"/>
    </xf>
    <xf numFmtId="168" fontId="24" fillId="0" borderId="32" xfId="5" applyNumberFormat="1" applyFont="1" applyBorder="1" applyAlignment="1">
      <alignment vertical="center" wrapText="1"/>
    </xf>
    <xf numFmtId="0" fontId="24" fillId="0" borderId="9" xfId="0" applyFont="1" applyBorder="1" applyAlignment="1">
      <alignment horizontal="left"/>
    </xf>
    <xf numFmtId="0" fontId="24" fillId="0" borderId="0" xfId="0" applyFont="1" applyAlignment="1">
      <alignment horizontal="left" wrapText="1"/>
    </xf>
    <xf numFmtId="0" fontId="35" fillId="6" borderId="99" xfId="5" applyFont="1" applyFill="1" applyBorder="1" applyAlignment="1">
      <alignment vertical="center"/>
    </xf>
    <xf numFmtId="0" fontId="0" fillId="0" borderId="100" xfId="0" applyBorder="1" applyAlignment="1">
      <alignment vertical="center"/>
    </xf>
    <xf numFmtId="0" fontId="0" fillId="0" borderId="101" xfId="0" applyBorder="1" applyAlignment="1">
      <alignment vertical="center"/>
    </xf>
    <xf numFmtId="0" fontId="35" fillId="6" borderId="0" xfId="5" applyFont="1" applyFill="1" applyBorder="1" applyAlignment="1">
      <alignment vertical="center"/>
    </xf>
    <xf numFmtId="0" fontId="0" fillId="0" borderId="0" xfId="0" applyBorder="1" applyAlignment="1">
      <alignment vertical="center"/>
    </xf>
    <xf numFmtId="0" fontId="4" fillId="0" borderId="0" xfId="6" applyFont="1" applyFill="1" applyBorder="1" applyAlignment="1">
      <alignment horizontal="left" vertical="center" wrapText="1"/>
    </xf>
    <xf numFmtId="0" fontId="47" fillId="0" borderId="0" xfId="6" applyFont="1" applyFill="1" applyBorder="1" applyAlignment="1">
      <alignment horizontal="left" vertical="center" wrapText="1"/>
    </xf>
    <xf numFmtId="0" fontId="4" fillId="0" borderId="0" xfId="6" applyFont="1" applyFill="1" applyBorder="1" applyAlignment="1">
      <alignment horizontal="left" wrapText="1"/>
    </xf>
    <xf numFmtId="0" fontId="77" fillId="0" borderId="0" xfId="5" applyFont="1" applyFill="1" applyAlignment="1">
      <alignment horizontal="center" wrapText="1"/>
    </xf>
    <xf numFmtId="0" fontId="24" fillId="10" borderId="16" xfId="5" applyFont="1" applyFill="1" applyBorder="1" applyAlignment="1">
      <alignment horizontal="left"/>
    </xf>
    <xf numFmtId="0" fontId="24" fillId="10" borderId="17" xfId="5" applyFont="1" applyFill="1" applyBorder="1" applyAlignment="1">
      <alignment horizontal="left"/>
    </xf>
    <xf numFmtId="0" fontId="1" fillId="0" borderId="17" xfId="6" applyBorder="1" applyAlignment="1"/>
    <xf numFmtId="0" fontId="39" fillId="17" borderId="16" xfId="5" applyFont="1" applyFill="1" applyBorder="1" applyAlignment="1">
      <alignment horizontal="left"/>
    </xf>
    <xf numFmtId="0" fontId="39" fillId="17" borderId="17" xfId="5" applyFont="1" applyFill="1" applyBorder="1" applyAlignment="1">
      <alignment horizontal="left"/>
    </xf>
    <xf numFmtId="0" fontId="39" fillId="17" borderId="18" xfId="5" applyFont="1" applyFill="1" applyBorder="1" applyAlignment="1">
      <alignment horizontal="left"/>
    </xf>
    <xf numFmtId="0" fontId="24" fillId="0" borderId="17" xfId="6" applyFont="1" applyBorder="1" applyAlignment="1"/>
    <xf numFmtId="0" fontId="24" fillId="17" borderId="16" xfId="5" applyFont="1" applyFill="1" applyBorder="1" applyAlignment="1">
      <alignment horizontal="left"/>
    </xf>
    <xf numFmtId="0" fontId="24" fillId="17" borderId="17" xfId="5" applyFont="1" applyFill="1" applyBorder="1" applyAlignment="1">
      <alignment horizontal="left"/>
    </xf>
    <xf numFmtId="0" fontId="1" fillId="17" borderId="17" xfId="6" applyFill="1" applyBorder="1" applyAlignment="1"/>
    <xf numFmtId="0" fontId="0" fillId="17" borderId="17" xfId="0" applyFill="1" applyBorder="1" applyAlignment="1"/>
    <xf numFmtId="0" fontId="0" fillId="17" borderId="18" xfId="0" applyFill="1" applyBorder="1" applyAlignment="1"/>
    <xf numFmtId="0" fontId="39" fillId="0" borderId="0" xfId="5" applyFont="1" applyAlignment="1">
      <alignment horizontal="center" vertical="center" wrapText="1"/>
    </xf>
    <xf numFmtId="0" fontId="39" fillId="0" borderId="0" xfId="5" applyFont="1" applyAlignment="1">
      <alignment horizontal="center"/>
    </xf>
    <xf numFmtId="0" fontId="114" fillId="0" borderId="0" xfId="0" applyFont="1" applyAlignment="1">
      <alignment horizontal="left" vertical="top" wrapText="1"/>
    </xf>
    <xf numFmtId="0" fontId="4" fillId="17" borderId="16" xfId="5" applyFont="1" applyFill="1" applyBorder="1" applyAlignment="1">
      <alignment horizontal="left"/>
    </xf>
    <xf numFmtId="0" fontId="4" fillId="17" borderId="17" xfId="5" applyFont="1" applyFill="1" applyBorder="1" applyAlignment="1">
      <alignment horizontal="left"/>
    </xf>
    <xf numFmtId="0" fontId="4" fillId="17" borderId="17" xfId="6" applyFont="1" applyFill="1" applyBorder="1" applyAlignment="1"/>
    <xf numFmtId="0" fontId="4" fillId="17" borderId="17" xfId="0" applyFont="1" applyFill="1" applyBorder="1" applyAlignment="1"/>
    <xf numFmtId="0" fontId="4" fillId="17" borderId="18" xfId="0" applyFont="1" applyFill="1" applyBorder="1" applyAlignment="1"/>
    <xf numFmtId="0" fontId="39" fillId="0" borderId="0" xfId="5" applyFont="1" applyBorder="1" applyAlignment="1">
      <alignment horizontal="center" vertical="center" wrapText="1"/>
    </xf>
    <xf numFmtId="0" fontId="44" fillId="6" borderId="0" xfId="0" applyFont="1" applyFill="1" applyAlignment="1">
      <alignment horizontal="center"/>
    </xf>
    <xf numFmtId="0" fontId="24" fillId="6" borderId="0" xfId="0" applyFont="1" applyFill="1" applyAlignment="1"/>
    <xf numFmtId="0" fontId="43" fillId="7" borderId="9" xfId="5" applyFont="1" applyFill="1" applyBorder="1" applyAlignment="1">
      <alignment horizontal="center" vertical="center" wrapText="1"/>
    </xf>
    <xf numFmtId="0" fontId="77" fillId="0" borderId="9" xfId="0" applyFont="1" applyBorder="1" applyAlignment="1">
      <alignment wrapText="1"/>
    </xf>
    <xf numFmtId="166" fontId="43" fillId="8" borderId="9" xfId="5" applyNumberFormat="1" applyFont="1" applyFill="1" applyBorder="1" applyAlignment="1">
      <alignment horizontal="center" vertical="center" wrapText="1"/>
    </xf>
    <xf numFmtId="0" fontId="39" fillId="0" borderId="96" xfId="5" applyFont="1" applyBorder="1" applyAlignment="1">
      <alignment horizontal="center" wrapText="1"/>
    </xf>
    <xf numFmtId="0" fontId="0" fillId="0" borderId="97" xfId="0" applyBorder="1" applyAlignment="1">
      <alignment horizontal="center" wrapText="1"/>
    </xf>
    <xf numFmtId="0" fontId="24" fillId="11" borderId="20" xfId="5" applyFont="1" applyFill="1" applyBorder="1" applyAlignment="1">
      <alignment horizontal="center" vertical="center" wrapText="1"/>
    </xf>
    <xf numFmtId="0" fontId="24" fillId="0" borderId="21" xfId="6" applyFont="1" applyBorder="1" applyAlignment="1">
      <alignment horizontal="center" vertical="center" wrapText="1"/>
    </xf>
    <xf numFmtId="0" fontId="24" fillId="11" borderId="25" xfId="5" applyFont="1" applyFill="1" applyBorder="1" applyAlignment="1">
      <alignment horizontal="center" vertical="center" wrapText="1"/>
    </xf>
    <xf numFmtId="0" fontId="24" fillId="0" borderId="26" xfId="6" applyFont="1" applyBorder="1" applyAlignment="1">
      <alignment horizontal="center" vertical="center" wrapText="1"/>
    </xf>
    <xf numFmtId="0" fontId="39" fillId="0" borderId="0" xfId="5" applyFont="1" applyBorder="1" applyAlignment="1">
      <alignment horizontal="left" vertical="top" wrapText="1"/>
    </xf>
    <xf numFmtId="0" fontId="99" fillId="0" borderId="0" xfId="0" applyFont="1" applyAlignment="1"/>
    <xf numFmtId="0" fontId="71" fillId="7" borderId="19" xfId="0" applyFont="1" applyFill="1" applyBorder="1" applyAlignment="1">
      <alignment horizontal="center" wrapText="1"/>
    </xf>
    <xf numFmtId="0" fontId="81" fillId="7" borderId="30" xfId="0" applyFont="1" applyFill="1" applyBorder="1" applyAlignment="1">
      <alignment horizontal="center" wrapText="1"/>
    </xf>
    <xf numFmtId="0" fontId="71" fillId="22" borderId="19" xfId="0" applyFont="1" applyFill="1" applyBorder="1" applyAlignment="1">
      <alignment horizontal="center" wrapText="1"/>
    </xf>
    <xf numFmtId="0" fontId="81" fillId="22" borderId="30" xfId="0" applyFont="1" applyFill="1" applyBorder="1" applyAlignment="1">
      <alignment horizontal="center" wrapText="1"/>
    </xf>
    <xf numFmtId="171" fontId="71" fillId="13" borderId="19" xfId="0" applyNumberFormat="1" applyFont="1" applyFill="1" applyBorder="1" applyAlignment="1">
      <alignment horizontal="center" wrapText="1"/>
    </xf>
    <xf numFmtId="171" fontId="81" fillId="13" borderId="30" xfId="0" applyNumberFormat="1" applyFont="1" applyFill="1" applyBorder="1" applyAlignment="1">
      <alignment horizontal="center" wrapText="1"/>
    </xf>
    <xf numFmtId="171" fontId="71" fillId="13" borderId="19" xfId="2" applyNumberFormat="1" applyFont="1" applyFill="1" applyBorder="1" applyAlignment="1">
      <alignment horizontal="center" wrapText="1"/>
    </xf>
    <xf numFmtId="171" fontId="81" fillId="13" borderId="30" xfId="2" applyNumberFormat="1" applyFont="1" applyFill="1" applyBorder="1" applyAlignment="1">
      <alignment horizontal="center" wrapText="1"/>
    </xf>
    <xf numFmtId="0" fontId="57" fillId="19" borderId="21" xfId="0" applyFont="1" applyFill="1" applyBorder="1" applyAlignment="1">
      <alignment horizontal="center" wrapText="1"/>
    </xf>
    <xf numFmtId="0" fontId="24" fillId="0" borderId="26" xfId="0" applyFont="1" applyBorder="1" applyAlignment="1">
      <alignment horizontal="center" wrapText="1"/>
    </xf>
    <xf numFmtId="0" fontId="71" fillId="24" borderId="19" xfId="0" applyFont="1" applyFill="1" applyBorder="1" applyAlignment="1">
      <alignment horizontal="center" wrapText="1"/>
    </xf>
    <xf numFmtId="0" fontId="96" fillId="24" borderId="30" xfId="0" applyFont="1" applyFill="1" applyBorder="1" applyAlignment="1">
      <alignment horizontal="center" wrapText="1"/>
    </xf>
    <xf numFmtId="0" fontId="71" fillId="13" borderId="19" xfId="0" applyFont="1" applyFill="1" applyBorder="1" applyAlignment="1">
      <alignment horizontal="center" wrapText="1"/>
    </xf>
    <xf numFmtId="0" fontId="81" fillId="13" borderId="30" xfId="0" applyFont="1" applyFill="1" applyBorder="1" applyAlignment="1">
      <alignment horizontal="center" wrapText="1"/>
    </xf>
    <xf numFmtId="165" fontId="71" fillId="13" borderId="20" xfId="0" applyNumberFormat="1" applyFont="1" applyFill="1" applyBorder="1" applyAlignment="1">
      <alignment horizontal="center" wrapText="1"/>
    </xf>
    <xf numFmtId="165" fontId="24" fillId="0" borderId="27" xfId="0" applyNumberFormat="1" applyFont="1" applyBorder="1" applyAlignment="1">
      <alignment horizontal="center" wrapText="1"/>
    </xf>
    <xf numFmtId="165" fontId="24" fillId="0" borderId="21" xfId="0" applyNumberFormat="1" applyFont="1" applyBorder="1" applyAlignment="1">
      <alignment horizontal="center" wrapText="1"/>
    </xf>
    <xf numFmtId="0" fontId="43" fillId="19" borderId="19" xfId="0" applyFont="1" applyFill="1" applyBorder="1" applyAlignment="1">
      <alignment horizontal="center" wrapText="1"/>
    </xf>
    <xf numFmtId="0" fontId="24" fillId="0" borderId="30" xfId="0" applyFont="1" applyBorder="1" applyAlignment="1">
      <alignment horizontal="center" wrapText="1"/>
    </xf>
    <xf numFmtId="0" fontId="57" fillId="19" borderId="20" xfId="0" applyFont="1" applyFill="1" applyBorder="1" applyAlignment="1">
      <alignment horizontal="center" wrapText="1"/>
    </xf>
    <xf numFmtId="0" fontId="24" fillId="0" borderId="27" xfId="0" applyFont="1" applyBorder="1" applyAlignment="1">
      <alignment horizontal="center" wrapText="1"/>
    </xf>
    <xf numFmtId="0" fontId="24" fillId="0" borderId="21" xfId="0" applyFont="1" applyBorder="1" applyAlignment="1">
      <alignment horizontal="center" wrapText="1"/>
    </xf>
    <xf numFmtId="43" fontId="81" fillId="22" borderId="20" xfId="1" applyFont="1" applyFill="1" applyBorder="1" applyAlignment="1">
      <alignment horizontal="center" wrapText="1"/>
    </xf>
    <xf numFmtId="0" fontId="24" fillId="22" borderId="27" xfId="0" applyFont="1" applyFill="1" applyBorder="1" applyAlignment="1">
      <alignment horizontal="center" wrapText="1"/>
    </xf>
    <xf numFmtId="0" fontId="24" fillId="22" borderId="21" xfId="0" applyFont="1" applyFill="1" applyBorder="1" applyAlignment="1">
      <alignment horizontal="center" wrapText="1"/>
    </xf>
    <xf numFmtId="43" fontId="81" fillId="23" borderId="20" xfId="1" applyFont="1" applyFill="1" applyBorder="1" applyAlignment="1">
      <alignment horizontal="center" wrapText="1"/>
    </xf>
    <xf numFmtId="0" fontId="24" fillId="23" borderId="27" xfId="0" applyFont="1" applyFill="1" applyBorder="1" applyAlignment="1">
      <alignment horizontal="center" wrapText="1"/>
    </xf>
    <xf numFmtId="0" fontId="24" fillId="23" borderId="21" xfId="0" applyFont="1" applyFill="1" applyBorder="1" applyAlignment="1">
      <alignment horizontal="center" wrapText="1"/>
    </xf>
    <xf numFmtId="0" fontId="0" fillId="4" borderId="0" xfId="0" applyFill="1" applyAlignment="1">
      <alignment horizontal="center"/>
    </xf>
  </cellXfs>
  <cellStyles count="21">
    <cellStyle name="Comma" xfId="1" builtinId="3"/>
    <cellStyle name="Comma 2 4" xfId="9"/>
    <cellStyle name="Currency" xfId="2" builtinId="4"/>
    <cellStyle name="Currency 2" xfId="19"/>
    <cellStyle name="Currency 2 2 2 5" xfId="10"/>
    <cellStyle name="Hyperlink" xfId="17" builtinId="8"/>
    <cellStyle name="Input" xfId="4" builtinId="20"/>
    <cellStyle name="Neutral 2" xfId="14"/>
    <cellStyle name="Normal" xfId="0" builtinId="0"/>
    <cellStyle name="Normal 2 2 2 2 33" xfId="13"/>
    <cellStyle name="Normal 2 4 21" xfId="6"/>
    <cellStyle name="Normal 20 11" xfId="5"/>
    <cellStyle name="Normal 3 40" xfId="12"/>
    <cellStyle name="Normal 3 56" xfId="8"/>
    <cellStyle name="Normal_Avoided Cost Benefits" xfId="18"/>
    <cellStyle name="Percent" xfId="3" builtinId="5"/>
    <cellStyle name="Percent 2" xfId="20"/>
    <cellStyle name="Percent 2 2" xfId="11"/>
    <cellStyle name="Percent 3" xfId="16"/>
    <cellStyle name="Percent 7" xfId="15"/>
    <cellStyle name="Percent 8 12" xfId="7"/>
  </cellStyles>
  <dxfs count="4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border>
        <left style="thin">
          <color rgb="FF9C0006"/>
        </left>
        <right style="thin">
          <color rgb="FF9C0006"/>
        </right>
        <top style="thin">
          <color rgb="FF9C0006"/>
        </top>
        <bottom style="thin">
          <color rgb="FF9C0006"/>
        </bottom>
      </border>
    </dxf>
    <dxf>
      <font>
        <color rgb="FFFF0000"/>
      </font>
      <border>
        <left style="thin">
          <color rgb="FF9C0006"/>
        </left>
        <right style="thin">
          <color rgb="FF9C0006"/>
        </right>
        <top style="thin">
          <color rgb="FF9C0006"/>
        </top>
        <bottom style="thin">
          <color rgb="FF9C0006"/>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trike val="0"/>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strike val="0"/>
        <color rgb="FFFF0000"/>
      </font>
    </dxf>
    <dxf>
      <font>
        <strike val="0"/>
        <color rgb="FFFF0000"/>
      </font>
    </dxf>
    <dxf>
      <font>
        <strike val="0"/>
        <color rgb="FFFF0000"/>
      </font>
    </dxf>
    <dxf>
      <font>
        <strike val="0"/>
        <color rgb="FFFF0000"/>
      </font>
    </dxf>
    <dxf>
      <fill>
        <patternFill>
          <bgColor rgb="FFFF66FF"/>
        </patternFill>
      </fill>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FF0000"/>
      </font>
      <fill>
        <patternFill patternType="none">
          <bgColor auto="1"/>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3</xdr:col>
      <xdr:colOff>735013</xdr:colOff>
      <xdr:row>171</xdr:row>
      <xdr:rowOff>142869</xdr:rowOff>
    </xdr:from>
    <xdr:to>
      <xdr:col>5</xdr:col>
      <xdr:colOff>137972</xdr:colOff>
      <xdr:row>173</xdr:row>
      <xdr:rowOff>50255</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174</xdr:row>
      <xdr:rowOff>95247</xdr:rowOff>
    </xdr:from>
    <xdr:to>
      <xdr:col>6</xdr:col>
      <xdr:colOff>603715</xdr:colOff>
      <xdr:row>176</xdr:row>
      <xdr:rowOff>152572</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6</xdr:col>
      <xdr:colOff>117364</xdr:colOff>
      <xdr:row>44</xdr:row>
      <xdr:rowOff>102054</xdr:rowOff>
    </xdr:from>
    <xdr:to>
      <xdr:col>11</xdr:col>
      <xdr:colOff>143247</xdr:colOff>
      <xdr:row>46</xdr:row>
      <xdr:rowOff>159379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9778435" y="8824233"/>
              <a:ext cx="7224062"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9778435" y="8824233"/>
              <a:ext cx="7224062"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203</xdr:row>
      <xdr:rowOff>95247</xdr:rowOff>
    </xdr:from>
    <xdr:to>
      <xdr:col>6</xdr:col>
      <xdr:colOff>603715</xdr:colOff>
      <xdr:row>205</xdr:row>
      <xdr:rowOff>152572</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201</xdr:row>
      <xdr:rowOff>69476</xdr:rowOff>
    </xdr:from>
    <xdr:to>
      <xdr:col>4</xdr:col>
      <xdr:colOff>4615571</xdr:colOff>
      <xdr:row>202</xdr:row>
      <xdr:rowOff>129889</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945324</xdr:colOff>
      <xdr:row>227</xdr:row>
      <xdr:rowOff>68032</xdr:rowOff>
    </xdr:from>
    <xdr:to>
      <xdr:col>6</xdr:col>
      <xdr:colOff>794215</xdr:colOff>
      <xdr:row>229</xdr:row>
      <xdr:rowOff>125357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18360" y="42427068"/>
              <a:ext cx="7536926"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18360" y="42427068"/>
              <a:ext cx="7536926"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223</xdr:row>
      <xdr:rowOff>67236</xdr:rowOff>
    </xdr:from>
    <xdr:to>
      <xdr:col>4</xdr:col>
      <xdr:colOff>5304864</xdr:colOff>
      <xdr:row>226</xdr:row>
      <xdr:rowOff>62754</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18907125"/>
          <a:ext cx="555587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1265465</xdr:colOff>
      <xdr:row>223</xdr:row>
      <xdr:rowOff>27214</xdr:rowOff>
    </xdr:from>
    <xdr:to>
      <xdr:col>12</xdr:col>
      <xdr:colOff>449036</xdr:colOff>
      <xdr:row>228</xdr:row>
      <xdr:rowOff>17689</xdr:rowOff>
    </xdr:to>
    <xdr:pic>
      <xdr:nvPicPr>
        <xdr:cNvPr id="10" name="Picture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926536" y="41624250"/>
          <a:ext cx="7633607"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222</xdr:row>
      <xdr:rowOff>176894</xdr:rowOff>
    </xdr:from>
    <xdr:to>
      <xdr:col>19</xdr:col>
      <xdr:colOff>20410</xdr:colOff>
      <xdr:row>228</xdr:row>
      <xdr:rowOff>24494</xdr:rowOff>
    </xdr:to>
    <xdr:pic>
      <xdr:nvPicPr>
        <xdr:cNvPr id="11" name="Picture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533053" y="18907125"/>
          <a:ext cx="5461907"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247</xdr:row>
      <xdr:rowOff>95247</xdr:rowOff>
    </xdr:from>
    <xdr:to>
      <xdr:col>6</xdr:col>
      <xdr:colOff>603715</xdr:colOff>
      <xdr:row>249</xdr:row>
      <xdr:rowOff>152572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243</xdr:row>
      <xdr:rowOff>28655</xdr:rowOff>
    </xdr:from>
    <xdr:to>
      <xdr:col>4</xdr:col>
      <xdr:colOff>3196400</xdr:colOff>
      <xdr:row>247</xdr:row>
      <xdr:rowOff>122873</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264</xdr:row>
      <xdr:rowOff>95247</xdr:rowOff>
    </xdr:from>
    <xdr:to>
      <xdr:col>6</xdr:col>
      <xdr:colOff>603715</xdr:colOff>
      <xdr:row>266</xdr:row>
      <xdr:rowOff>152572</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261</xdr:row>
      <xdr:rowOff>155121</xdr:rowOff>
    </xdr:from>
    <xdr:to>
      <xdr:col>4</xdr:col>
      <xdr:colOff>923120</xdr:colOff>
      <xdr:row>263</xdr:row>
      <xdr:rowOff>56784</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278</xdr:row>
      <xdr:rowOff>95247</xdr:rowOff>
    </xdr:from>
    <xdr:to>
      <xdr:col>6</xdr:col>
      <xdr:colOff>603715</xdr:colOff>
      <xdr:row>280</xdr:row>
      <xdr:rowOff>152572</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297</xdr:row>
      <xdr:rowOff>95247</xdr:rowOff>
    </xdr:from>
    <xdr:to>
      <xdr:col>6</xdr:col>
      <xdr:colOff>603715</xdr:colOff>
      <xdr:row>299</xdr:row>
      <xdr:rowOff>152572</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294</xdr:row>
      <xdr:rowOff>163287</xdr:rowOff>
    </xdr:from>
    <xdr:to>
      <xdr:col>4</xdr:col>
      <xdr:colOff>3637222</xdr:colOff>
      <xdr:row>296</xdr:row>
      <xdr:rowOff>12247</xdr:rowOff>
    </xdr:to>
    <xdr:pic>
      <xdr:nvPicPr>
        <xdr:cNvPr id="18" name="Picture 17">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24622125"/>
          <a:ext cx="4351598"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293</xdr:row>
      <xdr:rowOff>186417</xdr:rowOff>
    </xdr:from>
    <xdr:to>
      <xdr:col>15</xdr:col>
      <xdr:colOff>127918</xdr:colOff>
      <xdr:row>296</xdr:row>
      <xdr:rowOff>84159</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297</xdr:row>
      <xdr:rowOff>6123</xdr:rowOff>
    </xdr:from>
    <xdr:to>
      <xdr:col>6</xdr:col>
      <xdr:colOff>743951</xdr:colOff>
      <xdr:row>299</xdr:row>
      <xdr:rowOff>14012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318</xdr:row>
      <xdr:rowOff>95247</xdr:rowOff>
    </xdr:from>
    <xdr:to>
      <xdr:col>6</xdr:col>
      <xdr:colOff>603715</xdr:colOff>
      <xdr:row>320</xdr:row>
      <xdr:rowOff>152572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316</xdr:row>
      <xdr:rowOff>13607</xdr:rowOff>
    </xdr:from>
    <xdr:to>
      <xdr:col>4</xdr:col>
      <xdr:colOff>4432149</xdr:colOff>
      <xdr:row>317</xdr:row>
      <xdr:rowOff>53068</xdr:rowOff>
    </xdr:to>
    <xdr:pic>
      <xdr:nvPicPr>
        <xdr:cNvPr id="22" name="Picture 21">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26336625"/>
          <a:ext cx="514652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336</xdr:row>
      <xdr:rowOff>122461</xdr:rowOff>
    </xdr:from>
    <xdr:to>
      <xdr:col>5</xdr:col>
      <xdr:colOff>1882787</xdr:colOff>
      <xdr:row>339</xdr:row>
      <xdr:rowOff>16500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353</xdr:row>
      <xdr:rowOff>95247</xdr:rowOff>
    </xdr:from>
    <xdr:to>
      <xdr:col>6</xdr:col>
      <xdr:colOff>603715</xdr:colOff>
      <xdr:row>355</xdr:row>
      <xdr:rowOff>152572</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350</xdr:row>
      <xdr:rowOff>148317</xdr:rowOff>
    </xdr:from>
    <xdr:to>
      <xdr:col>6</xdr:col>
      <xdr:colOff>789214</xdr:colOff>
      <xdr:row>353</xdr:row>
      <xdr:rowOff>43633</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370</xdr:row>
      <xdr:rowOff>95248</xdr:rowOff>
    </xdr:from>
    <xdr:to>
      <xdr:col>6</xdr:col>
      <xdr:colOff>603715</xdr:colOff>
      <xdr:row>371</xdr:row>
      <xdr:rowOff>108858</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366</xdr:row>
      <xdr:rowOff>93890</xdr:rowOff>
    </xdr:from>
    <xdr:to>
      <xdr:col>11</xdr:col>
      <xdr:colOff>979714</xdr:colOff>
      <xdr:row>369</xdr:row>
      <xdr:rowOff>139118</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405</xdr:row>
      <xdr:rowOff>13604</xdr:rowOff>
    </xdr:from>
    <xdr:to>
      <xdr:col>6</xdr:col>
      <xdr:colOff>603715</xdr:colOff>
      <xdr:row>406</xdr:row>
      <xdr:rowOff>136071</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401</xdr:row>
      <xdr:rowOff>175532</xdr:rowOff>
    </xdr:from>
    <xdr:to>
      <xdr:col>4</xdr:col>
      <xdr:colOff>4112559</xdr:colOff>
      <xdr:row>404</xdr:row>
      <xdr:rowOff>119825</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108857</xdr:colOff>
      <xdr:row>402</xdr:row>
      <xdr:rowOff>0</xdr:rowOff>
    </xdr:from>
    <xdr:to>
      <xdr:col>8</xdr:col>
      <xdr:colOff>683559</xdr:colOff>
      <xdr:row>404</xdr:row>
      <xdr:rowOff>134793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754824</xdr:colOff>
      <xdr:row>427</xdr:row>
      <xdr:rowOff>95247</xdr:rowOff>
    </xdr:from>
    <xdr:to>
      <xdr:col>6</xdr:col>
      <xdr:colOff>603715</xdr:colOff>
      <xdr:row>429</xdr:row>
      <xdr:rowOff>152572</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448</xdr:row>
      <xdr:rowOff>95247</xdr:rowOff>
    </xdr:from>
    <xdr:to>
      <xdr:col>6</xdr:col>
      <xdr:colOff>603715</xdr:colOff>
      <xdr:row>450</xdr:row>
      <xdr:rowOff>152572</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424</xdr:row>
      <xdr:rowOff>27214</xdr:rowOff>
    </xdr:from>
    <xdr:to>
      <xdr:col>8</xdr:col>
      <xdr:colOff>851647</xdr:colOff>
      <xdr:row>426</xdr:row>
      <xdr:rowOff>162007</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108856</xdr:colOff>
      <xdr:row>426</xdr:row>
      <xdr:rowOff>176893</xdr:rowOff>
    </xdr:from>
    <xdr:to>
      <xdr:col>8</xdr:col>
      <xdr:colOff>862852</xdr:colOff>
      <xdr:row>429</xdr:row>
      <xdr:rowOff>89436</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425</xdr:row>
      <xdr:rowOff>5443</xdr:rowOff>
    </xdr:from>
    <xdr:to>
      <xdr:col>4</xdr:col>
      <xdr:colOff>1847143</xdr:colOff>
      <xdr:row>426</xdr:row>
      <xdr:rowOff>65856</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424</xdr:row>
      <xdr:rowOff>16328</xdr:rowOff>
    </xdr:from>
    <xdr:to>
      <xdr:col>13</xdr:col>
      <xdr:colOff>672353</xdr:colOff>
      <xdr:row>426</xdr:row>
      <xdr:rowOff>151121</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426</xdr:row>
      <xdr:rowOff>149678</xdr:rowOff>
    </xdr:from>
    <xdr:to>
      <xdr:col>14</xdr:col>
      <xdr:colOff>56029</xdr:colOff>
      <xdr:row>429</xdr:row>
      <xdr:rowOff>62221</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445</xdr:row>
      <xdr:rowOff>182336</xdr:rowOff>
    </xdr:from>
    <xdr:to>
      <xdr:col>4</xdr:col>
      <xdr:colOff>2888401</xdr:colOff>
      <xdr:row>447</xdr:row>
      <xdr:rowOff>52249</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245</xdr:row>
      <xdr:rowOff>87086</xdr:rowOff>
    </xdr:from>
    <xdr:to>
      <xdr:col>6</xdr:col>
      <xdr:colOff>1307053</xdr:colOff>
      <xdr:row>246</xdr:row>
      <xdr:rowOff>161605</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245</xdr:row>
      <xdr:rowOff>40822</xdr:rowOff>
    </xdr:from>
    <xdr:to>
      <xdr:col>9</xdr:col>
      <xdr:colOff>691956</xdr:colOff>
      <xdr:row>246</xdr:row>
      <xdr:rowOff>115341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276</xdr:row>
      <xdr:rowOff>46264</xdr:rowOff>
    </xdr:from>
    <xdr:to>
      <xdr:col>4</xdr:col>
      <xdr:colOff>1316035</xdr:colOff>
      <xdr:row>277</xdr:row>
      <xdr:rowOff>106677</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374</xdr:row>
      <xdr:rowOff>0</xdr:rowOff>
    </xdr:from>
    <xdr:to>
      <xdr:col>5</xdr:col>
      <xdr:colOff>1476375</xdr:colOff>
      <xdr:row>375</xdr:row>
      <xdr:rowOff>0</xdr:rowOff>
    </xdr:to>
    <xdr:pic>
      <xdr:nvPicPr>
        <xdr:cNvPr id="42" name="Picture 41">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67725" y="29765625"/>
          <a:ext cx="130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372</xdr:row>
      <xdr:rowOff>19050</xdr:rowOff>
    </xdr:from>
    <xdr:to>
      <xdr:col>9</xdr:col>
      <xdr:colOff>144173</xdr:colOff>
      <xdr:row>375</xdr:row>
      <xdr:rowOff>48895</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200-00002B000000}"/>
                </a:ext>
              </a:extLst>
            </xdr:cNvPr>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376</xdr:row>
      <xdr:rowOff>89808</xdr:rowOff>
    </xdr:from>
    <xdr:to>
      <xdr:col>9</xdr:col>
      <xdr:colOff>341962</xdr:colOff>
      <xdr:row>379</xdr:row>
      <xdr:rowOff>135528</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200-00002C000000}"/>
                </a:ext>
              </a:extLst>
            </xdr:cNvPr>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105</xdr:row>
      <xdr:rowOff>142876</xdr:rowOff>
    </xdr:from>
    <xdr:to>
      <xdr:col>4</xdr:col>
      <xdr:colOff>292554</xdr:colOff>
      <xdr:row>107</xdr:row>
      <xdr:rowOff>15876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89486</xdr:colOff>
      <xdr:row>101</xdr:row>
      <xdr:rowOff>159924</xdr:rowOff>
    </xdr:from>
    <xdr:to>
      <xdr:col>4</xdr:col>
      <xdr:colOff>2241059</xdr:colOff>
      <xdr:row>102</xdr:row>
      <xdr:rowOff>188587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2061721" y="14794806"/>
              <a:ext cx="378763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2061721" y="14794806"/>
              <a:ext cx="378763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20037</xdr:colOff>
      <xdr:row>470</xdr:row>
      <xdr:rowOff>149675</xdr:rowOff>
    </xdr:from>
    <xdr:to>
      <xdr:col>6</xdr:col>
      <xdr:colOff>86643</xdr:colOff>
      <xdr:row>473</xdr:row>
      <xdr:rowOff>43714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200-00002F000000}"/>
                </a:ext>
              </a:extLst>
            </xdr:cNvPr>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467</xdr:row>
      <xdr:rowOff>67431</xdr:rowOff>
    </xdr:from>
    <xdr:to>
      <xdr:col>10</xdr:col>
      <xdr:colOff>901096</xdr:colOff>
      <xdr:row>470</xdr:row>
      <xdr:rowOff>6220</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491</xdr:row>
      <xdr:rowOff>190497</xdr:rowOff>
    </xdr:from>
    <xdr:to>
      <xdr:col>4</xdr:col>
      <xdr:colOff>2292804</xdr:colOff>
      <xdr:row>494</xdr:row>
      <xdr:rowOff>84536</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00000000-0008-0000-0200-000031000000}"/>
                </a:ext>
              </a:extLst>
            </xdr:cNvPr>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488</xdr:row>
      <xdr:rowOff>108253</xdr:rowOff>
    </xdr:from>
    <xdr:to>
      <xdr:col>4</xdr:col>
      <xdr:colOff>4095750</xdr:colOff>
      <xdr:row>491</xdr:row>
      <xdr:rowOff>47042</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00000000-0008-0000-0200-000032000000}"/>
                </a:ext>
              </a:extLst>
            </xdr:cNvPr>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517</xdr:row>
      <xdr:rowOff>108855</xdr:rowOff>
    </xdr:from>
    <xdr:to>
      <xdr:col>4</xdr:col>
      <xdr:colOff>2457449</xdr:colOff>
      <xdr:row>520</xdr:row>
      <xdr:rowOff>2894</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200-000033000000}"/>
                </a:ext>
              </a:extLst>
            </xdr:cNvPr>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514</xdr:row>
      <xdr:rowOff>85575</xdr:rowOff>
    </xdr:from>
    <xdr:to>
      <xdr:col>4</xdr:col>
      <xdr:colOff>4544784</xdr:colOff>
      <xdr:row>517</xdr:row>
      <xdr:rowOff>24364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200-000034000000}"/>
                </a:ext>
              </a:extLst>
            </xdr:cNvPr>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543</xdr:row>
      <xdr:rowOff>122461</xdr:rowOff>
    </xdr:from>
    <xdr:to>
      <xdr:col>4</xdr:col>
      <xdr:colOff>2865664</xdr:colOff>
      <xdr:row>545</xdr:row>
      <xdr:rowOff>179786</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540</xdr:row>
      <xdr:rowOff>96157</xdr:rowOff>
    </xdr:from>
    <xdr:to>
      <xdr:col>5</xdr:col>
      <xdr:colOff>979714</xdr:colOff>
      <xdr:row>543</xdr:row>
      <xdr:rowOff>34946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200-000036000000}"/>
                </a:ext>
              </a:extLst>
            </xdr:cNvPr>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563</xdr:row>
      <xdr:rowOff>95247</xdr:rowOff>
    </xdr:from>
    <xdr:to>
      <xdr:col>2</xdr:col>
      <xdr:colOff>0</xdr:colOff>
      <xdr:row>565</xdr:row>
      <xdr:rowOff>152572</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200-000037000000}"/>
                </a:ext>
              </a:extLst>
            </xdr:cNvPr>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560</xdr:row>
      <xdr:rowOff>132443</xdr:rowOff>
    </xdr:from>
    <xdr:to>
      <xdr:col>6</xdr:col>
      <xdr:colOff>1224642</xdr:colOff>
      <xdr:row>563</xdr:row>
      <xdr:rowOff>71232</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200-000038000000}"/>
                </a:ext>
              </a:extLst>
            </xdr:cNvPr>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582</xdr:row>
      <xdr:rowOff>155864</xdr:rowOff>
    </xdr:from>
    <xdr:to>
      <xdr:col>2</xdr:col>
      <xdr:colOff>0</xdr:colOff>
      <xdr:row>584</xdr:row>
      <xdr:rowOff>103910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200-000039000000}"/>
                </a:ext>
              </a:extLst>
            </xdr:cNvPr>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578</xdr:row>
      <xdr:rowOff>75458</xdr:rowOff>
    </xdr:from>
    <xdr:to>
      <xdr:col>23</xdr:col>
      <xdr:colOff>503464</xdr:colOff>
      <xdr:row>583</xdr:row>
      <xdr:rowOff>95250</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200-00003A000000}"/>
                </a:ext>
              </a:extLst>
            </xdr:cNvPr>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603</xdr:row>
      <xdr:rowOff>95247</xdr:rowOff>
    </xdr:from>
    <xdr:to>
      <xdr:col>2</xdr:col>
      <xdr:colOff>0</xdr:colOff>
      <xdr:row>605</xdr:row>
      <xdr:rowOff>152572</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200-00003B000000}"/>
                </a:ext>
              </a:extLst>
            </xdr:cNvPr>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601</xdr:row>
      <xdr:rowOff>9072</xdr:rowOff>
    </xdr:from>
    <xdr:to>
      <xdr:col>16</xdr:col>
      <xdr:colOff>476250</xdr:colOff>
      <xdr:row>605</xdr:row>
      <xdr:rowOff>104322</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200-00003C000000}"/>
                </a:ext>
              </a:extLst>
            </xdr:cNvPr>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621</xdr:row>
      <xdr:rowOff>95247</xdr:rowOff>
    </xdr:from>
    <xdr:to>
      <xdr:col>2</xdr:col>
      <xdr:colOff>0</xdr:colOff>
      <xdr:row>623</xdr:row>
      <xdr:rowOff>152572</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200-00003D000000}"/>
                </a:ext>
              </a:extLst>
            </xdr:cNvPr>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618</xdr:row>
      <xdr:rowOff>145143</xdr:rowOff>
    </xdr:from>
    <xdr:to>
      <xdr:col>17</xdr:col>
      <xdr:colOff>421821</xdr:colOff>
      <xdr:row>623</xdr:row>
      <xdr:rowOff>49893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200-00003E000000}"/>
                </a:ext>
              </a:extLst>
            </xdr:cNvPr>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638</xdr:row>
      <xdr:rowOff>95247</xdr:rowOff>
    </xdr:from>
    <xdr:to>
      <xdr:col>2</xdr:col>
      <xdr:colOff>0</xdr:colOff>
      <xdr:row>640</xdr:row>
      <xdr:rowOff>152572</xdr:rowOff>
    </xdr:to>
    <mc:AlternateContent xmlns:mc="http://schemas.openxmlformats.org/markup-compatibility/2006" xmlns:a14="http://schemas.microsoft.com/office/drawing/2010/main">
      <mc:Choice Requires="a14">
        <xdr:sp macro="" textlink="">
          <xdr:nvSpPr>
            <xdr:cNvPr id="63" name="TextBox 62">
              <a:extLst>
                <a:ext uri="{FF2B5EF4-FFF2-40B4-BE49-F238E27FC236}">
                  <a16:creationId xmlns:a16="http://schemas.microsoft.com/office/drawing/2014/main" id="{00000000-0008-0000-0200-00003F000000}"/>
                </a:ext>
              </a:extLst>
            </xdr:cNvPr>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635</xdr:row>
      <xdr:rowOff>135248</xdr:rowOff>
    </xdr:from>
    <xdr:to>
      <xdr:col>16</xdr:col>
      <xdr:colOff>64201</xdr:colOff>
      <xdr:row>640</xdr:row>
      <xdr:rowOff>112569</xdr:rowOff>
    </xdr:to>
    <mc:AlternateContent xmlns:mc="http://schemas.openxmlformats.org/markup-compatibility/2006" xmlns:a14="http://schemas.microsoft.com/office/drawing/2010/main">
      <mc:Choice Requires="a14">
        <xdr:sp macro="" textlink="">
          <xdr:nvSpPr>
            <xdr:cNvPr id="64" name="TextBox 63">
              <a:extLst>
                <a:ext uri="{FF2B5EF4-FFF2-40B4-BE49-F238E27FC236}">
                  <a16:creationId xmlns:a16="http://schemas.microsoft.com/office/drawing/2014/main" id="{00000000-0008-0000-0200-000040000000}"/>
                </a:ext>
              </a:extLst>
            </xdr:cNvPr>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655</xdr:row>
      <xdr:rowOff>95247</xdr:rowOff>
    </xdr:from>
    <xdr:to>
      <xdr:col>2</xdr:col>
      <xdr:colOff>0</xdr:colOff>
      <xdr:row>657</xdr:row>
      <xdr:rowOff>152572</xdr:rowOff>
    </xdr:to>
    <mc:AlternateContent xmlns:mc="http://schemas.openxmlformats.org/markup-compatibility/2006" xmlns:a14="http://schemas.microsoft.com/office/drawing/2010/main">
      <mc:Choice Requires="a14">
        <xdr:sp macro="" textlink="">
          <xdr:nvSpPr>
            <xdr:cNvPr id="65" name="TextBox 64">
              <a:extLst>
                <a:ext uri="{FF2B5EF4-FFF2-40B4-BE49-F238E27FC236}">
                  <a16:creationId xmlns:a16="http://schemas.microsoft.com/office/drawing/2014/main" id="{00000000-0008-0000-0200-000041000000}"/>
                </a:ext>
              </a:extLst>
            </xdr:cNvPr>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672</xdr:row>
      <xdr:rowOff>95247</xdr:rowOff>
    </xdr:from>
    <xdr:to>
      <xdr:col>2</xdr:col>
      <xdr:colOff>0</xdr:colOff>
      <xdr:row>674</xdr:row>
      <xdr:rowOff>152572</xdr:rowOff>
    </xdr:to>
    <mc:AlternateContent xmlns:mc="http://schemas.openxmlformats.org/markup-compatibility/2006" xmlns:a14="http://schemas.microsoft.com/office/drawing/2010/main">
      <mc:Choice Requires="a14">
        <xdr:sp macro="" textlink="">
          <xdr:nvSpPr>
            <xdr:cNvPr id="67" name="TextBox 66">
              <a:extLst>
                <a:ext uri="{FF2B5EF4-FFF2-40B4-BE49-F238E27FC236}">
                  <a16:creationId xmlns:a16="http://schemas.microsoft.com/office/drawing/2014/main" id="{00000000-0008-0000-0200-000043000000}"/>
                </a:ext>
              </a:extLst>
            </xdr:cNvPr>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669</xdr:row>
      <xdr:rowOff>36286</xdr:rowOff>
    </xdr:from>
    <xdr:to>
      <xdr:col>5</xdr:col>
      <xdr:colOff>669470</xdr:colOff>
      <xdr:row>671</xdr:row>
      <xdr:rowOff>136071</xdr:rowOff>
    </xdr:to>
    <mc:AlternateContent xmlns:mc="http://schemas.openxmlformats.org/markup-compatibility/2006" xmlns:a14="http://schemas.microsoft.com/office/drawing/2010/main">
      <mc:Choice Requires="a14">
        <xdr:sp macro="" textlink="">
          <xdr:nvSpPr>
            <xdr:cNvPr id="68" name="TextBox 67">
              <a:extLst>
                <a:ext uri="{FF2B5EF4-FFF2-40B4-BE49-F238E27FC236}">
                  <a16:creationId xmlns:a16="http://schemas.microsoft.com/office/drawing/2014/main" id="{00000000-0008-0000-0200-000044000000}"/>
                </a:ext>
              </a:extLst>
            </xdr:cNvPr>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672</xdr:row>
      <xdr:rowOff>92650</xdr:rowOff>
    </xdr:from>
    <xdr:to>
      <xdr:col>16</xdr:col>
      <xdr:colOff>872201</xdr:colOff>
      <xdr:row>673</xdr:row>
      <xdr:rowOff>150231</xdr:rowOff>
    </xdr:to>
    <mc:AlternateContent xmlns:mc="http://schemas.openxmlformats.org/markup-compatibility/2006" xmlns:a14="http://schemas.microsoft.com/office/drawing/2010/main">
      <mc:Choice Requires="a14">
        <xdr:sp macro="" textlink="">
          <xdr:nvSpPr>
            <xdr:cNvPr id="69" name="TextBox 68">
              <a:extLst>
                <a:ext uri="{FF2B5EF4-FFF2-40B4-BE49-F238E27FC236}">
                  <a16:creationId xmlns:a16="http://schemas.microsoft.com/office/drawing/2014/main" id="{00000000-0008-0000-0200-000045000000}"/>
                </a:ext>
              </a:extLst>
            </xdr:cNvPr>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688</xdr:row>
      <xdr:rowOff>95247</xdr:rowOff>
    </xdr:from>
    <xdr:to>
      <xdr:col>2</xdr:col>
      <xdr:colOff>0</xdr:colOff>
      <xdr:row>690</xdr:row>
      <xdr:rowOff>152572</xdr:rowOff>
    </xdr:to>
    <mc:AlternateContent xmlns:mc="http://schemas.openxmlformats.org/markup-compatibility/2006" xmlns:a14="http://schemas.microsoft.com/office/drawing/2010/main">
      <mc:Choice Requires="a14">
        <xdr:sp macro="" textlink="">
          <xdr:nvSpPr>
            <xdr:cNvPr id="70" name="TextBox 69">
              <a:extLst>
                <a:ext uri="{FF2B5EF4-FFF2-40B4-BE49-F238E27FC236}">
                  <a16:creationId xmlns:a16="http://schemas.microsoft.com/office/drawing/2014/main" id="{00000000-0008-0000-0200-000046000000}"/>
                </a:ext>
              </a:extLst>
            </xdr:cNvPr>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686</xdr:row>
      <xdr:rowOff>144729</xdr:rowOff>
    </xdr:from>
    <xdr:to>
      <xdr:col>5</xdr:col>
      <xdr:colOff>1056409</xdr:colOff>
      <xdr:row>689</xdr:row>
      <xdr:rowOff>84486</xdr:rowOff>
    </xdr:to>
    <mc:AlternateContent xmlns:mc="http://schemas.openxmlformats.org/markup-compatibility/2006" xmlns:a14="http://schemas.microsoft.com/office/drawing/2010/main">
      <mc:Choice Requires="a14">
        <xdr:sp macro="" textlink="">
          <xdr:nvSpPr>
            <xdr:cNvPr id="71" name="TextBox 70">
              <a:extLst>
                <a:ext uri="{FF2B5EF4-FFF2-40B4-BE49-F238E27FC236}">
                  <a16:creationId xmlns:a16="http://schemas.microsoft.com/office/drawing/2014/main" id="{00000000-0008-0000-0200-000047000000}"/>
                </a:ext>
              </a:extLst>
            </xdr:cNvPr>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686</xdr:row>
      <xdr:rowOff>161924</xdr:rowOff>
    </xdr:from>
    <xdr:to>
      <xdr:col>11</xdr:col>
      <xdr:colOff>1251856</xdr:colOff>
      <xdr:row>688</xdr:row>
      <xdr:rowOff>130534</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00000000-0008-0000-0200-000048000000}"/>
                </a:ext>
              </a:extLst>
            </xdr:cNvPr>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00000000-0008-0000-0200-000049000000}"/>
                </a:ext>
              </a:extLst>
            </xdr:cNvPr>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702</xdr:row>
      <xdr:rowOff>122464</xdr:rowOff>
    </xdr:from>
    <xdr:to>
      <xdr:col>4</xdr:col>
      <xdr:colOff>1428749</xdr:colOff>
      <xdr:row>704</xdr:row>
      <xdr:rowOff>164733</xdr:rowOff>
    </xdr:to>
    <mc:AlternateContent xmlns:mc="http://schemas.openxmlformats.org/markup-compatibility/2006" xmlns:a14="http://schemas.microsoft.com/office/drawing/2010/main">
      <mc:Choice Requires="a14">
        <xdr:sp macro="" textlink="">
          <xdr:nvSpPr>
            <xdr:cNvPr id="74" name="TextBox 73">
              <a:extLst>
                <a:ext uri="{FF2B5EF4-FFF2-40B4-BE49-F238E27FC236}">
                  <a16:creationId xmlns:a16="http://schemas.microsoft.com/office/drawing/2014/main" id="{00000000-0008-0000-0200-00004A000000}"/>
                </a:ext>
              </a:extLst>
            </xdr:cNvPr>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720</xdr:row>
      <xdr:rowOff>95247</xdr:rowOff>
    </xdr:from>
    <xdr:to>
      <xdr:col>2</xdr:col>
      <xdr:colOff>0</xdr:colOff>
      <xdr:row>722</xdr:row>
      <xdr:rowOff>152572</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00000000-0008-0000-0200-00004B000000}"/>
                </a:ext>
              </a:extLst>
            </xdr:cNvPr>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718</xdr:row>
      <xdr:rowOff>108856</xdr:rowOff>
    </xdr:from>
    <xdr:to>
      <xdr:col>5</xdr:col>
      <xdr:colOff>462643</xdr:colOff>
      <xdr:row>721</xdr:row>
      <xdr:rowOff>9308</xdr:rowOff>
    </xdr:to>
    <mc:AlternateContent xmlns:mc="http://schemas.openxmlformats.org/markup-compatibility/2006" xmlns:a14="http://schemas.microsoft.com/office/drawing/2010/main">
      <mc:Choice Requires="a14">
        <xdr:sp macro="" textlink="">
          <xdr:nvSpPr>
            <xdr:cNvPr id="76" name="TextBox 75">
              <a:extLst>
                <a:ext uri="{FF2B5EF4-FFF2-40B4-BE49-F238E27FC236}">
                  <a16:creationId xmlns:a16="http://schemas.microsoft.com/office/drawing/2014/main" id="{00000000-0008-0000-0200-00004C000000}"/>
                </a:ext>
              </a:extLst>
            </xdr:cNvPr>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738</xdr:row>
      <xdr:rowOff>95247</xdr:rowOff>
    </xdr:from>
    <xdr:to>
      <xdr:col>2</xdr:col>
      <xdr:colOff>0</xdr:colOff>
      <xdr:row>740</xdr:row>
      <xdr:rowOff>152572</xdr:rowOff>
    </xdr:to>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00000000-0008-0000-0200-00004D000000}"/>
                </a:ext>
              </a:extLst>
            </xdr:cNvPr>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736</xdr:row>
      <xdr:rowOff>13003</xdr:rowOff>
    </xdr:from>
    <xdr:to>
      <xdr:col>4</xdr:col>
      <xdr:colOff>4857749</xdr:colOff>
      <xdr:row>738</xdr:row>
      <xdr:rowOff>142292</xdr:rowOff>
    </xdr:to>
    <mc:AlternateContent xmlns:mc="http://schemas.openxmlformats.org/markup-compatibility/2006" xmlns:a14="http://schemas.microsoft.com/office/drawing/2010/main">
      <mc:Choice Requires="a14">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756</xdr:row>
      <xdr:rowOff>95247</xdr:rowOff>
    </xdr:from>
    <xdr:to>
      <xdr:col>2</xdr:col>
      <xdr:colOff>0</xdr:colOff>
      <xdr:row>758</xdr:row>
      <xdr:rowOff>152572</xdr:rowOff>
    </xdr:to>
    <mc:AlternateContent xmlns:mc="http://schemas.openxmlformats.org/markup-compatibility/2006" xmlns:a14="http://schemas.microsoft.com/office/drawing/2010/main">
      <mc:Choice Requires="a14">
        <xdr:sp macro="" textlink="">
          <xdr:nvSpPr>
            <xdr:cNvPr id="79" name="TextBox 78">
              <a:extLst>
                <a:ext uri="{FF2B5EF4-FFF2-40B4-BE49-F238E27FC236}">
                  <a16:creationId xmlns:a16="http://schemas.microsoft.com/office/drawing/2014/main" id="{00000000-0008-0000-0200-00004F000000}"/>
                </a:ext>
              </a:extLst>
            </xdr:cNvPr>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754</xdr:row>
      <xdr:rowOff>40822</xdr:rowOff>
    </xdr:from>
    <xdr:to>
      <xdr:col>5</xdr:col>
      <xdr:colOff>190500</xdr:colOff>
      <xdr:row>756</xdr:row>
      <xdr:rowOff>96941</xdr:rowOff>
    </xdr:to>
    <mc:AlternateContent xmlns:mc="http://schemas.openxmlformats.org/markup-compatibility/2006" xmlns:a14="http://schemas.microsoft.com/office/drawing/2010/main">
      <mc:Choice Requires="a14">
        <xdr:sp macro="" textlink="">
          <xdr:nvSpPr>
            <xdr:cNvPr id="80" name="TextBox 79">
              <a:extLst>
                <a:ext uri="{FF2B5EF4-FFF2-40B4-BE49-F238E27FC236}">
                  <a16:creationId xmlns:a16="http://schemas.microsoft.com/office/drawing/2014/main" id="{00000000-0008-0000-0200-000050000000}"/>
                </a:ext>
              </a:extLst>
            </xdr:cNvPr>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773</xdr:row>
      <xdr:rowOff>95247</xdr:rowOff>
    </xdr:from>
    <xdr:to>
      <xdr:col>2</xdr:col>
      <xdr:colOff>0</xdr:colOff>
      <xdr:row>775</xdr:row>
      <xdr:rowOff>152572</xdr:rowOff>
    </xdr:to>
    <mc:AlternateContent xmlns:mc="http://schemas.openxmlformats.org/markup-compatibility/2006" xmlns:a14="http://schemas.microsoft.com/office/drawing/2010/main">
      <mc:Choice Requires="a14">
        <xdr:sp macro="" textlink="">
          <xdr:nvSpPr>
            <xdr:cNvPr id="81" name="TextBox 80">
              <a:extLst>
                <a:ext uri="{FF2B5EF4-FFF2-40B4-BE49-F238E27FC236}">
                  <a16:creationId xmlns:a16="http://schemas.microsoft.com/office/drawing/2014/main" id="{00000000-0008-0000-0200-000051000000}"/>
                </a:ext>
              </a:extLst>
            </xdr:cNvPr>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769</xdr:row>
      <xdr:rowOff>63500</xdr:rowOff>
    </xdr:from>
    <xdr:to>
      <xdr:col>2</xdr:col>
      <xdr:colOff>0</xdr:colOff>
      <xdr:row>773</xdr:row>
      <xdr:rowOff>158750</xdr:rowOff>
    </xdr:to>
    <mc:AlternateContent xmlns:mc="http://schemas.openxmlformats.org/markup-compatibility/2006" xmlns:a14="http://schemas.microsoft.com/office/drawing/2010/main">
      <mc:Choice Requires="a14">
        <xdr:sp macro="" textlink="">
          <xdr:nvSpPr>
            <xdr:cNvPr id="82" name="TextBox 81">
              <a:extLst>
                <a:ext uri="{FF2B5EF4-FFF2-40B4-BE49-F238E27FC236}">
                  <a16:creationId xmlns:a16="http://schemas.microsoft.com/office/drawing/2014/main" id="{00000000-0008-0000-0200-000052000000}"/>
                </a:ext>
              </a:extLst>
            </xdr:cNvPr>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770</xdr:row>
      <xdr:rowOff>81643</xdr:rowOff>
    </xdr:from>
    <xdr:to>
      <xdr:col>14</xdr:col>
      <xdr:colOff>353787</xdr:colOff>
      <xdr:row>774</xdr:row>
      <xdr:rowOff>108857</xdr:rowOff>
    </xdr:to>
    <mc:AlternateContent xmlns:mc="http://schemas.openxmlformats.org/markup-compatibility/2006" xmlns:a14="http://schemas.microsoft.com/office/drawing/2010/main">
      <mc:Choice Requires="a14">
        <xdr:sp macro="" textlink="">
          <xdr:nvSpPr>
            <xdr:cNvPr id="83" name="TextBox 82">
              <a:extLst>
                <a:ext uri="{FF2B5EF4-FFF2-40B4-BE49-F238E27FC236}">
                  <a16:creationId xmlns:a16="http://schemas.microsoft.com/office/drawing/2014/main" id="{00000000-0008-0000-0200-000053000000}"/>
                </a:ext>
              </a:extLst>
            </xdr:cNvPr>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789</xdr:row>
      <xdr:rowOff>136069</xdr:rowOff>
    </xdr:from>
    <xdr:to>
      <xdr:col>6</xdr:col>
      <xdr:colOff>1006929</xdr:colOff>
      <xdr:row>792</xdr:row>
      <xdr:rowOff>2894</xdr:rowOff>
    </xdr:to>
    <mc:AlternateContent xmlns:mc="http://schemas.openxmlformats.org/markup-compatibility/2006" xmlns:a14="http://schemas.microsoft.com/office/drawing/2010/main">
      <mc:Choice Requires="a14">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788</xdr:row>
      <xdr:rowOff>145143</xdr:rowOff>
    </xdr:from>
    <xdr:to>
      <xdr:col>2</xdr:col>
      <xdr:colOff>0</xdr:colOff>
      <xdr:row>790</xdr:row>
      <xdr:rowOff>122464</xdr:rowOff>
    </xdr:to>
    <mc:AlternateContent xmlns:mc="http://schemas.openxmlformats.org/markup-compatibility/2006" xmlns:a14="http://schemas.microsoft.com/office/drawing/2010/main">
      <mc:Choice Requires="a14">
        <xdr:sp macro="" textlink="">
          <xdr:nvSpPr>
            <xdr:cNvPr id="85" name="TextBox 84">
              <a:extLst>
                <a:ext uri="{FF2B5EF4-FFF2-40B4-BE49-F238E27FC236}">
                  <a16:creationId xmlns:a16="http://schemas.microsoft.com/office/drawing/2014/main" id="{00000000-0008-0000-0200-000055000000}"/>
                </a:ext>
              </a:extLst>
            </xdr:cNvPr>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808</xdr:row>
      <xdr:rowOff>95247</xdr:rowOff>
    </xdr:from>
    <xdr:to>
      <xdr:col>2</xdr:col>
      <xdr:colOff>0</xdr:colOff>
      <xdr:row>810</xdr:row>
      <xdr:rowOff>152572</xdr:rowOff>
    </xdr:to>
    <mc:AlternateContent xmlns:mc="http://schemas.openxmlformats.org/markup-compatibility/2006" xmlns:a14="http://schemas.microsoft.com/office/drawing/2010/main">
      <mc:Choice Requires="a14">
        <xdr:sp macro="" textlink="">
          <xdr:nvSpPr>
            <xdr:cNvPr id="86" name="TextBox 85">
              <a:extLst>
                <a:ext uri="{FF2B5EF4-FFF2-40B4-BE49-F238E27FC236}">
                  <a16:creationId xmlns:a16="http://schemas.microsoft.com/office/drawing/2014/main" id="{00000000-0008-0000-0200-000056000000}"/>
                </a:ext>
              </a:extLst>
            </xdr:cNvPr>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806</xdr:row>
      <xdr:rowOff>122464</xdr:rowOff>
    </xdr:from>
    <xdr:to>
      <xdr:col>4</xdr:col>
      <xdr:colOff>4721678</xdr:colOff>
      <xdr:row>808</xdr:row>
      <xdr:rowOff>96699</xdr:rowOff>
    </xdr:to>
    <mc:AlternateContent xmlns:mc="http://schemas.openxmlformats.org/markup-compatibility/2006" xmlns:a14="http://schemas.microsoft.com/office/drawing/2010/main">
      <mc:Choice Requires="a14">
        <xdr:sp macro="" textlink="">
          <xdr:nvSpPr>
            <xdr:cNvPr id="87" name="TextBox 86">
              <a:extLst>
                <a:ext uri="{FF2B5EF4-FFF2-40B4-BE49-F238E27FC236}">
                  <a16:creationId xmlns:a16="http://schemas.microsoft.com/office/drawing/2014/main" id="{00000000-0008-0000-0200-000057000000}"/>
                </a:ext>
              </a:extLst>
            </xdr:cNvPr>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333</xdr:row>
      <xdr:rowOff>27214</xdr:rowOff>
    </xdr:from>
    <xdr:to>
      <xdr:col>6</xdr:col>
      <xdr:colOff>1008290</xdr:colOff>
      <xdr:row>336</xdr:row>
      <xdr:rowOff>110218</xdr:rowOff>
    </xdr:to>
    <mc:AlternateContent xmlns:mc="http://schemas.openxmlformats.org/markup-compatibility/2006" xmlns:a14="http://schemas.microsoft.com/office/drawing/2010/main">
      <mc:Choice Requires="a14">
        <xdr:sp macro="" textlink="">
          <xdr:nvSpPr>
            <xdr:cNvPr id="88" name="TextBox 87">
              <a:extLst>
                <a:ext uri="{FF2B5EF4-FFF2-40B4-BE49-F238E27FC236}">
                  <a16:creationId xmlns:a16="http://schemas.microsoft.com/office/drawing/2014/main" id="{00000000-0008-0000-0200-000058000000}"/>
                </a:ext>
              </a:extLst>
            </xdr:cNvPr>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2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2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148</xdr:row>
      <xdr:rowOff>0</xdr:rowOff>
    </xdr:from>
    <xdr:ext cx="65" cy="172227"/>
    <xdr:sp macro="" textlink="">
      <xdr:nvSpPr>
        <xdr:cNvPr id="91" name="TextBox 90">
          <a:extLst>
            <a:ext uri="{FF2B5EF4-FFF2-40B4-BE49-F238E27FC236}">
              <a16:creationId xmlns:a16="http://schemas.microsoft.com/office/drawing/2014/main" id="{00000000-0008-0000-0200-00005B000000}"/>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148</xdr:row>
      <xdr:rowOff>0</xdr:rowOff>
    </xdr:from>
    <xdr:ext cx="65" cy="172227"/>
    <xdr:sp macro="" textlink="">
      <xdr:nvSpPr>
        <xdr:cNvPr id="92" name="TextBox 91">
          <a:extLst>
            <a:ext uri="{FF2B5EF4-FFF2-40B4-BE49-F238E27FC236}">
              <a16:creationId xmlns:a16="http://schemas.microsoft.com/office/drawing/2014/main" id="{00000000-0008-0000-0200-00005C000000}"/>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193</xdr:row>
      <xdr:rowOff>0</xdr:rowOff>
    </xdr:from>
    <xdr:ext cx="65" cy="172227"/>
    <xdr:sp macro="" textlink="">
      <xdr:nvSpPr>
        <xdr:cNvPr id="93" name="TextBox 92">
          <a:extLst>
            <a:ext uri="{FF2B5EF4-FFF2-40B4-BE49-F238E27FC236}">
              <a16:creationId xmlns:a16="http://schemas.microsoft.com/office/drawing/2014/main" id="{00000000-0008-0000-0200-00005D000000}"/>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193</xdr:row>
      <xdr:rowOff>0</xdr:rowOff>
    </xdr:from>
    <xdr:ext cx="65" cy="172227"/>
    <xdr:sp macro="" textlink="">
      <xdr:nvSpPr>
        <xdr:cNvPr id="94" name="TextBox 93">
          <a:extLst>
            <a:ext uri="{FF2B5EF4-FFF2-40B4-BE49-F238E27FC236}">
              <a16:creationId xmlns:a16="http://schemas.microsoft.com/office/drawing/2014/main" id="{00000000-0008-0000-0200-00005E000000}"/>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213</xdr:row>
      <xdr:rowOff>0</xdr:rowOff>
    </xdr:from>
    <xdr:ext cx="65" cy="172227"/>
    <xdr:sp macro="" textlink="">
      <xdr:nvSpPr>
        <xdr:cNvPr id="95" name="TextBox 94">
          <a:extLst>
            <a:ext uri="{FF2B5EF4-FFF2-40B4-BE49-F238E27FC236}">
              <a16:creationId xmlns:a16="http://schemas.microsoft.com/office/drawing/2014/main" id="{00000000-0008-0000-0200-00005F000000}"/>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213</xdr:row>
      <xdr:rowOff>0</xdr:rowOff>
    </xdr:from>
    <xdr:ext cx="65" cy="172227"/>
    <xdr:sp macro="" textlink="">
      <xdr:nvSpPr>
        <xdr:cNvPr id="96" name="TextBox 95">
          <a:extLst>
            <a:ext uri="{FF2B5EF4-FFF2-40B4-BE49-F238E27FC236}">
              <a16:creationId xmlns:a16="http://schemas.microsoft.com/office/drawing/2014/main" id="{00000000-0008-0000-0200-000060000000}"/>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237</xdr:row>
      <xdr:rowOff>0</xdr:rowOff>
    </xdr:from>
    <xdr:ext cx="65" cy="172227"/>
    <xdr:sp macro="" textlink="">
      <xdr:nvSpPr>
        <xdr:cNvPr id="97" name="TextBox 96">
          <a:extLst>
            <a:ext uri="{FF2B5EF4-FFF2-40B4-BE49-F238E27FC236}">
              <a16:creationId xmlns:a16="http://schemas.microsoft.com/office/drawing/2014/main" id="{00000000-0008-0000-0200-000061000000}"/>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237</xdr:row>
      <xdr:rowOff>0</xdr:rowOff>
    </xdr:from>
    <xdr:ext cx="65" cy="172227"/>
    <xdr:sp macro="" textlink="">
      <xdr:nvSpPr>
        <xdr:cNvPr id="98" name="TextBox 97">
          <a:extLst>
            <a:ext uri="{FF2B5EF4-FFF2-40B4-BE49-F238E27FC236}">
              <a16:creationId xmlns:a16="http://schemas.microsoft.com/office/drawing/2014/main" id="{00000000-0008-0000-0200-000062000000}"/>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255</xdr:row>
      <xdr:rowOff>0</xdr:rowOff>
    </xdr:from>
    <xdr:ext cx="65" cy="172227"/>
    <xdr:sp macro="" textlink="">
      <xdr:nvSpPr>
        <xdr:cNvPr id="99" name="TextBox 98">
          <a:extLst>
            <a:ext uri="{FF2B5EF4-FFF2-40B4-BE49-F238E27FC236}">
              <a16:creationId xmlns:a16="http://schemas.microsoft.com/office/drawing/2014/main" id="{00000000-0008-0000-0200-000063000000}"/>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255</xdr:row>
      <xdr:rowOff>0</xdr:rowOff>
    </xdr:from>
    <xdr:ext cx="65" cy="172227"/>
    <xdr:sp macro="" textlink="">
      <xdr:nvSpPr>
        <xdr:cNvPr id="100" name="TextBox 99">
          <a:extLst>
            <a:ext uri="{FF2B5EF4-FFF2-40B4-BE49-F238E27FC236}">
              <a16:creationId xmlns:a16="http://schemas.microsoft.com/office/drawing/2014/main" id="{00000000-0008-0000-0200-000064000000}"/>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285</xdr:row>
      <xdr:rowOff>0</xdr:rowOff>
    </xdr:from>
    <xdr:ext cx="65" cy="172227"/>
    <xdr:sp macro="" textlink="">
      <xdr:nvSpPr>
        <xdr:cNvPr id="101" name="TextBox 100">
          <a:extLst>
            <a:ext uri="{FF2B5EF4-FFF2-40B4-BE49-F238E27FC236}">
              <a16:creationId xmlns:a16="http://schemas.microsoft.com/office/drawing/2014/main" id="{00000000-0008-0000-0200-000065000000}"/>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285</xdr:row>
      <xdr:rowOff>0</xdr:rowOff>
    </xdr:from>
    <xdr:ext cx="65" cy="172227"/>
    <xdr:sp macro="" textlink="">
      <xdr:nvSpPr>
        <xdr:cNvPr id="102" name="TextBox 101">
          <a:extLst>
            <a:ext uri="{FF2B5EF4-FFF2-40B4-BE49-F238E27FC236}">
              <a16:creationId xmlns:a16="http://schemas.microsoft.com/office/drawing/2014/main" id="{00000000-0008-0000-0200-000066000000}"/>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307</xdr:row>
      <xdr:rowOff>0</xdr:rowOff>
    </xdr:from>
    <xdr:ext cx="65" cy="172227"/>
    <xdr:sp macro="" textlink="">
      <xdr:nvSpPr>
        <xdr:cNvPr id="103" name="TextBox 102">
          <a:extLst>
            <a:ext uri="{FF2B5EF4-FFF2-40B4-BE49-F238E27FC236}">
              <a16:creationId xmlns:a16="http://schemas.microsoft.com/office/drawing/2014/main" id="{00000000-0008-0000-0200-000067000000}"/>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307</xdr:row>
      <xdr:rowOff>0</xdr:rowOff>
    </xdr:from>
    <xdr:ext cx="65" cy="172227"/>
    <xdr:sp macro="" textlink="">
      <xdr:nvSpPr>
        <xdr:cNvPr id="104" name="TextBox 103">
          <a:extLst>
            <a:ext uri="{FF2B5EF4-FFF2-40B4-BE49-F238E27FC236}">
              <a16:creationId xmlns:a16="http://schemas.microsoft.com/office/drawing/2014/main" id="{00000000-0008-0000-0200-000068000000}"/>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327</xdr:row>
      <xdr:rowOff>0</xdr:rowOff>
    </xdr:from>
    <xdr:ext cx="65" cy="172227"/>
    <xdr:sp macro="" textlink="">
      <xdr:nvSpPr>
        <xdr:cNvPr id="105" name="TextBox 104">
          <a:extLst>
            <a:ext uri="{FF2B5EF4-FFF2-40B4-BE49-F238E27FC236}">
              <a16:creationId xmlns:a16="http://schemas.microsoft.com/office/drawing/2014/main" id="{00000000-0008-0000-0200-000069000000}"/>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327</xdr:row>
      <xdr:rowOff>0</xdr:rowOff>
    </xdr:from>
    <xdr:ext cx="65" cy="172227"/>
    <xdr:sp macro="" textlink="">
      <xdr:nvSpPr>
        <xdr:cNvPr id="106" name="TextBox 105">
          <a:extLst>
            <a:ext uri="{FF2B5EF4-FFF2-40B4-BE49-F238E27FC236}">
              <a16:creationId xmlns:a16="http://schemas.microsoft.com/office/drawing/2014/main" id="{00000000-0008-0000-0200-00006A000000}"/>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458</xdr:row>
      <xdr:rowOff>0</xdr:rowOff>
    </xdr:from>
    <xdr:ext cx="65" cy="172227"/>
    <xdr:sp macro="" textlink="">
      <xdr:nvSpPr>
        <xdr:cNvPr id="107" name="TextBox 106">
          <a:extLst>
            <a:ext uri="{FF2B5EF4-FFF2-40B4-BE49-F238E27FC236}">
              <a16:creationId xmlns:a16="http://schemas.microsoft.com/office/drawing/2014/main" id="{00000000-0008-0000-0200-00006B000000}"/>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458</xdr:row>
      <xdr:rowOff>0</xdr:rowOff>
    </xdr:from>
    <xdr:ext cx="65" cy="172227"/>
    <xdr:sp macro="" textlink="">
      <xdr:nvSpPr>
        <xdr:cNvPr id="108" name="TextBox 107">
          <a:extLst>
            <a:ext uri="{FF2B5EF4-FFF2-40B4-BE49-F238E27FC236}">
              <a16:creationId xmlns:a16="http://schemas.microsoft.com/office/drawing/2014/main" id="{00000000-0008-0000-0200-00006C000000}"/>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502</xdr:row>
      <xdr:rowOff>0</xdr:rowOff>
    </xdr:from>
    <xdr:ext cx="65" cy="172227"/>
    <xdr:sp macro="" textlink="">
      <xdr:nvSpPr>
        <xdr:cNvPr id="109" name="TextBox 108">
          <a:extLst>
            <a:ext uri="{FF2B5EF4-FFF2-40B4-BE49-F238E27FC236}">
              <a16:creationId xmlns:a16="http://schemas.microsoft.com/office/drawing/2014/main" id="{00000000-0008-0000-0200-00006D000000}"/>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502</xdr:row>
      <xdr:rowOff>0</xdr:rowOff>
    </xdr:from>
    <xdr:ext cx="65" cy="172227"/>
    <xdr:sp macro="" textlink="">
      <xdr:nvSpPr>
        <xdr:cNvPr id="110" name="TextBox 109">
          <a:extLst>
            <a:ext uri="{FF2B5EF4-FFF2-40B4-BE49-F238E27FC236}">
              <a16:creationId xmlns:a16="http://schemas.microsoft.com/office/drawing/2014/main" id="{00000000-0008-0000-0200-00006E000000}"/>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570</xdr:row>
      <xdr:rowOff>0</xdr:rowOff>
    </xdr:from>
    <xdr:ext cx="65" cy="172227"/>
    <xdr:sp macro="" textlink="">
      <xdr:nvSpPr>
        <xdr:cNvPr id="111" name="TextBox 110">
          <a:extLst>
            <a:ext uri="{FF2B5EF4-FFF2-40B4-BE49-F238E27FC236}">
              <a16:creationId xmlns:a16="http://schemas.microsoft.com/office/drawing/2014/main" id="{00000000-0008-0000-0200-00006F000000}"/>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570</xdr:row>
      <xdr:rowOff>0</xdr:rowOff>
    </xdr:from>
    <xdr:ext cx="65" cy="172227"/>
    <xdr:sp macro="" textlink="">
      <xdr:nvSpPr>
        <xdr:cNvPr id="112" name="TextBox 111">
          <a:extLst>
            <a:ext uri="{FF2B5EF4-FFF2-40B4-BE49-F238E27FC236}">
              <a16:creationId xmlns:a16="http://schemas.microsoft.com/office/drawing/2014/main" id="{00000000-0008-0000-0200-000070000000}"/>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13" name="TextBox 112">
          <a:extLst>
            <a:ext uri="{FF2B5EF4-FFF2-40B4-BE49-F238E27FC236}">
              <a16:creationId xmlns:a16="http://schemas.microsoft.com/office/drawing/2014/main" id="{00000000-0008-0000-0200-000071000000}"/>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14" name="TextBox 113">
          <a:extLst>
            <a:ext uri="{FF2B5EF4-FFF2-40B4-BE49-F238E27FC236}">
              <a16:creationId xmlns:a16="http://schemas.microsoft.com/office/drawing/2014/main" id="{00000000-0008-0000-0200-000072000000}"/>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611</xdr:row>
      <xdr:rowOff>0</xdr:rowOff>
    </xdr:from>
    <xdr:ext cx="65" cy="172227"/>
    <xdr:sp macro="" textlink="">
      <xdr:nvSpPr>
        <xdr:cNvPr id="115" name="TextBox 114">
          <a:extLst>
            <a:ext uri="{FF2B5EF4-FFF2-40B4-BE49-F238E27FC236}">
              <a16:creationId xmlns:a16="http://schemas.microsoft.com/office/drawing/2014/main" id="{00000000-0008-0000-0200-000073000000}"/>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611</xdr:row>
      <xdr:rowOff>0</xdr:rowOff>
    </xdr:from>
    <xdr:ext cx="65" cy="172227"/>
    <xdr:sp macro="" textlink="">
      <xdr:nvSpPr>
        <xdr:cNvPr id="116" name="TextBox 115">
          <a:extLst>
            <a:ext uri="{FF2B5EF4-FFF2-40B4-BE49-F238E27FC236}">
              <a16:creationId xmlns:a16="http://schemas.microsoft.com/office/drawing/2014/main" id="{00000000-0008-0000-0200-000074000000}"/>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629</xdr:row>
      <xdr:rowOff>0</xdr:rowOff>
    </xdr:from>
    <xdr:ext cx="65" cy="172227"/>
    <xdr:sp macro="" textlink="">
      <xdr:nvSpPr>
        <xdr:cNvPr id="117" name="TextBox 116">
          <a:extLst>
            <a:ext uri="{FF2B5EF4-FFF2-40B4-BE49-F238E27FC236}">
              <a16:creationId xmlns:a16="http://schemas.microsoft.com/office/drawing/2014/main" id="{00000000-0008-0000-0200-000075000000}"/>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629</xdr:row>
      <xdr:rowOff>0</xdr:rowOff>
    </xdr:from>
    <xdr:ext cx="65" cy="172227"/>
    <xdr:sp macro="" textlink="">
      <xdr:nvSpPr>
        <xdr:cNvPr id="118" name="TextBox 117">
          <a:extLst>
            <a:ext uri="{FF2B5EF4-FFF2-40B4-BE49-F238E27FC236}">
              <a16:creationId xmlns:a16="http://schemas.microsoft.com/office/drawing/2014/main" id="{00000000-0008-0000-0200-000076000000}"/>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645</xdr:row>
      <xdr:rowOff>0</xdr:rowOff>
    </xdr:from>
    <xdr:ext cx="65" cy="172227"/>
    <xdr:sp macro="" textlink="">
      <xdr:nvSpPr>
        <xdr:cNvPr id="119" name="TextBox 118">
          <a:extLst>
            <a:ext uri="{FF2B5EF4-FFF2-40B4-BE49-F238E27FC236}">
              <a16:creationId xmlns:a16="http://schemas.microsoft.com/office/drawing/2014/main" id="{00000000-0008-0000-0200-000077000000}"/>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645</xdr:row>
      <xdr:rowOff>0</xdr:rowOff>
    </xdr:from>
    <xdr:ext cx="65" cy="172227"/>
    <xdr:sp macro="" textlink="">
      <xdr:nvSpPr>
        <xdr:cNvPr id="120" name="TextBox 119">
          <a:extLst>
            <a:ext uri="{FF2B5EF4-FFF2-40B4-BE49-F238E27FC236}">
              <a16:creationId xmlns:a16="http://schemas.microsoft.com/office/drawing/2014/main" id="{00000000-0008-0000-0200-000078000000}"/>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1" name="TextBox 120">
          <a:extLst>
            <a:ext uri="{FF2B5EF4-FFF2-40B4-BE49-F238E27FC236}">
              <a16:creationId xmlns:a16="http://schemas.microsoft.com/office/drawing/2014/main" id="{00000000-0008-0000-0200-000079000000}"/>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2" name="TextBox 121">
          <a:extLst>
            <a:ext uri="{FF2B5EF4-FFF2-40B4-BE49-F238E27FC236}">
              <a16:creationId xmlns:a16="http://schemas.microsoft.com/office/drawing/2014/main" id="{00000000-0008-0000-0200-00007A000000}"/>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679</xdr:row>
      <xdr:rowOff>0</xdr:rowOff>
    </xdr:from>
    <xdr:ext cx="65" cy="172227"/>
    <xdr:sp macro="" textlink="">
      <xdr:nvSpPr>
        <xdr:cNvPr id="123" name="TextBox 122">
          <a:extLst>
            <a:ext uri="{FF2B5EF4-FFF2-40B4-BE49-F238E27FC236}">
              <a16:creationId xmlns:a16="http://schemas.microsoft.com/office/drawing/2014/main" id="{00000000-0008-0000-0200-00007B000000}"/>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679</xdr:row>
      <xdr:rowOff>0</xdr:rowOff>
    </xdr:from>
    <xdr:ext cx="65" cy="172227"/>
    <xdr:sp macro="" textlink="">
      <xdr:nvSpPr>
        <xdr:cNvPr id="124" name="TextBox 123">
          <a:extLst>
            <a:ext uri="{FF2B5EF4-FFF2-40B4-BE49-F238E27FC236}">
              <a16:creationId xmlns:a16="http://schemas.microsoft.com/office/drawing/2014/main" id="{00000000-0008-0000-0200-00007C000000}"/>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695</xdr:row>
      <xdr:rowOff>0</xdr:rowOff>
    </xdr:from>
    <xdr:ext cx="65" cy="172227"/>
    <xdr:sp macro="" textlink="">
      <xdr:nvSpPr>
        <xdr:cNvPr id="125" name="TextBox 124">
          <a:extLst>
            <a:ext uri="{FF2B5EF4-FFF2-40B4-BE49-F238E27FC236}">
              <a16:creationId xmlns:a16="http://schemas.microsoft.com/office/drawing/2014/main" id="{00000000-0008-0000-0200-00007D000000}"/>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695</xdr:row>
      <xdr:rowOff>0</xdr:rowOff>
    </xdr:from>
    <xdr:ext cx="65" cy="172227"/>
    <xdr:sp macro="" textlink="">
      <xdr:nvSpPr>
        <xdr:cNvPr id="126" name="TextBox 125">
          <a:extLst>
            <a:ext uri="{FF2B5EF4-FFF2-40B4-BE49-F238E27FC236}">
              <a16:creationId xmlns:a16="http://schemas.microsoft.com/office/drawing/2014/main" id="{00000000-0008-0000-0200-00007E000000}"/>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711</xdr:row>
      <xdr:rowOff>0</xdr:rowOff>
    </xdr:from>
    <xdr:ext cx="65" cy="172227"/>
    <xdr:sp macro="" textlink="">
      <xdr:nvSpPr>
        <xdr:cNvPr id="127" name="TextBox 126">
          <a:extLst>
            <a:ext uri="{FF2B5EF4-FFF2-40B4-BE49-F238E27FC236}">
              <a16:creationId xmlns:a16="http://schemas.microsoft.com/office/drawing/2014/main" id="{00000000-0008-0000-0200-00007F000000}"/>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711</xdr:row>
      <xdr:rowOff>0</xdr:rowOff>
    </xdr:from>
    <xdr:ext cx="65" cy="172227"/>
    <xdr:sp macro="" textlink="">
      <xdr:nvSpPr>
        <xdr:cNvPr id="128" name="TextBox 127">
          <a:extLst>
            <a:ext uri="{FF2B5EF4-FFF2-40B4-BE49-F238E27FC236}">
              <a16:creationId xmlns:a16="http://schemas.microsoft.com/office/drawing/2014/main" id="{00000000-0008-0000-0200-000080000000}"/>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727</xdr:row>
      <xdr:rowOff>0</xdr:rowOff>
    </xdr:from>
    <xdr:ext cx="65" cy="172227"/>
    <xdr:sp macro="" textlink="">
      <xdr:nvSpPr>
        <xdr:cNvPr id="129" name="TextBox 128">
          <a:extLst>
            <a:ext uri="{FF2B5EF4-FFF2-40B4-BE49-F238E27FC236}">
              <a16:creationId xmlns:a16="http://schemas.microsoft.com/office/drawing/2014/main" id="{00000000-0008-0000-0200-000081000000}"/>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727</xdr:row>
      <xdr:rowOff>0</xdr:rowOff>
    </xdr:from>
    <xdr:ext cx="65" cy="172227"/>
    <xdr:sp macro="" textlink="">
      <xdr:nvSpPr>
        <xdr:cNvPr id="130" name="TextBox 129">
          <a:extLst>
            <a:ext uri="{FF2B5EF4-FFF2-40B4-BE49-F238E27FC236}">
              <a16:creationId xmlns:a16="http://schemas.microsoft.com/office/drawing/2014/main" id="{00000000-0008-0000-0200-000082000000}"/>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31" name="TextBox 130">
          <a:extLst>
            <a:ext uri="{FF2B5EF4-FFF2-40B4-BE49-F238E27FC236}">
              <a16:creationId xmlns:a16="http://schemas.microsoft.com/office/drawing/2014/main" id="{00000000-0008-0000-0200-000083000000}"/>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747</xdr:row>
      <xdr:rowOff>0</xdr:rowOff>
    </xdr:from>
    <xdr:ext cx="65" cy="172227"/>
    <xdr:sp macro="" textlink="">
      <xdr:nvSpPr>
        <xdr:cNvPr id="132" name="TextBox 131">
          <a:extLst>
            <a:ext uri="{FF2B5EF4-FFF2-40B4-BE49-F238E27FC236}">
              <a16:creationId xmlns:a16="http://schemas.microsoft.com/office/drawing/2014/main" id="{00000000-0008-0000-0200-000084000000}"/>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763</xdr:row>
      <xdr:rowOff>0</xdr:rowOff>
    </xdr:from>
    <xdr:ext cx="65" cy="172227"/>
    <xdr:sp macro="" textlink="">
      <xdr:nvSpPr>
        <xdr:cNvPr id="133" name="TextBox 132">
          <a:extLst>
            <a:ext uri="{FF2B5EF4-FFF2-40B4-BE49-F238E27FC236}">
              <a16:creationId xmlns:a16="http://schemas.microsoft.com/office/drawing/2014/main" id="{00000000-0008-0000-0200-000085000000}"/>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763</xdr:row>
      <xdr:rowOff>0</xdr:rowOff>
    </xdr:from>
    <xdr:ext cx="65" cy="172227"/>
    <xdr:sp macro="" textlink="">
      <xdr:nvSpPr>
        <xdr:cNvPr id="134" name="TextBox 133">
          <a:extLst>
            <a:ext uri="{FF2B5EF4-FFF2-40B4-BE49-F238E27FC236}">
              <a16:creationId xmlns:a16="http://schemas.microsoft.com/office/drawing/2014/main" id="{00000000-0008-0000-0200-000086000000}"/>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781</xdr:row>
      <xdr:rowOff>0</xdr:rowOff>
    </xdr:from>
    <xdr:ext cx="65" cy="172227"/>
    <xdr:sp macro="" textlink="">
      <xdr:nvSpPr>
        <xdr:cNvPr id="135" name="TextBox 134">
          <a:extLst>
            <a:ext uri="{FF2B5EF4-FFF2-40B4-BE49-F238E27FC236}">
              <a16:creationId xmlns:a16="http://schemas.microsoft.com/office/drawing/2014/main" id="{00000000-0008-0000-0200-000087000000}"/>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781</xdr:row>
      <xdr:rowOff>0</xdr:rowOff>
    </xdr:from>
    <xdr:ext cx="65" cy="172227"/>
    <xdr:sp macro="" textlink="">
      <xdr:nvSpPr>
        <xdr:cNvPr id="136" name="TextBox 135">
          <a:extLst>
            <a:ext uri="{FF2B5EF4-FFF2-40B4-BE49-F238E27FC236}">
              <a16:creationId xmlns:a16="http://schemas.microsoft.com/office/drawing/2014/main" id="{00000000-0008-0000-0200-000088000000}"/>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799</xdr:row>
      <xdr:rowOff>0</xdr:rowOff>
    </xdr:from>
    <xdr:ext cx="65" cy="172227"/>
    <xdr:sp macro="" textlink="">
      <xdr:nvSpPr>
        <xdr:cNvPr id="137" name="TextBox 136">
          <a:extLst>
            <a:ext uri="{FF2B5EF4-FFF2-40B4-BE49-F238E27FC236}">
              <a16:creationId xmlns:a16="http://schemas.microsoft.com/office/drawing/2014/main" id="{00000000-0008-0000-0200-000089000000}"/>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799</xdr:row>
      <xdr:rowOff>0</xdr:rowOff>
    </xdr:from>
    <xdr:ext cx="65" cy="172227"/>
    <xdr:sp macro="" textlink="">
      <xdr:nvSpPr>
        <xdr:cNvPr id="138" name="TextBox 137">
          <a:extLst>
            <a:ext uri="{FF2B5EF4-FFF2-40B4-BE49-F238E27FC236}">
              <a16:creationId xmlns:a16="http://schemas.microsoft.com/office/drawing/2014/main" id="{00000000-0008-0000-0200-00008A000000}"/>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830</xdr:row>
      <xdr:rowOff>0</xdr:rowOff>
    </xdr:from>
    <xdr:ext cx="65" cy="172227"/>
    <xdr:sp macro="" textlink="">
      <xdr:nvSpPr>
        <xdr:cNvPr id="139" name="TextBox 138">
          <a:extLst>
            <a:ext uri="{FF2B5EF4-FFF2-40B4-BE49-F238E27FC236}">
              <a16:creationId xmlns:a16="http://schemas.microsoft.com/office/drawing/2014/main" id="{00000000-0008-0000-0200-00008B000000}"/>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830</xdr:row>
      <xdr:rowOff>0</xdr:rowOff>
    </xdr:from>
    <xdr:ext cx="65" cy="172227"/>
    <xdr:sp macro="" textlink="">
      <xdr:nvSpPr>
        <xdr:cNvPr id="140" name="TextBox 139">
          <a:extLst>
            <a:ext uri="{FF2B5EF4-FFF2-40B4-BE49-F238E27FC236}">
              <a16:creationId xmlns:a16="http://schemas.microsoft.com/office/drawing/2014/main" id="{00000000-0008-0000-0200-00008C000000}"/>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652</xdr:row>
      <xdr:rowOff>72984</xdr:rowOff>
    </xdr:from>
    <xdr:to>
      <xdr:col>4</xdr:col>
      <xdr:colOff>2969735</xdr:colOff>
      <xdr:row>654</xdr:row>
      <xdr:rowOff>153666</xdr:rowOff>
    </xdr:to>
    <mc:AlternateContent xmlns:mc="http://schemas.openxmlformats.org/markup-compatibility/2006" xmlns:a14="http://schemas.microsoft.com/office/drawing/2010/main">
      <mc:Choice Requires="a14">
        <xdr:sp macro="" textlink="">
          <xdr:nvSpPr>
            <xdr:cNvPr id="141" name="TextBox 140">
              <a:extLst>
                <a:ext uri="{FF2B5EF4-FFF2-40B4-BE49-F238E27FC236}">
                  <a16:creationId xmlns:a16="http://schemas.microsoft.com/office/drawing/2014/main" id="{00000000-0008-0000-0200-00008D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1818409</xdr:colOff>
      <xdr:row>652</xdr:row>
      <xdr:rowOff>98961</xdr:rowOff>
    </xdr:from>
    <xdr:to>
      <xdr:col>5</xdr:col>
      <xdr:colOff>273292</xdr:colOff>
      <xdr:row>654</xdr:row>
      <xdr:rowOff>152749</xdr:rowOff>
    </xdr:to>
    <mc:AlternateContent xmlns:mc="http://schemas.openxmlformats.org/markup-compatibility/2006" xmlns:a14="http://schemas.microsoft.com/office/drawing/2010/main">
      <mc:Choice Requires="a14">
        <xdr:sp macro="" textlink="">
          <xdr:nvSpPr>
            <xdr:cNvPr id="142" name="TextBox 141">
              <a:extLst>
                <a:ext uri="{FF2B5EF4-FFF2-40B4-BE49-F238E27FC236}">
                  <a16:creationId xmlns:a16="http://schemas.microsoft.com/office/drawing/2014/main" id="{00000000-0008-0000-0200-00008E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3794760</xdr:colOff>
      <xdr:row>830</xdr:row>
      <xdr:rowOff>0</xdr:rowOff>
    </xdr:from>
    <xdr:ext cx="184731" cy="264560"/>
    <xdr:sp macro="" textlink="">
      <xdr:nvSpPr>
        <xdr:cNvPr id="143" name="TextBox 142">
          <a:extLst>
            <a:ext uri="{FF2B5EF4-FFF2-40B4-BE49-F238E27FC236}">
              <a16:creationId xmlns:a16="http://schemas.microsoft.com/office/drawing/2014/main" id="{00000000-0008-0000-0200-00008F000000}"/>
            </a:ext>
          </a:extLst>
        </xdr:cNvPr>
        <xdr:cNvSpPr txBox="1"/>
      </xdr:nvSpPr>
      <xdr:spPr>
        <a:xfrm>
          <a:off x="7442835" y="861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822</xdr:row>
      <xdr:rowOff>0</xdr:rowOff>
    </xdr:from>
    <xdr:to>
      <xdr:col>4</xdr:col>
      <xdr:colOff>3110754</xdr:colOff>
      <xdr:row>824</xdr:row>
      <xdr:rowOff>80683</xdr:rowOff>
    </xdr:to>
    <mc:AlternateContent xmlns:mc="http://schemas.openxmlformats.org/markup-compatibility/2006" xmlns:a14="http://schemas.microsoft.com/office/drawing/2010/main">
      <mc:Choice Requires="a14">
        <xdr:sp macro="" textlink="">
          <xdr:nvSpPr>
            <xdr:cNvPr id="144" name="TextBox 143">
              <a:extLst>
                <a:ext uri="{FF2B5EF4-FFF2-40B4-BE49-F238E27FC236}">
                  <a16:creationId xmlns:a16="http://schemas.microsoft.com/office/drawing/2014/main" id="{00000000-0008-0000-0200-000090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822</xdr:row>
      <xdr:rowOff>0</xdr:rowOff>
    </xdr:from>
    <xdr:to>
      <xdr:col>7</xdr:col>
      <xdr:colOff>125507</xdr:colOff>
      <xdr:row>824</xdr:row>
      <xdr:rowOff>53789</xdr:rowOff>
    </xdr:to>
    <mc:AlternateContent xmlns:mc="http://schemas.openxmlformats.org/markup-compatibility/2006" xmlns:a14="http://schemas.microsoft.com/office/drawing/2010/main">
      <mc:Choice Requires="a14">
        <xdr:sp macro="" textlink="">
          <xdr:nvSpPr>
            <xdr:cNvPr id="145" name="TextBox 144">
              <a:extLst>
                <a:ext uri="{FF2B5EF4-FFF2-40B4-BE49-F238E27FC236}">
                  <a16:creationId xmlns:a16="http://schemas.microsoft.com/office/drawing/2014/main" id="{00000000-0008-0000-0200-000091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815</xdr:row>
      <xdr:rowOff>0</xdr:rowOff>
    </xdr:from>
    <xdr:ext cx="65" cy="172227"/>
    <xdr:sp macro="" textlink="">
      <xdr:nvSpPr>
        <xdr:cNvPr id="147" name="TextBox 146">
          <a:extLst>
            <a:ext uri="{FF2B5EF4-FFF2-40B4-BE49-F238E27FC236}">
              <a16:creationId xmlns:a16="http://schemas.microsoft.com/office/drawing/2014/main" id="{00000000-0008-0000-0200-000093000000}"/>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815</xdr:row>
      <xdr:rowOff>0</xdr:rowOff>
    </xdr:from>
    <xdr:ext cx="65" cy="172227"/>
    <xdr:sp macro="" textlink="">
      <xdr:nvSpPr>
        <xdr:cNvPr id="148" name="TextBox 147">
          <a:extLst>
            <a:ext uri="{FF2B5EF4-FFF2-40B4-BE49-F238E27FC236}">
              <a16:creationId xmlns:a16="http://schemas.microsoft.com/office/drawing/2014/main" id="{00000000-0008-0000-0200-000094000000}"/>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942894</xdr:colOff>
      <xdr:row>36</xdr:row>
      <xdr:rowOff>51227</xdr:rowOff>
    </xdr:from>
    <xdr:to>
      <xdr:col>6</xdr:col>
      <xdr:colOff>361790</xdr:colOff>
      <xdr:row>39</xdr:row>
      <xdr:rowOff>84937</xdr:rowOff>
    </xdr:to>
    <mc:AlternateContent xmlns:mc="http://schemas.openxmlformats.org/markup-compatibility/2006" xmlns:a14="http://schemas.microsoft.com/office/drawing/2010/main">
      <mc:Choice Requires="a14">
        <xdr:sp macro="" textlink="">
          <xdr:nvSpPr>
            <xdr:cNvPr id="150" name="TextBox 149">
              <a:extLst>
                <a:ext uri="{FF2B5EF4-FFF2-40B4-BE49-F238E27FC236}">
                  <a16:creationId xmlns:a16="http://schemas.microsoft.com/office/drawing/2014/main" id="{F5B56CBD-A450-4709-8049-8FC14C44355C}"/>
                </a:ext>
              </a:extLst>
            </xdr:cNvPr>
            <xdr:cNvSpPr txBox="1"/>
          </xdr:nvSpPr>
          <xdr:spPr>
            <a:xfrm>
              <a:off x="4548787" y="7058906"/>
              <a:ext cx="5474074"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sngStrike" baseline="0">
                        <a:solidFill>
                          <a:srgbClr val="FF0000"/>
                        </a:solidFill>
                        <a:latin typeface="Cambria Math" panose="02040503050406030204" pitchFamily="18" charset="0"/>
                        <a:ea typeface="Cambria Math" panose="02040503050406030204" pitchFamily="18" charset="0"/>
                      </a:rPr>
                      <m:t>∆</m:t>
                    </m:r>
                    <m:r>
                      <a:rPr lang="en-US" sz="1400" b="0" i="1" strike="sngStrike" baseline="0">
                        <a:solidFill>
                          <a:srgbClr val="FF0000"/>
                        </a:solidFill>
                        <a:latin typeface="Cambria Math" panose="02040503050406030204" pitchFamily="18" charset="0"/>
                        <a:ea typeface="Cambria Math" panose="02040503050406030204" pitchFamily="18" charset="0"/>
                      </a:rPr>
                      <m:t>𝑘𝑊h</m:t>
                    </m:r>
                    <m:r>
                      <a:rPr lang="en-US" sz="1400" b="0" i="1" strike="sngStrike" baseline="0">
                        <a:solidFill>
                          <a:srgbClr val="FF0000"/>
                        </a:solidFill>
                        <a:latin typeface="Cambria Math" panose="02040503050406030204" pitchFamily="18" charset="0"/>
                        <a:ea typeface="Cambria Math" panose="02040503050406030204" pitchFamily="18" charset="0"/>
                      </a:rPr>
                      <m:t>=</m:t>
                    </m:r>
                    <m:f>
                      <m:fPr>
                        <m:ctrlP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ctrlPr>
                      </m:fPr>
                      <m:num>
                        <m:d>
                          <m:dPr>
                            <m:ctrlP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ctrlPr>
                          </m:dPr>
                          <m:e>
                            <m:sSub>
                              <m:sSubPr>
                                <m:ctrlPr>
                                  <a:rPr lang="en-US" sz="1100" b="0" i="1" strike="sngStrike" baseline="0">
                                    <a:solidFill>
                                      <a:srgbClr val="FF0000"/>
                                    </a:solidFill>
                                    <a:effectLst/>
                                    <a:latin typeface="Cambria Math" panose="02040503050406030204" pitchFamily="18" charset="0"/>
                                    <a:ea typeface="+mn-ea"/>
                                    <a:cs typeface="+mn-cs"/>
                                  </a:rPr>
                                </m:ctrlPr>
                              </m:sSubPr>
                              <m:e>
                                <m:r>
                                  <a:rPr lang="en-US" sz="1100" b="0" i="1" strike="sngStrike" baseline="0">
                                    <a:solidFill>
                                      <a:srgbClr val="FF0000"/>
                                    </a:solidFill>
                                    <a:effectLst/>
                                    <a:latin typeface="Cambria Math" panose="02040503050406030204" pitchFamily="18" charset="0"/>
                                    <a:ea typeface="+mn-ea"/>
                                    <a:cs typeface="+mn-cs"/>
                                  </a:rPr>
                                  <m:t>𝑊𝑎𝑡𝑡𝑠</m:t>
                                </m:r>
                              </m:e>
                              <m:sub>
                                <m:r>
                                  <a:rPr lang="en-US" sz="1100" b="0" i="1" strike="sngStrike" baseline="0">
                                    <a:solidFill>
                                      <a:srgbClr val="FF0000"/>
                                    </a:solidFill>
                                    <a:effectLst/>
                                    <a:latin typeface="Cambria Math" panose="02040503050406030204" pitchFamily="18" charset="0"/>
                                    <a:ea typeface="+mn-ea"/>
                                    <a:cs typeface="+mn-cs"/>
                                  </a:rPr>
                                  <m:t>𝐵𝑎𝑠𝑒</m:t>
                                </m:r>
                              </m:sub>
                            </m:sSub>
                            <m:r>
                              <a:rPr lang="en-US" sz="1100" b="0" i="1" strike="sngStrike" baseline="0">
                                <a:solidFill>
                                  <a:srgbClr val="FF0000"/>
                                </a:solidFill>
                                <a:effectLst/>
                                <a:latin typeface="Cambria Math" panose="02040503050406030204" pitchFamily="18" charset="0"/>
                                <a:ea typeface="+mn-ea"/>
                                <a:cs typeface="+mn-cs"/>
                              </a:rPr>
                              <m:t>−</m:t>
                            </m:r>
                            <m:sSub>
                              <m:sSubPr>
                                <m:ctrlPr>
                                  <a:rPr lang="en-US" sz="1100" b="0" i="1" strike="sngStrike" baseline="0">
                                    <a:solidFill>
                                      <a:srgbClr val="FF0000"/>
                                    </a:solidFill>
                                    <a:effectLst/>
                                    <a:latin typeface="Cambria Math" panose="02040503050406030204" pitchFamily="18" charset="0"/>
                                    <a:ea typeface="+mn-ea"/>
                                    <a:cs typeface="+mn-cs"/>
                                  </a:rPr>
                                </m:ctrlPr>
                              </m:sSubPr>
                              <m:e>
                                <m:r>
                                  <a:rPr lang="en-US" sz="1100" b="0" i="1" strike="sngStrike" baseline="0">
                                    <a:solidFill>
                                      <a:srgbClr val="FF0000"/>
                                    </a:solidFill>
                                    <a:effectLst/>
                                    <a:latin typeface="Cambria Math" panose="02040503050406030204" pitchFamily="18" charset="0"/>
                                    <a:ea typeface="+mn-ea"/>
                                    <a:cs typeface="+mn-cs"/>
                                  </a:rPr>
                                  <m:t>𝑊𝑎𝑡𝑡𝑠</m:t>
                                </m:r>
                              </m:e>
                              <m:sub>
                                <m:r>
                                  <a:rPr lang="en-US" sz="1100" b="0" i="1" strike="sngStrike" baseline="0">
                                    <a:solidFill>
                                      <a:srgbClr val="FF0000"/>
                                    </a:solidFill>
                                    <a:effectLst/>
                                    <a:latin typeface="Cambria Math" panose="02040503050406030204" pitchFamily="18" charset="0"/>
                                    <a:ea typeface="+mn-ea"/>
                                    <a:cs typeface="+mn-cs"/>
                                  </a:rPr>
                                  <m:t>𝐸𝐸</m:t>
                                </m:r>
                              </m:sub>
                            </m:sSub>
                          </m:e>
                        </m:d>
                      </m:num>
                      <m:den>
                        <m:r>
                          <a:rPr lang="en-US" sz="1400" b="0" i="1" strike="sngStrike" baseline="0">
                            <a:solidFill>
                              <a:srgbClr val="FF0000"/>
                            </a:solidFill>
                            <a:latin typeface="Cambria Math" panose="02040503050406030204" pitchFamily="18" charset="0"/>
                            <a:ea typeface="Cambria Math" panose="02040503050406030204" pitchFamily="18" charset="0"/>
                          </a:rPr>
                          <m:t>1000</m:t>
                        </m:r>
                      </m:den>
                    </m:f>
                    <m:r>
                      <a:rPr lang="en-US" sz="1400" b="0" i="1" strike="sngStrike" baseline="0">
                        <a:solidFill>
                          <a:srgbClr val="FF0000"/>
                        </a:solidFill>
                        <a:latin typeface="Cambria Math" panose="02040503050406030204" pitchFamily="18" charset="0"/>
                        <a:ea typeface="Cambria Math" panose="02040503050406030204" pitchFamily="18" charset="0"/>
                      </a:rPr>
                      <m:t>×</m:t>
                    </m:r>
                    <m:r>
                      <a:rPr lang="en-US" sz="1400" b="0" i="1" strike="sngStrike" baseline="0">
                        <a:solidFill>
                          <a:srgbClr val="FF0000"/>
                        </a:solidFill>
                        <a:latin typeface="Cambria Math" panose="02040503050406030204" pitchFamily="18" charset="0"/>
                        <a:ea typeface="Cambria Math" panose="02040503050406030204" pitchFamily="18" charset="0"/>
                      </a:rPr>
                      <m:t>𝐼𝑆𝑅</m:t>
                    </m:r>
                    <m:r>
                      <a:rPr lang="en-US" sz="1400" b="0" i="1" strike="sngStrike" baseline="0">
                        <a:solidFill>
                          <a:srgbClr val="FF0000"/>
                        </a:solidFill>
                        <a:latin typeface="Cambria Math" panose="02040503050406030204" pitchFamily="18" charset="0"/>
                        <a:ea typeface="Cambria Math" panose="02040503050406030204" pitchFamily="18" charset="0"/>
                      </a:rPr>
                      <m:t>×</m:t>
                    </m:r>
                    <m:r>
                      <a:rPr lang="en-US" sz="1400" b="0" i="1" strike="sngStrike" baseline="0">
                        <a:solidFill>
                          <a:srgbClr val="FF0000"/>
                        </a:solidFill>
                        <a:latin typeface="Cambria Math" panose="02040503050406030204" pitchFamily="18" charset="0"/>
                        <a:ea typeface="Cambria Math" panose="02040503050406030204" pitchFamily="18" charset="0"/>
                      </a:rPr>
                      <m:t>𝐻𝑜𝑢𝑟𝑠</m:t>
                    </m:r>
                    <m:r>
                      <a:rPr lang="en-US" sz="1400" b="0" i="1" strike="sngStrike" baseline="0">
                        <a:solidFill>
                          <a:srgbClr val="FF0000"/>
                        </a:solidFill>
                        <a:latin typeface="Cambria Math" panose="02040503050406030204" pitchFamily="18" charset="0"/>
                        <a:ea typeface="Cambria Math" panose="02040503050406030204" pitchFamily="18" charset="0"/>
                      </a:rPr>
                      <m:t>×</m:t>
                    </m:r>
                    <m:sSub>
                      <m:sSubPr>
                        <m:ctrlPr>
                          <a:rPr lang="en-US" sz="1400" b="0" i="1" strike="sngStrike" baseline="0">
                            <a:solidFill>
                              <a:srgbClr val="FF0000"/>
                            </a:solidFill>
                            <a:latin typeface="Cambria Math" panose="02040503050406030204" pitchFamily="18" charset="0"/>
                            <a:ea typeface="Cambria Math" panose="02040503050406030204" pitchFamily="18" charset="0"/>
                          </a:rPr>
                        </m:ctrlPr>
                      </m:sSubPr>
                      <m:e>
                        <m:r>
                          <a:rPr lang="en-US" sz="1400" b="0" i="1" strike="sngStrike" baseline="0">
                            <a:solidFill>
                              <a:srgbClr val="FF0000"/>
                            </a:solidFill>
                            <a:latin typeface="Cambria Math" panose="02040503050406030204" pitchFamily="18" charset="0"/>
                            <a:ea typeface="Cambria Math" panose="02040503050406030204" pitchFamily="18" charset="0"/>
                          </a:rPr>
                          <m:t>𝑊𝐻𝐹</m:t>
                        </m:r>
                      </m:e>
                      <m:sub>
                        <m:r>
                          <a:rPr lang="en-US" sz="1400" b="0" i="1" strike="sngStrike" baseline="0">
                            <a:solidFill>
                              <a:srgbClr val="FF0000"/>
                            </a:solidFill>
                            <a:latin typeface="Cambria Math" panose="02040503050406030204" pitchFamily="18" charset="0"/>
                            <a:ea typeface="Cambria Math" panose="02040503050406030204" pitchFamily="18" charset="0"/>
                          </a:rPr>
                          <m:t>𝑒</m:t>
                        </m:r>
                      </m:sub>
                    </m:sSub>
                  </m:oMath>
                </m:oMathPara>
              </a14:m>
              <a:endParaRPr lang="en-US" sz="1100" strike="sngStrike" baseline="0">
                <a:solidFill>
                  <a:srgbClr val="FF0000"/>
                </a:solidFill>
              </a:endParaRPr>
            </a:p>
          </xdr:txBody>
        </xdr:sp>
      </mc:Choice>
      <mc:Fallback xmlns="">
        <xdr:sp macro="" textlink="">
          <xdr:nvSpPr>
            <xdr:cNvPr id="150" name="TextBox 149">
              <a:extLst>
                <a:ext uri="{FF2B5EF4-FFF2-40B4-BE49-F238E27FC236}">
                  <a16:creationId xmlns:a16="http://schemas.microsoft.com/office/drawing/2014/main" id="{F5B56CBD-A450-4709-8049-8FC14C44355C}"/>
                </a:ext>
              </a:extLst>
            </xdr:cNvPr>
            <xdr:cNvSpPr txBox="1"/>
          </xdr:nvSpPr>
          <xdr:spPr>
            <a:xfrm>
              <a:off x="4548787" y="7058906"/>
              <a:ext cx="5474074"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sngStrike" baseline="0">
                  <a:solidFill>
                    <a:srgbClr val="FF0000"/>
                  </a:solidFill>
                  <a:latin typeface="Cambria Math" panose="02040503050406030204" pitchFamily="18" charset="0"/>
                  <a:ea typeface="Cambria Math" panose="02040503050406030204" pitchFamily="18" charset="0"/>
                </a:rPr>
                <a:t>∆</a:t>
              </a:r>
              <a:r>
                <a:rPr lang="en-US" sz="1400" b="0" i="0" strike="sngStrike" baseline="0">
                  <a:solidFill>
                    <a:srgbClr val="FF0000"/>
                  </a:solidFill>
                  <a:latin typeface="Cambria Math" panose="02040503050406030204" pitchFamily="18" charset="0"/>
                  <a:ea typeface="Cambria Math" panose="02040503050406030204" pitchFamily="18" charset="0"/>
                </a:rPr>
                <a:t>𝑘𝑊ℎ=</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100" b="0" i="0" strike="sngStrike" baseline="0">
                  <a:solidFill>
                    <a:srgbClr val="FF0000"/>
                  </a:solidFill>
                  <a:effectLst/>
                  <a:latin typeface="Cambria Math" panose="02040503050406030204" pitchFamily="18" charset="0"/>
                  <a:ea typeface="+mn-ea"/>
                  <a:cs typeface="+mn-cs"/>
                </a:rPr>
                <a:t>〖𝑊𝑎𝑡𝑡𝑠〗_𝐵𝑎𝑠𝑒−〖𝑊𝑎𝑡𝑡𝑠〗_𝐸𝐸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baseline="0">
                  <a:solidFill>
                    <a:srgbClr val="FF0000"/>
                  </a:solidFill>
                  <a:latin typeface="Cambria Math" panose="02040503050406030204" pitchFamily="18" charset="0"/>
                  <a:ea typeface="Cambria Math" panose="02040503050406030204" pitchFamily="18" charset="0"/>
                </a:rPr>
                <a:t>1000×𝐼𝑆𝑅×𝐻𝑜𝑢𝑟𝑠×〖𝑊𝐻𝐹〗_𝑒</a:t>
              </a:r>
              <a:endParaRPr lang="en-US" sz="1100" strike="sngStrike" baseline="0">
                <a:solidFill>
                  <a:srgbClr val="FF0000"/>
                </a:solidFill>
              </a:endParaRPr>
            </a:p>
          </xdr:txBody>
        </xdr:sp>
      </mc:Fallback>
    </mc:AlternateContent>
    <xdr:clientData/>
  </xdr:twoCellAnchor>
  <xdr:twoCellAnchor>
    <xdr:from>
      <xdr:col>4</xdr:col>
      <xdr:colOff>584751</xdr:colOff>
      <xdr:row>40</xdr:row>
      <xdr:rowOff>96946</xdr:rowOff>
    </xdr:from>
    <xdr:to>
      <xdr:col>6</xdr:col>
      <xdr:colOff>457841</xdr:colOff>
      <xdr:row>43</xdr:row>
      <xdr:rowOff>130656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9D410C47-D6DE-4AC1-9CD0-FDA7BCCAEC60}"/>
                </a:ext>
              </a:extLst>
            </xdr:cNvPr>
            <xdr:cNvSpPr txBox="1"/>
          </xdr:nvSpPr>
          <xdr:spPr>
            <a:xfrm>
              <a:off x="4190644" y="7866625"/>
              <a:ext cx="5928268"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strike="sngStrike" baseline="0">
                            <a:solidFill>
                              <a:srgbClr val="FF0000"/>
                            </a:solidFill>
                            <a:latin typeface="Cambria Math" panose="02040503050406030204" pitchFamily="18" charset="0"/>
                            <a:ea typeface="Cambria Math" panose="02040503050406030204" pitchFamily="18" charset="0"/>
                          </a:rPr>
                        </m:ctrlPr>
                      </m:sSubPr>
                      <m:e>
                        <m:r>
                          <a:rPr lang="en-US" sz="1400" i="1" strike="sngStrike" baseline="0">
                            <a:solidFill>
                              <a:srgbClr val="FF0000"/>
                            </a:solidFill>
                            <a:latin typeface="Cambria Math" panose="02040503050406030204" pitchFamily="18" charset="0"/>
                            <a:ea typeface="Cambria Math" panose="02040503050406030204" pitchFamily="18" charset="0"/>
                          </a:rPr>
                          <m:t>∆</m:t>
                        </m:r>
                        <m:r>
                          <a:rPr lang="en-US" sz="1400" b="0" i="1" strike="sngStrike" baseline="0">
                            <a:solidFill>
                              <a:srgbClr val="FF0000"/>
                            </a:solidFill>
                            <a:latin typeface="Cambria Math" panose="02040503050406030204" pitchFamily="18" charset="0"/>
                            <a:ea typeface="Cambria Math" panose="02040503050406030204" pitchFamily="18" charset="0"/>
                          </a:rPr>
                          <m:t>𝑘𝑊h</m:t>
                        </m:r>
                      </m:e>
                      <m:sub>
                        <m:r>
                          <a:rPr lang="en-US" sz="1400" b="0" i="1" strike="sngStrike" baseline="0">
                            <a:solidFill>
                              <a:srgbClr val="FF0000"/>
                            </a:solidFill>
                            <a:latin typeface="Cambria Math" panose="02040503050406030204" pitchFamily="18" charset="0"/>
                            <a:ea typeface="Cambria Math" panose="02040503050406030204" pitchFamily="18" charset="0"/>
                          </a:rPr>
                          <m:t>h𝑒𝑎𝑡𝑝𝑒𝑛𝑎𝑙𝑡𝑦</m:t>
                        </m:r>
                      </m:sub>
                    </m:sSub>
                    <m:r>
                      <a:rPr lang="en-US" sz="1400" b="0" i="1" strike="sngStrike" baseline="0">
                        <a:solidFill>
                          <a:srgbClr val="FF0000"/>
                        </a:solidFill>
                        <a:latin typeface="Cambria Math" panose="02040503050406030204" pitchFamily="18" charset="0"/>
                        <a:ea typeface="Cambria Math" panose="02040503050406030204" pitchFamily="18" charset="0"/>
                      </a:rPr>
                      <m:t> =</m:t>
                    </m:r>
                    <m:f>
                      <m:fPr>
                        <m:ctrlP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ctrlPr>
                      </m:fPr>
                      <m:num>
                        <m:d>
                          <m:dPr>
                            <m:ctrlP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ctrlPr>
                          </m:dPr>
                          <m:e>
                            <m:sSub>
                              <m:sSubPr>
                                <m:ctrlPr>
                                  <a:rPr lang="en-US" sz="1100" b="0" i="1" strike="sngStrike" baseline="0">
                                    <a:solidFill>
                                      <a:srgbClr val="FF0000"/>
                                    </a:solidFill>
                                    <a:effectLst/>
                                    <a:latin typeface="Cambria Math" panose="02040503050406030204" pitchFamily="18" charset="0"/>
                                    <a:ea typeface="+mn-ea"/>
                                    <a:cs typeface="+mn-cs"/>
                                  </a:rPr>
                                </m:ctrlPr>
                              </m:sSubPr>
                              <m:e>
                                <m:r>
                                  <a:rPr lang="en-US" sz="1100" b="0" i="1" strike="sngStrike" baseline="0">
                                    <a:solidFill>
                                      <a:srgbClr val="FF0000"/>
                                    </a:solidFill>
                                    <a:effectLst/>
                                    <a:latin typeface="Cambria Math" panose="02040503050406030204" pitchFamily="18" charset="0"/>
                                    <a:ea typeface="+mn-ea"/>
                                    <a:cs typeface="+mn-cs"/>
                                  </a:rPr>
                                  <m:t>𝑊𝑎𝑡𝑡𝑠</m:t>
                                </m:r>
                              </m:e>
                              <m:sub>
                                <m:r>
                                  <a:rPr lang="en-US" sz="1100" b="0" i="1" strike="sngStrike" baseline="0">
                                    <a:solidFill>
                                      <a:srgbClr val="FF0000"/>
                                    </a:solidFill>
                                    <a:effectLst/>
                                    <a:latin typeface="Cambria Math" panose="02040503050406030204" pitchFamily="18" charset="0"/>
                                    <a:ea typeface="+mn-ea"/>
                                    <a:cs typeface="+mn-cs"/>
                                  </a:rPr>
                                  <m:t>𝐵𝑎𝑠𝑒</m:t>
                                </m:r>
                              </m:sub>
                            </m:sSub>
                            <m:r>
                              <a:rPr lang="en-US" sz="1100" b="0" i="1" strike="sngStrike" baseline="0">
                                <a:solidFill>
                                  <a:srgbClr val="FF0000"/>
                                </a:solidFill>
                                <a:effectLst/>
                                <a:latin typeface="Cambria Math" panose="02040503050406030204" pitchFamily="18" charset="0"/>
                                <a:ea typeface="+mn-ea"/>
                                <a:cs typeface="+mn-cs"/>
                              </a:rPr>
                              <m:t>−</m:t>
                            </m:r>
                            <m:sSub>
                              <m:sSubPr>
                                <m:ctrlPr>
                                  <a:rPr lang="en-US" sz="1100" b="0" i="1" strike="sngStrike" baseline="0">
                                    <a:solidFill>
                                      <a:srgbClr val="FF0000"/>
                                    </a:solidFill>
                                    <a:effectLst/>
                                    <a:latin typeface="Cambria Math" panose="02040503050406030204" pitchFamily="18" charset="0"/>
                                    <a:ea typeface="+mn-ea"/>
                                    <a:cs typeface="+mn-cs"/>
                                  </a:rPr>
                                </m:ctrlPr>
                              </m:sSubPr>
                              <m:e>
                                <m:r>
                                  <a:rPr lang="en-US" sz="1100" b="0" i="1" strike="sngStrike" baseline="0">
                                    <a:solidFill>
                                      <a:srgbClr val="FF0000"/>
                                    </a:solidFill>
                                    <a:effectLst/>
                                    <a:latin typeface="Cambria Math" panose="02040503050406030204" pitchFamily="18" charset="0"/>
                                    <a:ea typeface="+mn-ea"/>
                                    <a:cs typeface="+mn-cs"/>
                                  </a:rPr>
                                  <m:t>𝑊𝑎𝑡𝑡𝑠</m:t>
                                </m:r>
                              </m:e>
                              <m:sub>
                                <m:r>
                                  <a:rPr lang="en-US" sz="1100" b="0" i="1" strike="sngStrike" baseline="0">
                                    <a:solidFill>
                                      <a:srgbClr val="FF0000"/>
                                    </a:solidFill>
                                    <a:effectLst/>
                                    <a:latin typeface="Cambria Math" panose="02040503050406030204" pitchFamily="18" charset="0"/>
                                    <a:ea typeface="+mn-ea"/>
                                    <a:cs typeface="+mn-cs"/>
                                  </a:rPr>
                                  <m:t>𝐸𝐸</m:t>
                                </m:r>
                              </m:sub>
                            </m:sSub>
                          </m:e>
                        </m:d>
                      </m:num>
                      <m:den>
                        <m:r>
                          <a:rPr lang="en-US" sz="1400" b="0" i="1" strike="sngStrike" baseline="0">
                            <a:solidFill>
                              <a:srgbClr val="FF0000"/>
                            </a:solidFill>
                            <a:latin typeface="Cambria Math" panose="02040503050406030204" pitchFamily="18" charset="0"/>
                            <a:ea typeface="Cambria Math" panose="02040503050406030204" pitchFamily="18" charset="0"/>
                          </a:rPr>
                          <m:t>1000</m:t>
                        </m:r>
                      </m:den>
                    </m:f>
                    <m:r>
                      <a:rPr lang="en-US" sz="1400" b="0" i="1" strike="sngStrike" baseline="0">
                        <a:solidFill>
                          <a:srgbClr val="FF0000"/>
                        </a:solidFill>
                        <a:latin typeface="Cambria Math" panose="02040503050406030204" pitchFamily="18" charset="0"/>
                        <a:ea typeface="Cambria Math" panose="02040503050406030204" pitchFamily="18" charset="0"/>
                      </a:rPr>
                      <m:t>×</m:t>
                    </m:r>
                    <m:r>
                      <a:rPr lang="en-US" sz="1400" b="0" i="1" strike="sngStrike" baseline="0">
                        <a:solidFill>
                          <a:srgbClr val="FF0000"/>
                        </a:solidFill>
                        <a:latin typeface="Cambria Math" panose="02040503050406030204" pitchFamily="18" charset="0"/>
                        <a:ea typeface="Cambria Math" panose="02040503050406030204" pitchFamily="18" charset="0"/>
                      </a:rPr>
                      <m:t>𝐼𝑆𝑅</m:t>
                    </m:r>
                    <m:r>
                      <a:rPr lang="en-US" sz="1400" b="0" i="1" strike="sngStrike" baseline="0">
                        <a:solidFill>
                          <a:srgbClr val="FF0000"/>
                        </a:solidFill>
                        <a:latin typeface="Cambria Math" panose="02040503050406030204" pitchFamily="18" charset="0"/>
                        <a:ea typeface="Cambria Math" panose="02040503050406030204" pitchFamily="18" charset="0"/>
                      </a:rPr>
                      <m:t>×</m:t>
                    </m:r>
                    <m:r>
                      <a:rPr lang="en-US" sz="1400" b="0" i="1" strike="sngStrike" baseline="0">
                        <a:solidFill>
                          <a:srgbClr val="FF0000"/>
                        </a:solidFill>
                        <a:latin typeface="Cambria Math" panose="02040503050406030204" pitchFamily="18" charset="0"/>
                        <a:ea typeface="Cambria Math" panose="02040503050406030204" pitchFamily="18" charset="0"/>
                      </a:rPr>
                      <m:t>𝐻𝑜𝑢𝑟𝑠</m:t>
                    </m:r>
                    <m:r>
                      <a:rPr lang="en-US" sz="1400" b="0" i="1" strike="sngStrike" baseline="0">
                        <a:solidFill>
                          <a:srgbClr val="FF0000"/>
                        </a:solidFill>
                        <a:latin typeface="Cambria Math" panose="02040503050406030204" pitchFamily="18" charset="0"/>
                        <a:ea typeface="Cambria Math" panose="02040503050406030204" pitchFamily="18" charset="0"/>
                      </a:rPr>
                      <m:t>×</m:t>
                    </m:r>
                    <m:sSub>
                      <m:sSubPr>
                        <m:ctrlPr>
                          <a:rPr lang="en-US" sz="1400" b="0" i="1" strike="sngStrike" baseline="0">
                            <a:solidFill>
                              <a:srgbClr val="FF0000"/>
                            </a:solidFill>
                            <a:latin typeface="Cambria Math" panose="02040503050406030204" pitchFamily="18" charset="0"/>
                            <a:ea typeface="Cambria Math" panose="02040503050406030204" pitchFamily="18" charset="0"/>
                          </a:rPr>
                        </m:ctrlPr>
                      </m:sSubPr>
                      <m:e>
                        <m:r>
                          <a:rPr lang="en-US" sz="1400" b="0" i="1" strike="sngStrike" baseline="0">
                            <a:solidFill>
                              <a:srgbClr val="FF0000"/>
                            </a:solidFill>
                            <a:latin typeface="Cambria Math" panose="02040503050406030204" pitchFamily="18" charset="0"/>
                            <a:ea typeface="Cambria Math" panose="02040503050406030204" pitchFamily="18" charset="0"/>
                          </a:rPr>
                          <m:t>−</m:t>
                        </m:r>
                        <m:r>
                          <a:rPr lang="en-US" sz="1400" b="0" i="1" strike="sngStrike" baseline="0">
                            <a:solidFill>
                              <a:srgbClr val="FF0000"/>
                            </a:solidFill>
                            <a:latin typeface="Cambria Math" panose="02040503050406030204" pitchFamily="18" charset="0"/>
                            <a:ea typeface="Cambria Math" panose="02040503050406030204" pitchFamily="18" charset="0"/>
                          </a:rPr>
                          <m:t>𝐼𝐹</m:t>
                        </m:r>
                      </m:e>
                      <m:sub>
                        <m:r>
                          <a:rPr lang="en-US" sz="1400" b="0" i="1" strike="sngStrike" baseline="0">
                            <a:solidFill>
                              <a:srgbClr val="FF0000"/>
                            </a:solidFill>
                            <a:latin typeface="Cambria Math" panose="02040503050406030204" pitchFamily="18" charset="0"/>
                            <a:ea typeface="Cambria Math" panose="02040503050406030204" pitchFamily="18" charset="0"/>
                          </a:rPr>
                          <m:t>𝑘𝑊h</m:t>
                        </m:r>
                      </m:sub>
                    </m:sSub>
                  </m:oMath>
                </m:oMathPara>
              </a14:m>
              <a:endParaRPr lang="en-US" sz="1100" strike="sngStrike" baseline="0">
                <a:solidFill>
                  <a:srgbClr val="FF0000"/>
                </a:solidFill>
              </a:endParaRPr>
            </a:p>
          </xdr:txBody>
        </xdr:sp>
      </mc:Choice>
      <mc:Fallback xmlns="">
        <xdr:sp macro="" textlink="">
          <xdr:nvSpPr>
            <xdr:cNvPr id="151" name="TextBox 150">
              <a:extLst>
                <a:ext uri="{FF2B5EF4-FFF2-40B4-BE49-F238E27FC236}">
                  <a16:creationId xmlns:a16="http://schemas.microsoft.com/office/drawing/2014/main" id="{9D410C47-D6DE-4AC1-9CD0-FDA7BCCAEC60}"/>
                </a:ext>
              </a:extLst>
            </xdr:cNvPr>
            <xdr:cNvSpPr txBox="1"/>
          </xdr:nvSpPr>
          <xdr:spPr>
            <a:xfrm>
              <a:off x="4190644" y="7866625"/>
              <a:ext cx="5928268"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sngStrike" baseline="0">
                  <a:solidFill>
                    <a:srgbClr val="FF0000"/>
                  </a:solidFill>
                  <a:latin typeface="Cambria Math" panose="02040503050406030204" pitchFamily="18" charset="0"/>
                  <a:ea typeface="Cambria Math" panose="02040503050406030204" pitchFamily="18" charset="0"/>
                </a:rPr>
                <a:t>〖∆</a:t>
              </a:r>
              <a:r>
                <a:rPr lang="en-US" sz="1400" b="0" i="0" strike="sngStrike" baseline="0">
                  <a:solidFill>
                    <a:srgbClr val="FF0000"/>
                  </a:solidFill>
                  <a:latin typeface="Cambria Math" panose="02040503050406030204" pitchFamily="18" charset="0"/>
                  <a:ea typeface="Cambria Math" panose="02040503050406030204" pitchFamily="18" charset="0"/>
                </a:rPr>
                <a:t>𝑘𝑊ℎ〗_ℎ𝑒𝑎𝑡𝑝𝑒𝑛𝑎𝑙𝑡𝑦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100" b="0" i="0" strike="sngStrike" baseline="0">
                  <a:solidFill>
                    <a:srgbClr val="FF0000"/>
                  </a:solidFill>
                  <a:effectLst/>
                  <a:latin typeface="Cambria Math" panose="02040503050406030204" pitchFamily="18" charset="0"/>
                  <a:ea typeface="+mn-ea"/>
                  <a:cs typeface="+mn-cs"/>
                </a:rPr>
                <a:t>〖𝑊𝑎𝑡𝑡𝑠〗_𝐵𝑎𝑠𝑒−〖𝑊𝑎𝑡𝑡𝑠〗_𝐸𝐸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baseline="0">
                  <a:solidFill>
                    <a:srgbClr val="FF0000"/>
                  </a:solidFill>
                  <a:latin typeface="Cambria Math" panose="02040503050406030204" pitchFamily="18" charset="0"/>
                  <a:ea typeface="Cambria Math" panose="02040503050406030204" pitchFamily="18" charset="0"/>
                </a:rPr>
                <a:t>1000×𝐼𝑆𝑅×𝐻𝑜𝑢𝑟𝑠×〖−𝐼𝐹〗_𝑘𝑊ℎ</a:t>
              </a:r>
              <a:endParaRPr lang="en-US" sz="1100" strike="sngStrike" baseline="0">
                <a:solidFill>
                  <a:srgbClr val="FF0000"/>
                </a:solidFill>
              </a:endParaRPr>
            </a:p>
          </xdr:txBody>
        </xdr:sp>
      </mc:Fallback>
    </mc:AlternateContent>
    <xdr:clientData/>
  </xdr:twoCellAnchor>
  <xdr:twoCellAnchor>
    <xdr:from>
      <xdr:col>3</xdr:col>
      <xdr:colOff>123264</xdr:colOff>
      <xdr:row>103</xdr:row>
      <xdr:rowOff>134470</xdr:rowOff>
    </xdr:from>
    <xdr:to>
      <xdr:col>4</xdr:col>
      <xdr:colOff>4258277</xdr:colOff>
      <xdr:row>104</xdr:row>
      <xdr:rowOff>163133</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2095499" y="15150352"/>
              <a:ext cx="577107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2095499" y="15150352"/>
              <a:ext cx="577107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3</xdr:col>
      <xdr:colOff>0</xdr:colOff>
      <xdr:row>128</xdr:row>
      <xdr:rowOff>1</xdr:rowOff>
    </xdr:from>
    <xdr:to>
      <xdr:col>4</xdr:col>
      <xdr:colOff>3224893</xdr:colOff>
      <xdr:row>130</xdr:row>
      <xdr:rowOff>122465</xdr:rowOff>
    </xdr:to>
    <mc:AlternateContent xmlns:mc="http://schemas.openxmlformats.org/markup-compatibility/2006" xmlns:a14="http://schemas.microsoft.com/office/drawing/2010/main">
      <mc:Choice Requires="a14">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2171700" y="22498051"/>
              <a:ext cx="4701268" cy="503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fPr>
                      <m:num>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𝑏𝑎𝑠𝑒</m:t>
                            </m:r>
                          </m:sub>
                        </m:sSub>
                        <m:r>
                          <a:rPr lang="en-US" sz="1100" b="0" i="1">
                            <a:solidFill>
                              <a:sysClr val="windowText" lastClr="000000"/>
                            </a:solidFill>
                            <a:effectLst/>
                            <a:latin typeface="Cambria Math" panose="02040503050406030204" pitchFamily="18" charset="0"/>
                            <a:ea typeface="+mn-ea"/>
                            <a:cs typeface="+mn-cs"/>
                          </a:rPr>
                          <m:t>−</m:t>
                        </m:r>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𝐸𝐸</m:t>
                            </m:r>
                          </m:sub>
                        </m:sSub>
                        <m:r>
                          <a:rPr lang="en-US" sz="1100" b="0" i="1">
                            <a:solidFill>
                              <a:sysClr val="windowText" lastClr="000000"/>
                            </a:solidFill>
                            <a:effectLst/>
                            <a:latin typeface="Cambria Math" panose="02040503050406030204" pitchFamily="18" charset="0"/>
                            <a:ea typeface="+mn-ea"/>
                            <a:cs typeface="+mn-cs"/>
                          </a:rPr>
                          <m:t>(1−</m:t>
                        </m:r>
                        <m:r>
                          <a:rPr lang="en-US" sz="1100" b="0" i="1">
                            <a:solidFill>
                              <a:sysClr val="windowText" lastClr="000000"/>
                            </a:solidFill>
                            <a:effectLst/>
                            <a:latin typeface="Cambria Math" panose="02040503050406030204" pitchFamily="18" charset="0"/>
                            <a:ea typeface="+mn-ea"/>
                            <a:cs typeface="+mn-cs"/>
                          </a:rPr>
                          <m:t>𝐸𝑆𝐹</m:t>
                        </m:r>
                        <m:r>
                          <a:rPr lang="en-US" sz="11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h𝑜𝑢𝑟𝑠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𝑊𝐻𝐹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100">
                <a:solidFill>
                  <a:sysClr val="windowText" lastClr="000000"/>
                </a:solidFill>
              </a:endParaRPr>
            </a:p>
          </xdr:txBody>
        </xdr:sp>
      </mc:Choice>
      <mc:Fallback xmlns="">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2171700" y="22498051"/>
              <a:ext cx="4701268" cy="503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100" b="0" i="0">
                  <a:solidFill>
                    <a:sysClr val="windowText" lastClr="000000"/>
                  </a:solidFill>
                  <a:effectLst/>
                  <a:latin typeface="Cambria Math" panose="02040503050406030204" pitchFamily="18" charset="0"/>
                  <a:ea typeface="+mn-ea"/>
                  <a:cs typeface="+mn-cs"/>
                </a:rPr>
                <a:t>𝑊_𝑏𝑎𝑠𝑒−𝑊_𝐸𝐸 (1−𝐸𝑆𝐹)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1000×ℎ𝑜𝑢𝑟𝑠×〖𝑊𝐻𝐹〗_𝑒×𝐼𝑆𝑅</a:t>
              </a:r>
              <a:endParaRPr lang="en-US" sz="1100">
                <a:solidFill>
                  <a:sysClr val="windowText" lastClr="000000"/>
                </a:solidFill>
              </a:endParaRPr>
            </a:p>
          </xdr:txBody>
        </xdr:sp>
      </mc:Fallback>
    </mc:AlternateContent>
    <xdr:clientData/>
  </xdr:twoCellAnchor>
  <xdr:twoCellAnchor>
    <xdr:from>
      <xdr:col>2</xdr:col>
      <xdr:colOff>1129393</xdr:colOff>
      <xdr:row>131</xdr:row>
      <xdr:rowOff>163286</xdr:rowOff>
    </xdr:from>
    <xdr:to>
      <xdr:col>4</xdr:col>
      <xdr:colOff>179273</xdr:colOff>
      <xdr:row>133</xdr:row>
      <xdr:rowOff>36286</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2158093" y="23232836"/>
              <a:ext cx="16692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2158093" y="23232836"/>
              <a:ext cx="16692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oneCellAnchor>
    <xdr:from>
      <xdr:col>26</xdr:col>
      <xdr:colOff>2269331</xdr:colOff>
      <xdr:row>115</xdr:row>
      <xdr:rowOff>0</xdr:rowOff>
    </xdr:from>
    <xdr:ext cx="65" cy="172227"/>
    <xdr:sp macro="" textlink="">
      <xdr:nvSpPr>
        <xdr:cNvPr id="161" name="TextBox 160">
          <a:extLst>
            <a:ext uri="{FF2B5EF4-FFF2-40B4-BE49-F238E27FC236}">
              <a16:creationId xmlns:a16="http://schemas.microsoft.com/office/drawing/2014/main" id="{99D4812C-9F18-4A36-AABD-833550DCF70B}"/>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115</xdr:row>
      <xdr:rowOff>0</xdr:rowOff>
    </xdr:from>
    <xdr:ext cx="65" cy="172227"/>
    <xdr:sp macro="" textlink="">
      <xdr:nvSpPr>
        <xdr:cNvPr id="162" name="TextBox 161">
          <a:extLst>
            <a:ext uri="{FF2B5EF4-FFF2-40B4-BE49-F238E27FC236}">
              <a16:creationId xmlns:a16="http://schemas.microsoft.com/office/drawing/2014/main" id="{464F2C4B-C458-4DC0-842A-831B8C36B40D}"/>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3" name="TextBox 162">
          <a:extLst>
            <a:ext uri="{FF2B5EF4-FFF2-40B4-BE49-F238E27FC236}">
              <a16:creationId xmlns:a16="http://schemas.microsoft.com/office/drawing/2014/main" id="{6D28D815-8FC1-4D15-82E4-7EA90256CED7}"/>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4" name="TextBox 163">
          <a:extLst>
            <a:ext uri="{FF2B5EF4-FFF2-40B4-BE49-F238E27FC236}">
              <a16:creationId xmlns:a16="http://schemas.microsoft.com/office/drawing/2014/main" id="{88C2AFFD-7C5A-43C6-8050-DA037FB890F8}"/>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5" name="TextBox 164">
          <a:extLst>
            <a:ext uri="{FF2B5EF4-FFF2-40B4-BE49-F238E27FC236}">
              <a16:creationId xmlns:a16="http://schemas.microsoft.com/office/drawing/2014/main" id="{10212C47-836B-4DAA-B780-4E0222BE3A2C}"/>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6" name="TextBox 165">
          <a:extLst>
            <a:ext uri="{FF2B5EF4-FFF2-40B4-BE49-F238E27FC236}">
              <a16:creationId xmlns:a16="http://schemas.microsoft.com/office/drawing/2014/main" id="{C65F0557-1F28-479D-98B6-0E45D75AE495}"/>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1064077</xdr:colOff>
      <xdr:row>36</xdr:row>
      <xdr:rowOff>122463</xdr:rowOff>
    </xdr:from>
    <xdr:to>
      <xdr:col>10</xdr:col>
      <xdr:colOff>107620</xdr:colOff>
      <xdr:row>38</xdr:row>
      <xdr:rowOff>151832</xdr:rowOff>
    </xdr:to>
    <mc:AlternateContent xmlns:mc="http://schemas.openxmlformats.org/markup-compatibility/2006" xmlns:a14="http://schemas.microsoft.com/office/drawing/2010/main">
      <mc:Choice Requires="a14">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9418863" y="8082642"/>
              <a:ext cx="5970816"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f>
                      <m:fPr>
                        <m:ctrlPr>
                          <a:rPr lang="en-US" sz="1400" b="0" i="1">
                            <a:solidFill>
                              <a:srgbClr val="FF0000"/>
                            </a:solidFill>
                            <a:latin typeface="Cambria Math" panose="02040503050406030204" pitchFamily="18" charset="0"/>
                            <a:ea typeface="Cambria Math" panose="02040503050406030204" pitchFamily="18" charset="0"/>
                          </a:rPr>
                        </m:ctrlPr>
                      </m:fPr>
                      <m:num>
                        <m:r>
                          <a:rPr lang="en-US" sz="1400" b="0" i="1">
                            <a:solidFill>
                              <a:srgbClr val="FF0000"/>
                            </a:solidFill>
                            <a:effectLst/>
                            <a:latin typeface="Cambria Math" panose="02040503050406030204" pitchFamily="18" charset="0"/>
                            <a:ea typeface="+mn-ea"/>
                            <a:cs typeface="+mn-cs"/>
                          </a:rPr>
                          <m:t>(</m:t>
                        </m:r>
                        <m:sSub>
                          <m:sSubPr>
                            <m:ctrlPr>
                              <a:rPr lang="en-US" sz="1400" b="0" i="1">
                                <a:solidFill>
                                  <a:srgbClr val="FF0000"/>
                                </a:solidFill>
                                <a:effectLst/>
                                <a:latin typeface="Cambria Math" panose="02040503050406030204" pitchFamily="18" charset="0"/>
                                <a:ea typeface="+mn-ea"/>
                                <a:cs typeface="+mn-cs"/>
                              </a:rPr>
                            </m:ctrlPr>
                          </m:sSubPr>
                          <m:e>
                            <m:r>
                              <a:rPr lang="en-US" sz="1400" b="0" i="1">
                                <a:solidFill>
                                  <a:srgbClr val="FF0000"/>
                                </a:solidFill>
                                <a:effectLst/>
                                <a:latin typeface="Cambria Math" panose="02040503050406030204" pitchFamily="18" charset="0"/>
                                <a:ea typeface="+mn-ea"/>
                                <a:cs typeface="+mn-cs"/>
                              </a:rPr>
                              <m:t>𝑊𝑎𝑡𝑡𝑠</m:t>
                            </m:r>
                          </m:e>
                          <m:sub>
                            <m:r>
                              <a:rPr lang="en-US" sz="1400" b="0" i="1">
                                <a:solidFill>
                                  <a:srgbClr val="FF0000"/>
                                </a:solidFill>
                                <a:effectLst/>
                                <a:latin typeface="Cambria Math" panose="02040503050406030204" pitchFamily="18" charset="0"/>
                                <a:ea typeface="+mn-ea"/>
                                <a:cs typeface="+mn-cs"/>
                              </a:rPr>
                              <m:t>𝐵𝑎𝑠𝑒</m:t>
                            </m:r>
                          </m:sub>
                        </m:sSub>
                        <m:r>
                          <a:rPr lang="en-US" sz="1400" b="0" i="1">
                            <a:solidFill>
                              <a:srgbClr val="FF0000"/>
                            </a:solidFill>
                            <a:effectLst/>
                            <a:latin typeface="Cambria Math" panose="02040503050406030204" pitchFamily="18" charset="0"/>
                            <a:ea typeface="+mn-ea"/>
                            <a:cs typeface="+mn-cs"/>
                          </a:rPr>
                          <m:t>−</m:t>
                        </m:r>
                        <m:sSub>
                          <m:sSubPr>
                            <m:ctrlPr>
                              <a:rPr lang="en-US" sz="1400" b="0" i="1">
                                <a:solidFill>
                                  <a:srgbClr val="FF0000"/>
                                </a:solidFill>
                                <a:effectLst/>
                                <a:latin typeface="Cambria Math" panose="02040503050406030204" pitchFamily="18" charset="0"/>
                                <a:ea typeface="+mn-ea"/>
                                <a:cs typeface="+mn-cs"/>
                              </a:rPr>
                            </m:ctrlPr>
                          </m:sSubPr>
                          <m:e>
                            <m:r>
                              <a:rPr lang="en-US" sz="1400" b="0" i="1">
                                <a:solidFill>
                                  <a:srgbClr val="FF0000"/>
                                </a:solidFill>
                                <a:effectLst/>
                                <a:latin typeface="Cambria Math" panose="02040503050406030204" pitchFamily="18" charset="0"/>
                                <a:ea typeface="+mn-ea"/>
                                <a:cs typeface="+mn-cs"/>
                              </a:rPr>
                              <m:t>𝑊𝑎𝑡𝑡𝑠</m:t>
                            </m:r>
                          </m:e>
                          <m:sub>
                            <m:r>
                              <a:rPr lang="en-US" sz="1400" b="0" i="1">
                                <a:solidFill>
                                  <a:srgbClr val="FF0000"/>
                                </a:solidFill>
                                <a:effectLst/>
                                <a:latin typeface="Cambria Math" panose="02040503050406030204" pitchFamily="18" charset="0"/>
                                <a:ea typeface="+mn-ea"/>
                                <a:cs typeface="+mn-cs"/>
                              </a:rPr>
                              <m:t>𝐸𝐸</m:t>
                            </m:r>
                          </m:sub>
                        </m:sSub>
                        <m:r>
                          <a:rPr lang="en-US" sz="1400" b="0" i="1">
                            <a:solidFill>
                              <a:srgbClr val="FF0000"/>
                            </a:solidFill>
                            <a:effectLst/>
                            <a:latin typeface="Cambria Math" panose="02040503050406030204" pitchFamily="18" charset="0"/>
                            <a:ea typeface="+mn-ea"/>
                            <a:cs typeface="+mn-cs"/>
                          </a:rPr>
                          <m:t>)</m:t>
                        </m:r>
                      </m:num>
                      <m:den>
                        <m:r>
                          <a:rPr lang="en-US" sz="1400" b="0" i="1">
                            <a:solidFill>
                              <a:srgbClr val="FF0000"/>
                            </a:solidFill>
                            <a:latin typeface="Cambria Math" panose="02040503050406030204" pitchFamily="18" charset="0"/>
                            <a:ea typeface="Cambria Math" panose="02040503050406030204" pitchFamily="18" charset="0"/>
                          </a:rPr>
                          <m:t>1000</m:t>
                        </m:r>
                      </m:den>
                    </m:f>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𝐼𝑆𝑅</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𝐻𝑜𝑢𝑟𝑠</m:t>
                    </m:r>
                    <m:r>
                      <a:rPr lang="en-US" sz="1400" b="0" i="1">
                        <a:solidFill>
                          <a:srgbClr val="FF0000"/>
                        </a:solidFill>
                        <a:effectLst/>
                        <a:latin typeface="Cambria Math" panose="02040503050406030204" pitchFamily="18" charset="0"/>
                        <a:ea typeface="Cambria Math" panose="02040503050406030204" pitchFamily="18" charset="0"/>
                        <a:cs typeface="+mn-cs"/>
                      </a:rPr>
                      <m:t>×</m:t>
                    </m:r>
                    <m:sSub>
                      <m:sSubPr>
                        <m:ctrlPr>
                          <a:rPr lang="en-US" sz="1400" b="0" i="1">
                            <a:solidFill>
                              <a:srgbClr val="FF0000"/>
                            </a:solidFill>
                            <a:effectLst/>
                            <a:latin typeface="Cambria Math" panose="02040503050406030204" pitchFamily="18" charset="0"/>
                            <a:ea typeface="Cambria Math" panose="02040503050406030204" pitchFamily="18" charset="0"/>
                            <a:cs typeface="+mn-cs"/>
                          </a:rPr>
                        </m:ctrlPr>
                      </m:sSubPr>
                      <m:e>
                        <m:r>
                          <a:rPr lang="en-US" sz="1400" b="0" i="1">
                            <a:solidFill>
                              <a:srgbClr val="FF0000"/>
                            </a:solidFill>
                            <a:effectLst/>
                            <a:latin typeface="Cambria Math" panose="02040503050406030204" pitchFamily="18" charset="0"/>
                            <a:ea typeface="Cambria Math" panose="02040503050406030204" pitchFamily="18" charset="0"/>
                            <a:cs typeface="+mn-cs"/>
                          </a:rPr>
                          <m:t>𝐴𝐷𝐽</m:t>
                        </m:r>
                      </m:e>
                      <m:sub>
                        <m:r>
                          <a:rPr lang="en-US" sz="1400" b="0" i="1">
                            <a:solidFill>
                              <a:srgbClr val="FF0000"/>
                            </a:solidFill>
                            <a:effectLst/>
                            <a:latin typeface="Cambria Math" panose="02040503050406030204" pitchFamily="18" charset="0"/>
                            <a:ea typeface="Cambria Math" panose="02040503050406030204" pitchFamily="18" charset="0"/>
                            <a:cs typeface="+mn-cs"/>
                          </a:rPr>
                          <m:t>𝐸𝑀𝑉</m:t>
                        </m:r>
                      </m:sub>
                    </m:sSub>
                    <m:r>
                      <a:rPr lang="en-US" sz="1400" b="0" i="1">
                        <a:solidFill>
                          <a:srgbClr val="FF0000"/>
                        </a:solidFill>
                        <a:effectLst/>
                        <a:latin typeface="Cambria Math" panose="02040503050406030204" pitchFamily="18" charset="0"/>
                        <a:ea typeface="+mn-ea"/>
                        <a:cs typeface="+mn-cs"/>
                      </a:rPr>
                      <m:t>×</m:t>
                    </m:r>
                    <m:sSub>
                      <m:sSubPr>
                        <m:ctrlPr>
                          <a:rPr lang="en-US" sz="1400" b="0" i="1">
                            <a:solidFill>
                              <a:srgbClr val="FF0000"/>
                            </a:solidFill>
                            <a:effectLst/>
                            <a:latin typeface="Cambria Math" panose="02040503050406030204" pitchFamily="18" charset="0"/>
                            <a:ea typeface="+mn-ea"/>
                            <a:cs typeface="+mn-cs"/>
                          </a:rPr>
                        </m:ctrlPr>
                      </m:sSubPr>
                      <m:e>
                        <m:r>
                          <a:rPr lang="en-US" sz="1400" b="0" i="1">
                            <a:solidFill>
                              <a:srgbClr val="FF0000"/>
                            </a:solidFill>
                            <a:effectLst/>
                            <a:latin typeface="Cambria Math" panose="02040503050406030204" pitchFamily="18" charset="0"/>
                            <a:ea typeface="+mn-ea"/>
                            <a:cs typeface="+mn-cs"/>
                          </a:rPr>
                          <m:t>𝑊𝐻𝐹</m:t>
                        </m:r>
                      </m:e>
                      <m:sub>
                        <m:r>
                          <a:rPr lang="en-US" sz="1400" b="0" i="1">
                            <a:solidFill>
                              <a:srgbClr val="FF0000"/>
                            </a:solidFill>
                            <a:effectLst/>
                            <a:latin typeface="Cambria Math" panose="02040503050406030204" pitchFamily="18" charset="0"/>
                            <a:ea typeface="+mn-ea"/>
                            <a:cs typeface="+mn-cs"/>
                          </a:rPr>
                          <m:t>𝑒</m:t>
                        </m:r>
                      </m:sub>
                    </m:sSub>
                  </m:oMath>
                </m:oMathPara>
              </a14:m>
              <a:endParaRPr lang="en-US" sz="1400">
                <a:solidFill>
                  <a:srgbClr val="FF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9418863" y="8082642"/>
              <a:ext cx="5970816"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a:t>
              </a:r>
              <a:r>
                <a:rPr lang="en-US" sz="1400" b="0" i="0">
                  <a:solidFill>
                    <a:srgbClr val="FF0000"/>
                  </a:solidFill>
                  <a:effectLst/>
                  <a:latin typeface="Cambria Math" panose="02040503050406030204" pitchFamily="18" charset="0"/>
                  <a:ea typeface="+mn-ea"/>
                  <a:cs typeface="+mn-cs"/>
                </a:rPr>
                <a:t>(〖𝑊𝑎𝑡𝑡𝑠〗_𝐵𝑎𝑠𝑒−〖𝑊𝑎𝑡𝑡𝑠〗_𝐸𝐸)</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latin typeface="Cambria Math" panose="02040503050406030204" pitchFamily="18" charset="0"/>
                  <a:ea typeface="Cambria Math" panose="02040503050406030204" pitchFamily="18" charset="0"/>
                </a:rPr>
                <a:t>1000</a:t>
              </a:r>
              <a:r>
                <a:rPr lang="en-US" sz="1400" b="0" i="0">
                  <a:solidFill>
                    <a:srgbClr val="FF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rgbClr val="FF0000"/>
                  </a:solidFill>
                  <a:effectLst/>
                  <a:latin typeface="Cambria Math" panose="02040503050406030204" pitchFamily="18" charset="0"/>
                  <a:ea typeface="+mn-ea"/>
                  <a:cs typeface="+mn-cs"/>
                </a:rPr>
                <a:t>×〖𝑊𝐻𝐹〗_𝑒</a:t>
              </a:r>
              <a:endParaRPr lang="en-US" sz="1400">
                <a:solidFill>
                  <a:srgbClr val="FF0000"/>
                </a:solidFill>
              </a:endParaRPr>
            </a:p>
          </xdr:txBody>
        </xdr:sp>
      </mc:Fallback>
    </mc:AlternateContent>
    <xdr:clientData/>
  </xdr:twoCellAnchor>
  <xdr:twoCellAnchor>
    <xdr:from>
      <xdr:col>5</xdr:col>
      <xdr:colOff>993321</xdr:colOff>
      <xdr:row>40</xdr:row>
      <xdr:rowOff>52387</xdr:rowOff>
    </xdr:from>
    <xdr:to>
      <xdr:col>10</xdr:col>
      <xdr:colOff>1019298</xdr:colOff>
      <xdr:row>42</xdr:row>
      <xdr:rowOff>81756</xdr:rowOff>
    </xdr:to>
    <mc:AlternateContent xmlns:mc="http://schemas.openxmlformats.org/markup-compatibility/2006" xmlns:a14="http://schemas.microsoft.com/office/drawing/2010/main">
      <mc:Choice Requires="a14">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9348107" y="8774566"/>
              <a:ext cx="6953250"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𝑘𝑊h</m:t>
                        </m:r>
                      </m:e>
                      <m:sub>
                        <m:r>
                          <a:rPr lang="en-US" sz="1400" b="0" i="1">
                            <a:solidFill>
                              <a:srgbClr val="FF0000"/>
                            </a:solidFill>
                            <a:latin typeface="Cambria Math" panose="02040503050406030204" pitchFamily="18" charset="0"/>
                            <a:ea typeface="Cambria Math" panose="02040503050406030204" pitchFamily="18" charset="0"/>
                          </a:rPr>
                          <m:t>h𝑒𝑎𝑡𝑝𝑒𝑛𝑎𝑙𝑡𝑦</m:t>
                        </m:r>
                      </m:sub>
                    </m:sSub>
                    <m:r>
                      <a:rPr lang="en-US" sz="1400" b="0" i="1">
                        <a:solidFill>
                          <a:srgbClr val="FF0000"/>
                        </a:solidFill>
                        <a:latin typeface="Cambria Math" panose="02040503050406030204" pitchFamily="18" charset="0"/>
                        <a:ea typeface="Cambria Math" panose="02040503050406030204" pitchFamily="18" charset="0"/>
                      </a:rPr>
                      <m:t>=</m:t>
                    </m:r>
                    <m:f>
                      <m:fPr>
                        <m:ctrlPr>
                          <a:rPr lang="en-US" sz="1400" b="0" i="1">
                            <a:solidFill>
                              <a:srgbClr val="FF0000"/>
                            </a:solidFill>
                            <a:latin typeface="Cambria Math" panose="02040503050406030204" pitchFamily="18" charset="0"/>
                            <a:ea typeface="Cambria Math" panose="02040503050406030204" pitchFamily="18" charset="0"/>
                          </a:rPr>
                        </m:ctrlPr>
                      </m:fPr>
                      <m:num>
                        <m:r>
                          <a:rPr lang="en-US" sz="1400" b="0" i="1">
                            <a:solidFill>
                              <a:srgbClr val="FF0000"/>
                            </a:solidFill>
                            <a:effectLst/>
                            <a:latin typeface="Cambria Math" panose="02040503050406030204" pitchFamily="18" charset="0"/>
                            <a:ea typeface="+mn-ea"/>
                            <a:cs typeface="+mn-cs"/>
                          </a:rPr>
                          <m:t>(</m:t>
                        </m:r>
                        <m:sSub>
                          <m:sSubPr>
                            <m:ctrlPr>
                              <a:rPr lang="en-US" sz="1400" b="0" i="1">
                                <a:solidFill>
                                  <a:srgbClr val="FF0000"/>
                                </a:solidFill>
                                <a:effectLst/>
                                <a:latin typeface="Cambria Math" panose="02040503050406030204" pitchFamily="18" charset="0"/>
                                <a:ea typeface="+mn-ea"/>
                                <a:cs typeface="+mn-cs"/>
                              </a:rPr>
                            </m:ctrlPr>
                          </m:sSubPr>
                          <m:e>
                            <m:r>
                              <a:rPr lang="en-US" sz="1400" b="0" i="1">
                                <a:solidFill>
                                  <a:srgbClr val="FF0000"/>
                                </a:solidFill>
                                <a:effectLst/>
                                <a:latin typeface="Cambria Math" panose="02040503050406030204" pitchFamily="18" charset="0"/>
                                <a:ea typeface="+mn-ea"/>
                                <a:cs typeface="+mn-cs"/>
                              </a:rPr>
                              <m:t>𝑊𝑎𝑡𝑡𝑠</m:t>
                            </m:r>
                          </m:e>
                          <m:sub>
                            <m:r>
                              <a:rPr lang="en-US" sz="1400" b="0" i="1">
                                <a:solidFill>
                                  <a:srgbClr val="FF0000"/>
                                </a:solidFill>
                                <a:effectLst/>
                                <a:latin typeface="Cambria Math" panose="02040503050406030204" pitchFamily="18" charset="0"/>
                                <a:ea typeface="+mn-ea"/>
                                <a:cs typeface="+mn-cs"/>
                              </a:rPr>
                              <m:t>𝐵𝑎𝑠𝑒</m:t>
                            </m:r>
                          </m:sub>
                        </m:sSub>
                        <m:r>
                          <a:rPr lang="en-US" sz="1400" b="0" i="1">
                            <a:solidFill>
                              <a:srgbClr val="FF0000"/>
                            </a:solidFill>
                            <a:effectLst/>
                            <a:latin typeface="Cambria Math" panose="02040503050406030204" pitchFamily="18" charset="0"/>
                            <a:ea typeface="+mn-ea"/>
                            <a:cs typeface="+mn-cs"/>
                          </a:rPr>
                          <m:t>−</m:t>
                        </m:r>
                        <m:sSub>
                          <m:sSubPr>
                            <m:ctrlPr>
                              <a:rPr lang="en-US" sz="1400" b="0" i="1">
                                <a:solidFill>
                                  <a:srgbClr val="FF0000"/>
                                </a:solidFill>
                                <a:effectLst/>
                                <a:latin typeface="Cambria Math" panose="02040503050406030204" pitchFamily="18" charset="0"/>
                                <a:ea typeface="+mn-ea"/>
                                <a:cs typeface="+mn-cs"/>
                              </a:rPr>
                            </m:ctrlPr>
                          </m:sSubPr>
                          <m:e>
                            <m:r>
                              <a:rPr lang="en-US" sz="1400" b="0" i="1">
                                <a:solidFill>
                                  <a:srgbClr val="FF0000"/>
                                </a:solidFill>
                                <a:effectLst/>
                                <a:latin typeface="Cambria Math" panose="02040503050406030204" pitchFamily="18" charset="0"/>
                                <a:ea typeface="+mn-ea"/>
                                <a:cs typeface="+mn-cs"/>
                              </a:rPr>
                              <m:t>𝑊𝑎𝑡𝑡𝑠</m:t>
                            </m:r>
                          </m:e>
                          <m:sub>
                            <m:r>
                              <a:rPr lang="en-US" sz="1400" b="0" i="1">
                                <a:solidFill>
                                  <a:srgbClr val="FF0000"/>
                                </a:solidFill>
                                <a:effectLst/>
                                <a:latin typeface="Cambria Math" panose="02040503050406030204" pitchFamily="18" charset="0"/>
                                <a:ea typeface="+mn-ea"/>
                                <a:cs typeface="+mn-cs"/>
                              </a:rPr>
                              <m:t>𝐸𝐸</m:t>
                            </m:r>
                          </m:sub>
                        </m:sSub>
                        <m:r>
                          <a:rPr lang="en-US" sz="1400" b="0" i="1">
                            <a:solidFill>
                              <a:srgbClr val="FF0000"/>
                            </a:solidFill>
                            <a:effectLst/>
                            <a:latin typeface="Cambria Math" panose="02040503050406030204" pitchFamily="18" charset="0"/>
                            <a:ea typeface="+mn-ea"/>
                            <a:cs typeface="+mn-cs"/>
                          </a:rPr>
                          <m:t>)</m:t>
                        </m:r>
                      </m:num>
                      <m:den>
                        <m:r>
                          <a:rPr lang="en-US" sz="1400" b="0" i="1">
                            <a:solidFill>
                              <a:srgbClr val="FF0000"/>
                            </a:solidFill>
                            <a:latin typeface="Cambria Math" panose="02040503050406030204" pitchFamily="18" charset="0"/>
                            <a:ea typeface="Cambria Math" panose="02040503050406030204" pitchFamily="18" charset="0"/>
                          </a:rPr>
                          <m:t>1000</m:t>
                        </m:r>
                      </m:den>
                    </m:f>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𝐼𝑆𝑅</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𝐻𝑜𝑢𝑟𝑠</m:t>
                    </m:r>
                    <m:r>
                      <a:rPr lang="en-US" sz="1400" b="0" i="1">
                        <a:solidFill>
                          <a:srgbClr val="FF0000"/>
                        </a:solidFill>
                        <a:effectLst/>
                        <a:latin typeface="Cambria Math" panose="02040503050406030204" pitchFamily="18" charset="0"/>
                        <a:ea typeface="Cambria Math" panose="02040503050406030204" pitchFamily="18" charset="0"/>
                        <a:cs typeface="+mn-cs"/>
                      </a:rPr>
                      <m:t>×</m:t>
                    </m:r>
                    <m:sSub>
                      <m:sSubPr>
                        <m:ctrlPr>
                          <a:rPr lang="en-US" sz="1400" b="0" i="1">
                            <a:solidFill>
                              <a:srgbClr val="FF0000"/>
                            </a:solidFill>
                            <a:effectLst/>
                            <a:latin typeface="Cambria Math" panose="02040503050406030204" pitchFamily="18" charset="0"/>
                            <a:ea typeface="Cambria Math" panose="02040503050406030204" pitchFamily="18" charset="0"/>
                            <a:cs typeface="+mn-cs"/>
                          </a:rPr>
                        </m:ctrlPr>
                      </m:sSubPr>
                      <m:e>
                        <m:r>
                          <a:rPr lang="en-US" sz="1400" b="0" i="1">
                            <a:solidFill>
                              <a:srgbClr val="FF0000"/>
                            </a:solidFill>
                            <a:effectLst/>
                            <a:latin typeface="Cambria Math" panose="02040503050406030204" pitchFamily="18" charset="0"/>
                            <a:ea typeface="Cambria Math" panose="02040503050406030204" pitchFamily="18" charset="0"/>
                            <a:cs typeface="+mn-cs"/>
                          </a:rPr>
                          <m:t>𝐴𝐷𝐽</m:t>
                        </m:r>
                      </m:e>
                      <m:sub>
                        <m:r>
                          <a:rPr lang="en-US" sz="1400" b="0" i="1">
                            <a:solidFill>
                              <a:srgbClr val="FF0000"/>
                            </a:solidFill>
                            <a:effectLst/>
                            <a:latin typeface="Cambria Math" panose="02040503050406030204" pitchFamily="18" charset="0"/>
                            <a:ea typeface="Cambria Math" panose="02040503050406030204" pitchFamily="18" charset="0"/>
                            <a:cs typeface="+mn-cs"/>
                          </a:rPr>
                          <m:t>𝐸𝑀𝑉</m:t>
                        </m:r>
                      </m:sub>
                    </m:sSub>
                    <m:r>
                      <a:rPr lang="en-US" sz="1400" b="0" i="1">
                        <a:solidFill>
                          <a:srgbClr val="FF0000"/>
                        </a:solidFill>
                        <a:effectLst/>
                        <a:latin typeface="Cambria Math" panose="02040503050406030204" pitchFamily="18" charset="0"/>
                        <a:ea typeface="+mn-ea"/>
                        <a:cs typeface="+mn-cs"/>
                      </a:rPr>
                      <m:t>×</m:t>
                    </m:r>
                    <m:sSub>
                      <m:sSubPr>
                        <m:ctrlPr>
                          <a:rPr lang="en-US" sz="1400" b="0" i="1">
                            <a:solidFill>
                              <a:srgbClr val="FF0000"/>
                            </a:solidFill>
                            <a:effectLst/>
                            <a:latin typeface="Cambria Math" panose="02040503050406030204" pitchFamily="18" charset="0"/>
                            <a:ea typeface="+mn-ea"/>
                            <a:cs typeface="+mn-cs"/>
                          </a:rPr>
                        </m:ctrlPr>
                      </m:sSubPr>
                      <m:e>
                        <m:r>
                          <a:rPr lang="en-US" sz="1400" b="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𝐼𝐹</m:t>
                        </m:r>
                      </m:e>
                      <m:sub>
                        <m:r>
                          <a:rPr lang="en-US" sz="1400" b="0" i="1">
                            <a:solidFill>
                              <a:srgbClr val="FF0000"/>
                            </a:solidFill>
                            <a:effectLst/>
                            <a:latin typeface="Cambria Math" panose="02040503050406030204" pitchFamily="18" charset="0"/>
                            <a:ea typeface="+mn-ea"/>
                            <a:cs typeface="+mn-cs"/>
                          </a:rPr>
                          <m:t>𝑘𝑊h</m:t>
                        </m:r>
                      </m:sub>
                    </m:sSub>
                  </m:oMath>
                </m:oMathPara>
              </a14:m>
              <a:endParaRPr lang="en-US" sz="1400">
                <a:solidFill>
                  <a:srgbClr val="FF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9348107" y="8774566"/>
              <a:ext cx="6953250"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rgbClr val="FF0000"/>
                  </a:solidFill>
                  <a:latin typeface="Cambria Math" panose="02040503050406030204" pitchFamily="18" charset="0"/>
                  <a:ea typeface="Cambria Math" panose="02040503050406030204" pitchFamily="18" charset="0"/>
                </a:rPr>
                <a:t>〖</a:t>
              </a:r>
              <a:r>
                <a:rPr lang="en-US" sz="1400" i="0">
                  <a:solidFill>
                    <a:srgbClr val="FF0000"/>
                  </a:solidFill>
                  <a:effectLst/>
                  <a:latin typeface="Cambria Math" panose="02040503050406030204" pitchFamily="18" charset="0"/>
                  <a:ea typeface="+mn-ea"/>
                  <a:cs typeface="+mn-cs"/>
                </a:rPr>
                <a:t>∆</a:t>
              </a:r>
              <a:r>
                <a:rPr lang="en-US" sz="1400" b="0" i="0">
                  <a:solidFill>
                    <a:srgbClr val="FF0000"/>
                  </a:solidFill>
                  <a:effectLst/>
                  <a:latin typeface="Cambria Math" panose="02040503050406030204" pitchFamily="18" charset="0"/>
                  <a:ea typeface="+mn-ea"/>
                  <a:cs typeface="+mn-cs"/>
                </a:rPr>
                <a:t>𝑘𝑊ℎ</a:t>
              </a:r>
              <a:r>
                <a:rPr lang="en-US" sz="1400" b="0" i="0">
                  <a:solidFill>
                    <a:srgbClr val="FF0000"/>
                  </a:solidFill>
                  <a:effectLst/>
                  <a:latin typeface="Cambria Math" panose="02040503050406030204" pitchFamily="18" charset="0"/>
                  <a:ea typeface="Cambria Math" panose="02040503050406030204" pitchFamily="18" charset="0"/>
                  <a:cs typeface="+mn-cs"/>
                </a:rPr>
                <a:t>〗_</a:t>
              </a:r>
              <a:r>
                <a:rPr lang="en-US" sz="1400" b="0" i="0">
                  <a:solidFill>
                    <a:srgbClr val="FF0000"/>
                  </a:solidFill>
                  <a:latin typeface="Cambria Math" panose="02040503050406030204" pitchFamily="18" charset="0"/>
                  <a:ea typeface="Cambria Math" panose="02040503050406030204" pitchFamily="18" charset="0"/>
                </a:rPr>
                <a:t>ℎ𝑒𝑎𝑡𝑝𝑒𝑛𝑎𝑙𝑡𝑦=(</a:t>
              </a:r>
              <a:r>
                <a:rPr lang="en-US" sz="1400" b="0" i="0">
                  <a:solidFill>
                    <a:srgbClr val="FF0000"/>
                  </a:solidFill>
                  <a:effectLst/>
                  <a:latin typeface="Cambria Math" panose="02040503050406030204" pitchFamily="18" charset="0"/>
                  <a:ea typeface="+mn-ea"/>
                  <a:cs typeface="+mn-cs"/>
                </a:rPr>
                <a:t>(〖𝑊𝑎𝑡𝑡𝑠〗_𝐵𝑎𝑠𝑒−〖𝑊𝑎𝑡𝑡𝑠〗_𝐸𝐸)</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latin typeface="Cambria Math" panose="02040503050406030204" pitchFamily="18" charset="0"/>
                  <a:ea typeface="Cambria Math" panose="02040503050406030204" pitchFamily="18" charset="0"/>
                </a:rPr>
                <a:t>1000</a:t>
              </a:r>
              <a:r>
                <a:rPr lang="en-US" sz="1400" b="0" i="0">
                  <a:solidFill>
                    <a:srgbClr val="FF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rgbClr val="FF0000"/>
                  </a:solidFill>
                  <a:effectLst/>
                  <a:latin typeface="Cambria Math" panose="02040503050406030204" pitchFamily="18" charset="0"/>
                  <a:ea typeface="+mn-ea"/>
                  <a:cs typeface="+mn-cs"/>
                </a:rPr>
                <a:t>×〖−𝐼𝐹〗_𝑘𝑊ℎ</a:t>
              </a:r>
              <a:endParaRPr lang="en-US" sz="1400">
                <a:solidFill>
                  <a:srgbClr val="FF0000"/>
                </a:solidFill>
              </a:endParaRPr>
            </a:p>
          </xdr:txBody>
        </xdr:sp>
      </mc:Fallback>
    </mc:AlternateContent>
    <xdr:clientData/>
  </xdr:twoCellAnchor>
  <xdr:twoCellAnchor>
    <xdr:from>
      <xdr:col>3</xdr:col>
      <xdr:colOff>1455964</xdr:colOff>
      <xdr:row>81</xdr:row>
      <xdr:rowOff>28016</xdr:rowOff>
    </xdr:from>
    <xdr:to>
      <xdr:col>5</xdr:col>
      <xdr:colOff>907101</xdr:colOff>
      <xdr:row>83</xdr:row>
      <xdr:rowOff>57385</xdr:rowOff>
    </xdr:to>
    <mc:AlternateContent xmlns:mc="http://schemas.openxmlformats.org/markup-compatibility/2006" xmlns:a14="http://schemas.microsoft.com/office/drawing/2010/main">
      <mc:Choice Requires="a14">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29000" y="20343480"/>
              <a:ext cx="5841546"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f>
                      <m:fPr>
                        <m:ctrlPr>
                          <a:rPr lang="en-US" sz="1400" b="0" i="1">
                            <a:solidFill>
                              <a:srgbClr val="FF0000"/>
                            </a:solidFill>
                            <a:latin typeface="Cambria Math" panose="02040503050406030204" pitchFamily="18" charset="0"/>
                            <a:ea typeface="Cambria Math" panose="02040503050406030204" pitchFamily="18" charset="0"/>
                          </a:rPr>
                        </m:ctrlPr>
                      </m:fPr>
                      <m:num>
                        <m:r>
                          <a:rPr lang="en-US" sz="1400" b="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𝑊𝑆𝐹𝑏𝑎𝑠𝑒</m:t>
                        </m:r>
                        <m:r>
                          <a:rPr lang="en-US" sz="1400" b="0" i="1">
                            <a:solidFill>
                              <a:srgbClr val="FF0000"/>
                            </a:solidFill>
                            <a:effectLst/>
                            <a:latin typeface="Cambria Math" panose="02040503050406030204" pitchFamily="18" charset="0"/>
                            <a:ea typeface="+mn-ea"/>
                            <a:cs typeface="+mn-cs"/>
                          </a:rPr>
                          <m:t> −</m:t>
                        </m:r>
                        <m:r>
                          <a:rPr lang="en-US" sz="1400" b="0" i="1">
                            <a:solidFill>
                              <a:srgbClr val="FF0000"/>
                            </a:solidFill>
                            <a:effectLst/>
                            <a:latin typeface="Cambria Math" panose="02040503050406030204" pitchFamily="18" charset="0"/>
                            <a:ea typeface="+mn-ea"/>
                            <a:cs typeface="+mn-cs"/>
                          </a:rPr>
                          <m:t>𝑊𝑆𝐹𝑒𝑒</m:t>
                        </m:r>
                        <m:r>
                          <a:rPr lang="en-US" sz="1400" b="0" i="1">
                            <a:solidFill>
                              <a:srgbClr val="FF0000"/>
                            </a:solidFill>
                            <a:effectLst/>
                            <a:latin typeface="Cambria Math" panose="02040503050406030204" pitchFamily="18" charset="0"/>
                            <a:ea typeface="+mn-ea"/>
                            <a:cs typeface="+mn-cs"/>
                          </a:rPr>
                          <m:t>)</m:t>
                        </m:r>
                      </m:num>
                      <m:den>
                        <m:r>
                          <a:rPr lang="en-US" sz="1400" b="0" i="1">
                            <a:solidFill>
                              <a:srgbClr val="FF0000"/>
                            </a:solidFill>
                            <a:latin typeface="Cambria Math" panose="02040503050406030204" pitchFamily="18" charset="0"/>
                            <a:ea typeface="Cambria Math" panose="02040503050406030204" pitchFamily="18" charset="0"/>
                          </a:rPr>
                          <m:t>1000</m:t>
                        </m:r>
                      </m:den>
                    </m:f>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𝑆𝐹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𝐻𝑜𝑢𝑟𝑠</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𝑊𝐻𝐹𝑒</m:t>
                    </m:r>
                  </m:oMath>
                </m:oMathPara>
              </a14:m>
              <a:endParaRPr lang="en-US" sz="1400">
                <a:solidFill>
                  <a:srgbClr val="FF0000"/>
                </a:solidFill>
              </a:endParaRPr>
            </a:p>
          </xdr:txBody>
        </xdr:sp>
      </mc:Choice>
      <mc:Fallback xmlns="">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29000" y="20343480"/>
              <a:ext cx="5841546"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a:t>
              </a:r>
              <a:r>
                <a:rPr lang="en-US" sz="1400" b="0" i="0">
                  <a:solidFill>
                    <a:srgbClr val="FF0000"/>
                  </a:solidFill>
                  <a:effectLst/>
                  <a:latin typeface="Cambria Math" panose="02040503050406030204" pitchFamily="18" charset="0"/>
                  <a:ea typeface="+mn-ea"/>
                  <a:cs typeface="+mn-cs"/>
                </a:rPr>
                <a:t>(𝑊𝑆𝐹𝑏𝑎𝑠𝑒 −𝑊𝑆𝐹𝑒𝑒)</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latin typeface="Cambria Math" panose="02040503050406030204" pitchFamily="18" charset="0"/>
                  <a:ea typeface="Cambria Math" panose="02040503050406030204" pitchFamily="18" charset="0"/>
                </a:rPr>
                <a:t>1000×𝑆𝐹×𝐻𝑜𝑢𝑟𝑠×𝑊𝐻𝐹𝑒</a:t>
              </a:r>
              <a:endParaRPr lang="en-US" sz="1400">
                <a:solidFill>
                  <a:srgbClr val="FF0000"/>
                </a:solidFill>
              </a:endParaRPr>
            </a:p>
          </xdr:txBody>
        </xdr:sp>
      </mc:Fallback>
    </mc:AlternateContent>
    <xdr:clientData/>
  </xdr:twoCellAnchor>
  <xdr:twoCellAnchor>
    <xdr:from>
      <xdr:col>4</xdr:col>
      <xdr:colOff>118382</xdr:colOff>
      <xdr:row>84</xdr:row>
      <xdr:rowOff>42304</xdr:rowOff>
    </xdr:from>
    <xdr:to>
      <xdr:col>5</xdr:col>
      <xdr:colOff>1214746</xdr:colOff>
      <xdr:row>86</xdr:row>
      <xdr:rowOff>71673</xdr:rowOff>
    </xdr:to>
    <mc:AlternateContent xmlns:mc="http://schemas.openxmlformats.org/markup-compatibility/2006" xmlns:a14="http://schemas.microsoft.com/office/drawing/2010/main">
      <mc:Choice Requires="a14">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724275" y="20929268"/>
              <a:ext cx="5841546"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solidFill>
                              <a:srgbClr val="FF0000"/>
                            </a:solidFill>
                            <a:latin typeface="Cambria Math" panose="02040503050406030204" pitchFamily="18" charset="0"/>
                            <a:ea typeface="Cambria Math" panose="02040503050406030204" pitchFamily="18" charset="0"/>
                          </a:rPr>
                        </m:ctrlPr>
                      </m:sSubPr>
                      <m:e>
                        <m:r>
                          <a:rPr lang="en-US" sz="140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𝑘𝑊h</m:t>
                        </m:r>
                      </m:e>
                      <m:sub>
                        <m:r>
                          <a:rPr lang="en-US" sz="1400" b="0" i="1">
                            <a:solidFill>
                              <a:srgbClr val="FF0000"/>
                            </a:solidFill>
                            <a:latin typeface="Cambria Math" panose="02040503050406030204" pitchFamily="18" charset="0"/>
                            <a:ea typeface="Cambria Math" panose="02040503050406030204" pitchFamily="18" charset="0"/>
                          </a:rPr>
                          <m:t>h𝑒𝑎𝑡𝑝𝑒𝑛𝑎𝑙𝑡𝑦</m:t>
                        </m:r>
                      </m:sub>
                    </m:sSub>
                    <m:r>
                      <a:rPr lang="en-US" sz="1400" b="0" i="1">
                        <a:solidFill>
                          <a:srgbClr val="FF0000"/>
                        </a:solidFill>
                        <a:latin typeface="Cambria Math" panose="02040503050406030204" pitchFamily="18" charset="0"/>
                        <a:ea typeface="Cambria Math" panose="02040503050406030204" pitchFamily="18" charset="0"/>
                      </a:rPr>
                      <m:t>=</m:t>
                    </m:r>
                    <m:f>
                      <m:fPr>
                        <m:ctrlPr>
                          <a:rPr lang="en-US" sz="1400" b="0" i="1">
                            <a:solidFill>
                              <a:srgbClr val="FF0000"/>
                            </a:solidFill>
                            <a:latin typeface="Cambria Math" panose="02040503050406030204" pitchFamily="18" charset="0"/>
                            <a:ea typeface="Cambria Math" panose="02040503050406030204" pitchFamily="18" charset="0"/>
                          </a:rPr>
                        </m:ctrlPr>
                      </m:fPr>
                      <m:num>
                        <m:r>
                          <a:rPr lang="en-US" sz="1400" b="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𝑊𝑆𝐹𝑏𝑎𝑠𝑒</m:t>
                        </m:r>
                        <m:r>
                          <a:rPr lang="en-US" sz="1400" b="0" i="1">
                            <a:solidFill>
                              <a:srgbClr val="FF0000"/>
                            </a:solidFill>
                            <a:effectLst/>
                            <a:latin typeface="Cambria Math" panose="02040503050406030204" pitchFamily="18" charset="0"/>
                            <a:ea typeface="+mn-ea"/>
                            <a:cs typeface="+mn-cs"/>
                          </a:rPr>
                          <m:t> −</m:t>
                        </m:r>
                        <m:r>
                          <a:rPr lang="en-US" sz="1400" b="0" i="1">
                            <a:solidFill>
                              <a:srgbClr val="FF0000"/>
                            </a:solidFill>
                            <a:effectLst/>
                            <a:latin typeface="Cambria Math" panose="02040503050406030204" pitchFamily="18" charset="0"/>
                            <a:ea typeface="+mn-ea"/>
                            <a:cs typeface="+mn-cs"/>
                          </a:rPr>
                          <m:t>𝑊𝑆𝐹𝑒𝑒</m:t>
                        </m:r>
                        <m:r>
                          <a:rPr lang="en-US" sz="1400" b="0" i="1">
                            <a:solidFill>
                              <a:srgbClr val="FF0000"/>
                            </a:solidFill>
                            <a:effectLst/>
                            <a:latin typeface="Cambria Math" panose="02040503050406030204" pitchFamily="18" charset="0"/>
                            <a:ea typeface="+mn-ea"/>
                            <a:cs typeface="+mn-cs"/>
                          </a:rPr>
                          <m:t>)</m:t>
                        </m:r>
                      </m:num>
                      <m:den>
                        <m:r>
                          <a:rPr lang="en-US" sz="1400" b="0" i="1">
                            <a:solidFill>
                              <a:srgbClr val="FF0000"/>
                            </a:solidFill>
                            <a:latin typeface="Cambria Math" panose="02040503050406030204" pitchFamily="18" charset="0"/>
                            <a:ea typeface="Cambria Math" panose="02040503050406030204" pitchFamily="18" charset="0"/>
                          </a:rPr>
                          <m:t>1000</m:t>
                        </m:r>
                      </m:den>
                    </m:f>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𝑆𝐹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𝐻𝑜𝑢𝑟𝑠</m:t>
                    </m:r>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𝐼𝐹</m:t>
                        </m:r>
                      </m:e>
                      <m:sub>
                        <m:r>
                          <a:rPr lang="en-US" sz="1400" b="0" i="1">
                            <a:solidFill>
                              <a:srgbClr val="FF0000"/>
                            </a:solidFill>
                            <a:latin typeface="Cambria Math" panose="02040503050406030204" pitchFamily="18" charset="0"/>
                            <a:ea typeface="Cambria Math" panose="02040503050406030204" pitchFamily="18" charset="0"/>
                          </a:rPr>
                          <m:t>𝑘𝑊h</m:t>
                        </m:r>
                      </m:sub>
                    </m:sSub>
                  </m:oMath>
                </m:oMathPara>
              </a14:m>
              <a:endParaRPr lang="en-US" sz="1400">
                <a:solidFill>
                  <a:srgbClr val="FF0000"/>
                </a:solidFill>
              </a:endParaRPr>
            </a:p>
          </xdr:txBody>
        </xdr:sp>
      </mc:Choice>
      <mc:Fallback xmlns="">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724275" y="20929268"/>
              <a:ext cx="5841546" cy="410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i="0">
                  <a:solidFill>
                    <a:srgbClr val="FF0000"/>
                  </a:solidFill>
                  <a:effectLst/>
                  <a:latin typeface="Cambria Math" panose="02040503050406030204" pitchFamily="18" charset="0"/>
                  <a:ea typeface="+mn-ea"/>
                  <a:cs typeface="+mn-cs"/>
                </a:rPr>
                <a:t>∆</a:t>
              </a:r>
              <a:r>
                <a:rPr lang="en-US" sz="1400" b="0" i="0">
                  <a:solidFill>
                    <a:srgbClr val="FF0000"/>
                  </a:solidFill>
                  <a:effectLst/>
                  <a:latin typeface="Cambria Math" panose="02040503050406030204" pitchFamily="18" charset="0"/>
                  <a:ea typeface="+mn-ea"/>
                  <a:cs typeface="+mn-cs"/>
                </a:rPr>
                <a:t>𝑘𝑊ℎ</a:t>
              </a:r>
              <a:r>
                <a:rPr lang="en-US" sz="1400" b="0" i="0">
                  <a:solidFill>
                    <a:srgbClr val="FF0000"/>
                  </a:solidFill>
                  <a:effectLst/>
                  <a:latin typeface="Cambria Math" panose="02040503050406030204" pitchFamily="18" charset="0"/>
                  <a:ea typeface="Cambria Math" panose="02040503050406030204" pitchFamily="18" charset="0"/>
                  <a:cs typeface="+mn-cs"/>
                </a:rPr>
                <a:t>〗_</a:t>
              </a:r>
              <a:r>
                <a:rPr lang="en-US" sz="1400" b="0" i="0">
                  <a:solidFill>
                    <a:srgbClr val="FF0000"/>
                  </a:solidFill>
                  <a:latin typeface="Cambria Math" panose="02040503050406030204" pitchFamily="18" charset="0"/>
                  <a:ea typeface="Cambria Math" panose="02040503050406030204" pitchFamily="18" charset="0"/>
                </a:rPr>
                <a:t>ℎ𝑒𝑎𝑡𝑝𝑒𝑛𝑎𝑙𝑡𝑦=(</a:t>
              </a:r>
              <a:r>
                <a:rPr lang="en-US" sz="1400" b="0" i="0">
                  <a:solidFill>
                    <a:srgbClr val="FF0000"/>
                  </a:solidFill>
                  <a:effectLst/>
                  <a:latin typeface="Cambria Math" panose="02040503050406030204" pitchFamily="18" charset="0"/>
                  <a:ea typeface="+mn-ea"/>
                  <a:cs typeface="+mn-cs"/>
                </a:rPr>
                <a:t>(𝑊𝑆𝐹𝑏𝑎𝑠𝑒 −𝑊𝑆𝐹𝑒𝑒)</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latin typeface="Cambria Math" panose="02040503050406030204" pitchFamily="18" charset="0"/>
                  <a:ea typeface="Cambria Math" panose="02040503050406030204" pitchFamily="18" charset="0"/>
                </a:rPr>
                <a:t>1000×𝑆𝐹×𝐻𝑜𝑢𝑟𝑠×〖</a:t>
              </a:r>
              <a:r>
                <a:rPr lang="en-US" sz="1400" b="0" i="0">
                  <a:solidFill>
                    <a:srgbClr val="FF0000"/>
                  </a:solidFill>
                  <a:effectLst/>
                  <a:latin typeface="Cambria Math" panose="02040503050406030204" pitchFamily="18" charset="0"/>
                  <a:ea typeface="+mn-ea"/>
                  <a:cs typeface="+mn-cs"/>
                </a:rPr>
                <a:t>−𝐼𝐹</a:t>
              </a:r>
              <a:r>
                <a:rPr lang="en-US" sz="1400" b="0" i="0">
                  <a:solidFill>
                    <a:srgbClr val="FF0000"/>
                  </a:solidFill>
                  <a:effectLst/>
                  <a:latin typeface="Cambria Math" panose="02040503050406030204" pitchFamily="18" charset="0"/>
                  <a:ea typeface="Cambria Math" panose="02040503050406030204" pitchFamily="18" charset="0"/>
                  <a:cs typeface="+mn-cs"/>
                </a:rPr>
                <a:t>〗_</a:t>
              </a:r>
              <a:r>
                <a:rPr lang="en-US" sz="1400" b="0" i="0">
                  <a:solidFill>
                    <a:srgbClr val="FF0000"/>
                  </a:solidFill>
                  <a:latin typeface="Cambria Math" panose="02040503050406030204" pitchFamily="18" charset="0"/>
                  <a:ea typeface="Cambria Math" panose="02040503050406030204" pitchFamily="18" charset="0"/>
                </a:rPr>
                <a:t>𝑘𝑊ℎ</a:t>
              </a:r>
              <a:endParaRPr lang="en-US" sz="1400">
                <a:solidFill>
                  <a:srgbClr val="FF0000"/>
                </a:solidFill>
              </a:endParaRPr>
            </a:p>
          </xdr:txBody>
        </xdr:sp>
      </mc:Fallback>
    </mc:AlternateContent>
    <xdr:clientData/>
  </xdr:twoCellAnchor>
  <xdr:twoCellAnchor>
    <xdr:from>
      <xdr:col>3</xdr:col>
      <xdr:colOff>1589314</xdr:colOff>
      <xdr:row>87</xdr:row>
      <xdr:rowOff>108979</xdr:rowOff>
    </xdr:from>
    <xdr:to>
      <xdr:col>5</xdr:col>
      <xdr:colOff>1049110</xdr:colOff>
      <xdr:row>88</xdr:row>
      <xdr:rowOff>137642</xdr:rowOff>
    </xdr:to>
    <mc:AlternateContent xmlns:mc="http://schemas.openxmlformats.org/markup-compatibility/2006" xmlns:a14="http://schemas.microsoft.com/office/drawing/2010/main">
      <mc:Choice Requires="a14">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62350" y="21567443"/>
              <a:ext cx="584154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effectLst/>
                        <a:latin typeface="Cambria Math" panose="02040503050406030204" pitchFamily="18" charset="0"/>
                        <a:ea typeface="+mn-ea"/>
                        <a:cs typeface="+mn-cs"/>
                      </a:rPr>
                      <m:t>𝑘𝑊h</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𝐶𝐹</m:t>
                    </m:r>
                  </m:oMath>
                </m:oMathPara>
              </a14:m>
              <a:endParaRPr lang="en-US" sz="1400">
                <a:solidFill>
                  <a:srgbClr val="FF0000"/>
                </a:solidFill>
              </a:endParaRPr>
            </a:p>
          </xdr:txBody>
        </xdr:sp>
      </mc:Choice>
      <mc:Fallback xmlns="">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62350" y="21567443"/>
              <a:ext cx="584154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a:t>
              </a:r>
              <a:r>
                <a:rPr lang="en-US" sz="1400" b="0" i="0">
                  <a:solidFill>
                    <a:srgbClr val="FF0000"/>
                  </a:solidFill>
                  <a:effectLst/>
                  <a:latin typeface="Cambria Math" panose="02040503050406030204" pitchFamily="18" charset="0"/>
                  <a:ea typeface="+mn-ea"/>
                  <a:cs typeface="+mn-cs"/>
                </a:rPr>
                <a:t>𝑘𝑊ℎ</a:t>
              </a:r>
              <a:r>
                <a:rPr lang="en-US" sz="1400" b="0" i="0">
                  <a:solidFill>
                    <a:srgbClr val="FF0000"/>
                  </a:solidFill>
                  <a:latin typeface="Cambria Math" panose="02040503050406030204" pitchFamily="18" charset="0"/>
                  <a:ea typeface="Cambria Math" panose="02040503050406030204" pitchFamily="18" charset="0"/>
                </a:rPr>
                <a:t>×𝐶𝐹</a:t>
              </a:r>
              <a:endParaRPr lang="en-US" sz="1400">
                <a:solidFill>
                  <a:srgbClr val="FF0000"/>
                </a:solidFill>
              </a:endParaRP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517071</xdr:colOff>
      <xdr:row>38</xdr:row>
      <xdr:rowOff>1362</xdr:rowOff>
    </xdr:from>
    <xdr:to>
      <xdr:col>5</xdr:col>
      <xdr:colOff>4792436</xdr:colOff>
      <xdr:row>39</xdr:row>
      <xdr:rowOff>149679</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536121</xdr:colOff>
      <xdr:row>40</xdr:row>
      <xdr:rowOff>39461</xdr:rowOff>
    </xdr:from>
    <xdr:to>
      <xdr:col>4</xdr:col>
      <xdr:colOff>2281792</xdr:colOff>
      <xdr:row>41</xdr:row>
      <xdr:rowOff>99414</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34</xdr:row>
      <xdr:rowOff>19050</xdr:rowOff>
    </xdr:from>
    <xdr:to>
      <xdr:col>4</xdr:col>
      <xdr:colOff>4413251</xdr:colOff>
      <xdr:row>35</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381000</xdr:colOff>
      <xdr:row>36</xdr:row>
      <xdr:rowOff>15876</xdr:rowOff>
    </xdr:from>
    <xdr:to>
      <xdr:col>5</xdr:col>
      <xdr:colOff>4082144</xdr:colOff>
      <xdr:row>37</xdr:row>
      <xdr:rowOff>149680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216</xdr:row>
      <xdr:rowOff>0</xdr:rowOff>
    </xdr:from>
    <xdr:ext cx="65" cy="172227"/>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216</xdr:row>
      <xdr:rowOff>0</xdr:rowOff>
    </xdr:from>
    <xdr:ext cx="65" cy="172227"/>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92527</xdr:colOff>
      <xdr:row>12</xdr:row>
      <xdr:rowOff>39309</xdr:rowOff>
    </xdr:from>
    <xdr:to>
      <xdr:col>11</xdr:col>
      <xdr:colOff>954676</xdr:colOff>
      <xdr:row>17</xdr:row>
      <xdr:rowOff>119742</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5382984" y="3185280"/>
              <a:ext cx="17364892" cy="10057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ysClr val="windowText" lastClr="00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ysClr val="windowText" lastClr="000000"/>
                                        </a:solidFill>
                                        <a:effectLst/>
                                        <a:latin typeface="Cambria Math" panose="02040503050406030204" pitchFamily="18" charset="0"/>
                                        <a:ea typeface="+mn-ea"/>
                                        <a:cs typeface="+mn-cs"/>
                                      </a:rPr>
                                      <m:t>1</m:t>
                                    </m:r>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100" b="0" i="1" baseline="0">
                                    <a:solidFill>
                                      <a:sysClr val="windowText" lastClr="00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ysClr val="windowText" lastClr="000000"/>
                                    </a:solidFill>
                                    <a:effectLst/>
                                    <a:latin typeface="Cambria Math" panose="02040503050406030204" pitchFamily="18" charset="0"/>
                                    <a:ea typeface="+mn-ea"/>
                                    <a:cs typeface="+mn-cs"/>
                                  </a:rPr>
                                  <m:t>𝐶</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ysClr val="windowText" lastClr="000000"/>
                </a:solidFill>
              </a:endParaRPr>
            </a:p>
          </xdr:txBody>
        </xdr:sp>
      </mc:Choice>
      <mc:Fallback xmlns="">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5382984" y="3185280"/>
              <a:ext cx="17364892" cy="10057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ysClr val="windowText" lastClr="000000"/>
                  </a:solidFill>
                  <a:effectLst/>
                  <a:latin typeface="Cambria Math" panose="02040503050406030204" pitchFamily="18" charset="0"/>
                  <a:ea typeface="+mn-ea"/>
                  <a:cs typeface="+mn-cs"/>
                </a:rPr>
                <a:t>1</a:t>
              </a:r>
              <a:r>
                <a:rPr lang="en-US" sz="1100" b="0" i="0" baseline="0">
                  <a:solidFill>
                    <a:sysClr val="windowText" lastClr="000000"/>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)∗1.0)</a:t>
              </a:r>
              <a:r>
                <a:rPr lang="en-US" sz="1400" b="0" i="0" baseline="0">
                  <a:solidFill>
                    <a:sysClr val="windowText" lastClr="000000"/>
                  </a:solidFill>
                  <a:effectLst/>
                  <a:latin typeface="Cambria Math" panose="02040503050406030204" pitchFamily="18" charset="0"/>
                  <a:ea typeface="+mn-ea"/>
                  <a:cs typeface="+mn-cs"/>
                </a:rPr>
                <a:t>∗𝐿𝐹∗𝑊𝐻𝐹_𝐶∗𝐿𝑀)/(〖𝐶𝑂𝑃〗_𝐶𝑂𝑂𝐿∗3412))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ysClr val="windowText" lastClr="000000"/>
                </a:solidFill>
              </a:endParaRPr>
            </a:p>
          </xdr:txBody>
        </xdr:sp>
      </mc:Fallback>
    </mc:AlternateContent>
    <xdr:clientData/>
  </xdr:twoCellAnchor>
  <xdr:twoCellAnchor>
    <xdr:from>
      <xdr:col>4</xdr:col>
      <xdr:colOff>311603</xdr:colOff>
      <xdr:row>17</xdr:row>
      <xdr:rowOff>91014</xdr:rowOff>
    </xdr:from>
    <xdr:to>
      <xdr:col>11</xdr:col>
      <xdr:colOff>996043</xdr:colOff>
      <xdr:row>22</xdr:row>
      <xdr:rowOff>141514</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5602060" y="4162271"/>
              <a:ext cx="17187183" cy="9757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ysClr val="windowText" lastClr="00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ysClr val="windowText" lastClr="000000"/>
                                        </a:solidFill>
                                        <a:effectLst/>
                                        <a:latin typeface="Cambria Math" panose="02040503050406030204" pitchFamily="18" charset="0"/>
                                        <a:ea typeface="+mn-ea"/>
                                        <a:cs typeface="+mn-cs"/>
                                      </a:rPr>
                                      <m:t>1</m:t>
                                    </m:r>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100" b="0" i="1" baseline="0">
                                    <a:solidFill>
                                      <a:sysClr val="windowText" lastClr="00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ysClr val="windowText" lastClr="000000"/>
                                    </a:solidFill>
                                    <a:effectLst/>
                                    <a:latin typeface="Cambria Math" panose="02040503050406030204" pitchFamily="18" charset="0"/>
                                    <a:ea typeface="+mn-ea"/>
                                    <a:cs typeface="+mn-cs"/>
                                  </a:rPr>
                                  <m:t>𝐻</m:t>
                                </m:r>
                              </m:sub>
                            </m:sSub>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ysClr val="windowText" lastClr="000000"/>
                </a:solidFill>
              </a:endParaRPr>
            </a:p>
          </xdr:txBody>
        </xdr:sp>
      </mc:Choice>
      <mc:Fallback xmlns="">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5602060" y="4162271"/>
              <a:ext cx="17187183" cy="9757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ysClr val="windowText" lastClr="000000"/>
                  </a:solidFill>
                  <a:effectLst/>
                  <a:latin typeface="Cambria Math" panose="02040503050406030204" pitchFamily="18" charset="0"/>
                  <a:ea typeface="+mn-ea"/>
                  <a:cs typeface="+mn-cs"/>
                </a:rPr>
                <a:t>1</a:t>
              </a:r>
              <a:r>
                <a:rPr lang="en-US" sz="1100" b="0" i="0" baseline="0">
                  <a:solidFill>
                    <a:sysClr val="windowText" lastClr="000000"/>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)∗1.0)</a:t>
              </a:r>
              <a:r>
                <a:rPr lang="en-US" sz="1400" b="0" i="0" baseline="0">
                  <a:solidFill>
                    <a:sysClr val="windowText" lastClr="000000"/>
                  </a:solidFill>
                  <a:effectLst/>
                  <a:latin typeface="Cambria Math" panose="02040503050406030204" pitchFamily="18" charset="0"/>
                  <a:ea typeface="+mn-ea"/>
                  <a:cs typeface="+mn-cs"/>
                </a:rPr>
                <a:t>∗𝐿𝐹∗𝑊𝐻𝐹_𝐻)/(〖𝐶𝑂𝑃〗_𝐻𝐸𝐴𝑇∗3412))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ysClr val="windowText" lastClr="00000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85</xdr:row>
      <xdr:rowOff>87086</xdr:rowOff>
    </xdr:from>
    <xdr:to>
      <xdr:col>7</xdr:col>
      <xdr:colOff>1238250</xdr:colOff>
      <xdr:row>87</xdr:row>
      <xdr:rowOff>68035</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341595" y="22098000"/>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341595" y="22098000"/>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a:t>
              </a:r>
              <a:r>
                <a:rPr lang="en-US" sz="1600" b="0" i="0">
                  <a:latin typeface="Cambria Math" panose="02040503050406030204" pitchFamily="18" charset="0"/>
                </a:rPr>
                <a:t>𝑓_𝐼𝑆𝑅</a:t>
              </a:r>
              <a:r>
                <a:rPr lang="en-US" sz="1600" i="0">
                  <a:latin typeface="Cambria Math" panose="02040503050406030204" pitchFamily="18" charset="0"/>
                </a:rPr>
                <a:t>+(∆𝑇ℎ𝑒𝑟𝑚𝑠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712373</xdr:colOff>
      <xdr:row>87</xdr:row>
      <xdr:rowOff>65669</xdr:rowOff>
    </xdr:from>
    <xdr:to>
      <xdr:col>6</xdr:col>
      <xdr:colOff>1183822</xdr:colOff>
      <xdr:row>89</xdr:row>
      <xdr:rowOff>330712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243302" y="9128026"/>
              <a:ext cx="9071163" cy="7276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243302" y="9128026"/>
              <a:ext cx="9071163" cy="7276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3</xdr:col>
      <xdr:colOff>353785</xdr:colOff>
      <xdr:row>89</xdr:row>
      <xdr:rowOff>498141</xdr:rowOff>
    </xdr:from>
    <xdr:to>
      <xdr:col>6</xdr:col>
      <xdr:colOff>394607</xdr:colOff>
      <xdr:row>91</xdr:row>
      <xdr:rowOff>188133</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2884714" y="10023141"/>
              <a:ext cx="8640536" cy="4383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2884714" y="10023141"/>
              <a:ext cx="8640536" cy="4383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a:t>
              </a:r>
              <a:r>
                <a:rPr lang="en-US" sz="1600" b="0" i="0">
                  <a:latin typeface="Cambria Math" panose="02040503050406030204" pitchFamily="18" charset="0"/>
                </a:rPr>
                <a:t>𝑓_𝐼𝑆𝑅</a:t>
              </a:r>
              <a:endParaRPr lang="en-US" sz="1600"/>
            </a:p>
          </xdr:txBody>
        </xdr:sp>
      </mc:Fallback>
    </mc:AlternateContent>
    <xdr:clientData/>
  </xdr:twoCellAnchor>
  <xdr:twoCellAnchor>
    <xdr:from>
      <xdr:col>3</xdr:col>
      <xdr:colOff>586548</xdr:colOff>
      <xdr:row>92</xdr:row>
      <xdr:rowOff>59872</xdr:rowOff>
    </xdr:from>
    <xdr:to>
      <xdr:col>4</xdr:col>
      <xdr:colOff>1149968</xdr:colOff>
      <xdr:row>93</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117477" y="10564586"/>
              <a:ext cx="3189598"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117477" y="10564586"/>
              <a:ext cx="3189598"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2</xdr:col>
      <xdr:colOff>796365</xdr:colOff>
      <xdr:row>177</xdr:row>
      <xdr:rowOff>83419</xdr:rowOff>
    </xdr:from>
    <xdr:to>
      <xdr:col>4</xdr:col>
      <xdr:colOff>3571067</xdr:colOff>
      <xdr:row>179</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strike="sngStrike" baseline="0">
                        <a:solidFill>
                          <a:srgbClr val="FF0000"/>
                        </a:solidFill>
                        <a:latin typeface="Cambria Math" panose="02040503050406030204" pitchFamily="18" charset="0"/>
                      </a:rPr>
                      <m:t>𝐸𝑛𝑒𝑟𝑔𝑦</m:t>
                    </m:r>
                    <m:r>
                      <a:rPr lang="en-US" sz="1400" b="0" i="1" strike="sngStrike" baseline="0">
                        <a:solidFill>
                          <a:srgbClr val="FF0000"/>
                        </a:solidFill>
                        <a:latin typeface="Cambria Math" panose="02040503050406030204" pitchFamily="18" charset="0"/>
                      </a:rPr>
                      <m:t> </m:t>
                    </m:r>
                    <m:r>
                      <a:rPr lang="en-US" sz="1400" b="0" i="1" strike="sngStrike" baseline="0">
                        <a:solidFill>
                          <a:srgbClr val="FF0000"/>
                        </a:solidFill>
                        <a:latin typeface="Cambria Math" panose="02040503050406030204" pitchFamily="18" charset="0"/>
                      </a:rPr>
                      <m:t>𝑆𝑎𝑣𝑖𝑛𝑔𝑠</m:t>
                    </m:r>
                    <m:r>
                      <a:rPr lang="en-US" sz="1400" b="0" i="1" strike="sngStrike" baseline="0">
                        <a:solidFill>
                          <a:srgbClr val="FF0000"/>
                        </a:solidFill>
                        <a:latin typeface="Cambria Math" panose="02040503050406030204" pitchFamily="18" charset="0"/>
                      </a:rPr>
                      <m:t> </m:t>
                    </m:r>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𝑘𝑊h</m:t>
                            </m:r>
                          </m:num>
                          <m:den>
                            <m:r>
                              <a:rPr lang="en-US" sz="1400" b="0" i="1" strike="sngStrike" baseline="0">
                                <a:solidFill>
                                  <a:srgbClr val="FF0000"/>
                                </a:solidFill>
                                <a:latin typeface="Cambria Math" panose="02040503050406030204" pitchFamily="18" charset="0"/>
                              </a:rPr>
                              <m:t>𝑌𝑒𝑎𝑟</m:t>
                            </m:r>
                          </m:den>
                        </m:f>
                      </m:e>
                    </m:d>
                    <m:r>
                      <a:rPr lang="en-US" sz="1400" b="0" i="1" strike="sngStrike" baseline="0">
                        <a:solidFill>
                          <a:srgbClr val="FF0000"/>
                        </a:solidFill>
                        <a:latin typeface="Cambria Math" panose="02040503050406030204" pitchFamily="18" charset="0"/>
                      </a:rPr>
                      <m:t>=</m:t>
                    </m:r>
                    <m:r>
                      <a:rPr lang="en-US" sz="1400" b="0" i="1" strike="sngStrike" baseline="0">
                        <a:solidFill>
                          <a:srgbClr val="FF0000"/>
                        </a:solidFill>
                        <a:latin typeface="Cambria Math" panose="02040503050406030204" pitchFamily="18" charset="0"/>
                      </a:rPr>
                      <m:t>𝐷𝑎𝑦</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𝑠</m:t>
                        </m:r>
                      </m:e>
                      <m:sub>
                        <m:r>
                          <a:rPr lang="en-US" sz="1400" b="0" i="1" strike="sngStrike" baseline="0">
                            <a:solidFill>
                              <a:srgbClr val="FF0000"/>
                            </a:solidFill>
                            <a:latin typeface="Cambria Math" panose="02040503050406030204" pitchFamily="18" charset="0"/>
                          </a:rPr>
                          <m:t>𝑜𝑝𝑒𝑟</m:t>
                        </m:r>
                      </m:sub>
                    </m:sSub>
                    <m:r>
                      <a:rPr lang="en-US" sz="1400" b="0" i="1" strike="sngStrike" baseline="0">
                        <a:solidFill>
                          <a:srgbClr val="FF0000"/>
                        </a:solidFill>
                        <a:latin typeface="Cambria Math" panose="02040503050406030204" pitchFamily="18" charset="0"/>
                      </a:rPr>
                      <m:t>∗</m:t>
                    </m:r>
                    <m:d>
                      <m:dPr>
                        <m:begChr m:val="{"/>
                        <m:endChr m:val="}"/>
                        <m:ctrlPr>
                          <a:rPr lang="en-US" sz="1400" b="0" i="1" strike="sngStrike" baseline="0">
                            <a:solidFill>
                              <a:srgbClr val="FF0000"/>
                            </a:solidFill>
                            <a:latin typeface="Cambria Math" panose="02040503050406030204" pitchFamily="18" charset="0"/>
                          </a:rPr>
                        </m:ctrlPr>
                      </m:dPr>
                      <m:e>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𝑠𝑠</m:t>
                                    </m:r>
                                  </m:sub>
                                </m:sSub>
                              </m:num>
                              <m:den>
                                <m:r>
                                  <a:rPr lang="en-US" sz="1400" b="0" i="1" strike="sngStrike" baseline="0">
                                    <a:solidFill>
                                      <a:srgbClr val="FF0000"/>
                                    </a:solidFill>
                                    <a:latin typeface="Cambria Math" panose="02040503050406030204" pitchFamily="18" charset="0"/>
                                  </a:rPr>
                                  <m:t>𝐷𝑎𝑦</m:t>
                                </m:r>
                              </m:den>
                            </m:f>
                          </m:e>
                        </m:d>
                        <m:r>
                          <a:rPr lang="en-US" sz="1400" b="0" i="1" strike="sngStrike" baseline="0">
                            <a:solidFill>
                              <a:srgbClr val="FF0000"/>
                            </a:solidFill>
                            <a:latin typeface="Cambria Math" panose="02040503050406030204" pitchFamily="18" charset="0"/>
                          </a:rPr>
                          <m:t>−</m:t>
                        </m:r>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𝑑𝑠</m:t>
                                    </m:r>
                                  </m:sub>
                                </m:sSub>
                              </m:num>
                              <m:den>
                                <m:r>
                                  <a:rPr lang="en-US" sz="1400" b="0" i="1" strike="sngStrike" baseline="0">
                                    <a:solidFill>
                                      <a:srgbClr val="FF0000"/>
                                    </a:solidFill>
                                    <a:latin typeface="Cambria Math" panose="02040503050406030204" pitchFamily="18" charset="0"/>
                                  </a:rPr>
                                  <m:t>𝐷𝑎𝑦</m:t>
                                </m:r>
                              </m:den>
                            </m:f>
                          </m:e>
                        </m:d>
                      </m:e>
                    </m:d>
                    <m:r>
                      <a:rPr lang="en-US" sz="1400" b="0" i="1" strike="sngStrike" baseline="0">
                        <a:solidFill>
                          <a:srgbClr val="FF0000"/>
                        </a:solidFill>
                        <a:latin typeface="Cambria Math" panose="02040503050406030204" pitchFamily="18" charset="0"/>
                      </a:rPr>
                      <m:t>∗</m:t>
                    </m:r>
                    <m:r>
                      <a:rPr lang="en-US" sz="1400" b="0" i="1" strike="sngStrike" baseline="0">
                        <a:solidFill>
                          <a:srgbClr val="FF0000"/>
                        </a:solidFill>
                        <a:latin typeface="Cambria Math" panose="02040503050406030204" pitchFamily="18" charset="0"/>
                      </a:rPr>
                      <m:t>𝐼𝑆𝑅</m:t>
                    </m:r>
                  </m:oMath>
                </m:oMathPara>
              </a14:m>
              <a:endParaRPr lang="en-US" sz="1400" strike="sngStrike" baseline="0">
                <a:solidFill>
                  <a:srgbClr val="FF0000"/>
                </a:solidFill>
              </a:endParaRPr>
            </a:p>
          </xdr:txBody>
        </xdr:sp>
      </mc:Choice>
      <mc:Fallback xmlns="">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rgbClr val="FF0000"/>
                  </a:solidFill>
                  <a:latin typeface="Cambria Math" panose="02040503050406030204" pitchFamily="18" charset="0"/>
                </a:rPr>
                <a:t>𝐸𝑛𝑒𝑟𝑔𝑦 𝑆𝑎𝑣𝑖𝑛𝑔𝑠 (𝑘𝑊ℎ/𝑌𝑒𝑎𝑟)=𝐷𝑎𝑦𝑠_𝑜𝑝𝑒𝑟∗{((𝑘𝑊ℎ_𝑠𝑠)/𝐷𝑎𝑦)−((𝑘𝑊ℎ_𝑑𝑠)/𝐷𝑎𝑦)}∗𝐼𝑆𝑅</a:t>
              </a:r>
              <a:endParaRPr lang="en-US" sz="1400" strike="sngStrike" baseline="0">
                <a:solidFill>
                  <a:srgbClr val="FF0000"/>
                </a:solidFill>
              </a:endParaRPr>
            </a:p>
          </xdr:txBody>
        </xdr:sp>
      </mc:Fallback>
    </mc:AlternateContent>
    <xdr:clientData/>
  </xdr:twoCellAnchor>
  <xdr:twoCellAnchor>
    <xdr:from>
      <xdr:col>7</xdr:col>
      <xdr:colOff>535079</xdr:colOff>
      <xdr:row>178</xdr:row>
      <xdr:rowOff>66608</xdr:rowOff>
    </xdr:from>
    <xdr:to>
      <xdr:col>10</xdr:col>
      <xdr:colOff>95249</xdr:colOff>
      <xdr:row>180</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𝑑𝑠</m:t>
                                </m:r>
                              </m:sub>
                            </m:sSub>
                          </m:num>
                          <m:den>
                            <m:r>
                              <a:rPr lang="en-US" sz="1400" b="0" i="1" strike="sngStrike" baseline="0">
                                <a:solidFill>
                                  <a:srgbClr val="FF0000"/>
                                </a:solidFill>
                                <a:latin typeface="Cambria Math" panose="02040503050406030204" pitchFamily="18" charset="0"/>
                              </a:rPr>
                              <m:t>𝐷𝑎𝑦</m:t>
                            </m:r>
                          </m:den>
                        </m:f>
                      </m:e>
                    </m:d>
                    <m:r>
                      <a:rPr lang="en-US" sz="1400" b="0" i="1" strike="sngStrike" baseline="0">
                        <a:solidFill>
                          <a:srgbClr val="FF0000"/>
                        </a:solidFill>
                        <a:latin typeface="Cambria Math" panose="02040503050406030204" pitchFamily="18" charset="0"/>
                      </a:rPr>
                      <m:t>=</m:t>
                    </m:r>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h𝑠</m:t>
                                </m:r>
                              </m:sub>
                            </m:sSub>
                          </m:num>
                          <m:den>
                            <m:r>
                              <a:rPr lang="en-US" sz="1400" b="0" i="1" strike="sngStrike" baseline="0">
                                <a:solidFill>
                                  <a:srgbClr val="FF0000"/>
                                </a:solidFill>
                                <a:latin typeface="Cambria Math" panose="02040503050406030204" pitchFamily="18" charset="0"/>
                              </a:rPr>
                              <m:t>𝐷𝑎𝑦</m:t>
                            </m:r>
                          </m:den>
                        </m:f>
                      </m:e>
                    </m:d>
                    <m:r>
                      <a:rPr lang="en-US" sz="1400" b="0" i="1" strike="sngStrike" baseline="0">
                        <a:solidFill>
                          <a:srgbClr val="FF0000"/>
                        </a:solidFill>
                        <a:latin typeface="Cambria Math" panose="02040503050406030204" pitchFamily="18" charset="0"/>
                      </a:rPr>
                      <m:t>+</m:t>
                    </m:r>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𝑙𝑠</m:t>
                                </m:r>
                              </m:sub>
                            </m:sSub>
                          </m:num>
                          <m:den>
                            <m:r>
                              <a:rPr lang="en-US" sz="1400" b="0" i="1" strike="sngStrike" baseline="0">
                                <a:solidFill>
                                  <a:srgbClr val="FF0000"/>
                                </a:solidFill>
                                <a:latin typeface="Cambria Math" panose="02040503050406030204" pitchFamily="18" charset="0"/>
                              </a:rPr>
                              <m:t>𝐷𝑎𝑦</m:t>
                            </m:r>
                          </m:den>
                        </m:f>
                      </m:e>
                    </m:d>
                  </m:oMath>
                </m:oMathPara>
              </a14:m>
              <a:endParaRPr lang="en-US" sz="1400" strike="sngStrike" baseline="0">
                <a:solidFill>
                  <a:srgbClr val="FF0000"/>
                </a:solidFill>
              </a:endParaRPr>
            </a:p>
          </xdr:txBody>
        </xdr:sp>
      </mc:Choice>
      <mc:Fallback xmlns="">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rgbClr val="FF0000"/>
                  </a:solidFill>
                  <a:latin typeface="Cambria Math" panose="02040503050406030204" pitchFamily="18" charset="0"/>
                </a:rPr>
                <a:t>((𝑘𝑊ℎ_𝑑𝑠)/𝐷𝑎𝑦)=((𝑘𝑊ℎ_ℎ𝑠)/𝐷𝑎𝑦)+((𝑘𝑊ℎ_𝑙𝑠)/𝐷𝑎𝑦)</a:t>
              </a:r>
              <a:endParaRPr lang="en-US" sz="1400" strike="sngStrike" baseline="0">
                <a:solidFill>
                  <a:srgbClr val="FF0000"/>
                </a:solidFill>
              </a:endParaRPr>
            </a:p>
          </xdr:txBody>
        </xdr:sp>
      </mc:Fallback>
    </mc:AlternateContent>
    <xdr:clientData/>
  </xdr:twoCellAnchor>
  <xdr:twoCellAnchor>
    <xdr:from>
      <xdr:col>4</xdr:col>
      <xdr:colOff>3591486</xdr:colOff>
      <xdr:row>178</xdr:row>
      <xdr:rowOff>21414</xdr:rowOff>
    </xdr:from>
    <xdr:to>
      <xdr:col>7</xdr:col>
      <xdr:colOff>571500</xdr:colOff>
      <xdr:row>180</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400-000011000000}"/>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𝑠𝑠</m:t>
                                </m:r>
                              </m:sub>
                            </m:sSub>
                          </m:num>
                          <m:den>
                            <m:r>
                              <a:rPr lang="en-US" sz="1400" b="0" i="1" strike="sngStrike" baseline="0">
                                <a:solidFill>
                                  <a:srgbClr val="FF0000"/>
                                </a:solidFill>
                                <a:latin typeface="Cambria Math" panose="02040503050406030204" pitchFamily="18" charset="0"/>
                              </a:rPr>
                              <m:t>𝐷𝑎𝑦</m:t>
                            </m:r>
                          </m:den>
                        </m:f>
                      </m:e>
                    </m:d>
                    <m:r>
                      <a:rPr lang="en-US" sz="1400" b="0" i="1" strike="sngStrike" baseline="0">
                        <a:solidFill>
                          <a:srgbClr val="FF0000"/>
                        </a:solidFill>
                        <a:latin typeface="Cambria Math" panose="02040503050406030204" pitchFamily="18" charset="0"/>
                      </a:rPr>
                      <m:t>=</m:t>
                    </m:r>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𝑅</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𝑇</m:t>
                            </m:r>
                          </m:e>
                          <m:sub>
                            <m:r>
                              <a:rPr lang="en-US" sz="1400" b="0" i="1" strike="sngStrike" baseline="0">
                                <a:solidFill>
                                  <a:srgbClr val="FF0000"/>
                                </a:solidFill>
                                <a:latin typeface="Cambria Math" panose="02040503050406030204" pitchFamily="18" charset="0"/>
                              </a:rPr>
                              <m:t>𝑠𝑠</m:t>
                            </m:r>
                          </m:sub>
                        </m:sSub>
                        <m:r>
                          <a:rPr lang="en-US" sz="1400" b="0" i="1" strike="sngStrike" baseline="0">
                            <a:solidFill>
                              <a:srgbClr val="FF0000"/>
                            </a:solidFill>
                            <a:latin typeface="Cambria Math" panose="02040503050406030204" pitchFamily="18" charset="0"/>
                          </a:rPr>
                          <m:t>∗</m:t>
                        </m:r>
                        <m:r>
                          <a:rPr lang="en-US" sz="1400" b="0" i="1" strike="sngStrike" baseline="0">
                            <a:solidFill>
                              <a:srgbClr val="FF0000"/>
                            </a:solidFill>
                            <a:latin typeface="Cambria Math" panose="02040503050406030204" pitchFamily="18" charset="0"/>
                          </a:rPr>
                          <m:t>𝐺𝑃</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𝑀</m:t>
                            </m:r>
                          </m:e>
                          <m:sub>
                            <m:r>
                              <a:rPr lang="en-US" sz="1400" b="0" i="1" strike="sngStrike" baseline="0">
                                <a:solidFill>
                                  <a:srgbClr val="FF0000"/>
                                </a:solidFill>
                                <a:latin typeface="Cambria Math" panose="02040503050406030204" pitchFamily="18" charset="0"/>
                              </a:rPr>
                              <m:t>𝑠𝑠</m:t>
                            </m:r>
                          </m:sub>
                        </m:sSub>
                        <m:r>
                          <a:rPr lang="en-US" sz="1400" b="0" i="1" strike="sngStrike" baseline="0">
                            <a:solidFill>
                              <a:srgbClr val="FF0000"/>
                            </a:solidFill>
                            <a:latin typeface="Cambria Math" panose="02040503050406030204" pitchFamily="18" charset="0"/>
                          </a:rPr>
                          <m:t>∗60</m:t>
                        </m:r>
                      </m:num>
                      <m:den>
                        <m:r>
                          <a:rPr lang="en-US" sz="1400" b="0" i="1" strike="sngStrike" baseline="0">
                            <a:solidFill>
                              <a:srgbClr val="FF0000"/>
                            </a:solidFill>
                            <a:latin typeface="Cambria Math" panose="02040503050406030204" pitchFamily="18" charset="0"/>
                          </a:rPr>
                          <m:t>𝐸</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𝐹</m:t>
                            </m:r>
                          </m:e>
                          <m:sub>
                            <m:r>
                              <a:rPr lang="en-US" sz="1400" b="0" i="1" strike="sngStrike" baseline="0">
                                <a:solidFill>
                                  <a:srgbClr val="FF0000"/>
                                </a:solidFill>
                                <a:latin typeface="Cambria Math" panose="02040503050406030204" pitchFamily="18" charset="0"/>
                              </a:rPr>
                              <m:t>𝑠𝑠</m:t>
                            </m:r>
                          </m:sub>
                        </m:sSub>
                        <m:r>
                          <a:rPr lang="en-US" sz="1400" b="0" i="1" strike="sngStrike" baseline="0">
                            <a:solidFill>
                              <a:srgbClr val="FF0000"/>
                            </a:solidFill>
                            <a:latin typeface="Cambria Math" panose="02040503050406030204" pitchFamily="18" charset="0"/>
                          </a:rPr>
                          <m:t>∗1000</m:t>
                        </m:r>
                      </m:den>
                    </m:f>
                  </m:oMath>
                </m:oMathPara>
              </a14:m>
              <a:endParaRPr lang="en-US" sz="1400" strike="sngStrike" baseline="0">
                <a:solidFill>
                  <a:srgbClr val="FF0000"/>
                </a:solidFill>
              </a:endParaRPr>
            </a:p>
          </xdr:txBody>
        </xdr:sp>
      </mc:Choice>
      <mc:Fallback xmlns="">
        <xdr:sp macro="" textlink="">
          <xdr:nvSpPr>
            <xdr:cNvPr id="17" name="TextBox 16">
              <a:extLst>
                <a:ext uri="{FF2B5EF4-FFF2-40B4-BE49-F238E27FC236}">
                  <a16:creationId xmlns:a16="http://schemas.microsoft.com/office/drawing/2014/main" id="{00000000-0008-0000-0400-000011000000}"/>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rgbClr val="FF0000"/>
                  </a:solidFill>
                  <a:latin typeface="Cambria Math" panose="02040503050406030204" pitchFamily="18" charset="0"/>
                </a:rPr>
                <a:t>((𝑘𝑊ℎ_𝑠𝑠)/𝐷𝑎𝑦)=(𝑅𝑇_𝑠𝑠∗𝐺𝑃𝑀_𝑠𝑠∗60)/(𝐸𝐹_𝑠𝑠∗1000)</a:t>
              </a:r>
              <a:endParaRPr lang="en-US" sz="1400" strike="sngStrike" baseline="0">
                <a:solidFill>
                  <a:srgbClr val="FF0000"/>
                </a:solidFill>
              </a:endParaRPr>
            </a:p>
          </xdr:txBody>
        </xdr:sp>
      </mc:Fallback>
    </mc:AlternateContent>
    <xdr:clientData/>
  </xdr:twoCellAnchor>
  <xdr:twoCellAnchor>
    <xdr:from>
      <xdr:col>7</xdr:col>
      <xdr:colOff>746185</xdr:colOff>
      <xdr:row>182</xdr:row>
      <xdr:rowOff>115410</xdr:rowOff>
    </xdr:from>
    <xdr:to>
      <xdr:col>9</xdr:col>
      <xdr:colOff>662940</xdr:colOff>
      <xdr:row>185</xdr:row>
      <xdr:rowOff>27215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14557435" y="40800767"/>
              <a:ext cx="5890291" cy="4424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𝑙𝑠</m:t>
                                </m:r>
                              </m:sub>
                            </m:sSub>
                          </m:num>
                          <m:den>
                            <m:r>
                              <a:rPr lang="en-US" sz="1400" b="0" i="1" strike="sngStrike" baseline="0">
                                <a:solidFill>
                                  <a:srgbClr val="FF0000"/>
                                </a:solidFill>
                                <a:latin typeface="Cambria Math" panose="02040503050406030204" pitchFamily="18" charset="0"/>
                              </a:rPr>
                              <m:t>𝐷𝑎𝑦</m:t>
                            </m:r>
                          </m:den>
                        </m:f>
                      </m:e>
                    </m:d>
                    <m:r>
                      <a:rPr lang="en-US" sz="1400" b="0" i="1" strike="sngStrike" baseline="0">
                        <a:solidFill>
                          <a:srgbClr val="FF0000"/>
                        </a:solidFill>
                        <a:latin typeface="Cambria Math" panose="02040503050406030204" pitchFamily="18" charset="0"/>
                      </a:rPr>
                      <m:t>=</m:t>
                    </m:r>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𝑅</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𝑇</m:t>
                            </m:r>
                          </m:e>
                          <m:sub>
                            <m:r>
                              <a:rPr lang="en-US" sz="1400" b="0" i="1" strike="sngStrike" baseline="0">
                                <a:solidFill>
                                  <a:srgbClr val="FF0000"/>
                                </a:solidFill>
                                <a:latin typeface="Cambria Math" panose="02040503050406030204" pitchFamily="18" charset="0"/>
                              </a:rPr>
                              <m:t>𝑙𝑠</m:t>
                            </m:r>
                          </m:sub>
                        </m:sSub>
                        <m:r>
                          <a:rPr lang="en-US" sz="1400" b="0" i="1" strike="sngStrike" baseline="0">
                            <a:solidFill>
                              <a:srgbClr val="FF0000"/>
                            </a:solidFill>
                            <a:latin typeface="Cambria Math" panose="02040503050406030204" pitchFamily="18" charset="0"/>
                          </a:rPr>
                          <m:t>∗</m:t>
                        </m:r>
                        <m:r>
                          <a:rPr lang="en-US" sz="1400" b="0" i="1" strike="sngStrike" baseline="0">
                            <a:solidFill>
                              <a:srgbClr val="FF0000"/>
                            </a:solidFill>
                            <a:latin typeface="Cambria Math" panose="02040503050406030204" pitchFamily="18" charset="0"/>
                          </a:rPr>
                          <m:t>𝐺𝑃</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𝑀</m:t>
                            </m:r>
                          </m:e>
                          <m:sub>
                            <m:r>
                              <a:rPr lang="en-US" sz="1400" b="0" i="1" strike="sngStrike" baseline="0">
                                <a:solidFill>
                                  <a:srgbClr val="FF0000"/>
                                </a:solidFill>
                                <a:latin typeface="Cambria Math" panose="02040503050406030204" pitchFamily="18" charset="0"/>
                              </a:rPr>
                              <m:t>𝑙𝑠</m:t>
                            </m:r>
                          </m:sub>
                        </m:sSub>
                        <m:r>
                          <a:rPr lang="en-US" sz="1400" b="0" i="1" strike="sngStrike" baseline="0">
                            <a:solidFill>
                              <a:srgbClr val="FF0000"/>
                            </a:solidFill>
                            <a:latin typeface="Cambria Math" panose="02040503050406030204" pitchFamily="18" charset="0"/>
                          </a:rPr>
                          <m:t>∗60</m:t>
                        </m:r>
                      </m:num>
                      <m:den>
                        <m:r>
                          <a:rPr lang="en-US" sz="1400" b="0" i="1" strike="sngStrike" baseline="0">
                            <a:solidFill>
                              <a:srgbClr val="FF0000"/>
                            </a:solidFill>
                            <a:latin typeface="Cambria Math" panose="02040503050406030204" pitchFamily="18" charset="0"/>
                          </a:rPr>
                          <m:t>𝐸</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𝐹</m:t>
                            </m:r>
                          </m:e>
                          <m:sub>
                            <m:r>
                              <a:rPr lang="en-US" sz="1400" b="0" i="1" strike="sngStrike" baseline="0">
                                <a:solidFill>
                                  <a:srgbClr val="FF0000"/>
                                </a:solidFill>
                                <a:latin typeface="Cambria Math" panose="02040503050406030204" pitchFamily="18" charset="0"/>
                              </a:rPr>
                              <m:t>𝑙𝑠</m:t>
                            </m:r>
                          </m:sub>
                        </m:sSub>
                        <m:r>
                          <a:rPr lang="en-US" sz="1400" b="0" i="1" strike="sngStrike" baseline="0">
                            <a:solidFill>
                              <a:srgbClr val="FF0000"/>
                            </a:solidFill>
                            <a:latin typeface="Cambria Math" panose="02040503050406030204" pitchFamily="18" charset="0"/>
                          </a:rPr>
                          <m:t>∗1000</m:t>
                        </m:r>
                      </m:den>
                    </m:f>
                  </m:oMath>
                </m:oMathPara>
              </a14:m>
              <a:endParaRPr lang="en-US" sz="1400" strike="sngStrike" baseline="0">
                <a:solidFill>
                  <a:srgbClr val="FF0000"/>
                </a:solidFill>
              </a:endParaRPr>
            </a:p>
          </xdr:txBody>
        </xdr:sp>
      </mc:Choice>
      <mc:Fallback xmlns="">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14557435" y="40800767"/>
              <a:ext cx="5890291" cy="4424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rgbClr val="FF0000"/>
                  </a:solidFill>
                  <a:latin typeface="Cambria Math" panose="02040503050406030204" pitchFamily="18" charset="0"/>
                </a:rPr>
                <a:t>((𝑘𝑊ℎ_𝑙𝑠)/𝐷𝑎𝑦)=(𝑅𝑇_𝑙𝑠∗𝐺𝑃𝑀_𝑙𝑠∗60)/(𝐸𝐹_𝑙𝑠∗1000)</a:t>
              </a:r>
              <a:endParaRPr lang="en-US" sz="1400" strike="sngStrike" baseline="0">
                <a:solidFill>
                  <a:srgbClr val="FF0000"/>
                </a:solidFill>
              </a:endParaRPr>
            </a:p>
          </xdr:txBody>
        </xdr:sp>
      </mc:Fallback>
    </mc:AlternateContent>
    <xdr:clientData/>
  </xdr:twoCellAnchor>
  <xdr:twoCellAnchor>
    <xdr:from>
      <xdr:col>4</xdr:col>
      <xdr:colOff>4086448</xdr:colOff>
      <xdr:row>182</xdr:row>
      <xdr:rowOff>115464</xdr:rowOff>
    </xdr:from>
    <xdr:to>
      <xdr:col>7</xdr:col>
      <xdr:colOff>132681</xdr:colOff>
      <xdr:row>185</xdr:row>
      <xdr:rowOff>95251</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9379627" y="40800821"/>
              <a:ext cx="4564304" cy="5104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h𝑠</m:t>
                                </m:r>
                              </m:sub>
                            </m:sSub>
                          </m:num>
                          <m:den>
                            <m:r>
                              <a:rPr lang="en-US" sz="1400" b="0" i="1" strike="sngStrike" baseline="0">
                                <a:solidFill>
                                  <a:srgbClr val="FF0000"/>
                                </a:solidFill>
                                <a:latin typeface="Cambria Math" panose="02040503050406030204" pitchFamily="18" charset="0"/>
                              </a:rPr>
                              <m:t>𝐷𝑎𝑦</m:t>
                            </m:r>
                          </m:den>
                        </m:f>
                      </m:e>
                    </m:d>
                    <m:r>
                      <a:rPr lang="en-US" sz="1400" b="0" i="1" strike="sngStrike" baseline="0">
                        <a:solidFill>
                          <a:srgbClr val="FF0000"/>
                        </a:solidFill>
                        <a:latin typeface="Cambria Math" panose="02040503050406030204" pitchFamily="18" charset="0"/>
                      </a:rPr>
                      <m:t>=</m:t>
                    </m:r>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𝑅</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𝑇</m:t>
                            </m:r>
                          </m:e>
                          <m:sub>
                            <m:r>
                              <a:rPr lang="en-US" sz="1400" b="0" i="1" strike="sngStrike" baseline="0">
                                <a:solidFill>
                                  <a:srgbClr val="FF0000"/>
                                </a:solidFill>
                                <a:latin typeface="Cambria Math" panose="02040503050406030204" pitchFamily="18" charset="0"/>
                              </a:rPr>
                              <m:t>h𝑠</m:t>
                            </m:r>
                          </m:sub>
                        </m:sSub>
                        <m:r>
                          <a:rPr lang="en-US" sz="1400" b="0" i="1" strike="sngStrike" baseline="0">
                            <a:solidFill>
                              <a:srgbClr val="FF0000"/>
                            </a:solidFill>
                            <a:latin typeface="Cambria Math" panose="02040503050406030204" pitchFamily="18" charset="0"/>
                          </a:rPr>
                          <m:t>∗</m:t>
                        </m:r>
                        <m:r>
                          <a:rPr lang="en-US" sz="1400" b="0" i="1" strike="sngStrike" baseline="0">
                            <a:solidFill>
                              <a:srgbClr val="FF0000"/>
                            </a:solidFill>
                            <a:latin typeface="Cambria Math" panose="02040503050406030204" pitchFamily="18" charset="0"/>
                          </a:rPr>
                          <m:t>𝐺𝑃</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𝑀</m:t>
                            </m:r>
                          </m:e>
                          <m:sub>
                            <m:r>
                              <a:rPr lang="en-US" sz="1400" b="0" i="1" strike="sngStrike" baseline="0">
                                <a:solidFill>
                                  <a:srgbClr val="FF0000"/>
                                </a:solidFill>
                                <a:latin typeface="Cambria Math" panose="02040503050406030204" pitchFamily="18" charset="0"/>
                              </a:rPr>
                              <m:t>h𝑠</m:t>
                            </m:r>
                          </m:sub>
                        </m:sSub>
                        <m:r>
                          <a:rPr lang="en-US" sz="1400" b="0" i="1" strike="sngStrike" baseline="0">
                            <a:solidFill>
                              <a:srgbClr val="FF0000"/>
                            </a:solidFill>
                            <a:latin typeface="Cambria Math" panose="02040503050406030204" pitchFamily="18" charset="0"/>
                          </a:rPr>
                          <m:t>∗60</m:t>
                        </m:r>
                      </m:num>
                      <m:den>
                        <m:r>
                          <a:rPr lang="en-US" sz="1400" b="0" i="1" strike="sngStrike" baseline="0">
                            <a:solidFill>
                              <a:srgbClr val="FF0000"/>
                            </a:solidFill>
                            <a:latin typeface="Cambria Math" panose="02040503050406030204" pitchFamily="18" charset="0"/>
                          </a:rPr>
                          <m:t>𝐸</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𝐹</m:t>
                            </m:r>
                          </m:e>
                          <m:sub>
                            <m:r>
                              <a:rPr lang="en-US" sz="1400" b="0" i="1" strike="sngStrike" baseline="0">
                                <a:solidFill>
                                  <a:srgbClr val="FF0000"/>
                                </a:solidFill>
                                <a:latin typeface="Cambria Math" panose="02040503050406030204" pitchFamily="18" charset="0"/>
                              </a:rPr>
                              <m:t>h𝑠</m:t>
                            </m:r>
                          </m:sub>
                        </m:sSub>
                        <m:r>
                          <a:rPr lang="en-US" sz="1400" b="0" i="1" strike="sngStrike" baseline="0">
                            <a:solidFill>
                              <a:srgbClr val="FF0000"/>
                            </a:solidFill>
                            <a:latin typeface="Cambria Math" panose="02040503050406030204" pitchFamily="18" charset="0"/>
                          </a:rPr>
                          <m:t>∗1000</m:t>
                        </m:r>
                      </m:den>
                    </m:f>
                  </m:oMath>
                </m:oMathPara>
              </a14:m>
              <a:endParaRPr lang="en-US" sz="1400" strike="sngStrike" baseline="0">
                <a:solidFill>
                  <a:srgbClr val="FF0000"/>
                </a:solidFill>
              </a:endParaRPr>
            </a:p>
          </xdr:txBody>
        </xdr:sp>
      </mc:Choice>
      <mc:Fallback xmlns="">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9379627" y="40800821"/>
              <a:ext cx="4564304" cy="51046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rgbClr val="FF0000"/>
                  </a:solidFill>
                  <a:latin typeface="Cambria Math" panose="02040503050406030204" pitchFamily="18" charset="0"/>
                </a:rPr>
                <a:t>((𝑘𝑊ℎ_ℎ𝑠)/𝐷𝑎𝑦)=(𝑅𝑇_ℎ𝑠∗𝐺𝑃𝑀_ℎ𝑠∗60)/(𝐸𝐹_ℎ𝑠∗1000)</a:t>
              </a:r>
              <a:endParaRPr lang="en-US" sz="1400" strike="sngStrike" baseline="0">
                <a:solidFill>
                  <a:srgbClr val="FF0000"/>
                </a:solidFill>
              </a:endParaRPr>
            </a:p>
          </xdr:txBody>
        </xdr:sp>
      </mc:Fallback>
    </mc:AlternateContent>
    <xdr:clientData/>
  </xdr:twoCellAnchor>
  <xdr:twoCellAnchor>
    <xdr:from>
      <xdr:col>3</xdr:col>
      <xdr:colOff>110152</xdr:colOff>
      <xdr:row>191</xdr:row>
      <xdr:rowOff>167193</xdr:rowOff>
    </xdr:from>
    <xdr:to>
      <xdr:col>4</xdr:col>
      <xdr:colOff>220698</xdr:colOff>
      <xdr:row>193</xdr:row>
      <xdr:rowOff>44042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2709917" y="42626281"/>
              <a:ext cx="2811163" cy="2354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2709917" y="42626281"/>
              <a:ext cx="2811163" cy="23543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1434353</xdr:colOff>
      <xdr:row>257</xdr:row>
      <xdr:rowOff>56029</xdr:rowOff>
    </xdr:from>
    <xdr:to>
      <xdr:col>7</xdr:col>
      <xdr:colOff>377521</xdr:colOff>
      <xdr:row>259</xdr:row>
      <xdr:rowOff>84115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𝐶𝐴𝐷𝑅</m:t>
                      </m:r>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1</m:t>
                          </m:r>
                          <m:r>
                            <a:rPr lang="en-US" sz="1400" b="0" i="1">
                              <a:solidFill>
                                <a:srgbClr val="FF0000"/>
                              </a:solidFill>
                              <a:latin typeface="Cambria Math" panose="02040503050406030204" pitchFamily="18" charset="0"/>
                            </a:rPr>
                            <m:t>/</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𝐵𝐿</m:t>
                              </m:r>
                            </m:sub>
                          </m:sSub>
                          <m:r>
                            <a:rPr lang="en-US" sz="1400" b="0" i="1">
                              <a:latin typeface="Cambria Math" panose="02040503050406030204" pitchFamily="18" charset="0"/>
                            </a:rPr>
                            <m:t>−1</m:t>
                          </m:r>
                          <m:r>
                            <a:rPr lang="en-US" sz="1400" b="0" i="1">
                              <a:solidFill>
                                <a:srgbClr val="FF0000"/>
                              </a:solidFill>
                              <a:latin typeface="Cambria Math" panose="02040503050406030204" pitchFamily="18" charset="0"/>
                            </a:rPr>
                            <m:t>/</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𝐵𝐿</m:t>
                              </m:r>
                            </m:sub>
                          </m:sSub>
                          <m:r>
                            <a:rPr lang="en-US" sz="1400" b="0" i="1">
                              <a:latin typeface="Cambria Math" panose="02040503050406030204" pitchFamily="18" charset="0"/>
                            </a:rPr>
                            <m:t>−</m:t>
                          </m:r>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𝐸𝑆</m:t>
                              </m:r>
                            </m:sub>
                          </m:sSub>
                        </m:e>
                      </m:d>
                      <m:r>
                        <a:rPr lang="en-US" sz="1400" b="0" i="1">
                          <a:latin typeface="Cambria Math" panose="02040503050406030204" pitchFamily="18" charset="0"/>
                        </a:rPr>
                        <m:t>∗(24−</m:t>
                      </m:r>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e>
                  </m:d>
                  <m:r>
                    <a:rPr lang="en-US" sz="1400" b="0" i="1">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oMath>
              </a14:m>
              <a:r>
                <a:rPr lang="en-US" sz="1400">
                  <a:solidFill>
                    <a:sysClr val="windowText" lastClr="000000"/>
                  </a:solidFill>
                </a:rPr>
                <a:t>*ISR</a:t>
              </a:r>
              <a:endParaRPr lang="en-US" sz="1400">
                <a:solidFill>
                  <a:srgbClr val="FF0000"/>
                </a:solidFill>
              </a:endParaRPr>
            </a:p>
          </xdr:txBody>
        </xdr:sp>
      </mc:Choice>
      <mc:Fallback xmlns="">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latin typeface="Cambria Math" panose="02040503050406030204" pitchFamily="18" charset="0"/>
                </a:rPr>
                <a:t>𝐸𝑛𝑒𝑟𝑔𝑦 𝑆𝑎𝑣𝑖𝑛𝑔𝑠 (𝑘𝑊ℎ_𝑌𝑒𝑎𝑟 )={𝐶𝐴𝐷𝑅∗(1</a:t>
              </a:r>
              <a:r>
                <a:rPr lang="en-US" sz="1400" b="0" i="0">
                  <a:solidFill>
                    <a:srgbClr val="FF0000"/>
                  </a:solidFill>
                  <a:latin typeface="Cambria Math" panose="02040503050406030204" pitchFamily="18" charset="0"/>
                </a:rPr>
                <a:t>/</a:t>
              </a:r>
              <a:r>
                <a:rPr lang="en-US" sz="1400" b="0" i="0">
                  <a:latin typeface="Cambria Math" panose="02040503050406030204" pitchFamily="18" charset="0"/>
                </a:rPr>
                <a:t>𝐸𝑓𝑓_𝐵𝐿−1</a:t>
              </a:r>
              <a:r>
                <a:rPr lang="en-US" sz="1400" b="0" i="0">
                  <a:solidFill>
                    <a:srgbClr val="FF0000"/>
                  </a:solidFill>
                  <a:latin typeface="Cambria Math" panose="02040503050406030204" pitchFamily="18" charset="0"/>
                </a:rPr>
                <a:t>/</a:t>
              </a:r>
              <a:r>
                <a:rPr lang="en-US" sz="1400" b="0" i="0">
                  <a:latin typeface="Cambria Math" panose="02040503050406030204" pitchFamily="18" charset="0"/>
                </a:rPr>
                <a:t>𝐸𝑓𝑓_𝐸𝑆 )∗(𝐻𝑟_𝑜𝑝𝑒𝑟 )+(𝑆𝐵_𝐵𝐿−𝑆𝐵_𝐸𝑆 )∗(24−𝐻𝑟_𝑜𝑝𝑒𝑟)}∗</a:t>
              </a:r>
              <a:r>
                <a:rPr lang="en-US" sz="1400" b="0" i="0">
                  <a:solidFill>
                    <a:sysClr val="windowText" lastClr="000000"/>
                  </a:solidFill>
                  <a:latin typeface="Cambria Math" panose="02040503050406030204" pitchFamily="18" charset="0"/>
                </a:rPr>
                <a:t>365/1000</a:t>
              </a:r>
              <a:r>
                <a:rPr lang="en-US" sz="1400">
                  <a:solidFill>
                    <a:sysClr val="windowText" lastClr="000000"/>
                  </a:solidFill>
                </a:rPr>
                <a:t>*ISR</a:t>
              </a:r>
              <a:endParaRPr lang="en-US" sz="1400">
                <a:solidFill>
                  <a:srgbClr val="FF0000"/>
                </a:solidFill>
              </a:endParaRPr>
            </a:p>
          </xdr:txBody>
        </xdr:sp>
      </mc:Fallback>
    </mc:AlternateContent>
    <xdr:clientData/>
  </xdr:twoCellAnchor>
  <xdr:twoCellAnchor>
    <xdr:from>
      <xdr:col>3</xdr:col>
      <xdr:colOff>1580028</xdr:colOff>
      <xdr:row>260</xdr:row>
      <xdr:rowOff>156882</xdr:rowOff>
    </xdr:from>
    <xdr:to>
      <xdr:col>4</xdr:col>
      <xdr:colOff>1361184</xdr:colOff>
      <xdr:row>261</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400-000017000000}"/>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281</xdr:row>
      <xdr:rowOff>119903</xdr:rowOff>
    </xdr:from>
    <xdr:to>
      <xdr:col>6</xdr:col>
      <xdr:colOff>34272</xdr:colOff>
      <xdr:row>282</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400-000018000000}"/>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309</xdr:row>
      <xdr:rowOff>17930</xdr:rowOff>
    </xdr:from>
    <xdr:to>
      <xdr:col>5</xdr:col>
      <xdr:colOff>571334</xdr:colOff>
      <xdr:row>312</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400-000019000000}"/>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314</xdr:row>
      <xdr:rowOff>26894</xdr:rowOff>
    </xdr:from>
    <xdr:to>
      <xdr:col>4</xdr:col>
      <xdr:colOff>1538611</xdr:colOff>
      <xdr:row>315</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400-00001A000000}"/>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216</xdr:row>
      <xdr:rowOff>0</xdr:rowOff>
    </xdr:from>
    <xdr:ext cx="65" cy="172227"/>
    <xdr:sp macro="" textlink="">
      <xdr:nvSpPr>
        <xdr:cNvPr id="27" name="TextBox 26">
          <a:extLst>
            <a:ext uri="{FF2B5EF4-FFF2-40B4-BE49-F238E27FC236}">
              <a16:creationId xmlns:a16="http://schemas.microsoft.com/office/drawing/2014/main" id="{00000000-0008-0000-04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216</xdr:row>
      <xdr:rowOff>0</xdr:rowOff>
    </xdr:from>
    <xdr:ext cx="65" cy="172227"/>
    <xdr:sp macro="" textlink="">
      <xdr:nvSpPr>
        <xdr:cNvPr id="28" name="TextBox 27">
          <a:extLst>
            <a:ext uri="{FF2B5EF4-FFF2-40B4-BE49-F238E27FC236}">
              <a16:creationId xmlns:a16="http://schemas.microsoft.com/office/drawing/2014/main" id="{00000000-0008-0000-04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252</xdr:row>
      <xdr:rowOff>0</xdr:rowOff>
    </xdr:from>
    <xdr:ext cx="65" cy="172227"/>
    <xdr:sp macro="" textlink="">
      <xdr:nvSpPr>
        <xdr:cNvPr id="29" name="TextBox 28">
          <a:extLst>
            <a:ext uri="{FF2B5EF4-FFF2-40B4-BE49-F238E27FC236}">
              <a16:creationId xmlns:a16="http://schemas.microsoft.com/office/drawing/2014/main" id="{00000000-0008-0000-04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252</xdr:row>
      <xdr:rowOff>0</xdr:rowOff>
    </xdr:from>
    <xdr:ext cx="65" cy="172227"/>
    <xdr:sp macro="" textlink="">
      <xdr:nvSpPr>
        <xdr:cNvPr id="30" name="TextBox 29">
          <a:extLst>
            <a:ext uri="{FF2B5EF4-FFF2-40B4-BE49-F238E27FC236}">
              <a16:creationId xmlns:a16="http://schemas.microsoft.com/office/drawing/2014/main" id="{00000000-0008-0000-04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276</xdr:row>
      <xdr:rowOff>0</xdr:rowOff>
    </xdr:from>
    <xdr:ext cx="65" cy="172227"/>
    <xdr:sp macro="" textlink="">
      <xdr:nvSpPr>
        <xdr:cNvPr id="31" name="TextBox 30">
          <a:extLst>
            <a:ext uri="{FF2B5EF4-FFF2-40B4-BE49-F238E27FC236}">
              <a16:creationId xmlns:a16="http://schemas.microsoft.com/office/drawing/2014/main" id="{00000000-0008-0000-04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276</xdr:row>
      <xdr:rowOff>0</xdr:rowOff>
    </xdr:from>
    <xdr:ext cx="65" cy="172227"/>
    <xdr:sp macro="" textlink="">
      <xdr:nvSpPr>
        <xdr:cNvPr id="32" name="TextBox 31">
          <a:extLst>
            <a:ext uri="{FF2B5EF4-FFF2-40B4-BE49-F238E27FC236}">
              <a16:creationId xmlns:a16="http://schemas.microsoft.com/office/drawing/2014/main" id="{00000000-0008-0000-04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303</xdr:row>
      <xdr:rowOff>0</xdr:rowOff>
    </xdr:from>
    <xdr:ext cx="65" cy="172227"/>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303</xdr:row>
      <xdr:rowOff>0</xdr:rowOff>
    </xdr:from>
    <xdr:ext cx="65" cy="172227"/>
    <xdr:sp macro="" textlink="">
      <xdr:nvSpPr>
        <xdr:cNvPr id="34" name="TextBox 33">
          <a:extLst>
            <a:ext uri="{FF2B5EF4-FFF2-40B4-BE49-F238E27FC236}">
              <a16:creationId xmlns:a16="http://schemas.microsoft.com/office/drawing/2014/main" id="{00000000-0008-0000-04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00000000-0008-0000-04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00000000-0008-0000-04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4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4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127906</xdr:colOff>
      <xdr:row>7</xdr:row>
      <xdr:rowOff>163285</xdr:rowOff>
    </xdr:from>
    <xdr:to>
      <xdr:col>12</xdr:col>
      <xdr:colOff>259081</xdr:colOff>
      <xdr:row>12</xdr:row>
      <xdr:rowOff>36478</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5418363" y="2383971"/>
              <a:ext cx="17635404" cy="7984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begChr m:val="["/>
                        <m:endChr m:val="]"/>
                        <m:ctrlPr>
                          <a:rPr lang="en-US" sz="1800" b="0" i="1">
                            <a:solidFill>
                              <a:sysClr val="windowText" lastClr="000000"/>
                            </a:solidFill>
                            <a:latin typeface="Cambria Math" panose="02040503050406030204" pitchFamily="18" charset="0"/>
                          </a:rPr>
                        </m:ctrlPr>
                      </m:dPr>
                      <m:e>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𝐵𝐴𝑆𝐸</m:t>
                                            </m:r>
                                          </m:sub>
                                        </m:sSub>
                                      </m:den>
                                    </m:f>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𝑐𝑜𝑜𝑙</m:t>
                            </m:r>
                          </m:sub>
                        </m:sSub>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h𝑒𝑎𝑡</m:t>
                            </m:r>
                          </m:sub>
                        </m:sSub>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𝐼𝑆𝑅</m:t>
                    </m:r>
                  </m:oMath>
                </m:oMathPara>
              </a14:m>
              <a:endParaRPr lang="en-US" sz="1100" i="0">
                <a:solidFill>
                  <a:sysClr val="windowText" lastClr="000000"/>
                </a:solidFill>
              </a:endParaRPr>
            </a:p>
          </xdr:txBody>
        </xdr:sp>
      </mc:Choice>
      <mc:Fallback xmlns="">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5418363" y="2383971"/>
              <a:ext cx="17635404" cy="7984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800" b="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 ]∗𝐼𝑆𝑅</a:t>
              </a:r>
              <a:endParaRPr lang="en-US" sz="1100" i="0">
                <a:solidFill>
                  <a:sysClr val="windowText" lastClr="000000"/>
                </a:solidFill>
              </a:endParaRPr>
            </a:p>
          </xdr:txBody>
        </xdr:sp>
      </mc:Fallback>
    </mc:AlternateContent>
    <xdr:clientData/>
  </xdr:twoCellAnchor>
  <xdr:twoCellAnchor>
    <xdr:from>
      <xdr:col>3</xdr:col>
      <xdr:colOff>0</xdr:colOff>
      <xdr:row>231</xdr:row>
      <xdr:rowOff>0</xdr:rowOff>
    </xdr:from>
    <xdr:to>
      <xdr:col>4</xdr:col>
      <xdr:colOff>1615541</xdr:colOff>
      <xdr:row>232</xdr:row>
      <xdr:rowOff>62675</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3</xdr:col>
      <xdr:colOff>805224</xdr:colOff>
      <xdr:row>83</xdr:row>
      <xdr:rowOff>32657</xdr:rowOff>
    </xdr:from>
    <xdr:to>
      <xdr:col>7</xdr:col>
      <xdr:colOff>1292679</xdr:colOff>
      <xdr:row>85</xdr:row>
      <xdr:rowOff>13606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396024" y="21586371"/>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h𝑒𝑎𝑡𝑖𝑛𝑔</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cooling</m:t>
                        </m:r>
                      </m:sub>
                    </m:sSub>
                  </m:oMath>
                </m:oMathPara>
              </a14:m>
              <a:endParaRPr lang="en-US" sz="1600" b="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396024" y="21586371"/>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𝑘𝑊ℎ=Δ𝑘𝑊ℎ_ℎ𝑒𝑎𝑡𝑖𝑛𝑔+ΔkWh_cooling</a:t>
              </a:r>
              <a:endParaRPr lang="en-US" sz="1600" b="0">
                <a:solidFill>
                  <a:sysClr val="windowText" lastClr="000000"/>
                </a:solidFill>
              </a:endParaRPr>
            </a:p>
          </xdr:txBody>
        </xdr:sp>
      </mc:Fallback>
    </mc:AlternateContent>
    <xdr:clientData/>
  </xdr:twoCellAnchor>
  <xdr:twoCellAnchor>
    <xdr:from>
      <xdr:col>3</xdr:col>
      <xdr:colOff>0</xdr:colOff>
      <xdr:row>188</xdr:row>
      <xdr:rowOff>0</xdr:rowOff>
    </xdr:from>
    <xdr:to>
      <xdr:col>4</xdr:col>
      <xdr:colOff>2028265</xdr:colOff>
      <xdr:row>191</xdr:row>
      <xdr:rowOff>100853</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2C51CB55-0AA1-4BAB-AB6F-B0545558CA62}"/>
                </a:ext>
              </a:extLst>
            </xdr:cNvPr>
            <xdr:cNvSpPr txBox="1"/>
          </xdr:nvSpPr>
          <xdr:spPr>
            <a:xfrm>
              <a:off x="2599765" y="41921206"/>
              <a:ext cx="4728882" cy="6387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rgbClr val="FF0000"/>
                        </a:solidFill>
                        <a:latin typeface="Cambria Math" panose="02040503050406030204" pitchFamily="18" charset="0"/>
                        <a:ea typeface="Cambria Math" panose="02040503050406030204" pitchFamily="18" charset="0"/>
                      </a:rPr>
                      <m:t>∆</m:t>
                    </m:r>
                    <m:r>
                      <a:rPr lang="en-US" sz="1200" b="0" i="1">
                        <a:solidFill>
                          <a:srgbClr val="FF0000"/>
                        </a:solidFill>
                        <a:latin typeface="Cambria Math" panose="02040503050406030204" pitchFamily="18" charset="0"/>
                        <a:ea typeface="Cambria Math" panose="02040503050406030204" pitchFamily="18" charset="0"/>
                      </a:rPr>
                      <m:t>𝑘𝑊h</m:t>
                    </m:r>
                    <m:r>
                      <a:rPr lang="en-US" sz="1200" b="0" i="1">
                        <a:solidFill>
                          <a:srgbClr val="FF0000"/>
                        </a:solidFill>
                        <a:latin typeface="Cambria Math" panose="02040503050406030204" pitchFamily="18" charset="0"/>
                        <a:ea typeface="Cambria Math" panose="02040503050406030204" pitchFamily="18" charset="0"/>
                      </a:rPr>
                      <m:t>=</m:t>
                    </m:r>
                    <m:f>
                      <m:fPr>
                        <m:ctrlPr>
                          <a:rPr lang="en-US" sz="1200" i="1">
                            <a:solidFill>
                              <a:srgbClr val="FF0000"/>
                            </a:solidFill>
                            <a:effectLst/>
                            <a:latin typeface="Cambria Math" panose="02040503050406030204" pitchFamily="18" charset="0"/>
                            <a:ea typeface="+mn-ea"/>
                            <a:cs typeface="+mn-cs"/>
                          </a:rPr>
                        </m:ctrlPr>
                      </m:fPr>
                      <m:num>
                        <m:d>
                          <m:dPr>
                            <m:ctrlPr>
                              <a:rPr lang="en-US" sz="1200" i="1">
                                <a:solidFill>
                                  <a:srgbClr val="FF0000"/>
                                </a:solidFill>
                                <a:effectLst/>
                                <a:latin typeface="Cambria Math" panose="02040503050406030204" pitchFamily="18" charset="0"/>
                                <a:ea typeface="+mn-ea"/>
                                <a:cs typeface="+mn-cs"/>
                              </a:rPr>
                            </m:ctrlPr>
                          </m:dPr>
                          <m:e>
                            <m:r>
                              <a:rPr lang="en-US" sz="1200" i="1">
                                <a:solidFill>
                                  <a:srgbClr val="FF0000"/>
                                </a:solidFill>
                                <a:effectLst/>
                                <a:latin typeface="Cambria Math" panose="02040503050406030204" pitchFamily="18" charset="0"/>
                                <a:ea typeface="+mn-ea"/>
                                <a:cs typeface="+mn-cs"/>
                              </a:rPr>
                              <m:t>𝐺𝑎𝑙𝑙𝑜𝑛𝑠</m:t>
                            </m:r>
                            <m:r>
                              <a:rPr lang="en-US" sz="1200" i="1">
                                <a:solidFill>
                                  <a:srgbClr val="FF0000"/>
                                </a:solidFill>
                                <a:effectLst/>
                                <a:latin typeface="Cambria Math" panose="02040503050406030204" pitchFamily="18" charset="0"/>
                                <a:ea typeface="+mn-ea"/>
                                <a:cs typeface="+mn-cs"/>
                              </a:rPr>
                              <m:t>∗</m:t>
                            </m:r>
                            <m:r>
                              <a:rPr lang="en-US" sz="1200" i="1">
                                <a:solidFill>
                                  <a:srgbClr val="FF0000"/>
                                </a:solidFill>
                                <a:effectLst/>
                                <a:latin typeface="Cambria Math" panose="02040503050406030204" pitchFamily="18" charset="0"/>
                                <a:ea typeface="+mn-ea"/>
                                <a:cs typeface="+mn-cs"/>
                              </a:rPr>
                              <m:t>𝑇𝑢𝑟𝑛𝑜𝑣𝑒𝑟𝑠</m:t>
                            </m:r>
                            <m:r>
                              <a:rPr lang="en-US" sz="1200" i="1">
                                <a:solidFill>
                                  <a:srgbClr val="FF0000"/>
                                </a:solidFill>
                                <a:effectLst/>
                                <a:latin typeface="Cambria Math" panose="02040503050406030204" pitchFamily="18" charset="0"/>
                                <a:ea typeface="+mn-ea"/>
                                <a:cs typeface="+mn-cs"/>
                              </a:rPr>
                              <m:t>∗</m:t>
                            </m:r>
                            <m:d>
                              <m:dPr>
                                <m:ctrlPr>
                                  <a:rPr lang="en-US" sz="1200" i="1">
                                    <a:solidFill>
                                      <a:srgbClr val="FF0000"/>
                                    </a:solidFill>
                                    <a:effectLst/>
                                    <a:latin typeface="Cambria Math" panose="02040503050406030204" pitchFamily="18" charset="0"/>
                                    <a:ea typeface="+mn-ea"/>
                                    <a:cs typeface="+mn-cs"/>
                                  </a:rPr>
                                </m:ctrlPr>
                              </m:dPr>
                              <m:e>
                                <m:f>
                                  <m:fPr>
                                    <m:ctrlPr>
                                      <a:rPr lang="en-US" sz="1200" i="1">
                                        <a:solidFill>
                                          <a:srgbClr val="FF0000"/>
                                        </a:solidFill>
                                        <a:effectLst/>
                                        <a:latin typeface="Cambria Math" panose="02040503050406030204" pitchFamily="18" charset="0"/>
                                        <a:ea typeface="+mn-ea"/>
                                        <a:cs typeface="+mn-cs"/>
                                      </a:rPr>
                                    </m:ctrlPr>
                                  </m:fPr>
                                  <m:num>
                                    <m:r>
                                      <a:rPr lang="en-US" sz="1200" i="1">
                                        <a:solidFill>
                                          <a:srgbClr val="FF0000"/>
                                        </a:solidFill>
                                        <a:effectLst/>
                                        <a:latin typeface="Cambria Math" panose="02040503050406030204" pitchFamily="18" charset="0"/>
                                        <a:ea typeface="+mn-ea"/>
                                        <a:cs typeface="+mn-cs"/>
                                      </a:rPr>
                                      <m:t>1</m:t>
                                    </m:r>
                                  </m:num>
                                  <m:den>
                                    <m:r>
                                      <a:rPr lang="en-US" sz="1200" i="1">
                                        <a:solidFill>
                                          <a:srgbClr val="FF0000"/>
                                        </a:solidFill>
                                        <a:effectLst/>
                                        <a:latin typeface="Cambria Math" panose="02040503050406030204" pitchFamily="18" charset="0"/>
                                        <a:ea typeface="+mn-ea"/>
                                        <a:cs typeface="+mn-cs"/>
                                      </a:rPr>
                                      <m:t>𝑊𝐸</m:t>
                                    </m:r>
                                    <m:sSub>
                                      <m:sSubPr>
                                        <m:ctrlPr>
                                          <a:rPr lang="en-US" sz="1200" i="1">
                                            <a:solidFill>
                                              <a:srgbClr val="FF0000"/>
                                            </a:solidFill>
                                            <a:effectLst/>
                                            <a:latin typeface="Cambria Math" panose="02040503050406030204" pitchFamily="18" charset="0"/>
                                            <a:ea typeface="+mn-ea"/>
                                            <a:cs typeface="+mn-cs"/>
                                          </a:rPr>
                                        </m:ctrlPr>
                                      </m:sSubPr>
                                      <m:e>
                                        <m:r>
                                          <a:rPr lang="en-US" sz="1200" i="1">
                                            <a:solidFill>
                                              <a:srgbClr val="FF0000"/>
                                            </a:solidFill>
                                            <a:effectLst/>
                                            <a:latin typeface="Cambria Math" panose="02040503050406030204" pitchFamily="18" charset="0"/>
                                            <a:ea typeface="+mn-ea"/>
                                            <a:cs typeface="+mn-cs"/>
                                          </a:rPr>
                                          <m:t>𝐹</m:t>
                                        </m:r>
                                      </m:e>
                                      <m:sub>
                                        <m:r>
                                          <a:rPr lang="en-US" sz="1200" i="1">
                                            <a:solidFill>
                                              <a:srgbClr val="FF0000"/>
                                            </a:solidFill>
                                            <a:effectLst/>
                                            <a:latin typeface="Cambria Math" panose="02040503050406030204" pitchFamily="18" charset="0"/>
                                            <a:ea typeface="+mn-ea"/>
                                            <a:cs typeface="+mn-cs"/>
                                          </a:rPr>
                                          <m:t>𝑏𝑎𝑠𝑒</m:t>
                                        </m:r>
                                      </m:sub>
                                    </m:sSub>
                                  </m:den>
                                </m:f>
                                <m:r>
                                  <a:rPr lang="en-US" sz="1200" i="1">
                                    <a:solidFill>
                                      <a:srgbClr val="FF0000"/>
                                    </a:solidFill>
                                    <a:effectLst/>
                                    <a:latin typeface="Cambria Math" panose="02040503050406030204" pitchFamily="18" charset="0"/>
                                    <a:ea typeface="+mn-ea"/>
                                    <a:cs typeface="+mn-cs"/>
                                  </a:rPr>
                                  <m:t>−</m:t>
                                </m:r>
                                <m:f>
                                  <m:fPr>
                                    <m:ctrlPr>
                                      <a:rPr lang="en-US" sz="1200" i="1">
                                        <a:solidFill>
                                          <a:srgbClr val="FF0000"/>
                                        </a:solidFill>
                                        <a:effectLst/>
                                        <a:latin typeface="Cambria Math" panose="02040503050406030204" pitchFamily="18" charset="0"/>
                                        <a:ea typeface="+mn-ea"/>
                                        <a:cs typeface="+mn-cs"/>
                                      </a:rPr>
                                    </m:ctrlPr>
                                  </m:fPr>
                                  <m:num>
                                    <m:r>
                                      <a:rPr lang="en-US" sz="1200" i="1">
                                        <a:solidFill>
                                          <a:srgbClr val="FF0000"/>
                                        </a:solidFill>
                                        <a:effectLst/>
                                        <a:latin typeface="Cambria Math" panose="02040503050406030204" pitchFamily="18" charset="0"/>
                                        <a:ea typeface="+mn-ea"/>
                                        <a:cs typeface="+mn-cs"/>
                                      </a:rPr>
                                      <m:t>1</m:t>
                                    </m:r>
                                  </m:num>
                                  <m:den>
                                    <m:r>
                                      <a:rPr lang="en-US" sz="1200" i="1">
                                        <a:solidFill>
                                          <a:srgbClr val="FF0000"/>
                                        </a:solidFill>
                                        <a:effectLst/>
                                        <a:latin typeface="Cambria Math" panose="02040503050406030204" pitchFamily="18" charset="0"/>
                                        <a:ea typeface="+mn-ea"/>
                                        <a:cs typeface="+mn-cs"/>
                                      </a:rPr>
                                      <m:t>𝑊𝐸</m:t>
                                    </m:r>
                                    <m:sSub>
                                      <m:sSubPr>
                                        <m:ctrlPr>
                                          <a:rPr lang="en-US" sz="1200" i="1">
                                            <a:solidFill>
                                              <a:srgbClr val="FF0000"/>
                                            </a:solidFill>
                                            <a:effectLst/>
                                            <a:latin typeface="Cambria Math" panose="02040503050406030204" pitchFamily="18" charset="0"/>
                                            <a:ea typeface="+mn-ea"/>
                                            <a:cs typeface="+mn-cs"/>
                                          </a:rPr>
                                        </m:ctrlPr>
                                      </m:sSubPr>
                                      <m:e>
                                        <m:r>
                                          <a:rPr lang="en-US" sz="1200" i="1">
                                            <a:solidFill>
                                              <a:srgbClr val="FF0000"/>
                                            </a:solidFill>
                                            <a:effectLst/>
                                            <a:latin typeface="Cambria Math" panose="02040503050406030204" pitchFamily="18" charset="0"/>
                                            <a:ea typeface="+mn-ea"/>
                                            <a:cs typeface="+mn-cs"/>
                                          </a:rPr>
                                          <m:t>𝐹</m:t>
                                        </m:r>
                                      </m:e>
                                      <m:sub>
                                        <m:r>
                                          <a:rPr lang="en-US" sz="1200" b="0" i="1">
                                            <a:solidFill>
                                              <a:srgbClr val="FF0000"/>
                                            </a:solidFill>
                                            <a:effectLst/>
                                            <a:latin typeface="Cambria Math" panose="02040503050406030204" pitchFamily="18" charset="0"/>
                                            <a:ea typeface="+mn-ea"/>
                                            <a:cs typeface="+mn-cs"/>
                                          </a:rPr>
                                          <m:t>𝑒𝑒</m:t>
                                        </m:r>
                                      </m:sub>
                                    </m:sSub>
                                  </m:den>
                                </m:f>
                              </m:e>
                            </m:d>
                            <m:r>
                              <a:rPr lang="en-US" sz="1200" i="1">
                                <a:solidFill>
                                  <a:srgbClr val="FF0000"/>
                                </a:solidFill>
                                <a:effectLst/>
                                <a:latin typeface="Cambria Math" panose="02040503050406030204" pitchFamily="18" charset="0"/>
                                <a:ea typeface="+mn-ea"/>
                                <a:cs typeface="+mn-cs"/>
                              </a:rPr>
                              <m:t>∗</m:t>
                            </m:r>
                            <m:r>
                              <a:rPr lang="en-US" sz="1200" i="1">
                                <a:solidFill>
                                  <a:srgbClr val="FF0000"/>
                                </a:solidFill>
                                <a:effectLst/>
                                <a:latin typeface="Cambria Math" panose="02040503050406030204" pitchFamily="18" charset="0"/>
                                <a:ea typeface="+mn-ea"/>
                                <a:cs typeface="+mn-cs"/>
                              </a:rPr>
                              <m:t>𝐷𝑎𝑦𝑠</m:t>
                            </m:r>
                          </m:e>
                        </m:d>
                      </m:num>
                      <m:den>
                        <m:r>
                          <a:rPr lang="en-US" sz="1200" i="1">
                            <a:solidFill>
                              <a:srgbClr val="FF0000"/>
                            </a:solidFill>
                            <a:effectLst/>
                            <a:latin typeface="Cambria Math" panose="02040503050406030204" pitchFamily="18" charset="0"/>
                            <a:ea typeface="+mn-ea"/>
                            <a:cs typeface="+mn-cs"/>
                          </a:rPr>
                          <m:t>1,000</m:t>
                        </m:r>
                      </m:den>
                    </m:f>
                    <m:r>
                      <a:rPr lang="en-US" sz="1200" b="0" i="1">
                        <a:solidFill>
                          <a:srgbClr val="FF0000"/>
                        </a:solidFill>
                        <a:effectLst/>
                        <a:latin typeface="Cambria Math" panose="02040503050406030204" pitchFamily="18" charset="0"/>
                        <a:ea typeface="+mn-ea"/>
                        <a:cs typeface="+mn-cs"/>
                      </a:rPr>
                      <m:t>∗</m:t>
                    </m:r>
                    <m:r>
                      <a:rPr lang="en-US" sz="1200" b="0" i="1">
                        <a:solidFill>
                          <a:srgbClr val="FF0000"/>
                        </a:solidFill>
                        <a:effectLst/>
                        <a:latin typeface="Cambria Math" panose="02040503050406030204" pitchFamily="18" charset="0"/>
                        <a:ea typeface="+mn-ea"/>
                        <a:cs typeface="+mn-cs"/>
                      </a:rPr>
                      <m:t>𝐼𝑆𝑅</m:t>
                    </m:r>
                  </m:oMath>
                </m:oMathPara>
              </a14:m>
              <a:endParaRPr lang="en-US" sz="1200">
                <a:solidFill>
                  <a:srgbClr val="FF0000"/>
                </a:solidFill>
                <a:effectLst/>
                <a:latin typeface="+mn-lt"/>
                <a:ea typeface="+mn-ea"/>
                <a:cs typeface="+mn-cs"/>
              </a:endParaRPr>
            </a:p>
            <a:p>
              <a:endParaRPr lang="en-US" sz="1200">
                <a:solidFill>
                  <a:srgbClr val="FF0000"/>
                </a:solidFill>
              </a:endParaRPr>
            </a:p>
          </xdr:txBody>
        </xdr:sp>
      </mc:Choice>
      <mc:Fallback xmlns="">
        <xdr:sp macro="" textlink="">
          <xdr:nvSpPr>
            <xdr:cNvPr id="47" name="TextBox 46">
              <a:extLst>
                <a:ext uri="{FF2B5EF4-FFF2-40B4-BE49-F238E27FC236}">
                  <a16:creationId xmlns:a16="http://schemas.microsoft.com/office/drawing/2014/main" id="{2C51CB55-0AA1-4BAB-AB6F-B0545558CA62}"/>
                </a:ext>
              </a:extLst>
            </xdr:cNvPr>
            <xdr:cNvSpPr txBox="1"/>
          </xdr:nvSpPr>
          <xdr:spPr>
            <a:xfrm>
              <a:off x="2599765" y="41921206"/>
              <a:ext cx="4728882" cy="63873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rgbClr val="FF0000"/>
                  </a:solidFill>
                  <a:latin typeface="Cambria Math" panose="02040503050406030204" pitchFamily="18" charset="0"/>
                  <a:ea typeface="Cambria Math" panose="02040503050406030204" pitchFamily="18" charset="0"/>
                </a:rPr>
                <a:t>∆</a:t>
              </a:r>
              <a:r>
                <a:rPr lang="en-US" sz="1200" b="0" i="0">
                  <a:solidFill>
                    <a:srgbClr val="FF0000"/>
                  </a:solidFill>
                  <a:latin typeface="Cambria Math" panose="02040503050406030204" pitchFamily="18" charset="0"/>
                  <a:ea typeface="Cambria Math" panose="02040503050406030204" pitchFamily="18" charset="0"/>
                </a:rPr>
                <a:t>𝑘𝑊ℎ=</a:t>
              </a:r>
              <a:r>
                <a:rPr lang="en-US" sz="1200" i="0">
                  <a:solidFill>
                    <a:srgbClr val="FF0000"/>
                  </a:solidFill>
                  <a:effectLst/>
                  <a:latin typeface="Cambria Math" panose="02040503050406030204" pitchFamily="18" charset="0"/>
                  <a:ea typeface="+mn-ea"/>
                  <a:cs typeface="+mn-cs"/>
                </a:rPr>
                <a:t>(</a:t>
              </a:r>
              <a:r>
                <a:rPr lang="en-US" sz="1200" i="0">
                  <a:solidFill>
                    <a:srgbClr val="FF0000"/>
                  </a:solidFill>
                  <a:effectLst/>
                  <a:latin typeface="+mn-lt"/>
                  <a:ea typeface="+mn-ea"/>
                  <a:cs typeface="+mn-cs"/>
                </a:rPr>
                <a:t>(𝐺𝑎𝑙𝑙𝑜𝑛𝑠∗𝑇𝑢𝑟𝑛𝑜𝑣𝑒𝑟𝑠∗(1/(𝑊𝐸𝐹_𝑏𝑎𝑠𝑒 )−1/(𝑊𝐸𝐹_</a:t>
              </a:r>
              <a:r>
                <a:rPr lang="en-US" sz="1200" b="0" i="0">
                  <a:solidFill>
                    <a:srgbClr val="FF0000"/>
                  </a:solidFill>
                  <a:effectLst/>
                  <a:latin typeface="Cambria Math" panose="02040503050406030204" pitchFamily="18" charset="0"/>
                  <a:ea typeface="+mn-ea"/>
                  <a:cs typeface="+mn-cs"/>
                </a:rPr>
                <a:t>𝑒𝑒</a:t>
              </a:r>
              <a:r>
                <a:rPr lang="en-US" sz="1200" b="0" i="0">
                  <a:solidFill>
                    <a:srgbClr val="FF0000"/>
                  </a:solidFill>
                  <a:effectLst/>
                  <a:latin typeface="+mn-lt"/>
                  <a:ea typeface="+mn-ea"/>
                  <a:cs typeface="+mn-cs"/>
                </a:rPr>
                <a:t> ))</a:t>
              </a:r>
              <a:r>
                <a:rPr lang="en-US" sz="1200" i="0">
                  <a:solidFill>
                    <a:srgbClr val="FF0000"/>
                  </a:solidFill>
                  <a:effectLst/>
                  <a:latin typeface="+mn-lt"/>
                  <a:ea typeface="+mn-ea"/>
                  <a:cs typeface="+mn-cs"/>
                </a:rPr>
                <a:t>∗𝐷𝑎𝑦𝑠)</a:t>
              </a:r>
              <a:r>
                <a:rPr lang="en-US" sz="1200" i="0">
                  <a:solidFill>
                    <a:srgbClr val="FF0000"/>
                  </a:solidFill>
                  <a:effectLst/>
                  <a:latin typeface="Cambria Math" panose="02040503050406030204" pitchFamily="18" charset="0"/>
                  <a:ea typeface="+mn-ea"/>
                  <a:cs typeface="+mn-cs"/>
                </a:rPr>
                <a:t>)/</a:t>
              </a:r>
              <a:r>
                <a:rPr lang="en-US" sz="1200" i="0">
                  <a:solidFill>
                    <a:srgbClr val="FF0000"/>
                  </a:solidFill>
                  <a:effectLst/>
                  <a:latin typeface="+mn-lt"/>
                  <a:ea typeface="+mn-ea"/>
                  <a:cs typeface="+mn-cs"/>
                </a:rPr>
                <a:t>1,000</a:t>
              </a:r>
              <a:r>
                <a:rPr lang="en-US" sz="1200" b="0" i="0">
                  <a:solidFill>
                    <a:srgbClr val="FF0000"/>
                  </a:solidFill>
                  <a:effectLst/>
                  <a:latin typeface="Cambria Math" panose="02040503050406030204" pitchFamily="18" charset="0"/>
                  <a:ea typeface="+mn-ea"/>
                  <a:cs typeface="+mn-cs"/>
                </a:rPr>
                <a:t>∗𝐼𝑆𝑅</a:t>
              </a:r>
              <a:endParaRPr lang="en-US" sz="1200">
                <a:solidFill>
                  <a:srgbClr val="FF0000"/>
                </a:solidFill>
                <a:effectLst/>
                <a:latin typeface="+mn-lt"/>
                <a:ea typeface="+mn-ea"/>
                <a:cs typeface="+mn-cs"/>
              </a:endParaRPr>
            </a:p>
            <a:p>
              <a:pPr/>
              <a:endParaRPr lang="en-US" sz="1200">
                <a:solidFill>
                  <a:srgbClr val="FF0000"/>
                </a:solidFill>
              </a:endParaRPr>
            </a:p>
          </xdr:txBody>
        </xdr:sp>
      </mc:Fallback>
    </mc:AlternateContent>
    <xdr:clientData/>
  </xdr:twoCellAnchor>
  <xdr:twoCellAnchor>
    <xdr:from>
      <xdr:col>5</xdr:col>
      <xdr:colOff>6722</xdr:colOff>
      <xdr:row>188</xdr:row>
      <xdr:rowOff>43926</xdr:rowOff>
    </xdr:from>
    <xdr:to>
      <xdr:col>7</xdr:col>
      <xdr:colOff>845258</xdr:colOff>
      <xdr:row>191</xdr:row>
      <xdr:rowOff>146684</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686EE27C-A788-4F07-AB09-BE9FDB20C539}"/>
                </a:ext>
              </a:extLst>
            </xdr:cNvPr>
            <xdr:cNvSpPr txBox="1"/>
          </xdr:nvSpPr>
          <xdr:spPr>
            <a:xfrm>
              <a:off x="9935134" y="41965132"/>
              <a:ext cx="4726977" cy="64064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rgbClr val="FF0000"/>
                        </a:solidFill>
                        <a:latin typeface="Cambria Math" panose="02040503050406030204" pitchFamily="18" charset="0"/>
                        <a:ea typeface="Cambria Math" panose="02040503050406030204" pitchFamily="18" charset="0"/>
                      </a:rPr>
                      <m:t>∆</m:t>
                    </m:r>
                    <m:r>
                      <a:rPr lang="en-US" sz="1200" b="0" i="1">
                        <a:solidFill>
                          <a:srgbClr val="FF0000"/>
                        </a:solidFill>
                        <a:latin typeface="Cambria Math" panose="02040503050406030204" pitchFamily="18" charset="0"/>
                        <a:ea typeface="Cambria Math" panose="02040503050406030204" pitchFamily="18" charset="0"/>
                      </a:rPr>
                      <m:t>𝑘𝑊h</m:t>
                    </m:r>
                    <m:r>
                      <a:rPr lang="en-US" sz="1200" b="0" i="1">
                        <a:solidFill>
                          <a:srgbClr val="FF0000"/>
                        </a:solidFill>
                        <a:latin typeface="Cambria Math" panose="02040503050406030204" pitchFamily="18" charset="0"/>
                        <a:ea typeface="Cambria Math" panose="02040503050406030204" pitchFamily="18" charset="0"/>
                      </a:rPr>
                      <m:t>=</m:t>
                    </m:r>
                    <m:f>
                      <m:fPr>
                        <m:ctrlPr>
                          <a:rPr lang="en-US" sz="1200" i="1">
                            <a:solidFill>
                              <a:srgbClr val="FF0000"/>
                            </a:solidFill>
                            <a:effectLst/>
                            <a:latin typeface="Cambria Math" panose="02040503050406030204" pitchFamily="18" charset="0"/>
                            <a:ea typeface="+mn-ea"/>
                            <a:cs typeface="+mn-cs"/>
                          </a:rPr>
                        </m:ctrlPr>
                      </m:fPr>
                      <m:num>
                        <m:d>
                          <m:dPr>
                            <m:ctrlPr>
                              <a:rPr lang="en-US" sz="1200" i="1">
                                <a:solidFill>
                                  <a:srgbClr val="FF0000"/>
                                </a:solidFill>
                                <a:effectLst/>
                                <a:latin typeface="Cambria Math" panose="02040503050406030204" pitchFamily="18" charset="0"/>
                                <a:ea typeface="+mn-ea"/>
                                <a:cs typeface="+mn-cs"/>
                              </a:rPr>
                            </m:ctrlPr>
                          </m:dPr>
                          <m:e>
                            <m:r>
                              <a:rPr lang="en-US" sz="1200" i="1">
                                <a:solidFill>
                                  <a:srgbClr val="FF0000"/>
                                </a:solidFill>
                                <a:effectLst/>
                                <a:latin typeface="Cambria Math" panose="02040503050406030204" pitchFamily="18" charset="0"/>
                                <a:ea typeface="+mn-ea"/>
                                <a:cs typeface="+mn-cs"/>
                              </a:rPr>
                              <m:t>𝐺𝑎𝑙𝑙𝑜𝑛𝑠</m:t>
                            </m:r>
                            <m:r>
                              <a:rPr lang="en-US" sz="1200" i="1">
                                <a:solidFill>
                                  <a:srgbClr val="FF0000"/>
                                </a:solidFill>
                                <a:effectLst/>
                                <a:latin typeface="Cambria Math" panose="02040503050406030204" pitchFamily="18" charset="0"/>
                                <a:ea typeface="+mn-ea"/>
                                <a:cs typeface="+mn-cs"/>
                              </a:rPr>
                              <m:t>∗</m:t>
                            </m:r>
                            <m:r>
                              <a:rPr lang="en-US" sz="1200" i="1">
                                <a:solidFill>
                                  <a:srgbClr val="FF0000"/>
                                </a:solidFill>
                                <a:effectLst/>
                                <a:latin typeface="Cambria Math" panose="02040503050406030204" pitchFamily="18" charset="0"/>
                                <a:ea typeface="+mn-ea"/>
                                <a:cs typeface="+mn-cs"/>
                              </a:rPr>
                              <m:t>𝑇𝑢𝑟𝑛𝑜𝑣𝑒𝑟𝑠</m:t>
                            </m:r>
                            <m:r>
                              <a:rPr lang="en-US" sz="1200" i="1">
                                <a:solidFill>
                                  <a:srgbClr val="FF0000"/>
                                </a:solidFill>
                                <a:effectLst/>
                                <a:latin typeface="Cambria Math" panose="02040503050406030204" pitchFamily="18" charset="0"/>
                                <a:ea typeface="+mn-ea"/>
                                <a:cs typeface="+mn-cs"/>
                              </a:rPr>
                              <m:t>∗</m:t>
                            </m:r>
                            <m:d>
                              <m:dPr>
                                <m:ctrlPr>
                                  <a:rPr lang="en-US" sz="1200" i="1">
                                    <a:solidFill>
                                      <a:srgbClr val="FF0000"/>
                                    </a:solidFill>
                                    <a:effectLst/>
                                    <a:latin typeface="Cambria Math" panose="02040503050406030204" pitchFamily="18" charset="0"/>
                                    <a:ea typeface="+mn-ea"/>
                                    <a:cs typeface="+mn-cs"/>
                                  </a:rPr>
                                </m:ctrlPr>
                              </m:dPr>
                              <m:e>
                                <m:f>
                                  <m:fPr>
                                    <m:ctrlPr>
                                      <a:rPr lang="en-US" sz="1200" i="1">
                                        <a:solidFill>
                                          <a:srgbClr val="FF0000"/>
                                        </a:solidFill>
                                        <a:effectLst/>
                                        <a:latin typeface="Cambria Math" panose="02040503050406030204" pitchFamily="18" charset="0"/>
                                        <a:ea typeface="+mn-ea"/>
                                        <a:cs typeface="+mn-cs"/>
                                      </a:rPr>
                                    </m:ctrlPr>
                                  </m:fPr>
                                  <m:num>
                                    <m:r>
                                      <a:rPr lang="en-US" sz="1200" i="1">
                                        <a:solidFill>
                                          <a:srgbClr val="FF0000"/>
                                        </a:solidFill>
                                        <a:effectLst/>
                                        <a:latin typeface="Cambria Math" panose="02040503050406030204" pitchFamily="18" charset="0"/>
                                        <a:ea typeface="+mn-ea"/>
                                        <a:cs typeface="+mn-cs"/>
                                      </a:rPr>
                                      <m:t>1</m:t>
                                    </m:r>
                                  </m:num>
                                  <m:den>
                                    <m:r>
                                      <a:rPr lang="en-US" sz="1200" i="1">
                                        <a:solidFill>
                                          <a:srgbClr val="FF0000"/>
                                        </a:solidFill>
                                        <a:effectLst/>
                                        <a:latin typeface="Cambria Math" panose="02040503050406030204" pitchFamily="18" charset="0"/>
                                        <a:ea typeface="+mn-ea"/>
                                        <a:cs typeface="+mn-cs"/>
                                      </a:rPr>
                                      <m:t>𝐸</m:t>
                                    </m:r>
                                    <m:sSub>
                                      <m:sSubPr>
                                        <m:ctrlPr>
                                          <a:rPr lang="en-US" sz="1200" i="1">
                                            <a:solidFill>
                                              <a:srgbClr val="FF0000"/>
                                            </a:solidFill>
                                            <a:effectLst/>
                                            <a:latin typeface="Cambria Math" panose="02040503050406030204" pitchFamily="18" charset="0"/>
                                            <a:ea typeface="+mn-ea"/>
                                            <a:cs typeface="+mn-cs"/>
                                          </a:rPr>
                                        </m:ctrlPr>
                                      </m:sSubPr>
                                      <m:e>
                                        <m:r>
                                          <a:rPr lang="en-US" sz="1200" i="1">
                                            <a:solidFill>
                                              <a:srgbClr val="FF0000"/>
                                            </a:solidFill>
                                            <a:effectLst/>
                                            <a:latin typeface="Cambria Math" panose="02040503050406030204" pitchFamily="18" charset="0"/>
                                            <a:ea typeface="+mn-ea"/>
                                            <a:cs typeface="+mn-cs"/>
                                          </a:rPr>
                                          <m:t>𝐹</m:t>
                                        </m:r>
                                      </m:e>
                                      <m:sub>
                                        <m:r>
                                          <a:rPr lang="en-US" sz="1200" i="1">
                                            <a:solidFill>
                                              <a:srgbClr val="FF0000"/>
                                            </a:solidFill>
                                            <a:effectLst/>
                                            <a:latin typeface="Cambria Math" panose="02040503050406030204" pitchFamily="18" charset="0"/>
                                            <a:ea typeface="+mn-ea"/>
                                            <a:cs typeface="+mn-cs"/>
                                          </a:rPr>
                                          <m:t>𝑒𝑥𝑖𝑠𝑡</m:t>
                                        </m:r>
                                      </m:sub>
                                    </m:sSub>
                                  </m:den>
                                </m:f>
                                <m:r>
                                  <a:rPr lang="en-US" sz="1200" i="1">
                                    <a:solidFill>
                                      <a:srgbClr val="FF0000"/>
                                    </a:solidFill>
                                    <a:effectLst/>
                                    <a:latin typeface="Cambria Math" panose="02040503050406030204" pitchFamily="18" charset="0"/>
                                    <a:ea typeface="+mn-ea"/>
                                    <a:cs typeface="+mn-cs"/>
                                  </a:rPr>
                                  <m:t>−</m:t>
                                </m:r>
                                <m:f>
                                  <m:fPr>
                                    <m:ctrlPr>
                                      <a:rPr lang="en-US" sz="1200" i="1">
                                        <a:solidFill>
                                          <a:srgbClr val="FF0000"/>
                                        </a:solidFill>
                                        <a:effectLst/>
                                        <a:latin typeface="Cambria Math" panose="02040503050406030204" pitchFamily="18" charset="0"/>
                                        <a:ea typeface="+mn-ea"/>
                                        <a:cs typeface="+mn-cs"/>
                                      </a:rPr>
                                    </m:ctrlPr>
                                  </m:fPr>
                                  <m:num>
                                    <m:r>
                                      <a:rPr lang="en-US" sz="1200" i="1">
                                        <a:solidFill>
                                          <a:srgbClr val="FF0000"/>
                                        </a:solidFill>
                                        <a:effectLst/>
                                        <a:latin typeface="Cambria Math" panose="02040503050406030204" pitchFamily="18" charset="0"/>
                                        <a:ea typeface="+mn-ea"/>
                                        <a:cs typeface="+mn-cs"/>
                                      </a:rPr>
                                      <m:t>1</m:t>
                                    </m:r>
                                  </m:num>
                                  <m:den>
                                    <m:r>
                                      <a:rPr lang="en-US" sz="1200" i="1">
                                        <a:solidFill>
                                          <a:srgbClr val="FF0000"/>
                                        </a:solidFill>
                                        <a:effectLst/>
                                        <a:latin typeface="Cambria Math" panose="02040503050406030204" pitchFamily="18" charset="0"/>
                                        <a:ea typeface="+mn-ea"/>
                                        <a:cs typeface="+mn-cs"/>
                                      </a:rPr>
                                      <m:t>𝑊𝐸</m:t>
                                    </m:r>
                                    <m:sSub>
                                      <m:sSubPr>
                                        <m:ctrlPr>
                                          <a:rPr lang="en-US" sz="1200" i="1">
                                            <a:solidFill>
                                              <a:srgbClr val="FF0000"/>
                                            </a:solidFill>
                                            <a:effectLst/>
                                            <a:latin typeface="Cambria Math" panose="02040503050406030204" pitchFamily="18" charset="0"/>
                                            <a:ea typeface="+mn-ea"/>
                                            <a:cs typeface="+mn-cs"/>
                                          </a:rPr>
                                        </m:ctrlPr>
                                      </m:sSubPr>
                                      <m:e>
                                        <m:r>
                                          <a:rPr lang="en-US" sz="1200" i="1">
                                            <a:solidFill>
                                              <a:srgbClr val="FF0000"/>
                                            </a:solidFill>
                                            <a:effectLst/>
                                            <a:latin typeface="Cambria Math" panose="02040503050406030204" pitchFamily="18" charset="0"/>
                                            <a:ea typeface="+mn-ea"/>
                                            <a:cs typeface="+mn-cs"/>
                                          </a:rPr>
                                          <m:t>𝐹</m:t>
                                        </m:r>
                                      </m:e>
                                      <m:sub>
                                        <m:r>
                                          <a:rPr lang="en-US" sz="1200" b="0" i="1">
                                            <a:solidFill>
                                              <a:srgbClr val="FF0000"/>
                                            </a:solidFill>
                                            <a:effectLst/>
                                            <a:latin typeface="Cambria Math" panose="02040503050406030204" pitchFamily="18" charset="0"/>
                                            <a:ea typeface="+mn-ea"/>
                                            <a:cs typeface="+mn-cs"/>
                                          </a:rPr>
                                          <m:t>𝑒𝑒</m:t>
                                        </m:r>
                                      </m:sub>
                                    </m:sSub>
                                  </m:den>
                                </m:f>
                              </m:e>
                            </m:d>
                            <m:r>
                              <a:rPr lang="en-US" sz="1200" i="1">
                                <a:solidFill>
                                  <a:srgbClr val="FF0000"/>
                                </a:solidFill>
                                <a:effectLst/>
                                <a:latin typeface="Cambria Math" panose="02040503050406030204" pitchFamily="18" charset="0"/>
                                <a:ea typeface="+mn-ea"/>
                                <a:cs typeface="+mn-cs"/>
                              </a:rPr>
                              <m:t>∗</m:t>
                            </m:r>
                            <m:r>
                              <a:rPr lang="en-US" sz="1200" i="1">
                                <a:solidFill>
                                  <a:srgbClr val="FF0000"/>
                                </a:solidFill>
                                <a:effectLst/>
                                <a:latin typeface="Cambria Math" panose="02040503050406030204" pitchFamily="18" charset="0"/>
                                <a:ea typeface="+mn-ea"/>
                                <a:cs typeface="+mn-cs"/>
                              </a:rPr>
                              <m:t>𝐷𝑎𝑦𝑠</m:t>
                            </m:r>
                          </m:e>
                        </m:d>
                      </m:num>
                      <m:den>
                        <m:r>
                          <a:rPr lang="en-US" sz="1200" i="1">
                            <a:solidFill>
                              <a:srgbClr val="FF0000"/>
                            </a:solidFill>
                            <a:effectLst/>
                            <a:latin typeface="Cambria Math" panose="02040503050406030204" pitchFamily="18" charset="0"/>
                            <a:ea typeface="+mn-ea"/>
                            <a:cs typeface="+mn-cs"/>
                          </a:rPr>
                          <m:t>1,000</m:t>
                        </m:r>
                      </m:den>
                    </m:f>
                    <m:r>
                      <a:rPr lang="en-US" sz="1200" b="0" i="1">
                        <a:solidFill>
                          <a:srgbClr val="FF0000"/>
                        </a:solidFill>
                        <a:effectLst/>
                        <a:latin typeface="Cambria Math" panose="02040503050406030204" pitchFamily="18" charset="0"/>
                        <a:ea typeface="+mn-ea"/>
                        <a:cs typeface="+mn-cs"/>
                      </a:rPr>
                      <m:t>∗</m:t>
                    </m:r>
                    <m:r>
                      <a:rPr lang="en-US" sz="1200" b="0" i="1">
                        <a:solidFill>
                          <a:srgbClr val="FF0000"/>
                        </a:solidFill>
                        <a:effectLst/>
                        <a:latin typeface="Cambria Math" panose="02040503050406030204" pitchFamily="18" charset="0"/>
                        <a:ea typeface="+mn-ea"/>
                        <a:cs typeface="+mn-cs"/>
                      </a:rPr>
                      <m:t>𝐼𝑆𝑅</m:t>
                    </m:r>
                  </m:oMath>
                </m:oMathPara>
              </a14:m>
              <a:endParaRPr lang="en-US" sz="1200">
                <a:solidFill>
                  <a:srgbClr val="FF0000"/>
                </a:solidFill>
                <a:effectLst/>
                <a:latin typeface="+mn-lt"/>
                <a:ea typeface="+mn-ea"/>
                <a:cs typeface="+mn-cs"/>
              </a:endParaRPr>
            </a:p>
            <a:p>
              <a:endParaRPr lang="en-US" sz="1200">
                <a:solidFill>
                  <a:srgbClr val="FF0000"/>
                </a:solidFill>
              </a:endParaRPr>
            </a:p>
          </xdr:txBody>
        </xdr:sp>
      </mc:Choice>
      <mc:Fallback xmlns="">
        <xdr:sp macro="" textlink="">
          <xdr:nvSpPr>
            <xdr:cNvPr id="48" name="TextBox 47">
              <a:extLst>
                <a:ext uri="{FF2B5EF4-FFF2-40B4-BE49-F238E27FC236}">
                  <a16:creationId xmlns:a16="http://schemas.microsoft.com/office/drawing/2014/main" id="{686EE27C-A788-4F07-AB09-BE9FDB20C539}"/>
                </a:ext>
              </a:extLst>
            </xdr:cNvPr>
            <xdr:cNvSpPr txBox="1"/>
          </xdr:nvSpPr>
          <xdr:spPr>
            <a:xfrm>
              <a:off x="9935134" y="41965132"/>
              <a:ext cx="4726977" cy="64064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rgbClr val="FF0000"/>
                  </a:solidFill>
                  <a:latin typeface="Cambria Math" panose="02040503050406030204" pitchFamily="18" charset="0"/>
                  <a:ea typeface="Cambria Math" panose="02040503050406030204" pitchFamily="18" charset="0"/>
                </a:rPr>
                <a:t>∆</a:t>
              </a:r>
              <a:r>
                <a:rPr lang="en-US" sz="1200" b="0" i="0">
                  <a:solidFill>
                    <a:srgbClr val="FF0000"/>
                  </a:solidFill>
                  <a:latin typeface="Cambria Math" panose="02040503050406030204" pitchFamily="18" charset="0"/>
                  <a:ea typeface="Cambria Math" panose="02040503050406030204" pitchFamily="18" charset="0"/>
                </a:rPr>
                <a:t>𝑘𝑊ℎ=</a:t>
              </a:r>
              <a:r>
                <a:rPr lang="en-US" sz="1200" i="0">
                  <a:solidFill>
                    <a:srgbClr val="FF0000"/>
                  </a:solidFill>
                  <a:effectLst/>
                  <a:latin typeface="Cambria Math" panose="02040503050406030204" pitchFamily="18" charset="0"/>
                  <a:ea typeface="+mn-ea"/>
                  <a:cs typeface="+mn-cs"/>
                </a:rPr>
                <a:t>(</a:t>
              </a:r>
              <a:r>
                <a:rPr lang="en-US" sz="1200" i="0">
                  <a:solidFill>
                    <a:srgbClr val="FF0000"/>
                  </a:solidFill>
                  <a:effectLst/>
                  <a:latin typeface="+mn-lt"/>
                  <a:ea typeface="+mn-ea"/>
                  <a:cs typeface="+mn-cs"/>
                </a:rPr>
                <a:t>(𝐺𝑎𝑙𝑙𝑜𝑛𝑠∗𝑇𝑢𝑟𝑛𝑜𝑣𝑒𝑟𝑠∗(1/(𝐸𝐹_𝑒𝑥𝑖𝑠𝑡 )−1/(𝑊𝐸𝐹_</a:t>
              </a:r>
              <a:r>
                <a:rPr lang="en-US" sz="1200" b="0" i="0">
                  <a:solidFill>
                    <a:srgbClr val="FF0000"/>
                  </a:solidFill>
                  <a:effectLst/>
                  <a:latin typeface="Cambria Math" panose="02040503050406030204" pitchFamily="18" charset="0"/>
                  <a:ea typeface="+mn-ea"/>
                  <a:cs typeface="+mn-cs"/>
                </a:rPr>
                <a:t>𝑒𝑒</a:t>
              </a:r>
              <a:r>
                <a:rPr lang="en-US" sz="1200" b="0" i="0">
                  <a:solidFill>
                    <a:srgbClr val="FF0000"/>
                  </a:solidFill>
                  <a:effectLst/>
                  <a:latin typeface="+mn-lt"/>
                  <a:ea typeface="+mn-ea"/>
                  <a:cs typeface="+mn-cs"/>
                </a:rPr>
                <a:t> ))</a:t>
              </a:r>
              <a:r>
                <a:rPr lang="en-US" sz="1200" i="0">
                  <a:solidFill>
                    <a:srgbClr val="FF0000"/>
                  </a:solidFill>
                  <a:effectLst/>
                  <a:latin typeface="+mn-lt"/>
                  <a:ea typeface="+mn-ea"/>
                  <a:cs typeface="+mn-cs"/>
                </a:rPr>
                <a:t>∗𝐷𝑎𝑦𝑠)</a:t>
              </a:r>
              <a:r>
                <a:rPr lang="en-US" sz="1200" i="0">
                  <a:solidFill>
                    <a:srgbClr val="FF0000"/>
                  </a:solidFill>
                  <a:effectLst/>
                  <a:latin typeface="Cambria Math" panose="02040503050406030204" pitchFamily="18" charset="0"/>
                  <a:ea typeface="+mn-ea"/>
                  <a:cs typeface="+mn-cs"/>
                </a:rPr>
                <a:t>)/</a:t>
              </a:r>
              <a:r>
                <a:rPr lang="en-US" sz="1200" i="0">
                  <a:solidFill>
                    <a:srgbClr val="FF0000"/>
                  </a:solidFill>
                  <a:effectLst/>
                  <a:latin typeface="+mn-lt"/>
                  <a:ea typeface="+mn-ea"/>
                  <a:cs typeface="+mn-cs"/>
                </a:rPr>
                <a:t>1,000</a:t>
              </a:r>
              <a:r>
                <a:rPr lang="en-US" sz="1200" b="0" i="0">
                  <a:solidFill>
                    <a:srgbClr val="FF0000"/>
                  </a:solidFill>
                  <a:effectLst/>
                  <a:latin typeface="Cambria Math" panose="02040503050406030204" pitchFamily="18" charset="0"/>
                  <a:ea typeface="+mn-ea"/>
                  <a:cs typeface="+mn-cs"/>
                </a:rPr>
                <a:t>∗𝐼𝑆𝑅</a:t>
              </a:r>
              <a:endParaRPr lang="en-US" sz="1200">
                <a:solidFill>
                  <a:srgbClr val="FF0000"/>
                </a:solidFill>
                <a:effectLst/>
                <a:latin typeface="+mn-lt"/>
                <a:ea typeface="+mn-ea"/>
                <a:cs typeface="+mn-cs"/>
              </a:endParaRPr>
            </a:p>
            <a:p>
              <a:pPr/>
              <a:endParaRPr lang="en-US" sz="1200">
                <a:solidFill>
                  <a:srgbClr val="FF0000"/>
                </a:solidFill>
              </a:endParaRP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43</xdr:row>
      <xdr:rowOff>0</xdr:rowOff>
    </xdr:from>
    <xdr:ext cx="65" cy="17222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43</xdr:row>
      <xdr:rowOff>0</xdr:rowOff>
    </xdr:from>
    <xdr:ext cx="65" cy="172227"/>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1389530</xdr:colOff>
      <xdr:row>212</xdr:row>
      <xdr:rowOff>186044</xdr:rowOff>
    </xdr:from>
    <xdr:to>
      <xdr:col>7</xdr:col>
      <xdr:colOff>1277470</xdr:colOff>
      <xdr:row>216</xdr:row>
      <xdr:rowOff>91278</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202206" y="11604838"/>
              <a:ext cx="10242176"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400" b="0" i="1">
                        <a:solidFill>
                          <a:sysClr val="windowText" lastClr="000000"/>
                        </a:solidFill>
                        <a:latin typeface="Cambria Math" panose="02040503050406030204" pitchFamily="18" charset="0"/>
                        <a:ea typeface="Cambria Math" panose="02040503050406030204" pitchFamily="18" charset="0"/>
                      </a:rPr>
                      <m:t>𝑥𝐸𝑃𝐺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202206" y="11604838"/>
              <a:ext cx="10242176"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400" b="0" i="0">
                  <a:solidFill>
                    <a:sysClr val="windowText" lastClr="000000"/>
                  </a:solidFill>
                  <a:latin typeface="Cambria Math" panose="02040503050406030204" pitchFamily="18" charset="0"/>
                  <a:ea typeface="Cambria Math" panose="02040503050406030204" pitchFamily="18" charset="0"/>
                </a:rPr>
                <a:t>𝑥𝐸𝑃𝐺_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1019736</xdr:colOff>
      <xdr:row>216</xdr:row>
      <xdr:rowOff>107580</xdr:rowOff>
    </xdr:from>
    <xdr:to>
      <xdr:col>5</xdr:col>
      <xdr:colOff>1724772</xdr:colOff>
      <xdr:row>218</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3832412" y="12288374"/>
              <a:ext cx="5904566" cy="5623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f>
                      <m:fPr>
                        <m:ctrlPr>
                          <a:rPr lang="en-US" sz="14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3832412" y="12288374"/>
              <a:ext cx="5904566" cy="5623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400" i="0">
                  <a:solidFill>
                    <a:sysClr val="windowText" lastClr="000000"/>
                  </a:solidFill>
                  <a:effectLst/>
                  <a:latin typeface="Cambria Math" panose="02040503050406030204" pitchFamily="18" charset="0"/>
                  <a:ea typeface="Cambria Math" panose="02040503050406030204" pitchFamily="18" charset="0"/>
                  <a:cs typeface="+mn-cs"/>
                </a:rPr>
                <a:t>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412</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1202307</xdr:colOff>
      <xdr:row>108</xdr:row>
      <xdr:rowOff>92528</xdr:rowOff>
    </xdr:from>
    <xdr:to>
      <xdr:col>10</xdr:col>
      <xdr:colOff>63500</xdr:colOff>
      <xdr:row>111</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Choice>
      <mc:Fallback xmlns="">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a:t>
              </a:r>
              <a:r>
                <a:rPr lang="en-US" sz="1400" b="0" i="0" strike="sngStrike" baseline="0">
                  <a:solidFill>
                    <a:srgbClr val="FF0000"/>
                  </a:solidFill>
                  <a:effectLst/>
                  <a:latin typeface="Book Antiqua" panose="020406020503050303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Fallback>
    </mc:AlternateContent>
    <xdr:clientData/>
  </xdr:twoCellAnchor>
  <xdr:twoCellAnchor>
    <xdr:from>
      <xdr:col>3</xdr:col>
      <xdr:colOff>1002843</xdr:colOff>
      <xdr:row>112</xdr:row>
      <xdr:rowOff>8274</xdr:rowOff>
    </xdr:from>
    <xdr:to>
      <xdr:col>8</xdr:col>
      <xdr:colOff>587375</xdr:colOff>
      <xdr:row>114</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𝑊𝑎𝑡𝑒𝑟𝑇𝑒𝑚𝑝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latin typeface="Book Antiqua" panose="02040602050305030304" pitchFamily="18" charset="0"/>
              </a:endParaRPr>
            </a:p>
          </xdr:txBody>
        </xdr:sp>
      </mc:Choice>
      <mc:Fallback xmlns="">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latin typeface="Book Antiqua" panose="02040602050305030304" pitchFamily="18" charset="0"/>
              </a:endParaRPr>
            </a:p>
          </xdr:txBody>
        </xdr:sp>
      </mc:Fallback>
    </mc:AlternateContent>
    <xdr:clientData/>
  </xdr:twoCellAnchor>
  <xdr:twoCellAnchor>
    <xdr:from>
      <xdr:col>3</xdr:col>
      <xdr:colOff>1196866</xdr:colOff>
      <xdr:row>161</xdr:row>
      <xdr:rowOff>54428</xdr:rowOff>
    </xdr:from>
    <xdr:to>
      <xdr:col>9</xdr:col>
      <xdr:colOff>460374</xdr:colOff>
      <xdr:row>164</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a:t>
              </a:r>
              <a:r>
                <a:rPr lang="en-US" sz="1400" b="0" i="0" strike="sngStrike" baseline="0">
                  <a:solidFill>
                    <a:srgbClr val="FF0000"/>
                  </a:solidFill>
                  <a:effectLst/>
                  <a:latin typeface="+mn-lt"/>
                  <a:ea typeface="+mn-ea"/>
                  <a:cs typeface="+mn-cs"/>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164</xdr:row>
      <xdr:rowOff>97174</xdr:rowOff>
    </xdr:from>
    <xdr:to>
      <xdr:col>6</xdr:col>
      <xdr:colOff>3871310</xdr:colOff>
      <xdr:row>168</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𝑊𝑎𝑡𝑒𝑟𝑇𝑒𝑚𝑝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Choice>
      <mc:Fallback xmlns="">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Fallback>
    </mc:AlternateContent>
    <xdr:clientData/>
  </xdr:twoCellAnchor>
  <xdr:oneCellAnchor>
    <xdr:from>
      <xdr:col>7</xdr:col>
      <xdr:colOff>2269331</xdr:colOff>
      <xdr:row>271</xdr:row>
      <xdr:rowOff>453627</xdr:rowOff>
    </xdr:from>
    <xdr:ext cx="65" cy="172227"/>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271</xdr:row>
      <xdr:rowOff>453627</xdr:rowOff>
    </xdr:from>
    <xdr:ext cx="65" cy="172227"/>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12744</xdr:colOff>
      <xdr:row>13</xdr:row>
      <xdr:rowOff>97972</xdr:rowOff>
    </xdr:from>
    <xdr:to>
      <xdr:col>5</xdr:col>
      <xdr:colOff>2465295</xdr:colOff>
      <xdr:row>15</xdr:row>
      <xdr:rowOff>67235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421458" y="3167743"/>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421458" y="3167743"/>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3</xdr:col>
      <xdr:colOff>1320502</xdr:colOff>
      <xdr:row>18</xdr:row>
      <xdr:rowOff>12021</xdr:rowOff>
    </xdr:from>
    <xdr:to>
      <xdr:col>4</xdr:col>
      <xdr:colOff>1871383</xdr:colOff>
      <xdr:row>19</xdr:row>
      <xdr:rowOff>123265</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133178" y="3721168"/>
              <a:ext cx="2030058" cy="301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133178" y="3721168"/>
              <a:ext cx="2030058" cy="301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725534</xdr:colOff>
      <xdr:row>15</xdr:row>
      <xdr:rowOff>185600</xdr:rowOff>
    </xdr:from>
    <xdr:to>
      <xdr:col>6</xdr:col>
      <xdr:colOff>33618</xdr:colOff>
      <xdr:row>17</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3538210" y="3323247"/>
              <a:ext cx="7185820"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3538210" y="3323247"/>
              <a:ext cx="7185820"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312</xdr:row>
      <xdr:rowOff>30207</xdr:rowOff>
    </xdr:from>
    <xdr:to>
      <xdr:col>5</xdr:col>
      <xdr:colOff>2400300</xdr:colOff>
      <xdr:row>313</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2932339" y="62847582"/>
              <a:ext cx="7468961"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2932339" y="62847582"/>
              <a:ext cx="7468961"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263</xdr:row>
      <xdr:rowOff>102053</xdr:rowOff>
    </xdr:from>
    <xdr:to>
      <xdr:col>6</xdr:col>
      <xdr:colOff>2809875</xdr:colOff>
      <xdr:row>267</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m:t>
                                        </m:r>
                                      </m:e>
                                      <m:sub>
                                        <m:r>
                                          <a:rPr lang="en-US" sz="1400" b="0" i="1">
                                            <a:solidFill>
                                              <a:sysClr val="windowText" lastClr="000000"/>
                                            </a:solidFill>
                                            <a:latin typeface="Cambria Math" panose="02040503050406030204" pitchFamily="18" charset="0"/>
                                            <a:ea typeface="Cambria Math" panose="02040503050406030204" pitchFamily="18" charset="0"/>
                                          </a:rPr>
                                          <m:t>𝐵𝑎𝑠𝑒</m:t>
                                        </m:r>
                                      </m:sub>
                                    </m:sSub>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𝐵𝑎𝑠𝑒</m:t>
                                        </m:r>
                                      </m:sub>
                                    </m:sSub>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m:t>
                                        </m:r>
                                      </m:e>
                                      <m:sub>
                                        <m:r>
                                          <a:rPr lang="en-US" sz="1400" b="0" i="1">
                                            <a:solidFill>
                                              <a:sysClr val="windowText" lastClr="000000"/>
                                            </a:solidFill>
                                            <a:latin typeface="Cambria Math" panose="02040503050406030204" pitchFamily="18" charset="0"/>
                                            <a:ea typeface="Cambria Math" panose="02040503050406030204" pitchFamily="18" charset="0"/>
                                          </a:rPr>
                                          <m:t>𝐸𝐸</m:t>
                                        </m:r>
                                      </m:sub>
                                    </m:sSub>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𝑅</m:t>
                                        </m:r>
                                      </m:e>
                                      <m:sub>
                                        <m:r>
                                          <a:rPr lang="en-US" sz="1400" b="0" i="1">
                                            <a:solidFill>
                                              <a:sysClr val="windowText" lastClr="000000"/>
                                            </a:solidFill>
                                            <a:latin typeface="Cambria Math" panose="02040503050406030204" pitchFamily="18" charset="0"/>
                                            <a:ea typeface="Cambria Math" panose="02040503050406030204" pitchFamily="18" charset="0"/>
                                          </a:rPr>
                                          <m:t>𝐸𝐸</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𝐿</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𝑇</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e>
                        </m:d>
                      </m:num>
                      <m:den>
                        <m:r>
                          <a:rPr lang="en-US" sz="1400" b="0" i="1">
                            <a:solidFill>
                              <a:sysClr val="windowText" lastClr="000000"/>
                            </a:solidFill>
                            <a:latin typeface="Cambria Math" panose="02040503050406030204" pitchFamily="18" charset="0"/>
                            <a:ea typeface="Cambria Math" panose="02040503050406030204" pitchFamily="18" charset="0"/>
                          </a:rPr>
                          <m:t>𝜂</m:t>
                        </m:r>
                        <m:r>
                          <a:rPr lang="en-US" sz="1400" b="0" i="1">
                            <a:solidFill>
                              <a:sysClr val="windowText" lastClr="000000"/>
                            </a:solidFill>
                            <a:latin typeface="Cambria Math" panose="02040503050406030204" pitchFamily="18" charset="0"/>
                            <a:ea typeface="Cambria Math" panose="02040503050406030204" pitchFamily="18" charset="0"/>
                          </a:rPr>
                          <m:t>𝐷𝐻</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m:t>
                            </m:r>
                          </m:e>
                          <m:sub>
                            <m:r>
                              <a:rPr lang="en-US" sz="1400" b="0" i="1">
                                <a:solidFill>
                                  <a:sysClr val="windowText" lastClr="000000"/>
                                </a:solidFill>
                                <a:latin typeface="Cambria Math" panose="02040503050406030204" pitchFamily="18" charset="0"/>
                                <a:ea typeface="Cambria Math" panose="02040503050406030204" pitchFamily="18" charset="0"/>
                              </a:rPr>
                              <m:t>𝐸𝑙𝑒𝑐</m:t>
                            </m:r>
                          </m:sub>
                        </m:sSub>
                        <m:r>
                          <a:rPr lang="en-US" sz="1400" b="0" i="1">
                            <a:solidFill>
                              <a:sysClr val="windowText" lastClr="000000"/>
                            </a:solidFill>
                            <a:latin typeface="Cambria Math" panose="02040503050406030204" pitchFamily="18" charset="0"/>
                            <a:ea typeface="Cambria Math" panose="02040503050406030204" pitchFamily="18" charset="0"/>
                          </a:rPr>
                          <m:t>∗3,412</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)∗𝐿∗∆𝑇∗𝐻𝑜𝑢𝑟𝑠))/(𝜂𝐷𝐻𝑊_𝐸𝑙𝑒𝑐∗3,412)∗𝐼𝑆𝑅</a:t>
              </a:r>
              <a:endParaRPr lang="en-US" sz="1400">
                <a:solidFill>
                  <a:sysClr val="windowText" lastClr="000000"/>
                </a:solidFill>
              </a:endParaRPr>
            </a:p>
          </xdr:txBody>
        </xdr:sp>
      </mc:Fallback>
    </mc:AlternateContent>
    <xdr:clientData/>
  </xdr:twoCellAnchor>
  <xdr:twoCellAnchor>
    <xdr:from>
      <xdr:col>12</xdr:col>
      <xdr:colOff>638735</xdr:colOff>
      <xdr:row>282</xdr:row>
      <xdr:rowOff>0</xdr:rowOff>
    </xdr:from>
    <xdr:to>
      <xdr:col>13</xdr:col>
      <xdr:colOff>720379</xdr:colOff>
      <xdr:row>291</xdr:row>
      <xdr:rowOff>149679</xdr:rowOff>
    </xdr:to>
    <xdr:sp macro="" textlink="">
      <xdr:nvSpPr>
        <xdr:cNvPr id="21" name="Oval 20">
          <a:extLst>
            <a:ext uri="{FF2B5EF4-FFF2-40B4-BE49-F238E27FC236}">
              <a16:creationId xmlns:a16="http://schemas.microsoft.com/office/drawing/2014/main" id="{00000000-0008-0000-0500-000015000000}"/>
            </a:ext>
          </a:extLst>
        </xdr:cNvPr>
        <xdr:cNvSpPr/>
      </xdr:nvSpPr>
      <xdr:spPr>
        <a:xfrm>
          <a:off x="25421053" y="57427091"/>
          <a:ext cx="1172690" cy="2175906"/>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281</xdr:row>
      <xdr:rowOff>81643</xdr:rowOff>
    </xdr:from>
    <xdr:to>
      <xdr:col>14</xdr:col>
      <xdr:colOff>22412</xdr:colOff>
      <xdr:row>293</xdr:row>
      <xdr:rowOff>136072</xdr:rowOff>
    </xdr:to>
    <xdr:sp macro="" textlink="">
      <xdr:nvSpPr>
        <xdr:cNvPr id="22" name="Oval 21">
          <a:extLst>
            <a:ext uri="{FF2B5EF4-FFF2-40B4-BE49-F238E27FC236}">
              <a16:creationId xmlns:a16="http://schemas.microsoft.com/office/drawing/2014/main" id="{00000000-0008-0000-0500-000016000000}"/>
            </a:ext>
          </a:extLst>
        </xdr:cNvPr>
        <xdr:cNvSpPr/>
      </xdr:nvSpPr>
      <xdr:spPr>
        <a:xfrm>
          <a:off x="21014872" y="62565643"/>
          <a:ext cx="1981840"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286</xdr:row>
      <xdr:rowOff>0</xdr:rowOff>
    </xdr:from>
    <xdr:to>
      <xdr:col>13</xdr:col>
      <xdr:colOff>720379</xdr:colOff>
      <xdr:row>286</xdr:row>
      <xdr:rowOff>0</xdr:rowOff>
    </xdr:to>
    <xdr:cxnSp macro="">
      <xdr:nvCxnSpPr>
        <xdr:cNvPr id="23" name="Straight Arrow Connector 22">
          <a:extLst>
            <a:ext uri="{FF2B5EF4-FFF2-40B4-BE49-F238E27FC236}">
              <a16:creationId xmlns:a16="http://schemas.microsoft.com/office/drawing/2014/main" id="{00000000-0008-0000-0500-000017000000}"/>
            </a:ext>
          </a:extLst>
        </xdr:cNvPr>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285</xdr:row>
      <xdr:rowOff>217713</xdr:rowOff>
    </xdr:from>
    <xdr:to>
      <xdr:col>13</xdr:col>
      <xdr:colOff>612322</xdr:colOff>
      <xdr:row>287</xdr:row>
      <xdr:rowOff>0</xdr:rowOff>
    </xdr:to>
    <xdr:sp macro="" textlink="">
      <xdr:nvSpPr>
        <xdr:cNvPr id="24" name="TextBox 23">
          <a:extLst>
            <a:ext uri="{FF2B5EF4-FFF2-40B4-BE49-F238E27FC236}">
              <a16:creationId xmlns:a16="http://schemas.microsoft.com/office/drawing/2014/main" id="{00000000-0008-0000-0500-000018000000}"/>
            </a:ext>
          </a:extLst>
        </xdr:cNvPr>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285</xdr:row>
      <xdr:rowOff>190500</xdr:rowOff>
    </xdr:from>
    <xdr:to>
      <xdr:col>14</xdr:col>
      <xdr:colOff>27215</xdr:colOff>
      <xdr:row>285</xdr:row>
      <xdr:rowOff>190500</xdr:rowOff>
    </xdr:to>
    <xdr:cxnSp macro="">
      <xdr:nvCxnSpPr>
        <xdr:cNvPr id="25" name="Straight Arrow Connector 24">
          <a:extLst>
            <a:ext uri="{FF2B5EF4-FFF2-40B4-BE49-F238E27FC236}">
              <a16:creationId xmlns:a16="http://schemas.microsoft.com/office/drawing/2014/main" id="{00000000-0008-0000-0500-000019000000}"/>
            </a:ext>
          </a:extLst>
        </xdr:cNvPr>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282</xdr:row>
      <xdr:rowOff>0</xdr:rowOff>
    </xdr:from>
    <xdr:to>
      <xdr:col>14</xdr:col>
      <xdr:colOff>381000</xdr:colOff>
      <xdr:row>285</xdr:row>
      <xdr:rowOff>136070</xdr:rowOff>
    </xdr:to>
    <xdr:sp macro="" textlink="">
      <xdr:nvSpPr>
        <xdr:cNvPr id="26" name="TextBox 25">
          <a:extLst>
            <a:ext uri="{FF2B5EF4-FFF2-40B4-BE49-F238E27FC236}">
              <a16:creationId xmlns:a16="http://schemas.microsoft.com/office/drawing/2014/main" id="{00000000-0008-0000-0500-00001A000000}"/>
            </a:ext>
          </a:extLst>
        </xdr:cNvPr>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282</xdr:row>
      <xdr:rowOff>0</xdr:rowOff>
    </xdr:from>
    <xdr:to>
      <xdr:col>15</xdr:col>
      <xdr:colOff>95249</xdr:colOff>
      <xdr:row>285</xdr:row>
      <xdr:rowOff>163286</xdr:rowOff>
    </xdr:to>
    <xdr:sp macro="" textlink="">
      <xdr:nvSpPr>
        <xdr:cNvPr id="27" name="TextBox 26">
          <a:extLst>
            <a:ext uri="{FF2B5EF4-FFF2-40B4-BE49-F238E27FC236}">
              <a16:creationId xmlns:a16="http://schemas.microsoft.com/office/drawing/2014/main" id="{00000000-0008-0000-0500-00001B000000}"/>
            </a:ext>
          </a:extLst>
        </xdr:cNvPr>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oneCellAnchor>
    <xdr:from>
      <xdr:col>6</xdr:col>
      <xdr:colOff>2269331</xdr:colOff>
      <xdr:row>333</xdr:row>
      <xdr:rowOff>0</xdr:rowOff>
    </xdr:from>
    <xdr:ext cx="65" cy="172227"/>
    <xdr:sp macro="" textlink="">
      <xdr:nvSpPr>
        <xdr:cNvPr id="28" name="TextBox 27">
          <a:extLst>
            <a:ext uri="{FF2B5EF4-FFF2-40B4-BE49-F238E27FC236}">
              <a16:creationId xmlns:a16="http://schemas.microsoft.com/office/drawing/2014/main" id="{FF9F8A2B-255F-4C9D-BE75-109BA1992138}"/>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333</xdr:row>
      <xdr:rowOff>0</xdr:rowOff>
    </xdr:from>
    <xdr:ext cx="65" cy="172227"/>
    <xdr:sp macro="" textlink="">
      <xdr:nvSpPr>
        <xdr:cNvPr id="29" name="TextBox 28">
          <a:extLst>
            <a:ext uri="{FF2B5EF4-FFF2-40B4-BE49-F238E27FC236}">
              <a16:creationId xmlns:a16="http://schemas.microsoft.com/office/drawing/2014/main" id="{5FE9FAD4-4320-4B32-8DD3-8ED546C089F9}"/>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106270</xdr:colOff>
      <xdr:row>340</xdr:row>
      <xdr:rowOff>120277</xdr:rowOff>
    </xdr:from>
    <xdr:to>
      <xdr:col>5</xdr:col>
      <xdr:colOff>1069361</xdr:colOff>
      <xdr:row>342</xdr:row>
      <xdr:rowOff>80042</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2918946" y="17668689"/>
              <a:ext cx="6162621" cy="340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2918946" y="17668689"/>
              <a:ext cx="6162621" cy="340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4</xdr:col>
      <xdr:colOff>10886</xdr:colOff>
      <xdr:row>11</xdr:row>
      <xdr:rowOff>119742</xdr:rowOff>
    </xdr:from>
    <xdr:to>
      <xdr:col>5</xdr:col>
      <xdr:colOff>2463437</xdr:colOff>
      <xdr:row>13</xdr:row>
      <xdr:rowOff>89006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419600" y="2819399"/>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419600" y="2819399"/>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4</xdr:col>
      <xdr:colOff>66798</xdr:colOff>
      <xdr:row>61</xdr:row>
      <xdr:rowOff>144316</xdr:rowOff>
    </xdr:from>
    <xdr:to>
      <xdr:col>7</xdr:col>
      <xdr:colOff>332029</xdr:colOff>
      <xdr:row>63</xdr:row>
      <xdr:rowOff>101813</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4344389" y="12665361"/>
              <a:ext cx="9149458" cy="3384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𝐵𝑎𝑠𝑒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𝐸𝐸</m:t>
                            </m:r>
                          </m:sub>
                        </m:sSub>
                      </m:e>
                    </m:d>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𝑅𝐸𝑆</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𝐿𝐾𝐺</m:t>
                        </m:r>
                      </m:e>
                    </m:d>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𝐻𝑜𝑢𝑟𝑠</m:t>
                        </m:r>
                      </m:e>
                      <m:sub>
                        <m:r>
                          <a:rPr lang="en-US" sz="1600" b="0" i="1">
                            <a:solidFill>
                              <a:sysClr val="windowText" lastClr="000000"/>
                            </a:solidFill>
                            <a:latin typeface="Cambria Math" panose="02040503050406030204" pitchFamily="18" charset="0"/>
                            <a:ea typeface="Cambria Math" panose="02040503050406030204" pitchFamily="18" charset="0"/>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𝑁𝑅𝐸𝑆</m:t>
                        </m:r>
                      </m:sub>
                    </m:sSub>
                    <m:r>
                      <a:rPr lang="en-US" sz="1600" b="0" i="1">
                        <a:solidFill>
                          <a:sysClr val="windowText" lastClr="000000"/>
                        </a:solidFill>
                        <a:latin typeface="Cambria Math" panose="02040503050406030204" pitchFamily="18" charset="0"/>
                        <a:ea typeface="Cambria Math" panose="02040503050406030204" pitchFamily="18" charset="0"/>
                      </a:rPr>
                      <m:t>)/1000 </m:t>
                    </m:r>
                  </m:oMath>
                </m:oMathPara>
              </a14:m>
              <a:endParaRPr lang="en-US" sz="1600">
                <a:solidFill>
                  <a:sysClr val="windowText" lastClr="000000"/>
                </a:solidFill>
              </a:endParaRPr>
            </a:p>
          </xdr:txBody>
        </xdr:sp>
      </mc:Choice>
      <mc:Fallback xmlns="">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4344389" y="12665361"/>
              <a:ext cx="9149458" cy="3384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ysClr val="windowText" lastClr="000000"/>
                  </a:solidFill>
                  <a:effectLst/>
                  <a:latin typeface="Cambria Math" panose="02040503050406030204" pitchFamily="18" charset="0"/>
                  <a:ea typeface="+mn-ea"/>
                  <a:cs typeface="+mn-cs"/>
                </a:rPr>
                <a:t>∆〖𝑘𝑊ℎ〗_𝑁𝑅𝐸𝑆</a:t>
              </a:r>
              <a:r>
                <a:rPr lang="en-US" sz="1600" b="0" i="0">
                  <a:solidFill>
                    <a:sysClr val="windowText" lastClr="000000"/>
                  </a:solidFill>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solidFill>
                  <a:sysClr val="windowText" lastClr="000000"/>
                </a:solidFill>
              </a:endParaRPr>
            </a:p>
          </xdr:txBody>
        </xdr:sp>
      </mc:Fallback>
    </mc:AlternateContent>
    <xdr:clientData/>
  </xdr:twoCellAnchor>
  <xdr:twoCellAnchor>
    <xdr:from>
      <xdr:col>4</xdr:col>
      <xdr:colOff>85848</xdr:colOff>
      <xdr:row>63</xdr:row>
      <xdr:rowOff>170890</xdr:rowOff>
    </xdr:from>
    <xdr:to>
      <xdr:col>4</xdr:col>
      <xdr:colOff>1831519</xdr:colOff>
      <xdr:row>65</xdr:row>
      <xdr:rowOff>40023</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4363439" y="13072935"/>
              <a:ext cx="1745671" cy="2501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600">
                <a:solidFill>
                  <a:sysClr val="windowText" lastClr="000000"/>
                </a:solidFill>
              </a:endParaRPr>
            </a:p>
          </xdr:txBody>
        </xdr:sp>
      </mc:Choice>
      <mc:Fallback xmlns="">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4363439" y="13072935"/>
              <a:ext cx="1745671" cy="25013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𝑘𝑊=∆𝑘𝑊ℎ∗𝐶𝐹</a:t>
              </a:r>
              <a:endParaRPr lang="en-US" sz="1600">
                <a:solidFill>
                  <a:sysClr val="windowText" lastClr="000000"/>
                </a:solidFill>
              </a:endParaRPr>
            </a:p>
          </xdr:txBody>
        </xdr:sp>
      </mc:Fallback>
    </mc:AlternateContent>
    <xdr:clientData/>
  </xdr:twoCellAnchor>
  <xdr:twoCellAnchor>
    <xdr:from>
      <xdr:col>4</xdr:col>
      <xdr:colOff>348238</xdr:colOff>
      <xdr:row>58</xdr:row>
      <xdr:rowOff>0</xdr:rowOff>
    </xdr:from>
    <xdr:to>
      <xdr:col>5</xdr:col>
      <xdr:colOff>168812</xdr:colOff>
      <xdr:row>59</xdr:row>
      <xdr:rowOff>54190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4625829" y="11949545"/>
              <a:ext cx="3543983" cy="2446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 ∆</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oMath>
              </a14:m>
              <a:r>
                <a:rPr lang="en-US" sz="1600">
                  <a:solidFill>
                    <a:sysClr val="windowText" lastClr="000000"/>
                  </a:solidFill>
                </a:rPr>
                <a:t>+</a:t>
              </a:r>
              <a14:m>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𝑁𝑅𝐸𝑆</m:t>
                      </m:r>
                    </m:sub>
                  </m:sSub>
                </m:oMath>
              </a14:m>
              <a:endParaRPr lang="en-US" sz="1200">
                <a:solidFill>
                  <a:sysClr val="windowText" lastClr="000000"/>
                </a:solidFill>
              </a:endParaRPr>
            </a:p>
          </xdr:txBody>
        </xdr:sp>
      </mc:Choice>
      <mc:Fallback xmlns="">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4625829" y="11949545"/>
              <a:ext cx="3543983" cy="2446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𝑘𝑊ℎ= ∆〖𝑘𝑊ℎ〗_𝑅𝐸𝑆</a:t>
              </a:r>
              <a:r>
                <a:rPr lang="en-US" sz="1600">
                  <a:solidFill>
                    <a:sysClr val="windowText" lastClr="000000"/>
                  </a:solidFill>
                </a:rPr>
                <a:t>+</a:t>
              </a:r>
              <a:r>
                <a:rPr lang="en-US" sz="1600" b="0" i="0">
                  <a:solidFill>
                    <a:sysClr val="windowText" lastClr="000000"/>
                  </a:solidFill>
                  <a:effectLst/>
                  <a:latin typeface="Cambria Math" panose="02040503050406030204" pitchFamily="18" charset="0"/>
                  <a:ea typeface="+mn-ea"/>
                  <a:cs typeface="+mn-cs"/>
                </a:rPr>
                <a:t>∆〖𝑘𝑊ℎ〗_𝑁𝑅𝐸𝑆</a:t>
              </a:r>
              <a:endParaRPr lang="en-US" sz="1200">
                <a:solidFill>
                  <a:sysClr val="windowText" lastClr="000000"/>
                </a:solidFill>
              </a:endParaRPr>
            </a:p>
          </xdr:txBody>
        </xdr:sp>
      </mc:Fallback>
    </mc:AlternateContent>
    <xdr:clientData/>
  </xdr:twoCellAnchor>
  <xdr:twoCellAnchor>
    <xdr:from>
      <xdr:col>3</xdr:col>
      <xdr:colOff>1402773</xdr:colOff>
      <xdr:row>59</xdr:row>
      <xdr:rowOff>170357</xdr:rowOff>
    </xdr:from>
    <xdr:to>
      <xdr:col>6</xdr:col>
      <xdr:colOff>2199178</xdr:colOff>
      <xdr:row>61</xdr:row>
      <xdr:rowOff>113340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4208318" y="12310402"/>
              <a:ext cx="8676178" cy="3239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𝑘𝑊h</m:t>
                        </m:r>
                      </m:e>
                      <m:sub>
                        <m:r>
                          <a:rPr lang="en-US" sz="1600" b="0" i="1">
                            <a:solidFill>
                              <a:sysClr val="windowText" lastClr="000000"/>
                            </a:solidFill>
                            <a:effectLst/>
                            <a:latin typeface="Cambria Math" panose="02040503050406030204" pitchFamily="18" charset="0"/>
                            <a:ea typeface="+mn-ea"/>
                            <a:cs typeface="+mn-cs"/>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𝐵𝑎𝑠𝑒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𝑊𝑎𝑡𝑡</m:t>
                            </m:r>
                          </m:e>
                          <m:sub>
                            <m:r>
                              <a:rPr lang="en-US" sz="1600" b="0" i="1">
                                <a:solidFill>
                                  <a:sysClr val="windowText" lastClr="000000"/>
                                </a:solidFill>
                                <a:latin typeface="Cambria Math" panose="02040503050406030204" pitchFamily="18" charset="0"/>
                                <a:ea typeface="Cambria Math" panose="02040503050406030204" pitchFamily="18" charset="0"/>
                              </a:rPr>
                              <m:t>𝐸𝐸</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𝑅𝐸𝑆</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1−</m:t>
                        </m:r>
                        <m:r>
                          <a:rPr lang="en-US" sz="1600" b="0" i="1">
                            <a:solidFill>
                              <a:sysClr val="windowText" lastClr="000000"/>
                            </a:solidFill>
                            <a:latin typeface="Cambria Math" panose="02040503050406030204" pitchFamily="18" charset="0"/>
                            <a:ea typeface="Cambria Math" panose="02040503050406030204" pitchFamily="18" charset="0"/>
                          </a:rPr>
                          <m:t>𝐿𝐾𝐺</m:t>
                        </m:r>
                      </m:e>
                    </m:d>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𝐻𝑜𝑢𝑟𝑠</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𝑅𝐸𝑆</m:t>
                        </m:r>
                      </m:sub>
                    </m:sSub>
                    <m:r>
                      <a:rPr lang="en-US" sz="1600" b="0" i="1">
                        <a:solidFill>
                          <a:sysClr val="windowText" lastClr="000000"/>
                        </a:solidFill>
                        <a:latin typeface="Cambria Math" panose="02040503050406030204" pitchFamily="18" charset="0"/>
                        <a:ea typeface="Cambria Math" panose="02040503050406030204" pitchFamily="18" charset="0"/>
                      </a:rPr>
                      <m:t>)/1000 </m:t>
                    </m:r>
                  </m:oMath>
                </m:oMathPara>
              </a14:m>
              <a:endParaRPr lang="en-US" sz="1600">
                <a:solidFill>
                  <a:sysClr val="windowText" lastClr="000000"/>
                </a:solidFill>
              </a:endParaRPr>
            </a:p>
          </xdr:txBody>
        </xdr:sp>
      </mc:Choice>
      <mc:Fallback xmlns="">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4208318" y="12310402"/>
              <a:ext cx="8676178" cy="3239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ysClr val="windowText" lastClr="000000"/>
                  </a:solidFill>
                  <a:effectLst/>
                  <a:latin typeface="Cambria Math" panose="02040503050406030204" pitchFamily="18" charset="0"/>
                  <a:ea typeface="+mn-ea"/>
                  <a:cs typeface="+mn-cs"/>
                </a:rPr>
                <a:t>∆〖𝑘𝑊ℎ〗_𝑅𝐸𝑆</a:t>
              </a:r>
              <a:r>
                <a:rPr lang="en-US" sz="1600" b="0" i="0">
                  <a:solidFill>
                    <a:sysClr val="windowText" lastClr="000000"/>
                  </a:solidFill>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solidFill>
                  <a:sysClr val="windowText" lastClr="000000"/>
                </a:solidFill>
              </a:endParaRP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oneCellAnchor>
    <xdr:from>
      <xdr:col>7</xdr:col>
      <xdr:colOff>2269331</xdr:colOff>
      <xdr:row>4234</xdr:row>
      <xdr:rowOff>0</xdr:rowOff>
    </xdr:from>
    <xdr:ext cx="65" cy="172227"/>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4234</xdr:row>
      <xdr:rowOff>0</xdr:rowOff>
    </xdr:from>
    <xdr:ext cx="65" cy="172227"/>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4234</xdr:row>
      <xdr:rowOff>0</xdr:rowOff>
    </xdr:from>
    <xdr:ext cx="65" cy="172227"/>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4234</xdr:row>
      <xdr:rowOff>0</xdr:rowOff>
    </xdr:from>
    <xdr:ext cx="65" cy="172227"/>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4234</xdr:row>
      <xdr:rowOff>0</xdr:rowOff>
    </xdr:from>
    <xdr:ext cx="65" cy="172227"/>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4234</xdr:row>
      <xdr:rowOff>0</xdr:rowOff>
    </xdr:from>
    <xdr:ext cx="65" cy="172227"/>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1103847</xdr:colOff>
      <xdr:row>33</xdr:row>
      <xdr:rowOff>10368</xdr:rowOff>
    </xdr:from>
    <xdr:to>
      <xdr:col>7</xdr:col>
      <xdr:colOff>576943</xdr:colOff>
      <xdr:row>37</xdr:row>
      <xdr:rowOff>163286</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4600883" y="7494297"/>
              <a:ext cx="9283846" cy="11326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𝐶𝑜𝑛𝑡𝑖𝑛𝑢𝑜𝑢𝑠</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25</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 </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+ 2960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𝑅𝑇</m:t>
                        </m:r>
                        <m:r>
                          <a:rPr lang="en-US" sz="1600" i="1">
                            <a:solidFill>
                              <a:sysClr val="windowText" lastClr="000000"/>
                            </a:solidFill>
                            <a:latin typeface="Cambria Math" panose="02040503050406030204" pitchFamily="18" charset="0"/>
                          </a:rPr>
                          <m:t>−30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e>
                    </m:d>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4600883" y="7494297"/>
              <a:ext cx="9283846" cy="113263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_(𝐶𝑜𝑛𝑡𝑖𝑛𝑢𝑜𝑢𝑠 𝐶𝑖𝑟𝑐𝑢𝑙𝑎𝑡𝑖𝑜𝑛) </a:t>
              </a:r>
              <a:r>
                <a:rPr lang="en-US" sz="1600" i="0">
                  <a:solidFill>
                    <a:sysClr val="windowText" lastClr="000000"/>
                  </a:solidFill>
                  <a:latin typeface="Cambria Math" panose="02040503050406030204" pitchFamily="18" charset="0"/>
                </a:rPr>
                <a:t> = ( ( 25 𝑘𝑊ℎ/𝑦𝑟  ∗ </a:t>
              </a:r>
              <a:r>
                <a:rPr lang="en-US" sz="1600" b="0" i="0">
                  <a:solidFill>
                    <a:sysClr val="windowText" lastClr="000000"/>
                  </a:solidFill>
                  <a:latin typeface="Cambria Math" panose="02040503050406030204" pitchFamily="18" charset="0"/>
                </a:rPr>
                <a:t>(𝐸𝐹𝐿𝐻_𝑐𝑜𝑜𝑙𝑖𝑛𝑔)/(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 </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+ 2960 𝑘𝑊ℎ/𝑦𝑟</a:t>
              </a:r>
              <a:r>
                <a:rPr lang="en-US" sz="1600" b="0" i="0">
                  <a:solidFill>
                    <a:sysClr val="windowText" lastClr="000000"/>
                  </a:solidFill>
                  <a:latin typeface="Cambria Math" panose="02040503050406030204" pitchFamily="18" charset="0"/>
                </a:rPr>
                <a:t>∗𝑅𝑇</a:t>
              </a:r>
              <a:r>
                <a:rPr lang="en-US" sz="1600" i="0">
                  <a:solidFill>
                    <a:sysClr val="windowText" lastClr="000000"/>
                  </a:solidFill>
                  <a:latin typeface="Cambria Math" panose="02040503050406030204" pitchFamily="18" charset="0"/>
                </a:rPr>
                <a:t>−30 𝑘𝑊ℎ/𝑦𝑟)  ∗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341539</xdr:colOff>
      <xdr:row>36</xdr:row>
      <xdr:rowOff>240454</xdr:rowOff>
    </xdr:from>
    <xdr:to>
      <xdr:col>4</xdr:col>
      <xdr:colOff>2475139</xdr:colOff>
      <xdr:row>37</xdr:row>
      <xdr:rowOff>228794</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23</xdr:row>
      <xdr:rowOff>21772</xdr:rowOff>
    </xdr:from>
    <xdr:to>
      <xdr:col>7</xdr:col>
      <xdr:colOff>450273</xdr:colOff>
      <xdr:row>26</xdr:row>
      <xdr:rowOff>141515</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3881030" y="5159829"/>
              <a:ext cx="10252586" cy="838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m:t>
                        </m:r>
                        <m:r>
                          <a:rPr lang="en-US" sz="1600" i="1">
                            <a:solidFill>
                              <a:sysClr val="windowText" lastClr="000000"/>
                            </a:solidFill>
                            <a:latin typeface="Cambria Math" panose="02040503050406030204" pitchFamily="18" charset="0"/>
                          </a:rPr>
                          <m:t>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1 − % </m:t>
                        </m:r>
                        <m:r>
                          <a:rPr lang="en-US" sz="1600" i="1">
                            <a:solidFill>
                              <a:sysClr val="windowText" lastClr="000000"/>
                            </a:solidFill>
                            <a:latin typeface="Cambria Math" panose="02040503050406030204" pitchFamily="18" charset="0"/>
                          </a:rPr>
                          <m:t>𝑤𝑖𝑡h</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𝑁𝑒𝑤</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𝐴𝑆𝐻𝑃</m:t>
                        </m:r>
                        <m:r>
                          <a:rPr lang="en-US" sz="1600" i="1">
                            <a:solidFill>
                              <a:sysClr val="windowText" lastClr="000000"/>
                            </a:solidFill>
                            <a:latin typeface="Cambria Math" panose="02040503050406030204" pitchFamily="18" charset="0"/>
                          </a:rPr>
                          <m:t> </m:t>
                        </m:r>
                      </m:e>
                    </m:d>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400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h𝑒𝑎𝑡𝑖𝑛𝑔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h𝑒𝑎𝑡𝑖𝑛𝑔</m:t>
                                </m:r>
                              </m:sub>
                            </m:sSub>
                          </m:den>
                        </m:f>
                      </m:e>
                    </m:d>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3881030" y="5159829"/>
              <a:ext cx="10252586" cy="838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_(𝐻</a:t>
              </a:r>
              <a:r>
                <a:rPr lang="en-US" sz="1600" i="0">
                  <a:solidFill>
                    <a:sysClr val="windowText" lastClr="000000"/>
                  </a:solidFill>
                  <a:latin typeface="Cambria Math" panose="02040503050406030204" pitchFamily="18" charset="0"/>
                </a:rPr>
                <a:t>𝑒𝑎𝑡𝑖𝑛𝑔</a:t>
              </a:r>
              <a:r>
                <a:rPr lang="en-US" sz="1600" b="0" i="0">
                  <a:solidFill>
                    <a:sysClr val="windowText" lastClr="000000"/>
                  </a:solidFill>
                  <a:latin typeface="Cambria Math" panose="02040503050406030204" pitchFamily="18" charset="0"/>
                </a:rPr>
                <a:t> 𝑀</a:t>
              </a:r>
              <a:r>
                <a:rPr lang="en-US" sz="1600" i="0">
                  <a:solidFill>
                    <a:sysClr val="windowText" lastClr="000000"/>
                  </a:solidFill>
                  <a:latin typeface="Cambria Math" panose="02040503050406030204" pitchFamily="18" charset="0"/>
                </a:rPr>
                <a:t>𝑜𝑑𝑒</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=( 1 − % 𝑤𝑖𝑡ℎ 𝑁𝑒𝑤 𝐴𝑆𝐻𝑃 )∗ ( 400 𝑘𝑊ℎ/𝑦𝑟∗(𝐸𝐹𝐿𝐻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ℎ𝑒𝑎𝑡𝑖𝑛𝑔)/(𝑊𝐼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ℎ𝑒𝑎𝑡𝑖𝑛𝑔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3</xdr:col>
      <xdr:colOff>1119276</xdr:colOff>
      <xdr:row>26</xdr:row>
      <xdr:rowOff>196093</xdr:rowOff>
    </xdr:from>
    <xdr:to>
      <xdr:col>8</xdr:col>
      <xdr:colOff>304120</xdr:colOff>
      <xdr:row>29</xdr:row>
      <xdr:rowOff>119742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3459705" y="5094664"/>
              <a:ext cx="11757844" cy="642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1 − % </m:t>
                        </m:r>
                        <m:r>
                          <a:rPr lang="en-US" sz="1600" i="1">
                            <a:solidFill>
                              <a:sysClr val="windowText" lastClr="000000"/>
                            </a:solidFill>
                            <a:latin typeface="Cambria Math" panose="02040503050406030204" pitchFamily="18" charset="0"/>
                          </a:rPr>
                          <m:t>𝑤𝑖𝑡h</m:t>
                        </m:r>
                        <m:r>
                          <a:rPr lang="en-US" sz="160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𝑁𝑒𝑤</m:t>
                        </m:r>
                        <m:r>
                          <a:rPr lang="en-US" sz="160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𝐶𝑒𝑛𝑡𝑟𝑎𝑙</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𝐶𝑜𝑜𝑙𝑖𝑛𝑔</m:t>
                        </m:r>
                        <m:r>
                          <a:rPr lang="en-US" sz="1600" i="1">
                            <a:solidFill>
                              <a:sysClr val="windowText" lastClr="000000"/>
                            </a:solidFill>
                            <a:latin typeface="Cambria Math" panose="02040503050406030204" pitchFamily="18" charset="0"/>
                          </a:rPr>
                          <m:t> </m:t>
                        </m:r>
                      </m:e>
                    </m:d>
                    <m:r>
                      <a:rPr lang="en-US" sz="1600" i="1">
                        <a:solidFill>
                          <a:sysClr val="windowText" lastClr="000000"/>
                        </a:solidFill>
                        <a:latin typeface="Cambria Math" panose="02040503050406030204" pitchFamily="18" charset="0"/>
                      </a:rPr>
                      <m:t>∗ </m:t>
                    </m:r>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7</m:t>
                        </m:r>
                        <m:r>
                          <a:rPr lang="en-US" sz="1600" i="1">
                            <a:solidFill>
                              <a:sysClr val="windowText" lastClr="000000"/>
                            </a:solidFill>
                            <a:latin typeface="Cambria Math" panose="02040503050406030204" pitchFamily="18" charset="0"/>
                          </a:rPr>
                          <m:t>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3459705" y="5094664"/>
              <a:ext cx="11757844" cy="642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_(𝐶𝑜𝑜𝑙𝑖𝑛𝑔 𝑀</a:t>
              </a:r>
              <a:r>
                <a:rPr lang="en-US" sz="1600" i="0">
                  <a:solidFill>
                    <a:sysClr val="windowText" lastClr="000000"/>
                  </a:solidFill>
                  <a:latin typeface="Cambria Math" panose="02040503050406030204" pitchFamily="18" charset="0"/>
                </a:rPr>
                <a:t>𝑜𝑑𝑒</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=( 1 − % 𝑤𝑖𝑡ℎ 𝑁𝑒𝑤 </a:t>
              </a:r>
              <a:r>
                <a:rPr lang="en-US" sz="1600" b="0" i="0">
                  <a:solidFill>
                    <a:sysClr val="windowText" lastClr="000000"/>
                  </a:solidFill>
                  <a:latin typeface="Cambria Math" panose="02040503050406030204" pitchFamily="18" charset="0"/>
                </a:rPr>
                <a:t>𝐶𝑒𝑛𝑡𝑟𝑎𝑙 𝐶𝑜𝑜𝑙𝑖𝑛𝑔</a:t>
              </a:r>
              <a:r>
                <a:rPr lang="en-US" sz="1600" i="0">
                  <a:solidFill>
                    <a:sysClr val="windowText" lastClr="000000"/>
                  </a:solidFill>
                  <a:latin typeface="Cambria Math" panose="02040503050406030204" pitchFamily="18" charset="0"/>
                </a:rPr>
                <a:t> )∗ </a:t>
              </a:r>
              <a:r>
                <a:rPr lang="en-US" sz="1600" b="0" i="0">
                  <a:solidFill>
                    <a:sysClr val="windowText" lastClr="000000"/>
                  </a:solidFill>
                  <a:latin typeface="Cambria Math" panose="02040503050406030204" pitchFamily="18" charset="0"/>
                </a:rPr>
                <a:t>(7</a:t>
              </a:r>
              <a:r>
                <a:rPr lang="en-US" sz="1600" i="0">
                  <a:solidFill>
                    <a:sysClr val="windowText" lastClr="000000"/>
                  </a:solidFill>
                  <a:latin typeface="Cambria Math" panose="02040503050406030204" pitchFamily="18" charset="0"/>
                </a:rPr>
                <a:t>0 𝑘𝑊ℎ/𝑦𝑟∗(𝐸𝐹𝐿𝐻</a:t>
              </a:r>
              <a:r>
                <a:rPr lang="en-US" sz="1600" b="0" i="0">
                  <a:solidFill>
                    <a:sysClr val="windowText" lastClr="000000"/>
                  </a:solidFill>
                  <a:latin typeface="Cambria Math" panose="02040503050406030204" pitchFamily="18" charset="0"/>
                </a:rPr>
                <a:t>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_𝑐𝑜𝑜𝑙𝑖𝑛𝑔 ))</a:t>
              </a:r>
              <a:r>
                <a:rPr lang="en-US" sz="1600" i="0">
                  <a:solidFill>
                    <a:sysClr val="windowText" lastClr="000000"/>
                  </a:solidFill>
                  <a:latin typeface="Cambria Math" panose="02040503050406030204" pitchFamily="18" charset="0"/>
                </a:rPr>
                <a:t>∗𝐻𝐹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1063361</xdr:colOff>
      <xdr:row>30</xdr:row>
      <xdr:rowOff>32657</xdr:rowOff>
    </xdr:from>
    <xdr:to>
      <xdr:col>7</xdr:col>
      <xdr:colOff>195943</xdr:colOff>
      <xdr:row>32</xdr:row>
      <xdr:rowOff>206828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4644761" y="5889171"/>
              <a:ext cx="9234525" cy="65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m:t>
                        </m:r>
                        <m:r>
                          <a:rPr lang="en-US" sz="1600" i="1">
                            <a:solidFill>
                              <a:sysClr val="windowText" lastClr="000000"/>
                            </a:solidFill>
                            <a:latin typeface="Cambria Math" panose="02040503050406030204" pitchFamily="18" charset="0"/>
                          </a:rPr>
                          <m:t>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m:t>
                        </m:r>
                        <m:d>
                          <m:dPr>
                            <m:ctrlPr>
                              <a:rPr lang="en-US" sz="1600" i="1">
                                <a:solidFill>
                                  <a:sysClr val="windowText" lastClr="000000"/>
                                </a:solidFill>
                                <a:latin typeface="Cambria Math" panose="02040503050406030204" pitchFamily="18" charset="0"/>
                              </a:rPr>
                            </m:ctrlPr>
                          </m:dPr>
                          <m:e>
                            <m:r>
                              <a:rPr lang="en-US" sz="1600" i="1">
                                <a:solidFill>
                                  <a:sysClr val="windowText" lastClr="000000"/>
                                </a:solidFill>
                                <a:latin typeface="Cambria Math" panose="02040503050406030204" pitchFamily="18" charset="0"/>
                              </a:rPr>
                              <m:t> 25</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 </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𝑐𝑜𝑜𝑙𝑖𝑛𝑔</m:t>
                                    </m:r>
                                  </m:sub>
                                </m:sSub>
                              </m:num>
                              <m:den>
                                <m:r>
                                  <a:rPr lang="en-US" sz="1600" i="1">
                                    <a:solidFill>
                                      <a:sysClr val="windowText" lastClr="000000"/>
                                    </a:solidFill>
                                    <a:latin typeface="Cambria Math" panose="02040503050406030204" pitchFamily="18" charset="0"/>
                                  </a:rPr>
                                  <m:t>𝑊𝐼</m:t>
                                </m:r>
                                <m:r>
                                  <a:rPr lang="en-US" sz="1600" b="0" i="1">
                                    <a:solidFill>
                                      <a:sysClr val="windowText" lastClr="000000"/>
                                    </a:solidFill>
                                    <a:latin typeface="Cambria Math" panose="02040503050406030204" pitchFamily="18" charset="0"/>
                                  </a:rPr>
                                  <m:t> </m:t>
                                </m:r>
                                <m:r>
                                  <a:rPr lang="en-US" sz="160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i="1">
                                        <a:solidFill>
                                          <a:sysClr val="windowText" lastClr="000000"/>
                                        </a:solidFill>
                                        <a:latin typeface="Cambria Math" panose="02040503050406030204" pitchFamily="18" charset="0"/>
                                      </a:rPr>
                                      <m:t>𝑐𝑜𝑜𝑙𝑖𝑛𝑔</m:t>
                                    </m:r>
                                  </m:sub>
                                </m:sSub>
                              </m:den>
                            </m:f>
                          </m:e>
                        </m:d>
                        <m:r>
                          <a:rPr lang="en-US" sz="1600" i="1">
                            <a:solidFill>
                              <a:sysClr val="windowText" lastClr="000000"/>
                            </a:solidFill>
                            <a:latin typeface="Cambria Math" panose="02040503050406030204" pitchFamily="18" charset="0"/>
                          </a:rPr>
                          <m:t>+ 2960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r>
                          <a:rPr lang="en-US" sz="1600" i="1">
                            <a:solidFill>
                              <a:sysClr val="windowText" lastClr="000000"/>
                            </a:solidFill>
                            <a:latin typeface="Cambria Math" panose="02040503050406030204" pitchFamily="18" charset="0"/>
                          </a:rPr>
                          <m:t>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600" i="1">
                            <a:solidFill>
                              <a:sysClr val="windowText" lastClr="000000"/>
                            </a:solidFill>
                            <a:latin typeface="Cambria Math" panose="02040503050406030204" pitchFamily="18" charset="0"/>
                          </a:rPr>
                          <m:t>−30</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𝑘𝑊h</m:t>
                            </m:r>
                          </m:num>
                          <m:den>
                            <m:r>
                              <a:rPr lang="en-US" sz="1600" i="1">
                                <a:solidFill>
                                  <a:sysClr val="windowText" lastClr="000000"/>
                                </a:solidFill>
                                <a:latin typeface="Cambria Math" panose="02040503050406030204" pitchFamily="18" charset="0"/>
                              </a:rPr>
                              <m:t>𝑦𝑟</m:t>
                            </m:r>
                          </m:den>
                        </m:f>
                      </m:e>
                    </m:d>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𝐻𝐹</m:t>
                    </m:r>
                    <m:r>
                      <a:rPr lang="en-US" sz="1600" b="0" i="1">
                        <a:solidFill>
                          <a:sysClr val="windowText" lastClr="000000"/>
                        </a:solidFill>
                        <a:effectLst/>
                        <a:latin typeface="Cambria Math" panose="02040503050406030204" pitchFamily="18" charset="0"/>
                        <a:ea typeface="+mn-ea"/>
                        <a:cs typeface="+mn-cs"/>
                      </a:rPr>
                      <m:t>∗</m:t>
                    </m:r>
                    <m:r>
                      <a:rPr lang="en-US" sz="1600" b="0" i="1">
                        <a:solidFill>
                          <a:sysClr val="windowText" lastClr="000000"/>
                        </a:solidFill>
                        <a:effectLst/>
                        <a:latin typeface="Cambria Math" panose="02040503050406030204" pitchFamily="18" charset="0"/>
                        <a:ea typeface="+mn-ea"/>
                        <a:cs typeface="+mn-cs"/>
                      </a:rPr>
                      <m:t>𝐼𝑆𝑅</m:t>
                    </m:r>
                  </m:oMath>
                </m:oMathPara>
              </a14:m>
              <a:endParaRPr lang="en-US" sz="1600">
                <a:solidFill>
                  <a:sysClr val="windowText" lastClr="000000"/>
                </a:solidFill>
              </a:endParaRPr>
            </a:p>
          </xdr:txBody>
        </xdr:sp>
      </mc:Choice>
      <mc:Fallback xmlns="">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4644761" y="5889171"/>
              <a:ext cx="9234525" cy="65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𝑘𝑊ℎ</a:t>
              </a:r>
              <a:r>
                <a:rPr lang="en-US" sz="1600" b="0" i="0">
                  <a:solidFill>
                    <a:sysClr val="windowText" lastClr="000000"/>
                  </a:solidFill>
                  <a:latin typeface="Cambria Math" panose="02040503050406030204" pitchFamily="18" charset="0"/>
                </a:rPr>
                <a:t>_(𝐴</a:t>
              </a:r>
              <a:r>
                <a:rPr lang="en-US" sz="1600" i="0">
                  <a:solidFill>
                    <a:sysClr val="windowText" lastClr="000000"/>
                  </a:solidFill>
                  <a:latin typeface="Cambria Math" panose="02040503050406030204" pitchFamily="18" charset="0"/>
                </a:rPr>
                <a:t>𝑢𝑡𝑜</a:t>
              </a:r>
              <a:r>
                <a:rPr lang="en-US" sz="1600" b="0" i="0">
                  <a:solidFill>
                    <a:sysClr val="windowText" lastClr="000000"/>
                  </a:solidFill>
                  <a:latin typeface="Cambria Math" panose="02040503050406030204" pitchFamily="18" charset="0"/>
                </a:rPr>
                <a:t> 𝐶𝑖𝑟𝑐𝑢𝑙𝑎𝑡𝑖𝑜𝑛) </a:t>
              </a:r>
              <a:r>
                <a:rPr lang="en-US" sz="1600" i="0">
                  <a:solidFill>
                    <a:sysClr val="windowText" lastClr="000000"/>
                  </a:solidFill>
                  <a:latin typeface="Cambria Math" panose="02040503050406030204" pitchFamily="18" charset="0"/>
                </a:rPr>
                <a:t> = ( ( 25 𝑘𝑊ℎ/𝑦𝑟  ∗ </a:t>
              </a:r>
              <a:r>
                <a:rPr lang="en-US" sz="1600" b="0" i="0">
                  <a:solidFill>
                    <a:sysClr val="windowText" lastClr="000000"/>
                  </a:solidFill>
                  <a:latin typeface="Cambria Math" panose="02040503050406030204" pitchFamily="18" charset="0"/>
                </a:rPr>
                <a:t>(𝐸𝐹𝐿𝐻_𝑐𝑜𝑜𝑙𝑖𝑛𝑔)/(</a:t>
              </a:r>
              <a:r>
                <a:rPr lang="en-US" sz="1600" i="0">
                  <a:solidFill>
                    <a:sysClr val="windowText" lastClr="000000"/>
                  </a:solidFill>
                  <a:latin typeface="Cambria Math" panose="02040503050406030204" pitchFamily="18" charset="0"/>
                </a:rPr>
                <a:t>𝑊𝐼</a:t>
              </a:r>
              <a:r>
                <a:rPr lang="en-US" sz="1600" b="0" i="0">
                  <a:solidFill>
                    <a:sysClr val="windowText" lastClr="000000"/>
                  </a:solidFill>
                  <a:latin typeface="Cambria Math" panose="02040503050406030204" pitchFamily="18" charset="0"/>
                </a:rPr>
                <a:t> </a:t>
              </a:r>
              <a:r>
                <a:rPr lang="en-US" sz="1600" i="0">
                  <a:solidFill>
                    <a:sysClr val="windowText" lastClr="000000"/>
                  </a:solidFill>
                  <a:latin typeface="Cambria Math" panose="02040503050406030204" pitchFamily="18" charset="0"/>
                </a:rPr>
                <a:t>𝐸𝐹𝐿𝐻</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𝑐𝑜𝑜𝑙𝑖𝑛𝑔 </a:t>
              </a:r>
              <a:r>
                <a:rPr lang="en-US" sz="1600" b="0" i="0">
                  <a:solidFill>
                    <a:sysClr val="windowText" lastClr="000000"/>
                  </a:solidFill>
                  <a:latin typeface="Cambria Math" panose="02040503050406030204" pitchFamily="18" charset="0"/>
                </a:rPr>
                <a:t>))</a:t>
              </a:r>
              <a:r>
                <a:rPr lang="en-US" sz="1600" i="0">
                  <a:solidFill>
                    <a:sysClr val="windowText" lastClr="000000"/>
                  </a:solidFill>
                  <a:latin typeface="Cambria Math" panose="02040503050406030204" pitchFamily="18" charset="0"/>
                </a:rPr>
                <a:t>+ 2960 𝑘𝑊ℎ/𝑦𝑟  ∗</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600" i="0">
                  <a:solidFill>
                    <a:sysClr val="windowText" lastClr="000000"/>
                  </a:solidFill>
                  <a:latin typeface="Cambria Math" panose="02040503050406030204" pitchFamily="18" charset="0"/>
                </a:rPr>
                <a:t>−30 𝑘𝑊ℎ/𝑦𝑟)  ∗ 𝐻𝐹</a:t>
              </a:r>
              <a:r>
                <a:rPr lang="en-US" sz="1600" b="0" i="0">
                  <a:solidFill>
                    <a:sysClr val="windowText" lastClr="000000"/>
                  </a:solidFill>
                  <a:effectLst/>
                  <a:latin typeface="Cambria Math" panose="02040503050406030204" pitchFamily="18" charset="0"/>
                  <a:ea typeface="+mn-ea"/>
                  <a:cs typeface="+mn-cs"/>
                </a:rPr>
                <a:t>∗𝐼𝑆𝑅</a:t>
              </a:r>
              <a:endParaRPr lang="en-US" sz="1600">
                <a:solidFill>
                  <a:sysClr val="windowText" lastClr="000000"/>
                </a:solidFill>
              </a:endParaRPr>
            </a:p>
          </xdr:txBody>
        </xdr:sp>
      </mc:Fallback>
    </mc:AlternateContent>
    <xdr:clientData/>
  </xdr:twoCellAnchor>
  <xdr:twoCellAnchor>
    <xdr:from>
      <xdr:col>4</xdr:col>
      <xdr:colOff>190500</xdr:colOff>
      <xdr:row>191</xdr:row>
      <xdr:rowOff>47625</xdr:rowOff>
    </xdr:from>
    <xdr:to>
      <xdr:col>4</xdr:col>
      <xdr:colOff>5856514</xdr:colOff>
      <xdr:row>195</xdr:row>
      <xdr:rowOff>111579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3771900" y="38985825"/>
              <a:ext cx="5666014" cy="804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𝐹𝐿𝐻𝑐𝑜𝑜𝑙</m:t>
                          </m:r>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𝐶𝑎𝑝𝑎𝑐𝑖𝑡𝑦</m:t>
                          </m:r>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i="1">
                                          <a:solidFill>
                                            <a:sysClr val="windowText" lastClr="000000"/>
                                          </a:solidFill>
                                          <a:latin typeface="Cambria Math" panose="02040503050406030204" pitchFamily="18" charset="0"/>
                                        </a:rPr>
                                        <m:t>𝑒𝑥𝑖𝑠𝑡</m:t>
                                      </m:r>
                                    </m:sub>
                                  </m:sSub>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i="1">
                                          <a:solidFill>
                                            <a:sysClr val="windowText" lastClr="000000"/>
                                          </a:solidFill>
                                          <a:latin typeface="Cambria Math" panose="02040503050406030204" pitchFamily="18" charset="0"/>
                                        </a:rPr>
                                        <m:t>𝑒𝑒</m:t>
                                      </m:r>
                                    </m:sub>
                                  </m:sSub>
                                </m:den>
                              </m:f>
                            </m:e>
                          </m:d>
                        </m:num>
                        <m:den>
                          <m:r>
                            <a:rPr lang="en-US" sz="1600" i="1">
                              <a:solidFill>
                                <a:sysClr val="windowText" lastClr="000000"/>
                              </a:solidFill>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 * ISR</a:t>
              </a:r>
            </a:p>
          </xdr:txBody>
        </xdr:sp>
      </mc:Choice>
      <mc:Fallback xmlns="">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3771900" y="38985825"/>
              <a:ext cx="5666014" cy="804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=((𝐹𝐿𝐻𝑐𝑜𝑜𝑙 ∗ 𝐶𝑎𝑝𝑎𝑐𝑖𝑡𝑦 ∗ (1/(𝑆𝐸𝐸𝑅</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𝑒𝑥𝑖𝑠𝑡 )−1/(𝑆𝐸𝐸𝑅</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𝑒𝑒 )))/1000)</a:t>
              </a:r>
              <a:r>
                <a:rPr lang="en-US" sz="1600" i="1">
                  <a:solidFill>
                    <a:sysClr val="windowText" lastClr="000000"/>
                  </a:solidFill>
                  <a:latin typeface="Cambria Math" panose="02040503050406030204" pitchFamily="18" charset="0"/>
                </a:rPr>
                <a:t>*HF * ISR</a:t>
              </a:r>
            </a:p>
          </xdr:txBody>
        </xdr:sp>
      </mc:Fallback>
    </mc:AlternateContent>
    <xdr:clientData/>
  </xdr:twoCellAnchor>
  <xdr:twoCellAnchor>
    <xdr:from>
      <xdr:col>5</xdr:col>
      <xdr:colOff>36169</xdr:colOff>
      <xdr:row>191</xdr:row>
      <xdr:rowOff>4949</xdr:rowOff>
    </xdr:from>
    <xdr:to>
      <xdr:col>8</xdr:col>
      <xdr:colOff>794657</xdr:colOff>
      <xdr:row>195</xdr:row>
      <xdr:rowOff>182967</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9811540" y="38943149"/>
              <a:ext cx="5896546" cy="918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𝐹𝐿𝐻𝑐𝑜𝑜𝑙</m:t>
                          </m:r>
                          <m:r>
                            <a:rPr lang="en-US" sz="1600" i="1">
                              <a:solidFill>
                                <a:sysClr val="windowText" lastClr="000000"/>
                              </a:solidFill>
                              <a:latin typeface="Cambria Math" panose="02040503050406030204" pitchFamily="18" charset="0"/>
                            </a:rPr>
                            <m:t> ∗ </m:t>
                          </m:r>
                          <m:r>
                            <a:rPr lang="en-US" sz="1600" i="1">
                              <a:solidFill>
                                <a:sysClr val="windowText" lastClr="000000"/>
                              </a:solidFill>
                              <a:latin typeface="Cambria Math" panose="02040503050406030204" pitchFamily="18" charset="0"/>
                            </a:rPr>
                            <m:t>𝐶𝑎𝑝𝑎𝑐𝑖𝑡𝑦</m:t>
                          </m:r>
                          <m:r>
                            <a:rPr lang="en-US" sz="1600" i="1">
                              <a:solidFill>
                                <a:sysClr val="windowText" lastClr="000000"/>
                              </a:solidFill>
                              <a:latin typeface="Cambria Math" panose="02040503050406030204" pitchFamily="18" charset="0"/>
                            </a:rPr>
                            <m:t> ∗ </m:t>
                          </m:r>
                          <m:d>
                            <m:dPr>
                              <m:ctrlPr>
                                <a:rPr lang="en-US" sz="1600" i="1">
                                  <a:solidFill>
                                    <a:sysClr val="windowText" lastClr="000000"/>
                                  </a:solidFill>
                                  <a:latin typeface="Cambria Math" panose="02040503050406030204" pitchFamily="18" charset="0"/>
                                </a:rPr>
                              </m:ctrlPr>
                            </m:dPr>
                            <m:e>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𝑏𝑎𝑠𝑒</m:t>
                                      </m:r>
                                    </m:sub>
                                  </m:sSub>
                                </m:den>
                              </m:f>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600" i="1">
                                      <a:solidFill>
                                        <a:sysClr val="windowText" lastClr="000000"/>
                                      </a:solidFill>
                                      <a:latin typeface="Cambria Math" panose="02040503050406030204" pitchFamily="18" charset="0"/>
                                    </a:rPr>
                                    <m:t>1</m:t>
                                  </m:r>
                                </m:num>
                                <m:den>
                                  <m:r>
                                    <a:rPr lang="en-US" sz="160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𝑅</m:t>
                                      </m:r>
                                    </m:e>
                                    <m:sub>
                                      <m:r>
                                        <a:rPr lang="en-US" sz="1600" i="1">
                                          <a:solidFill>
                                            <a:sysClr val="windowText" lastClr="000000"/>
                                          </a:solidFill>
                                          <a:latin typeface="Cambria Math" panose="02040503050406030204" pitchFamily="18" charset="0"/>
                                        </a:rPr>
                                        <m:t>𝑒𝑒</m:t>
                                      </m:r>
                                    </m:sub>
                                  </m:sSub>
                                </m:den>
                              </m:f>
                            </m:e>
                          </m:d>
                        </m:num>
                        <m:den>
                          <m:r>
                            <a:rPr lang="en-US" sz="1600" i="1">
                              <a:solidFill>
                                <a:sysClr val="windowText" lastClr="000000"/>
                              </a:solidFill>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 * ISR</a:t>
              </a:r>
            </a:p>
          </xdr:txBody>
        </xdr:sp>
      </mc:Choice>
      <mc:Fallback xmlns="">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9811540" y="38943149"/>
              <a:ext cx="5896546" cy="918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=((𝐹𝐿𝐻𝑐𝑜𝑜𝑙 ∗ 𝐶𝑎𝑝𝑎𝑐𝑖𝑡𝑦 ∗ (1/(𝑆𝐸𝐸𝑅</a:t>
              </a:r>
              <a:r>
                <a:rPr lang="en-US" sz="1600" b="0" i="0">
                  <a:solidFill>
                    <a:sysClr val="windowText" lastClr="000000"/>
                  </a:solidFill>
                  <a:latin typeface="Cambria Math" panose="02040503050406030204" pitchFamily="18" charset="0"/>
                </a:rPr>
                <a:t>_𝑏𝑎𝑠𝑒 )</a:t>
              </a:r>
              <a:r>
                <a:rPr lang="en-US" sz="1600" i="0">
                  <a:solidFill>
                    <a:sysClr val="windowText" lastClr="000000"/>
                  </a:solidFill>
                  <a:latin typeface="Cambria Math" panose="02040503050406030204" pitchFamily="18" charset="0"/>
                </a:rPr>
                <a:t>−1/(𝑆𝐸𝐸𝑅</a:t>
              </a:r>
              <a:r>
                <a:rPr lang="en-US" sz="1600" b="0" i="0">
                  <a:solidFill>
                    <a:sysClr val="windowText" lastClr="000000"/>
                  </a:solidFill>
                  <a:latin typeface="Cambria Math" panose="02040503050406030204" pitchFamily="18" charset="0"/>
                </a:rPr>
                <a:t>_</a:t>
              </a:r>
              <a:r>
                <a:rPr lang="en-US" sz="1600" i="0">
                  <a:solidFill>
                    <a:sysClr val="windowText" lastClr="000000"/>
                  </a:solidFill>
                  <a:latin typeface="Cambria Math" panose="02040503050406030204" pitchFamily="18" charset="0"/>
                </a:rPr>
                <a:t>𝑒𝑒 )))/1000)</a:t>
              </a:r>
              <a:r>
                <a:rPr lang="en-US" sz="1600" i="1">
                  <a:solidFill>
                    <a:sysClr val="windowText" lastClr="000000"/>
                  </a:solidFill>
                  <a:latin typeface="Cambria Math" panose="02040503050406030204" pitchFamily="18" charset="0"/>
                </a:rPr>
                <a:t>*HF * ISR</a:t>
              </a:r>
            </a:p>
          </xdr:txBody>
        </xdr:sp>
      </mc:Fallback>
    </mc:AlternateContent>
    <xdr:clientData/>
  </xdr:twoCellAnchor>
  <xdr:twoCellAnchor>
    <xdr:from>
      <xdr:col>4</xdr:col>
      <xdr:colOff>21906</xdr:colOff>
      <xdr:row>197</xdr:row>
      <xdr:rowOff>108857</xdr:rowOff>
    </xdr:from>
    <xdr:to>
      <xdr:col>4</xdr:col>
      <xdr:colOff>3304630</xdr:colOff>
      <xdr:row>199</xdr:row>
      <xdr:rowOff>95161</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3614192" y="19526250"/>
              <a:ext cx="3282724" cy="3400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3614192" y="19526250"/>
              <a:ext cx="3282724" cy="3400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839</xdr:row>
      <xdr:rowOff>104775</xdr:rowOff>
    </xdr:from>
    <xdr:to>
      <xdr:col>6</xdr:col>
      <xdr:colOff>424543</xdr:colOff>
      <xdr:row>843</xdr:row>
      <xdr:rowOff>126195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2539113" y="159526061"/>
              <a:ext cx="10164516"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 * ISR</a:t>
              </a:r>
              <a:endParaRPr lang="en-US" sz="1600" i="1">
                <a:solidFill>
                  <a:sysClr val="windowText" lastClr="00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2539113" y="159526061"/>
              <a:ext cx="10164516"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 * ISR</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14286</xdr:colOff>
      <xdr:row>851</xdr:row>
      <xdr:rowOff>173181</xdr:rowOff>
    </xdr:from>
    <xdr:to>
      <xdr:col>4</xdr:col>
      <xdr:colOff>1333500</xdr:colOff>
      <xdr:row>853</xdr:row>
      <xdr:rowOff>104686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600-000011000000}"/>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845</xdr:row>
      <xdr:rowOff>85725</xdr:rowOff>
    </xdr:from>
    <xdr:to>
      <xdr:col>7</xdr:col>
      <xdr:colOff>990600</xdr:colOff>
      <xdr:row>849</xdr:row>
      <xdr:rowOff>107145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2483305" y="160617354"/>
              <a:ext cx="12190638"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2483305" y="160617354"/>
              <a:ext cx="12190638"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 ∗𝐼𝑆𝑅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1</xdr:col>
      <xdr:colOff>77458</xdr:colOff>
      <xdr:row>1206</xdr:row>
      <xdr:rowOff>866</xdr:rowOff>
    </xdr:from>
    <xdr:to>
      <xdr:col>6</xdr:col>
      <xdr:colOff>283028</xdr:colOff>
      <xdr:row>1210</xdr:row>
      <xdr:rowOff>22286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91115" y="227904180"/>
              <a:ext cx="1207099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91115" y="227904180"/>
              <a:ext cx="1207099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1219</xdr:row>
      <xdr:rowOff>28575</xdr:rowOff>
    </xdr:from>
    <xdr:to>
      <xdr:col>4</xdr:col>
      <xdr:colOff>3169228</xdr:colOff>
      <xdr:row>1220</xdr:row>
      <xdr:rowOff>155864</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600-000014000000}"/>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1212</xdr:row>
      <xdr:rowOff>85725</xdr:rowOff>
    </xdr:from>
    <xdr:to>
      <xdr:col>6</xdr:col>
      <xdr:colOff>892628</xdr:colOff>
      <xdr:row>1216</xdr:row>
      <xdr:rowOff>107145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2483305" y="229099382"/>
              <a:ext cx="1068840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2483305" y="229099382"/>
              <a:ext cx="1068840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4</xdr:col>
      <xdr:colOff>2421526</xdr:colOff>
      <xdr:row>1309</xdr:row>
      <xdr:rowOff>114028</xdr:rowOff>
    </xdr:from>
    <xdr:to>
      <xdr:col>9</xdr:col>
      <xdr:colOff>1270907</xdr:colOff>
      <xdr:row>1314</xdr:row>
      <xdr:rowOff>144701</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600-000016000000}"/>
                </a:ext>
              </a:extLst>
            </xdr:cNvPr>
            <xdr:cNvSpPr txBox="1"/>
          </xdr:nvSpPr>
          <xdr:spPr>
            <a:xfrm>
              <a:off x="6002926" y="247753142"/>
              <a:ext cx="11661867" cy="977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begChr m:val="["/>
                        <m:endChr m:val="]"/>
                        <m:ctrlPr>
                          <a:rPr lang="en-US" sz="1600" b="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d>
                              <m:dPr>
                                <m:ctrlPr>
                                  <a:rPr lang="en-US" sz="1600" b="0" i="1">
                                    <a:solidFill>
                                      <a:sysClr val="windowText" lastClr="000000"/>
                                    </a:solidFill>
                                    <a:effectLst/>
                                    <a:latin typeface="Cambria Math" panose="02040503050406030204" pitchFamily="18" charset="0"/>
                                    <a:ea typeface="+mn-ea"/>
                                    <a:cs typeface="+mn-cs"/>
                                  </a:rPr>
                                </m:ctrlPr>
                              </m:dPr>
                              <m:e>
                                <m:r>
                                  <a:rPr lang="en-US" sz="1600" b="0" i="1">
                                    <a:solidFill>
                                      <a:sysClr val="windowText" lastClr="000000"/>
                                    </a:solidFill>
                                    <a:effectLst/>
                                    <a:latin typeface="Cambria Math" panose="02040503050406030204" pitchFamily="18" charset="0"/>
                                    <a:ea typeface="+mn-ea"/>
                                    <a:cs typeface="+mn-cs"/>
                                  </a:rPr>
                                  <m:t>𝐸</m:t>
                                </m:r>
                                <m:r>
                                  <a:rPr lang="en-US" sz="1600" i="1">
                                    <a:solidFill>
                                      <a:sysClr val="windowText" lastClr="000000"/>
                                    </a:solidFill>
                                    <a:effectLst/>
                                    <a:latin typeface="Cambria Math" panose="02040503050406030204" pitchFamily="18" charset="0"/>
                                    <a:ea typeface="+mn-ea"/>
                                    <a:cs typeface="+mn-cs"/>
                                  </a:rPr>
                                  <m:t>𝐹𝐿</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𝐻</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 ∗ </m:t>
                                </m:r>
                                <m:r>
                                  <a:rPr lang="en-US" sz="1600" i="1">
                                    <a:solidFill>
                                      <a:sysClr val="windowText" lastClr="000000"/>
                                    </a:solidFill>
                                    <a:effectLst/>
                                    <a:latin typeface="Cambria Math" panose="02040503050406030204" pitchFamily="18" charset="0"/>
                                    <a:ea typeface="+mn-ea"/>
                                    <a:cs typeface="+mn-cs"/>
                                  </a:rPr>
                                  <m:t>𝐶𝑎𝑝𝑎𝑐𝑖𝑡</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𝑦</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m:t>
                                </m:r>
                                <m:d>
                                  <m:dPr>
                                    <m:ctrlPr>
                                      <a:rPr lang="en-US" sz="160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i="1">
                                                <a:solidFill>
                                                  <a:sysClr val="windowText" lastClr="000000"/>
                                                </a:solidFill>
                                                <a:effectLst/>
                                                <a:latin typeface="Cambria Math" panose="02040503050406030204" pitchFamily="18" charset="0"/>
                                                <a:ea typeface="+mn-ea"/>
                                                <a:cs typeface="+mn-cs"/>
                                              </a:rPr>
                                              <m:t>𝑒𝑥𝑖𝑠𝑡</m:t>
                                            </m:r>
                                          </m:sub>
                                        </m:sSub>
                                      </m:den>
                                    </m:f>
                                    <m:r>
                                      <a:rPr lang="en-US" sz="1600" i="1">
                                        <a:solidFill>
                                          <a:sysClr val="windowText" lastClr="000000"/>
                                        </a:solidFill>
                                        <a:effectLst/>
                                        <a:latin typeface="Cambria Math" panose="02040503050406030204" pitchFamily="18" charset="0"/>
                                        <a:ea typeface="+mn-ea"/>
                                        <a:cs typeface="+mn-cs"/>
                                      </a:rPr>
                                      <m:t>−</m:t>
                                    </m:r>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i="1">
                                                <a:solidFill>
                                                  <a:sysClr val="windowText" lastClr="000000"/>
                                                </a:solidFill>
                                                <a:effectLst/>
                                                <a:latin typeface="Cambria Math" panose="02040503050406030204" pitchFamily="18" charset="0"/>
                                                <a:ea typeface="+mn-ea"/>
                                                <a:cs typeface="+mn-cs"/>
                                              </a:rPr>
                                              <m:t>𝑒𝑒</m:t>
                                            </m:r>
                                          </m:sub>
                                        </m:sSub>
                                      </m:den>
                                    </m:f>
                                  </m:e>
                                </m:d>
                              </m:e>
                            </m:d>
                          </m:num>
                          <m:den>
                            <m:r>
                              <a:rPr lang="en-US" sz="1600" i="1">
                                <a:solidFill>
                                  <a:sysClr val="windowText" lastClr="000000"/>
                                </a:solidFill>
                                <a:effectLst/>
                                <a:latin typeface="Cambria Math" panose="02040503050406030204" pitchFamily="18" charset="0"/>
                                <a:ea typeface="+mn-ea"/>
                                <a:cs typeface="+mn-cs"/>
                              </a:rPr>
                              <m:t>1000</m:t>
                            </m:r>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𝐶𝑎𝑝𝑎𝑐𝑖𝑡</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𝑦</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d>
                                  <m:dPr>
                                    <m:ctrlPr>
                                      <a:rPr lang="en-US" sz="1600" b="0" i="1">
                                        <a:solidFill>
                                          <a:sysClr val="windowText" lastClr="000000"/>
                                        </a:solidFill>
                                        <a:latin typeface="Cambria Math" panose="02040503050406030204" pitchFamily="18" charset="0"/>
                                      </a:rPr>
                                    </m:ctrlPr>
                                  </m:dPr>
                                  <m:e>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𝑒𝑥𝑖𝑠𝑡</m:t>
                                            </m:r>
                                          </m:sub>
                                        </m:sSub>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𝑒𝑒</m:t>
                                            </m:r>
                                          </m:sub>
                                        </m:sSub>
                                      </m:den>
                                    </m:f>
                                  </m:e>
                                </m:d>
                              </m:e>
                            </m:d>
                          </m:num>
                          <m:den>
                            <m:r>
                              <a:rPr lang="en-US" sz="1600" b="0" i="1">
                                <a:solidFill>
                                  <a:sysClr val="windowText" lastClr="000000"/>
                                </a:solidFill>
                                <a:latin typeface="Cambria Math" panose="02040503050406030204" pitchFamily="18" charset="0"/>
                              </a:rPr>
                              <m:t>1000</m:t>
                            </m:r>
                          </m:den>
                        </m:f>
                      </m:e>
                    </m:d>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00000000-0008-0000-0600-000016000000}"/>
                </a:ext>
              </a:extLst>
            </xdr:cNvPr>
            <xdr:cNvSpPr txBox="1"/>
          </xdr:nvSpPr>
          <xdr:spPr>
            <a:xfrm>
              <a:off x="6002926" y="247753142"/>
              <a:ext cx="11661867" cy="977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lang="en-US" sz="1600" b="0" i="0">
                  <a:solidFill>
                    <a:sysClr val="windowText" lastClr="000000"/>
                  </a:solidFill>
                  <a:effectLst/>
                  <a:latin typeface="Cambria Math" panose="02040503050406030204" pitchFamily="18" charset="0"/>
                  <a:ea typeface="+mn-ea"/>
                  <a:cs typeface="+mn-cs"/>
                </a:rPr>
                <a:t>[((𝐸</a:t>
              </a:r>
              <a:r>
                <a:rPr lang="en-US" sz="1600" i="0">
                  <a:solidFill>
                    <a:sysClr val="windowText" lastClr="000000"/>
                  </a:solidFill>
                  <a:effectLst/>
                  <a:latin typeface="Cambria Math" panose="02040503050406030204" pitchFamily="18" charset="0"/>
                  <a:ea typeface="+mn-ea"/>
                  <a:cs typeface="+mn-cs"/>
                </a:rPr>
                <a:t>𝐹𝐿𝐻</a:t>
              </a:r>
              <a:r>
                <a:rPr lang="en-US" sz="1600" b="0" i="0">
                  <a:solidFill>
                    <a:sysClr val="windowText" lastClr="000000"/>
                  </a:solidFill>
                  <a:effectLst/>
                  <a:latin typeface="Cambria Math" panose="02040503050406030204" pitchFamily="18" charset="0"/>
                  <a:ea typeface="+mn-ea"/>
                  <a:cs typeface="+mn-cs"/>
                </a:rPr>
                <a:t>_ℎ𝑒𝑎𝑡 </a:t>
              </a:r>
              <a:r>
                <a:rPr lang="en-US" sz="1600" i="0">
                  <a:solidFill>
                    <a:sysClr val="windowText" lastClr="000000"/>
                  </a:solidFill>
                  <a:effectLst/>
                  <a:latin typeface="Cambria Math" panose="02040503050406030204" pitchFamily="18" charset="0"/>
                  <a:ea typeface="+mn-ea"/>
                  <a:cs typeface="+mn-cs"/>
                </a:rPr>
                <a:t> ∗ 𝐶𝑎𝑝𝑎𝑐𝑖𝑡𝑦</a:t>
              </a:r>
              <a:r>
                <a:rPr lang="en-US" sz="1600" b="0" i="0">
                  <a:solidFill>
                    <a:sysClr val="windowText" lastClr="000000"/>
                  </a:solidFill>
                  <a:effectLst/>
                  <a:latin typeface="Cambria Math" panose="02040503050406030204" pitchFamily="18" charset="0"/>
                  <a:ea typeface="+mn-ea"/>
                  <a:cs typeface="+mn-cs"/>
                </a:rPr>
                <a:t>_ℎ𝑒𝑎𝑡</a:t>
              </a:r>
              <a:r>
                <a:rPr lang="en-US" sz="1600" i="0">
                  <a:solidFill>
                    <a:sysClr val="windowText" lastClr="000000"/>
                  </a:solidFill>
                  <a:effectLst/>
                  <a:latin typeface="Cambria Math" panose="02040503050406030204" pitchFamily="18" charset="0"/>
                  <a:ea typeface="+mn-ea"/>
                  <a:cs typeface="+mn-cs"/>
                </a:rPr>
                <a:t>∗(1/(</a:t>
              </a:r>
              <a:r>
                <a:rPr lang="en-US" sz="1600" b="0" i="0">
                  <a:solidFill>
                    <a:sysClr val="windowText" lastClr="000000"/>
                  </a:solidFill>
                  <a:effectLst/>
                  <a:latin typeface="Cambria Math" panose="02040503050406030204" pitchFamily="18" charset="0"/>
                  <a:ea typeface="+mn-ea"/>
                  <a:cs typeface="+mn-cs"/>
                </a:rPr>
                <a:t>𝐻𝑆𝑃𝐹_</a:t>
              </a:r>
              <a:r>
                <a:rPr lang="en-US" sz="1600" i="0">
                  <a:solidFill>
                    <a:sysClr val="windowText" lastClr="000000"/>
                  </a:solidFill>
                  <a:effectLst/>
                  <a:latin typeface="Cambria Math" panose="02040503050406030204" pitchFamily="18" charset="0"/>
                  <a:ea typeface="+mn-ea"/>
                  <a:cs typeface="+mn-cs"/>
                </a:rPr>
                <a:t>𝑒𝑥𝑖𝑠𝑡 )−1/(</a:t>
              </a:r>
              <a:r>
                <a:rPr lang="en-US" sz="1600" b="0" i="0">
                  <a:solidFill>
                    <a:sysClr val="windowText" lastClr="000000"/>
                  </a:solidFill>
                  <a:effectLst/>
                  <a:latin typeface="Cambria Math" panose="02040503050406030204" pitchFamily="18" charset="0"/>
                  <a:ea typeface="+mn-ea"/>
                  <a:cs typeface="+mn-cs"/>
                </a:rPr>
                <a:t>𝐻𝑆𝑃𝐹_</a:t>
              </a:r>
              <a:r>
                <a:rPr lang="en-US" sz="1600" i="0">
                  <a:solidFill>
                    <a:sysClr val="windowText" lastClr="000000"/>
                  </a:solidFill>
                  <a:effectLst/>
                  <a:latin typeface="Cambria Math" panose="02040503050406030204" pitchFamily="18" charset="0"/>
                  <a:ea typeface="+mn-ea"/>
                  <a:cs typeface="+mn-cs"/>
                </a:rPr>
                <a:t>𝑒𝑒 ))))/1000</a:t>
              </a:r>
              <a:r>
                <a:rPr lang="en-US" sz="1600" b="0" i="0">
                  <a:solidFill>
                    <a:sysClr val="windowText" lastClr="000000"/>
                  </a:solidFill>
                  <a:latin typeface="Cambria Math" panose="02040503050406030204" pitchFamily="18" charset="0"/>
                </a:rPr>
                <a:t>+((𝐸𝐹𝐿𝐻_𝑐𝑜𝑜𝑙∗𝐶𝑎𝑝𝑎𝑐𝑖𝑡𝑦_𝑐𝑜𝑜𝑙∗(1/(𝑆𝐸𝐸𝑅_𝑒𝑥𝑖𝑠𝑡 )−1/(𝑆𝐸𝐸𝑅_𝑒𝑒 ))))/1000]∗𝐼𝑆𝑅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18096</xdr:colOff>
      <xdr:row>1322</xdr:row>
      <xdr:rowOff>54428</xdr:rowOff>
    </xdr:from>
    <xdr:to>
      <xdr:col>4</xdr:col>
      <xdr:colOff>1619250</xdr:colOff>
      <xdr:row>1325</xdr:row>
      <xdr:rowOff>25310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2372132" y="37474071"/>
              <a:ext cx="2839404" cy="501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2372132" y="37474071"/>
              <a:ext cx="2839404" cy="501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1316</xdr:row>
      <xdr:rowOff>85725</xdr:rowOff>
    </xdr:from>
    <xdr:to>
      <xdr:col>11</xdr:col>
      <xdr:colOff>1437409</xdr:colOff>
      <xdr:row>1320</xdr:row>
      <xdr:rowOff>107145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begChr m:val="["/>
                        <m:endChr m:val="]"/>
                        <m:ctrlPr>
                          <a:rPr lang="en-US" sz="1600" b="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d>
                              <m:dPr>
                                <m:ctrlPr>
                                  <a:rPr lang="en-US" sz="1600" b="0" i="1">
                                    <a:solidFill>
                                      <a:sysClr val="windowText" lastClr="000000"/>
                                    </a:solidFill>
                                    <a:effectLst/>
                                    <a:latin typeface="Cambria Math" panose="02040503050406030204" pitchFamily="18" charset="0"/>
                                    <a:ea typeface="+mn-ea"/>
                                    <a:cs typeface="+mn-cs"/>
                                  </a:rPr>
                                </m:ctrlPr>
                              </m:dPr>
                              <m:e>
                                <m:r>
                                  <a:rPr lang="en-US" sz="1600" b="0" i="1">
                                    <a:solidFill>
                                      <a:sysClr val="windowText" lastClr="000000"/>
                                    </a:solidFill>
                                    <a:effectLst/>
                                    <a:latin typeface="Cambria Math" panose="02040503050406030204" pitchFamily="18" charset="0"/>
                                    <a:ea typeface="+mn-ea"/>
                                    <a:cs typeface="+mn-cs"/>
                                  </a:rPr>
                                  <m:t>𝐸</m:t>
                                </m:r>
                                <m:r>
                                  <a:rPr lang="en-US" sz="1600" i="1">
                                    <a:solidFill>
                                      <a:sysClr val="windowText" lastClr="000000"/>
                                    </a:solidFill>
                                    <a:effectLst/>
                                    <a:latin typeface="Cambria Math" panose="02040503050406030204" pitchFamily="18" charset="0"/>
                                    <a:ea typeface="+mn-ea"/>
                                    <a:cs typeface="+mn-cs"/>
                                  </a:rPr>
                                  <m:t>𝐹𝐿</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𝐻</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 ∗ </m:t>
                                </m:r>
                                <m:r>
                                  <a:rPr lang="en-US" sz="1600" i="1">
                                    <a:solidFill>
                                      <a:sysClr val="windowText" lastClr="000000"/>
                                    </a:solidFill>
                                    <a:effectLst/>
                                    <a:latin typeface="Cambria Math" panose="02040503050406030204" pitchFamily="18" charset="0"/>
                                    <a:ea typeface="+mn-ea"/>
                                    <a:cs typeface="+mn-cs"/>
                                  </a:rPr>
                                  <m:t>𝐶𝑎𝑝𝑎𝑐𝑖𝑡</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i="1">
                                        <a:solidFill>
                                          <a:sysClr val="windowText" lastClr="000000"/>
                                        </a:solidFill>
                                        <a:effectLst/>
                                        <a:latin typeface="Cambria Math" panose="02040503050406030204" pitchFamily="18" charset="0"/>
                                        <a:ea typeface="+mn-ea"/>
                                        <a:cs typeface="+mn-cs"/>
                                      </a:rPr>
                                      <m:t>𝑦</m:t>
                                    </m:r>
                                  </m:e>
                                  <m:sub>
                                    <m:r>
                                      <a:rPr lang="en-US" sz="1600" b="0" i="1">
                                        <a:solidFill>
                                          <a:sysClr val="windowText" lastClr="000000"/>
                                        </a:solidFill>
                                        <a:effectLst/>
                                        <a:latin typeface="Cambria Math" panose="02040503050406030204" pitchFamily="18" charset="0"/>
                                        <a:ea typeface="+mn-ea"/>
                                        <a:cs typeface="+mn-cs"/>
                                      </a:rPr>
                                      <m:t>h𝑒𝑎𝑡</m:t>
                                    </m:r>
                                  </m:sub>
                                </m:sSub>
                                <m:r>
                                  <a:rPr lang="en-US" sz="1600" i="1">
                                    <a:solidFill>
                                      <a:sysClr val="windowText" lastClr="000000"/>
                                    </a:solidFill>
                                    <a:effectLst/>
                                    <a:latin typeface="Cambria Math" panose="02040503050406030204" pitchFamily="18" charset="0"/>
                                    <a:ea typeface="+mn-ea"/>
                                    <a:cs typeface="+mn-cs"/>
                                  </a:rPr>
                                  <m:t>∗</m:t>
                                </m:r>
                                <m:d>
                                  <m:dPr>
                                    <m:ctrlPr>
                                      <a:rPr lang="en-US" sz="1600" i="1">
                                        <a:solidFill>
                                          <a:sysClr val="windowText" lastClr="000000"/>
                                        </a:solidFill>
                                        <a:effectLst/>
                                        <a:latin typeface="Cambria Math" panose="02040503050406030204" pitchFamily="18" charset="0"/>
                                        <a:ea typeface="+mn-ea"/>
                                        <a:cs typeface="+mn-cs"/>
                                      </a:rPr>
                                    </m:ctrlPr>
                                  </m:dPr>
                                  <m:e>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b="0" i="1">
                                                <a:solidFill>
                                                  <a:sysClr val="windowText" lastClr="000000"/>
                                                </a:solidFill>
                                                <a:effectLst/>
                                                <a:latin typeface="Cambria Math" panose="02040503050406030204" pitchFamily="18" charset="0"/>
                                                <a:ea typeface="+mn-ea"/>
                                                <a:cs typeface="+mn-cs"/>
                                              </a:rPr>
                                              <m:t>𝑏𝑎𝑠𝑒</m:t>
                                            </m:r>
                                          </m:sub>
                                        </m:sSub>
                                      </m:den>
                                    </m:f>
                                    <m:r>
                                      <a:rPr lang="en-US" sz="1600" i="1">
                                        <a:solidFill>
                                          <a:sysClr val="windowText" lastClr="000000"/>
                                        </a:solidFill>
                                        <a:effectLst/>
                                        <a:latin typeface="Cambria Math" panose="02040503050406030204" pitchFamily="18" charset="0"/>
                                        <a:ea typeface="+mn-ea"/>
                                        <a:cs typeface="+mn-cs"/>
                                      </a:rPr>
                                      <m:t>−</m:t>
                                    </m:r>
                                    <m:f>
                                      <m:fPr>
                                        <m:ctrlPr>
                                          <a:rPr lang="en-US" sz="1600" i="1">
                                            <a:solidFill>
                                              <a:sysClr val="windowText" lastClr="000000"/>
                                            </a:solidFill>
                                            <a:effectLst/>
                                            <a:latin typeface="Cambria Math" panose="02040503050406030204" pitchFamily="18" charset="0"/>
                                            <a:ea typeface="+mn-ea"/>
                                            <a:cs typeface="+mn-cs"/>
                                          </a:rPr>
                                        </m:ctrlPr>
                                      </m:fPr>
                                      <m:num>
                                        <m:r>
                                          <a:rPr lang="en-US" sz="1600" i="1">
                                            <a:solidFill>
                                              <a:sysClr val="windowText" lastClr="000000"/>
                                            </a:solidFill>
                                            <a:effectLst/>
                                            <a:latin typeface="Cambria Math" panose="02040503050406030204" pitchFamily="18" charset="0"/>
                                            <a:ea typeface="+mn-ea"/>
                                            <a:cs typeface="+mn-cs"/>
                                          </a:rPr>
                                          <m:t>1</m:t>
                                        </m:r>
                                      </m:num>
                                      <m:den>
                                        <m:r>
                                          <a:rPr lang="en-US" sz="1600" b="0" i="1">
                                            <a:solidFill>
                                              <a:sysClr val="windowText" lastClr="000000"/>
                                            </a:solidFill>
                                            <a:effectLst/>
                                            <a:latin typeface="Cambria Math" panose="02040503050406030204" pitchFamily="18" charset="0"/>
                                            <a:ea typeface="+mn-ea"/>
                                            <a:cs typeface="+mn-cs"/>
                                          </a:rPr>
                                          <m:t>𝐻𝑆𝑃</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𝐹</m:t>
                                            </m:r>
                                          </m:e>
                                          <m:sub>
                                            <m:r>
                                              <a:rPr lang="en-US" sz="1600" i="1">
                                                <a:solidFill>
                                                  <a:sysClr val="windowText" lastClr="000000"/>
                                                </a:solidFill>
                                                <a:effectLst/>
                                                <a:latin typeface="Cambria Math" panose="02040503050406030204" pitchFamily="18" charset="0"/>
                                                <a:ea typeface="+mn-ea"/>
                                                <a:cs typeface="+mn-cs"/>
                                              </a:rPr>
                                              <m:t>𝑒𝑒</m:t>
                                            </m:r>
                                          </m:sub>
                                        </m:sSub>
                                      </m:den>
                                    </m:f>
                                  </m:e>
                                </m:d>
                              </m:e>
                            </m:d>
                          </m:num>
                          <m:den>
                            <m:r>
                              <a:rPr lang="en-US" sz="1600" i="1">
                                <a:solidFill>
                                  <a:sysClr val="windowText" lastClr="000000"/>
                                </a:solidFill>
                                <a:effectLst/>
                                <a:latin typeface="Cambria Math" panose="02040503050406030204" pitchFamily="18" charset="0"/>
                                <a:ea typeface="+mn-ea"/>
                                <a:cs typeface="+mn-cs"/>
                              </a:rPr>
                              <m:t>1000</m:t>
                            </m:r>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d>
                              <m:dPr>
                                <m:ctrlPr>
                                  <a:rPr lang="en-US" sz="1600" b="0" i="1">
                                    <a:solidFill>
                                      <a:sysClr val="windowText" lastClr="000000"/>
                                    </a:solidFill>
                                    <a:latin typeface="Cambria Math" panose="02040503050406030204" pitchFamily="18" charset="0"/>
                                  </a:rPr>
                                </m:ctrlPr>
                              </m:dPr>
                              <m:e>
                                <m:r>
                                  <a:rPr lang="en-US" sz="1600" b="0" i="1">
                                    <a:solidFill>
                                      <a:sysClr val="windowText" lastClr="000000"/>
                                    </a:solidFill>
                                    <a:latin typeface="Cambria Math" panose="02040503050406030204" pitchFamily="18" charset="0"/>
                                  </a:rPr>
                                  <m:t>𝐸𝐹𝐿</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𝐶𝑎𝑝𝑎𝑐𝑖𝑡</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𝑦</m:t>
                                    </m:r>
                                  </m:e>
                                  <m:sub>
                                    <m:r>
                                      <a:rPr lang="en-US" sz="1600" b="0" i="1">
                                        <a:solidFill>
                                          <a:sysClr val="windowText" lastClr="000000"/>
                                        </a:solidFill>
                                        <a:latin typeface="Cambria Math" panose="02040503050406030204" pitchFamily="18" charset="0"/>
                                      </a:rPr>
                                      <m:t>𝑐𝑜𝑜𝑙</m:t>
                                    </m:r>
                                  </m:sub>
                                </m:sSub>
                                <m:r>
                                  <a:rPr lang="en-US" sz="1600" b="0" i="1">
                                    <a:solidFill>
                                      <a:sysClr val="windowText" lastClr="000000"/>
                                    </a:solidFill>
                                    <a:latin typeface="Cambria Math" panose="02040503050406030204" pitchFamily="18" charset="0"/>
                                  </a:rPr>
                                  <m:t>∗</m:t>
                                </m:r>
                                <m:d>
                                  <m:dPr>
                                    <m:ctrlPr>
                                      <a:rPr lang="en-US" sz="1600" b="0" i="1">
                                        <a:solidFill>
                                          <a:sysClr val="windowText" lastClr="000000"/>
                                        </a:solidFill>
                                        <a:latin typeface="Cambria Math" panose="02040503050406030204" pitchFamily="18" charset="0"/>
                                      </a:rPr>
                                    </m:ctrlPr>
                                  </m:dPr>
                                  <m:e>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𝑏𝑎𝑠𝑒</m:t>
                                            </m:r>
                                          </m:sub>
                                        </m:sSub>
                                      </m:den>
                                    </m:f>
                                    <m:r>
                                      <a:rPr lang="en-US" sz="1600" b="0" i="1">
                                        <a:solidFill>
                                          <a:sysClr val="windowText" lastClr="000000"/>
                                        </a:solidFill>
                                        <a:latin typeface="Cambria Math" panose="02040503050406030204" pitchFamily="18" charset="0"/>
                                      </a:rPr>
                                      <m:t>−</m:t>
                                    </m:r>
                                    <m:f>
                                      <m:fPr>
                                        <m:ctrlPr>
                                          <a:rPr lang="en-US" sz="1600" b="0" i="1">
                                            <a:solidFill>
                                              <a:sysClr val="windowText" lastClr="000000"/>
                                            </a:solidFill>
                                            <a:latin typeface="Cambria Math" panose="02040503050406030204" pitchFamily="18" charset="0"/>
                                          </a:rPr>
                                        </m:ctrlPr>
                                      </m:fPr>
                                      <m:num>
                                        <m:r>
                                          <a:rPr lang="en-US" sz="1600" b="0" i="1">
                                            <a:solidFill>
                                              <a:sysClr val="windowText" lastClr="000000"/>
                                            </a:solidFill>
                                            <a:latin typeface="Cambria Math" panose="02040503050406030204" pitchFamily="18" charset="0"/>
                                          </a:rPr>
                                          <m:t>1</m:t>
                                        </m:r>
                                      </m:num>
                                      <m:den>
                                        <m:r>
                                          <a:rPr lang="en-US" sz="1600" b="0" i="1">
                                            <a:solidFill>
                                              <a:sysClr val="windowText" lastClr="000000"/>
                                            </a:solidFill>
                                            <a:latin typeface="Cambria Math" panose="02040503050406030204" pitchFamily="18" charset="0"/>
                                          </a:rPr>
                                          <m:t>𝑆𝐸𝐸</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𝑅</m:t>
                                            </m:r>
                                          </m:e>
                                          <m:sub>
                                            <m:r>
                                              <a:rPr lang="en-US" sz="1600" b="0" i="1">
                                                <a:solidFill>
                                                  <a:sysClr val="windowText" lastClr="000000"/>
                                                </a:solidFill>
                                                <a:latin typeface="Cambria Math" panose="02040503050406030204" pitchFamily="18" charset="0"/>
                                              </a:rPr>
                                              <m:t>𝑒𝑒</m:t>
                                            </m:r>
                                          </m:sub>
                                        </m:sSub>
                                      </m:den>
                                    </m:f>
                                  </m:e>
                                </m:d>
                              </m:e>
                            </m:d>
                          </m:num>
                          <m:den>
                            <m:r>
                              <a:rPr lang="en-US" sz="1600" b="0" i="1">
                                <a:solidFill>
                                  <a:sysClr val="windowText" lastClr="000000"/>
                                </a:solidFill>
                                <a:latin typeface="Cambria Math" panose="02040503050406030204" pitchFamily="18" charset="0"/>
                              </a:rPr>
                              <m:t>1000</m:t>
                            </m:r>
                          </m:den>
                        </m:f>
                      </m:e>
                    </m:d>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𝐼𝑆𝑅</m:t>
                    </m:r>
                  </m:oMath>
                </m:oMathPara>
              </a14:m>
              <a:endParaRPr lang="en-US" sz="1600" i="1">
                <a:solidFill>
                  <a:sysClr val="windowText" lastClr="000000"/>
                </a:solidFill>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lang="en-US" sz="1600" b="0" i="0">
                  <a:solidFill>
                    <a:sysClr val="windowText" lastClr="000000"/>
                  </a:solidFill>
                  <a:effectLst/>
                  <a:latin typeface="Cambria Math" panose="02040503050406030204" pitchFamily="18" charset="0"/>
                  <a:ea typeface="+mn-ea"/>
                  <a:cs typeface="+mn-cs"/>
                </a:rPr>
                <a:t>[((𝐸</a:t>
              </a:r>
              <a:r>
                <a:rPr lang="en-US" sz="1600" i="0">
                  <a:solidFill>
                    <a:sysClr val="windowText" lastClr="000000"/>
                  </a:solidFill>
                  <a:effectLst/>
                  <a:latin typeface="Cambria Math" panose="02040503050406030204" pitchFamily="18" charset="0"/>
                  <a:ea typeface="+mn-ea"/>
                  <a:cs typeface="+mn-cs"/>
                </a:rPr>
                <a:t>𝐹𝐿𝐻</a:t>
              </a:r>
              <a:r>
                <a:rPr lang="en-US" sz="1600" b="0" i="0">
                  <a:solidFill>
                    <a:sysClr val="windowText" lastClr="000000"/>
                  </a:solidFill>
                  <a:effectLst/>
                  <a:latin typeface="Cambria Math" panose="02040503050406030204" pitchFamily="18" charset="0"/>
                  <a:ea typeface="+mn-ea"/>
                  <a:cs typeface="+mn-cs"/>
                </a:rPr>
                <a:t>_ℎ𝑒𝑎𝑡 </a:t>
              </a:r>
              <a:r>
                <a:rPr lang="en-US" sz="1600" i="0">
                  <a:solidFill>
                    <a:sysClr val="windowText" lastClr="000000"/>
                  </a:solidFill>
                  <a:effectLst/>
                  <a:latin typeface="Cambria Math" panose="02040503050406030204" pitchFamily="18" charset="0"/>
                  <a:ea typeface="+mn-ea"/>
                  <a:cs typeface="+mn-cs"/>
                </a:rPr>
                <a:t> ∗ 𝐶𝑎𝑝𝑎𝑐𝑖𝑡𝑦</a:t>
              </a:r>
              <a:r>
                <a:rPr lang="en-US" sz="1600" b="0" i="0">
                  <a:solidFill>
                    <a:sysClr val="windowText" lastClr="000000"/>
                  </a:solidFill>
                  <a:effectLst/>
                  <a:latin typeface="Cambria Math" panose="02040503050406030204" pitchFamily="18" charset="0"/>
                  <a:ea typeface="+mn-ea"/>
                  <a:cs typeface="+mn-cs"/>
                </a:rPr>
                <a:t>_ℎ𝑒𝑎𝑡</a:t>
              </a:r>
              <a:r>
                <a:rPr lang="en-US" sz="1600" i="0">
                  <a:solidFill>
                    <a:sysClr val="windowText" lastClr="000000"/>
                  </a:solidFill>
                  <a:effectLst/>
                  <a:latin typeface="Cambria Math" panose="02040503050406030204" pitchFamily="18" charset="0"/>
                  <a:ea typeface="+mn-ea"/>
                  <a:cs typeface="+mn-cs"/>
                </a:rPr>
                <a:t>∗(1/(</a:t>
              </a:r>
              <a:r>
                <a:rPr lang="en-US" sz="1600" b="0" i="0">
                  <a:solidFill>
                    <a:sysClr val="windowText" lastClr="000000"/>
                  </a:solidFill>
                  <a:effectLst/>
                  <a:latin typeface="Cambria Math" panose="02040503050406030204" pitchFamily="18" charset="0"/>
                  <a:ea typeface="+mn-ea"/>
                  <a:cs typeface="+mn-cs"/>
                </a:rPr>
                <a:t>𝐻𝑆𝑃𝐹_𝑏𝑎𝑠𝑒 )</a:t>
              </a:r>
              <a:r>
                <a:rPr lang="en-US" sz="1600" i="0">
                  <a:solidFill>
                    <a:sysClr val="windowText" lastClr="000000"/>
                  </a:solidFill>
                  <a:effectLst/>
                  <a:latin typeface="Cambria Math" panose="02040503050406030204" pitchFamily="18" charset="0"/>
                  <a:ea typeface="+mn-ea"/>
                  <a:cs typeface="+mn-cs"/>
                </a:rPr>
                <a:t>−1/(</a:t>
              </a:r>
              <a:r>
                <a:rPr lang="en-US" sz="1600" b="0" i="0">
                  <a:solidFill>
                    <a:sysClr val="windowText" lastClr="000000"/>
                  </a:solidFill>
                  <a:effectLst/>
                  <a:latin typeface="Cambria Math" panose="02040503050406030204" pitchFamily="18" charset="0"/>
                  <a:ea typeface="+mn-ea"/>
                  <a:cs typeface="+mn-cs"/>
                </a:rPr>
                <a:t>𝐻𝑆𝑃𝐹_</a:t>
              </a:r>
              <a:r>
                <a:rPr lang="en-US" sz="1600" i="0">
                  <a:solidFill>
                    <a:sysClr val="windowText" lastClr="000000"/>
                  </a:solidFill>
                  <a:effectLst/>
                  <a:latin typeface="Cambria Math" panose="02040503050406030204" pitchFamily="18" charset="0"/>
                  <a:ea typeface="+mn-ea"/>
                  <a:cs typeface="+mn-cs"/>
                </a:rPr>
                <a:t>𝑒𝑒 ))))/1000</a:t>
              </a:r>
              <a:r>
                <a:rPr lang="en-US" sz="1600" b="0" i="0">
                  <a:solidFill>
                    <a:sysClr val="windowText" lastClr="000000"/>
                  </a:solidFill>
                  <a:latin typeface="Cambria Math" panose="02040503050406030204" pitchFamily="18" charset="0"/>
                </a:rPr>
                <a:t>+((𝐸𝐹𝐿𝐻_𝑐𝑜𝑜𝑙∗𝐶𝑎𝑝𝑎𝑐𝑖𝑡𝑦_𝑐𝑜𝑜𝑙∗(1/(𝑆𝐸𝐸𝑅_𝑏𝑎𝑠𝑒 )−1/(𝑆𝐸𝐸𝑅_𝑒𝑒 ))))/1000]∗𝐼𝑆𝑅</a:t>
              </a:r>
              <a:endParaRPr lang="en-US" sz="1600" i="1">
                <a:solidFill>
                  <a:sysClr val="windowText" lastClr="000000"/>
                </a:solidFill>
                <a:latin typeface="Cambria Math" panose="02040503050406030204" pitchFamily="18" charset="0"/>
              </a:endParaRPr>
            </a:p>
          </xdr:txBody>
        </xdr:sp>
      </mc:Fallback>
    </mc:AlternateContent>
    <xdr:clientData/>
  </xdr:twoCellAnchor>
  <xdr:twoCellAnchor>
    <xdr:from>
      <xdr:col>3</xdr:col>
      <xdr:colOff>198684</xdr:colOff>
      <xdr:row>1783</xdr:row>
      <xdr:rowOff>104775</xdr:rowOff>
    </xdr:from>
    <xdr:to>
      <xdr:col>15</xdr:col>
      <xdr:colOff>173182</xdr:colOff>
      <xdr:row>1787</xdr:row>
      <xdr:rowOff>126195</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1</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 ISR</a:t>
              </a:r>
            </a:p>
          </xdr:txBody>
        </xdr:sp>
      </mc:Choice>
      <mc:Fallback xmlns="">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_𝐸𝑅1</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 ISR</a:t>
              </a:r>
            </a:p>
          </xdr:txBody>
        </xdr:sp>
      </mc:Fallback>
    </mc:AlternateContent>
    <xdr:clientData/>
  </xdr:twoCellAnchor>
  <xdr:twoCellAnchor>
    <xdr:from>
      <xdr:col>3</xdr:col>
      <xdr:colOff>18095</xdr:colOff>
      <xdr:row>1796</xdr:row>
      <xdr:rowOff>88495</xdr:rowOff>
    </xdr:from>
    <xdr:to>
      <xdr:col>4</xdr:col>
      <xdr:colOff>2422071</xdr:colOff>
      <xdr:row>1798</xdr:row>
      <xdr:rowOff>68034</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2372131" y="84180638"/>
              <a:ext cx="3642226" cy="3333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2372131" y="84180638"/>
              <a:ext cx="3642226" cy="3333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1789</xdr:row>
      <xdr:rowOff>85725</xdr:rowOff>
    </xdr:from>
    <xdr:to>
      <xdr:col>15</xdr:col>
      <xdr:colOff>277091</xdr:colOff>
      <xdr:row>1793</xdr:row>
      <xdr:rowOff>107145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solidFill>
                        <a:sysClr val="windowText" lastClr="000000"/>
                      </a:solidFill>
                      <a:latin typeface="Cambria Math" panose="02040503050406030204" pitchFamily="18" charset="0"/>
                    </a:rPr>
                    <m:t>𝛥</m:t>
                  </m:r>
                  <m:r>
                    <a:rPr lang="en-US" sz="160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i="1">
                          <a:solidFill>
                            <a:sysClr val="windowText" lastClr="000000"/>
                          </a:solidFill>
                          <a:latin typeface="Cambria Math" panose="02040503050406030204" pitchFamily="18" charset="0"/>
                        </a:rPr>
                        <m:t>𝐻</m:t>
                      </m:r>
                    </m:e>
                    <m:sub>
                      <m:r>
                        <a:rPr lang="en-US" sz="1600" b="0" i="1">
                          <a:solidFill>
                            <a:sysClr val="windowText" lastClr="000000"/>
                          </a:solidFill>
                          <a:latin typeface="Cambria Math" panose="02040503050406030204" pitchFamily="18" charset="0"/>
                        </a:rPr>
                        <m:t>𝐸𝑅</m:t>
                      </m:r>
                      <m:r>
                        <a:rPr lang="en-US" sz="1600" b="0" i="1">
                          <a:solidFill>
                            <a:sysClr val="windowText" lastClr="000000"/>
                          </a:solidFill>
                          <a:latin typeface="Cambria Math" panose="02040503050406030204" pitchFamily="18" charset="0"/>
                        </a:rPr>
                        <m:t>2</m:t>
                      </m:r>
                    </m:sub>
                  </m:sSub>
                  <m:r>
                    <a:rPr lang="en-US" sz="1600" i="1">
                      <a:solidFill>
                        <a:sysClr val="windowText" lastClr="000000"/>
                      </a:solidFill>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 ISR</a:t>
              </a:r>
            </a:p>
          </xdr:txBody>
        </xdr:sp>
      </mc:Choice>
      <mc:Fallback xmlns="">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solidFill>
                    <a:sysClr val="windowText" lastClr="000000"/>
                  </a:solidFill>
                  <a:latin typeface="Cambria Math" panose="02040503050406030204" pitchFamily="18" charset="0"/>
                </a:rPr>
                <a:t>𝛥</a:t>
              </a:r>
              <a:r>
                <a:rPr lang="en-US" sz="1600" i="0">
                  <a:solidFill>
                    <a:sysClr val="windowText" lastClr="000000"/>
                  </a:solidFill>
                  <a:latin typeface="Cambria Math" panose="02040503050406030204" pitchFamily="18" charset="0"/>
                </a:rPr>
                <a:t>𝑘𝑊𝐻</a:t>
              </a:r>
              <a:r>
                <a:rPr lang="en-US" sz="1600" b="0" i="0">
                  <a:solidFill>
                    <a:sysClr val="windowText" lastClr="000000"/>
                  </a:solidFill>
                  <a:latin typeface="Cambria Math" panose="02040503050406030204" pitchFamily="18" charset="0"/>
                </a:rPr>
                <a:t>_𝐸𝑅2</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 ISR</a:t>
              </a:r>
            </a:p>
          </xdr:txBody>
        </xdr:sp>
      </mc:Fallback>
    </mc:AlternateContent>
    <xdr:clientData/>
  </xdr:twoCellAnchor>
  <xdr:twoCellAnchor>
    <xdr:from>
      <xdr:col>18</xdr:col>
      <xdr:colOff>478971</xdr:colOff>
      <xdr:row>1807</xdr:row>
      <xdr:rowOff>21771</xdr:rowOff>
    </xdr:from>
    <xdr:to>
      <xdr:col>18</xdr:col>
      <xdr:colOff>718456</xdr:colOff>
      <xdr:row>1811</xdr:row>
      <xdr:rowOff>10886</xdr:rowOff>
    </xdr:to>
    <xdr:sp macro="" textlink="">
      <xdr:nvSpPr>
        <xdr:cNvPr id="28" name="Right Brace 27">
          <a:extLst>
            <a:ext uri="{FF2B5EF4-FFF2-40B4-BE49-F238E27FC236}">
              <a16:creationId xmlns:a16="http://schemas.microsoft.com/office/drawing/2014/main" id="{00000000-0008-0000-0600-00001C000000}"/>
            </a:ext>
          </a:extLst>
        </xdr:cNvPr>
        <xdr:cNvSpPr/>
      </xdr:nvSpPr>
      <xdr:spPr>
        <a:xfrm>
          <a:off x="36586885" y="342627857"/>
          <a:ext cx="239485" cy="772886"/>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18</xdr:col>
      <xdr:colOff>390525</xdr:colOff>
      <xdr:row>206</xdr:row>
      <xdr:rowOff>9525</xdr:rowOff>
    </xdr:from>
    <xdr:to>
      <xdr:col>18</xdr:col>
      <xdr:colOff>619125</xdr:colOff>
      <xdr:row>210</xdr:row>
      <xdr:rowOff>76200</xdr:rowOff>
    </xdr:to>
    <xdr:sp macro="" textlink="">
      <xdr:nvSpPr>
        <xdr:cNvPr id="32" name="Right Brace 31">
          <a:extLst>
            <a:ext uri="{FF2B5EF4-FFF2-40B4-BE49-F238E27FC236}">
              <a16:creationId xmlns:a16="http://schemas.microsoft.com/office/drawing/2014/main" id="{00000000-0008-0000-0600-000020000000}"/>
            </a:ext>
          </a:extLst>
        </xdr:cNvPr>
        <xdr:cNvSpPr/>
      </xdr:nvSpPr>
      <xdr:spPr>
        <a:xfrm>
          <a:off x="33737550" y="34280475"/>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584564</xdr:colOff>
      <xdr:row>22</xdr:row>
      <xdr:rowOff>30752</xdr:rowOff>
    </xdr:from>
    <xdr:to>
      <xdr:col>6</xdr:col>
      <xdr:colOff>900398</xdr:colOff>
      <xdr:row>23</xdr:row>
      <xdr:rowOff>106951</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2938600" y="4208145"/>
              <a:ext cx="10235441" cy="32112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Continuous</m:t>
                        </m:r>
                        <m:r>
                          <a:rPr lang="en-US" sz="1600" b="0" i="0">
                            <a:solidFill>
                              <a:sysClr val="windowText" lastClr="000000"/>
                            </a:solidFill>
                            <a:latin typeface="Cambria Math" panose="02040503050406030204" pitchFamily="18" charset="0"/>
                          </a:rPr>
                          <m:t> </m:t>
                        </m:r>
                        <m:r>
                          <m:rPr>
                            <m:sty m:val="p"/>
                          </m:rPr>
                          <a:rPr lang="en-US" sz="1600" b="0" i="0">
                            <a:solidFill>
                              <a:sysClr val="windowText" lastClr="000000"/>
                            </a:solidFill>
                            <a:latin typeface="Cambria Math" panose="02040503050406030204" pitchFamily="18" charset="0"/>
                          </a:rPr>
                          <m:t>Circulation</m:t>
                        </m:r>
                      </m:sub>
                    </m:sSub>
                  </m:oMath>
                </m:oMathPara>
              </a14:m>
              <a:endParaRPr lang="en-US" sz="1600">
                <a:solidFill>
                  <a:sysClr val="windowText" lastClr="000000"/>
                </a:solidFill>
              </a:endParaRPr>
            </a:p>
          </xdr:txBody>
        </xdr:sp>
      </mc:Choice>
      <mc:Fallback xmlns="">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2938600" y="4208145"/>
              <a:ext cx="10235441" cy="32112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ysClr val="windowText" lastClr="000000"/>
                </a:solidFill>
              </a:endParaRP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674</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674</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765</xdr:row>
      <xdr:rowOff>27215</xdr:rowOff>
    </xdr:from>
    <xdr:to>
      <xdr:col>7</xdr:col>
      <xdr:colOff>1205669</xdr:colOff>
      <xdr:row>768</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latin typeface="Book Antiqua" panose="02040602050305030304" pitchFamily="18" charset="0"/>
              </a:endParaRPr>
            </a:p>
          </xdr:txBody>
        </xdr:sp>
      </mc:Choice>
      <mc:Fallback xmlns="">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a:t>
              </a:r>
              <a:r>
                <a:rPr lang="en-US" sz="1400" b="0" i="0" strike="sngStrike" baseline="0">
                  <a:solidFill>
                    <a:srgbClr val="FF0000"/>
                  </a:solidFill>
                  <a:effectLst/>
                  <a:latin typeface="Book Antiqua" panose="020406020503050303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latin typeface="Book Antiqua" panose="02040602050305030304" pitchFamily="18" charset="0"/>
              </a:endParaRPr>
            </a:p>
          </xdr:txBody>
        </xdr:sp>
      </mc:Fallback>
    </mc:AlternateContent>
    <xdr:clientData/>
  </xdr:twoCellAnchor>
  <xdr:twoCellAnchor>
    <xdr:from>
      <xdr:col>7</xdr:col>
      <xdr:colOff>544286</xdr:colOff>
      <xdr:row>765</xdr:row>
      <xdr:rowOff>110783</xdr:rowOff>
    </xdr:from>
    <xdr:to>
      <xdr:col>11</xdr:col>
      <xdr:colOff>2347311</xdr:colOff>
      <xdr:row>769</xdr:row>
      <xdr:rowOff>0</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1387929</xdr:colOff>
      <xdr:row>841</xdr:row>
      <xdr:rowOff>176893</xdr:rowOff>
    </xdr:from>
    <xdr:to>
      <xdr:col>5</xdr:col>
      <xdr:colOff>2858941</xdr:colOff>
      <xdr:row>845</xdr:row>
      <xdr:rowOff>82127</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891643" y="45747214"/>
              <a:ext cx="8723619"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d>
                      <m:dPr>
                        <m:ctrlPr>
                          <a:rPr lang="en-US" sz="1200" i="1">
                            <a:solidFill>
                              <a:sysClr val="windowText" lastClr="000000"/>
                            </a:solidFill>
                            <a:latin typeface="Cambria Math" panose="02040503050406030204" pitchFamily="18" charset="0"/>
                            <a:ea typeface="Cambria Math" panose="02040503050406030204" pitchFamily="18" charset="0"/>
                          </a:rPr>
                        </m:ctrlPr>
                      </m:dPr>
                      <m:e>
                        <m:f>
                          <m:fPr>
                            <m:ctrl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𝐿</m:t>
                                </m:r>
                              </m:e>
                              <m:sub>
                                <m:r>
                                  <a:rPr lang="en-US" sz="1100" b="0" i="1" baseline="0">
                                    <a:solidFill>
                                      <a:schemeClr val="tx1"/>
                                    </a:solidFill>
                                    <a:effectLst/>
                                    <a:latin typeface="Cambria Math" panose="02040503050406030204" pitchFamily="18" charset="0"/>
                                    <a:ea typeface="+mn-ea"/>
                                    <a:cs typeface="+mn-cs"/>
                                  </a:rPr>
                                  <m:t>𝐵𝐴𝑆𝐸</m:t>
                                </m:r>
                              </m:sub>
                            </m:sSub>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 − </m:t>
                                </m:r>
                                <m:r>
                                  <a:rPr lang="en-US" sz="1100" b="0" i="1" baseline="0">
                                    <a:solidFill>
                                      <a:schemeClr val="tx1"/>
                                    </a:solidFill>
                                    <a:effectLst/>
                                    <a:latin typeface="Cambria Math" panose="02040503050406030204" pitchFamily="18" charset="0"/>
                                    <a:ea typeface="+mn-ea"/>
                                    <a:cs typeface="+mn-cs"/>
                                  </a:rPr>
                                  <m:t>𝐺𝑃𝑀</m:t>
                                </m:r>
                              </m:e>
                              <m:sub>
                                <m:r>
                                  <a:rPr lang="en-US" sz="1100" b="0" i="1" baseline="0">
                                    <a:solidFill>
                                      <a:schemeClr val="tx1"/>
                                    </a:solidFill>
                                    <a:effectLst/>
                                    <a:latin typeface="Cambria Math" panose="02040503050406030204" pitchFamily="18" charset="0"/>
                                    <a:ea typeface="+mn-ea"/>
                                    <a:cs typeface="+mn-cs"/>
                                  </a:rPr>
                                  <m:t>𝐿𝑂𝑊</m:t>
                                </m:r>
                              </m:sub>
                            </m:sSub>
                            <m:r>
                              <m:rPr>
                                <m:nor/>
                              </m:rPr>
                              <a:rPr lang="en-US" sz="1200" b="0" i="1" baseline="-2500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𝐿</m:t>
                                </m:r>
                              </m:e>
                              <m:sub>
                                <m:r>
                                  <a:rPr lang="en-US" sz="1100" b="0" i="1" baseline="0">
                                    <a:solidFill>
                                      <a:schemeClr val="tx1"/>
                                    </a:solidFill>
                                    <a:effectLst/>
                                    <a:latin typeface="Cambria Math" panose="02040503050406030204" pitchFamily="18" charset="0"/>
                                    <a:ea typeface="+mn-ea"/>
                                    <a:cs typeface="+mn-cs"/>
                                  </a:rPr>
                                  <m:t>𝐿𝑂𝑊</m:t>
                                </m:r>
                              </m:sub>
                            </m:sSub>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200" b="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𝐸𝑃𝐺</m:t>
                    </m:r>
                    <m:r>
                      <a:rPr lang="en-US" sz="1200" b="0" i="1">
                        <a:solidFill>
                          <a:sysClr val="windowText" lastClr="000000"/>
                        </a:solidFill>
                        <a:latin typeface="Cambria Math" panose="02040503050406030204" pitchFamily="18" charset="0"/>
                        <a:ea typeface="Cambria Math" panose="02040503050406030204" pitchFamily="18" charset="0"/>
                      </a:rPr>
                      <m:t>_</m:t>
                    </m:r>
                    <m:r>
                      <a:rPr lang="en-US" sz="12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200" b="0" i="1" baseline="-25000">
                        <a:solidFill>
                          <a:sysClr val="windowText" lastClr="000000"/>
                        </a:solidFill>
                        <a:latin typeface="Cambria Math" panose="02040503050406030204" pitchFamily="18" charset="0"/>
                        <a:ea typeface="Cambria Math" panose="02040503050406030204" pitchFamily="18" charset="0"/>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891643" y="45747214"/>
              <a:ext cx="8723619"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"%ElectricDHW " ×" (" 〖𝐺𝑃𝑀〗_𝐵𝐴𝑆𝐸×</a:t>
              </a:r>
              <a:r>
                <a:rPr lang="en-US" sz="1100" b="0" i="0" baseline="0">
                  <a:solidFill>
                    <a:schemeClr val="tx1"/>
                  </a:solidFill>
                  <a:effectLst/>
                  <a:latin typeface="Cambria Math" panose="02040503050406030204" pitchFamily="18" charset="0"/>
                  <a:ea typeface="+mn-ea"/>
                  <a:cs typeface="+mn-cs"/>
                </a:rPr>
                <a:t>𝐿</a:t>
              </a:r>
              <a:r>
                <a:rPr lang="en-US" sz="1100" b="0" i="0" baseline="0">
                  <a:solidFill>
                    <a:schemeClr val="tx1"/>
                  </a:solidFill>
                  <a:effectLst/>
                  <a:latin typeface="+mn-lt"/>
                  <a:ea typeface="+mn-ea"/>
                  <a:cs typeface="+mn-cs"/>
                </a:rPr>
                <a:t>_𝐵𝐴𝑆𝐸 〖</a:t>
              </a:r>
              <a:r>
                <a:rPr lang="en-US" sz="1100" b="0" i="0" baseline="0">
                  <a:solidFill>
                    <a:schemeClr val="tx1"/>
                  </a:solidFill>
                  <a:effectLst/>
                  <a:latin typeface="Cambria Math" panose="02040503050406030204" pitchFamily="18" charset="0"/>
                  <a:ea typeface="+mn-ea"/>
                  <a:cs typeface="+mn-cs"/>
                </a:rPr>
                <a:t> − 𝐺</a:t>
              </a:r>
              <a:r>
                <a:rPr lang="en-US" sz="1100" b="0" i="0" baseline="0">
                  <a:solidFill>
                    <a:schemeClr val="tx1"/>
                  </a:solidFill>
                  <a:effectLst/>
                  <a:latin typeface="+mn-lt"/>
                  <a:ea typeface="+mn-ea"/>
                  <a:cs typeface="+mn-cs"/>
                </a:rPr>
                <a:t>𝑃𝑀〗_</a:t>
              </a:r>
              <a:r>
                <a:rPr lang="en-US" sz="1100" b="0" i="0" baseline="0">
                  <a:solidFill>
                    <a:schemeClr val="tx1"/>
                  </a:solidFill>
                  <a:effectLst/>
                  <a:latin typeface="Cambria Math" panose="02040503050406030204" pitchFamily="18" charset="0"/>
                  <a:ea typeface="+mn-ea"/>
                  <a:cs typeface="+mn-cs"/>
                </a:rPr>
                <a:t>𝐿𝑂𝑊</a:t>
              </a:r>
              <a:r>
                <a:rPr lang="en-US" sz="12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chemeClr val="tx1"/>
                  </a:solidFill>
                  <a:effectLst/>
                  <a:latin typeface="+mn-lt"/>
                  <a:ea typeface="+mn-ea"/>
                  <a:cs typeface="+mn-cs"/>
                </a:rPr>
                <a:t>" </a:t>
              </a:r>
              <a:r>
                <a:rPr lang="en-US" sz="1100" b="0" i="0" baseline="0">
                  <a:solidFill>
                    <a:schemeClr val="tx1"/>
                  </a:solidFill>
                  <a:effectLst/>
                  <a:latin typeface="Cambria Math" panose="02040503050406030204" pitchFamily="18" charset="0"/>
                  <a:ea typeface="+mn-ea"/>
                  <a:cs typeface="+mn-cs"/>
                </a:rPr>
                <a:t>𝐿</a:t>
              </a:r>
              <a:r>
                <a:rPr lang="en-US" sz="1100" b="0" i="0" baseline="0">
                  <a:solidFill>
                    <a:schemeClr val="tx1"/>
                  </a:solidFill>
                  <a:effectLst/>
                  <a:latin typeface="+mn-lt"/>
                  <a:ea typeface="+mn-ea"/>
                  <a:cs typeface="+mn-cs"/>
                </a:rPr>
                <a:t>_</a:t>
              </a:r>
              <a:r>
                <a:rPr lang="en-US" sz="1100" b="0" i="0" baseline="0">
                  <a:solidFill>
                    <a:schemeClr val="tx1"/>
                  </a:solidFill>
                  <a:effectLst/>
                  <a:latin typeface="Cambria Math" panose="02040503050406030204" pitchFamily="18" charset="0"/>
                  <a:ea typeface="+mn-ea"/>
                  <a:cs typeface="+mn-cs"/>
                </a:rPr>
                <a:t>𝐿𝑂𝑊</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200" b="0" i="0">
                  <a:solidFill>
                    <a:sysClr val="windowText" lastClr="000000"/>
                  </a:solidFill>
                  <a:latin typeface="Cambria Math" panose="02040503050406030204" pitchFamily="18" charset="0"/>
                  <a:ea typeface="Cambria Math" panose="02040503050406030204" pitchFamily="18" charset="0"/>
                </a:rPr>
                <a:t>×𝐸𝑃𝐺_</a:t>
              </a:r>
              <a:r>
                <a:rPr lang="en-US" sz="12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200" b="0" i="0" baseline="-25000">
                  <a:solidFill>
                    <a:sysClr val="windowText" lastClr="000000"/>
                  </a:solidFill>
                  <a:latin typeface="Cambria Math" panose="02040503050406030204" pitchFamily="18" charset="0"/>
                  <a:ea typeface="Cambria Math" panose="02040503050406030204" pitchFamily="18" charset="0"/>
                </a:rPr>
                <a:t>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 × 𝐼𝑆𝑅</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Fallback>
    </mc:AlternateContent>
    <xdr:clientData/>
  </xdr:twoCellAnchor>
  <xdr:twoCellAnchor>
    <xdr:from>
      <xdr:col>3</xdr:col>
      <xdr:colOff>1537607</xdr:colOff>
      <xdr:row>845</xdr:row>
      <xdr:rowOff>97175</xdr:rowOff>
    </xdr:from>
    <xdr:to>
      <xdr:col>4</xdr:col>
      <xdr:colOff>4218214</xdr:colOff>
      <xdr:row>848</xdr:row>
      <xdr:rowOff>27215</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4041321" y="46429496"/>
              <a:ext cx="4286250" cy="501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latin typeface="Cambria Math" panose="02040503050406030204" pitchFamily="18" charset="0"/>
                            <a:ea typeface="Cambria Math" panose="02040503050406030204" pitchFamily="18" charset="0"/>
                          </a:rPr>
                        </m:ctrlPr>
                      </m:fPr>
                      <m:num>
                        <m:r>
                          <a:rPr lang="en-US" sz="1200" b="0" i="1">
                            <a:solidFill>
                              <a:schemeClr val="tx1"/>
                            </a:solidFill>
                            <a:effectLst/>
                            <a:latin typeface="Cambria Math" panose="02040503050406030204" pitchFamily="18" charset="0"/>
                            <a:ea typeface="Cambria Math" panose="02040503050406030204" pitchFamily="18" charset="0"/>
                            <a:cs typeface="+mn-cs"/>
                          </a:rPr>
                          <m:t>8.33×1.0×(</m:t>
                        </m:r>
                        <m:r>
                          <a:rPr lang="en-US" sz="12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200" b="0" i="1">
                            <a:solidFill>
                              <a:schemeClr val="tx1"/>
                            </a:solidFill>
                            <a:effectLst/>
                            <a:latin typeface="Cambria Math" panose="02040503050406030204" pitchFamily="18" charset="0"/>
                            <a:ea typeface="Cambria Math" panose="02040503050406030204" pitchFamily="18" charset="0"/>
                            <a:cs typeface="+mn-cs"/>
                          </a:rPr>
                          <m:t> −</m:t>
                        </m:r>
                        <m:r>
                          <a:rPr lang="en-US" sz="12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200" b="0" i="1">
                            <a:solidFill>
                              <a:schemeClr val="tx1"/>
                            </a:solidFill>
                            <a:effectLst/>
                            <a:latin typeface="Cambria Math" panose="02040503050406030204" pitchFamily="18" charset="0"/>
                            <a:ea typeface="Cambria Math" panose="02040503050406030204" pitchFamily="18" charset="0"/>
                            <a:cs typeface="+mn-cs"/>
                          </a:rPr>
                          <m:t>)</m:t>
                        </m:r>
                      </m:num>
                      <m:den>
                        <m:r>
                          <a:rPr lang="en-US" sz="1200" b="0" i="1">
                            <a:solidFill>
                              <a:schemeClr val="tx1"/>
                            </a:solidFill>
                            <a:effectLst/>
                            <a:latin typeface="Cambria Math" panose="02040503050406030204" pitchFamily="18" charset="0"/>
                            <a:ea typeface="Cambria Math" panose="02040503050406030204" pitchFamily="18" charset="0"/>
                            <a:cs typeface="+mn-cs"/>
                          </a:rPr>
                          <m:t>𝑅𝐸</m:t>
                        </m:r>
                        <m:r>
                          <a:rPr lang="en-US" sz="1200" b="0" i="1">
                            <a:solidFill>
                              <a:schemeClr val="tx1"/>
                            </a:solidFill>
                            <a:effectLst/>
                            <a:latin typeface="Cambria Math" panose="02040503050406030204" pitchFamily="18" charset="0"/>
                            <a:ea typeface="Cambria Math" panose="02040503050406030204" pitchFamily="18" charset="0"/>
                            <a:cs typeface="+mn-cs"/>
                          </a:rPr>
                          <m:t>_</m:t>
                        </m:r>
                        <m:r>
                          <a:rPr lang="en-US" sz="12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2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4041321" y="46429496"/>
              <a:ext cx="4286250" cy="501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200" i="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1001</xdr:row>
      <xdr:rowOff>19793</xdr:rowOff>
    </xdr:from>
    <xdr:to>
      <xdr:col>7</xdr:col>
      <xdr:colOff>947383</xdr:colOff>
      <xdr:row>1004</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showerdevice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800" b="0" i="1">
                        <a:solidFill>
                          <a:sysClr val="windowText" lastClr="000000"/>
                        </a:solidFill>
                        <a:latin typeface="Cambria Math" panose="02040503050406030204" pitchFamily="18" charset="0"/>
                        <a:ea typeface="Cambria Math" panose="02040503050406030204" pitchFamily="18" charset="0"/>
                      </a:rPr>
                      <m:t>𝑥𝐸𝑃𝐺</m:t>
                    </m:r>
                    <m:r>
                      <a:rPr lang="en-US" sz="1800" b="0" i="1">
                        <a:solidFill>
                          <a:sysClr val="windowText" lastClr="000000"/>
                        </a:solidFill>
                        <a:latin typeface="Cambria Math" panose="02040503050406030204" pitchFamily="18" charset="0"/>
                        <a:ea typeface="Cambria Math" panose="02040503050406030204" pitchFamily="18" charset="0"/>
                      </a:rPr>
                      <m:t>_</m:t>
                    </m:r>
                    <m:r>
                      <a:rPr lang="en-US" sz="18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(GPM_base_S</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L_showerdevice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800" b="0" i="0">
                  <a:solidFill>
                    <a:sysClr val="windowText" lastClr="000000"/>
                  </a:solidFill>
                  <a:latin typeface="Cambria Math" panose="02040503050406030204" pitchFamily="18" charset="0"/>
                  <a:ea typeface="Cambria Math" panose="02040503050406030204" pitchFamily="18" charset="0"/>
                </a:rPr>
                <a:t>𝑥𝐸𝑃𝐺_</a:t>
              </a:r>
              <a:r>
                <a:rPr lang="en-US" sz="18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997033</xdr:colOff>
      <xdr:row>1001</xdr:row>
      <xdr:rowOff>82332</xdr:rowOff>
    </xdr:from>
    <xdr:to>
      <xdr:col>12</xdr:col>
      <xdr:colOff>0</xdr:colOff>
      <xdr:row>1005</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8.33∗1.0∗(</m:t>
                        </m:r>
                        <m:r>
                          <a:rPr lang="en-US" sz="1400" b="0" i="1">
                            <a:solidFill>
                              <a:sysClr val="windowText" lastClr="000000"/>
                            </a:solidFill>
                            <a:effectLst/>
                            <a:latin typeface="Cambria Math" panose="02040503050406030204" pitchFamily="18" charset="0"/>
                            <a:ea typeface="+mn-ea"/>
                            <a:cs typeface="+mn-cs"/>
                          </a:rPr>
                          <m:t>𝑆h𝑜𝑤𝑒𝑟𝑇𝑒𝑚𝑝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Choice>
      <mc:Fallback xmlns="">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ysClr val="windowText" lastClr="000000"/>
                </a:solidFill>
              </a:endParaRPr>
            </a:p>
          </xdr:txBody>
        </xdr:sp>
      </mc:Fallback>
    </mc:AlternateContent>
    <xdr:clientData/>
  </xdr:twoCellAnchor>
  <xdr:twoCellAnchor>
    <xdr:from>
      <xdr:col>3</xdr:col>
      <xdr:colOff>1405059</xdr:colOff>
      <xdr:row>1060</xdr:row>
      <xdr:rowOff>84367</xdr:rowOff>
    </xdr:from>
    <xdr:to>
      <xdr:col>6</xdr:col>
      <xdr:colOff>1213757</xdr:colOff>
      <xdr:row>1064</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i="1">
                            <a:solidFill>
                              <a:sysClr val="windowText" lastClr="000000"/>
                            </a:solidFill>
                            <a:latin typeface="Cambria Math" panose="02040503050406030204" pitchFamily="18" charset="0"/>
                            <a:ea typeface="Cambria Math" panose="02040503050406030204" pitchFamily="18" charset="0"/>
                          </a:rPr>
                        </m:ctrlPr>
                      </m:dPr>
                      <m:e>
                        <m:f>
                          <m:fPr>
                            <m:ctrlPr>
                              <a:rPr lang="en-US" sz="16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a:rPr lang="en-US" sz="1600" b="0" i="1">
                                <a:solidFill>
                                  <a:schemeClr val="tx1"/>
                                </a:solidFill>
                                <a:effectLst/>
                                <a:latin typeface="Cambria Math" panose="02040503050406030204" pitchFamily="18" charset="0"/>
                                <a:ea typeface="+mn-ea"/>
                                <a:cs typeface="+mn-cs"/>
                              </a:rPr>
                              <m:t>𝐺𝑃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𝑀</m:t>
                                </m:r>
                              </m:e>
                              <m:sub>
                                <m:r>
                                  <a:rPr lang="en-US" sz="1600" b="0" i="1">
                                    <a:solidFill>
                                      <a:schemeClr val="tx1"/>
                                    </a:solidFill>
                                    <a:effectLst/>
                                    <a:latin typeface="Cambria Math" panose="02040503050406030204" pitchFamily="18" charset="0"/>
                                    <a:ea typeface="+mn-ea"/>
                                    <a:cs typeface="+mn-cs"/>
                                  </a:rPr>
                                  <m:t>𝑏𝑎𝑠𝑒</m:t>
                                </m:r>
                              </m:sub>
                            </m:sSub>
                            <m:r>
                              <m:rPr>
                                <m:nor/>
                              </m:rPr>
                              <a:rPr lang="en-US" sz="16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600" b="0" i="1">
                                <a:solidFill>
                                  <a:schemeClr val="tx1"/>
                                </a:solidFill>
                                <a:effectLst/>
                                <a:latin typeface="Cambria Math" panose="02040503050406030204" pitchFamily="18" charset="0"/>
                                <a:ea typeface="+mn-ea"/>
                                <a:cs typeface="+mn-cs"/>
                              </a:rPr>
                              <m:t>𝐺𝑃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𝑀</m:t>
                                </m:r>
                              </m:e>
                              <m:sub>
                                <m:r>
                                  <a:rPr lang="en-US" sz="1600" b="0" i="1">
                                    <a:solidFill>
                                      <a:schemeClr val="tx1"/>
                                    </a:solidFill>
                                    <a:effectLst/>
                                    <a:latin typeface="Cambria Math" panose="02040503050406030204" pitchFamily="18" charset="0"/>
                                    <a:ea typeface="+mn-ea"/>
                                    <a:cs typeface="+mn-cs"/>
                                  </a:rPr>
                                  <m:t>𝑙𝑜𝑤</m:t>
                                </m:r>
                              </m:sub>
                            </m:sSub>
                          </m:num>
                          <m:den>
                            <m:r>
                              <a:rPr lang="en-US" sz="1600" b="0" i="1">
                                <a:solidFill>
                                  <a:sysClr val="windowText" lastClr="000000"/>
                                </a:solidFill>
                                <a:effectLst/>
                                <a:latin typeface="Cambria Math" panose="02040503050406030204" pitchFamily="18" charset="0"/>
                                <a:ea typeface="Cambria Math" panose="02040503050406030204" pitchFamily="18" charset="0"/>
                                <a:cs typeface="+mn-cs"/>
                              </a:rPr>
                              <m:t>𝐺𝑃</m:t>
                            </m:r>
                            <m:sSub>
                              <m:sSubPr>
                                <m:ctrlPr>
                                  <a:rPr lang="en-US" sz="16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600" b="0" i="1">
                                    <a:solidFill>
                                      <a:sysClr val="windowText" lastClr="000000"/>
                                    </a:solidFill>
                                    <a:effectLst/>
                                    <a:latin typeface="Cambria Math" panose="02040503050406030204" pitchFamily="18" charset="0"/>
                                    <a:ea typeface="Cambria Math" panose="02040503050406030204" pitchFamily="18" charset="0"/>
                                    <a:cs typeface="+mn-cs"/>
                                  </a:rPr>
                                  <m:t>𝑀</m:t>
                                </m:r>
                              </m:e>
                              <m:sub>
                                <m:r>
                                  <a:rPr lang="en-US" sz="1600" b="0" i="1">
                                    <a:solidFill>
                                      <a:sysClr val="windowText" lastClr="000000"/>
                                    </a:solidFill>
                                    <a:effectLst/>
                                    <a:latin typeface="Cambria Math" panose="02040503050406030204" pitchFamily="18" charset="0"/>
                                    <a:ea typeface="Cambria Math" panose="02040503050406030204" pitchFamily="18" charset="0"/>
                                    <a:cs typeface="+mn-cs"/>
                                  </a:rPr>
                                  <m:t>𝑏𝑎𝑠𝑒</m:t>
                                </m:r>
                              </m:sub>
                            </m:sSub>
                          </m:den>
                        </m:f>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𝑈𝑠𝑎𝑔𝑒</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6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6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chemeClr val="tx1"/>
                  </a:solidFill>
                  <a:effectLst/>
                  <a:latin typeface="+mn-lt"/>
                  <a:ea typeface="+mn-ea"/>
                  <a:cs typeface="+mn-cs"/>
                </a:rPr>
                <a:t>𝐺𝑃𝑀_𝑏𝑎𝑠𝑒</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600" b="0" i="0" baseline="0">
                  <a:solidFill>
                    <a:schemeClr val="tx1"/>
                  </a:solidFill>
                  <a:effectLst/>
                  <a:latin typeface="+mn-lt"/>
                  <a:ea typeface="+mn-ea"/>
                  <a:cs typeface="+mn-cs"/>
                </a:rPr>
                <a:t>" </a:t>
              </a:r>
              <a:r>
                <a:rPr lang="en-US" sz="1600" b="0" i="0">
                  <a:solidFill>
                    <a:schemeClr val="tx1"/>
                  </a:solidFill>
                  <a:effectLst/>
                  <a:latin typeface="+mn-lt"/>
                  <a:ea typeface="+mn-ea"/>
                  <a:cs typeface="+mn-cs"/>
                </a:rPr>
                <a:t>𝐺𝑃𝑀_</a:t>
              </a:r>
              <a:r>
                <a:rPr lang="en-US" sz="1600" b="0" i="0">
                  <a:solidFill>
                    <a:schemeClr val="tx1"/>
                  </a:solidFill>
                  <a:effectLst/>
                  <a:latin typeface="Cambria Math" panose="02040503050406030204" pitchFamily="18" charset="0"/>
                  <a:ea typeface="+mn-ea"/>
                  <a:cs typeface="+mn-cs"/>
                </a:rPr>
                <a:t>𝑙𝑜𝑤</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𝐺𝑃𝑀_𝑏𝑎𝑠𝑒 </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latin typeface="Cambria Math" panose="02040503050406030204" pitchFamily="18" charset="0"/>
                  <a:ea typeface="Cambria Math" panose="02040503050406030204" pitchFamily="18" charset="0"/>
                </a:rPr>
                <a:t>∗𝑈𝑠𝑎𝑔𝑒 ∗𝐸𝑃𝐺_𝑒𝑙𝑒𝑐𝑡𝑟𝑖𝑐  ∗</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6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6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1224643</xdr:colOff>
      <xdr:row>1060</xdr:row>
      <xdr:rowOff>176892</xdr:rowOff>
    </xdr:from>
    <xdr:to>
      <xdr:col>11</xdr:col>
      <xdr:colOff>1013811</xdr:colOff>
      <xdr:row>1064</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f>
                      <m:fPr>
                        <m:ctrlPr>
                          <a:rPr lang="en-US" sz="18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800" i="0">
                  <a:solidFill>
                    <a:sysClr val="windowText" lastClr="000000"/>
                  </a:solidFill>
                  <a:effectLst/>
                  <a:latin typeface="Cambria Math" panose="02040503050406030204" pitchFamily="18" charset="0"/>
                  <a:ea typeface="Cambria Math" panose="02040503050406030204" pitchFamily="18" charset="0"/>
                  <a:cs typeface="+mn-cs"/>
                </a:rPr>
                <a:t>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301518</xdr:colOff>
      <xdr:row>1092</xdr:row>
      <xdr:rowOff>95251</xdr:rowOff>
    </xdr:from>
    <xdr:to>
      <xdr:col>7</xdr:col>
      <xdr:colOff>1106261</xdr:colOff>
      <xdr:row>1094</xdr:row>
      <xdr:rowOff>130629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2859661" y="235259337"/>
              <a:ext cx="15326286" cy="405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2859661" y="235259337"/>
              <a:ext cx="15326286" cy="405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1091</xdr:row>
      <xdr:rowOff>151603</xdr:rowOff>
    </xdr:from>
    <xdr:to>
      <xdr:col>11</xdr:col>
      <xdr:colOff>1000205</xdr:colOff>
      <xdr:row>1095</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r>
                          <a:rPr lang="en-US" sz="1200" b="0" i="1">
                            <a:solidFill>
                              <a:srgbClr val="FF0000"/>
                            </a:solidFill>
                            <a:effectLst/>
                            <a:latin typeface="Cambria Math" panose="02040503050406030204" pitchFamily="18" charset="0"/>
                            <a:ea typeface="+mn-ea"/>
                            <a:cs typeface="+mn-cs"/>
                          </a:rPr>
                          <m:t>)</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200" b="0" i="0">
                  <a:solidFill>
                    <a:srgbClr val="FF0000"/>
                  </a:solidFill>
                  <a:effectLst/>
                  <a:latin typeface="Cambria Math" panose="02040503050406030204" pitchFamily="18" charset="0"/>
                  <a:ea typeface="+mn-ea"/>
                  <a:cs typeface="+mn-cs"/>
                </a:rPr>
                <a:t>)</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7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674</xdr:row>
      <xdr:rowOff>0</xdr:rowOff>
    </xdr:from>
    <xdr:ext cx="65" cy="172227"/>
    <xdr:sp macro="" textlink="">
      <xdr:nvSpPr>
        <xdr:cNvPr id="16" name="TextBox 15">
          <a:extLst>
            <a:ext uri="{FF2B5EF4-FFF2-40B4-BE49-F238E27FC236}">
              <a16:creationId xmlns:a16="http://schemas.microsoft.com/office/drawing/2014/main" id="{00000000-0008-0000-0700-000010000000}"/>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674</xdr:row>
      <xdr:rowOff>0</xdr:rowOff>
    </xdr:from>
    <xdr:ext cx="65" cy="172227"/>
    <xdr:sp macro="" textlink="">
      <xdr:nvSpPr>
        <xdr:cNvPr id="17" name="TextBox 16">
          <a:extLst>
            <a:ext uri="{FF2B5EF4-FFF2-40B4-BE49-F238E27FC236}">
              <a16:creationId xmlns:a16="http://schemas.microsoft.com/office/drawing/2014/main" id="{00000000-0008-0000-0700-000011000000}"/>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1765604</xdr:colOff>
      <xdr:row>567</xdr:row>
      <xdr:rowOff>78620</xdr:rowOff>
    </xdr:from>
    <xdr:to>
      <xdr:col>9</xdr:col>
      <xdr:colOff>11662</xdr:colOff>
      <xdr:row>568</xdr:row>
      <xdr:rowOff>188139</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5631283" y="22475977"/>
              <a:ext cx="458698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5631283" y="22475977"/>
              <a:ext cx="458698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2041981</xdr:colOff>
      <xdr:row>569</xdr:row>
      <xdr:rowOff>146958</xdr:rowOff>
    </xdr:from>
    <xdr:to>
      <xdr:col>9</xdr:col>
      <xdr:colOff>622727</xdr:colOff>
      <xdr:row>571</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5907660" y="22925315"/>
              <a:ext cx="492167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5907660" y="22925315"/>
              <a:ext cx="492167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𝑇ℎ𝑒𝑟𝑚𝑠=𝐻𝑒𝑎𝑡𝑆𝑎𝑣𝑖𝑛𝑔𝑠𝑃𝑒𝑟𝑈𝑛𝑖𝑡∗𝐷𝑢𝑐𝑡_𝑙𝑒𝑛𝑔𝑡ℎ</a:t>
              </a:r>
              <a:endParaRPr lang="en-US" sz="1800"/>
            </a:p>
          </xdr:txBody>
        </xdr:sp>
      </mc:Fallback>
    </mc:AlternateContent>
    <xdr:clientData/>
  </xdr:twoCellAnchor>
  <xdr:twoCellAnchor>
    <xdr:from>
      <xdr:col>3</xdr:col>
      <xdr:colOff>1390046</xdr:colOff>
      <xdr:row>568</xdr:row>
      <xdr:rowOff>186721</xdr:rowOff>
    </xdr:from>
    <xdr:to>
      <xdr:col>5</xdr:col>
      <xdr:colOff>1057740</xdr:colOff>
      <xdr:row>570</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𝑘𝑊ℎ_𝐻𝑒𝑎𝑡𝑖𝑛𝑔𝐸𝑙𝑒𝑐𝑡𝑟𝑖𝑐=𝐻𝑒𝑎𝑡𝑆𝑎𝑣𝑖𝑛𝑔𝑠𝑃𝑒𝑟𝑈𝑛𝑖𝑡∗𝐷𝑢𝑐𝑡_𝑙𝑒𝑛𝑔𝑡ℎ</a:t>
              </a:r>
              <a:endParaRPr lang="en-US" sz="1800"/>
            </a:p>
          </xdr:txBody>
        </xdr:sp>
      </mc:Fallback>
    </mc:AlternateContent>
    <xdr:clientData/>
  </xdr:twoCellAnchor>
  <xdr:twoCellAnchor>
    <xdr:from>
      <xdr:col>4</xdr:col>
      <xdr:colOff>68037</xdr:colOff>
      <xdr:row>566</xdr:row>
      <xdr:rowOff>44148</xdr:rowOff>
    </xdr:from>
    <xdr:to>
      <xdr:col>5</xdr:col>
      <xdr:colOff>365083</xdr:colOff>
      <xdr:row>567</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𝑘𝑊ℎ_𝐶𝑜𝑜𝑙𝑖𝑛𝑔=𝐶𝑜𝑜𝑙𝑆𝑎𝑣𝑖𝑛𝑔𝑠𝑃𝑒𝑟𝑈𝑛𝑖𝑡∗𝐷𝑢𝑐𝑡_𝑙𝑒𝑛𝑔𝑡ℎ</a:t>
              </a:r>
              <a:endParaRPr lang="en-US" sz="1800"/>
            </a:p>
          </xdr:txBody>
        </xdr:sp>
      </mc:Fallback>
    </mc:AlternateContent>
    <xdr:clientData/>
  </xdr:twoCellAnchor>
  <xdr:twoCellAnchor>
    <xdr:from>
      <xdr:col>4</xdr:col>
      <xdr:colOff>130933</xdr:colOff>
      <xdr:row>563</xdr:row>
      <xdr:rowOff>176893</xdr:rowOff>
    </xdr:from>
    <xdr:to>
      <xdr:col>4</xdr:col>
      <xdr:colOff>3214854</xdr:colOff>
      <xdr:row>565</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343748</xdr:colOff>
      <xdr:row>613</xdr:row>
      <xdr:rowOff>130629</xdr:rowOff>
    </xdr:from>
    <xdr:to>
      <xdr:col>5</xdr:col>
      <xdr:colOff>1676401</xdr:colOff>
      <xdr:row>616</xdr:row>
      <xdr:rowOff>21772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545634" y="119350972"/>
              <a:ext cx="7134738"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𝑛𝑒𝑤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𝐴𝑆𝐻𝑃</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400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545634" y="119350972"/>
              <a:ext cx="7134738"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))∗𝐻𝐹∗𝐼𝑆𝑅</a:t>
              </a:r>
              <a:endParaRPr lang="en-US" sz="1400">
                <a:solidFill>
                  <a:sysClr val="windowText" lastClr="000000"/>
                </a:solidFill>
              </a:endParaRPr>
            </a:p>
          </xdr:txBody>
        </xdr:sp>
      </mc:Fallback>
    </mc:AlternateContent>
    <xdr:clientData/>
  </xdr:twoCellAnchor>
  <xdr:twoCellAnchor>
    <xdr:from>
      <xdr:col>3</xdr:col>
      <xdr:colOff>1020536</xdr:colOff>
      <xdr:row>616</xdr:row>
      <xdr:rowOff>72208</xdr:rowOff>
    </xdr:from>
    <xdr:to>
      <xdr:col>5</xdr:col>
      <xdr:colOff>3309257</xdr:colOff>
      <xdr:row>619</xdr:row>
      <xdr:rowOff>87087</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3578679" y="119934808"/>
              <a:ext cx="9734549" cy="570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𝑁𝑒𝑤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𝐶𝑒𝑛𝑡𝑟𝑎𝑙</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70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3578679" y="119934808"/>
              <a:ext cx="9734549" cy="570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))∗𝐻𝐹∗𝐼𝑆𝑅</a:t>
              </a:r>
              <a:endParaRPr lang="en-US" sz="1400">
                <a:solidFill>
                  <a:sysClr val="windowText" lastClr="000000"/>
                </a:solidFill>
              </a:endParaRPr>
            </a:p>
          </xdr:txBody>
        </xdr:sp>
      </mc:Fallback>
    </mc:AlternateContent>
    <xdr:clientData/>
  </xdr:twoCellAnchor>
  <xdr:twoCellAnchor>
    <xdr:from>
      <xdr:col>4</xdr:col>
      <xdr:colOff>32657</xdr:colOff>
      <xdr:row>623</xdr:row>
      <xdr:rowOff>72569</xdr:rowOff>
    </xdr:from>
    <xdr:to>
      <xdr:col>5</xdr:col>
      <xdr:colOff>2318658</xdr:colOff>
      <xdr:row>625</xdr:row>
      <xdr:rowOff>29936</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234543" y="120218198"/>
              <a:ext cx="8088086" cy="664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𝐴𝑢𝑡𝑜</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400" b="0" i="1">
                            <a:solidFill>
                              <a:sysClr val="windowText" lastClr="000000"/>
                            </a:solidFill>
                            <a:latin typeface="Cambria Math" panose="02040503050406030204" pitchFamily="18" charset="0"/>
                            <a:ea typeface="Cambria Math" panose="02040503050406030204" pitchFamily="18" charset="0"/>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234543" y="120218198"/>
              <a:ext cx="8088086" cy="664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400" b="0" i="0">
                  <a:solidFill>
                    <a:sysClr val="windowText" lastClr="000000"/>
                  </a:solidFill>
                  <a:latin typeface="Cambria Math" panose="02040503050406030204" pitchFamily="18" charset="0"/>
                  <a:ea typeface="Cambria Math" panose="02040503050406030204" pitchFamily="18" charset="0"/>
                </a:rPr>
                <a:t>−30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250371</xdr:colOff>
      <xdr:row>619</xdr:row>
      <xdr:rowOff>108858</xdr:rowOff>
    </xdr:from>
    <xdr:to>
      <xdr:col>5</xdr:col>
      <xdr:colOff>2408464</xdr:colOff>
      <xdr:row>622</xdr:row>
      <xdr:rowOff>130629</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452257" y="120069429"/>
              <a:ext cx="7960178" cy="576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𝐶𝑜𝑛𝑡𝑖𝑛𝑢𝑜𝑢𝑠</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100" b="0" i="1">
                            <a:solidFill>
                              <a:sysClr val="windowText" lastClr="000000"/>
                            </a:solidFill>
                            <a:effectLst/>
                            <a:latin typeface="Cambria Math" panose="02040503050406030204" pitchFamily="18" charset="0"/>
                            <a:ea typeface="+mn-ea"/>
                            <a:cs typeface="+mn-cs"/>
                          </a:rPr>
                          <m:t>∗</m:t>
                        </m:r>
                        <m:r>
                          <a:rPr lang="en-US" sz="1100" b="0" i="1" baseline="0">
                            <a:solidFill>
                              <a:sysClr val="windowText" lastClr="000000"/>
                            </a:solidFill>
                            <a:effectLst/>
                            <a:latin typeface="Cambria Math" panose="02040503050406030204" pitchFamily="18" charset="0"/>
                            <a:ea typeface="+mn-ea"/>
                            <a:cs typeface="+mn-cs"/>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452257" y="120069429"/>
              <a:ext cx="7960178" cy="576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a:t>
              </a:r>
              <a:r>
                <a:rPr lang="en-US" sz="1100" b="0" i="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𝑅𝑇</a:t>
              </a:r>
              <a:r>
                <a:rPr lang="en-US" sz="1400" b="0" i="0">
                  <a:solidFill>
                    <a:sysClr val="windowText" lastClr="000000"/>
                  </a:solidFill>
                  <a:latin typeface="Cambria Math" panose="02040503050406030204" pitchFamily="18" charset="0"/>
                  <a:ea typeface="Cambria Math" panose="02040503050406030204" pitchFamily="18" charset="0"/>
                </a:rPr>
                <a:t>−30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145747</xdr:colOff>
      <xdr:row>625</xdr:row>
      <xdr:rowOff>54065</xdr:rowOff>
    </xdr:from>
    <xdr:to>
      <xdr:col>4</xdr:col>
      <xdr:colOff>2171110</xdr:colOff>
      <xdr:row>626</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258535</xdr:colOff>
      <xdr:row>21</xdr:row>
      <xdr:rowOff>101653</xdr:rowOff>
    </xdr:from>
    <xdr:to>
      <xdr:col>7</xdr:col>
      <xdr:colOff>872974</xdr:colOff>
      <xdr:row>25</xdr:row>
      <xdr:rowOff>168087</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4359888" y="4763300"/>
              <a:ext cx="13142615" cy="8284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ysClr val="windowText" lastClr="000000"/>
                        </a:solidFill>
                        <a:effectLst/>
                        <a:latin typeface="Cambria Math" panose="02040503050406030204" pitchFamily="18" charset="0"/>
                        <a:ea typeface="+mn-ea"/>
                        <a:cs typeface="+mn-cs"/>
                      </a:rPr>
                      <m:t>Δ</m:t>
                    </m:r>
                    <m:r>
                      <a:rPr lang="en-US" sz="1400" i="1">
                        <a:solidFill>
                          <a:sysClr val="windowText" lastClr="000000"/>
                        </a:solidFill>
                        <a:effectLst/>
                        <a:latin typeface="Cambria Math" panose="02040503050406030204" pitchFamily="18" charset="0"/>
                        <a:ea typeface="+mn-ea"/>
                        <a:cs typeface="+mn-cs"/>
                      </a:rPr>
                      <m:t>𝑘𝑊</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h</m:t>
                        </m:r>
                      </m:e>
                      <m:sub>
                        <m:r>
                          <a:rPr lang="en-US" sz="1400" b="0" i="1">
                            <a:solidFill>
                              <a:sysClr val="windowText" lastClr="000000"/>
                            </a:solidFill>
                            <a:effectLst/>
                            <a:latin typeface="Cambria Math" panose="02040503050406030204" pitchFamily="18" charset="0"/>
                            <a:ea typeface="+mn-ea"/>
                            <a:cs typeface="+mn-cs"/>
                          </a:rPr>
                          <m:t>𝐶𝑒𝑛𝑡𝑟𝑎𝑙</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𝐴𝐶</m:t>
                        </m:r>
                      </m:sub>
                    </m:sSub>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d>
                          <m:dPr>
                            <m:ctrlPr>
                              <a:rPr lang="en-US" sz="1400" i="1">
                                <a:solidFill>
                                  <a:sysClr val="windowText" lastClr="000000"/>
                                </a:solidFill>
                                <a:effectLst/>
                                <a:latin typeface="Cambria Math" panose="02040503050406030204" pitchFamily="18" charset="0"/>
                                <a:ea typeface="+mn-ea"/>
                                <a:cs typeface="+mn-cs"/>
                              </a:rPr>
                            </m:ctrlPr>
                          </m:dPr>
                          <m:e>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 ∗ </m:t>
                            </m:r>
                            <m:d>
                              <m:dPr>
                                <m:ctrlPr>
                                  <a:rPr lang="en-US" sz="140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𝑡</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𝑖𝑛</m:t>
                                        </m:r>
                                      </m:sub>
                                    </m:sSub>
                                  </m:den>
                                </m:f>
                                <m:r>
                                  <a:rPr lang="en-US" sz="1400" i="1">
                                    <a:solidFill>
                                      <a:sysClr val="windowText" lastClr="000000"/>
                                    </a:solidFill>
                                    <a:effectLst/>
                                    <a:latin typeface="Cambria Math" panose="02040503050406030204" pitchFamily="18" charset="0"/>
                                    <a:ea typeface="+mn-ea"/>
                                    <a:cs typeface="+mn-cs"/>
                                  </a:rPr>
                                  <m:t>−</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𝑡𝑒𝑠𝑡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𝑜𝑢𝑡</m:t>
                                        </m:r>
                                      </m:sub>
                                    </m:sSub>
                                  </m:den>
                                </m:f>
                              </m:e>
                            </m:d>
                          </m:e>
                        </m:d>
                      </m:num>
                      <m:den>
                        <m:r>
                          <a:rPr lang="en-US" sz="1400" i="1">
                            <a:solidFill>
                              <a:sysClr val="windowText" lastClr="000000"/>
                            </a:solidFill>
                            <a:effectLst/>
                            <a:latin typeface="Cambria Math" panose="02040503050406030204" pitchFamily="18" charset="0"/>
                            <a:ea typeface="+mn-ea"/>
                            <a:cs typeface="+mn-cs"/>
                          </a:rPr>
                          <m:t>1</m:t>
                        </m:r>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000</m:t>
                        </m:r>
                      </m:den>
                    </m:f>
                  </m:oMath>
                </m:oMathPara>
              </a14:m>
              <a:endParaRPr lang="en-US" sz="1400">
                <a:solidFill>
                  <a:sysClr val="windowText" lastClr="000000"/>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4359888" y="4763300"/>
              <a:ext cx="13142615" cy="8284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effectLst/>
                  <a:latin typeface="Cambria Math" panose="02040503050406030204" pitchFamily="18" charset="0"/>
                  <a:ea typeface="+mn-ea"/>
                  <a:cs typeface="+mn-cs"/>
                </a:rPr>
                <a:t>Δ𝑘𝑊ℎ</a:t>
              </a:r>
              <a:r>
                <a:rPr lang="en-US" sz="1400" b="0" i="0">
                  <a:solidFill>
                    <a:sysClr val="windowText" lastClr="000000"/>
                  </a:solidFill>
                  <a:effectLst/>
                  <a:latin typeface="Cambria Math" panose="02040503050406030204" pitchFamily="18" charset="0"/>
                  <a:ea typeface="+mn-ea"/>
                  <a:cs typeface="+mn-cs"/>
                </a:rPr>
                <a:t>_(𝐶𝑒𝑛𝑡𝑟𝑎𝑙 𝐴𝐶) </a:t>
              </a:r>
              <a:r>
                <a:rPr lang="en-US" sz="1400" i="0">
                  <a:solidFill>
                    <a:sysClr val="windowText" lastClr="000000"/>
                  </a:solidFill>
                  <a:effectLst/>
                  <a:latin typeface="Cambria Math" panose="02040503050406030204" pitchFamily="18" charset="0"/>
                  <a:ea typeface="+mn-ea"/>
                  <a:cs typeface="+mn-cs"/>
                </a:rPr>
                <a:t>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  ∗ (1/(𝑆𝐸𝐸𝑅</a:t>
              </a:r>
              <a:r>
                <a:rPr lang="en-US" sz="1400" b="0" i="0">
                  <a:solidFill>
                    <a:sysClr val="windowText" lastClr="000000"/>
                  </a:solidFill>
                  <a:effectLst/>
                  <a:latin typeface="Cambria Math" panose="02040503050406030204" pitchFamily="18" charset="0"/>
                  <a:ea typeface="+mn-ea"/>
                  <a:cs typeface="+mn-cs"/>
                </a:rPr>
                <a:t>_(𝑡</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−𝑖𝑛) )</a:t>
              </a:r>
              <a:r>
                <a:rPr lang="en-US" sz="1400" i="0">
                  <a:solidFill>
                    <a:sysClr val="windowText" lastClr="000000"/>
                  </a:solidFill>
                  <a:effectLst/>
                  <a:latin typeface="Cambria Math" panose="02040503050406030204" pitchFamily="18" charset="0"/>
                  <a:ea typeface="+mn-ea"/>
                  <a:cs typeface="+mn-cs"/>
                </a:rPr>
                <a:t>−1/(𝑆𝐸𝐸𝑅</a:t>
              </a:r>
              <a:r>
                <a:rPr lang="en-US" sz="1400" b="0" i="0">
                  <a:solidFill>
                    <a:sysClr val="windowText" lastClr="000000"/>
                  </a:solidFill>
                  <a:effectLst/>
                  <a:latin typeface="Cambria Math" panose="02040503050406030204" pitchFamily="18" charset="0"/>
                  <a:ea typeface="+mn-ea"/>
                  <a:cs typeface="+mn-cs"/>
                </a:rPr>
                <a:t>_(𝑡𝑒𝑠𝑡−𝑜𝑢𝑡)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000</a:t>
              </a:r>
              <a:endParaRPr lang="en-US" sz="1400">
                <a:solidFill>
                  <a:sysClr val="windowText" lastClr="000000"/>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68</xdr:row>
      <xdr:rowOff>0</xdr:rowOff>
    </xdr:from>
    <xdr:to>
      <xdr:col>4</xdr:col>
      <xdr:colOff>2876886</xdr:colOff>
      <xdr:row>69</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𝑡</m:t>
                        </m:r>
                      </m:e>
                      <m:sub>
                        <m:r>
                          <a:rPr lang="en-US" sz="1400" b="0" i="1">
                            <a:solidFill>
                              <a:sysClr val="windowText" lastClr="000000"/>
                            </a:solidFill>
                            <a:latin typeface="Cambria Math" panose="02040503050406030204" pitchFamily="18" charset="0"/>
                            <a:ea typeface="Cambria Math" panose="02040503050406030204" pitchFamily="18" charset="0"/>
                          </a:rPr>
                          <m:t>h𝑒𝑎𝑡</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𝑘𝑊ℎ_ℎ𝑒𝑎𝑡𝑖𝑛𝑔=𝐷𝑒𝑓𝑎𝑢𝑙𝑡_ℎ𝑒𝑎𝑡∗𝑆𝑞𝐹𝑡</a:t>
              </a:r>
              <a:endParaRPr lang="en-US" sz="1400">
                <a:solidFill>
                  <a:sysClr val="windowText" lastClr="000000"/>
                </a:solidFill>
              </a:endParaRPr>
            </a:p>
          </xdr:txBody>
        </xdr:sp>
      </mc:Fallback>
    </mc:AlternateContent>
    <xdr:clientData/>
  </xdr:twoCellAnchor>
  <xdr:twoCellAnchor>
    <xdr:from>
      <xdr:col>4</xdr:col>
      <xdr:colOff>13607</xdr:colOff>
      <xdr:row>70</xdr:row>
      <xdr:rowOff>179918</xdr:rowOff>
    </xdr:from>
    <xdr:to>
      <xdr:col>4</xdr:col>
      <xdr:colOff>2830788</xdr:colOff>
      <xdr:row>71</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𝑡</m:t>
                        </m:r>
                      </m:e>
                      <m:sub>
                        <m:r>
                          <a:rPr lang="en-US" sz="1400" b="0" i="1">
                            <a:solidFill>
                              <a:sysClr val="windowText" lastClr="000000"/>
                            </a:solidFill>
                            <a:latin typeface="Cambria Math" panose="02040503050406030204" pitchFamily="18" charset="0"/>
                            <a:ea typeface="Cambria Math" panose="02040503050406030204" pitchFamily="18" charset="0"/>
                          </a:rPr>
                          <m:t>𝑐𝑜𝑜𝑙</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𝑘𝑊ℎ_𝑐𝑜𝑜𝑙𝑖𝑛𝑔=𝐷𝑒𝑓𝑎𝑢𝑙𝑡_𝑐𝑜𝑜𝑙∗𝑆𝑞𝐹𝑡</a:t>
              </a:r>
              <a:endParaRPr lang="en-US" sz="1400">
                <a:solidFill>
                  <a:sysClr val="windowText" lastClr="000000"/>
                </a:solidFill>
              </a:endParaRPr>
            </a:p>
          </xdr:txBody>
        </xdr:sp>
      </mc:Fallback>
    </mc:AlternateContent>
    <xdr:clientData/>
  </xdr:twoCellAnchor>
  <xdr:twoCellAnchor>
    <xdr:from>
      <xdr:col>4</xdr:col>
      <xdr:colOff>4523174</xdr:colOff>
      <xdr:row>68</xdr:row>
      <xdr:rowOff>12700</xdr:rowOff>
    </xdr:from>
    <xdr:to>
      <xdr:col>6</xdr:col>
      <xdr:colOff>139573</xdr:colOff>
      <xdr:row>69</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4449999</xdr:colOff>
      <xdr:row>71</xdr:row>
      <xdr:rowOff>58058</xdr:rowOff>
    </xdr:from>
    <xdr:to>
      <xdr:col>6</xdr:col>
      <xdr:colOff>328584</xdr:colOff>
      <xdr:row>71</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𝐷𝑒𝑓𝑎𝑢𝑙𝑡</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𝑇ℎ𝑒𝑟𝑚𝑠=𝐷𝑒𝑓𝑎𝑢𝑙𝑡∗𝑆𝑞𝐹𝑡</a:t>
              </a:r>
              <a:endParaRPr lang="en-US" sz="1400">
                <a:solidFill>
                  <a:sysClr val="windowText" lastClr="000000"/>
                </a:solidFill>
              </a:endParaRPr>
            </a:p>
          </xdr:txBody>
        </xdr:sp>
      </mc:Fallback>
    </mc:AlternateContent>
    <xdr:clientData/>
  </xdr:twoCellAnchor>
  <xdr:twoCellAnchor>
    <xdr:from>
      <xdr:col>3</xdr:col>
      <xdr:colOff>1258658</xdr:colOff>
      <xdr:row>155</xdr:row>
      <xdr:rowOff>130627</xdr:rowOff>
    </xdr:from>
    <xdr:to>
      <xdr:col>6</xdr:col>
      <xdr:colOff>2460173</xdr:colOff>
      <xdr:row>158</xdr:row>
      <xdr:rowOff>190498</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816801" y="29478513"/>
              <a:ext cx="12881886" cy="669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strike="sngStrike" baseline="0">
                            <a:solidFill>
                              <a:srgbClr val="FF0000"/>
                            </a:solidFill>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816801" y="29478513"/>
              <a:ext cx="12881886" cy="669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a:t>
              </a:r>
              <a:r>
                <a:rPr lang="en-US" sz="1400" b="0" i="0" strike="sngStrike" baseline="0">
                  <a:solidFill>
                    <a:srgbClr val="FF0000"/>
                  </a:solidFill>
                  <a:latin typeface="Cambria Math" panose="02040503050406030204" pitchFamily="18" charset="0"/>
                  <a:ea typeface="Cambria Math" panose="02040503050406030204" pitchFamily="18" charset="0"/>
                </a:rPr>
                <a:t>𝐻𝑒𝑎𝑡𝑖𝑛𝑔</a:t>
              </a:r>
              <a:r>
                <a:rPr lang="en-US" sz="1400" b="0" i="0">
                  <a:latin typeface="Cambria Math" panose="02040503050406030204" pitchFamily="18" charset="0"/>
                  <a:ea typeface="Cambria Math" panose="02040503050406030204" pitchFamily="18" charset="0"/>
                </a:rPr>
                <a:t>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a:t>
              </a:r>
              <a:r>
                <a:rPr lang="en-US" sz="1400" b="0" i="0">
                  <a:solidFill>
                    <a:srgbClr val="FF0000"/>
                  </a:solidFill>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3</xdr:col>
      <xdr:colOff>1286755</xdr:colOff>
      <xdr:row>158</xdr:row>
      <xdr:rowOff>248583</xdr:rowOff>
    </xdr:from>
    <xdr:to>
      <xdr:col>5</xdr:col>
      <xdr:colOff>2449286</xdr:colOff>
      <xdr:row>161</xdr:row>
      <xdr:rowOff>164845</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844898" y="30206069"/>
              <a:ext cx="8608359" cy="7980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844898" y="30206069"/>
              <a:ext cx="8608359" cy="7980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6</xdr:col>
      <xdr:colOff>174172</xdr:colOff>
      <xdr:row>158</xdr:row>
      <xdr:rowOff>155922</xdr:rowOff>
    </xdr:from>
    <xdr:to>
      <xdr:col>9</xdr:col>
      <xdr:colOff>498561</xdr:colOff>
      <xdr:row>161</xdr:row>
      <xdr:rowOff>144426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4412686" y="30113408"/>
              <a:ext cx="6855818" cy="870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4412686" y="30113408"/>
              <a:ext cx="6855818" cy="870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454</xdr:row>
      <xdr:rowOff>0</xdr:rowOff>
    </xdr:from>
    <xdr:to>
      <xdr:col>7</xdr:col>
      <xdr:colOff>616323</xdr:colOff>
      <xdr:row>458</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4309943" y="85365771"/>
              <a:ext cx="13386066" cy="8173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4309943" y="85365771"/>
              <a:ext cx="13386066" cy="8173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a:t>
              </a:r>
              <a:r>
                <a:rPr lang="en-US" sz="1400" b="0" i="0">
                  <a:solidFill>
                    <a:srgbClr val="FF0000"/>
                  </a:solidFill>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412)</a:t>
              </a:r>
              <a:endParaRPr lang="en-US" sz="1400"/>
            </a:p>
          </xdr:txBody>
        </xdr:sp>
      </mc:Fallback>
    </mc:AlternateContent>
    <xdr:clientData/>
  </xdr:twoCellAnchor>
  <xdr:twoCellAnchor>
    <xdr:from>
      <xdr:col>7</xdr:col>
      <xdr:colOff>919380</xdr:colOff>
      <xdr:row>451</xdr:row>
      <xdr:rowOff>146307</xdr:rowOff>
    </xdr:from>
    <xdr:to>
      <xdr:col>13</xdr:col>
      <xdr:colOff>762000</xdr:colOff>
      <xdr:row>458</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3</xdr:col>
      <xdr:colOff>1515824</xdr:colOff>
      <xdr:row>458</xdr:row>
      <xdr:rowOff>51482</xdr:rowOff>
    </xdr:from>
    <xdr:to>
      <xdr:col>4</xdr:col>
      <xdr:colOff>2739839</xdr:colOff>
      <xdr:row>459</xdr:row>
      <xdr:rowOff>172891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791936</xdr:colOff>
      <xdr:row>492</xdr:row>
      <xdr:rowOff>174172</xdr:rowOff>
    </xdr:from>
    <xdr:to>
      <xdr:col>5</xdr:col>
      <xdr:colOff>1415143</xdr:colOff>
      <xdr:row>494</xdr:row>
      <xdr:rowOff>146636</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993822" y="94107001"/>
              <a:ext cx="6425292" cy="342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993822" y="94107001"/>
              <a:ext cx="6425292" cy="342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768376</xdr:colOff>
      <xdr:row>490</xdr:row>
      <xdr:rowOff>169620</xdr:rowOff>
    </xdr:from>
    <xdr:to>
      <xdr:col>5</xdr:col>
      <xdr:colOff>1001486</xdr:colOff>
      <xdr:row>492</xdr:row>
      <xdr:rowOff>76201</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970262" y="93732334"/>
              <a:ext cx="6035195" cy="276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970262" y="93732334"/>
              <a:ext cx="6035195" cy="276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481309</xdr:colOff>
      <xdr:row>494</xdr:row>
      <xdr:rowOff>165202</xdr:rowOff>
    </xdr:from>
    <xdr:to>
      <xdr:col>4</xdr:col>
      <xdr:colOff>3096345</xdr:colOff>
      <xdr:row>496</xdr:row>
      <xdr:rowOff>89006</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4683195" y="94098031"/>
              <a:ext cx="2615036" cy="293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4683195" y="94098031"/>
              <a:ext cx="2615036" cy="293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8</xdr:col>
      <xdr:colOff>1626410</xdr:colOff>
      <xdr:row>524</xdr:row>
      <xdr:rowOff>134471</xdr:rowOff>
    </xdr:from>
    <xdr:to>
      <xdr:col>12</xdr:col>
      <xdr:colOff>0</xdr:colOff>
      <xdr:row>529</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521</xdr:row>
      <xdr:rowOff>100853</xdr:rowOff>
    </xdr:from>
    <xdr:to>
      <xdr:col>5</xdr:col>
      <xdr:colOff>1367118</xdr:colOff>
      <xdr:row>525</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520</xdr:row>
      <xdr:rowOff>0</xdr:rowOff>
    </xdr:from>
    <xdr:to>
      <xdr:col>5</xdr:col>
      <xdr:colOff>502227</xdr:colOff>
      <xdr:row>521</xdr:row>
      <xdr:rowOff>155863</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4307225" y="48629455"/>
              <a:ext cx="5927820"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4307225" y="48629455"/>
              <a:ext cx="5927820"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𝑘𝑊ℎ_𝐻𝑒𝑎𝑡𝑖𝑛𝑔𝐸𝑙𝑒𝑐𝑡𝑟𝑖𝑐+Δ𝑘𝑊ℎ_𝐻𝑒𝑎𝑡𝑖𝑛𝑔𝐺𝑎𝑠</a:t>
              </a:r>
              <a:endParaRPr lang="en-US" sz="1400">
                <a:solidFill>
                  <a:sysClr val="windowText" lastClr="000000"/>
                </a:solidFill>
              </a:endParaRPr>
            </a:p>
          </xdr:txBody>
        </xdr:sp>
      </mc:Fallback>
    </mc:AlternateContent>
    <xdr:clientData/>
  </xdr:twoCellAnchor>
  <xdr:twoCellAnchor>
    <xdr:from>
      <xdr:col>4</xdr:col>
      <xdr:colOff>313267</xdr:colOff>
      <xdr:row>525</xdr:row>
      <xdr:rowOff>33617</xdr:rowOff>
    </xdr:from>
    <xdr:to>
      <xdr:col>6</xdr:col>
      <xdr:colOff>235324</xdr:colOff>
      <xdr:row>529</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700-00002F000000}"/>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526</xdr:row>
      <xdr:rowOff>95500</xdr:rowOff>
    </xdr:from>
    <xdr:to>
      <xdr:col>8</xdr:col>
      <xdr:colOff>952500</xdr:colOff>
      <xdr:row>528</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700-000030000000}"/>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674</xdr:row>
      <xdr:rowOff>0</xdr:rowOff>
    </xdr:from>
    <xdr:to>
      <xdr:col>8</xdr:col>
      <xdr:colOff>3567</xdr:colOff>
      <xdr:row>674</xdr:row>
      <xdr:rowOff>172227</xdr:rowOff>
    </xdr:to>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674</xdr:row>
      <xdr:rowOff>0</xdr:rowOff>
    </xdr:from>
    <xdr:to>
      <xdr:col>8</xdr:col>
      <xdr:colOff>3567</xdr:colOff>
      <xdr:row>674</xdr:row>
      <xdr:rowOff>172227</xdr:rowOff>
    </xdr:to>
    <xdr:sp macro="" textlink="">
      <xdr:nvSpPr>
        <xdr:cNvPr id="50" name="TextBox 49">
          <a:extLst>
            <a:ext uri="{FF2B5EF4-FFF2-40B4-BE49-F238E27FC236}">
              <a16:creationId xmlns:a16="http://schemas.microsoft.com/office/drawing/2014/main" id="{00000000-0008-0000-0700-000032000000}"/>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465203</xdr:colOff>
      <xdr:row>705</xdr:row>
      <xdr:rowOff>44023</xdr:rowOff>
    </xdr:from>
    <xdr:to>
      <xdr:col>7</xdr:col>
      <xdr:colOff>1673679</xdr:colOff>
      <xdr:row>717</xdr:row>
      <xdr:rowOff>149679</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3935024" y="32973309"/>
              <a:ext cx="9780976" cy="239165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m:t>
                        </m:r>
                        <m:r>
                          <a:rPr lang="en-US" sz="1400" b="0" i="1">
                            <a:solidFill>
                              <a:srgbClr val="FF0000"/>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3935024" y="32973309"/>
              <a:ext cx="9780976" cy="239165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(1/(𝑆𝐸𝐸𝑅</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a:t>
              </a:r>
              <a:r>
                <a:rPr lang="en-US" sz="1400" b="0" i="0">
                  <a:solidFill>
                    <a:srgbClr val="FF0000"/>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000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(1/(𝐻𝑆𝑃𝐹</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936</xdr:row>
      <xdr:rowOff>12998</xdr:rowOff>
    </xdr:from>
    <xdr:to>
      <xdr:col>7</xdr:col>
      <xdr:colOff>1619250</xdr:colOff>
      <xdr:row>938</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𝐶𝑎𝑝𝑎𝑐𝑖𝑡</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𝑦</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r>
                            <a:rPr lang="en-US" sz="1400" b="0" i="1">
                              <a:solidFill>
                                <a:sysClr val="windowText" lastClr="000000"/>
                              </a:solidFill>
                              <a:latin typeface="Cambria Math" panose="02040503050406030204" pitchFamily="18" charset="0"/>
                              <a:ea typeface="Cambria Math" panose="02040503050406030204" pitchFamily="18" charset="0"/>
                            </a:rPr>
                            <m:t>𝑆𝐸𝐸𝑅</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𝑆𝐵𝑑𝑒𝑔𝑟𝑒𝑒</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𝑠</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a14:m>
              <a:r>
                <a:rPr lang="en-US" sz="1400">
                  <a:solidFill>
                    <a:sysClr val="windowText" lastClr="000000"/>
                  </a:solidFill>
                </a:rPr>
                <a:t>/1000</a:t>
              </a:r>
            </a:p>
          </xdr:txBody>
        </xdr:sp>
      </mc:Choice>
      <mc:Fallback xmlns="">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𝐸𝐹𝐿𝐻_𝑐𝑜𝑜𝑙∗𝐶𝑎𝑝𝑎𝑐𝑖𝑡𝑦_𝐶𝑜𝑜𝑙𝑖𝑛𝑔∗(1/𝑆𝐸𝐸𝑅)∗𝑆𝐵𝑑𝑒𝑔𝑟𝑒𝑒𝑠_𝑐𝑜𝑜𝑙𝑖𝑛𝑔∗𝑆𝐹_𝑐𝑜𝑜𝑙𝑖𝑛𝑔∗𝐸𝐹_𝑐𝑜𝑜𝑙𝑖𝑛𝑔</a:t>
              </a:r>
              <a:r>
                <a:rPr lang="en-US" sz="1400">
                  <a:solidFill>
                    <a:sysClr val="windowText" lastClr="000000"/>
                  </a:solidFill>
                </a:rPr>
                <a:t>/1000</a:t>
              </a:r>
            </a:p>
          </xdr:txBody>
        </xdr:sp>
      </mc:Fallback>
    </mc:AlternateContent>
    <xdr:clientData/>
  </xdr:twoCellAnchor>
  <xdr:twoCellAnchor>
    <xdr:from>
      <xdr:col>4</xdr:col>
      <xdr:colOff>493788</xdr:colOff>
      <xdr:row>938</xdr:row>
      <xdr:rowOff>185357</xdr:rowOff>
    </xdr:from>
    <xdr:to>
      <xdr:col>7</xdr:col>
      <xdr:colOff>1238250</xdr:colOff>
      <xdr:row>941</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941</xdr:row>
      <xdr:rowOff>165096</xdr:rowOff>
    </xdr:from>
    <xdr:to>
      <xdr:col>4</xdr:col>
      <xdr:colOff>1976587</xdr:colOff>
      <xdr:row>943</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700-000036000000}"/>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1032</xdr:row>
      <xdr:rowOff>34636</xdr:rowOff>
    </xdr:from>
    <xdr:to>
      <xdr:col>5</xdr:col>
      <xdr:colOff>623455</xdr:colOff>
      <xdr:row>1036</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m:t>
                        </m:r>
                        <m:r>
                          <a:rPr lang="en-US" sz="1600" b="0" i="1">
                            <a:solidFill>
                              <a:srgbClr val="FF0000"/>
                            </a:solidFill>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a:t>
              </a:r>
              <a:r>
                <a:rPr lang="en-US" sz="1600" b="0" i="0">
                  <a:solidFill>
                    <a:srgbClr val="FF0000"/>
                  </a:solidFill>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412)</a:t>
              </a:r>
              <a:endParaRPr lang="en-US" sz="1400"/>
            </a:p>
          </xdr:txBody>
        </xdr:sp>
      </mc:Fallback>
    </mc:AlternateContent>
    <xdr:clientData/>
  </xdr:twoCellAnchor>
  <xdr:twoCellAnchor>
    <xdr:from>
      <xdr:col>4</xdr:col>
      <xdr:colOff>79600</xdr:colOff>
      <xdr:row>1148</xdr:row>
      <xdr:rowOff>127907</xdr:rowOff>
    </xdr:from>
    <xdr:to>
      <xdr:col>4</xdr:col>
      <xdr:colOff>3694340</xdr:colOff>
      <xdr:row>1149</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700-000038000000}"/>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1150</xdr:row>
      <xdr:rowOff>129267</xdr:rowOff>
    </xdr:from>
    <xdr:to>
      <xdr:col>6</xdr:col>
      <xdr:colOff>1629495</xdr:colOff>
      <xdr:row>1151</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700-000039000000}"/>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1152</xdr:row>
      <xdr:rowOff>137432</xdr:rowOff>
    </xdr:from>
    <xdr:to>
      <xdr:col>7</xdr:col>
      <xdr:colOff>304159</xdr:colOff>
      <xdr:row>1154</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700-00003A000000}"/>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1154</xdr:row>
      <xdr:rowOff>161925</xdr:rowOff>
    </xdr:from>
    <xdr:to>
      <xdr:col>4</xdr:col>
      <xdr:colOff>1696686</xdr:colOff>
      <xdr:row>1156</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700-00003B000000}"/>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1271</xdr:row>
      <xdr:rowOff>51955</xdr:rowOff>
    </xdr:from>
    <xdr:to>
      <xdr:col>5</xdr:col>
      <xdr:colOff>1323316</xdr:colOff>
      <xdr:row>1272</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700-00003C00000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884</xdr:row>
      <xdr:rowOff>190499</xdr:rowOff>
    </xdr:from>
    <xdr:to>
      <xdr:col>4</xdr:col>
      <xdr:colOff>3564872</xdr:colOff>
      <xdr:row>887</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700-00003D000000}"/>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1304</xdr:row>
      <xdr:rowOff>164060</xdr:rowOff>
    </xdr:from>
    <xdr:to>
      <xdr:col>4</xdr:col>
      <xdr:colOff>4862540</xdr:colOff>
      <xdr:row>1306</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700-00003E000000}"/>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7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7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483</xdr:row>
      <xdr:rowOff>0</xdr:rowOff>
    </xdr:from>
    <xdr:ext cx="65" cy="172227"/>
    <xdr:sp macro="" textlink="">
      <xdr:nvSpPr>
        <xdr:cNvPr id="65" name="TextBox 64">
          <a:extLst>
            <a:ext uri="{FF2B5EF4-FFF2-40B4-BE49-F238E27FC236}">
              <a16:creationId xmlns:a16="http://schemas.microsoft.com/office/drawing/2014/main" id="{00000000-0008-0000-0700-000041000000}"/>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483</xdr:row>
      <xdr:rowOff>0</xdr:rowOff>
    </xdr:from>
    <xdr:ext cx="65" cy="172227"/>
    <xdr:sp macro="" textlink="">
      <xdr:nvSpPr>
        <xdr:cNvPr id="66" name="TextBox 65">
          <a:extLst>
            <a:ext uri="{FF2B5EF4-FFF2-40B4-BE49-F238E27FC236}">
              <a16:creationId xmlns:a16="http://schemas.microsoft.com/office/drawing/2014/main" id="{00000000-0008-0000-0700-000042000000}"/>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756</xdr:row>
      <xdr:rowOff>0</xdr:rowOff>
    </xdr:from>
    <xdr:ext cx="65" cy="172227"/>
    <xdr:sp macro="" textlink="">
      <xdr:nvSpPr>
        <xdr:cNvPr id="67" name="TextBox 66">
          <a:extLst>
            <a:ext uri="{FF2B5EF4-FFF2-40B4-BE49-F238E27FC236}">
              <a16:creationId xmlns:a16="http://schemas.microsoft.com/office/drawing/2014/main" id="{00000000-0008-0000-0700-000043000000}"/>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756</xdr:row>
      <xdr:rowOff>0</xdr:rowOff>
    </xdr:from>
    <xdr:ext cx="65" cy="172227"/>
    <xdr:sp macro="" textlink="">
      <xdr:nvSpPr>
        <xdr:cNvPr id="68" name="TextBox 67">
          <a:extLst>
            <a:ext uri="{FF2B5EF4-FFF2-40B4-BE49-F238E27FC236}">
              <a16:creationId xmlns:a16="http://schemas.microsoft.com/office/drawing/2014/main" id="{00000000-0008-0000-0700-000044000000}"/>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833</xdr:row>
      <xdr:rowOff>0</xdr:rowOff>
    </xdr:from>
    <xdr:ext cx="65" cy="172227"/>
    <xdr:sp macro="" textlink="">
      <xdr:nvSpPr>
        <xdr:cNvPr id="69" name="TextBox 68">
          <a:extLst>
            <a:ext uri="{FF2B5EF4-FFF2-40B4-BE49-F238E27FC236}">
              <a16:creationId xmlns:a16="http://schemas.microsoft.com/office/drawing/2014/main" id="{00000000-0008-0000-0700-000045000000}"/>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833</xdr:row>
      <xdr:rowOff>0</xdr:rowOff>
    </xdr:from>
    <xdr:ext cx="65" cy="172227"/>
    <xdr:sp macro="" textlink="">
      <xdr:nvSpPr>
        <xdr:cNvPr id="70" name="TextBox 69">
          <a:extLst>
            <a:ext uri="{FF2B5EF4-FFF2-40B4-BE49-F238E27FC236}">
              <a16:creationId xmlns:a16="http://schemas.microsoft.com/office/drawing/2014/main" id="{00000000-0008-0000-0700-000046000000}"/>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878</xdr:row>
      <xdr:rowOff>0</xdr:rowOff>
    </xdr:from>
    <xdr:ext cx="65" cy="172227"/>
    <xdr:sp macro="" textlink="">
      <xdr:nvSpPr>
        <xdr:cNvPr id="71" name="TextBox 70">
          <a:extLst>
            <a:ext uri="{FF2B5EF4-FFF2-40B4-BE49-F238E27FC236}">
              <a16:creationId xmlns:a16="http://schemas.microsoft.com/office/drawing/2014/main" id="{00000000-0008-0000-0700-000047000000}"/>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878</xdr:row>
      <xdr:rowOff>0</xdr:rowOff>
    </xdr:from>
    <xdr:ext cx="65" cy="172227"/>
    <xdr:sp macro="" textlink="">
      <xdr:nvSpPr>
        <xdr:cNvPr id="72" name="TextBox 71">
          <a:extLst>
            <a:ext uri="{FF2B5EF4-FFF2-40B4-BE49-F238E27FC236}">
              <a16:creationId xmlns:a16="http://schemas.microsoft.com/office/drawing/2014/main" id="{00000000-0008-0000-0700-000048000000}"/>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908</xdr:row>
      <xdr:rowOff>0</xdr:rowOff>
    </xdr:from>
    <xdr:ext cx="65" cy="172227"/>
    <xdr:sp macro="" textlink="">
      <xdr:nvSpPr>
        <xdr:cNvPr id="73" name="TextBox 72">
          <a:extLst>
            <a:ext uri="{FF2B5EF4-FFF2-40B4-BE49-F238E27FC236}">
              <a16:creationId xmlns:a16="http://schemas.microsoft.com/office/drawing/2014/main" id="{00000000-0008-0000-0700-000049000000}"/>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908</xdr:row>
      <xdr:rowOff>0</xdr:rowOff>
    </xdr:from>
    <xdr:ext cx="65" cy="172227"/>
    <xdr:sp macro="" textlink="">
      <xdr:nvSpPr>
        <xdr:cNvPr id="74" name="TextBox 73">
          <a:extLst>
            <a:ext uri="{FF2B5EF4-FFF2-40B4-BE49-F238E27FC236}">
              <a16:creationId xmlns:a16="http://schemas.microsoft.com/office/drawing/2014/main" id="{00000000-0008-0000-0700-00004A000000}"/>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1118</xdr:row>
      <xdr:rowOff>0</xdr:rowOff>
    </xdr:from>
    <xdr:ext cx="65" cy="172227"/>
    <xdr:sp macro="" textlink="">
      <xdr:nvSpPr>
        <xdr:cNvPr id="75" name="TextBox 74">
          <a:extLst>
            <a:ext uri="{FF2B5EF4-FFF2-40B4-BE49-F238E27FC236}">
              <a16:creationId xmlns:a16="http://schemas.microsoft.com/office/drawing/2014/main" id="{00000000-0008-0000-0700-00004B000000}"/>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1118</xdr:row>
      <xdr:rowOff>0</xdr:rowOff>
    </xdr:from>
    <xdr:ext cx="65" cy="172227"/>
    <xdr:sp macro="" textlink="">
      <xdr:nvSpPr>
        <xdr:cNvPr id="76" name="TextBox 75">
          <a:extLst>
            <a:ext uri="{FF2B5EF4-FFF2-40B4-BE49-F238E27FC236}">
              <a16:creationId xmlns:a16="http://schemas.microsoft.com/office/drawing/2014/main" id="{00000000-0008-0000-0700-00004C000000}"/>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7" name="TextBox 76">
          <a:extLst>
            <a:ext uri="{FF2B5EF4-FFF2-40B4-BE49-F238E27FC236}">
              <a16:creationId xmlns:a16="http://schemas.microsoft.com/office/drawing/2014/main" id="{00000000-0008-0000-07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8" name="TextBox 77">
          <a:extLst>
            <a:ext uri="{FF2B5EF4-FFF2-40B4-BE49-F238E27FC236}">
              <a16:creationId xmlns:a16="http://schemas.microsoft.com/office/drawing/2014/main" id="{00000000-0008-0000-07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79" name="TextBox 78">
          <a:extLst>
            <a:ext uri="{FF2B5EF4-FFF2-40B4-BE49-F238E27FC236}">
              <a16:creationId xmlns:a16="http://schemas.microsoft.com/office/drawing/2014/main" id="{00000000-0008-0000-0700-00004F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80" name="TextBox 79">
          <a:extLst>
            <a:ext uri="{FF2B5EF4-FFF2-40B4-BE49-F238E27FC236}">
              <a16:creationId xmlns:a16="http://schemas.microsoft.com/office/drawing/2014/main" id="{00000000-0008-0000-0700-000050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81" name="TextBox 80">
          <a:extLst>
            <a:ext uri="{FF2B5EF4-FFF2-40B4-BE49-F238E27FC236}">
              <a16:creationId xmlns:a16="http://schemas.microsoft.com/office/drawing/2014/main" id="{00000000-0008-0000-0700-000051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82" name="TextBox 81">
          <a:extLst>
            <a:ext uri="{FF2B5EF4-FFF2-40B4-BE49-F238E27FC236}">
              <a16:creationId xmlns:a16="http://schemas.microsoft.com/office/drawing/2014/main" id="{00000000-0008-0000-0700-000052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513</xdr:row>
      <xdr:rowOff>0</xdr:rowOff>
    </xdr:from>
    <xdr:ext cx="65" cy="172227"/>
    <xdr:sp macro="" textlink="">
      <xdr:nvSpPr>
        <xdr:cNvPr id="83" name="TextBox 82">
          <a:extLst>
            <a:ext uri="{FF2B5EF4-FFF2-40B4-BE49-F238E27FC236}">
              <a16:creationId xmlns:a16="http://schemas.microsoft.com/office/drawing/2014/main" id="{00000000-0008-0000-0700-000053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513</xdr:row>
      <xdr:rowOff>0</xdr:rowOff>
    </xdr:from>
    <xdr:ext cx="65" cy="172227"/>
    <xdr:sp macro="" textlink="">
      <xdr:nvSpPr>
        <xdr:cNvPr id="84" name="TextBox 83">
          <a:extLst>
            <a:ext uri="{FF2B5EF4-FFF2-40B4-BE49-F238E27FC236}">
              <a16:creationId xmlns:a16="http://schemas.microsoft.com/office/drawing/2014/main" id="{00000000-0008-0000-0700-000054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554</xdr:row>
      <xdr:rowOff>0</xdr:rowOff>
    </xdr:from>
    <xdr:ext cx="65" cy="172227"/>
    <xdr:sp macro="" textlink="">
      <xdr:nvSpPr>
        <xdr:cNvPr id="85" name="TextBox 84">
          <a:extLst>
            <a:ext uri="{FF2B5EF4-FFF2-40B4-BE49-F238E27FC236}">
              <a16:creationId xmlns:a16="http://schemas.microsoft.com/office/drawing/2014/main" id="{00000000-0008-0000-0700-000055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554</xdr:row>
      <xdr:rowOff>0</xdr:rowOff>
    </xdr:from>
    <xdr:ext cx="65" cy="172227"/>
    <xdr:sp macro="" textlink="">
      <xdr:nvSpPr>
        <xdr:cNvPr id="86" name="TextBox 85">
          <a:extLst>
            <a:ext uri="{FF2B5EF4-FFF2-40B4-BE49-F238E27FC236}">
              <a16:creationId xmlns:a16="http://schemas.microsoft.com/office/drawing/2014/main" id="{00000000-0008-0000-0700-000056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87" name="TextBox 86">
          <a:extLst>
            <a:ext uri="{FF2B5EF4-FFF2-40B4-BE49-F238E27FC236}">
              <a16:creationId xmlns:a16="http://schemas.microsoft.com/office/drawing/2014/main" id="{00000000-0008-0000-0700-000057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88" name="TextBox 87">
          <a:extLst>
            <a:ext uri="{FF2B5EF4-FFF2-40B4-BE49-F238E27FC236}">
              <a16:creationId xmlns:a16="http://schemas.microsoft.com/office/drawing/2014/main" id="{00000000-0008-0000-0700-000058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89" name="TextBox 88">
          <a:extLst>
            <a:ext uri="{FF2B5EF4-FFF2-40B4-BE49-F238E27FC236}">
              <a16:creationId xmlns:a16="http://schemas.microsoft.com/office/drawing/2014/main" id="{00000000-0008-0000-0700-000059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90" name="TextBox 89">
          <a:extLst>
            <a:ext uri="{FF2B5EF4-FFF2-40B4-BE49-F238E27FC236}">
              <a16:creationId xmlns:a16="http://schemas.microsoft.com/office/drawing/2014/main" id="{00000000-0008-0000-0700-00005A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993</xdr:row>
      <xdr:rowOff>0</xdr:rowOff>
    </xdr:from>
    <xdr:ext cx="65" cy="172227"/>
    <xdr:sp macro="" textlink="">
      <xdr:nvSpPr>
        <xdr:cNvPr id="91" name="TextBox 90">
          <a:extLst>
            <a:ext uri="{FF2B5EF4-FFF2-40B4-BE49-F238E27FC236}">
              <a16:creationId xmlns:a16="http://schemas.microsoft.com/office/drawing/2014/main" id="{00000000-0008-0000-0700-00005B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993</xdr:row>
      <xdr:rowOff>0</xdr:rowOff>
    </xdr:from>
    <xdr:ext cx="65" cy="172227"/>
    <xdr:sp macro="" textlink="">
      <xdr:nvSpPr>
        <xdr:cNvPr id="92" name="TextBox 91">
          <a:extLst>
            <a:ext uri="{FF2B5EF4-FFF2-40B4-BE49-F238E27FC236}">
              <a16:creationId xmlns:a16="http://schemas.microsoft.com/office/drawing/2014/main" id="{00000000-0008-0000-0700-00005C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1028</xdr:row>
      <xdr:rowOff>0</xdr:rowOff>
    </xdr:from>
    <xdr:ext cx="65" cy="172227"/>
    <xdr:sp macro="" textlink="">
      <xdr:nvSpPr>
        <xdr:cNvPr id="93" name="TextBox 92">
          <a:extLst>
            <a:ext uri="{FF2B5EF4-FFF2-40B4-BE49-F238E27FC236}">
              <a16:creationId xmlns:a16="http://schemas.microsoft.com/office/drawing/2014/main" id="{00000000-0008-0000-0700-00005D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1028</xdr:row>
      <xdr:rowOff>0</xdr:rowOff>
    </xdr:from>
    <xdr:ext cx="65" cy="172227"/>
    <xdr:sp macro="" textlink="">
      <xdr:nvSpPr>
        <xdr:cNvPr id="94" name="TextBox 93">
          <a:extLst>
            <a:ext uri="{FF2B5EF4-FFF2-40B4-BE49-F238E27FC236}">
              <a16:creationId xmlns:a16="http://schemas.microsoft.com/office/drawing/2014/main" id="{00000000-0008-0000-0700-00005E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1054</xdr:row>
      <xdr:rowOff>0</xdr:rowOff>
    </xdr:from>
    <xdr:ext cx="65" cy="172227"/>
    <xdr:sp macro="" textlink="">
      <xdr:nvSpPr>
        <xdr:cNvPr id="95" name="TextBox 94">
          <a:extLst>
            <a:ext uri="{FF2B5EF4-FFF2-40B4-BE49-F238E27FC236}">
              <a16:creationId xmlns:a16="http://schemas.microsoft.com/office/drawing/2014/main" id="{00000000-0008-0000-0700-00005F000000}"/>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1054</xdr:row>
      <xdr:rowOff>0</xdr:rowOff>
    </xdr:from>
    <xdr:ext cx="65" cy="172227"/>
    <xdr:sp macro="" textlink="">
      <xdr:nvSpPr>
        <xdr:cNvPr id="96" name="TextBox 95">
          <a:extLst>
            <a:ext uri="{FF2B5EF4-FFF2-40B4-BE49-F238E27FC236}">
              <a16:creationId xmlns:a16="http://schemas.microsoft.com/office/drawing/2014/main" id="{00000000-0008-0000-0700-000060000000}"/>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1085</xdr:row>
      <xdr:rowOff>0</xdr:rowOff>
    </xdr:from>
    <xdr:ext cx="65" cy="172227"/>
    <xdr:sp macro="" textlink="">
      <xdr:nvSpPr>
        <xdr:cNvPr id="97" name="TextBox 96">
          <a:extLst>
            <a:ext uri="{FF2B5EF4-FFF2-40B4-BE49-F238E27FC236}">
              <a16:creationId xmlns:a16="http://schemas.microsoft.com/office/drawing/2014/main" id="{00000000-0008-0000-0700-000061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1085</xdr:row>
      <xdr:rowOff>0</xdr:rowOff>
    </xdr:from>
    <xdr:ext cx="65" cy="172227"/>
    <xdr:sp macro="" textlink="">
      <xdr:nvSpPr>
        <xdr:cNvPr id="98" name="TextBox 97">
          <a:extLst>
            <a:ext uri="{FF2B5EF4-FFF2-40B4-BE49-F238E27FC236}">
              <a16:creationId xmlns:a16="http://schemas.microsoft.com/office/drawing/2014/main" id="{00000000-0008-0000-0700-000062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99" name="TextBox 98">
          <a:extLst>
            <a:ext uri="{FF2B5EF4-FFF2-40B4-BE49-F238E27FC236}">
              <a16:creationId xmlns:a16="http://schemas.microsoft.com/office/drawing/2014/main" id="{00000000-0008-0000-0700-000063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00" name="TextBox 99">
          <a:extLst>
            <a:ext uri="{FF2B5EF4-FFF2-40B4-BE49-F238E27FC236}">
              <a16:creationId xmlns:a16="http://schemas.microsoft.com/office/drawing/2014/main" id="{00000000-0008-0000-0700-000064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01" name="TextBox 100">
          <a:extLst>
            <a:ext uri="{FF2B5EF4-FFF2-40B4-BE49-F238E27FC236}">
              <a16:creationId xmlns:a16="http://schemas.microsoft.com/office/drawing/2014/main" id="{00000000-0008-0000-0700-000065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02" name="TextBox 101">
          <a:extLst>
            <a:ext uri="{FF2B5EF4-FFF2-40B4-BE49-F238E27FC236}">
              <a16:creationId xmlns:a16="http://schemas.microsoft.com/office/drawing/2014/main" id="{00000000-0008-0000-0700-000066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3" name="TextBox 102">
          <a:extLst>
            <a:ext uri="{FF2B5EF4-FFF2-40B4-BE49-F238E27FC236}">
              <a16:creationId xmlns:a16="http://schemas.microsoft.com/office/drawing/2014/main" id="{00000000-0008-0000-07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4" name="TextBox 103">
          <a:extLst>
            <a:ext uri="{FF2B5EF4-FFF2-40B4-BE49-F238E27FC236}">
              <a16:creationId xmlns:a16="http://schemas.microsoft.com/office/drawing/2014/main" id="{00000000-0008-0000-07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105" name="TextBox 104">
          <a:extLst>
            <a:ext uri="{FF2B5EF4-FFF2-40B4-BE49-F238E27FC236}">
              <a16:creationId xmlns:a16="http://schemas.microsoft.com/office/drawing/2014/main" id="{00000000-0008-0000-0700-000069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106" name="TextBox 105">
          <a:extLst>
            <a:ext uri="{FF2B5EF4-FFF2-40B4-BE49-F238E27FC236}">
              <a16:creationId xmlns:a16="http://schemas.microsoft.com/office/drawing/2014/main" id="{00000000-0008-0000-0700-00006A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107" name="TextBox 106">
          <a:extLst>
            <a:ext uri="{FF2B5EF4-FFF2-40B4-BE49-F238E27FC236}">
              <a16:creationId xmlns:a16="http://schemas.microsoft.com/office/drawing/2014/main" id="{00000000-0008-0000-0700-00006B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108" name="TextBox 107">
          <a:extLst>
            <a:ext uri="{FF2B5EF4-FFF2-40B4-BE49-F238E27FC236}">
              <a16:creationId xmlns:a16="http://schemas.microsoft.com/office/drawing/2014/main" id="{00000000-0008-0000-0700-00006C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109" name="TextBox 108">
          <a:extLst>
            <a:ext uri="{FF2B5EF4-FFF2-40B4-BE49-F238E27FC236}">
              <a16:creationId xmlns:a16="http://schemas.microsoft.com/office/drawing/2014/main" id="{00000000-0008-0000-0700-00006D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110" name="TextBox 109">
          <a:extLst>
            <a:ext uri="{FF2B5EF4-FFF2-40B4-BE49-F238E27FC236}">
              <a16:creationId xmlns:a16="http://schemas.microsoft.com/office/drawing/2014/main" id="{00000000-0008-0000-0700-00006E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111" name="TextBox 110">
          <a:extLst>
            <a:ext uri="{FF2B5EF4-FFF2-40B4-BE49-F238E27FC236}">
              <a16:creationId xmlns:a16="http://schemas.microsoft.com/office/drawing/2014/main" id="{00000000-0008-0000-0700-00006F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112" name="TextBox 111">
          <a:extLst>
            <a:ext uri="{FF2B5EF4-FFF2-40B4-BE49-F238E27FC236}">
              <a16:creationId xmlns:a16="http://schemas.microsoft.com/office/drawing/2014/main" id="{00000000-0008-0000-0700-000070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113" name="TextBox 112">
          <a:extLst>
            <a:ext uri="{FF2B5EF4-FFF2-40B4-BE49-F238E27FC236}">
              <a16:creationId xmlns:a16="http://schemas.microsoft.com/office/drawing/2014/main" id="{00000000-0008-0000-0700-000071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442</xdr:row>
      <xdr:rowOff>0</xdr:rowOff>
    </xdr:from>
    <xdr:ext cx="65" cy="172227"/>
    <xdr:sp macro="" textlink="">
      <xdr:nvSpPr>
        <xdr:cNvPr id="114" name="TextBox 113">
          <a:extLst>
            <a:ext uri="{FF2B5EF4-FFF2-40B4-BE49-F238E27FC236}">
              <a16:creationId xmlns:a16="http://schemas.microsoft.com/office/drawing/2014/main" id="{00000000-0008-0000-0700-000072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513</xdr:row>
      <xdr:rowOff>0</xdr:rowOff>
    </xdr:from>
    <xdr:ext cx="65" cy="172227"/>
    <xdr:sp macro="" textlink="">
      <xdr:nvSpPr>
        <xdr:cNvPr id="115" name="TextBox 114">
          <a:extLst>
            <a:ext uri="{FF2B5EF4-FFF2-40B4-BE49-F238E27FC236}">
              <a16:creationId xmlns:a16="http://schemas.microsoft.com/office/drawing/2014/main" id="{00000000-0008-0000-0700-000073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513</xdr:row>
      <xdr:rowOff>0</xdr:rowOff>
    </xdr:from>
    <xdr:ext cx="65" cy="172227"/>
    <xdr:sp macro="" textlink="">
      <xdr:nvSpPr>
        <xdr:cNvPr id="116" name="TextBox 115">
          <a:extLst>
            <a:ext uri="{FF2B5EF4-FFF2-40B4-BE49-F238E27FC236}">
              <a16:creationId xmlns:a16="http://schemas.microsoft.com/office/drawing/2014/main" id="{00000000-0008-0000-0700-000074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554</xdr:row>
      <xdr:rowOff>0</xdr:rowOff>
    </xdr:from>
    <xdr:ext cx="65" cy="172227"/>
    <xdr:sp macro="" textlink="">
      <xdr:nvSpPr>
        <xdr:cNvPr id="117" name="TextBox 116">
          <a:extLst>
            <a:ext uri="{FF2B5EF4-FFF2-40B4-BE49-F238E27FC236}">
              <a16:creationId xmlns:a16="http://schemas.microsoft.com/office/drawing/2014/main" id="{00000000-0008-0000-0700-000075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554</xdr:row>
      <xdr:rowOff>0</xdr:rowOff>
    </xdr:from>
    <xdr:ext cx="65" cy="172227"/>
    <xdr:sp macro="" textlink="">
      <xdr:nvSpPr>
        <xdr:cNvPr id="118" name="TextBox 117">
          <a:extLst>
            <a:ext uri="{FF2B5EF4-FFF2-40B4-BE49-F238E27FC236}">
              <a16:creationId xmlns:a16="http://schemas.microsoft.com/office/drawing/2014/main" id="{00000000-0008-0000-0700-000076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554</xdr:row>
      <xdr:rowOff>0</xdr:rowOff>
    </xdr:from>
    <xdr:ext cx="65" cy="172227"/>
    <xdr:sp macro="" textlink="">
      <xdr:nvSpPr>
        <xdr:cNvPr id="119" name="TextBox 118">
          <a:extLst>
            <a:ext uri="{FF2B5EF4-FFF2-40B4-BE49-F238E27FC236}">
              <a16:creationId xmlns:a16="http://schemas.microsoft.com/office/drawing/2014/main" id="{00000000-0008-0000-0700-000077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554</xdr:row>
      <xdr:rowOff>0</xdr:rowOff>
    </xdr:from>
    <xdr:ext cx="65" cy="172227"/>
    <xdr:sp macro="" textlink="">
      <xdr:nvSpPr>
        <xdr:cNvPr id="120" name="TextBox 119">
          <a:extLst>
            <a:ext uri="{FF2B5EF4-FFF2-40B4-BE49-F238E27FC236}">
              <a16:creationId xmlns:a16="http://schemas.microsoft.com/office/drawing/2014/main" id="{00000000-0008-0000-0700-000078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21" name="TextBox 120">
          <a:extLst>
            <a:ext uri="{FF2B5EF4-FFF2-40B4-BE49-F238E27FC236}">
              <a16:creationId xmlns:a16="http://schemas.microsoft.com/office/drawing/2014/main" id="{00000000-0008-0000-0700-000079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22" name="TextBox 121">
          <a:extLst>
            <a:ext uri="{FF2B5EF4-FFF2-40B4-BE49-F238E27FC236}">
              <a16:creationId xmlns:a16="http://schemas.microsoft.com/office/drawing/2014/main" id="{00000000-0008-0000-0700-00007A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23" name="TextBox 122">
          <a:extLst>
            <a:ext uri="{FF2B5EF4-FFF2-40B4-BE49-F238E27FC236}">
              <a16:creationId xmlns:a16="http://schemas.microsoft.com/office/drawing/2014/main" id="{00000000-0008-0000-0700-00007B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24" name="TextBox 123">
          <a:extLst>
            <a:ext uri="{FF2B5EF4-FFF2-40B4-BE49-F238E27FC236}">
              <a16:creationId xmlns:a16="http://schemas.microsoft.com/office/drawing/2014/main" id="{00000000-0008-0000-0700-00007C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25" name="TextBox 124">
          <a:extLst>
            <a:ext uri="{FF2B5EF4-FFF2-40B4-BE49-F238E27FC236}">
              <a16:creationId xmlns:a16="http://schemas.microsoft.com/office/drawing/2014/main" id="{00000000-0008-0000-0700-00007D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593</xdr:row>
      <xdr:rowOff>0</xdr:rowOff>
    </xdr:from>
    <xdr:ext cx="65" cy="172227"/>
    <xdr:sp macro="" textlink="">
      <xdr:nvSpPr>
        <xdr:cNvPr id="126" name="TextBox 125">
          <a:extLst>
            <a:ext uri="{FF2B5EF4-FFF2-40B4-BE49-F238E27FC236}">
              <a16:creationId xmlns:a16="http://schemas.microsoft.com/office/drawing/2014/main" id="{00000000-0008-0000-0700-00007E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27" name="TextBox 126">
          <a:extLst>
            <a:ext uri="{FF2B5EF4-FFF2-40B4-BE49-F238E27FC236}">
              <a16:creationId xmlns:a16="http://schemas.microsoft.com/office/drawing/2014/main" id="{00000000-0008-0000-0700-00007F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28" name="TextBox 127">
          <a:extLst>
            <a:ext uri="{FF2B5EF4-FFF2-40B4-BE49-F238E27FC236}">
              <a16:creationId xmlns:a16="http://schemas.microsoft.com/office/drawing/2014/main" id="{00000000-0008-0000-0700-000080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29" name="TextBox 128">
          <a:extLst>
            <a:ext uri="{FF2B5EF4-FFF2-40B4-BE49-F238E27FC236}">
              <a16:creationId xmlns:a16="http://schemas.microsoft.com/office/drawing/2014/main" id="{00000000-0008-0000-0700-000081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30" name="TextBox 129">
          <a:extLst>
            <a:ext uri="{FF2B5EF4-FFF2-40B4-BE49-F238E27FC236}">
              <a16:creationId xmlns:a16="http://schemas.microsoft.com/office/drawing/2014/main" id="{00000000-0008-0000-0700-000082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31" name="TextBox 130">
          <a:extLst>
            <a:ext uri="{FF2B5EF4-FFF2-40B4-BE49-F238E27FC236}">
              <a16:creationId xmlns:a16="http://schemas.microsoft.com/office/drawing/2014/main" id="{00000000-0008-0000-0700-000083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32" name="TextBox 131">
          <a:extLst>
            <a:ext uri="{FF2B5EF4-FFF2-40B4-BE49-F238E27FC236}">
              <a16:creationId xmlns:a16="http://schemas.microsoft.com/office/drawing/2014/main" id="{00000000-0008-0000-0700-000084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33" name="TextBox 132">
          <a:extLst>
            <a:ext uri="{FF2B5EF4-FFF2-40B4-BE49-F238E27FC236}">
              <a16:creationId xmlns:a16="http://schemas.microsoft.com/office/drawing/2014/main" id="{00000000-0008-0000-0700-000085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672</xdr:row>
      <xdr:rowOff>0</xdr:rowOff>
    </xdr:from>
    <xdr:ext cx="65" cy="172227"/>
    <xdr:sp macro="" textlink="">
      <xdr:nvSpPr>
        <xdr:cNvPr id="134" name="TextBox 133">
          <a:extLst>
            <a:ext uri="{FF2B5EF4-FFF2-40B4-BE49-F238E27FC236}">
              <a16:creationId xmlns:a16="http://schemas.microsoft.com/office/drawing/2014/main" id="{00000000-0008-0000-0700-000086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993</xdr:row>
      <xdr:rowOff>0</xdr:rowOff>
    </xdr:from>
    <xdr:ext cx="65" cy="172227"/>
    <xdr:sp macro="" textlink="">
      <xdr:nvSpPr>
        <xdr:cNvPr id="135" name="TextBox 134">
          <a:extLst>
            <a:ext uri="{FF2B5EF4-FFF2-40B4-BE49-F238E27FC236}">
              <a16:creationId xmlns:a16="http://schemas.microsoft.com/office/drawing/2014/main" id="{00000000-0008-0000-0700-000087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993</xdr:row>
      <xdr:rowOff>0</xdr:rowOff>
    </xdr:from>
    <xdr:ext cx="65" cy="172227"/>
    <xdr:sp macro="" textlink="">
      <xdr:nvSpPr>
        <xdr:cNvPr id="136" name="TextBox 135">
          <a:extLst>
            <a:ext uri="{FF2B5EF4-FFF2-40B4-BE49-F238E27FC236}">
              <a16:creationId xmlns:a16="http://schemas.microsoft.com/office/drawing/2014/main" id="{00000000-0008-0000-0700-000088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1028</xdr:row>
      <xdr:rowOff>0</xdr:rowOff>
    </xdr:from>
    <xdr:ext cx="65" cy="172227"/>
    <xdr:sp macro="" textlink="">
      <xdr:nvSpPr>
        <xdr:cNvPr id="137" name="TextBox 136">
          <a:extLst>
            <a:ext uri="{FF2B5EF4-FFF2-40B4-BE49-F238E27FC236}">
              <a16:creationId xmlns:a16="http://schemas.microsoft.com/office/drawing/2014/main" id="{00000000-0008-0000-0700-000089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1028</xdr:row>
      <xdr:rowOff>0</xdr:rowOff>
    </xdr:from>
    <xdr:ext cx="65" cy="172227"/>
    <xdr:sp macro="" textlink="">
      <xdr:nvSpPr>
        <xdr:cNvPr id="138" name="TextBox 137">
          <a:extLst>
            <a:ext uri="{FF2B5EF4-FFF2-40B4-BE49-F238E27FC236}">
              <a16:creationId xmlns:a16="http://schemas.microsoft.com/office/drawing/2014/main" id="{00000000-0008-0000-0700-00008A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1028</xdr:row>
      <xdr:rowOff>0</xdr:rowOff>
    </xdr:from>
    <xdr:ext cx="65" cy="172227"/>
    <xdr:sp macro="" textlink="">
      <xdr:nvSpPr>
        <xdr:cNvPr id="139" name="TextBox 138">
          <a:extLst>
            <a:ext uri="{FF2B5EF4-FFF2-40B4-BE49-F238E27FC236}">
              <a16:creationId xmlns:a16="http://schemas.microsoft.com/office/drawing/2014/main" id="{00000000-0008-0000-0700-00008B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1028</xdr:row>
      <xdr:rowOff>0</xdr:rowOff>
    </xdr:from>
    <xdr:ext cx="65" cy="172227"/>
    <xdr:sp macro="" textlink="">
      <xdr:nvSpPr>
        <xdr:cNvPr id="140" name="TextBox 139">
          <a:extLst>
            <a:ext uri="{FF2B5EF4-FFF2-40B4-BE49-F238E27FC236}">
              <a16:creationId xmlns:a16="http://schemas.microsoft.com/office/drawing/2014/main" id="{00000000-0008-0000-0700-00008C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1085</xdr:row>
      <xdr:rowOff>0</xdr:rowOff>
    </xdr:from>
    <xdr:ext cx="65" cy="172227"/>
    <xdr:sp macro="" textlink="">
      <xdr:nvSpPr>
        <xdr:cNvPr id="141" name="TextBox 140">
          <a:extLst>
            <a:ext uri="{FF2B5EF4-FFF2-40B4-BE49-F238E27FC236}">
              <a16:creationId xmlns:a16="http://schemas.microsoft.com/office/drawing/2014/main" id="{00000000-0008-0000-0700-00008D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1085</xdr:row>
      <xdr:rowOff>0</xdr:rowOff>
    </xdr:from>
    <xdr:ext cx="65" cy="172227"/>
    <xdr:sp macro="" textlink="">
      <xdr:nvSpPr>
        <xdr:cNvPr id="142" name="TextBox 141">
          <a:extLst>
            <a:ext uri="{FF2B5EF4-FFF2-40B4-BE49-F238E27FC236}">
              <a16:creationId xmlns:a16="http://schemas.microsoft.com/office/drawing/2014/main" id="{00000000-0008-0000-0700-00008E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43" name="TextBox 142">
          <a:extLst>
            <a:ext uri="{FF2B5EF4-FFF2-40B4-BE49-F238E27FC236}">
              <a16:creationId xmlns:a16="http://schemas.microsoft.com/office/drawing/2014/main" id="{00000000-0008-0000-0700-00008F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44" name="TextBox 143">
          <a:extLst>
            <a:ext uri="{FF2B5EF4-FFF2-40B4-BE49-F238E27FC236}">
              <a16:creationId xmlns:a16="http://schemas.microsoft.com/office/drawing/2014/main" id="{00000000-0008-0000-0700-000090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45" name="TextBox 144">
          <a:extLst>
            <a:ext uri="{FF2B5EF4-FFF2-40B4-BE49-F238E27FC236}">
              <a16:creationId xmlns:a16="http://schemas.microsoft.com/office/drawing/2014/main" id="{00000000-0008-0000-0700-000091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46" name="TextBox 145">
          <a:extLst>
            <a:ext uri="{FF2B5EF4-FFF2-40B4-BE49-F238E27FC236}">
              <a16:creationId xmlns:a16="http://schemas.microsoft.com/office/drawing/2014/main" id="{00000000-0008-0000-0700-000092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58943</xdr:colOff>
      <xdr:row>1359</xdr:row>
      <xdr:rowOff>21740</xdr:rowOff>
    </xdr:from>
    <xdr:to>
      <xdr:col>5</xdr:col>
      <xdr:colOff>571334</xdr:colOff>
      <xdr:row>1363</xdr:row>
      <xdr:rowOff>149678</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00000000-0008-0000-0700-000093000000}"/>
                </a:ext>
              </a:extLst>
            </xdr:cNvPr>
            <xdr:cNvSpPr txBox="1"/>
          </xdr:nvSpPr>
          <xdr:spPr>
            <a:xfrm>
              <a:off x="4277157" y="81201954"/>
              <a:ext cx="6322641" cy="83551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m:t>
                        </m:r>
                        <m:r>
                          <a:rPr lang="en-US" sz="1400" b="0" i="1">
                            <a:solidFill>
                              <a:srgbClr val="FF0000"/>
                            </a:solidFill>
                            <a:latin typeface="Cambria Math" panose="02040503050406030204" pitchFamily="18" charset="0"/>
                          </a:rPr>
                          <m:t>,</m:t>
                        </m:r>
                        <m:r>
                          <a:rPr lang="en-US" sz="1400" b="0" i="1">
                            <a:latin typeface="Cambria Math" panose="02040503050406030204" pitchFamily="18" charset="0"/>
                          </a:rPr>
                          <m:t>000</m:t>
                        </m:r>
                      </m:den>
                    </m:f>
                    <m:r>
                      <a:rPr lang="en-US" sz="1400" b="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rPr>
                      <m:t>𝐼𝑆𝑅</m:t>
                    </m:r>
                  </m:oMath>
                </m:oMathPara>
              </a14:m>
              <a:endParaRPr lang="en-US" sz="1400"/>
            </a:p>
          </xdr:txBody>
        </xdr:sp>
      </mc:Choice>
      <mc:Fallback xmlns="">
        <xdr:sp macro="" textlink="">
          <xdr:nvSpPr>
            <xdr:cNvPr id="147" name="TextBox 146">
              <a:extLst>
                <a:ext uri="{FF2B5EF4-FFF2-40B4-BE49-F238E27FC236}">
                  <a16:creationId xmlns:a16="http://schemas.microsoft.com/office/drawing/2014/main" id="{00000000-0008-0000-0700-000093000000}"/>
                </a:ext>
              </a:extLst>
            </xdr:cNvPr>
            <xdr:cNvSpPr txBox="1"/>
          </xdr:nvSpPr>
          <xdr:spPr>
            <a:xfrm>
              <a:off x="4277157" y="81201954"/>
              <a:ext cx="6322641" cy="83551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a:t>
              </a:r>
              <a:r>
                <a:rPr lang="en-US" sz="1400" b="0" i="0">
                  <a:solidFill>
                    <a:srgbClr val="FF0000"/>
                  </a:solidFill>
                  <a:latin typeface="Cambria Math" panose="02040503050406030204" pitchFamily="18" charset="0"/>
                </a:rPr>
                <a:t>,</a:t>
              </a:r>
              <a:r>
                <a:rPr lang="en-US" sz="1400" b="0" i="0">
                  <a:latin typeface="Cambria Math" panose="02040503050406030204" pitchFamily="18" charset="0"/>
                </a:rPr>
                <a:t>000</a:t>
              </a:r>
              <a:r>
                <a:rPr lang="en-US" sz="1400" b="0" i="0">
                  <a:solidFill>
                    <a:srgbClr val="FF0000"/>
                  </a:solidFill>
                  <a:latin typeface="Cambria Math" panose="02040503050406030204" pitchFamily="18" charset="0"/>
                </a:rPr>
                <a:t>∗𝐼𝑆𝑅</a:t>
              </a:r>
              <a:endParaRPr lang="en-US" sz="1400"/>
            </a:p>
          </xdr:txBody>
        </xdr:sp>
      </mc:Fallback>
    </mc:AlternateContent>
    <xdr:clientData/>
  </xdr:twoCellAnchor>
  <xdr:twoCellAnchor>
    <xdr:from>
      <xdr:col>4</xdr:col>
      <xdr:colOff>11205</xdr:colOff>
      <xdr:row>1364</xdr:row>
      <xdr:rowOff>26894</xdr:rowOff>
    </xdr:from>
    <xdr:to>
      <xdr:col>4</xdr:col>
      <xdr:colOff>1538611</xdr:colOff>
      <xdr:row>1365</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1331</xdr:row>
      <xdr:rowOff>0</xdr:rowOff>
    </xdr:from>
    <xdr:ext cx="65" cy="172227"/>
    <xdr:sp macro="" textlink="">
      <xdr:nvSpPr>
        <xdr:cNvPr id="149" name="TextBox 148">
          <a:extLst>
            <a:ext uri="{FF2B5EF4-FFF2-40B4-BE49-F238E27FC236}">
              <a16:creationId xmlns:a16="http://schemas.microsoft.com/office/drawing/2014/main" id="{00000000-0008-0000-0700-000095000000}"/>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1331</xdr:row>
      <xdr:rowOff>0</xdr:rowOff>
    </xdr:from>
    <xdr:ext cx="65" cy="172227"/>
    <xdr:sp macro="" textlink="">
      <xdr:nvSpPr>
        <xdr:cNvPr id="150" name="TextBox 149">
          <a:extLst>
            <a:ext uri="{FF2B5EF4-FFF2-40B4-BE49-F238E27FC236}">
              <a16:creationId xmlns:a16="http://schemas.microsoft.com/office/drawing/2014/main" id="{00000000-0008-0000-0700-000096000000}"/>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1041740</xdr:colOff>
      <xdr:row>69</xdr:row>
      <xdr:rowOff>59952</xdr:rowOff>
    </xdr:from>
    <xdr:to>
      <xdr:col>8</xdr:col>
      <xdr:colOff>1543844</xdr:colOff>
      <xdr:row>70</xdr:row>
      <xdr:rowOff>182416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700-000097000000}"/>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3</xdr:col>
      <xdr:colOff>1400973</xdr:colOff>
      <xdr:row>801</xdr:row>
      <xdr:rowOff>163286</xdr:rowOff>
    </xdr:from>
    <xdr:to>
      <xdr:col>6</xdr:col>
      <xdr:colOff>217714</xdr:colOff>
      <xdr:row>804</xdr:row>
      <xdr:rowOff>95249</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904687" y="43393179"/>
              <a:ext cx="10178706" cy="503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904687" y="43393179"/>
              <a:ext cx="10178706" cy="503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Fallback>
    </mc:AlternateContent>
    <xdr:clientData/>
  </xdr:twoCellAnchor>
  <xdr:twoCellAnchor>
    <xdr:from>
      <xdr:col>3</xdr:col>
      <xdr:colOff>1292679</xdr:colOff>
      <xdr:row>805</xdr:row>
      <xdr:rowOff>83570</xdr:rowOff>
    </xdr:from>
    <xdr:to>
      <xdr:col>5</xdr:col>
      <xdr:colOff>362029</xdr:colOff>
      <xdr:row>808</xdr:row>
      <xdr:rowOff>81644</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3796393" y="44075463"/>
              <a:ext cx="632195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8.33</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mn-ea"/>
                            <a:cs typeface="+mn-cs"/>
                          </a:rPr>
                          <m:t>1.0</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𝑆h𝑜𝑤𝑒𝑟𝑇𝑒𝑚𝑝</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𝑆𝑢𝑝𝑝𝑙𝑦𝑇𝑒𝑚𝑝</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effectLst/>
                            <a:latin typeface="Cambria Math" panose="02040503050406030204" pitchFamily="18" charset="0"/>
                            <a:ea typeface="+mn-ea"/>
                            <a:cs typeface="+mn-cs"/>
                          </a:rPr>
                          <m:t>𝑅𝐸</m:t>
                        </m:r>
                        <m:r>
                          <a:rPr lang="en-US" sz="1400" b="0" i="1">
                            <a:solidFill>
                              <a:sysClr val="windowText" lastClr="000000"/>
                            </a:solidFill>
                            <a:effectLst/>
                            <a:latin typeface="Cambria Math" panose="02040503050406030204" pitchFamily="18" charset="0"/>
                            <a:ea typeface="+mn-ea"/>
                            <a:cs typeface="+mn-cs"/>
                          </a:rPr>
                          <m:t>_</m:t>
                        </m:r>
                        <m:r>
                          <a:rPr lang="en-US" sz="1400" b="0" i="1">
                            <a:solidFill>
                              <a:sysClr val="windowText" lastClr="000000"/>
                            </a:solidFill>
                            <a:effectLst/>
                            <a:latin typeface="Cambria Math" panose="02040503050406030204" pitchFamily="18" charset="0"/>
                            <a:ea typeface="+mn-ea"/>
                            <a:cs typeface="+mn-cs"/>
                          </a:rPr>
                          <m:t>𝑒𝑙𝑒𝑐𝑡𝑟𝑖𝑐</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3796393" y="44075463"/>
              <a:ext cx="632195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ysClr val="windowText" lastClr="000000"/>
                  </a:solidFill>
                  <a:effectLst/>
                  <a:latin typeface="Cambria Math" panose="02040503050406030204" pitchFamily="18" charset="0"/>
                  <a:ea typeface="+mn-ea"/>
                  <a:cs typeface="+mn-cs"/>
                </a:rPr>
                <a:t>8.33</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mn-ea"/>
                  <a:cs typeface="+mn-cs"/>
                </a:rPr>
                <a:t>(𝑆ℎ𝑜𝑤𝑒𝑟𝑇𝑒𝑚𝑝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𝑅𝐸_𝑒𝑙𝑒𝑐𝑡𝑟𝑖𝑐</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ysClr val="windowText" lastClr="000000"/>
                </a:solidFill>
              </a:endParaRPr>
            </a:p>
          </xdr:txBody>
        </xdr:sp>
      </mc:Fallback>
    </mc:AlternateContent>
    <xdr:clientData/>
  </xdr:twoCellAnchor>
  <xdr:oneCellAnchor>
    <xdr:from>
      <xdr:col>26</xdr:col>
      <xdr:colOff>2269331</xdr:colOff>
      <xdr:row>794</xdr:row>
      <xdr:rowOff>0</xdr:rowOff>
    </xdr:from>
    <xdr:ext cx="65" cy="172227"/>
    <xdr:sp macro="" textlink="">
      <xdr:nvSpPr>
        <xdr:cNvPr id="154" name="TextBox 153">
          <a:extLst>
            <a:ext uri="{FF2B5EF4-FFF2-40B4-BE49-F238E27FC236}">
              <a16:creationId xmlns:a16="http://schemas.microsoft.com/office/drawing/2014/main" id="{9A15BCF6-88F2-4A65-8BE6-8F002F6A0EAB}"/>
            </a:ext>
          </a:extLst>
        </xdr:cNvPr>
        <xdr:cNvSpPr txBox="1"/>
      </xdr:nvSpPr>
      <xdr:spPr>
        <a:xfrm>
          <a:off x="41811960" y="4509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794</xdr:row>
      <xdr:rowOff>0</xdr:rowOff>
    </xdr:from>
    <xdr:ext cx="65" cy="172227"/>
    <xdr:sp macro="" textlink="">
      <xdr:nvSpPr>
        <xdr:cNvPr id="155" name="TextBox 154">
          <a:extLst>
            <a:ext uri="{FF2B5EF4-FFF2-40B4-BE49-F238E27FC236}">
              <a16:creationId xmlns:a16="http://schemas.microsoft.com/office/drawing/2014/main" id="{D8226E42-67CA-4E0A-BD83-BDB1EA77D255}"/>
            </a:ext>
          </a:extLst>
        </xdr:cNvPr>
        <xdr:cNvSpPr txBox="1"/>
      </xdr:nvSpPr>
      <xdr:spPr>
        <a:xfrm>
          <a:off x="41811960" y="4509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1401</xdr:row>
      <xdr:rowOff>0</xdr:rowOff>
    </xdr:from>
    <xdr:to>
      <xdr:col>4</xdr:col>
      <xdr:colOff>3070412</xdr:colOff>
      <xdr:row>1402</xdr:row>
      <xdr:rowOff>112059</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4213860" y="128785620"/>
              <a:ext cx="3070412" cy="2949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h𝑒𝑎𝑡𝑖𝑛𝑔</m:t>
                        </m:r>
                      </m:sub>
                    </m:sSub>
                  </m:oMath>
                </m:oMathPara>
              </a14:m>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4213860" y="128785620"/>
              <a:ext cx="3070412" cy="2949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𝑘𝑊ℎ_𝑐𝑜𝑜𝑙𝑖𝑛𝑔+</a:t>
              </a: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𝑘𝑊ℎ_ℎ𝑒𝑎𝑡𝑖𝑛𝑔</a:t>
              </a:r>
              <a:endParaRPr lang="en-US" sz="1400">
                <a:solidFill>
                  <a:sysClr val="windowText" lastClr="000000"/>
                </a:solidFill>
              </a:endParaRPr>
            </a:p>
          </xdr:txBody>
        </xdr:sp>
      </mc:Fallback>
    </mc:AlternateContent>
    <xdr:clientData/>
  </xdr:twoCellAnchor>
  <xdr:twoCellAnchor>
    <xdr:from>
      <xdr:col>3</xdr:col>
      <xdr:colOff>1530721</xdr:colOff>
      <xdr:row>1402</xdr:row>
      <xdr:rowOff>152402</xdr:rowOff>
    </xdr:from>
    <xdr:to>
      <xdr:col>4</xdr:col>
      <xdr:colOff>2162734</xdr:colOff>
      <xdr:row>1405</xdr:row>
      <xdr:rowOff>112060</xdr:rowOff>
    </xdr:to>
    <mc:AlternateContent xmlns:mc="http://schemas.openxmlformats.org/markup-compatibility/2006" xmlns:a14="http://schemas.microsoft.com/office/drawing/2010/main">
      <mc:Choice Requires="a14">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4098661" y="129120902"/>
              <a:ext cx="2277933"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𝑐𝑜𝑜𝑙</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𝐶𝑜𝑜𝑙</m:t>
                        </m:r>
                      </m:den>
                    </m:f>
                  </m:oMath>
                </m:oMathPara>
              </a14:m>
              <a:endParaRPr lang="en-US" sz="1400">
                <a:solidFill>
                  <a:sysClr val="windowText" lastClr="000000"/>
                </a:solidFill>
              </a:endParaRPr>
            </a:p>
          </xdr:txBody>
        </xdr:sp>
      </mc:Choice>
      <mc:Fallback xmlns="">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4098661" y="129120902"/>
              <a:ext cx="2277933"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∆𝑘𝑊ℎ_𝑐𝑜𝑜𝑙𝑖𝑛𝑔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_𝑐𝑜𝑜𝑙∗𝐴)/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𝐶𝑜𝑜𝑙</a:t>
              </a:r>
              <a:endParaRPr lang="en-US" sz="1400">
                <a:solidFill>
                  <a:sysClr val="windowText" lastClr="000000"/>
                </a:solidFill>
              </a:endParaRPr>
            </a:p>
          </xdr:txBody>
        </xdr:sp>
      </mc:Fallback>
    </mc:AlternateContent>
    <xdr:clientData/>
  </xdr:twoCellAnchor>
  <xdr:twoCellAnchor>
    <xdr:from>
      <xdr:col>4</xdr:col>
      <xdr:colOff>2891117</xdr:colOff>
      <xdr:row>1402</xdr:row>
      <xdr:rowOff>145676</xdr:rowOff>
    </xdr:from>
    <xdr:to>
      <xdr:col>4</xdr:col>
      <xdr:colOff>5390028</xdr:colOff>
      <xdr:row>1405</xdr:row>
      <xdr:rowOff>105334</xdr:rowOff>
    </xdr:to>
    <mc:AlternateContent xmlns:mc="http://schemas.openxmlformats.org/markup-compatibility/2006" xmlns:a14="http://schemas.microsoft.com/office/drawing/2010/main">
      <mc:Choice Requires="a14">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978208" y="250618540"/>
              <a:ext cx="2498911" cy="5311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h𝑒𝑎𝑡</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𝐻𝑒𝑎𝑡</m:t>
                        </m:r>
                        <m:r>
                          <a:rPr lang="en-US" sz="1400" b="0" i="1">
                            <a:solidFill>
                              <a:sysClr val="windowText" lastClr="000000"/>
                            </a:solidFill>
                            <a:latin typeface="Cambria Math" panose="02040503050406030204" pitchFamily="18" charset="0"/>
                          </a:rPr>
                          <m:t>∗3.412</m:t>
                        </m:r>
                      </m:den>
                    </m:f>
                  </m:oMath>
                </m:oMathPara>
              </a14:m>
              <a:endParaRPr lang="en-US" sz="1400">
                <a:solidFill>
                  <a:sysClr val="windowText" lastClr="000000"/>
                </a:solidFill>
              </a:endParaRPr>
            </a:p>
          </xdr:txBody>
        </xdr:sp>
      </mc:Choice>
      <mc:Fallback xmlns="">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978208" y="250618540"/>
              <a:ext cx="2498911" cy="53115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_ℎ𝑒𝑎𝑡∗𝐴)/(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𝐻𝑒𝑎𝑡∗3.412)</a:t>
              </a:r>
              <a:endParaRPr lang="en-US" sz="1400">
                <a:solidFill>
                  <a:sysClr val="windowText" lastClr="000000"/>
                </a:solidFill>
              </a:endParaRPr>
            </a:p>
          </xdr:txBody>
        </xdr:sp>
      </mc:Fallback>
    </mc:AlternateContent>
    <xdr:clientData/>
  </xdr:twoCellAnchor>
  <xdr:oneCellAnchor>
    <xdr:from>
      <xdr:col>26</xdr:col>
      <xdr:colOff>2269331</xdr:colOff>
      <xdr:row>1385</xdr:row>
      <xdr:rowOff>0</xdr:rowOff>
    </xdr:from>
    <xdr:ext cx="65" cy="172227"/>
    <xdr:sp macro="" textlink="">
      <xdr:nvSpPr>
        <xdr:cNvPr id="159" name="TextBox 158">
          <a:extLst>
            <a:ext uri="{FF2B5EF4-FFF2-40B4-BE49-F238E27FC236}">
              <a16:creationId xmlns:a16="http://schemas.microsoft.com/office/drawing/2014/main" id="{68B6CBAB-CB6D-47E7-B944-D1016A7898B8}"/>
            </a:ext>
          </a:extLst>
        </xdr:cNvPr>
        <xdr:cNvSpPr txBox="1"/>
      </xdr:nvSpPr>
      <xdr:spPr>
        <a:xfrm>
          <a:off x="41329451" y="1258595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1385</xdr:row>
      <xdr:rowOff>0</xdr:rowOff>
    </xdr:from>
    <xdr:ext cx="65" cy="172227"/>
    <xdr:sp macro="" textlink="">
      <xdr:nvSpPr>
        <xdr:cNvPr id="160" name="TextBox 159">
          <a:extLst>
            <a:ext uri="{FF2B5EF4-FFF2-40B4-BE49-F238E27FC236}">
              <a16:creationId xmlns:a16="http://schemas.microsoft.com/office/drawing/2014/main" id="{01F0EB52-6ABD-4E72-AE55-B8F3B9FB54A6}"/>
            </a:ext>
          </a:extLst>
        </xdr:cNvPr>
        <xdr:cNvSpPr txBox="1"/>
      </xdr:nvSpPr>
      <xdr:spPr>
        <a:xfrm>
          <a:off x="41329451" y="1258595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153</xdr:row>
      <xdr:rowOff>1</xdr:rowOff>
    </xdr:from>
    <xdr:to>
      <xdr:col>4</xdr:col>
      <xdr:colOff>4212771</xdr:colOff>
      <xdr:row>155</xdr:row>
      <xdr:rowOff>21772</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1886" y="28977772"/>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rgbClr val="FF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1886" y="28977772"/>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rgbClr val="FF0000"/>
                </a:solidFill>
              </a:endParaRPr>
            </a:p>
          </xdr:txBody>
        </xdr:sp>
      </mc:Fallback>
    </mc:AlternateContent>
    <xdr:clientData/>
  </xdr:twoCellAnchor>
  <xdr:twoCellAnchor>
    <xdr:from>
      <xdr:col>4</xdr:col>
      <xdr:colOff>0</xdr:colOff>
      <xdr:row>452</xdr:row>
      <xdr:rowOff>0</xdr:rowOff>
    </xdr:from>
    <xdr:to>
      <xdr:col>4</xdr:col>
      <xdr:colOff>4212771</xdr:colOff>
      <xdr:row>454</xdr:row>
      <xdr:rowOff>21772</xdr:rowOff>
    </xdr:to>
    <mc:AlternateContent xmlns:mc="http://schemas.openxmlformats.org/markup-compatibility/2006" xmlns:a14="http://schemas.microsoft.com/office/drawing/2010/main">
      <mc:Choice Requires="a14">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4201886" y="849956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oMath>
                </m:oMathPara>
              </a14:m>
              <a:endParaRPr lang="en-US" sz="1100">
                <a:solidFill>
                  <a:sysClr val="windowText" lastClr="000000"/>
                </a:solidFill>
              </a:endParaRPr>
            </a:p>
          </xdr:txBody>
        </xdr:sp>
      </mc:Choice>
      <mc:Fallback xmlns="">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4201886" y="849956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𝑘𝑊ℎ=Δ𝑘𝑊ℎ_𝑐𝑜𝑜𝑙𝑖𝑛𝑔+Δ𝑘𝑊ℎ_𝐻𝑒𝑎𝑡𝑖𝑛𝑔𝐸𝑙𝑒𝑐𝑡𝑟𝑖𝑐</a:t>
              </a:r>
              <a:endParaRPr lang="en-US" sz="1100">
                <a:solidFill>
                  <a:sysClr val="windowText" lastClr="000000"/>
                </a:solidFill>
              </a:endParaRPr>
            </a:p>
          </xdr:txBody>
        </xdr:sp>
      </mc:Fallback>
    </mc:AlternateContent>
    <xdr:clientData/>
  </xdr:twoCellAnchor>
  <xdr:twoCellAnchor>
    <xdr:from>
      <xdr:col>4</xdr:col>
      <xdr:colOff>0</xdr:colOff>
      <xdr:row>489</xdr:row>
      <xdr:rowOff>0</xdr:rowOff>
    </xdr:from>
    <xdr:to>
      <xdr:col>5</xdr:col>
      <xdr:colOff>471352</xdr:colOff>
      <xdr:row>490</xdr:row>
      <xdr:rowOff>154321</xdr:rowOff>
    </xdr:to>
    <mc:AlternateContent xmlns:mc="http://schemas.openxmlformats.org/markup-compatibility/2006" xmlns:a14="http://schemas.microsoft.com/office/drawing/2010/main">
      <mc:Choice Requires="a14">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4201886" y="93377657"/>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4201886" y="93377657"/>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3</xdr:col>
      <xdr:colOff>1219200</xdr:colOff>
      <xdr:row>611</xdr:row>
      <xdr:rowOff>152400</xdr:rowOff>
    </xdr:from>
    <xdr:to>
      <xdr:col>5</xdr:col>
      <xdr:colOff>4025958</xdr:colOff>
      <xdr:row>613</xdr:row>
      <xdr:rowOff>54427</xdr:rowOff>
    </xdr:to>
    <mc:AlternateContent xmlns:mc="http://schemas.openxmlformats.org/markup-compatibility/2006" xmlns:a14="http://schemas.microsoft.com/office/drawing/2010/main">
      <mc:Choice Requires="a14">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777343" y="118959086"/>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𝑘𝑊h</m:t>
                    </m:r>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𝑀𝑜𝑑𝑒</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r>
                      <a:rPr lang="en-US" sz="1600" b="0" i="1">
                        <a:solidFill>
                          <a:sysClr val="windowText" lastClr="000000"/>
                        </a:solidFill>
                        <a:latin typeface="Cambria Math" panose="02040503050406030204" pitchFamily="18" charset="0"/>
                      </a:rPr>
                      <m:t>𝑘𝑊</m:t>
                    </m:r>
                    <m:sSub>
                      <m:sSubPr>
                        <m:ctrlPr>
                          <a:rPr lang="en-US" sz="1600" b="0" i="1">
                            <a:solidFill>
                              <a:sysClr val="windowText" lastClr="000000"/>
                            </a:solidFill>
                            <a:latin typeface="Cambria Math" panose="02040503050406030204" pitchFamily="18" charset="0"/>
                          </a:rPr>
                        </m:ctrlPr>
                      </m:sSubPr>
                      <m:e>
                        <m:r>
                          <a:rPr lang="en-US" sz="1600" b="0" i="1">
                            <a:solidFill>
                              <a:sysClr val="windowText" lastClr="000000"/>
                            </a:solidFill>
                            <a:latin typeface="Cambria Math" panose="02040503050406030204" pitchFamily="18" charset="0"/>
                          </a:rPr>
                          <m:t>h</m:t>
                        </m:r>
                      </m:e>
                      <m:sub>
                        <m:r>
                          <a:rPr lang="en-US" sz="1600" b="0" i="1">
                            <a:solidFill>
                              <a:sysClr val="windowText" lastClr="000000"/>
                            </a:solidFill>
                            <a:latin typeface="Cambria Math" panose="02040503050406030204" pitchFamily="18" charset="0"/>
                          </a:rPr>
                          <m:t>𝐴𝑢𝑡𝑜</m:t>
                        </m:r>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rPr>
                      <m:t>+</m:t>
                    </m:r>
                    <m:r>
                      <m:rPr>
                        <m:sty m:val="p"/>
                      </m:rPr>
                      <a:rPr lang="en-US" sz="1600" b="0" i="0">
                        <a:solidFill>
                          <a:sysClr val="windowText" lastClr="000000"/>
                        </a:solidFill>
                        <a:latin typeface="Cambria Math" panose="02040503050406030204" pitchFamily="18" charset="0"/>
                      </a:rPr>
                      <m:t>Δ</m:t>
                    </m:r>
                    <m:sSub>
                      <m:sSubPr>
                        <m:ctrlPr>
                          <a:rPr lang="en-US" sz="1600" b="0" i="1">
                            <a:solidFill>
                              <a:sysClr val="windowText" lastClr="000000"/>
                            </a:solidFill>
                            <a:latin typeface="Cambria Math" panose="02040503050406030204" pitchFamily="18" charset="0"/>
                          </a:rPr>
                        </m:ctrlPr>
                      </m:sSubPr>
                      <m:e>
                        <m:r>
                          <m:rPr>
                            <m:sty m:val="p"/>
                          </m:rPr>
                          <a:rPr lang="en-US" sz="1600" b="0" i="0">
                            <a:solidFill>
                              <a:sysClr val="windowText" lastClr="000000"/>
                            </a:solidFill>
                            <a:latin typeface="Cambria Math" panose="02040503050406030204" pitchFamily="18" charset="0"/>
                          </a:rPr>
                          <m:t>kWh</m:t>
                        </m:r>
                      </m:e>
                      <m:sub>
                        <m:r>
                          <m:rPr>
                            <m:sty m:val="p"/>
                          </m:rPr>
                          <a:rPr lang="en-US" sz="1600" b="0" i="0">
                            <a:solidFill>
                              <a:sysClr val="windowText" lastClr="000000"/>
                            </a:solidFill>
                            <a:latin typeface="Cambria Math" panose="02040503050406030204" pitchFamily="18" charset="0"/>
                          </a:rPr>
                          <m:t>Continuous</m:t>
                        </m:r>
                        <m:r>
                          <a:rPr lang="en-US" sz="1600" b="0" i="0">
                            <a:solidFill>
                              <a:sysClr val="windowText" lastClr="000000"/>
                            </a:solidFill>
                            <a:latin typeface="Cambria Math" panose="02040503050406030204" pitchFamily="18" charset="0"/>
                          </a:rPr>
                          <m:t> </m:t>
                        </m:r>
                        <m:r>
                          <m:rPr>
                            <m:sty m:val="p"/>
                          </m:rPr>
                          <a:rPr lang="en-US" sz="1600" b="0" i="0">
                            <a:solidFill>
                              <a:sysClr val="windowText" lastClr="000000"/>
                            </a:solidFill>
                            <a:latin typeface="Cambria Math" panose="02040503050406030204" pitchFamily="18" charset="0"/>
                          </a:rPr>
                          <m:t>Circulation</m:t>
                        </m:r>
                      </m:sub>
                    </m:sSub>
                  </m:oMath>
                </m:oMathPara>
              </a14:m>
              <a:endParaRPr lang="en-US" sz="1600">
                <a:solidFill>
                  <a:sysClr val="windowText" lastClr="000000"/>
                </a:solidFill>
              </a:endParaRPr>
            </a:p>
          </xdr:txBody>
        </xdr:sp>
      </mc:Choice>
      <mc:Fallback xmlns="">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777343" y="118959086"/>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rPr>
                <a:t>Δ</a:t>
              </a:r>
              <a:r>
                <a:rPr lang="en-US" sz="1600" b="0" i="0">
                  <a:solidFill>
                    <a:sysClr val="windowText" lastClr="00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ysClr val="windowText" lastClr="000000"/>
                </a:solidFill>
              </a:endParaRPr>
            </a:p>
          </xdr:txBody>
        </xdr:sp>
      </mc:Fallback>
    </mc:AlternateContent>
    <xdr:clientData/>
  </xdr:twoCellAnchor>
  <xdr:oneCellAnchor>
    <xdr:from>
      <xdr:col>26</xdr:col>
      <xdr:colOff>2269331</xdr:colOff>
      <xdr:row>1296</xdr:row>
      <xdr:rowOff>0</xdr:rowOff>
    </xdr:from>
    <xdr:ext cx="65" cy="172227"/>
    <xdr:sp macro="" textlink="">
      <xdr:nvSpPr>
        <xdr:cNvPr id="165" name="TextBox 164">
          <a:extLst>
            <a:ext uri="{FF2B5EF4-FFF2-40B4-BE49-F238E27FC236}">
              <a16:creationId xmlns:a16="http://schemas.microsoft.com/office/drawing/2014/main" id="{61B19BD5-FEF9-4DE0-BA0D-0B9E22E8D76C}"/>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66" name="TextBox 165">
          <a:extLst>
            <a:ext uri="{FF2B5EF4-FFF2-40B4-BE49-F238E27FC236}">
              <a16:creationId xmlns:a16="http://schemas.microsoft.com/office/drawing/2014/main" id="{71F7C073-1F7B-40CD-ACA3-B5F5691A416E}"/>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67" name="TextBox 166">
          <a:extLst>
            <a:ext uri="{FF2B5EF4-FFF2-40B4-BE49-F238E27FC236}">
              <a16:creationId xmlns:a16="http://schemas.microsoft.com/office/drawing/2014/main" id="{F37C9014-E329-4D89-82C1-DD0915A91E06}"/>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1296</xdr:row>
      <xdr:rowOff>0</xdr:rowOff>
    </xdr:from>
    <xdr:ext cx="65" cy="172227"/>
    <xdr:sp macro="" textlink="">
      <xdr:nvSpPr>
        <xdr:cNvPr id="168" name="TextBox 167">
          <a:extLst>
            <a:ext uri="{FF2B5EF4-FFF2-40B4-BE49-F238E27FC236}">
              <a16:creationId xmlns:a16="http://schemas.microsoft.com/office/drawing/2014/main" id="{F9F41E44-5FDD-4DB9-BB3C-4B60BBBFF43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69" name="TextBox 168">
          <a:extLst>
            <a:ext uri="{FF2B5EF4-FFF2-40B4-BE49-F238E27FC236}">
              <a16:creationId xmlns:a16="http://schemas.microsoft.com/office/drawing/2014/main" id="{AFE3D014-1EBE-4BD9-A9D6-0C110861D9F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0" name="TextBox 169">
          <a:extLst>
            <a:ext uri="{FF2B5EF4-FFF2-40B4-BE49-F238E27FC236}">
              <a16:creationId xmlns:a16="http://schemas.microsoft.com/office/drawing/2014/main" id="{506C3728-64F5-4B1A-942D-E2E2E33672DD}"/>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1" name="TextBox 170">
          <a:extLst>
            <a:ext uri="{FF2B5EF4-FFF2-40B4-BE49-F238E27FC236}">
              <a16:creationId xmlns:a16="http://schemas.microsoft.com/office/drawing/2014/main" id="{73D044FB-20C3-4B93-948C-3AD0D718B04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2" name="TextBox 171">
          <a:extLst>
            <a:ext uri="{FF2B5EF4-FFF2-40B4-BE49-F238E27FC236}">
              <a16:creationId xmlns:a16="http://schemas.microsoft.com/office/drawing/2014/main" id="{7E90C1B3-1D3C-4D70-9448-45DEF96C3A76}"/>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3" name="TextBox 172">
          <a:extLst>
            <a:ext uri="{FF2B5EF4-FFF2-40B4-BE49-F238E27FC236}">
              <a16:creationId xmlns:a16="http://schemas.microsoft.com/office/drawing/2014/main" id="{D3905BD9-AE1D-4EF6-9EE2-02D222ABAC72}"/>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4" name="TextBox 173">
          <a:extLst>
            <a:ext uri="{FF2B5EF4-FFF2-40B4-BE49-F238E27FC236}">
              <a16:creationId xmlns:a16="http://schemas.microsoft.com/office/drawing/2014/main" id="{D386655A-9EF8-4390-857D-3C7AB5CA915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5" name="TextBox 174">
          <a:extLst>
            <a:ext uri="{FF2B5EF4-FFF2-40B4-BE49-F238E27FC236}">
              <a16:creationId xmlns:a16="http://schemas.microsoft.com/office/drawing/2014/main" id="{921B06BC-162C-4D0C-A6AC-19E964FBF81B}"/>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2269331</xdr:colOff>
      <xdr:row>1296</xdr:row>
      <xdr:rowOff>0</xdr:rowOff>
    </xdr:from>
    <xdr:ext cx="65" cy="172227"/>
    <xdr:sp macro="" textlink="">
      <xdr:nvSpPr>
        <xdr:cNvPr id="176" name="TextBox 175">
          <a:extLst>
            <a:ext uri="{FF2B5EF4-FFF2-40B4-BE49-F238E27FC236}">
              <a16:creationId xmlns:a16="http://schemas.microsoft.com/office/drawing/2014/main" id="{AC2221A7-2008-473E-80EC-D9E0940368B9}"/>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77" name="TextBox 176">
          <a:extLst>
            <a:ext uri="{FF2B5EF4-FFF2-40B4-BE49-F238E27FC236}">
              <a16:creationId xmlns:a16="http://schemas.microsoft.com/office/drawing/2014/main" id="{00629A41-D60B-4503-B639-07A0D2C528BD}"/>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78" name="TextBox 177">
          <a:extLst>
            <a:ext uri="{FF2B5EF4-FFF2-40B4-BE49-F238E27FC236}">
              <a16:creationId xmlns:a16="http://schemas.microsoft.com/office/drawing/2014/main" id="{6101B30C-223D-46FD-AEF6-5C290BA1488B}"/>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79" name="TextBox 178">
          <a:extLst>
            <a:ext uri="{FF2B5EF4-FFF2-40B4-BE49-F238E27FC236}">
              <a16:creationId xmlns:a16="http://schemas.microsoft.com/office/drawing/2014/main" id="{FFB7CDAF-EBB6-4C4A-8443-13320AA89D68}"/>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80" name="TextBox 179">
          <a:extLst>
            <a:ext uri="{FF2B5EF4-FFF2-40B4-BE49-F238E27FC236}">
              <a16:creationId xmlns:a16="http://schemas.microsoft.com/office/drawing/2014/main" id="{FEB178ED-F612-40F7-B5B0-94171391F98E}"/>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81" name="TextBox 180">
          <a:extLst>
            <a:ext uri="{FF2B5EF4-FFF2-40B4-BE49-F238E27FC236}">
              <a16:creationId xmlns:a16="http://schemas.microsoft.com/office/drawing/2014/main" id="{868AED3B-FEEC-4CBD-BDAB-076C55EFB983}"/>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82" name="TextBox 181">
          <a:extLst>
            <a:ext uri="{FF2B5EF4-FFF2-40B4-BE49-F238E27FC236}">
              <a16:creationId xmlns:a16="http://schemas.microsoft.com/office/drawing/2014/main" id="{BAED509D-CE43-4477-B5E2-8BDF43847610}"/>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83" name="TextBox 182">
          <a:extLst>
            <a:ext uri="{FF2B5EF4-FFF2-40B4-BE49-F238E27FC236}">
              <a16:creationId xmlns:a16="http://schemas.microsoft.com/office/drawing/2014/main" id="{6937E1AE-FFC9-4D15-ACD9-0577D7DEAEB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1296</xdr:row>
      <xdr:rowOff>0</xdr:rowOff>
    </xdr:from>
    <xdr:ext cx="65" cy="172227"/>
    <xdr:sp macro="" textlink="">
      <xdr:nvSpPr>
        <xdr:cNvPr id="184" name="TextBox 183">
          <a:extLst>
            <a:ext uri="{FF2B5EF4-FFF2-40B4-BE49-F238E27FC236}">
              <a16:creationId xmlns:a16="http://schemas.microsoft.com/office/drawing/2014/main" id="{C9269155-4218-419E-874A-7B5D5F68133D}"/>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85" name="TextBox 184">
          <a:extLst>
            <a:ext uri="{FF2B5EF4-FFF2-40B4-BE49-F238E27FC236}">
              <a16:creationId xmlns:a16="http://schemas.microsoft.com/office/drawing/2014/main" id="{5178B0AB-D537-4D0B-83BA-B42717E97AF6}"/>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86" name="TextBox 185">
          <a:extLst>
            <a:ext uri="{FF2B5EF4-FFF2-40B4-BE49-F238E27FC236}">
              <a16:creationId xmlns:a16="http://schemas.microsoft.com/office/drawing/2014/main" id="{B81BEBAE-8712-433D-89B0-FE47F3D64BD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87" name="TextBox 186">
          <a:extLst>
            <a:ext uri="{FF2B5EF4-FFF2-40B4-BE49-F238E27FC236}">
              <a16:creationId xmlns:a16="http://schemas.microsoft.com/office/drawing/2014/main" id="{FDDF96A0-E4BF-4178-A260-3D409D6E9149}"/>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88" name="TextBox 187">
          <a:extLst>
            <a:ext uri="{FF2B5EF4-FFF2-40B4-BE49-F238E27FC236}">
              <a16:creationId xmlns:a16="http://schemas.microsoft.com/office/drawing/2014/main" id="{4CE8C03D-AEEB-485B-823C-063F1D7540C9}"/>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89" name="TextBox 188">
          <a:extLst>
            <a:ext uri="{FF2B5EF4-FFF2-40B4-BE49-F238E27FC236}">
              <a16:creationId xmlns:a16="http://schemas.microsoft.com/office/drawing/2014/main" id="{96E2C5EA-3FB0-403F-9C94-85091D59D4F1}"/>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0" name="TextBox 189">
          <a:extLst>
            <a:ext uri="{FF2B5EF4-FFF2-40B4-BE49-F238E27FC236}">
              <a16:creationId xmlns:a16="http://schemas.microsoft.com/office/drawing/2014/main" id="{46D42BA3-C478-44F7-9E05-A144FE35F0DD}"/>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1" name="TextBox 190">
          <a:extLst>
            <a:ext uri="{FF2B5EF4-FFF2-40B4-BE49-F238E27FC236}">
              <a16:creationId xmlns:a16="http://schemas.microsoft.com/office/drawing/2014/main" id="{878E31DA-D2CE-4315-8CAC-DA3331B1647F}"/>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2" name="TextBox 191">
          <a:extLst>
            <a:ext uri="{FF2B5EF4-FFF2-40B4-BE49-F238E27FC236}">
              <a16:creationId xmlns:a16="http://schemas.microsoft.com/office/drawing/2014/main" id="{660CBA0C-08F7-4E43-AFCD-407E3F3274F7}"/>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3" name="TextBox 192">
          <a:extLst>
            <a:ext uri="{FF2B5EF4-FFF2-40B4-BE49-F238E27FC236}">
              <a16:creationId xmlns:a16="http://schemas.microsoft.com/office/drawing/2014/main" id="{41F0C750-D5EE-47A8-92DD-79EE349F76E1}"/>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4" name="TextBox 193">
          <a:extLst>
            <a:ext uri="{FF2B5EF4-FFF2-40B4-BE49-F238E27FC236}">
              <a16:creationId xmlns:a16="http://schemas.microsoft.com/office/drawing/2014/main" id="{CF778340-C76F-4A44-A9DA-A814D2A9EB1C}"/>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5" name="TextBox 194">
          <a:extLst>
            <a:ext uri="{FF2B5EF4-FFF2-40B4-BE49-F238E27FC236}">
              <a16:creationId xmlns:a16="http://schemas.microsoft.com/office/drawing/2014/main" id="{67128AFB-5F7A-4E9C-A516-A096D43B19CF}"/>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6" name="TextBox 195">
          <a:extLst>
            <a:ext uri="{FF2B5EF4-FFF2-40B4-BE49-F238E27FC236}">
              <a16:creationId xmlns:a16="http://schemas.microsoft.com/office/drawing/2014/main" id="{62FC936C-66BD-4142-8B82-27D7EFB6413A}"/>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7" name="TextBox 196">
          <a:extLst>
            <a:ext uri="{FF2B5EF4-FFF2-40B4-BE49-F238E27FC236}">
              <a16:creationId xmlns:a16="http://schemas.microsoft.com/office/drawing/2014/main" id="{A5E3D5E1-FA7F-499E-81FC-03CFB345E851}"/>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8" name="TextBox 197">
          <a:extLst>
            <a:ext uri="{FF2B5EF4-FFF2-40B4-BE49-F238E27FC236}">
              <a16:creationId xmlns:a16="http://schemas.microsoft.com/office/drawing/2014/main" id="{1F9B4260-D70C-4B29-9518-0764532B573C}"/>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199" name="TextBox 198">
          <a:extLst>
            <a:ext uri="{FF2B5EF4-FFF2-40B4-BE49-F238E27FC236}">
              <a16:creationId xmlns:a16="http://schemas.microsoft.com/office/drawing/2014/main" id="{0A2B1AD3-4388-43D1-8F77-D3382FD3FA94}"/>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2269331</xdr:colOff>
      <xdr:row>1296</xdr:row>
      <xdr:rowOff>0</xdr:rowOff>
    </xdr:from>
    <xdr:ext cx="65" cy="172227"/>
    <xdr:sp macro="" textlink="">
      <xdr:nvSpPr>
        <xdr:cNvPr id="200" name="TextBox 199">
          <a:extLst>
            <a:ext uri="{FF2B5EF4-FFF2-40B4-BE49-F238E27FC236}">
              <a16:creationId xmlns:a16="http://schemas.microsoft.com/office/drawing/2014/main" id="{8B9AC0E1-28C7-45DE-8182-56A313258B14}"/>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1" name="TextBox 200">
          <a:extLst>
            <a:ext uri="{FF2B5EF4-FFF2-40B4-BE49-F238E27FC236}">
              <a16:creationId xmlns:a16="http://schemas.microsoft.com/office/drawing/2014/main" id="{78FBF851-6D5A-44F7-AD6C-3174DE3DC587}"/>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2" name="TextBox 201">
          <a:extLst>
            <a:ext uri="{FF2B5EF4-FFF2-40B4-BE49-F238E27FC236}">
              <a16:creationId xmlns:a16="http://schemas.microsoft.com/office/drawing/2014/main" id="{C86160D1-5D4A-4BC4-95F0-5B035DC48B50}"/>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3" name="TextBox 202">
          <a:extLst>
            <a:ext uri="{FF2B5EF4-FFF2-40B4-BE49-F238E27FC236}">
              <a16:creationId xmlns:a16="http://schemas.microsoft.com/office/drawing/2014/main" id="{3482BFA0-E4F2-49C8-9244-CE52457435C5}"/>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4" name="TextBox 203">
          <a:extLst>
            <a:ext uri="{FF2B5EF4-FFF2-40B4-BE49-F238E27FC236}">
              <a16:creationId xmlns:a16="http://schemas.microsoft.com/office/drawing/2014/main" id="{8EAFD7B9-48FE-4A5A-B707-05F6B45E4ED4}"/>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5" name="TextBox 204">
          <a:extLst>
            <a:ext uri="{FF2B5EF4-FFF2-40B4-BE49-F238E27FC236}">
              <a16:creationId xmlns:a16="http://schemas.microsoft.com/office/drawing/2014/main" id="{B04E24C0-DE01-4B73-9056-67D140160A7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6" name="TextBox 205">
          <a:extLst>
            <a:ext uri="{FF2B5EF4-FFF2-40B4-BE49-F238E27FC236}">
              <a16:creationId xmlns:a16="http://schemas.microsoft.com/office/drawing/2014/main" id="{1C8811B9-1A4D-4696-83E8-A289694A6AB7}"/>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7" name="TextBox 206">
          <a:extLst>
            <a:ext uri="{FF2B5EF4-FFF2-40B4-BE49-F238E27FC236}">
              <a16:creationId xmlns:a16="http://schemas.microsoft.com/office/drawing/2014/main" id="{8E920F17-42D9-4EBE-B267-734C3907BA10}"/>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8" name="TextBox 207">
          <a:extLst>
            <a:ext uri="{FF2B5EF4-FFF2-40B4-BE49-F238E27FC236}">
              <a16:creationId xmlns:a16="http://schemas.microsoft.com/office/drawing/2014/main" id="{18758730-C579-492E-9505-5A1087DED39A}"/>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09" name="TextBox 208">
          <a:extLst>
            <a:ext uri="{FF2B5EF4-FFF2-40B4-BE49-F238E27FC236}">
              <a16:creationId xmlns:a16="http://schemas.microsoft.com/office/drawing/2014/main" id="{D3D3B0D0-1242-433E-9C3A-C57F06A0EDC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0" name="TextBox 209">
          <a:extLst>
            <a:ext uri="{FF2B5EF4-FFF2-40B4-BE49-F238E27FC236}">
              <a16:creationId xmlns:a16="http://schemas.microsoft.com/office/drawing/2014/main" id="{3E3B9D5D-2284-42B8-B405-736D096355C6}"/>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1" name="TextBox 210">
          <a:extLst>
            <a:ext uri="{FF2B5EF4-FFF2-40B4-BE49-F238E27FC236}">
              <a16:creationId xmlns:a16="http://schemas.microsoft.com/office/drawing/2014/main" id="{D5FF0523-F5A5-4F16-87B5-AB708D75C6B2}"/>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2" name="TextBox 211">
          <a:extLst>
            <a:ext uri="{FF2B5EF4-FFF2-40B4-BE49-F238E27FC236}">
              <a16:creationId xmlns:a16="http://schemas.microsoft.com/office/drawing/2014/main" id="{43AE0331-03BD-46BF-9E93-16DBA69BD3FE}"/>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3" name="TextBox 212">
          <a:extLst>
            <a:ext uri="{FF2B5EF4-FFF2-40B4-BE49-F238E27FC236}">
              <a16:creationId xmlns:a16="http://schemas.microsoft.com/office/drawing/2014/main" id="{C22588FE-752E-4873-AFB7-F77E99E68822}"/>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4" name="TextBox 213">
          <a:extLst>
            <a:ext uri="{FF2B5EF4-FFF2-40B4-BE49-F238E27FC236}">
              <a16:creationId xmlns:a16="http://schemas.microsoft.com/office/drawing/2014/main" id="{C709CD8F-E121-4C59-A901-E86EF035C43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5" name="TextBox 214">
          <a:extLst>
            <a:ext uri="{FF2B5EF4-FFF2-40B4-BE49-F238E27FC236}">
              <a16:creationId xmlns:a16="http://schemas.microsoft.com/office/drawing/2014/main" id="{2187CD92-484B-4531-9408-0941B48CF87A}"/>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2269331</xdr:colOff>
      <xdr:row>1296</xdr:row>
      <xdr:rowOff>0</xdr:rowOff>
    </xdr:from>
    <xdr:ext cx="65" cy="172227"/>
    <xdr:sp macro="" textlink="">
      <xdr:nvSpPr>
        <xdr:cNvPr id="216" name="TextBox 215">
          <a:extLst>
            <a:ext uri="{FF2B5EF4-FFF2-40B4-BE49-F238E27FC236}">
              <a16:creationId xmlns:a16="http://schemas.microsoft.com/office/drawing/2014/main" id="{1811D346-1B2E-4CD3-8B43-7E88E571E373}"/>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17" name="TextBox 216">
          <a:extLst>
            <a:ext uri="{FF2B5EF4-FFF2-40B4-BE49-F238E27FC236}">
              <a16:creationId xmlns:a16="http://schemas.microsoft.com/office/drawing/2014/main" id="{3DB0E041-C15A-4AE7-9A37-F0CE648B23E5}"/>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18" name="TextBox 217">
          <a:extLst>
            <a:ext uri="{FF2B5EF4-FFF2-40B4-BE49-F238E27FC236}">
              <a16:creationId xmlns:a16="http://schemas.microsoft.com/office/drawing/2014/main" id="{021C7A56-3838-4F9A-B254-C6DE080BD878}"/>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19" name="TextBox 218">
          <a:extLst>
            <a:ext uri="{FF2B5EF4-FFF2-40B4-BE49-F238E27FC236}">
              <a16:creationId xmlns:a16="http://schemas.microsoft.com/office/drawing/2014/main" id="{02EE3191-6254-4B99-8C71-4E5893D6F658}"/>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0" name="TextBox 219">
          <a:extLst>
            <a:ext uri="{FF2B5EF4-FFF2-40B4-BE49-F238E27FC236}">
              <a16:creationId xmlns:a16="http://schemas.microsoft.com/office/drawing/2014/main" id="{E8C1C7B3-DFBB-442A-817F-DE83523DDF38}"/>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1" name="TextBox 220">
          <a:extLst>
            <a:ext uri="{FF2B5EF4-FFF2-40B4-BE49-F238E27FC236}">
              <a16:creationId xmlns:a16="http://schemas.microsoft.com/office/drawing/2014/main" id="{CE4DCB2B-9B16-44F4-BCEF-F9EDA2DB7FE9}"/>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2" name="TextBox 221">
          <a:extLst>
            <a:ext uri="{FF2B5EF4-FFF2-40B4-BE49-F238E27FC236}">
              <a16:creationId xmlns:a16="http://schemas.microsoft.com/office/drawing/2014/main" id="{50D51801-1E01-4856-B9C9-45F6BC1B48A3}"/>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3" name="TextBox 222">
          <a:extLst>
            <a:ext uri="{FF2B5EF4-FFF2-40B4-BE49-F238E27FC236}">
              <a16:creationId xmlns:a16="http://schemas.microsoft.com/office/drawing/2014/main" id="{ED5BE04C-CF89-4D89-AE0C-98C339F949CC}"/>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4" name="TextBox 223">
          <a:extLst>
            <a:ext uri="{FF2B5EF4-FFF2-40B4-BE49-F238E27FC236}">
              <a16:creationId xmlns:a16="http://schemas.microsoft.com/office/drawing/2014/main" id="{FC549BF9-551D-459D-BC44-B2A24C28BF2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5" name="TextBox 224">
          <a:extLst>
            <a:ext uri="{FF2B5EF4-FFF2-40B4-BE49-F238E27FC236}">
              <a16:creationId xmlns:a16="http://schemas.microsoft.com/office/drawing/2014/main" id="{941CAE9F-A7FF-42DC-8984-D46262ABE79C}"/>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6" name="TextBox 225">
          <a:extLst>
            <a:ext uri="{FF2B5EF4-FFF2-40B4-BE49-F238E27FC236}">
              <a16:creationId xmlns:a16="http://schemas.microsoft.com/office/drawing/2014/main" id="{111E0AAA-4887-41D3-B87F-C414CBA0ECE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7" name="TextBox 226">
          <a:extLst>
            <a:ext uri="{FF2B5EF4-FFF2-40B4-BE49-F238E27FC236}">
              <a16:creationId xmlns:a16="http://schemas.microsoft.com/office/drawing/2014/main" id="{C3DC8BED-0690-4813-BA5C-3D6596C19BA3}"/>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8" name="TextBox 227">
          <a:extLst>
            <a:ext uri="{FF2B5EF4-FFF2-40B4-BE49-F238E27FC236}">
              <a16:creationId xmlns:a16="http://schemas.microsoft.com/office/drawing/2014/main" id="{4697723A-519A-4E4E-84A5-177EC18D08D8}"/>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29" name="TextBox 228">
          <a:extLst>
            <a:ext uri="{FF2B5EF4-FFF2-40B4-BE49-F238E27FC236}">
              <a16:creationId xmlns:a16="http://schemas.microsoft.com/office/drawing/2014/main" id="{D93B6858-DE7C-4CC2-9B90-02D91542893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30" name="TextBox 229">
          <a:extLst>
            <a:ext uri="{FF2B5EF4-FFF2-40B4-BE49-F238E27FC236}">
              <a16:creationId xmlns:a16="http://schemas.microsoft.com/office/drawing/2014/main" id="{86C5F8B5-7D1A-4C65-82B7-E9219B01C80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31" name="TextBox 230">
          <a:extLst>
            <a:ext uri="{FF2B5EF4-FFF2-40B4-BE49-F238E27FC236}">
              <a16:creationId xmlns:a16="http://schemas.microsoft.com/office/drawing/2014/main" id="{B92A0240-05F4-4121-A7B7-5E8B5640CE6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2269331</xdr:colOff>
      <xdr:row>1296</xdr:row>
      <xdr:rowOff>0</xdr:rowOff>
    </xdr:from>
    <xdr:ext cx="65" cy="172227"/>
    <xdr:sp macro="" textlink="">
      <xdr:nvSpPr>
        <xdr:cNvPr id="232" name="TextBox 231">
          <a:extLst>
            <a:ext uri="{FF2B5EF4-FFF2-40B4-BE49-F238E27FC236}">
              <a16:creationId xmlns:a16="http://schemas.microsoft.com/office/drawing/2014/main" id="{ABBF7EC1-99A9-4083-A4D1-E9D4E033457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3" name="TextBox 232">
          <a:extLst>
            <a:ext uri="{FF2B5EF4-FFF2-40B4-BE49-F238E27FC236}">
              <a16:creationId xmlns:a16="http://schemas.microsoft.com/office/drawing/2014/main" id="{9CE4DF56-7CF1-479B-ABA0-6C2F9563A71E}"/>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4" name="TextBox 233">
          <a:extLst>
            <a:ext uri="{FF2B5EF4-FFF2-40B4-BE49-F238E27FC236}">
              <a16:creationId xmlns:a16="http://schemas.microsoft.com/office/drawing/2014/main" id="{EC60DA8A-F6BD-42A4-AB9F-5A1DD834A4BE}"/>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5" name="TextBox 234">
          <a:extLst>
            <a:ext uri="{FF2B5EF4-FFF2-40B4-BE49-F238E27FC236}">
              <a16:creationId xmlns:a16="http://schemas.microsoft.com/office/drawing/2014/main" id="{59E9A20C-7427-4338-8760-D1250F4F52C4}"/>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6" name="TextBox 235">
          <a:extLst>
            <a:ext uri="{FF2B5EF4-FFF2-40B4-BE49-F238E27FC236}">
              <a16:creationId xmlns:a16="http://schemas.microsoft.com/office/drawing/2014/main" id="{1568FD52-209B-475A-8C83-AD01C1619CB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7" name="TextBox 236">
          <a:extLst>
            <a:ext uri="{FF2B5EF4-FFF2-40B4-BE49-F238E27FC236}">
              <a16:creationId xmlns:a16="http://schemas.microsoft.com/office/drawing/2014/main" id="{4FB919C0-8D75-40D7-80E5-88B2ED130D7C}"/>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8" name="TextBox 237">
          <a:extLst>
            <a:ext uri="{FF2B5EF4-FFF2-40B4-BE49-F238E27FC236}">
              <a16:creationId xmlns:a16="http://schemas.microsoft.com/office/drawing/2014/main" id="{CEF46323-08A3-424D-ADF9-42E91F819CE0}"/>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39" name="TextBox 238">
          <a:extLst>
            <a:ext uri="{FF2B5EF4-FFF2-40B4-BE49-F238E27FC236}">
              <a16:creationId xmlns:a16="http://schemas.microsoft.com/office/drawing/2014/main" id="{888D5E59-3B82-40D7-BB29-DB6A52A8AE5C}"/>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0" name="TextBox 239">
          <a:extLst>
            <a:ext uri="{FF2B5EF4-FFF2-40B4-BE49-F238E27FC236}">
              <a16:creationId xmlns:a16="http://schemas.microsoft.com/office/drawing/2014/main" id="{A3C9AF8E-F2EC-4647-B41D-07571E348A47}"/>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1" name="TextBox 240">
          <a:extLst>
            <a:ext uri="{FF2B5EF4-FFF2-40B4-BE49-F238E27FC236}">
              <a16:creationId xmlns:a16="http://schemas.microsoft.com/office/drawing/2014/main" id="{18090B5B-9D62-4DCA-B78A-658522B0128D}"/>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2" name="TextBox 241">
          <a:extLst>
            <a:ext uri="{FF2B5EF4-FFF2-40B4-BE49-F238E27FC236}">
              <a16:creationId xmlns:a16="http://schemas.microsoft.com/office/drawing/2014/main" id="{C388612B-995A-445F-9869-6EA9BA193A6A}"/>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3" name="TextBox 242">
          <a:extLst>
            <a:ext uri="{FF2B5EF4-FFF2-40B4-BE49-F238E27FC236}">
              <a16:creationId xmlns:a16="http://schemas.microsoft.com/office/drawing/2014/main" id="{5D80A9B9-E8FA-4B1C-9574-AFC8387F18A7}"/>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4" name="TextBox 243">
          <a:extLst>
            <a:ext uri="{FF2B5EF4-FFF2-40B4-BE49-F238E27FC236}">
              <a16:creationId xmlns:a16="http://schemas.microsoft.com/office/drawing/2014/main" id="{863062B9-3510-48C9-B5D0-8E8F386C3D8A}"/>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5" name="TextBox 244">
          <a:extLst>
            <a:ext uri="{FF2B5EF4-FFF2-40B4-BE49-F238E27FC236}">
              <a16:creationId xmlns:a16="http://schemas.microsoft.com/office/drawing/2014/main" id="{47F928DD-BBF0-421F-8A79-A626E712F031}"/>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6" name="TextBox 245">
          <a:extLst>
            <a:ext uri="{FF2B5EF4-FFF2-40B4-BE49-F238E27FC236}">
              <a16:creationId xmlns:a16="http://schemas.microsoft.com/office/drawing/2014/main" id="{84BD55A6-B0A8-45A7-875F-35769152FD7D}"/>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7" name="TextBox 246">
          <a:extLst>
            <a:ext uri="{FF2B5EF4-FFF2-40B4-BE49-F238E27FC236}">
              <a16:creationId xmlns:a16="http://schemas.microsoft.com/office/drawing/2014/main" id="{33D4DDF0-F565-4EED-9DD7-A5EE3F8FD014}"/>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2269331</xdr:colOff>
      <xdr:row>1296</xdr:row>
      <xdr:rowOff>0</xdr:rowOff>
    </xdr:from>
    <xdr:ext cx="65" cy="172227"/>
    <xdr:sp macro="" textlink="">
      <xdr:nvSpPr>
        <xdr:cNvPr id="248" name="TextBox 247">
          <a:extLst>
            <a:ext uri="{FF2B5EF4-FFF2-40B4-BE49-F238E27FC236}">
              <a16:creationId xmlns:a16="http://schemas.microsoft.com/office/drawing/2014/main" id="{978A6BB7-D17C-407D-ADB9-E974DA1032D8}"/>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49" name="TextBox 248">
          <a:extLst>
            <a:ext uri="{FF2B5EF4-FFF2-40B4-BE49-F238E27FC236}">
              <a16:creationId xmlns:a16="http://schemas.microsoft.com/office/drawing/2014/main" id="{2ADC0503-B11B-4947-B5E3-C92206C6EC1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0" name="TextBox 249">
          <a:extLst>
            <a:ext uri="{FF2B5EF4-FFF2-40B4-BE49-F238E27FC236}">
              <a16:creationId xmlns:a16="http://schemas.microsoft.com/office/drawing/2014/main" id="{2D50C835-E138-489D-A98D-0AA7F75C185F}"/>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1" name="TextBox 250">
          <a:extLst>
            <a:ext uri="{FF2B5EF4-FFF2-40B4-BE49-F238E27FC236}">
              <a16:creationId xmlns:a16="http://schemas.microsoft.com/office/drawing/2014/main" id="{89F99F75-90B6-45AE-8BD4-3DB2BBB03246}"/>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2" name="TextBox 251">
          <a:extLst>
            <a:ext uri="{FF2B5EF4-FFF2-40B4-BE49-F238E27FC236}">
              <a16:creationId xmlns:a16="http://schemas.microsoft.com/office/drawing/2014/main" id="{90724B9E-FDF8-498C-81DD-25B81B45B1C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3" name="TextBox 252">
          <a:extLst>
            <a:ext uri="{FF2B5EF4-FFF2-40B4-BE49-F238E27FC236}">
              <a16:creationId xmlns:a16="http://schemas.microsoft.com/office/drawing/2014/main" id="{4E329BB9-D2CC-421C-A719-86C84153B631}"/>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4" name="TextBox 253">
          <a:extLst>
            <a:ext uri="{FF2B5EF4-FFF2-40B4-BE49-F238E27FC236}">
              <a16:creationId xmlns:a16="http://schemas.microsoft.com/office/drawing/2014/main" id="{E639B3B8-6D7C-47EC-A419-C479869C213D}"/>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5" name="TextBox 254">
          <a:extLst>
            <a:ext uri="{FF2B5EF4-FFF2-40B4-BE49-F238E27FC236}">
              <a16:creationId xmlns:a16="http://schemas.microsoft.com/office/drawing/2014/main" id="{E9CFF395-1B68-4A66-AC7D-531CFC736111}"/>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6" name="TextBox 255">
          <a:extLst>
            <a:ext uri="{FF2B5EF4-FFF2-40B4-BE49-F238E27FC236}">
              <a16:creationId xmlns:a16="http://schemas.microsoft.com/office/drawing/2014/main" id="{0A183D11-16F8-4A4B-BF2F-FC2ED99641D2}"/>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7" name="TextBox 256">
          <a:extLst>
            <a:ext uri="{FF2B5EF4-FFF2-40B4-BE49-F238E27FC236}">
              <a16:creationId xmlns:a16="http://schemas.microsoft.com/office/drawing/2014/main" id="{47679C68-9D31-4050-9224-847BC132569B}"/>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8" name="TextBox 257">
          <a:extLst>
            <a:ext uri="{FF2B5EF4-FFF2-40B4-BE49-F238E27FC236}">
              <a16:creationId xmlns:a16="http://schemas.microsoft.com/office/drawing/2014/main" id="{F4F3EFF6-A8E4-45A8-9552-918C2D600939}"/>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59" name="TextBox 258">
          <a:extLst>
            <a:ext uri="{FF2B5EF4-FFF2-40B4-BE49-F238E27FC236}">
              <a16:creationId xmlns:a16="http://schemas.microsoft.com/office/drawing/2014/main" id="{B7F57AC7-9209-4E6C-83B9-E104E1255C66}"/>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60" name="TextBox 259">
          <a:extLst>
            <a:ext uri="{FF2B5EF4-FFF2-40B4-BE49-F238E27FC236}">
              <a16:creationId xmlns:a16="http://schemas.microsoft.com/office/drawing/2014/main" id="{9AAD1E60-77C6-461C-8D3A-82C8FFE4F642}"/>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61" name="TextBox 260">
          <a:extLst>
            <a:ext uri="{FF2B5EF4-FFF2-40B4-BE49-F238E27FC236}">
              <a16:creationId xmlns:a16="http://schemas.microsoft.com/office/drawing/2014/main" id="{532DFC7E-E7DB-4D21-A68E-41380F49B6AE}"/>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62" name="TextBox 261">
          <a:extLst>
            <a:ext uri="{FF2B5EF4-FFF2-40B4-BE49-F238E27FC236}">
              <a16:creationId xmlns:a16="http://schemas.microsoft.com/office/drawing/2014/main" id="{68BFA460-AC6E-400D-8F42-BEB61188CE28}"/>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63" name="TextBox 262">
          <a:extLst>
            <a:ext uri="{FF2B5EF4-FFF2-40B4-BE49-F238E27FC236}">
              <a16:creationId xmlns:a16="http://schemas.microsoft.com/office/drawing/2014/main" id="{BD27354E-D888-4E58-B5A6-E4E7CCCA9304}"/>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2269331</xdr:colOff>
      <xdr:row>1296</xdr:row>
      <xdr:rowOff>0</xdr:rowOff>
    </xdr:from>
    <xdr:ext cx="65" cy="172227"/>
    <xdr:sp macro="" textlink="">
      <xdr:nvSpPr>
        <xdr:cNvPr id="264" name="TextBox 263">
          <a:extLst>
            <a:ext uri="{FF2B5EF4-FFF2-40B4-BE49-F238E27FC236}">
              <a16:creationId xmlns:a16="http://schemas.microsoft.com/office/drawing/2014/main" id="{310D8C2C-D1ED-4A00-8AF3-982BDFFA8645}"/>
            </a:ext>
          </a:extLst>
        </xdr:cNvPr>
        <xdr:cNvSpPr txBox="1"/>
      </xdr:nvSpPr>
      <xdr:spPr>
        <a:xfrm>
          <a:off x="40591320"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65" name="TextBox 264">
          <a:extLst>
            <a:ext uri="{FF2B5EF4-FFF2-40B4-BE49-F238E27FC236}">
              <a16:creationId xmlns:a16="http://schemas.microsoft.com/office/drawing/2014/main" id="{0BBD684F-0EC1-4888-81A9-18F70F9677FD}"/>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66" name="TextBox 265">
          <a:extLst>
            <a:ext uri="{FF2B5EF4-FFF2-40B4-BE49-F238E27FC236}">
              <a16:creationId xmlns:a16="http://schemas.microsoft.com/office/drawing/2014/main" id="{A0F9DA72-9AB3-4E59-997C-D03478530A7B}"/>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67" name="TextBox 266">
          <a:extLst>
            <a:ext uri="{FF2B5EF4-FFF2-40B4-BE49-F238E27FC236}">
              <a16:creationId xmlns:a16="http://schemas.microsoft.com/office/drawing/2014/main" id="{C5C1DE44-220F-4AF2-90B2-95109CADEBF3}"/>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68" name="TextBox 267">
          <a:extLst>
            <a:ext uri="{FF2B5EF4-FFF2-40B4-BE49-F238E27FC236}">
              <a16:creationId xmlns:a16="http://schemas.microsoft.com/office/drawing/2014/main" id="{E019DD87-5080-4FB0-A74B-921D83ADBFEE}"/>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69" name="TextBox 268">
          <a:extLst>
            <a:ext uri="{FF2B5EF4-FFF2-40B4-BE49-F238E27FC236}">
              <a16:creationId xmlns:a16="http://schemas.microsoft.com/office/drawing/2014/main" id="{E71E44F2-8A28-4CF1-9034-88F310EB2870}"/>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70" name="TextBox 269">
          <a:extLst>
            <a:ext uri="{FF2B5EF4-FFF2-40B4-BE49-F238E27FC236}">
              <a16:creationId xmlns:a16="http://schemas.microsoft.com/office/drawing/2014/main" id="{FCA60581-BCF5-4E2C-B46B-44B4DF8811D0}"/>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71" name="TextBox 270">
          <a:extLst>
            <a:ext uri="{FF2B5EF4-FFF2-40B4-BE49-F238E27FC236}">
              <a16:creationId xmlns:a16="http://schemas.microsoft.com/office/drawing/2014/main" id="{9926CB76-BC11-4C66-90FC-2B7BCFEFACB8}"/>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2269331</xdr:colOff>
      <xdr:row>1296</xdr:row>
      <xdr:rowOff>0</xdr:rowOff>
    </xdr:from>
    <xdr:ext cx="65" cy="172227"/>
    <xdr:sp macro="" textlink="">
      <xdr:nvSpPr>
        <xdr:cNvPr id="272" name="TextBox 271">
          <a:extLst>
            <a:ext uri="{FF2B5EF4-FFF2-40B4-BE49-F238E27FC236}">
              <a16:creationId xmlns:a16="http://schemas.microsoft.com/office/drawing/2014/main" id="{AD046D4E-7837-474F-9F23-B0FA02D69257}"/>
            </a:ext>
          </a:extLst>
        </xdr:cNvPr>
        <xdr:cNvSpPr txBox="1"/>
      </xdr:nvSpPr>
      <xdr:spPr>
        <a:xfrm>
          <a:off x="41824527" y="272235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504</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504</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25</xdr:row>
      <xdr:rowOff>453627</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407</xdr:row>
      <xdr:rowOff>138544</xdr:rowOff>
    </xdr:from>
    <xdr:to>
      <xdr:col>9</xdr:col>
      <xdr:colOff>0</xdr:colOff>
      <xdr:row>411</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800" b="0" i="1">
                        <a:solidFill>
                          <a:sysClr val="windowText" lastClr="000000"/>
                        </a:solidFill>
                        <a:latin typeface="Cambria Math" panose="02040503050406030204" pitchFamily="18" charset="0"/>
                        <a:ea typeface="Cambria Math" panose="02040503050406030204" pitchFamily="18" charset="0"/>
                      </a:rPr>
                      <m:t>𝑥𝐸𝑃𝐺</m:t>
                    </m:r>
                    <m:r>
                      <a:rPr lang="en-US" sz="1800" b="0" i="1">
                        <a:solidFill>
                          <a:sysClr val="windowText" lastClr="000000"/>
                        </a:solidFill>
                        <a:latin typeface="Cambria Math" panose="02040503050406030204" pitchFamily="18" charset="0"/>
                        <a:ea typeface="Cambria Math" panose="02040503050406030204" pitchFamily="18" charset="0"/>
                      </a:rPr>
                      <m:t>_</m:t>
                    </m:r>
                    <m:r>
                      <a:rPr lang="en-US" sz="18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800" b="0" i="0">
                  <a:solidFill>
                    <a:sysClr val="windowText" lastClr="000000"/>
                  </a:solidFill>
                  <a:latin typeface="Cambria Math" panose="02040503050406030204" pitchFamily="18" charset="0"/>
                  <a:ea typeface="Cambria Math" panose="02040503050406030204" pitchFamily="18" charset="0"/>
                </a:rPr>
                <a:t>𝑥𝐸𝑃𝐺_</a:t>
              </a:r>
              <a:r>
                <a:rPr lang="en-US" sz="18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9</xdr:col>
      <xdr:colOff>598342</xdr:colOff>
      <xdr:row>407</xdr:row>
      <xdr:rowOff>178693</xdr:rowOff>
    </xdr:from>
    <xdr:to>
      <xdr:col>16</xdr:col>
      <xdr:colOff>378852</xdr:colOff>
      <xdr:row>410</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f>
                      <m:fPr>
                        <m:ctrlPr>
                          <a:rPr lang="en-US" sz="18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𝑊𝑎𝑡𝑒𝑟𝑇𝑒𝑚𝑝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800" i="0">
                  <a:solidFill>
                    <a:sysClr val="windowText" lastClr="000000"/>
                  </a:solidFill>
                  <a:effectLst/>
                  <a:latin typeface="Cambria Math" panose="02040503050406030204" pitchFamily="18" charset="0"/>
                  <a:ea typeface="Cambria Math" panose="02040503050406030204" pitchFamily="18" charset="0"/>
                  <a:cs typeface="+mn-cs"/>
                </a:rPr>
                <a:t>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412</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2</xdr:col>
      <xdr:colOff>853441</xdr:colOff>
      <xdr:row>442</xdr:row>
      <xdr:rowOff>163286</xdr:rowOff>
    </xdr:from>
    <xdr:to>
      <xdr:col>7</xdr:col>
      <xdr:colOff>762003</xdr:colOff>
      <xdr:row>447</xdr:row>
      <xdr:rowOff>103142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683477" y="25322893"/>
              <a:ext cx="10032276" cy="824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683477" y="25322893"/>
              <a:ext cx="10032276" cy="824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739139</xdr:colOff>
      <xdr:row>442</xdr:row>
      <xdr:rowOff>95250</xdr:rowOff>
    </xdr:from>
    <xdr:to>
      <xdr:col>12</xdr:col>
      <xdr:colOff>204106</xdr:colOff>
      <xdr:row>446</xdr:row>
      <xdr:rowOff>130054</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1692889" y="25254857"/>
              <a:ext cx="6894467" cy="7423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1692889" y="25254857"/>
              <a:ext cx="6894467" cy="7423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25</xdr:row>
      <xdr:rowOff>453627</xdr:rowOff>
    </xdr:from>
    <xdr:ext cx="65" cy="172227"/>
    <xdr:sp macro="" textlink="">
      <xdr:nvSpPr>
        <xdr:cNvPr id="11" name="TextBox 10">
          <a:extLst>
            <a:ext uri="{FF2B5EF4-FFF2-40B4-BE49-F238E27FC236}">
              <a16:creationId xmlns:a16="http://schemas.microsoft.com/office/drawing/2014/main" id="{00000000-0008-0000-0900-00000B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25</xdr:row>
      <xdr:rowOff>453627</xdr:rowOff>
    </xdr:from>
    <xdr:ext cx="65" cy="172227"/>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00000000-0008-0000-0900-00000D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00000000-0008-0000-0900-00000E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25</xdr:row>
      <xdr:rowOff>453627</xdr:rowOff>
    </xdr:from>
    <xdr:to>
      <xdr:col>7</xdr:col>
      <xdr:colOff>7209</xdr:colOff>
      <xdr:row>26</xdr:row>
      <xdr:rowOff>173417</xdr:rowOff>
    </xdr:to>
    <xdr:sp macro="" textlink="">
      <xdr:nvSpPr>
        <xdr:cNvPr id="15" name="TextBox 14">
          <a:extLst>
            <a:ext uri="{FF2B5EF4-FFF2-40B4-BE49-F238E27FC236}">
              <a16:creationId xmlns:a16="http://schemas.microsoft.com/office/drawing/2014/main" id="{00000000-0008-0000-0900-00000F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25</xdr:row>
      <xdr:rowOff>453627</xdr:rowOff>
    </xdr:from>
    <xdr:to>
      <xdr:col>7</xdr:col>
      <xdr:colOff>7209</xdr:colOff>
      <xdr:row>26</xdr:row>
      <xdr:rowOff>173417</xdr:rowOff>
    </xdr:to>
    <xdr:sp macro="" textlink="">
      <xdr:nvSpPr>
        <xdr:cNvPr id="16" name="TextBox 15">
          <a:extLst>
            <a:ext uri="{FF2B5EF4-FFF2-40B4-BE49-F238E27FC236}">
              <a16:creationId xmlns:a16="http://schemas.microsoft.com/office/drawing/2014/main" id="{00000000-0008-0000-0900-000010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00000000-0008-0000-0900-000011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00000000-0008-0000-0900-000012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22411</xdr:colOff>
      <xdr:row>17</xdr:row>
      <xdr:rowOff>78442</xdr:rowOff>
    </xdr:from>
    <xdr:to>
      <xdr:col>6</xdr:col>
      <xdr:colOff>394906</xdr:colOff>
      <xdr:row>21</xdr:row>
      <xdr:rowOff>68123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ysClr val="windowText" lastClr="000000"/>
                        </a:solidFill>
                        <a:effectLst/>
                        <a:latin typeface="Cambria Math" panose="02040503050406030204" pitchFamily="18" charset="0"/>
                        <a:ea typeface="+mn-ea"/>
                        <a:cs typeface="+mn-cs"/>
                      </a:rPr>
                      <m:t>Δ</m:t>
                    </m:r>
                    <m:r>
                      <a:rPr lang="en-US" sz="1400" i="1">
                        <a:solidFill>
                          <a:sysClr val="windowText" lastClr="000000"/>
                        </a:solidFill>
                        <a:effectLst/>
                        <a:latin typeface="Cambria Math" panose="02040503050406030204" pitchFamily="18" charset="0"/>
                        <a:ea typeface="+mn-ea"/>
                        <a:cs typeface="+mn-cs"/>
                      </a:rPr>
                      <m:t>𝑘𝑊h𝐶𝑒𝑛𝑡𝑟𝑎𝑙</m:t>
                    </m:r>
                    <m:r>
                      <a:rPr lang="en-US" sz="1400" i="1" baseline="-25000">
                        <a:solidFill>
                          <a:sysClr val="windowText" lastClr="000000"/>
                        </a:solidFill>
                        <a:effectLst/>
                        <a:latin typeface="Cambria Math" panose="02040503050406030204" pitchFamily="18" charset="0"/>
                        <a:ea typeface="+mn-ea"/>
                        <a:cs typeface="+mn-cs"/>
                      </a:rPr>
                      <m:t> </m:t>
                    </m:r>
                    <m:r>
                      <a:rPr lang="en-US" sz="1400" i="1" baseline="-25000">
                        <a:solidFill>
                          <a:sysClr val="windowText" lastClr="000000"/>
                        </a:solidFill>
                        <a:effectLst/>
                        <a:latin typeface="Cambria Math" panose="02040503050406030204" pitchFamily="18" charset="0"/>
                        <a:ea typeface="+mn-ea"/>
                        <a:cs typeface="+mn-cs"/>
                      </a:rPr>
                      <m:t>𝐴𝐶</m:t>
                    </m:r>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𝐸𝐹𝐿</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𝐻</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𝐶𝑎𝑝𝑎𝑐𝑖𝑡</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𝑦</m:t>
                            </m:r>
                          </m:e>
                          <m:sub>
                            <m:r>
                              <a:rPr lang="en-US" sz="1400" i="1">
                                <a:solidFill>
                                  <a:sysClr val="windowText" lastClr="000000"/>
                                </a:solidFill>
                                <a:effectLst/>
                                <a:latin typeface="Cambria Math" panose="02040503050406030204" pitchFamily="18" charset="0"/>
                                <a:ea typeface="+mn-ea"/>
                                <a:cs typeface="+mn-cs"/>
                              </a:rPr>
                              <m:t>𝑐𝑜𝑜𝑙</m:t>
                            </m:r>
                          </m:sub>
                        </m:sSub>
                        <m:r>
                          <a:rPr lang="en-US" sz="1400" i="1">
                            <a:solidFill>
                              <a:sysClr val="windowText" lastClr="000000"/>
                            </a:solidFill>
                            <a:effectLst/>
                            <a:latin typeface="Cambria Math" panose="02040503050406030204" pitchFamily="18" charset="0"/>
                            <a:ea typeface="+mn-ea"/>
                            <a:cs typeface="+mn-cs"/>
                          </a:rPr>
                          <m:t>∗</m:t>
                        </m:r>
                        <m:d>
                          <m:dPr>
                            <m:ctrlPr>
                              <a:rPr lang="en-US" sz="1400" b="0" i="1">
                                <a:solidFill>
                                  <a:sysClr val="windowText" lastClr="000000"/>
                                </a:solidFill>
                                <a:effectLst/>
                                <a:latin typeface="Cambria Math" panose="02040503050406030204" pitchFamily="18" charset="0"/>
                                <a:ea typeface="+mn-ea"/>
                                <a:cs typeface="+mn-cs"/>
                              </a:rPr>
                            </m:ctrlPr>
                          </m:dPr>
                          <m:e>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𝐼𝑛</m:t>
                                    </m:r>
                                  </m:sub>
                                </m:sSub>
                              </m:den>
                            </m:f>
                            <m:r>
                              <a:rPr lang="en-US" sz="1400" i="1">
                                <a:solidFill>
                                  <a:sysClr val="windowText" lastClr="000000"/>
                                </a:solidFill>
                                <a:effectLst/>
                                <a:latin typeface="Cambria Math" panose="02040503050406030204" pitchFamily="18" charset="0"/>
                                <a:ea typeface="+mn-ea"/>
                                <a:cs typeface="+mn-cs"/>
                              </a:rPr>
                              <m:t> −</m:t>
                            </m:r>
                            <m:f>
                              <m:fPr>
                                <m:ctrlPr>
                                  <a:rPr lang="en-US" sz="1400" i="1">
                                    <a:solidFill>
                                      <a:sysClr val="windowText" lastClr="000000"/>
                                    </a:solidFill>
                                    <a:effectLst/>
                                    <a:latin typeface="Cambria Math" panose="02040503050406030204" pitchFamily="18" charset="0"/>
                                    <a:ea typeface="+mn-ea"/>
                                    <a:cs typeface="+mn-cs"/>
                                  </a:rPr>
                                </m:ctrlPr>
                              </m:fPr>
                              <m:num>
                                <m:r>
                                  <a:rPr lang="en-US" sz="1400" i="1">
                                    <a:solidFill>
                                      <a:sysClr val="windowText" lastClr="000000"/>
                                    </a:solidFill>
                                    <a:effectLst/>
                                    <a:latin typeface="Cambria Math" panose="02040503050406030204" pitchFamily="18" charset="0"/>
                                    <a:ea typeface="+mn-ea"/>
                                    <a:cs typeface="+mn-cs"/>
                                  </a:rPr>
                                  <m:t>1</m:t>
                                </m:r>
                              </m:num>
                              <m:den>
                                <m:r>
                                  <a:rPr lang="en-US" sz="1400" i="1">
                                    <a:solidFill>
                                      <a:sysClr val="windowText" lastClr="000000"/>
                                    </a:solidFill>
                                    <a:effectLst/>
                                    <a:latin typeface="Cambria Math" panose="02040503050406030204" pitchFamily="18" charset="0"/>
                                    <a:ea typeface="+mn-ea"/>
                                    <a:cs typeface="+mn-cs"/>
                                  </a:rPr>
                                  <m:t>𝑆𝐸𝐸</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i="1">
                                        <a:solidFill>
                                          <a:sysClr val="windowText" lastClr="000000"/>
                                        </a:solidFill>
                                        <a:effectLst/>
                                        <a:latin typeface="Cambria Math" panose="02040503050406030204" pitchFamily="18" charset="0"/>
                                        <a:ea typeface="+mn-ea"/>
                                        <a:cs typeface="+mn-cs"/>
                                      </a:rPr>
                                      <m:t>𝑅</m:t>
                                    </m:r>
                                  </m:e>
                                  <m:sub>
                                    <m:r>
                                      <a:rPr lang="en-US" sz="1400" b="0" i="1">
                                        <a:solidFill>
                                          <a:sysClr val="windowText" lastClr="000000"/>
                                        </a:solidFill>
                                        <a:effectLst/>
                                        <a:latin typeface="Cambria Math" panose="02040503050406030204" pitchFamily="18" charset="0"/>
                                        <a:ea typeface="+mn-ea"/>
                                        <a:cs typeface="+mn-cs"/>
                                      </a:rPr>
                                      <m:t>𝑇</m:t>
                                    </m:r>
                                    <m:r>
                                      <a:rPr lang="en-US" sz="1400" i="1">
                                        <a:solidFill>
                                          <a:sysClr val="windowText" lastClr="000000"/>
                                        </a:solidFill>
                                        <a:effectLst/>
                                        <a:latin typeface="Cambria Math" panose="02040503050406030204" pitchFamily="18" charset="0"/>
                                        <a:ea typeface="+mn-ea"/>
                                        <a:cs typeface="+mn-cs"/>
                                      </a:rPr>
                                      <m:t>𝑒𝑠𝑡</m:t>
                                    </m:r>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𝑂𝑢𝑡</m:t>
                                    </m:r>
                                  </m:sub>
                                </m:sSub>
                              </m:den>
                            </m:f>
                          </m:e>
                        </m:d>
                      </m:num>
                      <m:den>
                        <m:r>
                          <a:rPr lang="en-US" sz="1400" i="1">
                            <a:solidFill>
                              <a:sysClr val="windowText" lastClr="000000"/>
                            </a:solidFill>
                            <a:effectLst/>
                            <a:latin typeface="Cambria Math" panose="02040503050406030204" pitchFamily="18" charset="0"/>
                            <a:ea typeface="+mn-ea"/>
                            <a:cs typeface="+mn-cs"/>
                          </a:rPr>
                          <m:t>1</m:t>
                        </m:r>
                        <m:r>
                          <a:rPr lang="en-US" sz="1400" b="0" i="1">
                            <a:solidFill>
                              <a:sysClr val="windowText" lastClr="000000"/>
                            </a:solidFill>
                            <a:effectLst/>
                            <a:latin typeface="Cambria Math" panose="02040503050406030204" pitchFamily="18" charset="0"/>
                            <a:ea typeface="+mn-ea"/>
                            <a:cs typeface="+mn-cs"/>
                          </a:rPr>
                          <m:t>,</m:t>
                        </m:r>
                        <m:r>
                          <a:rPr lang="en-US" sz="1400" i="1">
                            <a:solidFill>
                              <a:sysClr val="windowText" lastClr="000000"/>
                            </a:solidFill>
                            <a:effectLst/>
                            <a:latin typeface="Cambria Math" panose="02040503050406030204" pitchFamily="18" charset="0"/>
                            <a:ea typeface="+mn-ea"/>
                            <a:cs typeface="+mn-cs"/>
                          </a:rPr>
                          <m:t>000</m:t>
                        </m:r>
                      </m:den>
                    </m:f>
                  </m:oMath>
                </m:oMathPara>
              </a14:m>
              <a:endParaRPr lang="en-US" sz="1800">
                <a:solidFill>
                  <a:sysClr val="windowText" lastClr="000000"/>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effectLst/>
                  <a:latin typeface="Cambria Math" panose="02040503050406030204" pitchFamily="18" charset="0"/>
                  <a:ea typeface="+mn-ea"/>
                  <a:cs typeface="+mn-cs"/>
                </a:rPr>
                <a:t>Δ𝑘𝑊ℎ𝐶𝑒𝑛𝑡𝑟𝑎𝑙</a:t>
              </a:r>
              <a:r>
                <a:rPr lang="en-US" sz="1400" i="0" baseline="-25000">
                  <a:solidFill>
                    <a:sysClr val="windowText" lastClr="000000"/>
                  </a:solidFill>
                  <a:effectLst/>
                  <a:latin typeface="Cambria Math" panose="02040503050406030204" pitchFamily="18" charset="0"/>
                  <a:ea typeface="+mn-ea"/>
                  <a:cs typeface="+mn-cs"/>
                </a:rPr>
                <a:t> 𝐴𝐶</a:t>
              </a:r>
              <a:r>
                <a:rPr lang="en-US" sz="1400" i="0">
                  <a:solidFill>
                    <a:sysClr val="windowText" lastClr="000000"/>
                  </a:solidFill>
                  <a:effectLst/>
                  <a:latin typeface="Cambria Math" panose="02040503050406030204" pitchFamily="18" charset="0"/>
                  <a:ea typeface="+mn-ea"/>
                  <a:cs typeface="+mn-cs"/>
                </a:rPr>
                <a:t> =(𝐸𝐹𝐿𝐻</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𝐶𝑎𝑝𝑎𝑐𝑖𝑡𝑦</a:t>
              </a:r>
              <a:r>
                <a:rPr lang="en-US" sz="1400" b="0" i="0">
                  <a:solidFill>
                    <a:sysClr val="windowText" lastClr="000000"/>
                  </a:solidFill>
                  <a:effectLst/>
                  <a:latin typeface="Cambria Math" panose="02040503050406030204" pitchFamily="18" charset="0"/>
                  <a:ea typeface="+mn-ea"/>
                  <a:cs typeface="+mn-cs"/>
                </a:rPr>
                <a:t>_</a:t>
              </a:r>
              <a:r>
                <a:rPr lang="en-US" sz="1400" i="0">
                  <a:solidFill>
                    <a:sysClr val="windowText" lastClr="000000"/>
                  </a:solidFill>
                  <a:effectLst/>
                  <a:latin typeface="Cambria Math" panose="02040503050406030204" pitchFamily="18" charset="0"/>
                  <a:ea typeface="+mn-ea"/>
                  <a:cs typeface="+mn-cs"/>
                </a:rPr>
                <a:t>𝑐𝑜𝑜𝑙∗</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1/(𝑆𝐸𝐸𝑅</a:t>
              </a:r>
              <a:r>
                <a:rPr lang="en-US" sz="1400" b="0" i="0">
                  <a:solidFill>
                    <a:sysClr val="windowText" lastClr="000000"/>
                  </a:solidFill>
                  <a:effectLst/>
                  <a:latin typeface="Cambria Math" panose="02040503050406030204" pitchFamily="18" charset="0"/>
                  <a:ea typeface="+mn-ea"/>
                  <a:cs typeface="+mn-cs"/>
                </a:rPr>
                <a:t>_(𝑇</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−𝐼𝑛) ) </a:t>
              </a:r>
              <a:r>
                <a:rPr lang="en-US" sz="1400" i="0">
                  <a:solidFill>
                    <a:sysClr val="windowText" lastClr="000000"/>
                  </a:solidFill>
                  <a:effectLst/>
                  <a:latin typeface="Cambria Math" panose="02040503050406030204" pitchFamily="18" charset="0"/>
                  <a:ea typeface="+mn-ea"/>
                  <a:cs typeface="+mn-cs"/>
                </a:rPr>
                <a:t> −1/(𝑆𝐸𝐸𝑅</a:t>
              </a:r>
              <a:r>
                <a:rPr lang="en-US" sz="1400" b="0" i="0">
                  <a:solidFill>
                    <a:sysClr val="windowText" lastClr="000000"/>
                  </a:solidFill>
                  <a:effectLst/>
                  <a:latin typeface="Cambria Math" panose="02040503050406030204" pitchFamily="18" charset="0"/>
                  <a:ea typeface="+mn-ea"/>
                  <a:cs typeface="+mn-cs"/>
                </a:rPr>
                <a:t>_(𝑇</a:t>
              </a:r>
              <a:r>
                <a:rPr lang="en-US" sz="1400" i="0">
                  <a:solidFill>
                    <a:sysClr val="windowText" lastClr="000000"/>
                  </a:solidFill>
                  <a:effectLst/>
                  <a:latin typeface="Cambria Math" panose="02040503050406030204" pitchFamily="18" charset="0"/>
                  <a:ea typeface="+mn-ea"/>
                  <a:cs typeface="+mn-cs"/>
                </a:rPr>
                <a:t>𝑒𝑠𝑡</a:t>
              </a:r>
              <a:r>
                <a:rPr lang="en-US" sz="1400" b="0" i="0">
                  <a:solidFill>
                    <a:sysClr val="windowText" lastClr="000000"/>
                  </a:solidFill>
                  <a:effectLst/>
                  <a:latin typeface="Cambria Math" panose="02040503050406030204" pitchFamily="18" charset="0"/>
                  <a:ea typeface="+mn-ea"/>
                  <a:cs typeface="+mn-cs"/>
                </a:rPr>
                <a:t>−𝑂𝑢𝑡) )))/</a:t>
              </a:r>
              <a:r>
                <a:rPr lang="en-US" sz="1400" i="0">
                  <a:solidFill>
                    <a:sysClr val="windowText" lastClr="000000"/>
                  </a:solidFill>
                  <a:effectLst/>
                  <a:latin typeface="Cambria Math" panose="02040503050406030204" pitchFamily="18" charset="0"/>
                  <a:ea typeface="+mn-ea"/>
                  <a:cs typeface="+mn-cs"/>
                </a:rPr>
                <a:t>1</a:t>
              </a:r>
              <a:r>
                <a:rPr lang="en-US" sz="1400" b="0" i="0">
                  <a:solidFill>
                    <a:sysClr val="windowText" lastClr="000000"/>
                  </a:solidFill>
                  <a:effectLst/>
                  <a:latin typeface="Cambria Math" panose="02040503050406030204" pitchFamily="18" charset="0"/>
                  <a:ea typeface="+mn-ea"/>
                  <a:cs typeface="+mn-cs"/>
                </a:rPr>
                <a:t>,</a:t>
              </a:r>
              <a:r>
                <a:rPr lang="en-US" sz="1400" i="0">
                  <a:solidFill>
                    <a:sysClr val="windowText" lastClr="000000"/>
                  </a:solidFill>
                  <a:effectLst/>
                  <a:latin typeface="Cambria Math" panose="02040503050406030204" pitchFamily="18" charset="0"/>
                  <a:ea typeface="+mn-ea"/>
                  <a:cs typeface="+mn-cs"/>
                </a:rPr>
                <a:t>000</a:t>
              </a:r>
              <a:endParaRPr lang="en-US" sz="1800">
                <a:solidFill>
                  <a:sysClr val="windowText" lastClr="000000"/>
                </a:solidFill>
                <a:effectLst/>
                <a:latin typeface="+mn-lt"/>
                <a:ea typeface="+mn-ea"/>
                <a:cs typeface="+mn-cs"/>
              </a:endParaRPr>
            </a:p>
          </xdr:txBody>
        </xdr:sp>
      </mc:Fallback>
    </mc:AlternateContent>
    <xdr:clientData/>
  </xdr:twoCellAnchor>
  <xdr:twoCellAnchor>
    <xdr:from>
      <xdr:col>4</xdr:col>
      <xdr:colOff>3457</xdr:colOff>
      <xdr:row>86</xdr:row>
      <xdr:rowOff>141515</xdr:rowOff>
    </xdr:from>
    <xdr:to>
      <xdr:col>8</xdr:col>
      <xdr:colOff>368957</xdr:colOff>
      <xdr:row>89</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519543" y="13193486"/>
              <a:ext cx="11033500" cy="938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m:t>
                        </m:r>
                        <m:r>
                          <a:rPr lang="en-US" sz="1400" b="0" i="1" strike="sngStrike" baseline="0">
                            <a:solidFill>
                              <a:srgbClr val="FF0000"/>
                            </a:solidFill>
                            <a:latin typeface="Cambria Math" panose="02040503050406030204" pitchFamily="18" charset="0"/>
                            <a:ea typeface="Cambria Math" panose="02040503050406030204" pitchFamily="18" charset="0"/>
                          </a:rPr>
                          <m:t>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519543" y="13193486"/>
              <a:ext cx="11033500" cy="938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a:t>
              </a:r>
              <a:r>
                <a:rPr lang="en-US" sz="1400" b="0" i="0" strike="sngStrike" baseline="0">
                  <a:solidFill>
                    <a:srgbClr val="FF0000"/>
                  </a:solidFill>
                  <a:latin typeface="Cambria Math" panose="02040503050406030204" pitchFamily="18" charset="0"/>
                  <a:ea typeface="Cambria Math" panose="02040503050406030204" pitchFamily="18" charset="0"/>
                </a:rPr>
                <a:t>𝐸𝑙𝑒𝑐𝑡𝑟𝑖𝑐</a:t>
              </a:r>
              <a:r>
                <a:rPr lang="en-US" sz="1400" b="0" i="0">
                  <a:latin typeface="Cambria Math" panose="02040503050406030204" pitchFamily="18" charset="0"/>
                  <a:ea typeface="Cambria Math" panose="02040503050406030204" pitchFamily="18" charset="0"/>
                </a:rPr>
                <a:t>=((%𝐸𝑙𝑒𝑐𝑡𝑟𝑖𝑐𝐻𝑒𝑎𝑡∗(1/𝑅_𝑜𝑙𝑑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86</xdr:row>
      <xdr:rowOff>10886</xdr:rowOff>
    </xdr:from>
    <xdr:to>
      <xdr:col>17</xdr:col>
      <xdr:colOff>363682</xdr:colOff>
      <xdr:row>88</xdr:row>
      <xdr:rowOff>522515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14973718" y="13062857"/>
              <a:ext cx="8892221" cy="8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14973718" y="13062857"/>
              <a:ext cx="8892221" cy="8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513259</xdr:colOff>
      <xdr:row>88</xdr:row>
      <xdr:rowOff>593912</xdr:rowOff>
    </xdr:from>
    <xdr:to>
      <xdr:col>4</xdr:col>
      <xdr:colOff>3003175</xdr:colOff>
      <xdr:row>90</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900-000016000000}"/>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5</xdr:col>
      <xdr:colOff>1562891</xdr:colOff>
      <xdr:row>88</xdr:row>
      <xdr:rowOff>401141</xdr:rowOff>
    </xdr:from>
    <xdr:to>
      <xdr:col>11</xdr:col>
      <xdr:colOff>606077</xdr:colOff>
      <xdr:row>91</xdr:row>
      <xdr:rowOff>149926</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9465920" y="13823227"/>
              <a:ext cx="9221328" cy="957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9465920" y="13823227"/>
              <a:ext cx="9221328" cy="957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486193</xdr:colOff>
      <xdr:row>200</xdr:row>
      <xdr:rowOff>138248</xdr:rowOff>
    </xdr:from>
    <xdr:to>
      <xdr:col>5</xdr:col>
      <xdr:colOff>2057400</xdr:colOff>
      <xdr:row>202</xdr:row>
      <xdr:rowOff>141515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2279" y="36289705"/>
              <a:ext cx="5958150" cy="373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2279" y="36289705"/>
              <a:ext cx="5958150" cy="373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3</xdr:col>
      <xdr:colOff>1273232</xdr:colOff>
      <xdr:row>202</xdr:row>
      <xdr:rowOff>181891</xdr:rowOff>
    </xdr:from>
    <xdr:to>
      <xdr:col>5</xdr:col>
      <xdr:colOff>2122714</xdr:colOff>
      <xdr:row>204</xdr:row>
      <xdr:rowOff>174171</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3483032" y="36703462"/>
              <a:ext cx="6542711" cy="362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3483032" y="36703462"/>
              <a:ext cx="6542711" cy="362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92133</xdr:colOff>
      <xdr:row>205</xdr:row>
      <xdr:rowOff>10886</xdr:rowOff>
    </xdr:from>
    <xdr:to>
      <xdr:col>4</xdr:col>
      <xdr:colOff>2743201</xdr:colOff>
      <xdr:row>206</xdr:row>
      <xdr:rowOff>185056</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608219" y="37087629"/>
              <a:ext cx="2651068" cy="359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608219" y="37087629"/>
              <a:ext cx="2651068" cy="359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3</xdr:col>
      <xdr:colOff>1152501</xdr:colOff>
      <xdr:row>235</xdr:row>
      <xdr:rowOff>39732</xdr:rowOff>
    </xdr:from>
    <xdr:to>
      <xdr:col>6</xdr:col>
      <xdr:colOff>1240971</xdr:colOff>
      <xdr:row>237</xdr:row>
      <xdr:rowOff>185057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3362301" y="42613761"/>
              <a:ext cx="8056813" cy="60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𝑛𝑒𝑤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𝐴𝑆𝐻𝑃</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400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3362301" y="42613761"/>
              <a:ext cx="8056813" cy="60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))∗𝐻𝐹∗𝐼𝑆𝑅</a:t>
              </a:r>
              <a:endParaRPr lang="en-US" sz="1400">
                <a:solidFill>
                  <a:sysClr val="windowText" lastClr="000000"/>
                </a:solidFill>
              </a:endParaRPr>
            </a:p>
          </xdr:txBody>
        </xdr:sp>
      </mc:Fallback>
    </mc:AlternateContent>
    <xdr:clientData/>
  </xdr:twoCellAnchor>
  <xdr:twoCellAnchor>
    <xdr:from>
      <xdr:col>4</xdr:col>
      <xdr:colOff>82658</xdr:colOff>
      <xdr:row>238</xdr:row>
      <xdr:rowOff>3465</xdr:rowOff>
    </xdr:from>
    <xdr:to>
      <xdr:col>7</xdr:col>
      <xdr:colOff>289783</xdr:colOff>
      <xdr:row>240</xdr:row>
      <xdr:rowOff>150322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3598744" y="43263294"/>
              <a:ext cx="8208125" cy="604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1−% </m:t>
                        </m:r>
                        <m:r>
                          <a:rPr lang="en-US" sz="1400" b="0" i="1">
                            <a:solidFill>
                              <a:sysClr val="windowText" lastClr="000000"/>
                            </a:solidFill>
                            <a:latin typeface="Cambria Math" panose="02040503050406030204" pitchFamily="18" charset="0"/>
                            <a:ea typeface="Cambria Math" panose="02040503050406030204" pitchFamily="18" charset="0"/>
                          </a:rPr>
                          <m:t>𝑤𝑖𝑡h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𝑁𝑒𝑤</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𝐶𝑒𝑛𝑡𝑟𝑎𝑙</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e>
                    </m:d>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70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3598744" y="43263294"/>
              <a:ext cx="8208125" cy="604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))∗𝐻𝐹∗𝐼𝑆𝑅</a:t>
              </a:r>
              <a:endParaRPr lang="en-US" sz="1400">
                <a:solidFill>
                  <a:sysClr val="windowText" lastClr="000000"/>
                </a:solidFill>
              </a:endParaRPr>
            </a:p>
          </xdr:txBody>
        </xdr:sp>
      </mc:Fallback>
    </mc:AlternateContent>
    <xdr:clientData/>
  </xdr:twoCellAnchor>
  <xdr:twoCellAnchor>
    <xdr:from>
      <xdr:col>4</xdr:col>
      <xdr:colOff>244310</xdr:colOff>
      <xdr:row>241</xdr:row>
      <xdr:rowOff>3439</xdr:rowOff>
    </xdr:from>
    <xdr:to>
      <xdr:col>6</xdr:col>
      <xdr:colOff>1077686</xdr:colOff>
      <xdr:row>243</xdr:row>
      <xdr:rowOff>76200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3760396" y="43491868"/>
              <a:ext cx="7495433" cy="529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𝐴𝑢𝑡𝑜</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d>
                          <m:dPr>
                            <m:ctrlPr>
                              <a:rPr lang="en-US" sz="1400" b="0" i="1">
                                <a:solidFill>
                                  <a:sysClr val="windowText" lastClr="000000"/>
                                </a:solidFill>
                                <a:latin typeface="Cambria Math" panose="02040503050406030204" pitchFamily="18" charset="0"/>
                                <a:ea typeface="Cambria Math" panose="02040503050406030204" pitchFamily="18" charset="0"/>
                              </a:rPr>
                            </m:ctrlPr>
                          </m:dPr>
                          <m:e>
                            <m:r>
                              <a:rPr lang="en-US" sz="1400" b="0" i="1">
                                <a:solidFill>
                                  <a:sysClr val="windowText" lastClr="000000"/>
                                </a:solidFill>
                                <a:latin typeface="Cambria Math" panose="02040503050406030204" pitchFamily="18" charset="0"/>
                                <a:ea typeface="Cambria Math" panose="02040503050406030204" pitchFamily="18" charset="0"/>
                              </a:rPr>
                              <m:t>25</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𝑦𝑟</m:t>
                                </m:r>
                              </m:den>
                            </m:f>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num>
                              <m:den>
                                <m:r>
                                  <a:rPr lang="en-US" sz="1400" b="0" i="1">
                                    <a:solidFill>
                                      <a:sysClr val="windowText" lastClr="000000"/>
                                    </a:solidFill>
                                    <a:latin typeface="Cambria Math" panose="02040503050406030204" pitchFamily="18" charset="0"/>
                                    <a:ea typeface="Cambria Math" panose="02040503050406030204" pitchFamily="18" charset="0"/>
                                  </a:rPr>
                                  <m:t>𝑊𝐼</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𝐸𝐹𝐿</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𝐻</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den>
                            </m:f>
                          </m:e>
                        </m:d>
                        <m:r>
                          <a:rPr lang="en-US" sz="1400" b="0" i="1">
                            <a:solidFill>
                              <a:sysClr val="windowText" lastClr="000000"/>
                            </a:solidFill>
                            <a:latin typeface="Cambria Math" panose="02040503050406030204" pitchFamily="18" charset="0"/>
                            <a:ea typeface="Cambria Math" panose="02040503050406030204" pitchFamily="18" charset="0"/>
                          </a:rPr>
                          <m:t>+2960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𝑅𝑇</m:t>
                        </m:r>
                        <m:r>
                          <a:rPr lang="en-US" sz="1400" b="0" i="1">
                            <a:solidFill>
                              <a:sysClr val="windowText" lastClr="000000"/>
                            </a:solidFill>
                            <a:latin typeface="Cambria Math" panose="02040503050406030204" pitchFamily="18" charset="0"/>
                            <a:ea typeface="Cambria Math" panose="02040503050406030204" pitchFamily="18" charset="0"/>
                          </a:rPr>
                          <m:t>−30</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𝑘𝑊h</m:t>
                            </m:r>
                          </m:num>
                          <m:den>
                            <m:r>
                              <a:rPr lang="en-US" sz="1400" b="0" i="1">
                                <a:solidFill>
                                  <a:sysClr val="windowText" lastClr="000000"/>
                                </a:solidFill>
                                <a:latin typeface="Cambria Math" panose="02040503050406030204" pitchFamily="18" charset="0"/>
                                <a:ea typeface="Cambria Math" panose="02040503050406030204" pitchFamily="18" charset="0"/>
                              </a:rPr>
                              <m:t>𝑦𝑒𝑎𝑟</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3760396" y="43491868"/>
              <a:ext cx="7495433" cy="529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𝑘𝑊ℎ/𝑦𝑒𝑎𝑟∗𝑅𝑇−30 𝑘𝑊ℎ/𝑦𝑒𝑎𝑟)∗𝐻𝐹∗𝐼𝑆𝑅</a:t>
              </a:r>
              <a:endParaRPr lang="en-US" sz="1400">
                <a:solidFill>
                  <a:sysClr val="windowText" lastClr="000000"/>
                </a:solidFill>
              </a:endParaRPr>
            </a:p>
          </xdr:txBody>
        </xdr:sp>
      </mc:Fallback>
    </mc:AlternateContent>
    <xdr:clientData/>
  </xdr:twoCellAnchor>
  <xdr:twoCellAnchor>
    <xdr:from>
      <xdr:col>4</xdr:col>
      <xdr:colOff>250371</xdr:colOff>
      <xdr:row>244</xdr:row>
      <xdr:rowOff>39780</xdr:rowOff>
    </xdr:from>
    <xdr:to>
      <xdr:col>7</xdr:col>
      <xdr:colOff>205095</xdr:colOff>
      <xdr:row>244</xdr:row>
      <xdr:rowOff>685799</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3766457" y="44170466"/>
              <a:ext cx="7955724" cy="646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3766457" y="44170466"/>
              <a:ext cx="7955724" cy="646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𝑘𝑊ℎ/𝑦𝑒𝑎𝑟∗𝑅𝑇−30 𝑘𝑊ℎ/𝑦𝑒𝑎𝑟)∗</a:t>
              </a:r>
              <a:r>
                <a:rPr lang="en-US" sz="1400" b="0" i="0">
                  <a:solidFill>
                    <a:sysClr val="windowText" lastClr="000000"/>
                  </a:solidFill>
                  <a:latin typeface="Cambria Math" panose="02040503050406030204" pitchFamily="18" charset="0"/>
                  <a:ea typeface="Cambria Math" panose="02040503050406030204" pitchFamily="18" charset="0"/>
                </a:rPr>
                <a:t>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3</xdr:col>
      <xdr:colOff>653935</xdr:colOff>
      <xdr:row>244</xdr:row>
      <xdr:rowOff>686146</xdr:rowOff>
    </xdr:from>
    <xdr:to>
      <xdr:col>4</xdr:col>
      <xdr:colOff>2926773</xdr:colOff>
      <xdr:row>245</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900-000020000000}"/>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2057781</xdr:colOff>
      <xdr:row>292</xdr:row>
      <xdr:rowOff>14823</xdr:rowOff>
    </xdr:from>
    <xdr:to>
      <xdr:col>5</xdr:col>
      <xdr:colOff>3838959</xdr:colOff>
      <xdr:row>293</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900-000021000000}"/>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294</xdr:row>
      <xdr:rowOff>103</xdr:rowOff>
    </xdr:from>
    <xdr:to>
      <xdr:col>9</xdr:col>
      <xdr:colOff>1039090</xdr:colOff>
      <xdr:row>296</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900-000022000000}"/>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297</xdr:row>
      <xdr:rowOff>10594</xdr:rowOff>
    </xdr:from>
    <xdr:to>
      <xdr:col>9</xdr:col>
      <xdr:colOff>995962</xdr:colOff>
      <xdr:row>298</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900-000023000000}"/>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299</xdr:row>
      <xdr:rowOff>165339</xdr:rowOff>
    </xdr:from>
    <xdr:to>
      <xdr:col>5</xdr:col>
      <xdr:colOff>634634</xdr:colOff>
      <xdr:row>301</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900-000024000000}"/>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371</xdr:row>
      <xdr:rowOff>155864</xdr:rowOff>
    </xdr:from>
    <xdr:to>
      <xdr:col>9</xdr:col>
      <xdr:colOff>630079</xdr:colOff>
      <xdr:row>375</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900-000025000000}"/>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376</xdr:row>
      <xdr:rowOff>8110</xdr:rowOff>
    </xdr:from>
    <xdr:to>
      <xdr:col>7</xdr:col>
      <xdr:colOff>1777513</xdr:colOff>
      <xdr:row>379</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517</xdr:row>
      <xdr:rowOff>163744</xdr:rowOff>
    </xdr:from>
    <xdr:to>
      <xdr:col>5</xdr:col>
      <xdr:colOff>549851</xdr:colOff>
      <xdr:row>519</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𝐸𝑅𝑃</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solidFill>
                    <a:sysClr val="windowText" lastClr="000000"/>
                  </a:solidFill>
                  <a:latin typeface="Cambria Math" panose="02040503050406030204" pitchFamily="18" charset="0"/>
                  <a:ea typeface="Cambria Math" panose="02040503050406030204" pitchFamily="18" charset="0"/>
                </a:rPr>
                <a:t>Δ</a:t>
              </a:r>
              <a:r>
                <a:rPr lang="en-US" sz="1600" b="0" i="0">
                  <a:solidFill>
                    <a:sysClr val="windowText" lastClr="00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ysClr val="windowText" lastClr="000000"/>
                </a:solidFill>
              </a:endParaRPr>
            </a:p>
          </xdr:txBody>
        </xdr:sp>
      </mc:Fallback>
    </mc:AlternateContent>
    <xdr:clientData/>
  </xdr:twoCellAnchor>
  <xdr:twoCellAnchor>
    <xdr:from>
      <xdr:col>4</xdr:col>
      <xdr:colOff>190499</xdr:colOff>
      <xdr:row>481</xdr:row>
      <xdr:rowOff>18602</xdr:rowOff>
    </xdr:from>
    <xdr:to>
      <xdr:col>7</xdr:col>
      <xdr:colOff>27213</xdr:colOff>
      <xdr:row>485</xdr:row>
      <xdr:rowOff>13607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728356" y="27137638"/>
              <a:ext cx="7252607" cy="702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728356" y="27137638"/>
              <a:ext cx="7252607" cy="702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592</xdr:row>
      <xdr:rowOff>64769</xdr:rowOff>
    </xdr:from>
    <xdr:to>
      <xdr:col>5</xdr:col>
      <xdr:colOff>1714499</xdr:colOff>
      <xdr:row>594</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192</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192</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223</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223</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271</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271</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367</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367</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402</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402</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436</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436</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471</xdr:row>
      <xdr:rowOff>0</xdr:rowOff>
    </xdr:from>
    <xdr:ext cx="65" cy="172227"/>
    <xdr:sp macro="" textlink="">
      <xdr:nvSpPr>
        <xdr:cNvPr id="64" name="TextBox 63">
          <a:extLst>
            <a:ext uri="{FF2B5EF4-FFF2-40B4-BE49-F238E27FC236}">
              <a16:creationId xmlns:a16="http://schemas.microsoft.com/office/drawing/2014/main" id="{00000000-0008-0000-0900-000040000000}"/>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471</xdr:row>
      <xdr:rowOff>0</xdr:rowOff>
    </xdr:from>
    <xdr:ext cx="65" cy="172227"/>
    <xdr:sp macro="" textlink="">
      <xdr:nvSpPr>
        <xdr:cNvPr id="65" name="TextBox 64">
          <a:extLst>
            <a:ext uri="{FF2B5EF4-FFF2-40B4-BE49-F238E27FC236}">
              <a16:creationId xmlns:a16="http://schemas.microsoft.com/office/drawing/2014/main" id="{00000000-0008-0000-0900-000041000000}"/>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504</xdr:row>
      <xdr:rowOff>0</xdr:rowOff>
    </xdr:from>
    <xdr:ext cx="65" cy="172227"/>
    <xdr:sp macro="" textlink="">
      <xdr:nvSpPr>
        <xdr:cNvPr id="66" name="TextBox 65">
          <a:extLst>
            <a:ext uri="{FF2B5EF4-FFF2-40B4-BE49-F238E27FC236}">
              <a16:creationId xmlns:a16="http://schemas.microsoft.com/office/drawing/2014/main" id="{00000000-0008-0000-0900-000042000000}"/>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504</xdr:row>
      <xdr:rowOff>0</xdr:rowOff>
    </xdr:from>
    <xdr:ext cx="65" cy="172227"/>
    <xdr:sp macro="" textlink="">
      <xdr:nvSpPr>
        <xdr:cNvPr id="67" name="TextBox 66">
          <a:extLst>
            <a:ext uri="{FF2B5EF4-FFF2-40B4-BE49-F238E27FC236}">
              <a16:creationId xmlns:a16="http://schemas.microsoft.com/office/drawing/2014/main" id="{00000000-0008-0000-0900-000043000000}"/>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537</xdr:row>
      <xdr:rowOff>0</xdr:rowOff>
    </xdr:from>
    <xdr:ext cx="65" cy="172227"/>
    <xdr:sp macro="" textlink="">
      <xdr:nvSpPr>
        <xdr:cNvPr id="68" name="TextBox 67">
          <a:extLst>
            <a:ext uri="{FF2B5EF4-FFF2-40B4-BE49-F238E27FC236}">
              <a16:creationId xmlns:a16="http://schemas.microsoft.com/office/drawing/2014/main" id="{00000000-0008-0000-0900-000044000000}"/>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537</xdr:row>
      <xdr:rowOff>0</xdr:rowOff>
    </xdr:from>
    <xdr:ext cx="65" cy="172227"/>
    <xdr:sp macro="" textlink="">
      <xdr:nvSpPr>
        <xdr:cNvPr id="69" name="TextBox 68">
          <a:extLst>
            <a:ext uri="{FF2B5EF4-FFF2-40B4-BE49-F238E27FC236}">
              <a16:creationId xmlns:a16="http://schemas.microsoft.com/office/drawing/2014/main" id="{00000000-0008-0000-0900-000045000000}"/>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586</xdr:row>
      <xdr:rowOff>0</xdr:rowOff>
    </xdr:from>
    <xdr:ext cx="65" cy="172227"/>
    <xdr:sp macro="" textlink="">
      <xdr:nvSpPr>
        <xdr:cNvPr id="70" name="TextBox 69">
          <a:extLst>
            <a:ext uri="{FF2B5EF4-FFF2-40B4-BE49-F238E27FC236}">
              <a16:creationId xmlns:a16="http://schemas.microsoft.com/office/drawing/2014/main" id="{00000000-0008-0000-0900-000046000000}"/>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586</xdr:row>
      <xdr:rowOff>0</xdr:rowOff>
    </xdr:from>
    <xdr:ext cx="65" cy="172227"/>
    <xdr:sp macro="" textlink="">
      <xdr:nvSpPr>
        <xdr:cNvPr id="71" name="TextBox 70">
          <a:extLst>
            <a:ext uri="{FF2B5EF4-FFF2-40B4-BE49-F238E27FC236}">
              <a16:creationId xmlns:a16="http://schemas.microsoft.com/office/drawing/2014/main" id="{00000000-0008-0000-0900-000047000000}"/>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32657</xdr:colOff>
      <xdr:row>84</xdr:row>
      <xdr:rowOff>0</xdr:rowOff>
    </xdr:from>
    <xdr:to>
      <xdr:col>4</xdr:col>
      <xdr:colOff>4245428</xdr:colOff>
      <xdr:row>86</xdr:row>
      <xdr:rowOff>21772</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48743" y="126818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rgbClr val="FF0000"/>
                </a:solidFill>
              </a:endParaRPr>
            </a:p>
          </xdr:txBody>
        </xdr:sp>
      </mc:Choice>
      <mc:Fallback xmlns="">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48743" y="126818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rgbClr val="FF0000"/>
                </a:solidFill>
              </a:endParaRPr>
            </a:p>
          </xdr:txBody>
        </xdr:sp>
      </mc:Fallback>
    </mc:AlternateContent>
    <xdr:clientData/>
  </xdr:twoCellAnchor>
  <xdr:twoCellAnchor>
    <xdr:from>
      <xdr:col>4</xdr:col>
      <xdr:colOff>1</xdr:colOff>
      <xdr:row>198</xdr:row>
      <xdr:rowOff>0</xdr:rowOff>
    </xdr:from>
    <xdr:to>
      <xdr:col>4</xdr:col>
      <xdr:colOff>4169229</xdr:colOff>
      <xdr:row>199</xdr:row>
      <xdr:rowOff>97971</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16087" y="35781343"/>
              <a:ext cx="4169228" cy="28302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ysClr val="windowText" lastClr="000000"/>
                </a:solidFill>
              </a:endParaRPr>
            </a:p>
          </xdr:txBody>
        </xdr:sp>
      </mc:Choice>
      <mc:Fallback xmlns="">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16087" y="35781343"/>
              <a:ext cx="4169228" cy="28302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Δ𝑘𝑊ℎ=∆𝑘𝑊ℎ_ℎ𝑒𝑎𝑡𝑖𝑛𝑔+Δ𝑘𝑊ℎ_𝑐𝑜𝑜𝑙𝑖𝑛𝑔</a:t>
              </a:r>
              <a:endParaRPr lang="en-US" sz="1400">
                <a:solidFill>
                  <a:sysClr val="windowText" lastClr="000000"/>
                </a:solidFill>
              </a:endParaRPr>
            </a:p>
          </xdr:txBody>
        </xdr:sp>
      </mc:Fallback>
    </mc:AlternateContent>
    <xdr:clientData/>
  </xdr:twoCellAnchor>
  <xdr:twoCellAnchor>
    <xdr:from>
      <xdr:col>4</xdr:col>
      <xdr:colOff>337457</xdr:colOff>
      <xdr:row>233</xdr:row>
      <xdr:rowOff>10886</xdr:rowOff>
    </xdr:from>
    <xdr:to>
      <xdr:col>7</xdr:col>
      <xdr:colOff>1228329</xdr:colOff>
      <xdr:row>234</xdr:row>
      <xdr:rowOff>119741</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853543" y="42769972"/>
              <a:ext cx="8891872" cy="2939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𝑘𝑊h</m:t>
                    </m:r>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𝐻𝑒𝑎𝑡𝑖𝑛𝑔</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𝐶𝑜𝑜𝑙𝑖𝑛𝑔</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𝑀𝑜𝑑𝑒</m:t>
                        </m:r>
                      </m:sub>
                    </m:sSub>
                    <m:r>
                      <a:rPr lang="en-US" sz="1600" b="0" i="1">
                        <a:solidFill>
                          <a:sysClr val="windowText" lastClr="000000"/>
                        </a:solidFill>
                        <a:latin typeface="Cambria Math" panose="02040503050406030204" pitchFamily="18" charset="0"/>
                        <a:ea typeface="Cambria Math" panose="02040503050406030204" pitchFamily="18" charset="0"/>
                      </a:rPr>
                      <m:t>+</m:t>
                    </m:r>
                    <m:r>
                      <m:rPr>
                        <m:sty m:val="p"/>
                      </m:rPr>
                      <a:rPr lang="en-US" sz="1600" b="0" i="0">
                        <a:solidFill>
                          <a:sysClr val="windowText" lastClr="000000"/>
                        </a:solidFill>
                        <a:latin typeface="Cambria Math" panose="02040503050406030204" pitchFamily="18" charset="0"/>
                        <a:ea typeface="Cambria Math" panose="02040503050406030204" pitchFamily="18" charset="0"/>
                      </a:rPr>
                      <m:t>Δ</m:t>
                    </m:r>
                    <m:r>
                      <a:rPr lang="en-US" sz="16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h</m:t>
                        </m:r>
                      </m:e>
                      <m:sub>
                        <m:r>
                          <a:rPr lang="en-US" sz="1600" b="0" i="1">
                            <a:solidFill>
                              <a:sysClr val="windowText" lastClr="000000"/>
                            </a:solidFill>
                            <a:latin typeface="Cambria Math" panose="02040503050406030204" pitchFamily="18" charset="0"/>
                            <a:ea typeface="Cambria Math" panose="02040503050406030204" pitchFamily="18" charset="0"/>
                          </a:rPr>
                          <m:t>𝐴𝑢𝑡𝑜</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𝛥</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𝐶𝑜𝑛𝑡𝑖𝑛𝑢𝑜𝑢𝑠</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𝐶𝑖𝑟𝑐𝑢𝑙𝑎𝑡𝑖𝑜𝑛</m:t>
                        </m:r>
                      </m:sub>
                    </m:sSub>
                  </m:oMath>
                </m:oMathPara>
              </a14:m>
              <a:endParaRPr lang="en-US" sz="16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853543" y="42769972"/>
              <a:ext cx="8891872" cy="2939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Δ</a:t>
              </a:r>
              <a:r>
                <a:rPr lang="en-US" sz="1600" b="0" i="0">
                  <a:solidFill>
                    <a:sysClr val="windowText" lastClr="000000"/>
                  </a:solidFill>
                  <a:latin typeface="Cambria Math" panose="02040503050406030204" pitchFamily="18" charset="0"/>
                  <a:ea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𝐶𝑖𝑟𝑐𝑢𝑙𝑎𝑡𝑖𝑜𝑛)+𝛥〖𝑘𝑊ℎ〗_(𝐶𝑜𝑛𝑡𝑖𝑛𝑢𝑜𝑢𝑠 𝐶𝑖𝑟𝑐𝑢𝑙𝑎𝑡𝑖𝑜𝑛)</a:t>
              </a:r>
              <a:endParaRPr lang="en-US" sz="16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0</xdr:colOff>
      <xdr:row>545</xdr:row>
      <xdr:rowOff>0</xdr:rowOff>
    </xdr:from>
    <xdr:to>
      <xdr:col>5</xdr:col>
      <xdr:colOff>1431453</xdr:colOff>
      <xdr:row>547</xdr:row>
      <xdr:rowOff>102595</xdr:rowOff>
    </xdr:to>
    <mc:AlternateContent xmlns:mc="http://schemas.openxmlformats.org/markup-compatibility/2006" xmlns:a14="http://schemas.microsoft.com/office/drawing/2010/main">
      <mc:Choice Requires="a14">
        <xdr:sp macro="" textlink="">
          <xdr:nvSpPr>
            <xdr:cNvPr id="74" name="TextBox 73">
              <a:extLst>
                <a:ext uri="{FF2B5EF4-FFF2-40B4-BE49-F238E27FC236}">
                  <a16:creationId xmlns:a16="http://schemas.microsoft.com/office/drawing/2014/main" id="{34037553-2F3D-4960-B0DC-47F55A004EE6}"/>
                </a:ext>
              </a:extLst>
            </xdr:cNvPr>
            <xdr:cNvSpPr txBox="1"/>
          </xdr:nvSpPr>
          <xdr:spPr>
            <a:xfrm>
              <a:off x="2218765" y="116115353"/>
              <a:ext cx="7135247" cy="461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strike="sngStrike" baseline="0">
                        <a:solidFill>
                          <a:srgbClr val="FF0000"/>
                        </a:solidFill>
                        <a:latin typeface="Cambria Math" panose="02040503050406030204" pitchFamily="18" charset="0"/>
                      </a:rPr>
                      <m:t>𝐸𝑛𝑒𝑟𝑔𝑦</m:t>
                    </m:r>
                    <m:r>
                      <a:rPr lang="en-US" sz="1400" b="0" i="1" strike="sngStrike" baseline="0">
                        <a:solidFill>
                          <a:srgbClr val="FF0000"/>
                        </a:solidFill>
                        <a:latin typeface="Cambria Math" panose="02040503050406030204" pitchFamily="18" charset="0"/>
                      </a:rPr>
                      <m:t> </m:t>
                    </m:r>
                    <m:r>
                      <a:rPr lang="en-US" sz="1400" b="0" i="1" strike="sngStrike" baseline="0">
                        <a:solidFill>
                          <a:srgbClr val="FF0000"/>
                        </a:solidFill>
                        <a:latin typeface="Cambria Math" panose="02040503050406030204" pitchFamily="18" charset="0"/>
                      </a:rPr>
                      <m:t>𝑆𝑎𝑣𝑖𝑛𝑔𝑠</m:t>
                    </m:r>
                    <m:r>
                      <a:rPr lang="en-US" sz="1400" b="0" i="1" strike="sngStrike" baseline="0">
                        <a:solidFill>
                          <a:srgbClr val="FF0000"/>
                        </a:solidFill>
                        <a:latin typeface="Cambria Math" panose="02040503050406030204" pitchFamily="18" charset="0"/>
                      </a:rPr>
                      <m:t> </m:t>
                    </m:r>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𝑘𝑊h</m:t>
                            </m:r>
                          </m:num>
                          <m:den>
                            <m:r>
                              <a:rPr lang="en-US" sz="1400" b="0" i="1" strike="sngStrike" baseline="0">
                                <a:solidFill>
                                  <a:srgbClr val="FF0000"/>
                                </a:solidFill>
                                <a:latin typeface="Cambria Math" panose="02040503050406030204" pitchFamily="18" charset="0"/>
                              </a:rPr>
                              <m:t>𝑌𝑒𝑎𝑟</m:t>
                            </m:r>
                          </m:den>
                        </m:f>
                      </m:e>
                    </m:d>
                    <m:r>
                      <a:rPr lang="en-US" sz="1400" b="0" i="1" strike="sngStrike" baseline="0">
                        <a:solidFill>
                          <a:srgbClr val="FF0000"/>
                        </a:solidFill>
                        <a:latin typeface="Cambria Math" panose="02040503050406030204" pitchFamily="18" charset="0"/>
                      </a:rPr>
                      <m:t>=</m:t>
                    </m:r>
                    <m:r>
                      <a:rPr lang="en-US" sz="1400" b="0" i="1" strike="sngStrike" baseline="0">
                        <a:solidFill>
                          <a:srgbClr val="FF0000"/>
                        </a:solidFill>
                        <a:latin typeface="Cambria Math" panose="02040503050406030204" pitchFamily="18" charset="0"/>
                      </a:rPr>
                      <m:t>𝐷𝑎𝑦</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𝑠</m:t>
                        </m:r>
                      </m:e>
                      <m:sub>
                        <m:r>
                          <a:rPr lang="en-US" sz="1400" b="0" i="1" strike="sngStrike" baseline="0">
                            <a:solidFill>
                              <a:srgbClr val="FF0000"/>
                            </a:solidFill>
                            <a:latin typeface="Cambria Math" panose="02040503050406030204" pitchFamily="18" charset="0"/>
                          </a:rPr>
                          <m:t>𝑜𝑝𝑒𝑟</m:t>
                        </m:r>
                      </m:sub>
                    </m:sSub>
                    <m:r>
                      <a:rPr lang="en-US" sz="1400" b="0" i="1" strike="sngStrike" baseline="0">
                        <a:solidFill>
                          <a:srgbClr val="FF0000"/>
                        </a:solidFill>
                        <a:latin typeface="Cambria Math" panose="02040503050406030204" pitchFamily="18" charset="0"/>
                      </a:rPr>
                      <m:t>∗</m:t>
                    </m:r>
                    <m:d>
                      <m:dPr>
                        <m:begChr m:val="{"/>
                        <m:endChr m:val="}"/>
                        <m:ctrlPr>
                          <a:rPr lang="en-US" sz="1400" b="0" i="1" strike="sngStrike" baseline="0">
                            <a:solidFill>
                              <a:srgbClr val="FF0000"/>
                            </a:solidFill>
                            <a:latin typeface="Cambria Math" panose="02040503050406030204" pitchFamily="18" charset="0"/>
                          </a:rPr>
                        </m:ctrlPr>
                      </m:dPr>
                      <m:e>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𝑠𝑠</m:t>
                                    </m:r>
                                  </m:sub>
                                </m:sSub>
                              </m:num>
                              <m:den>
                                <m:r>
                                  <a:rPr lang="en-US" sz="1400" b="0" i="1" strike="sngStrike" baseline="0">
                                    <a:solidFill>
                                      <a:srgbClr val="FF0000"/>
                                    </a:solidFill>
                                    <a:latin typeface="Cambria Math" panose="02040503050406030204" pitchFamily="18" charset="0"/>
                                  </a:rPr>
                                  <m:t>𝐷𝑎𝑦</m:t>
                                </m:r>
                              </m:den>
                            </m:f>
                          </m:e>
                        </m:d>
                        <m:r>
                          <a:rPr lang="en-US" sz="1400" b="0" i="1" strike="sngStrike" baseline="0">
                            <a:solidFill>
                              <a:srgbClr val="FF0000"/>
                            </a:solidFill>
                            <a:latin typeface="Cambria Math" panose="02040503050406030204" pitchFamily="18" charset="0"/>
                          </a:rPr>
                          <m:t>−</m:t>
                        </m:r>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𝑑𝑠</m:t>
                                    </m:r>
                                  </m:sub>
                                </m:sSub>
                              </m:num>
                              <m:den>
                                <m:r>
                                  <a:rPr lang="en-US" sz="1400" b="0" i="1" strike="sngStrike" baseline="0">
                                    <a:solidFill>
                                      <a:srgbClr val="FF0000"/>
                                    </a:solidFill>
                                    <a:latin typeface="Cambria Math" panose="02040503050406030204" pitchFamily="18" charset="0"/>
                                  </a:rPr>
                                  <m:t>𝐷𝑎𝑦</m:t>
                                </m:r>
                              </m:den>
                            </m:f>
                          </m:e>
                        </m:d>
                      </m:e>
                    </m:d>
                  </m:oMath>
                </m:oMathPara>
              </a14:m>
              <a:endParaRPr lang="en-US" sz="1400" strike="sngStrike" baseline="0">
                <a:solidFill>
                  <a:srgbClr val="FF0000"/>
                </a:solidFill>
              </a:endParaRPr>
            </a:p>
          </xdr:txBody>
        </xdr:sp>
      </mc:Choice>
      <mc:Fallback xmlns="">
        <xdr:sp macro="" textlink="">
          <xdr:nvSpPr>
            <xdr:cNvPr id="74" name="TextBox 73">
              <a:extLst>
                <a:ext uri="{FF2B5EF4-FFF2-40B4-BE49-F238E27FC236}">
                  <a16:creationId xmlns:a16="http://schemas.microsoft.com/office/drawing/2014/main" id="{34037553-2F3D-4960-B0DC-47F55A004EE6}"/>
                </a:ext>
              </a:extLst>
            </xdr:cNvPr>
            <xdr:cNvSpPr txBox="1"/>
          </xdr:nvSpPr>
          <xdr:spPr>
            <a:xfrm>
              <a:off x="2218765" y="116115353"/>
              <a:ext cx="7135247" cy="461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rgbClr val="FF0000"/>
                  </a:solidFill>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strike="sngStrike" baseline="0">
                <a:solidFill>
                  <a:srgbClr val="FF0000"/>
                </a:solidFill>
              </a:endParaRPr>
            </a:p>
          </xdr:txBody>
        </xdr:sp>
      </mc:Fallback>
    </mc:AlternateContent>
    <xdr:clientData/>
  </xdr:twoCellAnchor>
  <xdr:twoCellAnchor>
    <xdr:from>
      <xdr:col>8</xdr:col>
      <xdr:colOff>637426</xdr:colOff>
      <xdr:row>545</xdr:row>
      <xdr:rowOff>160354</xdr:rowOff>
    </xdr:from>
    <xdr:to>
      <xdr:col>14</xdr:col>
      <xdr:colOff>390785</xdr:colOff>
      <xdr:row>548</xdr:row>
      <xdr:rowOff>88190</xdr:rowOff>
    </xdr:to>
    <mc:AlternateContent xmlns:mc="http://schemas.openxmlformats.org/markup-compatibility/2006" xmlns:a14="http://schemas.microsoft.com/office/drawing/2010/main">
      <mc:Choice Requires="a14">
        <xdr:sp macro="" textlink="">
          <xdr:nvSpPr>
            <xdr:cNvPr id="76" name="TextBox 75">
              <a:extLst>
                <a:ext uri="{FF2B5EF4-FFF2-40B4-BE49-F238E27FC236}">
                  <a16:creationId xmlns:a16="http://schemas.microsoft.com/office/drawing/2014/main" id="{F0F115BB-FD8C-4F26-9B75-38E5E1987534}"/>
                </a:ext>
              </a:extLst>
            </xdr:cNvPr>
            <xdr:cNvSpPr txBox="1"/>
          </xdr:nvSpPr>
          <xdr:spPr>
            <a:xfrm>
              <a:off x="14835279" y="116275707"/>
              <a:ext cx="6555330" cy="4657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𝑑𝑠</m:t>
                                </m:r>
                              </m:sub>
                            </m:sSub>
                          </m:num>
                          <m:den>
                            <m:r>
                              <a:rPr lang="en-US" sz="1400" b="0" i="1" strike="sngStrike" baseline="0">
                                <a:solidFill>
                                  <a:srgbClr val="FF0000"/>
                                </a:solidFill>
                                <a:latin typeface="Cambria Math" panose="02040503050406030204" pitchFamily="18" charset="0"/>
                              </a:rPr>
                              <m:t>𝐷𝑎𝑦</m:t>
                            </m:r>
                          </m:den>
                        </m:f>
                      </m:e>
                    </m:d>
                    <m:r>
                      <a:rPr lang="en-US" sz="1400" b="0" i="1" strike="sngStrike" baseline="0">
                        <a:solidFill>
                          <a:srgbClr val="FF0000"/>
                        </a:solidFill>
                        <a:latin typeface="Cambria Math" panose="02040503050406030204" pitchFamily="18" charset="0"/>
                      </a:rPr>
                      <m:t>=</m:t>
                    </m:r>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h𝑠</m:t>
                                </m:r>
                              </m:sub>
                            </m:sSub>
                          </m:num>
                          <m:den>
                            <m:r>
                              <a:rPr lang="en-US" sz="1400" b="0" i="1" strike="sngStrike" baseline="0">
                                <a:solidFill>
                                  <a:srgbClr val="FF0000"/>
                                </a:solidFill>
                                <a:latin typeface="Cambria Math" panose="02040503050406030204" pitchFamily="18" charset="0"/>
                              </a:rPr>
                              <m:t>𝐷𝑎𝑦</m:t>
                            </m:r>
                          </m:den>
                        </m:f>
                      </m:e>
                    </m:d>
                    <m:r>
                      <a:rPr lang="en-US" sz="1400" b="0" i="1" strike="sngStrike" baseline="0">
                        <a:solidFill>
                          <a:srgbClr val="FF0000"/>
                        </a:solidFill>
                        <a:latin typeface="Cambria Math" panose="02040503050406030204" pitchFamily="18" charset="0"/>
                      </a:rPr>
                      <m:t>+</m:t>
                    </m:r>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𝑙𝑠</m:t>
                                </m:r>
                              </m:sub>
                            </m:sSub>
                          </m:num>
                          <m:den>
                            <m:r>
                              <a:rPr lang="en-US" sz="1400" b="0" i="1" strike="sngStrike" baseline="0">
                                <a:solidFill>
                                  <a:srgbClr val="FF0000"/>
                                </a:solidFill>
                                <a:latin typeface="Cambria Math" panose="02040503050406030204" pitchFamily="18" charset="0"/>
                              </a:rPr>
                              <m:t>𝐷𝑎𝑦</m:t>
                            </m:r>
                          </m:den>
                        </m:f>
                      </m:e>
                    </m:d>
                  </m:oMath>
                </m:oMathPara>
              </a14:m>
              <a:endParaRPr lang="en-US" sz="1400" strike="sngStrike" baseline="0">
                <a:solidFill>
                  <a:srgbClr val="FF0000"/>
                </a:solidFill>
              </a:endParaRPr>
            </a:p>
          </xdr:txBody>
        </xdr:sp>
      </mc:Choice>
      <mc:Fallback xmlns="">
        <xdr:sp macro="" textlink="">
          <xdr:nvSpPr>
            <xdr:cNvPr id="76" name="TextBox 75">
              <a:extLst>
                <a:ext uri="{FF2B5EF4-FFF2-40B4-BE49-F238E27FC236}">
                  <a16:creationId xmlns:a16="http://schemas.microsoft.com/office/drawing/2014/main" id="{F0F115BB-FD8C-4F26-9B75-38E5E1987534}"/>
                </a:ext>
              </a:extLst>
            </xdr:cNvPr>
            <xdr:cNvSpPr txBox="1"/>
          </xdr:nvSpPr>
          <xdr:spPr>
            <a:xfrm>
              <a:off x="14835279" y="116275707"/>
              <a:ext cx="6555330" cy="46571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rgbClr val="FF0000"/>
                  </a:solidFill>
                  <a:latin typeface="Cambria Math" panose="02040503050406030204" pitchFamily="18" charset="0"/>
                </a:rPr>
                <a:t>((𝑘𝑊ℎ_𝑑𝑠)/𝐷𝑎𝑦)=((𝑘𝑊ℎ_ℎ𝑠)/𝐷𝑎𝑦)+((𝑘𝑊ℎ_𝑙𝑠)/𝐷𝑎𝑦)</a:t>
              </a:r>
              <a:endParaRPr lang="en-US" sz="1400" strike="sngStrike" baseline="0">
                <a:solidFill>
                  <a:srgbClr val="FF0000"/>
                </a:solidFill>
              </a:endParaRPr>
            </a:p>
          </xdr:txBody>
        </xdr:sp>
      </mc:Fallback>
    </mc:AlternateContent>
    <xdr:clientData/>
  </xdr:twoCellAnchor>
  <xdr:twoCellAnchor>
    <xdr:from>
      <xdr:col>5</xdr:col>
      <xdr:colOff>1455682</xdr:colOff>
      <xdr:row>545</xdr:row>
      <xdr:rowOff>113255</xdr:rowOff>
    </xdr:from>
    <xdr:to>
      <xdr:col>8</xdr:col>
      <xdr:colOff>673847</xdr:colOff>
      <xdr:row>548</xdr:row>
      <xdr:rowOff>46081</xdr:rowOff>
    </xdr:to>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4E8D550C-7A14-4CA0-B899-E3028AA26BB3}"/>
                </a:ext>
              </a:extLst>
            </xdr:cNvPr>
            <xdr:cNvSpPr txBox="1"/>
          </xdr:nvSpPr>
          <xdr:spPr>
            <a:xfrm>
              <a:off x="9378241" y="116228608"/>
              <a:ext cx="5493459" cy="4707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𝑠𝑠</m:t>
                                </m:r>
                              </m:sub>
                            </m:sSub>
                          </m:num>
                          <m:den>
                            <m:r>
                              <a:rPr lang="en-US" sz="1400" b="0" i="1" strike="sngStrike" baseline="0">
                                <a:solidFill>
                                  <a:srgbClr val="FF0000"/>
                                </a:solidFill>
                                <a:latin typeface="Cambria Math" panose="02040503050406030204" pitchFamily="18" charset="0"/>
                              </a:rPr>
                              <m:t>𝐷𝑎𝑦</m:t>
                            </m:r>
                          </m:den>
                        </m:f>
                      </m:e>
                    </m:d>
                    <m:r>
                      <a:rPr lang="en-US" sz="1400" b="0" i="1" strike="sngStrike" baseline="0">
                        <a:solidFill>
                          <a:srgbClr val="FF0000"/>
                        </a:solidFill>
                        <a:latin typeface="Cambria Math" panose="02040503050406030204" pitchFamily="18" charset="0"/>
                      </a:rPr>
                      <m:t>=</m:t>
                    </m:r>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𝑅</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𝑇</m:t>
                            </m:r>
                          </m:e>
                          <m:sub>
                            <m:r>
                              <a:rPr lang="en-US" sz="1400" b="0" i="1" strike="sngStrike" baseline="0">
                                <a:solidFill>
                                  <a:srgbClr val="FF0000"/>
                                </a:solidFill>
                                <a:latin typeface="Cambria Math" panose="02040503050406030204" pitchFamily="18" charset="0"/>
                              </a:rPr>
                              <m:t>𝑠𝑠</m:t>
                            </m:r>
                          </m:sub>
                        </m:sSub>
                        <m:r>
                          <a:rPr lang="en-US" sz="1400" b="0" i="1" strike="sngStrike" baseline="0">
                            <a:solidFill>
                              <a:srgbClr val="FF0000"/>
                            </a:solidFill>
                            <a:latin typeface="Cambria Math" panose="02040503050406030204" pitchFamily="18" charset="0"/>
                          </a:rPr>
                          <m:t>∗</m:t>
                        </m:r>
                        <m:r>
                          <a:rPr lang="en-US" sz="1400" b="0" i="1" strike="sngStrike" baseline="0">
                            <a:solidFill>
                              <a:srgbClr val="FF0000"/>
                            </a:solidFill>
                            <a:latin typeface="Cambria Math" panose="02040503050406030204" pitchFamily="18" charset="0"/>
                          </a:rPr>
                          <m:t>𝐺𝑃</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𝑀</m:t>
                            </m:r>
                          </m:e>
                          <m:sub>
                            <m:r>
                              <a:rPr lang="en-US" sz="1400" b="0" i="1" strike="sngStrike" baseline="0">
                                <a:solidFill>
                                  <a:srgbClr val="FF0000"/>
                                </a:solidFill>
                                <a:latin typeface="Cambria Math" panose="02040503050406030204" pitchFamily="18" charset="0"/>
                              </a:rPr>
                              <m:t>𝑠𝑠</m:t>
                            </m:r>
                          </m:sub>
                        </m:sSub>
                        <m:r>
                          <a:rPr lang="en-US" sz="1400" b="0" i="1" strike="sngStrike" baseline="0">
                            <a:solidFill>
                              <a:srgbClr val="FF0000"/>
                            </a:solidFill>
                            <a:latin typeface="Cambria Math" panose="02040503050406030204" pitchFamily="18" charset="0"/>
                          </a:rPr>
                          <m:t>∗60</m:t>
                        </m:r>
                      </m:num>
                      <m:den>
                        <m:r>
                          <a:rPr lang="en-US" sz="1400" b="0" i="1" strike="sngStrike" baseline="0">
                            <a:solidFill>
                              <a:srgbClr val="FF0000"/>
                            </a:solidFill>
                            <a:latin typeface="Cambria Math" panose="02040503050406030204" pitchFamily="18" charset="0"/>
                          </a:rPr>
                          <m:t>𝐸</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𝐹</m:t>
                            </m:r>
                          </m:e>
                          <m:sub>
                            <m:r>
                              <a:rPr lang="en-US" sz="1400" b="0" i="1" strike="sngStrike" baseline="0">
                                <a:solidFill>
                                  <a:srgbClr val="FF0000"/>
                                </a:solidFill>
                                <a:latin typeface="Cambria Math" panose="02040503050406030204" pitchFamily="18" charset="0"/>
                              </a:rPr>
                              <m:t>𝑠𝑠</m:t>
                            </m:r>
                          </m:sub>
                        </m:sSub>
                        <m:r>
                          <a:rPr lang="en-US" sz="1400" b="0" i="1" strike="sngStrike" baseline="0">
                            <a:solidFill>
                              <a:srgbClr val="FF0000"/>
                            </a:solidFill>
                            <a:latin typeface="Cambria Math" panose="02040503050406030204" pitchFamily="18" charset="0"/>
                          </a:rPr>
                          <m:t>∗1000</m:t>
                        </m:r>
                      </m:den>
                    </m:f>
                  </m:oMath>
                </m:oMathPara>
              </a14:m>
              <a:endParaRPr lang="en-US" sz="1400" strike="sngStrike" baseline="0">
                <a:solidFill>
                  <a:srgbClr val="FF0000"/>
                </a:solidFill>
              </a:endParaRPr>
            </a:p>
          </xdr:txBody>
        </xdr:sp>
      </mc:Choice>
      <mc:Fallback xmlns="">
        <xdr:sp macro="" textlink="">
          <xdr:nvSpPr>
            <xdr:cNvPr id="77" name="TextBox 76">
              <a:extLst>
                <a:ext uri="{FF2B5EF4-FFF2-40B4-BE49-F238E27FC236}">
                  <a16:creationId xmlns:a16="http://schemas.microsoft.com/office/drawing/2014/main" id="{4E8D550C-7A14-4CA0-B899-E3028AA26BB3}"/>
                </a:ext>
              </a:extLst>
            </xdr:cNvPr>
            <xdr:cNvSpPr txBox="1"/>
          </xdr:nvSpPr>
          <xdr:spPr>
            <a:xfrm>
              <a:off x="9378241" y="116228608"/>
              <a:ext cx="5493459" cy="47070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rgbClr val="FF0000"/>
                  </a:solidFill>
                  <a:latin typeface="Cambria Math" panose="02040503050406030204" pitchFamily="18" charset="0"/>
                </a:rPr>
                <a:t>((𝑘𝑊ℎ_𝑠𝑠)/𝐷𝑎𝑦)=(𝑅𝑇_𝑠𝑠∗𝐺𝑃𝑀_𝑠𝑠∗60)/(𝐸𝐹_𝑠𝑠∗1000)</a:t>
              </a:r>
              <a:endParaRPr lang="en-US" sz="1400" strike="sngStrike" baseline="0">
                <a:solidFill>
                  <a:srgbClr val="FF0000"/>
                </a:solidFill>
              </a:endParaRPr>
            </a:p>
          </xdr:txBody>
        </xdr:sp>
      </mc:Fallback>
    </mc:AlternateContent>
    <xdr:clientData/>
  </xdr:twoCellAnchor>
  <xdr:twoCellAnchor>
    <xdr:from>
      <xdr:col>8</xdr:col>
      <xdr:colOff>844722</xdr:colOff>
      <xdr:row>550</xdr:row>
      <xdr:rowOff>38490</xdr:rowOff>
    </xdr:from>
    <xdr:to>
      <xdr:col>13</xdr:col>
      <xdr:colOff>949512</xdr:colOff>
      <xdr:row>552</xdr:row>
      <xdr:rowOff>132727</xdr:rowOff>
    </xdr:to>
    <mc:AlternateContent xmlns:mc="http://schemas.openxmlformats.org/markup-compatibility/2006" xmlns:a14="http://schemas.microsoft.com/office/drawing/2010/main">
      <mc:Choice Requires="a14">
        <xdr:sp macro="" textlink="">
          <xdr:nvSpPr>
            <xdr:cNvPr id="78" name="TextBox 77">
              <a:extLst>
                <a:ext uri="{FF2B5EF4-FFF2-40B4-BE49-F238E27FC236}">
                  <a16:creationId xmlns:a16="http://schemas.microsoft.com/office/drawing/2014/main" id="{63B54652-A46A-4A2E-9767-52E617C80B83}"/>
                </a:ext>
              </a:extLst>
            </xdr:cNvPr>
            <xdr:cNvSpPr txBox="1"/>
          </xdr:nvSpPr>
          <xdr:spPr>
            <a:xfrm>
              <a:off x="15042575" y="117050314"/>
              <a:ext cx="5887025" cy="4528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𝑙𝑠</m:t>
                                </m:r>
                              </m:sub>
                            </m:sSub>
                          </m:num>
                          <m:den>
                            <m:r>
                              <a:rPr lang="en-US" sz="1400" b="0" i="1" strike="sngStrike" baseline="0">
                                <a:solidFill>
                                  <a:srgbClr val="FF0000"/>
                                </a:solidFill>
                                <a:latin typeface="Cambria Math" panose="02040503050406030204" pitchFamily="18" charset="0"/>
                              </a:rPr>
                              <m:t>𝐷𝑎𝑦</m:t>
                            </m:r>
                          </m:den>
                        </m:f>
                      </m:e>
                    </m:d>
                    <m:r>
                      <a:rPr lang="en-US" sz="1400" b="0" i="1" strike="sngStrike" baseline="0">
                        <a:solidFill>
                          <a:srgbClr val="FF0000"/>
                        </a:solidFill>
                        <a:latin typeface="Cambria Math" panose="02040503050406030204" pitchFamily="18" charset="0"/>
                      </a:rPr>
                      <m:t>=</m:t>
                    </m:r>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𝑅</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𝑇</m:t>
                            </m:r>
                          </m:e>
                          <m:sub>
                            <m:r>
                              <a:rPr lang="en-US" sz="1400" b="0" i="1" strike="sngStrike" baseline="0">
                                <a:solidFill>
                                  <a:srgbClr val="FF0000"/>
                                </a:solidFill>
                                <a:latin typeface="Cambria Math" panose="02040503050406030204" pitchFamily="18" charset="0"/>
                              </a:rPr>
                              <m:t>𝑙𝑠</m:t>
                            </m:r>
                          </m:sub>
                        </m:sSub>
                        <m:r>
                          <a:rPr lang="en-US" sz="1400" b="0" i="1" strike="sngStrike" baseline="0">
                            <a:solidFill>
                              <a:srgbClr val="FF0000"/>
                            </a:solidFill>
                            <a:latin typeface="Cambria Math" panose="02040503050406030204" pitchFamily="18" charset="0"/>
                          </a:rPr>
                          <m:t>∗</m:t>
                        </m:r>
                        <m:r>
                          <a:rPr lang="en-US" sz="1400" b="0" i="1" strike="sngStrike" baseline="0">
                            <a:solidFill>
                              <a:srgbClr val="FF0000"/>
                            </a:solidFill>
                            <a:latin typeface="Cambria Math" panose="02040503050406030204" pitchFamily="18" charset="0"/>
                          </a:rPr>
                          <m:t>𝐺𝑃</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𝑀</m:t>
                            </m:r>
                          </m:e>
                          <m:sub>
                            <m:r>
                              <a:rPr lang="en-US" sz="1400" b="0" i="1" strike="sngStrike" baseline="0">
                                <a:solidFill>
                                  <a:srgbClr val="FF0000"/>
                                </a:solidFill>
                                <a:latin typeface="Cambria Math" panose="02040503050406030204" pitchFamily="18" charset="0"/>
                              </a:rPr>
                              <m:t>𝑙𝑠</m:t>
                            </m:r>
                          </m:sub>
                        </m:sSub>
                        <m:r>
                          <a:rPr lang="en-US" sz="1400" b="0" i="1" strike="sngStrike" baseline="0">
                            <a:solidFill>
                              <a:srgbClr val="FF0000"/>
                            </a:solidFill>
                            <a:latin typeface="Cambria Math" panose="02040503050406030204" pitchFamily="18" charset="0"/>
                          </a:rPr>
                          <m:t>∗60</m:t>
                        </m:r>
                      </m:num>
                      <m:den>
                        <m:r>
                          <a:rPr lang="en-US" sz="1400" b="0" i="1" strike="sngStrike" baseline="0">
                            <a:solidFill>
                              <a:srgbClr val="FF0000"/>
                            </a:solidFill>
                            <a:latin typeface="Cambria Math" panose="02040503050406030204" pitchFamily="18" charset="0"/>
                          </a:rPr>
                          <m:t>𝐸</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𝐹</m:t>
                            </m:r>
                          </m:e>
                          <m:sub>
                            <m:r>
                              <a:rPr lang="en-US" sz="1400" b="0" i="1" strike="sngStrike" baseline="0">
                                <a:solidFill>
                                  <a:srgbClr val="FF0000"/>
                                </a:solidFill>
                                <a:latin typeface="Cambria Math" panose="02040503050406030204" pitchFamily="18" charset="0"/>
                              </a:rPr>
                              <m:t>𝑙𝑠</m:t>
                            </m:r>
                          </m:sub>
                        </m:sSub>
                        <m:r>
                          <a:rPr lang="en-US" sz="1400" b="0" i="1" strike="sngStrike" baseline="0">
                            <a:solidFill>
                              <a:srgbClr val="FF0000"/>
                            </a:solidFill>
                            <a:latin typeface="Cambria Math" panose="02040503050406030204" pitchFamily="18" charset="0"/>
                          </a:rPr>
                          <m:t>∗1000</m:t>
                        </m:r>
                      </m:den>
                    </m:f>
                  </m:oMath>
                </m:oMathPara>
              </a14:m>
              <a:endParaRPr lang="en-US" sz="1400" strike="sngStrike" baseline="0">
                <a:solidFill>
                  <a:srgbClr val="FF0000"/>
                </a:solidFill>
              </a:endParaRPr>
            </a:p>
          </xdr:txBody>
        </xdr:sp>
      </mc:Choice>
      <mc:Fallback xmlns="">
        <xdr:sp macro="" textlink="">
          <xdr:nvSpPr>
            <xdr:cNvPr id="78" name="TextBox 77">
              <a:extLst>
                <a:ext uri="{FF2B5EF4-FFF2-40B4-BE49-F238E27FC236}">
                  <a16:creationId xmlns:a16="http://schemas.microsoft.com/office/drawing/2014/main" id="{63B54652-A46A-4A2E-9767-52E617C80B83}"/>
                </a:ext>
              </a:extLst>
            </xdr:cNvPr>
            <xdr:cNvSpPr txBox="1"/>
          </xdr:nvSpPr>
          <xdr:spPr>
            <a:xfrm>
              <a:off x="15042575" y="117050314"/>
              <a:ext cx="5887025" cy="4528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rgbClr val="FF0000"/>
                  </a:solidFill>
                  <a:latin typeface="Cambria Math" panose="02040503050406030204" pitchFamily="18" charset="0"/>
                </a:rPr>
                <a:t>((𝑘𝑊ℎ_𝑙𝑠)/𝐷𝑎𝑦)=(𝑅𝑇_𝑙𝑠∗𝐺𝑃𝑀_𝑙𝑠∗60)/(𝐸𝐹_𝑙𝑠∗1000)</a:t>
              </a:r>
              <a:endParaRPr lang="en-US" sz="1400" strike="sngStrike" baseline="0">
                <a:solidFill>
                  <a:srgbClr val="FF0000"/>
                </a:solidFill>
              </a:endParaRPr>
            </a:p>
          </xdr:txBody>
        </xdr:sp>
      </mc:Fallback>
    </mc:AlternateContent>
    <xdr:clientData/>
  </xdr:twoCellAnchor>
  <xdr:twoCellAnchor>
    <xdr:from>
      <xdr:col>5</xdr:col>
      <xdr:colOff>1950644</xdr:colOff>
      <xdr:row>550</xdr:row>
      <xdr:rowOff>38544</xdr:rowOff>
    </xdr:from>
    <xdr:to>
      <xdr:col>8</xdr:col>
      <xdr:colOff>238838</xdr:colOff>
      <xdr:row>553</xdr:row>
      <xdr:rowOff>19564</xdr:rowOff>
    </xdr:to>
    <mc:AlternateContent xmlns:mc="http://schemas.openxmlformats.org/markup-compatibility/2006" xmlns:a14="http://schemas.microsoft.com/office/drawing/2010/main">
      <mc:Choice Requires="a14">
        <xdr:sp macro="" textlink="">
          <xdr:nvSpPr>
            <xdr:cNvPr id="79" name="TextBox 78">
              <a:extLst>
                <a:ext uri="{FF2B5EF4-FFF2-40B4-BE49-F238E27FC236}">
                  <a16:creationId xmlns:a16="http://schemas.microsoft.com/office/drawing/2014/main" id="{B0F9A142-491D-4C5F-8841-5DB7DE74766A}"/>
                </a:ext>
              </a:extLst>
            </xdr:cNvPr>
            <xdr:cNvSpPr txBox="1"/>
          </xdr:nvSpPr>
          <xdr:spPr>
            <a:xfrm>
              <a:off x="9873203" y="117050368"/>
              <a:ext cx="4563488" cy="518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strike="sngStrike" baseline="0">
                            <a:solidFill>
                              <a:srgbClr val="FF0000"/>
                            </a:solidFill>
                            <a:latin typeface="Cambria Math" panose="02040503050406030204" pitchFamily="18" charset="0"/>
                          </a:rPr>
                        </m:ctrlPr>
                      </m:dPr>
                      <m:e>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𝑘𝑊</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h</m:t>
                                </m:r>
                              </m:e>
                              <m:sub>
                                <m:r>
                                  <a:rPr lang="en-US" sz="1400" b="0" i="1" strike="sngStrike" baseline="0">
                                    <a:solidFill>
                                      <a:srgbClr val="FF0000"/>
                                    </a:solidFill>
                                    <a:latin typeface="Cambria Math" panose="02040503050406030204" pitchFamily="18" charset="0"/>
                                  </a:rPr>
                                  <m:t>h𝑠</m:t>
                                </m:r>
                              </m:sub>
                            </m:sSub>
                          </m:num>
                          <m:den>
                            <m:r>
                              <a:rPr lang="en-US" sz="1400" b="0" i="1" strike="sngStrike" baseline="0">
                                <a:solidFill>
                                  <a:srgbClr val="FF0000"/>
                                </a:solidFill>
                                <a:latin typeface="Cambria Math" panose="02040503050406030204" pitchFamily="18" charset="0"/>
                              </a:rPr>
                              <m:t>𝐷𝑎𝑦</m:t>
                            </m:r>
                          </m:den>
                        </m:f>
                      </m:e>
                    </m:d>
                    <m:r>
                      <a:rPr lang="en-US" sz="1400" b="0" i="1" strike="sngStrike" baseline="0">
                        <a:solidFill>
                          <a:srgbClr val="FF0000"/>
                        </a:solidFill>
                        <a:latin typeface="Cambria Math" panose="02040503050406030204" pitchFamily="18" charset="0"/>
                      </a:rPr>
                      <m:t>=</m:t>
                    </m:r>
                    <m:f>
                      <m:fPr>
                        <m:ctrlPr>
                          <a:rPr lang="en-US" sz="1400" b="0" i="1" strike="sngStrike" baseline="0">
                            <a:solidFill>
                              <a:srgbClr val="FF0000"/>
                            </a:solidFill>
                            <a:latin typeface="Cambria Math" panose="02040503050406030204" pitchFamily="18" charset="0"/>
                          </a:rPr>
                        </m:ctrlPr>
                      </m:fPr>
                      <m:num>
                        <m:r>
                          <a:rPr lang="en-US" sz="1400" b="0" i="1" strike="sngStrike" baseline="0">
                            <a:solidFill>
                              <a:srgbClr val="FF0000"/>
                            </a:solidFill>
                            <a:latin typeface="Cambria Math" panose="02040503050406030204" pitchFamily="18" charset="0"/>
                          </a:rPr>
                          <m:t>𝑅</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𝑇</m:t>
                            </m:r>
                          </m:e>
                          <m:sub>
                            <m:r>
                              <a:rPr lang="en-US" sz="1400" b="0" i="1" strike="sngStrike" baseline="0">
                                <a:solidFill>
                                  <a:srgbClr val="FF0000"/>
                                </a:solidFill>
                                <a:latin typeface="Cambria Math" panose="02040503050406030204" pitchFamily="18" charset="0"/>
                              </a:rPr>
                              <m:t>h𝑠</m:t>
                            </m:r>
                          </m:sub>
                        </m:sSub>
                        <m:r>
                          <a:rPr lang="en-US" sz="1400" b="0" i="1" strike="sngStrike" baseline="0">
                            <a:solidFill>
                              <a:srgbClr val="FF0000"/>
                            </a:solidFill>
                            <a:latin typeface="Cambria Math" panose="02040503050406030204" pitchFamily="18" charset="0"/>
                          </a:rPr>
                          <m:t>∗</m:t>
                        </m:r>
                        <m:r>
                          <a:rPr lang="en-US" sz="1400" b="0" i="1" strike="sngStrike" baseline="0">
                            <a:solidFill>
                              <a:srgbClr val="FF0000"/>
                            </a:solidFill>
                            <a:latin typeface="Cambria Math" panose="02040503050406030204" pitchFamily="18" charset="0"/>
                          </a:rPr>
                          <m:t>𝐺𝑃</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𝑀</m:t>
                            </m:r>
                          </m:e>
                          <m:sub>
                            <m:r>
                              <a:rPr lang="en-US" sz="1400" b="0" i="1" strike="sngStrike" baseline="0">
                                <a:solidFill>
                                  <a:srgbClr val="FF0000"/>
                                </a:solidFill>
                                <a:latin typeface="Cambria Math" panose="02040503050406030204" pitchFamily="18" charset="0"/>
                              </a:rPr>
                              <m:t>h𝑠</m:t>
                            </m:r>
                          </m:sub>
                        </m:sSub>
                        <m:r>
                          <a:rPr lang="en-US" sz="1400" b="0" i="1" strike="sngStrike" baseline="0">
                            <a:solidFill>
                              <a:srgbClr val="FF0000"/>
                            </a:solidFill>
                            <a:latin typeface="Cambria Math" panose="02040503050406030204" pitchFamily="18" charset="0"/>
                          </a:rPr>
                          <m:t>∗60</m:t>
                        </m:r>
                      </m:num>
                      <m:den>
                        <m:r>
                          <a:rPr lang="en-US" sz="1400" b="0" i="1" strike="sngStrike" baseline="0">
                            <a:solidFill>
                              <a:srgbClr val="FF0000"/>
                            </a:solidFill>
                            <a:latin typeface="Cambria Math" panose="02040503050406030204" pitchFamily="18" charset="0"/>
                          </a:rPr>
                          <m:t>𝐸</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𝐹</m:t>
                            </m:r>
                          </m:e>
                          <m:sub>
                            <m:r>
                              <a:rPr lang="en-US" sz="1400" b="0" i="1" strike="sngStrike" baseline="0">
                                <a:solidFill>
                                  <a:srgbClr val="FF0000"/>
                                </a:solidFill>
                                <a:latin typeface="Cambria Math" panose="02040503050406030204" pitchFamily="18" charset="0"/>
                              </a:rPr>
                              <m:t>h𝑠</m:t>
                            </m:r>
                          </m:sub>
                        </m:sSub>
                        <m:r>
                          <a:rPr lang="en-US" sz="1400" b="0" i="1" strike="sngStrike" baseline="0">
                            <a:solidFill>
                              <a:srgbClr val="FF0000"/>
                            </a:solidFill>
                            <a:latin typeface="Cambria Math" panose="02040503050406030204" pitchFamily="18" charset="0"/>
                          </a:rPr>
                          <m:t>∗1000</m:t>
                        </m:r>
                      </m:den>
                    </m:f>
                  </m:oMath>
                </m:oMathPara>
              </a14:m>
              <a:endParaRPr lang="en-US" sz="1400" strike="sngStrike" baseline="0">
                <a:solidFill>
                  <a:srgbClr val="FF0000"/>
                </a:solidFill>
              </a:endParaRPr>
            </a:p>
          </xdr:txBody>
        </xdr:sp>
      </mc:Choice>
      <mc:Fallback xmlns="">
        <xdr:sp macro="" textlink="">
          <xdr:nvSpPr>
            <xdr:cNvPr id="79" name="TextBox 78">
              <a:extLst>
                <a:ext uri="{FF2B5EF4-FFF2-40B4-BE49-F238E27FC236}">
                  <a16:creationId xmlns:a16="http://schemas.microsoft.com/office/drawing/2014/main" id="{B0F9A142-491D-4C5F-8841-5DB7DE74766A}"/>
                </a:ext>
              </a:extLst>
            </xdr:cNvPr>
            <xdr:cNvSpPr txBox="1"/>
          </xdr:nvSpPr>
          <xdr:spPr>
            <a:xfrm>
              <a:off x="9873203" y="117050368"/>
              <a:ext cx="4563488" cy="518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strike="sngStrike" baseline="0">
                  <a:solidFill>
                    <a:srgbClr val="FF0000"/>
                  </a:solidFill>
                  <a:latin typeface="Cambria Math" panose="02040503050406030204" pitchFamily="18" charset="0"/>
                </a:rPr>
                <a:t>((𝑘𝑊ℎ_ℎ𝑠)/𝐷𝑎𝑦)=(𝑅𝑇_ℎ𝑠∗𝐺𝑃𝑀_ℎ𝑠∗60)/(𝐸𝐹_ℎ𝑠∗1000)</a:t>
              </a:r>
              <a:endParaRPr lang="en-US" sz="1400" strike="sngStrike" baseline="0">
                <a:solidFill>
                  <a:srgbClr val="FF0000"/>
                </a:solidFill>
              </a:endParaRPr>
            </a:p>
          </xdr:txBody>
        </xdr:sp>
      </mc:Fallback>
    </mc:AlternateContent>
    <xdr:clientData/>
  </xdr:twoCellAnchor>
  <xdr:twoCellAnchor>
    <xdr:from>
      <xdr:col>3</xdr:col>
      <xdr:colOff>870510</xdr:colOff>
      <xdr:row>555</xdr:row>
      <xdr:rowOff>112460</xdr:rowOff>
    </xdr:from>
    <xdr:to>
      <xdr:col>4</xdr:col>
      <xdr:colOff>4285167</xdr:colOff>
      <xdr:row>559</xdr:row>
      <xdr:rowOff>35251</xdr:rowOff>
    </xdr:to>
    <mc:AlternateContent xmlns:mc="http://schemas.openxmlformats.org/markup-compatibility/2006" xmlns:a14="http://schemas.microsoft.com/office/drawing/2010/main">
      <mc:Choice Requires="a14">
        <xdr:sp macro="" textlink="">
          <xdr:nvSpPr>
            <xdr:cNvPr id="80" name="TextBox 79">
              <a:extLst>
                <a:ext uri="{FF2B5EF4-FFF2-40B4-BE49-F238E27FC236}">
                  <a16:creationId xmlns:a16="http://schemas.microsoft.com/office/drawing/2014/main" id="{4556BE35-AE41-46B1-B2E7-3FB736FDE2EA}"/>
                </a:ext>
              </a:extLst>
            </xdr:cNvPr>
            <xdr:cNvSpPr txBox="1"/>
          </xdr:nvSpPr>
          <xdr:spPr>
            <a:xfrm>
              <a:off x="3089275" y="118020754"/>
              <a:ext cx="4725745" cy="6399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rgbClr val="FF0000"/>
                        </a:solidFill>
                        <a:latin typeface="Cambria Math" panose="02040503050406030204" pitchFamily="18" charset="0"/>
                        <a:ea typeface="Cambria Math" panose="02040503050406030204" pitchFamily="18" charset="0"/>
                      </a:rPr>
                      <m:t>∆</m:t>
                    </m:r>
                    <m:r>
                      <a:rPr lang="en-US" sz="1200" b="0" i="1">
                        <a:solidFill>
                          <a:srgbClr val="FF0000"/>
                        </a:solidFill>
                        <a:latin typeface="Cambria Math" panose="02040503050406030204" pitchFamily="18" charset="0"/>
                        <a:ea typeface="Cambria Math" panose="02040503050406030204" pitchFamily="18" charset="0"/>
                      </a:rPr>
                      <m:t>𝑘𝑊h</m:t>
                    </m:r>
                    <m:r>
                      <a:rPr lang="en-US" sz="1200" b="0" i="1">
                        <a:solidFill>
                          <a:srgbClr val="FF0000"/>
                        </a:solidFill>
                        <a:latin typeface="Cambria Math" panose="02040503050406030204" pitchFamily="18" charset="0"/>
                        <a:ea typeface="Cambria Math" panose="02040503050406030204" pitchFamily="18" charset="0"/>
                      </a:rPr>
                      <m:t>=</m:t>
                    </m:r>
                    <m:f>
                      <m:fPr>
                        <m:ctrlPr>
                          <a:rPr lang="en-US" sz="1200" i="1">
                            <a:solidFill>
                              <a:srgbClr val="FF0000"/>
                            </a:solidFill>
                            <a:effectLst/>
                            <a:latin typeface="Cambria Math" panose="02040503050406030204" pitchFamily="18" charset="0"/>
                            <a:ea typeface="+mn-ea"/>
                            <a:cs typeface="+mn-cs"/>
                          </a:rPr>
                        </m:ctrlPr>
                      </m:fPr>
                      <m:num>
                        <m:d>
                          <m:dPr>
                            <m:ctrlPr>
                              <a:rPr lang="en-US" sz="1200" i="1">
                                <a:solidFill>
                                  <a:srgbClr val="FF0000"/>
                                </a:solidFill>
                                <a:effectLst/>
                                <a:latin typeface="Cambria Math" panose="02040503050406030204" pitchFamily="18" charset="0"/>
                                <a:ea typeface="+mn-ea"/>
                                <a:cs typeface="+mn-cs"/>
                              </a:rPr>
                            </m:ctrlPr>
                          </m:dPr>
                          <m:e>
                            <m:r>
                              <a:rPr lang="en-US" sz="1200" i="1">
                                <a:solidFill>
                                  <a:srgbClr val="FF0000"/>
                                </a:solidFill>
                                <a:effectLst/>
                                <a:latin typeface="Cambria Math" panose="02040503050406030204" pitchFamily="18" charset="0"/>
                                <a:ea typeface="+mn-ea"/>
                                <a:cs typeface="+mn-cs"/>
                              </a:rPr>
                              <m:t>𝐺𝑎𝑙𝑙𝑜𝑛𝑠</m:t>
                            </m:r>
                            <m:r>
                              <a:rPr lang="en-US" sz="1200" i="1">
                                <a:solidFill>
                                  <a:srgbClr val="FF0000"/>
                                </a:solidFill>
                                <a:effectLst/>
                                <a:latin typeface="Cambria Math" panose="02040503050406030204" pitchFamily="18" charset="0"/>
                                <a:ea typeface="+mn-ea"/>
                                <a:cs typeface="+mn-cs"/>
                              </a:rPr>
                              <m:t>∗</m:t>
                            </m:r>
                            <m:r>
                              <a:rPr lang="en-US" sz="1200" i="1">
                                <a:solidFill>
                                  <a:srgbClr val="FF0000"/>
                                </a:solidFill>
                                <a:effectLst/>
                                <a:latin typeface="Cambria Math" panose="02040503050406030204" pitchFamily="18" charset="0"/>
                                <a:ea typeface="+mn-ea"/>
                                <a:cs typeface="+mn-cs"/>
                              </a:rPr>
                              <m:t>𝑇𝑢𝑟𝑛𝑜𝑣𝑒𝑟𝑠</m:t>
                            </m:r>
                            <m:r>
                              <a:rPr lang="en-US" sz="1200" i="1">
                                <a:solidFill>
                                  <a:srgbClr val="FF0000"/>
                                </a:solidFill>
                                <a:effectLst/>
                                <a:latin typeface="Cambria Math" panose="02040503050406030204" pitchFamily="18" charset="0"/>
                                <a:ea typeface="+mn-ea"/>
                                <a:cs typeface="+mn-cs"/>
                              </a:rPr>
                              <m:t>∗</m:t>
                            </m:r>
                            <m:d>
                              <m:dPr>
                                <m:ctrlPr>
                                  <a:rPr lang="en-US" sz="1200" i="1">
                                    <a:solidFill>
                                      <a:srgbClr val="FF0000"/>
                                    </a:solidFill>
                                    <a:effectLst/>
                                    <a:latin typeface="Cambria Math" panose="02040503050406030204" pitchFamily="18" charset="0"/>
                                    <a:ea typeface="+mn-ea"/>
                                    <a:cs typeface="+mn-cs"/>
                                  </a:rPr>
                                </m:ctrlPr>
                              </m:dPr>
                              <m:e>
                                <m:f>
                                  <m:fPr>
                                    <m:ctrlPr>
                                      <a:rPr lang="en-US" sz="1200" i="1">
                                        <a:solidFill>
                                          <a:srgbClr val="FF0000"/>
                                        </a:solidFill>
                                        <a:effectLst/>
                                        <a:latin typeface="Cambria Math" panose="02040503050406030204" pitchFamily="18" charset="0"/>
                                        <a:ea typeface="+mn-ea"/>
                                        <a:cs typeface="+mn-cs"/>
                                      </a:rPr>
                                    </m:ctrlPr>
                                  </m:fPr>
                                  <m:num>
                                    <m:r>
                                      <a:rPr lang="en-US" sz="1200" i="1">
                                        <a:solidFill>
                                          <a:srgbClr val="FF0000"/>
                                        </a:solidFill>
                                        <a:effectLst/>
                                        <a:latin typeface="Cambria Math" panose="02040503050406030204" pitchFamily="18" charset="0"/>
                                        <a:ea typeface="+mn-ea"/>
                                        <a:cs typeface="+mn-cs"/>
                                      </a:rPr>
                                      <m:t>1</m:t>
                                    </m:r>
                                  </m:num>
                                  <m:den>
                                    <m:r>
                                      <a:rPr lang="en-US" sz="1200" i="1">
                                        <a:solidFill>
                                          <a:srgbClr val="FF0000"/>
                                        </a:solidFill>
                                        <a:effectLst/>
                                        <a:latin typeface="Cambria Math" panose="02040503050406030204" pitchFamily="18" charset="0"/>
                                        <a:ea typeface="+mn-ea"/>
                                        <a:cs typeface="+mn-cs"/>
                                      </a:rPr>
                                      <m:t>𝑊𝐸</m:t>
                                    </m:r>
                                    <m:sSub>
                                      <m:sSubPr>
                                        <m:ctrlPr>
                                          <a:rPr lang="en-US" sz="1200" i="1">
                                            <a:solidFill>
                                              <a:srgbClr val="FF0000"/>
                                            </a:solidFill>
                                            <a:effectLst/>
                                            <a:latin typeface="Cambria Math" panose="02040503050406030204" pitchFamily="18" charset="0"/>
                                            <a:ea typeface="+mn-ea"/>
                                            <a:cs typeface="+mn-cs"/>
                                          </a:rPr>
                                        </m:ctrlPr>
                                      </m:sSubPr>
                                      <m:e>
                                        <m:r>
                                          <a:rPr lang="en-US" sz="1200" i="1">
                                            <a:solidFill>
                                              <a:srgbClr val="FF0000"/>
                                            </a:solidFill>
                                            <a:effectLst/>
                                            <a:latin typeface="Cambria Math" panose="02040503050406030204" pitchFamily="18" charset="0"/>
                                            <a:ea typeface="+mn-ea"/>
                                            <a:cs typeface="+mn-cs"/>
                                          </a:rPr>
                                          <m:t>𝐹</m:t>
                                        </m:r>
                                      </m:e>
                                      <m:sub>
                                        <m:r>
                                          <a:rPr lang="en-US" sz="1200" i="1">
                                            <a:solidFill>
                                              <a:srgbClr val="FF0000"/>
                                            </a:solidFill>
                                            <a:effectLst/>
                                            <a:latin typeface="Cambria Math" panose="02040503050406030204" pitchFamily="18" charset="0"/>
                                            <a:ea typeface="+mn-ea"/>
                                            <a:cs typeface="+mn-cs"/>
                                          </a:rPr>
                                          <m:t>𝑏𝑎𝑠𝑒</m:t>
                                        </m:r>
                                      </m:sub>
                                    </m:sSub>
                                  </m:den>
                                </m:f>
                                <m:r>
                                  <a:rPr lang="en-US" sz="1200" i="1">
                                    <a:solidFill>
                                      <a:srgbClr val="FF0000"/>
                                    </a:solidFill>
                                    <a:effectLst/>
                                    <a:latin typeface="Cambria Math" panose="02040503050406030204" pitchFamily="18" charset="0"/>
                                    <a:ea typeface="+mn-ea"/>
                                    <a:cs typeface="+mn-cs"/>
                                  </a:rPr>
                                  <m:t>−</m:t>
                                </m:r>
                                <m:f>
                                  <m:fPr>
                                    <m:ctrlPr>
                                      <a:rPr lang="en-US" sz="1200" i="1">
                                        <a:solidFill>
                                          <a:srgbClr val="FF0000"/>
                                        </a:solidFill>
                                        <a:effectLst/>
                                        <a:latin typeface="Cambria Math" panose="02040503050406030204" pitchFamily="18" charset="0"/>
                                        <a:ea typeface="+mn-ea"/>
                                        <a:cs typeface="+mn-cs"/>
                                      </a:rPr>
                                    </m:ctrlPr>
                                  </m:fPr>
                                  <m:num>
                                    <m:r>
                                      <a:rPr lang="en-US" sz="1200" i="1">
                                        <a:solidFill>
                                          <a:srgbClr val="FF0000"/>
                                        </a:solidFill>
                                        <a:effectLst/>
                                        <a:latin typeface="Cambria Math" panose="02040503050406030204" pitchFamily="18" charset="0"/>
                                        <a:ea typeface="+mn-ea"/>
                                        <a:cs typeface="+mn-cs"/>
                                      </a:rPr>
                                      <m:t>1</m:t>
                                    </m:r>
                                  </m:num>
                                  <m:den>
                                    <m:r>
                                      <a:rPr lang="en-US" sz="1200" i="1">
                                        <a:solidFill>
                                          <a:srgbClr val="FF0000"/>
                                        </a:solidFill>
                                        <a:effectLst/>
                                        <a:latin typeface="Cambria Math" panose="02040503050406030204" pitchFamily="18" charset="0"/>
                                        <a:ea typeface="+mn-ea"/>
                                        <a:cs typeface="+mn-cs"/>
                                      </a:rPr>
                                      <m:t>𝑊𝐸</m:t>
                                    </m:r>
                                    <m:sSub>
                                      <m:sSubPr>
                                        <m:ctrlPr>
                                          <a:rPr lang="en-US" sz="1200" i="1">
                                            <a:solidFill>
                                              <a:srgbClr val="FF0000"/>
                                            </a:solidFill>
                                            <a:effectLst/>
                                            <a:latin typeface="Cambria Math" panose="02040503050406030204" pitchFamily="18" charset="0"/>
                                            <a:ea typeface="+mn-ea"/>
                                            <a:cs typeface="+mn-cs"/>
                                          </a:rPr>
                                        </m:ctrlPr>
                                      </m:sSubPr>
                                      <m:e>
                                        <m:r>
                                          <a:rPr lang="en-US" sz="1200" i="1">
                                            <a:solidFill>
                                              <a:srgbClr val="FF0000"/>
                                            </a:solidFill>
                                            <a:effectLst/>
                                            <a:latin typeface="Cambria Math" panose="02040503050406030204" pitchFamily="18" charset="0"/>
                                            <a:ea typeface="+mn-ea"/>
                                            <a:cs typeface="+mn-cs"/>
                                          </a:rPr>
                                          <m:t>𝐹</m:t>
                                        </m:r>
                                      </m:e>
                                      <m:sub>
                                        <m:r>
                                          <a:rPr lang="en-US" sz="1200" b="0" i="1">
                                            <a:solidFill>
                                              <a:srgbClr val="FF0000"/>
                                            </a:solidFill>
                                            <a:effectLst/>
                                            <a:latin typeface="Cambria Math" panose="02040503050406030204" pitchFamily="18" charset="0"/>
                                            <a:ea typeface="+mn-ea"/>
                                            <a:cs typeface="+mn-cs"/>
                                          </a:rPr>
                                          <m:t>𝑒𝑒</m:t>
                                        </m:r>
                                      </m:sub>
                                    </m:sSub>
                                  </m:den>
                                </m:f>
                              </m:e>
                            </m:d>
                            <m:r>
                              <a:rPr lang="en-US" sz="1200" i="1">
                                <a:solidFill>
                                  <a:srgbClr val="FF0000"/>
                                </a:solidFill>
                                <a:effectLst/>
                                <a:latin typeface="Cambria Math" panose="02040503050406030204" pitchFamily="18" charset="0"/>
                                <a:ea typeface="+mn-ea"/>
                                <a:cs typeface="+mn-cs"/>
                              </a:rPr>
                              <m:t>∗</m:t>
                            </m:r>
                            <m:r>
                              <a:rPr lang="en-US" sz="1200" i="1">
                                <a:solidFill>
                                  <a:srgbClr val="FF0000"/>
                                </a:solidFill>
                                <a:effectLst/>
                                <a:latin typeface="Cambria Math" panose="02040503050406030204" pitchFamily="18" charset="0"/>
                                <a:ea typeface="+mn-ea"/>
                                <a:cs typeface="+mn-cs"/>
                              </a:rPr>
                              <m:t>𝐷𝑎𝑦𝑠</m:t>
                            </m:r>
                          </m:e>
                        </m:d>
                      </m:num>
                      <m:den>
                        <m:r>
                          <a:rPr lang="en-US" sz="1200" i="1">
                            <a:solidFill>
                              <a:srgbClr val="FF0000"/>
                            </a:solidFill>
                            <a:effectLst/>
                            <a:latin typeface="Cambria Math" panose="02040503050406030204" pitchFamily="18" charset="0"/>
                            <a:ea typeface="+mn-ea"/>
                            <a:cs typeface="+mn-cs"/>
                          </a:rPr>
                          <m:t>1,000</m:t>
                        </m:r>
                      </m:den>
                    </m:f>
                  </m:oMath>
                </m:oMathPara>
              </a14:m>
              <a:endParaRPr lang="en-US" sz="1200">
                <a:solidFill>
                  <a:srgbClr val="FF0000"/>
                </a:solidFill>
                <a:effectLst/>
                <a:latin typeface="+mn-lt"/>
                <a:ea typeface="+mn-ea"/>
                <a:cs typeface="+mn-cs"/>
              </a:endParaRPr>
            </a:p>
            <a:p>
              <a:endParaRPr lang="en-US" sz="1200">
                <a:solidFill>
                  <a:srgbClr val="FF0000"/>
                </a:solidFill>
              </a:endParaRPr>
            </a:p>
          </xdr:txBody>
        </xdr:sp>
      </mc:Choice>
      <mc:Fallback xmlns="">
        <xdr:sp macro="" textlink="">
          <xdr:nvSpPr>
            <xdr:cNvPr id="80" name="TextBox 79">
              <a:extLst>
                <a:ext uri="{FF2B5EF4-FFF2-40B4-BE49-F238E27FC236}">
                  <a16:creationId xmlns:a16="http://schemas.microsoft.com/office/drawing/2014/main" id="{4556BE35-AE41-46B1-B2E7-3FB736FDE2EA}"/>
                </a:ext>
              </a:extLst>
            </xdr:cNvPr>
            <xdr:cNvSpPr txBox="1"/>
          </xdr:nvSpPr>
          <xdr:spPr>
            <a:xfrm>
              <a:off x="3089275" y="118020754"/>
              <a:ext cx="4725745" cy="6399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rgbClr val="FF0000"/>
                  </a:solidFill>
                  <a:latin typeface="Cambria Math" panose="02040503050406030204" pitchFamily="18" charset="0"/>
                  <a:ea typeface="Cambria Math" panose="02040503050406030204" pitchFamily="18" charset="0"/>
                </a:rPr>
                <a:t>∆</a:t>
              </a:r>
              <a:r>
                <a:rPr lang="en-US" sz="1200" b="0" i="0">
                  <a:solidFill>
                    <a:srgbClr val="FF0000"/>
                  </a:solidFill>
                  <a:latin typeface="Cambria Math" panose="02040503050406030204" pitchFamily="18" charset="0"/>
                  <a:ea typeface="Cambria Math" panose="02040503050406030204" pitchFamily="18" charset="0"/>
                </a:rPr>
                <a:t>𝑘𝑊ℎ=</a:t>
              </a:r>
              <a:r>
                <a:rPr lang="en-US" sz="1200" i="0">
                  <a:solidFill>
                    <a:srgbClr val="FF0000"/>
                  </a:solidFill>
                  <a:effectLst/>
                  <a:latin typeface="Cambria Math" panose="02040503050406030204" pitchFamily="18" charset="0"/>
                  <a:ea typeface="+mn-ea"/>
                  <a:cs typeface="+mn-cs"/>
                </a:rPr>
                <a:t>((𝐺𝑎𝑙𝑙𝑜𝑛𝑠∗𝑇𝑢𝑟𝑛𝑜𝑣𝑒𝑟𝑠∗(1/(𝑊𝐸𝐹_𝑏𝑎𝑠𝑒 )−1/(𝑊𝐸𝐹_</a:t>
              </a:r>
              <a:r>
                <a:rPr lang="en-US" sz="1200" b="0" i="0">
                  <a:solidFill>
                    <a:srgbClr val="FF0000"/>
                  </a:solidFill>
                  <a:effectLst/>
                  <a:latin typeface="Cambria Math" panose="02040503050406030204" pitchFamily="18" charset="0"/>
                  <a:ea typeface="+mn-ea"/>
                  <a:cs typeface="+mn-cs"/>
                </a:rPr>
                <a:t>𝑒𝑒 ))</a:t>
              </a:r>
              <a:r>
                <a:rPr lang="en-US" sz="1200" i="0">
                  <a:solidFill>
                    <a:srgbClr val="FF0000"/>
                  </a:solidFill>
                  <a:effectLst/>
                  <a:latin typeface="Cambria Math" panose="02040503050406030204" pitchFamily="18" charset="0"/>
                  <a:ea typeface="+mn-ea"/>
                  <a:cs typeface="+mn-cs"/>
                </a:rPr>
                <a:t>∗𝐷𝑎𝑦𝑠))/1,000</a:t>
              </a:r>
              <a:endParaRPr lang="en-US" sz="1200">
                <a:solidFill>
                  <a:srgbClr val="FF0000"/>
                </a:solidFill>
                <a:effectLst/>
                <a:latin typeface="+mn-lt"/>
                <a:ea typeface="+mn-ea"/>
                <a:cs typeface="+mn-cs"/>
              </a:endParaRPr>
            </a:p>
            <a:p>
              <a:endParaRPr lang="en-US" sz="1200">
                <a:solidFill>
                  <a:srgbClr val="FF0000"/>
                </a:solidFill>
              </a:endParaRPr>
            </a:p>
          </xdr:txBody>
        </xdr:sp>
      </mc:Fallback>
    </mc:AlternateContent>
    <xdr:clientData/>
  </xdr:twoCellAnchor>
  <xdr:twoCellAnchor>
    <xdr:from>
      <xdr:col>6</xdr:col>
      <xdr:colOff>236480</xdr:colOff>
      <xdr:row>555</xdr:row>
      <xdr:rowOff>158291</xdr:rowOff>
    </xdr:from>
    <xdr:to>
      <xdr:col>8</xdr:col>
      <xdr:colOff>949510</xdr:colOff>
      <xdr:row>559</xdr:row>
      <xdr:rowOff>82987</xdr:rowOff>
    </xdr:to>
    <mc:AlternateContent xmlns:mc="http://schemas.openxmlformats.org/markup-compatibility/2006" xmlns:a14="http://schemas.microsoft.com/office/drawing/2010/main">
      <mc:Choice Requires="a14">
        <xdr:sp macro="" textlink="">
          <xdr:nvSpPr>
            <xdr:cNvPr id="81" name="TextBox 80">
              <a:extLst>
                <a:ext uri="{FF2B5EF4-FFF2-40B4-BE49-F238E27FC236}">
                  <a16:creationId xmlns:a16="http://schemas.microsoft.com/office/drawing/2014/main" id="{3FAA9676-D1CC-4EB8-84C0-24AC6B567BA5}"/>
                </a:ext>
              </a:extLst>
            </xdr:cNvPr>
            <xdr:cNvSpPr txBox="1"/>
          </xdr:nvSpPr>
          <xdr:spPr>
            <a:xfrm>
              <a:off x="10422627" y="118066585"/>
              <a:ext cx="4724736" cy="6418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200" i="1">
                        <a:solidFill>
                          <a:srgbClr val="FF0000"/>
                        </a:solidFill>
                        <a:latin typeface="Cambria Math" panose="02040503050406030204" pitchFamily="18" charset="0"/>
                        <a:ea typeface="Cambria Math" panose="02040503050406030204" pitchFamily="18" charset="0"/>
                      </a:rPr>
                      <m:t>∆</m:t>
                    </m:r>
                    <m:r>
                      <a:rPr lang="en-US" sz="1200" b="0" i="1">
                        <a:solidFill>
                          <a:srgbClr val="FF0000"/>
                        </a:solidFill>
                        <a:latin typeface="Cambria Math" panose="02040503050406030204" pitchFamily="18" charset="0"/>
                        <a:ea typeface="Cambria Math" panose="02040503050406030204" pitchFamily="18" charset="0"/>
                      </a:rPr>
                      <m:t>𝑘𝑊h</m:t>
                    </m:r>
                    <m:r>
                      <a:rPr lang="en-US" sz="1200" b="0" i="1">
                        <a:solidFill>
                          <a:srgbClr val="FF0000"/>
                        </a:solidFill>
                        <a:latin typeface="Cambria Math" panose="02040503050406030204" pitchFamily="18" charset="0"/>
                        <a:ea typeface="Cambria Math" panose="02040503050406030204" pitchFamily="18" charset="0"/>
                      </a:rPr>
                      <m:t>=</m:t>
                    </m:r>
                    <m:f>
                      <m:fPr>
                        <m:ctrlPr>
                          <a:rPr lang="en-US" sz="1200" i="1">
                            <a:solidFill>
                              <a:srgbClr val="FF0000"/>
                            </a:solidFill>
                            <a:effectLst/>
                            <a:latin typeface="Cambria Math" panose="02040503050406030204" pitchFamily="18" charset="0"/>
                            <a:ea typeface="+mn-ea"/>
                            <a:cs typeface="+mn-cs"/>
                          </a:rPr>
                        </m:ctrlPr>
                      </m:fPr>
                      <m:num>
                        <m:d>
                          <m:dPr>
                            <m:ctrlPr>
                              <a:rPr lang="en-US" sz="1200" i="1">
                                <a:solidFill>
                                  <a:srgbClr val="FF0000"/>
                                </a:solidFill>
                                <a:effectLst/>
                                <a:latin typeface="Cambria Math" panose="02040503050406030204" pitchFamily="18" charset="0"/>
                                <a:ea typeface="+mn-ea"/>
                                <a:cs typeface="+mn-cs"/>
                              </a:rPr>
                            </m:ctrlPr>
                          </m:dPr>
                          <m:e>
                            <m:r>
                              <a:rPr lang="en-US" sz="1200" i="1">
                                <a:solidFill>
                                  <a:srgbClr val="FF0000"/>
                                </a:solidFill>
                                <a:effectLst/>
                                <a:latin typeface="Cambria Math" panose="02040503050406030204" pitchFamily="18" charset="0"/>
                                <a:ea typeface="+mn-ea"/>
                                <a:cs typeface="+mn-cs"/>
                              </a:rPr>
                              <m:t>𝐺𝑎𝑙𝑙𝑜𝑛𝑠</m:t>
                            </m:r>
                            <m:r>
                              <a:rPr lang="en-US" sz="1200" i="1">
                                <a:solidFill>
                                  <a:srgbClr val="FF0000"/>
                                </a:solidFill>
                                <a:effectLst/>
                                <a:latin typeface="Cambria Math" panose="02040503050406030204" pitchFamily="18" charset="0"/>
                                <a:ea typeface="+mn-ea"/>
                                <a:cs typeface="+mn-cs"/>
                              </a:rPr>
                              <m:t>∗</m:t>
                            </m:r>
                            <m:r>
                              <a:rPr lang="en-US" sz="1200" i="1">
                                <a:solidFill>
                                  <a:srgbClr val="FF0000"/>
                                </a:solidFill>
                                <a:effectLst/>
                                <a:latin typeface="Cambria Math" panose="02040503050406030204" pitchFamily="18" charset="0"/>
                                <a:ea typeface="+mn-ea"/>
                                <a:cs typeface="+mn-cs"/>
                              </a:rPr>
                              <m:t>𝑇𝑢𝑟𝑛𝑜𝑣𝑒𝑟𝑠</m:t>
                            </m:r>
                            <m:r>
                              <a:rPr lang="en-US" sz="1200" i="1">
                                <a:solidFill>
                                  <a:srgbClr val="FF0000"/>
                                </a:solidFill>
                                <a:effectLst/>
                                <a:latin typeface="Cambria Math" panose="02040503050406030204" pitchFamily="18" charset="0"/>
                                <a:ea typeface="+mn-ea"/>
                                <a:cs typeface="+mn-cs"/>
                              </a:rPr>
                              <m:t>∗</m:t>
                            </m:r>
                            <m:d>
                              <m:dPr>
                                <m:ctrlPr>
                                  <a:rPr lang="en-US" sz="1200" i="1">
                                    <a:solidFill>
                                      <a:srgbClr val="FF0000"/>
                                    </a:solidFill>
                                    <a:effectLst/>
                                    <a:latin typeface="Cambria Math" panose="02040503050406030204" pitchFamily="18" charset="0"/>
                                    <a:ea typeface="+mn-ea"/>
                                    <a:cs typeface="+mn-cs"/>
                                  </a:rPr>
                                </m:ctrlPr>
                              </m:dPr>
                              <m:e>
                                <m:f>
                                  <m:fPr>
                                    <m:ctrlPr>
                                      <a:rPr lang="en-US" sz="1200" i="1">
                                        <a:solidFill>
                                          <a:srgbClr val="FF0000"/>
                                        </a:solidFill>
                                        <a:effectLst/>
                                        <a:latin typeface="Cambria Math" panose="02040503050406030204" pitchFamily="18" charset="0"/>
                                        <a:ea typeface="+mn-ea"/>
                                        <a:cs typeface="+mn-cs"/>
                                      </a:rPr>
                                    </m:ctrlPr>
                                  </m:fPr>
                                  <m:num>
                                    <m:r>
                                      <a:rPr lang="en-US" sz="1200" i="1">
                                        <a:solidFill>
                                          <a:srgbClr val="FF0000"/>
                                        </a:solidFill>
                                        <a:effectLst/>
                                        <a:latin typeface="Cambria Math" panose="02040503050406030204" pitchFamily="18" charset="0"/>
                                        <a:ea typeface="+mn-ea"/>
                                        <a:cs typeface="+mn-cs"/>
                                      </a:rPr>
                                      <m:t>1</m:t>
                                    </m:r>
                                  </m:num>
                                  <m:den>
                                    <m:r>
                                      <a:rPr lang="en-US" sz="1200" i="1">
                                        <a:solidFill>
                                          <a:srgbClr val="FF0000"/>
                                        </a:solidFill>
                                        <a:effectLst/>
                                        <a:latin typeface="Cambria Math" panose="02040503050406030204" pitchFamily="18" charset="0"/>
                                        <a:ea typeface="+mn-ea"/>
                                        <a:cs typeface="+mn-cs"/>
                                      </a:rPr>
                                      <m:t>𝐸</m:t>
                                    </m:r>
                                    <m:sSub>
                                      <m:sSubPr>
                                        <m:ctrlPr>
                                          <a:rPr lang="en-US" sz="1200" i="1">
                                            <a:solidFill>
                                              <a:srgbClr val="FF0000"/>
                                            </a:solidFill>
                                            <a:effectLst/>
                                            <a:latin typeface="Cambria Math" panose="02040503050406030204" pitchFamily="18" charset="0"/>
                                            <a:ea typeface="+mn-ea"/>
                                            <a:cs typeface="+mn-cs"/>
                                          </a:rPr>
                                        </m:ctrlPr>
                                      </m:sSubPr>
                                      <m:e>
                                        <m:r>
                                          <a:rPr lang="en-US" sz="1200" i="1">
                                            <a:solidFill>
                                              <a:srgbClr val="FF0000"/>
                                            </a:solidFill>
                                            <a:effectLst/>
                                            <a:latin typeface="Cambria Math" panose="02040503050406030204" pitchFamily="18" charset="0"/>
                                            <a:ea typeface="+mn-ea"/>
                                            <a:cs typeface="+mn-cs"/>
                                          </a:rPr>
                                          <m:t>𝐹</m:t>
                                        </m:r>
                                      </m:e>
                                      <m:sub>
                                        <m:r>
                                          <a:rPr lang="en-US" sz="1200" i="1">
                                            <a:solidFill>
                                              <a:srgbClr val="FF0000"/>
                                            </a:solidFill>
                                            <a:effectLst/>
                                            <a:latin typeface="Cambria Math" panose="02040503050406030204" pitchFamily="18" charset="0"/>
                                            <a:ea typeface="+mn-ea"/>
                                            <a:cs typeface="+mn-cs"/>
                                          </a:rPr>
                                          <m:t>𝑒𝑥𝑖𝑠𝑡</m:t>
                                        </m:r>
                                      </m:sub>
                                    </m:sSub>
                                  </m:den>
                                </m:f>
                                <m:r>
                                  <a:rPr lang="en-US" sz="1200" i="1">
                                    <a:solidFill>
                                      <a:srgbClr val="FF0000"/>
                                    </a:solidFill>
                                    <a:effectLst/>
                                    <a:latin typeface="Cambria Math" panose="02040503050406030204" pitchFamily="18" charset="0"/>
                                    <a:ea typeface="+mn-ea"/>
                                    <a:cs typeface="+mn-cs"/>
                                  </a:rPr>
                                  <m:t>−</m:t>
                                </m:r>
                                <m:f>
                                  <m:fPr>
                                    <m:ctrlPr>
                                      <a:rPr lang="en-US" sz="1200" i="1">
                                        <a:solidFill>
                                          <a:srgbClr val="FF0000"/>
                                        </a:solidFill>
                                        <a:effectLst/>
                                        <a:latin typeface="Cambria Math" panose="02040503050406030204" pitchFamily="18" charset="0"/>
                                        <a:ea typeface="+mn-ea"/>
                                        <a:cs typeface="+mn-cs"/>
                                      </a:rPr>
                                    </m:ctrlPr>
                                  </m:fPr>
                                  <m:num>
                                    <m:r>
                                      <a:rPr lang="en-US" sz="1200" i="1">
                                        <a:solidFill>
                                          <a:srgbClr val="FF0000"/>
                                        </a:solidFill>
                                        <a:effectLst/>
                                        <a:latin typeface="Cambria Math" panose="02040503050406030204" pitchFamily="18" charset="0"/>
                                        <a:ea typeface="+mn-ea"/>
                                        <a:cs typeface="+mn-cs"/>
                                      </a:rPr>
                                      <m:t>1</m:t>
                                    </m:r>
                                  </m:num>
                                  <m:den>
                                    <m:r>
                                      <a:rPr lang="en-US" sz="1200" i="1">
                                        <a:solidFill>
                                          <a:srgbClr val="FF0000"/>
                                        </a:solidFill>
                                        <a:effectLst/>
                                        <a:latin typeface="Cambria Math" panose="02040503050406030204" pitchFamily="18" charset="0"/>
                                        <a:ea typeface="+mn-ea"/>
                                        <a:cs typeface="+mn-cs"/>
                                      </a:rPr>
                                      <m:t>𝑊𝐸</m:t>
                                    </m:r>
                                    <m:sSub>
                                      <m:sSubPr>
                                        <m:ctrlPr>
                                          <a:rPr lang="en-US" sz="1200" i="1">
                                            <a:solidFill>
                                              <a:srgbClr val="FF0000"/>
                                            </a:solidFill>
                                            <a:effectLst/>
                                            <a:latin typeface="Cambria Math" panose="02040503050406030204" pitchFamily="18" charset="0"/>
                                            <a:ea typeface="+mn-ea"/>
                                            <a:cs typeface="+mn-cs"/>
                                          </a:rPr>
                                        </m:ctrlPr>
                                      </m:sSubPr>
                                      <m:e>
                                        <m:r>
                                          <a:rPr lang="en-US" sz="1200" i="1">
                                            <a:solidFill>
                                              <a:srgbClr val="FF0000"/>
                                            </a:solidFill>
                                            <a:effectLst/>
                                            <a:latin typeface="Cambria Math" panose="02040503050406030204" pitchFamily="18" charset="0"/>
                                            <a:ea typeface="+mn-ea"/>
                                            <a:cs typeface="+mn-cs"/>
                                          </a:rPr>
                                          <m:t>𝐹</m:t>
                                        </m:r>
                                      </m:e>
                                      <m:sub>
                                        <m:r>
                                          <a:rPr lang="en-US" sz="1200" b="0" i="1">
                                            <a:solidFill>
                                              <a:srgbClr val="FF0000"/>
                                            </a:solidFill>
                                            <a:effectLst/>
                                            <a:latin typeface="Cambria Math" panose="02040503050406030204" pitchFamily="18" charset="0"/>
                                            <a:ea typeface="+mn-ea"/>
                                            <a:cs typeface="+mn-cs"/>
                                          </a:rPr>
                                          <m:t>𝑒𝑒</m:t>
                                        </m:r>
                                      </m:sub>
                                    </m:sSub>
                                  </m:den>
                                </m:f>
                              </m:e>
                            </m:d>
                            <m:r>
                              <a:rPr lang="en-US" sz="1200" i="1">
                                <a:solidFill>
                                  <a:srgbClr val="FF0000"/>
                                </a:solidFill>
                                <a:effectLst/>
                                <a:latin typeface="Cambria Math" panose="02040503050406030204" pitchFamily="18" charset="0"/>
                                <a:ea typeface="+mn-ea"/>
                                <a:cs typeface="+mn-cs"/>
                              </a:rPr>
                              <m:t>∗</m:t>
                            </m:r>
                            <m:r>
                              <a:rPr lang="en-US" sz="1200" i="1">
                                <a:solidFill>
                                  <a:srgbClr val="FF0000"/>
                                </a:solidFill>
                                <a:effectLst/>
                                <a:latin typeface="Cambria Math" panose="02040503050406030204" pitchFamily="18" charset="0"/>
                                <a:ea typeface="+mn-ea"/>
                                <a:cs typeface="+mn-cs"/>
                              </a:rPr>
                              <m:t>𝐷𝑎𝑦𝑠</m:t>
                            </m:r>
                          </m:e>
                        </m:d>
                      </m:num>
                      <m:den>
                        <m:r>
                          <a:rPr lang="en-US" sz="1200" i="1">
                            <a:solidFill>
                              <a:srgbClr val="FF0000"/>
                            </a:solidFill>
                            <a:effectLst/>
                            <a:latin typeface="Cambria Math" panose="02040503050406030204" pitchFamily="18" charset="0"/>
                            <a:ea typeface="+mn-ea"/>
                            <a:cs typeface="+mn-cs"/>
                          </a:rPr>
                          <m:t>1,000</m:t>
                        </m:r>
                      </m:den>
                    </m:f>
                  </m:oMath>
                </m:oMathPara>
              </a14:m>
              <a:endParaRPr lang="en-US" sz="1200">
                <a:solidFill>
                  <a:srgbClr val="FF0000"/>
                </a:solidFill>
                <a:effectLst/>
                <a:latin typeface="+mn-lt"/>
                <a:ea typeface="+mn-ea"/>
                <a:cs typeface="+mn-cs"/>
              </a:endParaRPr>
            </a:p>
            <a:p>
              <a:endParaRPr lang="en-US" sz="1200">
                <a:solidFill>
                  <a:srgbClr val="FF0000"/>
                </a:solidFill>
              </a:endParaRPr>
            </a:p>
          </xdr:txBody>
        </xdr:sp>
      </mc:Choice>
      <mc:Fallback xmlns="">
        <xdr:sp macro="" textlink="">
          <xdr:nvSpPr>
            <xdr:cNvPr id="81" name="TextBox 80">
              <a:extLst>
                <a:ext uri="{FF2B5EF4-FFF2-40B4-BE49-F238E27FC236}">
                  <a16:creationId xmlns:a16="http://schemas.microsoft.com/office/drawing/2014/main" id="{3FAA9676-D1CC-4EB8-84C0-24AC6B567BA5}"/>
                </a:ext>
              </a:extLst>
            </xdr:cNvPr>
            <xdr:cNvSpPr txBox="1"/>
          </xdr:nvSpPr>
          <xdr:spPr>
            <a:xfrm>
              <a:off x="10422627" y="118066585"/>
              <a:ext cx="4724736" cy="64187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i="0">
                  <a:solidFill>
                    <a:srgbClr val="FF0000"/>
                  </a:solidFill>
                  <a:latin typeface="Cambria Math" panose="02040503050406030204" pitchFamily="18" charset="0"/>
                  <a:ea typeface="Cambria Math" panose="02040503050406030204" pitchFamily="18" charset="0"/>
                </a:rPr>
                <a:t>∆</a:t>
              </a:r>
              <a:r>
                <a:rPr lang="en-US" sz="1200" b="0" i="0">
                  <a:solidFill>
                    <a:srgbClr val="FF0000"/>
                  </a:solidFill>
                  <a:latin typeface="Cambria Math" panose="02040503050406030204" pitchFamily="18" charset="0"/>
                  <a:ea typeface="Cambria Math" panose="02040503050406030204" pitchFamily="18" charset="0"/>
                </a:rPr>
                <a:t>𝑘𝑊ℎ=</a:t>
              </a:r>
              <a:r>
                <a:rPr lang="en-US" sz="1200" i="0">
                  <a:solidFill>
                    <a:srgbClr val="FF0000"/>
                  </a:solidFill>
                  <a:effectLst/>
                  <a:latin typeface="Cambria Math" panose="02040503050406030204" pitchFamily="18" charset="0"/>
                  <a:ea typeface="+mn-ea"/>
                  <a:cs typeface="+mn-cs"/>
                </a:rPr>
                <a:t>((𝐺𝑎𝑙𝑙𝑜𝑛𝑠∗𝑇𝑢𝑟𝑛𝑜𝑣𝑒𝑟𝑠∗(1/(𝐸𝐹_𝑒𝑥𝑖𝑠𝑡 )−1/(𝑊𝐸𝐹_</a:t>
              </a:r>
              <a:r>
                <a:rPr lang="en-US" sz="1200" b="0" i="0">
                  <a:solidFill>
                    <a:srgbClr val="FF0000"/>
                  </a:solidFill>
                  <a:effectLst/>
                  <a:latin typeface="Cambria Math" panose="02040503050406030204" pitchFamily="18" charset="0"/>
                  <a:ea typeface="+mn-ea"/>
                  <a:cs typeface="+mn-cs"/>
                </a:rPr>
                <a:t>𝑒𝑒 ))</a:t>
              </a:r>
              <a:r>
                <a:rPr lang="en-US" sz="1200" i="0">
                  <a:solidFill>
                    <a:srgbClr val="FF0000"/>
                  </a:solidFill>
                  <a:effectLst/>
                  <a:latin typeface="Cambria Math" panose="02040503050406030204" pitchFamily="18" charset="0"/>
                  <a:ea typeface="+mn-ea"/>
                  <a:cs typeface="+mn-cs"/>
                </a:rPr>
                <a:t>∗𝐷𝑎𝑦𝑠))/1,000</a:t>
              </a:r>
              <a:endParaRPr lang="en-US" sz="1200">
                <a:solidFill>
                  <a:srgbClr val="FF0000"/>
                </a:solidFill>
                <a:effectLst/>
                <a:latin typeface="+mn-lt"/>
                <a:ea typeface="+mn-ea"/>
                <a:cs typeface="+mn-cs"/>
              </a:endParaRPr>
            </a:p>
            <a:p>
              <a:endParaRPr lang="en-US" sz="1200">
                <a:solidFill>
                  <a:srgbClr val="FF0000"/>
                </a:solidFill>
              </a:endParaRPr>
            </a:p>
          </xdr:txBody>
        </xdr:sp>
      </mc:Fallback>
    </mc:AlternateContent>
    <xdr:clientData/>
  </xdr:twoCellAnchor>
  <xdr:twoCellAnchor>
    <xdr:from>
      <xdr:col>3</xdr:col>
      <xdr:colOff>974911</xdr:colOff>
      <xdr:row>559</xdr:row>
      <xdr:rowOff>156882</xdr:rowOff>
    </xdr:from>
    <xdr:to>
      <xdr:col>4</xdr:col>
      <xdr:colOff>2471849</xdr:colOff>
      <xdr:row>561</xdr:row>
      <xdr:rowOff>31378</xdr:rowOff>
    </xdr:to>
    <mc:AlternateContent xmlns:mc="http://schemas.openxmlformats.org/markup-compatibility/2006" xmlns:a14="http://schemas.microsoft.com/office/drawing/2010/main">
      <mc:Choice Requires="a14">
        <xdr:sp macro="" textlink="">
          <xdr:nvSpPr>
            <xdr:cNvPr id="82" name="TextBox 81">
              <a:extLst>
                <a:ext uri="{FF2B5EF4-FFF2-40B4-BE49-F238E27FC236}">
                  <a16:creationId xmlns:a16="http://schemas.microsoft.com/office/drawing/2014/main" id="{96FC4237-18FC-4E1D-B487-E0139077F9B3}"/>
                </a:ext>
              </a:extLst>
            </xdr:cNvPr>
            <xdr:cNvSpPr txBox="1"/>
          </xdr:nvSpPr>
          <xdr:spPr>
            <a:xfrm>
              <a:off x="3193676" y="118782353"/>
              <a:ext cx="2808026" cy="2330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82" name="TextBox 81">
              <a:extLst>
                <a:ext uri="{FF2B5EF4-FFF2-40B4-BE49-F238E27FC236}">
                  <a16:creationId xmlns:a16="http://schemas.microsoft.com/office/drawing/2014/main" id="{96FC4237-18FC-4E1D-B487-E0139077F9B3}"/>
                </a:ext>
              </a:extLst>
            </xdr:cNvPr>
            <xdr:cNvSpPr txBox="1"/>
          </xdr:nvSpPr>
          <xdr:spPr>
            <a:xfrm>
              <a:off x="3193676" y="118782353"/>
              <a:ext cx="2808026" cy="2330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6</xdr:col>
      <xdr:colOff>2269331</xdr:colOff>
      <xdr:row>57</xdr:row>
      <xdr:rowOff>453627</xdr:rowOff>
    </xdr:from>
    <xdr:ext cx="65" cy="172227"/>
    <xdr:sp macro="" textlink="">
      <xdr:nvSpPr>
        <xdr:cNvPr id="83" name="TextBox 82">
          <a:extLst>
            <a:ext uri="{FF2B5EF4-FFF2-40B4-BE49-F238E27FC236}">
              <a16:creationId xmlns:a16="http://schemas.microsoft.com/office/drawing/2014/main" id="{CC31CCD5-8998-495E-B6B0-A541507DC276}"/>
            </a:ext>
          </a:extLst>
        </xdr:cNvPr>
        <xdr:cNvSpPr txBox="1"/>
      </xdr:nvSpPr>
      <xdr:spPr>
        <a:xfrm>
          <a:off x="11213306" y="3641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4" name="TextBox 83">
          <a:extLst>
            <a:ext uri="{FF2B5EF4-FFF2-40B4-BE49-F238E27FC236}">
              <a16:creationId xmlns:a16="http://schemas.microsoft.com/office/drawing/2014/main" id="{9895A9D3-06D6-4510-9310-FC1D29047061}"/>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5" name="TextBox 84">
          <a:extLst>
            <a:ext uri="{FF2B5EF4-FFF2-40B4-BE49-F238E27FC236}">
              <a16:creationId xmlns:a16="http://schemas.microsoft.com/office/drawing/2014/main" id="{1A1BE94E-46C4-4F7D-8B25-6C866773392E}"/>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57</xdr:row>
      <xdr:rowOff>453627</xdr:rowOff>
    </xdr:from>
    <xdr:ext cx="65" cy="172227"/>
    <xdr:sp macro="" textlink="">
      <xdr:nvSpPr>
        <xdr:cNvPr id="86" name="TextBox 85">
          <a:extLst>
            <a:ext uri="{FF2B5EF4-FFF2-40B4-BE49-F238E27FC236}">
              <a16:creationId xmlns:a16="http://schemas.microsoft.com/office/drawing/2014/main" id="{C5104CF9-FD2E-40EE-964A-9E0F4A08F1BE}"/>
            </a:ext>
          </a:extLst>
        </xdr:cNvPr>
        <xdr:cNvSpPr txBox="1"/>
      </xdr:nvSpPr>
      <xdr:spPr>
        <a:xfrm>
          <a:off x="11213306" y="3641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57</xdr:row>
      <xdr:rowOff>453627</xdr:rowOff>
    </xdr:from>
    <xdr:ext cx="65" cy="172227"/>
    <xdr:sp macro="" textlink="">
      <xdr:nvSpPr>
        <xdr:cNvPr id="87" name="TextBox 86">
          <a:extLst>
            <a:ext uri="{FF2B5EF4-FFF2-40B4-BE49-F238E27FC236}">
              <a16:creationId xmlns:a16="http://schemas.microsoft.com/office/drawing/2014/main" id="{42EB62EB-F4ED-4AED-8187-2843B146F7B1}"/>
            </a:ext>
          </a:extLst>
        </xdr:cNvPr>
        <xdr:cNvSpPr txBox="1"/>
      </xdr:nvSpPr>
      <xdr:spPr>
        <a:xfrm>
          <a:off x="11213306" y="3641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8" name="TextBox 87">
          <a:extLst>
            <a:ext uri="{FF2B5EF4-FFF2-40B4-BE49-F238E27FC236}">
              <a16:creationId xmlns:a16="http://schemas.microsoft.com/office/drawing/2014/main" id="{F529CF7A-1123-4716-819D-2B8CE71F3914}"/>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43</xdr:row>
      <xdr:rowOff>0</xdr:rowOff>
    </xdr:from>
    <xdr:ext cx="65" cy="172227"/>
    <xdr:sp macro="" textlink="">
      <xdr:nvSpPr>
        <xdr:cNvPr id="89" name="TextBox 88">
          <a:extLst>
            <a:ext uri="{FF2B5EF4-FFF2-40B4-BE49-F238E27FC236}">
              <a16:creationId xmlns:a16="http://schemas.microsoft.com/office/drawing/2014/main" id="{AD130ED4-3286-436C-A1EE-0B82E8031AEA}"/>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57</xdr:row>
      <xdr:rowOff>453627</xdr:rowOff>
    </xdr:from>
    <xdr:to>
      <xdr:col>7</xdr:col>
      <xdr:colOff>7209</xdr:colOff>
      <xdr:row>58</xdr:row>
      <xdr:rowOff>173417</xdr:rowOff>
    </xdr:to>
    <xdr:sp macro="" textlink="">
      <xdr:nvSpPr>
        <xdr:cNvPr id="90" name="TextBox 89">
          <a:extLst>
            <a:ext uri="{FF2B5EF4-FFF2-40B4-BE49-F238E27FC236}">
              <a16:creationId xmlns:a16="http://schemas.microsoft.com/office/drawing/2014/main" id="{A45184DA-3181-413C-A799-207A8EAF73DB}"/>
            </a:ext>
          </a:extLst>
        </xdr:cNvPr>
        <xdr:cNvSpPr txBox="1"/>
      </xdr:nvSpPr>
      <xdr:spPr>
        <a:xfrm>
          <a:off x="11213306" y="3641912"/>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57</xdr:row>
      <xdr:rowOff>453627</xdr:rowOff>
    </xdr:from>
    <xdr:to>
      <xdr:col>7</xdr:col>
      <xdr:colOff>7209</xdr:colOff>
      <xdr:row>58</xdr:row>
      <xdr:rowOff>173417</xdr:rowOff>
    </xdr:to>
    <xdr:sp macro="" textlink="">
      <xdr:nvSpPr>
        <xdr:cNvPr id="91" name="TextBox 90">
          <a:extLst>
            <a:ext uri="{FF2B5EF4-FFF2-40B4-BE49-F238E27FC236}">
              <a16:creationId xmlns:a16="http://schemas.microsoft.com/office/drawing/2014/main" id="{6216F66F-3AE3-4245-98D7-3EE95C403949}"/>
            </a:ext>
          </a:extLst>
        </xdr:cNvPr>
        <xdr:cNvSpPr txBox="1"/>
      </xdr:nvSpPr>
      <xdr:spPr>
        <a:xfrm>
          <a:off x="11213306" y="3641912"/>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43</xdr:row>
      <xdr:rowOff>0</xdr:rowOff>
    </xdr:from>
    <xdr:to>
      <xdr:col>7</xdr:col>
      <xdr:colOff>2269396</xdr:colOff>
      <xdr:row>43</xdr:row>
      <xdr:rowOff>172227</xdr:rowOff>
    </xdr:to>
    <xdr:sp macro="" textlink="">
      <xdr:nvSpPr>
        <xdr:cNvPr id="92" name="TextBox 91">
          <a:extLst>
            <a:ext uri="{FF2B5EF4-FFF2-40B4-BE49-F238E27FC236}">
              <a16:creationId xmlns:a16="http://schemas.microsoft.com/office/drawing/2014/main" id="{1E4D24EC-87C2-49AD-838B-372E1480D35A}"/>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43</xdr:row>
      <xdr:rowOff>0</xdr:rowOff>
    </xdr:from>
    <xdr:to>
      <xdr:col>7</xdr:col>
      <xdr:colOff>2269396</xdr:colOff>
      <xdr:row>43</xdr:row>
      <xdr:rowOff>172227</xdr:rowOff>
    </xdr:to>
    <xdr:sp macro="" textlink="">
      <xdr:nvSpPr>
        <xdr:cNvPr id="93" name="TextBox 92">
          <a:extLst>
            <a:ext uri="{FF2B5EF4-FFF2-40B4-BE49-F238E27FC236}">
              <a16:creationId xmlns:a16="http://schemas.microsoft.com/office/drawing/2014/main" id="{AB17D6EA-058A-4258-AD58-0187B57D1144}"/>
            </a:ext>
          </a:extLst>
        </xdr:cNvPr>
        <xdr:cNvSpPr txBox="1"/>
      </xdr:nvSpPr>
      <xdr:spPr>
        <a:xfrm>
          <a:off x="13475213" y="974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41</xdr:row>
      <xdr:rowOff>0</xdr:rowOff>
    </xdr:from>
    <xdr:ext cx="65" cy="172227"/>
    <xdr:sp macro="" textlink="">
      <xdr:nvSpPr>
        <xdr:cNvPr id="95" name="TextBox 94">
          <a:extLst>
            <a:ext uri="{FF2B5EF4-FFF2-40B4-BE49-F238E27FC236}">
              <a16:creationId xmlns:a16="http://schemas.microsoft.com/office/drawing/2014/main" id="{48981567-4B14-4004-8216-8E64D0B2C032}"/>
            </a:ext>
          </a:extLst>
        </xdr:cNvPr>
        <xdr:cNvSpPr txBox="1"/>
      </xdr:nvSpPr>
      <xdr:spPr>
        <a:xfrm>
          <a:off x="33336519" y="56029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41</xdr:row>
      <xdr:rowOff>0</xdr:rowOff>
    </xdr:from>
    <xdr:ext cx="65" cy="172227"/>
    <xdr:sp macro="" textlink="">
      <xdr:nvSpPr>
        <xdr:cNvPr id="96" name="TextBox 95">
          <a:extLst>
            <a:ext uri="{FF2B5EF4-FFF2-40B4-BE49-F238E27FC236}">
              <a16:creationId xmlns:a16="http://schemas.microsoft.com/office/drawing/2014/main" id="{4415F11B-6D44-49A9-8982-72552B71A355}"/>
            </a:ext>
          </a:extLst>
        </xdr:cNvPr>
        <xdr:cNvSpPr txBox="1"/>
      </xdr:nvSpPr>
      <xdr:spPr>
        <a:xfrm>
          <a:off x="33336519" y="56029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467591</xdr:colOff>
      <xdr:row>49</xdr:row>
      <xdr:rowOff>103909</xdr:rowOff>
    </xdr:from>
    <xdr:to>
      <xdr:col>9</xdr:col>
      <xdr:colOff>562348</xdr:colOff>
      <xdr:row>53</xdr:row>
      <xdr:rowOff>59872</xdr:rowOff>
    </xdr:to>
    <mc:AlternateContent xmlns:mc="http://schemas.openxmlformats.org/markup-compatibility/2006" xmlns:a14="http://schemas.microsoft.com/office/drawing/2010/main">
      <mc:Choice Requires="a14">
        <xdr:sp macro="" textlink="">
          <xdr:nvSpPr>
            <xdr:cNvPr id="97" name="TextBox 96">
              <a:extLst>
                <a:ext uri="{FF2B5EF4-FFF2-40B4-BE49-F238E27FC236}">
                  <a16:creationId xmlns:a16="http://schemas.microsoft.com/office/drawing/2014/main" id="{0C441426-1C73-4922-BDAD-FF713E4A755A}"/>
                </a:ext>
                <a:ext uri="{147F2762-F138-4A5C-976F-8EAC2B608ADB}">
                  <a16:predDERef xmlns:a16="http://schemas.microsoft.com/office/drawing/2014/main" pred="{C5BB5102-D9F1-463D-BAA9-08D2DB821553}"/>
                </a:ext>
              </a:extLst>
            </xdr:cNvPr>
            <xdr:cNvSpPr txBox="1"/>
          </xdr:nvSpPr>
          <xdr:spPr>
            <a:xfrm>
              <a:off x="3913909" y="13127182"/>
              <a:ext cx="11455484" cy="7179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rgbClr val="FF0000"/>
                        </a:solidFill>
                        <a:effectLst/>
                        <a:latin typeface="Cambria Math" panose="02040503050406030204" pitchFamily="18" charset="0"/>
                        <a:ea typeface="+mn-ea"/>
                        <a:cs typeface="+mn-cs"/>
                      </a:rPr>
                      <m:t>Δ</m:t>
                    </m:r>
                    <m:r>
                      <a:rPr lang="en-US" sz="1400" i="1">
                        <a:solidFill>
                          <a:srgbClr val="FF0000"/>
                        </a:solidFill>
                        <a:effectLst/>
                        <a:latin typeface="Cambria Math" panose="02040503050406030204" pitchFamily="18" charset="0"/>
                        <a:ea typeface="+mn-ea"/>
                        <a:cs typeface="+mn-cs"/>
                      </a:rPr>
                      <m:t>𝑘𝑊h𝐴𝑆𝐻𝑃</m:t>
                    </m:r>
                    <m:r>
                      <a:rPr lang="en-US" sz="1400" i="1">
                        <a:solidFill>
                          <a:srgbClr val="FF0000"/>
                        </a:solidFill>
                        <a:effectLst/>
                        <a:latin typeface="Cambria Math" panose="02040503050406030204" pitchFamily="18" charset="0"/>
                        <a:ea typeface="+mn-ea"/>
                        <a:cs typeface="+mn-cs"/>
                      </a:rPr>
                      <m:t> =</m:t>
                    </m:r>
                    <m:f>
                      <m:fPr>
                        <m:ctrlPr>
                          <a:rPr lang="en-US" sz="1400" i="1">
                            <a:solidFill>
                              <a:srgbClr val="FF0000"/>
                            </a:solidFill>
                            <a:effectLst/>
                            <a:latin typeface="Cambria Math" panose="02040503050406030204" pitchFamily="18" charset="0"/>
                            <a:ea typeface="+mn-ea"/>
                            <a:cs typeface="+mn-cs"/>
                          </a:rPr>
                        </m:ctrlPr>
                      </m:fPr>
                      <m:num>
                        <m:d>
                          <m:dPr>
                            <m:ctrlPr>
                              <a:rPr lang="en-US" sz="1400" i="1">
                                <a:solidFill>
                                  <a:srgbClr val="FF0000"/>
                                </a:solidFill>
                                <a:effectLst/>
                                <a:latin typeface="Cambria Math" panose="02040503050406030204" pitchFamily="18" charset="0"/>
                                <a:ea typeface="+mn-ea"/>
                                <a:cs typeface="+mn-cs"/>
                              </a:rPr>
                            </m:ctrlPr>
                          </m:dPr>
                          <m:e>
                            <m:r>
                              <a:rPr lang="en-US" sz="1400" i="1">
                                <a:solidFill>
                                  <a:srgbClr val="FF0000"/>
                                </a:solidFill>
                                <a:effectLst/>
                                <a:latin typeface="Cambria Math" panose="02040503050406030204" pitchFamily="18" charset="0"/>
                                <a:ea typeface="+mn-ea"/>
                                <a:cs typeface="+mn-cs"/>
                              </a:rPr>
                              <m:t>𝐸𝐹𝐿</m:t>
                            </m:r>
                            <m:sSub>
                              <m:sSubPr>
                                <m:ctrlPr>
                                  <a:rPr lang="en-US" sz="1400" b="0" i="1">
                                    <a:solidFill>
                                      <a:srgbClr val="FF0000"/>
                                    </a:solidFill>
                                    <a:effectLst/>
                                    <a:latin typeface="Cambria Math" panose="02040503050406030204" pitchFamily="18" charset="0"/>
                                    <a:ea typeface="+mn-ea"/>
                                    <a:cs typeface="+mn-cs"/>
                                  </a:rPr>
                                </m:ctrlPr>
                              </m:sSubPr>
                              <m:e>
                                <m:r>
                                  <a:rPr lang="en-US" sz="1400" i="1">
                                    <a:solidFill>
                                      <a:srgbClr val="FF0000"/>
                                    </a:solidFill>
                                    <a:effectLst/>
                                    <a:latin typeface="Cambria Math" panose="02040503050406030204" pitchFamily="18" charset="0"/>
                                    <a:ea typeface="+mn-ea"/>
                                    <a:cs typeface="+mn-cs"/>
                                  </a:rPr>
                                  <m:t>𝐻</m:t>
                                </m:r>
                              </m:e>
                              <m:sub>
                                <m:r>
                                  <a:rPr lang="en-US" sz="1400" i="1">
                                    <a:solidFill>
                                      <a:srgbClr val="FF0000"/>
                                    </a:solidFill>
                                    <a:effectLst/>
                                    <a:latin typeface="Cambria Math" panose="02040503050406030204" pitchFamily="18" charset="0"/>
                                    <a:ea typeface="+mn-ea"/>
                                    <a:cs typeface="+mn-cs"/>
                                  </a:rPr>
                                  <m:t>𝑐𝑜𝑜𝑙</m:t>
                                </m:r>
                              </m:sub>
                            </m:sSub>
                            <m:r>
                              <a:rPr lang="en-US" sz="1400" i="1">
                                <a:solidFill>
                                  <a:srgbClr val="FF0000"/>
                                </a:solidFill>
                                <a:effectLst/>
                                <a:latin typeface="Cambria Math" panose="02040503050406030204" pitchFamily="18" charset="0"/>
                                <a:ea typeface="+mn-ea"/>
                                <a:cs typeface="+mn-cs"/>
                              </a:rPr>
                              <m:t> ∗ </m:t>
                            </m:r>
                            <m:r>
                              <a:rPr lang="en-US" sz="1400" i="1">
                                <a:solidFill>
                                  <a:srgbClr val="FF0000"/>
                                </a:solidFill>
                                <a:effectLst/>
                                <a:latin typeface="Cambria Math" panose="02040503050406030204" pitchFamily="18" charset="0"/>
                                <a:ea typeface="+mn-ea"/>
                                <a:cs typeface="+mn-cs"/>
                              </a:rPr>
                              <m:t>𝐶𝑎𝑝𝑎𝑐𝑖𝑡</m:t>
                            </m:r>
                            <m:sSub>
                              <m:sSubPr>
                                <m:ctrlPr>
                                  <a:rPr lang="en-US" sz="1400" b="0" i="1">
                                    <a:solidFill>
                                      <a:srgbClr val="FF0000"/>
                                    </a:solidFill>
                                    <a:effectLst/>
                                    <a:latin typeface="Cambria Math" panose="02040503050406030204" pitchFamily="18" charset="0"/>
                                    <a:ea typeface="+mn-ea"/>
                                    <a:cs typeface="+mn-cs"/>
                                  </a:rPr>
                                </m:ctrlPr>
                              </m:sSubPr>
                              <m:e>
                                <m:r>
                                  <a:rPr lang="en-US" sz="1400" i="1">
                                    <a:solidFill>
                                      <a:srgbClr val="FF0000"/>
                                    </a:solidFill>
                                    <a:effectLst/>
                                    <a:latin typeface="Cambria Math" panose="02040503050406030204" pitchFamily="18" charset="0"/>
                                    <a:ea typeface="+mn-ea"/>
                                    <a:cs typeface="+mn-cs"/>
                                  </a:rPr>
                                  <m:t>𝑦</m:t>
                                </m:r>
                              </m:e>
                              <m:sub>
                                <m:r>
                                  <a:rPr lang="en-US" sz="1400" i="1">
                                    <a:solidFill>
                                      <a:srgbClr val="FF0000"/>
                                    </a:solidFill>
                                    <a:effectLst/>
                                    <a:latin typeface="Cambria Math" panose="02040503050406030204" pitchFamily="18" charset="0"/>
                                    <a:ea typeface="+mn-ea"/>
                                    <a:cs typeface="+mn-cs"/>
                                  </a:rPr>
                                  <m:t>𝑐𝑜𝑜𝑙</m:t>
                                </m:r>
                              </m:sub>
                            </m:sSub>
                            <m:r>
                              <a:rPr lang="en-US" sz="1400" i="1">
                                <a:solidFill>
                                  <a:srgbClr val="FF0000"/>
                                </a:solidFill>
                                <a:effectLst/>
                                <a:latin typeface="Cambria Math" panose="02040503050406030204" pitchFamily="18" charset="0"/>
                                <a:ea typeface="+mn-ea"/>
                                <a:cs typeface="+mn-cs"/>
                              </a:rPr>
                              <m:t> ∗ </m:t>
                            </m:r>
                            <m:d>
                              <m:dPr>
                                <m:ctrlPr>
                                  <a:rPr lang="en-US" sz="1400" i="1">
                                    <a:solidFill>
                                      <a:srgbClr val="FF0000"/>
                                    </a:solidFill>
                                    <a:effectLst/>
                                    <a:latin typeface="Cambria Math" panose="02040503050406030204" pitchFamily="18" charset="0"/>
                                    <a:ea typeface="+mn-ea"/>
                                    <a:cs typeface="+mn-cs"/>
                                  </a:rPr>
                                </m:ctrlPr>
                              </m:dPr>
                              <m:e>
                                <m:f>
                                  <m:fPr>
                                    <m:ctrlPr>
                                      <a:rPr lang="en-US" sz="1400" i="1">
                                        <a:solidFill>
                                          <a:srgbClr val="FF0000"/>
                                        </a:solidFill>
                                        <a:effectLst/>
                                        <a:latin typeface="Cambria Math" panose="02040503050406030204" pitchFamily="18" charset="0"/>
                                        <a:ea typeface="+mn-ea"/>
                                        <a:cs typeface="+mn-cs"/>
                                      </a:rPr>
                                    </m:ctrlPr>
                                  </m:fPr>
                                  <m:num>
                                    <m:r>
                                      <a:rPr lang="en-US" sz="1400" i="1">
                                        <a:solidFill>
                                          <a:srgbClr val="FF0000"/>
                                        </a:solidFill>
                                        <a:effectLst/>
                                        <a:latin typeface="Cambria Math" panose="02040503050406030204" pitchFamily="18" charset="0"/>
                                        <a:ea typeface="+mn-ea"/>
                                        <a:cs typeface="+mn-cs"/>
                                      </a:rPr>
                                      <m:t>1</m:t>
                                    </m:r>
                                  </m:num>
                                  <m:den>
                                    <m:r>
                                      <a:rPr lang="en-US" sz="1400" i="1">
                                        <a:solidFill>
                                          <a:srgbClr val="FF0000"/>
                                        </a:solidFill>
                                        <a:effectLst/>
                                        <a:latin typeface="Cambria Math" panose="02040503050406030204" pitchFamily="18" charset="0"/>
                                        <a:ea typeface="+mn-ea"/>
                                        <a:cs typeface="+mn-cs"/>
                                      </a:rPr>
                                      <m:t>𝑆𝐸𝐸</m:t>
                                    </m:r>
                                    <m:sSub>
                                      <m:sSubPr>
                                        <m:ctrlPr>
                                          <a:rPr lang="en-US" sz="1400" b="0" i="1">
                                            <a:solidFill>
                                              <a:srgbClr val="FF0000"/>
                                            </a:solidFill>
                                            <a:effectLst/>
                                            <a:latin typeface="Cambria Math" panose="02040503050406030204" pitchFamily="18" charset="0"/>
                                            <a:ea typeface="+mn-ea"/>
                                            <a:cs typeface="+mn-cs"/>
                                          </a:rPr>
                                        </m:ctrlPr>
                                      </m:sSubPr>
                                      <m:e>
                                        <m:r>
                                          <a:rPr lang="en-US" sz="1400" i="1">
                                            <a:solidFill>
                                              <a:srgbClr val="FF0000"/>
                                            </a:solidFill>
                                            <a:effectLst/>
                                            <a:latin typeface="Cambria Math" panose="02040503050406030204" pitchFamily="18" charset="0"/>
                                            <a:ea typeface="+mn-ea"/>
                                            <a:cs typeface="+mn-cs"/>
                                          </a:rPr>
                                          <m:t>𝑅</m:t>
                                        </m:r>
                                      </m:e>
                                      <m:sub>
                                        <m:r>
                                          <a:rPr lang="en-US" sz="1400" b="0" i="1">
                                            <a:solidFill>
                                              <a:srgbClr val="FF0000"/>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𝐼𝑛</m:t>
                                        </m:r>
                                      </m:sub>
                                    </m:sSub>
                                  </m:den>
                                </m:f>
                                <m:r>
                                  <a:rPr lang="en-US" sz="1400" i="1">
                                    <a:solidFill>
                                      <a:srgbClr val="FF0000"/>
                                    </a:solidFill>
                                    <a:effectLst/>
                                    <a:latin typeface="Cambria Math" panose="02040503050406030204" pitchFamily="18" charset="0"/>
                                    <a:ea typeface="+mn-ea"/>
                                    <a:cs typeface="+mn-cs"/>
                                  </a:rPr>
                                  <m:t> −</m:t>
                                </m:r>
                                <m:f>
                                  <m:fPr>
                                    <m:ctrlPr>
                                      <a:rPr lang="en-US" sz="1400" i="1">
                                        <a:solidFill>
                                          <a:srgbClr val="FF0000"/>
                                        </a:solidFill>
                                        <a:effectLst/>
                                        <a:latin typeface="Cambria Math" panose="02040503050406030204" pitchFamily="18" charset="0"/>
                                        <a:ea typeface="+mn-ea"/>
                                        <a:cs typeface="+mn-cs"/>
                                      </a:rPr>
                                    </m:ctrlPr>
                                  </m:fPr>
                                  <m:num>
                                    <m:r>
                                      <a:rPr lang="en-US" sz="1400" i="1">
                                        <a:solidFill>
                                          <a:srgbClr val="FF0000"/>
                                        </a:solidFill>
                                        <a:effectLst/>
                                        <a:latin typeface="Cambria Math" panose="02040503050406030204" pitchFamily="18" charset="0"/>
                                        <a:ea typeface="+mn-ea"/>
                                        <a:cs typeface="+mn-cs"/>
                                      </a:rPr>
                                      <m:t>1</m:t>
                                    </m:r>
                                  </m:num>
                                  <m:den>
                                    <m:r>
                                      <a:rPr lang="en-US" sz="1400" i="1">
                                        <a:solidFill>
                                          <a:srgbClr val="FF0000"/>
                                        </a:solidFill>
                                        <a:effectLst/>
                                        <a:latin typeface="Cambria Math" panose="02040503050406030204" pitchFamily="18" charset="0"/>
                                        <a:ea typeface="+mn-ea"/>
                                        <a:cs typeface="+mn-cs"/>
                                      </a:rPr>
                                      <m:t>𝑆𝐸𝐸</m:t>
                                    </m:r>
                                    <m:sSub>
                                      <m:sSubPr>
                                        <m:ctrlPr>
                                          <a:rPr lang="en-US" sz="1400" b="0" i="1">
                                            <a:solidFill>
                                              <a:srgbClr val="FF0000"/>
                                            </a:solidFill>
                                            <a:effectLst/>
                                            <a:latin typeface="Cambria Math" panose="02040503050406030204" pitchFamily="18" charset="0"/>
                                            <a:ea typeface="+mn-ea"/>
                                            <a:cs typeface="+mn-cs"/>
                                          </a:rPr>
                                        </m:ctrlPr>
                                      </m:sSubPr>
                                      <m:e>
                                        <m:r>
                                          <a:rPr lang="en-US" sz="1400" i="1">
                                            <a:solidFill>
                                              <a:srgbClr val="FF0000"/>
                                            </a:solidFill>
                                            <a:effectLst/>
                                            <a:latin typeface="Cambria Math" panose="02040503050406030204" pitchFamily="18" charset="0"/>
                                            <a:ea typeface="+mn-ea"/>
                                            <a:cs typeface="+mn-cs"/>
                                          </a:rPr>
                                          <m:t>𝑅</m:t>
                                        </m:r>
                                      </m:e>
                                      <m:sub>
                                        <m:r>
                                          <a:rPr lang="en-US" sz="1400" b="0" i="1">
                                            <a:solidFill>
                                              <a:srgbClr val="FF0000"/>
                                            </a:solidFill>
                                            <a:effectLst/>
                                            <a:latin typeface="Cambria Math" panose="02040503050406030204" pitchFamily="18" charset="0"/>
                                            <a:ea typeface="+mn-ea"/>
                                            <a:cs typeface="+mn-cs"/>
                                          </a:rPr>
                                          <m:t>𝑇𝑒𝑠𝑡𝑂𝑢𝑡</m:t>
                                        </m:r>
                                      </m:sub>
                                    </m:sSub>
                                  </m:den>
                                </m:f>
                              </m:e>
                            </m:d>
                          </m:e>
                        </m:d>
                      </m:num>
                      <m:den>
                        <m:r>
                          <a:rPr lang="en-US" sz="1400" i="1">
                            <a:solidFill>
                              <a:srgbClr val="FF0000"/>
                            </a:solidFill>
                            <a:effectLst/>
                            <a:latin typeface="Cambria Math" panose="02040503050406030204" pitchFamily="18" charset="0"/>
                            <a:ea typeface="+mn-ea"/>
                            <a:cs typeface="+mn-cs"/>
                          </a:rPr>
                          <m:t>1</m:t>
                        </m:r>
                        <m:r>
                          <a:rPr lang="en-US" sz="1400" b="0" i="1">
                            <a:solidFill>
                              <a:srgbClr val="FF0000"/>
                            </a:solidFill>
                            <a:effectLst/>
                            <a:latin typeface="Cambria Math" panose="02040503050406030204" pitchFamily="18" charset="0"/>
                            <a:ea typeface="+mn-ea"/>
                            <a:cs typeface="+mn-cs"/>
                          </a:rPr>
                          <m:t>,</m:t>
                        </m:r>
                        <m:r>
                          <a:rPr lang="en-US" sz="1400" i="1">
                            <a:solidFill>
                              <a:srgbClr val="FF0000"/>
                            </a:solidFill>
                            <a:effectLst/>
                            <a:latin typeface="Cambria Math" panose="02040503050406030204" pitchFamily="18" charset="0"/>
                            <a:ea typeface="+mn-ea"/>
                            <a:cs typeface="+mn-cs"/>
                          </a:rPr>
                          <m:t>000</m:t>
                        </m:r>
                      </m:den>
                    </m:f>
                    <m:r>
                      <a:rPr lang="en-US" sz="1400" i="1">
                        <a:solidFill>
                          <a:srgbClr val="FF0000"/>
                        </a:solidFill>
                        <a:effectLst/>
                        <a:latin typeface="Cambria Math" panose="02040503050406030204" pitchFamily="18" charset="0"/>
                        <a:ea typeface="+mn-ea"/>
                        <a:cs typeface="+mn-cs"/>
                      </a:rPr>
                      <m:t> +</m:t>
                    </m:r>
                    <m:f>
                      <m:fPr>
                        <m:ctrlPr>
                          <a:rPr lang="en-US" sz="1400" i="1">
                            <a:solidFill>
                              <a:srgbClr val="FF0000"/>
                            </a:solidFill>
                            <a:effectLst/>
                            <a:latin typeface="Cambria Math" panose="02040503050406030204" pitchFamily="18" charset="0"/>
                            <a:ea typeface="+mn-ea"/>
                            <a:cs typeface="+mn-cs"/>
                          </a:rPr>
                        </m:ctrlPr>
                      </m:fPr>
                      <m:num>
                        <m:d>
                          <m:dPr>
                            <m:ctrlPr>
                              <a:rPr lang="en-US" sz="1400" i="1">
                                <a:solidFill>
                                  <a:srgbClr val="FF0000"/>
                                </a:solidFill>
                                <a:effectLst/>
                                <a:latin typeface="Cambria Math" panose="02040503050406030204" pitchFamily="18" charset="0"/>
                                <a:ea typeface="+mn-ea"/>
                                <a:cs typeface="+mn-cs"/>
                              </a:rPr>
                            </m:ctrlPr>
                          </m:dPr>
                          <m:e>
                            <m:r>
                              <a:rPr lang="en-US" sz="1400" i="1">
                                <a:solidFill>
                                  <a:srgbClr val="FF0000"/>
                                </a:solidFill>
                                <a:effectLst/>
                                <a:latin typeface="Cambria Math" panose="02040503050406030204" pitchFamily="18" charset="0"/>
                                <a:ea typeface="+mn-ea"/>
                                <a:cs typeface="+mn-cs"/>
                              </a:rPr>
                              <m:t>𝐸𝐹𝐿</m:t>
                            </m:r>
                            <m:sSub>
                              <m:sSubPr>
                                <m:ctrlPr>
                                  <a:rPr lang="en-US" sz="1400" b="0" i="1">
                                    <a:solidFill>
                                      <a:srgbClr val="FF0000"/>
                                    </a:solidFill>
                                    <a:effectLst/>
                                    <a:latin typeface="Cambria Math" panose="02040503050406030204" pitchFamily="18" charset="0"/>
                                    <a:ea typeface="+mn-ea"/>
                                    <a:cs typeface="+mn-cs"/>
                                  </a:rPr>
                                </m:ctrlPr>
                              </m:sSubPr>
                              <m:e>
                                <m:r>
                                  <a:rPr lang="en-US" sz="1400" i="1">
                                    <a:solidFill>
                                      <a:srgbClr val="FF0000"/>
                                    </a:solidFill>
                                    <a:effectLst/>
                                    <a:latin typeface="Cambria Math" panose="02040503050406030204" pitchFamily="18" charset="0"/>
                                    <a:ea typeface="+mn-ea"/>
                                    <a:cs typeface="+mn-cs"/>
                                  </a:rPr>
                                  <m:t>𝐻</m:t>
                                </m:r>
                              </m:e>
                              <m:sub>
                                <m:r>
                                  <a:rPr lang="en-US" sz="1400" i="1">
                                    <a:solidFill>
                                      <a:srgbClr val="FF0000"/>
                                    </a:solidFill>
                                    <a:effectLst/>
                                    <a:latin typeface="Cambria Math" panose="02040503050406030204" pitchFamily="18" charset="0"/>
                                    <a:ea typeface="+mn-ea"/>
                                    <a:cs typeface="+mn-cs"/>
                                  </a:rPr>
                                  <m:t>h𝑒𝑎𝑡</m:t>
                                </m:r>
                              </m:sub>
                            </m:sSub>
                            <m:r>
                              <a:rPr lang="en-US" sz="1400" i="1">
                                <a:solidFill>
                                  <a:srgbClr val="FF0000"/>
                                </a:solidFill>
                                <a:effectLst/>
                                <a:latin typeface="Cambria Math" panose="02040503050406030204" pitchFamily="18" charset="0"/>
                                <a:ea typeface="+mn-ea"/>
                                <a:cs typeface="+mn-cs"/>
                              </a:rPr>
                              <m:t> ∗ </m:t>
                            </m:r>
                            <m:r>
                              <a:rPr lang="en-US" sz="1400" i="1">
                                <a:solidFill>
                                  <a:srgbClr val="FF0000"/>
                                </a:solidFill>
                                <a:effectLst/>
                                <a:latin typeface="Cambria Math" panose="02040503050406030204" pitchFamily="18" charset="0"/>
                                <a:ea typeface="+mn-ea"/>
                                <a:cs typeface="+mn-cs"/>
                              </a:rPr>
                              <m:t>𝐶𝑎𝑝𝑎𝑐𝑖𝑡</m:t>
                            </m:r>
                            <m:sSub>
                              <m:sSubPr>
                                <m:ctrlPr>
                                  <a:rPr lang="en-US" sz="1400" b="0" i="1">
                                    <a:solidFill>
                                      <a:srgbClr val="FF0000"/>
                                    </a:solidFill>
                                    <a:effectLst/>
                                    <a:latin typeface="Cambria Math" panose="02040503050406030204" pitchFamily="18" charset="0"/>
                                    <a:ea typeface="+mn-ea"/>
                                    <a:cs typeface="+mn-cs"/>
                                  </a:rPr>
                                </m:ctrlPr>
                              </m:sSubPr>
                              <m:e>
                                <m:r>
                                  <a:rPr lang="en-US" sz="1400" i="1">
                                    <a:solidFill>
                                      <a:srgbClr val="FF0000"/>
                                    </a:solidFill>
                                    <a:effectLst/>
                                    <a:latin typeface="Cambria Math" panose="02040503050406030204" pitchFamily="18" charset="0"/>
                                    <a:ea typeface="+mn-ea"/>
                                    <a:cs typeface="+mn-cs"/>
                                  </a:rPr>
                                  <m:t>𝑦</m:t>
                                </m:r>
                              </m:e>
                              <m:sub>
                                <m:r>
                                  <a:rPr lang="en-US" sz="1400" i="1">
                                    <a:solidFill>
                                      <a:srgbClr val="FF0000"/>
                                    </a:solidFill>
                                    <a:effectLst/>
                                    <a:latin typeface="Cambria Math" panose="02040503050406030204" pitchFamily="18" charset="0"/>
                                    <a:ea typeface="+mn-ea"/>
                                    <a:cs typeface="+mn-cs"/>
                                  </a:rPr>
                                  <m:t>h𝑒𝑎𝑡</m:t>
                                </m:r>
                              </m:sub>
                            </m:sSub>
                            <m:r>
                              <a:rPr lang="en-US" sz="1400" i="1">
                                <a:solidFill>
                                  <a:srgbClr val="FF0000"/>
                                </a:solidFill>
                                <a:effectLst/>
                                <a:latin typeface="Cambria Math" panose="02040503050406030204" pitchFamily="18" charset="0"/>
                                <a:ea typeface="+mn-ea"/>
                                <a:cs typeface="+mn-cs"/>
                              </a:rPr>
                              <m:t> ∗ </m:t>
                            </m:r>
                            <m:d>
                              <m:dPr>
                                <m:ctrlPr>
                                  <a:rPr lang="en-US" sz="1400" i="1">
                                    <a:solidFill>
                                      <a:srgbClr val="FF0000"/>
                                    </a:solidFill>
                                    <a:effectLst/>
                                    <a:latin typeface="Cambria Math" panose="02040503050406030204" pitchFamily="18" charset="0"/>
                                    <a:ea typeface="+mn-ea"/>
                                    <a:cs typeface="+mn-cs"/>
                                  </a:rPr>
                                </m:ctrlPr>
                              </m:dPr>
                              <m:e>
                                <m:f>
                                  <m:fPr>
                                    <m:ctrlPr>
                                      <a:rPr lang="en-US" sz="1400" i="1">
                                        <a:solidFill>
                                          <a:srgbClr val="FF0000"/>
                                        </a:solidFill>
                                        <a:effectLst/>
                                        <a:latin typeface="Cambria Math" panose="02040503050406030204" pitchFamily="18" charset="0"/>
                                        <a:ea typeface="+mn-ea"/>
                                        <a:cs typeface="+mn-cs"/>
                                      </a:rPr>
                                    </m:ctrlPr>
                                  </m:fPr>
                                  <m:num>
                                    <m:r>
                                      <a:rPr lang="en-US" sz="1400" i="1">
                                        <a:solidFill>
                                          <a:srgbClr val="FF0000"/>
                                        </a:solidFill>
                                        <a:effectLst/>
                                        <a:latin typeface="Cambria Math" panose="02040503050406030204" pitchFamily="18" charset="0"/>
                                        <a:ea typeface="+mn-ea"/>
                                        <a:cs typeface="+mn-cs"/>
                                      </a:rPr>
                                      <m:t>1</m:t>
                                    </m:r>
                                  </m:num>
                                  <m:den>
                                    <m:r>
                                      <a:rPr lang="en-US" sz="1400" i="1">
                                        <a:solidFill>
                                          <a:srgbClr val="FF0000"/>
                                        </a:solidFill>
                                        <a:effectLst/>
                                        <a:latin typeface="Cambria Math" panose="02040503050406030204" pitchFamily="18" charset="0"/>
                                        <a:ea typeface="+mn-ea"/>
                                        <a:cs typeface="+mn-cs"/>
                                      </a:rPr>
                                      <m:t>𝐻𝑆𝑃</m:t>
                                    </m:r>
                                    <m:sSub>
                                      <m:sSubPr>
                                        <m:ctrlPr>
                                          <a:rPr lang="en-US" sz="1400" b="0" i="1">
                                            <a:solidFill>
                                              <a:srgbClr val="FF0000"/>
                                            </a:solidFill>
                                            <a:effectLst/>
                                            <a:latin typeface="Cambria Math" panose="02040503050406030204" pitchFamily="18" charset="0"/>
                                            <a:ea typeface="+mn-ea"/>
                                            <a:cs typeface="+mn-cs"/>
                                          </a:rPr>
                                        </m:ctrlPr>
                                      </m:sSubPr>
                                      <m:e>
                                        <m:r>
                                          <a:rPr lang="en-US" sz="1400" i="1">
                                            <a:solidFill>
                                              <a:srgbClr val="FF0000"/>
                                            </a:solidFill>
                                            <a:effectLst/>
                                            <a:latin typeface="Cambria Math" panose="02040503050406030204" pitchFamily="18" charset="0"/>
                                            <a:ea typeface="+mn-ea"/>
                                            <a:cs typeface="+mn-cs"/>
                                          </a:rPr>
                                          <m:t>𝐹</m:t>
                                        </m:r>
                                      </m:e>
                                      <m:sub>
                                        <m:r>
                                          <a:rPr lang="en-US" sz="1400" b="0" i="1">
                                            <a:solidFill>
                                              <a:srgbClr val="FF0000"/>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𝐼𝑛</m:t>
                                        </m:r>
                                      </m:sub>
                                    </m:sSub>
                                  </m:den>
                                </m:f>
                                <m:r>
                                  <a:rPr lang="en-US" sz="1400" i="1">
                                    <a:solidFill>
                                      <a:srgbClr val="FF0000"/>
                                    </a:solidFill>
                                    <a:effectLst/>
                                    <a:latin typeface="Cambria Math" panose="02040503050406030204" pitchFamily="18" charset="0"/>
                                    <a:ea typeface="+mn-ea"/>
                                    <a:cs typeface="+mn-cs"/>
                                  </a:rPr>
                                  <m:t> −</m:t>
                                </m:r>
                                <m:f>
                                  <m:fPr>
                                    <m:ctrlPr>
                                      <a:rPr lang="en-US" sz="1400" i="1">
                                        <a:solidFill>
                                          <a:srgbClr val="FF0000"/>
                                        </a:solidFill>
                                        <a:effectLst/>
                                        <a:latin typeface="Cambria Math" panose="02040503050406030204" pitchFamily="18" charset="0"/>
                                        <a:ea typeface="+mn-ea"/>
                                        <a:cs typeface="+mn-cs"/>
                                      </a:rPr>
                                    </m:ctrlPr>
                                  </m:fPr>
                                  <m:num>
                                    <m:r>
                                      <a:rPr lang="en-US" sz="1400" i="1">
                                        <a:solidFill>
                                          <a:srgbClr val="FF0000"/>
                                        </a:solidFill>
                                        <a:effectLst/>
                                        <a:latin typeface="Cambria Math" panose="02040503050406030204" pitchFamily="18" charset="0"/>
                                        <a:ea typeface="+mn-ea"/>
                                        <a:cs typeface="+mn-cs"/>
                                      </a:rPr>
                                      <m:t>1</m:t>
                                    </m:r>
                                  </m:num>
                                  <m:den>
                                    <m:r>
                                      <a:rPr lang="en-US" sz="1400" i="1">
                                        <a:solidFill>
                                          <a:srgbClr val="FF0000"/>
                                        </a:solidFill>
                                        <a:effectLst/>
                                        <a:latin typeface="Cambria Math" panose="02040503050406030204" pitchFamily="18" charset="0"/>
                                        <a:ea typeface="+mn-ea"/>
                                        <a:cs typeface="+mn-cs"/>
                                      </a:rPr>
                                      <m:t>𝐻𝑆𝐹</m:t>
                                    </m:r>
                                    <m:sSub>
                                      <m:sSubPr>
                                        <m:ctrlPr>
                                          <a:rPr lang="en-US" sz="1400" b="0" i="1">
                                            <a:solidFill>
                                              <a:srgbClr val="FF0000"/>
                                            </a:solidFill>
                                            <a:effectLst/>
                                            <a:latin typeface="Cambria Math" panose="02040503050406030204" pitchFamily="18" charset="0"/>
                                            <a:ea typeface="+mn-ea"/>
                                            <a:cs typeface="+mn-cs"/>
                                          </a:rPr>
                                        </m:ctrlPr>
                                      </m:sSubPr>
                                      <m:e>
                                        <m:r>
                                          <a:rPr lang="en-US" sz="1400" i="1">
                                            <a:solidFill>
                                              <a:srgbClr val="FF0000"/>
                                            </a:solidFill>
                                            <a:effectLst/>
                                            <a:latin typeface="Cambria Math" panose="02040503050406030204" pitchFamily="18" charset="0"/>
                                            <a:ea typeface="+mn-ea"/>
                                            <a:cs typeface="+mn-cs"/>
                                          </a:rPr>
                                          <m:t>𝑃</m:t>
                                        </m:r>
                                      </m:e>
                                      <m:sub>
                                        <m:r>
                                          <a:rPr lang="en-US" sz="1400" b="0" i="1">
                                            <a:solidFill>
                                              <a:srgbClr val="FF0000"/>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𝑂𝑢𝑡</m:t>
                                        </m:r>
                                      </m:sub>
                                    </m:sSub>
                                  </m:den>
                                </m:f>
                              </m:e>
                            </m:d>
                          </m:e>
                        </m:d>
                      </m:num>
                      <m:den>
                        <m:r>
                          <a:rPr lang="en-US" sz="1400" i="1">
                            <a:solidFill>
                              <a:srgbClr val="FF0000"/>
                            </a:solidFill>
                            <a:effectLst/>
                            <a:latin typeface="Cambria Math" panose="02040503050406030204" pitchFamily="18" charset="0"/>
                            <a:ea typeface="+mn-ea"/>
                            <a:cs typeface="+mn-cs"/>
                          </a:rPr>
                          <m:t>1000</m:t>
                        </m:r>
                      </m:den>
                    </m:f>
                  </m:oMath>
                </m:oMathPara>
              </a14:m>
              <a:endParaRPr lang="en-US" sz="1200">
                <a:solidFill>
                  <a:srgbClr val="FF0000"/>
                </a:solidFill>
                <a:effectLst/>
                <a:latin typeface="+mn-lt"/>
                <a:ea typeface="+mn-ea"/>
                <a:cs typeface="+mn-cs"/>
              </a:endParaRPr>
            </a:p>
          </xdr:txBody>
        </xdr:sp>
      </mc:Choice>
      <mc:Fallback xmlns="">
        <xdr:sp macro="" textlink="">
          <xdr:nvSpPr>
            <xdr:cNvPr id="97" name="TextBox 96">
              <a:extLst>
                <a:ext uri="{FF2B5EF4-FFF2-40B4-BE49-F238E27FC236}">
                  <a16:creationId xmlns:a16="http://schemas.microsoft.com/office/drawing/2014/main" id="{0C441426-1C73-4922-BDAD-FF713E4A755A}"/>
                </a:ext>
                <a:ext uri="{147F2762-F138-4A5C-976F-8EAC2B608ADB}">
                  <a16:predDERef xmlns:a16="http://schemas.microsoft.com/office/drawing/2014/main" pred="{C5BB5102-D9F1-463D-BAA9-08D2DB821553}"/>
                </a:ext>
              </a:extLst>
            </xdr:cNvPr>
            <xdr:cNvSpPr txBox="1"/>
          </xdr:nvSpPr>
          <xdr:spPr>
            <a:xfrm>
              <a:off x="3913909" y="13127182"/>
              <a:ext cx="11455484" cy="7179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rgbClr val="FF0000"/>
                  </a:solidFill>
                  <a:effectLst/>
                  <a:latin typeface="Cambria Math" panose="02040503050406030204" pitchFamily="18" charset="0"/>
                  <a:ea typeface="+mn-ea"/>
                  <a:cs typeface="+mn-cs"/>
                </a:rPr>
                <a:t>Δ𝑘𝑊ℎ𝐴𝑆𝐻𝑃 =((𝐸𝐹𝐿𝐻</a:t>
              </a:r>
              <a:r>
                <a:rPr lang="en-US" sz="1400" b="0" i="0">
                  <a:solidFill>
                    <a:srgbClr val="FF0000"/>
                  </a:solidFill>
                  <a:effectLst/>
                  <a:latin typeface="Cambria Math" panose="02040503050406030204" pitchFamily="18" charset="0"/>
                  <a:ea typeface="+mn-ea"/>
                  <a:cs typeface="+mn-cs"/>
                </a:rPr>
                <a:t>_</a:t>
              </a:r>
              <a:r>
                <a:rPr lang="en-US" sz="1400" i="0">
                  <a:solidFill>
                    <a:srgbClr val="FF0000"/>
                  </a:solidFill>
                  <a:effectLst/>
                  <a:latin typeface="Cambria Math" panose="02040503050406030204" pitchFamily="18" charset="0"/>
                  <a:ea typeface="+mn-ea"/>
                  <a:cs typeface="+mn-cs"/>
                </a:rPr>
                <a:t>𝑐𝑜𝑜𝑙  ∗ 𝐶𝑎𝑝𝑎𝑐𝑖𝑡𝑦</a:t>
              </a:r>
              <a:r>
                <a:rPr lang="en-US" sz="1400" b="0" i="0">
                  <a:solidFill>
                    <a:srgbClr val="FF0000"/>
                  </a:solidFill>
                  <a:effectLst/>
                  <a:latin typeface="Cambria Math" panose="02040503050406030204" pitchFamily="18" charset="0"/>
                  <a:ea typeface="+mn-ea"/>
                  <a:cs typeface="+mn-cs"/>
                </a:rPr>
                <a:t>_</a:t>
              </a:r>
              <a:r>
                <a:rPr lang="en-US" sz="1400" i="0">
                  <a:solidFill>
                    <a:srgbClr val="FF0000"/>
                  </a:solidFill>
                  <a:effectLst/>
                  <a:latin typeface="Cambria Math" panose="02040503050406030204" pitchFamily="18" charset="0"/>
                  <a:ea typeface="+mn-ea"/>
                  <a:cs typeface="+mn-cs"/>
                </a:rPr>
                <a:t>𝑐𝑜𝑜𝑙  ∗ (1/(𝑆𝐸𝐸𝑅</a:t>
              </a:r>
              <a:r>
                <a:rPr lang="en-US" sz="1400" b="0" i="0">
                  <a:solidFill>
                    <a:srgbClr val="FF0000"/>
                  </a:solidFill>
                  <a:effectLst/>
                  <a:latin typeface="Cambria Math" panose="02040503050406030204" pitchFamily="18" charset="0"/>
                  <a:ea typeface="+mn-ea"/>
                  <a:cs typeface="+mn-cs"/>
                </a:rPr>
                <a:t>_(𝑇𝑒𝑠𝑡−𝐼𝑛) ) </a:t>
              </a:r>
              <a:r>
                <a:rPr lang="en-US" sz="1400" i="0">
                  <a:solidFill>
                    <a:srgbClr val="FF0000"/>
                  </a:solidFill>
                  <a:effectLst/>
                  <a:latin typeface="Cambria Math" panose="02040503050406030204" pitchFamily="18" charset="0"/>
                  <a:ea typeface="+mn-ea"/>
                  <a:cs typeface="+mn-cs"/>
                </a:rPr>
                <a:t> −1/(𝑆𝐸𝐸𝑅</a:t>
              </a:r>
              <a:r>
                <a:rPr lang="en-US" sz="1400" b="0" i="0">
                  <a:solidFill>
                    <a:srgbClr val="FF0000"/>
                  </a:solidFill>
                  <a:effectLst/>
                  <a:latin typeface="Cambria Math" panose="02040503050406030204" pitchFamily="18" charset="0"/>
                  <a:ea typeface="+mn-ea"/>
                  <a:cs typeface="+mn-cs"/>
                </a:rPr>
                <a:t>_𝑇𝑒𝑠𝑡𝑂𝑢𝑡 ))))/</a:t>
              </a:r>
              <a:r>
                <a:rPr lang="en-US" sz="1400" i="0">
                  <a:solidFill>
                    <a:srgbClr val="FF0000"/>
                  </a:solidFill>
                  <a:effectLst/>
                  <a:latin typeface="Cambria Math" panose="02040503050406030204" pitchFamily="18" charset="0"/>
                  <a:ea typeface="+mn-ea"/>
                  <a:cs typeface="+mn-cs"/>
                </a:rPr>
                <a:t>1</a:t>
              </a:r>
              <a:r>
                <a:rPr lang="en-US" sz="1400" b="0" i="0">
                  <a:solidFill>
                    <a:srgbClr val="FF0000"/>
                  </a:solidFill>
                  <a:effectLst/>
                  <a:latin typeface="Cambria Math" panose="02040503050406030204" pitchFamily="18" charset="0"/>
                  <a:ea typeface="+mn-ea"/>
                  <a:cs typeface="+mn-cs"/>
                </a:rPr>
                <a:t>,</a:t>
              </a:r>
              <a:r>
                <a:rPr lang="en-US" sz="1400" i="0">
                  <a:solidFill>
                    <a:srgbClr val="FF0000"/>
                  </a:solidFill>
                  <a:effectLst/>
                  <a:latin typeface="Cambria Math" panose="02040503050406030204" pitchFamily="18" charset="0"/>
                  <a:ea typeface="+mn-ea"/>
                  <a:cs typeface="+mn-cs"/>
                </a:rPr>
                <a:t>000  +((𝐸𝐹𝐿𝐻</a:t>
              </a:r>
              <a:r>
                <a:rPr lang="en-US" sz="1400" b="0" i="0">
                  <a:solidFill>
                    <a:srgbClr val="FF0000"/>
                  </a:solidFill>
                  <a:effectLst/>
                  <a:latin typeface="Cambria Math" panose="02040503050406030204" pitchFamily="18" charset="0"/>
                  <a:ea typeface="+mn-ea"/>
                  <a:cs typeface="+mn-cs"/>
                </a:rPr>
                <a:t>_</a:t>
              </a:r>
              <a:r>
                <a:rPr lang="en-US" sz="1400" i="0">
                  <a:solidFill>
                    <a:srgbClr val="FF0000"/>
                  </a:solidFill>
                  <a:effectLst/>
                  <a:latin typeface="Cambria Math" panose="02040503050406030204" pitchFamily="18" charset="0"/>
                  <a:ea typeface="+mn-ea"/>
                  <a:cs typeface="+mn-cs"/>
                </a:rPr>
                <a:t>ℎ𝑒𝑎𝑡  ∗ 𝐶𝑎𝑝𝑎𝑐𝑖𝑡𝑦</a:t>
              </a:r>
              <a:r>
                <a:rPr lang="en-US" sz="1400" b="0" i="0">
                  <a:solidFill>
                    <a:srgbClr val="FF0000"/>
                  </a:solidFill>
                  <a:effectLst/>
                  <a:latin typeface="Cambria Math" panose="02040503050406030204" pitchFamily="18" charset="0"/>
                  <a:ea typeface="+mn-ea"/>
                  <a:cs typeface="+mn-cs"/>
                </a:rPr>
                <a:t>_</a:t>
              </a:r>
              <a:r>
                <a:rPr lang="en-US" sz="1400" i="0">
                  <a:solidFill>
                    <a:srgbClr val="FF0000"/>
                  </a:solidFill>
                  <a:effectLst/>
                  <a:latin typeface="Cambria Math" panose="02040503050406030204" pitchFamily="18" charset="0"/>
                  <a:ea typeface="+mn-ea"/>
                  <a:cs typeface="+mn-cs"/>
                </a:rPr>
                <a:t>ℎ𝑒𝑎𝑡  ∗ (1/(𝐻𝑆𝑃𝐹</a:t>
              </a:r>
              <a:r>
                <a:rPr lang="en-US" sz="1400" b="0" i="0">
                  <a:solidFill>
                    <a:srgbClr val="FF0000"/>
                  </a:solidFill>
                  <a:effectLst/>
                  <a:latin typeface="Cambria Math" panose="02040503050406030204" pitchFamily="18" charset="0"/>
                  <a:ea typeface="+mn-ea"/>
                  <a:cs typeface="+mn-cs"/>
                </a:rPr>
                <a:t>_(𝑇𝑒𝑠𝑡−𝐼𝑛) ) </a:t>
              </a:r>
              <a:r>
                <a:rPr lang="en-US" sz="1400" i="0">
                  <a:solidFill>
                    <a:srgbClr val="FF0000"/>
                  </a:solidFill>
                  <a:effectLst/>
                  <a:latin typeface="Cambria Math" panose="02040503050406030204" pitchFamily="18" charset="0"/>
                  <a:ea typeface="+mn-ea"/>
                  <a:cs typeface="+mn-cs"/>
                </a:rPr>
                <a:t> −1/(𝐻𝑆𝐹𝑃</a:t>
              </a:r>
              <a:r>
                <a:rPr lang="en-US" sz="1400" b="0" i="0">
                  <a:solidFill>
                    <a:srgbClr val="FF0000"/>
                  </a:solidFill>
                  <a:effectLst/>
                  <a:latin typeface="Cambria Math" panose="02040503050406030204" pitchFamily="18" charset="0"/>
                  <a:ea typeface="+mn-ea"/>
                  <a:cs typeface="+mn-cs"/>
                </a:rPr>
                <a:t>_(𝑇𝑒𝑠𝑡−𝑂𝑢𝑡) ))))/</a:t>
              </a:r>
              <a:r>
                <a:rPr lang="en-US" sz="1400" i="0">
                  <a:solidFill>
                    <a:srgbClr val="FF0000"/>
                  </a:solidFill>
                  <a:effectLst/>
                  <a:latin typeface="Cambria Math" panose="02040503050406030204" pitchFamily="18" charset="0"/>
                  <a:ea typeface="+mn-ea"/>
                  <a:cs typeface="+mn-cs"/>
                </a:rPr>
                <a:t>1000</a:t>
              </a:r>
              <a:endParaRPr lang="en-US" sz="1200">
                <a:solidFill>
                  <a:srgbClr val="FF0000"/>
                </a:solidFill>
                <a:effectLst/>
                <a:latin typeface="+mn-lt"/>
                <a:ea typeface="+mn-ea"/>
                <a:cs typeface="+mn-cs"/>
              </a:endParaRP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38</xdr:row>
      <xdr:rowOff>123825</xdr:rowOff>
    </xdr:from>
    <xdr:to>
      <xdr:col>7</xdr:col>
      <xdr:colOff>256543</xdr:colOff>
      <xdr:row>43</xdr:row>
      <xdr:rowOff>28468</xdr:rowOff>
    </xdr:to>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39</xdr:row>
      <xdr:rowOff>171450</xdr:rowOff>
    </xdr:from>
    <xdr:to>
      <xdr:col>9</xdr:col>
      <xdr:colOff>561770</xdr:colOff>
      <xdr:row>41</xdr:row>
      <xdr:rowOff>66640</xdr:rowOff>
    </xdr:to>
    <xdr:pic>
      <xdr:nvPicPr>
        <xdr:cNvPr id="9" name="Picture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62</xdr:row>
      <xdr:rowOff>133350</xdr:rowOff>
    </xdr:from>
    <xdr:to>
      <xdr:col>4</xdr:col>
      <xdr:colOff>2254081</xdr:colOff>
      <xdr:row>63</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A00-00000A000000}"/>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oneCellAnchor>
    <xdr:from>
      <xdr:col>5</xdr:col>
      <xdr:colOff>2269331</xdr:colOff>
      <xdr:row>15</xdr:row>
      <xdr:rowOff>0</xdr:rowOff>
    </xdr:from>
    <xdr:ext cx="65" cy="172227"/>
    <xdr:sp macro="" textlink="">
      <xdr:nvSpPr>
        <xdr:cNvPr id="12" name="TextBox 11">
          <a:extLst>
            <a:ext uri="{FF2B5EF4-FFF2-40B4-BE49-F238E27FC236}">
              <a16:creationId xmlns:a16="http://schemas.microsoft.com/office/drawing/2014/main" id="{00000000-0008-0000-0A00-00000C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3" name="TextBox 12">
          <a:extLst>
            <a:ext uri="{FF2B5EF4-FFF2-40B4-BE49-F238E27FC236}">
              <a16:creationId xmlns:a16="http://schemas.microsoft.com/office/drawing/2014/main" id="{00000000-0008-0000-0A00-00000D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4" name="TextBox 13">
          <a:extLst>
            <a:ext uri="{FF2B5EF4-FFF2-40B4-BE49-F238E27FC236}">
              <a16:creationId xmlns:a16="http://schemas.microsoft.com/office/drawing/2014/main" id="{00000000-0008-0000-0A00-00000E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0</xdr:rowOff>
    </xdr:from>
    <xdr:to>
      <xdr:col>6</xdr:col>
      <xdr:colOff>7209</xdr:colOff>
      <xdr:row>15</xdr:row>
      <xdr:rowOff>173417</xdr:rowOff>
    </xdr:to>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0</xdr:rowOff>
    </xdr:from>
    <xdr:to>
      <xdr:col>6</xdr:col>
      <xdr:colOff>7209</xdr:colOff>
      <xdr:row>15</xdr:row>
      <xdr:rowOff>173417</xdr:rowOff>
    </xdr:to>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8" name="TextBox 17">
          <a:extLst>
            <a:ext uri="{FF2B5EF4-FFF2-40B4-BE49-F238E27FC236}">
              <a16:creationId xmlns:a16="http://schemas.microsoft.com/office/drawing/2014/main" id="{00000000-0008-0000-0A00-000012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9" name="TextBox 18">
          <a:extLst>
            <a:ext uri="{FF2B5EF4-FFF2-40B4-BE49-F238E27FC236}">
              <a16:creationId xmlns:a16="http://schemas.microsoft.com/office/drawing/2014/main" id="{00000000-0008-0000-0A00-000013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0</xdr:rowOff>
    </xdr:from>
    <xdr:to>
      <xdr:col>6</xdr:col>
      <xdr:colOff>7209</xdr:colOff>
      <xdr:row>29</xdr:row>
      <xdr:rowOff>173417</xdr:rowOff>
    </xdr:to>
    <xdr:sp macro="" textlink="">
      <xdr:nvSpPr>
        <xdr:cNvPr id="20" name="TextBox 19">
          <a:extLst>
            <a:ext uri="{FF2B5EF4-FFF2-40B4-BE49-F238E27FC236}">
              <a16:creationId xmlns:a16="http://schemas.microsoft.com/office/drawing/2014/main" id="{00000000-0008-0000-0A00-000014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0</xdr:rowOff>
    </xdr:from>
    <xdr:to>
      <xdr:col>6</xdr:col>
      <xdr:colOff>7209</xdr:colOff>
      <xdr:row>29</xdr:row>
      <xdr:rowOff>173417</xdr:rowOff>
    </xdr:to>
    <xdr:sp macro="" textlink="">
      <xdr:nvSpPr>
        <xdr:cNvPr id="21" name="TextBox 20">
          <a:extLst>
            <a:ext uri="{FF2B5EF4-FFF2-40B4-BE49-F238E27FC236}">
              <a16:creationId xmlns:a16="http://schemas.microsoft.com/office/drawing/2014/main" id="{00000000-0008-0000-0A00-000015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00000000-0008-0000-0A00-000017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00000000-0008-0000-0A00-000018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00000000-0008-0000-0A00-000019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00000000-0008-0000-0A00-00001A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7" name="TextBox 26">
          <a:extLst>
            <a:ext uri="{FF2B5EF4-FFF2-40B4-BE49-F238E27FC236}">
              <a16:creationId xmlns:a16="http://schemas.microsoft.com/office/drawing/2014/main" id="{00000000-0008-0000-0A00-00001B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8" name="TextBox 27">
          <a:extLst>
            <a:ext uri="{FF2B5EF4-FFF2-40B4-BE49-F238E27FC236}">
              <a16:creationId xmlns:a16="http://schemas.microsoft.com/office/drawing/2014/main" id="{00000000-0008-0000-0A00-00001C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9" name="TextBox 28">
          <a:extLst>
            <a:ext uri="{FF2B5EF4-FFF2-40B4-BE49-F238E27FC236}">
              <a16:creationId xmlns:a16="http://schemas.microsoft.com/office/drawing/2014/main" id="{00000000-0008-0000-0A00-00001D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1" name="TextBox 30">
          <a:extLst>
            <a:ext uri="{FF2B5EF4-FFF2-40B4-BE49-F238E27FC236}">
              <a16:creationId xmlns:a16="http://schemas.microsoft.com/office/drawing/2014/main" id="{00000000-0008-0000-0A00-00001F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2" name="TextBox 31">
          <a:extLst>
            <a:ext uri="{FF2B5EF4-FFF2-40B4-BE49-F238E27FC236}">
              <a16:creationId xmlns:a16="http://schemas.microsoft.com/office/drawing/2014/main" id="{00000000-0008-0000-0A00-000020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5" name="TextBox 34">
          <a:extLst>
            <a:ext uri="{FF2B5EF4-FFF2-40B4-BE49-F238E27FC236}">
              <a16:creationId xmlns:a16="http://schemas.microsoft.com/office/drawing/2014/main" id="{00000000-0008-0000-0A00-000023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6" name="TextBox 35">
          <a:extLst>
            <a:ext uri="{FF2B5EF4-FFF2-40B4-BE49-F238E27FC236}">
              <a16:creationId xmlns:a16="http://schemas.microsoft.com/office/drawing/2014/main" id="{00000000-0008-0000-0A00-000024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7" name="TextBox 36">
          <a:extLst>
            <a:ext uri="{FF2B5EF4-FFF2-40B4-BE49-F238E27FC236}">
              <a16:creationId xmlns:a16="http://schemas.microsoft.com/office/drawing/2014/main" id="{00000000-0008-0000-0A00-000025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8" name="TextBox 37">
          <a:extLst>
            <a:ext uri="{FF2B5EF4-FFF2-40B4-BE49-F238E27FC236}">
              <a16:creationId xmlns:a16="http://schemas.microsoft.com/office/drawing/2014/main" id="{00000000-0008-0000-0A00-000026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39" name="TextBox 38">
          <a:extLst>
            <a:ext uri="{FF2B5EF4-FFF2-40B4-BE49-F238E27FC236}">
              <a16:creationId xmlns:a16="http://schemas.microsoft.com/office/drawing/2014/main" id="{47DB3C7D-A405-4770-B6BF-2AFFA63D1FFA}"/>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0" name="TextBox 39">
          <a:extLst>
            <a:ext uri="{FF2B5EF4-FFF2-40B4-BE49-F238E27FC236}">
              <a16:creationId xmlns:a16="http://schemas.microsoft.com/office/drawing/2014/main" id="{A35C3AA7-90A6-42FF-914E-E5137CB9C953}"/>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1" name="TextBox 40">
          <a:extLst>
            <a:ext uri="{FF2B5EF4-FFF2-40B4-BE49-F238E27FC236}">
              <a16:creationId xmlns:a16="http://schemas.microsoft.com/office/drawing/2014/main" id="{C863BFDC-727A-4952-A5D1-5F088BA34858}"/>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42" name="TextBox 41">
          <a:extLst>
            <a:ext uri="{FF2B5EF4-FFF2-40B4-BE49-F238E27FC236}">
              <a16:creationId xmlns:a16="http://schemas.microsoft.com/office/drawing/2014/main" id="{7B4C7A65-8BB6-4CBE-9059-88BC6617D8E6}"/>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43" name="TextBox 42">
          <a:extLst>
            <a:ext uri="{FF2B5EF4-FFF2-40B4-BE49-F238E27FC236}">
              <a16:creationId xmlns:a16="http://schemas.microsoft.com/office/drawing/2014/main" id="{38CE5931-E320-4859-B889-19E9F2C5C265}"/>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453627</xdr:rowOff>
    </xdr:from>
    <xdr:ext cx="65" cy="172227"/>
    <xdr:sp macro="" textlink="">
      <xdr:nvSpPr>
        <xdr:cNvPr id="44" name="TextBox 43">
          <a:extLst>
            <a:ext uri="{FF2B5EF4-FFF2-40B4-BE49-F238E27FC236}">
              <a16:creationId xmlns:a16="http://schemas.microsoft.com/office/drawing/2014/main" id="{2F9A4248-72E7-4587-8A53-DA7E6311618E}"/>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5" name="TextBox 44">
          <a:extLst>
            <a:ext uri="{FF2B5EF4-FFF2-40B4-BE49-F238E27FC236}">
              <a16:creationId xmlns:a16="http://schemas.microsoft.com/office/drawing/2014/main" id="{002B09B4-8137-491F-8B8E-E7EF99105F95}"/>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6" name="TextBox 45">
          <a:extLst>
            <a:ext uri="{FF2B5EF4-FFF2-40B4-BE49-F238E27FC236}">
              <a16:creationId xmlns:a16="http://schemas.microsoft.com/office/drawing/2014/main" id="{79979737-8278-4C10-B967-3E9210B8E52B}"/>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453627</xdr:rowOff>
    </xdr:from>
    <xdr:to>
      <xdr:col>6</xdr:col>
      <xdr:colOff>7209</xdr:colOff>
      <xdr:row>30</xdr:row>
      <xdr:rowOff>173417</xdr:rowOff>
    </xdr:to>
    <xdr:sp macro="" textlink="">
      <xdr:nvSpPr>
        <xdr:cNvPr id="47" name="TextBox 46">
          <a:extLst>
            <a:ext uri="{FF2B5EF4-FFF2-40B4-BE49-F238E27FC236}">
              <a16:creationId xmlns:a16="http://schemas.microsoft.com/office/drawing/2014/main" id="{6C0B2711-4C6A-4278-8294-952531E52382}"/>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453627</xdr:rowOff>
    </xdr:from>
    <xdr:to>
      <xdr:col>6</xdr:col>
      <xdr:colOff>7209</xdr:colOff>
      <xdr:row>30</xdr:row>
      <xdr:rowOff>173417</xdr:rowOff>
    </xdr:to>
    <xdr:sp macro="" textlink="">
      <xdr:nvSpPr>
        <xdr:cNvPr id="48" name="TextBox 47">
          <a:extLst>
            <a:ext uri="{FF2B5EF4-FFF2-40B4-BE49-F238E27FC236}">
              <a16:creationId xmlns:a16="http://schemas.microsoft.com/office/drawing/2014/main" id="{AB54A0E2-9BB0-4161-9D16-0B29C546B3E1}"/>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1666875</xdr:colOff>
      <xdr:row>9</xdr:row>
      <xdr:rowOff>0</xdr:rowOff>
    </xdr:from>
    <xdr:to>
      <xdr:col>6</xdr:col>
      <xdr:colOff>1019175</xdr:colOff>
      <xdr:row>10</xdr:row>
      <xdr:rowOff>52643</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𝑘𝑊ℎ〗_𝑈𝑛𝑖𝑡=</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1647825</xdr:colOff>
      <xdr:row>10</xdr:row>
      <xdr:rowOff>123825</xdr:rowOff>
    </xdr:from>
    <xdr:to>
      <xdr:col>6</xdr:col>
      <xdr:colOff>1000125</xdr:colOff>
      <xdr:row>11</xdr:row>
      <xdr:rowOff>176468</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𝑘</m:t>
                    </m:r>
                    <m:r>
                      <a:rPr lang="en-US" sz="1400" b="0" i="1">
                        <a:solidFill>
                          <a:sysClr val="windowText" lastClr="000000"/>
                        </a:solidFill>
                        <a:latin typeface="Cambria Math" panose="02040503050406030204" pitchFamily="18" charset="0"/>
                        <a:ea typeface="Cambria Math" panose="02040503050406030204" pitchFamily="18" charset="0"/>
                      </a:rPr>
                      <m:t>𝑊h</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i="0">
                  <a:solidFill>
                    <a:sysClr val="windowText" lastClr="000000"/>
                  </a:solidFill>
                  <a:latin typeface="Cambria Math" panose="02040503050406030204" pitchFamily="18" charset="0"/>
                  <a:ea typeface="Cambria Math" panose="02040503050406030204" pitchFamily="18" charset="0"/>
                </a:rPr>
                <a:t>𝑘</a:t>
              </a:r>
              <a:r>
                <a:rPr lang="en-US" sz="1400" b="0" i="0">
                  <a:solidFill>
                    <a:sysClr val="windowText" lastClr="000000"/>
                  </a:solidFill>
                  <a:latin typeface="Cambria Math" panose="02040503050406030204" pitchFamily="18" charset="0"/>
                  <a:ea typeface="Cambria Math" panose="02040503050406030204" pitchFamily="18" charset="0"/>
                </a:rPr>
                <a:t>𝑊ℎ</a:t>
              </a:r>
              <a:r>
                <a:rPr lang="en-US" sz="1400" b="0" i="0" baseline="0">
                  <a:solidFill>
                    <a:sysClr val="windowText" lastClr="000000"/>
                  </a:solidFill>
                  <a:latin typeface="Cambria Math" panose="02040503050406030204" pitchFamily="18" charset="0"/>
                  <a:ea typeface="Cambria Math" panose="02040503050406030204" pitchFamily="18" charset="0"/>
                </a:rPr>
                <a:t>∗𝐶𝐹</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19050</xdr:colOff>
      <xdr:row>23</xdr:row>
      <xdr:rowOff>0</xdr:rowOff>
    </xdr:from>
    <xdr:to>
      <xdr:col>7</xdr:col>
      <xdr:colOff>590550</xdr:colOff>
      <xdr:row>24</xdr:row>
      <xdr:rowOff>52643</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〖∆𝑘𝑊ℎ〗_𝑈𝑛𝑖𝑡=</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24</xdr:row>
      <xdr:rowOff>171450</xdr:rowOff>
    </xdr:from>
    <xdr:to>
      <xdr:col>7</xdr:col>
      <xdr:colOff>571500</xdr:colOff>
      <xdr:row>26</xdr:row>
      <xdr:rowOff>33593</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i="1">
                        <a:solidFill>
                          <a:sysClr val="windowText" lastClr="000000"/>
                        </a:solidFill>
                        <a:latin typeface="Cambria Math" panose="02040503050406030204" pitchFamily="18" charset="0"/>
                        <a:ea typeface="Cambria Math" panose="02040503050406030204" pitchFamily="18" charset="0"/>
                      </a:rPr>
                      <m:t>𝑘</m:t>
                    </m:r>
                    <m:r>
                      <a:rPr lang="en-US" sz="1400" b="0" i="1">
                        <a:solidFill>
                          <a:sysClr val="windowText" lastClr="000000"/>
                        </a:solidFill>
                        <a:latin typeface="Cambria Math" panose="02040503050406030204" pitchFamily="18" charset="0"/>
                        <a:ea typeface="Cambria Math" panose="02040503050406030204" pitchFamily="18" charset="0"/>
                      </a:rPr>
                      <m:t>𝑊h</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000" i="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i="0">
                  <a:solidFill>
                    <a:sysClr val="windowText" lastClr="000000"/>
                  </a:solidFill>
                  <a:latin typeface="Cambria Math" panose="02040503050406030204" pitchFamily="18" charset="0"/>
                  <a:ea typeface="Cambria Math" panose="02040503050406030204" pitchFamily="18" charset="0"/>
                </a:rPr>
                <a:t>𝑘</a:t>
              </a:r>
              <a:r>
                <a:rPr lang="en-US" sz="1400" b="0" i="0">
                  <a:solidFill>
                    <a:sysClr val="windowText" lastClr="000000"/>
                  </a:solidFill>
                  <a:latin typeface="Cambria Math" panose="02040503050406030204" pitchFamily="18" charset="0"/>
                  <a:ea typeface="Cambria Math" panose="02040503050406030204" pitchFamily="18" charset="0"/>
                </a:rPr>
                <a:t>𝑊ℎ</a:t>
              </a:r>
              <a:r>
                <a:rPr lang="en-US" sz="1400" b="0" i="0" baseline="0">
                  <a:solidFill>
                    <a:sysClr val="windowText" lastClr="000000"/>
                  </a:solidFill>
                  <a:latin typeface="Cambria Math" panose="02040503050406030204" pitchFamily="18" charset="0"/>
                  <a:ea typeface="Cambria Math" panose="02040503050406030204" pitchFamily="18" charset="0"/>
                </a:rPr>
                <a:t>∗𝐶𝐹</a:t>
              </a:r>
              <a:endParaRPr lang="en-US" sz="1000" i="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28</xdr:col>
      <xdr:colOff>2269331</xdr:colOff>
      <xdr:row>15</xdr:row>
      <xdr:rowOff>0</xdr:rowOff>
    </xdr:from>
    <xdr:ext cx="65" cy="172227"/>
    <xdr:sp macro="" textlink="">
      <xdr:nvSpPr>
        <xdr:cNvPr id="53" name="TextBox 52">
          <a:extLst>
            <a:ext uri="{FF2B5EF4-FFF2-40B4-BE49-F238E27FC236}">
              <a16:creationId xmlns:a16="http://schemas.microsoft.com/office/drawing/2014/main" id="{4D728CD8-7587-439E-9832-29922C587C7D}"/>
            </a:ext>
          </a:extLst>
        </xdr:cNvPr>
        <xdr:cNvSpPr txBox="1"/>
      </xdr:nvSpPr>
      <xdr:spPr>
        <a:xfrm>
          <a:off x="8056721" y="347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0</xdr:rowOff>
    </xdr:from>
    <xdr:ext cx="65" cy="172227"/>
    <xdr:sp macro="" textlink="">
      <xdr:nvSpPr>
        <xdr:cNvPr id="54" name="TextBox 53">
          <a:extLst>
            <a:ext uri="{FF2B5EF4-FFF2-40B4-BE49-F238E27FC236}">
              <a16:creationId xmlns:a16="http://schemas.microsoft.com/office/drawing/2014/main" id="{AD28918C-E3E6-403A-8B7D-8AC7B386F2C2}"/>
            </a:ext>
          </a:extLst>
        </xdr:cNvPr>
        <xdr:cNvSpPr txBox="1"/>
      </xdr:nvSpPr>
      <xdr:spPr>
        <a:xfrm>
          <a:off x="8056721" y="347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0</xdr:rowOff>
    </xdr:from>
    <xdr:ext cx="65" cy="172227"/>
    <xdr:sp macro="" textlink="">
      <xdr:nvSpPr>
        <xdr:cNvPr id="55" name="TextBox 54">
          <a:extLst>
            <a:ext uri="{FF2B5EF4-FFF2-40B4-BE49-F238E27FC236}">
              <a16:creationId xmlns:a16="http://schemas.microsoft.com/office/drawing/2014/main" id="{E9D95114-A122-4C53-AA19-F6B73A6CE1C4}"/>
            </a:ext>
          </a:extLst>
        </xdr:cNvPr>
        <xdr:cNvSpPr txBox="1"/>
      </xdr:nvSpPr>
      <xdr:spPr>
        <a:xfrm>
          <a:off x="8056721" y="3476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28</xdr:col>
      <xdr:colOff>2269331</xdr:colOff>
      <xdr:row>15</xdr:row>
      <xdr:rowOff>0</xdr:rowOff>
    </xdr:from>
    <xdr:to>
      <xdr:col>29</xdr:col>
      <xdr:colOff>7209</xdr:colOff>
      <xdr:row>15</xdr:row>
      <xdr:rowOff>173417</xdr:rowOff>
    </xdr:to>
    <xdr:sp macro="" textlink="">
      <xdr:nvSpPr>
        <xdr:cNvPr id="56" name="TextBox 55">
          <a:extLst>
            <a:ext uri="{FF2B5EF4-FFF2-40B4-BE49-F238E27FC236}">
              <a16:creationId xmlns:a16="http://schemas.microsoft.com/office/drawing/2014/main" id="{D1648486-9722-4E13-AB5B-7BEA898624C8}"/>
            </a:ext>
          </a:extLst>
        </xdr:cNvPr>
        <xdr:cNvSpPr txBox="1"/>
      </xdr:nvSpPr>
      <xdr:spPr>
        <a:xfrm>
          <a:off x="8056721" y="3476625"/>
          <a:ext cx="10543" cy="169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28</xdr:col>
      <xdr:colOff>2269331</xdr:colOff>
      <xdr:row>15</xdr:row>
      <xdr:rowOff>0</xdr:rowOff>
    </xdr:from>
    <xdr:to>
      <xdr:col>29</xdr:col>
      <xdr:colOff>7209</xdr:colOff>
      <xdr:row>15</xdr:row>
      <xdr:rowOff>173417</xdr:rowOff>
    </xdr:to>
    <xdr:sp macro="" textlink="">
      <xdr:nvSpPr>
        <xdr:cNvPr id="57" name="TextBox 56">
          <a:extLst>
            <a:ext uri="{FF2B5EF4-FFF2-40B4-BE49-F238E27FC236}">
              <a16:creationId xmlns:a16="http://schemas.microsoft.com/office/drawing/2014/main" id="{8A3D45C5-9347-4B76-9863-45AA293B3841}"/>
            </a:ext>
          </a:extLst>
        </xdr:cNvPr>
        <xdr:cNvSpPr txBox="1"/>
      </xdr:nvSpPr>
      <xdr:spPr>
        <a:xfrm>
          <a:off x="8056721" y="3476625"/>
          <a:ext cx="10543" cy="1696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28</xdr:col>
      <xdr:colOff>2269331</xdr:colOff>
      <xdr:row>15</xdr:row>
      <xdr:rowOff>453627</xdr:rowOff>
    </xdr:from>
    <xdr:ext cx="65" cy="172227"/>
    <xdr:sp macro="" textlink="">
      <xdr:nvSpPr>
        <xdr:cNvPr id="58" name="TextBox 57">
          <a:extLst>
            <a:ext uri="{FF2B5EF4-FFF2-40B4-BE49-F238E27FC236}">
              <a16:creationId xmlns:a16="http://schemas.microsoft.com/office/drawing/2014/main" id="{CC2861A0-F38B-4C90-9BFC-C2D65F71F49D}"/>
            </a:ext>
          </a:extLst>
        </xdr:cNvPr>
        <xdr:cNvSpPr txBox="1"/>
      </xdr:nvSpPr>
      <xdr:spPr>
        <a:xfrm>
          <a:off x="8056721" y="3835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453627</xdr:rowOff>
    </xdr:from>
    <xdr:ext cx="65" cy="172227"/>
    <xdr:sp macro="" textlink="">
      <xdr:nvSpPr>
        <xdr:cNvPr id="59" name="TextBox 58">
          <a:extLst>
            <a:ext uri="{FF2B5EF4-FFF2-40B4-BE49-F238E27FC236}">
              <a16:creationId xmlns:a16="http://schemas.microsoft.com/office/drawing/2014/main" id="{14979B35-6D37-4895-9DB1-2E2FA785CFCF}"/>
            </a:ext>
          </a:extLst>
        </xdr:cNvPr>
        <xdr:cNvSpPr txBox="1"/>
      </xdr:nvSpPr>
      <xdr:spPr>
        <a:xfrm>
          <a:off x="8056721" y="3835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2269331</xdr:colOff>
      <xdr:row>15</xdr:row>
      <xdr:rowOff>453627</xdr:rowOff>
    </xdr:from>
    <xdr:ext cx="65" cy="172227"/>
    <xdr:sp macro="" textlink="">
      <xdr:nvSpPr>
        <xdr:cNvPr id="60" name="TextBox 59">
          <a:extLst>
            <a:ext uri="{FF2B5EF4-FFF2-40B4-BE49-F238E27FC236}">
              <a16:creationId xmlns:a16="http://schemas.microsoft.com/office/drawing/2014/main" id="{729924A0-D1A6-4F97-BC51-15619BE9A985}"/>
            </a:ext>
          </a:extLst>
        </xdr:cNvPr>
        <xdr:cNvSpPr txBox="1"/>
      </xdr:nvSpPr>
      <xdr:spPr>
        <a:xfrm>
          <a:off x="8056721" y="38350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28</xdr:col>
      <xdr:colOff>2269331</xdr:colOff>
      <xdr:row>15</xdr:row>
      <xdr:rowOff>453627</xdr:rowOff>
    </xdr:from>
    <xdr:to>
      <xdr:col>29</xdr:col>
      <xdr:colOff>7209</xdr:colOff>
      <xdr:row>16</xdr:row>
      <xdr:rowOff>173417</xdr:rowOff>
    </xdr:to>
    <xdr:sp macro="" textlink="">
      <xdr:nvSpPr>
        <xdr:cNvPr id="61" name="TextBox 60">
          <a:extLst>
            <a:ext uri="{FF2B5EF4-FFF2-40B4-BE49-F238E27FC236}">
              <a16:creationId xmlns:a16="http://schemas.microsoft.com/office/drawing/2014/main" id="{A494916F-4A82-41BB-9B12-0FE9673ADE79}"/>
            </a:ext>
          </a:extLst>
        </xdr:cNvPr>
        <xdr:cNvSpPr txBox="1"/>
      </xdr:nvSpPr>
      <xdr:spPr>
        <a:xfrm>
          <a:off x="8056721" y="3835002"/>
          <a:ext cx="10543" cy="173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28</xdr:col>
      <xdr:colOff>2269331</xdr:colOff>
      <xdr:row>15</xdr:row>
      <xdr:rowOff>453627</xdr:rowOff>
    </xdr:from>
    <xdr:to>
      <xdr:col>29</xdr:col>
      <xdr:colOff>7209</xdr:colOff>
      <xdr:row>16</xdr:row>
      <xdr:rowOff>173417</xdr:rowOff>
    </xdr:to>
    <xdr:sp macro="" textlink="">
      <xdr:nvSpPr>
        <xdr:cNvPr id="62" name="TextBox 61">
          <a:extLst>
            <a:ext uri="{FF2B5EF4-FFF2-40B4-BE49-F238E27FC236}">
              <a16:creationId xmlns:a16="http://schemas.microsoft.com/office/drawing/2014/main" id="{79FA8355-08CC-415E-8B8A-9F234084944A}"/>
            </a:ext>
          </a:extLst>
        </xdr:cNvPr>
        <xdr:cNvSpPr txBox="1"/>
      </xdr:nvSpPr>
      <xdr:spPr>
        <a:xfrm>
          <a:off x="8056721" y="3835002"/>
          <a:ext cx="10543" cy="1731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295" dT="2021-06-23T22:58:24.17" personId="{00000000-0000-0000-0000-000000000000}" id="{4BD1BE10-C044-4A14-BB13-16FFD0A7B3BF}">
    <text>Corrected Cooling Capacity reference</text>
  </threadedComment>
  <threadedComment ref="F1297" dT="2021-06-23T22:58:27.79" personId="{00000000-0000-0000-0000-000000000000}" id="{5BFFB9F3-3B2A-4904-9688-EA674F6C7A02}">
    <text>Corrected Cooling Capacity reference</text>
  </threadedComment>
  <threadedComment ref="F1299" dT="2021-06-23T22:58:31.95" personId="{00000000-0000-0000-0000-000000000000}" id="{CA61C1EF-507E-49BC-B88A-59A09A0C31A1}">
    <text>Corrected Cooling Capacity reference</text>
  </threadedComment>
  <threadedComment ref="F1327" dT="2021-06-23T22:57:22.29" personId="{00000000-0000-0000-0000-000000000000}" id="{607071C8-8E35-4B30-AF46-85609C52B858}">
    <text>Rearranged order to align with above summary table and the order for other parameters.</text>
  </threadedComment>
  <threadedComment ref="F1333" dT="2021-06-23T22:57:22.29" personId="{00000000-0000-0000-0000-000000000000}" id="{AB6F10F8-AE57-4F9B-84E0-FAC10F4ED765}">
    <text>Rearranged order to align with above summary table and the order for other parameters.</text>
  </threadedComment>
  <threadedComment ref="F1339" dT="2021-06-23T22:57:22.29" personId="{00000000-0000-0000-0000-000000000000}" id="{9E0EC56B-5C76-42DC-8F89-19B36225D270}">
    <text>Rearranged order to align with above summary table and the order for other parameters.</text>
  </threadedComment>
</ThreadedComments>
</file>

<file path=xl/threadedComments/threadedComment2.xml><?xml version="1.0" encoding="utf-8"?>
<ThreadedComments xmlns="http://schemas.microsoft.com/office/spreadsheetml/2018/threadedcomments" xmlns:x="http://schemas.openxmlformats.org/spreadsheetml/2006/main">
  <threadedComment ref="F1325" dT="2021-06-23T23:08:17.34" personId="{00000000-0000-0000-0000-000000000000}" id="{44A41997-3568-41A2-A830-E64A4422BCD8}">
    <text>Formulas were previously not capturing the ISR parameter.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www.puc.state.pa.us/Electric/pdf/Act129/Act129_TRM-2014_Redlined_V2.pdf"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merenmissouristore.com/led-11-watt-flood-br30-65w-eqv/" TargetMode="External"/><Relationship Id="rId1" Type="http://schemas.openxmlformats.org/officeDocument/2006/relationships/hyperlink" Target="https://amerenmissouristore.com/led-11-watt-flood-br30-65w-eqv/"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walmart.com/ip/TrickleStar-00627-3-Cord-7-Outlet-Tier-1-Power-Strip-7-OUTLET-TIER-1-ADVANCED-POWERSTRIP-1-080-JOULES-3-FOOT-POWER-CORD-ALUMI/836049860?wmlspartner=wlpa&amp;selectedSellerId=1087%0ahttps://www.walmart.com/ip/Embertec-00035-8AV-Emberstrip-with-Classic-Sensor-EMBERTEC-CLASSIC-8AV/693567947?wmlspartner=wlpa&amp;selectedSellerId=1087%0ahttps://www.amazon.com/AHRISE-Protector%EF%BC%881680-Outlets-outlets-Extension/dp/B07WGN3X5F/ref=sr_1_3?dchild=1&amp;keywords=smart+power+strip&amp;qid=1595622845&amp;sr=8-3%0ahttps://www.amazon.com/Kasa-Smart-Protector-Required-KP303/dp/B083JKSSR5/ref=sr_1_4?dchild=1&amp;keywords=smart+power+strip&amp;qid=1595622845&amp;sr=8-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fis.psc.mo.gov/mpsc/commoncomponents/viewdocument.asp?DocId=935658483" TargetMode="External"/><Relationship Id="rId13" Type="http://schemas.openxmlformats.org/officeDocument/2006/relationships/comments" Target="../comments3.x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ilsagfiles.org/SAG_files/Technical_Reference_Manual/Version_5/Final/IL-TRM_Version_5.0_dated_February-11-2016_Final_Compiled_Volumes_1-4.pdf" TargetMode="External"/><Relationship Id="rId12" Type="http://schemas.openxmlformats.org/officeDocument/2006/relationships/vmlDrawing" Target="../drawings/vmlDrawing3.vml"/><Relationship Id="rId2" Type="http://schemas.openxmlformats.org/officeDocument/2006/relationships/hyperlink" Target="http://www.nrel.gov/docs/fy10osti/47246.pdf"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drawing" Target="../drawings/drawing4.xml"/><Relationship Id="rId5" Type="http://schemas.openxmlformats.org/officeDocument/2006/relationships/hyperlink" Target="http://www.nrel.gov/docs/fy10osti/47246.pdf" TargetMode="External"/><Relationship Id="rId10" Type="http://schemas.openxmlformats.org/officeDocument/2006/relationships/printerSettings" Target="../printerSettings/printerSettings5.bin"/><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www.nrel.gov/docs/fy10osti/47246.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energy.mo.gov/sites/energy/files/evaluation-of-retrofit-variable-speed-furnace-fan-motors.pdf" TargetMode="External"/><Relationship Id="rId6" Type="http://schemas.microsoft.com/office/2017/10/relationships/threadedComment" Target="../threadedComments/threadedComment1.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efis.psc.mo.gov/mpsc/commoncomponents/viewdocument.asp?DocId=935658483" TargetMode="External"/><Relationship Id="rId7" Type="http://schemas.openxmlformats.org/officeDocument/2006/relationships/hyperlink" Target="https://www.efis.psc.mo.gov/mpsc/commoncomponents/viewdocument.asp?DocId=935658483" TargetMode="External"/><Relationship Id="rId12" Type="http://schemas.microsoft.com/office/2017/10/relationships/threadedComment" Target="../threadedComments/threadedComment2.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comments" Target="../comments5.xml"/><Relationship Id="rId5" Type="http://schemas.openxmlformats.org/officeDocument/2006/relationships/hyperlink" Target="https://www.efis.psc.mo.gov/mpsc/commoncomponents/viewdocument.asp?DocId=935658483" TargetMode="External"/><Relationship Id="rId10" Type="http://schemas.openxmlformats.org/officeDocument/2006/relationships/vmlDrawing" Target="../drawings/vmlDrawing5.vml"/><Relationship Id="rId4" Type="http://schemas.openxmlformats.org/officeDocument/2006/relationships/hyperlink" Target="https://www.efis.psc.mo.gov/mpsc/commoncomponents/viewdocument.asp?DocId=935658483" TargetMode="External"/><Relationship Id="rId9"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7.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8.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9.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46"/>
  <sheetViews>
    <sheetView tabSelected="1" zoomScale="70" zoomScaleNormal="70" workbookViewId="0"/>
  </sheetViews>
  <sheetFormatPr defaultRowHeight="15" x14ac:dyDescent="0.25"/>
  <cols>
    <col min="1" max="1" width="13.5703125" customWidth="1"/>
    <col min="6" max="6" width="7.7109375" customWidth="1"/>
  </cols>
  <sheetData>
    <row r="2" spans="2:21" ht="36" x14ac:dyDescent="0.55000000000000004">
      <c r="B2" s="1930"/>
      <c r="C2" s="1930"/>
      <c r="D2" s="1930"/>
      <c r="E2" s="1930"/>
      <c r="F2" s="1930"/>
      <c r="G2" s="1930"/>
      <c r="H2" s="1930"/>
      <c r="I2" s="1930"/>
      <c r="J2" s="1795" t="s">
        <v>0</v>
      </c>
      <c r="K2" s="1930"/>
      <c r="L2" s="1930"/>
      <c r="M2" s="1930"/>
      <c r="N2" s="1930"/>
      <c r="O2" s="1930"/>
      <c r="P2" s="1930"/>
      <c r="Q2" s="1930"/>
      <c r="R2" s="1930"/>
      <c r="S2" s="1930"/>
      <c r="T2" s="1930"/>
      <c r="U2" s="1930"/>
    </row>
    <row r="4" spans="2:21" ht="18.75" x14ac:dyDescent="0.3">
      <c r="B4" s="1930"/>
      <c r="C4" s="1930"/>
      <c r="D4" s="1930"/>
      <c r="E4" s="1930"/>
      <c r="F4" s="1930"/>
      <c r="G4" s="1930"/>
      <c r="H4" s="1930"/>
      <c r="I4" s="1930"/>
      <c r="J4" s="1794" t="s">
        <v>1</v>
      </c>
      <c r="K4" s="1930"/>
      <c r="L4" s="1930"/>
      <c r="M4" s="1930"/>
      <c r="N4" s="1930"/>
      <c r="O4" s="1793" t="s">
        <v>2</v>
      </c>
      <c r="P4" s="1930"/>
      <c r="Q4" s="1930"/>
      <c r="R4" s="1930"/>
      <c r="S4" s="1930"/>
      <c r="T4" s="1930"/>
      <c r="U4" s="1793" t="s">
        <v>3</v>
      </c>
    </row>
    <row r="7" spans="2:21" ht="18.75" x14ac:dyDescent="0.3">
      <c r="B7" s="1794" t="s">
        <v>4</v>
      </c>
      <c r="C7" s="1794"/>
      <c r="D7" s="1930"/>
      <c r="E7" s="1930"/>
      <c r="F7" s="1930"/>
      <c r="G7" s="1930"/>
      <c r="H7" s="1930"/>
      <c r="I7" s="1930"/>
      <c r="J7" s="1930"/>
      <c r="K7" s="1930"/>
      <c r="L7" s="1930"/>
      <c r="M7" s="1930"/>
      <c r="N7" s="1930"/>
      <c r="O7" s="1930"/>
      <c r="P7" s="1930"/>
      <c r="Q7" s="1930"/>
      <c r="R7" s="1930"/>
      <c r="S7" s="1930"/>
      <c r="T7" s="1930"/>
      <c r="U7" s="1930"/>
    </row>
    <row r="8" spans="2:21" ht="18.75" x14ac:dyDescent="0.3">
      <c r="B8" s="1794" t="s">
        <v>5</v>
      </c>
      <c r="C8" s="1930"/>
      <c r="D8" s="1930"/>
      <c r="E8" s="1930"/>
      <c r="F8" s="1930"/>
      <c r="G8" s="1930"/>
      <c r="H8" s="1930"/>
      <c r="I8" s="1930"/>
      <c r="J8" s="1930"/>
      <c r="K8" s="1930"/>
      <c r="L8" s="1930"/>
      <c r="M8" s="1930"/>
      <c r="N8" s="1930"/>
      <c r="O8" s="1930"/>
      <c r="P8" s="1930"/>
      <c r="Q8" s="1930"/>
      <c r="R8" s="1930"/>
      <c r="S8" s="1930"/>
      <c r="T8" s="1930"/>
      <c r="U8" s="1930"/>
    </row>
    <row r="9" spans="2:21" ht="18.75" x14ac:dyDescent="0.3">
      <c r="B9" s="1794" t="s">
        <v>6</v>
      </c>
      <c r="C9" s="1930"/>
      <c r="D9" s="1930"/>
      <c r="E9" s="1930"/>
      <c r="F9" s="1930"/>
      <c r="G9" s="1930"/>
      <c r="H9" s="1930"/>
      <c r="I9" s="1930"/>
      <c r="J9" s="1930"/>
      <c r="K9" s="1930"/>
      <c r="L9" s="1930"/>
      <c r="M9" s="1930"/>
      <c r="N9" s="1930"/>
      <c r="O9" s="1930"/>
      <c r="P9" s="1930"/>
      <c r="Q9" s="1930"/>
      <c r="R9" s="1930"/>
      <c r="S9" s="1930"/>
      <c r="T9" s="1930"/>
      <c r="U9" s="1930"/>
    </row>
    <row r="16" spans="2:21" ht="18.75" x14ac:dyDescent="0.3">
      <c r="B16" s="1930"/>
      <c r="C16" s="1930"/>
      <c r="D16" s="1930"/>
      <c r="E16" s="1794" t="s">
        <v>7</v>
      </c>
      <c r="F16" s="1930"/>
      <c r="G16" s="1930"/>
      <c r="H16" s="1930"/>
      <c r="I16" s="1930"/>
      <c r="J16" s="1930"/>
      <c r="K16" s="1930"/>
      <c r="L16" s="1930"/>
      <c r="M16" s="1930"/>
      <c r="N16" s="1930"/>
      <c r="O16" s="1930"/>
      <c r="P16" s="1930"/>
      <c r="Q16" s="1930"/>
      <c r="R16" s="1930"/>
      <c r="S16" s="1930"/>
      <c r="T16" s="1930"/>
      <c r="U16" s="1930"/>
    </row>
    <row r="17" spans="6:8" ht="18.75" x14ac:dyDescent="0.3">
      <c r="F17" s="1793" t="s">
        <v>8</v>
      </c>
      <c r="G17" s="1792"/>
      <c r="H17" s="1792"/>
    </row>
    <row r="18" spans="6:8" ht="18.75" x14ac:dyDescent="0.3">
      <c r="F18" s="1793" t="s">
        <v>9</v>
      </c>
      <c r="G18" s="1930"/>
      <c r="H18" s="1792"/>
    </row>
    <row r="46" spans="10:10" ht="18.75" x14ac:dyDescent="0.3">
      <c r="J46" s="1791" t="s">
        <v>10</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75"/>
  <sheetViews>
    <sheetView zoomScale="70" zoomScaleNormal="70" workbookViewId="0">
      <selection sqref="A1:Q1"/>
    </sheetView>
  </sheetViews>
  <sheetFormatPr defaultRowHeight="15" outlineLevelRow="1" x14ac:dyDescent="0.25"/>
  <cols>
    <col min="1" max="2" width="9.140625" style="123"/>
    <col min="3" max="3" width="19.28515625" style="328" customWidth="1"/>
    <col min="4" max="4" width="23.140625" style="329" customWidth="1"/>
    <col min="5" max="5" width="37" style="329" customWidth="1"/>
    <col min="6" max="6" width="15.5703125" style="123" customWidth="1"/>
    <col min="7" max="7" width="18.7109375" style="123" bestFit="1" customWidth="1"/>
    <col min="8" max="8" width="17.140625" style="123" customWidth="1"/>
    <col min="9" max="11" width="12.5703125" style="123" customWidth="1"/>
    <col min="12" max="12" width="15.42578125" style="123" customWidth="1"/>
    <col min="13" max="13" width="3.28515625" style="123" customWidth="1"/>
    <col min="14" max="14" width="2.28515625" style="123" customWidth="1"/>
    <col min="15" max="15" width="2.7109375" style="123" customWidth="1"/>
    <col min="16" max="16" width="3.28515625" style="123" customWidth="1"/>
    <col min="17" max="17" width="2.42578125" style="123" customWidth="1"/>
    <col min="18" max="20" width="9.140625" style="123" customWidth="1"/>
    <col min="21" max="21" width="21.5703125" style="123" customWidth="1"/>
    <col min="22" max="22" width="31" customWidth="1"/>
    <col min="23" max="28" width="17" style="103" customWidth="1"/>
    <col min="29" max="29" width="14.28515625" customWidth="1"/>
    <col min="30" max="52" width="9.140625" customWidth="1"/>
    <col min="54" max="54" width="12" bestFit="1" customWidth="1"/>
    <col min="55" max="55" width="29.28515625" bestFit="1" customWidth="1"/>
    <col min="56" max="56" width="10" bestFit="1" customWidth="1"/>
    <col min="57" max="57" width="13.42578125" customWidth="1"/>
  </cols>
  <sheetData>
    <row r="1" spans="1:57" s="23" customFormat="1" ht="18.75" x14ac:dyDescent="0.3">
      <c r="A1" s="3756" t="s">
        <v>2574</v>
      </c>
      <c r="B1" s="3951"/>
      <c r="C1" s="3951"/>
      <c r="D1" s="3951"/>
      <c r="E1" s="3951"/>
      <c r="F1" s="3951"/>
      <c r="G1" s="3951"/>
      <c r="H1" s="3951"/>
      <c r="I1" s="3951"/>
      <c r="J1" s="3951"/>
      <c r="K1" s="3951"/>
      <c r="L1" s="3951"/>
      <c r="M1" s="3951"/>
      <c r="N1" s="3951"/>
      <c r="O1" s="3951"/>
      <c r="P1" s="3951"/>
      <c r="Q1" s="3951"/>
      <c r="R1" s="1965"/>
      <c r="S1" s="1965"/>
      <c r="T1" s="1965"/>
      <c r="U1" s="1965"/>
      <c r="V1" s="30"/>
      <c r="W1" s="2408"/>
      <c r="X1" s="2408"/>
      <c r="Y1" s="872"/>
      <c r="Z1" s="872"/>
      <c r="AA1" s="872"/>
      <c r="AB1" s="872"/>
      <c r="AC1" s="32"/>
      <c r="AD1" s="32"/>
      <c r="AE1" s="32"/>
      <c r="AF1" s="32"/>
      <c r="AG1" s="32"/>
      <c r="AH1" s="32"/>
      <c r="AI1" s="1931"/>
      <c r="AJ1" s="1931"/>
      <c r="AK1" s="1931"/>
      <c r="AL1" s="1931"/>
      <c r="AM1" s="1931"/>
      <c r="AN1" s="1931"/>
      <c r="AO1" s="1931"/>
      <c r="AP1" s="1931"/>
      <c r="AQ1" s="1931"/>
      <c r="AR1" s="1931"/>
      <c r="AS1" s="1931"/>
      <c r="AT1" s="1931"/>
      <c r="AU1" s="1931"/>
      <c r="AV1" s="1931"/>
      <c r="AW1" s="1931"/>
      <c r="AX1" s="1931"/>
      <c r="AY1" s="1931"/>
      <c r="AZ1" s="1931"/>
      <c r="BA1" s="1931"/>
      <c r="BB1" s="1931"/>
      <c r="BC1" s="1931"/>
      <c r="BD1" s="1931"/>
      <c r="BE1" s="1931"/>
    </row>
    <row r="2" spans="1:57" s="23" customFormat="1" ht="30" hidden="1" customHeight="1" outlineLevel="1" x14ac:dyDescent="0.35">
      <c r="A2" s="1965"/>
      <c r="B2" s="1280"/>
      <c r="C2" s="143"/>
      <c r="D2" s="3760" t="s">
        <v>25</v>
      </c>
      <c r="E2" s="3761"/>
      <c r="F2" s="3762"/>
      <c r="G2" s="3762"/>
      <c r="H2" s="3762"/>
      <c r="I2" s="3762"/>
      <c r="J2" s="3762"/>
      <c r="K2" s="873"/>
      <c r="L2" s="873"/>
      <c r="M2" s="1965"/>
      <c r="N2" s="1965"/>
      <c r="O2" s="1965"/>
      <c r="P2" s="1965"/>
      <c r="Q2" s="1965"/>
      <c r="R2" s="1965"/>
      <c r="S2" s="1965"/>
      <c r="T2" s="1965"/>
      <c r="U2" s="1965"/>
      <c r="V2" s="1931"/>
      <c r="W2" s="67"/>
      <c r="X2" s="67"/>
      <c r="Y2" s="67"/>
      <c r="Z2" s="67"/>
      <c r="AA2" s="67"/>
      <c r="AB2" s="67"/>
      <c r="AC2" s="1931"/>
      <c r="AD2" s="1931"/>
      <c r="AE2" s="1931"/>
      <c r="AF2" s="1931"/>
      <c r="AG2" s="1931"/>
      <c r="AH2" s="1931"/>
      <c r="AI2" s="1931"/>
      <c r="AJ2" s="1931"/>
      <c r="AK2" s="1931"/>
      <c r="AL2" s="1931"/>
      <c r="AM2" s="1931"/>
      <c r="AN2" s="1931"/>
      <c r="AO2" s="1931"/>
      <c r="AP2" s="1931"/>
      <c r="AQ2" s="1931"/>
      <c r="AR2" s="1931"/>
      <c r="AS2" s="1931"/>
      <c r="AT2" s="1931"/>
      <c r="AU2" s="1931"/>
      <c r="AV2" s="1931"/>
      <c r="AW2" s="1931"/>
      <c r="AX2" s="1931"/>
      <c r="AY2" s="1931"/>
      <c r="AZ2" s="1931"/>
      <c r="BA2" s="1931"/>
      <c r="BB2" s="1931"/>
      <c r="BC2" s="1931"/>
      <c r="BD2" s="1931"/>
      <c r="BE2" s="1931"/>
    </row>
    <row r="3" spans="1:57" s="23" customFormat="1" ht="24" customHeight="1" collapsed="1" x14ac:dyDescent="0.35">
      <c r="A3" s="1965"/>
      <c r="B3" s="1280"/>
      <c r="C3" s="143"/>
      <c r="D3" s="1193"/>
      <c r="E3" s="1749"/>
      <c r="F3" s="1750"/>
      <c r="G3" s="1750"/>
      <c r="H3" s="1750"/>
      <c r="I3" s="1750"/>
      <c r="J3" s="1750"/>
      <c r="K3" s="873"/>
      <c r="L3" s="873"/>
      <c r="M3" s="1965"/>
      <c r="N3" s="1965"/>
      <c r="O3" s="1965"/>
      <c r="P3" s="1965"/>
      <c r="Q3" s="1965"/>
      <c r="R3" s="1965"/>
      <c r="S3" s="1965"/>
      <c r="T3" s="1965"/>
      <c r="U3" s="1965"/>
      <c r="V3" s="1933"/>
      <c r="W3" s="875"/>
      <c r="X3" s="875"/>
      <c r="Y3" s="875"/>
      <c r="Z3" s="875"/>
      <c r="AA3" s="875"/>
      <c r="AB3" s="875"/>
      <c r="AC3" s="1933"/>
      <c r="AD3" s="1933"/>
      <c r="AE3" s="1933"/>
      <c r="AF3" s="1933"/>
      <c r="AG3" s="1933"/>
      <c r="AH3" s="1933"/>
      <c r="AI3" s="1933"/>
      <c r="AJ3" s="1931"/>
      <c r="AK3" s="1931"/>
      <c r="AL3" s="1931"/>
      <c r="AM3" s="1931"/>
      <c r="AN3" s="1931"/>
      <c r="AO3" s="1931"/>
      <c r="AP3" s="1931"/>
      <c r="AQ3" s="1931"/>
      <c r="AR3" s="1931"/>
      <c r="AS3" s="1931"/>
      <c r="AT3" s="1931"/>
      <c r="AU3" s="1931"/>
      <c r="AV3" s="1931"/>
      <c r="AW3" s="1931"/>
      <c r="AX3" s="1931"/>
      <c r="AY3" s="1931"/>
      <c r="AZ3" s="1931"/>
      <c r="BA3" s="1931"/>
      <c r="BB3" s="1931"/>
      <c r="BC3" s="1931"/>
      <c r="BD3" s="1931"/>
      <c r="BE3" s="1931"/>
    </row>
    <row r="4" spans="1:57" s="82" customFormat="1" x14ac:dyDescent="0.25">
      <c r="A4" s="123"/>
      <c r="B4" s="3750" t="s">
        <v>2575</v>
      </c>
      <c r="C4" s="3751"/>
      <c r="D4" s="3751"/>
      <c r="E4" s="3751"/>
      <c r="F4" s="3751"/>
      <c r="G4" s="3751"/>
      <c r="H4" s="3751"/>
      <c r="I4" s="3751"/>
      <c r="J4" s="3751"/>
      <c r="K4" s="3751"/>
      <c r="L4" s="4120"/>
      <c r="M4" s="151"/>
      <c r="N4" s="151"/>
      <c r="O4" s="151"/>
      <c r="P4" s="151"/>
      <c r="Q4" s="151"/>
      <c r="R4" s="151"/>
      <c r="S4" s="151"/>
      <c r="T4" s="151"/>
      <c r="U4" s="151"/>
      <c r="V4" s="3750" t="str">
        <f>B4</f>
        <v>Refrigerator Recycling</v>
      </c>
      <c r="W4" s="3751"/>
      <c r="X4" s="3751"/>
      <c r="Y4" s="3751"/>
      <c r="Z4" s="3751"/>
      <c r="AA4" s="3751"/>
      <c r="AB4" s="3751"/>
      <c r="AC4" s="3752"/>
      <c r="AD4" s="3752"/>
      <c r="AE4" s="3752"/>
      <c r="AF4" s="3752"/>
      <c r="AG4" s="3752"/>
      <c r="AH4" s="3752"/>
      <c r="AI4" s="3753"/>
    </row>
    <row r="5" spans="1:57" x14ac:dyDescent="0.25">
      <c r="V5" s="224"/>
      <c r="W5" s="618"/>
      <c r="X5" s="618"/>
      <c r="Y5" s="618"/>
      <c r="Z5" s="618"/>
      <c r="AA5" s="618"/>
      <c r="AB5" s="618"/>
      <c r="AC5" s="224"/>
      <c r="AD5" s="224"/>
      <c r="AE5" s="224"/>
      <c r="AF5" s="224"/>
      <c r="AG5" s="224"/>
      <c r="AH5" s="224"/>
      <c r="AI5" s="224"/>
      <c r="AJ5" s="1930"/>
      <c r="AK5" s="1930"/>
      <c r="AL5" s="1930"/>
      <c r="AM5" s="1930"/>
      <c r="AN5" s="1930"/>
      <c r="AO5" s="1930"/>
      <c r="AP5" s="1930"/>
      <c r="AQ5" s="1930"/>
      <c r="AR5" s="1930"/>
      <c r="AS5" s="1930"/>
      <c r="AT5" s="1930"/>
      <c r="AU5" s="1930"/>
      <c r="AV5" s="1930"/>
      <c r="AW5" s="1930"/>
      <c r="AX5" s="1930"/>
      <c r="AY5" s="1930"/>
      <c r="AZ5" s="1930"/>
      <c r="BA5" s="1930"/>
      <c r="BB5" s="1930"/>
      <c r="BC5" s="1930"/>
      <c r="BD5" s="1930"/>
      <c r="BE5" s="1930"/>
    </row>
    <row r="6" spans="1:57" s="82" customFormat="1" ht="45" customHeight="1" x14ac:dyDescent="0.25">
      <c r="A6" s="123"/>
      <c r="B6" s="123"/>
      <c r="C6" s="3086" t="s">
        <v>28</v>
      </c>
      <c r="D6" s="3086" t="s">
        <v>175</v>
      </c>
      <c r="E6" s="3086" t="s">
        <v>30</v>
      </c>
      <c r="F6" s="3086" t="s">
        <v>31</v>
      </c>
      <c r="G6" s="3086" t="s">
        <v>176</v>
      </c>
      <c r="H6" s="3086" t="s">
        <v>177</v>
      </c>
      <c r="I6" s="3086" t="s">
        <v>32</v>
      </c>
      <c r="J6" s="3086" t="s">
        <v>181</v>
      </c>
      <c r="K6" s="3086" t="s">
        <v>170</v>
      </c>
      <c r="L6" s="3086" t="s">
        <v>44</v>
      </c>
      <c r="M6" s="151"/>
      <c r="N6" s="151"/>
      <c r="O6" s="151"/>
      <c r="P6" s="151"/>
      <c r="Q6" s="151"/>
      <c r="R6" s="151"/>
      <c r="S6" s="151"/>
      <c r="T6" s="151"/>
      <c r="U6" s="151"/>
      <c r="V6" s="1936" t="s">
        <v>45</v>
      </c>
      <c r="W6" s="360">
        <v>43252</v>
      </c>
      <c r="X6" s="360">
        <v>43465</v>
      </c>
      <c r="Y6" s="360">
        <v>43800</v>
      </c>
      <c r="Z6" s="360">
        <v>43862</v>
      </c>
      <c r="AA6" s="360">
        <v>44013</v>
      </c>
      <c r="AB6" s="360">
        <v>44166</v>
      </c>
      <c r="AC6" s="1937">
        <v>44531</v>
      </c>
      <c r="AD6" s="1937" t="s">
        <v>46</v>
      </c>
      <c r="AE6" s="1937" t="s">
        <v>46</v>
      </c>
      <c r="AF6" s="1937" t="s">
        <v>46</v>
      </c>
      <c r="AG6" s="1937" t="s">
        <v>46</v>
      </c>
      <c r="AH6" s="224"/>
      <c r="AI6" s="224"/>
      <c r="BB6" s="1938" t="s">
        <v>47</v>
      </c>
      <c r="BC6" s="1953" t="s">
        <v>48</v>
      </c>
      <c r="BD6" s="665" t="s">
        <v>49</v>
      </c>
      <c r="BE6" s="230" t="s">
        <v>50</v>
      </c>
    </row>
    <row r="7" spans="1:57" s="82" customFormat="1" x14ac:dyDescent="0.25">
      <c r="A7" s="123"/>
      <c r="B7" s="123"/>
      <c r="C7" s="63" t="s">
        <v>2576</v>
      </c>
      <c r="D7" s="104" t="s">
        <v>2577</v>
      </c>
      <c r="E7" s="3127" t="s">
        <v>2578</v>
      </c>
      <c r="F7" s="1491">
        <f>ROUND(F15*F16,2)</f>
        <v>1020.32</v>
      </c>
      <c r="G7" s="1190" t="s">
        <v>2217</v>
      </c>
      <c r="H7" s="155">
        <f>VLOOKUP(G7,'CP FACTORS'!$A$3:$B$38, 2, FALSE)</f>
        <v>1.286107E-4</v>
      </c>
      <c r="I7" s="106">
        <f>ROUND(F7*H7,6)</f>
        <v>0.13122400000000001</v>
      </c>
      <c r="J7" s="108">
        <v>8</v>
      </c>
      <c r="K7" s="482">
        <v>140</v>
      </c>
      <c r="L7" s="63" t="s">
        <v>185</v>
      </c>
      <c r="M7" s="151"/>
      <c r="N7" s="151"/>
      <c r="O7" s="151"/>
      <c r="P7" s="151"/>
      <c r="Q7" s="151"/>
      <c r="R7" s="151"/>
      <c r="S7" s="151"/>
      <c r="T7" s="151"/>
      <c r="U7" s="151"/>
      <c r="V7" s="160" t="str">
        <f>F6</f>
        <v>kWh Annual Savings</v>
      </c>
      <c r="W7" s="1191">
        <f>W15*W16</f>
        <v>1027.47</v>
      </c>
      <c r="X7" s="1191">
        <f t="shared" ref="X7:AA7" si="0">X15*X16</f>
        <v>1027.47</v>
      </c>
      <c r="Y7" s="1191">
        <f t="shared" si="0"/>
        <v>1027.47</v>
      </c>
      <c r="Z7" s="1191">
        <f t="shared" si="0"/>
        <v>1027.47</v>
      </c>
      <c r="AA7" s="1191">
        <f t="shared" si="0"/>
        <v>1027.47</v>
      </c>
      <c r="AB7" s="116">
        <v>1020.3197278911559</v>
      </c>
      <c r="AC7" s="108">
        <v>1020.3197278911559</v>
      </c>
      <c r="AD7" s="1191"/>
      <c r="AE7" s="1191"/>
      <c r="AF7" s="1191"/>
      <c r="AG7" s="1191"/>
      <c r="AH7" s="1930"/>
      <c r="AI7" s="1930"/>
      <c r="BB7" s="110">
        <f>(BD7)/(BE7)</f>
        <v>2.1507741668167357</v>
      </c>
      <c r="BC7" s="3166" t="str">
        <f>CONCATENATE(G7," ",J7," Year EUL")</f>
        <v>Refrigeration RES 8 Year EUL</v>
      </c>
      <c r="BD7" s="111">
        <f>(INDEX('Avoided Cost Benefits'!$C$4:$C$857,MATCH(BC7,'Avoided Cost Benefits'!$A$4:$A$857,0)))*F7</f>
        <v>284.19856852698723</v>
      </c>
      <c r="BE7" s="1946">
        <f>K7/(1.0595^(2020-2019))</f>
        <v>132.13780084945728</v>
      </c>
    </row>
    <row r="8" spans="1:57" s="82" customFormat="1" x14ac:dyDescent="0.25">
      <c r="A8" s="123"/>
      <c r="B8" s="123"/>
      <c r="C8" s="63" t="s">
        <v>2579</v>
      </c>
      <c r="D8" s="104" t="s">
        <v>2577</v>
      </c>
      <c r="E8" s="3127" t="s">
        <v>2580</v>
      </c>
      <c r="F8" s="1491">
        <f>ROUND(520,2)</f>
        <v>520</v>
      </c>
      <c r="G8" s="1190" t="s">
        <v>2217</v>
      </c>
      <c r="H8" s="155">
        <f>VLOOKUP(G8,'CP FACTORS'!$A$3:$B$38, 2, FALSE)</f>
        <v>1.286107E-4</v>
      </c>
      <c r="I8" s="106">
        <f>ROUND(F8*H8,6)</f>
        <v>6.6878000000000007E-2</v>
      </c>
      <c r="J8" s="108">
        <v>8</v>
      </c>
      <c r="K8" s="482">
        <v>140</v>
      </c>
      <c r="L8" s="63" t="s">
        <v>185</v>
      </c>
      <c r="M8" s="151"/>
      <c r="N8" s="151"/>
      <c r="O8" s="151"/>
      <c r="P8" s="151"/>
      <c r="Q8" s="151"/>
      <c r="R8" s="151"/>
      <c r="S8" s="151"/>
      <c r="T8" s="151"/>
      <c r="U8" s="151"/>
      <c r="V8" s="1247" t="str">
        <f>V7</f>
        <v>kWh Annual Savings</v>
      </c>
      <c r="W8" s="1191">
        <v>520</v>
      </c>
      <c r="X8" s="1191">
        <v>520</v>
      </c>
      <c r="Y8" s="1191">
        <v>520</v>
      </c>
      <c r="Z8" s="1191">
        <v>520</v>
      </c>
      <c r="AA8" s="1191">
        <v>520</v>
      </c>
      <c r="AB8" s="1191">
        <v>520</v>
      </c>
      <c r="AC8" s="108">
        <v>520</v>
      </c>
      <c r="AD8" s="1191"/>
      <c r="AE8" s="1191"/>
      <c r="AF8" s="1191"/>
      <c r="AG8" s="1191"/>
      <c r="BB8" s="118">
        <f>(BD8)/(BE8)</f>
        <v>1.0961292209745006</v>
      </c>
      <c r="BC8" s="1948" t="str">
        <f>CONCATENATE(G8," ",J8," Year EUL")</f>
        <v>Refrigeration RES 8 Year EUL</v>
      </c>
      <c r="BD8" s="119">
        <f>(INDEX('Avoided Cost Benefits'!$C$4:$C$857,MATCH(BC8,'Avoided Cost Benefits'!$A$4:$A$857,0)))*F8</f>
        <v>144.8401047063993</v>
      </c>
      <c r="BE8" s="1950">
        <f>K8/(1.0595^(2020-2019))</f>
        <v>132.13780084945728</v>
      </c>
    </row>
    <row r="9" spans="1:57" hidden="1" outlineLevel="1" x14ac:dyDescent="0.25">
      <c r="V9" s="1930"/>
      <c r="AC9" s="1930"/>
      <c r="AD9" s="1930"/>
      <c r="AE9" s="1930"/>
      <c r="AF9" s="1930"/>
      <c r="AG9" s="1930"/>
      <c r="AH9" s="1930"/>
      <c r="AI9" s="1930"/>
      <c r="AJ9" s="1930"/>
      <c r="AK9" s="1930"/>
      <c r="AL9" s="1930"/>
      <c r="AM9" s="1930"/>
      <c r="AN9" s="1930"/>
      <c r="AO9" s="1930"/>
      <c r="AP9" s="1930"/>
      <c r="AQ9" s="1930"/>
      <c r="AR9" s="1930"/>
      <c r="AS9" s="1930"/>
      <c r="AT9" s="1930"/>
      <c r="AU9" s="1930"/>
      <c r="AV9" s="1930"/>
      <c r="AW9" s="1930"/>
      <c r="AX9" s="1930"/>
      <c r="AY9" s="1930"/>
      <c r="AZ9" s="1930"/>
      <c r="BA9" s="1930"/>
      <c r="BB9" s="1930"/>
      <c r="BC9" s="1930"/>
      <c r="BD9" s="1930"/>
      <c r="BE9" s="1930"/>
    </row>
    <row r="10" spans="1:57" hidden="1" outlineLevel="1" x14ac:dyDescent="0.25">
      <c r="D10" s="174" t="s">
        <v>108</v>
      </c>
      <c r="V10" s="1930"/>
      <c r="AC10" s="1930"/>
      <c r="AD10" s="1930"/>
      <c r="AE10" s="1930"/>
      <c r="AF10" s="1930"/>
      <c r="AG10" s="1930"/>
      <c r="AH10" s="1930"/>
      <c r="AI10" s="1930"/>
      <c r="AJ10" s="1930"/>
      <c r="AK10" s="1930"/>
      <c r="AL10" s="1930"/>
      <c r="AM10" s="1930"/>
      <c r="AN10" s="1930"/>
      <c r="AO10" s="1930"/>
      <c r="AP10" s="1930"/>
      <c r="AQ10" s="1930"/>
      <c r="AR10" s="1930"/>
      <c r="AS10" s="1930"/>
      <c r="AT10" s="1930"/>
      <c r="AU10" s="1930"/>
      <c r="AV10" s="1930"/>
      <c r="AW10" s="1930"/>
      <c r="AX10" s="1930"/>
      <c r="AY10" s="1930"/>
      <c r="AZ10" s="1930"/>
      <c r="BA10" s="1930"/>
      <c r="BB10" s="1930"/>
      <c r="BC10" s="1930"/>
      <c r="BD10" s="1930"/>
      <c r="BE10" s="1930"/>
    </row>
    <row r="11" spans="1:57" hidden="1" outlineLevel="1" x14ac:dyDescent="0.25">
      <c r="V11" s="1930"/>
      <c r="AC11" s="1930"/>
      <c r="AD11" s="1930"/>
      <c r="AE11" s="1930"/>
      <c r="AF11" s="1930"/>
      <c r="AG11" s="1930"/>
      <c r="AH11" s="1930"/>
      <c r="AI11" s="1930"/>
      <c r="AJ11" s="1930"/>
      <c r="AK11" s="1930"/>
      <c r="AL11" s="1930"/>
      <c r="AM11" s="1930"/>
      <c r="AN11" s="1930"/>
      <c r="AO11" s="1930"/>
      <c r="AP11" s="1930"/>
      <c r="AQ11" s="1930"/>
      <c r="AR11" s="1930"/>
      <c r="AS11" s="1930"/>
      <c r="AT11" s="1930"/>
      <c r="AU11" s="1930"/>
      <c r="AV11" s="1930"/>
      <c r="AW11" s="1930"/>
      <c r="AX11" s="1930"/>
      <c r="AY11" s="1930"/>
      <c r="AZ11" s="1930"/>
      <c r="BA11" s="1930"/>
      <c r="BB11" s="1930"/>
      <c r="BC11" s="1930"/>
      <c r="BD11" s="1930"/>
      <c r="BE11" s="1930"/>
    </row>
    <row r="12" spans="1:57" hidden="1" outlineLevel="1" x14ac:dyDescent="0.25">
      <c r="V12" s="1930"/>
      <c r="AC12" s="1930"/>
      <c r="AD12" s="1930"/>
      <c r="AE12" s="1930"/>
      <c r="AF12" s="1930"/>
      <c r="AG12" s="1930"/>
      <c r="AH12" s="1930"/>
      <c r="AI12" s="1930"/>
      <c r="AJ12" s="1930"/>
      <c r="AK12" s="1930"/>
      <c r="AL12" s="1930"/>
      <c r="AM12" s="1930"/>
      <c r="AN12" s="1930"/>
      <c r="AO12" s="1930"/>
      <c r="AP12" s="1930"/>
      <c r="AQ12" s="1930"/>
      <c r="AR12" s="1930"/>
      <c r="AS12" s="1930"/>
      <c r="AT12" s="1930"/>
      <c r="AU12" s="1930"/>
      <c r="AV12" s="1930"/>
      <c r="AW12" s="1930"/>
      <c r="AX12" s="1930"/>
      <c r="AY12" s="1930"/>
      <c r="AZ12" s="1930"/>
      <c r="BA12" s="1930"/>
      <c r="BB12" s="1930"/>
      <c r="BC12" s="1930"/>
      <c r="BD12" s="1930"/>
      <c r="BE12" s="1930"/>
    </row>
    <row r="13" spans="1:57" hidden="1" outlineLevel="1" x14ac:dyDescent="0.25">
      <c r="V13" s="1930"/>
      <c r="AC13" s="1930"/>
      <c r="AD13" s="1930"/>
      <c r="AE13" s="1930"/>
      <c r="AF13" s="1930"/>
      <c r="AG13" s="1930"/>
      <c r="AH13" s="1930"/>
      <c r="AI13" s="1930"/>
      <c r="AJ13" s="1930"/>
      <c r="AK13" s="1930"/>
      <c r="AL13" s="1930"/>
      <c r="AM13" s="1930"/>
      <c r="AN13" s="1930"/>
      <c r="AO13" s="1930"/>
      <c r="AP13" s="1930"/>
      <c r="AQ13" s="1930"/>
      <c r="AR13" s="1930"/>
      <c r="AS13" s="1930"/>
      <c r="AT13" s="1930"/>
      <c r="AU13" s="1930"/>
      <c r="AV13" s="1930"/>
      <c r="AW13" s="1930"/>
      <c r="AX13" s="1930"/>
      <c r="AY13" s="1930"/>
      <c r="AZ13" s="1930"/>
      <c r="BA13" s="1930"/>
      <c r="BB13" s="1930"/>
      <c r="BC13" s="1930"/>
      <c r="BD13" s="1930"/>
      <c r="BE13" s="1930"/>
    </row>
    <row r="14" spans="1:57" hidden="1" outlineLevel="1" x14ac:dyDescent="0.25">
      <c r="D14" s="3236" t="s">
        <v>109</v>
      </c>
      <c r="E14" s="3236" t="s">
        <v>110</v>
      </c>
      <c r="F14" s="3086" t="s">
        <v>112</v>
      </c>
      <c r="G14" s="3773" t="s">
        <v>187</v>
      </c>
      <c r="H14" s="3773"/>
      <c r="I14" s="3773"/>
      <c r="V14" s="1936" t="s">
        <v>45</v>
      </c>
      <c r="W14" s="360">
        <f>W$6</f>
        <v>43252</v>
      </c>
      <c r="X14" s="360">
        <f t="shared" ref="X14:AG14" si="1">X$6</f>
        <v>43465</v>
      </c>
      <c r="Y14" s="360">
        <f t="shared" si="1"/>
        <v>43800</v>
      </c>
      <c r="Z14" s="360">
        <f t="shared" si="1"/>
        <v>43862</v>
      </c>
      <c r="AA14" s="360">
        <f t="shared" si="1"/>
        <v>44013</v>
      </c>
      <c r="AB14" s="360">
        <f t="shared" si="1"/>
        <v>44166</v>
      </c>
      <c r="AC14" s="1937">
        <f t="shared" si="1"/>
        <v>44531</v>
      </c>
      <c r="AD14" s="1937" t="str">
        <f t="shared" si="1"/>
        <v>-</v>
      </c>
      <c r="AE14" s="1937" t="str">
        <f t="shared" si="1"/>
        <v>-</v>
      </c>
      <c r="AF14" s="1937" t="str">
        <f t="shared" si="1"/>
        <v>-</v>
      </c>
      <c r="AG14" s="1937" t="str">
        <f t="shared" si="1"/>
        <v>-</v>
      </c>
      <c r="AH14" s="1930"/>
      <c r="AI14" s="1930"/>
      <c r="AJ14" s="1930"/>
      <c r="AK14" s="1930"/>
      <c r="AL14" s="1930"/>
      <c r="AM14" s="1930"/>
      <c r="AN14" s="1930"/>
      <c r="AO14" s="1930"/>
      <c r="AP14" s="1930"/>
      <c r="AQ14" s="1930"/>
      <c r="AR14" s="1930"/>
      <c r="AS14" s="1930"/>
      <c r="AT14" s="1930"/>
      <c r="AU14" s="1930"/>
      <c r="AV14" s="1930"/>
      <c r="AW14" s="1930"/>
      <c r="AX14" s="1930"/>
      <c r="AY14" s="1930"/>
      <c r="AZ14" s="1930"/>
      <c r="BA14" s="1930"/>
      <c r="BB14" s="1930"/>
      <c r="BC14" s="1930"/>
      <c r="BD14" s="1930"/>
      <c r="BE14" s="1930"/>
    </row>
    <row r="15" spans="1:57" hidden="1" outlineLevel="1" x14ac:dyDescent="0.25">
      <c r="D15" s="3099" t="s">
        <v>2581</v>
      </c>
      <c r="E15" s="3099" t="s">
        <v>2582</v>
      </c>
      <c r="F15" s="1649">
        <v>1181</v>
      </c>
      <c r="G15" s="4473" t="s">
        <v>2583</v>
      </c>
      <c r="H15" s="4473"/>
      <c r="I15" s="4473"/>
      <c r="V15" s="1248" t="str">
        <f>D15</f>
        <v>UEC</v>
      </c>
      <c r="W15" s="1251">
        <v>1181</v>
      </c>
      <c r="X15" s="1251">
        <v>1181</v>
      </c>
      <c r="Y15" s="1251">
        <v>1181</v>
      </c>
      <c r="Z15" s="1251">
        <v>1181</v>
      </c>
      <c r="AA15" s="1251">
        <v>1181</v>
      </c>
      <c r="AB15" s="1251">
        <v>1181</v>
      </c>
      <c r="AC15" s="1649">
        <v>1181</v>
      </c>
      <c r="AD15" s="1249"/>
      <c r="AE15" s="1249"/>
      <c r="AF15" s="1249"/>
      <c r="AG15" s="1249"/>
      <c r="AH15" s="1930"/>
      <c r="AI15" s="1930"/>
      <c r="AJ15" s="1930"/>
      <c r="AK15" s="1930"/>
      <c r="AL15" s="1930"/>
      <c r="AM15" s="1930"/>
      <c r="AN15" s="1930"/>
      <c r="AO15" s="1930"/>
      <c r="AP15" s="1930"/>
      <c r="AQ15" s="1930"/>
      <c r="AR15" s="1930"/>
      <c r="AS15" s="1930"/>
      <c r="AT15" s="1930"/>
      <c r="AU15" s="1930"/>
      <c r="AV15" s="1930"/>
      <c r="AW15" s="1930"/>
      <c r="AX15" s="1930"/>
      <c r="AY15" s="1930"/>
      <c r="AZ15" s="1930"/>
      <c r="BA15" s="1930"/>
      <c r="BB15" s="1930"/>
      <c r="BC15" s="1930"/>
      <c r="BD15" s="1930"/>
      <c r="BE15" s="1930"/>
    </row>
    <row r="16" spans="1:57" ht="30" hidden="1" outlineLevel="1" x14ac:dyDescent="0.25">
      <c r="D16" s="3099" t="s">
        <v>2584</v>
      </c>
      <c r="E16" s="3099" t="s">
        <v>2585</v>
      </c>
      <c r="F16" s="188">
        <v>0.86394557823129203</v>
      </c>
      <c r="G16" s="4473" t="s">
        <v>2586</v>
      </c>
      <c r="H16" s="4473"/>
      <c r="I16" s="4473"/>
      <c r="V16" s="1248" t="str">
        <f>D16</f>
        <v>Part Use Factor</v>
      </c>
      <c r="W16" s="1251">
        <v>0.87</v>
      </c>
      <c r="X16" s="1251">
        <v>0.87</v>
      </c>
      <c r="Y16" s="1251">
        <v>0.87</v>
      </c>
      <c r="Z16" s="1251">
        <v>0.87</v>
      </c>
      <c r="AA16" s="1251">
        <v>0.87</v>
      </c>
      <c r="AB16" s="2422">
        <v>0.86394557823129203</v>
      </c>
      <c r="AC16" s="188">
        <v>0.86394557823129203</v>
      </c>
      <c r="AD16" s="1249"/>
      <c r="AE16" s="1249"/>
      <c r="AF16" s="1249"/>
      <c r="AG16" s="1249"/>
      <c r="AH16" s="1930"/>
      <c r="AI16" s="1930"/>
      <c r="AJ16" s="1930"/>
      <c r="AK16" s="1930"/>
      <c r="AL16" s="1930"/>
      <c r="AM16" s="1930"/>
      <c r="AN16" s="1930"/>
      <c r="AO16" s="1930"/>
      <c r="AP16" s="1930"/>
      <c r="AQ16" s="1930"/>
      <c r="AR16" s="1930"/>
      <c r="AS16" s="1930"/>
      <c r="AT16" s="1930"/>
      <c r="AU16" s="1930"/>
      <c r="AV16" s="1930"/>
      <c r="AW16" s="1930"/>
      <c r="AX16" s="1930"/>
      <c r="AY16" s="1930"/>
      <c r="AZ16" s="1930"/>
      <c r="BA16" s="1930"/>
      <c r="BB16" s="1930"/>
      <c r="BC16" s="1930"/>
      <c r="BD16" s="1930"/>
      <c r="BE16" s="1930"/>
    </row>
    <row r="17" spans="1:57" hidden="1" outlineLevel="1" x14ac:dyDescent="0.25">
      <c r="V17" s="1930"/>
      <c r="AC17" s="1930"/>
      <c r="AD17" s="1930"/>
      <c r="AE17" s="1930"/>
      <c r="AF17" s="1930"/>
      <c r="AG17" s="1930"/>
      <c r="AH17" s="1930"/>
      <c r="AI17" s="1930"/>
      <c r="AJ17" s="1930"/>
      <c r="AK17" s="1930"/>
      <c r="AL17" s="1930"/>
      <c r="AM17" s="1930"/>
      <c r="AN17" s="1930"/>
      <c r="AO17" s="1930"/>
      <c r="AP17" s="1930"/>
      <c r="AQ17" s="1930"/>
      <c r="AR17" s="1930"/>
      <c r="AS17" s="1930"/>
      <c r="AT17" s="1930"/>
      <c r="AU17" s="1930"/>
      <c r="AV17" s="1930"/>
      <c r="AW17" s="1930"/>
      <c r="AX17" s="1930"/>
      <c r="AY17" s="1930"/>
      <c r="AZ17" s="1930"/>
      <c r="BA17" s="1930"/>
      <c r="BB17" s="1930"/>
      <c r="BC17" s="1930"/>
      <c r="BD17" s="1930"/>
      <c r="BE17" s="1930"/>
    </row>
    <row r="18" spans="1:57" collapsed="1" x14ac:dyDescent="0.25">
      <c r="V18" s="1930"/>
      <c r="AC18" s="1930"/>
      <c r="AD18" s="1930"/>
      <c r="AE18" s="1930"/>
      <c r="AF18" s="1930"/>
      <c r="AG18" s="1930"/>
      <c r="AH18" s="1930"/>
      <c r="AI18" s="1930"/>
      <c r="AJ18" s="1930"/>
      <c r="AK18" s="1930"/>
      <c r="AL18" s="1930"/>
      <c r="AM18" s="1930"/>
      <c r="AN18" s="1930"/>
      <c r="AO18" s="1930"/>
      <c r="AP18" s="1930"/>
      <c r="AQ18" s="1930"/>
      <c r="AR18" s="1930"/>
      <c r="AS18" s="1930"/>
      <c r="AT18" s="1930"/>
      <c r="AU18" s="1930"/>
      <c r="AV18" s="1930"/>
      <c r="AW18" s="1930"/>
      <c r="AX18" s="1930"/>
      <c r="AY18" s="1930"/>
      <c r="AZ18" s="1930"/>
      <c r="BA18" s="1930"/>
      <c r="BB18" s="1930"/>
      <c r="BC18" s="1930"/>
      <c r="BD18" s="1930"/>
      <c r="BE18" s="1930"/>
    </row>
    <row r="19" spans="1:57" x14ac:dyDescent="0.25">
      <c r="B19" s="3750" t="s">
        <v>2587</v>
      </c>
      <c r="C19" s="3751"/>
      <c r="D19" s="3751"/>
      <c r="E19" s="3751"/>
      <c r="F19" s="3751"/>
      <c r="G19" s="3751"/>
      <c r="H19" s="3751"/>
      <c r="I19" s="3751"/>
      <c r="J19" s="3751"/>
      <c r="K19" s="3751"/>
      <c r="L19" s="4120"/>
      <c r="V19" s="3750" t="str">
        <f>B19</f>
        <v>Freezer Recycling</v>
      </c>
      <c r="W19" s="3751"/>
      <c r="X19" s="3751"/>
      <c r="Y19" s="3751"/>
      <c r="Z19" s="3751"/>
      <c r="AA19" s="3751"/>
      <c r="AB19" s="3751"/>
      <c r="AC19" s="3752"/>
      <c r="AD19" s="3752"/>
      <c r="AE19" s="3752"/>
      <c r="AF19" s="3752"/>
      <c r="AG19" s="3752"/>
      <c r="AH19" s="3752"/>
      <c r="AI19" s="3753"/>
      <c r="AJ19" s="1930"/>
      <c r="AK19" s="1930"/>
      <c r="AL19" s="1930"/>
      <c r="AM19" s="1930"/>
      <c r="AN19" s="1930"/>
      <c r="AO19" s="1930"/>
      <c r="AP19" s="1930"/>
      <c r="AQ19" s="1930"/>
      <c r="AR19" s="1930"/>
      <c r="AS19" s="1930"/>
      <c r="AT19" s="1930"/>
      <c r="AU19" s="1930"/>
      <c r="AV19" s="1930"/>
      <c r="AW19" s="1930"/>
      <c r="AX19" s="1930"/>
      <c r="AY19" s="1930"/>
      <c r="AZ19" s="1930"/>
      <c r="BA19" s="1930"/>
      <c r="BB19" s="1930"/>
      <c r="BC19" s="1930"/>
      <c r="BD19" s="1930"/>
      <c r="BE19" s="1930"/>
    </row>
    <row r="20" spans="1:57" x14ac:dyDescent="0.25">
      <c r="V20" s="224"/>
      <c r="W20" s="618"/>
      <c r="X20" s="618"/>
      <c r="Y20" s="618"/>
      <c r="Z20" s="618"/>
      <c r="AA20" s="618"/>
      <c r="AB20" s="618"/>
      <c r="AC20" s="224"/>
      <c r="AD20" s="224"/>
      <c r="AE20" s="224"/>
      <c r="AF20" s="224"/>
      <c r="AG20" s="224"/>
      <c r="AH20" s="224"/>
      <c r="AI20" s="224"/>
      <c r="AJ20" s="1930"/>
      <c r="AK20" s="1930"/>
      <c r="AL20" s="1930"/>
      <c r="AM20" s="1930"/>
      <c r="AN20" s="1930"/>
      <c r="AO20" s="1930"/>
      <c r="AP20" s="1930"/>
      <c r="AQ20" s="1930"/>
      <c r="AR20" s="1930"/>
      <c r="AS20" s="1930"/>
      <c r="AT20" s="1930"/>
      <c r="AU20" s="1930"/>
      <c r="AV20" s="1930"/>
      <c r="AW20" s="1930"/>
      <c r="AX20" s="1930"/>
      <c r="AY20" s="1930"/>
      <c r="AZ20" s="1930"/>
      <c r="BA20" s="1930"/>
      <c r="BB20" s="1930"/>
      <c r="BC20" s="1930"/>
      <c r="BD20" s="1930"/>
      <c r="BE20" s="1930"/>
    </row>
    <row r="21" spans="1:57" s="82" customFormat="1" ht="45" customHeight="1" x14ac:dyDescent="0.25">
      <c r="A21" s="123"/>
      <c r="B21" s="123"/>
      <c r="C21" s="3086" t="s">
        <v>28</v>
      </c>
      <c r="D21" s="3086" t="s">
        <v>175</v>
      </c>
      <c r="E21" s="3086" t="s">
        <v>30</v>
      </c>
      <c r="F21" s="3086" t="s">
        <v>31</v>
      </c>
      <c r="G21" s="3086" t="s">
        <v>176</v>
      </c>
      <c r="H21" s="3086" t="s">
        <v>177</v>
      </c>
      <c r="I21" s="3086" t="s">
        <v>32</v>
      </c>
      <c r="J21" s="3086" t="s">
        <v>181</v>
      </c>
      <c r="K21" s="3086" t="s">
        <v>170</v>
      </c>
      <c r="L21" s="3086" t="s">
        <v>44</v>
      </c>
      <c r="M21" s="151"/>
      <c r="N21" s="151"/>
      <c r="O21" s="151"/>
      <c r="P21" s="151"/>
      <c r="Q21" s="151"/>
      <c r="R21" s="151"/>
      <c r="S21" s="151"/>
      <c r="T21" s="151"/>
      <c r="U21" s="151"/>
      <c r="V21" s="1936" t="s">
        <v>45</v>
      </c>
      <c r="W21" s="360">
        <f>W$6</f>
        <v>43252</v>
      </c>
      <c r="X21" s="360">
        <f t="shared" ref="X21:AG21" si="2">X$6</f>
        <v>43465</v>
      </c>
      <c r="Y21" s="360">
        <f t="shared" si="2"/>
        <v>43800</v>
      </c>
      <c r="Z21" s="360">
        <f t="shared" si="2"/>
        <v>43862</v>
      </c>
      <c r="AA21" s="360">
        <f t="shared" si="2"/>
        <v>44013</v>
      </c>
      <c r="AB21" s="360">
        <f t="shared" si="2"/>
        <v>44166</v>
      </c>
      <c r="AC21" s="1937">
        <f t="shared" si="2"/>
        <v>44531</v>
      </c>
      <c r="AD21" s="1937" t="str">
        <f t="shared" si="2"/>
        <v>-</v>
      </c>
      <c r="AE21" s="1937" t="str">
        <f t="shared" si="2"/>
        <v>-</v>
      </c>
      <c r="AF21" s="1937" t="str">
        <f t="shared" si="2"/>
        <v>-</v>
      </c>
      <c r="AG21" s="1937" t="str">
        <f t="shared" si="2"/>
        <v>-</v>
      </c>
      <c r="AH21" s="224"/>
      <c r="AI21" s="224"/>
      <c r="BB21" s="1938" t="str">
        <f>$BB$6</f>
        <v>TRC (2020)</v>
      </c>
      <c r="BC21" s="1953" t="str">
        <f>$BC$6</f>
        <v>Benefit Lookup</v>
      </c>
      <c r="BD21" s="665" t="str">
        <f>$BD$6</f>
        <v>Benefits (2019 $)</v>
      </c>
      <c r="BE21" s="230" t="str">
        <f>$BE$6</f>
        <v>Incremental Cost (2019 $)</v>
      </c>
    </row>
    <row r="22" spans="1:57" s="82" customFormat="1" x14ac:dyDescent="0.25">
      <c r="A22" s="123"/>
      <c r="B22" s="123"/>
      <c r="C22" s="63" t="s">
        <v>2588</v>
      </c>
      <c r="D22" s="104" t="s">
        <v>2577</v>
      </c>
      <c r="E22" s="3127" t="s">
        <v>2589</v>
      </c>
      <c r="F22" s="1491">
        <f>ROUND(F29*F30,2)</f>
        <v>825.22</v>
      </c>
      <c r="G22" s="1190" t="s">
        <v>2590</v>
      </c>
      <c r="H22" s="155">
        <f>VLOOKUP(G22,'CP FACTORS'!$A$3:$B$38, 2, FALSE)</f>
        <v>1.6857220000000001E-4</v>
      </c>
      <c r="I22" s="106">
        <f>ROUND(F22*H22,6)</f>
        <v>0.13910900000000001</v>
      </c>
      <c r="J22" s="108">
        <v>8</v>
      </c>
      <c r="K22" s="482">
        <v>140</v>
      </c>
      <c r="L22" s="63" t="s">
        <v>185</v>
      </c>
      <c r="M22" s="151"/>
      <c r="N22" s="151"/>
      <c r="O22" s="151"/>
      <c r="P22" s="151"/>
      <c r="Q22" s="151"/>
      <c r="R22" s="151"/>
      <c r="S22" s="151"/>
      <c r="T22" s="151"/>
      <c r="U22" s="151"/>
      <c r="V22" s="160" t="str">
        <f>F21</f>
        <v>kWh Annual Savings</v>
      </c>
      <c r="W22" s="1191">
        <v>891.24</v>
      </c>
      <c r="X22" s="1191">
        <v>891.24</v>
      </c>
      <c r="Y22" s="1246">
        <v>891.24</v>
      </c>
      <c r="Z22" s="550">
        <v>891.24</v>
      </c>
      <c r="AA22" s="550">
        <v>891.24</v>
      </c>
      <c r="AB22" s="1951">
        <v>825.22</v>
      </c>
      <c r="AC22" s="62">
        <v>825.22</v>
      </c>
      <c r="AD22" s="550"/>
      <c r="AE22" s="550"/>
      <c r="AF22" s="550"/>
      <c r="AG22" s="550"/>
      <c r="AH22" s="1930"/>
      <c r="AI22" s="1930"/>
      <c r="BB22" s="1192">
        <f>(BD22)/(BE22)</f>
        <v>1.8949194933470492</v>
      </c>
      <c r="BC22" s="3166" t="str">
        <f>CONCATENATE(G22," ",J22," Year EUL")</f>
        <v>Freezer RES 8 Year EUL</v>
      </c>
      <c r="BD22" s="166">
        <f>(INDEX('Avoided Cost Benefits'!$C$4:$C$857,MATCH(BC22,'Avoided Cost Benefits'!$A$4:$A$857,0)))*F22</f>
        <v>250.39049463764687</v>
      </c>
      <c r="BE22" s="1956">
        <f>K22/(1.0595^(2020-2019))</f>
        <v>132.13780084945728</v>
      </c>
    </row>
    <row r="23" spans="1:57" hidden="1" outlineLevel="1" x14ac:dyDescent="0.25">
      <c r="V23" s="1930"/>
      <c r="AC23" s="1930"/>
      <c r="AD23" s="1930"/>
      <c r="AE23" s="1930"/>
      <c r="AF23" s="1930"/>
      <c r="AG23" s="1930"/>
      <c r="AH23" s="1930"/>
      <c r="AI23" s="1930"/>
      <c r="AJ23" s="1930"/>
      <c r="AK23" s="1930"/>
      <c r="AL23" s="1930"/>
      <c r="AM23" s="1930"/>
      <c r="AN23" s="1930"/>
      <c r="AO23" s="1930"/>
      <c r="AP23" s="1930"/>
      <c r="AQ23" s="1930"/>
      <c r="AR23" s="1930"/>
      <c r="AS23" s="1930"/>
      <c r="AT23" s="1930"/>
      <c r="AU23" s="1930"/>
      <c r="AV23" s="1930"/>
      <c r="AW23" s="1930"/>
      <c r="AX23" s="1930"/>
      <c r="AY23" s="1930"/>
      <c r="AZ23" s="1930"/>
      <c r="BA23" s="1930"/>
      <c r="BB23" s="1930"/>
      <c r="BC23" s="1930"/>
      <c r="BD23" s="1930"/>
      <c r="BE23" s="1930"/>
    </row>
    <row r="24" spans="1:57" hidden="1" outlineLevel="1" x14ac:dyDescent="0.25">
      <c r="D24" s="174" t="s">
        <v>108</v>
      </c>
      <c r="V24" s="1930"/>
      <c r="AC24" s="1930"/>
      <c r="AD24" s="1930"/>
      <c r="AE24" s="1930"/>
      <c r="AF24" s="1930"/>
      <c r="AG24" s="1930"/>
      <c r="AH24" s="1930"/>
      <c r="AI24" s="1930"/>
      <c r="AJ24" s="1930"/>
      <c r="AK24" s="1930"/>
      <c r="AL24" s="1930"/>
      <c r="AM24" s="1930"/>
      <c r="AN24" s="1930"/>
      <c r="AO24" s="1930"/>
      <c r="AP24" s="1930"/>
      <c r="AQ24" s="1930"/>
      <c r="AR24" s="1930"/>
      <c r="AS24" s="1930"/>
      <c r="AT24" s="1930"/>
      <c r="AU24" s="1930"/>
      <c r="AV24" s="1930"/>
      <c r="AW24" s="1930"/>
      <c r="AX24" s="1930"/>
      <c r="AY24" s="1930"/>
      <c r="AZ24" s="1930"/>
      <c r="BA24" s="1930"/>
      <c r="BB24" s="1930"/>
      <c r="BC24" s="1930"/>
      <c r="BD24" s="1930"/>
      <c r="BE24" s="1930"/>
    </row>
    <row r="25" spans="1:57" hidden="1" outlineLevel="1" x14ac:dyDescent="0.25">
      <c r="D25" s="328"/>
      <c r="F25" s="329"/>
      <c r="V25" s="1930"/>
      <c r="AC25" s="1930"/>
      <c r="AD25" s="1930"/>
      <c r="AE25" s="1930"/>
      <c r="AF25" s="1930"/>
      <c r="AG25" s="1930"/>
      <c r="AH25" s="1930"/>
      <c r="AI25" s="1930"/>
      <c r="AJ25" s="1930"/>
      <c r="AK25" s="1930"/>
      <c r="AL25" s="1930"/>
      <c r="AM25" s="1930"/>
      <c r="AN25" s="1930"/>
      <c r="AO25" s="1930"/>
      <c r="AP25" s="1930"/>
      <c r="AQ25" s="1930"/>
      <c r="AR25" s="1930"/>
      <c r="AS25" s="1930"/>
      <c r="AT25" s="1930"/>
      <c r="AU25" s="1930"/>
      <c r="AV25" s="1930"/>
      <c r="AW25" s="1930"/>
      <c r="AX25" s="1930"/>
      <c r="AY25" s="1930"/>
      <c r="AZ25" s="1930"/>
      <c r="BA25" s="1930"/>
      <c r="BB25" s="1930"/>
      <c r="BC25" s="1930"/>
      <c r="BD25" s="1930"/>
      <c r="BE25" s="1930"/>
    </row>
    <row r="26" spans="1:57" hidden="1" outlineLevel="1" x14ac:dyDescent="0.25">
      <c r="D26" s="328"/>
      <c r="F26" s="329"/>
      <c r="V26" s="1930"/>
      <c r="AC26" s="1930"/>
      <c r="AD26" s="1930"/>
      <c r="AE26" s="1930"/>
      <c r="AF26" s="1930"/>
      <c r="AG26" s="1930"/>
      <c r="AH26" s="1930"/>
      <c r="AI26" s="1930"/>
      <c r="AJ26" s="1930"/>
      <c r="AK26" s="1930"/>
      <c r="AL26" s="1930"/>
      <c r="AM26" s="1930"/>
      <c r="AN26" s="1930"/>
      <c r="AO26" s="1930"/>
      <c r="AP26" s="1930"/>
      <c r="AQ26" s="1930"/>
      <c r="AR26" s="1930"/>
      <c r="AS26" s="1930"/>
      <c r="AT26" s="1930"/>
      <c r="AU26" s="1930"/>
      <c r="AV26" s="1930"/>
      <c r="AW26" s="1930"/>
      <c r="AX26" s="1930"/>
      <c r="AY26" s="1930"/>
      <c r="AZ26" s="1930"/>
      <c r="BA26" s="1930"/>
      <c r="BB26" s="1930"/>
      <c r="BC26" s="1930"/>
      <c r="BD26" s="1930"/>
      <c r="BE26" s="1930"/>
    </row>
    <row r="27" spans="1:57" hidden="1" outlineLevel="1" x14ac:dyDescent="0.25">
      <c r="D27" s="328"/>
      <c r="F27" s="329"/>
      <c r="V27" s="1930"/>
      <c r="AC27" s="1930"/>
      <c r="AD27" s="1930"/>
      <c r="AE27" s="1930"/>
      <c r="AF27" s="1930"/>
      <c r="AG27" s="1930"/>
      <c r="AH27" s="1930"/>
      <c r="AI27" s="1930"/>
      <c r="AJ27" s="1930"/>
      <c r="AK27" s="1930"/>
      <c r="AL27" s="1930"/>
      <c r="AM27" s="1930"/>
      <c r="AN27" s="1930"/>
      <c r="AO27" s="1930"/>
      <c r="AP27" s="1930"/>
      <c r="AQ27" s="1930"/>
      <c r="AR27" s="1930"/>
      <c r="AS27" s="1930"/>
      <c r="AT27" s="1930"/>
      <c r="AU27" s="1930"/>
      <c r="AV27" s="1930"/>
      <c r="AW27" s="1930"/>
      <c r="AX27" s="1930"/>
      <c r="AY27" s="1930"/>
      <c r="AZ27" s="1930"/>
      <c r="BA27" s="1930"/>
      <c r="BB27" s="1930"/>
      <c r="BC27" s="1930"/>
      <c r="BD27" s="1930"/>
      <c r="BE27" s="1930"/>
    </row>
    <row r="28" spans="1:57" hidden="1" outlineLevel="1" x14ac:dyDescent="0.25">
      <c r="D28" s="3236" t="s">
        <v>109</v>
      </c>
      <c r="E28" s="3236" t="s">
        <v>110</v>
      </c>
      <c r="F28" s="3086" t="s">
        <v>112</v>
      </c>
      <c r="G28" s="3773" t="s">
        <v>187</v>
      </c>
      <c r="H28" s="3773"/>
      <c r="I28" s="3773"/>
      <c r="V28" s="1936" t="s">
        <v>45</v>
      </c>
      <c r="W28" s="360">
        <f>W$6</f>
        <v>43252</v>
      </c>
      <c r="X28" s="360">
        <f t="shared" ref="X28:AG28" si="3">X$6</f>
        <v>43465</v>
      </c>
      <c r="Y28" s="360">
        <f t="shared" si="3"/>
        <v>43800</v>
      </c>
      <c r="Z28" s="360">
        <f t="shared" si="3"/>
        <v>43862</v>
      </c>
      <c r="AA28" s="360">
        <f t="shared" si="3"/>
        <v>44013</v>
      </c>
      <c r="AB28" s="360">
        <f t="shared" si="3"/>
        <v>44166</v>
      </c>
      <c r="AC28" s="1937">
        <f t="shared" si="3"/>
        <v>44531</v>
      </c>
      <c r="AD28" s="1937" t="str">
        <f t="shared" si="3"/>
        <v>-</v>
      </c>
      <c r="AE28" s="1937" t="str">
        <f t="shared" si="3"/>
        <v>-</v>
      </c>
      <c r="AF28" s="1937" t="str">
        <f t="shared" si="3"/>
        <v>-</v>
      </c>
      <c r="AG28" s="1937" t="str">
        <f t="shared" si="3"/>
        <v>-</v>
      </c>
      <c r="AH28" s="1930"/>
      <c r="AI28" s="1930"/>
      <c r="AJ28" s="1930"/>
      <c r="AK28" s="1930"/>
      <c r="AL28" s="1930"/>
      <c r="AM28" s="1930"/>
      <c r="AN28" s="1930"/>
      <c r="AO28" s="1930"/>
      <c r="AP28" s="1930"/>
      <c r="AQ28" s="1930"/>
      <c r="AR28" s="1930"/>
      <c r="AS28" s="1930"/>
      <c r="AT28" s="1930"/>
      <c r="AU28" s="1930"/>
      <c r="AV28" s="1930"/>
      <c r="AW28" s="1930"/>
      <c r="AX28" s="1930"/>
      <c r="AY28" s="1930"/>
      <c r="AZ28" s="1930"/>
      <c r="BA28" s="1930"/>
      <c r="BB28" s="1930"/>
      <c r="BC28" s="1930"/>
      <c r="BD28" s="1930"/>
      <c r="BE28" s="1930"/>
    </row>
    <row r="29" spans="1:57" hidden="1" outlineLevel="1" x14ac:dyDescent="0.25">
      <c r="D29" s="3099" t="s">
        <v>2581</v>
      </c>
      <c r="E29" s="3099" t="s">
        <v>2582</v>
      </c>
      <c r="F29" s="1649">
        <v>1061</v>
      </c>
      <c r="G29" s="4473" t="s">
        <v>2583</v>
      </c>
      <c r="H29" s="4473"/>
      <c r="I29" s="4473"/>
      <c r="V29" s="1248" t="str">
        <f>D29</f>
        <v>UEC</v>
      </c>
      <c r="W29" s="1251">
        <v>1061</v>
      </c>
      <c r="X29" s="1251">
        <v>1061</v>
      </c>
      <c r="Y29" s="1251">
        <v>1061</v>
      </c>
      <c r="Z29" s="1251">
        <v>1061</v>
      </c>
      <c r="AA29" s="1251">
        <v>1061</v>
      </c>
      <c r="AB29" s="1251">
        <v>1061</v>
      </c>
      <c r="AC29" s="2423">
        <v>1061</v>
      </c>
      <c r="AD29" s="1249"/>
      <c r="AE29" s="1249"/>
      <c r="AF29" s="1249"/>
      <c r="AG29" s="1249"/>
      <c r="AH29" s="1930"/>
      <c r="AI29" s="1930"/>
      <c r="AJ29" s="1930"/>
      <c r="AK29" s="1930"/>
      <c r="AL29" s="1930"/>
      <c r="AM29" s="1930"/>
      <c r="AN29" s="1930"/>
      <c r="AO29" s="1930"/>
      <c r="AP29" s="1930"/>
      <c r="AQ29" s="1930"/>
      <c r="AR29" s="1930"/>
      <c r="AS29" s="1930"/>
      <c r="AT29" s="1930"/>
      <c r="AU29" s="1930"/>
      <c r="AV29" s="1930"/>
      <c r="AW29" s="1930"/>
      <c r="AX29" s="1930"/>
      <c r="AY29" s="1930"/>
      <c r="AZ29" s="1930"/>
      <c r="BA29" s="1930"/>
      <c r="BB29" s="1930"/>
      <c r="BC29" s="1930"/>
      <c r="BD29" s="1930"/>
      <c r="BE29" s="1930"/>
    </row>
    <row r="30" spans="1:57" s="100" customFormat="1" ht="30" hidden="1" outlineLevel="1" x14ac:dyDescent="0.25">
      <c r="C30" s="328"/>
      <c r="D30" s="3099" t="s">
        <v>2584</v>
      </c>
      <c r="E30" s="3099" t="s">
        <v>2585</v>
      </c>
      <c r="F30" s="194">
        <v>0.77777777777777801</v>
      </c>
      <c r="G30" s="3912" t="s">
        <v>2586</v>
      </c>
      <c r="H30" s="3912"/>
      <c r="I30" s="3912"/>
      <c r="J30" s="123"/>
      <c r="K30" s="123"/>
      <c r="L30" s="123"/>
      <c r="V30" s="3076" t="str">
        <f>D30</f>
        <v>Part Use Factor</v>
      </c>
      <c r="W30" s="2423">
        <v>0.84</v>
      </c>
      <c r="X30" s="2423">
        <v>0.84</v>
      </c>
      <c r="Y30" s="2423">
        <v>0.84</v>
      </c>
      <c r="Z30" s="2423">
        <v>0.84</v>
      </c>
      <c r="AA30" s="2423">
        <v>0.84</v>
      </c>
      <c r="AB30" s="2422">
        <v>0.77777777777777801</v>
      </c>
      <c r="AC30" s="2423">
        <v>0.77777777777777801</v>
      </c>
      <c r="AD30" s="2053"/>
      <c r="AE30" s="2053"/>
      <c r="AF30" s="2053"/>
      <c r="AG30" s="2053"/>
    </row>
    <row r="31" spans="1:57" collapsed="1" x14ac:dyDescent="0.25">
      <c r="V31" s="1930"/>
      <c r="AC31" s="1930"/>
      <c r="AD31" s="1930"/>
      <c r="AE31" s="1930"/>
      <c r="AF31" s="1930"/>
      <c r="AG31" s="1930"/>
      <c r="AH31" s="1930"/>
      <c r="AI31" s="1930"/>
      <c r="AJ31" s="1930"/>
      <c r="AK31" s="1930"/>
      <c r="AL31" s="1930"/>
      <c r="AM31" s="1930"/>
      <c r="AN31" s="1930"/>
      <c r="AO31" s="1930"/>
      <c r="AP31" s="1930"/>
      <c r="AQ31" s="1930"/>
      <c r="AR31" s="1930"/>
      <c r="AS31" s="1930"/>
      <c r="AT31" s="1930"/>
      <c r="AU31" s="1930"/>
      <c r="AV31" s="1930"/>
      <c r="AW31" s="1930"/>
      <c r="AX31" s="1930"/>
      <c r="AY31" s="1930"/>
      <c r="AZ31" s="1930"/>
      <c r="BA31" s="1930"/>
      <c r="BB31" s="1930"/>
      <c r="BC31" s="1930"/>
      <c r="BD31" s="1930"/>
      <c r="BE31" s="1930"/>
    </row>
    <row r="32" spans="1:57" x14ac:dyDescent="0.25">
      <c r="B32" s="3750" t="s">
        <v>2591</v>
      </c>
      <c r="C32" s="3751"/>
      <c r="D32" s="3751"/>
      <c r="E32" s="3751"/>
      <c r="F32" s="3751"/>
      <c r="G32" s="3751"/>
      <c r="H32" s="3751"/>
      <c r="I32" s="3751"/>
      <c r="J32" s="3751"/>
      <c r="K32" s="3751"/>
      <c r="L32" s="4120"/>
      <c r="V32" s="3750" t="str">
        <f>B32</f>
        <v>Room AC Recycling</v>
      </c>
      <c r="W32" s="3751"/>
      <c r="X32" s="3751"/>
      <c r="Y32" s="3751"/>
      <c r="Z32" s="3751"/>
      <c r="AA32" s="3751"/>
      <c r="AB32" s="3751"/>
      <c r="AC32" s="3752"/>
      <c r="AD32" s="3752"/>
      <c r="AE32" s="3752"/>
      <c r="AF32" s="3752"/>
      <c r="AG32" s="3752"/>
      <c r="AH32" s="3752"/>
      <c r="AI32" s="3753"/>
      <c r="AJ32" s="1930"/>
      <c r="AK32" s="1930"/>
      <c r="AL32" s="1930"/>
      <c r="AM32" s="1930"/>
      <c r="AN32" s="1930"/>
      <c r="AO32" s="1930"/>
      <c r="AP32" s="1930"/>
      <c r="AQ32" s="1930"/>
      <c r="AR32" s="1930"/>
      <c r="AS32" s="1930"/>
      <c r="AT32" s="1930"/>
      <c r="AU32" s="1930"/>
      <c r="AV32" s="1930"/>
      <c r="AW32" s="1930"/>
      <c r="AX32" s="1930"/>
      <c r="AY32" s="1930"/>
      <c r="AZ32" s="1930"/>
      <c r="BA32" s="1930"/>
      <c r="BB32" s="1930"/>
      <c r="BC32" s="1930"/>
      <c r="BD32" s="1930"/>
      <c r="BE32" s="1930"/>
    </row>
    <row r="33" spans="1:57" x14ac:dyDescent="0.25">
      <c r="V33" s="224"/>
      <c r="W33" s="618"/>
      <c r="X33" s="618"/>
      <c r="Y33" s="618"/>
      <c r="Z33" s="618"/>
      <c r="AA33" s="618"/>
      <c r="AB33" s="618"/>
      <c r="AC33" s="224"/>
      <c r="AD33" s="224"/>
      <c r="AE33" s="224"/>
      <c r="AF33" s="224"/>
      <c r="AG33" s="224"/>
      <c r="AH33" s="224"/>
      <c r="AI33" s="224"/>
      <c r="AJ33" s="1930"/>
      <c r="AK33" s="1930"/>
      <c r="AL33" s="1930"/>
      <c r="AM33" s="1930"/>
      <c r="AN33" s="1930"/>
      <c r="AO33" s="1930"/>
      <c r="AP33" s="1930"/>
      <c r="AQ33" s="1930"/>
      <c r="AR33" s="1930"/>
      <c r="AS33" s="1930"/>
      <c r="AT33" s="1930"/>
      <c r="AU33" s="1930"/>
      <c r="AV33" s="1930"/>
      <c r="AW33" s="1930"/>
      <c r="AX33" s="1930"/>
      <c r="AY33" s="1930"/>
      <c r="AZ33" s="1930"/>
      <c r="BA33" s="1930"/>
      <c r="BB33" s="1930"/>
      <c r="BC33" s="1930"/>
      <c r="BD33" s="1930"/>
      <c r="BE33" s="1930"/>
    </row>
    <row r="34" spans="1:57" s="82" customFormat="1" ht="45" customHeight="1" x14ac:dyDescent="0.25">
      <c r="A34" s="123"/>
      <c r="B34" s="123"/>
      <c r="C34" s="3086" t="s">
        <v>28</v>
      </c>
      <c r="D34" s="3086" t="s">
        <v>175</v>
      </c>
      <c r="E34" s="3086" t="s">
        <v>30</v>
      </c>
      <c r="F34" s="3086" t="s">
        <v>31</v>
      </c>
      <c r="G34" s="3086" t="s">
        <v>176</v>
      </c>
      <c r="H34" s="3086" t="s">
        <v>177</v>
      </c>
      <c r="I34" s="3086" t="s">
        <v>32</v>
      </c>
      <c r="J34" s="3086" t="s">
        <v>181</v>
      </c>
      <c r="K34" s="3086" t="s">
        <v>170</v>
      </c>
      <c r="L34" s="3086" t="s">
        <v>44</v>
      </c>
      <c r="M34" s="151"/>
      <c r="N34" s="151"/>
      <c r="O34" s="151"/>
      <c r="P34" s="151"/>
      <c r="Q34" s="151"/>
      <c r="R34" s="151"/>
      <c r="S34" s="151"/>
      <c r="T34" s="151"/>
      <c r="U34" s="151"/>
      <c r="V34" s="1936" t="s">
        <v>45</v>
      </c>
      <c r="W34" s="360">
        <f>W$6</f>
        <v>43252</v>
      </c>
      <c r="X34" s="360">
        <f t="shared" ref="X34:AG34" si="4">X$6</f>
        <v>43465</v>
      </c>
      <c r="Y34" s="360">
        <f t="shared" si="4"/>
        <v>43800</v>
      </c>
      <c r="Z34" s="360">
        <f t="shared" si="4"/>
        <v>43862</v>
      </c>
      <c r="AA34" s="360">
        <f t="shared" si="4"/>
        <v>44013</v>
      </c>
      <c r="AB34" s="360">
        <f t="shared" si="4"/>
        <v>44166</v>
      </c>
      <c r="AC34" s="1937">
        <f t="shared" si="4"/>
        <v>44531</v>
      </c>
      <c r="AD34" s="1937" t="str">
        <f t="shared" si="4"/>
        <v>-</v>
      </c>
      <c r="AE34" s="1937" t="str">
        <f t="shared" si="4"/>
        <v>-</v>
      </c>
      <c r="AF34" s="1937" t="str">
        <f t="shared" si="4"/>
        <v>-</v>
      </c>
      <c r="AG34" s="1937" t="str">
        <f t="shared" si="4"/>
        <v>-</v>
      </c>
      <c r="AH34" s="224"/>
      <c r="AI34" s="224"/>
      <c r="BB34" s="1938" t="str">
        <f>$BB$6</f>
        <v>TRC (2020)</v>
      </c>
      <c r="BC34" s="1953" t="str">
        <f>$BC$6</f>
        <v>Benefit Lookup</v>
      </c>
      <c r="BD34" s="665" t="str">
        <f>$BD$6</f>
        <v>Benefits (2019 $)</v>
      </c>
      <c r="BE34" s="230" t="str">
        <f>$BE$6</f>
        <v>Incremental Cost (2019 $)</v>
      </c>
    </row>
    <row r="35" spans="1:57" x14ac:dyDescent="0.25">
      <c r="C35" s="63" t="s">
        <v>2592</v>
      </c>
      <c r="D35" s="104" t="s">
        <v>2577</v>
      </c>
      <c r="E35" s="3127" t="s">
        <v>2593</v>
      </c>
      <c r="F35" s="1491">
        <f>ROUND(((F48*$F$50)/($F$51*1000))-($F$52*((F48*$F$50)/($F$53*1000))),2)</f>
        <v>302.52999999999997</v>
      </c>
      <c r="G35" s="2054" t="s">
        <v>258</v>
      </c>
      <c r="H35" s="155">
        <f>VLOOKUP(G35,'CP FACTORS'!$A$3:$B$38, 2, FALSE)</f>
        <v>9.4741810000000004E-4</v>
      </c>
      <c r="I35" s="106">
        <f>ROUND(F35*H35,6)</f>
        <v>0.28662199999999999</v>
      </c>
      <c r="J35" s="108">
        <v>4</v>
      </c>
      <c r="K35" s="482">
        <f>349*(140/(742+11))</f>
        <v>64.887118193891098</v>
      </c>
      <c r="L35" s="63" t="s">
        <v>185</v>
      </c>
      <c r="V35" s="160" t="str">
        <f>F34</f>
        <v>kWh Annual Savings</v>
      </c>
      <c r="W35" s="1191">
        <f>((W48*$F$50)/($F$51*1000))-($F$52*((W48*$F$50)/($F$53*1000)))</f>
        <v>302.53414882772677</v>
      </c>
      <c r="X35" s="1191">
        <f>((X48*$F$50)/($F$51*1000))-($F$52*((X48*$F$50)/($F$53*1000)))</f>
        <v>302.53414882772677</v>
      </c>
      <c r="Y35" s="1246">
        <v>302.52999999999997</v>
      </c>
      <c r="Z35" s="1246">
        <v>302.52999999999997</v>
      </c>
      <c r="AA35" s="1246">
        <v>302.52999999999997</v>
      </c>
      <c r="AB35" s="1246">
        <v>302.52999999999997</v>
      </c>
      <c r="AC35" s="1246">
        <v>302.52999999999997</v>
      </c>
      <c r="AD35" s="1250"/>
      <c r="AE35" s="1250"/>
      <c r="AF35" s="1250"/>
      <c r="AG35" s="1250"/>
      <c r="AH35" s="1930"/>
      <c r="AI35" s="1930"/>
      <c r="AJ35" s="1930"/>
      <c r="AK35" s="1930"/>
      <c r="AL35" s="1930"/>
      <c r="AM35" s="1930"/>
      <c r="AN35" s="1930"/>
      <c r="AO35" s="1930"/>
      <c r="AP35" s="1930"/>
      <c r="AQ35" s="1930"/>
      <c r="AR35" s="1930"/>
      <c r="AS35" s="1930"/>
      <c r="AT35" s="1930"/>
      <c r="AU35" s="1930"/>
      <c r="AV35" s="1930"/>
      <c r="AW35" s="1930"/>
      <c r="AX35" s="1930"/>
      <c r="AY35" s="1930"/>
      <c r="AZ35" s="1930"/>
      <c r="BA35" s="1930"/>
      <c r="BB35" s="110">
        <f>(BD35)/(BE35)</f>
        <v>1.8106496480376837</v>
      </c>
      <c r="BC35" s="3166" t="str">
        <f>CONCATENATE(G35," ",J35," Year EUL")</f>
        <v>Cooling RES 4 Year EUL</v>
      </c>
      <c r="BD35" s="111">
        <f>(INDEX('Avoided Cost Benefits'!$C$4:$C$857,MATCH(BC35,'Avoided Cost Benefits'!$A$4:$A$857,0)))*F35</f>
        <v>110.88988930622793</v>
      </c>
      <c r="BE35" s="1946">
        <f>K35/(1.0595^(2020-2019))</f>
        <v>61.243150725711274</v>
      </c>
    </row>
    <row r="36" spans="1:57" x14ac:dyDescent="0.25">
      <c r="C36" s="63" t="s">
        <v>2594</v>
      </c>
      <c r="D36" s="104" t="s">
        <v>2577</v>
      </c>
      <c r="E36" s="3127" t="s">
        <v>2595</v>
      </c>
      <c r="F36" s="1491">
        <f>ROUND(((F49*$F$50)/($F$51*1000))-($F$52*((F49*$F$50)/($F$53*1000))),2)</f>
        <v>195.59</v>
      </c>
      <c r="G36" s="2054" t="s">
        <v>258</v>
      </c>
      <c r="H36" s="155">
        <f>VLOOKUP(G36,'CP FACTORS'!$A$3:$B$38, 2, FALSE)</f>
        <v>9.4741810000000004E-4</v>
      </c>
      <c r="I36" s="106">
        <f>ROUND(F36*H36,6)</f>
        <v>0.185306</v>
      </c>
      <c r="J36" s="108">
        <v>4</v>
      </c>
      <c r="K36" s="482">
        <f>349*(140/(742+11))</f>
        <v>64.887118193891098</v>
      </c>
      <c r="L36" s="63" t="s">
        <v>185</v>
      </c>
      <c r="V36" s="160" t="str">
        <f>V35</f>
        <v>kWh Annual Savings</v>
      </c>
      <c r="W36" s="1191">
        <f>((W49*$F$50)/($F$51*1000))-($F$52*((W49*$F$50)/($F$53*1000)))</f>
        <v>195.59184505606521</v>
      </c>
      <c r="X36" s="1191">
        <f>((X49*$F$50)/($F$51*1000))-($F$52*((X49*$F$50)/($F$53*1000)))</f>
        <v>195.59184505606521</v>
      </c>
      <c r="Y36" s="1246">
        <v>195.59</v>
      </c>
      <c r="Z36" s="1246">
        <v>195.59</v>
      </c>
      <c r="AA36" s="1246">
        <v>195.59</v>
      </c>
      <c r="AB36" s="1246">
        <v>195.59</v>
      </c>
      <c r="AC36" s="1246">
        <v>195.59</v>
      </c>
      <c r="AD36" s="1250"/>
      <c r="AE36" s="1250"/>
      <c r="AF36" s="1250"/>
      <c r="AG36" s="1250"/>
      <c r="AH36" s="1930"/>
      <c r="AI36" s="1930"/>
      <c r="AJ36" s="1930"/>
      <c r="AK36" s="1930"/>
      <c r="AL36" s="1930"/>
      <c r="AM36" s="1930"/>
      <c r="AN36" s="1930"/>
      <c r="AO36" s="1930"/>
      <c r="AP36" s="1930"/>
      <c r="AQ36" s="1930"/>
      <c r="AR36" s="1930"/>
      <c r="AS36" s="1930"/>
      <c r="AT36" s="1930"/>
      <c r="AU36" s="1930"/>
      <c r="AV36" s="1930"/>
      <c r="AW36" s="1930"/>
      <c r="AX36" s="1930"/>
      <c r="AY36" s="1930"/>
      <c r="AZ36" s="1930"/>
      <c r="BA36" s="1930"/>
      <c r="BB36" s="118">
        <f>(BD36)/(BE36)</f>
        <v>1.1706110622407384</v>
      </c>
      <c r="BC36" s="1948" t="str">
        <f>CONCATENATE(G36," ",J36," Year EUL")</f>
        <v>Cooling RES 4 Year EUL</v>
      </c>
      <c r="BD36" s="119">
        <f>(INDEX('Avoided Cost Benefits'!$C$4:$C$857,MATCH(BC36,'Avoided Cost Benefits'!$A$4:$A$857,0)))*F36</f>
        <v>71.69190972599452</v>
      </c>
      <c r="BE36" s="1950">
        <f>K36/(1.0595^(2020-2019))</f>
        <v>61.243150725711274</v>
      </c>
    </row>
    <row r="37" spans="1:57" hidden="1" outlineLevel="1" x14ac:dyDescent="0.25">
      <c r="C37" s="122" t="s">
        <v>2596</v>
      </c>
      <c r="V37" s="1930"/>
      <c r="AC37" s="1930"/>
      <c r="AD37" s="1930"/>
      <c r="AE37" s="1930"/>
      <c r="AF37" s="1930"/>
      <c r="AG37" s="1930"/>
      <c r="AH37" s="1930"/>
      <c r="AI37" s="1930"/>
      <c r="AJ37" s="1930"/>
      <c r="AK37" s="1930"/>
      <c r="AL37" s="1930"/>
      <c r="AM37" s="1930"/>
      <c r="AN37" s="1930"/>
      <c r="AO37" s="1930"/>
      <c r="AP37" s="1930"/>
      <c r="AQ37" s="1930"/>
      <c r="AR37" s="1930"/>
      <c r="AS37" s="1930"/>
      <c r="AT37" s="1930"/>
      <c r="AU37" s="1930"/>
      <c r="AV37" s="1930"/>
      <c r="AW37" s="1930"/>
      <c r="AX37" s="1930"/>
      <c r="AY37" s="1930"/>
      <c r="AZ37" s="1930"/>
      <c r="BA37" s="1930"/>
      <c r="BB37" s="1930"/>
      <c r="BC37" s="1930"/>
      <c r="BD37" s="1930"/>
      <c r="BE37" s="1930"/>
    </row>
    <row r="38" spans="1:57" hidden="1" outlineLevel="1" x14ac:dyDescent="0.25">
      <c r="D38" s="123"/>
      <c r="V38" s="1930"/>
      <c r="AC38" s="1930"/>
      <c r="AD38" s="1930"/>
      <c r="AE38" s="1930"/>
      <c r="AF38" s="1930"/>
      <c r="AG38" s="1930"/>
      <c r="AH38" s="1930"/>
      <c r="AI38" s="1930"/>
      <c r="AJ38" s="1930"/>
      <c r="AK38" s="1930"/>
      <c r="AL38" s="1930"/>
      <c r="AM38" s="1930"/>
      <c r="AN38" s="1930"/>
      <c r="AO38" s="1930"/>
      <c r="AP38" s="1930"/>
      <c r="AQ38" s="1930"/>
      <c r="AR38" s="1930"/>
      <c r="AS38" s="1930"/>
      <c r="AT38" s="1930"/>
      <c r="AU38" s="1930"/>
      <c r="AV38" s="1930"/>
      <c r="AW38" s="1930"/>
      <c r="AX38" s="1930"/>
      <c r="AY38" s="1930"/>
      <c r="AZ38" s="1930"/>
      <c r="BA38" s="1930"/>
      <c r="BB38" s="1930"/>
      <c r="BC38" s="1930"/>
      <c r="BD38" s="1930"/>
      <c r="BE38" s="1930"/>
    </row>
    <row r="39" spans="1:57" hidden="1" outlineLevel="1" x14ac:dyDescent="0.25">
      <c r="D39" s="174" t="s">
        <v>108</v>
      </c>
      <c r="V39" s="1930"/>
      <c r="AC39" s="1930"/>
      <c r="AD39" s="1930"/>
      <c r="AE39" s="1930"/>
      <c r="AF39" s="1930"/>
      <c r="AG39" s="1930"/>
      <c r="AH39" s="1930"/>
      <c r="AI39" s="1930"/>
      <c r="AJ39" s="1930"/>
      <c r="AK39" s="1930"/>
      <c r="AL39" s="1930"/>
      <c r="AM39" s="1930"/>
      <c r="AN39" s="1930"/>
      <c r="AO39" s="1930"/>
      <c r="AP39" s="1930"/>
      <c r="AQ39" s="1930"/>
      <c r="AR39" s="1930"/>
      <c r="AS39" s="1930"/>
      <c r="AT39" s="1930"/>
      <c r="AU39" s="1930"/>
      <c r="AV39" s="1930"/>
      <c r="AW39" s="1930"/>
      <c r="AX39" s="1930"/>
      <c r="AY39" s="1930"/>
      <c r="AZ39" s="1930"/>
      <c r="BA39" s="1930"/>
      <c r="BB39" s="1930"/>
      <c r="BC39" s="1930"/>
      <c r="BD39" s="1930"/>
      <c r="BE39" s="1930"/>
    </row>
    <row r="40" spans="1:57" hidden="1" outlineLevel="1" x14ac:dyDescent="0.25">
      <c r="V40" s="1930"/>
      <c r="AC40" s="1930"/>
      <c r="AD40" s="1930"/>
      <c r="AE40" s="1930"/>
      <c r="AF40" s="1930"/>
      <c r="AG40" s="1930"/>
      <c r="AH40" s="1930"/>
      <c r="AI40" s="1930"/>
      <c r="AJ40" s="1930"/>
      <c r="AK40" s="1930"/>
      <c r="AL40" s="1930"/>
      <c r="AM40" s="1930"/>
      <c r="AN40" s="1930"/>
      <c r="AO40" s="1930"/>
      <c r="AP40" s="1930"/>
      <c r="AQ40" s="1930"/>
      <c r="AR40" s="1930"/>
      <c r="AS40" s="1930"/>
      <c r="AT40" s="1930"/>
      <c r="AU40" s="1930"/>
      <c r="AV40" s="1930"/>
      <c r="AW40" s="1930"/>
      <c r="AX40" s="1930"/>
      <c r="AY40" s="1930"/>
      <c r="AZ40" s="1930"/>
      <c r="BA40" s="1930"/>
      <c r="BB40" s="1930"/>
      <c r="BC40" s="1930"/>
      <c r="BD40" s="1930"/>
      <c r="BE40" s="1930"/>
    </row>
    <row r="41" spans="1:57" hidden="1" outlineLevel="1" x14ac:dyDescent="0.25">
      <c r="F41" s="1782"/>
      <c r="V41" s="1930"/>
      <c r="AC41" s="1930"/>
      <c r="AD41" s="1930"/>
      <c r="AE41" s="1930"/>
      <c r="AF41" s="1930"/>
      <c r="AG41" s="1930"/>
      <c r="AH41" s="1930"/>
      <c r="AI41" s="1930"/>
      <c r="AJ41" s="1930"/>
      <c r="AK41" s="1930"/>
      <c r="AL41" s="1930"/>
      <c r="AM41" s="1930"/>
      <c r="AN41" s="1930"/>
      <c r="AO41" s="1930"/>
      <c r="AP41" s="1930"/>
      <c r="AQ41" s="1930"/>
      <c r="AR41" s="1930"/>
      <c r="AS41" s="1930"/>
      <c r="AT41" s="1930"/>
      <c r="AU41" s="1930"/>
      <c r="AV41" s="1930"/>
      <c r="AW41" s="1930"/>
      <c r="AX41" s="1930"/>
      <c r="AY41" s="1930"/>
      <c r="AZ41" s="1930"/>
      <c r="BA41" s="1930"/>
      <c r="BB41" s="1930"/>
      <c r="BC41" s="1930"/>
      <c r="BD41" s="1930"/>
      <c r="BE41" s="1930"/>
    </row>
    <row r="42" spans="1:57" hidden="1" outlineLevel="1" x14ac:dyDescent="0.25">
      <c r="V42" s="1930"/>
      <c r="AC42" s="1930"/>
      <c r="AD42" s="1930"/>
      <c r="AE42" s="1930"/>
      <c r="AF42" s="1930"/>
      <c r="AG42" s="1930"/>
      <c r="AH42" s="1930"/>
      <c r="AI42" s="1930"/>
      <c r="AJ42" s="1930"/>
      <c r="AK42" s="1930"/>
      <c r="AL42" s="1930"/>
      <c r="AM42" s="1930"/>
      <c r="AN42" s="1930"/>
      <c r="AO42" s="1930"/>
      <c r="AP42" s="1930"/>
      <c r="AQ42" s="1930"/>
      <c r="AR42" s="1930"/>
      <c r="AS42" s="1930"/>
      <c r="AT42" s="1930"/>
      <c r="AU42" s="1930"/>
      <c r="AV42" s="1930"/>
      <c r="AW42" s="1930"/>
      <c r="AX42" s="1930"/>
      <c r="AY42" s="1930"/>
      <c r="AZ42" s="1930"/>
      <c r="BA42" s="1930"/>
      <c r="BB42" s="1930"/>
      <c r="BC42" s="1930"/>
      <c r="BD42" s="1930"/>
      <c r="BE42" s="1930"/>
    </row>
    <row r="43" spans="1:57" hidden="1" outlineLevel="1" x14ac:dyDescent="0.25">
      <c r="V43" s="1930"/>
      <c r="AC43" s="1930"/>
      <c r="AD43" s="1930"/>
      <c r="AE43" s="1930"/>
      <c r="AF43" s="1930"/>
      <c r="AG43" s="1930"/>
      <c r="AH43" s="1930"/>
      <c r="AI43" s="1930"/>
      <c r="AJ43" s="1930"/>
      <c r="AK43" s="1930"/>
      <c r="AL43" s="1930"/>
      <c r="AM43" s="1930"/>
      <c r="AN43" s="1930"/>
      <c r="AO43" s="1930"/>
      <c r="AP43" s="1930"/>
      <c r="AQ43" s="1930"/>
      <c r="AR43" s="1930"/>
      <c r="AS43" s="1930"/>
      <c r="AT43" s="1930"/>
      <c r="AU43" s="1930"/>
      <c r="AV43" s="1930"/>
      <c r="AW43" s="1930"/>
      <c r="AX43" s="1930"/>
      <c r="AY43" s="1930"/>
      <c r="AZ43" s="1930"/>
      <c r="BA43" s="1930"/>
      <c r="BB43" s="1930"/>
      <c r="BC43" s="1930"/>
      <c r="BD43" s="1930"/>
      <c r="BE43" s="1930"/>
    </row>
    <row r="44" spans="1:57" hidden="1" outlineLevel="1" x14ac:dyDescent="0.25">
      <c r="V44" s="1930"/>
      <c r="AC44" s="1930"/>
      <c r="AD44" s="1930"/>
      <c r="AE44" s="1930"/>
      <c r="AF44" s="1930"/>
      <c r="AG44" s="1930"/>
      <c r="AH44" s="1930"/>
      <c r="AI44" s="1930"/>
      <c r="AJ44" s="1930"/>
      <c r="AK44" s="1930"/>
      <c r="AL44" s="1930"/>
      <c r="AM44" s="1930"/>
      <c r="AN44" s="1930"/>
      <c r="AO44" s="1930"/>
      <c r="AP44" s="1930"/>
      <c r="AQ44" s="1930"/>
      <c r="AR44" s="1930"/>
      <c r="AS44" s="1930"/>
      <c r="AT44" s="1930"/>
      <c r="AU44" s="1930"/>
      <c r="AV44" s="1930"/>
      <c r="AW44" s="1930"/>
      <c r="AX44" s="1930"/>
      <c r="AY44" s="1930"/>
      <c r="AZ44" s="1930"/>
      <c r="BA44" s="1930"/>
      <c r="BB44" s="1930"/>
      <c r="BC44" s="1930"/>
      <c r="BD44" s="1930"/>
      <c r="BE44" s="1930"/>
    </row>
    <row r="45" spans="1:57" hidden="1" outlineLevel="1" x14ac:dyDescent="0.25">
      <c r="V45" s="1930"/>
      <c r="AC45" s="1930"/>
      <c r="AD45" s="1930"/>
      <c r="AE45" s="1930"/>
      <c r="AF45" s="1930"/>
      <c r="AG45" s="1930"/>
      <c r="AH45" s="1930"/>
      <c r="AI45" s="1930"/>
      <c r="AJ45" s="1930"/>
      <c r="AK45" s="1930"/>
      <c r="AL45" s="1930"/>
      <c r="AM45" s="1930"/>
      <c r="AN45" s="1930"/>
      <c r="AO45" s="1930"/>
      <c r="AP45" s="1930"/>
      <c r="AQ45" s="1930"/>
      <c r="AR45" s="1930"/>
      <c r="AS45" s="1930"/>
      <c r="AT45" s="1930"/>
      <c r="AU45" s="1930"/>
      <c r="AV45" s="1930"/>
      <c r="AW45" s="1930"/>
      <c r="AX45" s="1930"/>
      <c r="AY45" s="1930"/>
      <c r="AZ45" s="1930"/>
      <c r="BA45" s="1930"/>
      <c r="BB45" s="1930"/>
      <c r="BC45" s="1930"/>
      <c r="BD45" s="1930"/>
      <c r="BE45" s="1930"/>
    </row>
    <row r="46" spans="1:57" hidden="1" outlineLevel="1" x14ac:dyDescent="0.25">
      <c r="V46" s="1930"/>
      <c r="AC46" s="1930"/>
      <c r="AD46" s="1930"/>
      <c r="AE46" s="1930"/>
      <c r="AF46" s="1930"/>
      <c r="AG46" s="1930"/>
      <c r="AH46" s="1930"/>
      <c r="AI46" s="1930"/>
      <c r="AJ46" s="1930"/>
      <c r="AK46" s="1930"/>
      <c r="AL46" s="1930"/>
      <c r="AM46" s="1930"/>
      <c r="AN46" s="1930"/>
      <c r="AO46" s="1930"/>
      <c r="AP46" s="1930"/>
      <c r="AQ46" s="1930"/>
      <c r="AR46" s="1930"/>
      <c r="AS46" s="1930"/>
      <c r="AT46" s="1930"/>
      <c r="AU46" s="1930"/>
      <c r="AV46" s="1930"/>
      <c r="AW46" s="1930"/>
      <c r="AX46" s="1930"/>
      <c r="AY46" s="1930"/>
      <c r="AZ46" s="1930"/>
      <c r="BA46" s="1930"/>
      <c r="BB46" s="1930"/>
      <c r="BC46" s="1930"/>
      <c r="BD46" s="1930"/>
      <c r="BE46" s="1930"/>
    </row>
    <row r="47" spans="1:57" hidden="1" outlineLevel="1" x14ac:dyDescent="0.25">
      <c r="D47" s="1120" t="s">
        <v>110</v>
      </c>
      <c r="E47" s="1120" t="s">
        <v>111</v>
      </c>
      <c r="F47" s="3196" t="s">
        <v>112</v>
      </c>
      <c r="G47" s="3196" t="s">
        <v>113</v>
      </c>
      <c r="V47" s="1936" t="s">
        <v>45</v>
      </c>
      <c r="W47" s="360">
        <f>W$6</f>
        <v>43252</v>
      </c>
      <c r="X47" s="360">
        <f t="shared" ref="X47:AG47" si="5">X$6</f>
        <v>43465</v>
      </c>
      <c r="Y47" s="360">
        <f t="shared" si="5"/>
        <v>43800</v>
      </c>
      <c r="Z47" s="360">
        <f t="shared" si="5"/>
        <v>43862</v>
      </c>
      <c r="AA47" s="360">
        <f t="shared" si="5"/>
        <v>44013</v>
      </c>
      <c r="AB47" s="360">
        <f t="shared" si="5"/>
        <v>44166</v>
      </c>
      <c r="AC47" s="1937">
        <f t="shared" si="5"/>
        <v>44531</v>
      </c>
      <c r="AD47" s="1937" t="str">
        <f t="shared" si="5"/>
        <v>-</v>
      </c>
      <c r="AE47" s="1937" t="str">
        <f t="shared" si="5"/>
        <v>-</v>
      </c>
      <c r="AF47" s="1937" t="str">
        <f t="shared" si="5"/>
        <v>-</v>
      </c>
      <c r="AG47" s="1937" t="str">
        <f t="shared" si="5"/>
        <v>-</v>
      </c>
      <c r="AH47" s="1930"/>
      <c r="AI47" s="1930"/>
      <c r="AJ47" s="1930"/>
      <c r="AK47" s="1930"/>
      <c r="AL47" s="1930"/>
      <c r="AM47" s="1930"/>
      <c r="AN47" s="1930"/>
      <c r="AO47" s="1930"/>
      <c r="AP47" s="1930"/>
      <c r="AQ47" s="1930"/>
      <c r="AR47" s="1930"/>
      <c r="AS47" s="1930"/>
      <c r="AT47" s="1930"/>
      <c r="AU47" s="1930"/>
      <c r="AV47" s="1930"/>
      <c r="AW47" s="1930"/>
      <c r="AX47" s="1930"/>
      <c r="AY47" s="1930"/>
      <c r="AZ47" s="1930"/>
      <c r="BA47" s="1930"/>
      <c r="BB47" s="1930"/>
      <c r="BC47" s="1930"/>
      <c r="BD47" s="1930"/>
      <c r="BE47" s="1930"/>
    </row>
    <row r="48" spans="1:57" ht="30" hidden="1" outlineLevel="1" x14ac:dyDescent="0.25">
      <c r="D48" s="3076" t="s">
        <v>2597</v>
      </c>
      <c r="E48" s="3129" t="s">
        <v>2598</v>
      </c>
      <c r="F48" s="834">
        <v>860</v>
      </c>
      <c r="G48" s="3076" t="s">
        <v>331</v>
      </c>
      <c r="V48" s="1248" t="str">
        <f t="shared" ref="V48:V53" si="6">D48</f>
        <v>Hours Primary</v>
      </c>
      <c r="W48" s="1251">
        <v>860</v>
      </c>
      <c r="X48" s="1251">
        <v>860</v>
      </c>
      <c r="Y48" s="1251">
        <v>860</v>
      </c>
      <c r="Z48" s="1251">
        <v>860</v>
      </c>
      <c r="AA48" s="1251">
        <v>860</v>
      </c>
      <c r="AB48" s="1251">
        <v>860</v>
      </c>
      <c r="AC48" s="1251">
        <v>860</v>
      </c>
      <c r="AD48" s="1251"/>
      <c r="AE48" s="1251"/>
      <c r="AF48" s="1251"/>
      <c r="AG48" s="1251"/>
      <c r="AH48" s="1930"/>
      <c r="AI48" s="1930"/>
      <c r="AJ48" s="1930"/>
      <c r="AK48" s="1930"/>
      <c r="AL48" s="1930"/>
      <c r="AM48" s="1930"/>
      <c r="AN48" s="1930"/>
      <c r="AO48" s="1930"/>
      <c r="AP48" s="1930"/>
      <c r="AQ48" s="1930"/>
      <c r="AR48" s="1930"/>
      <c r="AS48" s="1930"/>
      <c r="AT48" s="1930"/>
      <c r="AU48" s="1930"/>
      <c r="AV48" s="1930"/>
      <c r="AW48" s="1930"/>
      <c r="AX48" s="1930"/>
      <c r="AY48" s="1930"/>
      <c r="AZ48" s="1930"/>
      <c r="BA48" s="1930"/>
      <c r="BB48" s="1930"/>
      <c r="BC48" s="1930"/>
      <c r="BD48" s="1930"/>
      <c r="BE48" s="1930"/>
    </row>
    <row r="49" spans="1:57" ht="30" hidden="1" outlineLevel="1" x14ac:dyDescent="0.25">
      <c r="D49" s="3076" t="s">
        <v>2599</v>
      </c>
      <c r="E49" s="3129" t="s">
        <v>2600</v>
      </c>
      <c r="F49" s="834">
        <v>556</v>
      </c>
      <c r="G49" s="3076" t="s">
        <v>331</v>
      </c>
      <c r="V49" s="1248" t="str">
        <f t="shared" si="6"/>
        <v>Hours Secondary</v>
      </c>
      <c r="W49" s="1251">
        <v>556</v>
      </c>
      <c r="X49" s="1251">
        <v>556</v>
      </c>
      <c r="Y49" s="1251">
        <v>556</v>
      </c>
      <c r="Z49" s="1251">
        <v>556</v>
      </c>
      <c r="AA49" s="1251">
        <v>556</v>
      </c>
      <c r="AB49" s="1251">
        <v>556</v>
      </c>
      <c r="AC49" s="1251">
        <v>556</v>
      </c>
      <c r="AD49" s="1251"/>
      <c r="AE49" s="1251"/>
      <c r="AF49" s="1251"/>
      <c r="AG49" s="1251"/>
      <c r="AH49" s="1930"/>
      <c r="AI49" s="1930"/>
      <c r="AJ49" s="1930"/>
      <c r="AK49" s="1930"/>
      <c r="AL49" s="1930"/>
      <c r="AM49" s="1930"/>
      <c r="AN49" s="1930"/>
      <c r="AO49" s="1930"/>
      <c r="AP49" s="1930"/>
      <c r="AQ49" s="1930"/>
      <c r="AR49" s="1930"/>
      <c r="AS49" s="1930"/>
      <c r="AT49" s="1930"/>
      <c r="AU49" s="1930"/>
      <c r="AV49" s="1930"/>
      <c r="AW49" s="1930"/>
      <c r="AX49" s="1930"/>
      <c r="AY49" s="1930"/>
      <c r="AZ49" s="1930"/>
      <c r="BA49" s="1930"/>
      <c r="BB49" s="1930"/>
      <c r="BC49" s="1930"/>
      <c r="BD49" s="1930"/>
      <c r="BE49" s="1930"/>
    </row>
    <row r="50" spans="1:57" hidden="1" outlineLevel="1" x14ac:dyDescent="0.25">
      <c r="D50" s="3076" t="s">
        <v>2601</v>
      </c>
      <c r="E50" s="3129" t="s">
        <v>2602</v>
      </c>
      <c r="F50" s="834">
        <v>8500</v>
      </c>
      <c r="G50" s="3073"/>
      <c r="V50" s="1248" t="str">
        <f t="shared" si="6"/>
        <v>BtuH</v>
      </c>
      <c r="W50" s="1251">
        <v>8500</v>
      </c>
      <c r="X50" s="1251">
        <v>8500</v>
      </c>
      <c r="Y50" s="1251">
        <v>8500</v>
      </c>
      <c r="Z50" s="1251">
        <v>8500</v>
      </c>
      <c r="AA50" s="1251">
        <v>8500</v>
      </c>
      <c r="AB50" s="1251">
        <v>8500</v>
      </c>
      <c r="AC50" s="1251">
        <v>8500</v>
      </c>
      <c r="AD50" s="1251"/>
      <c r="AE50" s="1251"/>
      <c r="AF50" s="1251"/>
      <c r="AG50" s="1251"/>
      <c r="AH50" s="1930"/>
      <c r="AI50" s="1930"/>
      <c r="AJ50" s="1930"/>
      <c r="AK50" s="1930"/>
      <c r="AL50" s="1930"/>
      <c r="AM50" s="1930"/>
      <c r="AN50" s="1930"/>
      <c r="AO50" s="1930"/>
      <c r="AP50" s="1930"/>
      <c r="AQ50" s="1930"/>
      <c r="AR50" s="1930"/>
      <c r="AS50" s="1930"/>
      <c r="AT50" s="1930"/>
      <c r="AU50" s="1930"/>
      <c r="AV50" s="1930"/>
      <c r="AW50" s="1930"/>
      <c r="AX50" s="1930"/>
      <c r="AY50" s="1930"/>
      <c r="AZ50" s="1930"/>
      <c r="BA50" s="1930"/>
      <c r="BB50" s="1930"/>
      <c r="BC50" s="1930"/>
      <c r="BD50" s="1930"/>
      <c r="BE50" s="1930"/>
    </row>
    <row r="51" spans="1:57" hidden="1" outlineLevel="1" x14ac:dyDescent="0.25">
      <c r="D51" s="3076" t="s">
        <v>2603</v>
      </c>
      <c r="E51" s="3129" t="s">
        <v>2604</v>
      </c>
      <c r="F51" s="834">
        <v>9</v>
      </c>
      <c r="G51" s="3073"/>
      <c r="V51" s="1248" t="str">
        <f t="shared" si="6"/>
        <v>EERexist</v>
      </c>
      <c r="W51" s="1251">
        <v>9</v>
      </c>
      <c r="X51" s="1251">
        <v>9</v>
      </c>
      <c r="Y51" s="1251">
        <v>9</v>
      </c>
      <c r="Z51" s="1251">
        <v>9</v>
      </c>
      <c r="AA51" s="1251">
        <v>9</v>
      </c>
      <c r="AB51" s="1251">
        <v>9</v>
      </c>
      <c r="AC51" s="1251">
        <v>9</v>
      </c>
      <c r="AD51" s="1251"/>
      <c r="AE51" s="1251"/>
      <c r="AF51" s="1251"/>
      <c r="AG51" s="1251"/>
      <c r="AH51" s="1930"/>
      <c r="AI51" s="1930"/>
      <c r="AJ51" s="1930"/>
      <c r="AK51" s="1930"/>
      <c r="AL51" s="1930"/>
      <c r="AM51" s="1930"/>
      <c r="AN51" s="1930"/>
      <c r="AO51" s="1930"/>
      <c r="AP51" s="1930"/>
      <c r="AQ51" s="1930"/>
      <c r="AR51" s="1930"/>
      <c r="AS51" s="1930"/>
      <c r="AT51" s="1930"/>
      <c r="AU51" s="1930"/>
      <c r="AV51" s="1930"/>
      <c r="AW51" s="1930"/>
      <c r="AX51" s="1930"/>
      <c r="AY51" s="1930"/>
      <c r="AZ51" s="1930"/>
      <c r="BA51" s="1930"/>
      <c r="BB51" s="1930"/>
      <c r="BC51" s="1930"/>
      <c r="BD51" s="1930"/>
      <c r="BE51" s="1930"/>
    </row>
    <row r="52" spans="1:57" ht="30" hidden="1" outlineLevel="1" x14ac:dyDescent="0.25">
      <c r="D52" s="3076" t="s">
        <v>2605</v>
      </c>
      <c r="E52" s="3129" t="s">
        <v>2606</v>
      </c>
      <c r="F52" s="1783">
        <v>0.76</v>
      </c>
      <c r="G52" s="3073"/>
      <c r="V52" s="1248" t="str">
        <f t="shared" si="6"/>
        <v>% replaced</v>
      </c>
      <c r="W52" s="1252">
        <v>0.76</v>
      </c>
      <c r="X52" s="1252">
        <v>0.76</v>
      </c>
      <c r="Y52" s="1252">
        <v>0.76</v>
      </c>
      <c r="Z52" s="1252">
        <v>0.76</v>
      </c>
      <c r="AA52" s="1252">
        <v>0.76</v>
      </c>
      <c r="AB52" s="1252">
        <v>0.76</v>
      </c>
      <c r="AC52" s="1252">
        <v>0.76</v>
      </c>
      <c r="AD52" s="1252"/>
      <c r="AE52" s="1252"/>
      <c r="AF52" s="1252"/>
      <c r="AG52" s="1252"/>
      <c r="AH52" s="1930"/>
      <c r="AI52" s="1930"/>
      <c r="AJ52" s="1930"/>
      <c r="AK52" s="1930"/>
      <c r="AL52" s="1930"/>
      <c r="AM52" s="1930"/>
      <c r="AN52" s="1930"/>
      <c r="AO52" s="1930"/>
      <c r="AP52" s="1930"/>
      <c r="AQ52" s="1930"/>
      <c r="AR52" s="1930"/>
      <c r="AS52" s="1930"/>
      <c r="AT52" s="1930"/>
      <c r="AU52" s="1930"/>
      <c r="AV52" s="1930"/>
      <c r="AW52" s="1930"/>
      <c r="AX52" s="1930"/>
      <c r="AY52" s="1930"/>
      <c r="AZ52" s="1930"/>
      <c r="BA52" s="1930"/>
      <c r="BB52" s="1930"/>
      <c r="BC52" s="1930"/>
      <c r="BD52" s="1930"/>
      <c r="BE52" s="1930"/>
    </row>
    <row r="53" spans="1:57" ht="15" hidden="1" customHeight="1" outlineLevel="1" x14ac:dyDescent="0.25">
      <c r="D53" s="3076" t="s">
        <v>2607</v>
      </c>
      <c r="E53" s="3129" t="s">
        <v>2608</v>
      </c>
      <c r="F53" s="1784">
        <v>10.9</v>
      </c>
      <c r="G53" s="3073"/>
      <c r="V53" s="1248" t="str">
        <f t="shared" si="6"/>
        <v>EERNewBase</v>
      </c>
      <c r="W53" s="1251">
        <v>10.9</v>
      </c>
      <c r="X53" s="1251">
        <v>10.9</v>
      </c>
      <c r="Y53" s="1251">
        <v>10.9</v>
      </c>
      <c r="Z53" s="1251">
        <v>10.9</v>
      </c>
      <c r="AA53" s="1251">
        <v>10.9</v>
      </c>
      <c r="AB53" s="1251">
        <v>10.9</v>
      </c>
      <c r="AC53" s="1251">
        <v>10.9</v>
      </c>
      <c r="AD53" s="1253"/>
      <c r="AE53" s="1253"/>
      <c r="AF53" s="1253"/>
      <c r="AG53" s="1253"/>
      <c r="AH53" s="1930"/>
      <c r="AI53" s="1930"/>
      <c r="AJ53" s="1930"/>
      <c r="AK53" s="1930"/>
      <c r="AL53" s="1930"/>
      <c r="AM53" s="1930"/>
      <c r="AN53" s="1930"/>
      <c r="AO53" s="1930"/>
      <c r="AP53" s="1930"/>
      <c r="AQ53" s="1930"/>
      <c r="AR53" s="1930"/>
      <c r="AS53" s="1930"/>
      <c r="AT53" s="1930"/>
      <c r="AU53" s="1930"/>
      <c r="AV53" s="1930"/>
      <c r="AW53" s="1930"/>
      <c r="AX53" s="1930"/>
      <c r="AY53" s="1930"/>
      <c r="AZ53" s="1930"/>
      <c r="BA53" s="1930"/>
      <c r="BB53" s="1930"/>
      <c r="BC53" s="1930"/>
      <c r="BD53" s="1930"/>
      <c r="BE53" s="1930"/>
    </row>
    <row r="54" spans="1:57" ht="15" customHeight="1" collapsed="1" x14ac:dyDescent="0.25">
      <c r="D54" s="1785"/>
      <c r="E54" s="1786"/>
      <c r="F54" s="1787"/>
      <c r="G54" s="1788"/>
      <c r="V54" s="1930"/>
      <c r="AC54" s="1930"/>
      <c r="AD54" s="1930"/>
      <c r="AE54" s="1930"/>
      <c r="AF54" s="1930"/>
      <c r="AG54" s="1930"/>
      <c r="AH54" s="1930"/>
      <c r="AI54" s="1930"/>
      <c r="AJ54" s="1930"/>
      <c r="AK54" s="1930"/>
      <c r="AL54" s="1930"/>
      <c r="AM54" s="1930"/>
      <c r="AN54" s="1930"/>
      <c r="AO54" s="1930"/>
      <c r="AP54" s="1930"/>
      <c r="AQ54" s="1930"/>
      <c r="AR54" s="1930"/>
      <c r="AS54" s="1930"/>
      <c r="AT54" s="1930"/>
      <c r="AU54" s="1930"/>
      <c r="AV54" s="1930"/>
      <c r="AW54" s="1930"/>
      <c r="AX54" s="1930"/>
      <c r="AY54" s="1930"/>
      <c r="AZ54" s="1930"/>
      <c r="BA54" s="1930"/>
      <c r="BB54" s="1930"/>
      <c r="BC54" s="1930"/>
      <c r="BD54" s="1930"/>
      <c r="BE54" s="1930"/>
    </row>
    <row r="55" spans="1:57" x14ac:dyDescent="0.25">
      <c r="B55" s="3750" t="s">
        <v>2609</v>
      </c>
      <c r="C55" s="3751"/>
      <c r="D55" s="3751"/>
      <c r="E55" s="3751"/>
      <c r="F55" s="3751"/>
      <c r="G55" s="3751"/>
      <c r="H55" s="3751"/>
      <c r="I55" s="3751"/>
      <c r="J55" s="3751"/>
      <c r="K55" s="3751"/>
      <c r="L55" s="4120"/>
      <c r="O55" s="249"/>
      <c r="P55" s="249"/>
      <c r="Q55" s="249"/>
      <c r="R55" s="249"/>
      <c r="V55" s="3750" t="str">
        <f>B55</f>
        <v>Dehumidifier Recycling</v>
      </c>
      <c r="W55" s="3751"/>
      <c r="X55" s="3751"/>
      <c r="Y55" s="3751"/>
      <c r="Z55" s="3751"/>
      <c r="AA55" s="3751"/>
      <c r="AB55" s="3751"/>
      <c r="AC55" s="3752"/>
      <c r="AD55" s="3752"/>
      <c r="AE55" s="3752"/>
      <c r="AF55" s="3752"/>
      <c r="AG55" s="3752"/>
      <c r="AH55" s="3752"/>
      <c r="AI55" s="3753"/>
      <c r="AJ55" s="1930"/>
      <c r="AK55" s="1930"/>
      <c r="AL55" s="1930"/>
      <c r="AM55" s="1930"/>
      <c r="AN55" s="1930"/>
      <c r="AO55" s="1930"/>
      <c r="AP55" s="1930"/>
      <c r="AQ55" s="1930"/>
      <c r="AR55" s="1930"/>
      <c r="AS55" s="1930"/>
      <c r="AT55" s="1930"/>
      <c r="AU55" s="1930"/>
      <c r="AV55" s="1930"/>
      <c r="AW55" s="1930"/>
      <c r="AX55" s="1930"/>
      <c r="AY55" s="1930"/>
      <c r="AZ55" s="1930"/>
      <c r="BA55" s="1930"/>
      <c r="BB55" s="1930"/>
      <c r="BC55" s="1930"/>
      <c r="BD55" s="1930"/>
      <c r="BE55" s="1930"/>
    </row>
    <row r="56" spans="1:57" x14ac:dyDescent="0.25">
      <c r="V56" s="224"/>
      <c r="W56" s="618"/>
      <c r="X56" s="618"/>
      <c r="Y56" s="618"/>
      <c r="Z56" s="618"/>
      <c r="AA56" s="618"/>
      <c r="AB56" s="618"/>
      <c r="AC56" s="224"/>
      <c r="AD56" s="224"/>
      <c r="AE56" s="224"/>
      <c r="AF56" s="224"/>
      <c r="AG56" s="224"/>
      <c r="AH56" s="224"/>
      <c r="AI56" s="224"/>
      <c r="AJ56" s="1930"/>
      <c r="AK56" s="1930"/>
      <c r="AL56" s="1930"/>
      <c r="AM56" s="1930"/>
      <c r="AN56" s="1930"/>
      <c r="AO56" s="1930"/>
      <c r="AP56" s="1930"/>
      <c r="AQ56" s="1930"/>
      <c r="AR56" s="1930"/>
      <c r="AS56" s="1930"/>
      <c r="AT56" s="1930"/>
      <c r="AU56" s="1930"/>
      <c r="AV56" s="1930"/>
      <c r="AW56" s="1930"/>
      <c r="AX56" s="1930"/>
      <c r="AY56" s="1930"/>
      <c r="AZ56" s="1930"/>
      <c r="BA56" s="1930"/>
      <c r="BB56" s="1930"/>
      <c r="BC56" s="1930"/>
      <c r="BD56" s="1930"/>
      <c r="BE56" s="1930"/>
    </row>
    <row r="57" spans="1:57" s="82" customFormat="1" ht="45" customHeight="1" x14ac:dyDescent="0.25">
      <c r="A57" s="123"/>
      <c r="B57" s="123"/>
      <c r="C57" s="3086" t="s">
        <v>28</v>
      </c>
      <c r="D57" s="3086" t="s">
        <v>175</v>
      </c>
      <c r="E57" s="3086" t="s">
        <v>30</v>
      </c>
      <c r="F57" s="3086" t="s">
        <v>31</v>
      </c>
      <c r="G57" s="3086" t="s">
        <v>176</v>
      </c>
      <c r="H57" s="3086" t="s">
        <v>177</v>
      </c>
      <c r="I57" s="3086" t="s">
        <v>32</v>
      </c>
      <c r="J57" s="3086" t="s">
        <v>181</v>
      </c>
      <c r="K57" s="3086" t="s">
        <v>170</v>
      </c>
      <c r="L57" s="3086" t="s">
        <v>44</v>
      </c>
      <c r="M57" s="151"/>
      <c r="N57" s="151"/>
      <c r="O57" s="151"/>
      <c r="P57" s="151"/>
      <c r="Q57" s="151"/>
      <c r="R57" s="151"/>
      <c r="S57" s="151"/>
      <c r="T57" s="151"/>
      <c r="U57" s="151"/>
      <c r="V57" s="1936" t="s">
        <v>45</v>
      </c>
      <c r="W57" s="360">
        <v>43252</v>
      </c>
      <c r="X57" s="360">
        <f t="shared" ref="X57:AG57" si="7">X$6</f>
        <v>43465</v>
      </c>
      <c r="Y57" s="360">
        <f t="shared" si="7"/>
        <v>43800</v>
      </c>
      <c r="Z57" s="360">
        <f t="shared" si="7"/>
        <v>43862</v>
      </c>
      <c r="AA57" s="360">
        <f t="shared" si="7"/>
        <v>44013</v>
      </c>
      <c r="AB57" s="360">
        <f t="shared" si="7"/>
        <v>44166</v>
      </c>
      <c r="AC57" s="1937">
        <f t="shared" si="7"/>
        <v>44531</v>
      </c>
      <c r="AD57" s="1937" t="str">
        <f t="shared" si="7"/>
        <v>-</v>
      </c>
      <c r="AE57" s="1937" t="str">
        <f t="shared" si="7"/>
        <v>-</v>
      </c>
      <c r="AF57" s="1937" t="str">
        <f t="shared" si="7"/>
        <v>-</v>
      </c>
      <c r="AG57" s="1937" t="str">
        <f t="shared" si="7"/>
        <v>-</v>
      </c>
      <c r="AH57" s="224"/>
      <c r="AI57" s="224"/>
      <c r="BB57" s="1938" t="str">
        <f>$BB$6</f>
        <v>TRC (2020)</v>
      </c>
      <c r="BC57" s="1953" t="str">
        <f>$BC$6</f>
        <v>Benefit Lookup</v>
      </c>
      <c r="BD57" s="665" t="str">
        <f>$BD$6</f>
        <v>Benefits (2019 $)</v>
      </c>
      <c r="BE57" s="230" t="str">
        <f>$BE$6</f>
        <v>Incremental Cost (2019 $)</v>
      </c>
    </row>
    <row r="58" spans="1:57" x14ac:dyDescent="0.25">
      <c r="C58" s="63" t="s">
        <v>2610</v>
      </c>
      <c r="D58" s="104" t="s">
        <v>2577</v>
      </c>
      <c r="E58" s="3127" t="s">
        <v>2609</v>
      </c>
      <c r="F58" s="1124">
        <f>ROUND(139,2)</f>
        <v>139</v>
      </c>
      <c r="G58" s="108" t="s">
        <v>438</v>
      </c>
      <c r="H58" s="155">
        <f>VLOOKUP(G58,'CP FACTORS'!$A$3:$B$38, 2, FALSE)</f>
        <v>4.6608050000000002E-4</v>
      </c>
      <c r="I58" s="106">
        <f>ROUND(F58*H58,6)</f>
        <v>6.4784999999999995E-2</v>
      </c>
      <c r="J58" s="108">
        <f>ROUND(J35*12/9,0)</f>
        <v>5</v>
      </c>
      <c r="K58" s="482">
        <f>230*(140/(742+11))</f>
        <v>42.762284196547142</v>
      </c>
      <c r="L58" s="63" t="s">
        <v>185</v>
      </c>
      <c r="V58" s="160" t="str">
        <f>F57</f>
        <v>kWh Annual Savings</v>
      </c>
      <c r="W58" s="421">
        <v>139</v>
      </c>
      <c r="X58" s="1200">
        <v>139</v>
      </c>
      <c r="Y58" s="1200">
        <v>139</v>
      </c>
      <c r="Z58" s="1200">
        <v>139</v>
      </c>
      <c r="AA58" s="1200">
        <v>139</v>
      </c>
      <c r="AB58" s="1200">
        <v>139</v>
      </c>
      <c r="AC58" s="1200">
        <v>139</v>
      </c>
      <c r="AD58" s="1250"/>
      <c r="AE58" s="1250"/>
      <c r="AF58" s="1250"/>
      <c r="AG58" s="1250"/>
      <c r="AH58" s="1930"/>
      <c r="AI58" s="1930"/>
      <c r="AJ58" s="1930"/>
      <c r="AK58" s="1930"/>
      <c r="AL58" s="1930"/>
      <c r="AM58" s="1930"/>
      <c r="AN58" s="1930"/>
      <c r="AO58" s="1930"/>
      <c r="AP58" s="1930"/>
      <c r="AQ58" s="1930"/>
      <c r="AR58" s="1930"/>
      <c r="AS58" s="1930"/>
      <c r="AT58" s="1930"/>
      <c r="AU58" s="1930"/>
      <c r="AV58" s="1930"/>
      <c r="AW58" s="1930"/>
      <c r="AX58" s="1930"/>
      <c r="AY58" s="1930"/>
      <c r="AZ58" s="1930"/>
      <c r="BA58" s="1930"/>
      <c r="BB58" s="1192">
        <f>(BD58)/(BE58)</f>
        <v>1.0378649458641431</v>
      </c>
      <c r="BC58" s="3166" t="str">
        <f>CONCATENATE(G58," ",J58," Year EUL")</f>
        <v>HVAC RES 5 Year EUL</v>
      </c>
      <c r="BD58" s="166">
        <f>(INDEX('Avoided Cost Benefits'!$C$4:$C$857,MATCH(BC58,'Avoided Cost Benefits'!$A$4:$A$857,0)))*F58</f>
        <v>41.889075764678154</v>
      </c>
      <c r="BE58" s="1956">
        <f>K58/(1.0595^(2020-2019))</f>
        <v>40.360815664508863</v>
      </c>
    </row>
    <row r="59" spans="1:57" x14ac:dyDescent="0.25">
      <c r="C59" s="1254" t="s">
        <v>2611</v>
      </c>
      <c r="E59" s="1113"/>
      <c r="G59" s="576"/>
      <c r="H59" s="576"/>
      <c r="I59" s="576"/>
      <c r="J59" s="1725"/>
      <c r="K59" s="1789"/>
      <c r="L59" s="685"/>
      <c r="V59" s="1930"/>
      <c r="AC59" s="1930"/>
      <c r="AD59" s="1930"/>
      <c r="AE59" s="1930"/>
      <c r="AF59" s="1930"/>
      <c r="AG59" s="1930"/>
      <c r="AH59" s="1930"/>
      <c r="AI59" s="1930"/>
      <c r="AJ59" s="1930"/>
      <c r="AK59" s="1930"/>
      <c r="AL59" s="1930"/>
      <c r="AM59" s="1930"/>
      <c r="AN59" s="1930"/>
      <c r="AO59" s="1930"/>
      <c r="AP59" s="1930"/>
      <c r="AQ59" s="1930"/>
      <c r="AR59" s="1930"/>
      <c r="AS59" s="1930"/>
      <c r="AT59" s="1930"/>
      <c r="AU59" s="1930"/>
      <c r="AV59" s="1930"/>
      <c r="AW59" s="1930"/>
      <c r="AX59" s="1930"/>
      <c r="AY59" s="1930"/>
      <c r="AZ59" s="1930"/>
      <c r="BA59" s="1930"/>
      <c r="BB59" s="1930"/>
      <c r="BC59" s="1930"/>
      <c r="BD59" s="1930"/>
      <c r="BE59" s="1930"/>
    </row>
    <row r="60" spans="1:57" x14ac:dyDescent="0.25">
      <c r="C60" s="1254" t="s">
        <v>2612</v>
      </c>
      <c r="E60" s="1113"/>
      <c r="G60" s="576"/>
      <c r="H60" s="576"/>
      <c r="I60" s="576"/>
      <c r="J60" s="1725"/>
      <c r="K60" s="1789"/>
      <c r="L60" s="685"/>
      <c r="V60" s="1930"/>
      <c r="AC60" s="1930"/>
      <c r="AD60" s="1930"/>
      <c r="AE60" s="1930"/>
      <c r="AF60" s="1930"/>
      <c r="AG60" s="1930"/>
      <c r="AH60" s="1930"/>
      <c r="AI60" s="1930"/>
      <c r="AJ60" s="1930"/>
      <c r="AK60" s="1930"/>
      <c r="AL60" s="1930"/>
      <c r="AM60" s="1930"/>
      <c r="AN60" s="1930"/>
      <c r="AO60" s="1930"/>
      <c r="AP60" s="1930"/>
      <c r="AQ60" s="1930"/>
      <c r="AR60" s="1930"/>
      <c r="AS60" s="1930"/>
      <c r="AT60" s="1930"/>
      <c r="AU60" s="1930"/>
      <c r="AV60" s="1930"/>
      <c r="AW60" s="1930"/>
      <c r="AX60" s="1930"/>
      <c r="AY60" s="1930"/>
      <c r="AZ60" s="1930"/>
      <c r="BA60" s="1930"/>
      <c r="BB60" s="1930"/>
      <c r="BC60" s="1930"/>
      <c r="BD60" s="1930"/>
      <c r="BE60" s="1930"/>
    </row>
    <row r="61" spans="1:57" hidden="1" outlineLevel="1" x14ac:dyDescent="0.25">
      <c r="V61" s="1930"/>
      <c r="AC61" s="1930"/>
      <c r="AD61" s="1930"/>
      <c r="AE61" s="1930"/>
      <c r="AF61" s="1930"/>
      <c r="AG61" s="1930"/>
      <c r="AH61" s="1930"/>
      <c r="AI61" s="1930"/>
      <c r="AJ61" s="1930"/>
      <c r="AK61" s="1930"/>
      <c r="AL61" s="1930"/>
      <c r="AM61" s="1930"/>
      <c r="AN61" s="1930"/>
      <c r="AO61" s="1930"/>
      <c r="AP61" s="1930"/>
      <c r="AQ61" s="1930"/>
      <c r="AR61" s="1930"/>
      <c r="AS61" s="1930"/>
      <c r="AT61" s="1930"/>
      <c r="AU61" s="1930"/>
      <c r="AV61" s="1930"/>
      <c r="AW61" s="1930"/>
      <c r="AX61" s="1930"/>
      <c r="AY61" s="1930"/>
      <c r="AZ61" s="1930"/>
      <c r="BA61" s="1930"/>
      <c r="BB61" s="1930"/>
      <c r="BC61" s="1930"/>
      <c r="BD61" s="1930"/>
      <c r="BE61" s="1930"/>
    </row>
    <row r="62" spans="1:57" hidden="1" outlineLevel="1" x14ac:dyDescent="0.25">
      <c r="D62" s="174" t="s">
        <v>108</v>
      </c>
      <c r="V62" s="1930"/>
      <c r="AC62" s="1930"/>
      <c r="AD62" s="1930"/>
      <c r="AE62" s="1930"/>
      <c r="AF62" s="1930"/>
      <c r="AG62" s="1930"/>
      <c r="AH62" s="1930"/>
      <c r="AI62" s="1930"/>
      <c r="AJ62" s="1930"/>
      <c r="AK62" s="1930"/>
      <c r="AL62" s="1930"/>
      <c r="AM62" s="1930"/>
      <c r="AN62" s="1930"/>
      <c r="AO62" s="1930"/>
      <c r="AP62" s="1930"/>
      <c r="AQ62" s="1930"/>
      <c r="AR62" s="1930"/>
      <c r="AS62" s="1930"/>
      <c r="AT62" s="1930"/>
      <c r="AU62" s="1930"/>
      <c r="AV62" s="1930"/>
      <c r="AW62" s="1930"/>
      <c r="AX62" s="1930"/>
      <c r="AY62" s="1930"/>
      <c r="AZ62" s="1930"/>
      <c r="BA62" s="1930"/>
      <c r="BB62" s="1930"/>
      <c r="BC62" s="1930"/>
      <c r="BD62" s="1930"/>
      <c r="BE62" s="1930"/>
    </row>
    <row r="63" spans="1:57" hidden="1" outlineLevel="1" x14ac:dyDescent="0.25">
      <c r="V63" s="1930"/>
      <c r="AC63" s="1930"/>
      <c r="AD63" s="1930"/>
      <c r="AE63" s="1930"/>
      <c r="AF63" s="1930"/>
      <c r="AG63" s="1930"/>
      <c r="AH63" s="1930"/>
      <c r="AI63" s="1930"/>
      <c r="AJ63" s="1930"/>
      <c r="AK63" s="1930"/>
      <c r="AL63" s="1930"/>
      <c r="AM63" s="1930"/>
      <c r="AN63" s="1930"/>
      <c r="AO63" s="1930"/>
      <c r="AP63" s="1930"/>
      <c r="AQ63" s="1930"/>
      <c r="AR63" s="1930"/>
      <c r="AS63" s="1930"/>
      <c r="AT63" s="1930"/>
      <c r="AU63" s="1930"/>
      <c r="AV63" s="1930"/>
      <c r="AW63" s="1930"/>
      <c r="AX63" s="1930"/>
      <c r="AY63" s="1930"/>
      <c r="AZ63" s="1930"/>
      <c r="BA63" s="1930"/>
      <c r="BB63" s="1930"/>
      <c r="BC63" s="1930"/>
      <c r="BD63" s="1930"/>
      <c r="BE63" s="1930"/>
    </row>
    <row r="64" spans="1:57" hidden="1" outlineLevel="1" x14ac:dyDescent="0.25">
      <c r="V64" s="1930"/>
      <c r="AC64" s="1930"/>
      <c r="AD64" s="1930"/>
      <c r="AE64" s="1930"/>
      <c r="AF64" s="1930"/>
      <c r="AG64" s="1930"/>
      <c r="AH64" s="1930"/>
      <c r="AI64" s="1930"/>
      <c r="AJ64" s="1930"/>
      <c r="AK64" s="1930"/>
      <c r="AL64" s="1930"/>
      <c r="AM64" s="1930"/>
      <c r="AN64" s="1930"/>
      <c r="AO64" s="1930"/>
      <c r="AP64" s="1930"/>
      <c r="AQ64" s="1930"/>
      <c r="AR64" s="1930"/>
      <c r="AS64" s="1930"/>
      <c r="AT64" s="1930"/>
      <c r="AU64" s="1930"/>
      <c r="AV64" s="1930"/>
      <c r="AW64" s="1930"/>
      <c r="AX64" s="1930"/>
      <c r="AY64" s="1930"/>
      <c r="AZ64" s="1930"/>
      <c r="BA64" s="1930"/>
      <c r="BB64" s="1930"/>
      <c r="BC64" s="1930"/>
      <c r="BD64" s="1930"/>
      <c r="BE64" s="1930"/>
    </row>
    <row r="65" spans="4:33" hidden="1" outlineLevel="1" x14ac:dyDescent="0.25">
      <c r="V65" s="1930"/>
      <c r="AC65" s="1930"/>
      <c r="AD65" s="1930"/>
      <c r="AE65" s="1930"/>
      <c r="AF65" s="1930"/>
      <c r="AG65" s="1930"/>
    </row>
    <row r="66" spans="4:33" hidden="1" outlineLevel="1" x14ac:dyDescent="0.25">
      <c r="D66" s="3196" t="s">
        <v>110</v>
      </c>
      <c r="E66" s="3196" t="s">
        <v>111</v>
      </c>
      <c r="F66" s="3196" t="s">
        <v>112</v>
      </c>
      <c r="G66" s="4226" t="s">
        <v>113</v>
      </c>
      <c r="H66" s="4226"/>
      <c r="I66" s="4226"/>
      <c r="J66" s="4226"/>
      <c r="V66" s="1936" t="s">
        <v>45</v>
      </c>
      <c r="W66" s="360">
        <f>W$6</f>
        <v>43252</v>
      </c>
      <c r="X66" s="360">
        <f t="shared" ref="X66:AG66" si="8">X$6</f>
        <v>43465</v>
      </c>
      <c r="Y66" s="360">
        <f t="shared" si="8"/>
        <v>43800</v>
      </c>
      <c r="Z66" s="360">
        <f t="shared" si="8"/>
        <v>43862</v>
      </c>
      <c r="AA66" s="360">
        <f t="shared" si="8"/>
        <v>44013</v>
      </c>
      <c r="AB66" s="360">
        <f t="shared" si="8"/>
        <v>44166</v>
      </c>
      <c r="AC66" s="1937">
        <f t="shared" si="8"/>
        <v>44531</v>
      </c>
      <c r="AD66" s="1937" t="str">
        <f t="shared" si="8"/>
        <v>-</v>
      </c>
      <c r="AE66" s="1937" t="str">
        <f t="shared" si="8"/>
        <v>-</v>
      </c>
      <c r="AF66" s="1937" t="str">
        <f t="shared" si="8"/>
        <v>-</v>
      </c>
      <c r="AG66" s="1937" t="str">
        <f t="shared" si="8"/>
        <v>-</v>
      </c>
    </row>
    <row r="67" spans="4:33" ht="47.25" hidden="1" customHeight="1" outlineLevel="1" x14ac:dyDescent="0.25">
      <c r="D67" s="3076" t="s">
        <v>31</v>
      </c>
      <c r="E67" s="3127" t="s">
        <v>2613</v>
      </c>
      <c r="F67" s="1790">
        <v>139</v>
      </c>
      <c r="G67" s="3728" t="s">
        <v>2614</v>
      </c>
      <c r="H67" s="3728"/>
      <c r="I67" s="3728"/>
      <c r="J67" s="3728"/>
      <c r="V67" s="1248" t="str">
        <f>D67</f>
        <v>kWh Annual Savings</v>
      </c>
      <c r="W67" s="1246">
        <v>139</v>
      </c>
      <c r="X67" s="1246">
        <v>139</v>
      </c>
      <c r="Y67" s="1246">
        <v>139</v>
      </c>
      <c r="Z67" s="1246">
        <v>139</v>
      </c>
      <c r="AA67" s="1246">
        <v>139</v>
      </c>
      <c r="AB67" s="1246">
        <v>139</v>
      </c>
      <c r="AC67" s="1246">
        <v>139</v>
      </c>
      <c r="AD67" s="1246"/>
      <c r="AE67" s="1246"/>
      <c r="AF67" s="1246"/>
      <c r="AG67" s="1246"/>
    </row>
    <row r="68" spans="4:33" hidden="1" outlineLevel="1" x14ac:dyDescent="0.25">
      <c r="V68" s="1930"/>
      <c r="AC68" s="1930"/>
      <c r="AD68" s="1930"/>
      <c r="AE68" s="1930"/>
      <c r="AF68" s="1930"/>
      <c r="AG68" s="1930"/>
    </row>
    <row r="69" spans="4:33" hidden="1" outlineLevel="1" x14ac:dyDescent="0.25">
      <c r="V69" s="1930"/>
      <c r="AC69" s="1930"/>
      <c r="AD69" s="1930"/>
      <c r="AE69" s="1930"/>
      <c r="AF69" s="1930"/>
      <c r="AG69" s="1930"/>
    </row>
    <row r="70" spans="4:33" hidden="1" outlineLevel="1" x14ac:dyDescent="0.25">
      <c r="V70" s="1930"/>
      <c r="AC70" s="1930"/>
      <c r="AD70" s="1930"/>
      <c r="AE70" s="1930"/>
      <c r="AF70" s="1930"/>
      <c r="AG70" s="1930"/>
    </row>
    <row r="71" spans="4:33" hidden="1" outlineLevel="1" x14ac:dyDescent="0.25">
      <c r="V71" s="1930"/>
      <c r="AC71" s="1930"/>
      <c r="AD71" s="1930"/>
      <c r="AE71" s="1930"/>
      <c r="AF71" s="1930"/>
      <c r="AG71" s="1930"/>
    </row>
    <row r="72" spans="4:33" hidden="1" outlineLevel="1" x14ac:dyDescent="0.25">
      <c r="G72" s="1525" t="s">
        <v>2615</v>
      </c>
      <c r="V72" s="1930"/>
      <c r="AC72" s="1930"/>
      <c r="AD72" s="1930"/>
      <c r="AE72" s="1930"/>
      <c r="AF72" s="1930"/>
      <c r="AG72" s="1930"/>
    </row>
    <row r="73" spans="4:33" hidden="1" outlineLevel="1" x14ac:dyDescent="0.25">
      <c r="V73" s="1930"/>
      <c r="AC73" s="1930"/>
      <c r="AD73" s="1930"/>
      <c r="AE73" s="1930"/>
      <c r="AF73" s="1930"/>
      <c r="AG73" s="1930"/>
    </row>
    <row r="74" spans="4:33" hidden="1" outlineLevel="1" x14ac:dyDescent="0.25">
      <c r="V74" s="1930"/>
      <c r="AC74" s="1930"/>
      <c r="AD74" s="1930"/>
      <c r="AE74" s="1930"/>
      <c r="AF74" s="1930"/>
      <c r="AG74" s="1930"/>
    </row>
    <row r="75" spans="4:33" collapsed="1" x14ac:dyDescent="0.25">
      <c r="V75" s="1930"/>
      <c r="AC75" s="1930"/>
      <c r="AD75" s="1930"/>
      <c r="AE75" s="1930"/>
      <c r="AF75" s="1930"/>
      <c r="AG75" s="1930"/>
    </row>
  </sheetData>
  <mergeCells count="18">
    <mergeCell ref="G67:J67"/>
    <mergeCell ref="B32:L32"/>
    <mergeCell ref="A1:Q1"/>
    <mergeCell ref="D2:J2"/>
    <mergeCell ref="B4:L4"/>
    <mergeCell ref="G66:J66"/>
    <mergeCell ref="V4:AI4"/>
    <mergeCell ref="B19:L19"/>
    <mergeCell ref="V19:AI19"/>
    <mergeCell ref="V32:AI32"/>
    <mergeCell ref="B55:L55"/>
    <mergeCell ref="V55:AI55"/>
    <mergeCell ref="G14:I14"/>
    <mergeCell ref="G15:I15"/>
    <mergeCell ref="G16:I16"/>
    <mergeCell ref="G28:I28"/>
    <mergeCell ref="G30:I30"/>
    <mergeCell ref="G29:I29"/>
  </mergeCells>
  <hyperlinks>
    <hyperlink ref="G72" r:id="rId1"/>
  </hyperlinks>
  <pageMargins left="0.7" right="0.7" top="0.75" bottom="0.75" header="0.3" footer="0.3"/>
  <pageSetup scale="26"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24"/>
  <sheetViews>
    <sheetView zoomScale="70" zoomScaleNormal="70" workbookViewId="0">
      <selection sqref="A1:O1"/>
    </sheetView>
  </sheetViews>
  <sheetFormatPr defaultRowHeight="15" outlineLevelRow="1" x14ac:dyDescent="0.25"/>
  <cols>
    <col min="3" max="3" width="29.7109375" style="103" customWidth="1"/>
    <col min="4" max="4" width="18.85546875" style="121" bestFit="1" customWidth="1"/>
    <col min="5" max="5" width="44.7109375" style="121" bestFit="1" customWidth="1"/>
    <col min="6" max="6" width="19.85546875" customWidth="1"/>
    <col min="7" max="7" width="18.7109375" bestFit="1" customWidth="1"/>
    <col min="8" max="8" width="16.85546875" customWidth="1"/>
    <col min="9" max="11" width="12.5703125" customWidth="1"/>
    <col min="12" max="12" width="16.85546875" customWidth="1"/>
    <col min="14" max="14" width="9.140625" customWidth="1"/>
    <col min="15" max="15" width="4.140625" customWidth="1"/>
    <col min="16" max="16" width="18.85546875" customWidth="1"/>
    <col min="17" max="17" width="37" customWidth="1"/>
    <col min="18" max="18" width="2.42578125" customWidth="1"/>
    <col min="19" max="21" width="9.140625" customWidth="1"/>
    <col min="22" max="22" width="31" customWidth="1"/>
    <col min="23" max="28" width="14.7109375" style="103" customWidth="1"/>
    <col min="29" max="29" width="14.7109375" customWidth="1"/>
    <col min="30" max="52" width="9.140625" customWidth="1"/>
    <col min="54" max="54" width="12" bestFit="1" customWidth="1"/>
    <col min="55" max="55" width="23.140625" bestFit="1" customWidth="1"/>
    <col min="56" max="56" width="12.5703125" customWidth="1"/>
    <col min="57" max="57" width="16.28515625" customWidth="1"/>
  </cols>
  <sheetData>
    <row r="1" spans="1:57" s="23" customFormat="1" ht="18.75" x14ac:dyDescent="0.3">
      <c r="A1" s="4475" t="s">
        <v>2616</v>
      </c>
      <c r="B1" s="4476"/>
      <c r="C1" s="4476"/>
      <c r="D1" s="4476"/>
      <c r="E1" s="4476"/>
      <c r="F1" s="4476"/>
      <c r="G1" s="4476"/>
      <c r="H1" s="4476"/>
      <c r="I1" s="4476"/>
      <c r="J1" s="4476"/>
      <c r="K1" s="4476"/>
      <c r="L1" s="4476"/>
      <c r="M1" s="4476"/>
      <c r="N1" s="4476"/>
      <c r="O1" s="4477"/>
      <c r="P1" s="4478"/>
      <c r="Q1" s="4479"/>
      <c r="R1" s="3673"/>
      <c r="S1" s="1931"/>
      <c r="T1" s="1931"/>
      <c r="U1" s="1931"/>
      <c r="V1" s="30"/>
      <c r="W1" s="2408"/>
      <c r="X1" s="2408"/>
      <c r="Y1" s="872"/>
      <c r="Z1" s="872"/>
      <c r="AA1" s="872"/>
      <c r="AB1" s="872"/>
      <c r="AC1" s="32"/>
      <c r="AD1" s="32"/>
      <c r="AE1" s="32"/>
      <c r="AF1" s="32"/>
      <c r="AG1" s="32"/>
      <c r="AH1" s="32"/>
      <c r="AI1" s="1931"/>
      <c r="AJ1" s="1931"/>
      <c r="AK1" s="1931"/>
      <c r="AL1" s="1931"/>
      <c r="AM1" s="1931"/>
      <c r="AN1" s="1931"/>
      <c r="AO1" s="1931"/>
      <c r="AP1" s="1931"/>
      <c r="AQ1" s="1931"/>
      <c r="AR1" s="1931"/>
      <c r="AS1" s="1931"/>
      <c r="AT1" s="1931"/>
      <c r="AU1" s="1931"/>
      <c r="AV1" s="1931"/>
      <c r="AW1" s="1931"/>
      <c r="AX1" s="1931"/>
      <c r="AY1" s="1931"/>
      <c r="AZ1" s="1931"/>
      <c r="BA1" s="1931"/>
      <c r="BB1" s="1931"/>
      <c r="BC1" s="1931"/>
      <c r="BD1" s="1931"/>
      <c r="BE1" s="1931"/>
    </row>
    <row r="2" spans="1:57" s="23" customFormat="1" ht="30" hidden="1" customHeight="1" outlineLevel="1" x14ac:dyDescent="0.35">
      <c r="A2" s="1931"/>
      <c r="B2" s="28"/>
      <c r="C2" s="33"/>
      <c r="D2" s="3760" t="s">
        <v>25</v>
      </c>
      <c r="E2" s="3761"/>
      <c r="F2" s="3762"/>
      <c r="G2" s="3762"/>
      <c r="H2" s="3762"/>
      <c r="I2" s="3762"/>
      <c r="J2" s="3762"/>
      <c r="K2" s="29"/>
      <c r="L2" s="29"/>
      <c r="M2" s="1931"/>
      <c r="N2" s="1931"/>
      <c r="O2" s="1931"/>
      <c r="P2" s="1931"/>
      <c r="Q2" s="1931"/>
      <c r="R2" s="1931"/>
      <c r="S2" s="1931"/>
      <c r="T2" s="1931"/>
      <c r="U2" s="1931"/>
      <c r="V2" s="1931"/>
      <c r="W2" s="67"/>
      <c r="X2" s="67"/>
      <c r="Y2" s="67"/>
      <c r="Z2" s="67"/>
      <c r="AA2" s="67"/>
      <c r="AB2" s="67"/>
      <c r="AC2" s="1931"/>
      <c r="AD2" s="1931"/>
      <c r="AE2" s="1931"/>
      <c r="AF2" s="1931"/>
      <c r="AG2" s="1931"/>
      <c r="AH2" s="1931"/>
      <c r="AI2" s="1931"/>
      <c r="AJ2" s="1931"/>
      <c r="AK2" s="1931"/>
      <c r="AL2" s="1931"/>
      <c r="AM2" s="1931"/>
      <c r="AN2" s="1931"/>
      <c r="AO2" s="1931"/>
      <c r="AP2" s="1931"/>
      <c r="AQ2" s="1931"/>
      <c r="AR2" s="1931"/>
      <c r="AS2" s="1931"/>
      <c r="AT2" s="1931"/>
      <c r="AU2" s="1931"/>
      <c r="AV2" s="1931"/>
      <c r="AW2" s="1931"/>
      <c r="AX2" s="1931"/>
      <c r="AY2" s="1931"/>
      <c r="AZ2" s="1931"/>
      <c r="BA2" s="1931"/>
      <c r="BB2" s="1931"/>
      <c r="BC2" s="1931"/>
      <c r="BD2" s="1931"/>
      <c r="BE2" s="1931"/>
    </row>
    <row r="3" spans="1:57" s="23" customFormat="1" ht="24" customHeight="1" collapsed="1" x14ac:dyDescent="0.35">
      <c r="A3" s="1931"/>
      <c r="B3" s="28"/>
      <c r="C3" s="33"/>
      <c r="D3" s="1187"/>
      <c r="E3" s="1188"/>
      <c r="F3" s="1189"/>
      <c r="G3" s="1189"/>
      <c r="H3" s="1189"/>
      <c r="I3" s="1189"/>
      <c r="J3" s="1189"/>
      <c r="K3" s="29"/>
      <c r="L3" s="29"/>
      <c r="M3" s="1931"/>
      <c r="N3" s="1931"/>
      <c r="O3" s="1931"/>
      <c r="P3" s="1931"/>
      <c r="Q3" s="1931"/>
      <c r="R3" s="1931"/>
      <c r="S3" s="1931"/>
      <c r="T3" s="1931"/>
      <c r="U3" s="1931"/>
      <c r="V3" s="1933"/>
      <c r="W3" s="875"/>
      <c r="X3" s="875"/>
      <c r="Y3" s="875"/>
      <c r="Z3" s="875"/>
      <c r="AA3" s="875"/>
      <c r="AB3" s="875"/>
      <c r="AC3" s="1933"/>
      <c r="AD3" s="1933"/>
      <c r="AE3" s="1933"/>
      <c r="AF3" s="1933"/>
      <c r="AG3" s="1933"/>
      <c r="AH3" s="1933"/>
      <c r="AI3" s="1933"/>
      <c r="AJ3" s="1931"/>
      <c r="AK3" s="1931"/>
      <c r="AL3" s="1931"/>
      <c r="AM3" s="1931"/>
      <c r="AN3" s="1931"/>
      <c r="AO3" s="1931"/>
      <c r="AP3" s="1931"/>
      <c r="AQ3" s="1931"/>
      <c r="AR3" s="1931"/>
      <c r="AS3" s="1931"/>
      <c r="AT3" s="1931"/>
      <c r="AU3" s="1931"/>
      <c r="AV3" s="1931"/>
      <c r="AW3" s="1931"/>
      <c r="AX3" s="1931"/>
      <c r="AY3" s="1931"/>
      <c r="AZ3" s="1931"/>
      <c r="BA3" s="1931"/>
      <c r="BB3" s="1931"/>
      <c r="BC3" s="1931"/>
      <c r="BD3" s="1931"/>
      <c r="BE3" s="1931"/>
    </row>
    <row r="4" spans="1:57" x14ac:dyDescent="0.25">
      <c r="A4" s="1930"/>
      <c r="B4" s="3750" t="s">
        <v>2617</v>
      </c>
      <c r="C4" s="3751"/>
      <c r="D4" s="3751"/>
      <c r="E4" s="3751"/>
      <c r="F4" s="3751"/>
      <c r="G4" s="3751"/>
      <c r="H4" s="3751"/>
      <c r="I4" s="3751"/>
      <c r="J4" s="3751"/>
      <c r="K4" s="3751"/>
      <c r="L4" s="4120"/>
      <c r="M4" s="1930"/>
      <c r="N4" s="1930"/>
      <c r="O4" s="1930"/>
      <c r="P4" s="1930"/>
      <c r="Q4" s="1930"/>
      <c r="R4" s="1930"/>
      <c r="S4" s="1930"/>
      <c r="T4" s="1930"/>
      <c r="U4" s="1930"/>
      <c r="V4" s="3750" t="str">
        <f>B4</f>
        <v>Demand Response</v>
      </c>
      <c r="W4" s="3751"/>
      <c r="X4" s="3751"/>
      <c r="Y4" s="3751"/>
      <c r="Z4" s="3751"/>
      <c r="AA4" s="3751"/>
      <c r="AB4" s="3751"/>
      <c r="AC4" s="3752"/>
      <c r="AD4" s="3752"/>
      <c r="AE4" s="3752"/>
      <c r="AF4" s="3752"/>
      <c r="AG4" s="3752"/>
      <c r="AH4" s="3752"/>
      <c r="AI4" s="3753"/>
      <c r="AJ4" s="1930"/>
      <c r="AK4" s="1930"/>
      <c r="AL4" s="1930"/>
      <c r="AM4" s="1930"/>
      <c r="AN4" s="1930"/>
      <c r="AO4" s="1930"/>
      <c r="AP4" s="1930"/>
      <c r="AQ4" s="1930"/>
      <c r="AR4" s="1930"/>
      <c r="AS4" s="1930"/>
      <c r="AT4" s="1930"/>
      <c r="AU4" s="1930"/>
      <c r="AV4" s="1930"/>
      <c r="AW4" s="1930"/>
      <c r="AX4" s="1930"/>
      <c r="AY4" s="1930"/>
      <c r="AZ4" s="1930"/>
      <c r="BA4" s="1930"/>
      <c r="BB4" s="1930"/>
      <c r="BC4" s="1930"/>
      <c r="BD4" s="1930"/>
      <c r="BE4" s="1930"/>
    </row>
    <row r="5" spans="1:57" x14ac:dyDescent="0.25">
      <c r="A5" s="1930"/>
      <c r="B5" s="1930"/>
      <c r="F5" s="1930"/>
      <c r="G5" s="1930"/>
      <c r="H5" s="1930"/>
      <c r="I5" s="1930"/>
      <c r="J5" s="1930"/>
      <c r="K5" s="1930"/>
      <c r="L5" s="1930"/>
      <c r="M5" s="1930"/>
      <c r="N5" s="1930"/>
      <c r="O5" s="1930"/>
      <c r="P5" s="1930"/>
      <c r="Q5" s="1930"/>
      <c r="R5" s="1930"/>
      <c r="S5" s="1930"/>
      <c r="T5" s="1930"/>
      <c r="U5" s="1930"/>
      <c r="V5" s="224"/>
      <c r="W5" s="618"/>
      <c r="X5" s="618"/>
      <c r="Y5" s="618"/>
      <c r="Z5" s="618"/>
      <c r="AA5" s="618"/>
      <c r="AB5" s="618"/>
      <c r="AC5" s="224"/>
      <c r="AD5" s="224"/>
      <c r="AE5" s="224"/>
      <c r="AF5" s="224"/>
      <c r="AG5" s="224"/>
      <c r="AH5" s="224"/>
      <c r="AI5" s="224"/>
      <c r="AJ5" s="1930"/>
      <c r="AK5" s="1930"/>
      <c r="AL5" s="1930"/>
      <c r="AM5" s="1930"/>
      <c r="AN5" s="1930"/>
      <c r="AO5" s="1930"/>
      <c r="AP5" s="1930"/>
      <c r="AQ5" s="1930"/>
      <c r="AR5" s="1930"/>
      <c r="AS5" s="1930"/>
      <c r="AT5" s="1930"/>
      <c r="AU5" s="1930"/>
      <c r="AV5" s="1930"/>
      <c r="AW5" s="1930"/>
      <c r="AX5" s="1930"/>
      <c r="AY5" s="1930"/>
      <c r="AZ5" s="1930"/>
      <c r="BA5" s="1930"/>
      <c r="BB5" s="1930"/>
      <c r="BC5" s="1930"/>
      <c r="BD5" s="1930"/>
      <c r="BE5" s="1930"/>
    </row>
    <row r="6" spans="1:57" ht="30" x14ac:dyDescent="0.25">
      <c r="A6" s="1930"/>
      <c r="B6" s="1930"/>
      <c r="C6" s="3086" t="s">
        <v>28</v>
      </c>
      <c r="D6" s="3086" t="s">
        <v>175</v>
      </c>
      <c r="E6" s="3086" t="s">
        <v>2618</v>
      </c>
      <c r="F6" s="3086" t="s">
        <v>2619</v>
      </c>
      <c r="G6" s="3086" t="s">
        <v>2620</v>
      </c>
      <c r="H6" s="3086" t="s">
        <v>2621</v>
      </c>
      <c r="I6" s="3086" t="s">
        <v>2622</v>
      </c>
      <c r="J6" s="3086" t="s">
        <v>181</v>
      </c>
      <c r="K6" s="3086" t="s">
        <v>170</v>
      </c>
      <c r="L6" s="3086" t="s">
        <v>44</v>
      </c>
      <c r="M6" s="1930"/>
      <c r="N6" s="1930"/>
      <c r="O6" s="1930"/>
      <c r="P6" s="1930"/>
      <c r="Q6" s="1930"/>
      <c r="R6" s="1930"/>
      <c r="S6" s="1930"/>
      <c r="T6" s="1930"/>
      <c r="U6" s="1930"/>
      <c r="V6" s="1936" t="s">
        <v>45</v>
      </c>
      <c r="W6" s="360">
        <v>43252</v>
      </c>
      <c r="X6" s="360">
        <v>43465</v>
      </c>
      <c r="Y6" s="360">
        <v>43800</v>
      </c>
      <c r="Z6" s="360">
        <v>43862</v>
      </c>
      <c r="AA6" s="360">
        <v>44013</v>
      </c>
      <c r="AB6" s="360">
        <v>44166</v>
      </c>
      <c r="AC6" s="1937">
        <v>44531</v>
      </c>
      <c r="AD6" s="1937" t="s">
        <v>46</v>
      </c>
      <c r="AE6" s="1937" t="s">
        <v>46</v>
      </c>
      <c r="AF6" s="1937" t="s">
        <v>46</v>
      </c>
      <c r="AG6" s="1937" t="s">
        <v>46</v>
      </c>
      <c r="AH6" s="224"/>
      <c r="AI6" s="224"/>
      <c r="AJ6" s="1930"/>
      <c r="AK6" s="1930"/>
      <c r="AL6" s="1930"/>
      <c r="AM6" s="1930"/>
      <c r="AN6" s="1930"/>
      <c r="AO6" s="1930"/>
      <c r="AP6" s="1930"/>
      <c r="AQ6" s="1930"/>
      <c r="AR6" s="1930"/>
      <c r="AS6" s="1930"/>
      <c r="AT6" s="1930"/>
      <c r="AU6" s="1930"/>
      <c r="AV6" s="1930"/>
      <c r="AW6" s="1930"/>
      <c r="AX6" s="1930"/>
      <c r="AY6" s="1930"/>
      <c r="AZ6" s="1930"/>
      <c r="BA6" s="1930"/>
      <c r="BB6" s="1938" t="s">
        <v>47</v>
      </c>
      <c r="BC6" s="1953" t="s">
        <v>48</v>
      </c>
      <c r="BD6" s="665" t="s">
        <v>49</v>
      </c>
      <c r="BE6" s="230" t="s">
        <v>50</v>
      </c>
    </row>
    <row r="7" spans="1:57" s="1930" customFormat="1" ht="30" x14ac:dyDescent="0.25">
      <c r="C7" s="63" t="s">
        <v>2623</v>
      </c>
      <c r="D7" s="339" t="s">
        <v>2624</v>
      </c>
      <c r="E7" s="3437" t="s">
        <v>4346</v>
      </c>
      <c r="F7" s="2423">
        <v>55.97</v>
      </c>
      <c r="G7" s="2721" t="s">
        <v>46</v>
      </c>
      <c r="H7" s="2867" t="s">
        <v>502</v>
      </c>
      <c r="I7" s="3438" t="s">
        <v>46</v>
      </c>
      <c r="J7" s="3439">
        <v>11</v>
      </c>
      <c r="K7" s="3440">
        <v>0</v>
      </c>
      <c r="L7" s="63" t="s">
        <v>2625</v>
      </c>
      <c r="V7" s="160" t="str">
        <f>$F$6</f>
        <v>Gross kWh Annual Savings [2]</v>
      </c>
      <c r="W7" s="1191">
        <v>177</v>
      </c>
      <c r="X7" s="1191">
        <v>177</v>
      </c>
      <c r="Y7" s="1191">
        <v>177</v>
      </c>
      <c r="Z7" s="1191">
        <v>177</v>
      </c>
      <c r="AA7" s="1191">
        <v>177</v>
      </c>
      <c r="AB7" s="116">
        <v>55.97</v>
      </c>
      <c r="AC7" s="1491">
        <v>55.97</v>
      </c>
      <c r="AD7" s="1191"/>
      <c r="AE7" s="1191"/>
      <c r="AF7" s="1191"/>
      <c r="AG7" s="1191"/>
      <c r="BB7" s="1192" t="str">
        <f>IFERROR((BD7)/(BE7),"")</f>
        <v/>
      </c>
      <c r="BC7" s="3166"/>
      <c r="BD7" s="166"/>
      <c r="BE7" s="1956">
        <f>K7/(1.0595^(2020-2019))</f>
        <v>0</v>
      </c>
    </row>
    <row r="8" spans="1:57" s="1930" customFormat="1" ht="30" x14ac:dyDescent="0.25">
      <c r="C8" s="2038" t="s">
        <v>2626</v>
      </c>
      <c r="D8" s="2147" t="s">
        <v>2624</v>
      </c>
      <c r="E8" s="3441" t="s">
        <v>4345</v>
      </c>
      <c r="F8" s="3442">
        <v>0</v>
      </c>
      <c r="G8" s="2721" t="s">
        <v>46</v>
      </c>
      <c r="H8" s="2867" t="s">
        <v>502</v>
      </c>
      <c r="I8" s="3443" t="s">
        <v>46</v>
      </c>
      <c r="J8" s="3444">
        <v>11</v>
      </c>
      <c r="K8" s="3445">
        <v>0</v>
      </c>
      <c r="L8" s="2038" t="s">
        <v>2625</v>
      </c>
      <c r="V8" s="1958" t="str">
        <f>$F$6</f>
        <v>Gross kWh Annual Savings [2]</v>
      </c>
      <c r="W8" s="1191"/>
      <c r="X8" s="1191"/>
      <c r="Y8" s="1191"/>
      <c r="Z8" s="1191"/>
      <c r="AA8" s="1191"/>
      <c r="AB8" s="116"/>
      <c r="AC8" s="527">
        <v>0</v>
      </c>
      <c r="AD8" s="1191"/>
      <c r="AE8" s="1191"/>
      <c r="AF8" s="1191"/>
      <c r="AG8" s="1191"/>
      <c r="BB8" s="2717"/>
      <c r="BC8" s="1642"/>
      <c r="BD8" s="114"/>
      <c r="BE8" s="70"/>
    </row>
    <row r="9" spans="1:57" s="1930" customFormat="1" x14ac:dyDescent="0.25">
      <c r="C9" s="3056"/>
      <c r="D9" s="3057"/>
      <c r="E9" s="3057"/>
      <c r="F9" s="3057"/>
      <c r="G9" s="3057"/>
      <c r="H9" s="3057"/>
      <c r="I9" s="3057"/>
      <c r="J9" s="3057"/>
      <c r="K9" s="3057"/>
      <c r="L9" s="3057"/>
      <c r="M9" s="3057"/>
      <c r="V9" s="2714"/>
      <c r="W9" s="2715"/>
      <c r="X9" s="2715"/>
      <c r="Y9" s="2715"/>
      <c r="Z9" s="2715"/>
      <c r="AA9" s="2715"/>
      <c r="AB9" s="2716"/>
      <c r="AC9" s="2715"/>
      <c r="AD9" s="2715"/>
      <c r="AE9" s="2715"/>
      <c r="AF9" s="2715"/>
      <c r="AG9" s="2715"/>
      <c r="BB9" s="2717"/>
      <c r="BC9" s="1642"/>
      <c r="BD9" s="114"/>
      <c r="BE9" s="70"/>
    </row>
    <row r="10" spans="1:57" s="1930" customFormat="1" ht="51" customHeight="1" x14ac:dyDescent="0.25">
      <c r="C10" s="3056"/>
      <c r="D10" s="3058" t="s">
        <v>2627</v>
      </c>
      <c r="E10" s="4480" t="s">
        <v>4384</v>
      </c>
      <c r="F10" s="4480"/>
      <c r="G10" s="4480"/>
      <c r="H10" s="4480"/>
      <c r="I10" s="4480"/>
      <c r="J10" s="4480"/>
      <c r="K10" s="4480"/>
      <c r="L10" s="4480"/>
      <c r="M10" s="3057"/>
      <c r="V10" s="2714"/>
      <c r="W10" s="2715"/>
      <c r="X10" s="2715"/>
      <c r="Y10" s="2715"/>
      <c r="Z10" s="2715"/>
      <c r="AA10" s="2715"/>
      <c r="AB10" s="2716"/>
      <c r="AC10" s="2715"/>
      <c r="AD10" s="2715"/>
      <c r="AE10" s="2715"/>
      <c r="AF10" s="2715"/>
      <c r="AG10" s="2715"/>
      <c r="BB10" s="2717"/>
      <c r="BC10" s="1642"/>
      <c r="BD10" s="114"/>
      <c r="BE10" s="70"/>
    </row>
    <row r="11" spans="1:57" s="1930" customFormat="1" ht="51" customHeight="1" x14ac:dyDescent="0.25">
      <c r="C11" s="3056"/>
      <c r="D11" s="3058" t="s">
        <v>2628</v>
      </c>
      <c r="E11" s="4481" t="s">
        <v>2629</v>
      </c>
      <c r="F11" s="4481"/>
      <c r="G11" s="4481"/>
      <c r="H11" s="4481"/>
      <c r="I11" s="4481"/>
      <c r="J11" s="4481"/>
      <c r="K11" s="4481"/>
      <c r="L11" s="4481"/>
      <c r="M11" s="3057"/>
      <c r="V11" s="2714"/>
      <c r="W11" s="2715"/>
      <c r="X11" s="2715"/>
      <c r="Y11" s="2715"/>
      <c r="Z11" s="2715"/>
      <c r="AA11" s="2715"/>
      <c r="AB11" s="2716"/>
      <c r="AC11" s="2715"/>
      <c r="AD11" s="2715"/>
      <c r="AE11" s="2715"/>
      <c r="AF11" s="2715"/>
      <c r="AG11" s="2715"/>
      <c r="BB11" s="2717"/>
      <c r="BC11" s="1642"/>
      <c r="BD11" s="114"/>
      <c r="BE11" s="70"/>
    </row>
    <row r="12" spans="1:57" s="1930" customFormat="1" ht="34.9" customHeight="1" x14ac:dyDescent="0.25">
      <c r="C12" s="3056"/>
      <c r="D12" s="3058" t="s">
        <v>2630</v>
      </c>
      <c r="E12" s="4480" t="s">
        <v>4344</v>
      </c>
      <c r="F12" s="4480"/>
      <c r="G12" s="4480"/>
      <c r="H12" s="4480"/>
      <c r="I12" s="4480"/>
      <c r="J12" s="4480"/>
      <c r="K12" s="4480"/>
      <c r="L12" s="4480"/>
      <c r="M12" s="3057"/>
      <c r="V12" s="2714"/>
      <c r="W12" s="2715"/>
      <c r="X12" s="2715"/>
      <c r="Y12" s="2715"/>
      <c r="Z12" s="2715"/>
      <c r="AA12" s="2715"/>
      <c r="AB12" s="2716"/>
      <c r="AC12" s="2715"/>
      <c r="AD12" s="2715"/>
      <c r="AE12" s="2715"/>
      <c r="AF12" s="2715"/>
      <c r="AG12" s="2715"/>
      <c r="BB12" s="2717"/>
      <c r="BC12" s="1642"/>
      <c r="BD12" s="114"/>
      <c r="BE12" s="70"/>
    </row>
    <row r="13" spans="1:57" s="1930" customFormat="1" ht="18" customHeight="1" x14ac:dyDescent="0.25">
      <c r="C13" s="3056"/>
      <c r="D13" s="3058" t="s">
        <v>2631</v>
      </c>
      <c r="E13" s="4480" t="s">
        <v>2632</v>
      </c>
      <c r="F13" s="4480"/>
      <c r="G13" s="4480"/>
      <c r="H13" s="4480"/>
      <c r="I13" s="4480"/>
      <c r="J13" s="4480"/>
      <c r="K13" s="4480"/>
      <c r="L13" s="4480"/>
      <c r="M13" s="3057"/>
      <c r="V13" s="2714"/>
      <c r="W13" s="2715"/>
      <c r="X13" s="2715"/>
      <c r="Y13" s="2715"/>
      <c r="Z13" s="2715"/>
      <c r="AA13" s="2715"/>
      <c r="AB13" s="2716"/>
      <c r="AC13" s="2715"/>
      <c r="AD13" s="2715"/>
      <c r="AE13" s="2715"/>
      <c r="AF13" s="2715"/>
      <c r="AG13" s="2715"/>
      <c r="BB13" s="2717"/>
      <c r="BC13" s="1642"/>
      <c r="BD13" s="114"/>
      <c r="BE13" s="70"/>
    </row>
    <row r="14" spans="1:57" ht="38.25" customHeight="1" x14ac:dyDescent="0.25">
      <c r="A14" s="1930"/>
      <c r="B14" s="1930"/>
      <c r="C14" s="328"/>
      <c r="D14" s="3058" t="s">
        <v>2633</v>
      </c>
      <c r="E14" s="4480" t="s">
        <v>2634</v>
      </c>
      <c r="F14" s="4480"/>
      <c r="G14" s="4480"/>
      <c r="H14" s="4480"/>
      <c r="I14" s="4480"/>
      <c r="J14" s="4480"/>
      <c r="K14" s="4480"/>
      <c r="L14" s="4480"/>
      <c r="M14" s="1930"/>
      <c r="N14" s="1930"/>
      <c r="O14" s="1930"/>
      <c r="P14" s="1930"/>
      <c r="Q14" s="1930"/>
      <c r="R14" s="1930"/>
      <c r="S14" s="1930"/>
      <c r="T14" s="1930"/>
      <c r="U14" s="1930"/>
      <c r="V14" s="1930"/>
      <c r="AC14" s="1930"/>
      <c r="AD14" s="1930"/>
      <c r="AE14" s="1930"/>
      <c r="AF14" s="1930"/>
      <c r="AG14" s="1930"/>
      <c r="AH14" s="1930"/>
      <c r="AI14" s="1930"/>
      <c r="AJ14" s="1930"/>
      <c r="AK14" s="1930"/>
      <c r="AL14" s="1930"/>
      <c r="AM14" s="1930"/>
      <c r="AN14" s="1930"/>
      <c r="AO14" s="1930"/>
      <c r="AP14" s="1930"/>
      <c r="AQ14" s="1930"/>
      <c r="AR14" s="1930"/>
      <c r="AS14" s="1930"/>
      <c r="AT14" s="1930"/>
      <c r="AU14" s="1930"/>
      <c r="AV14" s="1930"/>
      <c r="AW14" s="1930"/>
      <c r="AX14" s="1930"/>
      <c r="AY14" s="1930"/>
      <c r="AZ14" s="1930"/>
      <c r="BA14" s="1930"/>
      <c r="BB14" s="1930"/>
      <c r="BC14" s="1930"/>
      <c r="BD14" s="1930"/>
      <c r="BE14" s="1930"/>
    </row>
    <row r="15" spans="1:57" ht="14.45" customHeight="1" x14ac:dyDescent="0.25">
      <c r="A15" s="1930"/>
      <c r="B15" s="1930"/>
      <c r="C15" s="328"/>
      <c r="D15" s="329"/>
      <c r="E15" s="4482"/>
      <c r="F15" s="4482"/>
      <c r="G15" s="4482"/>
      <c r="H15" s="4482"/>
      <c r="I15" s="4482"/>
      <c r="J15" s="4482"/>
      <c r="K15" s="4482"/>
      <c r="L15" s="4482"/>
      <c r="M15" s="1930"/>
      <c r="N15" s="1930"/>
      <c r="O15" s="1930"/>
      <c r="P15" s="1930"/>
      <c r="Q15" s="1930"/>
      <c r="R15" s="1930"/>
      <c r="S15" s="1930"/>
      <c r="T15" s="1930"/>
      <c r="U15" s="1930"/>
      <c r="V15" s="1930"/>
      <c r="AC15" s="1930"/>
      <c r="AD15" s="1930"/>
      <c r="AE15" s="1930"/>
      <c r="AF15" s="1930"/>
      <c r="AG15" s="1930"/>
      <c r="AH15" s="1930"/>
      <c r="AI15" s="1930"/>
      <c r="AJ15" s="1930"/>
      <c r="AK15" s="1930"/>
      <c r="AL15" s="1930"/>
      <c r="AM15" s="1930"/>
      <c r="AN15" s="1930"/>
      <c r="AO15" s="1930"/>
      <c r="AP15" s="1930"/>
      <c r="AQ15" s="1930"/>
      <c r="AR15" s="1930"/>
      <c r="AS15" s="1930"/>
      <c r="AT15" s="1930"/>
      <c r="AU15" s="1930"/>
      <c r="AV15" s="1930"/>
      <c r="AW15" s="1930"/>
      <c r="AX15" s="1930"/>
      <c r="AY15" s="1930"/>
      <c r="AZ15" s="1930"/>
      <c r="BA15" s="1930"/>
      <c r="BB15" s="1930"/>
      <c r="BC15" s="1930"/>
      <c r="BD15" s="1930"/>
      <c r="BE15" s="1930"/>
    </row>
    <row r="16" spans="1:57" ht="14.45" customHeight="1" x14ac:dyDescent="0.25">
      <c r="A16" s="1930"/>
      <c r="B16" s="1930"/>
      <c r="C16" s="328"/>
      <c r="D16" s="329"/>
      <c r="E16" s="4482"/>
      <c r="F16" s="4482"/>
      <c r="G16" s="4482"/>
      <c r="H16" s="4482"/>
      <c r="I16" s="4482"/>
      <c r="J16" s="4482"/>
      <c r="K16" s="4482"/>
      <c r="L16" s="4482"/>
      <c r="M16" s="1930"/>
      <c r="N16" s="1930"/>
      <c r="O16" s="1930"/>
      <c r="P16" s="1930"/>
      <c r="Q16" s="1930"/>
      <c r="R16" s="1930"/>
      <c r="S16" s="1930"/>
      <c r="T16" s="1930"/>
      <c r="U16" s="1930"/>
      <c r="V16" s="1930"/>
      <c r="AC16" s="1930"/>
      <c r="AD16" s="1930"/>
      <c r="AE16" s="1930"/>
      <c r="AF16" s="1930"/>
      <c r="AG16" s="1930"/>
      <c r="AH16" s="1930"/>
      <c r="AI16" s="1930"/>
      <c r="AJ16" s="1930"/>
      <c r="AK16" s="1930"/>
      <c r="AL16" s="1930"/>
      <c r="AM16" s="1930"/>
      <c r="AN16" s="1930"/>
      <c r="AO16" s="1930"/>
      <c r="AP16" s="1930"/>
      <c r="AQ16" s="1930"/>
      <c r="AR16" s="1930"/>
      <c r="AS16" s="1930"/>
      <c r="AT16" s="1930"/>
      <c r="AU16" s="1930"/>
      <c r="AV16" s="1930"/>
      <c r="AW16" s="1930"/>
      <c r="AX16" s="1930"/>
      <c r="AY16" s="1930"/>
      <c r="AZ16" s="1930"/>
      <c r="BA16" s="1930"/>
      <c r="BB16" s="1930"/>
      <c r="BC16" s="1930"/>
      <c r="BD16" s="1930"/>
      <c r="BE16" s="1930"/>
    </row>
    <row r="17" spans="1:57" ht="79.5" customHeight="1" x14ac:dyDescent="0.25">
      <c r="A17" s="1930"/>
      <c r="B17" s="1930"/>
      <c r="C17" s="328"/>
      <c r="D17" s="329"/>
      <c r="E17" s="4474" t="s">
        <v>2635</v>
      </c>
      <c r="F17" s="4315"/>
      <c r="G17" s="4315"/>
      <c r="H17" s="4315"/>
      <c r="I17" s="4315"/>
      <c r="J17" s="4315"/>
      <c r="K17" s="4315"/>
      <c r="L17" s="4315"/>
      <c r="M17" s="1930"/>
      <c r="N17" s="1930"/>
      <c r="O17" s="1930"/>
      <c r="P17" s="1930"/>
      <c r="Q17" s="1930"/>
      <c r="R17" s="1930"/>
      <c r="S17" s="1930"/>
      <c r="T17" s="1930"/>
      <c r="U17" s="1930"/>
      <c r="V17" s="1930"/>
      <c r="AC17" s="1930"/>
      <c r="AD17" s="1930"/>
      <c r="AE17" s="1930"/>
      <c r="AF17" s="1930"/>
      <c r="AG17" s="1930"/>
      <c r="AH17" s="1930"/>
      <c r="AI17" s="1930"/>
      <c r="AJ17" s="1930"/>
      <c r="AK17" s="1930"/>
      <c r="AL17" s="1930"/>
      <c r="AM17" s="1930"/>
      <c r="AN17" s="1930"/>
      <c r="AO17" s="1930"/>
      <c r="AP17" s="1930"/>
      <c r="AQ17" s="1930"/>
      <c r="AR17" s="1930"/>
      <c r="AS17" s="1930"/>
      <c r="AT17" s="1930"/>
      <c r="AU17" s="1930"/>
      <c r="AV17" s="1930"/>
      <c r="AW17" s="1930"/>
      <c r="AX17" s="1930"/>
      <c r="AY17" s="1930"/>
      <c r="AZ17" s="1930"/>
      <c r="BA17" s="1930"/>
      <c r="BB17" s="1930"/>
      <c r="BC17" s="1930"/>
      <c r="BD17" s="1930"/>
      <c r="BE17" s="1930"/>
    </row>
    <row r="18" spans="1:57" x14ac:dyDescent="0.25">
      <c r="A18" s="1930"/>
      <c r="B18" s="1930"/>
      <c r="C18" s="328"/>
      <c r="D18" s="329"/>
      <c r="E18" s="329"/>
      <c r="F18" s="123"/>
      <c r="G18" s="123"/>
      <c r="H18" s="123"/>
      <c r="I18" s="123"/>
      <c r="J18" s="123"/>
      <c r="K18" s="123"/>
      <c r="L18" s="123"/>
      <c r="M18" s="1930"/>
      <c r="N18" s="1930"/>
      <c r="O18" s="1930"/>
      <c r="P18" s="1930"/>
      <c r="Q18" s="1930"/>
      <c r="R18" s="1930"/>
      <c r="S18" s="1930"/>
      <c r="T18" s="1930"/>
      <c r="U18" s="1930"/>
      <c r="V18" s="1930"/>
      <c r="AC18" s="1930"/>
      <c r="AD18" s="1930"/>
      <c r="AE18" s="1930"/>
      <c r="AF18" s="1930"/>
      <c r="AG18" s="1930"/>
      <c r="AH18" s="1930"/>
      <c r="AI18" s="1930"/>
      <c r="AJ18" s="1930"/>
      <c r="AK18" s="1930"/>
      <c r="AL18" s="1930"/>
      <c r="AM18" s="1930"/>
      <c r="AN18" s="1930"/>
      <c r="AO18" s="1930"/>
      <c r="AP18" s="1930"/>
      <c r="AQ18" s="1930"/>
      <c r="AR18" s="1930"/>
      <c r="AS18" s="1930"/>
      <c r="AT18" s="1930"/>
      <c r="AU18" s="1930"/>
      <c r="AV18" s="1930"/>
      <c r="AW18" s="1930"/>
      <c r="AX18" s="1930"/>
      <c r="AY18" s="1930"/>
      <c r="AZ18" s="1930"/>
      <c r="BA18" s="1930"/>
      <c r="BB18" s="1930"/>
      <c r="BC18" s="1930"/>
      <c r="BD18" s="1930"/>
      <c r="BE18" s="1930"/>
    </row>
    <row r="19" spans="1:57" ht="62.25" customHeight="1" x14ac:dyDescent="0.25">
      <c r="A19" s="1930"/>
      <c r="B19" s="1930"/>
      <c r="C19" s="328"/>
      <c r="D19" s="329"/>
      <c r="E19" s="4474" t="s">
        <v>2636</v>
      </c>
      <c r="F19" s="4315"/>
      <c r="G19" s="4315"/>
      <c r="H19" s="4315"/>
      <c r="I19" s="4315"/>
      <c r="J19" s="4315"/>
      <c r="K19" s="4315"/>
      <c r="L19" s="4315"/>
      <c r="M19" s="1930"/>
      <c r="N19" s="1930"/>
      <c r="O19" s="1930"/>
      <c r="P19" s="1930"/>
      <c r="Q19" s="1930"/>
      <c r="R19" s="1930"/>
      <c r="S19" s="1930"/>
      <c r="T19" s="1930"/>
      <c r="U19" s="1930"/>
      <c r="V19" s="1930"/>
      <c r="AC19" s="1930"/>
      <c r="AD19" s="1930"/>
      <c r="AE19" s="1930"/>
      <c r="AF19" s="1930"/>
      <c r="AG19" s="1930"/>
      <c r="AH19" s="1930"/>
      <c r="AI19" s="1930"/>
      <c r="AJ19" s="1930"/>
      <c r="AK19" s="1930"/>
      <c r="AL19" s="1930"/>
      <c r="AM19" s="1930"/>
      <c r="AN19" s="1930"/>
      <c r="AO19" s="1930"/>
      <c r="AP19" s="1930"/>
      <c r="AQ19" s="1930"/>
      <c r="AR19" s="1930"/>
      <c r="AS19" s="1930"/>
      <c r="AT19" s="1930"/>
      <c r="AU19" s="1930"/>
      <c r="AV19" s="1930"/>
      <c r="AW19" s="1930"/>
      <c r="AX19" s="1930"/>
      <c r="AY19" s="1930"/>
      <c r="AZ19" s="1930"/>
      <c r="BA19" s="1930"/>
      <c r="BB19" s="1930"/>
      <c r="BC19" s="1930"/>
      <c r="BD19" s="1930"/>
      <c r="BE19" s="1930"/>
    </row>
    <row r="20" spans="1:57" x14ac:dyDescent="0.25">
      <c r="A20" s="1930"/>
      <c r="B20" s="1930"/>
      <c r="C20" s="328"/>
      <c r="D20" s="329"/>
      <c r="E20" s="329"/>
      <c r="F20" s="123"/>
      <c r="G20" s="123"/>
      <c r="H20" s="123"/>
      <c r="I20" s="123"/>
      <c r="J20" s="123"/>
      <c r="K20" s="123"/>
      <c r="L20" s="123"/>
      <c r="M20" s="1930"/>
      <c r="N20" s="1930"/>
      <c r="O20" s="1930"/>
      <c r="P20" s="1930"/>
      <c r="Q20" s="1930"/>
      <c r="R20" s="1930"/>
      <c r="S20" s="1930"/>
      <c r="T20" s="1930"/>
      <c r="U20" s="1930"/>
      <c r="V20" s="1930"/>
      <c r="AC20" s="1930"/>
      <c r="AD20" s="1930"/>
      <c r="AE20" s="1930"/>
      <c r="AF20" s="1930"/>
      <c r="AG20" s="1930"/>
      <c r="AH20" s="1930"/>
      <c r="AI20" s="1930"/>
      <c r="AJ20" s="1930"/>
      <c r="AK20" s="1930"/>
      <c r="AL20" s="1930"/>
      <c r="AM20" s="1930"/>
      <c r="AN20" s="1930"/>
      <c r="AO20" s="1930"/>
      <c r="AP20" s="1930"/>
      <c r="AQ20" s="1930"/>
      <c r="AR20" s="1930"/>
      <c r="AS20" s="1930"/>
      <c r="AT20" s="1930"/>
      <c r="AU20" s="1930"/>
      <c r="AV20" s="1930"/>
      <c r="AW20" s="1930"/>
      <c r="AX20" s="1930"/>
      <c r="AY20" s="1930"/>
      <c r="AZ20" s="1930"/>
      <c r="BA20" s="1930"/>
      <c r="BB20" s="1930"/>
      <c r="BC20" s="1930"/>
      <c r="BD20" s="1930"/>
      <c r="BE20" s="1930"/>
    </row>
    <row r="21" spans="1:57" x14ac:dyDescent="0.25">
      <c r="A21" s="1930"/>
      <c r="B21" s="1930"/>
      <c r="C21" s="328"/>
      <c r="D21" s="329"/>
      <c r="E21" s="3059" t="s">
        <v>2637</v>
      </c>
      <c r="F21" s="2052"/>
      <c r="G21" s="123"/>
      <c r="H21" s="123"/>
      <c r="I21" s="123"/>
      <c r="J21" s="123"/>
      <c r="K21" s="123"/>
      <c r="L21" s="123"/>
      <c r="M21" s="1930"/>
      <c r="N21" s="1930"/>
      <c r="O21" s="1930"/>
      <c r="P21" s="1930"/>
      <c r="Q21" s="1930"/>
      <c r="R21" s="1930"/>
      <c r="S21" s="1930"/>
      <c r="T21" s="1930"/>
      <c r="U21" s="1930"/>
      <c r="V21" s="1930"/>
      <c r="AC21" s="1930"/>
      <c r="AD21" s="1930"/>
      <c r="AE21" s="1930"/>
      <c r="AF21" s="1930"/>
      <c r="AG21" s="1930"/>
      <c r="AH21" s="1930"/>
      <c r="AI21" s="1930"/>
      <c r="AJ21" s="1930"/>
      <c r="AK21" s="1930"/>
      <c r="AL21" s="1930"/>
      <c r="AM21" s="1930"/>
      <c r="AN21" s="1930"/>
      <c r="AO21" s="1930"/>
      <c r="AP21" s="1930"/>
      <c r="AQ21" s="1930"/>
      <c r="AR21" s="1930"/>
      <c r="AS21" s="1930"/>
      <c r="AT21" s="1930"/>
      <c r="AU21" s="1930"/>
      <c r="AV21" s="1930"/>
      <c r="AW21" s="1930"/>
      <c r="AX21" s="1930"/>
      <c r="AY21" s="1930"/>
      <c r="AZ21" s="1930"/>
      <c r="BA21" s="1930"/>
      <c r="BB21" s="1930"/>
      <c r="BC21" s="1930"/>
      <c r="BD21" s="1930"/>
      <c r="BE21" s="1930"/>
    </row>
    <row r="22" spans="1:57" x14ac:dyDescent="0.25">
      <c r="A22" s="1930"/>
      <c r="B22" s="1930"/>
      <c r="C22" s="328"/>
      <c r="D22" s="329"/>
      <c r="E22" s="2052" t="s">
        <v>2638</v>
      </c>
      <c r="F22" s="2052" t="s">
        <v>2639</v>
      </c>
      <c r="G22" s="123"/>
      <c r="H22" s="123"/>
      <c r="I22" s="123"/>
      <c r="J22" s="123"/>
      <c r="K22" s="123"/>
      <c r="L22" s="123"/>
      <c r="M22" s="1930"/>
      <c r="N22" s="1930"/>
      <c r="O22" s="1930"/>
      <c r="P22" s="1930"/>
      <c r="Q22" s="1930"/>
      <c r="R22" s="1930"/>
      <c r="S22" s="1930"/>
      <c r="T22" s="1930"/>
      <c r="U22" s="1930"/>
      <c r="V22" s="1930"/>
      <c r="AC22" s="1930"/>
      <c r="AD22" s="1930"/>
      <c r="AE22" s="1930"/>
      <c r="AF22" s="1930"/>
      <c r="AG22" s="1930"/>
      <c r="AH22" s="1930"/>
      <c r="AI22" s="1930"/>
      <c r="AJ22" s="1930"/>
      <c r="AK22" s="1930"/>
      <c r="AL22" s="1930"/>
      <c r="AM22" s="1930"/>
      <c r="AN22" s="1930"/>
      <c r="AO22" s="1930"/>
      <c r="AP22" s="1930"/>
      <c r="AQ22" s="1930"/>
      <c r="AR22" s="1930"/>
      <c r="AS22" s="1930"/>
      <c r="AT22" s="1930"/>
      <c r="AU22" s="1930"/>
      <c r="AV22" s="1930"/>
      <c r="AW22" s="1930"/>
      <c r="AX22" s="1930"/>
      <c r="AY22" s="1930"/>
      <c r="AZ22" s="1930"/>
      <c r="BA22" s="1930"/>
      <c r="BB22" s="1930"/>
      <c r="BC22" s="1930"/>
      <c r="BD22" s="1930"/>
      <c r="BE22" s="1930"/>
    </row>
    <row r="23" spans="1:57" x14ac:dyDescent="0.25">
      <c r="A23" s="1930"/>
      <c r="B23" s="1930"/>
      <c r="C23" s="328"/>
      <c r="D23" s="329"/>
      <c r="E23" s="2052"/>
      <c r="F23" s="2052" t="s">
        <v>2640</v>
      </c>
      <c r="G23" s="123"/>
      <c r="H23" s="123"/>
      <c r="I23" s="123"/>
      <c r="J23" s="123"/>
      <c r="K23" s="123"/>
      <c r="L23" s="123"/>
      <c r="M23" s="1930"/>
      <c r="N23" s="1930"/>
      <c r="O23" s="1930"/>
      <c r="P23" s="1930"/>
      <c r="Q23" s="1930"/>
      <c r="R23" s="1930"/>
      <c r="S23" s="1930"/>
      <c r="T23" s="1930"/>
      <c r="U23" s="1930"/>
      <c r="V23" s="1930"/>
      <c r="AC23" s="1930"/>
      <c r="AD23" s="1930"/>
      <c r="AE23" s="1930"/>
      <c r="AF23" s="1930"/>
      <c r="AG23" s="1930"/>
      <c r="AH23" s="1930"/>
      <c r="AI23" s="1930"/>
      <c r="AJ23" s="1930"/>
      <c r="AK23" s="1930"/>
      <c r="AL23" s="1930"/>
      <c r="AM23" s="1930"/>
      <c r="AN23" s="1930"/>
      <c r="AO23" s="1930"/>
      <c r="AP23" s="1930"/>
      <c r="AQ23" s="1930"/>
      <c r="AR23" s="1930"/>
      <c r="AS23" s="1930"/>
      <c r="AT23" s="1930"/>
      <c r="AU23" s="1930"/>
      <c r="AV23" s="1930"/>
      <c r="AW23" s="1930"/>
      <c r="AX23" s="1930"/>
      <c r="AY23" s="1930"/>
      <c r="AZ23" s="1930"/>
      <c r="BA23" s="1930"/>
      <c r="BB23" s="1930"/>
      <c r="BC23" s="1930"/>
      <c r="BD23" s="1930"/>
      <c r="BE23" s="1930"/>
    </row>
    <row r="24" spans="1:57" x14ac:dyDescent="0.25">
      <c r="A24" s="1930"/>
      <c r="B24" s="1930"/>
      <c r="C24" s="328"/>
      <c r="D24" s="329"/>
      <c r="E24" s="329"/>
      <c r="F24" s="123"/>
      <c r="G24" s="123"/>
      <c r="H24" s="123"/>
      <c r="I24" s="123"/>
      <c r="J24" s="123"/>
      <c r="K24" s="123"/>
      <c r="L24" s="123"/>
      <c r="M24" s="1930"/>
      <c r="N24" s="1930"/>
      <c r="O24" s="1930"/>
      <c r="P24" s="1930"/>
      <c r="Q24" s="1930"/>
      <c r="R24" s="1930"/>
      <c r="S24" s="1930"/>
      <c r="T24" s="1930"/>
      <c r="U24" s="1930"/>
      <c r="V24" s="1930"/>
      <c r="AC24" s="1930"/>
      <c r="AD24" s="1930"/>
      <c r="AE24" s="1930"/>
      <c r="AF24" s="1930"/>
      <c r="AG24" s="1930"/>
      <c r="AH24" s="1930"/>
      <c r="AI24" s="1930"/>
      <c r="AJ24" s="1930"/>
      <c r="AK24" s="1930"/>
      <c r="AL24" s="1930"/>
      <c r="AM24" s="1930"/>
      <c r="AN24" s="1930"/>
      <c r="AO24" s="1930"/>
      <c r="AP24" s="1930"/>
      <c r="AQ24" s="1930"/>
      <c r="AR24" s="1930"/>
      <c r="AS24" s="1930"/>
      <c r="AT24" s="1930"/>
      <c r="AU24" s="1930"/>
      <c r="AV24" s="1930"/>
      <c r="AW24" s="1930"/>
      <c r="AX24" s="1930"/>
      <c r="AY24" s="1930"/>
      <c r="AZ24" s="1930"/>
      <c r="BA24" s="1930"/>
      <c r="BB24" s="1930"/>
      <c r="BC24" s="1930"/>
      <c r="BD24" s="1930"/>
      <c r="BE24" s="1930"/>
    </row>
  </sheetData>
  <mergeCells count="14">
    <mergeCell ref="V4:AI4"/>
    <mergeCell ref="E17:L17"/>
    <mergeCell ref="E19:L19"/>
    <mergeCell ref="A1:O1"/>
    <mergeCell ref="P1:Q1"/>
    <mergeCell ref="D2:J2"/>
    <mergeCell ref="B4:L4"/>
    <mergeCell ref="E10:L10"/>
    <mergeCell ref="E11:L11"/>
    <mergeCell ref="E12:L12"/>
    <mergeCell ref="E13:L13"/>
    <mergeCell ref="E14:L14"/>
    <mergeCell ref="E15:L15"/>
    <mergeCell ref="E16:L16"/>
  </mergeCells>
  <pageMargins left="0.7" right="0.7" top="0.75" bottom="0.75" header="0.3" footer="0.3"/>
  <pageSetup scale="41"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DI838"/>
  <sheetViews>
    <sheetView zoomScale="70" zoomScaleNormal="70" workbookViewId="0"/>
  </sheetViews>
  <sheetFormatPr defaultColWidth="9.140625" defaultRowHeight="15" outlineLevelRow="1" x14ac:dyDescent="0.25"/>
  <cols>
    <col min="1" max="2" width="4.5703125" style="23" customWidth="1"/>
    <col min="3" max="3" width="20.5703125" style="1966" customWidth="1"/>
    <col min="4" max="4" width="24.5703125" style="1281" customWidth="1"/>
    <col min="5" max="5" width="71.140625" style="1278" customWidth="1"/>
    <col min="6" max="6" width="19.5703125" style="1278" customWidth="1"/>
    <col min="7" max="7" width="29.140625" style="1320" customWidth="1"/>
    <col min="8" max="8" width="21.28515625" style="1345" customWidth="1"/>
    <col min="9" max="9" width="18.42578125" style="1278" customWidth="1"/>
    <col min="10" max="10" width="15.5703125" style="1278" customWidth="1"/>
    <col min="11" max="11" width="23.7109375" style="1278" customWidth="1"/>
    <col min="12" max="12" width="18.85546875" style="1278" customWidth="1"/>
    <col min="13" max="13" width="12.42578125" style="1278" customWidth="1"/>
    <col min="14" max="14" width="13.7109375" style="1278" customWidth="1"/>
    <col min="15" max="15" width="13" style="1278" customWidth="1"/>
    <col min="16" max="16" width="13.5703125" style="1278" customWidth="1"/>
    <col min="17" max="17" width="14.28515625" style="1278" customWidth="1"/>
    <col min="18" max="18" width="10.28515625" style="1278" customWidth="1"/>
    <col min="19" max="19" width="16.42578125" style="1278" customWidth="1"/>
    <col min="20" max="20" width="14.28515625" style="1278" customWidth="1"/>
    <col min="21" max="21" width="17.28515625" style="1278" customWidth="1"/>
    <col min="22" max="22" width="63.85546875" style="23" customWidth="1"/>
    <col min="23" max="23" width="13.7109375" style="23" customWidth="1"/>
    <col min="24" max="24" width="18.140625" style="23" customWidth="1"/>
    <col min="25" max="25" width="17.28515625" style="23" customWidth="1"/>
    <col min="26" max="26" width="15.85546875" style="23" customWidth="1"/>
    <col min="27" max="27" width="13.7109375" style="23" customWidth="1"/>
    <col min="28" max="28" width="17.42578125" style="23" customWidth="1"/>
    <col min="29" max="29" width="17.140625" style="23" bestFit="1" customWidth="1"/>
    <col min="30" max="33" width="13.7109375" style="23" customWidth="1"/>
    <col min="34" max="34" width="9.140625" style="23" customWidth="1"/>
    <col min="35" max="35" width="41.42578125" style="23" customWidth="1"/>
    <col min="36" max="42" width="18.140625" style="23" customWidth="1"/>
    <col min="43" max="45" width="13.7109375" style="23" customWidth="1"/>
    <col min="46" max="46" width="9.140625" style="23" customWidth="1"/>
    <col min="47" max="47" width="30.5703125" style="23" customWidth="1"/>
    <col min="48" max="48" width="17.28515625" style="23" customWidth="1"/>
    <col min="49" max="50" width="16.5703125" style="23" customWidth="1"/>
    <col min="51" max="51" width="15.85546875" style="23" customWidth="1"/>
    <col min="52" max="53" width="17.42578125" style="23" customWidth="1"/>
    <col min="54" max="54" width="17.140625" style="23" bestFit="1" customWidth="1"/>
    <col min="55" max="57" width="13.7109375" style="23" customWidth="1"/>
    <col min="58" max="58" width="9.140625" style="23" customWidth="1"/>
    <col min="59" max="59" width="13.7109375" style="23" customWidth="1"/>
    <col min="60" max="60" width="17.28515625" style="23" customWidth="1"/>
    <col min="61" max="61" width="18" style="23" customWidth="1"/>
    <col min="62" max="62" width="17.28515625" style="23" customWidth="1"/>
    <col min="63" max="63" width="16.28515625" style="23" customWidth="1"/>
    <col min="64" max="65" width="17.42578125" style="23" customWidth="1"/>
    <col min="66" max="66" width="17.140625" style="23" bestFit="1" customWidth="1"/>
    <col min="67" max="69" width="13.7109375" style="23" customWidth="1"/>
    <col min="70" max="70" width="9.140625" style="23" customWidth="1"/>
    <col min="71" max="71" width="20" style="23" customWidth="1"/>
    <col min="72" max="72" width="11" style="23" customWidth="1"/>
    <col min="73" max="73" width="18.140625" style="23" customWidth="1"/>
    <col min="74" max="74" width="17.140625" style="23" customWidth="1"/>
    <col min="75" max="75" width="15.85546875" style="23" customWidth="1"/>
    <col min="76" max="77" width="17.42578125" style="23" customWidth="1"/>
    <col min="78" max="78" width="17.140625" style="23" bestFit="1" customWidth="1"/>
    <col min="79" max="81" width="11.7109375" style="23" customWidth="1"/>
    <col min="82" max="82" width="9.140625" style="23" customWidth="1"/>
    <col min="83" max="83" width="11" customWidth="1"/>
    <col min="84" max="85" width="17.28515625" customWidth="1"/>
    <col min="86" max="86" width="16.28515625" customWidth="1"/>
    <col min="87" max="87" width="10.7109375" style="23" customWidth="1"/>
    <col min="88" max="88" width="17.42578125" style="23" customWidth="1"/>
    <col min="89" max="89" width="17.42578125" style="23" bestFit="1" customWidth="1"/>
    <col min="90" max="90" width="17.140625" style="23" bestFit="1" customWidth="1"/>
    <col min="91" max="97" width="9.140625" style="23" customWidth="1"/>
    <col min="98" max="101" width="9.140625" customWidth="1"/>
    <col min="102" max="104" width="9.140625" style="23" customWidth="1"/>
    <col min="105" max="105" width="9.140625" style="23"/>
    <col min="106" max="106" width="13.42578125" style="24" bestFit="1" customWidth="1"/>
    <col min="107" max="107" width="32.5703125" style="23" bestFit="1" customWidth="1"/>
    <col min="108" max="108" width="17.140625" style="23" bestFit="1" customWidth="1"/>
    <col min="109" max="109" width="25.28515625" style="23" bestFit="1" customWidth="1"/>
    <col min="110" max="110" width="18.85546875" style="23" customWidth="1"/>
    <col min="111" max="111" width="15.85546875" style="1931" bestFit="1" customWidth="1"/>
    <col min="112" max="112" width="9.140625" style="1931"/>
    <col min="113" max="113" width="16.140625" style="23" customWidth="1"/>
    <col min="114" max="16384" width="9.140625" style="23"/>
  </cols>
  <sheetData>
    <row r="1" spans="1:112" x14ac:dyDescent="0.25">
      <c r="A1" s="21" t="s">
        <v>2641</v>
      </c>
      <c r="B1" s="22"/>
      <c r="C1" s="3248"/>
      <c r="D1" s="3248"/>
      <c r="E1" s="4505"/>
      <c r="F1" s="4506"/>
      <c r="G1" s="4506"/>
      <c r="H1" s="4506"/>
      <c r="I1" s="4506"/>
      <c r="J1" s="4506"/>
      <c r="K1" s="4506"/>
      <c r="L1" s="4506"/>
      <c r="M1" s="4506"/>
      <c r="N1" s="4506"/>
      <c r="O1" s="4506"/>
      <c r="P1" s="4506"/>
      <c r="Q1" s="4506"/>
      <c r="R1" s="1965"/>
      <c r="S1" s="1965"/>
      <c r="T1" s="1965"/>
      <c r="U1" s="1965"/>
      <c r="V1" s="1931"/>
      <c r="W1" s="1931"/>
      <c r="X1" s="1931"/>
      <c r="Y1" s="1931"/>
      <c r="Z1" s="1931"/>
      <c r="AA1" s="1931"/>
      <c r="AB1" s="1931"/>
      <c r="AC1" s="1931"/>
      <c r="AD1" s="1931"/>
      <c r="AE1" s="1931"/>
      <c r="AF1" s="1931"/>
      <c r="AG1" s="1931"/>
      <c r="AH1" s="1931"/>
      <c r="AI1" s="1931"/>
      <c r="AJ1" s="1931"/>
      <c r="AK1" s="1931"/>
      <c r="AL1" s="1931"/>
      <c r="AM1" s="1931"/>
      <c r="AN1" s="1931"/>
      <c r="AO1" s="1931"/>
      <c r="AP1" s="1931"/>
      <c r="AQ1" s="1931"/>
      <c r="AR1" s="1931"/>
      <c r="AS1" s="1931"/>
      <c r="AT1" s="1931"/>
      <c r="AU1" s="1931"/>
      <c r="AV1" s="1931"/>
      <c r="AW1" s="1931"/>
      <c r="AX1" s="1931"/>
      <c r="AY1" s="1931"/>
      <c r="AZ1" s="1931"/>
      <c r="BA1" s="1931"/>
      <c r="BB1" s="1931"/>
      <c r="BC1" s="1931"/>
      <c r="BD1" s="1931"/>
      <c r="BE1" s="1931"/>
      <c r="BF1" s="1931"/>
      <c r="BG1" s="1931"/>
      <c r="BH1" s="1931"/>
      <c r="BI1" s="1931"/>
      <c r="BJ1" s="1931"/>
      <c r="BK1" s="1931"/>
      <c r="BL1" s="1931"/>
      <c r="BM1" s="1931"/>
      <c r="BN1" s="1931"/>
      <c r="BO1" s="1931"/>
      <c r="BP1" s="1931"/>
      <c r="BQ1" s="1931"/>
      <c r="BR1" s="1931"/>
      <c r="BS1" s="1931"/>
      <c r="BT1" s="1931"/>
      <c r="BU1" s="1931"/>
      <c r="BV1" s="1931"/>
      <c r="BW1" s="1931"/>
      <c r="BX1" s="1931"/>
      <c r="BY1" s="1931"/>
      <c r="BZ1" s="1931"/>
      <c r="CA1" s="1931"/>
      <c r="CB1" s="1931"/>
      <c r="CC1" s="1931"/>
      <c r="CD1" s="1931"/>
      <c r="CE1" s="1930"/>
      <c r="CF1" s="1930"/>
      <c r="CG1" s="1930"/>
      <c r="CH1" s="1930"/>
      <c r="CI1" s="1931"/>
      <c r="CJ1" s="1931"/>
      <c r="CK1" s="1931"/>
      <c r="CL1" s="1931"/>
      <c r="CM1" s="1931"/>
      <c r="CN1" s="1931"/>
      <c r="CO1" s="1931"/>
      <c r="CP1" s="1931"/>
      <c r="CQ1" s="1931"/>
      <c r="CR1" s="1931"/>
      <c r="CS1" s="1931"/>
      <c r="CT1" s="1930"/>
      <c r="CU1" s="1930"/>
      <c r="CV1" s="1930"/>
      <c r="CW1" s="1930"/>
      <c r="CX1" s="1931"/>
      <c r="CY1" s="1931"/>
      <c r="CZ1" s="1931"/>
      <c r="DA1" s="1931"/>
      <c r="DB1" s="1932"/>
      <c r="DC1" s="1931"/>
      <c r="DD1" s="1931"/>
      <c r="DE1" s="1931"/>
      <c r="DF1" s="1931"/>
    </row>
    <row r="2" spans="1:112" s="26" customFormat="1" ht="8.25" customHeight="1" x14ac:dyDescent="0.25">
      <c r="A2" s="25"/>
      <c r="B2" s="1933"/>
      <c r="C2" s="144"/>
      <c r="D2" s="144"/>
      <c r="E2" s="144"/>
      <c r="F2" s="1279"/>
      <c r="G2" s="1279"/>
      <c r="H2" s="1279"/>
      <c r="I2" s="1279"/>
      <c r="J2" s="1279"/>
      <c r="K2" s="1279"/>
      <c r="L2" s="1279"/>
      <c r="M2" s="1279"/>
      <c r="N2" s="1279"/>
      <c r="O2" s="1279"/>
      <c r="P2" s="1279"/>
      <c r="Q2" s="1279"/>
      <c r="R2" s="874"/>
      <c r="S2" s="874"/>
      <c r="T2" s="874"/>
      <c r="U2" s="874"/>
      <c r="V2" s="1933"/>
      <c r="W2" s="1933"/>
      <c r="X2" s="1933"/>
      <c r="Y2" s="1933"/>
      <c r="Z2" s="1933"/>
      <c r="AA2" s="1933"/>
      <c r="AB2" s="1933"/>
      <c r="AC2" s="1933"/>
      <c r="AD2" s="1933"/>
      <c r="AE2" s="1933"/>
      <c r="AF2" s="1933"/>
      <c r="AG2" s="1933"/>
      <c r="AH2" s="1933"/>
      <c r="AI2" s="1933"/>
      <c r="AJ2" s="1933"/>
      <c r="AK2" s="1933"/>
      <c r="AL2" s="1933"/>
      <c r="AM2" s="1933"/>
      <c r="AN2" s="1933"/>
      <c r="AO2" s="1933"/>
      <c r="AP2" s="1933"/>
      <c r="AQ2" s="1933"/>
      <c r="AR2" s="1933"/>
      <c r="AS2" s="1933"/>
      <c r="AT2" s="1933"/>
      <c r="AU2" s="1933"/>
      <c r="AV2" s="1933"/>
      <c r="AW2" s="1933"/>
      <c r="AX2" s="1933"/>
      <c r="AY2" s="1933"/>
      <c r="AZ2" s="1933"/>
      <c r="BA2" s="1933"/>
      <c r="BB2" s="1933"/>
      <c r="BC2" s="1933"/>
      <c r="BD2" s="1933"/>
      <c r="BE2" s="1933"/>
      <c r="BF2" s="1933"/>
      <c r="BG2" s="1933"/>
      <c r="BH2" s="1933"/>
      <c r="BI2" s="1933"/>
      <c r="BJ2" s="1933"/>
      <c r="BK2" s="1933"/>
      <c r="BL2" s="1933"/>
      <c r="BM2" s="1933"/>
      <c r="BN2" s="1933"/>
      <c r="BO2" s="1933"/>
      <c r="BP2" s="1933"/>
      <c r="BQ2" s="1933"/>
      <c r="BR2" s="1933"/>
      <c r="BS2" s="1933"/>
      <c r="BT2" s="1933"/>
      <c r="BU2" s="1933"/>
      <c r="BV2" s="1933"/>
      <c r="BW2" s="1933"/>
      <c r="BX2" s="1933"/>
      <c r="BY2" s="1933"/>
      <c r="BZ2" s="1933"/>
      <c r="CA2" s="1933"/>
      <c r="CB2" s="1933"/>
      <c r="CC2" s="1933"/>
      <c r="CD2" s="1933"/>
      <c r="CE2" s="1933"/>
      <c r="CF2" s="1933"/>
      <c r="CG2" s="1933"/>
      <c r="CH2" s="1933"/>
      <c r="CI2" s="1933"/>
      <c r="CJ2" s="1933"/>
      <c r="CK2" s="1933"/>
      <c r="CL2" s="1933"/>
      <c r="CM2" s="1933"/>
      <c r="CN2" s="1933"/>
      <c r="CO2" s="1933"/>
      <c r="CP2" s="1933"/>
      <c r="CQ2" s="1933"/>
      <c r="CR2" s="1933"/>
      <c r="CS2" s="1933"/>
      <c r="CT2" s="1933"/>
      <c r="CU2" s="1933"/>
      <c r="CV2" s="1933"/>
      <c r="CW2" s="1933"/>
      <c r="CX2" s="1933"/>
      <c r="CY2" s="1933"/>
      <c r="CZ2" s="1933"/>
      <c r="DA2" s="1933"/>
      <c r="DB2" s="27"/>
      <c r="DC2" s="1933"/>
      <c r="DD2" s="1933"/>
      <c r="DE2" s="1933"/>
      <c r="DF2" s="1933"/>
      <c r="DG2" s="1933"/>
      <c r="DH2" s="1933"/>
    </row>
    <row r="3" spans="1:112" ht="77.25" customHeight="1" x14ac:dyDescent="0.35">
      <c r="A3" s="1931"/>
      <c r="B3" s="28"/>
      <c r="C3" s="1300"/>
      <c r="D3" s="1966"/>
      <c r="E3" s="4507" t="s">
        <v>2642</v>
      </c>
      <c r="F3" s="4508"/>
      <c r="G3" s="4508"/>
      <c r="H3" s="4509" t="s">
        <v>2643</v>
      </c>
      <c r="I3" s="4509"/>
      <c r="J3" s="4509"/>
      <c r="K3" s="873"/>
      <c r="L3" s="873"/>
      <c r="M3" s="1965"/>
      <c r="N3" s="1965"/>
      <c r="O3" s="1965"/>
      <c r="P3" s="1965"/>
      <c r="Q3" s="1965"/>
      <c r="R3" s="1965"/>
      <c r="S3" s="1965"/>
      <c r="T3" s="1965"/>
      <c r="U3" s="1965"/>
      <c r="V3" s="30"/>
      <c r="W3" s="31"/>
      <c r="X3" s="31"/>
      <c r="Y3" s="32"/>
      <c r="Z3" s="32"/>
      <c r="AA3" s="32"/>
      <c r="AB3" s="32"/>
      <c r="AC3" s="32"/>
      <c r="AD3" s="32"/>
      <c r="AE3" s="32"/>
      <c r="AF3" s="32"/>
      <c r="AG3" s="32"/>
      <c r="AH3" s="32"/>
      <c r="AI3" s="1931"/>
      <c r="AJ3" s="1931"/>
      <c r="AK3" s="1931"/>
      <c r="AL3" s="1931"/>
      <c r="AM3" s="1931"/>
      <c r="AN3" s="1931"/>
      <c r="AO3" s="1931"/>
      <c r="AP3" s="1931"/>
      <c r="AQ3" s="1931"/>
      <c r="AR3" s="1931"/>
      <c r="AS3" s="1931"/>
      <c r="AT3" s="1931"/>
      <c r="AU3" s="1931"/>
      <c r="AV3" s="1931"/>
      <c r="AW3" s="1931"/>
      <c r="AX3" s="1931"/>
      <c r="AY3" s="1931"/>
      <c r="AZ3" s="1931"/>
      <c r="BA3" s="1931"/>
      <c r="BB3" s="1931"/>
      <c r="BC3" s="1931"/>
      <c r="BD3" s="1931"/>
      <c r="BE3" s="1931"/>
      <c r="BF3" s="1931"/>
      <c r="BG3" s="1931"/>
      <c r="BH3" s="1931"/>
      <c r="BI3" s="1931"/>
      <c r="BJ3" s="1931"/>
      <c r="BK3" s="1931"/>
      <c r="BL3" s="1931"/>
      <c r="BM3" s="1931"/>
      <c r="BN3" s="1931"/>
      <c r="BO3" s="1931"/>
      <c r="BP3" s="1931"/>
      <c r="BQ3" s="1931"/>
      <c r="BR3" s="1931"/>
      <c r="BS3" s="1931"/>
      <c r="BT3" s="1931"/>
      <c r="BU3" s="1931"/>
      <c r="BV3" s="1931"/>
      <c r="BW3" s="1931"/>
      <c r="BX3" s="1931"/>
      <c r="BY3" s="1931"/>
      <c r="BZ3" s="1931"/>
      <c r="CA3" s="1931"/>
      <c r="CB3" s="1931"/>
      <c r="CC3" s="1931"/>
      <c r="CD3" s="1931"/>
      <c r="CE3" s="1930"/>
      <c r="CF3" s="1930"/>
      <c r="CG3" s="1930"/>
      <c r="CH3" s="1930"/>
      <c r="CI3" s="1931"/>
      <c r="CJ3" s="1931"/>
      <c r="CK3" s="1931"/>
      <c r="CL3" s="1931"/>
      <c r="CM3" s="1931"/>
      <c r="CN3" s="1931"/>
      <c r="CO3" s="1931"/>
      <c r="CP3" s="1931"/>
      <c r="CQ3" s="1931"/>
      <c r="CR3" s="1931"/>
      <c r="CS3" s="1931"/>
      <c r="CT3" s="1930"/>
      <c r="CU3" s="1930"/>
      <c r="CV3" s="1930"/>
      <c r="CW3" s="1930"/>
      <c r="CX3" s="1931"/>
      <c r="CY3" s="1931"/>
      <c r="CZ3" s="1931"/>
      <c r="DA3" s="1931"/>
      <c r="DB3" s="1932"/>
      <c r="DC3" s="1931"/>
      <c r="DD3" s="1811"/>
      <c r="DE3" s="1931"/>
      <c r="DF3" s="1931"/>
    </row>
    <row r="4" spans="1:112" ht="21" hidden="1" outlineLevel="1" x14ac:dyDescent="0.35">
      <c r="A4" s="1931"/>
      <c r="B4" s="28"/>
      <c r="C4" s="2461"/>
      <c r="D4" s="3760" t="s">
        <v>25</v>
      </c>
      <c r="E4" s="3760"/>
      <c r="F4" s="3760"/>
      <c r="G4" s="3760"/>
      <c r="H4" s="3760"/>
      <c r="I4" s="3760"/>
      <c r="J4" s="3760"/>
      <c r="K4" s="873"/>
      <c r="L4" s="873"/>
      <c r="M4" s="1965"/>
      <c r="N4" s="1965"/>
      <c r="O4" s="1965"/>
      <c r="P4" s="1965"/>
      <c r="Q4" s="1965"/>
      <c r="R4" s="1965"/>
      <c r="S4" s="1965"/>
      <c r="T4" s="1965"/>
      <c r="U4" s="1965"/>
      <c r="V4" s="34"/>
      <c r="W4" s="35"/>
      <c r="X4" s="36"/>
      <c r="Y4" s="37"/>
      <c r="Z4" s="1931"/>
      <c r="AA4" s="1931"/>
      <c r="AB4" s="1931"/>
      <c r="AC4" s="1931"/>
      <c r="AD4" s="1931"/>
      <c r="AE4" s="1931"/>
      <c r="AF4" s="1931"/>
      <c r="AG4" s="1931"/>
      <c r="AH4" s="1931"/>
      <c r="AI4" s="1931"/>
      <c r="AJ4" s="1933"/>
      <c r="AK4" s="1933"/>
      <c r="AL4" s="1933"/>
      <c r="AM4" s="1933"/>
      <c r="AN4" s="1933"/>
      <c r="AO4" s="1933"/>
      <c r="AP4" s="1933"/>
      <c r="AQ4" s="1933"/>
      <c r="AR4" s="1933"/>
      <c r="AS4" s="1933"/>
      <c r="AT4" s="1933"/>
      <c r="AU4" s="1933"/>
      <c r="AV4" s="1931"/>
      <c r="AW4" s="1931"/>
      <c r="AX4" s="1931"/>
      <c r="AY4" s="1931"/>
      <c r="AZ4" s="1931"/>
      <c r="BA4" s="1931"/>
      <c r="BB4" s="1931"/>
      <c r="BC4" s="1931"/>
      <c r="BD4" s="1931"/>
      <c r="BE4" s="1931"/>
      <c r="BF4" s="1931"/>
      <c r="BG4" s="1931"/>
      <c r="BH4" s="1931"/>
      <c r="BI4" s="1931"/>
      <c r="BJ4" s="1931"/>
      <c r="BK4" s="1931"/>
      <c r="BL4" s="1931"/>
      <c r="BM4" s="1931"/>
      <c r="BN4" s="1931"/>
      <c r="BO4" s="1931"/>
      <c r="BP4" s="1931"/>
      <c r="BQ4" s="1931"/>
      <c r="BR4" s="1931"/>
      <c r="BS4" s="1931"/>
      <c r="BT4" s="1931"/>
      <c r="BU4" s="1931"/>
      <c r="BV4" s="1931"/>
      <c r="BW4" s="1931"/>
      <c r="BX4" s="1931"/>
      <c r="BY4" s="1931"/>
      <c r="BZ4" s="1931"/>
      <c r="CA4" s="1931"/>
      <c r="CB4" s="1931"/>
      <c r="CC4" s="1931"/>
      <c r="CD4" s="1931"/>
      <c r="CE4" s="1930"/>
      <c r="CF4" s="1930"/>
      <c r="CG4" s="1930"/>
      <c r="CH4" s="1930"/>
      <c r="CI4" s="1931"/>
      <c r="CJ4" s="1931"/>
      <c r="CK4" s="1931"/>
      <c r="CL4" s="1931"/>
      <c r="CM4" s="1931"/>
      <c r="CN4" s="1931"/>
      <c r="CO4" s="1931"/>
      <c r="CP4" s="1931"/>
      <c r="CQ4" s="1931"/>
      <c r="CR4" s="1931"/>
      <c r="CS4" s="1931"/>
      <c r="CT4" s="1930"/>
      <c r="CU4" s="1930"/>
      <c r="CV4" s="1930"/>
      <c r="CW4" s="1930"/>
      <c r="CX4" s="1931"/>
      <c r="CY4" s="1931"/>
      <c r="CZ4" s="1931"/>
      <c r="DA4" s="1931"/>
      <c r="DB4" s="1932"/>
      <c r="DC4" s="1931"/>
      <c r="DD4" s="1931"/>
      <c r="DE4" s="1931"/>
      <c r="DF4" s="1931"/>
    </row>
    <row r="5" spans="1:112" s="41" customFormat="1" ht="23.25" customHeight="1" collapsed="1" x14ac:dyDescent="0.35">
      <c r="A5" s="38"/>
      <c r="B5" s="28" t="s">
        <v>2644</v>
      </c>
      <c r="C5" s="1300"/>
      <c r="D5" s="1282"/>
      <c r="E5" s="1283"/>
      <c r="F5" s="1283"/>
      <c r="G5" s="1283"/>
      <c r="H5" s="1284"/>
      <c r="I5" s="1285"/>
      <c r="J5" s="1285"/>
      <c r="K5" s="1285"/>
      <c r="L5" s="151"/>
      <c r="M5" s="151"/>
      <c r="N5" s="151"/>
      <c r="O5" s="151"/>
      <c r="P5" s="151"/>
      <c r="Q5" s="151"/>
      <c r="R5" s="151"/>
      <c r="S5" s="151"/>
      <c r="T5" s="151"/>
      <c r="U5" s="151"/>
      <c r="V5" s="1933"/>
      <c r="W5" s="1933"/>
      <c r="X5" s="1933"/>
      <c r="Y5" s="1933"/>
      <c r="Z5" s="1933"/>
      <c r="AA5" s="1933"/>
      <c r="AB5" s="1933"/>
      <c r="AC5" s="1933"/>
      <c r="AD5" s="1933"/>
      <c r="AE5" s="1933"/>
      <c r="AF5" s="1933"/>
      <c r="AG5" s="1933"/>
      <c r="AH5" s="1933"/>
      <c r="AI5" s="1933"/>
      <c r="AJ5" s="1931"/>
      <c r="AK5" s="1931"/>
      <c r="AL5" s="1931"/>
      <c r="AM5" s="1931"/>
      <c r="AN5" s="1931"/>
      <c r="AO5" s="1931"/>
      <c r="AP5" s="1931"/>
      <c r="AQ5" s="1931"/>
      <c r="AR5" s="1931"/>
      <c r="AS5" s="1931"/>
      <c r="AT5" s="1931"/>
      <c r="AU5" s="1931"/>
      <c r="AV5" s="1934"/>
      <c r="AW5" s="1934"/>
      <c r="AX5" s="1934"/>
      <c r="AY5" s="1934"/>
      <c r="AZ5" s="1934"/>
      <c r="BA5" s="1934"/>
      <c r="BB5" s="1934"/>
      <c r="BC5" s="1934"/>
      <c r="BD5" s="1934"/>
      <c r="BE5" s="1934"/>
      <c r="BF5" s="1934"/>
      <c r="BG5" s="1934"/>
      <c r="BH5" s="1934"/>
      <c r="BI5" s="1934"/>
      <c r="BJ5" s="1934"/>
      <c r="BK5" s="1934"/>
      <c r="BL5" s="1934"/>
      <c r="BM5" s="1934"/>
      <c r="BN5" s="1934"/>
      <c r="BO5" s="1934"/>
      <c r="BP5" s="1934"/>
      <c r="BQ5" s="1934"/>
      <c r="BR5" s="1934"/>
      <c r="BS5" s="1934"/>
      <c r="BT5" s="1934"/>
      <c r="BU5" s="1934"/>
      <c r="BV5" s="1934"/>
      <c r="BW5" s="1934"/>
      <c r="BX5" s="1934"/>
      <c r="BY5" s="1934"/>
      <c r="BZ5" s="1934"/>
      <c r="CA5" s="1934"/>
      <c r="CB5" s="1934"/>
      <c r="CC5" s="1934"/>
      <c r="CD5" s="1934"/>
      <c r="CE5" s="1934"/>
      <c r="CF5" s="1934"/>
      <c r="CG5" s="1934"/>
      <c r="CH5" s="1934"/>
      <c r="CI5" s="1934"/>
      <c r="CJ5" s="1934"/>
      <c r="CK5" s="1934"/>
      <c r="CL5" s="1934"/>
      <c r="CM5" s="1934"/>
      <c r="CN5" s="1934"/>
      <c r="CO5" s="1934"/>
      <c r="CP5" s="1934"/>
      <c r="CQ5" s="1934"/>
      <c r="CR5" s="1934"/>
      <c r="CS5" s="1934"/>
      <c r="CT5" s="1934"/>
      <c r="CU5" s="1934"/>
      <c r="CV5" s="1934"/>
      <c r="CW5" s="1934"/>
      <c r="CX5" s="1934"/>
      <c r="CY5" s="1934"/>
      <c r="CZ5" s="1934"/>
      <c r="DA5" s="1934"/>
      <c r="DB5" s="42"/>
      <c r="DC5" s="1934"/>
      <c r="DD5" s="1934"/>
      <c r="DE5" s="1934"/>
      <c r="DF5" s="1934"/>
      <c r="DG5" s="1934"/>
      <c r="DH5" s="1934"/>
    </row>
    <row r="6" spans="1:112" s="43" customFormat="1" x14ac:dyDescent="0.25">
      <c r="A6" s="1935"/>
      <c r="B6" s="4491" t="s">
        <v>52</v>
      </c>
      <c r="C6" s="4492"/>
      <c r="D6" s="4492"/>
      <c r="E6" s="4492"/>
      <c r="F6" s="4492"/>
      <c r="G6" s="4492"/>
      <c r="H6" s="4492"/>
      <c r="I6" s="4493"/>
      <c r="J6" s="4493"/>
      <c r="K6" s="4493"/>
      <c r="L6" s="4493"/>
      <c r="M6" s="4494"/>
      <c r="N6" s="4494"/>
      <c r="O6" s="4495"/>
      <c r="P6" s="1935"/>
      <c r="Q6" s="1935"/>
      <c r="R6" s="1935"/>
      <c r="S6" s="1935"/>
      <c r="T6" s="1935"/>
      <c r="U6" s="1935"/>
      <c r="V6" s="3077" t="str">
        <f>B6</f>
        <v>Lighting</v>
      </c>
      <c r="W6" s="3078"/>
      <c r="X6" s="3078"/>
      <c r="Y6" s="3078"/>
      <c r="Z6" s="3078"/>
      <c r="AA6" s="3078"/>
      <c r="AB6" s="3078"/>
      <c r="AC6" s="3078"/>
      <c r="AD6" s="3078"/>
      <c r="AE6" s="3078"/>
      <c r="AF6" s="3078"/>
      <c r="AG6" s="3078"/>
      <c r="AH6" s="3078"/>
      <c r="AI6" s="3170"/>
      <c r="AJ6" s="1931"/>
      <c r="AK6" s="1931"/>
      <c r="AL6" s="1931"/>
      <c r="AM6" s="1931"/>
      <c r="AN6" s="1931"/>
      <c r="AO6" s="1931"/>
      <c r="AP6" s="1931"/>
      <c r="AQ6" s="1931"/>
      <c r="AR6" s="1931"/>
      <c r="AS6" s="1931"/>
      <c r="AT6" s="1931"/>
      <c r="AU6" s="1931"/>
      <c r="AV6" s="1935"/>
      <c r="AW6" s="1935"/>
      <c r="AX6" s="1935"/>
      <c r="AY6" s="1935"/>
      <c r="AZ6" s="1935"/>
      <c r="BA6" s="1935"/>
      <c r="BB6" s="1935"/>
      <c r="BC6" s="1935"/>
      <c r="BD6" s="1935"/>
      <c r="BE6" s="1935"/>
      <c r="BF6" s="1935"/>
      <c r="BG6" s="1935"/>
      <c r="BH6" s="1935"/>
      <c r="BI6" s="1935"/>
      <c r="BJ6" s="1935"/>
      <c r="BK6" s="1935"/>
      <c r="BL6" s="1935"/>
      <c r="BM6" s="1935"/>
      <c r="BN6" s="1935"/>
      <c r="BO6" s="1935"/>
      <c r="BP6" s="1935"/>
      <c r="BQ6" s="1935"/>
      <c r="BR6" s="1935"/>
      <c r="BS6" s="1935"/>
      <c r="BT6" s="1935"/>
      <c r="BU6" s="1935"/>
      <c r="BV6" s="1935"/>
      <c r="BW6" s="1935"/>
      <c r="BX6" s="1935"/>
      <c r="BY6" s="1935"/>
      <c r="BZ6" s="1935"/>
      <c r="CA6" s="1935"/>
      <c r="CB6" s="1935"/>
      <c r="CC6" s="1935"/>
      <c r="CD6" s="1935"/>
      <c r="CE6" s="1935"/>
      <c r="CF6" s="1935"/>
      <c r="CG6" s="1935"/>
      <c r="CH6" s="1935"/>
      <c r="CI6" s="1934"/>
      <c r="CJ6" s="1935"/>
      <c r="CK6" s="1935"/>
      <c r="CL6" s="1935"/>
      <c r="CM6" s="1935"/>
      <c r="CN6" s="1935"/>
      <c r="CO6" s="1935"/>
      <c r="CP6" s="1935"/>
      <c r="CQ6" s="1935"/>
      <c r="CR6" s="1935"/>
      <c r="CS6" s="1935"/>
      <c r="CT6" s="1935"/>
      <c r="CU6" s="1935"/>
      <c r="CV6" s="1935"/>
      <c r="CW6" s="1935"/>
      <c r="CX6" s="1935"/>
      <c r="CY6" s="1935"/>
      <c r="CZ6" s="1935"/>
      <c r="DA6" s="1935"/>
      <c r="DB6" s="42"/>
      <c r="DC6" s="1934"/>
      <c r="DD6" s="1934"/>
      <c r="DE6" s="1934"/>
      <c r="DF6" s="1935"/>
      <c r="DG6" s="1935"/>
      <c r="DH6" s="1935"/>
    </row>
    <row r="7" spans="1:112" x14ac:dyDescent="0.25">
      <c r="A7" s="1931"/>
      <c r="B7" s="1931"/>
      <c r="D7" s="1286"/>
      <c r="E7" s="1966"/>
      <c r="F7" s="1966"/>
      <c r="G7" s="1966"/>
      <c r="H7" s="1287"/>
      <c r="I7" s="1966"/>
      <c r="J7" s="1966"/>
      <c r="K7" s="1966"/>
      <c r="L7" s="1966"/>
      <c r="M7" s="1965"/>
      <c r="N7" s="1965"/>
      <c r="O7" s="1965"/>
      <c r="P7" s="1966"/>
      <c r="Q7" s="1966"/>
      <c r="R7" s="1966"/>
      <c r="S7" s="1966"/>
      <c r="T7" s="1966"/>
      <c r="U7" s="1966"/>
      <c r="V7" s="1930"/>
      <c r="W7" s="1930"/>
      <c r="X7" s="1930"/>
      <c r="Y7" s="1930"/>
      <c r="Z7" s="1930"/>
      <c r="AA7" s="1930"/>
      <c r="AB7" s="1930"/>
      <c r="AC7" s="1930"/>
      <c r="AD7" s="1930"/>
      <c r="AE7" s="1930"/>
      <c r="AF7" s="1930"/>
      <c r="AG7" s="1930"/>
      <c r="AH7" s="1930"/>
      <c r="AI7" s="1930"/>
      <c r="AJ7" s="1934"/>
      <c r="AK7" s="1934"/>
      <c r="AL7" s="1934"/>
      <c r="AM7" s="1934"/>
      <c r="AN7" s="1934"/>
      <c r="AO7" s="1934"/>
      <c r="AP7" s="1934"/>
      <c r="AQ7" s="1934"/>
      <c r="AR7" s="1934"/>
      <c r="AS7" s="1934"/>
      <c r="AT7" s="1934"/>
      <c r="AU7" s="1934"/>
      <c r="AV7" s="1931"/>
      <c r="AW7" s="1931"/>
      <c r="AX7" s="1931"/>
      <c r="AY7" s="1931"/>
      <c r="AZ7" s="1931"/>
      <c r="BA7" s="1931"/>
      <c r="BB7" s="1931"/>
      <c r="BC7" s="1931"/>
      <c r="BD7" s="1931"/>
      <c r="BE7" s="1931"/>
      <c r="BF7" s="1931"/>
      <c r="BG7" s="1931"/>
      <c r="BH7" s="1931"/>
      <c r="BI7" s="1931"/>
      <c r="BJ7" s="1931"/>
      <c r="BK7" s="1931"/>
      <c r="BL7" s="1931"/>
      <c r="BM7" s="1931"/>
      <c r="BN7" s="1931"/>
      <c r="BO7" s="1931"/>
      <c r="BP7" s="1931"/>
      <c r="BQ7" s="1931"/>
      <c r="BR7" s="1931"/>
      <c r="BS7" s="1931"/>
      <c r="BT7" s="1931"/>
      <c r="BU7" s="1931"/>
      <c r="BV7" s="1931"/>
      <c r="BW7" s="1931"/>
      <c r="BX7" s="1931"/>
      <c r="BY7" s="1931"/>
      <c r="BZ7" s="1931"/>
      <c r="CA7" s="1931"/>
      <c r="CB7" s="1931"/>
      <c r="CC7" s="1931"/>
      <c r="CD7" s="1931"/>
      <c r="CE7" s="1930"/>
      <c r="CF7" s="1930"/>
      <c r="CG7" s="1930"/>
      <c r="CH7" s="1930"/>
      <c r="CI7" s="1934"/>
      <c r="CJ7" s="1931"/>
      <c r="CK7" s="1931"/>
      <c r="CL7" s="1931"/>
      <c r="CM7" s="1931"/>
      <c r="CN7" s="1931"/>
      <c r="CO7" s="1931"/>
      <c r="CP7" s="1931"/>
      <c r="CQ7" s="1931"/>
      <c r="CR7" s="1931"/>
      <c r="CS7" s="1931"/>
      <c r="CT7" s="1930"/>
      <c r="CU7" s="1930"/>
      <c r="CV7" s="1930"/>
      <c r="CW7" s="1930"/>
      <c r="CX7" s="1931"/>
      <c r="CY7" s="1931"/>
      <c r="CZ7" s="1931"/>
      <c r="DA7" s="1931"/>
      <c r="DB7" s="42"/>
      <c r="DC7" s="1934"/>
      <c r="DD7" s="1934"/>
      <c r="DE7" s="1934"/>
      <c r="DF7" s="1931"/>
    </row>
    <row r="8" spans="1:112" s="44" customFormat="1" ht="30" x14ac:dyDescent="0.25">
      <c r="B8" s="45"/>
      <c r="C8" s="46" t="s">
        <v>28</v>
      </c>
      <c r="D8" s="3196" t="s">
        <v>29</v>
      </c>
      <c r="E8" s="3196" t="s">
        <v>30</v>
      </c>
      <c r="F8" s="3196" t="s">
        <v>31</v>
      </c>
      <c r="G8" s="3196" t="s">
        <v>176</v>
      </c>
      <c r="H8" s="47" t="s">
        <v>177</v>
      </c>
      <c r="I8" s="3196" t="s">
        <v>32</v>
      </c>
      <c r="J8" s="2090" t="s">
        <v>181</v>
      </c>
      <c r="K8" s="48" t="s">
        <v>170</v>
      </c>
      <c r="L8" s="46" t="s">
        <v>44</v>
      </c>
      <c r="M8" s="1965"/>
      <c r="N8" s="1965"/>
      <c r="O8" s="1965"/>
      <c r="P8" s="1288"/>
      <c r="Q8" s="1288"/>
      <c r="R8" s="1288"/>
      <c r="S8" s="1288"/>
      <c r="T8" s="1288"/>
      <c r="U8" s="1288"/>
      <c r="V8" s="1936" t="s">
        <v>45</v>
      </c>
      <c r="W8" s="1937">
        <v>43252</v>
      </c>
      <c r="X8" s="1937">
        <v>43465</v>
      </c>
      <c r="Y8" s="1937">
        <v>43800</v>
      </c>
      <c r="Z8" s="1937">
        <v>43862</v>
      </c>
      <c r="AA8" s="1937">
        <v>44013</v>
      </c>
      <c r="AB8" s="1937">
        <v>44166</v>
      </c>
      <c r="AC8" s="1937">
        <v>44531</v>
      </c>
      <c r="AD8" s="1937" t="s">
        <v>46</v>
      </c>
      <c r="AE8" s="1937" t="s">
        <v>46</v>
      </c>
      <c r="AF8" s="1937" t="s">
        <v>46</v>
      </c>
      <c r="AG8" s="1937" t="s">
        <v>46</v>
      </c>
      <c r="AH8" s="1930"/>
      <c r="AI8" s="1936" t="s">
        <v>45</v>
      </c>
      <c r="AJ8" s="1937">
        <f>W8</f>
        <v>43252</v>
      </c>
      <c r="AK8" s="1937">
        <f t="shared" ref="AK8:AS8" si="0">X8</f>
        <v>43465</v>
      </c>
      <c r="AL8" s="1937">
        <f t="shared" si="0"/>
        <v>43800</v>
      </c>
      <c r="AM8" s="1937">
        <f t="shared" si="0"/>
        <v>43862</v>
      </c>
      <c r="AN8" s="1937">
        <f t="shared" si="0"/>
        <v>44013</v>
      </c>
      <c r="AO8" s="1937">
        <f t="shared" si="0"/>
        <v>44166</v>
      </c>
      <c r="AP8" s="1937">
        <f t="shared" si="0"/>
        <v>44531</v>
      </c>
      <c r="AQ8" s="1937" t="str">
        <f t="shared" si="0"/>
        <v>-</v>
      </c>
      <c r="AR8" s="1937" t="str">
        <f t="shared" si="0"/>
        <v>-</v>
      </c>
      <c r="AS8" s="1937" t="str">
        <f t="shared" si="0"/>
        <v>-</v>
      </c>
      <c r="AT8" s="1933"/>
      <c r="AU8" s="1936" t="s">
        <v>45</v>
      </c>
      <c r="AV8" s="1937">
        <f>W8</f>
        <v>43252</v>
      </c>
      <c r="AW8" s="1937">
        <f t="shared" ref="AW8:BE8" si="1">X8</f>
        <v>43465</v>
      </c>
      <c r="AX8" s="1937">
        <f t="shared" si="1"/>
        <v>43800</v>
      </c>
      <c r="AY8" s="1937">
        <f t="shared" si="1"/>
        <v>43862</v>
      </c>
      <c r="AZ8" s="1937">
        <f t="shared" si="1"/>
        <v>44013</v>
      </c>
      <c r="BA8" s="1937">
        <f t="shared" si="1"/>
        <v>44166</v>
      </c>
      <c r="BB8" s="1937">
        <f t="shared" si="1"/>
        <v>44531</v>
      </c>
      <c r="BC8" s="1937" t="str">
        <f t="shared" si="1"/>
        <v>-</v>
      </c>
      <c r="BD8" s="1937" t="str">
        <f t="shared" si="1"/>
        <v>-</v>
      </c>
      <c r="BE8" s="1937" t="str">
        <f t="shared" si="1"/>
        <v>-</v>
      </c>
      <c r="CI8" s="1935"/>
      <c r="DB8" s="1938" t="s">
        <v>47</v>
      </c>
      <c r="DC8" s="49" t="s">
        <v>48</v>
      </c>
      <c r="DD8" s="50" t="s">
        <v>49</v>
      </c>
      <c r="DE8" s="50" t="s">
        <v>50</v>
      </c>
    </row>
    <row r="9" spans="1:112" x14ac:dyDescent="0.25">
      <c r="A9" s="1931"/>
      <c r="B9" s="1931"/>
      <c r="C9" s="1997" t="s">
        <v>2645</v>
      </c>
      <c r="D9" s="1290" t="s">
        <v>2646</v>
      </c>
      <c r="E9" s="1298" t="s">
        <v>2647</v>
      </c>
      <c r="F9" s="139">
        <f>ROUND((F49-G49)/1000*H49*I49*J49*L49,2)</f>
        <v>127.44</v>
      </c>
      <c r="G9" s="1290" t="s">
        <v>55</v>
      </c>
      <c r="H9" s="1291">
        <f>VLOOKUP(G9,'CP FACTORS'!$A$26:$B$38,2,FALSE)</f>
        <v>1.899635E-4</v>
      </c>
      <c r="I9" s="1370">
        <f>ROUND(H9*F9,6)</f>
        <v>2.4209000000000001E-2</v>
      </c>
      <c r="J9" s="1922">
        <f t="shared" ref="J9:J32" si="2">K49</f>
        <v>10</v>
      </c>
      <c r="K9" s="2087">
        <v>15.64</v>
      </c>
      <c r="L9" s="2088" t="s">
        <v>185</v>
      </c>
      <c r="M9" s="1293"/>
      <c r="N9" s="1965"/>
      <c r="O9" s="1965"/>
      <c r="P9" s="1294"/>
      <c r="Q9" s="1295"/>
      <c r="R9" s="1296"/>
      <c r="S9" s="1296"/>
      <c r="T9" s="1297"/>
      <c r="U9" s="1965"/>
      <c r="V9" s="3227" t="s">
        <v>31</v>
      </c>
      <c r="W9" s="2002">
        <v>87.483200000000011</v>
      </c>
      <c r="X9" s="2098">
        <v>88.562211839999989</v>
      </c>
      <c r="Y9" s="2002">
        <v>88.56</v>
      </c>
      <c r="Z9" s="129">
        <v>88.56</v>
      </c>
      <c r="AA9" s="129">
        <v>88.56</v>
      </c>
      <c r="AB9" s="2002">
        <v>173.16</v>
      </c>
      <c r="AC9" s="3353">
        <v>127.59</v>
      </c>
      <c r="AD9" s="2099"/>
      <c r="AE9" s="2099"/>
      <c r="AF9" s="2099"/>
      <c r="AG9" s="2099"/>
      <c r="AH9" s="2100"/>
      <c r="AI9" s="3227" t="s">
        <v>181</v>
      </c>
      <c r="AJ9" s="64">
        <v>21</v>
      </c>
      <c r="AK9" s="64">
        <v>21</v>
      </c>
      <c r="AL9" s="64">
        <v>21</v>
      </c>
      <c r="AM9" s="64">
        <v>21</v>
      </c>
      <c r="AN9" s="64">
        <v>21</v>
      </c>
      <c r="AO9" s="2101">
        <v>17</v>
      </c>
      <c r="AP9" s="3356">
        <v>10</v>
      </c>
      <c r="AQ9" s="2099"/>
      <c r="AR9" s="2099"/>
      <c r="AS9" s="2099"/>
      <c r="AT9" s="1933"/>
      <c r="AU9" s="3227" t="s">
        <v>170</v>
      </c>
      <c r="AV9" s="2102">
        <v>15.64</v>
      </c>
      <c r="AW9" s="2102">
        <v>15.64</v>
      </c>
      <c r="AX9" s="2102">
        <v>15.64</v>
      </c>
      <c r="AY9" s="2102">
        <v>15.64</v>
      </c>
      <c r="AZ9" s="2102">
        <v>15.64</v>
      </c>
      <c r="BA9" s="2103">
        <v>15.64</v>
      </c>
      <c r="BB9" s="2103">
        <v>15.64</v>
      </c>
      <c r="BC9" s="2099"/>
      <c r="BD9" s="2099"/>
      <c r="BE9" s="2099"/>
      <c r="BF9" s="1933"/>
      <c r="BG9" s="1933"/>
      <c r="BH9" s="1933"/>
      <c r="BI9" s="1933"/>
      <c r="BJ9" s="1933"/>
      <c r="BK9" s="1931"/>
      <c r="BL9" s="1931"/>
      <c r="BM9" s="1931"/>
      <c r="BN9" s="1931"/>
      <c r="BO9" s="1931"/>
      <c r="BP9" s="1931"/>
      <c r="BQ9" s="1931"/>
      <c r="BR9" s="1931"/>
      <c r="BS9" s="1931"/>
      <c r="BT9" s="1931"/>
      <c r="BU9" s="1931"/>
      <c r="BV9" s="1931"/>
      <c r="BW9" s="1931"/>
      <c r="BX9" s="1931"/>
      <c r="BY9" s="1931"/>
      <c r="BZ9" s="1931"/>
      <c r="CA9" s="1931"/>
      <c r="CB9" s="1931"/>
      <c r="CC9" s="1931"/>
      <c r="CD9" s="1931"/>
      <c r="CE9" s="1930"/>
      <c r="CF9" s="1930"/>
      <c r="CG9" s="1930"/>
      <c r="CH9" s="1930"/>
      <c r="CI9" s="1931"/>
      <c r="CJ9" s="1931"/>
      <c r="CK9" s="1931"/>
      <c r="CL9" s="1931"/>
      <c r="CM9" s="1931"/>
      <c r="CN9" s="1931"/>
      <c r="CO9" s="1931"/>
      <c r="CP9" s="1931"/>
      <c r="CQ9" s="1931"/>
      <c r="CR9" s="1931"/>
      <c r="CS9" s="1931"/>
      <c r="CT9" s="1930"/>
      <c r="CU9" s="1930"/>
      <c r="CV9" s="1930"/>
      <c r="CW9" s="1930"/>
      <c r="CX9" s="1931"/>
      <c r="CY9" s="1931"/>
      <c r="CZ9" s="1931"/>
      <c r="DA9" s="1931"/>
      <c r="DB9" s="1945">
        <f>(DD9)/(DE9)</f>
        <v>3.4066685527418303</v>
      </c>
      <c r="DC9" s="3378" t="str">
        <f t="shared" ref="DC9:DC33" si="3">CONCATENATE(G9," ",J9," Year EUL")</f>
        <v>Lighting BUS 10 Year EUL</v>
      </c>
      <c r="DD9" s="1946">
        <f>(INDEX('Avoided Cost Benefits'!$C$4:$C$857,MATCH(DC9,'Avoided Cost Benefits'!$A$4:$A$857,0)))*F9</f>
        <v>50.288151170252213</v>
      </c>
      <c r="DE9" s="1946">
        <f t="shared" ref="DE9:DE24" si="4">K9/(1.0595^(2020-2019))</f>
        <v>14.761680037753656</v>
      </c>
      <c r="DF9" s="1931"/>
    </row>
    <row r="10" spans="1:112" x14ac:dyDescent="0.25">
      <c r="A10" s="1931"/>
      <c r="B10" s="1931"/>
      <c r="C10" s="1997" t="s">
        <v>2648</v>
      </c>
      <c r="D10" s="1290" t="s">
        <v>2646</v>
      </c>
      <c r="E10" s="1298" t="s">
        <v>2649</v>
      </c>
      <c r="F10" s="139">
        <f t="shared" ref="F10:F34" si="5">ROUND((F50-G50)/1000*H50*I50*J50*L50,2)</f>
        <v>122.31</v>
      </c>
      <c r="G10" s="1290" t="s">
        <v>55</v>
      </c>
      <c r="H10" s="1291">
        <f>VLOOKUP(G10,'CP FACTORS'!$A$26:$B$38,2,FALSE)</f>
        <v>1.899635E-4</v>
      </c>
      <c r="I10" s="1370">
        <f t="shared" ref="I10:I31" si="6">ROUND(H10*F10,6)</f>
        <v>2.3234000000000001E-2</v>
      </c>
      <c r="J10" s="1922">
        <f t="shared" si="2"/>
        <v>10</v>
      </c>
      <c r="K10" s="2087">
        <v>19.64</v>
      </c>
      <c r="L10" s="2088" t="s">
        <v>185</v>
      </c>
      <c r="M10" s="1293"/>
      <c r="N10" s="1965"/>
      <c r="O10" s="1965"/>
      <c r="P10" s="1294"/>
      <c r="Q10" s="1295"/>
      <c r="R10" s="1296"/>
      <c r="S10" s="1296"/>
      <c r="T10" s="1297"/>
      <c r="U10" s="1965"/>
      <c r="V10" s="3227" t="s">
        <v>31</v>
      </c>
      <c r="W10" s="2002">
        <v>153.09560000000002</v>
      </c>
      <c r="X10" s="129">
        <v>153.09560000000002</v>
      </c>
      <c r="Y10" s="2002">
        <v>153.09560000000002</v>
      </c>
      <c r="Z10" s="129">
        <v>153.09560000000002</v>
      </c>
      <c r="AA10" s="129">
        <v>153.09560000000002</v>
      </c>
      <c r="AB10" s="2002">
        <v>132.04</v>
      </c>
      <c r="AC10" s="2003">
        <v>122.43</v>
      </c>
      <c r="AD10" s="2099"/>
      <c r="AE10" s="2099"/>
      <c r="AF10" s="2099"/>
      <c r="AG10" s="2099"/>
      <c r="AH10" s="2100"/>
      <c r="AI10" s="3227" t="s">
        <v>181</v>
      </c>
      <c r="AJ10" s="64">
        <v>17</v>
      </c>
      <c r="AK10" s="64">
        <v>17</v>
      </c>
      <c r="AL10" s="64">
        <v>17</v>
      </c>
      <c r="AM10" s="64">
        <v>17</v>
      </c>
      <c r="AN10" s="64">
        <v>17</v>
      </c>
      <c r="AO10" s="2101">
        <v>17</v>
      </c>
      <c r="AP10" s="3356">
        <v>10</v>
      </c>
      <c r="AQ10" s="2099"/>
      <c r="AR10" s="2099"/>
      <c r="AS10" s="2099"/>
      <c r="AT10" s="1933"/>
      <c r="AU10" s="3227" t="s">
        <v>170</v>
      </c>
      <c r="AV10" s="2102">
        <v>19.64</v>
      </c>
      <c r="AW10" s="2102">
        <v>19.64</v>
      </c>
      <c r="AX10" s="2102">
        <v>19.64</v>
      </c>
      <c r="AY10" s="2102">
        <v>19.64</v>
      </c>
      <c r="AZ10" s="2102">
        <v>19.64</v>
      </c>
      <c r="BA10" s="2103">
        <v>19.64</v>
      </c>
      <c r="BB10" s="2103">
        <v>19.64</v>
      </c>
      <c r="BC10" s="2099"/>
      <c r="BD10" s="2099"/>
      <c r="BE10" s="2099"/>
      <c r="BF10" s="1933"/>
      <c r="BG10" s="1933"/>
      <c r="BH10" s="1933"/>
      <c r="BI10" s="1933"/>
      <c r="BJ10" s="1933"/>
      <c r="BK10" s="1931"/>
      <c r="BL10" s="1931"/>
      <c r="BM10" s="1931"/>
      <c r="BN10" s="1931"/>
      <c r="BO10" s="1931"/>
      <c r="BP10" s="1931"/>
      <c r="BQ10" s="1931"/>
      <c r="BR10" s="1931"/>
      <c r="BS10" s="1931"/>
      <c r="BT10" s="1931"/>
      <c r="BU10" s="1931"/>
      <c r="BV10" s="1931"/>
      <c r="BW10" s="1931"/>
      <c r="BX10" s="1931"/>
      <c r="BY10" s="1931"/>
      <c r="BZ10" s="1931"/>
      <c r="CA10" s="1931"/>
      <c r="CB10" s="1931"/>
      <c r="CC10" s="1931"/>
      <c r="CD10" s="1931"/>
      <c r="CE10" s="1930"/>
      <c r="CF10" s="1930"/>
      <c r="CG10" s="1930"/>
      <c r="CH10" s="1930"/>
      <c r="CI10" s="1931"/>
      <c r="CJ10" s="1931"/>
      <c r="CK10" s="1931"/>
      <c r="CL10" s="1931"/>
      <c r="CM10" s="1931"/>
      <c r="CN10" s="1931"/>
      <c r="CO10" s="1931"/>
      <c r="CP10" s="1931"/>
      <c r="CQ10" s="1931"/>
      <c r="CR10" s="1931"/>
      <c r="CS10" s="1931"/>
      <c r="CT10" s="1930"/>
      <c r="CU10" s="1930"/>
      <c r="CV10" s="1930"/>
      <c r="CW10" s="1930"/>
      <c r="CX10" s="1931"/>
      <c r="CY10" s="1931"/>
      <c r="CZ10" s="1931"/>
      <c r="DA10" s="1931"/>
      <c r="DB10" s="52">
        <f t="shared" ref="DB10:DB33" si="7">(DD10)/(DE10)</f>
        <v>2.6036424888125715</v>
      </c>
      <c r="DC10" s="1948" t="str">
        <f t="shared" si="3"/>
        <v>Lighting BUS 10 Year EUL</v>
      </c>
      <c r="DD10" s="1949">
        <f>(INDEX('Avoided Cost Benefits'!$C$4:$C$857,MATCH(DC10,'Avoided Cost Benefits'!$A$4:$A$857,0)))*F10</f>
        <v>48.263840000263244</v>
      </c>
      <c r="DE10" s="1949">
        <f t="shared" si="4"/>
        <v>18.537045776309579</v>
      </c>
      <c r="DF10" s="1931"/>
    </row>
    <row r="11" spans="1:112" ht="15.75" customHeight="1" x14ac:dyDescent="0.25">
      <c r="A11" s="1931"/>
      <c r="B11" s="1931"/>
      <c r="C11" s="1997" t="s">
        <v>2650</v>
      </c>
      <c r="D11" s="1290" t="s">
        <v>2646</v>
      </c>
      <c r="E11" s="1298" t="s">
        <v>2651</v>
      </c>
      <c r="F11" s="139">
        <f t="shared" si="5"/>
        <v>149.32</v>
      </c>
      <c r="G11" s="1290" t="s">
        <v>55</v>
      </c>
      <c r="H11" s="1291">
        <f>VLOOKUP(G11,'CP FACTORS'!$A$26:$B$38,2,FALSE)</f>
        <v>1.899635E-4</v>
      </c>
      <c r="I11" s="1370">
        <f t="shared" si="6"/>
        <v>2.8365000000000001E-2</v>
      </c>
      <c r="J11" s="1922">
        <f t="shared" si="2"/>
        <v>10</v>
      </c>
      <c r="K11" s="2087">
        <v>48.27</v>
      </c>
      <c r="L11" s="2088" t="s">
        <v>185</v>
      </c>
      <c r="M11" s="1293"/>
      <c r="N11" s="1965"/>
      <c r="O11" s="1965"/>
      <c r="P11" s="1294"/>
      <c r="Q11" s="1295"/>
      <c r="R11" s="1296"/>
      <c r="S11" s="1296"/>
      <c r="T11" s="1297"/>
      <c r="U11" s="1965"/>
      <c r="V11" s="3227" t="s">
        <v>31</v>
      </c>
      <c r="W11" s="2002">
        <v>201.52379999999999</v>
      </c>
      <c r="X11" s="2098">
        <v>203.76008631000005</v>
      </c>
      <c r="Y11" s="2002">
        <v>203.76008631000005</v>
      </c>
      <c r="Z11" s="129">
        <v>203.76008631000005</v>
      </c>
      <c r="AA11" s="129">
        <v>203.76008631000005</v>
      </c>
      <c r="AB11" s="2002">
        <v>161.96</v>
      </c>
      <c r="AC11" s="2003">
        <v>149.49</v>
      </c>
      <c r="AD11" s="2099"/>
      <c r="AE11" s="2099"/>
      <c r="AF11" s="2099"/>
      <c r="AG11" s="2099"/>
      <c r="AH11" s="2100"/>
      <c r="AI11" s="3227" t="s">
        <v>181</v>
      </c>
      <c r="AJ11" s="64">
        <v>14</v>
      </c>
      <c r="AK11" s="64">
        <v>14</v>
      </c>
      <c r="AL11" s="64">
        <v>14</v>
      </c>
      <c r="AM11" s="64">
        <v>14</v>
      </c>
      <c r="AN11" s="64">
        <v>14</v>
      </c>
      <c r="AO11" s="2101">
        <v>11</v>
      </c>
      <c r="AP11" s="3356">
        <v>10</v>
      </c>
      <c r="AQ11" s="2099"/>
      <c r="AR11" s="2099"/>
      <c r="AS11" s="2099"/>
      <c r="AT11" s="1933"/>
      <c r="AU11" s="3227" t="s">
        <v>170</v>
      </c>
      <c r="AV11" s="2102">
        <v>48.27</v>
      </c>
      <c r="AW11" s="2102">
        <v>48.27</v>
      </c>
      <c r="AX11" s="2102">
        <v>48.27</v>
      </c>
      <c r="AY11" s="2102">
        <v>48.27</v>
      </c>
      <c r="AZ11" s="2102">
        <v>48.27</v>
      </c>
      <c r="BA11" s="2103">
        <v>48.27</v>
      </c>
      <c r="BB11" s="2103">
        <v>48.27</v>
      </c>
      <c r="BC11" s="2099"/>
      <c r="BD11" s="2099"/>
      <c r="BE11" s="2099"/>
      <c r="BF11" s="1933"/>
      <c r="BG11" s="1933"/>
      <c r="BH11" s="1933"/>
      <c r="BI11" s="1933"/>
      <c r="BJ11" s="1933"/>
      <c r="BK11" s="1931"/>
      <c r="BL11" s="1931"/>
      <c r="BM11" s="1931"/>
      <c r="BN11" s="1931"/>
      <c r="BO11" s="1931"/>
      <c r="BP11" s="1931"/>
      <c r="BQ11" s="1931"/>
      <c r="BR11" s="1931"/>
      <c r="BS11" s="1931"/>
      <c r="BT11" s="1931"/>
      <c r="BU11" s="1931"/>
      <c r="BV11" s="1931"/>
      <c r="BW11" s="1931"/>
      <c r="BX11" s="1931"/>
      <c r="BY11" s="1931"/>
      <c r="BZ11" s="1931"/>
      <c r="CA11" s="1931"/>
      <c r="CB11" s="1931"/>
      <c r="CC11" s="1931"/>
      <c r="CD11" s="1931"/>
      <c r="CE11" s="1930"/>
      <c r="CF11" s="1930"/>
      <c r="CG11" s="1930"/>
      <c r="CH11" s="1930"/>
      <c r="CI11" s="1931"/>
      <c r="CJ11" s="1931"/>
      <c r="CK11" s="1931"/>
      <c r="CL11" s="1931"/>
      <c r="CM11" s="1931"/>
      <c r="CN11" s="1931"/>
      <c r="CO11" s="1931"/>
      <c r="CP11" s="1931"/>
      <c r="CQ11" s="1931"/>
      <c r="CR11" s="1931"/>
      <c r="CS11" s="1931"/>
      <c r="CT11" s="1930"/>
      <c r="CU11" s="1930"/>
      <c r="CV11" s="1930"/>
      <c r="CW11" s="1930"/>
      <c r="CX11" s="1931"/>
      <c r="CY11" s="1931"/>
      <c r="CZ11" s="1931"/>
      <c r="DA11" s="1931"/>
      <c r="DB11" s="52">
        <f t="shared" si="7"/>
        <v>1.2933067668219667</v>
      </c>
      <c r="DC11" s="1948" t="str">
        <f t="shared" si="3"/>
        <v>Lighting BUS 10 Year EUL</v>
      </c>
      <c r="DD11" s="1949">
        <f>(INDEX('Avoided Cost Benefits'!$C$4:$C$857,MATCH(DC11,'Avoided Cost Benefits'!$A$4:$A$857,0)))*F11</f>
        <v>58.922055341667139</v>
      </c>
      <c r="DE11" s="1949">
        <f t="shared" si="4"/>
        <v>45.559226050023597</v>
      </c>
      <c r="DF11" s="1931"/>
    </row>
    <row r="12" spans="1:112" x14ac:dyDescent="0.25">
      <c r="A12" s="1931"/>
      <c r="B12" s="1931"/>
      <c r="C12" s="1997" t="s">
        <v>2652</v>
      </c>
      <c r="D12" s="1290" t="s">
        <v>2646</v>
      </c>
      <c r="E12" s="1298" t="s">
        <v>2653</v>
      </c>
      <c r="F12" s="139">
        <f t="shared" si="5"/>
        <v>102.74</v>
      </c>
      <c r="G12" s="1290" t="s">
        <v>55</v>
      </c>
      <c r="H12" s="1291">
        <f>VLOOKUP(G12,'CP FACTORS'!$A$26:$B$38,2,FALSE)</f>
        <v>1.899635E-4</v>
      </c>
      <c r="I12" s="1370">
        <f t="shared" si="6"/>
        <v>1.9517E-2</v>
      </c>
      <c r="J12" s="1922">
        <f t="shared" si="2"/>
        <v>10</v>
      </c>
      <c r="K12" s="2087">
        <v>36.64</v>
      </c>
      <c r="L12" s="2088" t="s">
        <v>185</v>
      </c>
      <c r="M12" s="1293"/>
      <c r="N12" s="1965"/>
      <c r="O12" s="1965"/>
      <c r="P12" s="1294"/>
      <c r="Q12" s="1295"/>
      <c r="R12" s="1296"/>
      <c r="S12" s="1296"/>
      <c r="T12" s="1297"/>
      <c r="U12" s="1965"/>
      <c r="V12" s="3227" t="s">
        <v>31</v>
      </c>
      <c r="W12" s="2002">
        <v>178.0908</v>
      </c>
      <c r="X12" s="2098">
        <v>164.59091000000001</v>
      </c>
      <c r="Y12" s="2002">
        <v>164.59091000000001</v>
      </c>
      <c r="Z12" s="129">
        <v>164.59091000000001</v>
      </c>
      <c r="AA12" s="129">
        <v>164.59091000000001</v>
      </c>
      <c r="AB12" s="2002">
        <v>154.05000000000001</v>
      </c>
      <c r="AC12" s="2003">
        <v>102.31</v>
      </c>
      <c r="AD12" s="2099"/>
      <c r="AE12" s="2099"/>
      <c r="AF12" s="2099"/>
      <c r="AG12" s="2099"/>
      <c r="AH12" s="2100"/>
      <c r="AI12" s="3227" t="s">
        <v>181</v>
      </c>
      <c r="AJ12" s="64">
        <v>12</v>
      </c>
      <c r="AK12" s="64">
        <v>12</v>
      </c>
      <c r="AL12" s="64">
        <v>12</v>
      </c>
      <c r="AM12" s="64">
        <v>12</v>
      </c>
      <c r="AN12" s="64">
        <v>12</v>
      </c>
      <c r="AO12" s="2101">
        <v>11</v>
      </c>
      <c r="AP12" s="3356">
        <v>10</v>
      </c>
      <c r="AQ12" s="2099"/>
      <c r="AR12" s="2099"/>
      <c r="AS12" s="2099"/>
      <c r="AT12" s="1933"/>
      <c r="AU12" s="3227" t="s">
        <v>170</v>
      </c>
      <c r="AV12" s="2102">
        <v>36.64</v>
      </c>
      <c r="AW12" s="2102">
        <v>36.64</v>
      </c>
      <c r="AX12" s="2102">
        <v>36.64</v>
      </c>
      <c r="AY12" s="2102">
        <v>36.64</v>
      </c>
      <c r="AZ12" s="2102">
        <v>36.64</v>
      </c>
      <c r="BA12" s="2103">
        <v>36.64</v>
      </c>
      <c r="BB12" s="2103">
        <v>36.64</v>
      </c>
      <c r="BC12" s="2099"/>
      <c r="BD12" s="2099"/>
      <c r="BE12" s="2099"/>
      <c r="BF12" s="1933"/>
      <c r="BG12" s="1933"/>
      <c r="BH12" s="1933"/>
      <c r="BI12" s="1933"/>
      <c r="BJ12" s="1933"/>
      <c r="BK12" s="1931"/>
      <c r="BL12" s="1931"/>
      <c r="BM12" s="1931"/>
      <c r="BN12" s="1931"/>
      <c r="BO12" s="1931"/>
      <c r="BP12" s="1931"/>
      <c r="BQ12" s="1931"/>
      <c r="BR12" s="1931"/>
      <c r="BS12" s="1931"/>
      <c r="BT12" s="1931"/>
      <c r="BU12" s="1931"/>
      <c r="BV12" s="1931"/>
      <c r="BW12" s="1931"/>
      <c r="BX12" s="1931"/>
      <c r="BY12" s="1931"/>
      <c r="BZ12" s="1931"/>
      <c r="CA12" s="1931"/>
      <c r="CB12" s="1931"/>
      <c r="CC12" s="1931"/>
      <c r="CD12" s="1931"/>
      <c r="CE12" s="1930"/>
      <c r="CF12" s="1930"/>
      <c r="CG12" s="1930"/>
      <c r="CH12" s="1930"/>
      <c r="CI12" s="1931"/>
      <c r="CJ12" s="1931"/>
      <c r="CK12" s="1931"/>
      <c r="CL12" s="1931"/>
      <c r="CM12" s="1931"/>
      <c r="CN12" s="1931"/>
      <c r="CO12" s="1931"/>
      <c r="CP12" s="1931"/>
      <c r="CQ12" s="1931"/>
      <c r="CR12" s="1931"/>
      <c r="CS12" s="1931"/>
      <c r="CT12" s="1930"/>
      <c r="CU12" s="1930"/>
      <c r="CV12" s="1930"/>
      <c r="CW12" s="1930"/>
      <c r="CX12" s="1931"/>
      <c r="CY12" s="1931"/>
      <c r="CZ12" s="1931"/>
      <c r="DA12" s="1931"/>
      <c r="DB12" s="52">
        <f t="shared" si="7"/>
        <v>1.17231673282932</v>
      </c>
      <c r="DC12" s="1948" t="str">
        <f t="shared" si="3"/>
        <v>Lighting BUS 10 Year EUL</v>
      </c>
      <c r="DD12" s="1949">
        <f>(INDEX('Avoided Cost Benefits'!$C$4:$C$857,MATCH(DC12,'Avoided Cost Benefits'!$A$4:$A$857,0)))*F12</f>
        <v>40.541467759194227</v>
      </c>
      <c r="DE12" s="1949">
        <f t="shared" si="4"/>
        <v>34.582350165172251</v>
      </c>
      <c r="DF12" s="1931"/>
    </row>
    <row r="13" spans="1:112" x14ac:dyDescent="0.25">
      <c r="A13" s="1931"/>
      <c r="B13" s="1931"/>
      <c r="C13" s="1997" t="s">
        <v>2654</v>
      </c>
      <c r="D13" s="1290" t="s">
        <v>2646</v>
      </c>
      <c r="E13" s="1298" t="s">
        <v>2655</v>
      </c>
      <c r="F13" s="139">
        <f t="shared" si="5"/>
        <v>194.02</v>
      </c>
      <c r="G13" s="1290" t="s">
        <v>55</v>
      </c>
      <c r="H13" s="1291">
        <f>VLOOKUP(G13,'CP FACTORS'!$A$26:$B$38,2,FALSE)</f>
        <v>1.899635E-4</v>
      </c>
      <c r="I13" s="1370">
        <f t="shared" si="6"/>
        <v>3.6857000000000001E-2</v>
      </c>
      <c r="J13" s="1922">
        <f t="shared" si="2"/>
        <v>10</v>
      </c>
      <c r="K13" s="2087">
        <v>74.64</v>
      </c>
      <c r="L13" s="2088" t="s">
        <v>185</v>
      </c>
      <c r="M13" s="1293"/>
      <c r="N13" s="1965"/>
      <c r="O13" s="1965"/>
      <c r="P13" s="1294"/>
      <c r="Q13" s="1295"/>
      <c r="R13" s="1296"/>
      <c r="S13" s="1296"/>
      <c r="T13" s="1297"/>
      <c r="U13" s="1965"/>
      <c r="V13" s="3227" t="s">
        <v>31</v>
      </c>
      <c r="W13" s="2002">
        <v>257.76300000000003</v>
      </c>
      <c r="X13" s="2098">
        <v>255.72252816000005</v>
      </c>
      <c r="Y13" s="2002">
        <v>255.72252816000005</v>
      </c>
      <c r="Z13" s="129">
        <v>255.72252816000005</v>
      </c>
      <c r="AA13" s="129">
        <v>255.72252816000005</v>
      </c>
      <c r="AB13" s="2002">
        <v>227.11</v>
      </c>
      <c r="AC13" s="2098">
        <v>194.18</v>
      </c>
      <c r="AD13" s="2002"/>
      <c r="AE13" s="2002"/>
      <c r="AF13" s="2002"/>
      <c r="AG13" s="2002"/>
      <c r="AH13" s="2100"/>
      <c r="AI13" s="3227" t="s">
        <v>181</v>
      </c>
      <c r="AJ13" s="64">
        <v>12</v>
      </c>
      <c r="AK13" s="64">
        <v>12</v>
      </c>
      <c r="AL13" s="64">
        <v>12</v>
      </c>
      <c r="AM13" s="64">
        <v>12</v>
      </c>
      <c r="AN13" s="64">
        <v>12</v>
      </c>
      <c r="AO13" s="2101">
        <v>11</v>
      </c>
      <c r="AP13" s="3356">
        <v>10</v>
      </c>
      <c r="AQ13" s="2002"/>
      <c r="AR13" s="2002"/>
      <c r="AS13" s="2002"/>
      <c r="AT13" s="1933"/>
      <c r="AU13" s="3227" t="s">
        <v>170</v>
      </c>
      <c r="AV13" s="2102">
        <v>74.64</v>
      </c>
      <c r="AW13" s="2102">
        <v>74.64</v>
      </c>
      <c r="AX13" s="2102">
        <v>74.64</v>
      </c>
      <c r="AY13" s="2102">
        <v>74.64</v>
      </c>
      <c r="AZ13" s="2102">
        <v>74.64</v>
      </c>
      <c r="BA13" s="2103">
        <v>74.64</v>
      </c>
      <c r="BB13" s="2103">
        <v>74.64</v>
      </c>
      <c r="BC13" s="2002"/>
      <c r="BD13" s="2002"/>
      <c r="BE13" s="2002"/>
      <c r="BF13" s="1933"/>
      <c r="BG13" s="1933"/>
      <c r="BH13" s="1933"/>
      <c r="BI13" s="1933"/>
      <c r="BJ13" s="1933"/>
      <c r="BK13" s="1931"/>
      <c r="BL13" s="1931"/>
      <c r="BM13" s="1931"/>
      <c r="BN13" s="1931"/>
      <c r="BO13" s="1931"/>
      <c r="BP13" s="1931"/>
      <c r="BQ13" s="1931"/>
      <c r="BR13" s="1931"/>
      <c r="BS13" s="1931"/>
      <c r="BT13" s="1931"/>
      <c r="BU13" s="1931"/>
      <c r="BV13" s="1931"/>
      <c r="BW13" s="1931"/>
      <c r="BX13" s="1931"/>
      <c r="BY13" s="1931"/>
      <c r="BZ13" s="1931"/>
      <c r="CA13" s="1931"/>
      <c r="CB13" s="1931"/>
      <c r="CC13" s="1931"/>
      <c r="CD13" s="1931"/>
      <c r="CE13" s="1930"/>
      <c r="CF13" s="1930"/>
      <c r="CG13" s="1930"/>
      <c r="CH13" s="1930"/>
      <c r="CI13" s="1931"/>
      <c r="CJ13" s="1931"/>
      <c r="CK13" s="1931"/>
      <c r="CL13" s="1931"/>
      <c r="CM13" s="1931"/>
      <c r="CN13" s="1931"/>
      <c r="CO13" s="1931"/>
      <c r="CP13" s="1931"/>
      <c r="CQ13" s="1931"/>
      <c r="CR13" s="1931"/>
      <c r="CS13" s="1931"/>
      <c r="CT13" s="1930"/>
      <c r="CU13" s="1930"/>
      <c r="CV13" s="1930"/>
      <c r="CW13" s="1930"/>
      <c r="CX13" s="1931"/>
      <c r="CY13" s="1931"/>
      <c r="CZ13" s="1931"/>
      <c r="DA13" s="1931"/>
      <c r="DB13" s="52">
        <f t="shared" si="7"/>
        <v>1.0867652345729526</v>
      </c>
      <c r="DC13" s="1948" t="str">
        <f t="shared" si="3"/>
        <v>Lighting BUS 10 Year EUL</v>
      </c>
      <c r="DD13" s="1949">
        <f>(INDEX('Avoided Cost Benefits'!$C$4:$C$857,MATCH(DC13,'Avoided Cost Benefits'!$A$4:$A$857,0)))*F13</f>
        <v>76.560790097711347</v>
      </c>
      <c r="DE13" s="1949">
        <f t="shared" si="4"/>
        <v>70.448324681453514</v>
      </c>
      <c r="DF13" s="1931"/>
    </row>
    <row r="14" spans="1:112" x14ac:dyDescent="0.25">
      <c r="A14" s="1931"/>
      <c r="B14" s="1931"/>
      <c r="C14" s="1997" t="s">
        <v>2656</v>
      </c>
      <c r="D14" s="1290" t="s">
        <v>2646</v>
      </c>
      <c r="E14" s="1121" t="s">
        <v>2657</v>
      </c>
      <c r="F14" s="139">
        <f t="shared" si="5"/>
        <v>674.7</v>
      </c>
      <c r="G14" s="1290" t="s">
        <v>55</v>
      </c>
      <c r="H14" s="1291">
        <f>VLOOKUP(G14,'CP FACTORS'!$A$26:$B$38,2,FALSE)</f>
        <v>1.899635E-4</v>
      </c>
      <c r="I14" s="1370">
        <f t="shared" si="6"/>
        <v>0.128168</v>
      </c>
      <c r="J14" s="1922">
        <f t="shared" si="2"/>
        <v>15</v>
      </c>
      <c r="K14" s="2087">
        <v>191.39</v>
      </c>
      <c r="L14" s="2088" t="s">
        <v>185</v>
      </c>
      <c r="M14" s="1293"/>
      <c r="N14" s="1965"/>
      <c r="O14" s="1965"/>
      <c r="P14" s="1965"/>
      <c r="Q14" s="1965"/>
      <c r="R14" s="1965"/>
      <c r="S14" s="1965"/>
      <c r="T14" s="1965"/>
      <c r="U14" s="1965"/>
      <c r="V14" s="3227" t="s">
        <v>31</v>
      </c>
      <c r="W14" s="2002">
        <v>576.45180000000005</v>
      </c>
      <c r="X14" s="2098">
        <v>369.51600000000002</v>
      </c>
      <c r="Y14" s="2002">
        <v>369.51600000000002</v>
      </c>
      <c r="Z14" s="129">
        <v>369.51600000000002</v>
      </c>
      <c r="AA14" s="129">
        <v>369.51600000000002</v>
      </c>
      <c r="AB14" s="2002">
        <v>1198.19</v>
      </c>
      <c r="AC14" s="2098">
        <v>675.33</v>
      </c>
      <c r="AD14" s="2002"/>
      <c r="AE14" s="2002"/>
      <c r="AF14" s="2002"/>
      <c r="AG14" s="2002"/>
      <c r="AH14" s="1933"/>
      <c r="AI14" s="3227" t="s">
        <v>181</v>
      </c>
      <c r="AJ14" s="64">
        <v>11</v>
      </c>
      <c r="AK14" s="64">
        <v>11</v>
      </c>
      <c r="AL14" s="64">
        <v>11</v>
      </c>
      <c r="AM14" s="64">
        <v>11</v>
      </c>
      <c r="AN14" s="64">
        <v>11</v>
      </c>
      <c r="AO14" s="2101">
        <v>11</v>
      </c>
      <c r="AP14" s="3356">
        <v>15</v>
      </c>
      <c r="AQ14" s="2002"/>
      <c r="AR14" s="2002"/>
      <c r="AS14" s="2002"/>
      <c r="AT14" s="1933"/>
      <c r="AU14" s="3227" t="s">
        <v>170</v>
      </c>
      <c r="AV14" s="2102">
        <v>191.39</v>
      </c>
      <c r="AW14" s="2102">
        <v>191.39</v>
      </c>
      <c r="AX14" s="2102">
        <v>191.39</v>
      </c>
      <c r="AY14" s="2102">
        <v>191.39</v>
      </c>
      <c r="AZ14" s="2102">
        <v>191.39</v>
      </c>
      <c r="BA14" s="2103">
        <v>191.39</v>
      </c>
      <c r="BB14" s="2103">
        <v>191.39</v>
      </c>
      <c r="BC14" s="2002"/>
      <c r="BD14" s="2002"/>
      <c r="BE14" s="2002"/>
      <c r="BF14" s="1933"/>
      <c r="BG14" s="1933"/>
      <c r="BH14" s="1933"/>
      <c r="BI14" s="1933"/>
      <c r="BJ14" s="1933"/>
      <c r="BK14" s="1931"/>
      <c r="BL14" s="1931"/>
      <c r="BM14" s="1931"/>
      <c r="BN14" s="1931"/>
      <c r="BO14" s="1931"/>
      <c r="BP14" s="1931"/>
      <c r="BQ14" s="1931"/>
      <c r="BR14" s="1931"/>
      <c r="BS14" s="1931"/>
      <c r="BT14" s="1931"/>
      <c r="BU14" s="1931"/>
      <c r="BV14" s="1931"/>
      <c r="BW14" s="1931"/>
      <c r="BX14" s="1931"/>
      <c r="BY14" s="1931"/>
      <c r="BZ14" s="1931"/>
      <c r="CA14" s="1931"/>
      <c r="CB14" s="1931"/>
      <c r="CC14" s="1931"/>
      <c r="CD14" s="1931"/>
      <c r="CE14" s="1930"/>
      <c r="CF14" s="1930"/>
      <c r="CG14" s="1930"/>
      <c r="CH14" s="1930"/>
      <c r="CI14" s="1931"/>
      <c r="CJ14" s="1931"/>
      <c r="CK14" s="1931"/>
      <c r="CL14" s="1931"/>
      <c r="CM14" s="1931"/>
      <c r="CN14" s="1931"/>
      <c r="CO14" s="1931"/>
      <c r="CP14" s="1931"/>
      <c r="CQ14" s="1931"/>
      <c r="CR14" s="1931"/>
      <c r="CS14" s="1931"/>
      <c r="CT14" s="1930"/>
      <c r="CU14" s="1930"/>
      <c r="CV14" s="1930"/>
      <c r="CW14" s="1930"/>
      <c r="CX14" s="1931"/>
      <c r="CY14" s="1931"/>
      <c r="CZ14" s="1931"/>
      <c r="DA14" s="1931"/>
      <c r="DB14" s="52">
        <f t="shared" si="7"/>
        <v>2.1640705740446124</v>
      </c>
      <c r="DC14" s="1948" t="str">
        <f t="shared" si="3"/>
        <v>Lighting BUS 15 Year EUL</v>
      </c>
      <c r="DD14" s="1949">
        <f>(INDEX('Avoided Cost Benefits'!$C$4:$C$857,MATCH(DC14,'Avoided Cost Benefits'!$A$4:$A$857,0)))*F14</f>
        <v>390.92163017121118</v>
      </c>
      <c r="DE14" s="1949">
        <f t="shared" si="4"/>
        <v>180.64181217555446</v>
      </c>
      <c r="DF14" s="1931"/>
    </row>
    <row r="15" spans="1:112" x14ac:dyDescent="0.25">
      <c r="A15" s="1931"/>
      <c r="B15" s="1931"/>
      <c r="C15" s="1997" t="s">
        <v>2658</v>
      </c>
      <c r="D15" s="1290" t="s">
        <v>2646</v>
      </c>
      <c r="E15" s="1121" t="s">
        <v>2659</v>
      </c>
      <c r="F15" s="139">
        <f t="shared" si="5"/>
        <v>836.44</v>
      </c>
      <c r="G15" s="1290" t="s">
        <v>55</v>
      </c>
      <c r="H15" s="1291">
        <f>VLOOKUP(G15,'CP FACTORS'!$A$26:$B$38,2,FALSE)</f>
        <v>1.899635E-4</v>
      </c>
      <c r="I15" s="1370">
        <f>ROUND(H15*F15,6)</f>
        <v>0.15889300000000001</v>
      </c>
      <c r="J15" s="1922">
        <f t="shared" si="2"/>
        <v>15</v>
      </c>
      <c r="K15" s="2087">
        <v>233.64</v>
      </c>
      <c r="L15" s="2088" t="s">
        <v>185</v>
      </c>
      <c r="M15" s="1293"/>
      <c r="N15" s="1965"/>
      <c r="O15" s="1965"/>
      <c r="P15" s="1965"/>
      <c r="Q15" s="1965"/>
      <c r="R15" s="1965"/>
      <c r="S15" s="1965"/>
      <c r="T15" s="1965"/>
      <c r="U15" s="1965"/>
      <c r="V15" s="3227" t="s">
        <v>31</v>
      </c>
      <c r="W15" s="2002">
        <v>702.99</v>
      </c>
      <c r="X15" s="2098">
        <v>884.37428794386449</v>
      </c>
      <c r="Y15" s="2002">
        <v>884.37428794386449</v>
      </c>
      <c r="Z15" s="129">
        <v>884.37428794386449</v>
      </c>
      <c r="AA15" s="129">
        <v>884.37428794386449</v>
      </c>
      <c r="AB15" s="2002">
        <v>902.06</v>
      </c>
      <c r="AC15" s="2098">
        <v>837.22</v>
      </c>
      <c r="AD15" s="2002"/>
      <c r="AE15" s="2002"/>
      <c r="AF15" s="2002"/>
      <c r="AG15" s="2002"/>
      <c r="AH15" s="1933"/>
      <c r="AI15" s="3227" t="s">
        <v>181</v>
      </c>
      <c r="AJ15" s="64">
        <v>10</v>
      </c>
      <c r="AK15" s="64">
        <v>10</v>
      </c>
      <c r="AL15" s="64">
        <v>10</v>
      </c>
      <c r="AM15" s="64">
        <v>10</v>
      </c>
      <c r="AN15" s="64">
        <v>10</v>
      </c>
      <c r="AO15" s="2101">
        <v>11</v>
      </c>
      <c r="AP15" s="3356">
        <v>15</v>
      </c>
      <c r="AQ15" s="2002"/>
      <c r="AR15" s="2002"/>
      <c r="AS15" s="2002"/>
      <c r="AT15" s="1933"/>
      <c r="AU15" s="3227" t="s">
        <v>170</v>
      </c>
      <c r="AV15" s="2102">
        <v>233.64</v>
      </c>
      <c r="AW15" s="2102">
        <v>233.64</v>
      </c>
      <c r="AX15" s="2102">
        <v>233.64</v>
      </c>
      <c r="AY15" s="2102">
        <v>233.64</v>
      </c>
      <c r="AZ15" s="2102">
        <v>233.64</v>
      </c>
      <c r="BA15" s="2103">
        <v>233.64</v>
      </c>
      <c r="BB15" s="2103">
        <v>233.64</v>
      </c>
      <c r="BC15" s="2002"/>
      <c r="BD15" s="2002"/>
      <c r="BE15" s="2002"/>
      <c r="BF15" s="1933"/>
      <c r="BG15" s="1933"/>
      <c r="BH15" s="1933"/>
      <c r="BI15" s="1933"/>
      <c r="BJ15" s="1933"/>
      <c r="BK15" s="1931"/>
      <c r="BL15" s="1931"/>
      <c r="BM15" s="1931"/>
      <c r="BN15" s="1931"/>
      <c r="BO15" s="1931"/>
      <c r="BP15" s="1931"/>
      <c r="BQ15" s="1931"/>
      <c r="BR15" s="1931"/>
      <c r="BS15" s="1931"/>
      <c r="BT15" s="1931"/>
      <c r="BU15" s="1931"/>
      <c r="BV15" s="1931"/>
      <c r="BW15" s="1931"/>
      <c r="BX15" s="1931"/>
      <c r="BY15" s="1931"/>
      <c r="BZ15" s="1931"/>
      <c r="CA15" s="1931"/>
      <c r="CB15" s="1931"/>
      <c r="CC15" s="1931"/>
      <c r="CD15" s="1931"/>
      <c r="CE15" s="1930"/>
      <c r="CF15" s="1930"/>
      <c r="CG15" s="1930"/>
      <c r="CH15" s="1930"/>
      <c r="CI15" s="1931"/>
      <c r="CJ15" s="1931"/>
      <c r="CK15" s="1931"/>
      <c r="CL15" s="1931"/>
      <c r="CM15" s="1931"/>
      <c r="CN15" s="1931"/>
      <c r="CO15" s="1931"/>
      <c r="CP15" s="1931"/>
      <c r="CQ15" s="1931"/>
      <c r="CR15" s="1931"/>
      <c r="CS15" s="1931"/>
      <c r="CT15" s="1930"/>
      <c r="CU15" s="1930"/>
      <c r="CV15" s="1930"/>
      <c r="CW15" s="1930"/>
      <c r="CX15" s="1931"/>
      <c r="CY15" s="1931"/>
      <c r="CZ15" s="1931"/>
      <c r="DA15" s="1931"/>
      <c r="DB15" s="52">
        <f t="shared" si="7"/>
        <v>2.1976956462293855</v>
      </c>
      <c r="DC15" s="1948" t="str">
        <f t="shared" si="3"/>
        <v>Lighting BUS 15 Year EUL</v>
      </c>
      <c r="DD15" s="1949">
        <f>(INDEX('Avoided Cost Benefits'!$C$4:$C$857,MATCH(DC15,'Avoided Cost Benefits'!$A$4:$A$857,0)))*F15</f>
        <v>484.6338940868651</v>
      </c>
      <c r="DE15" s="1949">
        <f t="shared" si="4"/>
        <v>220.51911278905141</v>
      </c>
      <c r="DF15" s="1931"/>
    </row>
    <row r="16" spans="1:112" x14ac:dyDescent="0.25">
      <c r="A16" s="1931"/>
      <c r="B16" s="1931"/>
      <c r="C16" s="1997" t="s">
        <v>2660</v>
      </c>
      <c r="D16" s="1290" t="s">
        <v>2646</v>
      </c>
      <c r="E16" s="1121" t="s">
        <v>2661</v>
      </c>
      <c r="F16" s="139">
        <f t="shared" si="5"/>
        <v>1030.8</v>
      </c>
      <c r="G16" s="1290" t="s">
        <v>55</v>
      </c>
      <c r="H16" s="1291">
        <f>VLOOKUP(G16,'CP FACTORS'!$A$26:$B$38,2,FALSE)</f>
        <v>1.899635E-4</v>
      </c>
      <c r="I16" s="1370">
        <f t="shared" si="6"/>
        <v>0.19581399999999999</v>
      </c>
      <c r="J16" s="1922">
        <f t="shared" si="2"/>
        <v>15</v>
      </c>
      <c r="K16" s="2087">
        <v>361.64</v>
      </c>
      <c r="L16" s="2088" t="s">
        <v>185</v>
      </c>
      <c r="M16" s="1293"/>
      <c r="N16" s="1965"/>
      <c r="O16" s="1965"/>
      <c r="P16" s="1965"/>
      <c r="Q16" s="1965"/>
      <c r="R16" s="1965"/>
      <c r="S16" s="1965"/>
      <c r="T16" s="1965"/>
      <c r="U16" s="1965"/>
      <c r="V16" s="3227" t="s">
        <v>31</v>
      </c>
      <c r="W16" s="2002">
        <v>1209.1428000000001</v>
      </c>
      <c r="X16" s="2098">
        <v>1471.9795478952801</v>
      </c>
      <c r="Y16" s="2002">
        <v>1471.9795478952801</v>
      </c>
      <c r="Z16" s="129">
        <v>1471.9795478952801</v>
      </c>
      <c r="AA16" s="129">
        <v>1471.9795478952801</v>
      </c>
      <c r="AB16" s="2002">
        <v>1459.71</v>
      </c>
      <c r="AC16" s="2098">
        <v>1031.8599999999999</v>
      </c>
      <c r="AD16" s="2002"/>
      <c r="AE16" s="2002"/>
      <c r="AF16" s="2002"/>
      <c r="AG16" s="2002"/>
      <c r="AH16" s="1933"/>
      <c r="AI16" s="3227" t="s">
        <v>181</v>
      </c>
      <c r="AJ16" s="64">
        <v>11</v>
      </c>
      <c r="AK16" s="64">
        <v>11</v>
      </c>
      <c r="AL16" s="64">
        <v>11</v>
      </c>
      <c r="AM16" s="64">
        <v>11</v>
      </c>
      <c r="AN16" s="64">
        <v>11</v>
      </c>
      <c r="AO16" s="2101">
        <v>11</v>
      </c>
      <c r="AP16" s="3356">
        <v>15</v>
      </c>
      <c r="AQ16" s="2002"/>
      <c r="AR16" s="2002"/>
      <c r="AS16" s="2002"/>
      <c r="AT16" s="1933"/>
      <c r="AU16" s="3227" t="s">
        <v>170</v>
      </c>
      <c r="AV16" s="2102">
        <v>361.64</v>
      </c>
      <c r="AW16" s="2102">
        <v>361.64</v>
      </c>
      <c r="AX16" s="2102">
        <v>361.64</v>
      </c>
      <c r="AY16" s="2102">
        <v>361.64</v>
      </c>
      <c r="AZ16" s="2102">
        <v>361.64</v>
      </c>
      <c r="BA16" s="2103">
        <v>361.64</v>
      </c>
      <c r="BB16" s="2103">
        <v>361.64</v>
      </c>
      <c r="BC16" s="2002"/>
      <c r="BD16" s="2002"/>
      <c r="BE16" s="2002"/>
      <c r="BF16" s="1933"/>
      <c r="BG16" s="1933"/>
      <c r="BH16" s="1933"/>
      <c r="BI16" s="1933"/>
      <c r="BJ16" s="1933"/>
      <c r="BK16" s="1931"/>
      <c r="BL16" s="1931"/>
      <c r="BM16" s="1931"/>
      <c r="BN16" s="1931"/>
      <c r="BO16" s="1931"/>
      <c r="BP16" s="1931"/>
      <c r="BQ16" s="1931"/>
      <c r="BR16" s="1931"/>
      <c r="BS16" s="1931"/>
      <c r="BT16" s="1931"/>
      <c r="BU16" s="1931"/>
      <c r="BV16" s="1931"/>
      <c r="BW16" s="1931"/>
      <c r="BX16" s="1931"/>
      <c r="BY16" s="1931"/>
      <c r="BZ16" s="1931"/>
      <c r="CA16" s="1931"/>
      <c r="CB16" s="1931"/>
      <c r="CC16" s="1931"/>
      <c r="CD16" s="1931"/>
      <c r="CE16" s="1930"/>
      <c r="CF16" s="1930"/>
      <c r="CG16" s="1930"/>
      <c r="CH16" s="1930"/>
      <c r="CI16" s="1931"/>
      <c r="CJ16" s="1931"/>
      <c r="CK16" s="1931"/>
      <c r="CL16" s="1931"/>
      <c r="CM16" s="1931"/>
      <c r="CN16" s="1931"/>
      <c r="CO16" s="1931"/>
      <c r="CP16" s="1931"/>
      <c r="CQ16" s="1931"/>
      <c r="CR16" s="1931"/>
      <c r="CS16" s="1931"/>
      <c r="CT16" s="1930"/>
      <c r="CU16" s="1930"/>
      <c r="CV16" s="1930"/>
      <c r="CW16" s="1930"/>
      <c r="CX16" s="1931"/>
      <c r="CY16" s="1931"/>
      <c r="CZ16" s="1931"/>
      <c r="DA16" s="1931"/>
      <c r="DB16" s="52">
        <f t="shared" si="7"/>
        <v>1.749757651612867</v>
      </c>
      <c r="DC16" s="1948" t="str">
        <f t="shared" si="3"/>
        <v>Lighting BUS 15 Year EUL</v>
      </c>
      <c r="DD16" s="1949">
        <f>(INDEX('Avoided Cost Benefits'!$C$4:$C$857,MATCH(DC16,'Avoided Cost Benefits'!$A$4:$A$857,0)))*F16</f>
        <v>597.24620776713277</v>
      </c>
      <c r="DE16" s="1949">
        <f t="shared" si="4"/>
        <v>341.33081642284094</v>
      </c>
      <c r="DF16" s="1931"/>
    </row>
    <row r="17" spans="2:109" x14ac:dyDescent="0.25">
      <c r="B17" s="1931"/>
      <c r="C17" s="1997" t="s">
        <v>2662</v>
      </c>
      <c r="D17" s="1290" t="s">
        <v>2646</v>
      </c>
      <c r="E17" s="1121" t="s">
        <v>2663</v>
      </c>
      <c r="F17" s="139">
        <f t="shared" si="5"/>
        <v>432.55</v>
      </c>
      <c r="G17" s="1290" t="s">
        <v>2664</v>
      </c>
      <c r="H17" s="1291">
        <f>VLOOKUP(G17,'CP FACTORS'!$A$26:$B$38,2,FALSE)</f>
        <v>5.6160000000000001E-6</v>
      </c>
      <c r="I17" s="1370">
        <f t="shared" si="6"/>
        <v>2.4290000000000002E-3</v>
      </c>
      <c r="J17" s="1922">
        <f t="shared" si="2"/>
        <v>15</v>
      </c>
      <c r="K17" s="2087">
        <v>191.39</v>
      </c>
      <c r="L17" s="2088" t="s">
        <v>185</v>
      </c>
      <c r="M17" s="1293"/>
      <c r="N17" s="1965"/>
      <c r="O17" s="1965"/>
      <c r="P17" s="1965"/>
      <c r="Q17" s="1965"/>
      <c r="R17" s="1965"/>
      <c r="S17" s="1965"/>
      <c r="T17" s="1965"/>
      <c r="U17" s="1965"/>
      <c r="V17" s="3227" t="s">
        <v>31</v>
      </c>
      <c r="W17" s="2002">
        <v>439.45</v>
      </c>
      <c r="X17" s="2098">
        <v>455.12400000000002</v>
      </c>
      <c r="Y17" s="2098">
        <v>446.2</v>
      </c>
      <c r="Z17" s="129">
        <v>446.2</v>
      </c>
      <c r="AA17" s="129">
        <v>446.2</v>
      </c>
      <c r="AB17" s="2002">
        <v>446.2</v>
      </c>
      <c r="AC17" s="2098">
        <v>432.55</v>
      </c>
      <c r="AD17" s="2002"/>
      <c r="AE17" s="2002"/>
      <c r="AF17" s="2002"/>
      <c r="AG17" s="2002"/>
      <c r="AH17" s="1933"/>
      <c r="AI17" s="3227" t="s">
        <v>181</v>
      </c>
      <c r="AJ17" s="64">
        <v>11</v>
      </c>
      <c r="AK17" s="64">
        <v>11</v>
      </c>
      <c r="AL17" s="64">
        <v>11</v>
      </c>
      <c r="AM17" s="64">
        <v>11</v>
      </c>
      <c r="AN17" s="64">
        <v>11</v>
      </c>
      <c r="AO17" s="2101">
        <v>12</v>
      </c>
      <c r="AP17" s="3356">
        <v>15</v>
      </c>
      <c r="AQ17" s="2002"/>
      <c r="AR17" s="2002"/>
      <c r="AS17" s="2002"/>
      <c r="AT17" s="1933"/>
      <c r="AU17" s="3227" t="s">
        <v>170</v>
      </c>
      <c r="AV17" s="2102">
        <v>191.39</v>
      </c>
      <c r="AW17" s="2102">
        <v>191.39</v>
      </c>
      <c r="AX17" s="2102">
        <v>191.39</v>
      </c>
      <c r="AY17" s="2102">
        <v>191.39</v>
      </c>
      <c r="AZ17" s="2102">
        <v>191.39</v>
      </c>
      <c r="BA17" s="2103">
        <v>191.39</v>
      </c>
      <c r="BB17" s="2103">
        <v>191.39</v>
      </c>
      <c r="BC17" s="2002"/>
      <c r="BD17" s="2002"/>
      <c r="BE17" s="2002"/>
      <c r="BF17" s="1933"/>
      <c r="BG17" s="1933"/>
      <c r="BH17" s="1933"/>
      <c r="BI17" s="1933"/>
      <c r="BJ17" s="1933"/>
      <c r="BK17" s="1931"/>
      <c r="BL17" s="1931"/>
      <c r="BM17" s="1931"/>
      <c r="BN17" s="1931"/>
      <c r="BO17" s="1931"/>
      <c r="BP17" s="1931"/>
      <c r="BQ17" s="1931"/>
      <c r="BR17" s="1931"/>
      <c r="BS17" s="1931"/>
      <c r="BT17" s="1931"/>
      <c r="BU17" s="1931"/>
      <c r="BV17" s="1931"/>
      <c r="BW17" s="1931"/>
      <c r="BX17" s="1931"/>
      <c r="BY17" s="1931"/>
      <c r="BZ17" s="1931"/>
      <c r="CA17" s="1931"/>
      <c r="CB17" s="1931"/>
      <c r="CC17" s="1931"/>
      <c r="CD17" s="1931"/>
      <c r="CE17" s="1930"/>
      <c r="CF17" s="1930"/>
      <c r="CG17" s="1930"/>
      <c r="CH17" s="1930"/>
      <c r="CI17" s="1931"/>
      <c r="CJ17" s="1931"/>
      <c r="CK17" s="1931"/>
      <c r="CL17" s="1931"/>
      <c r="CM17" s="1931"/>
      <c r="CN17" s="1931"/>
      <c r="CO17" s="1931"/>
      <c r="CP17" s="1931"/>
      <c r="CQ17" s="1931"/>
      <c r="CR17" s="1931"/>
      <c r="CS17" s="1931"/>
      <c r="CT17" s="1930"/>
      <c r="CU17" s="1930"/>
      <c r="CV17" s="1930"/>
      <c r="CW17" s="1930"/>
      <c r="CX17" s="1931"/>
      <c r="CY17" s="1931"/>
      <c r="CZ17" s="1931"/>
      <c r="DA17" s="1931"/>
      <c r="DB17" s="52">
        <f t="shared" si="7"/>
        <v>0.79338099713007215</v>
      </c>
      <c r="DC17" s="1948" t="str">
        <f t="shared" si="3"/>
        <v>Ext Lighting BUS 15 Year EUL</v>
      </c>
      <c r="DD17" s="1949">
        <f>(INDEX('Avoided Cost Benefits'!$C$4:$C$857,MATCH(DC17,'Avoided Cost Benefits'!$A$4:$A$857,0)))*F17</f>
        <v>143.31778106722462</v>
      </c>
      <c r="DE17" s="1949">
        <f t="shared" si="4"/>
        <v>180.64181217555446</v>
      </c>
    </row>
    <row r="18" spans="2:109" x14ac:dyDescent="0.25">
      <c r="B18" s="1931"/>
      <c r="C18" s="1997" t="s">
        <v>2665</v>
      </c>
      <c r="D18" s="1290" t="s">
        <v>2646</v>
      </c>
      <c r="E18" s="1121" t="s">
        <v>2666</v>
      </c>
      <c r="F18" s="139">
        <f t="shared" si="5"/>
        <v>823.73</v>
      </c>
      <c r="G18" s="1290" t="s">
        <v>2664</v>
      </c>
      <c r="H18" s="1291">
        <f>VLOOKUP(G18,'CP FACTORS'!$A$26:$B$38,2,FALSE)</f>
        <v>5.6160000000000001E-6</v>
      </c>
      <c r="I18" s="1370">
        <f t="shared" si="6"/>
        <v>4.6259999999999999E-3</v>
      </c>
      <c r="J18" s="1922">
        <f t="shared" si="2"/>
        <v>15</v>
      </c>
      <c r="K18" s="2087">
        <v>233.64</v>
      </c>
      <c r="L18" s="2088" t="s">
        <v>185</v>
      </c>
      <c r="M18" s="1293"/>
      <c r="N18" s="1965"/>
      <c r="O18" s="1965"/>
      <c r="P18" s="1965"/>
      <c r="Q18" s="1965"/>
      <c r="R18" s="1965"/>
      <c r="S18" s="1965"/>
      <c r="T18" s="1965"/>
      <c r="U18" s="1965"/>
      <c r="V18" s="3227" t="s">
        <v>31</v>
      </c>
      <c r="W18" s="2002">
        <v>1047.5333333333335</v>
      </c>
      <c r="X18" s="2098">
        <v>763.45076985983769</v>
      </c>
      <c r="Y18" s="2098">
        <v>713.50539239237162</v>
      </c>
      <c r="Z18" s="129">
        <v>713.50539239237162</v>
      </c>
      <c r="AA18" s="129">
        <v>713.50539239237162</v>
      </c>
      <c r="AB18" s="2002">
        <v>713.51</v>
      </c>
      <c r="AC18" s="2098">
        <v>823.73</v>
      </c>
      <c r="AD18" s="2002"/>
      <c r="AE18" s="2002"/>
      <c r="AF18" s="2002"/>
      <c r="AG18" s="2002"/>
      <c r="AH18" s="1933"/>
      <c r="AI18" s="3227" t="s">
        <v>181</v>
      </c>
      <c r="AJ18" s="64">
        <v>12</v>
      </c>
      <c r="AK18" s="64">
        <v>12</v>
      </c>
      <c r="AL18" s="64">
        <v>12</v>
      </c>
      <c r="AM18" s="64">
        <v>12</v>
      </c>
      <c r="AN18" s="64">
        <v>12</v>
      </c>
      <c r="AO18" s="2101">
        <v>12</v>
      </c>
      <c r="AP18" s="3356">
        <v>15</v>
      </c>
      <c r="AQ18" s="2002"/>
      <c r="AR18" s="2002"/>
      <c r="AS18" s="2002"/>
      <c r="AT18" s="1933"/>
      <c r="AU18" s="3227" t="s">
        <v>170</v>
      </c>
      <c r="AV18" s="2102">
        <v>233.64</v>
      </c>
      <c r="AW18" s="2102">
        <v>233.64</v>
      </c>
      <c r="AX18" s="2102">
        <v>233.64</v>
      </c>
      <c r="AY18" s="2102">
        <v>233.64</v>
      </c>
      <c r="AZ18" s="2102">
        <v>233.64</v>
      </c>
      <c r="BA18" s="2103">
        <v>233.64</v>
      </c>
      <c r="BB18" s="2103">
        <v>233.64</v>
      </c>
      <c r="BC18" s="2002"/>
      <c r="BD18" s="2002"/>
      <c r="BE18" s="2002"/>
      <c r="BF18" s="1933"/>
      <c r="BG18" s="1933"/>
      <c r="BH18" s="1933"/>
      <c r="BI18" s="1933"/>
      <c r="BJ18" s="1933"/>
      <c r="BK18" s="1931"/>
      <c r="BL18" s="1931"/>
      <c r="BM18" s="1931"/>
      <c r="BN18" s="1931"/>
      <c r="BO18" s="1931"/>
      <c r="BP18" s="1931"/>
      <c r="BQ18" s="1931"/>
      <c r="BR18" s="1931"/>
      <c r="BS18" s="1931"/>
      <c r="BT18" s="1931"/>
      <c r="BU18" s="1931"/>
      <c r="BV18" s="1931"/>
      <c r="BW18" s="1931"/>
      <c r="BX18" s="1931"/>
      <c r="BY18" s="1931"/>
      <c r="BZ18" s="1931"/>
      <c r="CA18" s="1931"/>
      <c r="CB18" s="1931"/>
      <c r="CC18" s="1931"/>
      <c r="CD18" s="1931"/>
      <c r="CE18" s="1930"/>
      <c r="CF18" s="1930"/>
      <c r="CG18" s="1930"/>
      <c r="CH18" s="1930"/>
      <c r="CI18" s="1931"/>
      <c r="CJ18" s="1931"/>
      <c r="CK18" s="1931"/>
      <c r="CL18" s="1931"/>
      <c r="CM18" s="1931"/>
      <c r="CN18" s="1931"/>
      <c r="CO18" s="1931"/>
      <c r="CP18" s="1931"/>
      <c r="CQ18" s="1931"/>
      <c r="CR18" s="1931"/>
      <c r="CS18" s="1931"/>
      <c r="CT18" s="1930"/>
      <c r="CU18" s="1930"/>
      <c r="CV18" s="1930"/>
      <c r="CW18" s="1930"/>
      <c r="CX18" s="1931"/>
      <c r="CY18" s="1931"/>
      <c r="CZ18" s="1931"/>
      <c r="DA18" s="1931"/>
      <c r="DB18" s="52">
        <f t="shared" si="7"/>
        <v>1.2376629940971284</v>
      </c>
      <c r="DC18" s="1948" t="str">
        <f t="shared" si="3"/>
        <v>Ext Lighting BUS 15 Year EUL</v>
      </c>
      <c r="DD18" s="1949">
        <f>(INDEX('Avoided Cost Benefits'!$C$4:$C$857,MATCH(DC18,'Avoided Cost Benefits'!$A$4:$A$857,0)))*F18</f>
        <v>272.92834539013973</v>
      </c>
      <c r="DE18" s="1949">
        <f t="shared" si="4"/>
        <v>220.51911278905141</v>
      </c>
    </row>
    <row r="19" spans="2:109" x14ac:dyDescent="0.25">
      <c r="B19" s="1931"/>
      <c r="C19" s="1997" t="s">
        <v>2667</v>
      </c>
      <c r="D19" s="1290" t="s">
        <v>2646</v>
      </c>
      <c r="E19" s="1121" t="s">
        <v>2668</v>
      </c>
      <c r="F19" s="139">
        <f t="shared" si="5"/>
        <v>1507.33</v>
      </c>
      <c r="G19" s="1290" t="s">
        <v>2664</v>
      </c>
      <c r="H19" s="1291">
        <f>VLOOKUP(G19,'CP FACTORS'!$A$26:$B$38,2,FALSE)</f>
        <v>5.6160000000000001E-6</v>
      </c>
      <c r="I19" s="1370">
        <f t="shared" si="6"/>
        <v>8.4650000000000003E-3</v>
      </c>
      <c r="J19" s="1922">
        <f t="shared" si="2"/>
        <v>15</v>
      </c>
      <c r="K19" s="2087">
        <v>361.64</v>
      </c>
      <c r="L19" s="2088" t="s">
        <v>185</v>
      </c>
      <c r="M19" s="1293"/>
      <c r="N19" s="1965"/>
      <c r="O19" s="1965"/>
      <c r="P19" s="1965"/>
      <c r="Q19" s="1965"/>
      <c r="R19" s="1965"/>
      <c r="S19" s="1965"/>
      <c r="T19" s="1965"/>
      <c r="U19" s="1965"/>
      <c r="V19" s="3227" t="s">
        <v>31</v>
      </c>
      <c r="W19" s="2002">
        <v>956.14999999999975</v>
      </c>
      <c r="X19" s="2098">
        <v>1074.2028039281829</v>
      </c>
      <c r="Y19" s="2098">
        <v>1003.9278541384887</v>
      </c>
      <c r="Z19" s="129">
        <v>1003.9278541384887</v>
      </c>
      <c r="AA19" s="129">
        <v>1003.9278541384887</v>
      </c>
      <c r="AB19" s="2002">
        <v>1003.93</v>
      </c>
      <c r="AC19" s="2098">
        <v>1507.33</v>
      </c>
      <c r="AD19" s="2002"/>
      <c r="AE19" s="2002"/>
      <c r="AF19" s="2002"/>
      <c r="AG19" s="2002"/>
      <c r="AH19" s="1933"/>
      <c r="AI19" s="3227" t="s">
        <v>181</v>
      </c>
      <c r="AJ19" s="64">
        <v>12</v>
      </c>
      <c r="AK19" s="64">
        <v>12</v>
      </c>
      <c r="AL19" s="64">
        <v>12</v>
      </c>
      <c r="AM19" s="64">
        <v>12</v>
      </c>
      <c r="AN19" s="64">
        <v>12</v>
      </c>
      <c r="AO19" s="2101">
        <v>12</v>
      </c>
      <c r="AP19" s="3356">
        <v>15</v>
      </c>
      <c r="AQ19" s="2002"/>
      <c r="AR19" s="2002"/>
      <c r="AS19" s="2002"/>
      <c r="AT19" s="1933"/>
      <c r="AU19" s="3227" t="s">
        <v>170</v>
      </c>
      <c r="AV19" s="2102">
        <v>361.64</v>
      </c>
      <c r="AW19" s="2102">
        <v>361.64</v>
      </c>
      <c r="AX19" s="2102">
        <v>361.64</v>
      </c>
      <c r="AY19" s="2102">
        <v>361.64</v>
      </c>
      <c r="AZ19" s="2102">
        <v>361.64</v>
      </c>
      <c r="BA19" s="2103">
        <v>361.64</v>
      </c>
      <c r="BB19" s="2103">
        <v>361.64</v>
      </c>
      <c r="BC19" s="2002"/>
      <c r="BD19" s="2002"/>
      <c r="BE19" s="2002"/>
      <c r="BF19" s="1933"/>
      <c r="BG19" s="1933"/>
      <c r="BH19" s="1933"/>
      <c r="BI19" s="1933"/>
      <c r="BJ19" s="1933"/>
      <c r="BK19" s="1931"/>
      <c r="BL19" s="1931"/>
      <c r="BM19" s="1931"/>
      <c r="BN19" s="1931"/>
      <c r="BO19" s="1931"/>
      <c r="BP19" s="1931"/>
      <c r="BQ19" s="1931"/>
      <c r="BR19" s="1931"/>
      <c r="BS19" s="1931"/>
      <c r="BT19" s="1931"/>
      <c r="BU19" s="1931"/>
      <c r="BV19" s="1931"/>
      <c r="BW19" s="1931"/>
      <c r="BX19" s="1931"/>
      <c r="BY19" s="1931"/>
      <c r="BZ19" s="1931"/>
      <c r="CA19" s="1931"/>
      <c r="CB19" s="1931"/>
      <c r="CC19" s="1931"/>
      <c r="CD19" s="1931"/>
      <c r="CE19" s="1930"/>
      <c r="CF19" s="1930"/>
      <c r="CG19" s="1930"/>
      <c r="CH19" s="1930"/>
      <c r="CI19" s="1931"/>
      <c r="CJ19" s="1931"/>
      <c r="CK19" s="1931"/>
      <c r="CL19" s="1931"/>
      <c r="CM19" s="1931"/>
      <c r="CN19" s="1931"/>
      <c r="CO19" s="1931"/>
      <c r="CP19" s="1931"/>
      <c r="CQ19" s="1931"/>
      <c r="CR19" s="1931"/>
      <c r="CS19" s="1931"/>
      <c r="CT19" s="1930"/>
      <c r="CU19" s="1930"/>
      <c r="CV19" s="1930"/>
      <c r="CW19" s="1930"/>
      <c r="CX19" s="1931"/>
      <c r="CY19" s="1931"/>
      <c r="CZ19" s="1931"/>
      <c r="DA19" s="1931"/>
      <c r="DB19" s="52">
        <f t="shared" si="7"/>
        <v>1.4631761132252104</v>
      </c>
      <c r="DC19" s="1948" t="str">
        <f t="shared" si="3"/>
        <v>Ext Lighting BUS 15 Year EUL</v>
      </c>
      <c r="DD19" s="1949">
        <f>(INDEX('Avoided Cost Benefits'!$C$4:$C$857,MATCH(DC19,'Avoided Cost Benefits'!$A$4:$A$857,0)))*F19</f>
        <v>499.42709729756018</v>
      </c>
      <c r="DE19" s="1949">
        <f t="shared" si="4"/>
        <v>341.33081642284094</v>
      </c>
    </row>
    <row r="20" spans="2:109" x14ac:dyDescent="0.25">
      <c r="B20" s="1931"/>
      <c r="C20" s="1997" t="s">
        <v>2669</v>
      </c>
      <c r="D20" s="1290" t="s">
        <v>2646</v>
      </c>
      <c r="E20" s="1121" t="s">
        <v>2670</v>
      </c>
      <c r="F20" s="139">
        <f t="shared" si="5"/>
        <v>679.28</v>
      </c>
      <c r="G20" s="1290" t="s">
        <v>2671</v>
      </c>
      <c r="H20" s="1291">
        <f>VLOOKUP(G20,'CP FACTORS'!$A$26:$B$38,2,FALSE)</f>
        <v>1.379439E-4</v>
      </c>
      <c r="I20" s="1370">
        <f t="shared" si="6"/>
        <v>9.3702999999999995E-2</v>
      </c>
      <c r="J20" s="1922">
        <f t="shared" si="2"/>
        <v>15</v>
      </c>
      <c r="K20" s="2087">
        <v>191.39</v>
      </c>
      <c r="L20" s="2088" t="s">
        <v>185</v>
      </c>
      <c r="M20" s="1293"/>
      <c r="N20" s="1965"/>
      <c r="O20" s="1965"/>
      <c r="P20" s="1965"/>
      <c r="Q20" s="1965"/>
      <c r="R20" s="1965"/>
      <c r="S20" s="1965"/>
      <c r="T20" s="1965"/>
      <c r="U20" s="1965"/>
      <c r="V20" s="3227" t="s">
        <v>31</v>
      </c>
      <c r="W20" s="2002">
        <v>1077.48</v>
      </c>
      <c r="X20" s="2098">
        <v>700.72</v>
      </c>
      <c r="Y20" s="2002">
        <v>700.72</v>
      </c>
      <c r="Z20" s="129">
        <v>700.72</v>
      </c>
      <c r="AA20" s="129">
        <v>700.72</v>
      </c>
      <c r="AB20" s="2002">
        <v>700.72</v>
      </c>
      <c r="AC20" s="2098">
        <v>679.28</v>
      </c>
      <c r="AD20" s="2002"/>
      <c r="AE20" s="2002"/>
      <c r="AF20" s="2002"/>
      <c r="AG20" s="2002"/>
      <c r="AH20" s="1933"/>
      <c r="AI20" s="3227" t="s">
        <v>181</v>
      </c>
      <c r="AJ20" s="64">
        <v>6</v>
      </c>
      <c r="AK20" s="64">
        <v>6</v>
      </c>
      <c r="AL20" s="64">
        <v>6</v>
      </c>
      <c r="AM20" s="64">
        <v>6</v>
      </c>
      <c r="AN20" s="64">
        <v>6</v>
      </c>
      <c r="AO20" s="2101">
        <v>6</v>
      </c>
      <c r="AP20" s="3356">
        <v>15</v>
      </c>
      <c r="AQ20" s="2002"/>
      <c r="AR20" s="2002"/>
      <c r="AS20" s="2002"/>
      <c r="AT20" s="1933"/>
      <c r="AU20" s="3227" t="s">
        <v>170</v>
      </c>
      <c r="AV20" s="2102">
        <v>191.39</v>
      </c>
      <c r="AW20" s="2102">
        <v>191.39</v>
      </c>
      <c r="AX20" s="2102">
        <v>191.39</v>
      </c>
      <c r="AY20" s="2102">
        <v>191.39</v>
      </c>
      <c r="AZ20" s="2102">
        <v>191.39</v>
      </c>
      <c r="BA20" s="2103">
        <v>191.39</v>
      </c>
      <c r="BB20" s="2103">
        <v>191.39</v>
      </c>
      <c r="BC20" s="2002"/>
      <c r="BD20" s="2002"/>
      <c r="BE20" s="2002"/>
      <c r="BF20" s="1933"/>
      <c r="BG20" s="1933"/>
      <c r="BH20" s="1933"/>
      <c r="BI20" s="1933"/>
      <c r="BJ20" s="1933"/>
      <c r="BK20" s="1931"/>
      <c r="BL20" s="1931"/>
      <c r="BM20" s="1931"/>
      <c r="BN20" s="1931"/>
      <c r="BO20" s="1931"/>
      <c r="BP20" s="1931"/>
      <c r="BQ20" s="1931"/>
      <c r="BR20" s="1931"/>
      <c r="BS20" s="1931"/>
      <c r="BT20" s="1931"/>
      <c r="BU20" s="1931"/>
      <c r="BV20" s="1931"/>
      <c r="BW20" s="1931"/>
      <c r="BX20" s="1931"/>
      <c r="BY20" s="1931"/>
      <c r="BZ20" s="1931"/>
      <c r="CA20" s="1931"/>
      <c r="CB20" s="1931"/>
      <c r="CC20" s="1931"/>
      <c r="CD20" s="1931"/>
      <c r="CE20" s="1930"/>
      <c r="CF20" s="1930"/>
      <c r="CG20" s="1930"/>
      <c r="CH20" s="1930"/>
      <c r="CI20" s="1931"/>
      <c r="CJ20" s="1931"/>
      <c r="CK20" s="1931"/>
      <c r="CL20" s="1931"/>
      <c r="CM20" s="1931"/>
      <c r="CN20" s="1931"/>
      <c r="CO20" s="1931"/>
      <c r="CP20" s="1931"/>
      <c r="CQ20" s="1931"/>
      <c r="CR20" s="1931"/>
      <c r="CS20" s="1931"/>
      <c r="CT20" s="1930"/>
      <c r="CU20" s="1930"/>
      <c r="CV20" s="1930"/>
      <c r="CW20" s="1930"/>
      <c r="CX20" s="1931"/>
      <c r="CY20" s="1931"/>
      <c r="CZ20" s="1931"/>
      <c r="DA20" s="1931"/>
      <c r="DB20" s="52">
        <f t="shared" si="7"/>
        <v>2.0160104307797662</v>
      </c>
      <c r="DC20" s="1948" t="str">
        <f t="shared" si="3"/>
        <v>Miscellaneous BUS 15 Year EUL</v>
      </c>
      <c r="DD20" s="1949">
        <f>(INDEX('Avoided Cost Benefits'!$C$4:$C$857,MATCH(DC20,'Avoided Cost Benefits'!$A$4:$A$857,0)))*F20</f>
        <v>364.17577758087714</v>
      </c>
      <c r="DE20" s="1949">
        <f t="shared" si="4"/>
        <v>180.64181217555446</v>
      </c>
    </row>
    <row r="21" spans="2:109" x14ac:dyDescent="0.25">
      <c r="B21" s="1931"/>
      <c r="C21" s="1997" t="s">
        <v>2672</v>
      </c>
      <c r="D21" s="1290" t="s">
        <v>2646</v>
      </c>
      <c r="E21" s="1121" t="s">
        <v>2673</v>
      </c>
      <c r="F21" s="139">
        <f t="shared" si="5"/>
        <v>1436.89</v>
      </c>
      <c r="G21" s="1290" t="s">
        <v>2671</v>
      </c>
      <c r="H21" s="1291">
        <f>VLOOKUP(G21,'CP FACTORS'!$A$26:$B$38,2,FALSE)</f>
        <v>1.379439E-4</v>
      </c>
      <c r="I21" s="1370">
        <f>ROUND(H21*F21,6)</f>
        <v>0.19821</v>
      </c>
      <c r="J21" s="1922">
        <f t="shared" si="2"/>
        <v>15</v>
      </c>
      <c r="K21" s="2087">
        <v>233.64</v>
      </c>
      <c r="L21" s="2088" t="s">
        <v>185</v>
      </c>
      <c r="M21" s="1293"/>
      <c r="N21" s="1965"/>
      <c r="O21" s="1965"/>
      <c r="P21" s="1965"/>
      <c r="Q21" s="1965"/>
      <c r="R21" s="1965"/>
      <c r="S21" s="1965"/>
      <c r="T21" s="1965"/>
      <c r="U21" s="1965"/>
      <c r="V21" s="3227" t="s">
        <v>31</v>
      </c>
      <c r="W21" s="2002">
        <v>1314</v>
      </c>
      <c r="X21" s="2098">
        <v>1556.3830153584765</v>
      </c>
      <c r="Y21" s="2098">
        <v>1482.2695384366443</v>
      </c>
      <c r="Z21" s="129">
        <v>1482.2695384366443</v>
      </c>
      <c r="AA21" s="129">
        <v>1482.2695384366443</v>
      </c>
      <c r="AB21" s="2002">
        <v>1482.27</v>
      </c>
      <c r="AC21" s="2098">
        <v>1436.92</v>
      </c>
      <c r="AD21" s="2002"/>
      <c r="AE21" s="2002"/>
      <c r="AF21" s="2002"/>
      <c r="AG21" s="2002"/>
      <c r="AH21" s="1933"/>
      <c r="AI21" s="3227" t="s">
        <v>181</v>
      </c>
      <c r="AJ21" s="64">
        <v>6</v>
      </c>
      <c r="AK21" s="64">
        <v>6</v>
      </c>
      <c r="AL21" s="64">
        <v>6</v>
      </c>
      <c r="AM21" s="64">
        <v>6</v>
      </c>
      <c r="AN21" s="64">
        <v>6</v>
      </c>
      <c r="AO21" s="2101">
        <v>6</v>
      </c>
      <c r="AP21" s="3356">
        <v>15</v>
      </c>
      <c r="AQ21" s="2002"/>
      <c r="AR21" s="2002"/>
      <c r="AS21" s="2002"/>
      <c r="AT21" s="1933"/>
      <c r="AU21" s="3227" t="s">
        <v>170</v>
      </c>
      <c r="AV21" s="2102">
        <v>233.64</v>
      </c>
      <c r="AW21" s="2102">
        <v>233.64</v>
      </c>
      <c r="AX21" s="2102">
        <v>233.64</v>
      </c>
      <c r="AY21" s="2102">
        <v>233.64</v>
      </c>
      <c r="AZ21" s="2102">
        <v>233.64</v>
      </c>
      <c r="BA21" s="2103">
        <v>233.64</v>
      </c>
      <c r="BB21" s="2103">
        <v>233.64</v>
      </c>
      <c r="BC21" s="2002"/>
      <c r="BD21" s="2002"/>
      <c r="BE21" s="2002"/>
      <c r="BF21" s="1933"/>
      <c r="BG21" s="1933"/>
      <c r="BH21" s="1933"/>
      <c r="BI21" s="1933"/>
      <c r="BJ21" s="1933"/>
      <c r="BK21" s="1931"/>
      <c r="BL21" s="1931"/>
      <c r="BM21" s="1931"/>
      <c r="BN21" s="1931"/>
      <c r="BO21" s="1931"/>
      <c r="BP21" s="1931"/>
      <c r="BQ21" s="1931"/>
      <c r="BR21" s="1931"/>
      <c r="BS21" s="1931"/>
      <c r="BT21" s="1931"/>
      <c r="BU21" s="1931"/>
      <c r="BV21" s="1931"/>
      <c r="BW21" s="1931"/>
      <c r="BX21" s="1931"/>
      <c r="BY21" s="1931"/>
      <c r="BZ21" s="1931"/>
      <c r="CA21" s="1931"/>
      <c r="CB21" s="1931"/>
      <c r="CC21" s="1931"/>
      <c r="CD21" s="1931"/>
      <c r="CE21" s="1930"/>
      <c r="CF21" s="1930"/>
      <c r="CG21" s="1930"/>
      <c r="CH21" s="1930"/>
      <c r="CI21" s="1931"/>
      <c r="CJ21" s="1931"/>
      <c r="CK21" s="1931"/>
      <c r="CL21" s="1931"/>
      <c r="CM21" s="1931"/>
      <c r="CN21" s="1931"/>
      <c r="CO21" s="1931"/>
      <c r="CP21" s="1931"/>
      <c r="CQ21" s="1931"/>
      <c r="CR21" s="1931"/>
      <c r="CS21" s="1931"/>
      <c r="CT21" s="1930"/>
      <c r="CU21" s="1930"/>
      <c r="CV21" s="1930"/>
      <c r="CW21" s="1930"/>
      <c r="CX21" s="1931"/>
      <c r="CY21" s="1931"/>
      <c r="CZ21" s="1931"/>
      <c r="DA21" s="1931"/>
      <c r="DB21" s="52">
        <f t="shared" si="7"/>
        <v>3.493329200512902</v>
      </c>
      <c r="DC21" s="1948" t="str">
        <f t="shared" si="3"/>
        <v>Miscellaneous BUS 15 Year EUL</v>
      </c>
      <c r="DD21" s="1949">
        <f>(INDEX('Avoided Cost Benefits'!$C$4:$C$857,MATCH(DC21,'Avoided Cost Benefits'!$A$4:$A$857,0)))*F21</f>
        <v>770.34585597719138</v>
      </c>
      <c r="DE21" s="1949">
        <f t="shared" si="4"/>
        <v>220.51911278905141</v>
      </c>
    </row>
    <row r="22" spans="2:109" x14ac:dyDescent="0.25">
      <c r="B22" s="1931"/>
      <c r="C22" s="1997" t="s">
        <v>2674</v>
      </c>
      <c r="D22" s="1290" t="s">
        <v>2646</v>
      </c>
      <c r="E22" s="1121" t="s">
        <v>2675</v>
      </c>
      <c r="F22" s="139">
        <f t="shared" si="5"/>
        <v>2576.13</v>
      </c>
      <c r="G22" s="1290" t="s">
        <v>2671</v>
      </c>
      <c r="H22" s="1291">
        <f>VLOOKUP(G22,'CP FACTORS'!$A$26:$B$38,2,FALSE)</f>
        <v>1.379439E-4</v>
      </c>
      <c r="I22" s="1370">
        <f t="shared" si="6"/>
        <v>0.35536099999999998</v>
      </c>
      <c r="J22" s="1922">
        <f t="shared" si="2"/>
        <v>15</v>
      </c>
      <c r="K22" s="2087">
        <v>361.64</v>
      </c>
      <c r="L22" s="2088" t="s">
        <v>185</v>
      </c>
      <c r="M22" s="1293"/>
      <c r="N22" s="1965"/>
      <c r="O22" s="1965"/>
      <c r="P22" s="1965"/>
      <c r="Q22" s="1965"/>
      <c r="R22" s="1965"/>
      <c r="S22" s="1965"/>
      <c r="T22" s="1965"/>
      <c r="U22" s="1965"/>
      <c r="V22" s="3227" t="s">
        <v>31</v>
      </c>
      <c r="W22" s="2002">
        <v>2452.8000000000002</v>
      </c>
      <c r="X22" s="2098">
        <v>2870.1497349058618</v>
      </c>
      <c r="Y22" s="2098">
        <v>2657.5460508387609</v>
      </c>
      <c r="Z22" s="129">
        <v>2657.5460508387609</v>
      </c>
      <c r="AA22" s="129">
        <v>2657.5460508387609</v>
      </c>
      <c r="AB22" s="2002">
        <v>2657.55</v>
      </c>
      <c r="AC22" s="2098">
        <v>2576.25</v>
      </c>
      <c r="AD22" s="2002"/>
      <c r="AE22" s="2002"/>
      <c r="AF22" s="2002"/>
      <c r="AG22" s="2002"/>
      <c r="AH22" s="1933"/>
      <c r="AI22" s="3227" t="s">
        <v>181</v>
      </c>
      <c r="AJ22" s="64">
        <v>6</v>
      </c>
      <c r="AK22" s="64">
        <v>6</v>
      </c>
      <c r="AL22" s="64">
        <v>6</v>
      </c>
      <c r="AM22" s="64">
        <v>6</v>
      </c>
      <c r="AN22" s="64">
        <v>6</v>
      </c>
      <c r="AO22" s="2101">
        <v>6</v>
      </c>
      <c r="AP22" s="3356">
        <v>15</v>
      </c>
      <c r="AQ22" s="2002"/>
      <c r="AR22" s="2002"/>
      <c r="AS22" s="2002"/>
      <c r="AT22" s="1933"/>
      <c r="AU22" s="3227" t="s">
        <v>170</v>
      </c>
      <c r="AV22" s="2102">
        <v>361.64</v>
      </c>
      <c r="AW22" s="2102">
        <v>361.64</v>
      </c>
      <c r="AX22" s="2102">
        <v>361.64</v>
      </c>
      <c r="AY22" s="2102">
        <v>361.64</v>
      </c>
      <c r="AZ22" s="2102">
        <v>361.64</v>
      </c>
      <c r="BA22" s="2103">
        <v>361.64</v>
      </c>
      <c r="BB22" s="2103">
        <v>361.64</v>
      </c>
      <c r="BC22" s="2002"/>
      <c r="BD22" s="2002"/>
      <c r="BE22" s="2002"/>
      <c r="BF22" s="1933"/>
      <c r="BG22" s="1933"/>
      <c r="BH22" s="1933"/>
      <c r="BI22" s="1933"/>
      <c r="BJ22" s="1933"/>
      <c r="BK22" s="1931"/>
      <c r="BL22" s="1931"/>
      <c r="BM22" s="1931"/>
      <c r="BN22" s="1931"/>
      <c r="BO22" s="1931"/>
      <c r="BP22" s="1931"/>
      <c r="BQ22" s="1931"/>
      <c r="BR22" s="1931"/>
      <c r="BS22" s="1931"/>
      <c r="BT22" s="1931"/>
      <c r="BU22" s="1931"/>
      <c r="BV22" s="1931"/>
      <c r="BW22" s="1931"/>
      <c r="BX22" s="1931"/>
      <c r="BY22" s="1931"/>
      <c r="BZ22" s="1931"/>
      <c r="CA22" s="1931"/>
      <c r="CB22" s="1931"/>
      <c r="CC22" s="1931"/>
      <c r="CD22" s="1931"/>
      <c r="CE22" s="1930"/>
      <c r="CF22" s="1930"/>
      <c r="CG22" s="1930"/>
      <c r="CH22" s="1930"/>
      <c r="CI22" s="1931"/>
      <c r="CJ22" s="1931"/>
      <c r="CK22" s="1931"/>
      <c r="CL22" s="1931"/>
      <c r="CM22" s="1931"/>
      <c r="CN22" s="1931"/>
      <c r="CO22" s="1931"/>
      <c r="CP22" s="1931"/>
      <c r="CQ22" s="1931"/>
      <c r="CR22" s="1931"/>
      <c r="CS22" s="1931"/>
      <c r="CT22" s="1930"/>
      <c r="CU22" s="1930"/>
      <c r="CV22" s="1930"/>
      <c r="CW22" s="1930"/>
      <c r="CX22" s="1931"/>
      <c r="CY22" s="1931"/>
      <c r="CZ22" s="1931"/>
      <c r="DA22" s="1931"/>
      <c r="DB22" s="2659">
        <f t="shared" si="7"/>
        <v>4.0462666916832903</v>
      </c>
      <c r="DC22" s="1948" t="str">
        <f t="shared" si="3"/>
        <v>Miscellaneous BUS 15 Year EUL</v>
      </c>
      <c r="DD22" s="2660">
        <f>(INDEX('Avoided Cost Benefits'!$C$4:$C$857,MATCH(DC22,'Avoided Cost Benefits'!$A$4:$A$857,0)))*F22</f>
        <v>1381.1155133368052</v>
      </c>
      <c r="DE22" s="2660">
        <f t="shared" si="4"/>
        <v>341.33081642284094</v>
      </c>
    </row>
    <row r="23" spans="2:109" x14ac:dyDescent="0.25">
      <c r="B23" s="1931"/>
      <c r="C23" s="1997" t="s">
        <v>2676</v>
      </c>
      <c r="D23" s="1290" t="s">
        <v>2646</v>
      </c>
      <c r="E23" s="1121" t="s">
        <v>2677</v>
      </c>
      <c r="F23" s="139">
        <f t="shared" si="5"/>
        <v>231.38</v>
      </c>
      <c r="G23" s="1290" t="s">
        <v>55</v>
      </c>
      <c r="H23" s="1291">
        <f>VLOOKUP(G23,'CP FACTORS'!$A$26:$B$38,2,FALSE)</f>
        <v>1.899635E-4</v>
      </c>
      <c r="I23" s="1370">
        <f t="shared" si="6"/>
        <v>4.3954E-2</v>
      </c>
      <c r="J23" s="1922">
        <f t="shared" si="2"/>
        <v>7</v>
      </c>
      <c r="K23" s="2087">
        <v>45.25</v>
      </c>
      <c r="L23" s="2088" t="s">
        <v>185</v>
      </c>
      <c r="M23" s="1293"/>
      <c r="N23" s="1965"/>
      <c r="O23" s="1965"/>
      <c r="P23" s="1965"/>
      <c r="Q23" s="1965"/>
      <c r="R23" s="1965"/>
      <c r="S23" s="1965"/>
      <c r="T23" s="1965"/>
      <c r="U23" s="1965"/>
      <c r="V23" s="3227" t="s">
        <v>31</v>
      </c>
      <c r="W23" s="2002">
        <v>253.07640000000004</v>
      </c>
      <c r="X23" s="129">
        <v>253.07640000000004</v>
      </c>
      <c r="Y23" s="2002">
        <v>253.07640000000004</v>
      </c>
      <c r="Z23" s="129">
        <v>253.07640000000004</v>
      </c>
      <c r="AA23" s="129">
        <v>253.07640000000004</v>
      </c>
      <c r="AB23" s="2002">
        <v>248.43</v>
      </c>
      <c r="AC23" s="2098">
        <v>231.65</v>
      </c>
      <c r="AD23" s="2002"/>
      <c r="AE23" s="2002"/>
      <c r="AF23" s="2002"/>
      <c r="AG23" s="2002"/>
      <c r="AH23" s="1933"/>
      <c r="AI23" s="3227" t="s">
        <v>181</v>
      </c>
      <c r="AJ23" s="64">
        <v>16</v>
      </c>
      <c r="AK23" s="64">
        <v>16</v>
      </c>
      <c r="AL23" s="64">
        <v>16</v>
      </c>
      <c r="AM23" s="64">
        <v>16</v>
      </c>
      <c r="AN23" s="64">
        <v>16</v>
      </c>
      <c r="AO23" s="2101">
        <v>16</v>
      </c>
      <c r="AP23" s="3356">
        <v>7</v>
      </c>
      <c r="AQ23" s="2002"/>
      <c r="AR23" s="2002"/>
      <c r="AS23" s="2002"/>
      <c r="AT23" s="1933"/>
      <c r="AU23" s="3227" t="s">
        <v>170</v>
      </c>
      <c r="AV23" s="2102">
        <v>45.25</v>
      </c>
      <c r="AW23" s="2102">
        <v>45.25</v>
      </c>
      <c r="AX23" s="2102">
        <v>45.25</v>
      </c>
      <c r="AY23" s="2102">
        <v>45.25</v>
      </c>
      <c r="AZ23" s="2102">
        <v>45.25</v>
      </c>
      <c r="BA23" s="2103">
        <v>45.25</v>
      </c>
      <c r="BB23" s="2103">
        <v>45.25</v>
      </c>
      <c r="BC23" s="2002"/>
      <c r="BD23" s="2002"/>
      <c r="BE23" s="2002"/>
      <c r="BF23" s="1933"/>
      <c r="BG23" s="1933"/>
      <c r="BH23" s="1933"/>
      <c r="BI23" s="1933"/>
      <c r="BJ23" s="1933"/>
      <c r="BK23" s="1931"/>
      <c r="BL23" s="1931"/>
      <c r="BM23" s="1931"/>
      <c r="BN23" s="1931"/>
      <c r="BO23" s="1931"/>
      <c r="BP23" s="1931"/>
      <c r="BQ23" s="1931"/>
      <c r="BR23" s="1931"/>
      <c r="BS23" s="1931"/>
      <c r="BT23" s="1931"/>
      <c r="BU23" s="1931"/>
      <c r="BV23" s="1931"/>
      <c r="BW23" s="1931"/>
      <c r="BX23" s="1931"/>
      <c r="BY23" s="1931"/>
      <c r="BZ23" s="1931"/>
      <c r="CA23" s="1931"/>
      <c r="CB23" s="1931"/>
      <c r="CC23" s="1931"/>
      <c r="CD23" s="1931"/>
      <c r="CE23" s="1930"/>
      <c r="CF23" s="1930"/>
      <c r="CG23" s="1930"/>
      <c r="CH23" s="1930"/>
      <c r="CI23" s="1931"/>
      <c r="CJ23" s="1931"/>
      <c r="CK23" s="1931"/>
      <c r="CL23" s="1931"/>
      <c r="CM23" s="1931"/>
      <c r="CN23" s="1931"/>
      <c r="CO23" s="1931"/>
      <c r="CP23" s="1931"/>
      <c r="CQ23" s="1931"/>
      <c r="CR23" s="1931"/>
      <c r="CS23" s="1931"/>
      <c r="CT23" s="1930"/>
      <c r="CU23" s="1930"/>
      <c r="CV23" s="1930"/>
      <c r="CW23" s="1930"/>
      <c r="CX23" s="1931"/>
      <c r="CY23" s="1931"/>
      <c r="CZ23" s="1931"/>
      <c r="DA23" s="1931"/>
      <c r="DB23" s="2659">
        <f t="shared" si="7"/>
        <v>1.4876682493412743</v>
      </c>
      <c r="DC23" s="1948" t="str">
        <f t="shared" si="3"/>
        <v>Lighting BUS 7 Year EUL</v>
      </c>
      <c r="DD23" s="2660">
        <f>(INDEX('Avoided Cost Benefits'!$C$4:$C$857,MATCH(DC23,'Avoided Cost Benefits'!$A$4:$A$857,0)))*F23</f>
        <v>63.536562796312083</v>
      </c>
      <c r="DE23" s="2660">
        <f t="shared" si="4"/>
        <v>42.708824917413871</v>
      </c>
    </row>
    <row r="24" spans="2:109" x14ac:dyDescent="0.25">
      <c r="B24" s="1931"/>
      <c r="C24" s="1997" t="s">
        <v>2678</v>
      </c>
      <c r="D24" s="1290" t="s">
        <v>2646</v>
      </c>
      <c r="E24" s="1121" t="s">
        <v>2679</v>
      </c>
      <c r="F24" s="139">
        <f t="shared" si="5"/>
        <v>350.14</v>
      </c>
      <c r="G24" s="1290" t="s">
        <v>55</v>
      </c>
      <c r="H24" s="1291">
        <f>VLOOKUP(G24,'CP FACTORS'!$A$26:$B$38,2,FALSE)</f>
        <v>1.899635E-4</v>
      </c>
      <c r="I24" s="1370">
        <f t="shared" si="6"/>
        <v>6.6514000000000004E-2</v>
      </c>
      <c r="J24" s="64">
        <f t="shared" si="2"/>
        <v>10</v>
      </c>
      <c r="K24" s="2087">
        <v>29.64</v>
      </c>
      <c r="L24" s="2088" t="s">
        <v>185</v>
      </c>
      <c r="M24" s="1293"/>
      <c r="N24" s="1965"/>
      <c r="O24" s="1965"/>
      <c r="P24" s="1965"/>
      <c r="Q24" s="1965"/>
      <c r="R24" s="1965"/>
      <c r="S24" s="1965"/>
      <c r="T24" s="1965"/>
      <c r="U24" s="1965"/>
      <c r="V24" s="3227" t="s">
        <v>31</v>
      </c>
      <c r="W24" s="2002">
        <v>222.56</v>
      </c>
      <c r="X24" s="129">
        <v>222.56</v>
      </c>
      <c r="Y24" s="2002">
        <v>222.56</v>
      </c>
      <c r="Z24" s="129">
        <v>222.56</v>
      </c>
      <c r="AA24" s="129">
        <v>222.56</v>
      </c>
      <c r="AB24" s="2002">
        <v>156.94</v>
      </c>
      <c r="AC24" s="2098">
        <v>350.49</v>
      </c>
      <c r="AD24" s="2002"/>
      <c r="AE24" s="2002"/>
      <c r="AF24" s="2002"/>
      <c r="AG24" s="2002"/>
      <c r="AH24" s="1933"/>
      <c r="AI24" s="3227" t="s">
        <v>181</v>
      </c>
      <c r="AJ24" s="64">
        <v>8</v>
      </c>
      <c r="AK24" s="64">
        <v>8</v>
      </c>
      <c r="AL24" s="64">
        <v>8</v>
      </c>
      <c r="AM24" s="64">
        <v>8</v>
      </c>
      <c r="AN24" s="64">
        <v>8</v>
      </c>
      <c r="AO24" s="2101">
        <v>10</v>
      </c>
      <c r="AP24" s="3356">
        <v>10</v>
      </c>
      <c r="AQ24" s="2002"/>
      <c r="AR24" s="2002"/>
      <c r="AS24" s="2002"/>
      <c r="AT24" s="1933"/>
      <c r="AU24" s="3227" t="s">
        <v>170</v>
      </c>
      <c r="AV24" s="2102">
        <v>29.64</v>
      </c>
      <c r="AW24" s="2102">
        <v>29.64</v>
      </c>
      <c r="AX24" s="2102">
        <v>29.64</v>
      </c>
      <c r="AY24" s="2102">
        <v>29.64</v>
      </c>
      <c r="AZ24" s="2102">
        <v>29.64</v>
      </c>
      <c r="BA24" s="2103">
        <v>29.64</v>
      </c>
      <c r="BB24" s="2103">
        <v>29.64</v>
      </c>
      <c r="BC24" s="2002"/>
      <c r="BD24" s="2002"/>
      <c r="BE24" s="2002"/>
      <c r="BF24" s="1933"/>
      <c r="BG24" s="1933"/>
      <c r="BH24" s="1933"/>
      <c r="BI24" s="1933"/>
      <c r="BJ24" s="1933"/>
      <c r="BK24" s="1931"/>
      <c r="BL24" s="1931"/>
      <c r="BM24" s="1931"/>
      <c r="BN24" s="1931"/>
      <c r="BO24" s="1931"/>
      <c r="BP24" s="1931"/>
      <c r="BQ24" s="1931"/>
      <c r="BR24" s="1931"/>
      <c r="BS24" s="1931"/>
      <c r="BT24" s="1931"/>
      <c r="BU24" s="1931"/>
      <c r="BV24" s="1931"/>
      <c r="BW24" s="1931"/>
      <c r="BX24" s="1931"/>
      <c r="BY24" s="1931"/>
      <c r="BZ24" s="1931"/>
      <c r="CA24" s="1931"/>
      <c r="CB24" s="1931"/>
      <c r="CC24" s="1931"/>
      <c r="CD24" s="1931"/>
      <c r="CE24" s="1930"/>
      <c r="CF24" s="1930"/>
      <c r="CG24" s="1930"/>
      <c r="CH24" s="1930"/>
      <c r="CI24" s="1931"/>
      <c r="CJ24" s="1931"/>
      <c r="CK24" s="1931"/>
      <c r="CL24" s="1931"/>
      <c r="CM24" s="1931"/>
      <c r="CN24" s="1931"/>
      <c r="CO24" s="1931"/>
      <c r="CP24" s="1931"/>
      <c r="CQ24" s="1931"/>
      <c r="CR24" s="1931"/>
      <c r="CS24" s="1931"/>
      <c r="CT24" s="1930"/>
      <c r="CU24" s="1930"/>
      <c r="CV24" s="1930"/>
      <c r="CW24" s="1930"/>
      <c r="CX24" s="1931"/>
      <c r="CY24" s="1931"/>
      <c r="CZ24" s="1931"/>
      <c r="DA24" s="1931"/>
      <c r="DB24" s="2659">
        <f t="shared" si="7"/>
        <v>4.9388336167012783</v>
      </c>
      <c r="DC24" s="1948" t="str">
        <f t="shared" si="3"/>
        <v>Lighting BUS 10 Year EUL</v>
      </c>
      <c r="DD24" s="2660">
        <f>(INDEX('Avoided Cost Benefits'!$C$4:$C$857,MATCH(DC24,'Avoided Cost Benefits'!$A$4:$A$857,0)))*F24</f>
        <v>138.16614289667379</v>
      </c>
      <c r="DE24" s="2660">
        <f t="shared" si="4"/>
        <v>27.975460122699385</v>
      </c>
    </row>
    <row r="25" spans="2:109" s="1931" customFormat="1" x14ac:dyDescent="0.25">
      <c r="C25" s="1997" t="s">
        <v>2680</v>
      </c>
      <c r="D25" s="1290" t="s">
        <v>2646</v>
      </c>
      <c r="E25" s="1121" t="s">
        <v>4356</v>
      </c>
      <c r="F25" s="139">
        <f t="shared" si="5"/>
        <v>476.95</v>
      </c>
      <c r="G25" s="1290" t="s">
        <v>55</v>
      </c>
      <c r="H25" s="1291">
        <f>VLOOKUP(G25,'CP FACTORS'!$A$26:$B$38,2,FALSE)</f>
        <v>1.899635E-4</v>
      </c>
      <c r="I25" s="1370">
        <f t="shared" ref="I25" si="8">ROUND(H25*F25,6)</f>
        <v>9.0603000000000003E-2</v>
      </c>
      <c r="J25" s="64">
        <f t="shared" si="2"/>
        <v>15</v>
      </c>
      <c r="K25" s="2087">
        <v>29.64</v>
      </c>
      <c r="L25" s="2088" t="s">
        <v>185</v>
      </c>
      <c r="M25" s="1293"/>
      <c r="N25" s="1965"/>
      <c r="O25" s="1965"/>
      <c r="P25" s="1965"/>
      <c r="Q25" s="1965"/>
      <c r="R25" s="1965"/>
      <c r="S25" s="1965"/>
      <c r="T25" s="1965"/>
      <c r="U25" s="1965"/>
      <c r="V25" s="3227" t="s">
        <v>31</v>
      </c>
      <c r="W25" s="3354"/>
      <c r="X25" s="3355"/>
      <c r="Y25" s="3354"/>
      <c r="Z25" s="3355"/>
      <c r="AA25" s="3355"/>
      <c r="AB25" s="2002">
        <v>365.22</v>
      </c>
      <c r="AC25" s="2098">
        <v>476.96</v>
      </c>
      <c r="AD25" s="2002"/>
      <c r="AE25" s="2002"/>
      <c r="AF25" s="2002"/>
      <c r="AG25" s="2002"/>
      <c r="AH25" s="1933"/>
      <c r="AI25" s="538" t="s">
        <v>181</v>
      </c>
      <c r="AJ25" s="3357"/>
      <c r="AK25" s="3357"/>
      <c r="AL25" s="3357"/>
      <c r="AM25" s="3357"/>
      <c r="AN25" s="3357"/>
      <c r="AO25" s="2101">
        <v>15</v>
      </c>
      <c r="AP25" s="3356">
        <v>15</v>
      </c>
      <c r="AQ25" s="2002"/>
      <c r="AR25" s="2002"/>
      <c r="AS25" s="2002"/>
      <c r="AT25" s="1933"/>
      <c r="AU25" s="538" t="s">
        <v>170</v>
      </c>
      <c r="AV25" s="3359"/>
      <c r="AW25" s="3359"/>
      <c r="AX25" s="3359"/>
      <c r="AY25" s="3359"/>
      <c r="AZ25" s="3359"/>
      <c r="BA25" s="2103">
        <v>29.64</v>
      </c>
      <c r="BB25" s="2103">
        <v>29.64</v>
      </c>
      <c r="BC25" s="2002"/>
      <c r="BD25" s="2002"/>
      <c r="BE25" s="2002"/>
      <c r="BF25" s="1933"/>
      <c r="BG25" s="1933"/>
      <c r="BH25" s="1933"/>
      <c r="BI25" s="1933"/>
      <c r="BJ25" s="1933"/>
      <c r="CE25" s="1930"/>
      <c r="CF25" s="1930"/>
      <c r="CG25" s="1930"/>
      <c r="CH25" s="1930"/>
      <c r="CT25" s="1930"/>
      <c r="CU25" s="1930"/>
      <c r="CV25" s="1930"/>
      <c r="CW25" s="1930"/>
      <c r="DB25" s="2659">
        <f t="shared" si="7"/>
        <v>9.8781270090657394</v>
      </c>
      <c r="DC25" s="1948" t="str">
        <f t="shared" si="3"/>
        <v>Lighting BUS 15 Year EUL</v>
      </c>
      <c r="DD25" s="2660">
        <f>(INDEX('Avoided Cost Benefits'!$C$4:$C$857,MATCH(DC25,'Avoided Cost Benefits'!$A$4:$A$857,0)))*F25</f>
        <v>276.34514822907835</v>
      </c>
      <c r="DE25" s="2660">
        <f t="shared" ref="DE25:DE33" si="9">K25/(1.0595^(2020-2019))</f>
        <v>27.975460122699385</v>
      </c>
    </row>
    <row r="26" spans="2:109" s="1931" customFormat="1" x14ac:dyDescent="0.25">
      <c r="C26" s="3311" t="s">
        <v>4401</v>
      </c>
      <c r="D26" s="3312" t="s">
        <v>2646</v>
      </c>
      <c r="E26" s="3318" t="s">
        <v>4305</v>
      </c>
      <c r="F26" s="139">
        <f t="shared" si="5"/>
        <v>370.51</v>
      </c>
      <c r="G26" s="3312" t="s">
        <v>55</v>
      </c>
      <c r="H26" s="3314">
        <v>1.899635E-4</v>
      </c>
      <c r="I26" s="3315">
        <v>14.766935999999999</v>
      </c>
      <c r="J26" s="1922">
        <f t="shared" si="2"/>
        <v>11</v>
      </c>
      <c r="K26" s="2089">
        <v>29.64</v>
      </c>
      <c r="L26" s="3316" t="s">
        <v>185</v>
      </c>
      <c r="M26" s="1293"/>
      <c r="N26" s="1965"/>
      <c r="O26" s="1965"/>
      <c r="P26" s="1965"/>
      <c r="Q26" s="1965"/>
      <c r="R26" s="1965"/>
      <c r="S26" s="1965"/>
      <c r="T26" s="1965"/>
      <c r="U26" s="1965"/>
      <c r="V26" s="538" t="s">
        <v>31</v>
      </c>
      <c r="W26" s="3354"/>
      <c r="X26" s="3355"/>
      <c r="Y26" s="3354"/>
      <c r="Z26" s="3355"/>
      <c r="AA26" s="3355"/>
      <c r="AB26" s="3355"/>
      <c r="AC26" s="2098">
        <v>0</v>
      </c>
      <c r="AD26" s="2002"/>
      <c r="AE26" s="2002"/>
      <c r="AF26" s="2002"/>
      <c r="AG26" s="2002"/>
      <c r="AH26" s="1933"/>
      <c r="AI26" s="538" t="s">
        <v>181</v>
      </c>
      <c r="AJ26" s="3357"/>
      <c r="AK26" s="3357"/>
      <c r="AL26" s="3357"/>
      <c r="AM26" s="3357"/>
      <c r="AN26" s="3357"/>
      <c r="AO26" s="3358"/>
      <c r="AP26" s="3356">
        <v>11</v>
      </c>
      <c r="AQ26" s="2002"/>
      <c r="AR26" s="2002"/>
      <c r="AS26" s="2002"/>
      <c r="AT26" s="1933"/>
      <c r="AU26" s="538" t="s">
        <v>170</v>
      </c>
      <c r="AV26" s="3359"/>
      <c r="AW26" s="3359"/>
      <c r="AX26" s="3359"/>
      <c r="AY26" s="3359"/>
      <c r="AZ26" s="3359"/>
      <c r="BA26" s="3360"/>
      <c r="BB26" s="2103">
        <v>29.64</v>
      </c>
      <c r="BC26" s="2002"/>
      <c r="BD26" s="2002"/>
      <c r="BE26" s="2002"/>
      <c r="BF26" s="1933"/>
      <c r="BG26" s="1933"/>
      <c r="BH26" s="1933"/>
      <c r="BI26" s="1933"/>
      <c r="BJ26" s="1933"/>
      <c r="CE26" s="1930"/>
      <c r="CF26" s="1930"/>
      <c r="CG26" s="1930"/>
      <c r="CH26" s="1930"/>
      <c r="CT26" s="1930"/>
      <c r="CU26" s="1930"/>
      <c r="CV26" s="1930"/>
      <c r="CW26" s="1930"/>
      <c r="DB26" s="2659">
        <f t="shared" ref="DB26" si="10">(DD26)/(DE26)</f>
        <v>5.7429179895653952</v>
      </c>
      <c r="DC26" s="1948" t="str">
        <f t="shared" ref="DC26" si="11">CONCATENATE(G26," ",J26," Year EUL")</f>
        <v>Lighting BUS 11 Year EUL</v>
      </c>
      <c r="DD26" s="2660">
        <f>(INDEX('Avoided Cost Benefits'!$C$4:$C$857,MATCH(DC26,'Avoided Cost Benefits'!$A$4:$A$857,0)))*F26</f>
        <v>160.66077320501964</v>
      </c>
      <c r="DE26" s="2660">
        <f t="shared" ref="DE26" si="12">K26/(1.0595^(2020-2019))</f>
        <v>27.975460122699385</v>
      </c>
    </row>
    <row r="27" spans="2:109" x14ac:dyDescent="0.25">
      <c r="B27" s="1931"/>
      <c r="C27" s="1997" t="s">
        <v>2681</v>
      </c>
      <c r="D27" s="1290" t="s">
        <v>2646</v>
      </c>
      <c r="E27" s="1121" t="s">
        <v>2682</v>
      </c>
      <c r="F27" s="139">
        <f t="shared" si="5"/>
        <v>208.33</v>
      </c>
      <c r="G27" s="1290" t="s">
        <v>55</v>
      </c>
      <c r="H27" s="1291">
        <f>VLOOKUP(G27,'CP FACTORS'!$A$26:$B$38,2,FALSE)</f>
        <v>1.899635E-4</v>
      </c>
      <c r="I27" s="1370">
        <f t="shared" si="6"/>
        <v>3.9574999999999999E-2</v>
      </c>
      <c r="J27" s="64">
        <f t="shared" si="2"/>
        <v>10</v>
      </c>
      <c r="K27" s="2087">
        <v>29.64</v>
      </c>
      <c r="L27" s="2088" t="s">
        <v>185</v>
      </c>
      <c r="M27" s="1293"/>
      <c r="N27" s="1965"/>
      <c r="O27" s="1965"/>
      <c r="P27" s="1965"/>
      <c r="Q27" s="1965"/>
      <c r="R27" s="1965"/>
      <c r="S27" s="1965"/>
      <c r="T27" s="1965"/>
      <c r="U27" s="1965"/>
      <c r="V27" s="3227" t="s">
        <v>31</v>
      </c>
      <c r="W27" s="2002">
        <v>82.39</v>
      </c>
      <c r="X27" s="2098">
        <v>84.819074273197472</v>
      </c>
      <c r="Y27" s="2002">
        <v>84.819074273197472</v>
      </c>
      <c r="Z27" s="129">
        <v>84.819074273197472</v>
      </c>
      <c r="AA27" s="129">
        <v>84.819074273197472</v>
      </c>
      <c r="AB27" s="2002">
        <v>86.01</v>
      </c>
      <c r="AC27" s="2098">
        <v>207.73</v>
      </c>
      <c r="AD27" s="2002"/>
      <c r="AE27" s="2002"/>
      <c r="AF27" s="2002"/>
      <c r="AG27" s="2002"/>
      <c r="AH27" s="1933"/>
      <c r="AI27" s="3227" t="s">
        <v>181</v>
      </c>
      <c r="AJ27" s="64">
        <v>9</v>
      </c>
      <c r="AK27" s="64">
        <v>9</v>
      </c>
      <c r="AL27" s="64">
        <v>9</v>
      </c>
      <c r="AM27" s="64">
        <v>9</v>
      </c>
      <c r="AN27" s="64">
        <v>9</v>
      </c>
      <c r="AO27" s="2101">
        <v>10</v>
      </c>
      <c r="AP27" s="3356">
        <v>10</v>
      </c>
      <c r="AQ27" s="2002"/>
      <c r="AR27" s="2002"/>
      <c r="AS27" s="2002"/>
      <c r="AT27" s="1933"/>
      <c r="AU27" s="3227" t="s">
        <v>170</v>
      </c>
      <c r="AV27" s="2102">
        <v>29.64</v>
      </c>
      <c r="AW27" s="2102">
        <v>29.64</v>
      </c>
      <c r="AX27" s="2102">
        <v>29.64</v>
      </c>
      <c r="AY27" s="2102">
        <v>29.64</v>
      </c>
      <c r="AZ27" s="2102">
        <v>29.64</v>
      </c>
      <c r="BA27" s="2103">
        <v>29.64</v>
      </c>
      <c r="BB27" s="2103">
        <v>29.64</v>
      </c>
      <c r="BC27" s="2002"/>
      <c r="BD27" s="2002"/>
      <c r="BE27" s="2002"/>
      <c r="BF27" s="1933"/>
      <c r="BG27" s="1933"/>
      <c r="BH27" s="1933"/>
      <c r="BI27" s="1933"/>
      <c r="BJ27" s="1933"/>
      <c r="BK27" s="1931"/>
      <c r="BL27" s="1931"/>
      <c r="BM27" s="1931"/>
      <c r="BN27" s="1931"/>
      <c r="BO27" s="1931"/>
      <c r="BP27" s="1931"/>
      <c r="BQ27" s="1931"/>
      <c r="BR27" s="1931"/>
      <c r="BS27" s="1931"/>
      <c r="BT27" s="1931"/>
      <c r="BU27" s="1931"/>
      <c r="BV27" s="1931"/>
      <c r="BW27" s="1931"/>
      <c r="BX27" s="1931"/>
      <c r="BY27" s="1931"/>
      <c r="BZ27" s="1931"/>
      <c r="CA27" s="1931"/>
      <c r="CB27" s="1931"/>
      <c r="CC27" s="1931"/>
      <c r="CD27" s="1931"/>
      <c r="CE27" s="1930"/>
      <c r="CF27" s="1930"/>
      <c r="CG27" s="1930"/>
      <c r="CH27" s="1930"/>
      <c r="CI27" s="1931"/>
      <c r="CJ27" s="1931"/>
      <c r="CK27" s="1931"/>
      <c r="CL27" s="1931"/>
      <c r="CM27" s="1931"/>
      <c r="CN27" s="1931"/>
      <c r="CO27" s="1931"/>
      <c r="CP27" s="1931"/>
      <c r="CQ27" s="1931"/>
      <c r="CR27" s="1931"/>
      <c r="CS27" s="1931"/>
      <c r="CT27" s="1930"/>
      <c r="CU27" s="1930"/>
      <c r="CV27" s="1930"/>
      <c r="CW27" s="1930"/>
      <c r="CX27" s="1931"/>
      <c r="CY27" s="1931"/>
      <c r="CZ27" s="1931"/>
      <c r="DA27" s="1931"/>
      <c r="DB27" s="2659">
        <f t="shared" si="7"/>
        <v>2.938559454410743</v>
      </c>
      <c r="DC27" s="1948" t="str">
        <f t="shared" si="3"/>
        <v>Lighting BUS 10 Year EUL</v>
      </c>
      <c r="DD27" s="2660">
        <f>(INDEX('Avoided Cost Benefits'!$C$4:$C$857,MATCH(DC27,'Avoided Cost Benefits'!$A$4:$A$857,0)))*F27</f>
        <v>82.207552835049</v>
      </c>
      <c r="DE27" s="2660">
        <f t="shared" si="9"/>
        <v>27.975460122699385</v>
      </c>
    </row>
    <row r="28" spans="2:109" s="1931" customFormat="1" x14ac:dyDescent="0.25">
      <c r="C28" s="1997" t="s">
        <v>2683</v>
      </c>
      <c r="D28" s="1290" t="s">
        <v>2646</v>
      </c>
      <c r="E28" s="1121" t="s">
        <v>4357</v>
      </c>
      <c r="F28" s="139">
        <f t="shared" si="5"/>
        <v>209</v>
      </c>
      <c r="G28" s="1290" t="s">
        <v>55</v>
      </c>
      <c r="H28" s="1291">
        <f>VLOOKUP(G28,'CP FACTORS'!$A$26:$B$38,2,FALSE)</f>
        <v>1.899635E-4</v>
      </c>
      <c r="I28" s="1370">
        <f t="shared" si="6"/>
        <v>3.9702000000000001E-2</v>
      </c>
      <c r="J28" s="64">
        <f t="shared" si="2"/>
        <v>15</v>
      </c>
      <c r="K28" s="2087">
        <v>29.64</v>
      </c>
      <c r="L28" s="2088" t="s">
        <v>185</v>
      </c>
      <c r="M28" s="1293"/>
      <c r="N28" s="1965"/>
      <c r="O28" s="1965"/>
      <c r="P28" s="1965"/>
      <c r="Q28" s="1965"/>
      <c r="R28" s="1965"/>
      <c r="S28" s="1965"/>
      <c r="T28" s="1965"/>
      <c r="U28" s="1965"/>
      <c r="V28" s="3227" t="s">
        <v>31</v>
      </c>
      <c r="W28" s="3354"/>
      <c r="X28" s="3355"/>
      <c r="Y28" s="3354"/>
      <c r="Z28" s="3355"/>
      <c r="AA28" s="3355"/>
      <c r="AB28" s="2002">
        <v>161.24</v>
      </c>
      <c r="AC28" s="2098">
        <v>212.23</v>
      </c>
      <c r="AD28" s="2002"/>
      <c r="AE28" s="2002"/>
      <c r="AF28" s="2002"/>
      <c r="AG28" s="2002"/>
      <c r="AH28" s="1933"/>
      <c r="AI28" s="538" t="s">
        <v>181</v>
      </c>
      <c r="AJ28" s="3357"/>
      <c r="AK28" s="3357"/>
      <c r="AL28" s="3357"/>
      <c r="AM28" s="3357"/>
      <c r="AN28" s="3357"/>
      <c r="AO28" s="2101">
        <v>15</v>
      </c>
      <c r="AP28" s="3356">
        <v>15</v>
      </c>
      <c r="AQ28" s="2002"/>
      <c r="AR28" s="2002"/>
      <c r="AS28" s="2002"/>
      <c r="AT28" s="1933"/>
      <c r="AU28" s="538" t="s">
        <v>170</v>
      </c>
      <c r="AV28" s="3359"/>
      <c r="AW28" s="3359"/>
      <c r="AX28" s="3359"/>
      <c r="AY28" s="3359"/>
      <c r="AZ28" s="3359"/>
      <c r="BA28" s="2103">
        <v>29.64</v>
      </c>
      <c r="BB28" s="2103">
        <v>29.64</v>
      </c>
      <c r="BC28" s="2002"/>
      <c r="BD28" s="2002"/>
      <c r="BE28" s="2002"/>
      <c r="BF28" s="1933"/>
      <c r="BG28" s="1933"/>
      <c r="BH28" s="1933"/>
      <c r="BI28" s="1933"/>
      <c r="BJ28" s="1933"/>
      <c r="CE28" s="1930"/>
      <c r="CF28" s="1930"/>
      <c r="CG28" s="1930"/>
      <c r="CH28" s="1930"/>
      <c r="CT28" s="1930"/>
      <c r="CU28" s="1930"/>
      <c r="CV28" s="1930"/>
      <c r="CW28" s="1930"/>
      <c r="DB28" s="2659">
        <f t="shared" si="7"/>
        <v>4.3286058179992448</v>
      </c>
      <c r="DC28" s="1948" t="str">
        <f t="shared" si="3"/>
        <v>Lighting BUS 15 Year EUL</v>
      </c>
      <c r="DD28" s="2660">
        <f>(INDEX('Avoided Cost Benefits'!$C$4:$C$857,MATCH(DC28,'Avoided Cost Benefits'!$A$4:$A$857,0)))*F28</f>
        <v>121.09473944832241</v>
      </c>
      <c r="DE28" s="2660">
        <f t="shared" si="9"/>
        <v>27.975460122699385</v>
      </c>
    </row>
    <row r="29" spans="2:109" s="1931" customFormat="1" x14ac:dyDescent="0.25">
      <c r="C29" s="3311" t="s">
        <v>4402</v>
      </c>
      <c r="D29" s="3312" t="s">
        <v>2646</v>
      </c>
      <c r="E29" s="3318" t="s">
        <v>4304</v>
      </c>
      <c r="F29" s="139">
        <f t="shared" si="5"/>
        <v>263.39</v>
      </c>
      <c r="G29" s="3312" t="s">
        <v>55</v>
      </c>
      <c r="H29" s="3314">
        <v>1.899635E-4</v>
      </c>
      <c r="I29" s="3315">
        <v>14.766935999999999</v>
      </c>
      <c r="J29" s="1922">
        <f t="shared" si="2"/>
        <v>11</v>
      </c>
      <c r="K29" s="2089">
        <v>29.64</v>
      </c>
      <c r="L29" s="3316" t="s">
        <v>185</v>
      </c>
      <c r="M29" s="1293"/>
      <c r="N29" s="1965"/>
      <c r="O29" s="1965"/>
      <c r="P29" s="1965"/>
      <c r="Q29" s="1965"/>
      <c r="R29" s="1965"/>
      <c r="S29" s="1965"/>
      <c r="T29" s="1965"/>
      <c r="U29" s="1965"/>
      <c r="V29" s="538" t="s">
        <v>31</v>
      </c>
      <c r="W29" s="3354"/>
      <c r="X29" s="3355"/>
      <c r="Y29" s="3354"/>
      <c r="Z29" s="3355"/>
      <c r="AA29" s="3355"/>
      <c r="AB29" s="3355"/>
      <c r="AC29" s="2098">
        <v>0</v>
      </c>
      <c r="AD29" s="2002"/>
      <c r="AE29" s="2002"/>
      <c r="AF29" s="2002"/>
      <c r="AG29" s="2002"/>
      <c r="AH29" s="1933"/>
      <c r="AI29" s="538" t="s">
        <v>181</v>
      </c>
      <c r="AJ29" s="3357"/>
      <c r="AK29" s="3357"/>
      <c r="AL29" s="3357"/>
      <c r="AM29" s="3357"/>
      <c r="AN29" s="3357"/>
      <c r="AO29" s="3358"/>
      <c r="AP29" s="3356">
        <v>11</v>
      </c>
      <c r="AQ29" s="2002"/>
      <c r="AR29" s="2002"/>
      <c r="AS29" s="2002"/>
      <c r="AT29" s="1933"/>
      <c r="AU29" s="538" t="s">
        <v>170</v>
      </c>
      <c r="AV29" s="3359"/>
      <c r="AW29" s="3359"/>
      <c r="AX29" s="3359"/>
      <c r="AY29" s="3359"/>
      <c r="AZ29" s="3359"/>
      <c r="BA29" s="3359"/>
      <c r="BB29" s="2103">
        <v>29.64</v>
      </c>
      <c r="BC29" s="2002"/>
      <c r="BD29" s="2002"/>
      <c r="BE29" s="2002"/>
      <c r="BF29" s="1933"/>
      <c r="BG29" s="1933"/>
      <c r="BH29" s="1933"/>
      <c r="BI29" s="1933"/>
      <c r="BJ29" s="1933"/>
      <c r="CE29" s="1930"/>
      <c r="CF29" s="1930"/>
      <c r="CG29" s="1930"/>
      <c r="CH29" s="1930"/>
      <c r="CT29" s="1930"/>
      <c r="CU29" s="1930"/>
      <c r="CV29" s="1930"/>
      <c r="CW29" s="1930"/>
      <c r="DB29" s="2659">
        <f t="shared" ref="DB29" si="13">(DD29)/(DE29)</f>
        <v>4.0825542340871488</v>
      </c>
      <c r="DC29" s="1948" t="str">
        <f t="shared" ref="DC29" si="14">CONCATENATE(G29," ",J29," Year EUL")</f>
        <v>Lighting BUS 11 Year EUL</v>
      </c>
      <c r="DD29" s="2660">
        <f>(INDEX('Avoided Cost Benefits'!$C$4:$C$857,MATCH(DC29,'Avoided Cost Benefits'!$A$4:$A$857,0)))*F29</f>
        <v>114.21133317446257</v>
      </c>
      <c r="DE29" s="2660">
        <f t="shared" ref="DE29" si="15">K29/(1.0595^(2020-2019))</f>
        <v>27.975460122699385</v>
      </c>
    </row>
    <row r="30" spans="2:109" x14ac:dyDescent="0.25">
      <c r="B30" s="1931"/>
      <c r="C30" s="1997" t="s">
        <v>2684</v>
      </c>
      <c r="D30" s="1290" t="s">
        <v>2646</v>
      </c>
      <c r="E30" s="1298" t="s">
        <v>2685</v>
      </c>
      <c r="F30" s="139">
        <f t="shared" si="5"/>
        <v>224.23</v>
      </c>
      <c r="G30" s="1290" t="s">
        <v>55</v>
      </c>
      <c r="H30" s="1291">
        <f>VLOOKUP(G30,'CP FACTORS'!$A$26:$B$38,2,FALSE)</f>
        <v>1.899635E-4</v>
      </c>
      <c r="I30" s="1370">
        <f t="shared" si="6"/>
        <v>4.2596000000000002E-2</v>
      </c>
      <c r="J30" s="64">
        <f t="shared" si="2"/>
        <v>10</v>
      </c>
      <c r="K30" s="2087">
        <v>29.64</v>
      </c>
      <c r="L30" s="2088" t="s">
        <v>185</v>
      </c>
      <c r="M30" s="1293"/>
      <c r="N30" s="1965"/>
      <c r="O30" s="1965"/>
      <c r="P30" s="1965"/>
      <c r="Q30" s="1965"/>
      <c r="R30" s="1965"/>
      <c r="S30" s="1965"/>
      <c r="T30" s="1965"/>
      <c r="U30" s="1965"/>
      <c r="V30" s="3227" t="s">
        <v>31</v>
      </c>
      <c r="W30" s="2002">
        <v>124.6336</v>
      </c>
      <c r="X30" s="2098">
        <v>92.556746382707516</v>
      </c>
      <c r="Y30" s="2002">
        <v>92.556746382707516</v>
      </c>
      <c r="Z30" s="129">
        <v>92.556746382707516</v>
      </c>
      <c r="AA30" s="129">
        <v>92.556746382707516</v>
      </c>
      <c r="AB30" s="2002">
        <v>150</v>
      </c>
      <c r="AC30" s="2098">
        <v>224.43</v>
      </c>
      <c r="AD30" s="2002"/>
      <c r="AE30" s="2002"/>
      <c r="AF30" s="2002"/>
      <c r="AG30" s="2002"/>
      <c r="AH30" s="1933"/>
      <c r="AI30" s="3227" t="s">
        <v>181</v>
      </c>
      <c r="AJ30" s="64">
        <v>14</v>
      </c>
      <c r="AK30" s="64">
        <v>14</v>
      </c>
      <c r="AL30" s="64">
        <v>14</v>
      </c>
      <c r="AM30" s="64">
        <v>14</v>
      </c>
      <c r="AN30" s="64">
        <v>14</v>
      </c>
      <c r="AO30" s="2101">
        <v>10</v>
      </c>
      <c r="AP30" s="3356">
        <v>10</v>
      </c>
      <c r="AQ30" s="2002"/>
      <c r="AR30" s="2002"/>
      <c r="AS30" s="2002"/>
      <c r="AT30" s="1933"/>
      <c r="AU30" s="3227" t="s">
        <v>170</v>
      </c>
      <c r="AV30" s="2102">
        <v>29.64</v>
      </c>
      <c r="AW30" s="2102">
        <v>29.64</v>
      </c>
      <c r="AX30" s="2102">
        <v>29.64</v>
      </c>
      <c r="AY30" s="2102">
        <v>29.64</v>
      </c>
      <c r="AZ30" s="2102">
        <v>29.64</v>
      </c>
      <c r="BA30" s="2103">
        <v>29.64</v>
      </c>
      <c r="BB30" s="2103">
        <v>29.64</v>
      </c>
      <c r="BC30" s="2002"/>
      <c r="BD30" s="2002"/>
      <c r="BE30" s="2002"/>
      <c r="BF30" s="1933"/>
      <c r="BG30" s="1933"/>
      <c r="BH30" s="1933"/>
      <c r="BI30" s="1933"/>
      <c r="BJ30" s="1933"/>
      <c r="BK30" s="1931"/>
      <c r="BL30" s="1931"/>
      <c r="BM30" s="1931"/>
      <c r="BN30" s="1931"/>
      <c r="BO30" s="1931"/>
      <c r="BP30" s="1931"/>
      <c r="BQ30" s="1931"/>
      <c r="BR30" s="1931"/>
      <c r="BS30" s="1931"/>
      <c r="BT30" s="1931"/>
      <c r="BU30" s="1931"/>
      <c r="BV30" s="1931"/>
      <c r="BW30" s="1931"/>
      <c r="BX30" s="1931"/>
      <c r="BY30" s="1931"/>
      <c r="BZ30" s="1931"/>
      <c r="CA30" s="1931"/>
      <c r="CB30" s="1931"/>
      <c r="CC30" s="1931"/>
      <c r="CD30" s="1931"/>
      <c r="CE30" s="1930"/>
      <c r="CF30" s="1930"/>
      <c r="CG30" s="1930"/>
      <c r="CH30" s="1930"/>
      <c r="CI30" s="1931"/>
      <c r="CJ30" s="1931"/>
      <c r="CK30" s="1931"/>
      <c r="CL30" s="1931"/>
      <c r="CM30" s="1931"/>
      <c r="CN30" s="1931"/>
      <c r="CO30" s="1931"/>
      <c r="CP30" s="1931"/>
      <c r="CQ30" s="1931"/>
      <c r="CR30" s="1931"/>
      <c r="CS30" s="1931"/>
      <c r="CT30" s="1930"/>
      <c r="CU30" s="1930"/>
      <c r="CV30" s="1930"/>
      <c r="CW30" s="1930"/>
      <c r="CX30" s="1931"/>
      <c r="CY30" s="1931"/>
      <c r="CZ30" s="1931"/>
      <c r="DA30" s="1931"/>
      <c r="DB30" s="2659">
        <f t="shared" si="7"/>
        <v>3.1628339003625054</v>
      </c>
      <c r="DC30" s="1948" t="str">
        <f t="shared" si="3"/>
        <v>Lighting BUS 10 Year EUL</v>
      </c>
      <c r="DD30" s="2660">
        <f>(INDEX('Avoided Cost Benefits'!$C$4:$C$857,MATCH(DC30,'Avoided Cost Benefits'!$A$4:$A$857,0)))*F30</f>
        <v>88.481733654313032</v>
      </c>
      <c r="DE30" s="2660">
        <f t="shared" si="9"/>
        <v>27.975460122699385</v>
      </c>
    </row>
    <row r="31" spans="2:109" s="1931" customFormat="1" x14ac:dyDescent="0.25">
      <c r="C31" s="1997" t="s">
        <v>2686</v>
      </c>
      <c r="D31" s="1290" t="s">
        <v>2646</v>
      </c>
      <c r="E31" s="1298" t="s">
        <v>4358</v>
      </c>
      <c r="F31" s="139">
        <f t="shared" si="5"/>
        <v>273.82</v>
      </c>
      <c r="G31" s="1290" t="s">
        <v>55</v>
      </c>
      <c r="H31" s="1291">
        <f>VLOOKUP(G31,'CP FACTORS'!$A$26:$B$38,2,FALSE)</f>
        <v>1.899635E-4</v>
      </c>
      <c r="I31" s="1370">
        <f t="shared" si="6"/>
        <v>5.2016E-2</v>
      </c>
      <c r="J31" s="64">
        <f t="shared" si="2"/>
        <v>15</v>
      </c>
      <c r="K31" s="2087">
        <v>29.64</v>
      </c>
      <c r="L31" s="2088" t="s">
        <v>185</v>
      </c>
      <c r="M31" s="1293"/>
      <c r="N31" s="1965"/>
      <c r="O31" s="1965"/>
      <c r="P31" s="1965"/>
      <c r="Q31" s="1965"/>
      <c r="R31" s="1965"/>
      <c r="S31" s="1965"/>
      <c r="T31" s="1965"/>
      <c r="U31" s="1965"/>
      <c r="V31" s="3227" t="s">
        <v>31</v>
      </c>
      <c r="W31" s="3354"/>
      <c r="X31" s="3355"/>
      <c r="Y31" s="3354"/>
      <c r="Z31" s="3355"/>
      <c r="AA31" s="3355"/>
      <c r="AB31" s="2002">
        <v>181.13</v>
      </c>
      <c r="AC31" s="2098">
        <v>273.45999999999998</v>
      </c>
      <c r="AD31" s="2002"/>
      <c r="AE31" s="2002"/>
      <c r="AF31" s="2002"/>
      <c r="AG31" s="2002"/>
      <c r="AH31" s="1933"/>
      <c r="AI31" s="538" t="s">
        <v>181</v>
      </c>
      <c r="AJ31" s="3357"/>
      <c r="AK31" s="3357"/>
      <c r="AL31" s="3357"/>
      <c r="AM31" s="3357"/>
      <c r="AN31" s="3357"/>
      <c r="AO31" s="2101">
        <v>15</v>
      </c>
      <c r="AP31" s="3356">
        <v>15</v>
      </c>
      <c r="AQ31" s="2002"/>
      <c r="AR31" s="2002"/>
      <c r="AS31" s="2002"/>
      <c r="AT31" s="1933"/>
      <c r="AU31" s="538" t="s">
        <v>170</v>
      </c>
      <c r="AV31" s="3359"/>
      <c r="AW31" s="3359"/>
      <c r="AX31" s="3359"/>
      <c r="AY31" s="3359"/>
      <c r="AZ31" s="3359"/>
      <c r="BA31" s="2103">
        <v>29.64</v>
      </c>
      <c r="BB31" s="2103">
        <v>29.64</v>
      </c>
      <c r="BC31" s="2002"/>
      <c r="BD31" s="2002"/>
      <c r="BE31" s="2002"/>
      <c r="BF31" s="1933"/>
      <c r="BG31" s="1933"/>
      <c r="BH31" s="1933"/>
      <c r="BI31" s="1933"/>
      <c r="BJ31" s="1933"/>
      <c r="CE31" s="1930"/>
      <c r="CF31" s="1930"/>
      <c r="CG31" s="1930"/>
      <c r="CH31" s="1930"/>
      <c r="CT31" s="1930"/>
      <c r="CU31" s="1930"/>
      <c r="CV31" s="1930"/>
      <c r="CW31" s="1930"/>
      <c r="DB31" s="2659">
        <f t="shared" si="7"/>
        <v>5.671094952557671</v>
      </c>
      <c r="DC31" s="1948" t="str">
        <f t="shared" si="3"/>
        <v>Lighting BUS 15 Year EUL</v>
      </c>
      <c r="DD31" s="2660">
        <f>(INDEX('Avoided Cost Benefits'!$C$4:$C$857,MATCH(DC31,'Avoided Cost Benefits'!$A$4:$A$857,0)))*F31</f>
        <v>158.65149069731888</v>
      </c>
      <c r="DE31" s="2660">
        <f t="shared" si="9"/>
        <v>27.975460122699385</v>
      </c>
    </row>
    <row r="32" spans="2:109" s="1931" customFormat="1" x14ac:dyDescent="0.25">
      <c r="C32" s="3311" t="s">
        <v>4403</v>
      </c>
      <c r="D32" s="3312" t="s">
        <v>2646</v>
      </c>
      <c r="E32" s="3313" t="s">
        <v>4306</v>
      </c>
      <c r="F32" s="139">
        <f t="shared" si="5"/>
        <v>174.97</v>
      </c>
      <c r="G32" s="3312" t="s">
        <v>55</v>
      </c>
      <c r="H32" s="3314">
        <v>1.899635E-4</v>
      </c>
      <c r="I32" s="3315">
        <v>14.766935999999999</v>
      </c>
      <c r="J32" s="1922">
        <f t="shared" si="2"/>
        <v>11</v>
      </c>
      <c r="K32" s="2089">
        <v>29.64</v>
      </c>
      <c r="L32" s="3316" t="s">
        <v>185</v>
      </c>
      <c r="M32" s="1293"/>
      <c r="N32" s="1965"/>
      <c r="O32" s="1965"/>
      <c r="P32" s="1965"/>
      <c r="Q32" s="1965"/>
      <c r="R32" s="1965"/>
      <c r="S32" s="1965"/>
      <c r="T32" s="1965"/>
      <c r="U32" s="1965"/>
      <c r="V32" s="538" t="s">
        <v>31</v>
      </c>
      <c r="W32" s="3354"/>
      <c r="X32" s="3355"/>
      <c r="Y32" s="3354"/>
      <c r="Z32" s="3355"/>
      <c r="AA32" s="3355"/>
      <c r="AB32" s="3355"/>
      <c r="AC32" s="2098">
        <v>0</v>
      </c>
      <c r="AD32" s="2002"/>
      <c r="AE32" s="2002"/>
      <c r="AF32" s="2002"/>
      <c r="AG32" s="2002"/>
      <c r="AH32" s="1933"/>
      <c r="AI32" s="538" t="s">
        <v>181</v>
      </c>
      <c r="AJ32" s="3357"/>
      <c r="AK32" s="3357"/>
      <c r="AL32" s="3357"/>
      <c r="AM32" s="3357"/>
      <c r="AN32" s="3357"/>
      <c r="AO32" s="3358"/>
      <c r="AP32" s="3356">
        <v>11</v>
      </c>
      <c r="AQ32" s="2002"/>
      <c r="AR32" s="2002"/>
      <c r="AS32" s="2002"/>
      <c r="AT32" s="1933"/>
      <c r="AU32" s="538" t="s">
        <v>170</v>
      </c>
      <c r="AV32" s="3359"/>
      <c r="AW32" s="3359"/>
      <c r="AX32" s="3359"/>
      <c r="AY32" s="3359"/>
      <c r="AZ32" s="3359"/>
      <c r="BA32" s="3359"/>
      <c r="BB32" s="2103">
        <v>29.64</v>
      </c>
      <c r="BC32" s="2002"/>
      <c r="BD32" s="2002"/>
      <c r="BE32" s="2002"/>
      <c r="BF32" s="1933"/>
      <c r="BG32" s="1933"/>
      <c r="BH32" s="1933"/>
      <c r="BI32" s="1933"/>
      <c r="BJ32" s="1933"/>
      <c r="CE32" s="1930"/>
      <c r="CF32" s="1930"/>
      <c r="CG32" s="1930"/>
      <c r="CH32" s="1930"/>
      <c r="CT32" s="1930"/>
      <c r="CU32" s="1930"/>
      <c r="CV32" s="1930"/>
      <c r="CW32" s="1930"/>
      <c r="DB32" s="2659">
        <f t="shared" ref="DB32" si="16">(DD32)/(DE32)</f>
        <v>2.7120411342048993</v>
      </c>
      <c r="DC32" s="1948" t="str">
        <f t="shared" ref="DC32" si="17">CONCATENATE(G32," ",J32," Year EUL")</f>
        <v>Lighting BUS 11 Year EUL</v>
      </c>
      <c r="DD32" s="2660">
        <f>(INDEX('Avoided Cost Benefits'!$C$4:$C$857,MATCH(DC32,'Avoided Cost Benefits'!$A$4:$A$857,0)))*F32</f>
        <v>75.870598601069574</v>
      </c>
      <c r="DE32" s="2660">
        <f t="shared" ref="DE32" si="18">K32/(1.0595^(2020-2019))</f>
        <v>27.975460122699385</v>
      </c>
    </row>
    <row r="33" spans="2:113" x14ac:dyDescent="0.25">
      <c r="B33" s="1931"/>
      <c r="C33" s="1997" t="s">
        <v>2687</v>
      </c>
      <c r="D33" s="1290" t="s">
        <v>2646</v>
      </c>
      <c r="E33" s="1298" t="s">
        <v>2688</v>
      </c>
      <c r="F33" s="139">
        <f t="shared" si="5"/>
        <v>99.04</v>
      </c>
      <c r="G33" s="1290" t="s">
        <v>55</v>
      </c>
      <c r="H33" s="1291">
        <f>VLOOKUP(G33,'CP FACTORS'!$A$26:$B$38,2,FALSE)</f>
        <v>1.899635E-4</v>
      </c>
      <c r="I33" s="1370">
        <f>ROUND(H33*F33,6)</f>
        <v>1.8814000000000001E-2</v>
      </c>
      <c r="J33" s="1922">
        <f t="shared" ref="J33:J34" si="19">K73</f>
        <v>10</v>
      </c>
      <c r="K33" s="2087">
        <v>11.94</v>
      </c>
      <c r="L33" s="2088" t="s">
        <v>185</v>
      </c>
      <c r="M33" s="1293"/>
      <c r="N33" s="1965"/>
      <c r="O33" s="1965"/>
      <c r="P33" s="1965"/>
      <c r="Q33" s="1965"/>
      <c r="R33" s="1965"/>
      <c r="S33" s="1965"/>
      <c r="T33" s="1965"/>
      <c r="U33" s="1965"/>
      <c r="V33" s="3227" t="s">
        <v>31</v>
      </c>
      <c r="W33" s="2002">
        <v>102.16788</v>
      </c>
      <c r="X33" s="129">
        <v>102.16788</v>
      </c>
      <c r="Y33" s="2002">
        <v>102.16788</v>
      </c>
      <c r="Z33" s="129">
        <v>102.16788</v>
      </c>
      <c r="AA33" s="129">
        <v>102.16788</v>
      </c>
      <c r="AB33" s="2002">
        <v>102.26</v>
      </c>
      <c r="AC33" s="2098">
        <v>99.13</v>
      </c>
      <c r="AD33" s="2002"/>
      <c r="AE33" s="2002"/>
      <c r="AF33" s="2002"/>
      <c r="AG33" s="2002"/>
      <c r="AH33" s="1933"/>
      <c r="AI33" s="3227" t="s">
        <v>181</v>
      </c>
      <c r="AJ33" s="64">
        <v>11</v>
      </c>
      <c r="AK33" s="64">
        <v>11</v>
      </c>
      <c r="AL33" s="64">
        <v>11</v>
      </c>
      <c r="AM33" s="64">
        <v>11</v>
      </c>
      <c r="AN33" s="64">
        <v>11</v>
      </c>
      <c r="AO33" s="2101">
        <v>11</v>
      </c>
      <c r="AP33" s="3356">
        <v>10</v>
      </c>
      <c r="AQ33" s="2002"/>
      <c r="AR33" s="2002"/>
      <c r="AS33" s="2002"/>
      <c r="AT33" s="1933"/>
      <c r="AU33" s="3227" t="s">
        <v>170</v>
      </c>
      <c r="AV33" s="2102">
        <v>11.94</v>
      </c>
      <c r="AW33" s="2102">
        <v>11.94</v>
      </c>
      <c r="AX33" s="2102">
        <v>11.94</v>
      </c>
      <c r="AY33" s="2102">
        <v>11.94</v>
      </c>
      <c r="AZ33" s="2102">
        <v>11.94</v>
      </c>
      <c r="BA33" s="2103">
        <v>11.94</v>
      </c>
      <c r="BB33" s="2103">
        <v>11.94</v>
      </c>
      <c r="BC33" s="2002"/>
      <c r="BD33" s="2002"/>
      <c r="BE33" s="2002"/>
      <c r="BF33" s="1933"/>
      <c r="BG33" s="1933"/>
      <c r="BH33" s="1933"/>
      <c r="BI33" s="1933"/>
      <c r="BJ33" s="1933"/>
      <c r="BK33" s="1931"/>
      <c r="BL33" s="1931"/>
      <c r="BM33" s="1931"/>
      <c r="BN33" s="1931"/>
      <c r="BO33" s="1931"/>
      <c r="BP33" s="1931"/>
      <c r="BQ33" s="1931"/>
      <c r="BR33" s="1931"/>
      <c r="BS33" s="1931"/>
      <c r="BT33" s="1931"/>
      <c r="BU33" s="1931"/>
      <c r="BV33" s="1931"/>
      <c r="BW33" s="1931"/>
      <c r="BX33" s="1931"/>
      <c r="BY33" s="1931"/>
      <c r="BZ33" s="1931"/>
      <c r="CA33" s="1931"/>
      <c r="CB33" s="1931"/>
      <c r="CC33" s="1931"/>
      <c r="CD33" s="1931"/>
      <c r="CE33" s="1930"/>
      <c r="CF33" s="1930"/>
      <c r="CG33" s="1930"/>
      <c r="CH33" s="1930"/>
      <c r="CI33" s="1931"/>
      <c r="CJ33" s="1931"/>
      <c r="CK33" s="1931"/>
      <c r="CL33" s="1931"/>
      <c r="CM33" s="1931"/>
      <c r="CN33" s="1931"/>
      <c r="CO33" s="1931"/>
      <c r="CP33" s="1931"/>
      <c r="CQ33" s="1931"/>
      <c r="CR33" s="1931"/>
      <c r="CS33" s="1931"/>
      <c r="CT33" s="1930"/>
      <c r="CU33" s="1930"/>
      <c r="CV33" s="1930"/>
      <c r="CW33" s="1930"/>
      <c r="CX33" s="1931"/>
      <c r="CY33" s="1931"/>
      <c r="CZ33" s="1931"/>
      <c r="DA33" s="1931"/>
      <c r="DB33" s="2659">
        <f t="shared" si="7"/>
        <v>3.467904843958451</v>
      </c>
      <c r="DC33" s="1948" t="str">
        <f t="shared" si="3"/>
        <v>Lighting BUS 10 Year EUL</v>
      </c>
      <c r="DD33" s="2660">
        <f>(INDEX('Avoided Cost Benefits'!$C$4:$C$857,MATCH(DC33,'Avoided Cost Benefits'!$A$4:$A$857,0)))*F33</f>
        <v>39.081438260371776</v>
      </c>
      <c r="DE33" s="2660">
        <f t="shared" si="9"/>
        <v>11.269466729589427</v>
      </c>
    </row>
    <row r="34" spans="2:113" s="1931" customFormat="1" x14ac:dyDescent="0.25">
      <c r="C34" s="3311" t="s">
        <v>4289</v>
      </c>
      <c r="D34" s="3312" t="s">
        <v>2646</v>
      </c>
      <c r="E34" s="3313" t="s">
        <v>4290</v>
      </c>
      <c r="F34" s="139">
        <f t="shared" si="5"/>
        <v>77736.87</v>
      </c>
      <c r="G34" s="3312" t="s">
        <v>55</v>
      </c>
      <c r="H34" s="3314">
        <v>1.899635E-4</v>
      </c>
      <c r="I34" s="3315">
        <v>14.766935999999999</v>
      </c>
      <c r="J34" s="1922">
        <f t="shared" si="19"/>
        <v>15</v>
      </c>
      <c r="K34" s="3335">
        <v>10000</v>
      </c>
      <c r="L34" s="3316" t="s">
        <v>4291</v>
      </c>
      <c r="M34" s="1293"/>
      <c r="N34" s="1965"/>
      <c r="O34" s="1965"/>
      <c r="P34" s="1965"/>
      <c r="Q34" s="1965"/>
      <c r="R34" s="1965"/>
      <c r="S34" s="1965"/>
      <c r="T34" s="1965"/>
      <c r="U34" s="1965"/>
      <c r="V34" s="538" t="s">
        <v>31</v>
      </c>
      <c r="W34" s="3354"/>
      <c r="X34" s="3355"/>
      <c r="Y34" s="3354"/>
      <c r="Z34" s="3355"/>
      <c r="AA34" s="3355"/>
      <c r="AB34" s="3355"/>
      <c r="AC34" s="2098">
        <v>77808.3</v>
      </c>
      <c r="AD34" s="2002"/>
      <c r="AE34" s="2002"/>
      <c r="AF34" s="2002"/>
      <c r="AG34" s="2002"/>
      <c r="AH34" s="1933"/>
      <c r="AI34" s="3456" t="s">
        <v>181</v>
      </c>
      <c r="AJ34" s="3359"/>
      <c r="AK34" s="3359"/>
      <c r="AL34" s="3359"/>
      <c r="AM34" s="3359"/>
      <c r="AN34" s="3359"/>
      <c r="AO34" s="3359"/>
      <c r="AP34" s="3356">
        <f>J34</f>
        <v>15</v>
      </c>
      <c r="AQ34" s="2002"/>
      <c r="AR34" s="2002"/>
      <c r="AS34" s="2002"/>
      <c r="AT34" s="1933"/>
      <c r="AU34" s="3456" t="s">
        <v>170</v>
      </c>
      <c r="AV34" s="3359"/>
      <c r="AW34" s="3359"/>
      <c r="AX34" s="3359"/>
      <c r="AY34" s="3359"/>
      <c r="AZ34" s="3359"/>
      <c r="BA34" s="3359"/>
      <c r="BB34" s="2103">
        <f>K34</f>
        <v>10000</v>
      </c>
      <c r="BC34" s="2002"/>
      <c r="BD34" s="2002"/>
      <c r="BE34" s="2002"/>
      <c r="BF34" s="1933"/>
      <c r="BG34" s="1933"/>
      <c r="BH34" s="1933"/>
      <c r="BI34" s="1933"/>
      <c r="BJ34" s="1933"/>
      <c r="CE34" s="1930"/>
      <c r="CF34" s="1930"/>
      <c r="CG34" s="1930"/>
      <c r="CH34" s="1930"/>
      <c r="CT34" s="1930"/>
      <c r="CU34" s="1930"/>
      <c r="CV34" s="1930"/>
      <c r="CW34" s="1930"/>
      <c r="DB34" s="2661">
        <f t="shared" ref="DB34" si="20">(DD34)/(DE34)</f>
        <v>4.7720721608898131</v>
      </c>
      <c r="DC34" s="1948" t="str">
        <f t="shared" ref="DC34" si="21">CONCATENATE(G34," ",J34," Year EUL")</f>
        <v>Lighting BUS 15 Year EUL</v>
      </c>
      <c r="DD34" s="2662">
        <f>(INDEX('Avoided Cost Benefits'!$C$4:$C$857,MATCH(DC34,'Avoided Cost Benefits'!$A$4:$A$857,0)))*F34</f>
        <v>45040.794345349816</v>
      </c>
      <c r="DE34" s="2662">
        <f t="shared" ref="DE34" si="22">K34/(1.0595^(2020-2019))</f>
        <v>9438.4143463898054</v>
      </c>
    </row>
    <row r="35" spans="2:113" hidden="1" outlineLevel="1" x14ac:dyDescent="0.25">
      <c r="B35" s="1931"/>
      <c r="D35" s="1966"/>
      <c r="E35" s="1966"/>
      <c r="F35" s="1966"/>
      <c r="G35" s="1966"/>
      <c r="H35" s="1299"/>
      <c r="I35" s="1966"/>
      <c r="J35" s="1966"/>
      <c r="K35" s="1966"/>
      <c r="L35" s="1965"/>
      <c r="M35" s="1965"/>
      <c r="N35" s="1965"/>
      <c r="O35" s="1965"/>
      <c r="P35" s="1965"/>
      <c r="Q35" s="1965"/>
      <c r="R35" s="1965"/>
      <c r="S35" s="1965"/>
      <c r="T35" s="1965"/>
      <c r="U35" s="1965"/>
      <c r="V35" s="1933"/>
      <c r="W35" s="1933"/>
      <c r="X35" s="1933"/>
      <c r="Y35" s="1933"/>
      <c r="Z35" s="1933"/>
      <c r="AA35" s="1933"/>
      <c r="AB35" s="1933"/>
      <c r="AC35" s="1933"/>
      <c r="AD35" s="1933"/>
      <c r="AE35" s="1933"/>
      <c r="AF35" s="1933"/>
      <c r="AG35" s="1933"/>
      <c r="AH35" s="1933"/>
      <c r="AI35" s="1933"/>
      <c r="AJ35" s="1933"/>
      <c r="AK35" s="1933"/>
      <c r="AL35" s="1933"/>
      <c r="AM35" s="1933"/>
      <c r="AN35" s="1933"/>
      <c r="AO35" s="1933"/>
      <c r="AP35" s="1933"/>
      <c r="AQ35" s="1933"/>
      <c r="AR35" s="1933"/>
      <c r="AS35" s="1933"/>
      <c r="AT35" s="1933"/>
      <c r="AU35" s="1933"/>
      <c r="AV35" s="1933"/>
      <c r="AW35" s="1933"/>
      <c r="AX35" s="1933"/>
      <c r="AY35" s="1933"/>
      <c r="AZ35" s="1933"/>
      <c r="BA35" s="1933"/>
      <c r="BB35" s="1933"/>
      <c r="BC35" s="1933"/>
      <c r="BD35" s="1933"/>
      <c r="BE35" s="1933"/>
      <c r="BF35" s="1933"/>
      <c r="BG35" s="1933"/>
      <c r="BH35" s="1933"/>
      <c r="BI35" s="1933"/>
      <c r="BJ35" s="1933"/>
      <c r="BK35" s="1931"/>
      <c r="BL35" s="1931"/>
      <c r="BM35" s="1931"/>
      <c r="BN35" s="1931"/>
      <c r="BO35" s="1931"/>
      <c r="BP35" s="1931"/>
      <c r="BQ35" s="1931"/>
      <c r="BR35" s="1931"/>
      <c r="BS35" s="1931"/>
      <c r="BT35" s="1931"/>
      <c r="BU35" s="1931"/>
      <c r="BV35" s="1931"/>
      <c r="BW35" s="1931"/>
      <c r="BX35" s="1931"/>
      <c r="BY35" s="1931"/>
      <c r="BZ35" s="1931"/>
      <c r="CA35" s="1931"/>
      <c r="CB35" s="1931"/>
      <c r="CC35" s="1931"/>
      <c r="CD35" s="1931"/>
      <c r="CE35" s="1930"/>
      <c r="CF35" s="1930"/>
      <c r="CG35" s="1930"/>
      <c r="CH35" s="1930"/>
      <c r="CI35" s="1931"/>
      <c r="CJ35" s="1931"/>
      <c r="CK35" s="1931"/>
      <c r="CL35" s="1931"/>
      <c r="CM35" s="1931"/>
      <c r="CN35" s="1931"/>
      <c r="CO35" s="1931"/>
      <c r="CP35" s="1931"/>
      <c r="CQ35" s="1931"/>
      <c r="CR35" s="1931"/>
      <c r="CS35" s="1931"/>
      <c r="CT35" s="1930"/>
      <c r="CU35" s="1930"/>
      <c r="CV35" s="1930"/>
      <c r="CW35" s="1930"/>
      <c r="CX35" s="1931"/>
      <c r="CY35" s="1931"/>
      <c r="CZ35" s="1931"/>
      <c r="DA35" s="1931"/>
      <c r="DB35" s="1932"/>
      <c r="DC35" s="1931"/>
      <c r="DD35" s="1931"/>
      <c r="DE35" s="1931"/>
    </row>
    <row r="36" spans="2:113" s="1931" customFormat="1" hidden="1" outlineLevel="1" x14ac:dyDescent="0.25">
      <c r="C36" s="1966"/>
      <c r="D36" s="1966"/>
      <c r="E36" s="1966"/>
      <c r="F36" s="1966"/>
      <c r="G36" s="1966"/>
      <c r="H36" s="1299"/>
      <c r="I36" s="1966"/>
      <c r="J36" s="1966"/>
      <c r="K36" s="1966"/>
      <c r="L36" s="1965"/>
      <c r="M36" s="1965"/>
      <c r="N36" s="1965"/>
      <c r="O36" s="1965"/>
      <c r="P36" s="1965"/>
      <c r="Q36" s="1965"/>
      <c r="R36" s="1965"/>
      <c r="S36" s="1965"/>
      <c r="T36" s="1965"/>
      <c r="U36" s="1965"/>
      <c r="V36" s="1933"/>
      <c r="W36" s="1933"/>
      <c r="X36" s="1933"/>
      <c r="Y36" s="1933"/>
      <c r="Z36" s="1933"/>
      <c r="AA36" s="1933"/>
      <c r="AB36" s="1933"/>
      <c r="AC36" s="1933"/>
      <c r="AD36" s="1933"/>
      <c r="AE36" s="1933"/>
      <c r="AF36" s="1933"/>
      <c r="AG36" s="1933"/>
      <c r="AH36" s="1933"/>
      <c r="AI36" s="1933"/>
      <c r="AJ36" s="1933"/>
      <c r="AK36" s="1933"/>
      <c r="AL36" s="1933"/>
      <c r="AM36" s="1933"/>
      <c r="AN36" s="1933"/>
      <c r="AO36" s="1933"/>
      <c r="AP36" s="1933"/>
      <c r="AQ36" s="1933"/>
      <c r="AR36" s="1933"/>
      <c r="AS36" s="1933"/>
      <c r="AT36" s="1933"/>
      <c r="AU36" s="1933"/>
      <c r="AV36" s="1933"/>
      <c r="AW36" s="1933"/>
      <c r="AX36" s="1933"/>
      <c r="AY36" s="1933"/>
      <c r="AZ36" s="1933"/>
      <c r="BA36" s="1933"/>
      <c r="BB36" s="1933"/>
      <c r="BC36" s="1933"/>
      <c r="BD36" s="1933"/>
      <c r="BE36" s="1933"/>
      <c r="BF36" s="1933"/>
      <c r="BG36" s="1933"/>
      <c r="BH36" s="1933"/>
      <c r="BI36" s="1933"/>
      <c r="BJ36" s="1933"/>
      <c r="CE36" s="1930"/>
      <c r="CF36" s="1930"/>
      <c r="CG36" s="1930"/>
      <c r="CH36" s="1930"/>
      <c r="CT36" s="1930"/>
      <c r="CU36" s="1930"/>
      <c r="CV36" s="1930"/>
      <c r="CW36" s="1930"/>
      <c r="DB36" s="1932"/>
    </row>
    <row r="37" spans="2:113" hidden="1" outlineLevel="1" x14ac:dyDescent="0.25">
      <c r="D37" s="1966" t="s">
        <v>2689</v>
      </c>
      <c r="E37" s="1966"/>
      <c r="F37" s="1966"/>
      <c r="G37" s="1966"/>
      <c r="H37" s="1299"/>
      <c r="I37" s="1966"/>
      <c r="J37" s="1966"/>
      <c r="K37" s="1966"/>
      <c r="L37" s="1966"/>
      <c r="M37" s="1966"/>
      <c r="N37" s="1966"/>
      <c r="O37" s="1966"/>
      <c r="P37" s="1966"/>
      <c r="Q37" s="1966"/>
      <c r="R37" s="1965"/>
      <c r="S37" s="1965"/>
      <c r="T37" s="1965"/>
      <c r="U37" s="1965"/>
      <c r="V37" s="1933"/>
      <c r="W37" s="1933"/>
      <c r="X37" s="1933"/>
      <c r="Y37" s="1933"/>
      <c r="Z37" s="1933"/>
      <c r="AA37" s="1933"/>
      <c r="AB37" s="1933"/>
      <c r="AC37" s="1933"/>
      <c r="AD37" s="1933"/>
      <c r="AE37" s="1933"/>
      <c r="AF37" s="1933"/>
      <c r="AG37" s="1933"/>
      <c r="AH37" s="1933"/>
      <c r="AI37" s="1933"/>
      <c r="AJ37" s="1933"/>
      <c r="AK37" s="1933"/>
      <c r="AL37" s="1933"/>
      <c r="AM37" s="1933"/>
      <c r="AN37" s="1933"/>
      <c r="AO37" s="1933"/>
      <c r="AP37" s="1933"/>
      <c r="AQ37" s="1933"/>
      <c r="AR37" s="1933"/>
      <c r="AS37" s="1933"/>
      <c r="AT37" s="1933"/>
      <c r="AU37" s="1933"/>
      <c r="AV37" s="1933"/>
      <c r="AW37" s="1933"/>
      <c r="AX37" s="1933"/>
      <c r="AY37" s="1933"/>
      <c r="AZ37" s="1933"/>
      <c r="BA37" s="1933"/>
      <c r="BB37" s="1933"/>
      <c r="BC37" s="1933"/>
      <c r="BD37" s="1933"/>
      <c r="BE37" s="1933"/>
      <c r="BF37" s="1933"/>
      <c r="BG37" s="1933"/>
      <c r="BH37" s="1933"/>
      <c r="BI37" s="1933"/>
      <c r="BJ37" s="1933"/>
      <c r="BK37" s="1931"/>
      <c r="BL37" s="1931"/>
      <c r="BM37" s="1931"/>
      <c r="BN37" s="1931"/>
      <c r="BO37" s="1931"/>
      <c r="BP37" s="1931"/>
      <c r="BQ37" s="1931"/>
      <c r="BR37" s="1931"/>
      <c r="BS37" s="1931"/>
      <c r="BT37" s="1931"/>
      <c r="BU37" s="1931"/>
      <c r="BV37" s="1931"/>
      <c r="BW37" s="1931"/>
      <c r="BX37" s="1931"/>
      <c r="BY37" s="1931"/>
      <c r="BZ37" s="1931"/>
      <c r="CA37" s="1931"/>
      <c r="CB37" s="1931"/>
      <c r="CC37" s="1931"/>
      <c r="CD37" s="1931"/>
      <c r="CE37" s="1930"/>
      <c r="CF37" s="1930"/>
      <c r="CG37" s="1930"/>
      <c r="CH37" s="1930"/>
      <c r="CI37" s="1931"/>
      <c r="CJ37" s="1931"/>
      <c r="CK37" s="1931"/>
      <c r="CL37" s="1931"/>
      <c r="CM37" s="1931"/>
      <c r="CN37" s="1931"/>
      <c r="CO37" s="1931"/>
      <c r="CP37" s="1931"/>
      <c r="CQ37" s="1931"/>
      <c r="CR37" s="1931"/>
      <c r="CS37" s="1931"/>
      <c r="CT37" s="1930"/>
      <c r="CU37" s="1930"/>
      <c r="CV37" s="1930"/>
      <c r="CW37" s="1930"/>
      <c r="CX37" s="1931"/>
      <c r="CY37" s="1931"/>
      <c r="CZ37" s="1931"/>
      <c r="DA37" s="1931"/>
      <c r="DB37" s="1932"/>
      <c r="DC37" s="1931"/>
      <c r="DD37" s="1931"/>
      <c r="DE37" s="1931"/>
    </row>
    <row r="38" spans="2:113" hidden="1" outlineLevel="1" x14ac:dyDescent="0.25">
      <c r="D38" s="1300"/>
      <c r="E38" s="1965"/>
      <c r="F38" s="1965"/>
      <c r="G38" s="1965"/>
      <c r="H38" s="1301"/>
      <c r="I38" s="1965"/>
      <c r="J38" s="1965"/>
      <c r="K38" s="1965"/>
      <c r="L38" s="1965"/>
      <c r="M38" s="1965"/>
      <c r="N38" s="1965"/>
      <c r="O38" s="1965"/>
      <c r="P38" s="1965"/>
      <c r="Q38" s="1965"/>
      <c r="R38" s="1965"/>
      <c r="S38" s="1965"/>
      <c r="T38" s="1965"/>
      <c r="U38" s="1965"/>
      <c r="V38" s="1933"/>
      <c r="W38" s="1933"/>
      <c r="X38" s="1933"/>
      <c r="Y38" s="1933"/>
      <c r="Z38" s="1933"/>
      <c r="AA38" s="1933"/>
      <c r="AB38" s="1933"/>
      <c r="AC38" s="1933"/>
      <c r="AD38" s="1933"/>
      <c r="AE38" s="1933"/>
      <c r="AF38" s="1933"/>
      <c r="AG38" s="1933"/>
      <c r="AH38" s="1933"/>
      <c r="AI38" s="1933"/>
      <c r="AJ38" s="1933"/>
      <c r="AK38" s="1933"/>
      <c r="AL38" s="1933"/>
      <c r="AM38" s="1933"/>
      <c r="AN38" s="1933"/>
      <c r="AO38" s="1933"/>
      <c r="AP38" s="1933"/>
      <c r="AQ38" s="1933"/>
      <c r="AR38" s="1933"/>
      <c r="AS38" s="1933"/>
      <c r="AT38" s="1933"/>
      <c r="AU38" s="1933"/>
      <c r="AV38" s="1933"/>
      <c r="AW38" s="1933"/>
      <c r="AX38" s="1933"/>
      <c r="AY38" s="1933"/>
      <c r="AZ38" s="1933"/>
      <c r="BA38" s="1933"/>
      <c r="BB38" s="1933"/>
      <c r="BC38" s="1933"/>
      <c r="BD38" s="1933"/>
      <c r="BE38" s="1933"/>
      <c r="BF38" s="1933"/>
      <c r="BG38" s="1933"/>
      <c r="BH38" s="1933"/>
      <c r="BI38" s="1933"/>
      <c r="BJ38" s="1933"/>
      <c r="BK38" s="1931"/>
      <c r="BL38" s="1931"/>
      <c r="BM38" s="1931"/>
      <c r="BN38" s="1931"/>
      <c r="BO38" s="1931"/>
      <c r="BP38" s="1931"/>
      <c r="BQ38" s="1931"/>
      <c r="BR38" s="1931"/>
      <c r="BS38" s="1931"/>
      <c r="BT38" s="1931"/>
      <c r="BU38" s="1931"/>
      <c r="BV38" s="1931"/>
      <c r="BW38" s="1931"/>
      <c r="BX38" s="1931"/>
      <c r="BY38" s="1931"/>
      <c r="BZ38" s="1931"/>
      <c r="CA38" s="1931"/>
      <c r="CB38" s="1931"/>
      <c r="CC38" s="1931"/>
      <c r="CD38" s="1931"/>
      <c r="CE38" s="1930"/>
      <c r="CF38" s="1930"/>
      <c r="CG38" s="1930"/>
      <c r="CH38" s="1930"/>
      <c r="CI38" s="1931"/>
      <c r="CJ38" s="1931"/>
      <c r="CK38" s="1931"/>
      <c r="CL38" s="1931"/>
      <c r="CM38" s="1931"/>
      <c r="CN38" s="1931"/>
      <c r="CO38" s="1931"/>
      <c r="CP38" s="1931"/>
      <c r="CQ38" s="1931"/>
      <c r="CR38" s="1931"/>
      <c r="CS38" s="1931"/>
      <c r="CT38" s="1930"/>
      <c r="CU38" s="1930"/>
      <c r="CV38" s="1930"/>
      <c r="CW38" s="1930"/>
      <c r="CX38" s="1931"/>
      <c r="CY38" s="1931"/>
      <c r="CZ38" s="1931"/>
      <c r="DA38" s="1931"/>
      <c r="DB38" s="1932"/>
      <c r="DC38" s="1931"/>
      <c r="DD38" s="1931"/>
      <c r="DE38" s="1931"/>
      <c r="DF38" s="1931"/>
      <c r="DI38" s="1931"/>
    </row>
    <row r="39" spans="2:113" hidden="1" outlineLevel="1" x14ac:dyDescent="0.25">
      <c r="D39" s="1300"/>
      <c r="E39" s="1965"/>
      <c r="F39" s="1965"/>
      <c r="G39" s="1965"/>
      <c r="H39" s="1301"/>
      <c r="I39" s="1965"/>
      <c r="J39" s="1965"/>
      <c r="K39" s="1965"/>
      <c r="L39" s="1965"/>
      <c r="M39" s="1965"/>
      <c r="N39" s="1965"/>
      <c r="O39" s="1965"/>
      <c r="P39" s="1965"/>
      <c r="Q39" s="1965"/>
      <c r="R39" s="1965"/>
      <c r="S39" s="1965"/>
      <c r="T39" s="1965"/>
      <c r="U39" s="1965"/>
      <c r="V39" s="1933"/>
      <c r="W39" s="1933"/>
      <c r="X39" s="1933"/>
      <c r="Y39" s="1933"/>
      <c r="Z39" s="1933"/>
      <c r="AA39" s="1933"/>
      <c r="AB39" s="1933"/>
      <c r="AC39" s="1933"/>
      <c r="AD39" s="1933"/>
      <c r="AE39" s="1933"/>
      <c r="AF39" s="1933"/>
      <c r="AG39" s="1933"/>
      <c r="AH39" s="1933"/>
      <c r="AI39" s="1933"/>
      <c r="AJ39" s="1933"/>
      <c r="AK39" s="1933"/>
      <c r="AL39" s="1933"/>
      <c r="AM39" s="1933"/>
      <c r="AN39" s="1933"/>
      <c r="AO39" s="1933"/>
      <c r="AP39" s="1933"/>
      <c r="AQ39" s="1933"/>
      <c r="AR39" s="1933"/>
      <c r="AS39" s="1933"/>
      <c r="AT39" s="1933"/>
      <c r="AU39" s="1933"/>
      <c r="AV39" s="1933"/>
      <c r="AW39" s="1933"/>
      <c r="AX39" s="1933"/>
      <c r="AY39" s="1933"/>
      <c r="AZ39" s="1933"/>
      <c r="BA39" s="1933"/>
      <c r="BB39" s="1933"/>
      <c r="BC39" s="1933"/>
      <c r="BD39" s="1933"/>
      <c r="BE39" s="1933"/>
      <c r="BF39" s="1933"/>
      <c r="BG39" s="1933"/>
      <c r="BH39" s="1933"/>
      <c r="BI39" s="1933"/>
      <c r="BJ39" s="1933"/>
      <c r="BK39" s="1931"/>
      <c r="BL39" s="1931"/>
      <c r="BM39" s="1931"/>
      <c r="BN39" s="1931"/>
      <c r="BO39" s="1931"/>
      <c r="BP39" s="1931"/>
      <c r="BQ39" s="1931"/>
      <c r="BR39" s="1931"/>
      <c r="BS39" s="1931"/>
      <c r="BT39" s="1931"/>
      <c r="BU39" s="1931"/>
      <c r="BV39" s="1931"/>
      <c r="BW39" s="1931"/>
      <c r="BX39" s="1931"/>
      <c r="BY39" s="1931"/>
      <c r="BZ39" s="1931"/>
      <c r="CA39" s="1931"/>
      <c r="CB39" s="1931"/>
      <c r="CC39" s="1931"/>
      <c r="CD39" s="1931"/>
      <c r="CE39" s="1930"/>
      <c r="CF39" s="1930"/>
      <c r="CG39" s="1930"/>
      <c r="CH39" s="1930"/>
      <c r="CI39" s="1931"/>
      <c r="CJ39" s="1931"/>
      <c r="CK39" s="1931"/>
      <c r="CL39" s="1931"/>
      <c r="CM39" s="1931"/>
      <c r="CN39" s="1931"/>
      <c r="CO39" s="1931"/>
      <c r="CP39" s="1931"/>
      <c r="CQ39" s="1931"/>
      <c r="CR39" s="1931"/>
      <c r="CS39" s="1931"/>
      <c r="CT39" s="1930"/>
      <c r="CU39" s="1930"/>
      <c r="CV39" s="1930"/>
      <c r="CW39" s="1930"/>
      <c r="CX39" s="1931"/>
      <c r="CY39" s="1931"/>
      <c r="CZ39" s="1931"/>
      <c r="DA39" s="1931"/>
      <c r="DB39" s="1932"/>
      <c r="DC39" s="1931"/>
      <c r="DD39" s="1931"/>
      <c r="DE39" s="1931"/>
      <c r="DF39" s="1931"/>
      <c r="DI39" s="1931"/>
    </row>
    <row r="40" spans="2:113" hidden="1" outlineLevel="1" x14ac:dyDescent="0.25">
      <c r="D40" s="1300"/>
      <c r="E40" s="1965"/>
      <c r="F40" s="1965"/>
      <c r="G40" s="1965"/>
      <c r="H40" s="1301"/>
      <c r="I40" s="1965"/>
      <c r="J40" s="1965"/>
      <c r="K40" s="1965"/>
      <c r="L40" s="1965"/>
      <c r="M40" s="1965"/>
      <c r="N40" s="1965"/>
      <c r="O40" s="1965"/>
      <c r="P40" s="1965"/>
      <c r="Q40" s="1965"/>
      <c r="R40" s="1965"/>
      <c r="S40" s="1965"/>
      <c r="T40" s="1965"/>
      <c r="U40" s="1965"/>
      <c r="V40" s="1933"/>
      <c r="W40" s="1933"/>
      <c r="X40" s="1933"/>
      <c r="Y40" s="1933"/>
      <c r="Z40" s="1933"/>
      <c r="AA40" s="1933"/>
      <c r="AB40" s="1933"/>
      <c r="AC40" s="1933"/>
      <c r="AD40" s="1933"/>
      <c r="AE40" s="1933"/>
      <c r="AF40" s="1933"/>
      <c r="AG40" s="1933"/>
      <c r="AH40" s="1933"/>
      <c r="AI40" s="1933"/>
      <c r="AJ40" s="1933"/>
      <c r="AK40" s="1933"/>
      <c r="AL40" s="1933"/>
      <c r="AM40" s="1933"/>
      <c r="AN40" s="1933"/>
      <c r="AO40" s="1933"/>
      <c r="AP40" s="1933"/>
      <c r="AQ40" s="1933"/>
      <c r="AR40" s="1933"/>
      <c r="AS40" s="1933"/>
      <c r="AT40" s="1933"/>
      <c r="AU40" s="1933"/>
      <c r="AV40" s="1933"/>
      <c r="AW40" s="1933"/>
      <c r="AX40" s="1933"/>
      <c r="AY40" s="1933"/>
      <c r="AZ40" s="1933"/>
      <c r="BA40" s="1933"/>
      <c r="BB40" s="1933"/>
      <c r="BC40" s="1933"/>
      <c r="BD40" s="1933"/>
      <c r="BE40" s="1933"/>
      <c r="BF40" s="1933"/>
      <c r="BG40" s="1933"/>
      <c r="BH40" s="1933"/>
      <c r="BI40" s="1933"/>
      <c r="BJ40" s="1933"/>
      <c r="BK40" s="1931"/>
      <c r="BL40" s="1931"/>
      <c r="BM40" s="1931"/>
      <c r="BN40" s="1931"/>
      <c r="BO40" s="1931"/>
      <c r="BP40" s="1931"/>
      <c r="BQ40" s="1931"/>
      <c r="BR40" s="1931"/>
      <c r="BS40" s="1931"/>
      <c r="BT40" s="1931"/>
      <c r="BU40" s="1931"/>
      <c r="BV40" s="1931"/>
      <c r="BW40" s="1931"/>
      <c r="BX40" s="1931"/>
      <c r="BY40" s="1931"/>
      <c r="BZ40" s="1931"/>
      <c r="CA40" s="1931"/>
      <c r="CB40" s="1931"/>
      <c r="CC40" s="1931"/>
      <c r="CD40" s="1931"/>
      <c r="CE40" s="1930"/>
      <c r="CF40" s="1930"/>
      <c r="CG40" s="1930"/>
      <c r="CH40" s="1930"/>
      <c r="CI40" s="1931"/>
      <c r="CJ40" s="1931"/>
      <c r="CK40" s="1931"/>
      <c r="CL40" s="1931"/>
      <c r="CM40" s="1931"/>
      <c r="CN40" s="1931"/>
      <c r="CO40" s="1931"/>
      <c r="CP40" s="1931"/>
      <c r="CQ40" s="1931"/>
      <c r="CR40" s="1931"/>
      <c r="CS40" s="1931"/>
      <c r="CT40" s="1930"/>
      <c r="CU40" s="1930"/>
      <c r="CV40" s="1930"/>
      <c r="CW40" s="1930"/>
      <c r="CX40" s="1931"/>
      <c r="CY40" s="1931"/>
      <c r="CZ40" s="1931"/>
      <c r="DA40" s="1931"/>
      <c r="DB40" s="1932"/>
      <c r="DC40" s="1931"/>
      <c r="DD40" s="1931"/>
      <c r="DE40" s="1931"/>
      <c r="DF40" s="1931"/>
      <c r="DI40" s="1931"/>
    </row>
    <row r="41" spans="2:113" hidden="1" outlineLevel="1" x14ac:dyDescent="0.25">
      <c r="D41" s="1300"/>
      <c r="E41" s="1965"/>
      <c r="F41" s="1965"/>
      <c r="G41" s="1965"/>
      <c r="H41" s="1301"/>
      <c r="I41" s="1965"/>
      <c r="J41" s="1965"/>
      <c r="K41" s="1965"/>
      <c r="L41" s="1965"/>
      <c r="M41" s="1965"/>
      <c r="N41" s="1965"/>
      <c r="O41" s="1965"/>
      <c r="P41" s="1965"/>
      <c r="Q41" s="1965"/>
      <c r="R41" s="1965"/>
      <c r="S41" s="1965"/>
      <c r="T41" s="1965"/>
      <c r="U41" s="1965"/>
      <c r="V41" s="1933"/>
      <c r="W41" s="1933"/>
      <c r="X41" s="1933"/>
      <c r="Y41" s="1933"/>
      <c r="Z41" s="1933"/>
      <c r="AA41" s="1933"/>
      <c r="AB41" s="1933"/>
      <c r="AC41" s="1933"/>
      <c r="AD41" s="1933"/>
      <c r="AE41" s="1933"/>
      <c r="AF41" s="1933"/>
      <c r="AG41" s="1933"/>
      <c r="AH41" s="1933"/>
      <c r="AI41" s="1933"/>
      <c r="AJ41" s="1933"/>
      <c r="AK41" s="1933"/>
      <c r="AL41" s="1933"/>
      <c r="AM41" s="1933"/>
      <c r="AN41" s="1933"/>
      <c r="AO41" s="1933"/>
      <c r="AP41" s="1933"/>
      <c r="AQ41" s="1933"/>
      <c r="AR41" s="1933"/>
      <c r="AS41" s="1933"/>
      <c r="AT41" s="1933"/>
      <c r="AU41" s="1933"/>
      <c r="AV41" s="1933"/>
      <c r="AW41" s="1933"/>
      <c r="AX41" s="1933"/>
      <c r="AY41" s="1933"/>
      <c r="AZ41" s="1933"/>
      <c r="BA41" s="1933"/>
      <c r="BB41" s="1933"/>
      <c r="BC41" s="1933"/>
      <c r="BD41" s="1933"/>
      <c r="BE41" s="1933"/>
      <c r="BF41" s="1933"/>
      <c r="BG41" s="1933"/>
      <c r="BH41" s="1933"/>
      <c r="BI41" s="1933"/>
      <c r="BJ41" s="1933"/>
      <c r="BK41" s="1931"/>
      <c r="BL41" s="1931"/>
      <c r="BM41" s="1931"/>
      <c r="BN41" s="1931"/>
      <c r="BO41" s="1931"/>
      <c r="BP41" s="1931"/>
      <c r="BQ41" s="1931"/>
      <c r="BR41" s="1931"/>
      <c r="BS41" s="1931"/>
      <c r="BT41" s="1931"/>
      <c r="BU41" s="1931"/>
      <c r="BV41" s="1931"/>
      <c r="BW41" s="1931"/>
      <c r="BX41" s="1931"/>
      <c r="BY41" s="1931"/>
      <c r="BZ41" s="1931"/>
      <c r="CA41" s="1931"/>
      <c r="CB41" s="1931"/>
      <c r="CC41" s="1931"/>
      <c r="CD41" s="1931"/>
      <c r="CE41" s="1930"/>
      <c r="CF41" s="1930"/>
      <c r="CG41" s="1930"/>
      <c r="CH41" s="1930"/>
      <c r="CI41" s="1931"/>
      <c r="CJ41" s="1931"/>
      <c r="CK41" s="1931"/>
      <c r="CL41" s="1931"/>
      <c r="CM41" s="1931"/>
      <c r="CN41" s="1931"/>
      <c r="CO41" s="1931"/>
      <c r="CP41" s="1931"/>
      <c r="CQ41" s="1931"/>
      <c r="CR41" s="1931"/>
      <c r="CS41" s="1931"/>
      <c r="CT41" s="1930"/>
      <c r="CU41" s="1930"/>
      <c r="CV41" s="1930"/>
      <c r="CW41" s="1930"/>
      <c r="CX41" s="1931"/>
      <c r="CY41" s="1931"/>
      <c r="CZ41" s="1931"/>
      <c r="DA41" s="1931"/>
      <c r="DB41" s="1932"/>
      <c r="DC41" s="1931"/>
      <c r="DD41" s="1931"/>
      <c r="DE41" s="1931"/>
      <c r="DF41" s="1931"/>
      <c r="DI41" s="1931"/>
    </row>
    <row r="42" spans="2:113" hidden="1" outlineLevel="1" x14ac:dyDescent="0.25">
      <c r="D42" s="1300"/>
      <c r="E42" s="1965"/>
      <c r="F42" s="1965"/>
      <c r="G42" s="1965"/>
      <c r="H42" s="1301"/>
      <c r="I42" s="1965"/>
      <c r="J42" s="1965"/>
      <c r="K42" s="1965"/>
      <c r="L42" s="1965"/>
      <c r="M42" s="1965"/>
      <c r="N42" s="1965"/>
      <c r="O42" s="1965"/>
      <c r="P42" s="1965"/>
      <c r="Q42" s="1965"/>
      <c r="R42" s="1965"/>
      <c r="S42" s="1965"/>
      <c r="T42" s="1965"/>
      <c r="U42" s="1965"/>
      <c r="V42" s="1933"/>
      <c r="W42" s="1933"/>
      <c r="X42" s="1933"/>
      <c r="Y42" s="1933"/>
      <c r="Z42" s="1933"/>
      <c r="AA42" s="1933"/>
      <c r="AB42" s="1933"/>
      <c r="AC42" s="1933"/>
      <c r="AD42" s="1933"/>
      <c r="AE42" s="1933"/>
      <c r="AF42" s="1933"/>
      <c r="AG42" s="1933"/>
      <c r="AH42" s="1933"/>
      <c r="AI42" s="1933"/>
      <c r="AJ42" s="1933"/>
      <c r="AK42" s="1933"/>
      <c r="AL42" s="1933"/>
      <c r="AM42" s="1933"/>
      <c r="AN42" s="1933"/>
      <c r="AO42" s="1933"/>
      <c r="AP42" s="1933"/>
      <c r="AQ42" s="1933"/>
      <c r="AR42" s="1933"/>
      <c r="AS42" s="1933"/>
      <c r="AT42" s="1933"/>
      <c r="AU42" s="1933"/>
      <c r="AV42" s="1933"/>
      <c r="AW42" s="1933"/>
      <c r="AX42" s="1933"/>
      <c r="AY42" s="1933"/>
      <c r="AZ42" s="1933"/>
      <c r="BA42" s="1933"/>
      <c r="BB42" s="1933"/>
      <c r="BC42" s="1933"/>
      <c r="BD42" s="1933"/>
      <c r="BE42" s="1933"/>
      <c r="BF42" s="1933"/>
      <c r="BG42" s="1933"/>
      <c r="BH42" s="1933"/>
      <c r="BI42" s="1933"/>
      <c r="BJ42" s="1933"/>
      <c r="BK42" s="1931"/>
      <c r="BL42" s="1931"/>
      <c r="BM42" s="1931"/>
      <c r="BN42" s="1931"/>
      <c r="BO42" s="1931"/>
      <c r="BP42" s="1931"/>
      <c r="BQ42" s="1931"/>
      <c r="BR42" s="1931"/>
      <c r="BS42" s="1931"/>
      <c r="BT42" s="1931"/>
      <c r="BU42" s="1931"/>
      <c r="BV42" s="1931"/>
      <c r="BW42" s="1931"/>
      <c r="BX42" s="1931"/>
      <c r="BY42" s="1931"/>
      <c r="BZ42" s="1931"/>
      <c r="CA42" s="1931"/>
      <c r="CB42" s="1931"/>
      <c r="CC42" s="1931"/>
      <c r="CD42" s="1931"/>
      <c r="CE42" s="1930"/>
      <c r="CF42" s="1930"/>
      <c r="CG42" s="1930"/>
      <c r="CH42" s="1930"/>
      <c r="CI42" s="1931"/>
      <c r="CJ42" s="1931"/>
      <c r="CK42" s="1931"/>
      <c r="CL42" s="1931"/>
      <c r="CM42" s="1931"/>
      <c r="CN42" s="1931"/>
      <c r="CO42" s="1931"/>
      <c r="CP42" s="1931"/>
      <c r="CQ42" s="1931"/>
      <c r="CR42" s="1931"/>
      <c r="CS42" s="1931"/>
      <c r="CT42" s="1930"/>
      <c r="CU42" s="1930"/>
      <c r="CV42" s="1930"/>
      <c r="CW42" s="1930"/>
      <c r="CX42" s="1931"/>
      <c r="CY42" s="1931"/>
      <c r="CZ42" s="1931"/>
      <c r="DA42" s="1931"/>
      <c r="DB42" s="1932"/>
      <c r="DC42" s="1931"/>
      <c r="DD42" s="1931"/>
      <c r="DE42" s="1931"/>
      <c r="DF42" s="1931"/>
      <c r="DI42" s="1931"/>
    </row>
    <row r="43" spans="2:113" hidden="1" outlineLevel="1" x14ac:dyDescent="0.25">
      <c r="D43" s="1300"/>
      <c r="E43" s="1965"/>
      <c r="F43" s="1965"/>
      <c r="G43" s="1965"/>
      <c r="H43" s="1301"/>
      <c r="I43" s="1965"/>
      <c r="J43" s="1965"/>
      <c r="K43" s="1965"/>
      <c r="L43" s="1965"/>
      <c r="M43" s="1965"/>
      <c r="N43" s="1965"/>
      <c r="O43" s="1965"/>
      <c r="P43" s="1965"/>
      <c r="Q43" s="1965"/>
      <c r="R43" s="1965"/>
      <c r="S43" s="1965"/>
      <c r="T43" s="1965"/>
      <c r="U43" s="1965"/>
      <c r="V43" s="1931"/>
      <c r="W43" s="1931"/>
      <c r="X43" s="1931"/>
      <c r="Y43" s="1931"/>
      <c r="Z43" s="1931"/>
      <c r="AA43" s="1931"/>
      <c r="AB43" s="1931"/>
      <c r="AC43" s="1931"/>
      <c r="AD43" s="1931"/>
      <c r="AE43" s="1931"/>
      <c r="AF43" s="1931"/>
      <c r="AG43" s="1931"/>
      <c r="AH43" s="1931"/>
      <c r="AI43" s="1931"/>
      <c r="AJ43" s="1931"/>
      <c r="AK43" s="1931"/>
      <c r="AL43" s="1931"/>
      <c r="AM43" s="1931"/>
      <c r="AN43" s="1931"/>
      <c r="AO43" s="1931"/>
      <c r="AP43" s="1931"/>
      <c r="AQ43" s="1931"/>
      <c r="AR43" s="1931"/>
      <c r="AS43" s="1931"/>
      <c r="AT43" s="1931"/>
      <c r="AU43" s="1931"/>
      <c r="AV43" s="1931"/>
      <c r="AW43" s="1931"/>
      <c r="AX43" s="1931"/>
      <c r="AY43" s="1931"/>
      <c r="AZ43" s="1931"/>
      <c r="BA43" s="1931"/>
      <c r="BB43" s="1931"/>
      <c r="BC43" s="1931"/>
      <c r="BD43" s="1931"/>
      <c r="BE43" s="1931"/>
      <c r="BF43" s="1931"/>
      <c r="BG43" s="1931"/>
      <c r="BH43" s="1931"/>
      <c r="BI43" s="1931"/>
      <c r="BJ43" s="1931"/>
      <c r="BK43" s="1931"/>
      <c r="BL43" s="1931"/>
      <c r="BM43" s="1931"/>
      <c r="BN43" s="1931"/>
      <c r="BO43" s="1931"/>
      <c r="BP43" s="1931"/>
      <c r="BQ43" s="1931"/>
      <c r="BR43" s="1931"/>
      <c r="BS43" s="1931"/>
      <c r="BT43" s="1931"/>
      <c r="BU43" s="1931"/>
      <c r="BV43" s="1931"/>
      <c r="BW43" s="1931"/>
      <c r="BX43" s="1931"/>
      <c r="BY43" s="1931"/>
      <c r="BZ43" s="1931"/>
      <c r="CA43" s="1931"/>
      <c r="CB43" s="1931"/>
      <c r="CC43" s="1931"/>
      <c r="CD43" s="1931"/>
      <c r="CE43" s="1930"/>
      <c r="CF43" s="1930"/>
      <c r="CG43" s="1930"/>
      <c r="CH43" s="1930"/>
      <c r="CI43" s="1931"/>
      <c r="CJ43" s="1931"/>
      <c r="CK43" s="1931"/>
      <c r="CL43" s="1931"/>
      <c r="CM43" s="1931"/>
      <c r="CN43" s="1931"/>
      <c r="CO43" s="1931"/>
      <c r="CP43" s="1931"/>
      <c r="CQ43" s="1931"/>
      <c r="CR43" s="1931"/>
      <c r="CS43" s="1931"/>
      <c r="CT43" s="1930"/>
      <c r="CU43" s="1930"/>
      <c r="CV43" s="1930"/>
      <c r="CW43" s="1930"/>
      <c r="CX43" s="1931"/>
      <c r="CY43" s="1931"/>
      <c r="CZ43" s="1931"/>
      <c r="DA43" s="1931"/>
      <c r="DB43" s="1932"/>
      <c r="DC43" s="1931"/>
      <c r="DD43" s="1931"/>
      <c r="DE43" s="1931"/>
      <c r="DF43" s="1931"/>
      <c r="DI43" s="1931"/>
    </row>
    <row r="44" spans="2:113" hidden="1" outlineLevel="1" x14ac:dyDescent="0.25">
      <c r="D44" s="1300"/>
      <c r="E44" s="1965"/>
      <c r="F44" s="1965"/>
      <c r="G44" s="1965"/>
      <c r="H44" s="1301"/>
      <c r="I44" s="1965"/>
      <c r="J44" s="1965"/>
      <c r="K44" s="1965"/>
      <c r="L44" s="1965"/>
      <c r="M44" s="1965"/>
      <c r="N44" s="1965"/>
      <c r="O44" s="1965"/>
      <c r="P44" s="1965"/>
      <c r="Q44" s="1965"/>
      <c r="R44" s="1965"/>
      <c r="S44" s="1965"/>
      <c r="T44" s="1965"/>
      <c r="U44" s="1965"/>
      <c r="V44" s="1931"/>
      <c r="W44" s="1931"/>
      <c r="X44" s="1931"/>
      <c r="Y44" s="1931"/>
      <c r="Z44" s="1931"/>
      <c r="AA44" s="1931"/>
      <c r="AB44" s="1931"/>
      <c r="AC44" s="1931"/>
      <c r="AD44" s="1931"/>
      <c r="AE44" s="1931"/>
      <c r="AF44" s="1931"/>
      <c r="AG44" s="1931"/>
      <c r="AH44" s="1931"/>
      <c r="AI44" s="1931"/>
      <c r="AJ44" s="1931"/>
      <c r="AK44" s="1931"/>
      <c r="AL44" s="1931"/>
      <c r="AM44" s="1931"/>
      <c r="AN44" s="1931"/>
      <c r="AO44" s="1931"/>
      <c r="AP44" s="1931"/>
      <c r="AQ44" s="1931"/>
      <c r="AR44" s="1931"/>
      <c r="AS44" s="1931"/>
      <c r="AT44" s="1931"/>
      <c r="AU44" s="1931"/>
      <c r="AV44" s="1931"/>
      <c r="AW44" s="1931"/>
      <c r="AX44" s="1931"/>
      <c r="AY44" s="1931"/>
      <c r="AZ44" s="1931"/>
      <c r="BA44" s="1931"/>
      <c r="BB44" s="1931"/>
      <c r="BC44" s="1931"/>
      <c r="BD44" s="1931"/>
      <c r="BE44" s="1931"/>
      <c r="BF44" s="1931"/>
      <c r="BG44" s="1931"/>
      <c r="BH44" s="1931"/>
      <c r="BI44" s="1931"/>
      <c r="BJ44" s="1931"/>
      <c r="BK44" s="1931"/>
      <c r="BL44" s="1931"/>
      <c r="BM44" s="1931"/>
      <c r="BN44" s="1931"/>
      <c r="BO44" s="1931"/>
      <c r="BP44" s="1931"/>
      <c r="BQ44" s="1931"/>
      <c r="BR44" s="1931"/>
      <c r="BS44" s="1931"/>
      <c r="BT44" s="1931"/>
      <c r="BU44" s="1931"/>
      <c r="BV44" s="1931"/>
      <c r="BW44" s="1931"/>
      <c r="BX44" s="1931"/>
      <c r="BY44" s="1931"/>
      <c r="BZ44" s="1931"/>
      <c r="CA44" s="1931"/>
      <c r="CB44" s="1931"/>
      <c r="CC44" s="1931"/>
      <c r="CD44" s="1931"/>
      <c r="CE44" s="1930"/>
      <c r="CF44" s="1930"/>
      <c r="CG44" s="1930"/>
      <c r="CH44" s="1930"/>
      <c r="CI44" s="1931"/>
      <c r="CJ44" s="1931"/>
      <c r="CK44" s="1931"/>
      <c r="CL44" s="1931"/>
      <c r="CM44" s="1931"/>
      <c r="CN44" s="1931"/>
      <c r="CO44" s="1931"/>
      <c r="CP44" s="1931"/>
      <c r="CQ44" s="1931"/>
      <c r="CR44" s="1931"/>
      <c r="CS44" s="1931"/>
      <c r="CT44" s="1930"/>
      <c r="CU44" s="1930"/>
      <c r="CV44" s="1930"/>
      <c r="CW44" s="1930"/>
      <c r="CX44" s="1931"/>
      <c r="CY44" s="1931"/>
      <c r="CZ44" s="1931"/>
      <c r="DA44" s="1931"/>
      <c r="DB44" s="1932"/>
      <c r="DC44" s="1931"/>
      <c r="DD44" s="1931"/>
      <c r="DE44" s="1931"/>
      <c r="DF44" s="1931"/>
      <c r="DI44" s="1931"/>
    </row>
    <row r="45" spans="2:113" s="1931" customFormat="1" hidden="1" outlineLevel="1" x14ac:dyDescent="0.25">
      <c r="C45" s="1966"/>
      <c r="D45" s="1300"/>
      <c r="E45" s="1965"/>
      <c r="F45" s="1965"/>
      <c r="G45" s="1965"/>
      <c r="H45" s="1301"/>
      <c r="I45" s="1965"/>
      <c r="J45" s="1965"/>
      <c r="K45" s="1965"/>
      <c r="L45" s="1965"/>
      <c r="M45" s="1965"/>
      <c r="N45" s="1965"/>
      <c r="O45" s="1965"/>
      <c r="P45" s="1965"/>
      <c r="Q45" s="1965"/>
      <c r="R45" s="1965"/>
      <c r="S45" s="1965"/>
      <c r="T45" s="1965"/>
      <c r="U45" s="1965"/>
      <c r="CE45" s="1930"/>
      <c r="CF45" s="1930"/>
      <c r="CG45" s="1930"/>
      <c r="CH45" s="1930"/>
      <c r="CT45" s="1930"/>
      <c r="CU45" s="1930"/>
      <c r="CV45" s="1930"/>
      <c r="CW45" s="1930"/>
      <c r="DB45" s="1932"/>
    </row>
    <row r="46" spans="2:113" s="1931" customFormat="1" hidden="1" outlineLevel="1" x14ac:dyDescent="0.25">
      <c r="C46" s="1966"/>
      <c r="D46" s="1300"/>
      <c r="E46" s="1965"/>
      <c r="F46" s="1965"/>
      <c r="G46" s="1965"/>
      <c r="H46" s="1301"/>
      <c r="I46" s="1965"/>
      <c r="J46" s="1965"/>
      <c r="K46" s="1965"/>
      <c r="L46" s="1965"/>
      <c r="M46" s="1965"/>
      <c r="N46" s="1965"/>
      <c r="O46" s="1965"/>
      <c r="P46" s="1965"/>
      <c r="Q46" s="1965"/>
      <c r="R46" s="1965"/>
      <c r="S46" s="1965"/>
      <c r="T46" s="1965"/>
      <c r="U46" s="1965"/>
      <c r="CE46" s="1930"/>
      <c r="CF46" s="1930"/>
      <c r="CG46" s="1930"/>
      <c r="CH46" s="1930"/>
      <c r="CT46" s="1930"/>
      <c r="CU46" s="1930"/>
      <c r="CV46" s="1930"/>
      <c r="CW46" s="1930"/>
      <c r="DB46" s="1932"/>
    </row>
    <row r="47" spans="2:113" hidden="1" outlineLevel="1" x14ac:dyDescent="0.25">
      <c r="D47" s="1300"/>
      <c r="E47" s="1965"/>
      <c r="F47" s="1965"/>
      <c r="G47" s="1965"/>
      <c r="H47" s="1301"/>
      <c r="I47" s="1965"/>
      <c r="J47" s="1965"/>
      <c r="K47" s="1965"/>
      <c r="L47" s="1965"/>
      <c r="M47" s="1965"/>
      <c r="N47" s="1978" t="s">
        <v>4293</v>
      </c>
      <c r="O47" s="1978"/>
      <c r="P47" s="1978"/>
      <c r="Q47" s="1978"/>
      <c r="R47" s="1978"/>
      <c r="S47" s="1965"/>
      <c r="T47" s="1965"/>
      <c r="U47" s="1965"/>
      <c r="V47" s="1936" t="s">
        <v>45</v>
      </c>
      <c r="W47" s="1937">
        <f>$W$8</f>
        <v>43252</v>
      </c>
      <c r="X47" s="1937">
        <f>$X$8</f>
        <v>43465</v>
      </c>
      <c r="Y47" s="1937">
        <f>$Y$8</f>
        <v>43800</v>
      </c>
      <c r="Z47" s="1937">
        <f>$Z$8</f>
        <v>43862</v>
      </c>
      <c r="AA47" s="1937">
        <f>$AA$8</f>
        <v>44013</v>
      </c>
      <c r="AB47" s="1937">
        <v>44166</v>
      </c>
      <c r="AC47" s="1937">
        <f>$AC$8</f>
        <v>44531</v>
      </c>
      <c r="AD47" s="1937" t="str">
        <f>$AD$8</f>
        <v>-</v>
      </c>
      <c r="AE47" s="1937" t="str">
        <f>$AE$8</f>
        <v>-</v>
      </c>
      <c r="AF47" s="1937" t="str">
        <f>$AF$8</f>
        <v>-</v>
      </c>
      <c r="AG47" s="1937" t="str">
        <f>$AG$8</f>
        <v>-</v>
      </c>
      <c r="AH47" s="1931"/>
      <c r="AI47" s="1936" t="s">
        <v>45</v>
      </c>
      <c r="AJ47" s="1937">
        <f>$W$8</f>
        <v>43252</v>
      </c>
      <c r="AK47" s="1937">
        <f>$X$8</f>
        <v>43465</v>
      </c>
      <c r="AL47" s="1937">
        <f>$Y$8</f>
        <v>43800</v>
      </c>
      <c r="AM47" s="1937">
        <f>$Z$8</f>
        <v>43862</v>
      </c>
      <c r="AN47" s="1937">
        <f>$AA$8</f>
        <v>44013</v>
      </c>
      <c r="AO47" s="1937">
        <f>$AB$8</f>
        <v>44166</v>
      </c>
      <c r="AP47" s="1937">
        <f>$AC$8</f>
        <v>44531</v>
      </c>
      <c r="AQ47" s="1937" t="str">
        <f>$AE$8</f>
        <v>-</v>
      </c>
      <c r="AR47" s="1937" t="str">
        <f>$AF$8</f>
        <v>-</v>
      </c>
      <c r="AS47" s="1937" t="str">
        <f>$AG$8</f>
        <v>-</v>
      </c>
      <c r="AT47" s="1931"/>
      <c r="AU47" s="1936" t="s">
        <v>45</v>
      </c>
      <c r="AV47" s="1937">
        <f>$W$8</f>
        <v>43252</v>
      </c>
      <c r="AW47" s="1937">
        <f>$X$8</f>
        <v>43465</v>
      </c>
      <c r="AX47" s="1937">
        <f>$Y$8</f>
        <v>43800</v>
      </c>
      <c r="AY47" s="1937">
        <f>$Z$8</f>
        <v>43862</v>
      </c>
      <c r="AZ47" s="1937">
        <f>$AA$8</f>
        <v>44013</v>
      </c>
      <c r="BA47" s="1937">
        <f>$AA$8</f>
        <v>44013</v>
      </c>
      <c r="BB47" s="1937">
        <f>$AC$8</f>
        <v>44531</v>
      </c>
      <c r="BC47" s="1937" t="str">
        <f>$AE$8</f>
        <v>-</v>
      </c>
      <c r="BD47" s="1937" t="str">
        <f>$AF$8</f>
        <v>-</v>
      </c>
      <c r="BE47" s="1937" t="str">
        <f>$AG$8</f>
        <v>-</v>
      </c>
      <c r="BF47" s="1931"/>
      <c r="BH47" s="1937">
        <f>$W$8</f>
        <v>43252</v>
      </c>
      <c r="BI47" s="1937">
        <f>$X$8</f>
        <v>43465</v>
      </c>
      <c r="BJ47" s="1937">
        <f>$Y$8</f>
        <v>43800</v>
      </c>
      <c r="BK47" s="1937">
        <f>$Z$8</f>
        <v>43862</v>
      </c>
      <c r="BL47" s="1937">
        <f>$AA$8</f>
        <v>44013</v>
      </c>
      <c r="BM47" s="1937">
        <v>44166</v>
      </c>
      <c r="BN47" s="1937">
        <f>$AC$8</f>
        <v>44531</v>
      </c>
      <c r="BO47" s="1937" t="str">
        <f>$AE$8</f>
        <v>-</v>
      </c>
      <c r="BP47" s="1937" t="str">
        <f>$AF$8</f>
        <v>-</v>
      </c>
      <c r="BQ47" s="1937" t="str">
        <f>$AG$8</f>
        <v>-</v>
      </c>
      <c r="BR47" s="1931"/>
      <c r="BS47" s="1937">
        <f>$W$8</f>
        <v>43252</v>
      </c>
      <c r="BT47" s="1937">
        <f>$X$8</f>
        <v>43465</v>
      </c>
      <c r="BU47" s="1937">
        <f>$Y$8</f>
        <v>43800</v>
      </c>
      <c r="BV47" s="1937">
        <f>$Z$8</f>
        <v>43862</v>
      </c>
      <c r="BW47" s="1937">
        <f>$AA$8</f>
        <v>44013</v>
      </c>
      <c r="BX47" s="1937">
        <f>$AB$8</f>
        <v>44166</v>
      </c>
      <c r="BY47" s="1937">
        <f>$AC$8</f>
        <v>44531</v>
      </c>
      <c r="BZ47" s="1937" t="str">
        <f>$AD$8</f>
        <v>-</v>
      </c>
      <c r="CA47" s="1937" t="str">
        <f>$AE$8</f>
        <v>-</v>
      </c>
      <c r="CB47" s="1937" t="str">
        <f>$AF$8</f>
        <v>-</v>
      </c>
      <c r="CC47" s="1937" t="str">
        <f>$AG$8</f>
        <v>-</v>
      </c>
      <c r="CD47" s="1931"/>
      <c r="CE47" s="1937">
        <f>$W$8</f>
        <v>43252</v>
      </c>
      <c r="CF47" s="1937">
        <f>$X$8</f>
        <v>43465</v>
      </c>
      <c r="CG47" s="1937">
        <f>$Y$8</f>
        <v>43800</v>
      </c>
      <c r="CH47" s="1937">
        <f>$Z$8</f>
        <v>43862</v>
      </c>
      <c r="CI47" s="1937">
        <f>$AA$8</f>
        <v>44013</v>
      </c>
      <c r="CJ47" s="1937">
        <f>$AB$8</f>
        <v>44166</v>
      </c>
      <c r="CK47" s="1937">
        <f>$AC$8</f>
        <v>44531</v>
      </c>
      <c r="CL47" s="1937" t="str">
        <f>$AD$8</f>
        <v>-</v>
      </c>
      <c r="CM47" s="1937" t="str">
        <f>$AE$8</f>
        <v>-</v>
      </c>
      <c r="CN47" s="1937" t="str">
        <f>$AF$8</f>
        <v>-</v>
      </c>
      <c r="CO47" s="1937" t="str">
        <f>$AG$8</f>
        <v>-</v>
      </c>
      <c r="CP47" s="1931"/>
      <c r="CQ47" s="1931"/>
      <c r="CR47" s="1931"/>
      <c r="CS47" s="1931"/>
      <c r="CT47" s="1930"/>
      <c r="CU47" s="1930"/>
      <c r="CV47" s="1930"/>
      <c r="CW47" s="1930"/>
      <c r="CX47" s="1931"/>
      <c r="CY47" s="1931"/>
      <c r="CZ47" s="1931"/>
      <c r="DA47" s="1931"/>
      <c r="DB47" s="1932"/>
      <c r="DC47" s="1931"/>
      <c r="DD47" s="1931"/>
      <c r="DE47" s="1931"/>
      <c r="DF47" s="1931"/>
    </row>
    <row r="48" spans="2:113" s="55" customFormat="1" ht="30" hidden="1" outlineLevel="1" x14ac:dyDescent="0.25">
      <c r="C48" s="151"/>
      <c r="D48" s="46" t="s">
        <v>28</v>
      </c>
      <c r="E48" s="3196" t="s">
        <v>111</v>
      </c>
      <c r="F48" s="3196" t="s">
        <v>2690</v>
      </c>
      <c r="G48" s="3196" t="s">
        <v>2691</v>
      </c>
      <c r="H48" s="47" t="s">
        <v>2692</v>
      </c>
      <c r="I48" s="2090" t="s">
        <v>2693</v>
      </c>
      <c r="J48" s="3275" t="s">
        <v>133</v>
      </c>
      <c r="K48" s="3196" t="s">
        <v>181</v>
      </c>
      <c r="L48" s="3322" t="s">
        <v>4292</v>
      </c>
      <c r="M48" s="401"/>
      <c r="N48" s="3324" t="s">
        <v>4294</v>
      </c>
      <c r="O48" s="3324" t="s">
        <v>4295</v>
      </c>
      <c r="P48" s="3324" t="s">
        <v>4296</v>
      </c>
      <c r="Q48" s="3324" t="s">
        <v>4297</v>
      </c>
      <c r="R48" s="3324" t="s">
        <v>4298</v>
      </c>
      <c r="S48" s="401"/>
      <c r="T48" s="401"/>
      <c r="U48" s="401"/>
      <c r="V48" s="56"/>
      <c r="W48" s="57" t="str">
        <f>$F$48</f>
        <v>Watts Base</v>
      </c>
      <c r="X48" s="57" t="str">
        <f t="shared" ref="X48:AG48" si="23">$F$48</f>
        <v>Watts Base</v>
      </c>
      <c r="Y48" s="57" t="str">
        <f t="shared" si="23"/>
        <v>Watts Base</v>
      </c>
      <c r="Z48" s="57" t="str">
        <f t="shared" si="23"/>
        <v>Watts Base</v>
      </c>
      <c r="AA48" s="57" t="str">
        <f t="shared" si="23"/>
        <v>Watts Base</v>
      </c>
      <c r="AB48" s="57" t="s">
        <v>2690</v>
      </c>
      <c r="AC48" s="57" t="str">
        <f t="shared" si="23"/>
        <v>Watts Base</v>
      </c>
      <c r="AD48" s="57" t="str">
        <f t="shared" si="23"/>
        <v>Watts Base</v>
      </c>
      <c r="AE48" s="57" t="str">
        <f t="shared" si="23"/>
        <v>Watts Base</v>
      </c>
      <c r="AF48" s="57" t="str">
        <f t="shared" si="23"/>
        <v>Watts Base</v>
      </c>
      <c r="AG48" s="57" t="str">
        <f t="shared" si="23"/>
        <v>Watts Base</v>
      </c>
      <c r="AI48" s="3479" t="str">
        <f>D48</f>
        <v>Measure Reference No.</v>
      </c>
      <c r="AJ48" s="57" t="str">
        <f>$G$48</f>
        <v>Watts EE</v>
      </c>
      <c r="AK48" s="57" t="str">
        <f t="shared" ref="AK48:AS48" si="24">$G$48</f>
        <v>Watts EE</v>
      </c>
      <c r="AL48" s="57" t="str">
        <f t="shared" si="24"/>
        <v>Watts EE</v>
      </c>
      <c r="AM48" s="57" t="str">
        <f t="shared" si="24"/>
        <v>Watts EE</v>
      </c>
      <c r="AN48" s="57" t="str">
        <f t="shared" si="24"/>
        <v>Watts EE</v>
      </c>
      <c r="AO48" s="57" t="str">
        <f t="shared" si="24"/>
        <v>Watts EE</v>
      </c>
      <c r="AP48" s="57" t="str">
        <f t="shared" si="24"/>
        <v>Watts EE</v>
      </c>
      <c r="AQ48" s="57" t="str">
        <f t="shared" si="24"/>
        <v>Watts EE</v>
      </c>
      <c r="AR48" s="57" t="str">
        <f t="shared" si="24"/>
        <v>Watts EE</v>
      </c>
      <c r="AS48" s="57" t="str">
        <f t="shared" si="24"/>
        <v>Watts EE</v>
      </c>
      <c r="AU48" s="3479" t="str">
        <f>P48</f>
        <v>HOU Adjustment</v>
      </c>
      <c r="AV48" s="58" t="str">
        <f>$H$48</f>
        <v>HOU</v>
      </c>
      <c r="AW48" s="58" t="str">
        <f t="shared" ref="AW48:BE48" si="25">$H$48</f>
        <v>HOU</v>
      </c>
      <c r="AX48" s="58" t="str">
        <f t="shared" si="25"/>
        <v>HOU</v>
      </c>
      <c r="AY48" s="58" t="str">
        <f t="shared" si="25"/>
        <v>HOU</v>
      </c>
      <c r="AZ48" s="58" t="str">
        <f t="shared" si="25"/>
        <v>HOU</v>
      </c>
      <c r="BA48" s="58" t="s">
        <v>2692</v>
      </c>
      <c r="BB48" s="58" t="str">
        <f t="shared" si="25"/>
        <v>HOU</v>
      </c>
      <c r="BC48" s="58" t="str">
        <f t="shared" si="25"/>
        <v>HOU</v>
      </c>
      <c r="BD48" s="58" t="str">
        <f t="shared" si="25"/>
        <v>HOU</v>
      </c>
      <c r="BE48" s="58" t="str">
        <f t="shared" si="25"/>
        <v>HOU</v>
      </c>
      <c r="BH48" s="58" t="str">
        <f>$I$48</f>
        <v>WHFe + -IFkWh</v>
      </c>
      <c r="BI48" s="58" t="str">
        <f t="shared" ref="BI48:BQ48" si="26">$I$48</f>
        <v>WHFe + -IFkWh</v>
      </c>
      <c r="BJ48" s="58" t="str">
        <f t="shared" si="26"/>
        <v>WHFe + -IFkWh</v>
      </c>
      <c r="BK48" s="58" t="str">
        <f t="shared" si="26"/>
        <v>WHFe + -IFkWh</v>
      </c>
      <c r="BL48" s="58" t="str">
        <f t="shared" si="26"/>
        <v>WHFe + -IFkWh</v>
      </c>
      <c r="BM48" s="58" t="s">
        <v>2693</v>
      </c>
      <c r="BN48" s="58" t="str">
        <f t="shared" si="26"/>
        <v>WHFe + -IFkWh</v>
      </c>
      <c r="BO48" s="58" t="str">
        <f t="shared" si="26"/>
        <v>WHFe + -IFkWh</v>
      </c>
      <c r="BP48" s="58" t="str">
        <f t="shared" si="26"/>
        <v>WHFe + -IFkWh</v>
      </c>
      <c r="BQ48" s="58" t="str">
        <f t="shared" si="26"/>
        <v>WHFe + -IFkWh</v>
      </c>
      <c r="BS48" s="58" t="str">
        <f>$J$48</f>
        <v>ISR</v>
      </c>
      <c r="BT48" s="58" t="str">
        <f t="shared" ref="BT48:CC48" si="27">$J$48</f>
        <v>ISR</v>
      </c>
      <c r="BU48" s="58" t="str">
        <f t="shared" si="27"/>
        <v>ISR</v>
      </c>
      <c r="BV48" s="58" t="str">
        <f t="shared" si="27"/>
        <v>ISR</v>
      </c>
      <c r="BW48" s="58" t="str">
        <f t="shared" si="27"/>
        <v>ISR</v>
      </c>
      <c r="BX48" s="58" t="str">
        <f t="shared" si="27"/>
        <v>ISR</v>
      </c>
      <c r="BY48" s="58" t="str">
        <f t="shared" si="27"/>
        <v>ISR</v>
      </c>
      <c r="BZ48" s="58" t="str">
        <f t="shared" si="27"/>
        <v>ISR</v>
      </c>
      <c r="CA48" s="58" t="str">
        <f t="shared" si="27"/>
        <v>ISR</v>
      </c>
      <c r="CB48" s="58" t="str">
        <f t="shared" si="27"/>
        <v>ISR</v>
      </c>
      <c r="CC48" s="58" t="str">
        <f t="shared" si="27"/>
        <v>ISR</v>
      </c>
      <c r="CE48" s="58" t="str">
        <f>$K$48</f>
        <v>EUL</v>
      </c>
      <c r="CF48" s="58" t="str">
        <f t="shared" ref="CF48:CO48" si="28">$K$48</f>
        <v>EUL</v>
      </c>
      <c r="CG48" s="58" t="str">
        <f t="shared" si="28"/>
        <v>EUL</v>
      </c>
      <c r="CH48" s="58" t="str">
        <f t="shared" si="28"/>
        <v>EUL</v>
      </c>
      <c r="CI48" s="58" t="str">
        <f t="shared" si="28"/>
        <v>EUL</v>
      </c>
      <c r="CJ48" s="58" t="str">
        <f t="shared" si="28"/>
        <v>EUL</v>
      </c>
      <c r="CK48" s="58" t="str">
        <f t="shared" si="28"/>
        <v>EUL</v>
      </c>
      <c r="CL48" s="58" t="str">
        <f t="shared" si="28"/>
        <v>EUL</v>
      </c>
      <c r="CM48" s="58" t="str">
        <f t="shared" si="28"/>
        <v>EUL</v>
      </c>
      <c r="CN48" s="58" t="str">
        <f t="shared" si="28"/>
        <v>EUL</v>
      </c>
      <c r="CO48" s="58" t="str">
        <f t="shared" si="28"/>
        <v>EUL</v>
      </c>
      <c r="DB48" s="1932"/>
      <c r="DC48" s="1931"/>
      <c r="DD48" s="1931"/>
      <c r="DE48" s="1931"/>
    </row>
    <row r="49" spans="3:110" s="55" customFormat="1" hidden="1" outlineLevel="1" x14ac:dyDescent="0.25">
      <c r="C49" s="151"/>
      <c r="D49" s="1302" t="str">
        <f t="shared" ref="D49:D72" si="29">C9</f>
        <v>800050_2019_12_</v>
      </c>
      <c r="E49" s="1302" t="str">
        <f>E9</f>
        <v>LED &lt;=11 Watt Lamp Replacing Interior Halogen A 28-52 Watt Lamp</v>
      </c>
      <c r="F49" s="3319">
        <v>55.167037861915368</v>
      </c>
      <c r="G49" s="3319">
        <v>9.6213808463251667</v>
      </c>
      <c r="H49" s="3320">
        <v>2697.5835189309578</v>
      </c>
      <c r="I49" s="59">
        <v>1.07</v>
      </c>
      <c r="J49" s="59">
        <v>1</v>
      </c>
      <c r="K49" s="3321">
        <v>10</v>
      </c>
      <c r="L49" s="3323">
        <f>$R$52</f>
        <v>0.96940799999999994</v>
      </c>
      <c r="M49" s="401"/>
      <c r="N49" s="3325" t="s">
        <v>4299</v>
      </c>
      <c r="O49" s="3326">
        <v>0.99</v>
      </c>
      <c r="P49" s="3326">
        <v>0.98</v>
      </c>
      <c r="Q49" s="3326">
        <f>O49*P49</f>
        <v>0.97019999999999995</v>
      </c>
      <c r="R49" s="3327">
        <v>0.93</v>
      </c>
      <c r="S49" s="401"/>
      <c r="T49" s="401"/>
      <c r="U49" s="1303"/>
      <c r="V49" s="1999" t="str">
        <f>E49</f>
        <v>LED &lt;=11 Watt Lamp Replacing Interior Halogen A 28-52 Watt Lamp</v>
      </c>
      <c r="W49" s="61">
        <v>36</v>
      </c>
      <c r="X49" s="1951">
        <v>45</v>
      </c>
      <c r="Y49" s="62">
        <v>45</v>
      </c>
      <c r="Z49" s="1134">
        <v>45</v>
      </c>
      <c r="AA49" s="1134">
        <v>45</v>
      </c>
      <c r="AB49" s="2091">
        <v>60.524073707152766</v>
      </c>
      <c r="AC49" s="3364">
        <v>55.17</v>
      </c>
      <c r="AD49" s="2092"/>
      <c r="AE49" s="2092"/>
      <c r="AF49" s="2092"/>
      <c r="AG49" s="2092"/>
      <c r="AH49" s="2093"/>
      <c r="AI49" s="3456"/>
      <c r="AJ49" s="2091">
        <v>8</v>
      </c>
      <c r="AK49" s="366">
        <v>9.1999999999999993</v>
      </c>
      <c r="AL49" s="1134">
        <v>9.1999999999999993</v>
      </c>
      <c r="AM49" s="2091">
        <v>9.1999999999999993</v>
      </c>
      <c r="AN49" s="2091">
        <v>9.1999999999999993</v>
      </c>
      <c r="AO49" s="2091">
        <v>9.2734297602536166</v>
      </c>
      <c r="AP49" s="3364">
        <v>9.6199999999999992</v>
      </c>
      <c r="AQ49" s="2092"/>
      <c r="AR49" s="2092"/>
      <c r="AS49" s="2092"/>
      <c r="AT49" s="2093"/>
      <c r="AU49" s="3456"/>
      <c r="AV49" s="3480">
        <v>2920</v>
      </c>
      <c r="AW49" s="3481">
        <v>2386</v>
      </c>
      <c r="AX49" s="3480">
        <v>2386</v>
      </c>
      <c r="AY49" s="3480">
        <v>2386</v>
      </c>
      <c r="AZ49" s="3480">
        <v>2386</v>
      </c>
      <c r="BA49" s="3480">
        <v>3286.2179512581733</v>
      </c>
      <c r="BB49" s="3480">
        <v>2698</v>
      </c>
      <c r="BC49" s="2092"/>
      <c r="BD49" s="2092"/>
      <c r="BE49" s="2092"/>
      <c r="BF49" s="2093"/>
      <c r="BH49" s="2091">
        <v>1.07</v>
      </c>
      <c r="BI49" s="366">
        <v>1.08</v>
      </c>
      <c r="BJ49" s="2092">
        <v>1.08</v>
      </c>
      <c r="BK49" s="1471">
        <v>1.08</v>
      </c>
      <c r="BL49" s="1134">
        <f>I49</f>
        <v>1.07</v>
      </c>
      <c r="BM49" s="1134">
        <v>1.071</v>
      </c>
      <c r="BN49" s="3364">
        <v>1.071</v>
      </c>
      <c r="BO49" s="2092"/>
      <c r="BP49" s="2092"/>
      <c r="BQ49" s="2092"/>
      <c r="BR49" s="2093"/>
      <c r="BS49" s="2091">
        <v>1</v>
      </c>
      <c r="BT49" s="366">
        <v>0.96</v>
      </c>
      <c r="BU49" s="2091">
        <v>0.96</v>
      </c>
      <c r="BV49" s="2091">
        <v>0.96</v>
      </c>
      <c r="BW49" s="2091">
        <v>0.96</v>
      </c>
      <c r="BX49" s="2091">
        <v>0.96</v>
      </c>
      <c r="BY49" s="3364">
        <v>1</v>
      </c>
      <c r="BZ49" s="2092"/>
      <c r="CA49" s="2092"/>
      <c r="CB49" s="2092"/>
      <c r="CC49" s="2092"/>
      <c r="CD49" s="2093"/>
      <c r="CE49" s="64">
        <v>17</v>
      </c>
      <c r="CF49" s="2094">
        <v>21</v>
      </c>
      <c r="CG49" s="2095">
        <v>21</v>
      </c>
      <c r="CH49" s="2095">
        <v>21</v>
      </c>
      <c r="CI49" s="2095">
        <v>21</v>
      </c>
      <c r="CJ49" s="2095">
        <v>17</v>
      </c>
      <c r="CK49" s="3361">
        <v>10</v>
      </c>
      <c r="CL49" s="2092"/>
      <c r="CM49" s="2092"/>
      <c r="CN49" s="2092"/>
      <c r="CO49" s="2092"/>
      <c r="CP49" s="2096"/>
      <c r="CQ49" s="2096"/>
      <c r="DB49" s="1932"/>
      <c r="DC49" s="1931"/>
      <c r="DD49" s="1931"/>
      <c r="DE49" s="1931"/>
    </row>
    <row r="50" spans="3:110" s="55" customFormat="1" hidden="1" outlineLevel="1" x14ac:dyDescent="0.25">
      <c r="C50" s="151"/>
      <c r="D50" s="1302" t="str">
        <f t="shared" si="29"/>
        <v>800100_2019_12_</v>
      </c>
      <c r="E50" s="1302" t="str">
        <f t="shared" ref="E50:E73" si="30">E10</f>
        <v>LED 7-20 Watt Lamp Replacing Interior Halogen 53-70 Watt Lamp</v>
      </c>
      <c r="F50" s="3319">
        <v>65.26772895366544</v>
      </c>
      <c r="G50" s="3319">
        <v>9.7030672177507071</v>
      </c>
      <c r="H50" s="3320">
        <v>2122.1204589949966</v>
      </c>
      <c r="I50" s="59">
        <v>1.07</v>
      </c>
      <c r="J50" s="3319">
        <v>1</v>
      </c>
      <c r="K50" s="3321">
        <v>10</v>
      </c>
      <c r="L50" s="3323">
        <f t="shared" ref="L50:L74" si="31">$R$52</f>
        <v>0.96940799999999994</v>
      </c>
      <c r="M50" s="401"/>
      <c r="N50" s="3325" t="s">
        <v>4300</v>
      </c>
      <c r="O50" s="3326">
        <v>0.99</v>
      </c>
      <c r="P50" s="3326">
        <v>0.97</v>
      </c>
      <c r="Q50" s="3326">
        <f t="shared" ref="Q50:Q51" si="32">O50*P50</f>
        <v>0.96029999999999993</v>
      </c>
      <c r="R50" s="3327">
        <v>0.06</v>
      </c>
      <c r="S50" s="401"/>
      <c r="T50" s="401"/>
      <c r="U50" s="1303"/>
      <c r="V50" s="1999" t="str">
        <f t="shared" ref="V50:V73" si="33">E50</f>
        <v>LED 7-20 Watt Lamp Replacing Interior Halogen 53-70 Watt Lamp</v>
      </c>
      <c r="W50" s="61">
        <v>63</v>
      </c>
      <c r="X50" s="65">
        <v>63</v>
      </c>
      <c r="Y50" s="65">
        <v>63</v>
      </c>
      <c r="Z50" s="1134">
        <v>63</v>
      </c>
      <c r="AA50" s="1134">
        <v>63</v>
      </c>
      <c r="AB50" s="2091">
        <v>65.553668950451794</v>
      </c>
      <c r="AC50" s="3364">
        <v>65.27</v>
      </c>
      <c r="AD50" s="2092"/>
      <c r="AE50" s="2092"/>
      <c r="AF50" s="2092"/>
      <c r="AG50" s="2092"/>
      <c r="AH50" s="2093"/>
      <c r="AI50" s="3456"/>
      <c r="AJ50" s="2091">
        <v>14</v>
      </c>
      <c r="AK50" s="1134">
        <v>14</v>
      </c>
      <c r="AL50" s="1134">
        <v>14</v>
      </c>
      <c r="AM50" s="2091">
        <v>14</v>
      </c>
      <c r="AN50" s="2091">
        <v>14</v>
      </c>
      <c r="AO50" s="2091">
        <v>9.6557442160659317</v>
      </c>
      <c r="AP50" s="3364">
        <v>9.6999999999999993</v>
      </c>
      <c r="AQ50" s="2092"/>
      <c r="AR50" s="2092"/>
      <c r="AS50" s="2092"/>
      <c r="AT50" s="2093"/>
      <c r="AU50" s="3456"/>
      <c r="AV50" s="3480">
        <v>2920</v>
      </c>
      <c r="AW50" s="3482">
        <v>2920</v>
      </c>
      <c r="AX50" s="3480">
        <v>2920</v>
      </c>
      <c r="AY50" s="3480">
        <v>2920</v>
      </c>
      <c r="AZ50" s="3480">
        <v>2920</v>
      </c>
      <c r="BA50" s="3480">
        <v>2205.5545129579982</v>
      </c>
      <c r="BB50" s="3480">
        <v>2122</v>
      </c>
      <c r="BC50" s="2092"/>
      <c r="BD50" s="2092"/>
      <c r="BE50" s="2092"/>
      <c r="BF50" s="2093"/>
      <c r="BH50" s="2091">
        <v>1.07</v>
      </c>
      <c r="BI50" s="2091">
        <v>1.07</v>
      </c>
      <c r="BJ50" s="2092">
        <v>1.07</v>
      </c>
      <c r="BK50" s="1471">
        <v>1.07</v>
      </c>
      <c r="BL50" s="1471">
        <v>1.07</v>
      </c>
      <c r="BM50" s="1134">
        <v>1.071</v>
      </c>
      <c r="BN50" s="3364">
        <v>1.071</v>
      </c>
      <c r="BO50" s="2092"/>
      <c r="BP50" s="2092"/>
      <c r="BQ50" s="2092"/>
      <c r="BR50" s="2093"/>
      <c r="BS50" s="2091">
        <v>1</v>
      </c>
      <c r="BT50" s="1134">
        <v>1</v>
      </c>
      <c r="BU50" s="2091">
        <v>1</v>
      </c>
      <c r="BV50" s="2091">
        <v>1</v>
      </c>
      <c r="BW50" s="2091">
        <v>1</v>
      </c>
      <c r="BX50" s="2091">
        <v>1</v>
      </c>
      <c r="BY50" s="3364">
        <v>1</v>
      </c>
      <c r="BZ50" s="2092"/>
      <c r="CA50" s="2092"/>
      <c r="CB50" s="2092"/>
      <c r="CC50" s="2092"/>
      <c r="CD50" s="2093"/>
      <c r="CE50" s="64">
        <v>17</v>
      </c>
      <c r="CF50" s="2097">
        <v>17</v>
      </c>
      <c r="CG50" s="2095">
        <v>17</v>
      </c>
      <c r="CH50" s="2095">
        <v>17</v>
      </c>
      <c r="CI50" s="2095">
        <v>17</v>
      </c>
      <c r="CJ50" s="2095">
        <v>17</v>
      </c>
      <c r="CK50" s="3361">
        <v>10</v>
      </c>
      <c r="CL50" s="2092"/>
      <c r="CM50" s="2092"/>
      <c r="CN50" s="2092"/>
      <c r="CO50" s="2092"/>
      <c r="CP50" s="2096"/>
      <c r="CQ50" s="2096"/>
      <c r="DB50" s="1932"/>
      <c r="DC50" s="1931"/>
      <c r="DD50" s="1931"/>
      <c r="DE50" s="1931"/>
    </row>
    <row r="51" spans="3:110" s="55" customFormat="1" ht="30" hidden="1" outlineLevel="1" x14ac:dyDescent="0.25">
      <c r="C51" s="151"/>
      <c r="D51" s="1302" t="str">
        <f t="shared" si="29"/>
        <v>800150_2019_12_</v>
      </c>
      <c r="E51" s="1302" t="str">
        <f t="shared" si="30"/>
        <v>LED &lt;=14 Watt Lamp Replacing Interior Halogen BR/R 45-65 Watt Lamp</v>
      </c>
      <c r="F51" s="3319">
        <v>66.87954309449637</v>
      </c>
      <c r="G51" s="3319">
        <v>10.484423676012462</v>
      </c>
      <c r="H51" s="3320">
        <v>2552.6661474558673</v>
      </c>
      <c r="I51" s="59">
        <v>1.07</v>
      </c>
      <c r="J51" s="59">
        <v>1</v>
      </c>
      <c r="K51" s="3321">
        <v>10</v>
      </c>
      <c r="L51" s="3323">
        <f t="shared" si="31"/>
        <v>0.96940799999999994</v>
      </c>
      <c r="M51" s="401"/>
      <c r="N51" s="3325" t="s">
        <v>4301</v>
      </c>
      <c r="O51" s="3326">
        <v>0.99</v>
      </c>
      <c r="P51" s="3326">
        <v>0.96</v>
      </c>
      <c r="Q51" s="3326">
        <f t="shared" si="32"/>
        <v>0.95039999999999991</v>
      </c>
      <c r="R51" s="3327">
        <v>0.01</v>
      </c>
      <c r="S51" s="401"/>
      <c r="T51" s="401"/>
      <c r="U51" s="1303"/>
      <c r="V51" s="1999" t="str">
        <f t="shared" si="33"/>
        <v>LED &lt;=14 Watt Lamp Replacing Interior Halogen BR/R 45-65 Watt Lamp</v>
      </c>
      <c r="W51" s="61">
        <v>55</v>
      </c>
      <c r="X51" s="1951">
        <v>62</v>
      </c>
      <c r="Y51" s="62">
        <v>62</v>
      </c>
      <c r="Z51" s="1134">
        <v>62</v>
      </c>
      <c r="AA51" s="1134">
        <v>62</v>
      </c>
      <c r="AB51" s="2091">
        <v>66.525768731052409</v>
      </c>
      <c r="AC51" s="3364">
        <v>66.88</v>
      </c>
      <c r="AD51" s="2092"/>
      <c r="AE51" s="2092"/>
      <c r="AF51" s="2092"/>
      <c r="AG51" s="2092"/>
      <c r="AH51" s="2093"/>
      <c r="AI51" s="3456"/>
      <c r="AJ51" s="2091">
        <v>12</v>
      </c>
      <c r="AK51" s="366">
        <v>9.3000000000000007</v>
      </c>
      <c r="AL51" s="1134">
        <v>9.3000000000000007</v>
      </c>
      <c r="AM51" s="2091">
        <v>9.3000000000000007</v>
      </c>
      <c r="AN51" s="2091">
        <v>9.3000000000000007</v>
      </c>
      <c r="AO51" s="2091">
        <v>10.191857947163275</v>
      </c>
      <c r="AP51" s="3364">
        <v>10.48</v>
      </c>
      <c r="AQ51" s="2092"/>
      <c r="AR51" s="2092"/>
      <c r="AS51" s="2092"/>
      <c r="AT51" s="2093"/>
      <c r="AU51" s="3456"/>
      <c r="AV51" s="3480">
        <v>4380</v>
      </c>
      <c r="AW51" s="3483">
        <v>3583</v>
      </c>
      <c r="AX51" s="3480">
        <v>3583</v>
      </c>
      <c r="AY51" s="3480">
        <v>3583</v>
      </c>
      <c r="AZ51" s="3480">
        <v>3583</v>
      </c>
      <c r="BA51" s="3480">
        <v>2711.439800779558</v>
      </c>
      <c r="BB51" s="3480">
        <v>2553</v>
      </c>
      <c r="BC51" s="2092"/>
      <c r="BD51" s="2092"/>
      <c r="BE51" s="2092"/>
      <c r="BF51" s="2093"/>
      <c r="BH51" s="2091">
        <v>1.07</v>
      </c>
      <c r="BI51" s="366">
        <v>1.0900000000000001</v>
      </c>
      <c r="BJ51" s="2092">
        <v>1.0900000000000001</v>
      </c>
      <c r="BK51" s="1471">
        <v>1.0900000000000001</v>
      </c>
      <c r="BL51" s="1471">
        <v>1.0900000000000001</v>
      </c>
      <c r="BM51" s="1134">
        <v>1.071</v>
      </c>
      <c r="BN51" s="3364">
        <v>1.071</v>
      </c>
      <c r="BO51" s="2092"/>
      <c r="BP51" s="2092"/>
      <c r="BQ51" s="2092"/>
      <c r="BR51" s="2093"/>
      <c r="BS51" s="2091">
        <v>1</v>
      </c>
      <c r="BT51" s="366">
        <v>0.99</v>
      </c>
      <c r="BU51" s="2091">
        <v>0.99</v>
      </c>
      <c r="BV51" s="2091">
        <v>0.99</v>
      </c>
      <c r="BW51" s="2091">
        <v>0.99</v>
      </c>
      <c r="BX51" s="2091">
        <v>0.99</v>
      </c>
      <c r="BY51" s="3364">
        <v>1</v>
      </c>
      <c r="BZ51" s="2092"/>
      <c r="CA51" s="2092"/>
      <c r="CB51" s="2092"/>
      <c r="CC51" s="2092"/>
      <c r="CD51" s="2093"/>
      <c r="CE51" s="64">
        <v>11</v>
      </c>
      <c r="CF51" s="2094">
        <v>14</v>
      </c>
      <c r="CG51" s="2095">
        <v>14</v>
      </c>
      <c r="CH51" s="2095">
        <v>14</v>
      </c>
      <c r="CI51" s="2095">
        <v>14</v>
      </c>
      <c r="CJ51" s="2095">
        <v>11</v>
      </c>
      <c r="CK51" s="3361">
        <v>10</v>
      </c>
      <c r="CL51" s="2092"/>
      <c r="CM51" s="2092"/>
      <c r="CN51" s="2092"/>
      <c r="CO51" s="2092"/>
      <c r="CP51" s="2096"/>
      <c r="CQ51" s="2096"/>
      <c r="DB51" s="1932"/>
      <c r="DC51" s="1931"/>
      <c r="DD51" s="1931"/>
      <c r="DE51" s="1931"/>
    </row>
    <row r="52" spans="3:110" s="55" customFormat="1" ht="30" hidden="1" outlineLevel="1" x14ac:dyDescent="0.25">
      <c r="C52" s="151"/>
      <c r="D52" s="1302" t="str">
        <f t="shared" si="29"/>
        <v>800200_2019_12_</v>
      </c>
      <c r="E52" s="1302" t="str">
        <f t="shared" si="30"/>
        <v>LED &lt;=13 Watt Lamp Replacing Interior Halogen MR-16 35-50 Watt Lamp</v>
      </c>
      <c r="F52" s="3319">
        <v>41.617852161785216</v>
      </c>
      <c r="G52" s="3319">
        <v>6.3500697350069739</v>
      </c>
      <c r="H52" s="3320">
        <v>2808.4909344490934</v>
      </c>
      <c r="I52" s="59">
        <v>1.07</v>
      </c>
      <c r="J52" s="3319">
        <v>1</v>
      </c>
      <c r="K52" s="3321">
        <v>10</v>
      </c>
      <c r="L52" s="3323">
        <f t="shared" si="31"/>
        <v>0.96940799999999994</v>
      </c>
      <c r="M52" s="401"/>
      <c r="N52" s="401"/>
      <c r="O52" s="401"/>
      <c r="P52" s="3328"/>
      <c r="Q52" s="3329" t="s">
        <v>4302</v>
      </c>
      <c r="R52" s="3330">
        <f>SUMPRODUCT(Q49:Q51,R49:R51)</f>
        <v>0.96940799999999994</v>
      </c>
      <c r="S52" s="401"/>
      <c r="T52" s="401"/>
      <c r="U52" s="1304"/>
      <c r="V52" s="1999" t="str">
        <f t="shared" si="33"/>
        <v>LED &lt;=13 Watt Lamp Replacing Interior Halogen MR-16 35-50 Watt Lamp</v>
      </c>
      <c r="W52" s="61">
        <v>50</v>
      </c>
      <c r="X52" s="1951">
        <v>45</v>
      </c>
      <c r="Y52" s="62">
        <v>45</v>
      </c>
      <c r="Z52" s="1134">
        <v>45</v>
      </c>
      <c r="AA52" s="1134">
        <v>45</v>
      </c>
      <c r="AB52" s="2091">
        <v>46.867785939139559</v>
      </c>
      <c r="AC52" s="3364">
        <v>41.62</v>
      </c>
      <c r="AD52" s="2092"/>
      <c r="AE52" s="2092"/>
      <c r="AF52" s="2092"/>
      <c r="AG52" s="2092"/>
      <c r="AH52" s="2093"/>
      <c r="AI52" s="3456"/>
      <c r="AJ52" s="2091">
        <v>12</v>
      </c>
      <c r="AK52" s="366">
        <v>8.5</v>
      </c>
      <c r="AL52" s="1134">
        <v>8.5</v>
      </c>
      <c r="AM52" s="2091">
        <v>8.5</v>
      </c>
      <c r="AN52" s="2091">
        <v>8.5</v>
      </c>
      <c r="AO52" s="2091">
        <v>6.5456453305351525</v>
      </c>
      <c r="AP52" s="3364">
        <v>6.35</v>
      </c>
      <c r="AQ52" s="2092"/>
      <c r="AR52" s="2092"/>
      <c r="AS52" s="2092"/>
      <c r="AT52" s="2093"/>
      <c r="AU52" s="3456"/>
      <c r="AV52" s="3480">
        <v>4380</v>
      </c>
      <c r="AW52" s="3481">
        <v>4120</v>
      </c>
      <c r="AX52" s="3480">
        <v>4120</v>
      </c>
      <c r="AY52" s="3480">
        <v>4120</v>
      </c>
      <c r="AZ52" s="3480">
        <v>4120</v>
      </c>
      <c r="BA52" s="3480">
        <v>3585.087093389297</v>
      </c>
      <c r="BB52" s="3480">
        <v>2808</v>
      </c>
      <c r="BC52" s="2092"/>
      <c r="BD52" s="2092"/>
      <c r="BE52" s="2092"/>
      <c r="BF52" s="2093"/>
      <c r="BH52" s="2091">
        <v>1.07</v>
      </c>
      <c r="BI52" s="366">
        <v>1.1000000000000001</v>
      </c>
      <c r="BJ52" s="2092">
        <v>1.1000000000000001</v>
      </c>
      <c r="BK52" s="1471">
        <v>1.1000000000000001</v>
      </c>
      <c r="BL52" s="1471">
        <v>1.1000000000000001</v>
      </c>
      <c r="BM52" s="1134">
        <v>1.071</v>
      </c>
      <c r="BN52" s="3364">
        <v>1.071</v>
      </c>
      <c r="BO52" s="2092"/>
      <c r="BP52" s="2092"/>
      <c r="BQ52" s="2092"/>
      <c r="BR52" s="2093"/>
      <c r="BS52" s="2091">
        <v>1</v>
      </c>
      <c r="BT52" s="366">
        <v>0.995</v>
      </c>
      <c r="BU52" s="2091">
        <v>0.995</v>
      </c>
      <c r="BV52" s="2091">
        <v>0.995</v>
      </c>
      <c r="BW52" s="2091">
        <v>0.995</v>
      </c>
      <c r="BX52" s="2091">
        <v>0.995</v>
      </c>
      <c r="BY52" s="3364">
        <v>0.995</v>
      </c>
      <c r="BZ52" s="2092"/>
      <c r="CA52" s="2092"/>
      <c r="CB52" s="2092"/>
      <c r="CC52" s="2092"/>
      <c r="CD52" s="2093"/>
      <c r="CE52" s="64">
        <v>11</v>
      </c>
      <c r="CF52" s="2094">
        <v>12</v>
      </c>
      <c r="CG52" s="2095">
        <v>12</v>
      </c>
      <c r="CH52" s="2095">
        <v>12</v>
      </c>
      <c r="CI52" s="2095">
        <v>12</v>
      </c>
      <c r="CJ52" s="2095">
        <v>11</v>
      </c>
      <c r="CK52" s="3361">
        <v>10</v>
      </c>
      <c r="CL52" s="2092"/>
      <c r="CM52" s="2092"/>
      <c r="CN52" s="2092"/>
      <c r="CO52" s="2092"/>
      <c r="CP52" s="2096"/>
      <c r="CQ52" s="2096"/>
      <c r="DB52" s="1932"/>
      <c r="DC52" s="1931"/>
      <c r="DD52" s="1931"/>
      <c r="DE52" s="1931"/>
    </row>
    <row r="53" spans="3:110" ht="15" hidden="1" customHeight="1" outlineLevel="1" x14ac:dyDescent="0.25">
      <c r="C53" s="151"/>
      <c r="D53" s="1302" t="str">
        <f t="shared" si="29"/>
        <v>800250_2019_12_</v>
      </c>
      <c r="E53" s="1302" t="str">
        <f t="shared" si="30"/>
        <v>LED &lt;=20 Watt Lamp Replacing Interior Halogen PAR 48-90 Watt Lamp</v>
      </c>
      <c r="F53" s="3319">
        <v>75.624507486209609</v>
      </c>
      <c r="G53" s="3319">
        <v>12.350275807722616</v>
      </c>
      <c r="H53" s="3320">
        <v>2956.195035460993</v>
      </c>
      <c r="I53" s="59">
        <v>1.07</v>
      </c>
      <c r="J53" s="59">
        <v>1</v>
      </c>
      <c r="K53" s="3321">
        <v>10</v>
      </c>
      <c r="L53" s="3323">
        <f t="shared" si="31"/>
        <v>0.96940799999999994</v>
      </c>
      <c r="M53" s="1965"/>
      <c r="N53" s="4498" t="s">
        <v>4303</v>
      </c>
      <c r="O53" s="4498"/>
      <c r="P53" s="4498"/>
      <c r="Q53" s="4498"/>
      <c r="R53" s="4498"/>
      <c r="S53" s="1965"/>
      <c r="T53" s="1965"/>
      <c r="U53" s="1305"/>
      <c r="V53" s="1999" t="str">
        <f t="shared" si="33"/>
        <v>LED &lt;=20 Watt Lamp Replacing Interior Halogen PAR 48-90 Watt Lamp</v>
      </c>
      <c r="W53" s="61">
        <v>70</v>
      </c>
      <c r="X53" s="1951">
        <v>72</v>
      </c>
      <c r="Y53" s="62">
        <v>72</v>
      </c>
      <c r="Z53" s="1134">
        <v>72</v>
      </c>
      <c r="AA53" s="1134">
        <v>72</v>
      </c>
      <c r="AB53" s="2091">
        <v>75.836453954910198</v>
      </c>
      <c r="AC53" s="3364">
        <v>75.62</v>
      </c>
      <c r="AD53" s="2092"/>
      <c r="AE53" s="2092"/>
      <c r="AF53" s="2092"/>
      <c r="AG53" s="2092"/>
      <c r="AH53" s="875"/>
      <c r="AI53" s="3456"/>
      <c r="AJ53" s="2091">
        <v>15</v>
      </c>
      <c r="AK53" s="366">
        <v>12.8</v>
      </c>
      <c r="AL53" s="1134">
        <v>12.8</v>
      </c>
      <c r="AM53" s="2091">
        <v>12.8</v>
      </c>
      <c r="AN53" s="2091">
        <v>12.8</v>
      </c>
      <c r="AO53" s="2091">
        <v>12.790026748184944</v>
      </c>
      <c r="AP53" s="3364">
        <v>12.35</v>
      </c>
      <c r="AQ53" s="2092"/>
      <c r="AR53" s="2092"/>
      <c r="AS53" s="2092"/>
      <c r="AT53" s="875"/>
      <c r="AU53" s="3456"/>
      <c r="AV53" s="3480">
        <v>4380</v>
      </c>
      <c r="AW53" s="3481">
        <v>4003</v>
      </c>
      <c r="AX53" s="3480">
        <v>4003</v>
      </c>
      <c r="AY53" s="3480">
        <v>4003</v>
      </c>
      <c r="AZ53" s="3480">
        <v>4003</v>
      </c>
      <c r="BA53" s="3480">
        <v>3397.4975162399696</v>
      </c>
      <c r="BB53" s="3480">
        <v>2956</v>
      </c>
      <c r="BC53" s="2092"/>
      <c r="BD53" s="2092"/>
      <c r="BE53" s="2092"/>
      <c r="BF53" s="875"/>
      <c r="BH53" s="2091">
        <v>1.07</v>
      </c>
      <c r="BI53" s="366">
        <v>1.0900000000000001</v>
      </c>
      <c r="BJ53" s="2092">
        <v>1.0900000000000001</v>
      </c>
      <c r="BK53" s="1471">
        <v>1.0900000000000001</v>
      </c>
      <c r="BL53" s="1471">
        <v>1.0900000000000001</v>
      </c>
      <c r="BM53" s="1134">
        <v>1.071</v>
      </c>
      <c r="BN53" s="3364">
        <v>1.071</v>
      </c>
      <c r="BO53" s="2092"/>
      <c r="BP53" s="2092"/>
      <c r="BQ53" s="2092"/>
      <c r="BR53" s="875"/>
      <c r="BS53" s="2091">
        <v>1</v>
      </c>
      <c r="BT53" s="366">
        <v>0.99</v>
      </c>
      <c r="BU53" s="2091">
        <v>0.99</v>
      </c>
      <c r="BV53" s="2091">
        <v>0.99</v>
      </c>
      <c r="BW53" s="2091">
        <v>0.99</v>
      </c>
      <c r="BX53" s="2091">
        <v>0.99</v>
      </c>
      <c r="BY53" s="3364">
        <v>1</v>
      </c>
      <c r="BZ53" s="2092"/>
      <c r="CA53" s="2092"/>
      <c r="CB53" s="2092"/>
      <c r="CC53" s="2092"/>
      <c r="CD53" s="875"/>
      <c r="CE53" s="64">
        <v>11</v>
      </c>
      <c r="CF53" s="2094">
        <v>12</v>
      </c>
      <c r="CG53" s="2095">
        <v>12</v>
      </c>
      <c r="CH53" s="2095">
        <v>12</v>
      </c>
      <c r="CI53" s="2095">
        <v>12</v>
      </c>
      <c r="CJ53" s="2095">
        <v>11</v>
      </c>
      <c r="CK53" s="3361">
        <v>10</v>
      </c>
      <c r="CL53" s="2092"/>
      <c r="CM53" s="2092"/>
      <c r="CN53" s="2092"/>
      <c r="CO53" s="2092"/>
      <c r="CP53" s="1933"/>
      <c r="CQ53" s="1933"/>
      <c r="CR53" s="1931"/>
      <c r="CS53" s="1931"/>
      <c r="CT53" s="1930"/>
      <c r="CU53" s="1930"/>
      <c r="CV53" s="1930"/>
      <c r="CW53" s="1930"/>
      <c r="CX53" s="1931"/>
      <c r="CY53" s="1931"/>
      <c r="CZ53" s="1931"/>
      <c r="DA53" s="1931"/>
      <c r="DB53" s="1932"/>
      <c r="DC53" s="1931"/>
      <c r="DD53" s="1931"/>
      <c r="DE53" s="1931"/>
      <c r="DF53" s="1931"/>
    </row>
    <row r="54" spans="3:110" ht="30" hidden="1" outlineLevel="1" x14ac:dyDescent="0.25">
      <c r="C54" s="151"/>
      <c r="D54" s="1302" t="str">
        <f t="shared" si="29"/>
        <v>800300_2019_12_</v>
      </c>
      <c r="E54" s="1302" t="str">
        <f t="shared" si="30"/>
        <v>LED &lt;=80 Watt Lamp or Fixture Replacing Interior HID 100-175 Watt Lamp or Fixture</v>
      </c>
      <c r="F54" s="3319">
        <v>114.81094527363184</v>
      </c>
      <c r="G54" s="3319">
        <v>20.538142620232172</v>
      </c>
      <c r="H54" s="3320">
        <v>6899.7562189054725</v>
      </c>
      <c r="I54" s="59">
        <v>1.07</v>
      </c>
      <c r="J54" s="59">
        <v>1</v>
      </c>
      <c r="K54" s="3321">
        <v>15</v>
      </c>
      <c r="L54" s="3323">
        <f t="shared" si="31"/>
        <v>0.96940799999999994</v>
      </c>
      <c r="M54" s="1965"/>
      <c r="N54" s="4498"/>
      <c r="O54" s="4498"/>
      <c r="P54" s="4498"/>
      <c r="Q54" s="4498"/>
      <c r="R54" s="4498"/>
      <c r="S54" s="1965"/>
      <c r="T54" s="1965"/>
      <c r="U54" s="1305"/>
      <c r="V54" s="1999" t="str">
        <f t="shared" si="33"/>
        <v>LED &lt;=80 Watt Lamp or Fixture Replacing Interior HID 100-175 Watt Lamp or Fixture</v>
      </c>
      <c r="W54" s="61">
        <v>175</v>
      </c>
      <c r="X54" s="1951">
        <v>132</v>
      </c>
      <c r="Y54" s="62">
        <v>132</v>
      </c>
      <c r="Z54" s="1134">
        <v>132</v>
      </c>
      <c r="AA54" s="1134">
        <v>132</v>
      </c>
      <c r="AB54" s="2091">
        <v>459.93313010766639</v>
      </c>
      <c r="AC54" s="3364">
        <v>114.81</v>
      </c>
      <c r="AD54" s="2092"/>
      <c r="AE54" s="2092"/>
      <c r="AF54" s="2092"/>
      <c r="AG54" s="2092"/>
      <c r="AH54" s="875"/>
      <c r="AI54" s="3456"/>
      <c r="AJ54" s="2091">
        <v>52</v>
      </c>
      <c r="AK54" s="366">
        <v>48</v>
      </c>
      <c r="AL54" s="1134">
        <v>48</v>
      </c>
      <c r="AM54" s="2091">
        <v>48</v>
      </c>
      <c r="AN54" s="2091">
        <v>48</v>
      </c>
      <c r="AO54" s="2091">
        <v>141.88500454014789</v>
      </c>
      <c r="AP54" s="3364">
        <v>20.54</v>
      </c>
      <c r="AQ54" s="2092"/>
      <c r="AR54" s="2092"/>
      <c r="AS54" s="2092"/>
      <c r="AT54" s="875"/>
      <c r="AU54" s="3456"/>
      <c r="AV54" s="3480">
        <v>4380</v>
      </c>
      <c r="AW54" s="3481">
        <v>4399</v>
      </c>
      <c r="AX54" s="3480">
        <v>4399</v>
      </c>
      <c r="AY54" s="3480">
        <v>4399</v>
      </c>
      <c r="AZ54" s="3480">
        <v>4399</v>
      </c>
      <c r="BA54" s="3480">
        <v>3517.5659618627578</v>
      </c>
      <c r="BB54" s="3480">
        <v>6900</v>
      </c>
      <c r="BC54" s="2092"/>
      <c r="BD54" s="2092"/>
      <c r="BE54" s="2092"/>
      <c r="BF54" s="875"/>
      <c r="BH54" s="2091">
        <v>1.07</v>
      </c>
      <c r="BI54" s="366">
        <v>1</v>
      </c>
      <c r="BJ54" s="2092">
        <v>1</v>
      </c>
      <c r="BK54" s="1471">
        <v>1</v>
      </c>
      <c r="BL54" s="1471">
        <v>1</v>
      </c>
      <c r="BM54" s="1134">
        <v>1.071</v>
      </c>
      <c r="BN54" s="3364">
        <v>1.071</v>
      </c>
      <c r="BO54" s="2092"/>
      <c r="BP54" s="2092"/>
      <c r="BQ54" s="2092"/>
      <c r="BR54" s="875"/>
      <c r="BS54" s="2091">
        <v>1</v>
      </c>
      <c r="BT54" s="1134">
        <v>1</v>
      </c>
      <c r="BU54" s="2091">
        <v>1</v>
      </c>
      <c r="BV54" s="2091">
        <v>1</v>
      </c>
      <c r="BW54" s="2091">
        <v>1</v>
      </c>
      <c r="BX54" s="2091">
        <v>1</v>
      </c>
      <c r="BY54" s="3364">
        <v>1</v>
      </c>
      <c r="BZ54" s="2092"/>
      <c r="CA54" s="2092"/>
      <c r="CB54" s="2092"/>
      <c r="CC54" s="2092"/>
      <c r="CD54" s="875"/>
      <c r="CE54" s="64">
        <v>11</v>
      </c>
      <c r="CF54" s="2097">
        <v>11</v>
      </c>
      <c r="CG54" s="2095">
        <v>11</v>
      </c>
      <c r="CH54" s="2095">
        <v>11</v>
      </c>
      <c r="CI54" s="2095">
        <v>11</v>
      </c>
      <c r="CJ54" s="2095">
        <v>11</v>
      </c>
      <c r="CK54" s="3361">
        <v>15</v>
      </c>
      <c r="CL54" s="2092"/>
      <c r="CM54" s="2092"/>
      <c r="CN54" s="2092"/>
      <c r="CO54" s="2092"/>
      <c r="CP54" s="1933"/>
      <c r="CQ54" s="1933"/>
      <c r="CR54" s="1931"/>
      <c r="CS54" s="1931"/>
      <c r="CT54" s="1930"/>
      <c r="CU54" s="1930"/>
      <c r="CV54" s="1930"/>
      <c r="CW54" s="1930"/>
      <c r="CX54" s="1931"/>
      <c r="CY54" s="1931"/>
      <c r="CZ54" s="1931"/>
      <c r="DA54" s="1931"/>
      <c r="DB54" s="1932"/>
      <c r="DC54" s="1931"/>
      <c r="DD54" s="1931"/>
      <c r="DE54" s="1931"/>
      <c r="DF54" s="1931"/>
    </row>
    <row r="55" spans="3:110" ht="30" hidden="1" outlineLevel="1" x14ac:dyDescent="0.25">
      <c r="C55" s="151"/>
      <c r="D55" s="1302" t="str">
        <f t="shared" si="29"/>
        <v>800350_2019_12_</v>
      </c>
      <c r="E55" s="1302" t="str">
        <f t="shared" si="30"/>
        <v>LED 62 - 130 Watt Lamp or Fixture Replacing Interior HID 176-300 Watt Lamp or Fixture</v>
      </c>
      <c r="F55" s="3319">
        <v>281.02314814814815</v>
      </c>
      <c r="G55" s="3319">
        <v>111.92592592592592</v>
      </c>
      <c r="H55" s="3320">
        <v>4768.7638888888887</v>
      </c>
      <c r="I55" s="59">
        <v>1.07</v>
      </c>
      <c r="J55" s="59">
        <v>1</v>
      </c>
      <c r="K55" s="3321">
        <v>15</v>
      </c>
      <c r="L55" s="3323">
        <f t="shared" si="31"/>
        <v>0.96940799999999994</v>
      </c>
      <c r="M55" s="1965"/>
      <c r="N55" s="4498"/>
      <c r="O55" s="4498"/>
      <c r="P55" s="4498"/>
      <c r="Q55" s="4498"/>
      <c r="R55" s="4498"/>
      <c r="S55" s="1965"/>
      <c r="T55" s="1965"/>
      <c r="U55" s="1305"/>
      <c r="V55" s="1999" t="str">
        <f t="shared" si="33"/>
        <v>LED 62 - 130 Watt Lamp or Fixture Replacing Interior HID 176-300 Watt Lamp or Fixture</v>
      </c>
      <c r="W55" s="61">
        <v>250</v>
      </c>
      <c r="X55" s="1951">
        <v>262</v>
      </c>
      <c r="Y55" s="62">
        <v>262</v>
      </c>
      <c r="Z55" s="1134">
        <v>262</v>
      </c>
      <c r="AA55" s="1134">
        <v>262</v>
      </c>
      <c r="AB55" s="2091">
        <v>262</v>
      </c>
      <c r="AC55" s="3364">
        <v>281.02</v>
      </c>
      <c r="AD55" s="2092"/>
      <c r="AE55" s="2092"/>
      <c r="AF55" s="2092"/>
      <c r="AG55" s="2092"/>
      <c r="AH55" s="875"/>
      <c r="AI55" s="3456"/>
      <c r="AJ55" s="2091">
        <v>100</v>
      </c>
      <c r="AK55" s="366">
        <v>92</v>
      </c>
      <c r="AL55" s="1134">
        <v>92</v>
      </c>
      <c r="AM55" s="2091">
        <v>92</v>
      </c>
      <c r="AN55" s="2091">
        <v>92</v>
      </c>
      <c r="AO55" s="2091">
        <v>92</v>
      </c>
      <c r="AP55" s="3364">
        <v>111.93</v>
      </c>
      <c r="AQ55" s="2092"/>
      <c r="AR55" s="2092"/>
      <c r="AS55" s="2092"/>
      <c r="AT55" s="875"/>
      <c r="AU55" s="3456"/>
      <c r="AV55" s="3480">
        <v>4380</v>
      </c>
      <c r="AW55" s="3481">
        <v>4954.4778036070838</v>
      </c>
      <c r="AX55" s="3480">
        <v>4954.4778036070838</v>
      </c>
      <c r="AY55" s="3480">
        <v>4954.4778036070838</v>
      </c>
      <c r="AZ55" s="3480">
        <v>4954.4778036070838</v>
      </c>
      <c r="BA55" s="3480">
        <v>4954.4778036070838</v>
      </c>
      <c r="BB55" s="3480">
        <v>4769</v>
      </c>
      <c r="BC55" s="2092"/>
      <c r="BD55" s="2092"/>
      <c r="BE55" s="2092"/>
      <c r="BF55" s="875"/>
      <c r="BH55" s="2091">
        <v>1.07</v>
      </c>
      <c r="BI55" s="366">
        <v>1.05</v>
      </c>
      <c r="BJ55" s="2092">
        <v>1.05</v>
      </c>
      <c r="BK55" s="1471">
        <v>1.05</v>
      </c>
      <c r="BL55" s="1471">
        <v>1.05</v>
      </c>
      <c r="BM55" s="1134">
        <v>1.071</v>
      </c>
      <c r="BN55" s="3364">
        <v>1.071</v>
      </c>
      <c r="BO55" s="2092"/>
      <c r="BP55" s="2092"/>
      <c r="BQ55" s="2092"/>
      <c r="BR55" s="875"/>
      <c r="BS55" s="2091">
        <v>1</v>
      </c>
      <c r="BT55" s="1134">
        <v>1</v>
      </c>
      <c r="BU55" s="2091">
        <v>1</v>
      </c>
      <c r="BV55" s="2091">
        <v>1</v>
      </c>
      <c r="BW55" s="2091">
        <v>1</v>
      </c>
      <c r="BX55" s="2091">
        <v>1</v>
      </c>
      <c r="BY55" s="3364">
        <v>1</v>
      </c>
      <c r="BZ55" s="2092"/>
      <c r="CA55" s="2092"/>
      <c r="CB55" s="2092"/>
      <c r="CC55" s="2092"/>
      <c r="CD55" s="875"/>
      <c r="CE55" s="64">
        <v>11</v>
      </c>
      <c r="CF55" s="2094">
        <v>10</v>
      </c>
      <c r="CG55" s="2095">
        <v>10</v>
      </c>
      <c r="CH55" s="2095">
        <v>10</v>
      </c>
      <c r="CI55" s="2095">
        <v>10</v>
      </c>
      <c r="CJ55" s="2095">
        <v>11</v>
      </c>
      <c r="CK55" s="3361">
        <v>15</v>
      </c>
      <c r="CL55" s="2092"/>
      <c r="CM55" s="2092"/>
      <c r="CN55" s="2092"/>
      <c r="CO55" s="2092"/>
      <c r="CP55" s="1933"/>
      <c r="CQ55" s="1933"/>
      <c r="CR55" s="1931"/>
      <c r="CS55" s="1931"/>
      <c r="CT55" s="1930"/>
      <c r="CU55" s="1930"/>
      <c r="CV55" s="1930"/>
      <c r="CW55" s="1930"/>
      <c r="CX55" s="1931"/>
      <c r="CY55" s="1931"/>
      <c r="CZ55" s="1931"/>
      <c r="DA55" s="1931"/>
      <c r="DB55" s="1932"/>
      <c r="DC55" s="1931"/>
      <c r="DD55" s="1931"/>
      <c r="DE55" s="1931"/>
      <c r="DF55" s="1931"/>
    </row>
    <row r="56" spans="3:110" ht="30" hidden="1" outlineLevel="1" x14ac:dyDescent="0.25">
      <c r="C56" s="151"/>
      <c r="D56" s="1302" t="str">
        <f t="shared" si="29"/>
        <v>800400_2019_12_</v>
      </c>
      <c r="E56" s="1302" t="str">
        <f t="shared" si="30"/>
        <v>LED 85 - 225 Watt Lamp or Fixture Replacing Interior HID 301-500 Watt Lamp or Fixture</v>
      </c>
      <c r="F56" s="3319">
        <v>454.59849024355503</v>
      </c>
      <c r="G56" s="3319">
        <v>147.38142714713004</v>
      </c>
      <c r="H56" s="3320">
        <v>3234.7262498219625</v>
      </c>
      <c r="I56" s="59">
        <v>1.07</v>
      </c>
      <c r="J56" s="59">
        <v>1</v>
      </c>
      <c r="K56" s="3321">
        <v>15</v>
      </c>
      <c r="L56" s="3323">
        <f t="shared" si="31"/>
        <v>0.96940799999999994</v>
      </c>
      <c r="M56" s="1965"/>
      <c r="N56" s="4498"/>
      <c r="O56" s="4498"/>
      <c r="P56" s="4498"/>
      <c r="Q56" s="4498"/>
      <c r="R56" s="4498"/>
      <c r="S56" s="1965"/>
      <c r="T56" s="1965"/>
      <c r="U56" s="1305"/>
      <c r="V56" s="1999" t="str">
        <f t="shared" si="33"/>
        <v>LED 85 - 225 Watt Lamp or Fixture Replacing Interior HID 301-500 Watt Lamp or Fixture</v>
      </c>
      <c r="W56" s="61">
        <v>400</v>
      </c>
      <c r="X56" s="1951">
        <v>444</v>
      </c>
      <c r="Y56" s="62">
        <v>444</v>
      </c>
      <c r="Z56" s="1134">
        <v>444</v>
      </c>
      <c r="AA56" s="1134">
        <v>444</v>
      </c>
      <c r="AB56" s="2091">
        <v>444</v>
      </c>
      <c r="AC56" s="3364">
        <v>454.6</v>
      </c>
      <c r="AD56" s="2092"/>
      <c r="AE56" s="2092"/>
      <c r="AF56" s="2092"/>
      <c r="AG56" s="2092"/>
      <c r="AH56" s="875"/>
      <c r="AI56" s="3456"/>
      <c r="AJ56" s="2091">
        <v>142</v>
      </c>
      <c r="AK56" s="366">
        <v>136</v>
      </c>
      <c r="AL56" s="1134">
        <v>136</v>
      </c>
      <c r="AM56" s="2091">
        <v>136</v>
      </c>
      <c r="AN56" s="2091">
        <v>136</v>
      </c>
      <c r="AO56" s="2091">
        <v>136</v>
      </c>
      <c r="AP56" s="3364">
        <v>147.38</v>
      </c>
      <c r="AQ56" s="2092"/>
      <c r="AR56" s="2092"/>
      <c r="AS56" s="2092"/>
      <c r="AT56" s="875"/>
      <c r="AU56" s="3456"/>
      <c r="AV56" s="3480">
        <v>4380</v>
      </c>
      <c r="AW56" s="3481">
        <v>4425.1429410031269</v>
      </c>
      <c r="AX56" s="3480">
        <v>4425.1429410031269</v>
      </c>
      <c r="AY56" s="3480">
        <v>4425.1429410031269</v>
      </c>
      <c r="AZ56" s="3480">
        <v>4425.1429410031269</v>
      </c>
      <c r="BA56" s="3480">
        <v>4425.1429410031269</v>
      </c>
      <c r="BB56" s="3480">
        <v>3235</v>
      </c>
      <c r="BC56" s="2092"/>
      <c r="BD56" s="2092"/>
      <c r="BE56" s="2092"/>
      <c r="BF56" s="875"/>
      <c r="BH56" s="2091">
        <v>1.07</v>
      </c>
      <c r="BI56" s="366">
        <v>1.08</v>
      </c>
      <c r="BJ56" s="2092">
        <v>1.08</v>
      </c>
      <c r="BK56" s="1471">
        <v>1.08</v>
      </c>
      <c r="BL56" s="1471">
        <v>1.08</v>
      </c>
      <c r="BM56" s="1134">
        <v>1.071</v>
      </c>
      <c r="BN56" s="3364">
        <v>1.071</v>
      </c>
      <c r="BO56" s="2092"/>
      <c r="BP56" s="2092"/>
      <c r="BQ56" s="2092"/>
      <c r="BR56" s="875"/>
      <c r="BS56" s="2091">
        <v>1</v>
      </c>
      <c r="BT56" s="1134">
        <v>1</v>
      </c>
      <c r="BU56" s="2091">
        <v>1</v>
      </c>
      <c r="BV56" s="2091">
        <v>1</v>
      </c>
      <c r="BW56" s="2091">
        <v>1</v>
      </c>
      <c r="BX56" s="2091">
        <v>1</v>
      </c>
      <c r="BY56" s="3364">
        <v>1</v>
      </c>
      <c r="BZ56" s="2092"/>
      <c r="CA56" s="2092"/>
      <c r="CB56" s="2092"/>
      <c r="CC56" s="2092"/>
      <c r="CD56" s="875"/>
      <c r="CE56" s="64">
        <v>11</v>
      </c>
      <c r="CF56" s="2097">
        <v>11</v>
      </c>
      <c r="CG56" s="2095">
        <v>11</v>
      </c>
      <c r="CH56" s="2095">
        <v>11</v>
      </c>
      <c r="CI56" s="2095">
        <v>11</v>
      </c>
      <c r="CJ56" s="2095">
        <v>11</v>
      </c>
      <c r="CK56" s="3361">
        <v>15</v>
      </c>
      <c r="CL56" s="2092"/>
      <c r="CM56" s="2092"/>
      <c r="CN56" s="2092"/>
      <c r="CO56" s="2092"/>
      <c r="CP56" s="1933"/>
      <c r="CQ56" s="1933"/>
      <c r="CR56" s="1931"/>
      <c r="CS56" s="1931"/>
      <c r="CT56" s="1930"/>
      <c r="CU56" s="1930"/>
      <c r="CV56" s="1930"/>
      <c r="CW56" s="1930"/>
      <c r="CX56" s="1931"/>
      <c r="CY56" s="1931"/>
      <c r="CZ56" s="1931"/>
      <c r="DA56" s="1931"/>
      <c r="DB56" s="1932"/>
      <c r="DC56" s="1931"/>
      <c r="DD56" s="1931"/>
      <c r="DE56" s="1931"/>
      <c r="DF56" s="1931"/>
    </row>
    <row r="57" spans="3:110" ht="30" hidden="1" outlineLevel="1" x14ac:dyDescent="0.25">
      <c r="C57" s="151"/>
      <c r="D57" s="1302" t="str">
        <f t="shared" si="29"/>
        <v>800450_2019_12_</v>
      </c>
      <c r="E57" s="1302" t="str">
        <f t="shared" si="30"/>
        <v>LED &lt;=80 Watt Lamp or Fixture Replacing Garage or Exterior &lt;24/7 HID 100-175 Watt Lamp or Fixture</v>
      </c>
      <c r="F57" s="59">
        <v>147</v>
      </c>
      <c r="G57" s="59">
        <v>50</v>
      </c>
      <c r="H57" s="2646">
        <v>4600</v>
      </c>
      <c r="I57" s="59">
        <v>1</v>
      </c>
      <c r="J57" s="3319">
        <v>1</v>
      </c>
      <c r="K57" s="3321">
        <v>15</v>
      </c>
      <c r="L57" s="3323">
        <f t="shared" si="31"/>
        <v>0.96940799999999994</v>
      </c>
      <c r="M57" s="1965"/>
      <c r="N57" s="4498"/>
      <c r="O57" s="4498"/>
      <c r="P57" s="4498"/>
      <c r="Q57" s="4498"/>
      <c r="R57" s="4498"/>
      <c r="S57" s="1965"/>
      <c r="T57" s="1965"/>
      <c r="U57" s="1305"/>
      <c r="V57" s="1999" t="str">
        <f t="shared" si="33"/>
        <v>LED &lt;=80 Watt Lamp or Fixture Replacing Garage or Exterior &lt;24/7 HID 100-175 Watt Lamp or Fixture</v>
      </c>
      <c r="W57" s="61">
        <v>175</v>
      </c>
      <c r="X57" s="1951">
        <v>147</v>
      </c>
      <c r="Y57" s="62">
        <v>147</v>
      </c>
      <c r="Z57" s="1134">
        <v>147</v>
      </c>
      <c r="AA57" s="1134">
        <v>147</v>
      </c>
      <c r="AB57" s="2091">
        <v>147</v>
      </c>
      <c r="AC57" s="3364">
        <v>147</v>
      </c>
      <c r="AD57" s="2092"/>
      <c r="AE57" s="2092"/>
      <c r="AF57" s="2092"/>
      <c r="AG57" s="2092"/>
      <c r="AH57" s="875"/>
      <c r="AI57" s="3456"/>
      <c r="AJ57" s="2091">
        <v>52</v>
      </c>
      <c r="AK57" s="366">
        <v>50</v>
      </c>
      <c r="AL57" s="1134">
        <v>50</v>
      </c>
      <c r="AM57" s="2091">
        <v>50</v>
      </c>
      <c r="AN57" s="2091">
        <v>50</v>
      </c>
      <c r="AO57" s="2091">
        <v>50</v>
      </c>
      <c r="AP57" s="3364">
        <v>50</v>
      </c>
      <c r="AQ57" s="2092"/>
      <c r="AR57" s="2092"/>
      <c r="AS57" s="2092"/>
      <c r="AT57" s="875"/>
      <c r="AU57" s="3456"/>
      <c r="AV57" s="3480">
        <v>3572.7642276422762</v>
      </c>
      <c r="AW57" s="3481">
        <v>4600</v>
      </c>
      <c r="AX57" s="3480">
        <v>4600</v>
      </c>
      <c r="AY57" s="3480">
        <v>4600</v>
      </c>
      <c r="AZ57" s="3480">
        <v>4600</v>
      </c>
      <c r="BA57" s="3480">
        <v>4600</v>
      </c>
      <c r="BB57" s="3480">
        <v>4600</v>
      </c>
      <c r="BC57" s="2092"/>
      <c r="BD57" s="2092"/>
      <c r="BE57" s="2092"/>
      <c r="BF57" s="875"/>
      <c r="BH57" s="2091">
        <v>1</v>
      </c>
      <c r="BI57" s="366">
        <v>1.02</v>
      </c>
      <c r="BJ57" s="2094">
        <v>1</v>
      </c>
      <c r="BK57" s="2097">
        <v>1</v>
      </c>
      <c r="BL57" s="2097">
        <v>1</v>
      </c>
      <c r="BM57" s="1134">
        <v>1</v>
      </c>
      <c r="BN57" s="3364">
        <v>1</v>
      </c>
      <c r="BO57" s="2092"/>
      <c r="BP57" s="2092"/>
      <c r="BQ57" s="2092"/>
      <c r="BR57" s="875"/>
      <c r="BS57" s="2091">
        <v>1</v>
      </c>
      <c r="BT57" s="1134">
        <v>1</v>
      </c>
      <c r="BU57" s="2091">
        <v>1</v>
      </c>
      <c r="BV57" s="2091">
        <v>1</v>
      </c>
      <c r="BW57" s="2091">
        <v>1</v>
      </c>
      <c r="BX57" s="2091">
        <v>1</v>
      </c>
      <c r="BY57" s="3364">
        <v>1</v>
      </c>
      <c r="BZ57" s="2092"/>
      <c r="CA57" s="2092"/>
      <c r="CB57" s="2092"/>
      <c r="CC57" s="2092"/>
      <c r="CD57" s="875"/>
      <c r="CE57" s="64">
        <v>14</v>
      </c>
      <c r="CF57" s="2094">
        <v>11</v>
      </c>
      <c r="CG57" s="2095">
        <v>11</v>
      </c>
      <c r="CH57" s="2095">
        <v>11</v>
      </c>
      <c r="CI57" s="2095">
        <v>11</v>
      </c>
      <c r="CJ57" s="2095">
        <v>12</v>
      </c>
      <c r="CK57" s="3361">
        <v>15</v>
      </c>
      <c r="CL57" s="2092"/>
      <c r="CM57" s="2092"/>
      <c r="CN57" s="2092"/>
      <c r="CO57" s="2092"/>
      <c r="CP57" s="1933"/>
      <c r="CQ57" s="1933"/>
      <c r="CR57" s="1931"/>
      <c r="CS57" s="1931"/>
      <c r="CT57" s="1930"/>
      <c r="CU57" s="1930"/>
      <c r="CV57" s="1930"/>
      <c r="CW57" s="1930"/>
      <c r="CX57" s="1931"/>
      <c r="CY57" s="1931"/>
      <c r="CZ57" s="1931"/>
      <c r="DA57" s="1931"/>
      <c r="DB57" s="1932"/>
      <c r="DC57" s="1931"/>
      <c r="DD57" s="1931"/>
      <c r="DE57" s="1931"/>
      <c r="DF57" s="1931"/>
    </row>
    <row r="58" spans="3:110" ht="30" hidden="1" outlineLevel="1" x14ac:dyDescent="0.25">
      <c r="C58" s="151"/>
      <c r="D58" s="1302" t="str">
        <f t="shared" si="29"/>
        <v>800500_2019_12_</v>
      </c>
      <c r="E58" s="1302" t="str">
        <f t="shared" si="30"/>
        <v>LED 62 - 130 Watt Lamp or Fixture Replacing Garage or Exterior &lt;24/7 HID 176-300 Watt Lamp or Fixture</v>
      </c>
      <c r="F58" s="3319">
        <v>284</v>
      </c>
      <c r="G58" s="3319">
        <v>90</v>
      </c>
      <c r="H58" s="3320">
        <v>4380</v>
      </c>
      <c r="I58" s="59">
        <v>1</v>
      </c>
      <c r="J58" s="59">
        <v>1</v>
      </c>
      <c r="K58" s="3321">
        <v>15</v>
      </c>
      <c r="L58" s="3323">
        <f t="shared" si="31"/>
        <v>0.96940799999999994</v>
      </c>
      <c r="M58" s="1965"/>
      <c r="N58" s="4498"/>
      <c r="O58" s="4498"/>
      <c r="P58" s="4498"/>
      <c r="Q58" s="4498"/>
      <c r="R58" s="4498"/>
      <c r="S58" s="1965"/>
      <c r="T58" s="1965"/>
      <c r="U58" s="1305"/>
      <c r="V58" s="1999" t="str">
        <f t="shared" si="33"/>
        <v>LED 62 - 130 Watt Lamp or Fixture Replacing Garage or Exterior &lt;24/7 HID 176-300 Watt Lamp or Fixture</v>
      </c>
      <c r="W58" s="61">
        <v>280</v>
      </c>
      <c r="X58" s="1951">
        <v>262</v>
      </c>
      <c r="Y58" s="62">
        <v>262</v>
      </c>
      <c r="Z58" s="1134">
        <v>262</v>
      </c>
      <c r="AA58" s="1134">
        <v>262</v>
      </c>
      <c r="AB58" s="2091">
        <v>262</v>
      </c>
      <c r="AC58" s="3364">
        <v>284</v>
      </c>
      <c r="AD58" s="2092"/>
      <c r="AE58" s="2092"/>
      <c r="AF58" s="2092"/>
      <c r="AG58" s="2092"/>
      <c r="AH58" s="875"/>
      <c r="AI58" s="3456"/>
      <c r="AJ58" s="2091">
        <v>90</v>
      </c>
      <c r="AK58" s="366">
        <v>95</v>
      </c>
      <c r="AL58" s="1134">
        <v>95</v>
      </c>
      <c r="AM58" s="2091">
        <v>95</v>
      </c>
      <c r="AN58" s="2091">
        <v>95</v>
      </c>
      <c r="AO58" s="2091">
        <v>95</v>
      </c>
      <c r="AP58" s="3364">
        <v>90</v>
      </c>
      <c r="AQ58" s="2092"/>
      <c r="AR58" s="2092"/>
      <c r="AS58" s="2092"/>
      <c r="AT58" s="875"/>
      <c r="AU58" s="3456"/>
      <c r="AV58" s="3480">
        <v>5513.3333333333339</v>
      </c>
      <c r="AW58" s="3481">
        <v>4315.6438177727669</v>
      </c>
      <c r="AX58" s="3480">
        <v>4315.6438177727669</v>
      </c>
      <c r="AY58" s="3480">
        <v>4315.6438177727669</v>
      </c>
      <c r="AZ58" s="3480">
        <v>4315.6438177727669</v>
      </c>
      <c r="BA58" s="3480">
        <v>4315.6438177727669</v>
      </c>
      <c r="BB58" s="3480">
        <v>4380</v>
      </c>
      <c r="BC58" s="2092"/>
      <c r="BD58" s="2092"/>
      <c r="BE58" s="2092"/>
      <c r="BF58" s="875"/>
      <c r="BH58" s="2091">
        <v>1</v>
      </c>
      <c r="BI58" s="366">
        <v>1.07</v>
      </c>
      <c r="BJ58" s="2094">
        <v>1</v>
      </c>
      <c r="BK58" s="2097">
        <v>1</v>
      </c>
      <c r="BL58" s="2097">
        <v>1</v>
      </c>
      <c r="BM58" s="1134">
        <v>1</v>
      </c>
      <c r="BN58" s="3364">
        <v>1</v>
      </c>
      <c r="BO58" s="2092"/>
      <c r="BP58" s="2092"/>
      <c r="BQ58" s="2092"/>
      <c r="BR58" s="875"/>
      <c r="BS58" s="2091">
        <v>1</v>
      </c>
      <c r="BT58" s="366">
        <v>0.99</v>
      </c>
      <c r="BU58" s="2091">
        <v>0.99</v>
      </c>
      <c r="BV58" s="2091">
        <v>0.99</v>
      </c>
      <c r="BW58" s="2091">
        <v>0.99</v>
      </c>
      <c r="BX58" s="2091">
        <v>0.99</v>
      </c>
      <c r="BY58" s="3364">
        <v>1</v>
      </c>
      <c r="BZ58" s="2092"/>
      <c r="CA58" s="2092"/>
      <c r="CB58" s="2092"/>
      <c r="CC58" s="2092"/>
      <c r="CD58" s="875"/>
      <c r="CE58" s="64">
        <v>9</v>
      </c>
      <c r="CF58" s="2094">
        <v>12</v>
      </c>
      <c r="CG58" s="2095">
        <v>12</v>
      </c>
      <c r="CH58" s="2095">
        <v>12</v>
      </c>
      <c r="CI58" s="2095">
        <v>12</v>
      </c>
      <c r="CJ58" s="2095">
        <v>12</v>
      </c>
      <c r="CK58" s="3361">
        <v>15</v>
      </c>
      <c r="CL58" s="2092"/>
      <c r="CM58" s="2092"/>
      <c r="CN58" s="2092"/>
      <c r="CO58" s="2092"/>
      <c r="CP58" s="1933"/>
      <c r="CQ58" s="1933"/>
      <c r="CR58" s="1931"/>
      <c r="CS58" s="1931"/>
      <c r="CT58" s="1930"/>
      <c r="CU58" s="1930"/>
      <c r="CV58" s="1930"/>
      <c r="CW58" s="1930"/>
      <c r="CX58" s="1931"/>
      <c r="CY58" s="1931"/>
      <c r="CZ58" s="1931"/>
      <c r="DA58" s="1931"/>
      <c r="DB58" s="1932"/>
      <c r="DC58" s="1931"/>
      <c r="DD58" s="1931"/>
      <c r="DE58" s="1931"/>
      <c r="DF58" s="1931"/>
    </row>
    <row r="59" spans="3:110" ht="30" hidden="1" outlineLevel="1" x14ac:dyDescent="0.25">
      <c r="C59" s="151"/>
      <c r="D59" s="1302" t="str">
        <f t="shared" si="29"/>
        <v>800550_2019_12_</v>
      </c>
      <c r="E59" s="1302" t="str">
        <f t="shared" si="30"/>
        <v>LED 85 - 225 Watt Lamp or Fixture Replacing Garage or Exterior &lt;24/7 HID 301-500 Watt Lamp or Fixture</v>
      </c>
      <c r="F59" s="3319">
        <v>455</v>
      </c>
      <c r="G59" s="3319">
        <v>100</v>
      </c>
      <c r="H59" s="3320">
        <v>4380</v>
      </c>
      <c r="I59" s="59">
        <v>1</v>
      </c>
      <c r="J59" s="59">
        <v>1</v>
      </c>
      <c r="K59" s="3321">
        <v>15</v>
      </c>
      <c r="L59" s="3323">
        <f t="shared" si="31"/>
        <v>0.96940799999999994</v>
      </c>
      <c r="M59" s="1965"/>
      <c r="N59" s="1965"/>
      <c r="O59" s="1965"/>
      <c r="P59" s="1965"/>
      <c r="Q59" s="1965"/>
      <c r="R59" s="1965"/>
      <c r="S59" s="1965"/>
      <c r="T59" s="1965"/>
      <c r="U59" s="1305"/>
      <c r="V59" s="1999" t="str">
        <f t="shared" si="33"/>
        <v>LED 85 - 225 Watt Lamp or Fixture Replacing Garage or Exterior &lt;24/7 HID 301-500 Watt Lamp or Fixture</v>
      </c>
      <c r="W59" s="61">
        <v>400</v>
      </c>
      <c r="X59" s="1951">
        <v>410</v>
      </c>
      <c r="Y59" s="62">
        <v>410</v>
      </c>
      <c r="Z59" s="1134">
        <v>410</v>
      </c>
      <c r="AA59" s="1134">
        <v>410</v>
      </c>
      <c r="AB59" s="2091">
        <v>410</v>
      </c>
      <c r="AC59" s="3364">
        <v>455</v>
      </c>
      <c r="AD59" s="2092"/>
      <c r="AE59" s="2092"/>
      <c r="AF59" s="2092"/>
      <c r="AG59" s="2092"/>
      <c r="AH59" s="875"/>
      <c r="AI59" s="3456"/>
      <c r="AJ59" s="2091">
        <v>120</v>
      </c>
      <c r="AK59" s="366">
        <v>178</v>
      </c>
      <c r="AL59" s="1134">
        <v>178</v>
      </c>
      <c r="AM59" s="2091">
        <v>178</v>
      </c>
      <c r="AN59" s="2091">
        <v>178</v>
      </c>
      <c r="AO59" s="2091">
        <v>178</v>
      </c>
      <c r="AP59" s="3364">
        <v>100</v>
      </c>
      <c r="AQ59" s="2092"/>
      <c r="AR59" s="2092"/>
      <c r="AS59" s="2092"/>
      <c r="AT59" s="875"/>
      <c r="AU59" s="3456"/>
      <c r="AV59" s="3480">
        <v>3414.8214285714275</v>
      </c>
      <c r="AW59" s="3481">
        <v>4327.2752333555545</v>
      </c>
      <c r="AX59" s="3480">
        <v>4327.2752333555545</v>
      </c>
      <c r="AY59" s="3480">
        <v>4327.2752333555545</v>
      </c>
      <c r="AZ59" s="3480">
        <v>4327.2752333555545</v>
      </c>
      <c r="BA59" s="3480">
        <v>4327.2752333555545</v>
      </c>
      <c r="BB59" s="3480">
        <v>4380</v>
      </c>
      <c r="BC59" s="2092"/>
      <c r="BD59" s="2092"/>
      <c r="BE59" s="2092"/>
      <c r="BF59" s="875"/>
      <c r="BH59" s="2091">
        <v>1</v>
      </c>
      <c r="BI59" s="366">
        <v>1.07</v>
      </c>
      <c r="BJ59" s="2094">
        <v>1</v>
      </c>
      <c r="BK59" s="2097">
        <v>1</v>
      </c>
      <c r="BL59" s="2097">
        <v>1</v>
      </c>
      <c r="BM59" s="1134">
        <v>1</v>
      </c>
      <c r="BN59" s="3364">
        <v>1</v>
      </c>
      <c r="BO59" s="2092"/>
      <c r="BP59" s="2092"/>
      <c r="BQ59" s="2092"/>
      <c r="BR59" s="875"/>
      <c r="BS59" s="2091">
        <v>1</v>
      </c>
      <c r="BT59" s="1134">
        <v>1</v>
      </c>
      <c r="BU59" s="2091">
        <v>1</v>
      </c>
      <c r="BV59" s="2091">
        <v>1</v>
      </c>
      <c r="BW59" s="2091">
        <v>1</v>
      </c>
      <c r="BX59" s="2091">
        <v>1</v>
      </c>
      <c r="BY59" s="3364">
        <v>1</v>
      </c>
      <c r="BZ59" s="2092"/>
      <c r="CA59" s="2092"/>
      <c r="CB59" s="2092"/>
      <c r="CC59" s="2092"/>
      <c r="CD59" s="875"/>
      <c r="CE59" s="64">
        <v>15</v>
      </c>
      <c r="CF59" s="2094">
        <v>12</v>
      </c>
      <c r="CG59" s="2095">
        <v>12</v>
      </c>
      <c r="CH59" s="2095">
        <v>12</v>
      </c>
      <c r="CI59" s="2095">
        <v>12</v>
      </c>
      <c r="CJ59" s="2095">
        <v>12</v>
      </c>
      <c r="CK59" s="3361">
        <v>15</v>
      </c>
      <c r="CL59" s="2092"/>
      <c r="CM59" s="2092"/>
      <c r="CN59" s="2092"/>
      <c r="CO59" s="2092"/>
      <c r="CP59" s="1933"/>
      <c r="CQ59" s="1933"/>
      <c r="CR59" s="1931"/>
      <c r="CS59" s="1931"/>
      <c r="CT59" s="1930"/>
      <c r="CU59" s="1930"/>
      <c r="CV59" s="1930"/>
      <c r="CW59" s="1930"/>
      <c r="CX59" s="1931"/>
      <c r="CY59" s="1931"/>
      <c r="CZ59" s="1931"/>
      <c r="DA59" s="1931"/>
      <c r="DB59" s="1932"/>
      <c r="DC59" s="1931"/>
      <c r="DD59" s="1931"/>
      <c r="DE59" s="1931"/>
      <c r="DF59" s="1931"/>
    </row>
    <row r="60" spans="3:110" ht="30" hidden="1" outlineLevel="1" x14ac:dyDescent="0.25">
      <c r="C60" s="151"/>
      <c r="D60" s="1302" t="str">
        <f t="shared" si="29"/>
        <v>800600_2019_12_</v>
      </c>
      <c r="E60" s="1302" t="str">
        <f t="shared" si="30"/>
        <v>LED &lt;=80 Watt Lamp or Fixture Replacing Garage or Exterior 24/7 HID 100-175 Watt Lamp or Fixture Misc.</v>
      </c>
      <c r="F60" s="59">
        <v>125</v>
      </c>
      <c r="G60" s="59">
        <v>45</v>
      </c>
      <c r="H60" s="2646">
        <v>8759</v>
      </c>
      <c r="I60" s="59">
        <v>1</v>
      </c>
      <c r="J60" s="59">
        <v>1</v>
      </c>
      <c r="K60" s="3321">
        <v>15</v>
      </c>
      <c r="L60" s="3323">
        <f t="shared" si="31"/>
        <v>0.96940799999999994</v>
      </c>
      <c r="M60" s="1965"/>
      <c r="N60" s="1965"/>
      <c r="O60" s="1965"/>
      <c r="P60" s="1965"/>
      <c r="Q60" s="1965"/>
      <c r="R60" s="1965"/>
      <c r="S60" s="1965"/>
      <c r="T60" s="1965"/>
      <c r="U60" s="1305"/>
      <c r="V60" s="1999" t="str">
        <f t="shared" si="33"/>
        <v>LED &lt;=80 Watt Lamp or Fixture Replacing Garage or Exterior 24/7 HID 100-175 Watt Lamp or Fixture Misc.</v>
      </c>
      <c r="W60" s="61">
        <v>175</v>
      </c>
      <c r="X60" s="1951">
        <v>125</v>
      </c>
      <c r="Y60" s="62">
        <v>125</v>
      </c>
      <c r="Z60" s="1134">
        <v>125</v>
      </c>
      <c r="AA60" s="1134">
        <v>125</v>
      </c>
      <c r="AB60" s="2091">
        <v>125</v>
      </c>
      <c r="AC60" s="3364">
        <v>125</v>
      </c>
      <c r="AD60" s="2092"/>
      <c r="AE60" s="2092"/>
      <c r="AF60" s="2092"/>
      <c r="AG60" s="2092"/>
      <c r="AH60" s="875"/>
      <c r="AI60" s="3456"/>
      <c r="AJ60" s="2091">
        <v>52</v>
      </c>
      <c r="AK60" s="366">
        <v>45</v>
      </c>
      <c r="AL60" s="1134">
        <v>45</v>
      </c>
      <c r="AM60" s="2091">
        <v>45</v>
      </c>
      <c r="AN60" s="2091">
        <v>45</v>
      </c>
      <c r="AO60" s="2091">
        <v>45</v>
      </c>
      <c r="AP60" s="3364">
        <v>45</v>
      </c>
      <c r="AQ60" s="2092"/>
      <c r="AR60" s="2092"/>
      <c r="AS60" s="2092"/>
      <c r="AT60" s="875"/>
      <c r="AU60" s="3456"/>
      <c r="AV60" s="3480">
        <v>8760</v>
      </c>
      <c r="AW60" s="3481">
        <v>8759</v>
      </c>
      <c r="AX60" s="3480">
        <v>8759</v>
      </c>
      <c r="AY60" s="3480">
        <v>8759</v>
      </c>
      <c r="AZ60" s="3480">
        <v>8759</v>
      </c>
      <c r="BA60" s="3480">
        <v>8759</v>
      </c>
      <c r="BB60" s="3480">
        <v>8759</v>
      </c>
      <c r="BC60" s="2092"/>
      <c r="BD60" s="2092"/>
      <c r="BE60" s="2092"/>
      <c r="BF60" s="875"/>
      <c r="BH60" s="2091">
        <v>1</v>
      </c>
      <c r="BI60" s="1134">
        <v>1</v>
      </c>
      <c r="BJ60" s="2094">
        <v>1</v>
      </c>
      <c r="BK60" s="2097">
        <v>1</v>
      </c>
      <c r="BL60" s="2097">
        <v>1</v>
      </c>
      <c r="BM60" s="1134">
        <v>1</v>
      </c>
      <c r="BN60" s="3364">
        <v>1</v>
      </c>
      <c r="BO60" s="2092"/>
      <c r="BP60" s="2092"/>
      <c r="BQ60" s="2092"/>
      <c r="BR60" s="875"/>
      <c r="BS60" s="2091">
        <v>1</v>
      </c>
      <c r="BT60" s="1134">
        <v>1</v>
      </c>
      <c r="BU60" s="2091">
        <v>1</v>
      </c>
      <c r="BV60" s="2091">
        <v>1</v>
      </c>
      <c r="BW60" s="2091">
        <v>1</v>
      </c>
      <c r="BX60" s="2091">
        <v>1</v>
      </c>
      <c r="BY60" s="3364">
        <v>1</v>
      </c>
      <c r="BZ60" s="2092"/>
      <c r="CA60" s="2092"/>
      <c r="CB60" s="2092"/>
      <c r="CC60" s="2092"/>
      <c r="CD60" s="875"/>
      <c r="CE60" s="64">
        <v>6</v>
      </c>
      <c r="CF60" s="2097">
        <v>6</v>
      </c>
      <c r="CG60" s="2095">
        <v>6</v>
      </c>
      <c r="CH60" s="2095">
        <v>6</v>
      </c>
      <c r="CI60" s="2095">
        <v>6</v>
      </c>
      <c r="CJ60" s="2095">
        <v>6</v>
      </c>
      <c r="CK60" s="3361">
        <v>15</v>
      </c>
      <c r="CL60" s="2092"/>
      <c r="CM60" s="2092"/>
      <c r="CN60" s="2092"/>
      <c r="CO60" s="2092"/>
      <c r="CP60" s="1933"/>
      <c r="CQ60" s="1933"/>
      <c r="CR60" s="1931"/>
      <c r="CS60" s="1931"/>
      <c r="CT60" s="1930"/>
      <c r="CU60" s="1930"/>
      <c r="CV60" s="1930"/>
      <c r="CW60" s="1930"/>
      <c r="CX60" s="1931"/>
      <c r="CY60" s="1931"/>
      <c r="CZ60" s="1931"/>
      <c r="DA60" s="1931"/>
      <c r="DB60" s="1932"/>
      <c r="DC60" s="1931"/>
      <c r="DD60" s="1931"/>
      <c r="DE60" s="1931"/>
      <c r="DF60" s="1931"/>
    </row>
    <row r="61" spans="3:110" ht="30" hidden="1" outlineLevel="1" x14ac:dyDescent="0.25">
      <c r="C61" s="151"/>
      <c r="D61" s="1302" t="str">
        <f t="shared" si="29"/>
        <v>800650_2019_12_</v>
      </c>
      <c r="E61" s="1302" t="str">
        <f t="shared" si="30"/>
        <v>LED 62 - 130 Watt Lamp or Fixture Replacing Garage or Exterior 24/7 HID 176-300 Watt Lamp or Fixture Misc.</v>
      </c>
      <c r="F61" s="59">
        <v>262</v>
      </c>
      <c r="G61" s="59">
        <v>92</v>
      </c>
      <c r="H61" s="2646">
        <v>8719</v>
      </c>
      <c r="I61" s="59">
        <v>1</v>
      </c>
      <c r="J61" s="59">
        <v>1</v>
      </c>
      <c r="K61" s="3321">
        <v>15</v>
      </c>
      <c r="L61" s="3323">
        <f t="shared" si="31"/>
        <v>0.96940799999999994</v>
      </c>
      <c r="M61" s="1965"/>
      <c r="N61" s="1965"/>
      <c r="O61" s="1965"/>
      <c r="P61" s="1965"/>
      <c r="Q61" s="1965"/>
      <c r="R61" s="1965"/>
      <c r="S61" s="1965"/>
      <c r="T61" s="1965"/>
      <c r="U61" s="1305"/>
      <c r="V61" s="1999" t="str">
        <f t="shared" si="33"/>
        <v>LED 62 - 130 Watt Lamp or Fixture Replacing Garage or Exterior 24/7 HID 176-300 Watt Lamp or Fixture Misc.</v>
      </c>
      <c r="W61" s="61">
        <v>250</v>
      </c>
      <c r="X61" s="1951">
        <v>262</v>
      </c>
      <c r="Y61" s="62">
        <v>262</v>
      </c>
      <c r="Z61" s="1134">
        <v>262</v>
      </c>
      <c r="AA61" s="1134">
        <v>262</v>
      </c>
      <c r="AB61" s="2091">
        <v>262</v>
      </c>
      <c r="AC61" s="3364">
        <v>262</v>
      </c>
      <c r="AD61" s="2092"/>
      <c r="AE61" s="2092"/>
      <c r="AF61" s="2092"/>
      <c r="AG61" s="2092"/>
      <c r="AH61" s="875"/>
      <c r="AI61" s="3456"/>
      <c r="AJ61" s="2091">
        <v>100</v>
      </c>
      <c r="AK61" s="366">
        <v>92</v>
      </c>
      <c r="AL61" s="1134">
        <v>92</v>
      </c>
      <c r="AM61" s="2091">
        <v>92</v>
      </c>
      <c r="AN61" s="2091">
        <v>92</v>
      </c>
      <c r="AO61" s="2091">
        <v>92</v>
      </c>
      <c r="AP61" s="3364">
        <v>92</v>
      </c>
      <c r="AQ61" s="2092"/>
      <c r="AR61" s="2092"/>
      <c r="AS61" s="2092"/>
      <c r="AT61" s="875"/>
      <c r="AU61" s="3456"/>
      <c r="AV61" s="3480">
        <v>8760</v>
      </c>
      <c r="AW61" s="3481">
        <v>8719.2325790390842</v>
      </c>
      <c r="AX61" s="3480">
        <v>8719.2325790390842</v>
      </c>
      <c r="AY61" s="3480">
        <v>8719.2325790390842</v>
      </c>
      <c r="AZ61" s="3480">
        <v>8719.2325790390842</v>
      </c>
      <c r="BA61" s="3480">
        <v>8719.2325790390842</v>
      </c>
      <c r="BB61" s="3480">
        <v>8719.2325790390842</v>
      </c>
      <c r="BC61" s="2092"/>
      <c r="BD61" s="2092"/>
      <c r="BE61" s="2092"/>
      <c r="BF61" s="875"/>
      <c r="BH61" s="2091">
        <v>1</v>
      </c>
      <c r="BI61" s="366">
        <v>1.05</v>
      </c>
      <c r="BJ61" s="2094">
        <v>1</v>
      </c>
      <c r="BK61" s="2097">
        <v>1</v>
      </c>
      <c r="BL61" s="2097">
        <v>1</v>
      </c>
      <c r="BM61" s="1134">
        <v>1</v>
      </c>
      <c r="BN61" s="3364">
        <v>1</v>
      </c>
      <c r="BO61" s="2092"/>
      <c r="BP61" s="2092"/>
      <c r="BQ61" s="2092"/>
      <c r="BR61" s="875"/>
      <c r="BS61" s="2091">
        <v>1</v>
      </c>
      <c r="BT61" s="1134">
        <v>1</v>
      </c>
      <c r="BU61" s="2091">
        <v>1</v>
      </c>
      <c r="BV61" s="2091">
        <v>1</v>
      </c>
      <c r="BW61" s="2091">
        <v>1</v>
      </c>
      <c r="BX61" s="2091">
        <v>1</v>
      </c>
      <c r="BY61" s="3364">
        <v>1</v>
      </c>
      <c r="BZ61" s="2092"/>
      <c r="CA61" s="2092"/>
      <c r="CB61" s="2092"/>
      <c r="CC61" s="2092"/>
      <c r="CD61" s="875"/>
      <c r="CE61" s="64">
        <v>6</v>
      </c>
      <c r="CF61" s="2097">
        <v>6</v>
      </c>
      <c r="CG61" s="2095">
        <v>6</v>
      </c>
      <c r="CH61" s="2095">
        <v>6</v>
      </c>
      <c r="CI61" s="2095">
        <v>6</v>
      </c>
      <c r="CJ61" s="2095">
        <v>6</v>
      </c>
      <c r="CK61" s="3361">
        <v>15</v>
      </c>
      <c r="CL61" s="2092"/>
      <c r="CM61" s="2092"/>
      <c r="CN61" s="2092"/>
      <c r="CO61" s="2092"/>
      <c r="CP61" s="1933"/>
      <c r="CQ61" s="1933"/>
      <c r="CR61" s="1931"/>
      <c r="CS61" s="1931"/>
      <c r="CT61" s="1930"/>
      <c r="CU61" s="1930"/>
      <c r="CV61" s="1930"/>
      <c r="CW61" s="1930"/>
      <c r="CX61" s="1931"/>
      <c r="CY61" s="1931"/>
      <c r="CZ61" s="1931"/>
      <c r="DA61" s="1931"/>
      <c r="DB61" s="1932"/>
      <c r="DC61" s="1931"/>
      <c r="DD61" s="1931"/>
      <c r="DE61" s="1931"/>
      <c r="DF61" s="1931"/>
    </row>
    <row r="62" spans="3:110" ht="30" hidden="1" outlineLevel="1" x14ac:dyDescent="0.25">
      <c r="C62" s="151"/>
      <c r="D62" s="1302" t="str">
        <f t="shared" si="29"/>
        <v>800700_2019_12_</v>
      </c>
      <c r="E62" s="1302" t="str">
        <f t="shared" si="30"/>
        <v xml:space="preserve">LED 85 - 225 Watt Lamp or Fixture Replacing Garage or Exterior 24/7 HID 301-500 Watt Lamp or Fixture Misc. </v>
      </c>
      <c r="F62" s="59">
        <v>444</v>
      </c>
      <c r="G62" s="59">
        <v>136</v>
      </c>
      <c r="H62" s="2646">
        <v>8628</v>
      </c>
      <c r="I62" s="59">
        <v>1</v>
      </c>
      <c r="J62" s="59">
        <v>1</v>
      </c>
      <c r="K62" s="3321">
        <v>15</v>
      </c>
      <c r="L62" s="3323">
        <f t="shared" si="31"/>
        <v>0.96940799999999994</v>
      </c>
      <c r="M62" s="1965"/>
      <c r="N62" s="1965"/>
      <c r="O62" s="1965"/>
      <c r="P62" s="1965"/>
      <c r="Q62" s="1965"/>
      <c r="R62" s="1965"/>
      <c r="S62" s="1965"/>
      <c r="T62" s="1965"/>
      <c r="U62" s="1305"/>
      <c r="V62" s="1999" t="str">
        <f t="shared" si="33"/>
        <v xml:space="preserve">LED 85 - 225 Watt Lamp or Fixture Replacing Garage or Exterior 24/7 HID 301-500 Watt Lamp or Fixture Misc. </v>
      </c>
      <c r="W62" s="61">
        <v>400</v>
      </c>
      <c r="X62" s="1951">
        <v>444</v>
      </c>
      <c r="Y62" s="62">
        <v>444</v>
      </c>
      <c r="Z62" s="1134">
        <v>444</v>
      </c>
      <c r="AA62" s="1134">
        <v>444</v>
      </c>
      <c r="AB62" s="2091">
        <v>444</v>
      </c>
      <c r="AC62" s="3364">
        <v>444</v>
      </c>
      <c r="AD62" s="2092"/>
      <c r="AE62" s="2092"/>
      <c r="AF62" s="2092"/>
      <c r="AG62" s="2092"/>
      <c r="AH62" s="875"/>
      <c r="AI62" s="3456"/>
      <c r="AJ62" s="2091">
        <v>120</v>
      </c>
      <c r="AK62" s="366">
        <v>136</v>
      </c>
      <c r="AL62" s="1134">
        <v>136</v>
      </c>
      <c r="AM62" s="2091">
        <v>136</v>
      </c>
      <c r="AN62" s="2091">
        <v>136</v>
      </c>
      <c r="AO62" s="2091">
        <v>136</v>
      </c>
      <c r="AP62" s="3364">
        <v>136</v>
      </c>
      <c r="AQ62" s="2092"/>
      <c r="AR62" s="2092"/>
      <c r="AS62" s="2092"/>
      <c r="AT62" s="875"/>
      <c r="AU62" s="3456"/>
      <c r="AV62" s="3480">
        <v>8760</v>
      </c>
      <c r="AW62" s="3481">
        <v>8628.3962689570162</v>
      </c>
      <c r="AX62" s="3480">
        <v>8628.3962689570162</v>
      </c>
      <c r="AY62" s="3480">
        <v>8628.3962689570162</v>
      </c>
      <c r="AZ62" s="3480">
        <v>8628.3962689570162</v>
      </c>
      <c r="BA62" s="3480">
        <v>8628.3962689570162</v>
      </c>
      <c r="BB62" s="3480">
        <v>8628.3962689570162</v>
      </c>
      <c r="BC62" s="2092"/>
      <c r="BD62" s="2092"/>
      <c r="BE62" s="2092"/>
      <c r="BF62" s="875"/>
      <c r="BH62" s="2091">
        <v>1</v>
      </c>
      <c r="BI62" s="366">
        <v>1.08</v>
      </c>
      <c r="BJ62" s="2094">
        <v>1</v>
      </c>
      <c r="BK62" s="2097">
        <v>1</v>
      </c>
      <c r="BL62" s="2097">
        <v>1</v>
      </c>
      <c r="BM62" s="1134">
        <v>1</v>
      </c>
      <c r="BN62" s="3364">
        <v>1</v>
      </c>
      <c r="BO62" s="2092"/>
      <c r="BP62" s="2092"/>
      <c r="BQ62" s="2092"/>
      <c r="BR62" s="875"/>
      <c r="BS62" s="2091">
        <v>1</v>
      </c>
      <c r="BT62" s="1134">
        <v>1</v>
      </c>
      <c r="BU62" s="2091">
        <v>1</v>
      </c>
      <c r="BV62" s="2091">
        <v>1</v>
      </c>
      <c r="BW62" s="2091">
        <v>1</v>
      </c>
      <c r="BX62" s="2091">
        <v>1</v>
      </c>
      <c r="BY62" s="3364">
        <v>1</v>
      </c>
      <c r="BZ62" s="2092"/>
      <c r="CA62" s="2092"/>
      <c r="CB62" s="2092"/>
      <c r="CC62" s="2092"/>
      <c r="CD62" s="875"/>
      <c r="CE62" s="64">
        <v>6</v>
      </c>
      <c r="CF62" s="2097">
        <v>6</v>
      </c>
      <c r="CG62" s="2095">
        <v>6</v>
      </c>
      <c r="CH62" s="2095">
        <v>6</v>
      </c>
      <c r="CI62" s="2095">
        <v>6</v>
      </c>
      <c r="CJ62" s="2095">
        <v>6</v>
      </c>
      <c r="CK62" s="3361">
        <v>15</v>
      </c>
      <c r="CL62" s="2092"/>
      <c r="CM62" s="2092"/>
      <c r="CN62" s="2092"/>
      <c r="CO62" s="2092"/>
      <c r="CP62" s="1933"/>
      <c r="CQ62" s="1933"/>
      <c r="CR62" s="1931"/>
      <c r="CS62" s="1931"/>
      <c r="CT62" s="1930"/>
      <c r="CU62" s="1930"/>
      <c r="CV62" s="1930"/>
      <c r="CW62" s="1930"/>
      <c r="CX62" s="1931"/>
      <c r="CY62" s="1931"/>
      <c r="CZ62" s="1931"/>
      <c r="DA62" s="1931"/>
      <c r="DB62" s="1932"/>
      <c r="DC62" s="1931"/>
      <c r="DD62" s="1931"/>
      <c r="DE62" s="1931"/>
      <c r="DF62" s="1931"/>
    </row>
    <row r="63" spans="3:110" ht="30" hidden="1" outlineLevel="1" x14ac:dyDescent="0.25">
      <c r="C63" s="151"/>
      <c r="D63" s="1121" t="str">
        <f t="shared" si="29"/>
        <v>800750_2019_12_</v>
      </c>
      <c r="E63" s="1302" t="str">
        <f t="shared" si="30"/>
        <v>LED or Electroluminescent Replacing Interior Incandescent/CFL Exit Sign</v>
      </c>
      <c r="F63" s="3319">
        <v>28.080816326530613</v>
      </c>
      <c r="G63" s="3319">
        <v>2.6146938775510202</v>
      </c>
      <c r="H63" s="3320">
        <v>8759.5493877551016</v>
      </c>
      <c r="I63" s="59">
        <v>1.07</v>
      </c>
      <c r="J63" s="59">
        <v>1</v>
      </c>
      <c r="K63" s="3321">
        <v>7</v>
      </c>
      <c r="L63" s="3323">
        <f t="shared" si="31"/>
        <v>0.96940799999999994</v>
      </c>
      <c r="M63" s="1965"/>
      <c r="N63" s="1965"/>
      <c r="O63" s="1965"/>
      <c r="P63" s="1965"/>
      <c r="Q63" s="1965"/>
      <c r="R63" s="1965"/>
      <c r="S63" s="1965"/>
      <c r="T63" s="1965"/>
      <c r="U63" s="1305"/>
      <c r="V63" s="1999" t="str">
        <f t="shared" si="33"/>
        <v>LED or Electroluminescent Replacing Interior Incandescent/CFL Exit Sign</v>
      </c>
      <c r="W63" s="61">
        <v>30</v>
      </c>
      <c r="X63" s="61">
        <v>30</v>
      </c>
      <c r="Y63" s="62">
        <v>30</v>
      </c>
      <c r="Z63" s="1134">
        <v>30</v>
      </c>
      <c r="AA63" s="1134">
        <v>30</v>
      </c>
      <c r="AB63" s="2091">
        <v>29.015364916773368</v>
      </c>
      <c r="AC63" s="3364">
        <v>28.08</v>
      </c>
      <c r="AD63" s="2092"/>
      <c r="AE63" s="2092"/>
      <c r="AF63" s="2092"/>
      <c r="AG63" s="2092"/>
      <c r="AH63" s="875"/>
      <c r="AI63" s="3456"/>
      <c r="AJ63" s="2091">
        <v>3</v>
      </c>
      <c r="AK63" s="1134">
        <v>3</v>
      </c>
      <c r="AL63" s="1134">
        <v>3</v>
      </c>
      <c r="AM63" s="2091">
        <v>3</v>
      </c>
      <c r="AN63" s="2091">
        <v>3</v>
      </c>
      <c r="AO63" s="2091">
        <v>2.5345710627400768</v>
      </c>
      <c r="AP63" s="3364">
        <v>2.61</v>
      </c>
      <c r="AQ63" s="2092"/>
      <c r="AR63" s="2092"/>
      <c r="AS63" s="2092"/>
      <c r="AT63" s="875"/>
      <c r="AU63" s="3456"/>
      <c r="AV63" s="3480">
        <v>8760</v>
      </c>
      <c r="AW63" s="3482">
        <v>8760</v>
      </c>
      <c r="AX63" s="3480">
        <v>8760</v>
      </c>
      <c r="AY63" s="3480">
        <v>8760</v>
      </c>
      <c r="AZ63" s="3480">
        <v>8760</v>
      </c>
      <c r="BA63" s="3480">
        <v>8760</v>
      </c>
      <c r="BB63" s="3480">
        <v>8760</v>
      </c>
      <c r="BC63" s="2092"/>
      <c r="BD63" s="2092"/>
      <c r="BE63" s="2092"/>
      <c r="BF63" s="875"/>
      <c r="BH63" s="2091">
        <v>1.07</v>
      </c>
      <c r="BI63" s="2091">
        <v>1.07</v>
      </c>
      <c r="BJ63" s="2092">
        <v>1.07</v>
      </c>
      <c r="BK63" s="1471">
        <v>1.07</v>
      </c>
      <c r="BL63" s="1471">
        <v>1.07</v>
      </c>
      <c r="BM63" s="1134">
        <v>1.071</v>
      </c>
      <c r="BN63" s="3364">
        <v>1.071</v>
      </c>
      <c r="BO63" s="2092"/>
      <c r="BP63" s="2092"/>
      <c r="BQ63" s="2092"/>
      <c r="BR63" s="875"/>
      <c r="BS63" s="2091">
        <v>1</v>
      </c>
      <c r="BT63" s="1134">
        <v>1</v>
      </c>
      <c r="BU63" s="2091">
        <v>1</v>
      </c>
      <c r="BV63" s="2091">
        <v>1</v>
      </c>
      <c r="BW63" s="2091">
        <v>1</v>
      </c>
      <c r="BX63" s="2091">
        <v>1</v>
      </c>
      <c r="BY63" s="3364">
        <v>1</v>
      </c>
      <c r="BZ63" s="2092"/>
      <c r="CA63" s="2092"/>
      <c r="CB63" s="2092"/>
      <c r="CC63" s="2092"/>
      <c r="CD63" s="875"/>
      <c r="CE63" s="64">
        <v>16</v>
      </c>
      <c r="CF63" s="2097">
        <v>16</v>
      </c>
      <c r="CG63" s="2095">
        <v>16</v>
      </c>
      <c r="CH63" s="2095">
        <v>16</v>
      </c>
      <c r="CI63" s="2095">
        <v>16</v>
      </c>
      <c r="CJ63" s="2095">
        <v>16</v>
      </c>
      <c r="CK63" s="3361">
        <v>7</v>
      </c>
      <c r="CL63" s="2092"/>
      <c r="CM63" s="2092"/>
      <c r="CN63" s="2092"/>
      <c r="CO63" s="2092"/>
      <c r="CP63" s="1933"/>
      <c r="CQ63" s="1933"/>
      <c r="CR63" s="1931"/>
      <c r="CS63" s="1931"/>
      <c r="CT63" s="1930"/>
      <c r="CU63" s="1930"/>
      <c r="CV63" s="1930"/>
      <c r="CW63" s="1930"/>
      <c r="CX63" s="1931"/>
      <c r="CY63" s="1931"/>
      <c r="CZ63" s="1931"/>
      <c r="DA63" s="1931"/>
      <c r="DB63" s="1932"/>
      <c r="DC63" s="1931"/>
      <c r="DD63" s="1931"/>
      <c r="DE63" s="1931"/>
      <c r="DF63" s="1931"/>
    </row>
    <row r="64" spans="3:110" hidden="1" outlineLevel="1" x14ac:dyDescent="0.25">
      <c r="C64" s="151"/>
      <c r="D64" s="1121" t="str">
        <f t="shared" si="29"/>
        <v>800800_2020_12_</v>
      </c>
      <c r="E64" s="1302" t="str">
        <f t="shared" si="30"/>
        <v xml:space="preserve">LED Replacing Interior T5 Fluorescent (Type A / Hybrid) </v>
      </c>
      <c r="F64" s="3319">
        <v>127.06623235613463</v>
      </c>
      <c r="G64" s="3319">
        <v>62.352877307274703</v>
      </c>
      <c r="H64" s="3320">
        <v>5216.1786102062979</v>
      </c>
      <c r="I64" s="59">
        <v>1.07</v>
      </c>
      <c r="J64" s="59">
        <v>1</v>
      </c>
      <c r="K64" s="2299">
        <v>10</v>
      </c>
      <c r="L64" s="3323">
        <f t="shared" si="31"/>
        <v>0.96940799999999994</v>
      </c>
      <c r="M64" s="1965"/>
      <c r="N64" s="1965"/>
      <c r="O64" s="1965"/>
      <c r="P64" s="1965"/>
      <c r="Q64" s="1965"/>
      <c r="R64" s="1965"/>
      <c r="S64" s="1965"/>
      <c r="T64" s="1965"/>
      <c r="U64" s="1305"/>
      <c r="V64" s="1999" t="str">
        <f t="shared" si="33"/>
        <v xml:space="preserve">LED Replacing Interior T5 Fluorescent (Type A / Hybrid) </v>
      </c>
      <c r="W64" s="61">
        <v>60</v>
      </c>
      <c r="X64" s="61">
        <v>60</v>
      </c>
      <c r="Y64" s="62">
        <v>60</v>
      </c>
      <c r="Z64" s="1134">
        <v>60</v>
      </c>
      <c r="AA64" s="1134">
        <v>60</v>
      </c>
      <c r="AB64" s="2091">
        <v>57.151731160896134</v>
      </c>
      <c r="AC64" s="3364">
        <v>127.07</v>
      </c>
      <c r="AD64" s="2092"/>
      <c r="AE64" s="2092"/>
      <c r="AF64" s="2092"/>
      <c r="AG64" s="2092"/>
      <c r="AH64" s="875"/>
      <c r="AI64" s="3456"/>
      <c r="AJ64" s="2091">
        <v>28</v>
      </c>
      <c r="AK64" s="1134">
        <v>28</v>
      </c>
      <c r="AL64" s="1134">
        <v>28</v>
      </c>
      <c r="AM64" s="2091">
        <v>28</v>
      </c>
      <c r="AN64" s="2091">
        <v>28</v>
      </c>
      <c r="AO64" s="2091">
        <v>26.891378139850644</v>
      </c>
      <c r="AP64" s="3364">
        <v>62.35</v>
      </c>
      <c r="AQ64" s="2092"/>
      <c r="AR64" s="2092"/>
      <c r="AS64" s="2092"/>
      <c r="AT64" s="875"/>
      <c r="AU64" s="3456"/>
      <c r="AV64" s="3480">
        <v>6500</v>
      </c>
      <c r="AW64" s="3482">
        <v>6500</v>
      </c>
      <c r="AX64" s="3480">
        <v>6500</v>
      </c>
      <c r="AY64" s="3480">
        <v>6500</v>
      </c>
      <c r="AZ64" s="3480">
        <v>6500</v>
      </c>
      <c r="BA64" s="3480">
        <v>4842.3896809232856</v>
      </c>
      <c r="BB64" s="3480">
        <v>5216</v>
      </c>
      <c r="BC64" s="2092"/>
      <c r="BD64" s="2092"/>
      <c r="BE64" s="2092"/>
      <c r="BF64" s="875"/>
      <c r="BH64" s="2091">
        <v>1.07</v>
      </c>
      <c r="BI64" s="2091">
        <v>1.07</v>
      </c>
      <c r="BJ64" s="2092">
        <v>1.07</v>
      </c>
      <c r="BK64" s="1471">
        <v>1.07</v>
      </c>
      <c r="BL64" s="1471">
        <v>1.07</v>
      </c>
      <c r="BM64" s="1134">
        <v>1.071</v>
      </c>
      <c r="BN64" s="3364">
        <v>1.071</v>
      </c>
      <c r="BO64" s="2092"/>
      <c r="BP64" s="2092"/>
      <c r="BQ64" s="2092"/>
      <c r="BR64" s="875"/>
      <c r="BS64" s="2091">
        <v>1</v>
      </c>
      <c r="BT64" s="1134">
        <v>1</v>
      </c>
      <c r="BU64" s="2091">
        <v>1</v>
      </c>
      <c r="BV64" s="2091">
        <v>1</v>
      </c>
      <c r="BW64" s="2091">
        <v>1</v>
      </c>
      <c r="BX64" s="2091">
        <v>1</v>
      </c>
      <c r="BY64" s="3364">
        <v>1</v>
      </c>
      <c r="BZ64" s="2092"/>
      <c r="CA64" s="2092"/>
      <c r="CB64" s="2092"/>
      <c r="CC64" s="2092"/>
      <c r="CD64" s="875"/>
      <c r="CE64" s="64">
        <v>8</v>
      </c>
      <c r="CF64" s="2097">
        <v>8</v>
      </c>
      <c r="CG64" s="2095">
        <v>8</v>
      </c>
      <c r="CH64" s="2095">
        <v>8</v>
      </c>
      <c r="CI64" s="2095">
        <v>8</v>
      </c>
      <c r="CJ64" s="2095">
        <v>10</v>
      </c>
      <c r="CK64" s="3361">
        <v>10</v>
      </c>
      <c r="CL64" s="2092"/>
      <c r="CM64" s="2092"/>
      <c r="CN64" s="2092"/>
      <c r="CO64" s="2092"/>
      <c r="CP64" s="1933"/>
      <c r="CQ64" s="1933"/>
      <c r="CR64" s="1931"/>
      <c r="CS64" s="1931"/>
      <c r="CT64" s="1930"/>
      <c r="CU64" s="1930"/>
      <c r="CV64" s="1930"/>
      <c r="CW64" s="1930"/>
      <c r="CX64" s="1931"/>
      <c r="CY64" s="1931"/>
      <c r="CZ64" s="1931"/>
      <c r="DA64" s="1931"/>
      <c r="DB64" s="1932"/>
      <c r="DC64" s="1931"/>
      <c r="DD64" s="1931"/>
      <c r="DE64" s="1931"/>
      <c r="DF64" s="1931"/>
    </row>
    <row r="65" spans="2:113" s="1931" customFormat="1" hidden="1" outlineLevel="1" x14ac:dyDescent="0.25">
      <c r="C65" s="151"/>
      <c r="D65" s="1121" t="str">
        <f t="shared" si="29"/>
        <v>800801_2020_12_</v>
      </c>
      <c r="E65" s="1302" t="str">
        <f t="shared" si="30"/>
        <v>LED Replacing Interior T5 Fluorescent (Type B, Kits, and Fixtures)</v>
      </c>
      <c r="F65" s="3319">
        <v>187.78231576022782</v>
      </c>
      <c r="G65" s="3319">
        <v>80.414947558519131</v>
      </c>
      <c r="H65" s="3320">
        <v>4282.6269361672566</v>
      </c>
      <c r="I65" s="59">
        <v>1.07</v>
      </c>
      <c r="J65" s="59">
        <v>1</v>
      </c>
      <c r="K65" s="2299">
        <v>15</v>
      </c>
      <c r="L65" s="3323">
        <f t="shared" si="31"/>
        <v>0.96940799999999994</v>
      </c>
      <c r="M65" s="1965"/>
      <c r="N65" s="1965"/>
      <c r="O65" s="1965"/>
      <c r="P65" s="1965"/>
      <c r="Q65" s="1965"/>
      <c r="R65" s="1965"/>
      <c r="S65" s="1965"/>
      <c r="T65" s="1965"/>
      <c r="U65" s="1305"/>
      <c r="V65" s="3367" t="str">
        <f>E65</f>
        <v>LED Replacing Interior T5 Fluorescent (Type B, Kits, and Fixtures)</v>
      </c>
      <c r="W65" s="3368"/>
      <c r="X65" s="3368"/>
      <c r="Y65" s="3369"/>
      <c r="Z65" s="3369"/>
      <c r="AA65" s="3369"/>
      <c r="AB65" s="2091">
        <v>129.47809753575737</v>
      </c>
      <c r="AC65" s="3364">
        <v>187.49</v>
      </c>
      <c r="AD65" s="2092"/>
      <c r="AE65" s="2092"/>
      <c r="AF65" s="2092"/>
      <c r="AG65" s="2092"/>
      <c r="AH65" s="875"/>
      <c r="AI65" s="538"/>
      <c r="AJ65" s="3368"/>
      <c r="AK65" s="3368"/>
      <c r="AL65" s="3369"/>
      <c r="AM65" s="3368"/>
      <c r="AN65" s="3368"/>
      <c r="AO65" s="2091">
        <v>54.55328661420338</v>
      </c>
      <c r="AP65" s="3364">
        <v>80.180000000000007</v>
      </c>
      <c r="AQ65" s="2092"/>
      <c r="AR65" s="2092"/>
      <c r="AS65" s="2092"/>
      <c r="AT65" s="875"/>
      <c r="AU65" s="538"/>
      <c r="AV65" s="3484"/>
      <c r="AW65" s="3485"/>
      <c r="AX65" s="3484"/>
      <c r="AY65" s="3484"/>
      <c r="AZ65" s="3484"/>
      <c r="BA65" s="3480">
        <v>4551.3067953357458</v>
      </c>
      <c r="BB65" s="3480">
        <f>H65</f>
        <v>4282.6269361672566</v>
      </c>
      <c r="BC65" s="2092"/>
      <c r="BD65" s="2092"/>
      <c r="BE65" s="2092"/>
      <c r="BF65" s="875"/>
      <c r="BH65" s="3357"/>
      <c r="BI65" s="3362"/>
      <c r="BJ65" s="3363"/>
      <c r="BK65" s="3363"/>
      <c r="BL65" s="3363"/>
      <c r="BM65" s="1134">
        <v>1.071</v>
      </c>
      <c r="BN65" s="3364">
        <v>1.071</v>
      </c>
      <c r="BO65" s="2092"/>
      <c r="BP65" s="2092"/>
      <c r="BQ65" s="2092"/>
      <c r="BR65" s="875"/>
      <c r="BS65" s="3357"/>
      <c r="BT65" s="3362"/>
      <c r="BU65" s="3363"/>
      <c r="BV65" s="3363"/>
      <c r="BW65" s="3363"/>
      <c r="BX65" s="2091">
        <v>1</v>
      </c>
      <c r="BY65" s="3364">
        <v>1</v>
      </c>
      <c r="BZ65" s="2092"/>
      <c r="CA65" s="2092"/>
      <c r="CB65" s="2092"/>
      <c r="CC65" s="2092"/>
      <c r="CD65" s="875"/>
      <c r="CE65" s="3357"/>
      <c r="CF65" s="3362"/>
      <c r="CG65" s="3363"/>
      <c r="CH65" s="3363"/>
      <c r="CI65" s="3363"/>
      <c r="CJ65" s="2095">
        <v>15</v>
      </c>
      <c r="CK65" s="3361">
        <v>15</v>
      </c>
      <c r="CL65" s="2092"/>
      <c r="CM65" s="2092"/>
      <c r="CN65" s="2092"/>
      <c r="CO65" s="2092"/>
      <c r="CP65" s="1933"/>
      <c r="CQ65" s="1933"/>
      <c r="CT65" s="1930"/>
      <c r="CU65" s="1930"/>
      <c r="CV65" s="1930"/>
      <c r="CW65" s="1930"/>
      <c r="DB65" s="1932"/>
    </row>
    <row r="66" spans="2:113" s="1931" customFormat="1" hidden="1" outlineLevel="1" x14ac:dyDescent="0.25">
      <c r="C66" s="151"/>
      <c r="D66" s="3318" t="str">
        <f t="shared" si="29"/>
        <v>800802_2021_12_</v>
      </c>
      <c r="E66" s="3331" t="str">
        <f t="shared" si="30"/>
        <v>LED Replacing Interior T5 Fluorescent (Type C)</v>
      </c>
      <c r="F66" s="3319">
        <v>120</v>
      </c>
      <c r="G66" s="3319">
        <v>26</v>
      </c>
      <c r="H66" s="3320">
        <v>3800</v>
      </c>
      <c r="I66" s="3319">
        <v>1.07</v>
      </c>
      <c r="J66" s="3319">
        <v>1</v>
      </c>
      <c r="K66" s="3321">
        <v>11</v>
      </c>
      <c r="L66" s="3323">
        <f t="shared" si="31"/>
        <v>0.96940799999999994</v>
      </c>
      <c r="M66" s="1965"/>
      <c r="N66" s="1965"/>
      <c r="O66" s="1965"/>
      <c r="P66" s="1965"/>
      <c r="Q66" s="1965"/>
      <c r="R66" s="1965"/>
      <c r="S66" s="1965"/>
      <c r="T66" s="1965"/>
      <c r="U66" s="1305"/>
      <c r="V66" s="3367" t="str">
        <f>E66</f>
        <v>LED Replacing Interior T5 Fluorescent (Type C)</v>
      </c>
      <c r="W66" s="3368"/>
      <c r="X66" s="3368"/>
      <c r="Y66" s="3369"/>
      <c r="Z66" s="3369"/>
      <c r="AA66" s="3369"/>
      <c r="AB66" s="3369"/>
      <c r="AC66" s="3364">
        <f>F66</f>
        <v>120</v>
      </c>
      <c r="AD66" s="2092"/>
      <c r="AE66" s="2092"/>
      <c r="AF66" s="2092"/>
      <c r="AG66" s="2092"/>
      <c r="AH66" s="875"/>
      <c r="AI66" s="538"/>
      <c r="AJ66" s="3368"/>
      <c r="AK66" s="3368"/>
      <c r="AL66" s="3369"/>
      <c r="AM66" s="3368"/>
      <c r="AN66" s="3368"/>
      <c r="AO66" s="3368"/>
      <c r="AP66" s="3364">
        <f>G66</f>
        <v>26</v>
      </c>
      <c r="AQ66" s="2092"/>
      <c r="AR66" s="2092"/>
      <c r="AS66" s="2092"/>
      <c r="AT66" s="875"/>
      <c r="AU66" s="538"/>
      <c r="AV66" s="3484"/>
      <c r="AW66" s="3485"/>
      <c r="AX66" s="3484"/>
      <c r="AY66" s="3484"/>
      <c r="AZ66" s="3484"/>
      <c r="BA66" s="3484"/>
      <c r="BB66" s="3480">
        <f>H66</f>
        <v>3800</v>
      </c>
      <c r="BC66" s="2092"/>
      <c r="BD66" s="2092"/>
      <c r="BE66" s="2092"/>
      <c r="BF66" s="875"/>
      <c r="BH66" s="3357"/>
      <c r="BI66" s="3362"/>
      <c r="BJ66" s="3363"/>
      <c r="BK66" s="3363"/>
      <c r="BL66" s="3363"/>
      <c r="BM66" s="3363"/>
      <c r="BN66" s="3364">
        <v>1.07</v>
      </c>
      <c r="BO66" s="2092"/>
      <c r="BP66" s="2092"/>
      <c r="BQ66" s="2092"/>
      <c r="BR66" s="875"/>
      <c r="BS66" s="3357"/>
      <c r="BT66" s="3362"/>
      <c r="BU66" s="3363"/>
      <c r="BV66" s="3363"/>
      <c r="BW66" s="3363"/>
      <c r="BX66" s="3363"/>
      <c r="BY66" s="3364">
        <v>1</v>
      </c>
      <c r="BZ66" s="2092"/>
      <c r="CA66" s="2092"/>
      <c r="CB66" s="2092"/>
      <c r="CC66" s="2092"/>
      <c r="CD66" s="875"/>
      <c r="CE66" s="3357"/>
      <c r="CF66" s="3362"/>
      <c r="CG66" s="3363"/>
      <c r="CH66" s="3363"/>
      <c r="CI66" s="3363"/>
      <c r="CJ66" s="3363"/>
      <c r="CK66" s="3361">
        <v>11</v>
      </c>
      <c r="CL66" s="2092"/>
      <c r="CM66" s="2092"/>
      <c r="CN66" s="2092"/>
      <c r="CO66" s="2092"/>
      <c r="CP66" s="1933"/>
      <c r="CQ66" s="1933"/>
      <c r="CT66" s="1930"/>
      <c r="CU66" s="1930"/>
      <c r="CV66" s="1930"/>
      <c r="CW66" s="1930"/>
      <c r="DB66" s="1932"/>
    </row>
    <row r="67" spans="2:113" hidden="1" outlineLevel="1" x14ac:dyDescent="0.25">
      <c r="C67" s="151"/>
      <c r="D67" s="1121" t="str">
        <f t="shared" si="29"/>
        <v>800850_2020_12_</v>
      </c>
      <c r="E67" s="1302" t="str">
        <f t="shared" si="30"/>
        <v xml:space="preserve">LED Replacing Interior T8 Fluorescent (Type A / Hybrid) </v>
      </c>
      <c r="F67" s="3319">
        <v>85.477389537431776</v>
      </c>
      <c r="G67" s="3319">
        <v>38.905573927248099</v>
      </c>
      <c r="H67" s="3320">
        <v>4312.5738874058725</v>
      </c>
      <c r="I67" s="59">
        <v>1.07</v>
      </c>
      <c r="J67" s="59">
        <v>1</v>
      </c>
      <c r="K67" s="2299">
        <v>10</v>
      </c>
      <c r="L67" s="3323">
        <f t="shared" si="31"/>
        <v>0.96940799999999994</v>
      </c>
      <c r="M67" s="1965"/>
      <c r="N67" s="1965"/>
      <c r="O67" s="1965"/>
      <c r="P67" s="1965"/>
      <c r="Q67" s="1965"/>
      <c r="R67" s="1965"/>
      <c r="S67" s="1965"/>
      <c r="T67" s="1965"/>
      <c r="U67" s="1306"/>
      <c r="V67" s="1999" t="str">
        <f t="shared" si="33"/>
        <v xml:space="preserve">LED Replacing Interior T8 Fluorescent (Type A / Hybrid) </v>
      </c>
      <c r="W67" s="61">
        <v>28</v>
      </c>
      <c r="X67" s="1951">
        <v>28.3</v>
      </c>
      <c r="Y67" s="62">
        <v>28.3</v>
      </c>
      <c r="Z67" s="1134">
        <v>28.3</v>
      </c>
      <c r="AA67" s="1134">
        <v>28.3</v>
      </c>
      <c r="AB67" s="2091">
        <v>34.696581538376684</v>
      </c>
      <c r="AC67" s="3364">
        <v>85.48</v>
      </c>
      <c r="AD67" s="2092"/>
      <c r="AE67" s="2092"/>
      <c r="AF67" s="2092"/>
      <c r="AG67" s="2092"/>
      <c r="AH67" s="875"/>
      <c r="AI67" s="3456"/>
      <c r="AJ67" s="2091">
        <v>14</v>
      </c>
      <c r="AK67" s="366">
        <v>13.7</v>
      </c>
      <c r="AL67" s="1134">
        <v>13.7</v>
      </c>
      <c r="AM67" s="2091">
        <v>13.7</v>
      </c>
      <c r="AN67" s="2091">
        <v>13.7</v>
      </c>
      <c r="AO67" s="2091">
        <v>15.651019976649476</v>
      </c>
      <c r="AP67" s="3364">
        <v>38.909999999999997</v>
      </c>
      <c r="AQ67" s="2092"/>
      <c r="AR67" s="2092"/>
      <c r="AS67" s="2092"/>
      <c r="AT67" s="875"/>
      <c r="AU67" s="3456"/>
      <c r="AV67" s="3480">
        <v>5500</v>
      </c>
      <c r="AW67" s="3481">
        <v>5400</v>
      </c>
      <c r="AX67" s="3480">
        <v>5400</v>
      </c>
      <c r="AY67" s="3480">
        <v>5400</v>
      </c>
      <c r="AZ67" s="3480">
        <v>5400</v>
      </c>
      <c r="BA67" s="3480">
        <v>4232.7285363633855</v>
      </c>
      <c r="BB67" s="3480">
        <f t="shared" ref="BB67:BB74" si="34">H67</f>
        <v>4312.5738874058725</v>
      </c>
      <c r="BC67" s="2092"/>
      <c r="BD67" s="2092"/>
      <c r="BE67" s="2092"/>
      <c r="BF67" s="875"/>
      <c r="BH67" s="2091">
        <v>1.07</v>
      </c>
      <c r="BI67" s="366">
        <v>1.08</v>
      </c>
      <c r="BJ67" s="2092">
        <v>1.08</v>
      </c>
      <c r="BK67" s="1471">
        <v>1.08</v>
      </c>
      <c r="BL67" s="1471">
        <v>1.08</v>
      </c>
      <c r="BM67" s="1134">
        <v>1.071</v>
      </c>
      <c r="BN67" s="3364">
        <v>1.071</v>
      </c>
      <c r="BO67" s="2092"/>
      <c r="BP67" s="2092"/>
      <c r="BQ67" s="2092"/>
      <c r="BR67" s="875"/>
      <c r="BS67" s="2091">
        <v>1</v>
      </c>
      <c r="BT67" s="366">
        <v>0.99614637091058145</v>
      </c>
      <c r="BU67" s="2091">
        <v>0.99614637091058145</v>
      </c>
      <c r="BV67" s="2091">
        <v>0.99614637091058145</v>
      </c>
      <c r="BW67" s="2091">
        <v>0.99614637091058145</v>
      </c>
      <c r="BX67" s="2091">
        <v>0.99614637091058145</v>
      </c>
      <c r="BY67" s="3364">
        <v>0.99614637091058145</v>
      </c>
      <c r="BZ67" s="2092"/>
      <c r="CA67" s="2092"/>
      <c r="CB67" s="2092"/>
      <c r="CC67" s="2092"/>
      <c r="CD67" s="875"/>
      <c r="CE67" s="64">
        <v>9</v>
      </c>
      <c r="CF67" s="2097">
        <v>9</v>
      </c>
      <c r="CG67" s="2095">
        <v>9</v>
      </c>
      <c r="CH67" s="2095">
        <v>9</v>
      </c>
      <c r="CI67" s="2095">
        <v>9</v>
      </c>
      <c r="CJ67" s="2095">
        <v>10</v>
      </c>
      <c r="CK67" s="3361">
        <v>10</v>
      </c>
      <c r="CL67" s="2092"/>
      <c r="CM67" s="2092"/>
      <c r="CN67" s="2092"/>
      <c r="CO67" s="2092"/>
      <c r="CP67" s="1933"/>
      <c r="CQ67" s="1933"/>
      <c r="CR67" s="1931"/>
      <c r="CS67" s="1931"/>
      <c r="CT67" s="1930"/>
      <c r="CU67" s="1930"/>
      <c r="CV67" s="1930"/>
      <c r="CW67" s="1930"/>
      <c r="CX67" s="1931"/>
      <c r="CY67" s="1931"/>
      <c r="CZ67" s="1931"/>
      <c r="DA67" s="1931"/>
      <c r="DB67" s="1932"/>
      <c r="DC67" s="1931"/>
      <c r="DD67" s="1931"/>
      <c r="DE67" s="1931"/>
      <c r="DF67" s="1931"/>
    </row>
    <row r="68" spans="2:113" s="1931" customFormat="1" hidden="1" outlineLevel="1" x14ac:dyDescent="0.25">
      <c r="C68" s="151"/>
      <c r="D68" s="1121" t="str">
        <f t="shared" si="29"/>
        <v>800851_2020_12_</v>
      </c>
      <c r="E68" s="1302" t="str">
        <f t="shared" si="30"/>
        <v>LED Replacting Interior T8 Fluorescent (Type B, Kits, and Fixtures)</v>
      </c>
      <c r="F68" s="3319">
        <v>93.264460183273101</v>
      </c>
      <c r="G68" s="3319">
        <v>37.486544914816726</v>
      </c>
      <c r="H68" s="3320">
        <v>3612.4490433014971</v>
      </c>
      <c r="I68" s="59">
        <v>1.07</v>
      </c>
      <c r="J68" s="59">
        <v>1</v>
      </c>
      <c r="K68" s="2299">
        <v>15</v>
      </c>
      <c r="L68" s="3323">
        <f t="shared" si="31"/>
        <v>0.96940799999999994</v>
      </c>
      <c r="M68" s="1965"/>
      <c r="N68" s="1965"/>
      <c r="O68" s="1965"/>
      <c r="P68" s="1965"/>
      <c r="Q68" s="1965"/>
      <c r="R68" s="1965"/>
      <c r="S68" s="1965"/>
      <c r="T68" s="1965"/>
      <c r="U68" s="1306"/>
      <c r="V68" s="3367" t="str">
        <f>E68</f>
        <v>LED Replacting Interior T8 Fluorescent (Type B, Kits, and Fixtures)</v>
      </c>
      <c r="W68" s="3368"/>
      <c r="X68" s="3368"/>
      <c r="Y68" s="3369"/>
      <c r="Z68" s="3369"/>
      <c r="AA68" s="3369"/>
      <c r="AB68" s="2091">
        <v>59.772720625328752</v>
      </c>
      <c r="AC68" s="3364">
        <v>92.55</v>
      </c>
      <c r="AD68" s="2092"/>
      <c r="AE68" s="2092"/>
      <c r="AF68" s="2092"/>
      <c r="AG68" s="2092"/>
      <c r="AH68" s="875"/>
      <c r="AI68" s="538"/>
      <c r="AJ68" s="3368"/>
      <c r="AK68" s="3368"/>
      <c r="AL68" s="3369"/>
      <c r="AM68" s="3368"/>
      <c r="AN68" s="3368"/>
      <c r="AO68" s="2091">
        <v>24.753815057906763</v>
      </c>
      <c r="AP68" s="3364">
        <v>37.119999999999997</v>
      </c>
      <c r="AQ68" s="2092"/>
      <c r="AR68" s="2092"/>
      <c r="AS68" s="2092"/>
      <c r="AT68" s="875"/>
      <c r="AU68" s="538"/>
      <c r="AV68" s="3484"/>
      <c r="AW68" s="3485"/>
      <c r="AX68" s="3484"/>
      <c r="AY68" s="3484"/>
      <c r="AZ68" s="3484"/>
      <c r="BA68" s="3480">
        <v>4315.6299709124478</v>
      </c>
      <c r="BB68" s="3480">
        <f t="shared" si="34"/>
        <v>3612.4490433014971</v>
      </c>
      <c r="BC68" s="2092"/>
      <c r="BD68" s="2092"/>
      <c r="BE68" s="2092"/>
      <c r="BF68" s="875"/>
      <c r="BH68" s="3357"/>
      <c r="BI68" s="3362"/>
      <c r="BJ68" s="3363"/>
      <c r="BK68" s="3363"/>
      <c r="BL68" s="3363"/>
      <c r="BM68" s="1134">
        <v>1.071</v>
      </c>
      <c r="BN68" s="3364">
        <v>1.071</v>
      </c>
      <c r="BO68" s="2092"/>
      <c r="BP68" s="2092"/>
      <c r="BQ68" s="2092"/>
      <c r="BR68" s="875"/>
      <c r="BS68" s="3357"/>
      <c r="BT68" s="3362"/>
      <c r="BU68" s="3363"/>
      <c r="BV68" s="3363"/>
      <c r="BW68" s="3363"/>
      <c r="BX68" s="2091">
        <v>0.99614637091058145</v>
      </c>
      <c r="BY68" s="3364">
        <v>0.99614637091058145</v>
      </c>
      <c r="BZ68" s="2092"/>
      <c r="CA68" s="2092"/>
      <c r="CB68" s="2092"/>
      <c r="CC68" s="2092"/>
      <c r="CD68" s="875"/>
      <c r="CE68" s="3357"/>
      <c r="CF68" s="3362"/>
      <c r="CG68" s="3363"/>
      <c r="CH68" s="3363"/>
      <c r="CI68" s="3363"/>
      <c r="CJ68" s="2095">
        <v>15</v>
      </c>
      <c r="CK68" s="3361">
        <v>15</v>
      </c>
      <c r="CL68" s="2092"/>
      <c r="CM68" s="2092"/>
      <c r="CN68" s="2092"/>
      <c r="CO68" s="2092"/>
      <c r="CP68" s="1933"/>
      <c r="CQ68" s="1933"/>
      <c r="CT68" s="1930"/>
      <c r="CU68" s="1930"/>
      <c r="CV68" s="1930"/>
      <c r="CW68" s="1930"/>
      <c r="DB68" s="1932"/>
    </row>
    <row r="69" spans="2:113" s="1931" customFormat="1" hidden="1" outlineLevel="1" x14ac:dyDescent="0.25">
      <c r="C69" s="151"/>
      <c r="D69" s="3318" t="str">
        <f t="shared" si="29"/>
        <v>800852_2021_12_</v>
      </c>
      <c r="E69" s="3331" t="str">
        <f t="shared" si="30"/>
        <v>LED Replacting Interior T8 Fluorescent (Type C)</v>
      </c>
      <c r="F69" s="3319">
        <v>81.634859457469005</v>
      </c>
      <c r="G69" s="3319">
        <v>31.539953357063951</v>
      </c>
      <c r="H69" s="3320">
        <v>5068.9456241561311</v>
      </c>
      <c r="I69" s="3319">
        <v>1.07</v>
      </c>
      <c r="J69" s="3319">
        <v>1</v>
      </c>
      <c r="K69" s="3321">
        <v>11</v>
      </c>
      <c r="L69" s="3323">
        <f t="shared" si="31"/>
        <v>0.96940799999999994</v>
      </c>
      <c r="M69" s="1965"/>
      <c r="N69" s="1965"/>
      <c r="O69" s="1965"/>
      <c r="P69" s="1965"/>
      <c r="Q69" s="1965"/>
      <c r="R69" s="1965"/>
      <c r="S69" s="1965"/>
      <c r="T69" s="1965"/>
      <c r="U69" s="1306"/>
      <c r="V69" s="3367" t="str">
        <f>E69</f>
        <v>LED Replacting Interior T8 Fluorescent (Type C)</v>
      </c>
      <c r="W69" s="3368"/>
      <c r="X69" s="3368"/>
      <c r="Y69" s="3369"/>
      <c r="Z69" s="3369"/>
      <c r="AA69" s="3369"/>
      <c r="AB69" s="3369"/>
      <c r="AC69" s="3364">
        <f>F69</f>
        <v>81.634859457469005</v>
      </c>
      <c r="AD69" s="2092"/>
      <c r="AE69" s="2092"/>
      <c r="AF69" s="2092"/>
      <c r="AG69" s="2092"/>
      <c r="AH69" s="875"/>
      <c r="AI69" s="538"/>
      <c r="AJ69" s="3368"/>
      <c r="AK69" s="3368"/>
      <c r="AL69" s="3369"/>
      <c r="AM69" s="3368"/>
      <c r="AN69" s="3368"/>
      <c r="AO69" s="3368"/>
      <c r="AP69" s="3364">
        <f>G69</f>
        <v>31.539953357063951</v>
      </c>
      <c r="AQ69" s="2092"/>
      <c r="AR69" s="2092"/>
      <c r="AS69" s="2092"/>
      <c r="AT69" s="875"/>
      <c r="AU69" s="538"/>
      <c r="AV69" s="3484"/>
      <c r="AW69" s="3485"/>
      <c r="AX69" s="3484"/>
      <c r="AY69" s="3484"/>
      <c r="AZ69" s="3484"/>
      <c r="BA69" s="3484"/>
      <c r="BB69" s="3480">
        <f t="shared" si="34"/>
        <v>5068.9456241561311</v>
      </c>
      <c r="BC69" s="2092"/>
      <c r="BD69" s="2092"/>
      <c r="BE69" s="2092"/>
      <c r="BF69" s="875"/>
      <c r="BH69" s="3357"/>
      <c r="BI69" s="3362"/>
      <c r="BJ69" s="3363"/>
      <c r="BK69" s="3363"/>
      <c r="BL69" s="3363"/>
      <c r="BM69" s="3363"/>
      <c r="BN69" s="3364">
        <v>1.07</v>
      </c>
      <c r="BO69" s="2092"/>
      <c r="BP69" s="2092"/>
      <c r="BQ69" s="2092"/>
      <c r="BR69" s="875"/>
      <c r="BS69" s="3357"/>
      <c r="BT69" s="3362"/>
      <c r="BU69" s="3363"/>
      <c r="BV69" s="3363"/>
      <c r="BW69" s="3363"/>
      <c r="BX69" s="3363"/>
      <c r="BY69" s="3364">
        <v>1</v>
      </c>
      <c r="BZ69" s="2092"/>
      <c r="CA69" s="2092"/>
      <c r="CB69" s="2092"/>
      <c r="CC69" s="2092"/>
      <c r="CD69" s="875"/>
      <c r="CE69" s="3357"/>
      <c r="CF69" s="3362"/>
      <c r="CG69" s="3363"/>
      <c r="CH69" s="3363"/>
      <c r="CI69" s="3363"/>
      <c r="CJ69" s="3363"/>
      <c r="CK69" s="3361">
        <v>11</v>
      </c>
      <c r="CL69" s="2092"/>
      <c r="CM69" s="2092"/>
      <c r="CN69" s="2092"/>
      <c r="CO69" s="2092"/>
      <c r="CP69" s="1933"/>
      <c r="CQ69" s="1933"/>
      <c r="CT69" s="1930"/>
      <c r="CU69" s="1930"/>
      <c r="CV69" s="1930"/>
      <c r="CW69" s="1930"/>
      <c r="DB69" s="1932"/>
    </row>
    <row r="70" spans="2:113" hidden="1" outlineLevel="1" x14ac:dyDescent="0.25">
      <c r="C70" s="151"/>
      <c r="D70" s="1121" t="str">
        <f t="shared" si="29"/>
        <v>800900_2020_12_</v>
      </c>
      <c r="E70" s="1302" t="str">
        <f t="shared" si="30"/>
        <v xml:space="preserve">LED Replacing Interior T12 Fluorescent (Type A / Hybrid) </v>
      </c>
      <c r="F70" s="3319">
        <v>89.403349616189814</v>
      </c>
      <c r="G70" s="3319">
        <v>33.469644103279833</v>
      </c>
      <c r="H70" s="3320">
        <v>3864.8374040474528</v>
      </c>
      <c r="I70" s="59">
        <v>1.07</v>
      </c>
      <c r="J70" s="59">
        <v>1</v>
      </c>
      <c r="K70" s="2299">
        <v>10</v>
      </c>
      <c r="L70" s="3323">
        <f t="shared" si="31"/>
        <v>0.96940799999999994</v>
      </c>
      <c r="M70" s="1965"/>
      <c r="N70" s="1965"/>
      <c r="O70" s="1965"/>
      <c r="P70" s="1965"/>
      <c r="Q70" s="1965"/>
      <c r="R70" s="1965"/>
      <c r="S70" s="1965"/>
      <c r="T70" s="1965"/>
      <c r="U70" s="1305"/>
      <c r="V70" s="1999" t="str">
        <f t="shared" si="33"/>
        <v xml:space="preserve">LED Replacing Interior T12 Fluorescent (Type A / Hybrid) </v>
      </c>
      <c r="W70" s="61">
        <v>40</v>
      </c>
      <c r="X70" s="1951">
        <v>39.659124009019756</v>
      </c>
      <c r="Y70" s="62">
        <v>39.659124009019756</v>
      </c>
      <c r="Z70" s="1134">
        <v>39.659124009019756</v>
      </c>
      <c r="AA70" s="1134">
        <v>39.659124009019756</v>
      </c>
      <c r="AB70" s="2091">
        <v>51.948940020682521</v>
      </c>
      <c r="AC70" s="3364">
        <v>89.4</v>
      </c>
      <c r="AD70" s="2092"/>
      <c r="AE70" s="2092"/>
      <c r="AF70" s="2092"/>
      <c r="AG70" s="2092"/>
      <c r="AH70" s="875"/>
      <c r="AI70" s="3456"/>
      <c r="AJ70" s="2091">
        <v>14</v>
      </c>
      <c r="AK70" s="366">
        <v>16.024798289519346</v>
      </c>
      <c r="AL70" s="1134">
        <v>16.024798289519346</v>
      </c>
      <c r="AM70" s="2091">
        <v>16.024798289519346</v>
      </c>
      <c r="AN70" s="2091">
        <v>16.024798289519346</v>
      </c>
      <c r="AO70" s="2091">
        <v>16.49767321613237</v>
      </c>
      <c r="AP70" s="3364">
        <v>33.47</v>
      </c>
      <c r="AQ70" s="2092"/>
      <c r="AR70" s="2092"/>
      <c r="AS70" s="2092"/>
      <c r="AT70" s="875"/>
      <c r="AU70" s="3456"/>
      <c r="AV70" s="3480">
        <v>4480</v>
      </c>
      <c r="AW70" s="3481">
        <v>3660</v>
      </c>
      <c r="AX70" s="3480">
        <v>3660</v>
      </c>
      <c r="AY70" s="3480">
        <v>3660</v>
      </c>
      <c r="AZ70" s="3480">
        <v>3660</v>
      </c>
      <c r="BA70" s="3480">
        <v>3950.5788521199588</v>
      </c>
      <c r="BB70" s="3480">
        <f t="shared" si="34"/>
        <v>3864.8374040474528</v>
      </c>
      <c r="BC70" s="2092"/>
      <c r="BD70" s="2092"/>
      <c r="BE70" s="2092"/>
      <c r="BF70" s="875"/>
      <c r="BH70" s="2091">
        <v>1.07</v>
      </c>
      <c r="BI70" s="1134">
        <v>1.07</v>
      </c>
      <c r="BJ70" s="2092">
        <v>1.07</v>
      </c>
      <c r="BK70" s="1471">
        <v>1.07</v>
      </c>
      <c r="BL70" s="1471">
        <v>1.07</v>
      </c>
      <c r="BM70" s="1134">
        <v>1.071</v>
      </c>
      <c r="BN70" s="3364">
        <v>1.071</v>
      </c>
      <c r="BO70" s="2092"/>
      <c r="BP70" s="2092"/>
      <c r="BQ70" s="2092"/>
      <c r="BR70" s="875"/>
      <c r="BS70" s="2091">
        <v>1</v>
      </c>
      <c r="BT70" s="1134">
        <v>1</v>
      </c>
      <c r="BU70" s="2091">
        <v>1</v>
      </c>
      <c r="BV70" s="2091">
        <v>1</v>
      </c>
      <c r="BW70" s="2091">
        <v>1</v>
      </c>
      <c r="BX70" s="2091">
        <v>1</v>
      </c>
      <c r="BY70" s="3364">
        <v>1</v>
      </c>
      <c r="BZ70" s="2092"/>
      <c r="CA70" s="2092"/>
      <c r="CB70" s="2092"/>
      <c r="CC70" s="2092"/>
      <c r="CD70" s="875"/>
      <c r="CE70" s="64">
        <v>11</v>
      </c>
      <c r="CF70" s="2094">
        <v>14</v>
      </c>
      <c r="CG70" s="2095">
        <v>14</v>
      </c>
      <c r="CH70" s="2095">
        <v>14</v>
      </c>
      <c r="CI70" s="2095">
        <v>14</v>
      </c>
      <c r="CJ70" s="2095">
        <v>10</v>
      </c>
      <c r="CK70" s="3361">
        <v>10</v>
      </c>
      <c r="CL70" s="2092"/>
      <c r="CM70" s="2092"/>
      <c r="CN70" s="2092"/>
      <c r="CO70" s="2092"/>
      <c r="CP70" s="1933"/>
      <c r="CQ70" s="1933"/>
      <c r="CR70" s="1931"/>
      <c r="CS70" s="1931"/>
      <c r="CT70" s="1930"/>
      <c r="CU70" s="1930"/>
      <c r="CV70" s="1930"/>
      <c r="CW70" s="1930"/>
      <c r="CX70" s="1931"/>
      <c r="CY70" s="1931"/>
      <c r="CZ70" s="1931"/>
      <c r="DA70" s="1931"/>
      <c r="DB70" s="1932"/>
      <c r="DC70" s="1931"/>
      <c r="DD70" s="1931"/>
      <c r="DE70" s="1931"/>
      <c r="DF70" s="1931"/>
    </row>
    <row r="71" spans="2:113" s="1931" customFormat="1" hidden="1" outlineLevel="1" x14ac:dyDescent="0.25">
      <c r="C71" s="151"/>
      <c r="D71" s="1121" t="str">
        <f t="shared" si="29"/>
        <v>800901_2020_12_</v>
      </c>
      <c r="E71" s="1302" t="str">
        <f t="shared" si="30"/>
        <v xml:space="preserve">LED Replacing Interior T12 Fluorescent (Type B, Kits, and Fixtures) </v>
      </c>
      <c r="F71" s="3319">
        <v>136.53163062226349</v>
      </c>
      <c r="G71" s="3319">
        <v>39.175096192118879</v>
      </c>
      <c r="H71" s="3320">
        <v>2711.4667506965634</v>
      </c>
      <c r="I71" s="59">
        <v>1.07</v>
      </c>
      <c r="J71" s="59">
        <v>1</v>
      </c>
      <c r="K71" s="2299">
        <v>15</v>
      </c>
      <c r="L71" s="3323">
        <f t="shared" si="31"/>
        <v>0.96940799999999994</v>
      </c>
      <c r="M71" s="1965"/>
      <c r="N71" s="1965"/>
      <c r="O71" s="1965"/>
      <c r="P71" s="1965"/>
      <c r="Q71" s="1965"/>
      <c r="R71" s="1965"/>
      <c r="S71" s="1965"/>
      <c r="T71" s="1965"/>
      <c r="U71" s="1305"/>
      <c r="V71" s="3367" t="str">
        <f>E71</f>
        <v xml:space="preserve">LED Replacing Interior T12 Fluorescent (Type B, Kits, and Fixtures) </v>
      </c>
      <c r="W71" s="3368"/>
      <c r="X71" s="3368"/>
      <c r="Y71" s="3369"/>
      <c r="Z71" s="3369"/>
      <c r="AA71" s="3369"/>
      <c r="AB71" s="2091">
        <v>84.520773254863471</v>
      </c>
      <c r="AC71" s="3364">
        <v>136.32</v>
      </c>
      <c r="AD71" s="2092"/>
      <c r="AE71" s="2092"/>
      <c r="AF71" s="2092"/>
      <c r="AG71" s="2092"/>
      <c r="AH71" s="875"/>
      <c r="AI71" s="538"/>
      <c r="AJ71" s="3368"/>
      <c r="AK71" s="3368"/>
      <c r="AL71" s="3369"/>
      <c r="AM71" s="3368"/>
      <c r="AN71" s="3368"/>
      <c r="AO71" s="2091">
        <v>23.731453326794188</v>
      </c>
      <c r="AP71" s="3364">
        <v>39.130000000000003</v>
      </c>
      <c r="AQ71" s="2092"/>
      <c r="AR71" s="2092"/>
      <c r="AS71" s="2092"/>
      <c r="AT71" s="875"/>
      <c r="AU71" s="538"/>
      <c r="AV71" s="3484"/>
      <c r="AW71" s="3485"/>
      <c r="AX71" s="3484"/>
      <c r="AY71" s="3484"/>
      <c r="AZ71" s="3484"/>
      <c r="BA71" s="3480">
        <v>2782.143658656204</v>
      </c>
      <c r="BB71" s="3480">
        <f t="shared" si="34"/>
        <v>2711.4667506965634</v>
      </c>
      <c r="BC71" s="2092"/>
      <c r="BD71" s="2092"/>
      <c r="BE71" s="2092"/>
      <c r="BF71" s="875"/>
      <c r="BH71" s="3357"/>
      <c r="BI71" s="3362"/>
      <c r="BJ71" s="3363"/>
      <c r="BK71" s="3363"/>
      <c r="BL71" s="3363"/>
      <c r="BM71" s="1134">
        <v>1.071</v>
      </c>
      <c r="BN71" s="3364">
        <v>1.071</v>
      </c>
      <c r="BO71" s="2092"/>
      <c r="BP71" s="2092"/>
      <c r="BQ71" s="2092"/>
      <c r="BR71" s="875"/>
      <c r="BS71" s="3357"/>
      <c r="BT71" s="3362"/>
      <c r="BU71" s="3363"/>
      <c r="BV71" s="3363"/>
      <c r="BW71" s="3363"/>
      <c r="BX71" s="2091">
        <v>1</v>
      </c>
      <c r="BY71" s="3364">
        <v>1</v>
      </c>
      <c r="BZ71" s="2092"/>
      <c r="CA71" s="2092"/>
      <c r="CB71" s="2092"/>
      <c r="CC71" s="2092"/>
      <c r="CD71" s="875"/>
      <c r="CE71" s="3357"/>
      <c r="CF71" s="3362"/>
      <c r="CG71" s="3363"/>
      <c r="CH71" s="3363"/>
      <c r="CI71" s="3363"/>
      <c r="CJ71" s="2095">
        <v>15</v>
      </c>
      <c r="CK71" s="3361">
        <v>15</v>
      </c>
      <c r="CL71" s="2092"/>
      <c r="CM71" s="2092"/>
      <c r="CN71" s="2092"/>
      <c r="CO71" s="2092"/>
      <c r="CP71" s="1933"/>
      <c r="CQ71" s="1933"/>
      <c r="CT71" s="1930"/>
      <c r="CU71" s="1930"/>
      <c r="CV71" s="1930"/>
      <c r="CW71" s="1930"/>
      <c r="DB71" s="1932"/>
    </row>
    <row r="72" spans="2:113" s="1931" customFormat="1" hidden="1" outlineLevel="1" x14ac:dyDescent="0.25">
      <c r="C72" s="151"/>
      <c r="D72" s="3318" t="str">
        <f t="shared" si="29"/>
        <v>800902_2021_12_</v>
      </c>
      <c r="E72" s="3331" t="str">
        <f t="shared" si="30"/>
        <v>LED Replacing Interior T12 Fluorescent (Type C)</v>
      </c>
      <c r="F72" s="3319">
        <v>101.18625277161863</v>
      </c>
      <c r="G72" s="3319">
        <v>32.257206208425721</v>
      </c>
      <c r="H72" s="3320">
        <v>2447.2283813747226</v>
      </c>
      <c r="I72" s="3319">
        <v>1.07</v>
      </c>
      <c r="J72" s="3319">
        <v>1</v>
      </c>
      <c r="K72" s="3321">
        <v>11</v>
      </c>
      <c r="L72" s="3323">
        <f t="shared" si="31"/>
        <v>0.96940799999999994</v>
      </c>
      <c r="M72" s="1965"/>
      <c r="N72" s="1965"/>
      <c r="O72" s="1965"/>
      <c r="P72" s="1965"/>
      <c r="Q72" s="1965"/>
      <c r="R72" s="1965"/>
      <c r="S72" s="1965"/>
      <c r="T72" s="1965"/>
      <c r="U72" s="1305"/>
      <c r="V72" s="3367" t="str">
        <f>E72</f>
        <v>LED Replacing Interior T12 Fluorescent (Type C)</v>
      </c>
      <c r="W72" s="3368"/>
      <c r="X72" s="3368"/>
      <c r="Y72" s="3369"/>
      <c r="Z72" s="3369"/>
      <c r="AA72" s="3369"/>
      <c r="AB72" s="3369"/>
      <c r="AC72" s="3364">
        <f>F72</f>
        <v>101.18625277161863</v>
      </c>
      <c r="AD72" s="2092"/>
      <c r="AE72" s="2092"/>
      <c r="AF72" s="2092"/>
      <c r="AG72" s="2092"/>
      <c r="AH72" s="875"/>
      <c r="AI72" s="538"/>
      <c r="AJ72" s="3368"/>
      <c r="AK72" s="3368"/>
      <c r="AL72" s="3369"/>
      <c r="AM72" s="3368"/>
      <c r="AN72" s="3368"/>
      <c r="AO72" s="3368"/>
      <c r="AP72" s="3364">
        <f>G72</f>
        <v>32.257206208425721</v>
      </c>
      <c r="AQ72" s="2092"/>
      <c r="AR72" s="2092"/>
      <c r="AS72" s="2092"/>
      <c r="AT72" s="875"/>
      <c r="AU72" s="538"/>
      <c r="AV72" s="3484"/>
      <c r="AW72" s="3485"/>
      <c r="AX72" s="3484"/>
      <c r="AY72" s="3484"/>
      <c r="AZ72" s="3484"/>
      <c r="BA72" s="3484"/>
      <c r="BB72" s="3480">
        <f t="shared" si="34"/>
        <v>2447.2283813747226</v>
      </c>
      <c r="BC72" s="2092"/>
      <c r="BD72" s="2092"/>
      <c r="BE72" s="2092"/>
      <c r="BF72" s="875"/>
      <c r="BH72" s="3357"/>
      <c r="BI72" s="3362"/>
      <c r="BJ72" s="3363"/>
      <c r="BK72" s="3363"/>
      <c r="BL72" s="3363"/>
      <c r="BM72" s="3363"/>
      <c r="BN72" s="3364">
        <v>1.07</v>
      </c>
      <c r="BO72" s="2092"/>
      <c r="BP72" s="2092"/>
      <c r="BQ72" s="2092"/>
      <c r="BR72" s="875"/>
      <c r="BS72" s="3357"/>
      <c r="BT72" s="3362"/>
      <c r="BU72" s="3363"/>
      <c r="BV72" s="3363"/>
      <c r="BW72" s="3363"/>
      <c r="BX72" s="3363"/>
      <c r="BY72" s="3364">
        <v>1</v>
      </c>
      <c r="BZ72" s="2092"/>
      <c r="CA72" s="2092"/>
      <c r="CB72" s="2092"/>
      <c r="CC72" s="2092"/>
      <c r="CD72" s="875"/>
      <c r="CE72" s="3357"/>
      <c r="CF72" s="3362"/>
      <c r="CG72" s="3363"/>
      <c r="CH72" s="3363"/>
      <c r="CI72" s="3363"/>
      <c r="CJ72" s="3363"/>
      <c r="CK72" s="3361">
        <v>11</v>
      </c>
      <c r="CL72" s="2092"/>
      <c r="CM72" s="2092"/>
      <c r="CN72" s="2092"/>
      <c r="CO72" s="2092"/>
      <c r="CP72" s="1933"/>
      <c r="CQ72" s="1933"/>
      <c r="CT72" s="1930"/>
      <c r="CU72" s="1930"/>
      <c r="CV72" s="1930"/>
      <c r="CW72" s="1930"/>
      <c r="DB72" s="1932"/>
    </row>
    <row r="73" spans="2:113" hidden="1" outlineLevel="1" x14ac:dyDescent="0.25">
      <c r="D73" s="1121" t="str">
        <f t="shared" ref="D73" si="35">C33</f>
        <v>800950_2019_12_</v>
      </c>
      <c r="E73" s="1302" t="str">
        <f t="shared" si="30"/>
        <v>LED Specialty Lamp</v>
      </c>
      <c r="F73" s="59">
        <v>25</v>
      </c>
      <c r="G73" s="59">
        <v>3.2</v>
      </c>
      <c r="H73" s="2646">
        <v>4380</v>
      </c>
      <c r="I73" s="59">
        <v>1.07</v>
      </c>
      <c r="J73" s="3319">
        <v>1</v>
      </c>
      <c r="K73" s="3321">
        <v>10</v>
      </c>
      <c r="L73" s="3323">
        <f t="shared" si="31"/>
        <v>0.96940799999999994</v>
      </c>
      <c r="M73" s="1965"/>
      <c r="N73" s="1965"/>
      <c r="O73" s="1965"/>
      <c r="P73" s="1965"/>
      <c r="Q73" s="1965"/>
      <c r="R73" s="1965"/>
      <c r="S73" s="1965"/>
      <c r="T73" s="1965"/>
      <c r="U73" s="1305"/>
      <c r="V73" s="1999" t="str">
        <f t="shared" si="33"/>
        <v>LED Specialty Lamp</v>
      </c>
      <c r="W73" s="61">
        <v>25</v>
      </c>
      <c r="X73" s="61">
        <v>25</v>
      </c>
      <c r="Y73" s="62">
        <v>25</v>
      </c>
      <c r="Z73" s="1134">
        <v>25</v>
      </c>
      <c r="AA73" s="1134">
        <v>25</v>
      </c>
      <c r="AB73" s="2091">
        <v>25</v>
      </c>
      <c r="AC73" s="3364">
        <v>25</v>
      </c>
      <c r="AD73" s="2092"/>
      <c r="AE73" s="2092"/>
      <c r="AF73" s="2092"/>
      <c r="AG73" s="2092"/>
      <c r="AH73" s="875"/>
      <c r="AI73" s="3456"/>
      <c r="AJ73" s="2091">
        <v>3.2</v>
      </c>
      <c r="AK73" s="2091">
        <v>3.2</v>
      </c>
      <c r="AL73" s="1134">
        <v>3.2</v>
      </c>
      <c r="AM73" s="2091">
        <v>3.2</v>
      </c>
      <c r="AN73" s="2091">
        <v>3.2</v>
      </c>
      <c r="AO73" s="2091">
        <v>3.2</v>
      </c>
      <c r="AP73" s="3364">
        <v>3.2</v>
      </c>
      <c r="AQ73" s="2092"/>
      <c r="AR73" s="2092"/>
      <c r="AS73" s="2092"/>
      <c r="AT73" s="875"/>
      <c r="AU73" s="3456"/>
      <c r="AV73" s="3480">
        <v>4380</v>
      </c>
      <c r="AW73" s="3482">
        <v>4380</v>
      </c>
      <c r="AX73" s="3480">
        <v>4380</v>
      </c>
      <c r="AY73" s="3480">
        <v>4380</v>
      </c>
      <c r="AZ73" s="3480">
        <v>4380</v>
      </c>
      <c r="BA73" s="3480">
        <v>4380</v>
      </c>
      <c r="BB73" s="3480">
        <f t="shared" si="34"/>
        <v>4380</v>
      </c>
      <c r="BC73" s="2092"/>
      <c r="BD73" s="2092"/>
      <c r="BE73" s="2092"/>
      <c r="BF73" s="875"/>
      <c r="BH73" s="2091">
        <v>1.07</v>
      </c>
      <c r="BI73" s="2091">
        <v>1.07</v>
      </c>
      <c r="BJ73" s="2092">
        <v>1.07</v>
      </c>
      <c r="BK73" s="1471">
        <v>1.07</v>
      </c>
      <c r="BL73" s="1471">
        <v>1.07</v>
      </c>
      <c r="BM73" s="1134">
        <v>1.071</v>
      </c>
      <c r="BN73" s="3364">
        <v>1.071</v>
      </c>
      <c r="BO73" s="2092"/>
      <c r="BP73" s="2092"/>
      <c r="BQ73" s="2092"/>
      <c r="BR73" s="875"/>
      <c r="BS73" s="2091">
        <v>1</v>
      </c>
      <c r="BT73" s="1134">
        <v>1</v>
      </c>
      <c r="BU73" s="2091">
        <v>1</v>
      </c>
      <c r="BV73" s="2091">
        <v>1</v>
      </c>
      <c r="BW73" s="2091">
        <v>1</v>
      </c>
      <c r="BX73" s="2091">
        <v>1</v>
      </c>
      <c r="BY73" s="3364">
        <v>1</v>
      </c>
      <c r="BZ73" s="2092"/>
      <c r="CA73" s="2092"/>
      <c r="CB73" s="2092"/>
      <c r="CC73" s="2092"/>
      <c r="CD73" s="875"/>
      <c r="CE73" s="64">
        <v>11</v>
      </c>
      <c r="CF73" s="2097">
        <v>11</v>
      </c>
      <c r="CG73" s="2095">
        <v>11</v>
      </c>
      <c r="CH73" s="2095">
        <v>11</v>
      </c>
      <c r="CI73" s="2095">
        <v>11</v>
      </c>
      <c r="CJ73" s="2095">
        <v>11</v>
      </c>
      <c r="CK73" s="3361">
        <v>10</v>
      </c>
      <c r="CL73" s="2092"/>
      <c r="CM73" s="2092"/>
      <c r="CN73" s="2092"/>
      <c r="CO73" s="2092"/>
      <c r="CP73" s="1933"/>
      <c r="CQ73" s="1933"/>
      <c r="CR73" s="1931"/>
      <c r="CS73" s="1931"/>
      <c r="CT73" s="1930"/>
      <c r="CU73" s="1930"/>
      <c r="CV73" s="1930"/>
      <c r="CW73" s="1930"/>
      <c r="CX73" s="1931"/>
      <c r="CY73" s="1931"/>
      <c r="CZ73" s="1931"/>
      <c r="DA73" s="1931"/>
      <c r="DB73" s="1932"/>
      <c r="DC73" s="1931"/>
      <c r="DD73" s="1931"/>
      <c r="DE73" s="1931"/>
      <c r="DF73" s="1931"/>
    </row>
    <row r="74" spans="2:113" s="1931" customFormat="1" hidden="1" outlineLevel="1" x14ac:dyDescent="0.25">
      <c r="C74" s="1966"/>
      <c r="D74" s="3318" t="str">
        <f t="shared" ref="D74" si="36">C34</f>
        <v>800980_2021_12</v>
      </c>
      <c r="E74" s="3318" t="str">
        <f>E34</f>
        <v>LED Lighting Redesign</v>
      </c>
      <c r="F74" s="3319">
        <v>30881.184615384616</v>
      </c>
      <c r="G74" s="3319">
        <v>11889.092307692308</v>
      </c>
      <c r="H74" s="3320">
        <v>3946.0615384615385</v>
      </c>
      <c r="I74" s="3319">
        <v>1.07</v>
      </c>
      <c r="J74" s="3319">
        <v>1</v>
      </c>
      <c r="K74" s="3321">
        <v>15</v>
      </c>
      <c r="L74" s="3323">
        <f t="shared" si="31"/>
        <v>0.96940799999999994</v>
      </c>
      <c r="M74" s="1965"/>
      <c r="N74" s="1965"/>
      <c r="O74" s="1965"/>
      <c r="P74" s="1965"/>
      <c r="Q74" s="1965"/>
      <c r="R74" s="1965"/>
      <c r="S74" s="1965"/>
      <c r="T74" s="1965"/>
      <c r="U74" s="1305"/>
      <c r="V74" s="1999" t="str">
        <f t="shared" ref="V74" si="37">E74</f>
        <v>LED Lighting Redesign</v>
      </c>
      <c r="W74" s="3368"/>
      <c r="X74" s="3368"/>
      <c r="Y74" s="3369"/>
      <c r="Z74" s="3369"/>
      <c r="AA74" s="3369"/>
      <c r="AB74" s="3369"/>
      <c r="AC74" s="3364">
        <f>F74</f>
        <v>30881.184615384616</v>
      </c>
      <c r="AD74" s="2092"/>
      <c r="AE74" s="2092"/>
      <c r="AF74" s="2092"/>
      <c r="AG74" s="2092"/>
      <c r="AH74" s="875"/>
      <c r="AI74" s="3456"/>
      <c r="AJ74" s="3368"/>
      <c r="AK74" s="3368"/>
      <c r="AL74" s="3369"/>
      <c r="AM74" s="3368"/>
      <c r="AN74" s="3368"/>
      <c r="AO74" s="3368"/>
      <c r="AP74" s="3364">
        <f>G74</f>
        <v>11889.092307692308</v>
      </c>
      <c r="AQ74" s="2092"/>
      <c r="AR74" s="2092"/>
      <c r="AS74" s="2092"/>
      <c r="AT74" s="3317"/>
      <c r="AU74" s="3456"/>
      <c r="AV74" s="3484"/>
      <c r="AW74" s="3485"/>
      <c r="AX74" s="3484"/>
      <c r="AY74" s="3484"/>
      <c r="AZ74" s="3484"/>
      <c r="BA74" s="3484"/>
      <c r="BB74" s="3480">
        <f t="shared" si="34"/>
        <v>3946.0615384615385</v>
      </c>
      <c r="BC74" s="2092"/>
      <c r="BD74" s="2092"/>
      <c r="BE74" s="2092"/>
      <c r="BF74" s="3317"/>
      <c r="BH74" s="3357"/>
      <c r="BI74" s="3362"/>
      <c r="BJ74" s="3363"/>
      <c r="BK74" s="3363"/>
      <c r="BL74" s="3363"/>
      <c r="BM74" s="3363"/>
      <c r="BN74" s="3364">
        <v>1.071</v>
      </c>
      <c r="BO74" s="2092"/>
      <c r="BP74" s="2092"/>
      <c r="BQ74" s="2092"/>
      <c r="BR74" s="3317"/>
      <c r="BS74" s="3357"/>
      <c r="BT74" s="3362"/>
      <c r="BU74" s="3363"/>
      <c r="BV74" s="3363"/>
      <c r="BW74" s="3363"/>
      <c r="BX74" s="3363"/>
      <c r="BY74" s="3364">
        <v>1</v>
      </c>
      <c r="BZ74" s="2092"/>
      <c r="CA74" s="2092"/>
      <c r="CB74" s="2092"/>
      <c r="CC74" s="2092"/>
      <c r="CD74" s="3317"/>
      <c r="CE74" s="3357"/>
      <c r="CF74" s="3362"/>
      <c r="CG74" s="3363"/>
      <c r="CH74" s="3363"/>
      <c r="CI74" s="3363"/>
      <c r="CJ74" s="3363"/>
      <c r="CK74" s="3361">
        <f>K74</f>
        <v>15</v>
      </c>
      <c r="CL74" s="2092"/>
      <c r="CM74" s="2092"/>
      <c r="CN74" s="2092"/>
      <c r="CO74" s="2092"/>
      <c r="CP74" s="3317"/>
      <c r="CQ74" s="1933"/>
      <c r="CR74" s="1933"/>
      <c r="CU74" s="1930"/>
      <c r="CV74" s="1930"/>
      <c r="CW74" s="1930"/>
      <c r="CX74" s="1930"/>
      <c r="DC74" s="1932"/>
    </row>
    <row r="75" spans="2:113" ht="18.75" customHeight="1" collapsed="1" x14ac:dyDescent="0.25">
      <c r="D75" s="1307"/>
      <c r="E75" s="1965"/>
      <c r="F75" s="1965"/>
      <c r="G75" s="1965"/>
      <c r="H75" s="1301"/>
      <c r="I75" s="1965"/>
      <c r="J75" s="1965"/>
      <c r="K75" s="1965"/>
      <c r="L75" s="1965"/>
      <c r="M75" s="1965"/>
      <c r="N75" s="1965"/>
      <c r="O75" s="1965"/>
      <c r="P75" s="1965"/>
      <c r="Q75" s="1965"/>
      <c r="R75" s="1965"/>
      <c r="S75" s="1965"/>
      <c r="T75" s="1965"/>
      <c r="U75" s="1965"/>
      <c r="V75" s="44"/>
      <c r="W75" s="1931"/>
      <c r="X75" s="1931"/>
      <c r="Y75" s="1931"/>
      <c r="Z75" s="1931"/>
      <c r="AA75" s="1931"/>
      <c r="AB75" s="1931"/>
      <c r="AC75" s="1931"/>
      <c r="AD75" s="1931"/>
      <c r="AE75" s="1931"/>
      <c r="AF75" s="1931"/>
      <c r="AG75" s="1931"/>
      <c r="AH75" s="1931"/>
      <c r="AI75" s="1931"/>
      <c r="AJ75" s="1931"/>
      <c r="AK75" s="1931"/>
      <c r="AL75" s="1931"/>
      <c r="AM75" s="1931"/>
      <c r="AN75" s="1931"/>
      <c r="AO75" s="1931"/>
      <c r="AP75" s="1931"/>
      <c r="AQ75" s="1931"/>
      <c r="AR75" s="1931"/>
      <c r="AS75" s="1931"/>
      <c r="AT75" s="1931"/>
      <c r="AU75" s="1931"/>
      <c r="AV75" s="1931"/>
      <c r="AW75" s="1931"/>
      <c r="AX75" s="1931"/>
      <c r="AY75" s="1931"/>
      <c r="AZ75" s="1931"/>
      <c r="BA75" s="1931"/>
      <c r="BB75" s="1931"/>
      <c r="BC75" s="1931"/>
      <c r="BD75" s="1931"/>
      <c r="BE75" s="1931"/>
      <c r="BF75" s="1931"/>
      <c r="BG75" s="1931"/>
      <c r="BH75" s="1931"/>
      <c r="BI75" s="1931"/>
      <c r="BJ75" s="1931"/>
      <c r="BK75" s="1931"/>
      <c r="BL75" s="1931"/>
      <c r="BM75" s="1931"/>
      <c r="BN75" s="1931"/>
      <c r="BO75" s="1931"/>
      <c r="BP75" s="1931"/>
      <c r="BQ75" s="1931"/>
      <c r="BR75" s="1931"/>
      <c r="BS75" s="1931"/>
      <c r="BT75" s="1931"/>
      <c r="BU75" s="1931"/>
      <c r="BV75" s="1931"/>
      <c r="BW75" s="1931"/>
      <c r="BX75" s="1931"/>
      <c r="BY75" s="1931"/>
      <c r="BZ75" s="1931"/>
      <c r="CA75" s="1931"/>
      <c r="CB75" s="1931"/>
      <c r="CC75" s="1931"/>
      <c r="CD75" s="1931"/>
      <c r="CE75" s="1930"/>
      <c r="CF75" s="1930"/>
      <c r="CG75" s="1930"/>
      <c r="CH75" s="1930"/>
      <c r="CI75" s="1931"/>
      <c r="CJ75" s="1931"/>
      <c r="CK75" s="1931"/>
      <c r="CL75" s="1931"/>
      <c r="CM75" s="1931"/>
      <c r="CN75" s="1931"/>
      <c r="CO75" s="1931"/>
      <c r="CP75" s="1931"/>
      <c r="CQ75" s="1931"/>
      <c r="CR75" s="1931"/>
      <c r="CS75" s="1931"/>
      <c r="CT75" s="1930"/>
      <c r="CU75" s="1930"/>
      <c r="CV75" s="1930"/>
      <c r="CW75" s="1930"/>
      <c r="CX75" s="1931"/>
      <c r="CY75" s="1931"/>
      <c r="CZ75" s="1931"/>
      <c r="DA75" s="1931"/>
      <c r="DB75" s="1932"/>
      <c r="DC75" s="1931"/>
      <c r="DD75" s="1931"/>
      <c r="DE75" s="1931"/>
      <c r="DF75" s="1931"/>
      <c r="DI75" s="1931"/>
    </row>
    <row r="76" spans="2:113" s="1931" customFormat="1" ht="18.75" customHeight="1" x14ac:dyDescent="0.25">
      <c r="C76" s="1966"/>
      <c r="D76" s="1307"/>
      <c r="E76" s="1965"/>
      <c r="F76" s="1965"/>
      <c r="G76" s="1965"/>
      <c r="H76" s="1301"/>
      <c r="I76" s="1965"/>
      <c r="J76" s="1965"/>
      <c r="K76" s="1965"/>
      <c r="L76" s="1965"/>
      <c r="M76" s="1965"/>
      <c r="N76" s="1965"/>
      <c r="O76" s="1965"/>
      <c r="P76" s="1965"/>
      <c r="Q76" s="1965"/>
      <c r="R76" s="1965"/>
      <c r="S76" s="1965"/>
      <c r="T76" s="1965"/>
      <c r="U76" s="1965"/>
      <c r="V76" s="44"/>
      <c r="CE76" s="1930"/>
      <c r="CF76" s="1930"/>
      <c r="CG76" s="1930"/>
      <c r="CH76" s="1930"/>
      <c r="CT76" s="1930"/>
      <c r="CU76" s="1930"/>
      <c r="CV76" s="1930"/>
      <c r="CW76" s="1930"/>
      <c r="DB76" s="1932"/>
    </row>
    <row r="77" spans="2:113" s="1935" customFormat="1" x14ac:dyDescent="0.25">
      <c r="B77" s="4499" t="s">
        <v>4307</v>
      </c>
      <c r="C77" s="4500"/>
      <c r="D77" s="4500"/>
      <c r="E77" s="4500"/>
      <c r="F77" s="4500"/>
      <c r="G77" s="4500"/>
      <c r="H77" s="4500"/>
      <c r="I77" s="4501"/>
      <c r="J77" s="4501"/>
      <c r="K77" s="4501"/>
      <c r="L77" s="4501"/>
      <c r="M77" s="4502"/>
      <c r="N77" s="4502"/>
      <c r="O77" s="4503"/>
      <c r="V77" s="3270" t="str">
        <f>B77</f>
        <v>Lighting - Lighting Power Density (LPD)</v>
      </c>
      <c r="W77" s="3271"/>
      <c r="X77" s="3271"/>
      <c r="Y77" s="3271"/>
      <c r="Z77" s="3271"/>
      <c r="AA77" s="3271"/>
      <c r="AB77" s="3271"/>
      <c r="AC77" s="3271"/>
      <c r="AD77" s="3271"/>
      <c r="AE77" s="3271"/>
      <c r="AF77" s="3271"/>
      <c r="AG77" s="3271"/>
      <c r="AH77" s="3271"/>
      <c r="AI77" s="3272"/>
      <c r="AJ77" s="1931"/>
      <c r="AK77" s="1931"/>
      <c r="AL77" s="1931"/>
      <c r="AM77" s="1931"/>
      <c r="AN77" s="1931"/>
      <c r="AO77" s="1931"/>
      <c r="AP77" s="1931"/>
      <c r="AQ77" s="1931"/>
      <c r="AR77" s="1931"/>
      <c r="AS77" s="1931"/>
      <c r="AT77" s="1931"/>
      <c r="AU77" s="1931"/>
      <c r="CI77" s="1934"/>
      <c r="DB77" s="42"/>
      <c r="DC77" s="1934"/>
      <c r="DD77" s="1934"/>
      <c r="DE77" s="1934"/>
    </row>
    <row r="78" spans="2:113" s="1931" customFormat="1" ht="18.75" customHeight="1" x14ac:dyDescent="0.25">
      <c r="C78" s="1966"/>
      <c r="D78" s="1307"/>
      <c r="E78" s="1965"/>
      <c r="F78" s="1965"/>
      <c r="G78" s="1965"/>
      <c r="H78" s="1301"/>
      <c r="I78" s="1965"/>
      <c r="J78" s="1965"/>
      <c r="K78" s="1965"/>
      <c r="L78" s="1965"/>
      <c r="M78" s="1965"/>
      <c r="N78" s="1965"/>
      <c r="O78" s="1965"/>
      <c r="P78" s="1965"/>
      <c r="Q78" s="1965"/>
      <c r="R78" s="1965"/>
      <c r="S78" s="1965"/>
      <c r="T78" s="1965"/>
      <c r="U78" s="1965"/>
      <c r="V78" s="44"/>
      <c r="CE78" s="1930"/>
      <c r="CF78" s="1930"/>
      <c r="CG78" s="1930"/>
      <c r="CH78" s="1930"/>
      <c r="CT78" s="1930"/>
      <c r="CU78" s="1930"/>
      <c r="CV78" s="1930"/>
      <c r="CW78" s="1930"/>
      <c r="DB78" s="1932"/>
    </row>
    <row r="79" spans="2:113" s="44" customFormat="1" ht="30" x14ac:dyDescent="0.25">
      <c r="B79" s="45"/>
      <c r="C79" s="3339" t="s">
        <v>28</v>
      </c>
      <c r="D79" s="3322" t="s">
        <v>29</v>
      </c>
      <c r="E79" s="3322" t="s">
        <v>30</v>
      </c>
      <c r="F79" s="3322" t="s">
        <v>31</v>
      </c>
      <c r="G79" s="3322" t="s">
        <v>176</v>
      </c>
      <c r="H79" s="3340" t="s">
        <v>177</v>
      </c>
      <c r="I79" s="3322" t="s">
        <v>32</v>
      </c>
      <c r="J79" s="3322" t="s">
        <v>181</v>
      </c>
      <c r="K79" s="3339" t="s">
        <v>170</v>
      </c>
      <c r="L79" s="3339" t="s">
        <v>44</v>
      </c>
      <c r="M79" s="1965"/>
      <c r="N79" s="1965"/>
      <c r="O79" s="1965"/>
      <c r="P79" s="1288"/>
      <c r="Q79" s="1288"/>
      <c r="R79" s="1288"/>
      <c r="S79" s="1288"/>
      <c r="T79" s="1288"/>
      <c r="U79" s="1288"/>
      <c r="V79" s="1936" t="s">
        <v>45</v>
      </c>
      <c r="W79" s="1937">
        <f>$W$8</f>
        <v>43252</v>
      </c>
      <c r="X79" s="1937">
        <f>$X$8</f>
        <v>43465</v>
      </c>
      <c r="Y79" s="1937">
        <f>$Y$8</f>
        <v>43800</v>
      </c>
      <c r="Z79" s="1937">
        <f>$Z$8</f>
        <v>43862</v>
      </c>
      <c r="AA79" s="1937">
        <f>$AA$8</f>
        <v>44013</v>
      </c>
      <c r="AB79" s="1937">
        <v>44166</v>
      </c>
      <c r="AC79" s="1937">
        <f>$AC$8</f>
        <v>44531</v>
      </c>
      <c r="AD79" s="1937" t="str">
        <f>$AD$8</f>
        <v>-</v>
      </c>
      <c r="AE79" s="1937" t="str">
        <f>$AE$8</f>
        <v>-</v>
      </c>
      <c r="AF79" s="1937" t="str">
        <f>$AF$8</f>
        <v>-</v>
      </c>
      <c r="AG79" s="1937" t="str">
        <f>$AG$8</f>
        <v>-</v>
      </c>
      <c r="AI79" s="1936" t="s">
        <v>45</v>
      </c>
      <c r="AJ79" s="1937">
        <f>W79</f>
        <v>43252</v>
      </c>
      <c r="AK79" s="1937">
        <f t="shared" ref="AK79" si="38">X79</f>
        <v>43465</v>
      </c>
      <c r="AL79" s="1937">
        <f t="shared" ref="AL79" si="39">Y79</f>
        <v>43800</v>
      </c>
      <c r="AM79" s="1937">
        <f t="shared" ref="AM79" si="40">Z79</f>
        <v>43862</v>
      </c>
      <c r="AN79" s="1937">
        <f t="shared" ref="AN79" si="41">AA79</f>
        <v>44013</v>
      </c>
      <c r="AO79" s="1937">
        <f t="shared" ref="AO79" si="42">AB79</f>
        <v>44166</v>
      </c>
      <c r="AP79" s="1937">
        <f t="shared" ref="AP79" si="43">AC79</f>
        <v>44531</v>
      </c>
      <c r="AQ79" s="1937" t="str">
        <f t="shared" ref="AQ79" si="44">AD79</f>
        <v>-</v>
      </c>
      <c r="AR79" s="1937" t="str">
        <f t="shared" ref="AR79" si="45">AE79</f>
        <v>-</v>
      </c>
      <c r="AS79" s="1937" t="str">
        <f t="shared" ref="AS79" si="46">AF79</f>
        <v>-</v>
      </c>
      <c r="AT79" s="1933"/>
      <c r="AU79" s="1936" t="s">
        <v>45</v>
      </c>
      <c r="AV79" s="1937">
        <f>W79</f>
        <v>43252</v>
      </c>
      <c r="AW79" s="1937">
        <f t="shared" ref="AW79" si="47">X79</f>
        <v>43465</v>
      </c>
      <c r="AX79" s="1937">
        <f t="shared" ref="AX79" si="48">Y79</f>
        <v>43800</v>
      </c>
      <c r="AY79" s="1937">
        <f t="shared" ref="AY79" si="49">Z79</f>
        <v>43862</v>
      </c>
      <c r="AZ79" s="1937">
        <f t="shared" ref="AZ79" si="50">AA79</f>
        <v>44013</v>
      </c>
      <c r="BA79" s="1937">
        <v>44166</v>
      </c>
      <c r="BB79" s="1937">
        <f t="shared" ref="BB79" si="51">AC79</f>
        <v>44531</v>
      </c>
      <c r="BC79" s="1937" t="str">
        <f t="shared" ref="BC79" si="52">AD79</f>
        <v>-</v>
      </c>
      <c r="BD79" s="1937" t="str">
        <f t="shared" ref="BD79" si="53">AE79</f>
        <v>-</v>
      </c>
      <c r="BE79" s="1937" t="str">
        <f t="shared" ref="BE79" si="54">AF79</f>
        <v>-</v>
      </c>
      <c r="DB79" s="1938" t="str">
        <f>$DB$8</f>
        <v>TRC (2020)</v>
      </c>
      <c r="DC79" s="1953" t="str">
        <f>$DC$8</f>
        <v>Benefit Lookup</v>
      </c>
      <c r="DD79" s="1953" t="str">
        <f>$DD$8</f>
        <v>Benefits (2019 $)</v>
      </c>
      <c r="DE79" s="1953" t="str">
        <f>$DE$8</f>
        <v>Incremental Cost (2019 $)</v>
      </c>
    </row>
    <row r="80" spans="2:113" s="1931" customFormat="1" x14ac:dyDescent="0.25">
      <c r="C80" s="3311" t="s">
        <v>4308</v>
      </c>
      <c r="D80" s="3332" t="s">
        <v>2646</v>
      </c>
      <c r="E80" s="3333" t="s">
        <v>4309</v>
      </c>
      <c r="F80" s="139">
        <v>0.71778419999999976</v>
      </c>
      <c r="G80" s="3312" t="s">
        <v>55</v>
      </c>
      <c r="H80" s="3314">
        <v>1.899635E-4</v>
      </c>
      <c r="I80" s="3334">
        <v>1.36E-4</v>
      </c>
      <c r="J80" s="1922">
        <v>15</v>
      </c>
      <c r="K80" s="3335">
        <v>0.22</v>
      </c>
      <c r="L80" s="3336" t="s">
        <v>4310</v>
      </c>
      <c r="M80" s="1965"/>
      <c r="N80" s="1965"/>
      <c r="O80" s="1965"/>
      <c r="P80" s="1294"/>
      <c r="Q80" s="1295"/>
      <c r="R80" s="1296"/>
      <c r="S80" s="1296"/>
      <c r="T80" s="1297"/>
      <c r="U80" s="1965"/>
      <c r="V80" s="3273" t="s">
        <v>31</v>
      </c>
      <c r="W80" s="3368"/>
      <c r="X80" s="3368"/>
      <c r="Y80" s="3369"/>
      <c r="Z80" s="3369"/>
      <c r="AA80" s="3369"/>
      <c r="AB80" s="3369"/>
      <c r="AC80" s="3364">
        <v>0.71778419999999976</v>
      </c>
      <c r="AD80" s="1941"/>
      <c r="AE80" s="1941"/>
      <c r="AF80" s="1941"/>
      <c r="AG80" s="1941"/>
      <c r="AI80" s="3273" t="s">
        <v>181</v>
      </c>
      <c r="AJ80" s="3357"/>
      <c r="AK80" s="3357"/>
      <c r="AL80" s="3357"/>
      <c r="AM80" s="3374"/>
      <c r="AN80" s="3375"/>
      <c r="AO80" s="3376"/>
      <c r="AP80" s="803">
        <v>15</v>
      </c>
      <c r="AQ80" s="1941"/>
      <c r="AR80" s="1941"/>
      <c r="AS80" s="1941"/>
      <c r="AT80" s="1933"/>
      <c r="AU80" s="3273" t="s">
        <v>170</v>
      </c>
      <c r="AV80" s="3365"/>
      <c r="AW80" s="3366"/>
      <c r="AX80" s="3365"/>
      <c r="AY80" s="3365"/>
      <c r="AZ80" s="3365"/>
      <c r="BA80" s="3365"/>
      <c r="BB80" s="2391">
        <v>0.22</v>
      </c>
      <c r="BC80" s="1941"/>
      <c r="BD80" s="1941"/>
      <c r="BE80" s="1941"/>
      <c r="CE80" s="1930"/>
      <c r="CF80" s="1930"/>
      <c r="CG80" s="1930"/>
      <c r="CH80" s="1930"/>
      <c r="CT80" s="1930"/>
      <c r="CU80" s="1930"/>
      <c r="CV80" s="1930"/>
      <c r="CW80" s="1930"/>
      <c r="DB80" s="1919">
        <f t="shared" ref="DB80" si="55">(DD80)/(DE80)</f>
        <v>2.0028626397244524</v>
      </c>
      <c r="DC80" s="1920" t="str">
        <f t="shared" ref="DC80" si="56">CONCATENATE(G80," ",J80," Year EUL")</f>
        <v>Lighting BUS 15 Year EUL</v>
      </c>
      <c r="DD80" s="70">
        <f>(INDEX('Avoided Cost Benefits'!$C$4:$C$857,MATCH(DC80,'Avoided Cost Benefits'!$A$4:$A$857,0)))*F80</f>
        <v>0.41588464439771539</v>
      </c>
      <c r="DE80" s="1921">
        <f t="shared" ref="DE80" si="57">K80/(1.0595^(2020-2019))</f>
        <v>0.20764511562057572</v>
      </c>
    </row>
    <row r="81" spans="2:113" s="1931" customFormat="1" hidden="1" outlineLevel="1" x14ac:dyDescent="0.25">
      <c r="C81" s="1966"/>
      <c r="D81" s="1966"/>
      <c r="E81" s="1966"/>
      <c r="F81" s="1966"/>
      <c r="G81" s="1966"/>
      <c r="H81" s="1299"/>
      <c r="I81" s="1966"/>
      <c r="J81" s="1966"/>
      <c r="K81" s="1966"/>
      <c r="L81" s="1965"/>
      <c r="M81" s="1965"/>
      <c r="N81" s="1965"/>
      <c r="O81" s="1965"/>
      <c r="P81" s="1965"/>
      <c r="Q81" s="1965"/>
      <c r="R81" s="1965"/>
      <c r="S81" s="1965"/>
      <c r="T81" s="1965"/>
      <c r="U81" s="1965"/>
      <c r="CE81" s="1930"/>
      <c r="CF81" s="1930"/>
      <c r="CG81" s="1930"/>
      <c r="CH81" s="1930"/>
      <c r="CT81" s="1930"/>
      <c r="CU81" s="1930"/>
      <c r="CV81" s="1930"/>
      <c r="CW81" s="1930"/>
      <c r="DB81" s="1932"/>
    </row>
    <row r="82" spans="2:113" s="1931" customFormat="1" hidden="1" outlineLevel="1" x14ac:dyDescent="0.25">
      <c r="C82" s="1966"/>
      <c r="D82" s="3337" t="s">
        <v>2689</v>
      </c>
      <c r="E82" s="1966"/>
      <c r="F82" s="1966"/>
      <c r="G82" s="1966"/>
      <c r="H82" s="1299"/>
      <c r="I82" s="1966"/>
      <c r="J82" s="1966"/>
      <c r="K82" s="1966"/>
      <c r="L82" s="1965"/>
      <c r="M82" s="1965"/>
      <c r="N82" s="1965"/>
      <c r="O82" s="1965"/>
      <c r="P82" s="1965"/>
      <c r="Q82" s="1965"/>
      <c r="R82" s="1965"/>
      <c r="S82" s="1965"/>
      <c r="T82" s="1965"/>
      <c r="U82" s="1965"/>
      <c r="CE82" s="1930"/>
      <c r="CF82" s="1930"/>
      <c r="CG82" s="1930"/>
      <c r="CH82" s="1930"/>
      <c r="CT82" s="1930"/>
      <c r="CU82" s="1930"/>
      <c r="CV82" s="1930"/>
      <c r="CW82" s="1930"/>
      <c r="DB82" s="1932"/>
    </row>
    <row r="83" spans="2:113" s="1931" customFormat="1" hidden="1" outlineLevel="1" x14ac:dyDescent="0.25">
      <c r="C83" s="1966"/>
      <c r="D83" s="1300"/>
      <c r="E83" s="1965"/>
      <c r="F83" s="1965"/>
      <c r="G83" s="1965"/>
      <c r="H83" s="1301"/>
      <c r="I83" s="1965"/>
      <c r="J83" s="1965"/>
      <c r="K83" s="1965"/>
      <c r="L83" s="1965"/>
      <c r="M83" s="1966"/>
      <c r="N83" s="1965"/>
      <c r="O83" s="1965"/>
      <c r="P83" s="1965"/>
      <c r="Q83" s="1965"/>
      <c r="R83" s="1965"/>
      <c r="S83" s="1965"/>
      <c r="T83" s="1965"/>
      <c r="U83" s="1965"/>
      <c r="CE83" s="1930"/>
      <c r="CF83" s="1930"/>
      <c r="CG83" s="1930"/>
      <c r="CH83" s="1930"/>
      <c r="CT83" s="1930"/>
      <c r="CU83" s="1930"/>
      <c r="CV83" s="1930"/>
      <c r="CW83" s="1930"/>
      <c r="DB83" s="1932"/>
    </row>
    <row r="84" spans="2:113" s="1931" customFormat="1" hidden="1" outlineLevel="1" x14ac:dyDescent="0.25">
      <c r="C84" s="1966"/>
      <c r="D84" s="1300"/>
      <c r="E84" s="1965"/>
      <c r="F84" s="1965"/>
      <c r="G84" s="1965"/>
      <c r="H84" s="1301"/>
      <c r="I84" s="1965"/>
      <c r="J84" s="1965"/>
      <c r="K84" s="1965"/>
      <c r="L84" s="1965"/>
      <c r="M84" s="1966"/>
      <c r="N84" s="1965"/>
      <c r="O84" s="1965"/>
      <c r="P84" s="1965"/>
      <c r="Q84" s="1965"/>
      <c r="R84" s="1965"/>
      <c r="S84" s="1965"/>
      <c r="T84" s="1965"/>
      <c r="U84" s="1965"/>
      <c r="CE84" s="1930"/>
      <c r="CF84" s="1930"/>
      <c r="CG84" s="1930"/>
      <c r="CH84" s="1930"/>
      <c r="CT84" s="1930"/>
      <c r="CU84" s="1930"/>
      <c r="CV84" s="1930"/>
      <c r="CW84" s="1930"/>
      <c r="DB84" s="1932"/>
    </row>
    <row r="85" spans="2:113" s="1931" customFormat="1" hidden="1" outlineLevel="1" x14ac:dyDescent="0.25">
      <c r="C85" s="1966"/>
      <c r="D85" s="1300"/>
      <c r="E85" s="1965"/>
      <c r="F85" s="1965"/>
      <c r="G85" s="1965"/>
      <c r="H85" s="1301"/>
      <c r="I85" s="1965"/>
      <c r="J85" s="1965"/>
      <c r="K85" s="1965"/>
      <c r="L85" s="1965"/>
      <c r="M85" s="1966"/>
      <c r="N85" s="1965"/>
      <c r="O85" s="1965"/>
      <c r="P85" s="1965"/>
      <c r="Q85" s="1965"/>
      <c r="R85" s="1965"/>
      <c r="S85" s="1965"/>
      <c r="T85" s="1965"/>
      <c r="U85" s="1965"/>
      <c r="CE85" s="1930"/>
      <c r="CF85" s="1930"/>
      <c r="CG85" s="1930"/>
      <c r="CH85" s="1930"/>
      <c r="CT85" s="1930"/>
      <c r="CU85" s="1930"/>
      <c r="CV85" s="1930"/>
      <c r="CW85" s="1930"/>
      <c r="DB85" s="1932"/>
    </row>
    <row r="86" spans="2:113" s="1931" customFormat="1" hidden="1" outlineLevel="1" x14ac:dyDescent="0.25">
      <c r="C86" s="1966"/>
      <c r="D86" s="1300"/>
      <c r="E86" s="1965"/>
      <c r="F86" s="1965"/>
      <c r="G86" s="1965"/>
      <c r="H86" s="1301"/>
      <c r="I86" s="1965"/>
      <c r="J86" s="1965"/>
      <c r="K86" s="1965"/>
      <c r="L86" s="1965"/>
      <c r="M86" s="1966"/>
      <c r="N86" s="1965"/>
      <c r="O86" s="1965"/>
      <c r="P86" s="1965"/>
      <c r="Q86" s="1965"/>
      <c r="R86" s="1965"/>
      <c r="S86" s="1965"/>
      <c r="T86" s="1965"/>
      <c r="U86" s="1965"/>
      <c r="CE86" s="1930"/>
      <c r="CF86" s="1930"/>
      <c r="CG86" s="1930"/>
      <c r="CH86" s="1930"/>
      <c r="CT86" s="1930"/>
      <c r="CU86" s="1930"/>
      <c r="CV86" s="1930"/>
      <c r="CW86" s="1930"/>
      <c r="DB86" s="1932"/>
    </row>
    <row r="87" spans="2:113" s="1931" customFormat="1" hidden="1" outlineLevel="1" x14ac:dyDescent="0.25">
      <c r="C87" s="1966"/>
      <c r="D87" s="1300"/>
      <c r="E87" s="1965"/>
      <c r="F87" s="1965"/>
      <c r="G87" s="1965"/>
      <c r="H87" s="1301"/>
      <c r="I87" s="1965"/>
      <c r="J87" s="1965"/>
      <c r="K87" s="1965"/>
      <c r="L87" s="1965"/>
      <c r="M87" s="1966"/>
      <c r="N87" s="1965"/>
      <c r="O87" s="1965"/>
      <c r="P87" s="1965"/>
      <c r="Q87" s="1965"/>
      <c r="R87" s="1965"/>
      <c r="S87" s="1965"/>
      <c r="T87" s="1965"/>
      <c r="U87" s="1965"/>
      <c r="CE87" s="1930"/>
      <c r="CF87" s="1930"/>
      <c r="CG87" s="1930"/>
      <c r="CH87" s="1930"/>
      <c r="CT87" s="1930"/>
      <c r="CU87" s="1930"/>
      <c r="CV87" s="1930"/>
      <c r="CW87" s="1930"/>
      <c r="DB87" s="1932"/>
    </row>
    <row r="88" spans="2:113" s="1931" customFormat="1" hidden="1" outlineLevel="1" x14ac:dyDescent="0.25">
      <c r="C88" s="1966"/>
      <c r="D88" s="1300"/>
      <c r="E88" s="1965"/>
      <c r="F88" s="1965"/>
      <c r="G88" s="1965"/>
      <c r="H88" s="1301"/>
      <c r="I88" s="1965"/>
      <c r="J88" s="1965"/>
      <c r="K88" s="1965"/>
      <c r="L88" s="1965"/>
      <c r="M88" s="1966"/>
      <c r="N88" s="1965"/>
      <c r="O88" s="1965"/>
      <c r="P88" s="1965"/>
      <c r="Q88" s="1965"/>
      <c r="R88" s="1965"/>
      <c r="S88" s="1965"/>
      <c r="T88" s="1965"/>
      <c r="U88" s="1965"/>
      <c r="CE88" s="1930"/>
      <c r="CF88" s="1930"/>
      <c r="CG88" s="1930"/>
      <c r="CH88" s="1930"/>
      <c r="CT88" s="1930"/>
      <c r="CU88" s="1930"/>
      <c r="CV88" s="1930"/>
      <c r="CW88" s="1930"/>
      <c r="DB88" s="1932"/>
    </row>
    <row r="89" spans="2:113" s="1931" customFormat="1" hidden="1" outlineLevel="1" x14ac:dyDescent="0.25">
      <c r="C89" s="1966"/>
      <c r="D89" s="1300"/>
      <c r="E89" s="1965"/>
      <c r="F89" s="1965"/>
      <c r="G89" s="1965"/>
      <c r="H89" s="1301"/>
      <c r="I89" s="1965"/>
      <c r="J89" s="1965"/>
      <c r="K89" s="1965"/>
      <c r="L89" s="1965"/>
      <c r="M89" s="1966"/>
      <c r="N89" s="1965"/>
      <c r="O89" s="1965"/>
      <c r="P89" s="1965"/>
      <c r="Q89" s="1965"/>
      <c r="R89" s="1965"/>
      <c r="S89" s="1965"/>
      <c r="T89" s="1965"/>
      <c r="U89" s="1965"/>
      <c r="CE89" s="1930"/>
      <c r="CF89" s="1930"/>
      <c r="CG89" s="1930"/>
      <c r="CH89" s="1930"/>
      <c r="CT89" s="1930"/>
      <c r="CU89" s="1930"/>
      <c r="CV89" s="1930"/>
      <c r="CW89" s="1930"/>
      <c r="DB89" s="1932"/>
    </row>
    <row r="90" spans="2:113" s="1931" customFormat="1" hidden="1" outlineLevel="1" x14ac:dyDescent="0.25">
      <c r="C90" s="1966"/>
      <c r="D90" s="1300"/>
      <c r="E90" s="1965"/>
      <c r="F90" s="1965"/>
      <c r="G90" s="1965"/>
      <c r="H90" s="1301"/>
      <c r="I90" s="1965"/>
      <c r="J90" s="1965"/>
      <c r="K90" s="1965"/>
      <c r="L90" s="1965"/>
      <c r="M90" s="1965"/>
      <c r="N90" s="1965"/>
      <c r="O90" s="1965"/>
      <c r="P90" s="1965"/>
      <c r="Q90" s="1965"/>
      <c r="R90" s="1965"/>
      <c r="S90" s="1965"/>
      <c r="T90" s="1965"/>
      <c r="U90" s="1965"/>
      <c r="V90" s="1936" t="s">
        <v>45</v>
      </c>
      <c r="W90" s="1937">
        <f>$W$8</f>
        <v>43252</v>
      </c>
      <c r="X90" s="1937">
        <f>$X$8</f>
        <v>43465</v>
      </c>
      <c r="Y90" s="1937">
        <f>$Y$8</f>
        <v>43800</v>
      </c>
      <c r="Z90" s="1937">
        <f>$Z$8</f>
        <v>43862</v>
      </c>
      <c r="AA90" s="1937">
        <f>$AA$8</f>
        <v>44013</v>
      </c>
      <c r="AB90" s="1937">
        <v>44166</v>
      </c>
      <c r="AC90" s="1937">
        <f>$AC$8</f>
        <v>44531</v>
      </c>
      <c r="AD90" s="1937" t="str">
        <f>$AD$8</f>
        <v>-</v>
      </c>
      <c r="AE90" s="1937" t="str">
        <f>$AE$8</f>
        <v>-</v>
      </c>
      <c r="AF90" s="1937" t="str">
        <f>$AF$8</f>
        <v>-</v>
      </c>
      <c r="AG90" s="1937" t="str">
        <f>$AG$8</f>
        <v>-</v>
      </c>
      <c r="AI90" s="1936" t="s">
        <v>45</v>
      </c>
      <c r="AJ90" s="1937">
        <f t="shared" ref="AJ90:AS90" si="58">W90</f>
        <v>43252</v>
      </c>
      <c r="AK90" s="1937">
        <f t="shared" si="58"/>
        <v>43465</v>
      </c>
      <c r="AL90" s="1937">
        <f t="shared" si="58"/>
        <v>43800</v>
      </c>
      <c r="AM90" s="1937">
        <f t="shared" si="58"/>
        <v>43862</v>
      </c>
      <c r="AN90" s="1937">
        <f t="shared" si="58"/>
        <v>44013</v>
      </c>
      <c r="AO90" s="1937">
        <f t="shared" si="58"/>
        <v>44166</v>
      </c>
      <c r="AP90" s="1937">
        <f t="shared" si="58"/>
        <v>44531</v>
      </c>
      <c r="AQ90" s="1937" t="str">
        <f t="shared" si="58"/>
        <v>-</v>
      </c>
      <c r="AR90" s="1937" t="str">
        <f t="shared" si="58"/>
        <v>-</v>
      </c>
      <c r="AS90" s="1937" t="str">
        <f t="shared" si="58"/>
        <v>-</v>
      </c>
      <c r="AT90" s="1933"/>
      <c r="AU90" s="1936" t="s">
        <v>45</v>
      </c>
      <c r="AV90" s="1937">
        <f>W90</f>
        <v>43252</v>
      </c>
      <c r="AW90" s="1937">
        <f>X90</f>
        <v>43465</v>
      </c>
      <c r="AX90" s="1937">
        <f>Y90</f>
        <v>43800</v>
      </c>
      <c r="AY90" s="1937">
        <f>Z90</f>
        <v>43862</v>
      </c>
      <c r="AZ90" s="1937">
        <f>AA90</f>
        <v>44013</v>
      </c>
      <c r="BA90" s="1937">
        <v>44166</v>
      </c>
      <c r="BB90" s="1937">
        <f>AC90</f>
        <v>44531</v>
      </c>
      <c r="BC90" s="1937" t="str">
        <f>AD90</f>
        <v>-</v>
      </c>
      <c r="BD90" s="1937" t="str">
        <f>AE90</f>
        <v>-</v>
      </c>
      <c r="BE90" s="1937" t="str">
        <f>AF90</f>
        <v>-</v>
      </c>
      <c r="BH90" s="1937">
        <f>$W$8</f>
        <v>43252</v>
      </c>
      <c r="BI90" s="1937">
        <f>$X$8</f>
        <v>43465</v>
      </c>
      <c r="BJ90" s="1937">
        <f>$Y$8</f>
        <v>43800</v>
      </c>
      <c r="BK90" s="1937">
        <f>$Z$8</f>
        <v>43862</v>
      </c>
      <c r="BL90" s="1937">
        <f>$AA$8</f>
        <v>44013</v>
      </c>
      <c r="BM90" s="1937">
        <v>44166</v>
      </c>
      <c r="BN90" s="1937">
        <f>$AC$8</f>
        <v>44531</v>
      </c>
      <c r="BO90" s="1937" t="str">
        <f>$AD$8</f>
        <v>-</v>
      </c>
      <c r="BP90" s="1937" t="str">
        <f>$AE$8</f>
        <v>-</v>
      </c>
      <c r="BQ90" s="1937" t="str">
        <f>$AF$8</f>
        <v>-</v>
      </c>
      <c r="BR90" s="1937" t="str">
        <f>$AG$8</f>
        <v>-</v>
      </c>
      <c r="CF90" s="1930"/>
      <c r="CG90" s="1930"/>
      <c r="CH90" s="1930"/>
      <c r="CI90" s="1930"/>
      <c r="CU90" s="1930"/>
      <c r="CV90" s="1930"/>
      <c r="CW90" s="1930"/>
      <c r="CX90" s="1930"/>
      <c r="DC90" s="1932"/>
    </row>
    <row r="91" spans="2:113" s="55" customFormat="1" ht="30" hidden="1" outlineLevel="1" x14ac:dyDescent="0.25">
      <c r="C91" s="151"/>
      <c r="D91" s="3339" t="s">
        <v>28</v>
      </c>
      <c r="E91" s="3322" t="s">
        <v>111</v>
      </c>
      <c r="F91" s="3322" t="s">
        <v>320</v>
      </c>
      <c r="G91" s="3322" t="s">
        <v>4311</v>
      </c>
      <c r="H91" s="3340" t="s">
        <v>4312</v>
      </c>
      <c r="I91" s="3341" t="s">
        <v>745</v>
      </c>
      <c r="J91" s="3341" t="s">
        <v>2693</v>
      </c>
      <c r="K91" s="123"/>
      <c r="L91" s="151"/>
      <c r="M91" s="401"/>
      <c r="N91" s="401"/>
      <c r="O91" s="401"/>
      <c r="P91" s="401"/>
      <c r="Q91" s="401"/>
      <c r="R91" s="401"/>
      <c r="S91" s="401"/>
      <c r="T91" s="401"/>
      <c r="U91" s="401"/>
      <c r="V91" s="56"/>
      <c r="W91" s="57" t="s">
        <v>4317</v>
      </c>
      <c r="X91" s="57" t="s">
        <v>4317</v>
      </c>
      <c r="Y91" s="57" t="s">
        <v>4317</v>
      </c>
      <c r="Z91" s="57" t="s">
        <v>4317</v>
      </c>
      <c r="AA91" s="57" t="s">
        <v>4317</v>
      </c>
      <c r="AB91" s="57" t="s">
        <v>4317</v>
      </c>
      <c r="AC91" s="57" t="s">
        <v>4317</v>
      </c>
      <c r="AD91" s="57" t="s">
        <v>4317</v>
      </c>
      <c r="AE91" s="57" t="s">
        <v>4317</v>
      </c>
      <c r="AF91" s="57" t="s">
        <v>4317</v>
      </c>
      <c r="AG91" s="57" t="s">
        <v>4317</v>
      </c>
      <c r="AI91" s="57"/>
      <c r="AJ91" s="57" t="s">
        <v>4360</v>
      </c>
      <c r="AK91" s="57" t="s">
        <v>4360</v>
      </c>
      <c r="AL91" s="57" t="s">
        <v>4360</v>
      </c>
      <c r="AM91" s="57" t="s">
        <v>4360</v>
      </c>
      <c r="AN91" s="57" t="s">
        <v>4360</v>
      </c>
      <c r="AO91" s="57" t="s">
        <v>4360</v>
      </c>
      <c r="AP91" s="57" t="s">
        <v>4360</v>
      </c>
      <c r="AQ91" s="57" t="s">
        <v>4360</v>
      </c>
      <c r="AR91" s="57" t="s">
        <v>4360</v>
      </c>
      <c r="AS91" s="57" t="s">
        <v>4360</v>
      </c>
      <c r="AU91" s="58"/>
      <c r="AV91" s="57" t="str">
        <f t="shared" ref="AV91:BE91" si="59">$G$110</f>
        <v>Hours</v>
      </c>
      <c r="AW91" s="57" t="str">
        <f t="shared" si="59"/>
        <v>Hours</v>
      </c>
      <c r="AX91" s="57" t="str">
        <f t="shared" si="59"/>
        <v>Hours</v>
      </c>
      <c r="AY91" s="57" t="str">
        <f t="shared" si="59"/>
        <v>Hours</v>
      </c>
      <c r="AZ91" s="57" t="str">
        <f t="shared" si="59"/>
        <v>Hours</v>
      </c>
      <c r="BA91" s="57" t="str">
        <f t="shared" si="59"/>
        <v>Hours</v>
      </c>
      <c r="BB91" s="57" t="str">
        <f t="shared" si="59"/>
        <v>Hours</v>
      </c>
      <c r="BC91" s="57" t="str">
        <f t="shared" si="59"/>
        <v>Hours</v>
      </c>
      <c r="BD91" s="57" t="str">
        <f t="shared" si="59"/>
        <v>Hours</v>
      </c>
      <c r="BE91" s="57" t="str">
        <f t="shared" si="59"/>
        <v>Hours</v>
      </c>
      <c r="BH91" s="58" t="str">
        <f>$I$110</f>
        <v>WHFe + -IFkWh</v>
      </c>
      <c r="BI91" s="58" t="str">
        <f t="shared" ref="BI91:BR91" si="60">$I$110</f>
        <v>WHFe + -IFkWh</v>
      </c>
      <c r="BJ91" s="58" t="str">
        <f t="shared" si="60"/>
        <v>WHFe + -IFkWh</v>
      </c>
      <c r="BK91" s="58" t="str">
        <f t="shared" si="60"/>
        <v>WHFe + -IFkWh</v>
      </c>
      <c r="BL91" s="58" t="str">
        <f t="shared" si="60"/>
        <v>WHFe + -IFkWh</v>
      </c>
      <c r="BM91" s="58" t="s">
        <v>2693</v>
      </c>
      <c r="BN91" s="58" t="str">
        <f t="shared" si="60"/>
        <v>WHFe + -IFkWh</v>
      </c>
      <c r="BO91" s="58" t="str">
        <f t="shared" si="60"/>
        <v>WHFe + -IFkWh</v>
      </c>
      <c r="BP91" s="58" t="str">
        <f t="shared" si="60"/>
        <v>WHFe + -IFkWh</v>
      </c>
      <c r="BQ91" s="58" t="str">
        <f t="shared" si="60"/>
        <v>WHFe + -IFkWh</v>
      </c>
      <c r="BR91" s="58" t="str">
        <f t="shared" si="60"/>
        <v>WHFe + -IFkWh</v>
      </c>
      <c r="DC91" s="72"/>
    </row>
    <row r="92" spans="2:113" s="55" customFormat="1" hidden="1" outlineLevel="1" x14ac:dyDescent="0.25">
      <c r="C92" s="151"/>
      <c r="D92" s="3338" t="str">
        <f>C80</f>
        <v>800990_2021_12</v>
      </c>
      <c r="E92" s="3331" t="str">
        <f>E80</f>
        <v>Lighting Power Density</v>
      </c>
      <c r="F92" s="3342">
        <v>1</v>
      </c>
      <c r="G92" s="3343">
        <v>1</v>
      </c>
      <c r="H92" s="3343">
        <v>0.8</v>
      </c>
      <c r="I92" s="3344">
        <v>3351</v>
      </c>
      <c r="J92" s="3345">
        <v>1.071</v>
      </c>
      <c r="K92" s="123"/>
      <c r="L92" s="151"/>
      <c r="M92" s="401"/>
      <c r="N92" s="401"/>
      <c r="O92" s="401"/>
      <c r="P92" s="401"/>
      <c r="Q92" s="401"/>
      <c r="R92" s="401"/>
      <c r="S92" s="401"/>
      <c r="T92" s="401"/>
      <c r="U92" s="401"/>
      <c r="V92" s="60" t="str">
        <f t="shared" ref="V92" si="61">E92</f>
        <v>Lighting Power Density</v>
      </c>
      <c r="W92" s="3368"/>
      <c r="X92" s="3368"/>
      <c r="Y92" s="3369"/>
      <c r="Z92" s="3369"/>
      <c r="AA92" s="3369"/>
      <c r="AB92" s="3369"/>
      <c r="AC92" s="3371">
        <v>1</v>
      </c>
      <c r="AD92" s="1941"/>
      <c r="AE92" s="1941"/>
      <c r="AF92" s="1941"/>
      <c r="AG92" s="1941"/>
      <c r="AH92" s="1931"/>
      <c r="AI92" s="1939"/>
      <c r="AJ92" s="3357"/>
      <c r="AK92" s="3357"/>
      <c r="AL92" s="3357"/>
      <c r="AM92" s="3374"/>
      <c r="AN92" s="3375"/>
      <c r="AO92" s="3376"/>
      <c r="AP92" s="3487">
        <f>H92</f>
        <v>0.8</v>
      </c>
      <c r="AQ92" s="1941"/>
      <c r="AR92" s="1941"/>
      <c r="AS92" s="1941"/>
      <c r="AT92" s="1931"/>
      <c r="AU92" s="1939"/>
      <c r="AV92" s="3365"/>
      <c r="AW92" s="3366"/>
      <c r="AX92" s="3365"/>
      <c r="AY92" s="3365"/>
      <c r="AZ92" s="3365"/>
      <c r="BA92" s="3365"/>
      <c r="BB92" s="3486">
        <f>I92</f>
        <v>3351</v>
      </c>
      <c r="BC92" s="1941"/>
      <c r="BD92" s="1941"/>
      <c r="BE92" s="1941"/>
      <c r="BF92" s="1931"/>
      <c r="BG92" s="1931"/>
      <c r="BH92" s="3357"/>
      <c r="BI92" s="3362"/>
      <c r="BJ92" s="3363"/>
      <c r="BK92" s="3363"/>
      <c r="BL92" s="3363"/>
      <c r="BM92" s="3363"/>
      <c r="BN92" s="1940">
        <v>1.071</v>
      </c>
      <c r="BO92" s="1941"/>
      <c r="BP92" s="1941"/>
      <c r="BQ92" s="1941"/>
      <c r="BR92" s="1941"/>
      <c r="DC92" s="72"/>
    </row>
    <row r="93" spans="2:113" s="55" customFormat="1" collapsed="1" x14ac:dyDescent="0.25">
      <c r="C93" s="151"/>
      <c r="D93" s="151"/>
      <c r="E93" s="151"/>
      <c r="F93" s="151"/>
      <c r="G93" s="1314"/>
      <c r="H93" s="1315"/>
      <c r="I93" s="1314"/>
      <c r="J93" s="1314"/>
      <c r="K93" s="401"/>
      <c r="L93" s="151"/>
      <c r="M93" s="401"/>
      <c r="N93" s="401"/>
      <c r="O93" s="401"/>
      <c r="P93" s="401"/>
      <c r="Q93" s="401"/>
      <c r="R93" s="401"/>
      <c r="S93" s="401"/>
      <c r="T93" s="401"/>
      <c r="U93" s="401"/>
      <c r="DB93" s="72"/>
    </row>
    <row r="94" spans="2:113" s="55" customFormat="1" x14ac:dyDescent="0.25">
      <c r="C94" s="151"/>
      <c r="D94" s="151"/>
      <c r="E94" s="151"/>
      <c r="F94" s="151"/>
      <c r="G94" s="1314"/>
      <c r="H94" s="1315"/>
      <c r="I94" s="1314"/>
      <c r="J94" s="1314"/>
      <c r="K94" s="401"/>
      <c r="L94" s="151"/>
      <c r="M94" s="401"/>
      <c r="N94" s="401"/>
      <c r="O94" s="401"/>
      <c r="P94" s="401"/>
      <c r="Q94" s="401"/>
      <c r="R94" s="401"/>
      <c r="S94" s="401"/>
      <c r="T94" s="401"/>
      <c r="U94" s="401"/>
      <c r="DB94" s="72"/>
    </row>
    <row r="95" spans="2:113" s="1935" customFormat="1" x14ac:dyDescent="0.25">
      <c r="B95" s="4491" t="s">
        <v>2694</v>
      </c>
      <c r="C95" s="4492"/>
      <c r="D95" s="4492"/>
      <c r="E95" s="4492"/>
      <c r="F95" s="4492"/>
      <c r="G95" s="4492"/>
      <c r="H95" s="4492"/>
      <c r="I95" s="4493"/>
      <c r="J95" s="4493"/>
      <c r="K95" s="4493"/>
      <c r="L95" s="4493"/>
      <c r="M95" s="4494"/>
      <c r="N95" s="4494"/>
      <c r="O95" s="4495"/>
      <c r="V95" s="3077" t="str">
        <f>B95</f>
        <v>Lighting - Occupancy Sensor Lighting Controls</v>
      </c>
      <c r="W95" s="3078"/>
      <c r="X95" s="3078"/>
      <c r="Y95" s="3078"/>
      <c r="Z95" s="3078"/>
      <c r="AA95" s="3078"/>
      <c r="AB95" s="3078"/>
      <c r="AC95" s="3078"/>
      <c r="AD95" s="3078"/>
      <c r="AE95" s="3078"/>
      <c r="AF95" s="3078"/>
      <c r="AG95" s="3078"/>
      <c r="AH95" s="3078"/>
      <c r="AI95" s="3170"/>
      <c r="AJ95" s="1931"/>
      <c r="AK95" s="1931"/>
      <c r="AL95" s="1931"/>
      <c r="AM95" s="1931"/>
      <c r="AN95" s="1931"/>
      <c r="AO95" s="1931"/>
      <c r="AP95" s="1931"/>
      <c r="AQ95" s="1931"/>
      <c r="AR95" s="1931"/>
      <c r="AS95" s="1931"/>
      <c r="AT95" s="1931"/>
      <c r="AU95" s="1931"/>
      <c r="CI95" s="1934"/>
      <c r="DB95" s="42"/>
      <c r="DC95" s="1934"/>
      <c r="DD95" s="1934"/>
      <c r="DE95" s="1934"/>
    </row>
    <row r="96" spans="2:113" ht="18.75" customHeight="1" x14ac:dyDescent="0.25">
      <c r="B96" s="1931"/>
      <c r="D96" s="1307"/>
      <c r="E96" s="1965"/>
      <c r="F96" s="1965"/>
      <c r="G96" s="1965"/>
      <c r="H96" s="1301"/>
      <c r="I96" s="1965"/>
      <c r="J96" s="1965"/>
      <c r="K96" s="1965"/>
      <c r="L96" s="1965"/>
      <c r="M96" s="1965"/>
      <c r="N96" s="1965"/>
      <c r="O96" s="1965"/>
      <c r="P96" s="1965"/>
      <c r="Q96" s="1965"/>
      <c r="R96" s="1965"/>
      <c r="S96" s="1965"/>
      <c r="T96" s="1965"/>
      <c r="U96" s="1965"/>
      <c r="V96" s="44"/>
      <c r="W96" s="1931"/>
      <c r="X96" s="1931"/>
      <c r="Y96" s="1931"/>
      <c r="Z96" s="1931"/>
      <c r="AA96" s="1931"/>
      <c r="AB96" s="1931"/>
      <c r="AC96" s="1931"/>
      <c r="AD96" s="1931"/>
      <c r="AE96" s="1931"/>
      <c r="AF96" s="1931"/>
      <c r="AG96" s="1931"/>
      <c r="AH96" s="1931"/>
      <c r="AI96" s="1931"/>
      <c r="AJ96" s="1931"/>
      <c r="AK96" s="1931"/>
      <c r="AL96" s="1931"/>
      <c r="AM96" s="1931"/>
      <c r="AN96" s="1931"/>
      <c r="AO96" s="1931"/>
      <c r="AP96" s="1931"/>
      <c r="AQ96" s="1931"/>
      <c r="AR96" s="1931"/>
      <c r="AS96" s="1931"/>
      <c r="AT96" s="1931"/>
      <c r="AU96" s="1931"/>
      <c r="AV96" s="1931"/>
      <c r="AW96" s="1931"/>
      <c r="AX96" s="1931"/>
      <c r="AY96" s="1931"/>
      <c r="AZ96" s="1931"/>
      <c r="BA96" s="1931"/>
      <c r="BB96" s="1931"/>
      <c r="BC96" s="1931"/>
      <c r="BD96" s="1931"/>
      <c r="BE96" s="1931"/>
      <c r="BF96" s="1931"/>
      <c r="BG96" s="1931"/>
      <c r="BH96" s="1931"/>
      <c r="BI96" s="1931"/>
      <c r="BJ96" s="1931"/>
      <c r="BK96" s="1931"/>
      <c r="BL96" s="1931"/>
      <c r="BM96" s="1931"/>
      <c r="BN96" s="1931"/>
      <c r="BO96" s="1931"/>
      <c r="BP96" s="1931"/>
      <c r="BQ96" s="1931"/>
      <c r="BR96" s="1931"/>
      <c r="BS96" s="1931"/>
      <c r="BT96" s="1931"/>
      <c r="BU96" s="1931"/>
      <c r="BV96" s="1931"/>
      <c r="BW96" s="1931"/>
      <c r="BX96" s="1931"/>
      <c r="BY96" s="1931"/>
      <c r="BZ96" s="1931"/>
      <c r="CA96" s="1931"/>
      <c r="CB96" s="1931"/>
      <c r="CC96" s="1931"/>
      <c r="CD96" s="1931"/>
      <c r="CE96" s="1930"/>
      <c r="CF96" s="1930"/>
      <c r="CG96" s="1930"/>
      <c r="CH96" s="1930"/>
      <c r="CI96" s="1931"/>
      <c r="CJ96" s="1931"/>
      <c r="CK96" s="1931"/>
      <c r="CL96" s="1931"/>
      <c r="CM96" s="1931"/>
      <c r="CN96" s="1931"/>
      <c r="CO96" s="1931"/>
      <c r="CP96" s="1931"/>
      <c r="CQ96" s="1931"/>
      <c r="CR96" s="1931"/>
      <c r="CS96" s="1931"/>
      <c r="CT96" s="1930"/>
      <c r="CU96" s="1930"/>
      <c r="CV96" s="1930"/>
      <c r="CW96" s="1930"/>
      <c r="CX96" s="1931"/>
      <c r="CY96" s="1931"/>
      <c r="CZ96" s="1931"/>
      <c r="DA96" s="1931"/>
      <c r="DB96" s="1932"/>
      <c r="DC96" s="1931"/>
      <c r="DD96" s="1931"/>
      <c r="DE96" s="1931"/>
      <c r="DF96" s="1931"/>
      <c r="DI96" s="1931"/>
    </row>
    <row r="97" spans="2:113" s="44" customFormat="1" ht="30" x14ac:dyDescent="0.25">
      <c r="B97" s="45"/>
      <c r="C97" s="46" t="s">
        <v>28</v>
      </c>
      <c r="D97" s="3196" t="s">
        <v>29</v>
      </c>
      <c r="E97" s="3196" t="s">
        <v>30</v>
      </c>
      <c r="F97" s="3196" t="s">
        <v>31</v>
      </c>
      <c r="G97" s="3196" t="s">
        <v>176</v>
      </c>
      <c r="H97" s="47" t="s">
        <v>177</v>
      </c>
      <c r="I97" s="3196" t="s">
        <v>32</v>
      </c>
      <c r="J97" s="3196" t="s">
        <v>181</v>
      </c>
      <c r="K97" s="46" t="s">
        <v>170</v>
      </c>
      <c r="L97" s="46" t="s">
        <v>44</v>
      </c>
      <c r="M97" s="1965"/>
      <c r="N97" s="1965"/>
      <c r="O97" s="1965"/>
      <c r="P97" s="1288"/>
      <c r="Q97" s="1288"/>
      <c r="R97" s="1288"/>
      <c r="S97" s="1288"/>
      <c r="T97" s="1288"/>
      <c r="U97" s="1288"/>
      <c r="V97" s="1936" t="s">
        <v>45</v>
      </c>
      <c r="W97" s="1937">
        <f>$W$8</f>
        <v>43252</v>
      </c>
      <c r="X97" s="1937">
        <f>$X$8</f>
        <v>43465</v>
      </c>
      <c r="Y97" s="1937">
        <f>$Y$8</f>
        <v>43800</v>
      </c>
      <c r="Z97" s="1937">
        <f>$Z$8</f>
        <v>43862</v>
      </c>
      <c r="AA97" s="1937">
        <f>$AA$8</f>
        <v>44013</v>
      </c>
      <c r="AB97" s="1937">
        <v>44166</v>
      </c>
      <c r="AC97" s="1937">
        <f>$AC$8</f>
        <v>44531</v>
      </c>
      <c r="AD97" s="1937" t="str">
        <f>$AD$8</f>
        <v>-</v>
      </c>
      <c r="AE97" s="1937" t="str">
        <f>$AE$8</f>
        <v>-</v>
      </c>
      <c r="AF97" s="1937" t="str">
        <f>$AF$8</f>
        <v>-</v>
      </c>
      <c r="AG97" s="1937" t="str">
        <f>$AG$8</f>
        <v>-</v>
      </c>
      <c r="AI97" s="1936" t="s">
        <v>45</v>
      </c>
      <c r="AJ97" s="1937">
        <f>W97</f>
        <v>43252</v>
      </c>
      <c r="AK97" s="1937">
        <f t="shared" ref="AK97" si="62">X97</f>
        <v>43465</v>
      </c>
      <c r="AL97" s="1937">
        <f t="shared" ref="AL97" si="63">Y97</f>
        <v>43800</v>
      </c>
      <c r="AM97" s="1937">
        <f t="shared" ref="AM97" si="64">Z97</f>
        <v>43862</v>
      </c>
      <c r="AN97" s="1937">
        <f t="shared" ref="AN97" si="65">AA97</f>
        <v>44013</v>
      </c>
      <c r="AO97" s="1937">
        <f t="shared" ref="AO97" si="66">AB97</f>
        <v>44166</v>
      </c>
      <c r="AP97" s="1937">
        <f t="shared" ref="AP97" si="67">AC97</f>
        <v>44531</v>
      </c>
      <c r="AQ97" s="1937" t="str">
        <f t="shared" ref="AQ97" si="68">AD97</f>
        <v>-</v>
      </c>
      <c r="AR97" s="1937" t="str">
        <f t="shared" ref="AR97" si="69">AE97</f>
        <v>-</v>
      </c>
      <c r="AS97" s="1937" t="str">
        <f t="shared" ref="AS97" si="70">AF97</f>
        <v>-</v>
      </c>
      <c r="AT97" s="1933"/>
      <c r="AU97" s="1936" t="s">
        <v>45</v>
      </c>
      <c r="AV97" s="1937">
        <f>W97</f>
        <v>43252</v>
      </c>
      <c r="AW97" s="1937">
        <f t="shared" ref="AW97" si="71">X97</f>
        <v>43465</v>
      </c>
      <c r="AX97" s="1937">
        <f t="shared" ref="AX97" si="72">Y97</f>
        <v>43800</v>
      </c>
      <c r="AY97" s="1937">
        <f t="shared" ref="AY97" si="73">Z97</f>
        <v>43862</v>
      </c>
      <c r="AZ97" s="1937">
        <f t="shared" ref="AZ97" si="74">AA97</f>
        <v>44013</v>
      </c>
      <c r="BA97" s="1937">
        <v>44166</v>
      </c>
      <c r="BB97" s="1937">
        <f t="shared" ref="BB97" si="75">AC97</f>
        <v>44531</v>
      </c>
      <c r="BC97" s="1937" t="str">
        <f t="shared" ref="BC97" si="76">AD97</f>
        <v>-</v>
      </c>
      <c r="BD97" s="1937" t="str">
        <f t="shared" ref="BD97" si="77">AE97</f>
        <v>-</v>
      </c>
      <c r="BE97" s="1937" t="str">
        <f t="shared" ref="BE97" si="78">AF97</f>
        <v>-</v>
      </c>
      <c r="DB97" s="1938" t="str">
        <f>$DB$8</f>
        <v>TRC (2020)</v>
      </c>
      <c r="DC97" s="1953" t="str">
        <f>$DC$8</f>
        <v>Benefit Lookup</v>
      </c>
      <c r="DD97" s="1953" t="str">
        <f>$DD$8</f>
        <v>Benefits (2019 $)</v>
      </c>
      <c r="DE97" s="1953" t="str">
        <f>$DE$8</f>
        <v>Incremental Cost (2019 $)</v>
      </c>
    </row>
    <row r="98" spans="2:113" x14ac:dyDescent="0.25">
      <c r="B98" s="1931"/>
      <c r="C98" s="1997" t="s">
        <v>2695</v>
      </c>
      <c r="D98" s="1289" t="s">
        <v>2646</v>
      </c>
      <c r="E98" s="1308" t="s">
        <v>2696</v>
      </c>
      <c r="F98" s="1959">
        <f t="shared" ref="F98:F99" si="79">ROUND(F111*G111*H111*I111,2)</f>
        <v>118.87</v>
      </c>
      <c r="G98" s="1290" t="s">
        <v>55</v>
      </c>
      <c r="H98" s="1291">
        <f>VLOOKUP(G98,'CP FACTORS'!$A$26:$B$38,2,FALSE)</f>
        <v>1.899635E-4</v>
      </c>
      <c r="I98" s="1309">
        <f t="shared" ref="I98:I99" si="80">ROUND(H98*F98,6)</f>
        <v>2.2581E-2</v>
      </c>
      <c r="J98" s="64">
        <v>10</v>
      </c>
      <c r="K98" s="1310">
        <v>45</v>
      </c>
      <c r="L98" s="1292" t="s">
        <v>185</v>
      </c>
      <c r="M98" s="1965"/>
      <c r="N98" s="1965"/>
      <c r="O98" s="1965"/>
      <c r="P98" s="1294"/>
      <c r="Q98" s="1295"/>
      <c r="R98" s="1296"/>
      <c r="S98" s="1296"/>
      <c r="T98" s="1297"/>
      <c r="U98" s="1965"/>
      <c r="V98" s="3226" t="s">
        <v>31</v>
      </c>
      <c r="W98" s="1939"/>
      <c r="X98" s="1939"/>
      <c r="Y98" s="1939"/>
      <c r="Z98" s="1941"/>
      <c r="AA98" s="139">
        <v>111.87</v>
      </c>
      <c r="AB98" s="2002">
        <v>118.87</v>
      </c>
      <c r="AC98" s="3364">
        <v>118.87</v>
      </c>
      <c r="AD98" s="1941"/>
      <c r="AE98" s="1941"/>
      <c r="AF98" s="1941"/>
      <c r="AG98" s="1941"/>
      <c r="AH98" s="1931"/>
      <c r="AI98" s="3226" t="s">
        <v>181</v>
      </c>
      <c r="AJ98" s="1943"/>
      <c r="AK98" s="1943"/>
      <c r="AL98" s="1943"/>
      <c r="AM98" s="1941"/>
      <c r="AN98" s="1922">
        <v>15</v>
      </c>
      <c r="AO98" s="2388">
        <v>10</v>
      </c>
      <c r="AP98" s="3373">
        <v>10</v>
      </c>
      <c r="AQ98" s="1941"/>
      <c r="AR98" s="1941"/>
      <c r="AS98" s="1941"/>
      <c r="AT98" s="1933"/>
      <c r="AU98" s="3226" t="s">
        <v>170</v>
      </c>
      <c r="AV98" s="1944"/>
      <c r="AW98" s="1944"/>
      <c r="AX98" s="1944"/>
      <c r="AY98" s="1928"/>
      <c r="AZ98" s="1928">
        <v>45</v>
      </c>
      <c r="BA98" s="1998">
        <v>45</v>
      </c>
      <c r="BB98" s="1998">
        <v>45</v>
      </c>
      <c r="BC98" s="1941"/>
      <c r="BD98" s="1941"/>
      <c r="BE98" s="1941"/>
      <c r="BF98" s="1931"/>
      <c r="BG98" s="1931"/>
      <c r="BH98" s="1931"/>
      <c r="BI98" s="1931"/>
      <c r="BJ98" s="1931"/>
      <c r="BK98" s="1931"/>
      <c r="BL98" s="1931"/>
      <c r="BM98" s="1931"/>
      <c r="BN98" s="1931"/>
      <c r="BO98" s="1931"/>
      <c r="BP98" s="1931"/>
      <c r="BQ98" s="1931"/>
      <c r="BR98" s="1931"/>
      <c r="BS98" s="1931"/>
      <c r="BT98" s="1931"/>
      <c r="BU98" s="1931"/>
      <c r="BV98" s="1931"/>
      <c r="BW98" s="1931"/>
      <c r="BX98" s="1931"/>
      <c r="BY98" s="1931"/>
      <c r="BZ98" s="1931"/>
      <c r="CA98" s="1931"/>
      <c r="CB98" s="1931"/>
      <c r="CC98" s="1931"/>
      <c r="CD98" s="1931"/>
      <c r="CE98" s="1930"/>
      <c r="CF98" s="1930"/>
      <c r="CG98" s="1930"/>
      <c r="CH98" s="1930"/>
      <c r="CI98" s="1931"/>
      <c r="CJ98" s="1931"/>
      <c r="CK98" s="1931"/>
      <c r="CL98" s="1931"/>
      <c r="CM98" s="1931"/>
      <c r="CN98" s="1931"/>
      <c r="CO98" s="1931"/>
      <c r="CP98" s="1931"/>
      <c r="CQ98" s="1931"/>
      <c r="CR98" s="1931"/>
      <c r="CS98" s="1931"/>
      <c r="CT98" s="1930"/>
      <c r="CU98" s="1930"/>
      <c r="CV98" s="1930"/>
      <c r="CW98" s="1930"/>
      <c r="CX98" s="1931"/>
      <c r="CY98" s="1931"/>
      <c r="CZ98" s="1931"/>
      <c r="DA98" s="1931"/>
      <c r="DB98" s="1919">
        <f t="shared" ref="DB98:DB99" si="81">(DD98)/(DE98)</f>
        <v>1.1043852976772599</v>
      </c>
      <c r="DC98" s="1920" t="str">
        <f t="shared" ref="DC98:DC99" si="82">CONCATENATE(G98," ",J98," Year EUL")</f>
        <v>Lighting BUS 10 Year EUL</v>
      </c>
      <c r="DD98" s="70">
        <f>(INDEX('Avoided Cost Benefits'!$C$4:$C$857,MATCH(DC98,'Avoided Cost Benefits'!$A$4:$A$857,0)))*F98</f>
        <v>46.906407168925618</v>
      </c>
      <c r="DE98" s="1921">
        <f t="shared" ref="DE98:DE99" si="83">K98/(1.0595^(2020-2019))</f>
        <v>42.472864558754125</v>
      </c>
      <c r="DF98" s="1931"/>
      <c r="DI98" s="1931"/>
    </row>
    <row r="99" spans="2:113" ht="15.75" thickBot="1" x14ac:dyDescent="0.3">
      <c r="B99" s="1931"/>
      <c r="C99" s="1997" t="s">
        <v>2697</v>
      </c>
      <c r="D99" s="1289" t="s">
        <v>2646</v>
      </c>
      <c r="E99" s="1308" t="s">
        <v>2698</v>
      </c>
      <c r="F99" s="1959">
        <f t="shared" si="79"/>
        <v>291.13</v>
      </c>
      <c r="G99" s="1290" t="s">
        <v>55</v>
      </c>
      <c r="H99" s="1291">
        <f>VLOOKUP(G99,'CP FACTORS'!$A$26:$B$38,2,FALSE)</f>
        <v>1.899635E-4</v>
      </c>
      <c r="I99" s="1309">
        <f t="shared" si="80"/>
        <v>5.5303999999999999E-2</v>
      </c>
      <c r="J99" s="64">
        <v>10</v>
      </c>
      <c r="K99" s="1310">
        <v>105</v>
      </c>
      <c r="L99" s="1292" t="s">
        <v>185</v>
      </c>
      <c r="M99" s="1965"/>
      <c r="N99" s="1965"/>
      <c r="O99" s="1965"/>
      <c r="P99" s="1294"/>
      <c r="Q99" s="1295"/>
      <c r="R99" s="1296"/>
      <c r="S99" s="1296"/>
      <c r="T99" s="1297"/>
      <c r="U99" s="1965"/>
      <c r="V99" s="3226" t="s">
        <v>31</v>
      </c>
      <c r="W99" s="1939"/>
      <c r="X99" s="1939"/>
      <c r="Y99" s="1939"/>
      <c r="Z99" s="1939"/>
      <c r="AA99" s="139">
        <v>290.86</v>
      </c>
      <c r="AB99" s="2002">
        <v>291.13</v>
      </c>
      <c r="AC99" s="3364">
        <v>291.13</v>
      </c>
      <c r="AD99" s="1939"/>
      <c r="AE99" s="1939"/>
      <c r="AF99" s="1939"/>
      <c r="AG99" s="1939"/>
      <c r="AH99" s="1931"/>
      <c r="AI99" s="3226" t="s">
        <v>181</v>
      </c>
      <c r="AJ99" s="1943"/>
      <c r="AK99" s="1943"/>
      <c r="AL99" s="1943"/>
      <c r="AM99" s="1939"/>
      <c r="AN99" s="1922">
        <v>15</v>
      </c>
      <c r="AO99" s="2388">
        <v>10</v>
      </c>
      <c r="AP99" s="3373">
        <v>10</v>
      </c>
      <c r="AQ99" s="1939"/>
      <c r="AR99" s="1939"/>
      <c r="AS99" s="1939"/>
      <c r="AT99" s="1933"/>
      <c r="AU99" s="3226" t="s">
        <v>170</v>
      </c>
      <c r="AV99" s="1944"/>
      <c r="AW99" s="1944"/>
      <c r="AX99" s="1944"/>
      <c r="AY99" s="1928"/>
      <c r="AZ99" s="1928">
        <v>105</v>
      </c>
      <c r="BA99" s="1998">
        <v>105</v>
      </c>
      <c r="BB99" s="1998">
        <v>105</v>
      </c>
      <c r="BC99" s="1939"/>
      <c r="BD99" s="1939"/>
      <c r="BE99" s="1939"/>
      <c r="BF99" s="1931"/>
      <c r="BG99" s="1931"/>
      <c r="BH99" s="1931"/>
      <c r="BI99" s="1931"/>
      <c r="BJ99" s="1931"/>
      <c r="BK99" s="1931"/>
      <c r="BL99" s="1931"/>
      <c r="BM99" s="1931"/>
      <c r="BN99" s="1931"/>
      <c r="BO99" s="1931"/>
      <c r="BP99" s="1931"/>
      <c r="BQ99" s="1931"/>
      <c r="BR99" s="1931"/>
      <c r="BS99" s="1931"/>
      <c r="BT99" s="1931"/>
      <c r="BU99" s="1931"/>
      <c r="BV99" s="1931"/>
      <c r="BW99" s="1931"/>
      <c r="BX99" s="1931"/>
      <c r="BY99" s="1931"/>
      <c r="BZ99" s="1931"/>
      <c r="CA99" s="1931"/>
      <c r="CB99" s="1931"/>
      <c r="CC99" s="1931"/>
      <c r="CD99" s="1931"/>
      <c r="CE99" s="1930"/>
      <c r="CF99" s="1930"/>
      <c r="CG99" s="1930"/>
      <c r="CH99" s="1930"/>
      <c r="CI99" s="1931"/>
      <c r="CJ99" s="1931"/>
      <c r="CK99" s="1931"/>
      <c r="CL99" s="1931"/>
      <c r="CM99" s="1931"/>
      <c r="CN99" s="1931"/>
      <c r="CO99" s="1931"/>
      <c r="CP99" s="1931"/>
      <c r="CQ99" s="1931"/>
      <c r="CR99" s="1931"/>
      <c r="CS99" s="1931"/>
      <c r="CT99" s="1930"/>
      <c r="CU99" s="1930"/>
      <c r="CV99" s="1930"/>
      <c r="CW99" s="1930"/>
      <c r="CX99" s="1931"/>
      <c r="CY99" s="1931"/>
      <c r="CZ99" s="1931"/>
      <c r="DA99" s="1931"/>
      <c r="DB99" s="1923">
        <f t="shared" si="81"/>
        <v>1.1592004171884556</v>
      </c>
      <c r="DC99" s="1924" t="str">
        <f t="shared" si="82"/>
        <v>Lighting BUS 10 Year EUL</v>
      </c>
      <c r="DD99" s="71">
        <f>(INDEX('Avoided Cost Benefits'!$C$4:$C$857,MATCH(DC99,'Avoided Cost Benefits'!$A$4:$A$857,0)))*F99</f>
        <v>114.88064540329195</v>
      </c>
      <c r="DE99" s="1925">
        <f t="shared" si="83"/>
        <v>99.103350637092959</v>
      </c>
      <c r="DF99" s="1931"/>
      <c r="DI99" s="1931"/>
    </row>
    <row r="100" spans="2:113" hidden="1" outlineLevel="1" x14ac:dyDescent="0.25">
      <c r="B100" s="1931"/>
      <c r="D100" s="1966"/>
      <c r="E100" s="1966"/>
      <c r="F100" s="1966"/>
      <c r="G100" s="1966"/>
      <c r="H100" s="1299"/>
      <c r="I100" s="1966"/>
      <c r="J100" s="1966"/>
      <c r="K100" s="1966"/>
      <c r="L100" s="1965"/>
      <c r="M100" s="1965"/>
      <c r="N100" s="1965"/>
      <c r="O100" s="1965"/>
      <c r="P100" s="1965"/>
      <c r="Q100" s="1965"/>
      <c r="R100" s="1965"/>
      <c r="S100" s="1965"/>
      <c r="T100" s="1965"/>
      <c r="U100" s="1965"/>
      <c r="V100" s="1931"/>
      <c r="W100" s="1931"/>
      <c r="X100" s="1931"/>
      <c r="Y100" s="1931"/>
      <c r="Z100" s="1931"/>
      <c r="AA100" s="1931"/>
      <c r="AB100" s="1931"/>
      <c r="AC100" s="1931"/>
      <c r="AD100" s="1931"/>
      <c r="AE100" s="1931"/>
      <c r="AF100" s="1931"/>
      <c r="AG100" s="1931"/>
      <c r="AH100" s="1931"/>
      <c r="AI100" s="1931"/>
      <c r="AJ100" s="1931"/>
      <c r="AK100" s="1931"/>
      <c r="AL100" s="1931"/>
      <c r="AM100" s="1931"/>
      <c r="AN100" s="1931"/>
      <c r="AO100" s="1931"/>
      <c r="AP100" s="1931"/>
      <c r="AQ100" s="1931"/>
      <c r="AR100" s="1931"/>
      <c r="AS100" s="1931"/>
      <c r="AT100" s="1931"/>
      <c r="AU100" s="1931"/>
      <c r="AV100" s="1931"/>
      <c r="AW100" s="1931"/>
      <c r="AX100" s="1931"/>
      <c r="AY100" s="1931"/>
      <c r="AZ100" s="1931"/>
      <c r="BA100" s="1931"/>
      <c r="BB100" s="1931"/>
      <c r="BC100" s="1931"/>
      <c r="BD100" s="1931"/>
      <c r="BE100" s="1931"/>
      <c r="BF100" s="1931"/>
      <c r="BG100" s="1931"/>
      <c r="BH100" s="1931"/>
      <c r="BI100" s="1931"/>
      <c r="BJ100" s="1931"/>
      <c r="BK100" s="1931"/>
      <c r="BL100" s="1931"/>
      <c r="BM100" s="1931"/>
      <c r="BN100" s="1931"/>
      <c r="BO100" s="1931"/>
      <c r="BP100" s="1931"/>
      <c r="BQ100" s="1931"/>
      <c r="BR100" s="1931"/>
      <c r="BS100" s="1931"/>
      <c r="BT100" s="1931"/>
      <c r="BU100" s="1931"/>
      <c r="BV100" s="1931"/>
      <c r="BW100" s="1931"/>
      <c r="BX100" s="1931"/>
      <c r="BY100" s="1931"/>
      <c r="BZ100" s="1931"/>
      <c r="CA100" s="1931"/>
      <c r="CB100" s="1931"/>
      <c r="CC100" s="1931"/>
      <c r="CD100" s="1931"/>
      <c r="CE100" s="1930"/>
      <c r="CF100" s="1930"/>
      <c r="CG100" s="1930"/>
      <c r="CH100" s="1930"/>
      <c r="CI100" s="1931"/>
      <c r="CJ100" s="1931"/>
      <c r="CK100" s="1931"/>
      <c r="CL100" s="1931"/>
      <c r="CM100" s="1931"/>
      <c r="CN100" s="1931"/>
      <c r="CO100" s="1931"/>
      <c r="CP100" s="1931"/>
      <c r="CQ100" s="1931"/>
      <c r="CR100" s="1931"/>
      <c r="CS100" s="1931"/>
      <c r="CT100" s="1930"/>
      <c r="CU100" s="1930"/>
      <c r="CV100" s="1930"/>
      <c r="CW100" s="1930"/>
      <c r="CX100" s="1931"/>
      <c r="CY100" s="1931"/>
      <c r="CZ100" s="1931"/>
      <c r="DA100" s="1931"/>
      <c r="DB100" s="1932"/>
      <c r="DC100" s="1931"/>
      <c r="DD100" s="1931"/>
      <c r="DE100" s="1931"/>
      <c r="DF100" s="1931"/>
      <c r="DI100" s="1931"/>
    </row>
    <row r="101" spans="2:113" hidden="1" outlineLevel="1" x14ac:dyDescent="0.25">
      <c r="B101" s="1931"/>
      <c r="D101" s="1966" t="s">
        <v>2689</v>
      </c>
      <c r="E101" s="1966"/>
      <c r="F101" s="1966"/>
      <c r="G101" s="1966"/>
      <c r="H101" s="1299"/>
      <c r="I101" s="1966"/>
      <c r="J101" s="1966"/>
      <c r="K101" s="1966"/>
      <c r="L101" s="1965"/>
      <c r="M101" s="1965"/>
      <c r="N101" s="1965"/>
      <c r="O101" s="1965"/>
      <c r="P101" s="1965"/>
      <c r="Q101" s="1965"/>
      <c r="R101" s="1965"/>
      <c r="S101" s="1965"/>
      <c r="T101" s="1965"/>
      <c r="U101" s="1965"/>
      <c r="V101" s="1931"/>
      <c r="W101" s="1931"/>
      <c r="X101" s="1931"/>
      <c r="Y101" s="1931"/>
      <c r="Z101" s="1931"/>
      <c r="AA101" s="1931"/>
      <c r="AB101" s="1931"/>
      <c r="AC101" s="1931"/>
      <c r="AD101" s="1931"/>
      <c r="AE101" s="1931"/>
      <c r="AF101" s="1931"/>
      <c r="AG101" s="1931"/>
      <c r="AH101" s="1931"/>
      <c r="AI101" s="1931"/>
      <c r="AJ101" s="1931"/>
      <c r="AK101" s="1931"/>
      <c r="AL101" s="1931"/>
      <c r="AM101" s="1931"/>
      <c r="AN101" s="1931"/>
      <c r="AO101" s="1931"/>
      <c r="AP101" s="1931"/>
      <c r="AQ101" s="1931"/>
      <c r="AR101" s="1931"/>
      <c r="AS101" s="1931"/>
      <c r="AT101" s="1931"/>
      <c r="AU101" s="1931"/>
      <c r="AV101" s="1931"/>
      <c r="AW101" s="1931"/>
      <c r="AX101" s="1931"/>
      <c r="AY101" s="1931"/>
      <c r="AZ101" s="1931"/>
      <c r="BA101" s="1931"/>
      <c r="BB101" s="1931"/>
      <c r="BC101" s="1931"/>
      <c r="BD101" s="1931"/>
      <c r="BE101" s="1931"/>
      <c r="BF101" s="1931"/>
      <c r="BG101" s="1931"/>
      <c r="BH101" s="1931"/>
      <c r="BI101" s="1931"/>
      <c r="BJ101" s="1931"/>
      <c r="BK101" s="1931"/>
      <c r="BL101" s="1931"/>
      <c r="BM101" s="1931"/>
      <c r="BN101" s="1931"/>
      <c r="BO101" s="1931"/>
      <c r="BP101" s="1931"/>
      <c r="BQ101" s="1931"/>
      <c r="BR101" s="1931"/>
      <c r="BS101" s="1931"/>
      <c r="BT101" s="1931"/>
      <c r="BU101" s="1931"/>
      <c r="BV101" s="1931"/>
      <c r="BW101" s="1931"/>
      <c r="BX101" s="1931"/>
      <c r="BY101" s="1931"/>
      <c r="BZ101" s="1931"/>
      <c r="CA101" s="1931"/>
      <c r="CB101" s="1931"/>
      <c r="CC101" s="1931"/>
      <c r="CD101" s="1931"/>
      <c r="CE101" s="1930"/>
      <c r="CF101" s="1930"/>
      <c r="CG101" s="1930"/>
      <c r="CH101" s="1930"/>
      <c r="CI101" s="1931"/>
      <c r="CJ101" s="1931"/>
      <c r="CK101" s="1931"/>
      <c r="CL101" s="1931"/>
      <c r="CM101" s="1931"/>
      <c r="CN101" s="1931"/>
      <c r="CO101" s="1931"/>
      <c r="CP101" s="1931"/>
      <c r="CQ101" s="1931"/>
      <c r="CR101" s="1931"/>
      <c r="CS101" s="1931"/>
      <c r="CT101" s="1930"/>
      <c r="CU101" s="1930"/>
      <c r="CV101" s="1930"/>
      <c r="CW101" s="1930"/>
      <c r="CX101" s="1931"/>
      <c r="CY101" s="1931"/>
      <c r="CZ101" s="1931"/>
      <c r="DA101" s="1931"/>
      <c r="DB101" s="1932"/>
      <c r="DC101" s="1931"/>
      <c r="DD101" s="1931"/>
      <c r="DE101" s="1931"/>
      <c r="DF101" s="1931"/>
      <c r="DI101" s="1931"/>
    </row>
    <row r="102" spans="2:113" hidden="1" outlineLevel="1" x14ac:dyDescent="0.25">
      <c r="B102" s="1931"/>
      <c r="D102" s="1300"/>
      <c r="E102" s="1965"/>
      <c r="F102" s="1965"/>
      <c r="G102" s="1965"/>
      <c r="H102" s="1301"/>
      <c r="I102" s="1965"/>
      <c r="J102" s="1965"/>
      <c r="K102" s="1965"/>
      <c r="L102" s="1965"/>
      <c r="M102" s="1966"/>
      <c r="N102" s="1965"/>
      <c r="O102" s="1965"/>
      <c r="P102" s="1965"/>
      <c r="Q102" s="1965"/>
      <c r="R102" s="1965"/>
      <c r="S102" s="1965"/>
      <c r="T102" s="1965"/>
      <c r="U102" s="1965"/>
      <c r="V102" s="1931"/>
      <c r="W102" s="1931"/>
      <c r="X102" s="1931"/>
      <c r="Y102" s="1931"/>
      <c r="Z102" s="1931"/>
      <c r="AA102" s="1931"/>
      <c r="AB102" s="1931"/>
      <c r="AC102" s="1931"/>
      <c r="AD102" s="1931"/>
      <c r="AE102" s="1931"/>
      <c r="AF102" s="1931"/>
      <c r="AG102" s="1931"/>
      <c r="AH102" s="1931"/>
      <c r="AI102" s="1931"/>
      <c r="AJ102" s="1931"/>
      <c r="AK102" s="1931"/>
      <c r="AL102" s="1931"/>
      <c r="AM102" s="1931"/>
      <c r="AN102" s="1931"/>
      <c r="AO102" s="1931"/>
      <c r="AP102" s="1931"/>
      <c r="AQ102" s="1931"/>
      <c r="AR102" s="1931"/>
      <c r="AS102" s="1931"/>
      <c r="AT102" s="1931"/>
      <c r="AU102" s="1931"/>
      <c r="AV102" s="1931"/>
      <c r="AW102" s="1931"/>
      <c r="AX102" s="1931"/>
      <c r="AY102" s="1931"/>
      <c r="AZ102" s="1931"/>
      <c r="BA102" s="1931"/>
      <c r="BB102" s="1931"/>
      <c r="BC102" s="1931"/>
      <c r="BD102" s="1931"/>
      <c r="BE102" s="1931"/>
      <c r="BF102" s="1931"/>
      <c r="BG102" s="1931"/>
      <c r="BH102" s="1931"/>
      <c r="BI102" s="1931"/>
      <c r="BJ102" s="1931"/>
      <c r="BK102" s="1931"/>
      <c r="BL102" s="1931"/>
      <c r="BM102" s="1931"/>
      <c r="BN102" s="1931"/>
      <c r="BO102" s="1931"/>
      <c r="BP102" s="1931"/>
      <c r="BQ102" s="1931"/>
      <c r="BR102" s="1931"/>
      <c r="BS102" s="1931"/>
      <c r="BT102" s="1931"/>
      <c r="BU102" s="1931"/>
      <c r="BV102" s="1931"/>
      <c r="BW102" s="1931"/>
      <c r="BX102" s="1931"/>
      <c r="BY102" s="1931"/>
      <c r="BZ102" s="1931"/>
      <c r="CA102" s="1931"/>
      <c r="CB102" s="1931"/>
      <c r="CC102" s="1931"/>
      <c r="CD102" s="1931"/>
      <c r="CE102" s="1930"/>
      <c r="CF102" s="1930"/>
      <c r="CG102" s="1930"/>
      <c r="CH102" s="1930"/>
      <c r="CI102" s="1931"/>
      <c r="CJ102" s="1931"/>
      <c r="CK102" s="1931"/>
      <c r="CL102" s="1931"/>
      <c r="CM102" s="1931"/>
      <c r="CN102" s="1931"/>
      <c r="CO102" s="1931"/>
      <c r="CP102" s="1931"/>
      <c r="CQ102" s="1931"/>
      <c r="CR102" s="1931"/>
      <c r="CS102" s="1931"/>
      <c r="CT102" s="1930"/>
      <c r="CU102" s="1930"/>
      <c r="CV102" s="1930"/>
      <c r="CW102" s="1930"/>
      <c r="CX102" s="1931"/>
      <c r="CY102" s="1931"/>
      <c r="CZ102" s="1931"/>
      <c r="DA102" s="1931"/>
      <c r="DB102" s="1932"/>
      <c r="DC102" s="1931"/>
      <c r="DD102" s="1931"/>
      <c r="DE102" s="1931"/>
      <c r="DF102" s="1931"/>
      <c r="DI102" s="1931"/>
    </row>
    <row r="103" spans="2:113" hidden="1" outlineLevel="1" x14ac:dyDescent="0.25">
      <c r="B103" s="1931"/>
      <c r="D103" s="1300"/>
      <c r="E103" s="1965"/>
      <c r="F103" s="1965"/>
      <c r="G103" s="1965"/>
      <c r="H103" s="1301"/>
      <c r="I103" s="1965"/>
      <c r="J103" s="1965"/>
      <c r="K103" s="1965"/>
      <c r="L103" s="1965"/>
      <c r="M103" s="1966"/>
      <c r="N103" s="1965"/>
      <c r="O103" s="1965"/>
      <c r="P103" s="1965"/>
      <c r="Q103" s="1965"/>
      <c r="R103" s="1965"/>
      <c r="S103" s="1965"/>
      <c r="T103" s="1965"/>
      <c r="U103" s="1965"/>
      <c r="V103" s="1931"/>
      <c r="W103" s="1931"/>
      <c r="X103" s="1931"/>
      <c r="Y103" s="1931"/>
      <c r="Z103" s="1931"/>
      <c r="AA103" s="1931"/>
      <c r="AB103" s="1931"/>
      <c r="AC103" s="1931"/>
      <c r="AD103" s="1931"/>
      <c r="AE103" s="1931"/>
      <c r="AF103" s="1931"/>
      <c r="AG103" s="1931"/>
      <c r="AH103" s="1931"/>
      <c r="AI103" s="1931"/>
      <c r="AJ103" s="1931"/>
      <c r="AK103" s="1931"/>
      <c r="AL103" s="1931"/>
      <c r="AM103" s="1931"/>
      <c r="AN103" s="1931"/>
      <c r="AO103" s="1931"/>
      <c r="AP103" s="1931"/>
      <c r="AQ103" s="1931"/>
      <c r="AR103" s="1931"/>
      <c r="AS103" s="1931"/>
      <c r="AT103" s="1931"/>
      <c r="AU103" s="1931"/>
      <c r="AV103" s="1931"/>
      <c r="AW103" s="1931"/>
      <c r="AX103" s="1931"/>
      <c r="AY103" s="1931"/>
      <c r="AZ103" s="1931"/>
      <c r="BA103" s="1931"/>
      <c r="BB103" s="1931"/>
      <c r="BC103" s="1931"/>
      <c r="BD103" s="1931"/>
      <c r="BE103" s="1931"/>
      <c r="BF103" s="1931"/>
      <c r="BG103" s="1931"/>
      <c r="BH103" s="1931"/>
      <c r="BI103" s="1931"/>
      <c r="BJ103" s="1931"/>
      <c r="BK103" s="1931"/>
      <c r="BL103" s="1931"/>
      <c r="BM103" s="1931"/>
      <c r="BN103" s="1931"/>
      <c r="BO103" s="1931"/>
      <c r="BP103" s="1931"/>
      <c r="BQ103" s="1931"/>
      <c r="BR103" s="1931"/>
      <c r="BS103" s="1931"/>
      <c r="BT103" s="1931"/>
      <c r="BU103" s="1931"/>
      <c r="BV103" s="1931"/>
      <c r="BW103" s="1931"/>
      <c r="BX103" s="1931"/>
      <c r="BY103" s="1931"/>
      <c r="BZ103" s="1931"/>
      <c r="CA103" s="1931"/>
      <c r="CB103" s="1931"/>
      <c r="CC103" s="1931"/>
      <c r="CD103" s="1931"/>
      <c r="CE103" s="1930"/>
      <c r="CF103" s="1930"/>
      <c r="CG103" s="1930"/>
      <c r="CH103" s="1930"/>
      <c r="CI103" s="1931"/>
      <c r="CJ103" s="1931"/>
      <c r="CK103" s="1931"/>
      <c r="CL103" s="1931"/>
      <c r="CM103" s="1931"/>
      <c r="CN103" s="1931"/>
      <c r="CO103" s="1931"/>
      <c r="CP103" s="1931"/>
      <c r="CQ103" s="1931"/>
      <c r="CR103" s="1931"/>
      <c r="CS103" s="1931"/>
      <c r="CT103" s="1930"/>
      <c r="CU103" s="1930"/>
      <c r="CV103" s="1930"/>
      <c r="CW103" s="1930"/>
      <c r="CX103" s="1931"/>
      <c r="CY103" s="1931"/>
      <c r="CZ103" s="1931"/>
      <c r="DA103" s="1931"/>
      <c r="DB103" s="1932"/>
      <c r="DC103" s="1931"/>
      <c r="DD103" s="1931"/>
      <c r="DE103" s="1931"/>
      <c r="DF103" s="1931"/>
      <c r="DI103" s="1931"/>
    </row>
    <row r="104" spans="2:113" hidden="1" outlineLevel="1" x14ac:dyDescent="0.25">
      <c r="B104" s="1931"/>
      <c r="D104" s="1300"/>
      <c r="E104" s="1965"/>
      <c r="F104" s="1965"/>
      <c r="G104" s="1965"/>
      <c r="H104" s="1301"/>
      <c r="I104" s="1965"/>
      <c r="J104" s="1965"/>
      <c r="K104" s="1965"/>
      <c r="L104" s="1965"/>
      <c r="M104" s="1966"/>
      <c r="N104" s="1965"/>
      <c r="O104" s="1965"/>
      <c r="P104" s="1965"/>
      <c r="Q104" s="1965"/>
      <c r="R104" s="1965"/>
      <c r="S104" s="1965"/>
      <c r="T104" s="1965"/>
      <c r="U104" s="1965"/>
      <c r="V104" s="1931"/>
      <c r="W104" s="1931"/>
      <c r="X104" s="1931"/>
      <c r="Y104" s="1931"/>
      <c r="Z104" s="1931"/>
      <c r="AA104" s="1931"/>
      <c r="AB104" s="1931"/>
      <c r="AC104" s="1931"/>
      <c r="AD104" s="1931"/>
      <c r="AE104" s="1931"/>
      <c r="AF104" s="1931"/>
      <c r="AG104" s="1931"/>
      <c r="AH104" s="1931"/>
      <c r="AI104" s="1931"/>
      <c r="AJ104" s="1931"/>
      <c r="AK104" s="1931"/>
      <c r="AL104" s="1931"/>
      <c r="AM104" s="1931"/>
      <c r="AN104" s="1931"/>
      <c r="AO104" s="1931"/>
      <c r="AP104" s="1931"/>
      <c r="AQ104" s="1931"/>
      <c r="AR104" s="1931"/>
      <c r="AS104" s="1931"/>
      <c r="AT104" s="1931"/>
      <c r="AU104" s="1931"/>
      <c r="AV104" s="1931"/>
      <c r="AW104" s="1931"/>
      <c r="AX104" s="1931"/>
      <c r="AY104" s="1931"/>
      <c r="AZ104" s="1931"/>
      <c r="BA104" s="1931"/>
      <c r="BB104" s="1931"/>
      <c r="BC104" s="1931"/>
      <c r="BD104" s="1931"/>
      <c r="BE104" s="1931"/>
      <c r="BF104" s="1931"/>
      <c r="BG104" s="1931"/>
      <c r="BH104" s="1931"/>
      <c r="BI104" s="1931"/>
      <c r="BJ104" s="1931"/>
      <c r="BK104" s="1931"/>
      <c r="BL104" s="1931"/>
      <c r="BM104" s="1931"/>
      <c r="BN104" s="1931"/>
      <c r="BO104" s="1931"/>
      <c r="BP104" s="1931"/>
      <c r="BQ104" s="1931"/>
      <c r="BR104" s="1931"/>
      <c r="BS104" s="1931"/>
      <c r="BT104" s="1931"/>
      <c r="BU104" s="1931"/>
      <c r="BV104" s="1931"/>
      <c r="BW104" s="1931"/>
      <c r="BX104" s="1931"/>
      <c r="BY104" s="1931"/>
      <c r="BZ104" s="1931"/>
      <c r="CA104" s="1931"/>
      <c r="CB104" s="1931"/>
      <c r="CC104" s="1931"/>
      <c r="CD104" s="1931"/>
      <c r="CE104" s="1930"/>
      <c r="CF104" s="1930"/>
      <c r="CG104" s="1930"/>
      <c r="CH104" s="1930"/>
      <c r="CI104" s="1931"/>
      <c r="CJ104" s="1931"/>
      <c r="CK104" s="1931"/>
      <c r="CL104" s="1931"/>
      <c r="CM104" s="1931"/>
      <c r="CN104" s="1931"/>
      <c r="CO104" s="1931"/>
      <c r="CP104" s="1931"/>
      <c r="CQ104" s="1931"/>
      <c r="CR104" s="1931"/>
      <c r="CS104" s="1931"/>
      <c r="CT104" s="1930"/>
      <c r="CU104" s="1930"/>
      <c r="CV104" s="1930"/>
      <c r="CW104" s="1930"/>
      <c r="CX104" s="1931"/>
      <c r="CY104" s="1931"/>
      <c r="CZ104" s="1931"/>
      <c r="DA104" s="1931"/>
      <c r="DB104" s="1932"/>
      <c r="DC104" s="1931"/>
      <c r="DD104" s="1931"/>
      <c r="DE104" s="1931"/>
      <c r="DF104" s="1931"/>
      <c r="DI104" s="1931"/>
    </row>
    <row r="105" spans="2:113" hidden="1" outlineLevel="1" x14ac:dyDescent="0.25">
      <c r="B105" s="1931"/>
      <c r="D105" s="1300"/>
      <c r="E105" s="1965"/>
      <c r="F105" s="1965"/>
      <c r="G105" s="1965"/>
      <c r="H105" s="1301"/>
      <c r="I105" s="1965"/>
      <c r="J105" s="1965"/>
      <c r="K105" s="1965"/>
      <c r="L105" s="1965"/>
      <c r="M105" s="1966"/>
      <c r="N105" s="1965"/>
      <c r="O105" s="1965"/>
      <c r="P105" s="1965"/>
      <c r="Q105" s="1965"/>
      <c r="R105" s="1965"/>
      <c r="S105" s="1965"/>
      <c r="T105" s="1965"/>
      <c r="U105" s="1965"/>
      <c r="V105" s="1931"/>
      <c r="W105" s="1931"/>
      <c r="X105" s="1931"/>
      <c r="Y105" s="1931"/>
      <c r="Z105" s="1931"/>
      <c r="AA105" s="1931"/>
      <c r="AB105" s="1931"/>
      <c r="AC105" s="1931"/>
      <c r="AD105" s="1931"/>
      <c r="AE105" s="1931"/>
      <c r="AF105" s="1931"/>
      <c r="AG105" s="1931"/>
      <c r="AH105" s="1931"/>
      <c r="AI105" s="1931"/>
      <c r="AJ105" s="1931"/>
      <c r="AK105" s="1931"/>
      <c r="AL105" s="1931"/>
      <c r="AM105" s="1931"/>
      <c r="AN105" s="1931"/>
      <c r="AO105" s="1931"/>
      <c r="AP105" s="1931"/>
      <c r="AQ105" s="1931"/>
      <c r="AR105" s="1931"/>
      <c r="AS105" s="1931"/>
      <c r="AT105" s="1931"/>
      <c r="AU105" s="1931"/>
      <c r="AV105" s="1931"/>
      <c r="AW105" s="1931"/>
      <c r="AX105" s="1931"/>
      <c r="AY105" s="1931"/>
      <c r="AZ105" s="1931"/>
      <c r="BA105" s="1931"/>
      <c r="BB105" s="1931"/>
      <c r="BC105" s="1931"/>
      <c r="BD105" s="1931"/>
      <c r="BE105" s="1931"/>
      <c r="BF105" s="1931"/>
      <c r="BG105" s="1931"/>
      <c r="BH105" s="1931"/>
      <c r="BI105" s="1931"/>
      <c r="BJ105" s="1931"/>
      <c r="BK105" s="1931"/>
      <c r="BL105" s="1931"/>
      <c r="BM105" s="1931"/>
      <c r="BN105" s="1931"/>
      <c r="BO105" s="1931"/>
      <c r="BP105" s="1931"/>
      <c r="BQ105" s="1931"/>
      <c r="BR105" s="1931"/>
      <c r="BS105" s="1931"/>
      <c r="BT105" s="1931"/>
      <c r="BU105" s="1931"/>
      <c r="BV105" s="1931"/>
      <c r="BW105" s="1931"/>
      <c r="BX105" s="1931"/>
      <c r="BY105" s="1931"/>
      <c r="BZ105" s="1931"/>
      <c r="CA105" s="1931"/>
      <c r="CB105" s="1931"/>
      <c r="CC105" s="1931"/>
      <c r="CD105" s="1931"/>
      <c r="CE105" s="1930"/>
      <c r="CF105" s="1930"/>
      <c r="CG105" s="1930"/>
      <c r="CH105" s="1930"/>
      <c r="CI105" s="1931"/>
      <c r="CJ105" s="1931"/>
      <c r="CK105" s="1931"/>
      <c r="CL105" s="1931"/>
      <c r="CM105" s="1931"/>
      <c r="CN105" s="1931"/>
      <c r="CO105" s="1931"/>
      <c r="CP105" s="1931"/>
      <c r="CQ105" s="1931"/>
      <c r="CR105" s="1931"/>
      <c r="CS105" s="1931"/>
      <c r="CT105" s="1930"/>
      <c r="CU105" s="1930"/>
      <c r="CV105" s="1930"/>
      <c r="CW105" s="1930"/>
      <c r="CX105" s="1931"/>
      <c r="CY105" s="1931"/>
      <c r="CZ105" s="1931"/>
      <c r="DA105" s="1931"/>
      <c r="DB105" s="1932"/>
      <c r="DC105" s="1931"/>
      <c r="DD105" s="1931"/>
      <c r="DE105" s="1931"/>
      <c r="DF105" s="1931"/>
      <c r="DI105" s="1931"/>
    </row>
    <row r="106" spans="2:113" hidden="1" outlineLevel="1" x14ac:dyDescent="0.25">
      <c r="B106" s="1931"/>
      <c r="D106" s="1300"/>
      <c r="E106" s="1965"/>
      <c r="F106" s="1965"/>
      <c r="G106" s="1965"/>
      <c r="H106" s="1301"/>
      <c r="I106" s="1965"/>
      <c r="J106" s="1965"/>
      <c r="K106" s="1965"/>
      <c r="L106" s="1965"/>
      <c r="M106" s="1966"/>
      <c r="N106" s="1965"/>
      <c r="O106" s="1965"/>
      <c r="P106" s="1965"/>
      <c r="Q106" s="1965"/>
      <c r="R106" s="1965"/>
      <c r="S106" s="1965"/>
      <c r="T106" s="1965"/>
      <c r="U106" s="1965"/>
      <c r="V106" s="1931"/>
      <c r="W106" s="1931"/>
      <c r="X106" s="1931"/>
      <c r="Y106" s="1931"/>
      <c r="Z106" s="1931"/>
      <c r="AA106" s="1931"/>
      <c r="AB106" s="1931"/>
      <c r="AC106" s="1931"/>
      <c r="AD106" s="1931"/>
      <c r="AE106" s="1931"/>
      <c r="AF106" s="1931"/>
      <c r="AG106" s="1931"/>
      <c r="AH106" s="1931"/>
      <c r="AI106" s="1931"/>
      <c r="AJ106" s="1931"/>
      <c r="AK106" s="1931"/>
      <c r="AL106" s="1931"/>
      <c r="AM106" s="1931"/>
      <c r="AN106" s="1931"/>
      <c r="AO106" s="1931"/>
      <c r="AP106" s="1931"/>
      <c r="AQ106" s="1931"/>
      <c r="AR106" s="1931"/>
      <c r="AS106" s="1931"/>
      <c r="AT106" s="1931"/>
      <c r="AU106" s="1931"/>
      <c r="AV106" s="1931"/>
      <c r="AW106" s="1931"/>
      <c r="AX106" s="1931"/>
      <c r="AY106" s="1931"/>
      <c r="AZ106" s="1931"/>
      <c r="BA106" s="1931"/>
      <c r="BB106" s="1931"/>
      <c r="BC106" s="1931"/>
      <c r="BD106" s="1931"/>
      <c r="BE106" s="1931"/>
      <c r="BF106" s="1931"/>
      <c r="BG106" s="1931"/>
      <c r="BH106" s="1931"/>
      <c r="BI106" s="1931"/>
      <c r="BJ106" s="1931"/>
      <c r="BK106" s="1931"/>
      <c r="BL106" s="1931"/>
      <c r="BM106" s="1931"/>
      <c r="BN106" s="1931"/>
      <c r="BO106" s="1931"/>
      <c r="BP106" s="1931"/>
      <c r="BQ106" s="1931"/>
      <c r="BR106" s="1931"/>
      <c r="BS106" s="1931"/>
      <c r="BT106" s="1931"/>
      <c r="BU106" s="1931"/>
      <c r="BV106" s="1931"/>
      <c r="BW106" s="1931"/>
      <c r="BX106" s="1931"/>
      <c r="BY106" s="1931"/>
      <c r="BZ106" s="1931"/>
      <c r="CA106" s="1931"/>
      <c r="CB106" s="1931"/>
      <c r="CC106" s="1931"/>
      <c r="CD106" s="1931"/>
      <c r="CE106" s="1930"/>
      <c r="CF106" s="1930"/>
      <c r="CG106" s="1930"/>
      <c r="CH106" s="1930"/>
      <c r="CI106" s="1931"/>
      <c r="CJ106" s="1931"/>
      <c r="CK106" s="1931"/>
      <c r="CL106" s="1931"/>
      <c r="CM106" s="1931"/>
      <c r="CN106" s="1931"/>
      <c r="CO106" s="1931"/>
      <c r="CP106" s="1931"/>
      <c r="CQ106" s="1931"/>
      <c r="CR106" s="1931"/>
      <c r="CS106" s="1931"/>
      <c r="CT106" s="1930"/>
      <c r="CU106" s="1930"/>
      <c r="CV106" s="1930"/>
      <c r="CW106" s="1930"/>
      <c r="CX106" s="1931"/>
      <c r="CY106" s="1931"/>
      <c r="CZ106" s="1931"/>
      <c r="DA106" s="1931"/>
      <c r="DB106" s="1932"/>
      <c r="DC106" s="1931"/>
      <c r="DD106" s="1931"/>
      <c r="DE106" s="1931"/>
      <c r="DF106" s="1931"/>
      <c r="DI106" s="1931"/>
    </row>
    <row r="107" spans="2:113" hidden="1" outlineLevel="1" x14ac:dyDescent="0.25">
      <c r="B107" s="1931"/>
      <c r="D107" s="1300"/>
      <c r="E107" s="1965"/>
      <c r="F107" s="1965"/>
      <c r="G107" s="1965"/>
      <c r="H107" s="1301"/>
      <c r="I107" s="1965"/>
      <c r="J107" s="1965"/>
      <c r="K107" s="1965"/>
      <c r="L107" s="1965"/>
      <c r="M107" s="1966"/>
      <c r="N107" s="1965"/>
      <c r="O107" s="1965"/>
      <c r="P107" s="1965"/>
      <c r="Q107" s="1965"/>
      <c r="R107" s="1965"/>
      <c r="S107" s="1965"/>
      <c r="T107" s="1965"/>
      <c r="U107" s="1965"/>
      <c r="V107" s="1931"/>
      <c r="W107" s="1931"/>
      <c r="X107" s="1931"/>
      <c r="Y107" s="1931"/>
      <c r="Z107" s="1931"/>
      <c r="AA107" s="1931"/>
      <c r="AB107" s="1931"/>
      <c r="AC107" s="1931"/>
      <c r="AD107" s="1931"/>
      <c r="AE107" s="1931"/>
      <c r="AF107" s="1931"/>
      <c r="AG107" s="1931"/>
      <c r="AH107" s="1931"/>
      <c r="AI107" s="1931"/>
      <c r="AJ107" s="1931"/>
      <c r="AK107" s="1931"/>
      <c r="AL107" s="1931"/>
      <c r="AM107" s="1931"/>
      <c r="AN107" s="1931"/>
      <c r="AO107" s="1931"/>
      <c r="AP107" s="1931"/>
      <c r="AQ107" s="1931"/>
      <c r="AR107" s="1931"/>
      <c r="AS107" s="1931"/>
      <c r="AT107" s="1931"/>
      <c r="AU107" s="1931"/>
      <c r="AV107" s="1931"/>
      <c r="AW107" s="1931"/>
      <c r="AX107" s="1931"/>
      <c r="AY107" s="1931"/>
      <c r="AZ107" s="1931"/>
      <c r="BA107" s="1931"/>
      <c r="BB107" s="1931"/>
      <c r="BC107" s="1931"/>
      <c r="BD107" s="1931"/>
      <c r="BE107" s="1931"/>
      <c r="BF107" s="1931"/>
      <c r="BG107" s="1931"/>
      <c r="BH107" s="1931"/>
      <c r="BI107" s="1931"/>
      <c r="BJ107" s="1931"/>
      <c r="BK107" s="1931"/>
      <c r="BL107" s="1931"/>
      <c r="BM107" s="1931"/>
      <c r="BN107" s="1931"/>
      <c r="BO107" s="1931"/>
      <c r="BP107" s="1931"/>
      <c r="BQ107" s="1931"/>
      <c r="BR107" s="1931"/>
      <c r="BS107" s="1931"/>
      <c r="BT107" s="1931"/>
      <c r="BU107" s="1931"/>
      <c r="BV107" s="1931"/>
      <c r="BW107" s="1931"/>
      <c r="BX107" s="1931"/>
      <c r="BY107" s="1931"/>
      <c r="BZ107" s="1931"/>
      <c r="CA107" s="1931"/>
      <c r="CB107" s="1931"/>
      <c r="CC107" s="1931"/>
      <c r="CD107" s="1931"/>
      <c r="CE107" s="1930"/>
      <c r="CF107" s="1930"/>
      <c r="CG107" s="1930"/>
      <c r="CH107" s="1930"/>
      <c r="CI107" s="1931"/>
      <c r="CJ107" s="1931"/>
      <c r="CK107" s="1931"/>
      <c r="CL107" s="1931"/>
      <c r="CM107" s="1931"/>
      <c r="CN107" s="1931"/>
      <c r="CO107" s="1931"/>
      <c r="CP107" s="1931"/>
      <c r="CQ107" s="1931"/>
      <c r="CR107" s="1931"/>
      <c r="CS107" s="1931"/>
      <c r="CT107" s="1930"/>
      <c r="CU107" s="1930"/>
      <c r="CV107" s="1930"/>
      <c r="CW107" s="1930"/>
      <c r="CX107" s="1931"/>
      <c r="CY107" s="1931"/>
      <c r="CZ107" s="1931"/>
      <c r="DA107" s="1931"/>
      <c r="DB107" s="1932"/>
      <c r="DC107" s="1931"/>
      <c r="DD107" s="1931"/>
      <c r="DE107" s="1931"/>
      <c r="DF107" s="1931"/>
      <c r="DI107" s="1931"/>
    </row>
    <row r="108" spans="2:113" hidden="1" outlineLevel="1" x14ac:dyDescent="0.25">
      <c r="B108" s="1931"/>
      <c r="D108" s="1300"/>
      <c r="E108" s="1965"/>
      <c r="F108" s="1965"/>
      <c r="G108" s="1965"/>
      <c r="H108" s="1301"/>
      <c r="I108" s="1965"/>
      <c r="J108" s="1965"/>
      <c r="K108" s="1965"/>
      <c r="L108" s="1965"/>
      <c r="M108" s="1966"/>
      <c r="N108" s="1965"/>
      <c r="O108" s="1965"/>
      <c r="P108" s="1965"/>
      <c r="Q108" s="1965"/>
      <c r="R108" s="1965"/>
      <c r="S108" s="1965"/>
      <c r="T108" s="1965"/>
      <c r="U108" s="1965"/>
      <c r="V108" s="1931"/>
      <c r="W108" s="1931"/>
      <c r="X108" s="1931"/>
      <c r="Y108" s="1931"/>
      <c r="Z108" s="1931"/>
      <c r="AA108" s="1931"/>
      <c r="AB108" s="1931"/>
      <c r="AC108" s="1931"/>
      <c r="AD108" s="1931"/>
      <c r="AE108" s="1931"/>
      <c r="AF108" s="1931"/>
      <c r="AG108" s="1931"/>
      <c r="AH108" s="1931"/>
      <c r="AI108" s="1931"/>
      <c r="AJ108" s="1931"/>
      <c r="AK108" s="1931"/>
      <c r="AL108" s="1931"/>
      <c r="AM108" s="1931"/>
      <c r="AN108" s="1931"/>
      <c r="AO108" s="1931"/>
      <c r="AP108" s="1931"/>
      <c r="AQ108" s="1931"/>
      <c r="AR108" s="1931"/>
      <c r="AS108" s="1931"/>
      <c r="AT108" s="1931"/>
      <c r="AU108" s="1931"/>
      <c r="AV108" s="1931"/>
      <c r="AW108" s="1931"/>
      <c r="AX108" s="1931"/>
      <c r="AY108" s="1931"/>
      <c r="AZ108" s="1931"/>
      <c r="BA108" s="1931"/>
      <c r="BB108" s="1931"/>
      <c r="BC108" s="1931"/>
      <c r="BD108" s="1931"/>
      <c r="BE108" s="1931"/>
      <c r="BF108" s="1931"/>
      <c r="BG108" s="1931"/>
      <c r="BH108" s="1931"/>
      <c r="BI108" s="1931"/>
      <c r="BJ108" s="1931"/>
      <c r="BK108" s="1931"/>
      <c r="BL108" s="1931"/>
      <c r="BM108" s="1931"/>
      <c r="BN108" s="1931"/>
      <c r="BO108" s="1931"/>
      <c r="BP108" s="1931"/>
      <c r="BQ108" s="1931"/>
      <c r="BR108" s="1931"/>
      <c r="BS108" s="1931"/>
      <c r="BT108" s="1931"/>
      <c r="BU108" s="1931"/>
      <c r="BV108" s="1931"/>
      <c r="BW108" s="1931"/>
      <c r="BX108" s="1931"/>
      <c r="BY108" s="1931"/>
      <c r="BZ108" s="1931"/>
      <c r="CA108" s="1931"/>
      <c r="CB108" s="1931"/>
      <c r="CC108" s="1931"/>
      <c r="CD108" s="1931"/>
      <c r="CE108" s="1930"/>
      <c r="CF108" s="1930"/>
      <c r="CG108" s="1930"/>
      <c r="CH108" s="1930"/>
      <c r="CI108" s="1931"/>
      <c r="CJ108" s="1931"/>
      <c r="CK108" s="1931"/>
      <c r="CL108" s="1931"/>
      <c r="CM108" s="1931"/>
      <c r="CN108" s="1931"/>
      <c r="CO108" s="1931"/>
      <c r="CP108" s="1931"/>
      <c r="CQ108" s="1931"/>
      <c r="CR108" s="1931"/>
      <c r="CS108" s="1931"/>
      <c r="CT108" s="1930"/>
      <c r="CU108" s="1930"/>
      <c r="CV108" s="1930"/>
      <c r="CW108" s="1930"/>
      <c r="CX108" s="1931"/>
      <c r="CY108" s="1931"/>
      <c r="CZ108" s="1931"/>
      <c r="DA108" s="1931"/>
      <c r="DB108" s="1932"/>
      <c r="DC108" s="1931"/>
      <c r="DD108" s="1931"/>
      <c r="DE108" s="1931"/>
      <c r="DF108" s="1931"/>
      <c r="DI108" s="1931"/>
    </row>
    <row r="109" spans="2:113" hidden="1" outlineLevel="1" x14ac:dyDescent="0.25">
      <c r="B109" s="1931"/>
      <c r="D109" s="1300"/>
      <c r="E109" s="1965"/>
      <c r="F109" s="1965"/>
      <c r="G109" s="1965"/>
      <c r="H109" s="1301"/>
      <c r="I109" s="1965"/>
      <c r="J109" s="1965"/>
      <c r="K109" s="1965"/>
      <c r="L109" s="1965"/>
      <c r="M109" s="1965"/>
      <c r="N109" s="1965"/>
      <c r="O109" s="1965"/>
      <c r="P109" s="1965"/>
      <c r="Q109" s="1965"/>
      <c r="R109" s="1965"/>
      <c r="S109" s="1965"/>
      <c r="T109" s="1965"/>
      <c r="U109" s="1965"/>
      <c r="V109" s="1936" t="s">
        <v>45</v>
      </c>
      <c r="W109" s="1937">
        <f>$W$8</f>
        <v>43252</v>
      </c>
      <c r="X109" s="1937">
        <f>$X$8</f>
        <v>43465</v>
      </c>
      <c r="Y109" s="1937">
        <f>$Y$8</f>
        <v>43800</v>
      </c>
      <c r="Z109" s="1937">
        <f>$Z$8</f>
        <v>43862</v>
      </c>
      <c r="AA109" s="1937">
        <f>$AA$8</f>
        <v>44013</v>
      </c>
      <c r="AB109" s="1937">
        <v>44166</v>
      </c>
      <c r="AC109" s="1937">
        <f>$AC$8</f>
        <v>44531</v>
      </c>
      <c r="AD109" s="1937" t="str">
        <f>$AD$8</f>
        <v>-</v>
      </c>
      <c r="AE109" s="1937" t="str">
        <f>$AE$8</f>
        <v>-</v>
      </c>
      <c r="AF109" s="1937" t="str">
        <f>$AF$8</f>
        <v>-</v>
      </c>
      <c r="AG109" s="1937" t="str">
        <f>$AG$8</f>
        <v>-</v>
      </c>
      <c r="AH109" s="1931"/>
      <c r="AI109" s="1936" t="s">
        <v>45</v>
      </c>
      <c r="AJ109" s="1937">
        <f>W109</f>
        <v>43252</v>
      </c>
      <c r="AK109" s="1937">
        <f t="shared" ref="AK109" si="84">X109</f>
        <v>43465</v>
      </c>
      <c r="AL109" s="1937">
        <f t="shared" ref="AL109" si="85">Y109</f>
        <v>43800</v>
      </c>
      <c r="AM109" s="1937">
        <f t="shared" ref="AM109" si="86">Z109</f>
        <v>43862</v>
      </c>
      <c r="AN109" s="1937">
        <f t="shared" ref="AN109" si="87">AA109</f>
        <v>44013</v>
      </c>
      <c r="AO109" s="1937">
        <f t="shared" ref="AO109" si="88">AB109</f>
        <v>44166</v>
      </c>
      <c r="AP109" s="1937">
        <f t="shared" ref="AP109" si="89">AC109</f>
        <v>44531</v>
      </c>
      <c r="AQ109" s="1937" t="str">
        <f t="shared" ref="AQ109" si="90">AD109</f>
        <v>-</v>
      </c>
      <c r="AR109" s="1937" t="str">
        <f t="shared" ref="AR109" si="91">AE109</f>
        <v>-</v>
      </c>
      <c r="AS109" s="1937" t="str">
        <f t="shared" ref="AS109" si="92">AF109</f>
        <v>-</v>
      </c>
      <c r="AT109" s="1933"/>
      <c r="AU109" s="1936" t="s">
        <v>45</v>
      </c>
      <c r="AV109" s="1937">
        <f>W109</f>
        <v>43252</v>
      </c>
      <c r="AW109" s="1937">
        <f t="shared" ref="AW109" si="93">X109</f>
        <v>43465</v>
      </c>
      <c r="AX109" s="1937">
        <f t="shared" ref="AX109" si="94">Y109</f>
        <v>43800</v>
      </c>
      <c r="AY109" s="1937">
        <f t="shared" ref="AY109" si="95">Z109</f>
        <v>43862</v>
      </c>
      <c r="AZ109" s="1937">
        <f t="shared" ref="AZ109" si="96">AA109</f>
        <v>44013</v>
      </c>
      <c r="BA109" s="1937">
        <v>44166</v>
      </c>
      <c r="BB109" s="1937">
        <f t="shared" ref="BB109" si="97">AC109</f>
        <v>44531</v>
      </c>
      <c r="BC109" s="1937" t="str">
        <f t="shared" ref="BC109" si="98">AD109</f>
        <v>-</v>
      </c>
      <c r="BD109" s="1937" t="str">
        <f t="shared" ref="BD109" si="99">AE109</f>
        <v>-</v>
      </c>
      <c r="BE109" s="1937" t="str">
        <f t="shared" ref="BE109" si="100">AF109</f>
        <v>-</v>
      </c>
      <c r="BF109" s="1931"/>
      <c r="BG109" s="1931"/>
      <c r="BH109" s="1937">
        <f>$W$8</f>
        <v>43252</v>
      </c>
      <c r="BI109" s="1937">
        <f>$X$8</f>
        <v>43465</v>
      </c>
      <c r="BJ109" s="1937">
        <f>$Y$8</f>
        <v>43800</v>
      </c>
      <c r="BK109" s="1937">
        <f>$Z$8</f>
        <v>43862</v>
      </c>
      <c r="BL109" s="1937">
        <f>$AA$8</f>
        <v>44013</v>
      </c>
      <c r="BM109" s="1937">
        <v>44166</v>
      </c>
      <c r="BN109" s="1937">
        <f>$AC$8</f>
        <v>44531</v>
      </c>
      <c r="BO109" s="1937" t="str">
        <f>$AD$8</f>
        <v>-</v>
      </c>
      <c r="BP109" s="1937" t="str">
        <f>$AE$8</f>
        <v>-</v>
      </c>
      <c r="BQ109" s="1937" t="str">
        <f>$AF$8</f>
        <v>-</v>
      </c>
      <c r="BR109" s="1937" t="str">
        <f>$AG$8</f>
        <v>-</v>
      </c>
      <c r="BS109" s="1931"/>
      <c r="BT109" s="1931"/>
      <c r="BU109" s="1931"/>
      <c r="BV109" s="1931"/>
      <c r="BW109" s="1931"/>
      <c r="BX109" s="1931"/>
      <c r="BY109" s="1931"/>
      <c r="BZ109" s="1931"/>
      <c r="CA109" s="1931"/>
      <c r="CB109" s="1931"/>
      <c r="CC109" s="1931"/>
      <c r="CD109" s="1931"/>
      <c r="CE109" s="1931"/>
      <c r="CF109" s="1930"/>
      <c r="CG109" s="1930"/>
      <c r="CH109" s="1930"/>
      <c r="CI109" s="1930"/>
      <c r="CJ109" s="1931"/>
      <c r="CK109" s="1931"/>
      <c r="CL109" s="1931"/>
      <c r="CM109" s="1931"/>
      <c r="CN109" s="1931"/>
      <c r="CO109" s="1931"/>
      <c r="CP109" s="1931"/>
      <c r="CQ109" s="1931"/>
      <c r="CR109" s="1931"/>
      <c r="CS109" s="1931"/>
      <c r="CT109" s="1931"/>
      <c r="CU109" s="1930"/>
      <c r="CV109" s="1930"/>
      <c r="CW109" s="1930"/>
      <c r="CX109" s="1930"/>
      <c r="CY109" s="1931"/>
      <c r="CZ109" s="1931"/>
      <c r="DA109" s="1931"/>
      <c r="DB109" s="1931"/>
      <c r="DC109" s="1932"/>
      <c r="DD109" s="1931"/>
      <c r="DE109" s="1931"/>
      <c r="DF109" s="1931"/>
      <c r="DI109" s="1931"/>
    </row>
    <row r="110" spans="2:113" s="55" customFormat="1" ht="30" hidden="1" outlineLevel="1" x14ac:dyDescent="0.25">
      <c r="C110" s="151"/>
      <c r="D110" s="46" t="s">
        <v>28</v>
      </c>
      <c r="E110" s="3196" t="s">
        <v>111</v>
      </c>
      <c r="F110" s="3196" t="s">
        <v>2699</v>
      </c>
      <c r="G110" s="3196" t="s">
        <v>745</v>
      </c>
      <c r="H110" s="47" t="s">
        <v>2700</v>
      </c>
      <c r="I110" s="2090" t="str">
        <f>I48</f>
        <v>WHFe + -IFkWh</v>
      </c>
      <c r="J110" s="123"/>
      <c r="K110" s="123"/>
      <c r="L110" s="151"/>
      <c r="M110" s="401"/>
      <c r="N110" s="401"/>
      <c r="O110" s="401"/>
      <c r="P110" s="401"/>
      <c r="Q110" s="401"/>
      <c r="R110" s="401"/>
      <c r="S110" s="401"/>
      <c r="T110" s="401"/>
      <c r="U110" s="401"/>
      <c r="V110" s="56"/>
      <c r="W110" s="57" t="str">
        <f>$F$110</f>
        <v>kWControlled</v>
      </c>
      <c r="X110" s="57" t="str">
        <f t="shared" ref="X110:AG110" si="101">$F$110</f>
        <v>kWControlled</v>
      </c>
      <c r="Y110" s="57" t="str">
        <f t="shared" si="101"/>
        <v>kWControlled</v>
      </c>
      <c r="Z110" s="57" t="str">
        <f t="shared" si="101"/>
        <v>kWControlled</v>
      </c>
      <c r="AA110" s="57" t="str">
        <f t="shared" si="101"/>
        <v>kWControlled</v>
      </c>
      <c r="AB110" s="57" t="s">
        <v>2699</v>
      </c>
      <c r="AC110" s="57" t="str">
        <f t="shared" si="101"/>
        <v>kWControlled</v>
      </c>
      <c r="AD110" s="57" t="str">
        <f t="shared" si="101"/>
        <v>kWControlled</v>
      </c>
      <c r="AE110" s="57" t="str">
        <f t="shared" si="101"/>
        <v>kWControlled</v>
      </c>
      <c r="AF110" s="57" t="str">
        <f t="shared" si="101"/>
        <v>kWControlled</v>
      </c>
      <c r="AG110" s="57" t="str">
        <f t="shared" si="101"/>
        <v>kWControlled</v>
      </c>
      <c r="AI110" s="57" t="str">
        <f>$G$110</f>
        <v>Hours</v>
      </c>
      <c r="AJ110" s="57" t="str">
        <f t="shared" ref="AJ110:AS110" si="102">$G$110</f>
        <v>Hours</v>
      </c>
      <c r="AK110" s="57" t="str">
        <f t="shared" si="102"/>
        <v>Hours</v>
      </c>
      <c r="AL110" s="57" t="str">
        <f t="shared" si="102"/>
        <v>Hours</v>
      </c>
      <c r="AM110" s="57" t="str">
        <f t="shared" si="102"/>
        <v>Hours</v>
      </c>
      <c r="AN110" s="57" t="str">
        <f t="shared" si="102"/>
        <v>Hours</v>
      </c>
      <c r="AO110" s="57" t="str">
        <f t="shared" si="102"/>
        <v>Hours</v>
      </c>
      <c r="AP110" s="57" t="str">
        <f t="shared" si="102"/>
        <v>Hours</v>
      </c>
      <c r="AQ110" s="57" t="str">
        <f t="shared" si="102"/>
        <v>Hours</v>
      </c>
      <c r="AR110" s="57" t="str">
        <f t="shared" si="102"/>
        <v>Hours</v>
      </c>
      <c r="AS110" s="57" t="str">
        <f t="shared" si="102"/>
        <v>Hours</v>
      </c>
      <c r="AU110" s="58" t="str">
        <f>$H$110</f>
        <v>ESF</v>
      </c>
      <c r="AV110" s="58" t="str">
        <f t="shared" ref="AV110:BE110" si="103">$H$110</f>
        <v>ESF</v>
      </c>
      <c r="AW110" s="58" t="str">
        <f t="shared" si="103"/>
        <v>ESF</v>
      </c>
      <c r="AX110" s="58" t="str">
        <f t="shared" si="103"/>
        <v>ESF</v>
      </c>
      <c r="AY110" s="58" t="str">
        <f t="shared" si="103"/>
        <v>ESF</v>
      </c>
      <c r="AZ110" s="58" t="str">
        <f t="shared" si="103"/>
        <v>ESF</v>
      </c>
      <c r="BA110" s="58" t="s">
        <v>2700</v>
      </c>
      <c r="BB110" s="58" t="str">
        <f t="shared" si="103"/>
        <v>ESF</v>
      </c>
      <c r="BC110" s="58" t="str">
        <f t="shared" si="103"/>
        <v>ESF</v>
      </c>
      <c r="BD110" s="58" t="str">
        <f t="shared" si="103"/>
        <v>ESF</v>
      </c>
      <c r="BE110" s="58" t="str">
        <f t="shared" si="103"/>
        <v>ESF</v>
      </c>
      <c r="BH110" s="58" t="str">
        <f>$I$110</f>
        <v>WHFe + -IFkWh</v>
      </c>
      <c r="BI110" s="58" t="str">
        <f t="shared" ref="BI110:BR110" si="104">$I$110</f>
        <v>WHFe + -IFkWh</v>
      </c>
      <c r="BJ110" s="58" t="str">
        <f t="shared" si="104"/>
        <v>WHFe + -IFkWh</v>
      </c>
      <c r="BK110" s="58" t="str">
        <f t="shared" si="104"/>
        <v>WHFe + -IFkWh</v>
      </c>
      <c r="BL110" s="58" t="str">
        <f t="shared" si="104"/>
        <v>WHFe + -IFkWh</v>
      </c>
      <c r="BM110" s="58" t="s">
        <v>2693</v>
      </c>
      <c r="BN110" s="58" t="str">
        <f t="shared" si="104"/>
        <v>WHFe + -IFkWh</v>
      </c>
      <c r="BO110" s="58" t="str">
        <f t="shared" si="104"/>
        <v>WHFe + -IFkWh</v>
      </c>
      <c r="BP110" s="58" t="str">
        <f t="shared" si="104"/>
        <v>WHFe + -IFkWh</v>
      </c>
      <c r="BQ110" s="58" t="str">
        <f t="shared" si="104"/>
        <v>WHFe + -IFkWh</v>
      </c>
      <c r="BR110" s="58" t="str">
        <f t="shared" si="104"/>
        <v>WHFe + -IFkWh</v>
      </c>
      <c r="DC110" s="72"/>
    </row>
    <row r="111" spans="2:113" s="55" customFormat="1" hidden="1" outlineLevel="1" x14ac:dyDescent="0.25">
      <c r="C111" s="151"/>
      <c r="D111" s="1967" t="str">
        <f>C98</f>
        <v>801010_2020_07</v>
      </c>
      <c r="E111" s="1302" t="str">
        <f>E98</f>
        <v>Fixture Mounted Occupancy Sensor Controlling &gt; 60 Watts</v>
      </c>
      <c r="F111" s="1986">
        <v>0.13800000000000001</v>
      </c>
      <c r="G111" s="1311">
        <v>3351</v>
      </c>
      <c r="H111" s="1312">
        <v>0.24</v>
      </c>
      <c r="I111" s="2647">
        <v>1.071</v>
      </c>
      <c r="J111" s="123"/>
      <c r="K111" s="123"/>
      <c r="L111" s="151"/>
      <c r="M111" s="401"/>
      <c r="N111" s="401"/>
      <c r="O111" s="401"/>
      <c r="P111" s="401"/>
      <c r="Q111" s="401"/>
      <c r="R111" s="401"/>
      <c r="S111" s="401"/>
      <c r="T111" s="401"/>
      <c r="U111" s="401"/>
      <c r="V111" s="60" t="str">
        <f t="shared" ref="V111:V112" si="105">E111</f>
        <v>Fixture Mounted Occupancy Sensor Controlling &gt; 60 Watts</v>
      </c>
      <c r="W111" s="1939"/>
      <c r="X111" s="1939"/>
      <c r="Y111" s="1939"/>
      <c r="Z111" s="1941"/>
      <c r="AA111" s="2385">
        <v>0.13</v>
      </c>
      <c r="AB111" s="2384">
        <v>0.13800000000000001</v>
      </c>
      <c r="AC111" s="3370">
        <f t="shared" ref="AC111:AC112" si="106">F111</f>
        <v>0.13800000000000001</v>
      </c>
      <c r="AD111" s="1941"/>
      <c r="AE111" s="1941"/>
      <c r="AF111" s="1941"/>
      <c r="AG111" s="1941"/>
      <c r="AH111" s="1931"/>
      <c r="AI111" s="1939"/>
      <c r="AJ111" s="1939"/>
      <c r="AK111" s="1939"/>
      <c r="AL111" s="1941"/>
      <c r="AM111" s="1941"/>
      <c r="AN111" s="942">
        <v>3351</v>
      </c>
      <c r="AO111" s="2387">
        <v>3351</v>
      </c>
      <c r="AP111" s="3372">
        <f>G111</f>
        <v>3351</v>
      </c>
      <c r="AQ111" s="1941"/>
      <c r="AR111" s="1941"/>
      <c r="AS111" s="1941"/>
      <c r="AT111" s="1931"/>
      <c r="AU111" s="1939"/>
      <c r="AV111" s="1939"/>
      <c r="AW111" s="1939"/>
      <c r="AX111" s="1941"/>
      <c r="AY111" s="1941"/>
      <c r="AZ111" s="1958">
        <v>0.24</v>
      </c>
      <c r="BA111" s="2389">
        <v>0.24</v>
      </c>
      <c r="BB111" s="2389">
        <v>0.24</v>
      </c>
      <c r="BC111" s="1941"/>
      <c r="BD111" s="1941"/>
      <c r="BE111" s="1941"/>
      <c r="BF111" s="1931"/>
      <c r="BG111" s="1931"/>
      <c r="BH111" s="1939"/>
      <c r="BI111" s="1939"/>
      <c r="BJ111" s="1939"/>
      <c r="BK111" s="1941"/>
      <c r="BL111" s="1958">
        <v>1.07</v>
      </c>
      <c r="BM111" s="1825">
        <v>1.071</v>
      </c>
      <c r="BN111" s="1825">
        <v>1.071</v>
      </c>
      <c r="BO111" s="1941"/>
      <c r="BP111" s="1941"/>
      <c r="BQ111" s="1941"/>
      <c r="BR111" s="1941"/>
      <c r="DC111" s="72"/>
    </row>
    <row r="112" spans="2:113" s="55" customFormat="1" hidden="1" outlineLevel="1" x14ac:dyDescent="0.25">
      <c r="C112" s="151"/>
      <c r="D112" s="1967" t="str">
        <f>C99</f>
        <v>801020_2020_07</v>
      </c>
      <c r="E112" s="1302" t="str">
        <f>E99</f>
        <v>Remote Mounted Occupancy Sensor Controlling &gt; 150 Watts</v>
      </c>
      <c r="F112" s="1986">
        <v>0.33800000000000002</v>
      </c>
      <c r="G112" s="1311">
        <v>3351</v>
      </c>
      <c r="H112" s="1312">
        <v>0.24</v>
      </c>
      <c r="I112" s="2647">
        <v>1.071</v>
      </c>
      <c r="J112" s="123"/>
      <c r="K112" s="123"/>
      <c r="L112" s="151"/>
      <c r="M112" s="401"/>
      <c r="N112" s="401"/>
      <c r="O112" s="401"/>
      <c r="P112" s="401"/>
      <c r="Q112" s="401"/>
      <c r="R112" s="401"/>
      <c r="S112" s="401"/>
      <c r="T112" s="401"/>
      <c r="U112" s="401"/>
      <c r="V112" s="60" t="str">
        <f t="shared" si="105"/>
        <v>Remote Mounted Occupancy Sensor Controlling &gt; 150 Watts</v>
      </c>
      <c r="W112" s="1939"/>
      <c r="X112" s="1939"/>
      <c r="Y112" s="1939"/>
      <c r="Z112" s="1941"/>
      <c r="AA112" s="2385">
        <v>0.33800000000000002</v>
      </c>
      <c r="AB112" s="2384">
        <v>0.33800000000000002</v>
      </c>
      <c r="AC112" s="3370">
        <f t="shared" si="106"/>
        <v>0.33800000000000002</v>
      </c>
      <c r="AD112" s="1941"/>
      <c r="AE112" s="1941"/>
      <c r="AF112" s="1941"/>
      <c r="AG112" s="1941"/>
      <c r="AH112" s="1931"/>
      <c r="AI112" s="1939"/>
      <c r="AJ112" s="1939"/>
      <c r="AK112" s="1939"/>
      <c r="AL112" s="1941"/>
      <c r="AM112" s="1941"/>
      <c r="AN112" s="942">
        <v>3351</v>
      </c>
      <c r="AO112" s="2387">
        <v>3351</v>
      </c>
      <c r="AP112" s="3372">
        <f>G112</f>
        <v>3351</v>
      </c>
      <c r="AQ112" s="1941"/>
      <c r="AR112" s="1941"/>
      <c r="AS112" s="1941"/>
      <c r="AT112" s="1931"/>
      <c r="AU112" s="1939"/>
      <c r="AV112" s="1939"/>
      <c r="AW112" s="1939"/>
      <c r="AX112" s="1941"/>
      <c r="AY112" s="1941"/>
      <c r="AZ112" s="1958">
        <v>0.24</v>
      </c>
      <c r="BA112" s="2389">
        <v>0.24</v>
      </c>
      <c r="BB112" s="2389">
        <v>0.24</v>
      </c>
      <c r="BC112" s="1941"/>
      <c r="BD112" s="1941"/>
      <c r="BE112" s="1941"/>
      <c r="BF112" s="1931"/>
      <c r="BG112" s="1931"/>
      <c r="BH112" s="1939"/>
      <c r="BI112" s="1939"/>
      <c r="BJ112" s="1939"/>
      <c r="BK112" s="1941"/>
      <c r="BL112" s="1958">
        <v>1.07</v>
      </c>
      <c r="BM112" s="1825">
        <v>1.071</v>
      </c>
      <c r="BN112" s="1825">
        <v>1.071</v>
      </c>
      <c r="BO112" s="1941"/>
      <c r="BP112" s="1941"/>
      <c r="BQ112" s="1941"/>
      <c r="BR112" s="1941"/>
      <c r="DC112" s="72"/>
    </row>
    <row r="113" spans="2:109" s="55" customFormat="1" collapsed="1" x14ac:dyDescent="0.25">
      <c r="C113" s="151"/>
      <c r="D113" s="1313" t="s">
        <v>2701</v>
      </c>
      <c r="E113" s="1313"/>
      <c r="F113" s="1314"/>
      <c r="G113" s="1314"/>
      <c r="H113" s="1315"/>
      <c r="I113" s="1314"/>
      <c r="J113" s="1314"/>
      <c r="K113" s="401"/>
      <c r="L113" s="151"/>
      <c r="M113" s="401"/>
      <c r="N113" s="401"/>
      <c r="O113" s="401"/>
      <c r="P113" s="401"/>
      <c r="Q113" s="401"/>
      <c r="R113" s="401"/>
      <c r="S113" s="401"/>
      <c r="T113" s="401"/>
      <c r="U113" s="401"/>
      <c r="DB113" s="72"/>
    </row>
    <row r="114" spans="2:109" s="55" customFormat="1" x14ac:dyDescent="0.25">
      <c r="C114" s="151"/>
      <c r="D114" s="151"/>
      <c r="E114" s="151"/>
      <c r="F114" s="151"/>
      <c r="G114" s="1314"/>
      <c r="H114" s="1315"/>
      <c r="I114" s="1314"/>
      <c r="J114" s="1314"/>
      <c r="K114" s="401"/>
      <c r="L114" s="151"/>
      <c r="M114" s="401"/>
      <c r="N114" s="401"/>
      <c r="O114" s="401"/>
      <c r="P114" s="401"/>
      <c r="Q114" s="401"/>
      <c r="R114" s="401"/>
      <c r="S114" s="401"/>
      <c r="T114" s="401"/>
      <c r="U114" s="401"/>
      <c r="DB114" s="72"/>
    </row>
    <row r="115" spans="2:109" s="55" customFormat="1" x14ac:dyDescent="0.25">
      <c r="C115" s="151"/>
      <c r="D115" s="151"/>
      <c r="E115" s="151"/>
      <c r="F115" s="151"/>
      <c r="G115" s="1314"/>
      <c r="H115" s="1315"/>
      <c r="I115" s="1314"/>
      <c r="J115" s="1314"/>
      <c r="K115" s="401"/>
      <c r="L115" s="151"/>
      <c r="M115" s="401"/>
      <c r="N115" s="401"/>
      <c r="O115" s="401"/>
      <c r="P115" s="401"/>
      <c r="Q115" s="401"/>
      <c r="R115" s="401"/>
      <c r="S115" s="401"/>
      <c r="T115" s="401"/>
      <c r="U115" s="401"/>
      <c r="DB115" s="72"/>
    </row>
    <row r="116" spans="2:109" s="1935" customFormat="1" x14ac:dyDescent="0.25">
      <c r="B116" s="4491" t="s">
        <v>2702</v>
      </c>
      <c r="C116" s="4492"/>
      <c r="D116" s="4492"/>
      <c r="E116" s="4492"/>
      <c r="F116" s="4492"/>
      <c r="G116" s="4492"/>
      <c r="H116" s="4492"/>
      <c r="I116" s="4493"/>
      <c r="J116" s="4493"/>
      <c r="K116" s="4493"/>
      <c r="L116" s="4493"/>
      <c r="M116" s="4494"/>
      <c r="N116" s="4494"/>
      <c r="O116" s="4495"/>
      <c r="V116" s="3077" t="str">
        <f>B116</f>
        <v>Lighting - LED with Network Controls</v>
      </c>
      <c r="W116" s="3078"/>
      <c r="X116" s="3078"/>
      <c r="Y116" s="3078"/>
      <c r="Z116" s="3078"/>
      <c r="AA116" s="3078"/>
      <c r="AB116" s="3078"/>
      <c r="AC116" s="3078"/>
      <c r="AD116" s="3078"/>
      <c r="AE116" s="3078"/>
      <c r="AF116" s="3078"/>
      <c r="AG116" s="3078"/>
      <c r="AH116" s="3078"/>
      <c r="AI116" s="3170"/>
      <c r="AJ116" s="1931"/>
      <c r="AK116" s="1931"/>
      <c r="AL116" s="1931"/>
      <c r="AM116" s="1931"/>
      <c r="AN116" s="1931"/>
      <c r="AO116" s="1931"/>
      <c r="AP116" s="1931"/>
      <c r="AQ116" s="1931"/>
      <c r="AR116" s="1931"/>
      <c r="AS116" s="1931"/>
      <c r="AT116" s="1931"/>
      <c r="AU116" s="1931"/>
      <c r="CI116" s="1934"/>
      <c r="DB116" s="42"/>
      <c r="DC116" s="1934"/>
      <c r="DD116" s="1934"/>
      <c r="DE116" s="1934"/>
    </row>
    <row r="117" spans="2:109" s="55" customFormat="1" x14ac:dyDescent="0.25">
      <c r="C117" s="151"/>
      <c r="D117" s="151"/>
      <c r="E117" s="151"/>
      <c r="F117" s="151"/>
      <c r="G117" s="151"/>
      <c r="H117" s="151"/>
      <c r="I117" s="1314"/>
      <c r="J117" s="1314"/>
      <c r="K117" s="401"/>
      <c r="L117" s="151"/>
      <c r="M117" s="401"/>
      <c r="N117" s="401"/>
      <c r="O117" s="401"/>
      <c r="P117" s="401"/>
      <c r="Q117" s="401"/>
      <c r="R117" s="401"/>
      <c r="S117" s="401"/>
      <c r="T117" s="401"/>
      <c r="U117" s="401"/>
      <c r="DB117" s="72"/>
    </row>
    <row r="118" spans="2:109" s="55" customFormat="1" ht="30" x14ac:dyDescent="0.25">
      <c r="C118" s="46" t="s">
        <v>28</v>
      </c>
      <c r="D118" s="3196" t="s">
        <v>29</v>
      </c>
      <c r="E118" s="3196" t="s">
        <v>30</v>
      </c>
      <c r="F118" s="3196" t="s">
        <v>31</v>
      </c>
      <c r="G118" s="3196" t="s">
        <v>176</v>
      </c>
      <c r="H118" s="47" t="s">
        <v>177</v>
      </c>
      <c r="I118" s="3196" t="s">
        <v>32</v>
      </c>
      <c r="J118" s="3196" t="s">
        <v>181</v>
      </c>
      <c r="K118" s="46" t="s">
        <v>170</v>
      </c>
      <c r="L118" s="46" t="s">
        <v>44</v>
      </c>
      <c r="M118" s="401"/>
      <c r="N118" s="401"/>
      <c r="O118" s="401"/>
      <c r="P118" s="401"/>
      <c r="Q118" s="401"/>
      <c r="R118" s="401"/>
      <c r="S118" s="401"/>
      <c r="T118" s="401"/>
      <c r="U118" s="401"/>
      <c r="V118" s="1936" t="s">
        <v>45</v>
      </c>
      <c r="W118" s="1937">
        <f>$W$8</f>
        <v>43252</v>
      </c>
      <c r="X118" s="1937">
        <f>$X$8</f>
        <v>43465</v>
      </c>
      <c r="Y118" s="1937">
        <f>$Y$8</f>
        <v>43800</v>
      </c>
      <c r="Z118" s="1937">
        <f>$Z$8</f>
        <v>43862</v>
      </c>
      <c r="AA118" s="1937">
        <f>$AA$8</f>
        <v>44013</v>
      </c>
      <c r="AB118" s="1937">
        <v>44166</v>
      </c>
      <c r="AC118" s="1937">
        <f>$AC$8</f>
        <v>44531</v>
      </c>
      <c r="AD118" s="1937" t="str">
        <f>$AD$8</f>
        <v>-</v>
      </c>
      <c r="AE118" s="1937" t="str">
        <f>$AE$8</f>
        <v>-</v>
      </c>
      <c r="AF118" s="1937" t="str">
        <f>$AF$8</f>
        <v>-</v>
      </c>
      <c r="AG118" s="1937" t="str">
        <f>$AG$8</f>
        <v>-</v>
      </c>
      <c r="AH118" s="44"/>
      <c r="AI118" s="1936" t="s">
        <v>45</v>
      </c>
      <c r="AJ118" s="1937">
        <f>W118</f>
        <v>43252</v>
      </c>
      <c r="AK118" s="1937">
        <f t="shared" ref="AK118" si="107">X118</f>
        <v>43465</v>
      </c>
      <c r="AL118" s="1937">
        <f t="shared" ref="AL118" si="108">Y118</f>
        <v>43800</v>
      </c>
      <c r="AM118" s="1937">
        <f t="shared" ref="AM118" si="109">Z118</f>
        <v>43862</v>
      </c>
      <c r="AN118" s="1937">
        <f t="shared" ref="AN118" si="110">AA118</f>
        <v>44013</v>
      </c>
      <c r="AO118" s="1937">
        <f t="shared" ref="AO118" si="111">AB118</f>
        <v>44166</v>
      </c>
      <c r="AP118" s="1937">
        <f t="shared" ref="AP118" si="112">AC118</f>
        <v>44531</v>
      </c>
      <c r="AQ118" s="1937" t="str">
        <f t="shared" ref="AQ118" si="113">AD118</f>
        <v>-</v>
      </c>
      <c r="AR118" s="1937" t="str">
        <f t="shared" ref="AR118" si="114">AE118</f>
        <v>-</v>
      </c>
      <c r="AS118" s="1937" t="str">
        <f t="shared" ref="AS118" si="115">AF118</f>
        <v>-</v>
      </c>
      <c r="AT118" s="1933"/>
      <c r="AU118" s="1936" t="s">
        <v>45</v>
      </c>
      <c r="AV118" s="1937">
        <f>W118</f>
        <v>43252</v>
      </c>
      <c r="AW118" s="1937">
        <f t="shared" ref="AW118" si="116">X118</f>
        <v>43465</v>
      </c>
      <c r="AX118" s="1937">
        <f t="shared" ref="AX118" si="117">Y118</f>
        <v>43800</v>
      </c>
      <c r="AY118" s="1937">
        <f t="shared" ref="AY118" si="118">Z118</f>
        <v>43862</v>
      </c>
      <c r="AZ118" s="1937">
        <f t="shared" ref="AZ118" si="119">AA118</f>
        <v>44013</v>
      </c>
      <c r="BA118" s="1937">
        <v>44166</v>
      </c>
      <c r="BB118" s="1937">
        <f t="shared" ref="BB118" si="120">AC118</f>
        <v>44531</v>
      </c>
      <c r="BC118" s="1937" t="str">
        <f t="shared" ref="BC118" si="121">AD118</f>
        <v>-</v>
      </c>
      <c r="BD118" s="1937" t="str">
        <f t="shared" ref="BD118" si="122">AE118</f>
        <v>-</v>
      </c>
      <c r="BE118" s="1937" t="str">
        <f t="shared" ref="BE118" si="123">AF118</f>
        <v>-</v>
      </c>
      <c r="DB118" s="1938" t="str">
        <f>$DB$8</f>
        <v>TRC (2020)</v>
      </c>
      <c r="DC118" s="1953" t="str">
        <f>$DC$8</f>
        <v>Benefit Lookup</v>
      </c>
      <c r="DD118" s="1953" t="str">
        <f>$DD$8</f>
        <v>Benefits (2019 $)</v>
      </c>
      <c r="DE118" s="1953" t="str">
        <f>$DE$8</f>
        <v>Incremental Cost (2019 $)</v>
      </c>
    </row>
    <row r="119" spans="2:109" s="55" customFormat="1" x14ac:dyDescent="0.25">
      <c r="C119" s="2648" t="s">
        <v>2703</v>
      </c>
      <c r="D119" s="1289" t="s">
        <v>2646</v>
      </c>
      <c r="E119" s="1308" t="s">
        <v>2704</v>
      </c>
      <c r="F119" s="1959">
        <f>((F137-(G137*(1-I137)))/1000)*H137*J137*K137</f>
        <v>177.5967703311523</v>
      </c>
      <c r="G119" s="1290" t="s">
        <v>55</v>
      </c>
      <c r="H119" s="1291">
        <f>VLOOKUP(G119,'CP FACTORS'!$A$26:$B$38,2,FALSE)</f>
        <v>1.899635E-4</v>
      </c>
      <c r="I119" s="1309">
        <f>ROUND(F119*H119,6)</f>
        <v>3.3737000000000003E-2</v>
      </c>
      <c r="J119" s="64">
        <f>K65</f>
        <v>15</v>
      </c>
      <c r="K119" s="1310">
        <v>55.76</v>
      </c>
      <c r="L119" s="1292" t="s">
        <v>185</v>
      </c>
      <c r="M119" s="401"/>
      <c r="N119" s="401"/>
      <c r="O119" s="401"/>
      <c r="P119" s="401"/>
      <c r="Q119" s="401"/>
      <c r="R119" s="401"/>
      <c r="S119" s="401"/>
      <c r="T119" s="401"/>
      <c r="U119" s="401"/>
      <c r="V119" s="3226" t="s">
        <v>31</v>
      </c>
      <c r="W119" s="1939"/>
      <c r="X119" s="1939"/>
      <c r="Y119" s="1939"/>
      <c r="Z119" s="1941"/>
      <c r="AA119" s="139"/>
      <c r="AB119" s="2002">
        <v>200.80963876496943</v>
      </c>
      <c r="AC119" s="3364">
        <v>177.52930271999998</v>
      </c>
      <c r="AD119" s="1941"/>
      <c r="AE119" s="1941"/>
      <c r="AF119" s="1941"/>
      <c r="AG119" s="1941"/>
      <c r="AH119" s="1931"/>
      <c r="AI119" s="3226" t="s">
        <v>181</v>
      </c>
      <c r="AJ119" s="1943"/>
      <c r="AK119" s="1943"/>
      <c r="AL119" s="1943"/>
      <c r="AM119" s="1941"/>
      <c r="AN119" s="1922"/>
      <c r="AO119" s="2430">
        <v>15</v>
      </c>
      <c r="AP119" s="1825">
        <v>15</v>
      </c>
      <c r="AQ119" s="1941"/>
      <c r="AR119" s="1941"/>
      <c r="AS119" s="1941"/>
      <c r="AT119" s="1933"/>
      <c r="AU119" s="3226" t="s">
        <v>170</v>
      </c>
      <c r="AV119" s="1944"/>
      <c r="AW119" s="1944"/>
      <c r="AX119" s="1944"/>
      <c r="AY119" s="1928"/>
      <c r="AZ119" s="1928"/>
      <c r="BA119" s="2391">
        <v>55.76</v>
      </c>
      <c r="BB119" s="1594">
        <v>55.76</v>
      </c>
      <c r="BC119" s="1941"/>
      <c r="BD119" s="1941"/>
      <c r="BE119" s="1941"/>
      <c r="DB119" s="53">
        <f t="shared" ref="DB119:DB126" si="124">(DD119)/(DE119)</f>
        <v>1.9552047814802895</v>
      </c>
      <c r="DC119" s="1948" t="str">
        <f t="shared" ref="DC119:DC126" si="125">CONCATENATE(G119," ",J119," Year EUL")</f>
        <v>Lighting BUS 15 Year EUL</v>
      </c>
      <c r="DD119" s="1950">
        <f>(INDEX('Avoided Cost Benefits'!$C$4:$C$857,MATCH(DC119,'Avoided Cost Benefits'!$A$4:$A$857,0)))*F119</f>
        <v>102.89968722542797</v>
      </c>
      <c r="DE119" s="1950">
        <f t="shared" ref="DE119:DE126" si="126">K119/(1.0595^(2020-2019))</f>
        <v>52.628598395469552</v>
      </c>
    </row>
    <row r="120" spans="2:109" s="55" customFormat="1" x14ac:dyDescent="0.25">
      <c r="C120" s="2648" t="s">
        <v>2705</v>
      </c>
      <c r="D120" s="1289" t="s">
        <v>2646</v>
      </c>
      <c r="E120" s="1308" t="s">
        <v>2706</v>
      </c>
      <c r="F120" s="1959">
        <f t="shared" ref="F120:F126" si="127">((F138-(G138*(1-I138)))/1000)*H138*J138*K138</f>
        <v>177.5967703311523</v>
      </c>
      <c r="G120" s="1290" t="s">
        <v>55</v>
      </c>
      <c r="H120" s="1291">
        <f>VLOOKUP(G120,'CP FACTORS'!$A$26:$B$38,2,FALSE)</f>
        <v>1.899635E-4</v>
      </c>
      <c r="I120" s="1309">
        <f>ROUND(F120*H120,6)</f>
        <v>3.3737000000000003E-2</v>
      </c>
      <c r="J120" s="64">
        <f>K65</f>
        <v>15</v>
      </c>
      <c r="K120" s="1310">
        <v>55.76</v>
      </c>
      <c r="L120" s="1292" t="s">
        <v>185</v>
      </c>
      <c r="M120" s="401"/>
      <c r="N120" s="401"/>
      <c r="O120" s="401"/>
      <c r="P120" s="401"/>
      <c r="Q120" s="401"/>
      <c r="R120" s="401"/>
      <c r="S120" s="401"/>
      <c r="T120" s="401"/>
      <c r="U120" s="401"/>
      <c r="V120" s="3226" t="s">
        <v>31</v>
      </c>
      <c r="W120" s="1939"/>
      <c r="X120" s="1939"/>
      <c r="Y120" s="1939"/>
      <c r="Z120" s="1939"/>
      <c r="AA120" s="139"/>
      <c r="AB120" s="2002">
        <v>188.73868765259346</v>
      </c>
      <c r="AC120" s="3364">
        <v>177.52930271999998</v>
      </c>
      <c r="AD120" s="1939"/>
      <c r="AE120" s="1939"/>
      <c r="AF120" s="1939"/>
      <c r="AG120" s="1939"/>
      <c r="AH120" s="1931"/>
      <c r="AI120" s="3226" t="s">
        <v>181</v>
      </c>
      <c r="AJ120" s="1943"/>
      <c r="AK120" s="1943"/>
      <c r="AL120" s="1943"/>
      <c r="AM120" s="1939"/>
      <c r="AN120" s="1922"/>
      <c r="AO120" s="2430">
        <v>15</v>
      </c>
      <c r="AP120" s="1825">
        <v>15</v>
      </c>
      <c r="AQ120" s="1939"/>
      <c r="AR120" s="1939"/>
      <c r="AS120" s="1939"/>
      <c r="AT120" s="1933"/>
      <c r="AU120" s="3226" t="s">
        <v>170</v>
      </c>
      <c r="AV120" s="1944"/>
      <c r="AW120" s="1944"/>
      <c r="AX120" s="1944"/>
      <c r="AY120" s="1928"/>
      <c r="AZ120" s="1928"/>
      <c r="BA120" s="2391">
        <v>55.76</v>
      </c>
      <c r="BB120" s="1594">
        <v>55.76</v>
      </c>
      <c r="BC120" s="1939"/>
      <c r="BD120" s="1939"/>
      <c r="BE120" s="1939"/>
      <c r="DB120" s="53">
        <f t="shared" si="124"/>
        <v>1.9552047814802895</v>
      </c>
      <c r="DC120" s="1948" t="str">
        <f t="shared" si="125"/>
        <v>Lighting BUS 15 Year EUL</v>
      </c>
      <c r="DD120" s="1950">
        <f>(INDEX('Avoided Cost Benefits'!$C$4:$C$857,MATCH(DC120,'Avoided Cost Benefits'!$A$4:$A$857,0)))*F120</f>
        <v>102.89968722542797</v>
      </c>
      <c r="DE120" s="1950">
        <f t="shared" si="126"/>
        <v>52.628598395469552</v>
      </c>
    </row>
    <row r="121" spans="2:109" s="55" customFormat="1" x14ac:dyDescent="0.25">
      <c r="C121" s="2648" t="s">
        <v>2707</v>
      </c>
      <c r="D121" s="1289" t="s">
        <v>2646</v>
      </c>
      <c r="E121" s="1308" t="s">
        <v>2708</v>
      </c>
      <c r="F121" s="1959">
        <f t="shared" si="127"/>
        <v>69.207472169124159</v>
      </c>
      <c r="G121" s="1290" t="s">
        <v>55</v>
      </c>
      <c r="H121" s="1291">
        <f>VLOOKUP(G121,'CP FACTORS'!$A$26:$B$38,2,FALSE)</f>
        <v>1.899635E-4</v>
      </c>
      <c r="I121" s="1309">
        <f t="shared" ref="I121:I126" si="128">ROUND(F121*H121,6)</f>
        <v>1.3147000000000001E-2</v>
      </c>
      <c r="J121" s="64">
        <f>K68</f>
        <v>15</v>
      </c>
      <c r="K121" s="1310">
        <v>55.76</v>
      </c>
      <c r="L121" s="1292" t="s">
        <v>185</v>
      </c>
      <c r="M121" s="401"/>
      <c r="N121" s="401"/>
      <c r="O121" s="401"/>
      <c r="P121" s="401"/>
      <c r="Q121" s="401"/>
      <c r="R121" s="401"/>
      <c r="S121" s="401"/>
      <c r="T121" s="401"/>
      <c r="U121" s="401"/>
      <c r="V121" s="3226" t="s">
        <v>31</v>
      </c>
      <c r="W121" s="1939"/>
      <c r="X121" s="1939"/>
      <c r="Y121" s="1939"/>
      <c r="Z121" s="1939"/>
      <c r="AA121" s="139"/>
      <c r="AB121" s="2002">
        <v>81.090816470619487</v>
      </c>
      <c r="AC121" s="3364">
        <v>70.923093696000009</v>
      </c>
      <c r="AD121" s="1939"/>
      <c r="AE121" s="1939"/>
      <c r="AF121" s="1939"/>
      <c r="AG121" s="1939"/>
      <c r="AH121" s="1931"/>
      <c r="AI121" s="3226" t="s">
        <v>181</v>
      </c>
      <c r="AJ121" s="1943"/>
      <c r="AK121" s="1943"/>
      <c r="AL121" s="1943"/>
      <c r="AM121" s="1939"/>
      <c r="AN121" s="1922"/>
      <c r="AO121" s="2430">
        <v>15</v>
      </c>
      <c r="AP121" s="1825">
        <v>15</v>
      </c>
      <c r="AQ121" s="1939"/>
      <c r="AR121" s="1939"/>
      <c r="AS121" s="1939"/>
      <c r="AT121" s="1933"/>
      <c r="AU121" s="3226" t="s">
        <v>170</v>
      </c>
      <c r="AV121" s="1944"/>
      <c r="AW121" s="1944"/>
      <c r="AX121" s="1944"/>
      <c r="AY121" s="1928"/>
      <c r="AZ121" s="1928"/>
      <c r="BA121" s="2391">
        <v>55.76</v>
      </c>
      <c r="BB121" s="1594">
        <v>55.76</v>
      </c>
      <c r="BC121" s="1939"/>
      <c r="BD121" s="1939"/>
      <c r="BE121" s="1939"/>
      <c r="DB121" s="53">
        <f t="shared" si="124"/>
        <v>0.76192140345189607</v>
      </c>
      <c r="DC121" s="1948" t="str">
        <f t="shared" si="125"/>
        <v>Lighting BUS 15 Year EUL</v>
      </c>
      <c r="DD121" s="1950">
        <f>(INDEX('Avoided Cost Benefits'!$C$4:$C$857,MATCH(DC121,'Avoided Cost Benefits'!$A$4:$A$857,0)))*F121</f>
        <v>40.098855551182368</v>
      </c>
      <c r="DE121" s="1950">
        <f t="shared" si="126"/>
        <v>52.628598395469552</v>
      </c>
    </row>
    <row r="122" spans="2:109" s="55" customFormat="1" x14ac:dyDescent="0.25">
      <c r="C122" s="2648" t="s">
        <v>2709</v>
      </c>
      <c r="D122" s="1289" t="s">
        <v>2646</v>
      </c>
      <c r="E122" s="1308" t="s">
        <v>2710</v>
      </c>
      <c r="F122" s="1959">
        <f t="shared" si="127"/>
        <v>69.207472169124159</v>
      </c>
      <c r="G122" s="1290" t="s">
        <v>55</v>
      </c>
      <c r="H122" s="1291">
        <f>VLOOKUP(G122,'CP FACTORS'!$A$26:$B$38,2,FALSE)</f>
        <v>1.899635E-4</v>
      </c>
      <c r="I122" s="1309">
        <f t="shared" si="128"/>
        <v>1.3147000000000001E-2</v>
      </c>
      <c r="J122" s="64">
        <f>K68</f>
        <v>15</v>
      </c>
      <c r="K122" s="1310">
        <v>55.76</v>
      </c>
      <c r="L122" s="1292" t="s">
        <v>185</v>
      </c>
      <c r="M122" s="401"/>
      <c r="N122" s="401"/>
      <c r="O122" s="401"/>
      <c r="P122" s="401"/>
      <c r="Q122" s="401"/>
      <c r="R122" s="401"/>
      <c r="S122" s="401"/>
      <c r="T122" s="401"/>
      <c r="U122" s="401"/>
      <c r="V122" s="3226" t="s">
        <v>31</v>
      </c>
      <c r="W122" s="1939"/>
      <c r="X122" s="1939"/>
      <c r="Y122" s="1939"/>
      <c r="Z122" s="1939"/>
      <c r="AA122" s="139"/>
      <c r="AB122" s="2002">
        <v>82.679046132979281</v>
      </c>
      <c r="AC122" s="3364">
        <v>70.923093696000009</v>
      </c>
      <c r="AD122" s="1939"/>
      <c r="AE122" s="1939"/>
      <c r="AF122" s="1939"/>
      <c r="AG122" s="1939"/>
      <c r="AH122" s="1931"/>
      <c r="AI122" s="3226" t="s">
        <v>181</v>
      </c>
      <c r="AJ122" s="1943"/>
      <c r="AK122" s="1943"/>
      <c r="AL122" s="1943"/>
      <c r="AM122" s="1939"/>
      <c r="AN122" s="1922"/>
      <c r="AO122" s="2430">
        <v>15</v>
      </c>
      <c r="AP122" s="1825">
        <v>15</v>
      </c>
      <c r="AQ122" s="1939"/>
      <c r="AR122" s="1939"/>
      <c r="AS122" s="1939"/>
      <c r="AT122" s="1933"/>
      <c r="AU122" s="3226" t="s">
        <v>170</v>
      </c>
      <c r="AV122" s="1944"/>
      <c r="AW122" s="1944"/>
      <c r="AX122" s="1944"/>
      <c r="AY122" s="1928"/>
      <c r="AZ122" s="1928"/>
      <c r="BA122" s="2391">
        <v>55.76</v>
      </c>
      <c r="BB122" s="1594">
        <v>55.76</v>
      </c>
      <c r="BC122" s="1939"/>
      <c r="BD122" s="1939"/>
      <c r="BE122" s="1939"/>
      <c r="DB122" s="53">
        <f t="shared" si="124"/>
        <v>0.76192140345189607</v>
      </c>
      <c r="DC122" s="1948" t="str">
        <f t="shared" si="125"/>
        <v>Lighting BUS 15 Year EUL</v>
      </c>
      <c r="DD122" s="1950">
        <f>(INDEX('Avoided Cost Benefits'!$C$4:$C$857,MATCH(DC122,'Avoided Cost Benefits'!$A$4:$A$857,0)))*F122</f>
        <v>40.098855551182368</v>
      </c>
      <c r="DE122" s="1950">
        <f t="shared" si="126"/>
        <v>52.628598395469552</v>
      </c>
    </row>
    <row r="123" spans="2:109" s="55" customFormat="1" x14ac:dyDescent="0.25">
      <c r="C123" s="2648" t="s">
        <v>2711</v>
      </c>
      <c r="D123" s="1289" t="s">
        <v>2646</v>
      </c>
      <c r="E123" s="1308" t="s">
        <v>2712</v>
      </c>
      <c r="F123" s="1959">
        <f t="shared" si="127"/>
        <v>79.815333965362584</v>
      </c>
      <c r="G123" s="1290" t="s">
        <v>55</v>
      </c>
      <c r="H123" s="1291">
        <f>VLOOKUP(G123,'CP FACTORS'!$A$26:$B$38,2,FALSE)</f>
        <v>1.899635E-4</v>
      </c>
      <c r="I123" s="1309">
        <f t="shared" si="128"/>
        <v>1.5162E-2</v>
      </c>
      <c r="J123" s="64">
        <f>K71</f>
        <v>15</v>
      </c>
      <c r="K123" s="1310">
        <v>55.76</v>
      </c>
      <c r="L123" s="1292" t="s">
        <v>185</v>
      </c>
      <c r="M123" s="401"/>
      <c r="N123" s="401"/>
      <c r="O123" s="401"/>
      <c r="P123" s="401"/>
      <c r="Q123" s="401"/>
      <c r="R123" s="401"/>
      <c r="S123" s="401"/>
      <c r="T123" s="401"/>
      <c r="U123" s="401"/>
      <c r="V123" s="3226" t="s">
        <v>31</v>
      </c>
      <c r="W123" s="1939"/>
      <c r="X123" s="1939"/>
      <c r="Y123" s="1939"/>
      <c r="Z123" s="1939"/>
      <c r="AA123" s="139"/>
      <c r="AB123" s="2002">
        <v>116.29011137881363</v>
      </c>
      <c r="AC123" s="3364">
        <v>79.772158367999992</v>
      </c>
      <c r="AD123" s="1939"/>
      <c r="AE123" s="1939"/>
      <c r="AF123" s="1939"/>
      <c r="AG123" s="1939"/>
      <c r="AH123" s="1931"/>
      <c r="AI123" s="3226" t="s">
        <v>181</v>
      </c>
      <c r="AJ123" s="1943"/>
      <c r="AK123" s="1943"/>
      <c r="AL123" s="1943"/>
      <c r="AM123" s="1939"/>
      <c r="AN123" s="1922"/>
      <c r="AO123" s="2430">
        <v>15</v>
      </c>
      <c r="AP123" s="1825">
        <v>15</v>
      </c>
      <c r="AQ123" s="1939"/>
      <c r="AR123" s="1939"/>
      <c r="AS123" s="1939"/>
      <c r="AT123" s="1933"/>
      <c r="AU123" s="3226" t="s">
        <v>170</v>
      </c>
      <c r="AV123" s="1944"/>
      <c r="AW123" s="1944"/>
      <c r="AX123" s="1944"/>
      <c r="AY123" s="1928"/>
      <c r="AZ123" s="1928"/>
      <c r="BA123" s="2391">
        <v>55.76</v>
      </c>
      <c r="BB123" s="1594">
        <v>55.76</v>
      </c>
      <c r="BC123" s="1939"/>
      <c r="BD123" s="1939"/>
      <c r="BE123" s="1939"/>
      <c r="DB123" s="53">
        <f t="shared" si="124"/>
        <v>0.87870585885958186</v>
      </c>
      <c r="DC123" s="1948" t="str">
        <f t="shared" si="125"/>
        <v>Lighting BUS 15 Year EUL</v>
      </c>
      <c r="DD123" s="1950">
        <f>(INDEX('Avoided Cost Benefits'!$C$4:$C$857,MATCH(DC123,'Avoided Cost Benefits'!$A$4:$A$857,0)))*F123</f>
        <v>46.245057753667083</v>
      </c>
      <c r="DE123" s="1950">
        <f t="shared" si="126"/>
        <v>52.628598395469552</v>
      </c>
    </row>
    <row r="124" spans="2:109" s="55" customFormat="1" x14ac:dyDescent="0.25">
      <c r="C124" s="2648" t="s">
        <v>2713</v>
      </c>
      <c r="D124" s="1289" t="s">
        <v>2646</v>
      </c>
      <c r="E124" s="1308" t="s">
        <v>2714</v>
      </c>
      <c r="F124" s="1959">
        <f t="shared" si="127"/>
        <v>79.815333965362584</v>
      </c>
      <c r="G124" s="1290" t="s">
        <v>55</v>
      </c>
      <c r="H124" s="1291">
        <f>VLOOKUP(G124,'CP FACTORS'!$A$26:$B$38,2,FALSE)</f>
        <v>1.899635E-4</v>
      </c>
      <c r="I124" s="1309">
        <f t="shared" si="128"/>
        <v>1.5162E-2</v>
      </c>
      <c r="J124" s="64">
        <f>K71</f>
        <v>15</v>
      </c>
      <c r="K124" s="1310">
        <v>55.76</v>
      </c>
      <c r="L124" s="1292" t="s">
        <v>185</v>
      </c>
      <c r="M124" s="401"/>
      <c r="N124" s="401"/>
      <c r="O124" s="401"/>
      <c r="P124" s="401"/>
      <c r="Q124" s="401"/>
      <c r="R124" s="401"/>
      <c r="S124" s="401"/>
      <c r="T124" s="401"/>
      <c r="U124" s="401"/>
      <c r="V124" s="3226" t="s">
        <v>31</v>
      </c>
      <c r="W124" s="1939"/>
      <c r="X124" s="1939"/>
      <c r="Y124" s="1939"/>
      <c r="Z124" s="1939"/>
      <c r="AA124" s="139"/>
      <c r="AB124" s="2002">
        <v>81.895795033523839</v>
      </c>
      <c r="AC124" s="3364">
        <v>79.772158367999992</v>
      </c>
      <c r="AD124" s="1939"/>
      <c r="AE124" s="1939"/>
      <c r="AF124" s="1939"/>
      <c r="AG124" s="1939"/>
      <c r="AH124" s="1931"/>
      <c r="AI124" s="3226" t="s">
        <v>181</v>
      </c>
      <c r="AJ124" s="1943"/>
      <c r="AK124" s="1943"/>
      <c r="AL124" s="1943"/>
      <c r="AM124" s="1939"/>
      <c r="AN124" s="1922"/>
      <c r="AO124" s="2430">
        <v>15</v>
      </c>
      <c r="AP124" s="1825">
        <v>15</v>
      </c>
      <c r="AQ124" s="1939"/>
      <c r="AR124" s="1939"/>
      <c r="AS124" s="1939"/>
      <c r="AT124" s="1933"/>
      <c r="AU124" s="3226" t="s">
        <v>170</v>
      </c>
      <c r="AV124" s="1944"/>
      <c r="AW124" s="1944"/>
      <c r="AX124" s="1944"/>
      <c r="AY124" s="1928"/>
      <c r="AZ124" s="1928"/>
      <c r="BA124" s="2391">
        <v>55.76</v>
      </c>
      <c r="BB124" s="1594">
        <v>55.76</v>
      </c>
      <c r="BC124" s="1939"/>
      <c r="BD124" s="1939"/>
      <c r="BE124" s="1939"/>
      <c r="DB124" s="53">
        <f t="shared" si="124"/>
        <v>0.87870585885958186</v>
      </c>
      <c r="DC124" s="1948" t="str">
        <f t="shared" si="125"/>
        <v>Lighting BUS 15 Year EUL</v>
      </c>
      <c r="DD124" s="1950">
        <f>(INDEX('Avoided Cost Benefits'!$C$4:$C$857,MATCH(DC124,'Avoided Cost Benefits'!$A$4:$A$857,0)))*F124</f>
        <v>46.245057753667083</v>
      </c>
      <c r="DE124" s="1950">
        <f t="shared" si="126"/>
        <v>52.628598395469552</v>
      </c>
    </row>
    <row r="125" spans="2:109" s="55" customFormat="1" x14ac:dyDescent="0.25">
      <c r="C125" s="2648" t="s">
        <v>2715</v>
      </c>
      <c r="D125" s="1289" t="s">
        <v>2646</v>
      </c>
      <c r="E125" s="1308" t="s">
        <v>2716</v>
      </c>
      <c r="F125" s="1959">
        <f t="shared" si="127"/>
        <v>1069.5293520362497</v>
      </c>
      <c r="G125" s="1290" t="s">
        <v>55</v>
      </c>
      <c r="H125" s="1291">
        <f>VLOOKUP(G125,'CP FACTORS'!$A$26:$B$38,2,FALSE)</f>
        <v>1.899635E-4</v>
      </c>
      <c r="I125" s="1309">
        <f t="shared" si="128"/>
        <v>0.20317199999999999</v>
      </c>
      <c r="J125" s="1922">
        <v>15</v>
      </c>
      <c r="K125" s="1310">
        <v>366.72</v>
      </c>
      <c r="L125" s="1292" t="s">
        <v>185</v>
      </c>
      <c r="M125" s="401"/>
      <c r="N125" s="401"/>
      <c r="O125" s="401"/>
      <c r="P125" s="401"/>
      <c r="Q125" s="401"/>
      <c r="R125" s="401"/>
      <c r="S125" s="401"/>
      <c r="T125" s="401"/>
      <c r="U125" s="401"/>
      <c r="V125" s="3226" t="s">
        <v>31</v>
      </c>
      <c r="W125" s="1939"/>
      <c r="X125" s="1939"/>
      <c r="Y125" s="1939"/>
      <c r="Z125" s="1939"/>
      <c r="AA125" s="139"/>
      <c r="AB125" s="2002">
        <v>1111.1809178299475</v>
      </c>
      <c r="AC125" s="3364">
        <v>1069.5823065899997</v>
      </c>
      <c r="AD125" s="1939"/>
      <c r="AE125" s="1939"/>
      <c r="AF125" s="1939"/>
      <c r="AG125" s="1939"/>
      <c r="AH125" s="1931"/>
      <c r="AI125" s="3226" t="s">
        <v>181</v>
      </c>
      <c r="AJ125" s="1943"/>
      <c r="AK125" s="1943"/>
      <c r="AL125" s="1943"/>
      <c r="AM125" s="1939"/>
      <c r="AN125" s="1922"/>
      <c r="AO125" s="2430">
        <v>11</v>
      </c>
      <c r="AP125" s="1825">
        <v>15</v>
      </c>
      <c r="AQ125" s="1939"/>
      <c r="AR125" s="1939"/>
      <c r="AS125" s="1939"/>
      <c r="AT125" s="1933"/>
      <c r="AU125" s="3226" t="s">
        <v>170</v>
      </c>
      <c r="AV125" s="1944"/>
      <c r="AW125" s="1944"/>
      <c r="AX125" s="1944"/>
      <c r="AY125" s="1928"/>
      <c r="AZ125" s="1928"/>
      <c r="BA125" s="2391">
        <v>366.72</v>
      </c>
      <c r="BB125" s="1594">
        <v>366.72</v>
      </c>
      <c r="BC125" s="1939"/>
      <c r="BD125" s="1939"/>
      <c r="BE125" s="1939"/>
      <c r="DB125" s="53">
        <f t="shared" si="124"/>
        <v>1.7903505082307816</v>
      </c>
      <c r="DC125" s="1948" t="str">
        <f t="shared" si="125"/>
        <v>Lighting BUS 15 Year EUL</v>
      </c>
      <c r="DD125" s="1950">
        <f>(INDEX('Avoided Cost Benefits'!$C$4:$C$857,MATCH(DC125,'Avoided Cost Benefits'!$A$4:$A$857,0)))*F125</f>
        <v>619.68602017781234</v>
      </c>
      <c r="DE125" s="1950">
        <f t="shared" si="126"/>
        <v>346.12553091080696</v>
      </c>
    </row>
    <row r="126" spans="2:109" s="55" customFormat="1" x14ac:dyDescent="0.25">
      <c r="C126" s="2648" t="s">
        <v>2717</v>
      </c>
      <c r="D126" s="1289" t="s">
        <v>2646</v>
      </c>
      <c r="E126" s="1308" t="s">
        <v>2718</v>
      </c>
      <c r="F126" s="1959">
        <f t="shared" si="127"/>
        <v>1069.5293520362497</v>
      </c>
      <c r="G126" s="1290" t="s">
        <v>55</v>
      </c>
      <c r="H126" s="1291">
        <f>VLOOKUP(G126,'CP FACTORS'!$A$26:$B$38,2,FALSE)</f>
        <v>1.899635E-4</v>
      </c>
      <c r="I126" s="1309">
        <f t="shared" si="128"/>
        <v>0.20317199999999999</v>
      </c>
      <c r="J126" s="1922">
        <v>15</v>
      </c>
      <c r="K126" s="1310">
        <v>366.72</v>
      </c>
      <c r="L126" s="1292" t="s">
        <v>185</v>
      </c>
      <c r="M126" s="401"/>
      <c r="N126" s="401"/>
      <c r="O126" s="401"/>
      <c r="P126" s="401"/>
      <c r="Q126" s="401"/>
      <c r="R126" s="401"/>
      <c r="S126" s="401"/>
      <c r="T126" s="401"/>
      <c r="U126" s="401"/>
      <c r="V126" s="3226" t="s">
        <v>31</v>
      </c>
      <c r="W126" s="1939"/>
      <c r="X126" s="1939"/>
      <c r="Y126" s="1939"/>
      <c r="Z126" s="1939"/>
      <c r="AA126" s="139"/>
      <c r="AB126" s="2002">
        <v>1111.1809178299475</v>
      </c>
      <c r="AC126" s="3364">
        <v>1069.5823065899997</v>
      </c>
      <c r="AD126" s="1939"/>
      <c r="AE126" s="1939"/>
      <c r="AF126" s="1939"/>
      <c r="AG126" s="1939"/>
      <c r="AH126" s="1931"/>
      <c r="AI126" s="3226" t="s">
        <v>181</v>
      </c>
      <c r="AJ126" s="1943"/>
      <c r="AK126" s="1943"/>
      <c r="AL126" s="1943"/>
      <c r="AM126" s="1939"/>
      <c r="AN126" s="1922"/>
      <c r="AO126" s="2430">
        <v>11</v>
      </c>
      <c r="AP126" s="1825">
        <v>15</v>
      </c>
      <c r="AQ126" s="1939"/>
      <c r="AR126" s="1939"/>
      <c r="AS126" s="1939"/>
      <c r="AT126" s="1933"/>
      <c r="AU126" s="3226" t="s">
        <v>170</v>
      </c>
      <c r="AV126" s="1944"/>
      <c r="AW126" s="1944"/>
      <c r="AX126" s="1944"/>
      <c r="AY126" s="1928"/>
      <c r="AZ126" s="1928"/>
      <c r="BA126" s="2391">
        <v>366.72</v>
      </c>
      <c r="BB126" s="1594">
        <v>366.72</v>
      </c>
      <c r="BC126" s="1939"/>
      <c r="BD126" s="1939"/>
      <c r="BE126" s="1939"/>
      <c r="DB126" s="53">
        <f t="shared" si="124"/>
        <v>1.7903505082307816</v>
      </c>
      <c r="DC126" s="1948" t="str">
        <f t="shared" si="125"/>
        <v>Lighting BUS 15 Year EUL</v>
      </c>
      <c r="DD126" s="1950">
        <f>(INDEX('Avoided Cost Benefits'!$C$4:$C$857,MATCH(DC126,'Avoided Cost Benefits'!$A$4:$A$857,0)))*F126</f>
        <v>619.68602017781234</v>
      </c>
      <c r="DE126" s="1950">
        <f t="shared" si="126"/>
        <v>346.12553091080696</v>
      </c>
    </row>
    <row r="127" spans="2:109" s="55" customFormat="1" hidden="1" outlineLevel="1" x14ac:dyDescent="0.25">
      <c r="C127" s="1942"/>
      <c r="D127" s="1930"/>
      <c r="E127" s="1930"/>
      <c r="F127" s="1930"/>
      <c r="G127" s="1314"/>
      <c r="H127" s="1315"/>
      <c r="I127" s="1314"/>
      <c r="J127" s="1314"/>
      <c r="K127" s="401"/>
      <c r="L127" s="151"/>
      <c r="M127" s="401"/>
      <c r="N127" s="401"/>
      <c r="O127" s="401"/>
      <c r="P127" s="401"/>
      <c r="Q127" s="401"/>
      <c r="R127" s="401"/>
      <c r="S127" s="401"/>
      <c r="T127" s="401"/>
      <c r="U127" s="401"/>
    </row>
    <row r="128" spans="2:109" s="55" customFormat="1" hidden="1" outlineLevel="1" x14ac:dyDescent="0.25">
      <c r="C128" s="1942"/>
      <c r="L128" s="151"/>
      <c r="M128" s="401"/>
      <c r="N128" s="401"/>
      <c r="O128" s="401"/>
      <c r="P128" s="401"/>
      <c r="Q128" s="401"/>
      <c r="R128" s="401"/>
      <c r="S128" s="401"/>
      <c r="T128" s="401"/>
      <c r="U128" s="401"/>
      <c r="DB128" s="72"/>
    </row>
    <row r="129" spans="3:106" s="55" customFormat="1" hidden="1" outlineLevel="1" x14ac:dyDescent="0.25">
      <c r="C129" s="1942"/>
      <c r="N129" s="401"/>
      <c r="O129" s="401"/>
      <c r="P129" s="401"/>
      <c r="Q129" s="401"/>
      <c r="R129" s="401"/>
      <c r="S129" s="401"/>
      <c r="T129" s="401"/>
      <c r="U129" s="401"/>
      <c r="DB129" s="72"/>
    </row>
    <row r="130" spans="3:106" s="55" customFormat="1" hidden="1" outlineLevel="1" x14ac:dyDescent="0.25">
      <c r="C130" s="1942"/>
      <c r="N130" s="401"/>
      <c r="O130" s="401"/>
      <c r="P130" s="401"/>
      <c r="Q130" s="401"/>
      <c r="R130" s="401"/>
      <c r="S130" s="401"/>
      <c r="T130" s="401"/>
      <c r="U130" s="401"/>
      <c r="DB130" s="72"/>
    </row>
    <row r="131" spans="3:106" s="55" customFormat="1" hidden="1" outlineLevel="1" x14ac:dyDescent="0.25">
      <c r="C131" s="1942"/>
      <c r="D131" s="1930"/>
      <c r="E131" s="1930"/>
      <c r="F131" s="1930"/>
      <c r="G131" s="1314"/>
      <c r="H131" s="1315"/>
      <c r="I131" s="1314"/>
      <c r="J131" s="1314"/>
      <c r="N131" s="401"/>
      <c r="O131" s="401"/>
      <c r="P131" s="401"/>
      <c r="Q131" s="401"/>
      <c r="R131" s="401"/>
      <c r="S131" s="401"/>
      <c r="T131" s="401"/>
      <c r="U131" s="401"/>
      <c r="DB131" s="72"/>
    </row>
    <row r="132" spans="3:106" s="55" customFormat="1" hidden="1" outlineLevel="1" x14ac:dyDescent="0.25">
      <c r="C132" s="1942"/>
      <c r="D132" s="1930"/>
      <c r="E132" s="1930"/>
      <c r="F132" s="1930"/>
      <c r="G132" s="1314"/>
      <c r="H132" s="1315"/>
      <c r="I132" s="1314"/>
      <c r="J132" s="1314"/>
      <c r="K132" s="401"/>
      <c r="L132" s="151"/>
      <c r="M132" s="401"/>
      <c r="N132" s="401"/>
      <c r="O132" s="401"/>
      <c r="P132" s="401"/>
      <c r="Q132" s="401"/>
      <c r="R132" s="401"/>
      <c r="S132" s="401"/>
      <c r="T132" s="401"/>
      <c r="U132" s="401"/>
      <c r="DB132" s="72"/>
    </row>
    <row r="133" spans="3:106" s="55" customFormat="1" hidden="1" outlineLevel="1" x14ac:dyDescent="0.25">
      <c r="C133" s="1942"/>
      <c r="D133" s="1930"/>
      <c r="E133" s="1930"/>
      <c r="F133" s="1930"/>
      <c r="G133" s="1314"/>
      <c r="H133" s="1315"/>
      <c r="I133" s="1314"/>
      <c r="J133" s="1314"/>
      <c r="K133" s="401"/>
      <c r="L133" s="151"/>
      <c r="M133" s="401"/>
      <c r="N133" s="401"/>
      <c r="O133" s="401"/>
      <c r="P133" s="401"/>
      <c r="Q133" s="401"/>
      <c r="R133" s="401"/>
      <c r="S133" s="401"/>
      <c r="T133" s="401"/>
      <c r="U133" s="401"/>
      <c r="DB133" s="72"/>
    </row>
    <row r="134" spans="3:106" s="55" customFormat="1" hidden="1" outlineLevel="1" x14ac:dyDescent="0.25">
      <c r="C134" s="151"/>
      <c r="L134" s="1930"/>
      <c r="O134" s="401"/>
      <c r="P134" s="401"/>
      <c r="Q134" s="401"/>
      <c r="R134" s="401"/>
      <c r="S134" s="401"/>
      <c r="T134" s="401"/>
      <c r="U134" s="401"/>
      <c r="DB134" s="72"/>
    </row>
    <row r="135" spans="3:106" s="55" customFormat="1" hidden="1" outlineLevel="1" x14ac:dyDescent="0.25">
      <c r="C135" s="151"/>
      <c r="L135" s="1930"/>
      <c r="O135" s="401"/>
      <c r="P135" s="401"/>
      <c r="Q135" s="401"/>
      <c r="R135" s="401"/>
      <c r="S135" s="401"/>
      <c r="T135" s="401"/>
      <c r="U135" s="401"/>
      <c r="DB135" s="72"/>
    </row>
    <row r="136" spans="3:106" s="55" customFormat="1" hidden="1" outlineLevel="1" x14ac:dyDescent="0.25">
      <c r="C136" s="151"/>
      <c r="D136" s="46" t="s">
        <v>28</v>
      </c>
      <c r="E136" s="3196" t="s">
        <v>111</v>
      </c>
      <c r="F136" s="3196" t="s">
        <v>2690</v>
      </c>
      <c r="G136" s="3196" t="s">
        <v>2691</v>
      </c>
      <c r="H136" s="47" t="s">
        <v>2692</v>
      </c>
      <c r="I136" s="3196" t="s">
        <v>2700</v>
      </c>
      <c r="J136" s="2090" t="s">
        <v>2693</v>
      </c>
      <c r="K136" s="3196" t="s">
        <v>133</v>
      </c>
      <c r="L136" s="1930"/>
      <c r="O136" s="401"/>
      <c r="P136" s="401"/>
      <c r="Q136" s="401"/>
      <c r="R136" s="401"/>
      <c r="S136" s="401"/>
      <c r="T136" s="401"/>
      <c r="U136" s="401"/>
      <c r="V136" s="1936" t="s">
        <v>45</v>
      </c>
      <c r="W136" s="1937">
        <f>$W$8</f>
        <v>43252</v>
      </c>
      <c r="X136" s="1937">
        <f>$X$8</f>
        <v>43465</v>
      </c>
      <c r="Y136" s="1937">
        <f>$Y$8</f>
        <v>43800</v>
      </c>
      <c r="Z136" s="1937">
        <f>$Z$8</f>
        <v>43862</v>
      </c>
      <c r="AA136" s="1937">
        <f>$AA$8</f>
        <v>44013</v>
      </c>
      <c r="AB136" s="1937">
        <v>44166</v>
      </c>
      <c r="AC136" s="1937">
        <f>$AC$8</f>
        <v>44531</v>
      </c>
      <c r="AD136" s="1937" t="str">
        <f>$AD$8</f>
        <v>-</v>
      </c>
      <c r="AE136" s="1937" t="str">
        <f>$AE$8</f>
        <v>-</v>
      </c>
      <c r="AF136" s="1937" t="str">
        <f>$AF$8</f>
        <v>-</v>
      </c>
      <c r="AG136" s="1937" t="str">
        <f>$AG$8</f>
        <v>-</v>
      </c>
      <c r="AH136" s="1931"/>
      <c r="AI136" s="1936" t="s">
        <v>45</v>
      </c>
      <c r="AJ136" s="1937">
        <f>W136</f>
        <v>43252</v>
      </c>
      <c r="AK136" s="1937">
        <f t="shared" ref="AK136" si="129">X136</f>
        <v>43465</v>
      </c>
      <c r="AL136" s="1937">
        <f t="shared" ref="AL136" si="130">Y136</f>
        <v>43800</v>
      </c>
      <c r="AM136" s="1937">
        <f t="shared" ref="AM136" si="131">Z136</f>
        <v>43862</v>
      </c>
      <c r="AN136" s="1937">
        <f t="shared" ref="AN136" si="132">AA136</f>
        <v>44013</v>
      </c>
      <c r="AO136" s="1937">
        <f t="shared" ref="AO136" si="133">AB136</f>
        <v>44166</v>
      </c>
      <c r="AP136" s="1937">
        <f t="shared" ref="AP136" si="134">AC136</f>
        <v>44531</v>
      </c>
      <c r="AQ136" s="1937" t="str">
        <f t="shared" ref="AQ136" si="135">AD136</f>
        <v>-</v>
      </c>
      <c r="AR136" s="1937" t="str">
        <f t="shared" ref="AR136" si="136">AE136</f>
        <v>-</v>
      </c>
      <c r="AS136" s="1937" t="str">
        <f t="shared" ref="AS136" si="137">AF136</f>
        <v>-</v>
      </c>
      <c r="AT136" s="1933"/>
      <c r="AU136" s="1936" t="s">
        <v>45</v>
      </c>
      <c r="AV136" s="1937">
        <f>W136</f>
        <v>43252</v>
      </c>
      <c r="AW136" s="1937">
        <f t="shared" ref="AW136" si="138">X136</f>
        <v>43465</v>
      </c>
      <c r="AX136" s="1937">
        <f t="shared" ref="AX136" si="139">Y136</f>
        <v>43800</v>
      </c>
      <c r="AY136" s="1937">
        <f t="shared" ref="AY136" si="140">Z136</f>
        <v>43862</v>
      </c>
      <c r="AZ136" s="1937">
        <f t="shared" ref="AZ136" si="141">AA136</f>
        <v>44013</v>
      </c>
      <c r="BA136" s="1937">
        <v>44166</v>
      </c>
      <c r="BB136" s="1937">
        <f t="shared" ref="BB136" si="142">AC136</f>
        <v>44531</v>
      </c>
      <c r="BC136" s="1937" t="str">
        <f t="shared" ref="BC136" si="143">AD136</f>
        <v>-</v>
      </c>
      <c r="BD136" s="1937" t="str">
        <f t="shared" ref="BD136" si="144">AE136</f>
        <v>-</v>
      </c>
      <c r="BE136" s="1937" t="str">
        <f t="shared" ref="BE136" si="145">AF136</f>
        <v>-</v>
      </c>
      <c r="BF136" s="1931"/>
      <c r="BG136" s="1931"/>
      <c r="BH136" s="1937">
        <f>$W$8</f>
        <v>43252</v>
      </c>
      <c r="BI136" s="1937">
        <f>$X$8</f>
        <v>43465</v>
      </c>
      <c r="BJ136" s="1937">
        <f>$Y$8</f>
        <v>43800</v>
      </c>
      <c r="BK136" s="1937">
        <f>$Z$8</f>
        <v>43862</v>
      </c>
      <c r="BL136" s="1937">
        <f>$AA$8</f>
        <v>44013</v>
      </c>
      <c r="BM136" s="1937">
        <v>44166</v>
      </c>
      <c r="BN136" s="1937">
        <f>$AC$8</f>
        <v>44531</v>
      </c>
      <c r="BO136" s="1937" t="str">
        <f>$AD$8</f>
        <v>-</v>
      </c>
      <c r="BP136" s="1937" t="str">
        <f>$AE$8</f>
        <v>-</v>
      </c>
      <c r="BQ136" s="1937" t="str">
        <f>$AF$8</f>
        <v>-</v>
      </c>
      <c r="BR136" s="1937" t="str">
        <f>$AG$8</f>
        <v>-</v>
      </c>
      <c r="DB136" s="72"/>
    </row>
    <row r="137" spans="3:106" s="55" customFormat="1" ht="30" hidden="1" outlineLevel="1" x14ac:dyDescent="0.25">
      <c r="C137" s="1942"/>
      <c r="D137" s="1967" t="str">
        <f>C119</f>
        <v>801225_2020_12_</v>
      </c>
      <c r="E137" s="1308" t="s">
        <v>2704</v>
      </c>
      <c r="F137" s="59">
        <v>60</v>
      </c>
      <c r="G137" s="59">
        <v>28</v>
      </c>
      <c r="H137" s="2646">
        <f>H65</f>
        <v>4282.6269361672566</v>
      </c>
      <c r="I137" s="1312">
        <v>0.24</v>
      </c>
      <c r="J137" s="59">
        <v>1.071</v>
      </c>
      <c r="K137" s="59">
        <v>1</v>
      </c>
      <c r="L137" s="151"/>
      <c r="M137" s="401"/>
      <c r="N137" s="401"/>
      <c r="O137" s="401"/>
      <c r="P137" s="401"/>
      <c r="Q137" s="401"/>
      <c r="R137" s="401"/>
      <c r="S137" s="401"/>
      <c r="T137" s="401"/>
      <c r="U137" s="401"/>
      <c r="V137" s="3377" t="s">
        <v>4318</v>
      </c>
      <c r="W137" s="1941"/>
      <c r="X137" s="1941"/>
      <c r="Y137" s="1941"/>
      <c r="Z137" s="1941"/>
      <c r="AA137" s="2385">
        <v>0.13</v>
      </c>
      <c r="AB137" s="2098">
        <v>60</v>
      </c>
      <c r="AC137" s="3364">
        <v>60</v>
      </c>
      <c r="AD137" s="1941"/>
      <c r="AE137" s="1941"/>
      <c r="AF137" s="1941"/>
      <c r="AG137" s="1941"/>
      <c r="AI137" s="57" t="str">
        <f>$G$110</f>
        <v>Hours</v>
      </c>
      <c r="AJ137" s="57" t="str">
        <f t="shared" ref="AJ137:AS137" si="146">$G$110</f>
        <v>Hours</v>
      </c>
      <c r="AK137" s="57" t="str">
        <f t="shared" si="146"/>
        <v>Hours</v>
      </c>
      <c r="AL137" s="57" t="str">
        <f t="shared" si="146"/>
        <v>Hours</v>
      </c>
      <c r="AM137" s="57" t="str">
        <f t="shared" si="146"/>
        <v>Hours</v>
      </c>
      <c r="AN137" s="57" t="str">
        <f t="shared" si="146"/>
        <v>Hours</v>
      </c>
      <c r="AO137" s="57" t="str">
        <f t="shared" si="146"/>
        <v>Hours</v>
      </c>
      <c r="AP137" s="57" t="str">
        <f t="shared" si="146"/>
        <v>Hours</v>
      </c>
      <c r="AQ137" s="57" t="str">
        <f t="shared" si="146"/>
        <v>Hours</v>
      </c>
      <c r="AR137" s="57" t="str">
        <f t="shared" si="146"/>
        <v>Hours</v>
      </c>
      <c r="AS137" s="57" t="str">
        <f t="shared" si="146"/>
        <v>Hours</v>
      </c>
      <c r="AU137" s="58" t="str">
        <f>$H$110</f>
        <v>ESF</v>
      </c>
      <c r="AV137" s="58" t="str">
        <f t="shared" ref="AV137:BE137" si="147">$H$110</f>
        <v>ESF</v>
      </c>
      <c r="AW137" s="58" t="str">
        <f t="shared" si="147"/>
        <v>ESF</v>
      </c>
      <c r="AX137" s="58" t="str">
        <f t="shared" si="147"/>
        <v>ESF</v>
      </c>
      <c r="AY137" s="58" t="str">
        <f t="shared" si="147"/>
        <v>ESF</v>
      </c>
      <c r="AZ137" s="58" t="str">
        <f t="shared" si="147"/>
        <v>ESF</v>
      </c>
      <c r="BA137" s="58" t="s">
        <v>2700</v>
      </c>
      <c r="BB137" s="58" t="str">
        <f t="shared" si="147"/>
        <v>ESF</v>
      </c>
      <c r="BC137" s="58" t="str">
        <f t="shared" si="147"/>
        <v>ESF</v>
      </c>
      <c r="BD137" s="58" t="str">
        <f t="shared" si="147"/>
        <v>ESF</v>
      </c>
      <c r="BE137" s="58" t="str">
        <f t="shared" si="147"/>
        <v>ESF</v>
      </c>
      <c r="BH137" s="58" t="str">
        <f>$I$110</f>
        <v>WHFe + -IFkWh</v>
      </c>
      <c r="BI137" s="58" t="str">
        <f t="shared" ref="BI137:BR137" si="148">$I$110</f>
        <v>WHFe + -IFkWh</v>
      </c>
      <c r="BJ137" s="58" t="str">
        <f t="shared" si="148"/>
        <v>WHFe + -IFkWh</v>
      </c>
      <c r="BK137" s="58" t="str">
        <f t="shared" si="148"/>
        <v>WHFe + -IFkWh</v>
      </c>
      <c r="BL137" s="58" t="str">
        <f t="shared" si="148"/>
        <v>WHFe + -IFkWh</v>
      </c>
      <c r="BM137" s="58" t="s">
        <v>2693</v>
      </c>
      <c r="BN137" s="58" t="str">
        <f t="shared" si="148"/>
        <v>WHFe + -IFkWh</v>
      </c>
      <c r="BO137" s="58" t="str">
        <f t="shared" si="148"/>
        <v>WHFe + -IFkWh</v>
      </c>
      <c r="BP137" s="58" t="str">
        <f t="shared" si="148"/>
        <v>WHFe + -IFkWh</v>
      </c>
      <c r="BQ137" s="58" t="str">
        <f t="shared" si="148"/>
        <v>WHFe + -IFkWh</v>
      </c>
      <c r="BR137" s="58" t="str">
        <f t="shared" si="148"/>
        <v>WHFe + -IFkWh</v>
      </c>
      <c r="DB137" s="72"/>
    </row>
    <row r="138" spans="3:106" s="55" customFormat="1" hidden="1" outlineLevel="1" x14ac:dyDescent="0.25">
      <c r="C138" s="1942"/>
      <c r="D138" s="1967" t="str">
        <f t="shared" ref="D138:D144" si="149">C120</f>
        <v>801227_2020_12_</v>
      </c>
      <c r="E138" s="1308" t="s">
        <v>2706</v>
      </c>
      <c r="F138" s="59">
        <v>60</v>
      </c>
      <c r="G138" s="59">
        <v>28</v>
      </c>
      <c r="H138" s="2646">
        <f>H65</f>
        <v>4282.6269361672566</v>
      </c>
      <c r="I138" s="1312">
        <v>0.24</v>
      </c>
      <c r="J138" s="59">
        <v>1.071</v>
      </c>
      <c r="K138" s="59">
        <v>1</v>
      </c>
      <c r="L138" s="151"/>
      <c r="M138" s="401"/>
      <c r="N138" s="401"/>
      <c r="O138" s="401"/>
      <c r="P138" s="401"/>
      <c r="Q138" s="401"/>
      <c r="R138" s="401"/>
      <c r="S138" s="401"/>
      <c r="T138" s="401"/>
      <c r="U138" s="401"/>
      <c r="V138" s="3377" t="s">
        <v>4318</v>
      </c>
      <c r="W138" s="1941"/>
      <c r="X138" s="1941"/>
      <c r="Y138" s="1941"/>
      <c r="Z138" s="1941"/>
      <c r="AA138" s="2385">
        <v>0.33800000000000002</v>
      </c>
      <c r="AB138" s="2098">
        <v>60</v>
      </c>
      <c r="AC138" s="3364">
        <v>60</v>
      </c>
      <c r="AD138" s="1941"/>
      <c r="AE138" s="1941"/>
      <c r="AF138" s="1941"/>
      <c r="AG138" s="1941"/>
      <c r="AH138" s="1931"/>
      <c r="AI138" s="1939"/>
      <c r="AJ138" s="1939"/>
      <c r="AK138" s="1939"/>
      <c r="AL138" s="1941"/>
      <c r="AM138" s="1941"/>
      <c r="AN138" s="942">
        <v>3351</v>
      </c>
      <c r="AO138" s="2684">
        <v>4551.3067953357458</v>
      </c>
      <c r="AP138" s="2684">
        <v>4281</v>
      </c>
      <c r="AQ138" s="1941"/>
      <c r="AR138" s="1941"/>
      <c r="AS138" s="1941"/>
      <c r="AT138" s="1931"/>
      <c r="AU138" s="1939"/>
      <c r="AV138" s="1939"/>
      <c r="AW138" s="1939"/>
      <c r="AX138" s="1941"/>
      <c r="AY138" s="1941"/>
      <c r="AZ138" s="1958">
        <v>0.24</v>
      </c>
      <c r="BA138" s="2448">
        <v>0.24</v>
      </c>
      <c r="BB138" s="2448">
        <v>0.24</v>
      </c>
      <c r="BC138" s="2448"/>
      <c r="BD138" s="2448"/>
      <c r="BE138" s="1941"/>
      <c r="BF138" s="1931"/>
      <c r="BG138" s="1931"/>
      <c r="BH138" s="1939"/>
      <c r="BI138" s="1939"/>
      <c r="BJ138" s="1939"/>
      <c r="BK138" s="1941"/>
      <c r="BL138" s="1958">
        <v>1.07</v>
      </c>
      <c r="BM138" s="1825">
        <v>1.071</v>
      </c>
      <c r="BN138" s="1825">
        <v>1.071</v>
      </c>
      <c r="BO138" s="1941"/>
      <c r="BP138" s="1941"/>
      <c r="BQ138" s="1941"/>
      <c r="BR138" s="1941"/>
      <c r="DB138" s="72"/>
    </row>
    <row r="139" spans="3:106" s="55" customFormat="1" hidden="1" outlineLevel="1" x14ac:dyDescent="0.25">
      <c r="C139" s="1942"/>
      <c r="D139" s="1967" t="str">
        <f t="shared" si="149"/>
        <v>801229_2020_12_</v>
      </c>
      <c r="E139" s="1308" t="s">
        <v>2708</v>
      </c>
      <c r="F139" s="59">
        <v>28.3</v>
      </c>
      <c r="G139" s="59">
        <v>13.7</v>
      </c>
      <c r="H139" s="2646">
        <f>H68</f>
        <v>3612.4490433014971</v>
      </c>
      <c r="I139" s="1312">
        <v>0.24</v>
      </c>
      <c r="J139" s="59">
        <v>1.071</v>
      </c>
      <c r="K139" s="59">
        <v>1</v>
      </c>
      <c r="L139" s="1930"/>
      <c r="M139" s="401"/>
      <c r="N139" s="401"/>
      <c r="O139" s="401"/>
      <c r="P139" s="401"/>
      <c r="Q139" s="401"/>
      <c r="R139" s="401"/>
      <c r="S139" s="401"/>
      <c r="T139" s="401"/>
      <c r="U139" s="401"/>
      <c r="V139" s="3377" t="s">
        <v>4318</v>
      </c>
      <c r="W139" s="1941"/>
      <c r="X139" s="1941"/>
      <c r="Y139" s="1941"/>
      <c r="Z139" s="1941"/>
      <c r="AA139" s="1941"/>
      <c r="AB139" s="1940">
        <v>28.3</v>
      </c>
      <c r="AC139" s="3364">
        <v>28.3</v>
      </c>
      <c r="AD139" s="1941"/>
      <c r="AE139" s="1941"/>
      <c r="AF139" s="1941"/>
      <c r="AG139" s="1941"/>
      <c r="AH139" s="1931"/>
      <c r="AI139" s="1939"/>
      <c r="AJ139" s="1939"/>
      <c r="AK139" s="1939"/>
      <c r="AL139" s="1941"/>
      <c r="AM139" s="1941"/>
      <c r="AN139" s="942">
        <v>3351</v>
      </c>
      <c r="AO139" s="2684">
        <v>4232.7285363633855</v>
      </c>
      <c r="AP139" s="2684">
        <v>4281</v>
      </c>
      <c r="AQ139" s="1941"/>
      <c r="AR139" s="1941"/>
      <c r="AS139" s="1941"/>
      <c r="AT139" s="1931"/>
      <c r="AU139" s="1939"/>
      <c r="AV139" s="1939"/>
      <c r="AW139" s="1939"/>
      <c r="AX139" s="1941"/>
      <c r="AY139" s="1941"/>
      <c r="AZ139" s="1958">
        <v>0.24</v>
      </c>
      <c r="BA139" s="2448">
        <v>0.24</v>
      </c>
      <c r="BB139" s="2448">
        <v>0.24</v>
      </c>
      <c r="BC139" s="2448"/>
      <c r="BD139" s="2448"/>
      <c r="BE139" s="1941"/>
      <c r="BF139" s="1931"/>
      <c r="BG139" s="1931"/>
      <c r="BH139" s="1939"/>
      <c r="BI139" s="1939"/>
      <c r="BJ139" s="1939"/>
      <c r="BK139" s="1941"/>
      <c r="BL139" s="1958">
        <v>1.07</v>
      </c>
      <c r="BM139" s="1825">
        <v>1.071</v>
      </c>
      <c r="BN139" s="1825">
        <v>1.071</v>
      </c>
      <c r="BO139" s="1941"/>
      <c r="BP139" s="1941"/>
      <c r="BQ139" s="1941"/>
      <c r="BR139" s="1941"/>
      <c r="DB139" s="72"/>
    </row>
    <row r="140" spans="3:106" s="55" customFormat="1" hidden="1" outlineLevel="1" x14ac:dyDescent="0.25">
      <c r="C140" s="1942"/>
      <c r="D140" s="1967" t="str">
        <f t="shared" si="149"/>
        <v>801231_2020_12_</v>
      </c>
      <c r="E140" s="1308" t="s">
        <v>2710</v>
      </c>
      <c r="F140" s="59">
        <v>28.3</v>
      </c>
      <c r="G140" s="59">
        <v>13.7</v>
      </c>
      <c r="H140" s="2646">
        <f>H68</f>
        <v>3612.4490433014971</v>
      </c>
      <c r="I140" s="1312">
        <v>0.24</v>
      </c>
      <c r="J140" s="59">
        <v>1.071</v>
      </c>
      <c r="K140" s="59">
        <v>1</v>
      </c>
      <c r="L140" s="1930"/>
      <c r="M140" s="401"/>
      <c r="N140" s="401"/>
      <c r="O140" s="401"/>
      <c r="P140" s="401"/>
      <c r="Q140" s="401"/>
      <c r="R140" s="401"/>
      <c r="S140" s="401"/>
      <c r="T140" s="401"/>
      <c r="U140" s="401"/>
      <c r="V140" s="3377" t="s">
        <v>4318</v>
      </c>
      <c r="W140" s="1941"/>
      <c r="X140" s="1941"/>
      <c r="Y140" s="1941"/>
      <c r="Z140" s="1941"/>
      <c r="AA140" s="1941"/>
      <c r="AB140" s="1940">
        <v>28.3</v>
      </c>
      <c r="AC140" s="3364">
        <v>28.3</v>
      </c>
      <c r="AD140" s="1941"/>
      <c r="AE140" s="1941"/>
      <c r="AF140" s="1941"/>
      <c r="AG140" s="1941"/>
      <c r="AI140" s="1939"/>
      <c r="AJ140" s="1939"/>
      <c r="AK140" s="1939"/>
      <c r="AL140" s="1941"/>
      <c r="AM140" s="1941"/>
      <c r="AN140" s="942">
        <v>3351</v>
      </c>
      <c r="AO140" s="2684">
        <v>4232.7285363633855</v>
      </c>
      <c r="AP140" s="2684">
        <v>3702</v>
      </c>
      <c r="AQ140" s="1941"/>
      <c r="AR140" s="1941"/>
      <c r="AS140" s="1941"/>
      <c r="AU140" s="1939"/>
      <c r="AV140" s="1939"/>
      <c r="AW140" s="1939"/>
      <c r="AX140" s="1941"/>
      <c r="AY140" s="1941"/>
      <c r="AZ140" s="1958">
        <v>0.24</v>
      </c>
      <c r="BA140" s="2448">
        <v>0.24</v>
      </c>
      <c r="BB140" s="2448">
        <v>0.24</v>
      </c>
      <c r="BC140" s="2448"/>
      <c r="BD140" s="2448"/>
      <c r="BE140" s="1941"/>
      <c r="BH140" s="1939"/>
      <c r="BI140" s="1939"/>
      <c r="BJ140" s="1939"/>
      <c r="BK140" s="1941"/>
      <c r="BL140" s="1958">
        <v>1.07</v>
      </c>
      <c r="BM140" s="1825">
        <v>1.071</v>
      </c>
      <c r="BN140" s="1825">
        <v>1.071</v>
      </c>
      <c r="BO140" s="1941"/>
      <c r="BP140" s="1941"/>
      <c r="BQ140" s="1941"/>
      <c r="BR140" s="1941"/>
      <c r="DB140" s="72"/>
    </row>
    <row r="141" spans="3:106" s="55" customFormat="1" hidden="1" outlineLevel="1" x14ac:dyDescent="0.25">
      <c r="C141" s="1942"/>
      <c r="D141" s="1967" t="str">
        <f t="shared" si="149"/>
        <v>801233_2020_12_</v>
      </c>
      <c r="E141" s="1308" t="s">
        <v>2712</v>
      </c>
      <c r="F141" s="59">
        <v>39.659999999999997</v>
      </c>
      <c r="G141" s="59">
        <v>16.02</v>
      </c>
      <c r="H141" s="2646">
        <f>H71</f>
        <v>2711.4667506965634</v>
      </c>
      <c r="I141" s="1312">
        <v>0.24</v>
      </c>
      <c r="J141" s="59">
        <v>1.071</v>
      </c>
      <c r="K141" s="59">
        <v>1</v>
      </c>
      <c r="L141" s="1930"/>
      <c r="M141" s="401"/>
      <c r="N141" s="401"/>
      <c r="O141" s="401"/>
      <c r="P141" s="401"/>
      <c r="Q141" s="401"/>
      <c r="R141" s="401"/>
      <c r="S141" s="401"/>
      <c r="T141" s="401"/>
      <c r="U141" s="401"/>
      <c r="V141" s="3377" t="s">
        <v>4318</v>
      </c>
      <c r="W141" s="1941"/>
      <c r="X141" s="1941"/>
      <c r="Y141" s="1941"/>
      <c r="Z141" s="1941"/>
      <c r="AA141" s="1941"/>
      <c r="AB141" s="1940">
        <v>39.659999999999997</v>
      </c>
      <c r="AC141" s="3364">
        <v>39.659999999999997</v>
      </c>
      <c r="AD141" s="1941"/>
      <c r="AE141" s="1941"/>
      <c r="AF141" s="1941"/>
      <c r="AG141" s="1941"/>
      <c r="AI141" s="1939"/>
      <c r="AJ141" s="1939"/>
      <c r="AK141" s="1939"/>
      <c r="AL141" s="1941"/>
      <c r="AM141" s="1941"/>
      <c r="AN141" s="942">
        <v>3351</v>
      </c>
      <c r="AO141" s="2684">
        <v>4232.7285363633855</v>
      </c>
      <c r="AP141" s="2684">
        <v>3702</v>
      </c>
      <c r="AQ141" s="1941"/>
      <c r="AR141" s="1941"/>
      <c r="AS141" s="1941"/>
      <c r="AU141" s="1939"/>
      <c r="AV141" s="1939"/>
      <c r="AW141" s="1939"/>
      <c r="AX141" s="1941"/>
      <c r="AY141" s="1941"/>
      <c r="AZ141" s="1958">
        <v>0.24</v>
      </c>
      <c r="BA141" s="2448">
        <v>0.24</v>
      </c>
      <c r="BB141" s="2448">
        <v>0.24</v>
      </c>
      <c r="BC141" s="2448"/>
      <c r="BD141" s="2448"/>
      <c r="BE141" s="1941"/>
      <c r="BH141" s="1939"/>
      <c r="BI141" s="1939"/>
      <c r="BJ141" s="1939"/>
      <c r="BK141" s="1941"/>
      <c r="BL141" s="1958">
        <v>1.07</v>
      </c>
      <c r="BM141" s="1825">
        <v>1.071</v>
      </c>
      <c r="BN141" s="1825">
        <v>1.071</v>
      </c>
      <c r="BO141" s="1941"/>
      <c r="BP141" s="1941"/>
      <c r="BQ141" s="1941"/>
      <c r="BR141" s="1941"/>
      <c r="DB141" s="72"/>
    </row>
    <row r="142" spans="3:106" s="55" customFormat="1" hidden="1" outlineLevel="1" x14ac:dyDescent="0.25">
      <c r="C142" s="1942"/>
      <c r="D142" s="1967" t="str">
        <f t="shared" si="149"/>
        <v>801235_2020_12_</v>
      </c>
      <c r="E142" s="1308" t="s">
        <v>2714</v>
      </c>
      <c r="F142" s="59">
        <v>39.659999999999997</v>
      </c>
      <c r="G142" s="59">
        <v>16.02</v>
      </c>
      <c r="H142" s="2646">
        <f>H71</f>
        <v>2711.4667506965634</v>
      </c>
      <c r="I142" s="1312">
        <v>0.24</v>
      </c>
      <c r="J142" s="59">
        <v>1.071</v>
      </c>
      <c r="K142" s="59">
        <v>1</v>
      </c>
      <c r="L142" s="1930"/>
      <c r="M142" s="401"/>
      <c r="N142" s="401"/>
      <c r="O142" s="401"/>
      <c r="P142" s="401"/>
      <c r="Q142" s="401"/>
      <c r="R142" s="401"/>
      <c r="S142" s="401"/>
      <c r="T142" s="401"/>
      <c r="U142" s="401"/>
      <c r="V142" s="3377" t="s">
        <v>4318</v>
      </c>
      <c r="W142" s="1941"/>
      <c r="X142" s="1941"/>
      <c r="Y142" s="1941"/>
      <c r="Z142" s="1941"/>
      <c r="AA142" s="1941"/>
      <c r="AB142" s="1940">
        <v>39.659999999999997</v>
      </c>
      <c r="AC142" s="3364">
        <v>39.659999999999997</v>
      </c>
      <c r="AD142" s="1941"/>
      <c r="AE142" s="1941"/>
      <c r="AF142" s="1941"/>
      <c r="AG142" s="1941"/>
      <c r="AI142" s="1939"/>
      <c r="AJ142" s="1939"/>
      <c r="AK142" s="1939"/>
      <c r="AL142" s="1941"/>
      <c r="AM142" s="1941"/>
      <c r="AN142" s="942">
        <v>3351</v>
      </c>
      <c r="AO142" s="2684">
        <v>4232.7285363633855</v>
      </c>
      <c r="AP142" s="2684">
        <v>2710</v>
      </c>
      <c r="AQ142" s="1941"/>
      <c r="AR142" s="1941"/>
      <c r="AS142" s="1941"/>
      <c r="AU142" s="1939"/>
      <c r="AV142" s="1939"/>
      <c r="AW142" s="1939"/>
      <c r="AX142" s="1941"/>
      <c r="AY142" s="1941"/>
      <c r="AZ142" s="1958">
        <v>0.24</v>
      </c>
      <c r="BA142" s="2448">
        <v>0.24</v>
      </c>
      <c r="BB142" s="2448">
        <v>0.24</v>
      </c>
      <c r="BC142" s="2448"/>
      <c r="BD142" s="2448"/>
      <c r="BE142" s="1941"/>
      <c r="BH142" s="1939"/>
      <c r="BI142" s="1939"/>
      <c r="BJ142" s="1939"/>
      <c r="BK142" s="1941"/>
      <c r="BL142" s="1958">
        <v>1.07</v>
      </c>
      <c r="BM142" s="1825">
        <v>1.071</v>
      </c>
      <c r="BN142" s="1825">
        <v>1.071</v>
      </c>
      <c r="BO142" s="1941"/>
      <c r="BP142" s="1941"/>
      <c r="BQ142" s="1941"/>
      <c r="BR142" s="1941"/>
      <c r="DB142" s="72"/>
    </row>
    <row r="143" spans="3:106" s="55" customFormat="1" hidden="1" outlineLevel="1" x14ac:dyDescent="0.25">
      <c r="C143" s="1942"/>
      <c r="D143" s="1967" t="str">
        <f t="shared" si="149"/>
        <v>801237_2020_12_</v>
      </c>
      <c r="E143" s="1308" t="s">
        <v>2716</v>
      </c>
      <c r="F143" s="59">
        <v>279.33</v>
      </c>
      <c r="G143" s="59">
        <v>92</v>
      </c>
      <c r="H143" s="2646">
        <f>H55</f>
        <v>4768.7638888888887</v>
      </c>
      <c r="I143" s="1312">
        <v>0.24</v>
      </c>
      <c r="J143" s="59">
        <v>1.071</v>
      </c>
      <c r="K143" s="59">
        <v>1</v>
      </c>
      <c r="L143" s="1930"/>
      <c r="M143" s="401"/>
      <c r="N143" s="401"/>
      <c r="O143" s="401"/>
      <c r="P143" s="401"/>
      <c r="Q143" s="401"/>
      <c r="R143" s="401"/>
      <c r="S143" s="401"/>
      <c r="T143" s="401"/>
      <c r="U143" s="401"/>
      <c r="V143" s="3377" t="s">
        <v>4318</v>
      </c>
      <c r="W143" s="1941"/>
      <c r="X143" s="1941"/>
      <c r="Y143" s="1941"/>
      <c r="Z143" s="1941"/>
      <c r="AA143" s="1941"/>
      <c r="AB143" s="1940">
        <v>279.33</v>
      </c>
      <c r="AC143" s="3364">
        <v>279.33</v>
      </c>
      <c r="AD143" s="1941"/>
      <c r="AE143" s="1941"/>
      <c r="AF143" s="1941"/>
      <c r="AG143" s="1941"/>
      <c r="AI143" s="1939"/>
      <c r="AJ143" s="1939"/>
      <c r="AK143" s="1939"/>
      <c r="AL143" s="1941"/>
      <c r="AM143" s="1941"/>
      <c r="AN143" s="942">
        <v>3351</v>
      </c>
      <c r="AO143" s="2684">
        <v>4232.7285363633855</v>
      </c>
      <c r="AP143" s="2684">
        <v>2710</v>
      </c>
      <c r="AQ143" s="1941"/>
      <c r="AR143" s="1941"/>
      <c r="AS143" s="1941"/>
      <c r="AU143" s="1939"/>
      <c r="AV143" s="1939"/>
      <c r="AW143" s="1939"/>
      <c r="AX143" s="1941"/>
      <c r="AY143" s="1941"/>
      <c r="AZ143" s="1958">
        <v>0.24</v>
      </c>
      <c r="BA143" s="2448">
        <v>0.24</v>
      </c>
      <c r="BB143" s="2448">
        <v>0.24</v>
      </c>
      <c r="BC143" s="2448"/>
      <c r="BD143" s="2448"/>
      <c r="BE143" s="1941"/>
      <c r="BH143" s="1939"/>
      <c r="BI143" s="1939"/>
      <c r="BJ143" s="1939"/>
      <c r="BK143" s="1941"/>
      <c r="BL143" s="1958">
        <v>1.07</v>
      </c>
      <c r="BM143" s="1825">
        <v>1.071</v>
      </c>
      <c r="BN143" s="1825">
        <v>1.071</v>
      </c>
      <c r="BO143" s="1941"/>
      <c r="BP143" s="1941"/>
      <c r="BQ143" s="1941"/>
      <c r="BR143" s="1941"/>
      <c r="DB143" s="72"/>
    </row>
    <row r="144" spans="3:106" s="55" customFormat="1" hidden="1" outlineLevel="1" x14ac:dyDescent="0.25">
      <c r="C144" s="1942"/>
      <c r="D144" s="1967" t="str">
        <f t="shared" si="149"/>
        <v>801239_2020_12_</v>
      </c>
      <c r="E144" s="1308" t="s">
        <v>2718</v>
      </c>
      <c r="F144" s="59">
        <v>279.33</v>
      </c>
      <c r="G144" s="59">
        <v>92</v>
      </c>
      <c r="H144" s="2646">
        <f>H55</f>
        <v>4768.7638888888887</v>
      </c>
      <c r="I144" s="1312">
        <v>0.24</v>
      </c>
      <c r="J144" s="59">
        <v>1.071</v>
      </c>
      <c r="K144" s="59">
        <v>1</v>
      </c>
      <c r="L144" s="1930"/>
      <c r="M144" s="401"/>
      <c r="N144" s="401"/>
      <c r="O144" s="401"/>
      <c r="P144" s="401"/>
      <c r="Q144" s="401"/>
      <c r="R144" s="401"/>
      <c r="S144" s="401"/>
      <c r="T144" s="401"/>
      <c r="U144" s="401"/>
      <c r="V144" s="3377" t="s">
        <v>4318</v>
      </c>
      <c r="W144" s="1941"/>
      <c r="X144" s="1941"/>
      <c r="Y144" s="1941"/>
      <c r="Z144" s="1941"/>
      <c r="AA144" s="1941"/>
      <c r="AB144" s="1940">
        <v>279.33</v>
      </c>
      <c r="AC144" s="3364">
        <v>279.33</v>
      </c>
      <c r="AD144" s="1941"/>
      <c r="AE144" s="1941"/>
      <c r="AF144" s="1941"/>
      <c r="AG144" s="1941"/>
      <c r="AI144" s="1939"/>
      <c r="AJ144" s="1939"/>
      <c r="AK144" s="1939"/>
      <c r="AL144" s="1941"/>
      <c r="AM144" s="1941"/>
      <c r="AN144" s="942">
        <v>3351</v>
      </c>
      <c r="AO144" s="2684">
        <v>4232.7285363633855</v>
      </c>
      <c r="AP144" s="2684">
        <v>4769</v>
      </c>
      <c r="AQ144" s="1941"/>
      <c r="AR144" s="1941"/>
      <c r="AS144" s="1941"/>
      <c r="AU144" s="1939"/>
      <c r="AV144" s="1939"/>
      <c r="AW144" s="1939"/>
      <c r="AX144" s="1941"/>
      <c r="AY144" s="1941"/>
      <c r="AZ144" s="1958">
        <v>0.24</v>
      </c>
      <c r="BA144" s="2448">
        <v>0.24</v>
      </c>
      <c r="BB144" s="2448">
        <v>0.24</v>
      </c>
      <c r="BC144" s="2448"/>
      <c r="BD144" s="2448"/>
      <c r="BE144" s="1941"/>
      <c r="BH144" s="1939"/>
      <c r="BI144" s="1939"/>
      <c r="BJ144" s="1939"/>
      <c r="BK144" s="1941"/>
      <c r="BL144" s="1958">
        <v>1.07</v>
      </c>
      <c r="BM144" s="1825">
        <v>1.071</v>
      </c>
      <c r="BN144" s="1825">
        <v>1.071</v>
      </c>
      <c r="BO144" s="1941"/>
      <c r="BP144" s="1941"/>
      <c r="BQ144" s="1941"/>
      <c r="BR144" s="1941"/>
      <c r="DB144" s="72"/>
    </row>
    <row r="145" spans="2:112" s="55" customFormat="1" hidden="1" outlineLevel="1" x14ac:dyDescent="0.25">
      <c r="C145" s="1942"/>
      <c r="D145" s="1313" t="s">
        <v>2701</v>
      </c>
      <c r="E145" s="401"/>
      <c r="F145" s="401"/>
      <c r="G145" s="401"/>
      <c r="H145" s="401"/>
      <c r="I145" s="401"/>
      <c r="J145" s="401"/>
      <c r="K145" s="401"/>
      <c r="L145" s="151"/>
      <c r="M145" s="401"/>
      <c r="N145" s="401"/>
      <c r="O145" s="401"/>
      <c r="P145" s="401"/>
      <c r="Q145" s="401"/>
      <c r="R145" s="401"/>
      <c r="S145" s="401"/>
      <c r="T145" s="401"/>
      <c r="U145" s="401"/>
      <c r="DB145" s="72"/>
    </row>
    <row r="146" spans="2:112" s="55" customFormat="1" collapsed="1" x14ac:dyDescent="0.25">
      <c r="C146" s="151"/>
      <c r="D146" s="151"/>
      <c r="E146" s="151"/>
      <c r="F146" s="151"/>
      <c r="G146" s="1314"/>
      <c r="H146" s="1315"/>
      <c r="I146" s="1314"/>
      <c r="J146" s="1314"/>
      <c r="K146" s="401"/>
      <c r="L146" s="151"/>
      <c r="M146" s="401"/>
      <c r="N146" s="401"/>
      <c r="O146" s="401"/>
      <c r="P146" s="401"/>
      <c r="Q146" s="401"/>
      <c r="R146" s="401"/>
      <c r="S146" s="401"/>
      <c r="T146" s="401"/>
      <c r="U146" s="401"/>
      <c r="DB146" s="72"/>
    </row>
    <row r="147" spans="2:112" s="55" customFormat="1" x14ac:dyDescent="0.25">
      <c r="C147" s="151"/>
      <c r="D147" s="151"/>
      <c r="E147" s="151"/>
      <c r="F147" s="151"/>
      <c r="G147" s="1314"/>
      <c r="H147" s="1315"/>
      <c r="I147" s="1314"/>
      <c r="J147" s="1314"/>
      <c r="K147" s="401"/>
      <c r="L147" s="151"/>
      <c r="M147" s="401"/>
      <c r="N147" s="401"/>
      <c r="O147" s="401"/>
      <c r="P147" s="401"/>
      <c r="Q147" s="401"/>
      <c r="R147" s="401"/>
      <c r="S147" s="401"/>
      <c r="T147" s="401"/>
      <c r="U147" s="401"/>
      <c r="DB147" s="72"/>
    </row>
    <row r="148" spans="2:112" ht="18.75" customHeight="1" x14ac:dyDescent="0.25">
      <c r="B148" s="1931"/>
      <c r="D148" s="1966"/>
      <c r="E148" s="1966"/>
      <c r="F148" s="1966"/>
      <c r="G148" s="1965"/>
      <c r="H148" s="1301"/>
      <c r="I148" s="1965"/>
      <c r="J148" s="1965"/>
      <c r="K148" s="1965"/>
      <c r="L148" s="1965"/>
      <c r="M148" s="1965"/>
      <c r="N148" s="1965"/>
      <c r="O148" s="1965"/>
      <c r="P148" s="1965"/>
      <c r="Q148" s="1965"/>
      <c r="R148" s="1965"/>
      <c r="S148" s="1965"/>
      <c r="T148" s="1965"/>
      <c r="U148" s="1965"/>
      <c r="V148" s="1931"/>
      <c r="W148" s="1931"/>
      <c r="X148" s="1931"/>
      <c r="Y148" s="1931"/>
      <c r="Z148" s="1931"/>
      <c r="AA148" s="1931"/>
      <c r="AB148" s="1931"/>
      <c r="AC148" s="1931"/>
      <c r="AD148" s="1931"/>
      <c r="AE148" s="1931"/>
      <c r="AF148" s="1931"/>
      <c r="AG148" s="1931"/>
      <c r="AH148" s="1931"/>
      <c r="AI148" s="1931"/>
      <c r="AJ148" s="1931"/>
      <c r="AK148" s="1931"/>
      <c r="AL148" s="1931"/>
      <c r="AM148" s="1931"/>
      <c r="AN148" s="1931"/>
      <c r="AO148" s="1931"/>
      <c r="AP148" s="1931"/>
      <c r="AQ148" s="1931"/>
      <c r="AR148" s="1931"/>
      <c r="AS148" s="1931"/>
      <c r="AT148" s="1931"/>
      <c r="AU148" s="1931"/>
      <c r="AV148" s="1931"/>
      <c r="AW148" s="1931"/>
      <c r="AX148" s="1931"/>
      <c r="AY148" s="1931"/>
      <c r="AZ148" s="1931"/>
      <c r="BA148" s="1931"/>
      <c r="BB148" s="1931"/>
      <c r="BC148" s="1931"/>
      <c r="BD148" s="1931"/>
      <c r="BE148" s="1931"/>
      <c r="BF148" s="1931"/>
      <c r="BG148" s="1931"/>
      <c r="BH148" s="1931"/>
      <c r="BI148" s="1931"/>
      <c r="BJ148" s="1931"/>
      <c r="BK148" s="1931"/>
      <c r="BL148" s="1931"/>
      <c r="BM148" s="1931"/>
      <c r="BN148" s="1931"/>
      <c r="BO148" s="1931"/>
      <c r="BP148" s="1931"/>
      <c r="BQ148" s="1931"/>
      <c r="BR148" s="1931"/>
      <c r="BS148" s="1931"/>
      <c r="BT148" s="1931"/>
      <c r="BU148" s="1931"/>
      <c r="BV148" s="1931"/>
      <c r="BW148" s="1931"/>
      <c r="BX148" s="1931"/>
      <c r="BY148" s="1931"/>
      <c r="BZ148" s="1931"/>
      <c r="CA148" s="1931"/>
      <c r="CB148" s="1931"/>
      <c r="CC148" s="1931"/>
      <c r="CD148" s="1931"/>
      <c r="CE148" s="1930"/>
      <c r="CF148" s="1930"/>
      <c r="CG148" s="1930"/>
      <c r="CH148" s="1930"/>
      <c r="CI148" s="1931"/>
      <c r="CJ148" s="1931"/>
      <c r="CK148" s="1931"/>
      <c r="CL148" s="1931"/>
      <c r="CM148" s="1931"/>
      <c r="CN148" s="1931"/>
      <c r="CO148" s="1931"/>
      <c r="CP148" s="1931"/>
      <c r="CQ148" s="1931"/>
      <c r="CR148" s="1931"/>
      <c r="CS148" s="1931"/>
      <c r="CT148" s="1930"/>
      <c r="CU148" s="1930"/>
      <c r="CV148" s="1930"/>
      <c r="CW148" s="1930"/>
      <c r="CX148" s="1931"/>
      <c r="CY148" s="1931"/>
      <c r="CZ148" s="1931"/>
      <c r="DA148" s="1931"/>
      <c r="DB148" s="1932"/>
      <c r="DC148" s="1931"/>
      <c r="DD148" s="1931"/>
      <c r="DE148" s="1931"/>
      <c r="DF148" s="1931"/>
    </row>
    <row r="149" spans="2:112" s="43" customFormat="1" x14ac:dyDescent="0.25">
      <c r="B149" s="4484" t="s">
        <v>2719</v>
      </c>
      <c r="C149" s="4485"/>
      <c r="D149" s="4485"/>
      <c r="E149" s="4485"/>
      <c r="F149" s="4485"/>
      <c r="G149" s="4485"/>
      <c r="H149" s="4485"/>
      <c r="I149" s="4486"/>
      <c r="J149" s="4486"/>
      <c r="K149" s="4486"/>
      <c r="L149" s="4486"/>
      <c r="M149" s="3752"/>
      <c r="N149" s="3752"/>
      <c r="O149" s="3753"/>
      <c r="P149" s="1935"/>
      <c r="Q149" s="1935"/>
      <c r="R149" s="1935"/>
      <c r="S149" s="1935"/>
      <c r="T149" s="1935"/>
      <c r="U149" s="1935"/>
      <c r="V149" s="3077" t="str">
        <f>B149</f>
        <v>Commercial Solid and Glass Door Refrigerators &amp; Freezers</v>
      </c>
      <c r="W149" s="3078"/>
      <c r="X149" s="3078"/>
      <c r="Y149" s="3078"/>
      <c r="Z149" s="3078"/>
      <c r="AA149" s="3078"/>
      <c r="AB149" s="3078"/>
      <c r="AC149" s="3078"/>
      <c r="AD149" s="3078"/>
      <c r="AE149" s="3078"/>
      <c r="AF149" s="3078"/>
      <c r="AG149" s="3078"/>
      <c r="AH149" s="3078"/>
      <c r="AI149" s="3170"/>
      <c r="AJ149" s="1931"/>
      <c r="AK149" s="1931"/>
      <c r="AL149" s="1931"/>
      <c r="AM149" s="1931"/>
      <c r="AN149" s="1931"/>
      <c r="AO149" s="1931"/>
      <c r="AP149" s="1931"/>
      <c r="AQ149" s="1931"/>
      <c r="AR149" s="1931"/>
      <c r="AS149" s="1931"/>
      <c r="AT149" s="1931"/>
      <c r="AU149" s="1931"/>
      <c r="AV149" s="1935"/>
      <c r="AW149" s="1935"/>
      <c r="AX149" s="1935"/>
      <c r="AY149" s="1935"/>
      <c r="AZ149" s="1935"/>
      <c r="BA149" s="1935"/>
      <c r="BB149" s="1935"/>
      <c r="BC149" s="1935"/>
      <c r="BD149" s="1935"/>
      <c r="BE149" s="1935"/>
      <c r="BF149" s="1935"/>
      <c r="BG149" s="1935"/>
      <c r="BH149" s="1935"/>
      <c r="BI149" s="1935"/>
      <c r="BJ149" s="1935"/>
      <c r="BK149" s="1935"/>
      <c r="BL149" s="1935"/>
      <c r="BM149" s="1935"/>
      <c r="BN149" s="1935"/>
      <c r="BO149" s="1935"/>
      <c r="BP149" s="1935"/>
      <c r="BQ149" s="1935"/>
      <c r="BR149" s="1935"/>
      <c r="BS149" s="1935"/>
      <c r="BT149" s="1935"/>
      <c r="BU149" s="1935"/>
      <c r="BV149" s="1935"/>
      <c r="BW149" s="1935"/>
      <c r="BX149" s="1935"/>
      <c r="BY149" s="1935"/>
      <c r="BZ149" s="1935"/>
      <c r="CA149" s="1935"/>
      <c r="CB149" s="1935"/>
      <c r="CC149" s="1935"/>
      <c r="CD149" s="1935"/>
      <c r="CE149" s="1935"/>
      <c r="CF149" s="1935"/>
      <c r="CG149" s="1935"/>
      <c r="CH149" s="1935"/>
      <c r="CI149" s="1935"/>
      <c r="CJ149" s="1935"/>
      <c r="CK149" s="1935"/>
      <c r="CL149" s="1935"/>
      <c r="CM149" s="1935"/>
      <c r="CN149" s="1935"/>
      <c r="CO149" s="1935"/>
      <c r="CP149" s="1935"/>
      <c r="CQ149" s="1935"/>
      <c r="CR149" s="1935"/>
      <c r="CS149" s="1935"/>
      <c r="CT149" s="1935"/>
      <c r="CU149" s="1935"/>
      <c r="CV149" s="1935"/>
      <c r="CW149" s="1935"/>
      <c r="CX149" s="1935"/>
      <c r="CY149" s="1935"/>
      <c r="CZ149" s="1935"/>
      <c r="DA149" s="1935"/>
      <c r="DB149" s="73"/>
      <c r="DC149" s="1935"/>
      <c r="DD149" s="1935"/>
      <c r="DE149" s="1935"/>
      <c r="DF149" s="1935"/>
      <c r="DG149" s="1935"/>
      <c r="DH149" s="1935"/>
    </row>
    <row r="150" spans="2:112" x14ac:dyDescent="0.25">
      <c r="B150" s="1931"/>
      <c r="D150" s="1286"/>
      <c r="E150" s="1966"/>
      <c r="F150" s="1966"/>
      <c r="G150" s="1966"/>
      <c r="H150" s="1287"/>
      <c r="I150" s="1966"/>
      <c r="J150" s="1966"/>
      <c r="K150" s="1966"/>
      <c r="L150" s="1966"/>
      <c r="M150" s="1965"/>
      <c r="N150" s="1965"/>
      <c r="O150" s="1965"/>
      <c r="P150" s="1966"/>
      <c r="Q150" s="1966"/>
      <c r="R150" s="1966"/>
      <c r="S150" s="1966"/>
      <c r="T150" s="1966"/>
      <c r="U150" s="1966"/>
      <c r="V150" s="1930"/>
      <c r="W150" s="1930"/>
      <c r="X150" s="1930"/>
      <c r="Y150" s="1930"/>
      <c r="Z150" s="1930"/>
      <c r="AA150" s="1930"/>
      <c r="AB150" s="1930"/>
      <c r="AC150" s="1930"/>
      <c r="AD150" s="1930"/>
      <c r="AE150" s="1930"/>
      <c r="AF150" s="1930"/>
      <c r="AG150" s="1930"/>
      <c r="AH150" s="1930"/>
      <c r="AI150" s="1930"/>
      <c r="AJ150" s="1934"/>
      <c r="AK150" s="1934"/>
      <c r="AL150" s="1934"/>
      <c r="AM150" s="1934"/>
      <c r="AN150" s="1934"/>
      <c r="AO150" s="1934"/>
      <c r="AP150" s="1934"/>
      <c r="AQ150" s="1934"/>
      <c r="AR150" s="1934"/>
      <c r="AS150" s="1934"/>
      <c r="AT150" s="1931"/>
      <c r="AU150" s="1934"/>
      <c r="AV150" s="1931"/>
      <c r="AW150" s="1931"/>
      <c r="AX150" s="1931"/>
      <c r="AY150" s="1931"/>
      <c r="AZ150" s="1931"/>
      <c r="BA150" s="1931"/>
      <c r="BB150" s="1931"/>
      <c r="BC150" s="1931"/>
      <c r="BD150" s="1931"/>
      <c r="BE150" s="1931"/>
      <c r="BF150" s="1931"/>
      <c r="BG150" s="1931"/>
      <c r="BH150" s="1931"/>
      <c r="BI150" s="1931"/>
      <c r="BJ150" s="1931"/>
      <c r="BK150" s="1931"/>
      <c r="BL150" s="1931"/>
      <c r="BM150" s="1931"/>
      <c r="BN150" s="1931"/>
      <c r="BO150" s="1931"/>
      <c r="BP150" s="1931"/>
      <c r="BQ150" s="1931"/>
      <c r="BR150" s="1931"/>
      <c r="BS150" s="1931"/>
      <c r="BT150" s="1931"/>
      <c r="BU150" s="1931"/>
      <c r="BV150" s="1931"/>
      <c r="BW150" s="1931"/>
      <c r="BX150" s="1931"/>
      <c r="BY150" s="1931"/>
      <c r="BZ150" s="1931"/>
      <c r="CA150" s="1931"/>
      <c r="CB150" s="1931"/>
      <c r="CC150" s="1931"/>
      <c r="CD150" s="1931"/>
      <c r="CE150" s="1930"/>
      <c r="CF150" s="1930"/>
      <c r="CG150" s="1930"/>
      <c r="CH150" s="1930"/>
      <c r="CI150" s="1931"/>
      <c r="CJ150" s="1931"/>
      <c r="CK150" s="1931"/>
      <c r="CL150" s="1931"/>
      <c r="CM150" s="1931"/>
      <c r="CN150" s="1931"/>
      <c r="CO150" s="1931"/>
      <c r="CP150" s="1931"/>
      <c r="CQ150" s="1931"/>
      <c r="CR150" s="1931"/>
      <c r="CS150" s="1931"/>
      <c r="CT150" s="1930"/>
      <c r="CU150" s="1930"/>
      <c r="CV150" s="1930"/>
      <c r="CW150" s="1930"/>
      <c r="CX150" s="1931"/>
      <c r="CY150" s="1931"/>
      <c r="CZ150" s="1931"/>
      <c r="DA150" s="1931"/>
      <c r="DB150" s="1932"/>
      <c r="DC150" s="1931"/>
      <c r="DD150" s="1931"/>
      <c r="DE150" s="1931"/>
      <c r="DF150" s="1931"/>
    </row>
    <row r="151" spans="2:112" s="44" customFormat="1" ht="30" x14ac:dyDescent="0.25">
      <c r="B151" s="45"/>
      <c r="C151" s="46" t="s">
        <v>28</v>
      </c>
      <c r="D151" s="3196" t="s">
        <v>29</v>
      </c>
      <c r="E151" s="3196" t="s">
        <v>30</v>
      </c>
      <c r="F151" s="3196" t="s">
        <v>31</v>
      </c>
      <c r="G151" s="3196" t="s">
        <v>176</v>
      </c>
      <c r="H151" s="47" t="s">
        <v>177</v>
      </c>
      <c r="I151" s="3196" t="s">
        <v>32</v>
      </c>
      <c r="J151" s="3196" t="s">
        <v>181</v>
      </c>
      <c r="K151" s="46" t="s">
        <v>170</v>
      </c>
      <c r="L151" s="46" t="s">
        <v>44</v>
      </c>
      <c r="M151" s="1965"/>
      <c r="N151" s="1965"/>
      <c r="O151" s="1965"/>
      <c r="P151" s="1288"/>
      <c r="Q151" s="1288"/>
      <c r="R151" s="1288"/>
      <c r="S151" s="1288"/>
      <c r="T151" s="1288"/>
      <c r="U151" s="1288"/>
      <c r="V151" s="1936" t="s">
        <v>45</v>
      </c>
      <c r="W151" s="1937">
        <f>$W$8</f>
        <v>43252</v>
      </c>
      <c r="X151" s="1937">
        <f>$X$8</f>
        <v>43465</v>
      </c>
      <c r="Y151" s="1937">
        <f>$Y$8</f>
        <v>43800</v>
      </c>
      <c r="Z151" s="1937">
        <f>$Z$8</f>
        <v>43862</v>
      </c>
      <c r="AA151" s="1937">
        <f>$AA$8</f>
        <v>44013</v>
      </c>
      <c r="AB151" s="1937">
        <v>44166</v>
      </c>
      <c r="AC151" s="1937">
        <f>$AC$8</f>
        <v>44531</v>
      </c>
      <c r="AD151" s="1937" t="str">
        <f>$AD$8</f>
        <v>-</v>
      </c>
      <c r="AE151" s="1937" t="str">
        <f>$AE$8</f>
        <v>-</v>
      </c>
      <c r="AF151" s="1937" t="str">
        <f>$AF$8</f>
        <v>-</v>
      </c>
      <c r="AG151" s="1937" t="str">
        <f>$AG$8</f>
        <v>-</v>
      </c>
      <c r="AH151" s="1930"/>
      <c r="AI151" s="1936" t="s">
        <v>45</v>
      </c>
      <c r="AJ151" s="1937">
        <v>43252</v>
      </c>
      <c r="AK151" s="1937">
        <f>$X$8</f>
        <v>43465</v>
      </c>
      <c r="AL151" s="1937">
        <f>$Y$8</f>
        <v>43800</v>
      </c>
      <c r="AM151" s="1937">
        <f>$Z$8</f>
        <v>43862</v>
      </c>
      <c r="AN151" s="1937">
        <f>$AA$8</f>
        <v>44013</v>
      </c>
      <c r="AO151" s="1937">
        <f>$AB$8</f>
        <v>44166</v>
      </c>
      <c r="AP151" s="1937">
        <f>$AC$8</f>
        <v>44531</v>
      </c>
      <c r="AQ151" s="1937" t="str">
        <f>$AD$8</f>
        <v>-</v>
      </c>
      <c r="AR151" s="1937" t="str">
        <f>$AE$8</f>
        <v>-</v>
      </c>
      <c r="AS151" s="1937" t="str">
        <f>$AF$8</f>
        <v>-</v>
      </c>
      <c r="AT151" s="1931"/>
      <c r="AU151" s="1936" t="s">
        <v>45</v>
      </c>
      <c r="AV151" s="1937">
        <v>43252</v>
      </c>
      <c r="AW151" s="1937">
        <f>$X$8</f>
        <v>43465</v>
      </c>
      <c r="AX151" s="1937">
        <f>$Y$8</f>
        <v>43800</v>
      </c>
      <c r="AY151" s="1937">
        <f>$Z$8</f>
        <v>43862</v>
      </c>
      <c r="AZ151" s="1937">
        <f>$AA$8</f>
        <v>44013</v>
      </c>
      <c r="BA151" s="1937">
        <v>44166</v>
      </c>
      <c r="BB151" s="1937">
        <f>$AC$8</f>
        <v>44531</v>
      </c>
      <c r="BC151" s="1937" t="str">
        <f>$AD$8</f>
        <v>-</v>
      </c>
      <c r="BD151" s="1937" t="str">
        <f>$AE$8</f>
        <v>-</v>
      </c>
      <c r="BE151" s="1937" t="str">
        <f>$AF$8</f>
        <v>-</v>
      </c>
      <c r="CD151" s="1935"/>
      <c r="DB151" s="1938" t="str">
        <f>$DB$8</f>
        <v>TRC (2020)</v>
      </c>
      <c r="DC151" s="1953" t="str">
        <f>$DC$8</f>
        <v>Benefit Lookup</v>
      </c>
      <c r="DD151" s="1953" t="str">
        <f>$DD$8</f>
        <v>Benefits (2019 $)</v>
      </c>
      <c r="DE151" s="1953" t="str">
        <f>$DE$8</f>
        <v>Incremental Cost (2019 $)</v>
      </c>
    </row>
    <row r="152" spans="2:112" x14ac:dyDescent="0.25">
      <c r="B152" s="1931"/>
      <c r="C152" s="2462" t="s">
        <v>2720</v>
      </c>
      <c r="D152" s="1289" t="s">
        <v>2646</v>
      </c>
      <c r="E152" s="1308" t="s">
        <v>2721</v>
      </c>
      <c r="F152" s="1959">
        <f t="shared" ref="F152:F159" si="150">ROUND(((G183*H$181+I$181)-(G183*H183+I183))*365.25,2)</f>
        <v>379.86</v>
      </c>
      <c r="G152" s="1290" t="s">
        <v>2722</v>
      </c>
      <c r="H152" s="1291">
        <f>VLOOKUP(G152,'CP FACTORS'!$A$26:$B$38,2,FALSE)</f>
        <v>1.3573829999999999E-4</v>
      </c>
      <c r="I152" s="1309">
        <f t="shared" ref="I152:I169" si="151">ROUND(H152*F152,6)</f>
        <v>5.1561999999999997E-2</v>
      </c>
      <c r="J152" s="1358">
        <v>12</v>
      </c>
      <c r="K152" s="1310">
        <v>150</v>
      </c>
      <c r="L152" s="1292" t="s">
        <v>185</v>
      </c>
      <c r="M152" s="1965"/>
      <c r="N152" s="1965"/>
      <c r="O152" s="1965"/>
      <c r="P152" s="1965"/>
      <c r="Q152" s="1965"/>
      <c r="R152" s="1965"/>
      <c r="S152" s="1965"/>
      <c r="T152" s="1965"/>
      <c r="U152" s="1965"/>
      <c r="V152" s="3226" t="s">
        <v>31</v>
      </c>
      <c r="W152" s="1947">
        <v>379.86</v>
      </c>
      <c r="X152" s="1947">
        <v>379.86</v>
      </c>
      <c r="Y152" s="129">
        <v>379.86</v>
      </c>
      <c r="Z152" s="129">
        <v>379.86</v>
      </c>
      <c r="AA152" s="129">
        <v>379.86</v>
      </c>
      <c r="AB152" s="2002">
        <v>379.86</v>
      </c>
      <c r="AC152" s="3364">
        <v>379.86</v>
      </c>
      <c r="AD152" s="2099"/>
      <c r="AE152" s="2099"/>
      <c r="AF152" s="2099"/>
      <c r="AG152" s="2099"/>
      <c r="AH152" s="2100"/>
      <c r="AI152" s="3227" t="s">
        <v>181</v>
      </c>
      <c r="AJ152" s="64">
        <v>12</v>
      </c>
      <c r="AK152" s="64">
        <v>12</v>
      </c>
      <c r="AL152" s="64">
        <v>12</v>
      </c>
      <c r="AM152" s="64">
        <v>12</v>
      </c>
      <c r="AN152" s="64">
        <v>12</v>
      </c>
      <c r="AO152" s="2091">
        <v>12</v>
      </c>
      <c r="AP152" s="2091">
        <v>12</v>
      </c>
      <c r="AQ152" s="2099"/>
      <c r="AR152" s="2099"/>
      <c r="AS152" s="2099"/>
      <c r="AT152" s="1933"/>
      <c r="AU152" s="3227" t="s">
        <v>170</v>
      </c>
      <c r="AV152" s="2102">
        <v>150</v>
      </c>
      <c r="AW152" s="2102">
        <v>150</v>
      </c>
      <c r="AX152" s="2102">
        <v>150</v>
      </c>
      <c r="AY152" s="2102">
        <v>150</v>
      </c>
      <c r="AZ152" s="2102">
        <v>150</v>
      </c>
      <c r="BA152" s="2103">
        <v>150</v>
      </c>
      <c r="BB152" s="2103">
        <v>150</v>
      </c>
      <c r="BC152" s="2099"/>
      <c r="BD152" s="2099"/>
      <c r="BE152" s="2099"/>
      <c r="BF152" s="1933"/>
      <c r="BG152" s="1933"/>
      <c r="BH152" s="1933"/>
      <c r="BI152" s="1933"/>
      <c r="BJ152" s="1933"/>
      <c r="BK152" s="1933"/>
      <c r="BL152" s="1933"/>
      <c r="BM152" s="1933"/>
      <c r="BN152" s="1931"/>
      <c r="BO152" s="1931"/>
      <c r="BP152" s="1931"/>
      <c r="BQ152" s="1931"/>
      <c r="BR152" s="1931"/>
      <c r="BS152" s="1931"/>
      <c r="BT152" s="1931"/>
      <c r="BU152" s="1931"/>
      <c r="BV152" s="1931"/>
      <c r="BW152" s="1931"/>
      <c r="BX152" s="1931"/>
      <c r="BY152" s="1931"/>
      <c r="BZ152" s="1931"/>
      <c r="CA152" s="1931"/>
      <c r="CB152" s="1931"/>
      <c r="CC152" s="1931"/>
      <c r="CD152" s="1931"/>
      <c r="CE152" s="1930"/>
      <c r="CF152" s="1930"/>
      <c r="CG152" s="1930"/>
      <c r="CH152" s="1930"/>
      <c r="CI152" s="1931"/>
      <c r="CJ152" s="1931"/>
      <c r="CK152" s="1931"/>
      <c r="CL152" s="1931"/>
      <c r="CM152" s="1931"/>
      <c r="CN152" s="1931"/>
      <c r="CO152" s="1931"/>
      <c r="CP152" s="1931"/>
      <c r="CQ152" s="1931"/>
      <c r="CR152" s="1931"/>
      <c r="CS152" s="1931"/>
      <c r="CT152" s="1930"/>
      <c r="CU152" s="1930"/>
      <c r="CV152" s="1930"/>
      <c r="CW152" s="1930"/>
      <c r="CX152" s="1931"/>
      <c r="CY152" s="1931"/>
      <c r="CZ152" s="1931"/>
      <c r="DA152" s="1931"/>
      <c r="DB152" s="1945">
        <f>(DD152)/(DE152)</f>
        <v>1.1662829576096756</v>
      </c>
      <c r="DC152" s="3166" t="str">
        <f t="shared" ref="DC152:DC169" si="152">CONCATENATE(G152," ",J152," Year EUL")</f>
        <v>Refrigeration BUS 12 Year EUL</v>
      </c>
      <c r="DD152" s="69">
        <f>(INDEX('Avoided Cost Benefits'!$C$4:$C$857,MATCH(DC152,'Avoided Cost Benefits'!$A$4:$A$857,0)))*F152</f>
        <v>165.11792698579643</v>
      </c>
      <c r="DE152" s="1946">
        <f t="shared" ref="DE152:DE169" si="153">K152/(1.0595^(2020-2019))</f>
        <v>141.57621519584708</v>
      </c>
      <c r="DF152" s="1931"/>
    </row>
    <row r="153" spans="2:112" x14ac:dyDescent="0.25">
      <c r="B153" s="1931"/>
      <c r="C153" s="2462" t="s">
        <v>2723</v>
      </c>
      <c r="D153" s="1289" t="s">
        <v>2646</v>
      </c>
      <c r="E153" s="1308" t="s">
        <v>2724</v>
      </c>
      <c r="F153" s="1959">
        <f t="shared" si="150"/>
        <v>626.4</v>
      </c>
      <c r="G153" s="1290" t="s">
        <v>2722</v>
      </c>
      <c r="H153" s="1291">
        <f>VLOOKUP(G153,'CP FACTORS'!$A$26:$B$38,2,FALSE)</f>
        <v>1.3573829999999999E-4</v>
      </c>
      <c r="I153" s="1309">
        <f t="shared" si="151"/>
        <v>8.5026000000000004E-2</v>
      </c>
      <c r="J153" s="1317">
        <f t="shared" ref="J153:J159" si="154">$J$152</f>
        <v>12</v>
      </c>
      <c r="K153" s="1310">
        <v>400</v>
      </c>
      <c r="L153" s="1292" t="s">
        <v>185</v>
      </c>
      <c r="M153" s="1965"/>
      <c r="N153" s="1965"/>
      <c r="O153" s="1965"/>
      <c r="P153" s="1965"/>
      <c r="Q153" s="1965"/>
      <c r="R153" s="1965"/>
      <c r="S153" s="1965"/>
      <c r="T153" s="1965"/>
      <c r="U153" s="1965"/>
      <c r="V153" s="3226" t="s">
        <v>31</v>
      </c>
      <c r="W153" s="1947">
        <v>626.40374999999995</v>
      </c>
      <c r="X153" s="1947">
        <v>626.40374999999995</v>
      </c>
      <c r="Y153" s="129">
        <v>626.40374999999995</v>
      </c>
      <c r="Z153" s="129">
        <v>626.40374999999995</v>
      </c>
      <c r="AA153" s="129">
        <v>626.40374999999995</v>
      </c>
      <c r="AB153" s="2002">
        <v>626.4</v>
      </c>
      <c r="AC153" s="3364">
        <v>626.4</v>
      </c>
      <c r="AD153" s="2099"/>
      <c r="AE153" s="2099"/>
      <c r="AF153" s="2099"/>
      <c r="AG153" s="2099"/>
      <c r="AH153" s="2100"/>
      <c r="AI153" s="3227" t="s">
        <v>181</v>
      </c>
      <c r="AJ153" s="64">
        <v>12</v>
      </c>
      <c r="AK153" s="64">
        <v>12</v>
      </c>
      <c r="AL153" s="64">
        <v>12</v>
      </c>
      <c r="AM153" s="64">
        <v>12</v>
      </c>
      <c r="AN153" s="64">
        <v>12</v>
      </c>
      <c r="AO153" s="2091">
        <v>12</v>
      </c>
      <c r="AP153" s="2091">
        <v>12</v>
      </c>
      <c r="AQ153" s="2099"/>
      <c r="AR153" s="2099"/>
      <c r="AS153" s="2099"/>
      <c r="AT153" s="1933"/>
      <c r="AU153" s="3227" t="s">
        <v>170</v>
      </c>
      <c r="AV153" s="2102">
        <v>400</v>
      </c>
      <c r="AW153" s="2102">
        <v>400</v>
      </c>
      <c r="AX153" s="2102">
        <v>400</v>
      </c>
      <c r="AY153" s="2102">
        <v>400</v>
      </c>
      <c r="AZ153" s="2102">
        <v>400</v>
      </c>
      <c r="BA153" s="2103">
        <v>400</v>
      </c>
      <c r="BB153" s="2103">
        <v>400</v>
      </c>
      <c r="BC153" s="2099"/>
      <c r="BD153" s="2099"/>
      <c r="BE153" s="2099"/>
      <c r="BF153" s="1933"/>
      <c r="BG153" s="1933"/>
      <c r="BH153" s="1933"/>
      <c r="BI153" s="1933"/>
      <c r="BJ153" s="1933"/>
      <c r="BK153" s="1933"/>
      <c r="BL153" s="1933"/>
      <c r="BM153" s="1933"/>
      <c r="BN153" s="1931"/>
      <c r="BO153" s="1931"/>
      <c r="BP153" s="1931"/>
      <c r="BQ153" s="1931"/>
      <c r="BR153" s="1931"/>
      <c r="BS153" s="1931"/>
      <c r="BT153" s="1931"/>
      <c r="BU153" s="1931"/>
      <c r="BV153" s="1931"/>
      <c r="BW153" s="1931"/>
      <c r="BX153" s="1931"/>
      <c r="BY153" s="1931"/>
      <c r="BZ153" s="1931"/>
      <c r="CA153" s="1931"/>
      <c r="CB153" s="1931"/>
      <c r="CC153" s="1931"/>
      <c r="CD153" s="1931"/>
      <c r="CE153" s="1930"/>
      <c r="CF153" s="1930"/>
      <c r="CG153" s="1930"/>
      <c r="CH153" s="1930"/>
      <c r="CI153" s="1931"/>
      <c r="CJ153" s="1931"/>
      <c r="CK153" s="1931"/>
      <c r="CL153" s="1931"/>
      <c r="CM153" s="1931"/>
      <c r="CN153" s="1931"/>
      <c r="CO153" s="1931"/>
      <c r="CP153" s="1931"/>
      <c r="CQ153" s="1931"/>
      <c r="CR153" s="1931"/>
      <c r="CS153" s="1931"/>
      <c r="CT153" s="1930"/>
      <c r="CU153" s="1930"/>
      <c r="CV153" s="1930"/>
      <c r="CW153" s="1930"/>
      <c r="CX153" s="1931"/>
      <c r="CY153" s="1931"/>
      <c r="CZ153" s="1931"/>
      <c r="DA153" s="1931"/>
      <c r="DB153" s="52">
        <f>(DD153)/(DE153)</f>
        <v>0.72121272769576361</v>
      </c>
      <c r="DC153" s="1948" t="str">
        <f t="shared" si="152"/>
        <v>Refrigeration BUS 12 Year EUL</v>
      </c>
      <c r="DD153" s="70">
        <f>(INDEX('Avoided Cost Benefits'!$C$4:$C$857,MATCH(DC153,'Avoided Cost Benefits'!$A$4:$A$857,0)))*F153</f>
        <v>272.2841822353048</v>
      </c>
      <c r="DE153" s="1949">
        <f t="shared" si="153"/>
        <v>377.53657385559222</v>
      </c>
      <c r="DF153" s="1931"/>
    </row>
    <row r="154" spans="2:112" x14ac:dyDescent="0.25">
      <c r="B154" s="1931"/>
      <c r="C154" s="2462" t="s">
        <v>2725</v>
      </c>
      <c r="D154" s="1289" t="s">
        <v>2646</v>
      </c>
      <c r="E154" s="1308" t="s">
        <v>2726</v>
      </c>
      <c r="F154" s="1959">
        <f t="shared" si="150"/>
        <v>982.52</v>
      </c>
      <c r="G154" s="1290" t="s">
        <v>2722</v>
      </c>
      <c r="H154" s="1291">
        <f>VLOOKUP(G154,'CP FACTORS'!$A$26:$B$38,2,FALSE)</f>
        <v>1.3573829999999999E-4</v>
      </c>
      <c r="I154" s="1309">
        <f t="shared" si="151"/>
        <v>0.13336600000000001</v>
      </c>
      <c r="J154" s="1317">
        <f t="shared" si="154"/>
        <v>12</v>
      </c>
      <c r="K154" s="1310">
        <v>550</v>
      </c>
      <c r="L154" s="1292" t="s">
        <v>185</v>
      </c>
      <c r="M154" s="1965"/>
      <c r="N154" s="1965"/>
      <c r="O154" s="1965"/>
      <c r="P154" s="1965"/>
      <c r="Q154" s="1965"/>
      <c r="R154" s="1965"/>
      <c r="S154" s="1965"/>
      <c r="T154" s="1965"/>
      <c r="U154" s="1965"/>
      <c r="V154" s="3226" t="s">
        <v>31</v>
      </c>
      <c r="W154" s="1947">
        <v>982.52250000000004</v>
      </c>
      <c r="X154" s="1947">
        <v>982.52250000000004</v>
      </c>
      <c r="Y154" s="129">
        <v>982.52250000000004</v>
      </c>
      <c r="Z154" s="129">
        <v>982.52250000000004</v>
      </c>
      <c r="AA154" s="129">
        <v>982.52250000000004</v>
      </c>
      <c r="AB154" s="2002">
        <v>982.52</v>
      </c>
      <c r="AC154" s="3364">
        <v>982.52</v>
      </c>
      <c r="AD154" s="2099"/>
      <c r="AE154" s="2099"/>
      <c r="AF154" s="2099"/>
      <c r="AG154" s="2099"/>
      <c r="AH154" s="2100"/>
      <c r="AI154" s="3227" t="s">
        <v>181</v>
      </c>
      <c r="AJ154" s="64">
        <v>12</v>
      </c>
      <c r="AK154" s="64">
        <v>12</v>
      </c>
      <c r="AL154" s="64">
        <v>12</v>
      </c>
      <c r="AM154" s="64">
        <v>12</v>
      </c>
      <c r="AN154" s="64">
        <v>12</v>
      </c>
      <c r="AO154" s="2091">
        <v>12</v>
      </c>
      <c r="AP154" s="2091">
        <v>12</v>
      </c>
      <c r="AQ154" s="2099"/>
      <c r="AR154" s="2099"/>
      <c r="AS154" s="2099"/>
      <c r="AT154" s="1933"/>
      <c r="AU154" s="3227" t="s">
        <v>170</v>
      </c>
      <c r="AV154" s="2102">
        <v>550</v>
      </c>
      <c r="AW154" s="2102">
        <v>550</v>
      </c>
      <c r="AX154" s="2102">
        <v>550</v>
      </c>
      <c r="AY154" s="2102">
        <v>550</v>
      </c>
      <c r="AZ154" s="2102">
        <v>550</v>
      </c>
      <c r="BA154" s="2103">
        <v>550</v>
      </c>
      <c r="BB154" s="2103">
        <v>550</v>
      </c>
      <c r="BC154" s="2099"/>
      <c r="BD154" s="2099"/>
      <c r="BE154" s="2099"/>
      <c r="BF154" s="1933"/>
      <c r="BG154" s="1933"/>
      <c r="BH154" s="1933"/>
      <c r="BI154" s="1933"/>
      <c r="BJ154" s="1933"/>
      <c r="BK154" s="1933"/>
      <c r="BL154" s="1933"/>
      <c r="BM154" s="1933"/>
      <c r="BN154" s="1931"/>
      <c r="BO154" s="1931"/>
      <c r="BP154" s="1931"/>
      <c r="BQ154" s="1931"/>
      <c r="BR154" s="1931"/>
      <c r="BS154" s="1931"/>
      <c r="BT154" s="1931"/>
      <c r="BU154" s="1931"/>
      <c r="BV154" s="1931"/>
      <c r="BW154" s="1931"/>
      <c r="BX154" s="1931"/>
      <c r="BY154" s="1931"/>
      <c r="BZ154" s="1931"/>
      <c r="CA154" s="1931"/>
      <c r="CB154" s="1931"/>
      <c r="CC154" s="1931"/>
      <c r="CD154" s="1931"/>
      <c r="CE154" s="1930"/>
      <c r="CF154" s="1930"/>
      <c r="CG154" s="1930"/>
      <c r="CH154" s="1930"/>
      <c r="CI154" s="1931"/>
      <c r="CJ154" s="1931"/>
      <c r="CK154" s="1931"/>
      <c r="CL154" s="1931"/>
      <c r="CM154" s="1931"/>
      <c r="CN154" s="1931"/>
      <c r="CO154" s="1931"/>
      <c r="CP154" s="1931"/>
      <c r="CQ154" s="1931"/>
      <c r="CR154" s="1931"/>
      <c r="CS154" s="1931"/>
      <c r="CT154" s="1930"/>
      <c r="CU154" s="1930"/>
      <c r="CV154" s="1930"/>
      <c r="CW154" s="1930"/>
      <c r="CX154" s="1931"/>
      <c r="CY154" s="1931"/>
      <c r="CZ154" s="1931"/>
      <c r="DA154" s="1931"/>
      <c r="DB154" s="52">
        <f>(DD154)/(DE154)</f>
        <v>0.82271674122331551</v>
      </c>
      <c r="DC154" s="1948" t="str">
        <f t="shared" si="152"/>
        <v>Refrigeration BUS 12 Year EUL</v>
      </c>
      <c r="DD154" s="70">
        <f>(INDEX('Avoided Cost Benefits'!$C$4:$C$857,MATCH(DC154,'Avoided Cost Benefits'!$A$4:$A$857,0)))*F154</f>
        <v>427.08278213574658</v>
      </c>
      <c r="DE154" s="1949">
        <f t="shared" si="153"/>
        <v>519.11278905143934</v>
      </c>
      <c r="DF154" s="1931"/>
    </row>
    <row r="155" spans="2:112" x14ac:dyDescent="0.25">
      <c r="B155" s="1931"/>
      <c r="C155" s="2462" t="s">
        <v>2727</v>
      </c>
      <c r="D155" s="1289" t="s">
        <v>2646</v>
      </c>
      <c r="E155" s="1308" t="s">
        <v>2728</v>
      </c>
      <c r="F155" s="1959">
        <f t="shared" si="150"/>
        <v>1311.25</v>
      </c>
      <c r="G155" s="1290" t="s">
        <v>2722</v>
      </c>
      <c r="H155" s="1291">
        <f>VLOOKUP(G155,'CP FACTORS'!$A$26:$B$38,2,FALSE)</f>
        <v>1.3573829999999999E-4</v>
      </c>
      <c r="I155" s="1309">
        <f t="shared" si="151"/>
        <v>0.17798700000000001</v>
      </c>
      <c r="J155" s="1317">
        <f t="shared" si="154"/>
        <v>12</v>
      </c>
      <c r="K155" s="1310">
        <v>700</v>
      </c>
      <c r="L155" s="1292" t="s">
        <v>185</v>
      </c>
      <c r="M155" s="1965"/>
      <c r="N155" s="1965"/>
      <c r="O155" s="1965"/>
      <c r="P155" s="1294"/>
      <c r="Q155" s="1295"/>
      <c r="R155" s="1296"/>
      <c r="S155" s="1296"/>
      <c r="T155" s="1297"/>
      <c r="U155" s="1965"/>
      <c r="V155" s="3226" t="s">
        <v>31</v>
      </c>
      <c r="W155" s="1947">
        <v>1311.2474999999999</v>
      </c>
      <c r="X155" s="1947">
        <v>1311.2474999999999</v>
      </c>
      <c r="Y155" s="129">
        <v>1311.2474999999999</v>
      </c>
      <c r="Z155" s="129">
        <v>1311.2474999999999</v>
      </c>
      <c r="AA155" s="129">
        <v>1311.2474999999999</v>
      </c>
      <c r="AB155" s="2002">
        <v>1311.25</v>
      </c>
      <c r="AC155" s="3364">
        <v>1311.25</v>
      </c>
      <c r="AD155" s="2099"/>
      <c r="AE155" s="2099"/>
      <c r="AF155" s="2099"/>
      <c r="AG155" s="2099"/>
      <c r="AH155" s="2100"/>
      <c r="AI155" s="3227" t="s">
        <v>181</v>
      </c>
      <c r="AJ155" s="64">
        <v>12</v>
      </c>
      <c r="AK155" s="64">
        <v>12</v>
      </c>
      <c r="AL155" s="64">
        <v>12</v>
      </c>
      <c r="AM155" s="64">
        <v>12</v>
      </c>
      <c r="AN155" s="64">
        <v>12</v>
      </c>
      <c r="AO155" s="2091">
        <v>12</v>
      </c>
      <c r="AP155" s="2091">
        <v>12</v>
      </c>
      <c r="AQ155" s="2099"/>
      <c r="AR155" s="2099"/>
      <c r="AS155" s="2099"/>
      <c r="AT155" s="1933"/>
      <c r="AU155" s="3227" t="s">
        <v>170</v>
      </c>
      <c r="AV155" s="2102">
        <v>700</v>
      </c>
      <c r="AW155" s="2102">
        <v>700</v>
      </c>
      <c r="AX155" s="2102">
        <v>700</v>
      </c>
      <c r="AY155" s="2102">
        <v>700</v>
      </c>
      <c r="AZ155" s="2102">
        <v>700</v>
      </c>
      <c r="BA155" s="2103">
        <v>700</v>
      </c>
      <c r="BB155" s="2103">
        <v>700</v>
      </c>
      <c r="BC155" s="2099"/>
      <c r="BD155" s="2099"/>
      <c r="BE155" s="2099"/>
      <c r="BF155" s="1933"/>
      <c r="BG155" s="1933"/>
      <c r="BH155" s="1933"/>
      <c r="BI155" s="1933"/>
      <c r="BJ155" s="1933"/>
      <c r="BK155" s="1933"/>
      <c r="BL155" s="1933"/>
      <c r="BM155" s="1933"/>
      <c r="BN155" s="1931"/>
      <c r="BO155" s="1931"/>
      <c r="BP155" s="1931"/>
      <c r="BQ155" s="1931"/>
      <c r="BR155" s="1931"/>
      <c r="BS155" s="1931"/>
      <c r="BT155" s="1931"/>
      <c r="BU155" s="1931"/>
      <c r="BV155" s="1931"/>
      <c r="BW155" s="1931"/>
      <c r="BX155" s="1931"/>
      <c r="BY155" s="1931"/>
      <c r="BZ155" s="1931"/>
      <c r="CA155" s="1931"/>
      <c r="CB155" s="1931"/>
      <c r="CC155" s="1931"/>
      <c r="CD155" s="1931"/>
      <c r="CE155" s="1930"/>
      <c r="CF155" s="1930"/>
      <c r="CG155" s="1930"/>
      <c r="CH155" s="1930"/>
      <c r="CI155" s="1931"/>
      <c r="CJ155" s="1931"/>
      <c r="CK155" s="1931"/>
      <c r="CL155" s="1931"/>
      <c r="CM155" s="1931"/>
      <c r="CN155" s="1931"/>
      <c r="CO155" s="1931"/>
      <c r="CP155" s="1931"/>
      <c r="CQ155" s="1931"/>
      <c r="CR155" s="1931"/>
      <c r="CS155" s="1931"/>
      <c r="CT155" s="1930"/>
      <c r="CU155" s="1930"/>
      <c r="CV155" s="1930"/>
      <c r="CW155" s="1930"/>
      <c r="CX155" s="1931"/>
      <c r="CY155" s="1931"/>
      <c r="CZ155" s="1931"/>
      <c r="DA155" s="1931"/>
      <c r="DB155" s="52">
        <f>(DD155)/(DE155)</f>
        <v>0.86269858528650811</v>
      </c>
      <c r="DC155" s="1948" t="str">
        <f t="shared" si="152"/>
        <v>Refrigeration BUS 12 Year EUL</v>
      </c>
      <c r="DD155" s="70">
        <f>(INDEX('Avoided Cost Benefits'!$C$4:$C$857,MATCH(DC155,'Avoided Cost Benefits'!$A$4:$A$857,0)))*F155</f>
        <v>569.97546927848566</v>
      </c>
      <c r="DE155" s="1949">
        <f t="shared" si="153"/>
        <v>660.68900424728633</v>
      </c>
      <c r="DF155" s="1931"/>
    </row>
    <row r="156" spans="2:112" x14ac:dyDescent="0.25">
      <c r="B156" s="1931"/>
      <c r="C156" s="2462" t="s">
        <v>2729</v>
      </c>
      <c r="D156" s="1289" t="s">
        <v>2646</v>
      </c>
      <c r="E156" s="1308" t="s">
        <v>2730</v>
      </c>
      <c r="F156" s="1959">
        <f t="shared" si="150"/>
        <v>354.29</v>
      </c>
      <c r="G156" s="1290" t="s">
        <v>2722</v>
      </c>
      <c r="H156" s="1291">
        <f>VLOOKUP(G156,'CP FACTORS'!$A$26:$B$38,2,FALSE)</f>
        <v>1.3573829999999999E-4</v>
      </c>
      <c r="I156" s="1309">
        <f t="shared" si="151"/>
        <v>4.8091000000000002E-2</v>
      </c>
      <c r="J156" s="1317">
        <f t="shared" si="154"/>
        <v>12</v>
      </c>
      <c r="K156" s="1310">
        <v>250</v>
      </c>
      <c r="L156" s="1292" t="s">
        <v>185</v>
      </c>
      <c r="M156" s="1318"/>
      <c r="N156" s="1965"/>
      <c r="O156" s="1965"/>
      <c r="P156" s="1294"/>
      <c r="Q156" s="1295"/>
      <c r="R156" s="1296"/>
      <c r="S156" s="1296"/>
      <c r="T156" s="1297"/>
      <c r="U156" s="1965"/>
      <c r="V156" s="3226" t="s">
        <v>31</v>
      </c>
      <c r="W156" s="1947">
        <v>354.29250000000002</v>
      </c>
      <c r="X156" s="1947">
        <v>354.29250000000002</v>
      </c>
      <c r="Y156" s="129">
        <v>354.29250000000002</v>
      </c>
      <c r="Z156" s="129">
        <v>354.29250000000002</v>
      </c>
      <c r="AA156" s="129">
        <v>354.29250000000002</v>
      </c>
      <c r="AB156" s="2002">
        <v>354.29</v>
      </c>
      <c r="AC156" s="3364">
        <v>354.29</v>
      </c>
      <c r="AD156" s="2002"/>
      <c r="AE156" s="2002"/>
      <c r="AF156" s="2002"/>
      <c r="AG156" s="2002"/>
      <c r="AH156" s="1933"/>
      <c r="AI156" s="3227" t="s">
        <v>181</v>
      </c>
      <c r="AJ156" s="64">
        <v>12</v>
      </c>
      <c r="AK156" s="64">
        <v>12</v>
      </c>
      <c r="AL156" s="64">
        <v>12</v>
      </c>
      <c r="AM156" s="64">
        <v>12</v>
      </c>
      <c r="AN156" s="64">
        <v>12</v>
      </c>
      <c r="AO156" s="2091">
        <v>12</v>
      </c>
      <c r="AP156" s="2091">
        <v>12</v>
      </c>
      <c r="AQ156" s="2002"/>
      <c r="AR156" s="2002"/>
      <c r="AS156" s="2002"/>
      <c r="AT156" s="1933"/>
      <c r="AU156" s="3227" t="s">
        <v>170</v>
      </c>
      <c r="AV156" s="2102">
        <v>250</v>
      </c>
      <c r="AW156" s="2102">
        <v>250</v>
      </c>
      <c r="AX156" s="2102">
        <v>250</v>
      </c>
      <c r="AY156" s="2102">
        <v>250</v>
      </c>
      <c r="AZ156" s="2102">
        <v>250</v>
      </c>
      <c r="BA156" s="2103">
        <v>250</v>
      </c>
      <c r="BB156" s="2103">
        <v>250</v>
      </c>
      <c r="BC156" s="2002"/>
      <c r="BD156" s="2002"/>
      <c r="BE156" s="2002"/>
      <c r="BF156" s="1933"/>
      <c r="BG156" s="1933"/>
      <c r="BH156" s="1933"/>
      <c r="BI156" s="1933"/>
      <c r="BJ156" s="1933"/>
      <c r="BK156" s="1933"/>
      <c r="BL156" s="1933"/>
      <c r="BM156" s="1933"/>
      <c r="BN156" s="1931"/>
      <c r="BO156" s="1931"/>
      <c r="BP156" s="1931"/>
      <c r="BQ156" s="1931"/>
      <c r="BR156" s="1931"/>
      <c r="BS156" s="1931"/>
      <c r="BT156" s="1931"/>
      <c r="BU156" s="1931"/>
      <c r="BV156" s="1931"/>
      <c r="BW156" s="1931"/>
      <c r="BX156" s="1931"/>
      <c r="BY156" s="1931"/>
      <c r="BZ156" s="1931"/>
      <c r="CA156" s="1931"/>
      <c r="CB156" s="1931"/>
      <c r="CC156" s="1931"/>
      <c r="CD156" s="1931"/>
      <c r="CE156" s="1930"/>
      <c r="CF156" s="1930"/>
      <c r="CG156" s="1930"/>
      <c r="CH156" s="1930"/>
      <c r="CI156" s="1931"/>
      <c r="CJ156" s="1931"/>
      <c r="CK156" s="1931"/>
      <c r="CL156" s="1931"/>
      <c r="CM156" s="1931"/>
      <c r="CN156" s="1931"/>
      <c r="CO156" s="1931"/>
      <c r="CP156" s="1931"/>
      <c r="CQ156" s="1931"/>
      <c r="CR156" s="1931"/>
      <c r="CS156" s="1931"/>
      <c r="CT156" s="1930"/>
      <c r="CU156" s="1930"/>
      <c r="CV156" s="1930"/>
      <c r="CW156" s="1930"/>
      <c r="CX156" s="1931"/>
      <c r="CY156" s="1931"/>
      <c r="CZ156" s="1931"/>
      <c r="DA156" s="1931"/>
      <c r="DB156" s="52">
        <f t="shared" ref="DB156:DB169" si="155">(DD156)/(DE156)</f>
        <v>0.652665280447847</v>
      </c>
      <c r="DC156" s="1948" t="str">
        <f t="shared" si="152"/>
        <v>Refrigeration BUS 12 Year EUL</v>
      </c>
      <c r="DD156" s="70">
        <f>(INDEX('Avoided Cost Benefits'!$C$4:$C$857,MATCH(DC156,'Avoided Cost Benefits'!$A$4:$A$857,0)))*F156</f>
        <v>154.00313365923714</v>
      </c>
      <c r="DE156" s="1949">
        <f t="shared" si="153"/>
        <v>235.96035865974514</v>
      </c>
      <c r="DF156" s="1931"/>
    </row>
    <row r="157" spans="2:112" ht="15.75" customHeight="1" x14ac:dyDescent="0.25">
      <c r="C157" s="2462" t="s">
        <v>2731</v>
      </c>
      <c r="D157" s="1289" t="s">
        <v>2646</v>
      </c>
      <c r="E157" s="1308" t="s">
        <v>2732</v>
      </c>
      <c r="F157" s="1959">
        <f t="shared" si="150"/>
        <v>217.32</v>
      </c>
      <c r="G157" s="1290" t="s">
        <v>2722</v>
      </c>
      <c r="H157" s="1291">
        <f>VLOOKUP(G157,'CP FACTORS'!$A$26:$B$38,2,FALSE)</f>
        <v>1.3573829999999999E-4</v>
      </c>
      <c r="I157" s="1309">
        <f t="shared" si="151"/>
        <v>2.9499000000000001E-2</v>
      </c>
      <c r="J157" s="1317">
        <f t="shared" si="154"/>
        <v>12</v>
      </c>
      <c r="K157" s="1310">
        <v>500</v>
      </c>
      <c r="L157" s="1292" t="s">
        <v>185</v>
      </c>
      <c r="M157" s="1318"/>
      <c r="N157" s="1965"/>
      <c r="O157" s="1965"/>
      <c r="P157" s="1294"/>
      <c r="Q157" s="1295"/>
      <c r="R157" s="1296"/>
      <c r="S157" s="1296"/>
      <c r="T157" s="1297"/>
      <c r="U157" s="1965"/>
      <c r="V157" s="3226" t="s">
        <v>31</v>
      </c>
      <c r="W157" s="1947">
        <v>217.32375000000008</v>
      </c>
      <c r="X157" s="1947">
        <v>217.32375000000008</v>
      </c>
      <c r="Y157" s="129">
        <v>217.32375000000008</v>
      </c>
      <c r="Z157" s="129">
        <v>217.32375000000008</v>
      </c>
      <c r="AA157" s="129">
        <v>217.32375000000008</v>
      </c>
      <c r="AB157" s="2002">
        <v>217.32</v>
      </c>
      <c r="AC157" s="3364">
        <v>217.32</v>
      </c>
      <c r="AD157" s="2002"/>
      <c r="AE157" s="2002"/>
      <c r="AF157" s="2002"/>
      <c r="AG157" s="2002"/>
      <c r="AH157" s="1933"/>
      <c r="AI157" s="3227" t="s">
        <v>181</v>
      </c>
      <c r="AJ157" s="64">
        <v>12</v>
      </c>
      <c r="AK157" s="64">
        <v>12</v>
      </c>
      <c r="AL157" s="64">
        <v>12</v>
      </c>
      <c r="AM157" s="64">
        <v>12</v>
      </c>
      <c r="AN157" s="64">
        <v>12</v>
      </c>
      <c r="AO157" s="2091">
        <v>12</v>
      </c>
      <c r="AP157" s="2091">
        <v>12</v>
      </c>
      <c r="AQ157" s="2002"/>
      <c r="AR157" s="2002"/>
      <c r="AS157" s="2002"/>
      <c r="AT157" s="1933"/>
      <c r="AU157" s="3227" t="s">
        <v>170</v>
      </c>
      <c r="AV157" s="2102">
        <v>500</v>
      </c>
      <c r="AW157" s="2102">
        <v>500</v>
      </c>
      <c r="AX157" s="2102">
        <v>500</v>
      </c>
      <c r="AY157" s="2102">
        <v>500</v>
      </c>
      <c r="AZ157" s="2102">
        <v>500</v>
      </c>
      <c r="BA157" s="2103">
        <v>500</v>
      </c>
      <c r="BB157" s="2103">
        <v>500</v>
      </c>
      <c r="BC157" s="2002"/>
      <c r="BD157" s="2002"/>
      <c r="BE157" s="2002"/>
      <c r="BF157" s="1933"/>
      <c r="BG157" s="1933"/>
      <c r="BH157" s="1933"/>
      <c r="BI157" s="1933"/>
      <c r="BJ157" s="1933"/>
      <c r="BK157" s="1933"/>
      <c r="BL157" s="1933"/>
      <c r="BM157" s="1933"/>
      <c r="BN157" s="1931"/>
      <c r="BO157" s="1931"/>
      <c r="BP157" s="1931"/>
      <c r="BQ157" s="1931"/>
      <c r="BR157" s="1931"/>
      <c r="BS157" s="1931"/>
      <c r="BT157" s="1931"/>
      <c r="BU157" s="1931"/>
      <c r="BV157" s="1931"/>
      <c r="BW157" s="1931"/>
      <c r="BX157" s="1931"/>
      <c r="BY157" s="1931"/>
      <c r="BZ157" s="1931"/>
      <c r="CA157" s="1931"/>
      <c r="CB157" s="1931"/>
      <c r="CC157" s="1931"/>
      <c r="CD157" s="1931"/>
      <c r="CE157" s="1930"/>
      <c r="CF157" s="1930"/>
      <c r="CG157" s="1930"/>
      <c r="CH157" s="1930"/>
      <c r="CI157" s="1931"/>
      <c r="CJ157" s="1931"/>
      <c r="CK157" s="1931"/>
      <c r="CL157" s="1931"/>
      <c r="CM157" s="1931"/>
      <c r="CN157" s="1931"/>
      <c r="CO157" s="1931"/>
      <c r="CP157" s="1931"/>
      <c r="CQ157" s="1931"/>
      <c r="CR157" s="1931"/>
      <c r="CS157" s="1931"/>
      <c r="CT157" s="1930"/>
      <c r="CU157" s="1930"/>
      <c r="CV157" s="1930"/>
      <c r="CW157" s="1930"/>
      <c r="CX157" s="1931"/>
      <c r="CY157" s="1931"/>
      <c r="CZ157" s="1931"/>
      <c r="DA157" s="1931"/>
      <c r="DB157" s="52">
        <f t="shared" si="155"/>
        <v>0.20017107277502344</v>
      </c>
      <c r="DC157" s="1948" t="str">
        <f t="shared" si="152"/>
        <v>Refrigeration BUS 12 Year EUL</v>
      </c>
      <c r="DD157" s="70">
        <f>(INDEX('Avoided Cost Benefits'!$C$4:$C$857,MATCH(DC157,'Avoided Cost Benefits'!$A$4:$A$857,0)))*F157</f>
        <v>94.464876250600952</v>
      </c>
      <c r="DE157" s="1949">
        <f t="shared" si="153"/>
        <v>471.92071731949028</v>
      </c>
    </row>
    <row r="158" spans="2:112" x14ac:dyDescent="0.25">
      <c r="C158" s="2462" t="s">
        <v>2733</v>
      </c>
      <c r="D158" s="1289" t="s">
        <v>2646</v>
      </c>
      <c r="E158" s="1308" t="s">
        <v>2734</v>
      </c>
      <c r="F158" s="1959">
        <f t="shared" si="150"/>
        <v>226.46</v>
      </c>
      <c r="G158" s="1290" t="s">
        <v>2722</v>
      </c>
      <c r="H158" s="1291">
        <f>VLOOKUP(G158,'CP FACTORS'!$A$26:$B$38,2,FALSE)</f>
        <v>1.3573829999999999E-4</v>
      </c>
      <c r="I158" s="1309">
        <f t="shared" si="151"/>
        <v>3.0738999999999999E-2</v>
      </c>
      <c r="J158" s="1317">
        <f t="shared" si="154"/>
        <v>12</v>
      </c>
      <c r="K158" s="1310">
        <v>1307</v>
      </c>
      <c r="L158" s="1292" t="s">
        <v>185</v>
      </c>
      <c r="M158" s="1318"/>
      <c r="N158" s="1965"/>
      <c r="O158" s="1965"/>
      <c r="P158" s="1294"/>
      <c r="Q158" s="1295"/>
      <c r="R158" s="1296"/>
      <c r="S158" s="1296"/>
      <c r="T158" s="1297"/>
      <c r="U158" s="1965"/>
      <c r="V158" s="3226" t="s">
        <v>31</v>
      </c>
      <c r="W158" s="1947">
        <v>226.45500000000004</v>
      </c>
      <c r="X158" s="1947">
        <v>226.45500000000004</v>
      </c>
      <c r="Y158" s="129">
        <v>226.45500000000004</v>
      </c>
      <c r="Z158" s="129">
        <v>226.45500000000004</v>
      </c>
      <c r="AA158" s="129">
        <v>226.45500000000004</v>
      </c>
      <c r="AB158" s="2002">
        <v>226.46</v>
      </c>
      <c r="AC158" s="3364">
        <v>226.46</v>
      </c>
      <c r="AD158" s="2002"/>
      <c r="AE158" s="2002"/>
      <c r="AF158" s="2002"/>
      <c r="AG158" s="2002"/>
      <c r="AH158" s="1933"/>
      <c r="AI158" s="3227" t="s">
        <v>181</v>
      </c>
      <c r="AJ158" s="64">
        <v>12</v>
      </c>
      <c r="AK158" s="64">
        <v>12</v>
      </c>
      <c r="AL158" s="64">
        <v>12</v>
      </c>
      <c r="AM158" s="64">
        <v>12</v>
      </c>
      <c r="AN158" s="64">
        <v>12</v>
      </c>
      <c r="AO158" s="2091">
        <v>12</v>
      </c>
      <c r="AP158" s="2091">
        <v>12</v>
      </c>
      <c r="AQ158" s="2002"/>
      <c r="AR158" s="2002"/>
      <c r="AS158" s="2002"/>
      <c r="AT158" s="1933"/>
      <c r="AU158" s="3227" t="s">
        <v>170</v>
      </c>
      <c r="AV158" s="2102">
        <v>1307</v>
      </c>
      <c r="AW158" s="2102">
        <v>1307</v>
      </c>
      <c r="AX158" s="2102">
        <v>1307</v>
      </c>
      <c r="AY158" s="2102">
        <v>1307</v>
      </c>
      <c r="AZ158" s="2102">
        <v>1307</v>
      </c>
      <c r="BA158" s="2103">
        <v>1307</v>
      </c>
      <c r="BB158" s="2103">
        <v>1307</v>
      </c>
      <c r="BC158" s="2002"/>
      <c r="BD158" s="2002"/>
      <c r="BE158" s="2002"/>
      <c r="BF158" s="1933"/>
      <c r="BG158" s="1933"/>
      <c r="BH158" s="1933"/>
      <c r="BI158" s="1933"/>
      <c r="BJ158" s="1933"/>
      <c r="BK158" s="1933"/>
      <c r="BL158" s="1933"/>
      <c r="BM158" s="1933"/>
      <c r="BN158" s="1931"/>
      <c r="BO158" s="1931"/>
      <c r="BP158" s="1931"/>
      <c r="BQ158" s="1931"/>
      <c r="BR158" s="1931"/>
      <c r="BS158" s="1931"/>
      <c r="BT158" s="1931"/>
      <c r="BU158" s="1931"/>
      <c r="BV158" s="1931"/>
      <c r="BW158" s="1931"/>
      <c r="BX158" s="1931"/>
      <c r="BY158" s="1931"/>
      <c r="BZ158" s="1931"/>
      <c r="CA158" s="1931"/>
      <c r="CB158" s="1931"/>
      <c r="CC158" s="1931"/>
      <c r="CD158" s="1931"/>
      <c r="CE158" s="1930"/>
      <c r="CF158" s="1930"/>
      <c r="CG158" s="1930"/>
      <c r="CH158" s="1930"/>
      <c r="CI158" s="1931"/>
      <c r="CJ158" s="1931"/>
      <c r="CK158" s="1931"/>
      <c r="CL158" s="1931"/>
      <c r="CM158" s="1931"/>
      <c r="CN158" s="1931"/>
      <c r="CO158" s="1931"/>
      <c r="CP158" s="1931"/>
      <c r="CQ158" s="1931"/>
      <c r="CR158" s="1931"/>
      <c r="CS158" s="1931"/>
      <c r="CT158" s="1930"/>
      <c r="CU158" s="1930"/>
      <c r="CV158" s="1930"/>
      <c r="CW158" s="1930"/>
      <c r="CX158" s="1931"/>
      <c r="CY158" s="1931"/>
      <c r="CZ158" s="1931"/>
      <c r="DA158" s="1931"/>
      <c r="DB158" s="52">
        <f t="shared" si="155"/>
        <v>7.9797179307600316E-2</v>
      </c>
      <c r="DC158" s="1948" t="str">
        <f t="shared" si="152"/>
        <v>Refrigeration BUS 12 Year EUL</v>
      </c>
      <c r="DD158" s="70">
        <f>(INDEX('Avoided Cost Benefits'!$C$4:$C$857,MATCH(DC158,'Avoided Cost Benefits'!$A$4:$A$857,0)))*F158</f>
        <v>98.437860646563095</v>
      </c>
      <c r="DE158" s="1949">
        <f t="shared" si="153"/>
        <v>1233.6007550731476</v>
      </c>
    </row>
    <row r="159" spans="2:112" x14ac:dyDescent="0.25">
      <c r="C159" s="2462" t="s">
        <v>2735</v>
      </c>
      <c r="D159" s="1289" t="s">
        <v>2646</v>
      </c>
      <c r="E159" s="1308" t="s">
        <v>2736</v>
      </c>
      <c r="F159" s="1959">
        <f t="shared" si="150"/>
        <v>372.56</v>
      </c>
      <c r="G159" s="1290" t="s">
        <v>2722</v>
      </c>
      <c r="H159" s="1291">
        <f>VLOOKUP(G159,'CP FACTORS'!$A$26:$B$38,2,FALSE)</f>
        <v>1.3573829999999999E-4</v>
      </c>
      <c r="I159" s="1309">
        <f t="shared" si="151"/>
        <v>5.0570999999999998E-2</v>
      </c>
      <c r="J159" s="1317">
        <f t="shared" si="154"/>
        <v>12</v>
      </c>
      <c r="K159" s="1310">
        <v>2300</v>
      </c>
      <c r="L159" s="1292" t="s">
        <v>185</v>
      </c>
      <c r="M159" s="1318"/>
      <c r="N159" s="1965"/>
      <c r="O159" s="1965"/>
      <c r="P159" s="1294"/>
      <c r="Q159" s="1295"/>
      <c r="R159" s="1296"/>
      <c r="S159" s="1296"/>
      <c r="T159" s="1297"/>
      <c r="U159" s="1965"/>
      <c r="V159" s="3226" t="s">
        <v>31</v>
      </c>
      <c r="W159" s="1947">
        <v>372.55500000000018</v>
      </c>
      <c r="X159" s="1947">
        <v>372.55500000000018</v>
      </c>
      <c r="Y159" s="129">
        <v>372.55500000000018</v>
      </c>
      <c r="Z159" s="129">
        <v>372.55500000000018</v>
      </c>
      <c r="AA159" s="129">
        <v>372.55500000000018</v>
      </c>
      <c r="AB159" s="2002">
        <v>372.56</v>
      </c>
      <c r="AC159" s="3364">
        <v>372.56</v>
      </c>
      <c r="AD159" s="2002"/>
      <c r="AE159" s="2002"/>
      <c r="AF159" s="2002"/>
      <c r="AG159" s="2002"/>
      <c r="AH159" s="1933"/>
      <c r="AI159" s="3227" t="s">
        <v>181</v>
      </c>
      <c r="AJ159" s="64">
        <v>12</v>
      </c>
      <c r="AK159" s="64">
        <v>12</v>
      </c>
      <c r="AL159" s="64">
        <v>12</v>
      </c>
      <c r="AM159" s="64">
        <v>12</v>
      </c>
      <c r="AN159" s="64">
        <v>12</v>
      </c>
      <c r="AO159" s="2091">
        <v>12</v>
      </c>
      <c r="AP159" s="2091">
        <v>12</v>
      </c>
      <c r="AQ159" s="2002"/>
      <c r="AR159" s="2002"/>
      <c r="AS159" s="2002"/>
      <c r="AT159" s="1933"/>
      <c r="AU159" s="3227" t="s">
        <v>170</v>
      </c>
      <c r="AV159" s="2102">
        <v>2300</v>
      </c>
      <c r="AW159" s="2102">
        <v>2300</v>
      </c>
      <c r="AX159" s="2102">
        <v>2300</v>
      </c>
      <c r="AY159" s="2102">
        <v>2300</v>
      </c>
      <c r="AZ159" s="2102">
        <v>2300</v>
      </c>
      <c r="BA159" s="2103">
        <v>2300</v>
      </c>
      <c r="BB159" s="2103">
        <v>2300</v>
      </c>
      <c r="BC159" s="2002"/>
      <c r="BD159" s="2002"/>
      <c r="BE159" s="2002"/>
      <c r="BF159" s="1933"/>
      <c r="BG159" s="1933"/>
      <c r="BH159" s="1933"/>
      <c r="BI159" s="1933"/>
      <c r="BJ159" s="1933"/>
      <c r="BK159" s="1933"/>
      <c r="BL159" s="1933"/>
      <c r="BM159" s="1933"/>
      <c r="BN159" s="1931"/>
      <c r="BO159" s="1931"/>
      <c r="BP159" s="1931"/>
      <c r="BQ159" s="1931"/>
      <c r="BR159" s="1931"/>
      <c r="BS159" s="1931"/>
      <c r="BT159" s="1931"/>
      <c r="BU159" s="1931"/>
      <c r="BV159" s="1931"/>
      <c r="BW159" s="1931"/>
      <c r="BX159" s="1931"/>
      <c r="BY159" s="1931"/>
      <c r="BZ159" s="1931"/>
      <c r="CA159" s="1931"/>
      <c r="CB159" s="1931"/>
      <c r="CC159" s="1931"/>
      <c r="CD159" s="1931"/>
      <c r="CE159" s="1930"/>
      <c r="CF159" s="1930"/>
      <c r="CG159" s="1930"/>
      <c r="CH159" s="1930"/>
      <c r="CI159" s="1931"/>
      <c r="CJ159" s="1931"/>
      <c r="CK159" s="1931"/>
      <c r="CL159" s="1931"/>
      <c r="CM159" s="1931"/>
      <c r="CN159" s="1931"/>
      <c r="CO159" s="1931"/>
      <c r="CP159" s="1931"/>
      <c r="CQ159" s="1931"/>
      <c r="CR159" s="1931"/>
      <c r="CS159" s="1931"/>
      <c r="CT159" s="1930"/>
      <c r="CU159" s="1930"/>
      <c r="CV159" s="1930"/>
      <c r="CW159" s="1930"/>
      <c r="CX159" s="1931"/>
      <c r="CY159" s="1931"/>
      <c r="CZ159" s="1931"/>
      <c r="DA159" s="1931"/>
      <c r="DB159" s="52">
        <f t="shared" si="155"/>
        <v>7.4600203739889417E-2</v>
      </c>
      <c r="DC159" s="1948" t="str">
        <f t="shared" si="152"/>
        <v>Refrigeration BUS 12 Year EUL</v>
      </c>
      <c r="DD159" s="70">
        <f>(INDEX('Avoided Cost Benefits'!$C$4:$C$857,MATCH(DC159,'Avoided Cost Benefits'!$A$4:$A$857,0)))*F159</f>
        <v>161.94475564110019</v>
      </c>
      <c r="DE159" s="1949">
        <f t="shared" si="153"/>
        <v>2170.8352996696553</v>
      </c>
    </row>
    <row r="160" spans="2:112" x14ac:dyDescent="0.25">
      <c r="C160" s="2462" t="s">
        <v>2737</v>
      </c>
      <c r="D160" s="1289" t="s">
        <v>2646</v>
      </c>
      <c r="E160" s="1319" t="s">
        <v>2738</v>
      </c>
      <c r="F160" s="1959">
        <f>ROUND(((G191*AVERAGE(H$181,H$182)+AVERAGE(I$181,I$182))-(G191*H191+I191))*365.25,2)</f>
        <v>1219.94</v>
      </c>
      <c r="G160" s="1290" t="s">
        <v>2722</v>
      </c>
      <c r="H160" s="1291">
        <f>VLOOKUP(G160,'CP FACTORS'!$A$26:$B$38,2,FALSE)</f>
        <v>1.3573829999999999E-4</v>
      </c>
      <c r="I160" s="1309">
        <f t="shared" si="151"/>
        <v>0.16559299999999999</v>
      </c>
      <c r="J160" s="1317">
        <v>12</v>
      </c>
      <c r="K160" s="1310">
        <v>525</v>
      </c>
      <c r="L160" s="1292" t="s">
        <v>185</v>
      </c>
      <c r="M160" s="1318"/>
      <c r="N160" s="1965"/>
      <c r="O160" s="1965"/>
      <c r="P160" s="1294"/>
      <c r="Q160" s="1295"/>
      <c r="R160" s="1296"/>
      <c r="S160" s="1296"/>
      <c r="T160" s="1297"/>
      <c r="U160" s="1965"/>
      <c r="V160" s="3226" t="s">
        <v>31</v>
      </c>
      <c r="W160" s="1947">
        <v>1219.9349999999997</v>
      </c>
      <c r="X160" s="1947">
        <v>1219.9349999999997</v>
      </c>
      <c r="Y160" s="129">
        <v>1219.9349999999997</v>
      </c>
      <c r="Z160" s="129">
        <v>1219.9349999999997</v>
      </c>
      <c r="AA160" s="129">
        <v>1219.9349999999997</v>
      </c>
      <c r="AB160" s="2002">
        <v>1219.94</v>
      </c>
      <c r="AC160" s="3364">
        <v>1219.94</v>
      </c>
      <c r="AD160" s="2002"/>
      <c r="AE160" s="2002"/>
      <c r="AF160" s="2002"/>
      <c r="AG160" s="2002"/>
      <c r="AH160" s="1933"/>
      <c r="AI160" s="3227" t="s">
        <v>181</v>
      </c>
      <c r="AJ160" s="64">
        <v>12</v>
      </c>
      <c r="AK160" s="64">
        <v>12</v>
      </c>
      <c r="AL160" s="64">
        <v>12</v>
      </c>
      <c r="AM160" s="64">
        <v>12</v>
      </c>
      <c r="AN160" s="64">
        <v>12</v>
      </c>
      <c r="AO160" s="2091">
        <v>12</v>
      </c>
      <c r="AP160" s="2091">
        <v>12</v>
      </c>
      <c r="AQ160" s="2002"/>
      <c r="AR160" s="2002"/>
      <c r="AS160" s="2002"/>
      <c r="AT160" s="1933"/>
      <c r="AU160" s="3227" t="s">
        <v>170</v>
      </c>
      <c r="AV160" s="2102">
        <v>525</v>
      </c>
      <c r="AW160" s="2102">
        <v>525</v>
      </c>
      <c r="AX160" s="2102">
        <v>525</v>
      </c>
      <c r="AY160" s="2102">
        <v>525</v>
      </c>
      <c r="AZ160" s="2102">
        <v>525</v>
      </c>
      <c r="BA160" s="2103">
        <v>525</v>
      </c>
      <c r="BB160" s="2103">
        <v>525</v>
      </c>
      <c r="BC160" s="2002"/>
      <c r="BD160" s="2002"/>
      <c r="BE160" s="2002"/>
      <c r="BF160" s="1933"/>
      <c r="BG160" s="1933"/>
      <c r="BH160" s="1933"/>
      <c r="BI160" s="1933"/>
      <c r="BJ160" s="1933"/>
      <c r="BK160" s="1933"/>
      <c r="BL160" s="1933"/>
      <c r="BM160" s="1933"/>
      <c r="BN160" s="1931"/>
      <c r="BO160" s="1931"/>
      <c r="BP160" s="1931"/>
      <c r="BQ160" s="1931"/>
      <c r="BR160" s="1931"/>
      <c r="BS160" s="1931"/>
      <c r="BT160" s="1931"/>
      <c r="BU160" s="1931"/>
      <c r="BV160" s="1931"/>
      <c r="BW160" s="1931"/>
      <c r="BX160" s="1931"/>
      <c r="BY160" s="1931"/>
      <c r="BZ160" s="1931"/>
      <c r="CA160" s="1931"/>
      <c r="CB160" s="1931"/>
      <c r="CC160" s="1931"/>
      <c r="CD160" s="1931"/>
      <c r="CE160" s="1930"/>
      <c r="CF160" s="1930"/>
      <c r="CG160" s="1930"/>
      <c r="CH160" s="1930"/>
      <c r="CI160" s="1931"/>
      <c r="CJ160" s="1931"/>
      <c r="CK160" s="1931"/>
      <c r="CL160" s="1931"/>
      <c r="CM160" s="1931"/>
      <c r="CN160" s="1931"/>
      <c r="CO160" s="1931"/>
      <c r="CP160" s="1931"/>
      <c r="CQ160" s="1931"/>
      <c r="CR160" s="1931"/>
      <c r="CS160" s="1931"/>
      <c r="CT160" s="1930"/>
      <c r="CU160" s="1930"/>
      <c r="CV160" s="1930"/>
      <c r="CW160" s="1930"/>
      <c r="CX160" s="1931"/>
      <c r="CY160" s="1931"/>
      <c r="CZ160" s="1931"/>
      <c r="DA160" s="1931"/>
      <c r="DB160" s="52">
        <f t="shared" si="155"/>
        <v>1.070165121967001</v>
      </c>
      <c r="DC160" s="1948" t="str">
        <f t="shared" si="152"/>
        <v>Refrigeration BUS 12 Year EUL</v>
      </c>
      <c r="DD160" s="70">
        <f>(INDEX('Avoided Cost Benefits'!$C$4:$C$857,MATCH(DC160,'Avoided Cost Benefits'!$A$4:$A$857,0)))*F160</f>
        <v>530.28474660941527</v>
      </c>
      <c r="DE160" s="1949">
        <f t="shared" si="153"/>
        <v>495.51675318546478</v>
      </c>
    </row>
    <row r="161" spans="3:109" x14ac:dyDescent="0.25">
      <c r="C161" s="2462" t="s">
        <v>2739</v>
      </c>
      <c r="D161" s="1289" t="s">
        <v>2646</v>
      </c>
      <c r="E161" s="1308" t="s">
        <v>2740</v>
      </c>
      <c r="F161" s="1959">
        <f>ROUND(((G183*J$181+K$181)-(G183*J183+K183))*365.25,2)</f>
        <v>348.81</v>
      </c>
      <c r="G161" s="1290" t="s">
        <v>2722</v>
      </c>
      <c r="H161" s="1291">
        <f>VLOOKUP(G161,'CP FACTORS'!$A$26:$B$38,2,FALSE)</f>
        <v>1.3573829999999999E-4</v>
      </c>
      <c r="I161" s="1309">
        <f t="shared" si="151"/>
        <v>4.7347E-2</v>
      </c>
      <c r="J161" s="1317">
        <v>12</v>
      </c>
      <c r="K161" s="1310">
        <v>150</v>
      </c>
      <c r="L161" s="1292" t="s">
        <v>185</v>
      </c>
      <c r="M161" s="1318"/>
      <c r="N161" s="1968"/>
      <c r="O161" s="1968"/>
      <c r="P161" s="1294"/>
      <c r="Q161" s="1295"/>
      <c r="R161" s="1296"/>
      <c r="S161" s="1296"/>
      <c r="T161" s="1297"/>
      <c r="U161" s="1965"/>
      <c r="V161" s="3226" t="s">
        <v>31</v>
      </c>
      <c r="W161" s="1947">
        <v>348.81375000000003</v>
      </c>
      <c r="X161" s="1947">
        <v>348.81375000000003</v>
      </c>
      <c r="Y161" s="129">
        <v>348.81375000000003</v>
      </c>
      <c r="Z161" s="129">
        <v>348.81375000000003</v>
      </c>
      <c r="AA161" s="129">
        <v>348.81375000000003</v>
      </c>
      <c r="AB161" s="2002">
        <v>348.81</v>
      </c>
      <c r="AC161" s="3364">
        <v>348.81</v>
      </c>
      <c r="AD161" s="2002"/>
      <c r="AE161" s="2002"/>
      <c r="AF161" s="2002"/>
      <c r="AG161" s="2002"/>
      <c r="AH161" s="1933"/>
      <c r="AI161" s="3227" t="s">
        <v>181</v>
      </c>
      <c r="AJ161" s="64">
        <v>12</v>
      </c>
      <c r="AK161" s="64">
        <v>12</v>
      </c>
      <c r="AL161" s="64">
        <v>12</v>
      </c>
      <c r="AM161" s="64">
        <v>12</v>
      </c>
      <c r="AN161" s="64">
        <v>12</v>
      </c>
      <c r="AO161" s="2091">
        <v>12</v>
      </c>
      <c r="AP161" s="2091">
        <v>12</v>
      </c>
      <c r="AQ161" s="2002"/>
      <c r="AR161" s="2002"/>
      <c r="AS161" s="2002"/>
      <c r="AT161" s="1933"/>
      <c r="AU161" s="3227" t="s">
        <v>170</v>
      </c>
      <c r="AV161" s="2102">
        <v>150</v>
      </c>
      <c r="AW161" s="2102">
        <v>150</v>
      </c>
      <c r="AX161" s="2102">
        <v>150</v>
      </c>
      <c r="AY161" s="2102">
        <v>150</v>
      </c>
      <c r="AZ161" s="2102">
        <v>150</v>
      </c>
      <c r="BA161" s="2103">
        <v>150</v>
      </c>
      <c r="BB161" s="2103">
        <v>150</v>
      </c>
      <c r="BC161" s="2002"/>
      <c r="BD161" s="2002"/>
      <c r="BE161" s="2002"/>
      <c r="BF161" s="1933"/>
      <c r="BG161" s="1933"/>
      <c r="BH161" s="1933"/>
      <c r="BI161" s="1933"/>
      <c r="BJ161" s="1933"/>
      <c r="BK161" s="1933"/>
      <c r="BL161" s="1933"/>
      <c r="BM161" s="1933"/>
      <c r="BN161" s="1931"/>
      <c r="BO161" s="1931"/>
      <c r="BP161" s="1931"/>
      <c r="BQ161" s="1931"/>
      <c r="BR161" s="1931"/>
      <c r="BS161" s="1931"/>
      <c r="BT161" s="1931"/>
      <c r="BU161" s="1931"/>
      <c r="BV161" s="1931"/>
      <c r="BW161" s="1931"/>
      <c r="BX161" s="1931"/>
      <c r="BY161" s="1931"/>
      <c r="BZ161" s="1931"/>
      <c r="CA161" s="1931"/>
      <c r="CB161" s="1931"/>
      <c r="CC161" s="1931"/>
      <c r="CD161" s="1931"/>
      <c r="CE161" s="1930"/>
      <c r="CF161" s="1930"/>
      <c r="CG161" s="1930"/>
      <c r="CH161" s="1930"/>
      <c r="CI161" s="1931"/>
      <c r="CJ161" s="1931"/>
      <c r="CK161" s="1931"/>
      <c r="CL161" s="1931"/>
      <c r="CM161" s="1931"/>
      <c r="CN161" s="1931"/>
      <c r="CO161" s="1931"/>
      <c r="CP161" s="1931"/>
      <c r="CQ161" s="1931"/>
      <c r="CR161" s="1931"/>
      <c r="CS161" s="1931"/>
      <c r="CT161" s="1930"/>
      <c r="CU161" s="1930"/>
      <c r="CV161" s="1930"/>
      <c r="CW161" s="1930"/>
      <c r="CX161" s="1931"/>
      <c r="CY161" s="1931"/>
      <c r="CZ161" s="1931"/>
      <c r="DA161" s="1931"/>
      <c r="DB161" s="52">
        <f t="shared" si="155"/>
        <v>1.0709502407303504</v>
      </c>
      <c r="DC161" s="1948" t="str">
        <f t="shared" si="152"/>
        <v>Refrigeration BUS 12 Year EUL</v>
      </c>
      <c r="DD161" s="70">
        <f>(INDEX('Avoided Cost Benefits'!$C$4:$C$857,MATCH(DC161,'Avoided Cost Benefits'!$A$4:$A$857,0)))*F161</f>
        <v>151.62108174568434</v>
      </c>
      <c r="DE161" s="1949">
        <f t="shared" si="153"/>
        <v>141.57621519584708</v>
      </c>
    </row>
    <row r="162" spans="3:109" x14ac:dyDescent="0.25">
      <c r="C162" s="2462" t="s">
        <v>2741</v>
      </c>
      <c r="D162" s="1289" t="s">
        <v>2646</v>
      </c>
      <c r="E162" s="1308" t="s">
        <v>2742</v>
      </c>
      <c r="F162" s="1959">
        <f>ROUND(((G184*J$181+K$181)-(G184*J184+K184))*365.25,2)</f>
        <v>1307.5999999999999</v>
      </c>
      <c r="G162" s="1290" t="s">
        <v>2722</v>
      </c>
      <c r="H162" s="1291">
        <f>VLOOKUP(G162,'CP FACTORS'!$A$26:$B$38,2,FALSE)</f>
        <v>1.3573829999999999E-4</v>
      </c>
      <c r="I162" s="1309">
        <f t="shared" si="151"/>
        <v>0.17749100000000001</v>
      </c>
      <c r="J162" s="1317">
        <v>12</v>
      </c>
      <c r="K162" s="1310">
        <v>400</v>
      </c>
      <c r="L162" s="1292" t="s">
        <v>185</v>
      </c>
      <c r="M162" s="1318"/>
      <c r="N162" s="1968"/>
      <c r="O162" s="1968"/>
      <c r="P162" s="1294"/>
      <c r="Q162" s="1295"/>
      <c r="R162" s="1296"/>
      <c r="S162" s="1296"/>
      <c r="T162" s="1297"/>
      <c r="U162" s="1965"/>
      <c r="V162" s="3226" t="s">
        <v>31</v>
      </c>
      <c r="W162" s="1947">
        <v>1307.5949999999998</v>
      </c>
      <c r="X162" s="1947">
        <v>1307.5949999999998</v>
      </c>
      <c r="Y162" s="129">
        <v>1307.5949999999998</v>
      </c>
      <c r="Z162" s="129">
        <v>1307.5949999999998</v>
      </c>
      <c r="AA162" s="129">
        <v>1307.5949999999998</v>
      </c>
      <c r="AB162" s="2002">
        <v>1307.5999999999999</v>
      </c>
      <c r="AC162" s="3364">
        <v>1307.5999999999999</v>
      </c>
      <c r="AD162" s="2002"/>
      <c r="AE162" s="2002"/>
      <c r="AF162" s="2002"/>
      <c r="AG162" s="2002"/>
      <c r="AH162" s="1933"/>
      <c r="AI162" s="3227" t="s">
        <v>181</v>
      </c>
      <c r="AJ162" s="64">
        <v>12</v>
      </c>
      <c r="AK162" s="64">
        <v>12</v>
      </c>
      <c r="AL162" s="64">
        <v>12</v>
      </c>
      <c r="AM162" s="64">
        <v>12</v>
      </c>
      <c r="AN162" s="64">
        <v>12</v>
      </c>
      <c r="AO162" s="2091">
        <v>12</v>
      </c>
      <c r="AP162" s="2091">
        <v>12</v>
      </c>
      <c r="AQ162" s="2002"/>
      <c r="AR162" s="2002"/>
      <c r="AS162" s="2002"/>
      <c r="AT162" s="1933"/>
      <c r="AU162" s="3227" t="s">
        <v>170</v>
      </c>
      <c r="AV162" s="2102">
        <v>400</v>
      </c>
      <c r="AW162" s="2102">
        <v>400</v>
      </c>
      <c r="AX162" s="2102">
        <v>400</v>
      </c>
      <c r="AY162" s="2102">
        <v>400</v>
      </c>
      <c r="AZ162" s="2102">
        <v>400</v>
      </c>
      <c r="BA162" s="2103">
        <v>400</v>
      </c>
      <c r="BB162" s="2103">
        <v>400</v>
      </c>
      <c r="BC162" s="2002"/>
      <c r="BD162" s="2002"/>
      <c r="BE162" s="2002"/>
      <c r="BF162" s="1933"/>
      <c r="BG162" s="1933"/>
      <c r="BH162" s="1933"/>
      <c r="BI162" s="1933"/>
      <c r="BJ162" s="1933"/>
      <c r="BK162" s="1933"/>
      <c r="BL162" s="1933"/>
      <c r="BM162" s="1933"/>
      <c r="BN162" s="1931"/>
      <c r="BO162" s="1931"/>
      <c r="BP162" s="1931"/>
      <c r="BQ162" s="1931"/>
      <c r="BR162" s="1931"/>
      <c r="BS162" s="1931"/>
      <c r="BT162" s="1931"/>
      <c r="BU162" s="1931"/>
      <c r="BV162" s="1931"/>
      <c r="BW162" s="1931"/>
      <c r="BX162" s="1931"/>
      <c r="BY162" s="1931"/>
      <c r="BZ162" s="1931"/>
      <c r="CA162" s="1931"/>
      <c r="CB162" s="1931"/>
      <c r="CC162" s="1931"/>
      <c r="CD162" s="1931"/>
      <c r="CE162" s="1930"/>
      <c r="CF162" s="1930"/>
      <c r="CG162" s="1930"/>
      <c r="CH162" s="1930"/>
      <c r="CI162" s="1931"/>
      <c r="CJ162" s="1931"/>
      <c r="CK162" s="1931"/>
      <c r="CL162" s="1931"/>
      <c r="CM162" s="1931"/>
      <c r="CN162" s="1931"/>
      <c r="CO162" s="1931"/>
      <c r="CP162" s="1931"/>
      <c r="CQ162" s="1931"/>
      <c r="CR162" s="1931"/>
      <c r="CS162" s="1931"/>
      <c r="CT162" s="1930"/>
      <c r="CU162" s="1930"/>
      <c r="CV162" s="1930"/>
      <c r="CW162" s="1930"/>
      <c r="CX162" s="1931"/>
      <c r="CY162" s="1931"/>
      <c r="CZ162" s="1931"/>
      <c r="DA162" s="1931"/>
      <c r="DB162" s="52">
        <f t="shared" si="155"/>
        <v>1.5055200554517567</v>
      </c>
      <c r="DC162" s="1948" t="str">
        <f t="shared" si="152"/>
        <v>Refrigeration BUS 12 Year EUL</v>
      </c>
      <c r="DD162" s="70">
        <f>(INDEX('Avoided Cost Benefits'!$C$4:$C$857,MATCH(DC162,'Avoided Cost Benefits'!$A$4:$A$857,0)))*F162</f>
        <v>568.38888360613748</v>
      </c>
      <c r="DE162" s="1949">
        <f t="shared" si="153"/>
        <v>377.53657385559222</v>
      </c>
    </row>
    <row r="163" spans="3:109" x14ac:dyDescent="0.25">
      <c r="C163" s="2462" t="s">
        <v>2743</v>
      </c>
      <c r="D163" s="1289" t="s">
        <v>2646</v>
      </c>
      <c r="E163" s="1308" t="s">
        <v>2744</v>
      </c>
      <c r="F163" s="1959">
        <f>ROUND(((G185*J$181+K$181)-(G185*J185+K185))*365.25,2)</f>
        <v>2403.35</v>
      </c>
      <c r="G163" s="1290" t="s">
        <v>2722</v>
      </c>
      <c r="H163" s="1291">
        <f>VLOOKUP(G163,'CP FACTORS'!$A$26:$B$38,2,FALSE)</f>
        <v>1.3573829999999999E-4</v>
      </c>
      <c r="I163" s="1309">
        <f t="shared" si="151"/>
        <v>0.32622699999999999</v>
      </c>
      <c r="J163" s="1317">
        <v>12</v>
      </c>
      <c r="K163" s="1310">
        <v>550</v>
      </c>
      <c r="L163" s="1292" t="s">
        <v>185</v>
      </c>
      <c r="M163" s="1318"/>
      <c r="N163" s="1968"/>
      <c r="O163" s="1968"/>
      <c r="P163" s="1294"/>
      <c r="Q163" s="1295"/>
      <c r="R163" s="1296"/>
      <c r="S163" s="1296"/>
      <c r="T163" s="1297"/>
      <c r="U163" s="1965"/>
      <c r="V163" s="3226" t="s">
        <v>31</v>
      </c>
      <c r="W163" s="1947">
        <v>2403.3449999999993</v>
      </c>
      <c r="X163" s="1947">
        <v>2403.3449999999993</v>
      </c>
      <c r="Y163" s="129">
        <v>2403.3449999999993</v>
      </c>
      <c r="Z163" s="129">
        <v>2403.3449999999993</v>
      </c>
      <c r="AA163" s="129">
        <v>2403.3449999999993</v>
      </c>
      <c r="AB163" s="2002">
        <v>2403.35</v>
      </c>
      <c r="AC163" s="3364">
        <v>2403.35</v>
      </c>
      <c r="AD163" s="2002"/>
      <c r="AE163" s="2002"/>
      <c r="AF163" s="2002"/>
      <c r="AG163" s="2002"/>
      <c r="AH163" s="1933"/>
      <c r="AI163" s="3227" t="s">
        <v>181</v>
      </c>
      <c r="AJ163" s="64">
        <v>12</v>
      </c>
      <c r="AK163" s="64">
        <v>12</v>
      </c>
      <c r="AL163" s="64">
        <v>12</v>
      </c>
      <c r="AM163" s="64">
        <v>12</v>
      </c>
      <c r="AN163" s="64">
        <v>12</v>
      </c>
      <c r="AO163" s="2091">
        <v>12</v>
      </c>
      <c r="AP163" s="2091">
        <v>12</v>
      </c>
      <c r="AQ163" s="2002"/>
      <c r="AR163" s="2002"/>
      <c r="AS163" s="2002"/>
      <c r="AT163" s="1933"/>
      <c r="AU163" s="3227" t="s">
        <v>170</v>
      </c>
      <c r="AV163" s="2102">
        <v>550</v>
      </c>
      <c r="AW163" s="2102">
        <v>550</v>
      </c>
      <c r="AX163" s="2102">
        <v>550</v>
      </c>
      <c r="AY163" s="2102">
        <v>550</v>
      </c>
      <c r="AZ163" s="2102">
        <v>550</v>
      </c>
      <c r="BA163" s="2103">
        <v>550</v>
      </c>
      <c r="BB163" s="2103">
        <v>550</v>
      </c>
      <c r="BC163" s="2002"/>
      <c r="BD163" s="2002"/>
      <c r="BE163" s="2002"/>
      <c r="BF163" s="1933"/>
      <c r="BG163" s="1933"/>
      <c r="BH163" s="1933"/>
      <c r="BI163" s="1933"/>
      <c r="BJ163" s="1933"/>
      <c r="BK163" s="1933"/>
      <c r="BL163" s="1933"/>
      <c r="BM163" s="1933"/>
      <c r="BN163" s="1931"/>
      <c r="BO163" s="1931"/>
      <c r="BP163" s="1931"/>
      <c r="BQ163" s="1931"/>
      <c r="BR163" s="1931"/>
      <c r="BS163" s="1931"/>
      <c r="BT163" s="1931"/>
      <c r="BU163" s="1931"/>
      <c r="BV163" s="1931"/>
      <c r="BW163" s="1931"/>
      <c r="BX163" s="1931"/>
      <c r="BY163" s="1931"/>
      <c r="BZ163" s="1931"/>
      <c r="CA163" s="1931"/>
      <c r="CB163" s="1931"/>
      <c r="CC163" s="1931"/>
      <c r="CD163" s="1931"/>
      <c r="CE163" s="1930"/>
      <c r="CF163" s="1930"/>
      <c r="CG163" s="1930"/>
      <c r="CH163" s="1930"/>
      <c r="CI163" s="1931"/>
      <c r="CJ163" s="1931"/>
      <c r="CK163" s="1931"/>
      <c r="CL163" s="1931"/>
      <c r="CM163" s="1931"/>
      <c r="CN163" s="1931"/>
      <c r="CO163" s="1931"/>
      <c r="CP163" s="1931"/>
      <c r="CQ163" s="1931"/>
      <c r="CR163" s="1931"/>
      <c r="CS163" s="1931"/>
      <c r="CT163" s="1930"/>
      <c r="CU163" s="1930"/>
      <c r="CV163" s="1930"/>
      <c r="CW163" s="1930"/>
      <c r="CX163" s="1931"/>
      <c r="CY163" s="1931"/>
      <c r="CZ163" s="1931"/>
      <c r="DA163" s="1931"/>
      <c r="DB163" s="52">
        <f t="shared" si="155"/>
        <v>2.0124539755109874</v>
      </c>
      <c r="DC163" s="1948" t="str">
        <f t="shared" si="152"/>
        <v>Refrigeration BUS 12 Year EUL</v>
      </c>
      <c r="DD163" s="70">
        <f>(INDEX('Avoided Cost Benefits'!$C$4:$C$857,MATCH(DC163,'Avoided Cost Benefits'!$A$4:$A$857,0)))*F163</f>
        <v>1044.6905960651657</v>
      </c>
      <c r="DE163" s="1949">
        <f t="shared" si="153"/>
        <v>519.11278905143934</v>
      </c>
    </row>
    <row r="164" spans="3:109" ht="15.75" customHeight="1" x14ac:dyDescent="0.25">
      <c r="C164" s="2462" t="s">
        <v>2745</v>
      </c>
      <c r="D164" s="1289" t="s">
        <v>2646</v>
      </c>
      <c r="E164" s="1308" t="s">
        <v>2746</v>
      </c>
      <c r="F164" s="1959">
        <f>ROUND(((G186*J$181+K$181)-(G186*J186+K186))*365.25,2)</f>
        <v>2951.22</v>
      </c>
      <c r="G164" s="1290" t="s">
        <v>2722</v>
      </c>
      <c r="H164" s="1291">
        <f>VLOOKUP(G164,'CP FACTORS'!$A$26:$B$38,2,FALSE)</f>
        <v>1.3573829999999999E-4</v>
      </c>
      <c r="I164" s="1309">
        <f t="shared" si="151"/>
        <v>0.40059400000000001</v>
      </c>
      <c r="J164" s="1317">
        <v>12</v>
      </c>
      <c r="K164" s="1310">
        <v>700</v>
      </c>
      <c r="L164" s="1292" t="s">
        <v>185</v>
      </c>
      <c r="M164" s="1318"/>
      <c r="N164" s="1965"/>
      <c r="O164" s="1965"/>
      <c r="P164" s="1294"/>
      <c r="Q164" s="1295"/>
      <c r="R164" s="1296"/>
      <c r="S164" s="1296"/>
      <c r="T164" s="1297"/>
      <c r="U164" s="1965"/>
      <c r="V164" s="3226" t="s">
        <v>31</v>
      </c>
      <c r="W164" s="1947">
        <v>2951.2199999999993</v>
      </c>
      <c r="X164" s="1947">
        <v>2951.2199999999993</v>
      </c>
      <c r="Y164" s="129">
        <v>2951.2199999999993</v>
      </c>
      <c r="Z164" s="129">
        <v>2951.2199999999993</v>
      </c>
      <c r="AA164" s="129">
        <v>2951.2199999999993</v>
      </c>
      <c r="AB164" s="2002">
        <v>2951.22</v>
      </c>
      <c r="AC164" s="3364">
        <v>2951.22</v>
      </c>
      <c r="AD164" s="2002"/>
      <c r="AE164" s="2002"/>
      <c r="AF164" s="2002"/>
      <c r="AG164" s="2002"/>
      <c r="AH164" s="1933"/>
      <c r="AI164" s="3227" t="s">
        <v>181</v>
      </c>
      <c r="AJ164" s="64">
        <v>12</v>
      </c>
      <c r="AK164" s="64">
        <v>12</v>
      </c>
      <c r="AL164" s="64">
        <v>12</v>
      </c>
      <c r="AM164" s="64">
        <v>12</v>
      </c>
      <c r="AN164" s="64">
        <v>12</v>
      </c>
      <c r="AO164" s="2091">
        <v>12</v>
      </c>
      <c r="AP164" s="2091">
        <v>12</v>
      </c>
      <c r="AQ164" s="2002"/>
      <c r="AR164" s="2002"/>
      <c r="AS164" s="2002"/>
      <c r="AT164" s="1933"/>
      <c r="AU164" s="3227" t="s">
        <v>170</v>
      </c>
      <c r="AV164" s="2102">
        <v>700</v>
      </c>
      <c r="AW164" s="2102">
        <v>700</v>
      </c>
      <c r="AX164" s="2102">
        <v>700</v>
      </c>
      <c r="AY164" s="2102">
        <v>700</v>
      </c>
      <c r="AZ164" s="2102">
        <v>700</v>
      </c>
      <c r="BA164" s="2103">
        <v>700</v>
      </c>
      <c r="BB164" s="2103">
        <v>700</v>
      </c>
      <c r="BC164" s="2002"/>
      <c r="BD164" s="2002"/>
      <c r="BE164" s="2002"/>
      <c r="BF164" s="1933"/>
      <c r="BG164" s="1933"/>
      <c r="BH164" s="1933"/>
      <c r="BI164" s="1933"/>
      <c r="BJ164" s="1933"/>
      <c r="BK164" s="1933"/>
      <c r="BL164" s="1933"/>
      <c r="BM164" s="1933"/>
      <c r="BN164" s="1931"/>
      <c r="BO164" s="1931"/>
      <c r="BP164" s="1931"/>
      <c r="BQ164" s="1931"/>
      <c r="BR164" s="1931"/>
      <c r="BS164" s="1931"/>
      <c r="BT164" s="1931"/>
      <c r="BU164" s="1931"/>
      <c r="BV164" s="1931"/>
      <c r="BW164" s="1931"/>
      <c r="BX164" s="1931"/>
      <c r="BY164" s="1931"/>
      <c r="BZ164" s="1931"/>
      <c r="CA164" s="1931"/>
      <c r="CB164" s="1931"/>
      <c r="CC164" s="1931"/>
      <c r="CD164" s="1931"/>
      <c r="CE164" s="1930"/>
      <c r="CF164" s="1930"/>
      <c r="CG164" s="1930"/>
      <c r="CH164" s="1930"/>
      <c r="CI164" s="1931"/>
      <c r="CJ164" s="1931"/>
      <c r="CK164" s="1931"/>
      <c r="CL164" s="1931"/>
      <c r="CM164" s="1931"/>
      <c r="CN164" s="1931"/>
      <c r="CO164" s="1931"/>
      <c r="CP164" s="1931"/>
      <c r="CQ164" s="1931"/>
      <c r="CR164" s="1931"/>
      <c r="CS164" s="1931"/>
      <c r="CT164" s="1930"/>
      <c r="CU164" s="1930"/>
      <c r="CV164" s="1930"/>
      <c r="CW164" s="1930"/>
      <c r="CX164" s="1931"/>
      <c r="CY164" s="1931"/>
      <c r="CZ164" s="1931"/>
      <c r="DA164" s="1931"/>
      <c r="DB164" s="52">
        <f t="shared" si="155"/>
        <v>1.9416688799765476</v>
      </c>
      <c r="DC164" s="1948" t="str">
        <f t="shared" si="152"/>
        <v>Refrigeration BUS 12 Year EUL</v>
      </c>
      <c r="DD164" s="70">
        <f>(INDEX('Avoided Cost Benefits'!$C$4:$C$857,MATCH(DC164,'Avoided Cost Benefits'!$A$4:$A$857,0)))*F164</f>
        <v>1282.839278889649</v>
      </c>
      <c r="DE164" s="1949">
        <f t="shared" si="153"/>
        <v>660.68900424728633</v>
      </c>
    </row>
    <row r="165" spans="3:109" x14ac:dyDescent="0.25">
      <c r="C165" s="2462" t="s">
        <v>2747</v>
      </c>
      <c r="D165" s="1289" t="s">
        <v>2646</v>
      </c>
      <c r="E165" s="1308" t="s">
        <v>2748</v>
      </c>
      <c r="F165" s="1959">
        <f>ROUND(((G187*J$182+K$182)-(G187*J187+K187))*365.25,2)</f>
        <v>1429.95</v>
      </c>
      <c r="G165" s="1290" t="s">
        <v>2722</v>
      </c>
      <c r="H165" s="1291">
        <f>VLOOKUP(G165,'CP FACTORS'!$A$26:$B$38,2,FALSE)</f>
        <v>1.3573829999999999E-4</v>
      </c>
      <c r="I165" s="1309">
        <f t="shared" si="151"/>
        <v>0.19409899999999999</v>
      </c>
      <c r="J165" s="1317">
        <v>12</v>
      </c>
      <c r="K165" s="1310">
        <v>220</v>
      </c>
      <c r="L165" s="1292" t="s">
        <v>185</v>
      </c>
      <c r="M165" s="1318"/>
      <c r="N165" s="1965"/>
      <c r="O165" s="1965"/>
      <c r="P165" s="1294"/>
      <c r="Q165" s="1295"/>
      <c r="R165" s="1296"/>
      <c r="S165" s="1296"/>
      <c r="T165" s="1297"/>
      <c r="U165" s="1965"/>
      <c r="V165" s="3226" t="s">
        <v>31</v>
      </c>
      <c r="W165" s="1947">
        <v>1429.9537499999997</v>
      </c>
      <c r="X165" s="1947">
        <v>1429.9537499999997</v>
      </c>
      <c r="Y165" s="129">
        <v>1429.9537499999997</v>
      </c>
      <c r="Z165" s="129">
        <v>1429.9537499999997</v>
      </c>
      <c r="AA165" s="129">
        <v>1429.9537499999997</v>
      </c>
      <c r="AB165" s="2002">
        <v>1429.95</v>
      </c>
      <c r="AC165" s="3364">
        <v>1429.95</v>
      </c>
      <c r="AD165" s="2002"/>
      <c r="AE165" s="2002"/>
      <c r="AF165" s="2002"/>
      <c r="AG165" s="2002"/>
      <c r="AH165" s="1933"/>
      <c r="AI165" s="3227" t="s">
        <v>181</v>
      </c>
      <c r="AJ165" s="64">
        <v>12</v>
      </c>
      <c r="AK165" s="64">
        <v>12</v>
      </c>
      <c r="AL165" s="64">
        <v>12</v>
      </c>
      <c r="AM165" s="64">
        <v>12</v>
      </c>
      <c r="AN165" s="64">
        <v>12</v>
      </c>
      <c r="AO165" s="2091">
        <v>12</v>
      </c>
      <c r="AP165" s="2091">
        <v>12</v>
      </c>
      <c r="AQ165" s="2002"/>
      <c r="AR165" s="2002"/>
      <c r="AS165" s="2002"/>
      <c r="AT165" s="1933"/>
      <c r="AU165" s="3227" t="s">
        <v>170</v>
      </c>
      <c r="AV165" s="2102">
        <v>220</v>
      </c>
      <c r="AW165" s="2102">
        <v>220</v>
      </c>
      <c r="AX165" s="2102">
        <v>220</v>
      </c>
      <c r="AY165" s="2102">
        <v>220</v>
      </c>
      <c r="AZ165" s="2102">
        <v>220</v>
      </c>
      <c r="BA165" s="2103">
        <v>220</v>
      </c>
      <c r="BB165" s="2103">
        <v>220</v>
      </c>
      <c r="BC165" s="2002"/>
      <c r="BD165" s="2002"/>
      <c r="BE165" s="2002"/>
      <c r="BF165" s="1933"/>
      <c r="BG165" s="1933"/>
      <c r="BH165" s="1933"/>
      <c r="BI165" s="1933"/>
      <c r="BJ165" s="1933"/>
      <c r="BK165" s="1933"/>
      <c r="BL165" s="1933"/>
      <c r="BM165" s="1933"/>
      <c r="BN165" s="1931"/>
      <c r="BO165" s="1931"/>
      <c r="BP165" s="1931"/>
      <c r="BQ165" s="1931"/>
      <c r="BR165" s="1931"/>
      <c r="BS165" s="1931"/>
      <c r="BT165" s="1931"/>
      <c r="BU165" s="1931"/>
      <c r="BV165" s="1931"/>
      <c r="BW165" s="1931"/>
      <c r="BX165" s="1931"/>
      <c r="BY165" s="1931"/>
      <c r="BZ165" s="1931"/>
      <c r="CA165" s="1931"/>
      <c r="CB165" s="1931"/>
      <c r="CC165" s="1931"/>
      <c r="CD165" s="1931"/>
      <c r="CE165" s="1930"/>
      <c r="CF165" s="1930"/>
      <c r="CG165" s="1930"/>
      <c r="CH165" s="1930"/>
      <c r="CI165" s="1931"/>
      <c r="CJ165" s="1931"/>
      <c r="CK165" s="1931"/>
      <c r="CL165" s="1931"/>
      <c r="CM165" s="1931"/>
      <c r="CN165" s="1931"/>
      <c r="CO165" s="1931"/>
      <c r="CP165" s="1931"/>
      <c r="CQ165" s="1931"/>
      <c r="CR165" s="1931"/>
      <c r="CS165" s="1931"/>
      <c r="CT165" s="1930"/>
      <c r="CU165" s="1930"/>
      <c r="CV165" s="1930"/>
      <c r="CW165" s="1930"/>
      <c r="CX165" s="1931"/>
      <c r="CY165" s="1931"/>
      <c r="CZ165" s="1931"/>
      <c r="DA165" s="1931"/>
      <c r="DB165" s="52">
        <f t="shared" si="155"/>
        <v>2.9934347497055533</v>
      </c>
      <c r="DC165" s="1948" t="str">
        <f t="shared" si="152"/>
        <v>Refrigeration BUS 12 Year EUL</v>
      </c>
      <c r="DD165" s="70">
        <f>(INDEX('Avoided Cost Benefits'!$C$4:$C$857,MATCH(DC165,'Avoided Cost Benefits'!$A$4:$A$857,0)))*F165</f>
        <v>621.57210470525877</v>
      </c>
      <c r="DE165" s="1949">
        <f t="shared" si="153"/>
        <v>207.64511562057572</v>
      </c>
    </row>
    <row r="166" spans="3:109" x14ac:dyDescent="0.25">
      <c r="C166" s="2462" t="s">
        <v>2749</v>
      </c>
      <c r="D166" s="1289" t="s">
        <v>2646</v>
      </c>
      <c r="E166" s="1308" t="s">
        <v>2750</v>
      </c>
      <c r="F166" s="1959">
        <f>ROUND(((G188*J$182+K$182)-(G188*J188+K188))*365.25,2)</f>
        <v>3186.81</v>
      </c>
      <c r="G166" s="1290" t="s">
        <v>2722</v>
      </c>
      <c r="H166" s="1291">
        <f>VLOOKUP(G166,'CP FACTORS'!$A$26:$B$38,2,FALSE)</f>
        <v>1.3573829999999999E-4</v>
      </c>
      <c r="I166" s="1309">
        <f t="shared" si="151"/>
        <v>0.43257200000000001</v>
      </c>
      <c r="J166" s="1317">
        <v>12</v>
      </c>
      <c r="K166" s="1310">
        <v>950</v>
      </c>
      <c r="L166" s="1292" t="s">
        <v>185</v>
      </c>
      <c r="M166" s="1318"/>
      <c r="N166" s="1965"/>
      <c r="O166" s="1965"/>
      <c r="P166" s="1294"/>
      <c r="Q166" s="1295"/>
      <c r="R166" s="1296"/>
      <c r="S166" s="1296"/>
      <c r="T166" s="1297"/>
      <c r="U166" s="1965"/>
      <c r="V166" s="3226" t="s">
        <v>31</v>
      </c>
      <c r="W166" s="1947">
        <v>3186.8062500000005</v>
      </c>
      <c r="X166" s="1947">
        <v>3186.8062500000005</v>
      </c>
      <c r="Y166" s="129">
        <v>3186.8062500000005</v>
      </c>
      <c r="Z166" s="129">
        <v>3186.8062500000005</v>
      </c>
      <c r="AA166" s="129">
        <v>3186.8062500000005</v>
      </c>
      <c r="AB166" s="2002">
        <v>3186.81</v>
      </c>
      <c r="AC166" s="3364">
        <v>3186.81</v>
      </c>
      <c r="AD166" s="2002"/>
      <c r="AE166" s="2002"/>
      <c r="AF166" s="2002"/>
      <c r="AG166" s="2002"/>
      <c r="AH166" s="1933"/>
      <c r="AI166" s="3227" t="s">
        <v>181</v>
      </c>
      <c r="AJ166" s="64">
        <v>12</v>
      </c>
      <c r="AK166" s="64">
        <v>12</v>
      </c>
      <c r="AL166" s="64">
        <v>12</v>
      </c>
      <c r="AM166" s="64">
        <v>12</v>
      </c>
      <c r="AN166" s="64">
        <v>12</v>
      </c>
      <c r="AO166" s="2091">
        <v>12</v>
      </c>
      <c r="AP166" s="2091">
        <v>12</v>
      </c>
      <c r="AQ166" s="2002"/>
      <c r="AR166" s="2002"/>
      <c r="AS166" s="2002"/>
      <c r="AT166" s="1933"/>
      <c r="AU166" s="3227" t="s">
        <v>170</v>
      </c>
      <c r="AV166" s="2102">
        <v>950</v>
      </c>
      <c r="AW166" s="2102">
        <v>950</v>
      </c>
      <c r="AX166" s="2102">
        <v>950</v>
      </c>
      <c r="AY166" s="2102">
        <v>950</v>
      </c>
      <c r="AZ166" s="2102">
        <v>950</v>
      </c>
      <c r="BA166" s="2103">
        <v>950</v>
      </c>
      <c r="BB166" s="2103">
        <v>950</v>
      </c>
      <c r="BC166" s="2002"/>
      <c r="BD166" s="2002"/>
      <c r="BE166" s="2002"/>
      <c r="BF166" s="1933"/>
      <c r="BG166" s="1933"/>
      <c r="BH166" s="1933"/>
      <c r="BI166" s="1933"/>
      <c r="BJ166" s="1933"/>
      <c r="BK166" s="1933"/>
      <c r="BL166" s="1933"/>
      <c r="BM166" s="1933"/>
      <c r="BN166" s="1931"/>
      <c r="BO166" s="1931"/>
      <c r="BP166" s="1931"/>
      <c r="BQ166" s="1931"/>
      <c r="BR166" s="1931"/>
      <c r="BS166" s="1931"/>
      <c r="BT166" s="1931"/>
      <c r="BU166" s="1931"/>
      <c r="BV166" s="1931"/>
      <c r="BW166" s="1931"/>
      <c r="BX166" s="1931"/>
      <c r="BY166" s="1931"/>
      <c r="BZ166" s="1931"/>
      <c r="CA166" s="1931"/>
      <c r="CB166" s="1931"/>
      <c r="CC166" s="1931"/>
      <c r="CD166" s="1931"/>
      <c r="CE166" s="1930"/>
      <c r="CF166" s="1930"/>
      <c r="CG166" s="1930"/>
      <c r="CH166" s="1930"/>
      <c r="CI166" s="1931"/>
      <c r="CJ166" s="1931"/>
      <c r="CK166" s="1931"/>
      <c r="CL166" s="1931"/>
      <c r="CM166" s="1931"/>
      <c r="CN166" s="1931"/>
      <c r="CO166" s="1931"/>
      <c r="CP166" s="1931"/>
      <c r="CQ166" s="1931"/>
      <c r="CR166" s="1931"/>
      <c r="CS166" s="1931"/>
      <c r="CT166" s="1930"/>
      <c r="CU166" s="1930"/>
      <c r="CV166" s="1930"/>
      <c r="CW166" s="1930"/>
      <c r="CX166" s="1931"/>
      <c r="CY166" s="1931"/>
      <c r="CZ166" s="1931"/>
      <c r="DA166" s="1931"/>
      <c r="DB166" s="52">
        <f t="shared" si="155"/>
        <v>1.5449135798535569</v>
      </c>
      <c r="DC166" s="1948" t="str">
        <f t="shared" si="152"/>
        <v>Refrigeration BUS 12 Year EUL</v>
      </c>
      <c r="DD166" s="70">
        <f>(INDEX('Avoided Cost Benefits'!$C$4:$C$857,MATCH(DC166,'Avoided Cost Benefits'!$A$4:$A$857,0)))*F166</f>
        <v>1385.2457771221132</v>
      </c>
      <c r="DE166" s="1949">
        <f t="shared" si="153"/>
        <v>896.64936290703156</v>
      </c>
    </row>
    <row r="167" spans="3:109" x14ac:dyDescent="0.25">
      <c r="C167" s="2462" t="s">
        <v>2751</v>
      </c>
      <c r="D167" s="1289" t="s">
        <v>2646</v>
      </c>
      <c r="E167" s="1308" t="s">
        <v>2752</v>
      </c>
      <c r="F167" s="1959">
        <f>ROUND(((G189*J$182+K$182)-(G189*J189+K189))*365.25,2)</f>
        <v>5150.03</v>
      </c>
      <c r="G167" s="1290" t="s">
        <v>2722</v>
      </c>
      <c r="H167" s="1291">
        <f>VLOOKUP(G167,'CP FACTORS'!$A$26:$B$38,2,FALSE)</f>
        <v>1.3573829999999999E-4</v>
      </c>
      <c r="I167" s="1309">
        <f t="shared" si="151"/>
        <v>0.69905600000000001</v>
      </c>
      <c r="J167" s="1317">
        <v>12</v>
      </c>
      <c r="K167" s="1310">
        <v>1307</v>
      </c>
      <c r="L167" s="1292" t="s">
        <v>185</v>
      </c>
      <c r="M167" s="1318"/>
      <c r="N167" s="1965"/>
      <c r="O167" s="1965"/>
      <c r="P167" s="1294"/>
      <c r="Q167" s="1295"/>
      <c r="R167" s="1296"/>
      <c r="S167" s="1296"/>
      <c r="T167" s="1297"/>
      <c r="U167" s="1965"/>
      <c r="V167" s="3226" t="s">
        <v>31</v>
      </c>
      <c r="W167" s="1947">
        <v>5150.0250000000005</v>
      </c>
      <c r="X167" s="1947">
        <v>5150.0250000000005</v>
      </c>
      <c r="Y167" s="129">
        <v>5150.0250000000005</v>
      </c>
      <c r="Z167" s="129">
        <v>5150.0250000000005</v>
      </c>
      <c r="AA167" s="129">
        <v>5150.0250000000005</v>
      </c>
      <c r="AB167" s="2002">
        <v>5150.03</v>
      </c>
      <c r="AC167" s="3364">
        <v>5150.03</v>
      </c>
      <c r="AD167" s="2002"/>
      <c r="AE167" s="2002"/>
      <c r="AF167" s="2002"/>
      <c r="AG167" s="2002"/>
      <c r="AH167" s="1933"/>
      <c r="AI167" s="3227" t="s">
        <v>181</v>
      </c>
      <c r="AJ167" s="64">
        <v>12</v>
      </c>
      <c r="AK167" s="64">
        <v>12</v>
      </c>
      <c r="AL167" s="64">
        <v>12</v>
      </c>
      <c r="AM167" s="64">
        <v>12</v>
      </c>
      <c r="AN167" s="64">
        <v>12</v>
      </c>
      <c r="AO167" s="2091">
        <v>12</v>
      </c>
      <c r="AP167" s="2091">
        <v>12</v>
      </c>
      <c r="AQ167" s="2002"/>
      <c r="AR167" s="2002"/>
      <c r="AS167" s="2002"/>
      <c r="AT167" s="1933"/>
      <c r="AU167" s="3227" t="s">
        <v>170</v>
      </c>
      <c r="AV167" s="2102">
        <v>1307</v>
      </c>
      <c r="AW167" s="2102">
        <v>1307</v>
      </c>
      <c r="AX167" s="2102">
        <v>1307</v>
      </c>
      <c r="AY167" s="2102">
        <v>1307</v>
      </c>
      <c r="AZ167" s="2102">
        <v>1307</v>
      </c>
      <c r="BA167" s="2103">
        <v>1307</v>
      </c>
      <c r="BB167" s="2103">
        <v>1307</v>
      </c>
      <c r="BC167" s="2002"/>
      <c r="BD167" s="2002"/>
      <c r="BE167" s="2002"/>
      <c r="BF167" s="1933"/>
      <c r="BG167" s="1933"/>
      <c r="BH167" s="1933"/>
      <c r="BI167" s="1933"/>
      <c r="BJ167" s="1933"/>
      <c r="BK167" s="1933"/>
      <c r="BL167" s="1933"/>
      <c r="BM167" s="1933"/>
      <c r="BN167" s="1931"/>
      <c r="BO167" s="1931"/>
      <c r="BP167" s="1931"/>
      <c r="BQ167" s="1931"/>
      <c r="BR167" s="1931"/>
      <c r="BS167" s="1931"/>
      <c r="BT167" s="1931"/>
      <c r="BU167" s="1931"/>
      <c r="BV167" s="1931"/>
      <c r="BW167" s="1931"/>
      <c r="BX167" s="1931"/>
      <c r="BY167" s="1931"/>
      <c r="BZ167" s="1931"/>
      <c r="CA167" s="1931"/>
      <c r="CB167" s="1931"/>
      <c r="CC167" s="1931"/>
      <c r="CD167" s="1931"/>
      <c r="CE167" s="1930"/>
      <c r="CF167" s="1930"/>
      <c r="CG167" s="1930"/>
      <c r="CH167" s="1930"/>
      <c r="CI167" s="1931"/>
      <c r="CJ167" s="1931"/>
      <c r="CK167" s="1931"/>
      <c r="CL167" s="1931"/>
      <c r="CM167" s="1931"/>
      <c r="CN167" s="1931"/>
      <c r="CO167" s="1931"/>
      <c r="CP167" s="1931"/>
      <c r="CQ167" s="1931"/>
      <c r="CR167" s="1931"/>
      <c r="CS167" s="1931"/>
      <c r="CT167" s="1930"/>
      <c r="CU167" s="1930"/>
      <c r="CV167" s="1930"/>
      <c r="CW167" s="1930"/>
      <c r="CX167" s="1931"/>
      <c r="CY167" s="1931"/>
      <c r="CZ167" s="1931"/>
      <c r="DA167" s="1931"/>
      <c r="DB167" s="52">
        <f t="shared" si="155"/>
        <v>1.8147039978341466</v>
      </c>
      <c r="DC167" s="1948" t="str">
        <f t="shared" si="152"/>
        <v>Refrigeration BUS 12 Year EUL</v>
      </c>
      <c r="DD167" s="70">
        <f>(INDEX('Avoided Cost Benefits'!$C$4:$C$857,MATCH(DC167,'Avoided Cost Benefits'!$A$4:$A$857,0)))*F167</f>
        <v>2238.6202219624629</v>
      </c>
      <c r="DE167" s="1949">
        <f t="shared" si="153"/>
        <v>1233.6007550731476</v>
      </c>
    </row>
    <row r="168" spans="3:109" x14ac:dyDescent="0.25">
      <c r="C168" s="2462" t="s">
        <v>2753</v>
      </c>
      <c r="D168" s="1289" t="s">
        <v>2646</v>
      </c>
      <c r="E168" s="1308" t="s">
        <v>2754</v>
      </c>
      <c r="F168" s="1959">
        <f>ROUND(((G190*J$182+K$182)-(G190*J190+K190))*365.25,2)</f>
        <v>5884.18</v>
      </c>
      <c r="G168" s="1290" t="s">
        <v>2722</v>
      </c>
      <c r="H168" s="1291">
        <f>VLOOKUP(G168,'CP FACTORS'!$A$26:$B$38,2,FALSE)</f>
        <v>1.3573829999999999E-4</v>
      </c>
      <c r="I168" s="1309">
        <f t="shared" si="151"/>
        <v>0.798709</v>
      </c>
      <c r="J168" s="1317">
        <v>12</v>
      </c>
      <c r="K168" s="1310">
        <v>2300</v>
      </c>
      <c r="L168" s="1292" t="s">
        <v>185</v>
      </c>
      <c r="M168" s="1318"/>
      <c r="N168" s="1965"/>
      <c r="O168" s="1965"/>
      <c r="P168" s="1965"/>
      <c r="Q168" s="1965"/>
      <c r="R168" s="1965"/>
      <c r="S168" s="1965"/>
      <c r="T168" s="1965"/>
      <c r="U168" s="1965"/>
      <c r="V168" s="3226" t="s">
        <v>31</v>
      </c>
      <c r="W168" s="1947">
        <v>5884.1774999999998</v>
      </c>
      <c r="X168" s="1947">
        <v>5884.1774999999998</v>
      </c>
      <c r="Y168" s="129">
        <v>5884.1774999999998</v>
      </c>
      <c r="Z168" s="129">
        <v>5884.1774999999998</v>
      </c>
      <c r="AA168" s="129">
        <v>5884.1774999999998</v>
      </c>
      <c r="AB168" s="2002">
        <v>5884.18</v>
      </c>
      <c r="AC168" s="3364">
        <v>5884.18</v>
      </c>
      <c r="AD168" s="2002"/>
      <c r="AE168" s="2002"/>
      <c r="AF168" s="2002"/>
      <c r="AG168" s="2002"/>
      <c r="AH168" s="1933"/>
      <c r="AI168" s="3227" t="s">
        <v>181</v>
      </c>
      <c r="AJ168" s="64">
        <v>12</v>
      </c>
      <c r="AK168" s="64">
        <v>12</v>
      </c>
      <c r="AL168" s="64">
        <v>12</v>
      </c>
      <c r="AM168" s="64">
        <v>12</v>
      </c>
      <c r="AN168" s="64">
        <v>12</v>
      </c>
      <c r="AO168" s="2091">
        <v>12</v>
      </c>
      <c r="AP168" s="2091">
        <v>12</v>
      </c>
      <c r="AQ168" s="2002"/>
      <c r="AR168" s="2002"/>
      <c r="AS168" s="2002"/>
      <c r="AT168" s="1933"/>
      <c r="AU168" s="3227" t="s">
        <v>170</v>
      </c>
      <c r="AV168" s="2102">
        <v>2300</v>
      </c>
      <c r="AW168" s="2102">
        <v>2300</v>
      </c>
      <c r="AX168" s="2102">
        <v>2300</v>
      </c>
      <c r="AY168" s="2102">
        <v>2300</v>
      </c>
      <c r="AZ168" s="2102">
        <v>2300</v>
      </c>
      <c r="BA168" s="2103">
        <v>2300</v>
      </c>
      <c r="BB168" s="2103">
        <v>2300</v>
      </c>
      <c r="BC168" s="2002"/>
      <c r="BD168" s="2002"/>
      <c r="BE168" s="2002"/>
      <c r="BF168" s="1933"/>
      <c r="BG168" s="1933"/>
      <c r="BH168" s="1933"/>
      <c r="BI168" s="1933"/>
      <c r="BJ168" s="1933"/>
      <c r="BK168" s="1933"/>
      <c r="BL168" s="1933"/>
      <c r="BM168" s="1933"/>
      <c r="BN168" s="1931"/>
      <c r="BO168" s="1931"/>
      <c r="BP168" s="1931"/>
      <c r="BQ168" s="1931"/>
      <c r="BR168" s="1931"/>
      <c r="BS168" s="1931"/>
      <c r="BT168" s="1931"/>
      <c r="BU168" s="1931"/>
      <c r="BV168" s="1931"/>
      <c r="BW168" s="1931"/>
      <c r="BX168" s="1931"/>
      <c r="BY168" s="1931"/>
      <c r="BZ168" s="1931"/>
      <c r="CA168" s="1931"/>
      <c r="CB168" s="1931"/>
      <c r="CC168" s="1931"/>
      <c r="CD168" s="1931"/>
      <c r="CE168" s="1930"/>
      <c r="CF168" s="1930"/>
      <c r="CG168" s="1930"/>
      <c r="CH168" s="1930"/>
      <c r="CI168" s="1931"/>
      <c r="CJ168" s="1931"/>
      <c r="CK168" s="1931"/>
      <c r="CL168" s="1931"/>
      <c r="CM168" s="1931"/>
      <c r="CN168" s="1931"/>
      <c r="CO168" s="1931"/>
      <c r="CP168" s="1931"/>
      <c r="CQ168" s="1931"/>
      <c r="CR168" s="1931"/>
      <c r="CS168" s="1931"/>
      <c r="CT168" s="1930"/>
      <c r="CU168" s="1930"/>
      <c r="CV168" s="1930"/>
      <c r="CW168" s="1930"/>
      <c r="CX168" s="1931"/>
      <c r="CY168" s="1931"/>
      <c r="CZ168" s="1931"/>
      <c r="DA168" s="1931"/>
      <c r="DB168" s="52">
        <f t="shared" si="155"/>
        <v>1.1782290821402794</v>
      </c>
      <c r="DC168" s="1948" t="str">
        <f t="shared" si="152"/>
        <v>Refrigeration BUS 12 Year EUL</v>
      </c>
      <c r="DD168" s="70">
        <f>(INDEX('Avoided Cost Benefits'!$C$4:$C$857,MATCH(DC168,'Avoided Cost Benefits'!$A$4:$A$857,0)))*F168</f>
        <v>2557.7412826074965</v>
      </c>
      <c r="DE168" s="1949">
        <f t="shared" si="153"/>
        <v>2170.8352996696553</v>
      </c>
    </row>
    <row r="169" spans="3:109" x14ac:dyDescent="0.25">
      <c r="C169" s="2463" t="s">
        <v>2755</v>
      </c>
      <c r="D169" s="1289" t="s">
        <v>2646</v>
      </c>
      <c r="E169" s="1308" t="s">
        <v>2756</v>
      </c>
      <c r="F169" s="1959">
        <f>ROUND(((G191*AVERAGE(J$181,J$182)+AVERAGE(K$181,K$182))-(G191*J191+K191))*365.25,2)</f>
        <v>5265.08</v>
      </c>
      <c r="G169" s="1290" t="s">
        <v>2722</v>
      </c>
      <c r="H169" s="1291">
        <f>VLOOKUP(G169,'CP FACTORS'!$A$26:$B$38,2,FALSE)</f>
        <v>1.3573829999999999E-4</v>
      </c>
      <c r="I169" s="1309">
        <f t="shared" si="151"/>
        <v>0.714673</v>
      </c>
      <c r="J169" s="1317">
        <v>12</v>
      </c>
      <c r="K169" s="1310">
        <v>595</v>
      </c>
      <c r="L169" s="1292" t="s">
        <v>185</v>
      </c>
      <c r="M169" s="1965"/>
      <c r="N169" s="1965"/>
      <c r="O169" s="1965"/>
      <c r="P169" s="1965"/>
      <c r="Q169" s="1965"/>
      <c r="R169" s="1965"/>
      <c r="S169" s="1965"/>
      <c r="T169" s="1965"/>
      <c r="U169" s="1965"/>
      <c r="V169" s="3226" t="s">
        <v>31</v>
      </c>
      <c r="W169" s="1947">
        <v>5265.0787499999997</v>
      </c>
      <c r="X169" s="1947">
        <v>5265.0787499999997</v>
      </c>
      <c r="Y169" s="129">
        <v>5265.0787499999997</v>
      </c>
      <c r="Z169" s="129">
        <v>5265.0787499999997</v>
      </c>
      <c r="AA169" s="129">
        <v>5265.0787499999997</v>
      </c>
      <c r="AB169" s="2002">
        <v>5265.08</v>
      </c>
      <c r="AC169" s="3364">
        <v>5265.08</v>
      </c>
      <c r="AD169" s="2002"/>
      <c r="AE169" s="2002"/>
      <c r="AF169" s="2002"/>
      <c r="AG169" s="2002"/>
      <c r="AH169" s="1933"/>
      <c r="AI169" s="3227" t="s">
        <v>181</v>
      </c>
      <c r="AJ169" s="64">
        <v>12</v>
      </c>
      <c r="AK169" s="64">
        <v>12</v>
      </c>
      <c r="AL169" s="64">
        <v>12</v>
      </c>
      <c r="AM169" s="64">
        <v>12</v>
      </c>
      <c r="AN169" s="64">
        <v>12</v>
      </c>
      <c r="AO169" s="2091">
        <v>12</v>
      </c>
      <c r="AP169" s="2091">
        <v>12</v>
      </c>
      <c r="AQ169" s="2002"/>
      <c r="AR169" s="2002"/>
      <c r="AS169" s="2002"/>
      <c r="AT169" s="1933"/>
      <c r="AU169" s="3227" t="s">
        <v>170</v>
      </c>
      <c r="AV169" s="2102">
        <v>595</v>
      </c>
      <c r="AW169" s="2102">
        <v>595</v>
      </c>
      <c r="AX169" s="2102">
        <v>595</v>
      </c>
      <c r="AY169" s="2102">
        <v>595</v>
      </c>
      <c r="AZ169" s="2102">
        <v>595</v>
      </c>
      <c r="BA169" s="2103">
        <v>595</v>
      </c>
      <c r="BB169" s="2103">
        <v>595</v>
      </c>
      <c r="BC169" s="2002"/>
      <c r="BD169" s="2002"/>
      <c r="BE169" s="2002"/>
      <c r="BF169" s="1933"/>
      <c r="BG169" s="1933"/>
      <c r="BH169" s="1933"/>
      <c r="BI169" s="1933"/>
      <c r="BJ169" s="1933"/>
      <c r="BK169" s="1933"/>
      <c r="BL169" s="1933"/>
      <c r="BM169" s="1933"/>
      <c r="BN169" s="1931"/>
      <c r="BO169" s="1931"/>
      <c r="BP169" s="1931"/>
      <c r="BQ169" s="1931"/>
      <c r="BR169" s="1931"/>
      <c r="BS169" s="1931"/>
      <c r="BT169" s="1931"/>
      <c r="BU169" s="1931"/>
      <c r="BV169" s="1931"/>
      <c r="BW169" s="1931"/>
      <c r="BX169" s="1931"/>
      <c r="BY169" s="1931"/>
      <c r="BZ169" s="1931"/>
      <c r="CA169" s="1931"/>
      <c r="CB169" s="1931"/>
      <c r="CC169" s="1931"/>
      <c r="CD169" s="1931"/>
      <c r="CE169" s="1930"/>
      <c r="CF169" s="1930"/>
      <c r="CG169" s="1930"/>
      <c r="CH169" s="1930"/>
      <c r="CI169" s="1931"/>
      <c r="CJ169" s="1931"/>
      <c r="CK169" s="1931"/>
      <c r="CL169" s="1931"/>
      <c r="CM169" s="1931"/>
      <c r="CN169" s="1931"/>
      <c r="CO169" s="1931"/>
      <c r="CP169" s="1931"/>
      <c r="CQ169" s="1931"/>
      <c r="CR169" s="1931"/>
      <c r="CS169" s="1931"/>
      <c r="CT169" s="1930"/>
      <c r="CU169" s="1930"/>
      <c r="CV169" s="1930"/>
      <c r="CW169" s="1930"/>
      <c r="CX169" s="1931"/>
      <c r="CY169" s="1931"/>
      <c r="CZ169" s="1931"/>
      <c r="DA169" s="1931"/>
      <c r="DB169" s="53">
        <f t="shared" si="155"/>
        <v>4.0753004586286439</v>
      </c>
      <c r="DC169" s="1948" t="str">
        <f t="shared" si="152"/>
        <v>Refrigeration BUS 12 Year EUL</v>
      </c>
      <c r="DD169" s="71">
        <f>(INDEX('Avoided Cost Benefits'!$C$4:$C$857,MATCH(DC169,'Avoided Cost Benefits'!$A$4:$A$857,0)))*F169</f>
        <v>2288.6302717168878</v>
      </c>
      <c r="DE169" s="1950">
        <f t="shared" si="153"/>
        <v>561.58565361019339</v>
      </c>
    </row>
    <row r="170" spans="3:109" hidden="1" outlineLevel="1" x14ac:dyDescent="0.25">
      <c r="D170" s="1966"/>
      <c r="E170" s="1966"/>
      <c r="F170" s="1966"/>
      <c r="G170" s="1966"/>
      <c r="H170" s="1299"/>
      <c r="I170" s="1966"/>
      <c r="J170" s="1966"/>
      <c r="K170" s="1966"/>
      <c r="L170" s="1965"/>
      <c r="M170" s="1965"/>
      <c r="N170" s="1965"/>
      <c r="O170" s="1965"/>
      <c r="P170" s="1965"/>
      <c r="Q170" s="1965"/>
      <c r="R170" s="1965"/>
      <c r="S170" s="1965"/>
      <c r="T170" s="1965"/>
      <c r="U170" s="1965"/>
      <c r="V170" s="1931"/>
      <c r="W170" s="1931"/>
      <c r="X170" s="1931"/>
      <c r="Y170" s="1933"/>
      <c r="Z170" s="1933"/>
      <c r="AA170" s="1933"/>
      <c r="AB170" s="1933"/>
      <c r="AC170" s="1933"/>
      <c r="AD170" s="1933"/>
      <c r="AE170" s="1933"/>
      <c r="AF170" s="1933"/>
      <c r="AG170" s="1933"/>
      <c r="AH170" s="1933"/>
      <c r="AI170" s="1933"/>
      <c r="AJ170" s="1933"/>
      <c r="AK170" s="1933"/>
      <c r="AL170" s="1933"/>
      <c r="AM170" s="1933"/>
      <c r="AN170" s="1933"/>
      <c r="AO170" s="1933"/>
      <c r="AP170" s="1933"/>
      <c r="AQ170" s="1933"/>
      <c r="AR170" s="1933"/>
      <c r="AS170" s="1933"/>
      <c r="AT170" s="1933"/>
      <c r="AU170" s="1933"/>
      <c r="AV170" s="1933"/>
      <c r="AW170" s="1933"/>
      <c r="AX170" s="1933"/>
      <c r="AY170" s="1933"/>
      <c r="AZ170" s="1933"/>
      <c r="BA170" s="1933"/>
      <c r="BB170" s="1933"/>
      <c r="BC170" s="1933"/>
      <c r="BD170" s="1933"/>
      <c r="BE170" s="1933"/>
      <c r="BF170" s="1933"/>
      <c r="BG170" s="1933"/>
      <c r="BH170" s="1933"/>
      <c r="BI170" s="1933"/>
      <c r="BJ170" s="1933"/>
      <c r="BK170" s="1933"/>
      <c r="BL170" s="1933"/>
      <c r="BM170" s="1933"/>
      <c r="BN170" s="1931"/>
      <c r="BO170" s="1931"/>
      <c r="BP170" s="1931"/>
      <c r="BQ170" s="1931"/>
      <c r="BR170" s="1931"/>
      <c r="BS170" s="1931"/>
      <c r="BT170" s="1931"/>
      <c r="BU170" s="1931"/>
      <c r="BV170" s="1931"/>
      <c r="BW170" s="1931"/>
      <c r="BX170" s="1931"/>
      <c r="BY170" s="1931"/>
      <c r="BZ170" s="1931"/>
      <c r="CA170" s="1931"/>
      <c r="CB170" s="1931"/>
      <c r="CC170" s="1931"/>
      <c r="CD170" s="1931"/>
      <c r="CE170" s="1930"/>
      <c r="CF170" s="1930"/>
      <c r="CG170" s="1930"/>
      <c r="CH170" s="1930"/>
      <c r="CI170" s="1931"/>
      <c r="CJ170" s="1931"/>
      <c r="CK170" s="1931"/>
      <c r="CL170" s="1931"/>
      <c r="CM170" s="1931"/>
      <c r="CN170" s="1931"/>
      <c r="CO170" s="1931"/>
      <c r="CP170" s="1931"/>
      <c r="CQ170" s="1931"/>
      <c r="CR170" s="1931"/>
      <c r="CS170" s="1931"/>
      <c r="CT170" s="1930"/>
      <c r="CU170" s="1930"/>
      <c r="CV170" s="1930"/>
      <c r="CW170" s="1930"/>
      <c r="CX170" s="1931"/>
      <c r="CY170" s="1931"/>
      <c r="CZ170" s="1931"/>
      <c r="DA170" s="1931"/>
      <c r="DB170" s="1932"/>
      <c r="DC170" s="1931"/>
      <c r="DD170" s="1931"/>
      <c r="DE170" s="1931"/>
    </row>
    <row r="171" spans="3:109" hidden="1" outlineLevel="1" x14ac:dyDescent="0.25">
      <c r="D171" s="1966" t="s">
        <v>2689</v>
      </c>
      <c r="E171" s="1966"/>
      <c r="F171" s="1966"/>
      <c r="G171" s="1966"/>
      <c r="H171" s="1299"/>
      <c r="I171" s="1966"/>
      <c r="J171" s="1966"/>
      <c r="K171" s="1966"/>
      <c r="L171" s="1965"/>
      <c r="M171" s="1965"/>
      <c r="N171" s="1965"/>
      <c r="O171" s="1965"/>
      <c r="P171" s="1965"/>
      <c r="Q171" s="1965"/>
      <c r="R171" s="1965"/>
      <c r="S171" s="1965"/>
      <c r="T171" s="1965"/>
      <c r="U171" s="1965"/>
      <c r="V171" s="1931"/>
      <c r="W171" s="1931"/>
      <c r="X171" s="1931"/>
      <c r="Y171" s="1931"/>
      <c r="Z171" s="1931"/>
      <c r="AA171" s="1931"/>
      <c r="AB171" s="1931"/>
      <c r="AC171" s="1931"/>
      <c r="AD171" s="1931"/>
      <c r="AE171" s="1931"/>
      <c r="AF171" s="1931"/>
      <c r="AG171" s="1931"/>
      <c r="AH171" s="1931"/>
      <c r="AI171" s="1931"/>
      <c r="AJ171" s="1931"/>
      <c r="AK171" s="1931"/>
      <c r="AL171" s="1931"/>
      <c r="AM171" s="1931"/>
      <c r="AN171" s="1931"/>
      <c r="AO171" s="1931"/>
      <c r="AP171" s="1931"/>
      <c r="AQ171" s="1931"/>
      <c r="AR171" s="1931"/>
      <c r="AS171" s="1931"/>
      <c r="AT171" s="1931"/>
      <c r="AU171" s="1931"/>
      <c r="AV171" s="1931"/>
      <c r="AW171" s="1931"/>
      <c r="AX171" s="1931"/>
      <c r="AY171" s="1931"/>
      <c r="AZ171" s="1931"/>
      <c r="BA171" s="1931"/>
      <c r="BB171" s="1931"/>
      <c r="BC171" s="1931"/>
      <c r="BD171" s="1931"/>
      <c r="BE171" s="1931"/>
      <c r="BF171" s="1931"/>
      <c r="BG171" s="1931"/>
      <c r="BH171" s="1931"/>
      <c r="BI171" s="1931"/>
      <c r="BJ171" s="1931"/>
      <c r="BK171" s="1931"/>
      <c r="BL171" s="1931"/>
      <c r="BM171" s="1931"/>
      <c r="BN171" s="1931"/>
      <c r="BO171" s="1931"/>
      <c r="BP171" s="1931"/>
      <c r="BQ171" s="1931"/>
      <c r="BR171" s="1931"/>
      <c r="BS171" s="1931"/>
      <c r="BT171" s="1931"/>
      <c r="BU171" s="1931"/>
      <c r="BV171" s="1931"/>
      <c r="BW171" s="1931"/>
      <c r="BX171" s="1931"/>
      <c r="BY171" s="1931"/>
      <c r="BZ171" s="1931"/>
      <c r="CA171" s="1931"/>
      <c r="CB171" s="1931"/>
      <c r="CC171" s="1931"/>
      <c r="CD171" s="1931"/>
      <c r="CE171" s="1930"/>
      <c r="CF171" s="1930"/>
      <c r="CG171" s="1930"/>
      <c r="CH171" s="1930"/>
      <c r="CI171" s="1931"/>
      <c r="CJ171" s="1931"/>
      <c r="CK171" s="1931"/>
      <c r="CL171" s="1931"/>
      <c r="CM171" s="1931"/>
      <c r="CN171" s="1931"/>
      <c r="CO171" s="1931"/>
      <c r="CP171" s="1931"/>
      <c r="CQ171" s="1931"/>
      <c r="CR171" s="1931"/>
      <c r="CS171" s="1931"/>
      <c r="CT171" s="1930"/>
      <c r="CU171" s="1930"/>
      <c r="CV171" s="1930"/>
      <c r="CW171" s="1930"/>
      <c r="CX171" s="1931"/>
      <c r="CY171" s="1931"/>
      <c r="CZ171" s="1931"/>
      <c r="DA171" s="1931"/>
      <c r="DB171" s="1932"/>
      <c r="DC171" s="1931"/>
      <c r="DD171" s="1931"/>
      <c r="DE171" s="1931"/>
    </row>
    <row r="172" spans="3:109" hidden="1" outlineLevel="1" x14ac:dyDescent="0.25">
      <c r="D172" s="1300"/>
      <c r="E172" s="1965"/>
      <c r="F172" s="1965"/>
      <c r="G172" s="1321"/>
      <c r="H172" s="1322"/>
      <c r="I172" s="1965"/>
      <c r="J172" s="1965"/>
      <c r="K172" s="1965"/>
      <c r="L172" s="1965"/>
      <c r="M172" s="1965"/>
      <c r="N172" s="1965"/>
      <c r="O172" s="1965"/>
      <c r="P172" s="1965"/>
      <c r="Q172" s="1965"/>
      <c r="R172" s="1965"/>
      <c r="S172" s="1965"/>
      <c r="T172" s="1965"/>
      <c r="U172" s="1965"/>
      <c r="V172" s="1931"/>
      <c r="W172" s="1931"/>
      <c r="X172" s="1931"/>
      <c r="Y172" s="1931"/>
      <c r="Z172" s="1931"/>
      <c r="AA172" s="1931"/>
      <c r="AB172" s="1931"/>
      <c r="AC172" s="1931"/>
      <c r="AD172" s="1931"/>
      <c r="AE172" s="1931"/>
      <c r="AF172" s="1931"/>
      <c r="AG172" s="1931"/>
      <c r="AH172" s="1931"/>
      <c r="AI172" s="1931"/>
      <c r="AJ172" s="1931"/>
      <c r="AK172" s="1931"/>
      <c r="AL172" s="1931"/>
      <c r="AM172" s="1931"/>
      <c r="AN172" s="1931"/>
      <c r="AO172" s="1931"/>
      <c r="AP172" s="1931"/>
      <c r="AQ172" s="1931"/>
      <c r="AR172" s="1931"/>
      <c r="AS172" s="1931"/>
      <c r="AT172" s="1931"/>
      <c r="AU172" s="1931"/>
      <c r="AV172" s="1931"/>
      <c r="AW172" s="1931"/>
      <c r="AX172" s="1931"/>
      <c r="AY172" s="1931"/>
      <c r="AZ172" s="1931"/>
      <c r="BA172" s="1931"/>
      <c r="BB172" s="1931"/>
      <c r="BC172" s="1931"/>
      <c r="BD172" s="1931"/>
      <c r="BE172" s="1931"/>
      <c r="BF172" s="1931"/>
      <c r="BG172" s="1931"/>
      <c r="BH172" s="1931"/>
      <c r="BI172" s="1931"/>
      <c r="BJ172" s="1931"/>
      <c r="BK172" s="1931"/>
      <c r="BL172" s="1931"/>
      <c r="BM172" s="1931"/>
      <c r="BN172" s="1931"/>
      <c r="BO172" s="1931"/>
      <c r="BP172" s="1931"/>
      <c r="BQ172" s="1931"/>
      <c r="BR172" s="1931"/>
      <c r="BS172" s="1931"/>
      <c r="BT172" s="1931"/>
      <c r="BU172" s="1931"/>
      <c r="BV172" s="1931"/>
      <c r="BW172" s="1931"/>
      <c r="BX172" s="1931"/>
      <c r="BY172" s="1931"/>
      <c r="BZ172" s="1931"/>
      <c r="CA172" s="1931"/>
      <c r="CB172" s="1931"/>
      <c r="CC172" s="1931"/>
      <c r="CD172" s="1931"/>
      <c r="CE172" s="1930"/>
      <c r="CF172" s="1930"/>
      <c r="CG172" s="1930"/>
      <c r="CH172" s="1930"/>
      <c r="CI172" s="1931"/>
      <c r="CJ172" s="1931"/>
      <c r="CK172" s="1931"/>
      <c r="CL172" s="1931"/>
      <c r="CM172" s="1931"/>
      <c r="CN172" s="1931"/>
      <c r="CO172" s="1931"/>
      <c r="CP172" s="1931"/>
      <c r="CQ172" s="1931"/>
      <c r="CR172" s="1931"/>
      <c r="CS172" s="1931"/>
      <c r="CT172" s="1930"/>
      <c r="CU172" s="1930"/>
      <c r="CV172" s="1930"/>
      <c r="CW172" s="1930"/>
      <c r="CX172" s="1931"/>
      <c r="CY172" s="1931"/>
      <c r="CZ172" s="1931"/>
      <c r="DA172" s="1931"/>
      <c r="DB172" s="1932"/>
      <c r="DC172" s="1931"/>
      <c r="DD172" s="1931"/>
      <c r="DE172" s="1931"/>
    </row>
    <row r="173" spans="3:109" hidden="1" outlineLevel="1" x14ac:dyDescent="0.25">
      <c r="D173" s="1300"/>
      <c r="E173" s="1965"/>
      <c r="F173" s="1965"/>
      <c r="G173" s="1321"/>
      <c r="H173" s="1322"/>
      <c r="I173" s="1965"/>
      <c r="J173" s="1965"/>
      <c r="K173" s="1965"/>
      <c r="L173" s="1965"/>
      <c r="M173" s="1965"/>
      <c r="N173" s="1965"/>
      <c r="O173" s="1965"/>
      <c r="P173" s="1965"/>
      <c r="Q173" s="1965"/>
      <c r="R173" s="1965"/>
      <c r="S173" s="1965"/>
      <c r="T173" s="1965"/>
      <c r="U173" s="1965"/>
      <c r="V173" s="1931"/>
      <c r="W173" s="1931"/>
      <c r="X173" s="1931"/>
      <c r="Y173" s="1931"/>
      <c r="Z173" s="1931"/>
      <c r="AA173" s="1931"/>
      <c r="AB173" s="1931"/>
      <c r="AC173" s="1931"/>
      <c r="AD173" s="1931"/>
      <c r="AE173" s="1931"/>
      <c r="AF173" s="1931"/>
      <c r="AG173" s="1931"/>
      <c r="AH173" s="1931"/>
      <c r="AI173" s="1931"/>
      <c r="AJ173" s="1931"/>
      <c r="AK173" s="1931"/>
      <c r="AL173" s="1931"/>
      <c r="AM173" s="1931"/>
      <c r="AN173" s="1931"/>
      <c r="AO173" s="1931"/>
      <c r="AP173" s="1931"/>
      <c r="AQ173" s="1931"/>
      <c r="AR173" s="1931"/>
      <c r="AS173" s="1931"/>
      <c r="AT173" s="1931"/>
      <c r="AU173" s="1931"/>
      <c r="AV173" s="1931"/>
      <c r="AW173" s="1931"/>
      <c r="AX173" s="1931"/>
      <c r="AY173" s="1931"/>
      <c r="AZ173" s="1931"/>
      <c r="BA173" s="1931"/>
      <c r="BB173" s="1931"/>
      <c r="BC173" s="1931"/>
      <c r="BD173" s="1931"/>
      <c r="BE173" s="1931"/>
      <c r="BF173" s="1931"/>
      <c r="BG173" s="1931"/>
      <c r="BH173" s="1931"/>
      <c r="BI173" s="1931"/>
      <c r="BJ173" s="1931"/>
      <c r="BK173" s="1931"/>
      <c r="BL173" s="1931"/>
      <c r="BM173" s="1931"/>
      <c r="BN173" s="1931"/>
      <c r="BO173" s="1931"/>
      <c r="BP173" s="1931"/>
      <c r="BQ173" s="1931"/>
      <c r="BR173" s="1931"/>
      <c r="BS173" s="1931"/>
      <c r="BT173" s="1931"/>
      <c r="BU173" s="1931"/>
      <c r="BV173" s="1931"/>
      <c r="BW173" s="1931"/>
      <c r="BX173" s="1931"/>
      <c r="BY173" s="1931"/>
      <c r="BZ173" s="1931"/>
      <c r="CA173" s="1931"/>
      <c r="CB173" s="1931"/>
      <c r="CC173" s="1931"/>
      <c r="CD173" s="1931"/>
      <c r="CE173" s="1930"/>
      <c r="CF173" s="1930"/>
      <c r="CG173" s="1930"/>
      <c r="CH173" s="1930"/>
      <c r="CI173" s="1931"/>
      <c r="CJ173" s="1931"/>
      <c r="CK173" s="1931"/>
      <c r="CL173" s="1931"/>
      <c r="CM173" s="1931"/>
      <c r="CN173" s="1931"/>
      <c r="CO173" s="1931"/>
      <c r="CP173" s="1931"/>
      <c r="CQ173" s="1931"/>
      <c r="CR173" s="1931"/>
      <c r="CS173" s="1931"/>
      <c r="CT173" s="1930"/>
      <c r="CU173" s="1930"/>
      <c r="CV173" s="1930"/>
      <c r="CW173" s="1930"/>
      <c r="CX173" s="1931"/>
      <c r="CY173" s="1931"/>
      <c r="CZ173" s="1931"/>
      <c r="DA173" s="1931"/>
      <c r="DB173" s="1932"/>
      <c r="DC173" s="1931"/>
      <c r="DD173" s="1931"/>
      <c r="DE173" s="1931"/>
    </row>
    <row r="174" spans="3:109" hidden="1" outlineLevel="1" x14ac:dyDescent="0.25">
      <c r="D174" s="1300"/>
      <c r="E174" s="1965"/>
      <c r="F174" s="1965"/>
      <c r="G174" s="1965"/>
      <c r="H174" s="1301"/>
      <c r="I174" s="1965"/>
      <c r="J174" s="1965"/>
      <c r="K174" s="1965"/>
      <c r="L174" s="1965"/>
      <c r="M174" s="1966"/>
      <c r="N174" s="1965"/>
      <c r="O174" s="1965"/>
      <c r="P174" s="1965"/>
      <c r="Q174" s="1965"/>
      <c r="R174" s="1965"/>
      <c r="S174" s="1965"/>
      <c r="T174" s="1965"/>
      <c r="U174" s="1965"/>
      <c r="V174" s="1931"/>
      <c r="W174" s="1931"/>
      <c r="X174" s="1931"/>
      <c r="Y174" s="1931"/>
      <c r="Z174" s="1931"/>
      <c r="AA174" s="1931"/>
      <c r="AB174" s="1931"/>
      <c r="AC174" s="1931"/>
      <c r="AD174" s="1931"/>
      <c r="AE174" s="1931"/>
      <c r="AF174" s="1931"/>
      <c r="AG174" s="1931"/>
      <c r="AH174" s="1931"/>
      <c r="AI174" s="1931"/>
      <c r="AJ174" s="1931"/>
      <c r="AK174" s="1931"/>
      <c r="AL174" s="1931"/>
      <c r="AM174" s="1931"/>
      <c r="AN174" s="1931"/>
      <c r="AO174" s="1931"/>
      <c r="AP174" s="1931"/>
      <c r="AQ174" s="1931"/>
      <c r="AR174" s="1931"/>
      <c r="AS174" s="1931"/>
      <c r="AT174" s="1931"/>
      <c r="AU174" s="1931"/>
      <c r="AV174" s="1931"/>
      <c r="AW174" s="1931"/>
      <c r="AX174" s="1931"/>
      <c r="AY174" s="1931"/>
      <c r="AZ174" s="1931"/>
      <c r="BA174" s="1931"/>
      <c r="BB174" s="1931"/>
      <c r="BC174" s="1931"/>
      <c r="BD174" s="1931"/>
      <c r="BE174" s="1931"/>
      <c r="BF174" s="1931"/>
      <c r="BG174" s="1931"/>
      <c r="BH174" s="1931"/>
      <c r="BI174" s="1931"/>
      <c r="BJ174" s="1931"/>
      <c r="BK174" s="1931"/>
      <c r="BL174" s="1931"/>
      <c r="BM174" s="1931"/>
      <c r="BN174" s="1931"/>
      <c r="BO174" s="1931"/>
      <c r="BP174" s="1931"/>
      <c r="BQ174" s="1931"/>
      <c r="BR174" s="1931"/>
      <c r="BS174" s="1931"/>
      <c r="BT174" s="1931"/>
      <c r="BU174" s="1931"/>
      <c r="BV174" s="1931"/>
      <c r="BW174" s="1931"/>
      <c r="BX174" s="1931"/>
      <c r="BY174" s="1931"/>
      <c r="BZ174" s="1931"/>
      <c r="CA174" s="1931"/>
      <c r="CB174" s="1931"/>
      <c r="CC174" s="1931"/>
      <c r="CD174" s="1931"/>
      <c r="CE174" s="1930"/>
      <c r="CF174" s="1930"/>
      <c r="CG174" s="1930"/>
      <c r="CH174" s="1930"/>
      <c r="CI174" s="1931"/>
      <c r="CJ174" s="1931"/>
      <c r="CK174" s="1931"/>
      <c r="CL174" s="1931"/>
      <c r="CM174" s="1931"/>
      <c r="CN174" s="1931"/>
      <c r="CO174" s="1931"/>
      <c r="CP174" s="1931"/>
      <c r="CQ174" s="1931"/>
      <c r="CR174" s="1931"/>
      <c r="CS174" s="1931"/>
      <c r="CT174" s="1930"/>
      <c r="CU174" s="1930"/>
      <c r="CV174" s="1930"/>
      <c r="CW174" s="1930"/>
      <c r="CX174" s="1931"/>
      <c r="CY174" s="1931"/>
      <c r="CZ174" s="1931"/>
      <c r="DA174" s="1931"/>
      <c r="DB174" s="1932"/>
      <c r="DC174" s="1931"/>
      <c r="DD174" s="1931"/>
      <c r="DE174" s="1931"/>
    </row>
    <row r="175" spans="3:109" hidden="1" outlineLevel="1" x14ac:dyDescent="0.25">
      <c r="D175" s="1300"/>
      <c r="E175" s="1965"/>
      <c r="F175" s="1965"/>
      <c r="G175" s="1965"/>
      <c r="H175" s="1301"/>
      <c r="I175" s="1965"/>
      <c r="J175" s="1965"/>
      <c r="K175" s="1965"/>
      <c r="L175" s="1965"/>
      <c r="M175" s="1966"/>
      <c r="N175" s="1965"/>
      <c r="O175" s="1965"/>
      <c r="P175" s="1965"/>
      <c r="Q175" s="1965"/>
      <c r="R175" s="1965"/>
      <c r="S175" s="1965"/>
      <c r="T175" s="1965"/>
      <c r="U175" s="1965"/>
      <c r="V175" s="1931"/>
      <c r="W175" s="1931"/>
      <c r="X175" s="1931"/>
      <c r="Y175" s="1931"/>
      <c r="Z175" s="1931"/>
      <c r="AA175" s="1931"/>
      <c r="AB175" s="1931"/>
      <c r="AC175" s="1931"/>
      <c r="AD175" s="1931"/>
      <c r="AE175" s="1931"/>
      <c r="AF175" s="1931"/>
      <c r="AG175" s="1931"/>
      <c r="AH175" s="1931"/>
      <c r="AI175" s="1931"/>
      <c r="AJ175" s="1931"/>
      <c r="AK175" s="1931"/>
      <c r="AL175" s="1931"/>
      <c r="AM175" s="1931"/>
      <c r="AN175" s="1931"/>
      <c r="AO175" s="1931"/>
      <c r="AP175" s="1931"/>
      <c r="AQ175" s="1931"/>
      <c r="AR175" s="1931"/>
      <c r="AS175" s="1931"/>
      <c r="AT175" s="1931"/>
      <c r="AU175" s="1931"/>
      <c r="AV175" s="1931"/>
      <c r="AW175" s="1931"/>
      <c r="AX175" s="1931"/>
      <c r="AY175" s="1931"/>
      <c r="AZ175" s="1931"/>
      <c r="BA175" s="1931"/>
      <c r="BB175" s="1931"/>
      <c r="BC175" s="1931"/>
      <c r="BD175" s="1931"/>
      <c r="BE175" s="1931"/>
      <c r="BF175" s="1931"/>
      <c r="BG175" s="1931"/>
      <c r="BH175" s="1931"/>
      <c r="BI175" s="1931"/>
      <c r="BJ175" s="1931"/>
      <c r="BK175" s="1931"/>
      <c r="BL175" s="1931"/>
      <c r="BM175" s="1931"/>
      <c r="BN175" s="1931"/>
      <c r="BO175" s="1931"/>
      <c r="BP175" s="1931"/>
      <c r="BQ175" s="1931"/>
      <c r="BR175" s="1931"/>
      <c r="BS175" s="1931"/>
      <c r="BT175" s="1931"/>
      <c r="BU175" s="1931"/>
      <c r="BV175" s="1931"/>
      <c r="BW175" s="1931"/>
      <c r="BX175" s="1931"/>
      <c r="BY175" s="1931"/>
      <c r="BZ175" s="1931"/>
      <c r="CA175" s="1931"/>
      <c r="CB175" s="1931"/>
      <c r="CC175" s="1931"/>
      <c r="CD175" s="1931"/>
      <c r="CE175" s="1930"/>
      <c r="CF175" s="1930"/>
      <c r="CG175" s="1930"/>
      <c r="CH175" s="1930"/>
      <c r="CI175" s="1931"/>
      <c r="CJ175" s="1931"/>
      <c r="CK175" s="1931"/>
      <c r="CL175" s="1931"/>
      <c r="CM175" s="1931"/>
      <c r="CN175" s="1931"/>
      <c r="CO175" s="1931"/>
      <c r="CP175" s="1931"/>
      <c r="CQ175" s="1931"/>
      <c r="CR175" s="1931"/>
      <c r="CS175" s="1931"/>
      <c r="CT175" s="1930"/>
      <c r="CU175" s="1930"/>
      <c r="CV175" s="1930"/>
      <c r="CW175" s="1930"/>
      <c r="CX175" s="1931"/>
      <c r="CY175" s="1931"/>
      <c r="CZ175" s="1931"/>
      <c r="DA175" s="1931"/>
      <c r="DB175" s="1932"/>
      <c r="DC175" s="1931"/>
      <c r="DD175" s="1931"/>
      <c r="DE175" s="1931"/>
    </row>
    <row r="176" spans="3:109" hidden="1" outlineLevel="1" x14ac:dyDescent="0.25">
      <c r="D176" s="1300"/>
      <c r="E176" s="1965"/>
      <c r="F176" s="1965"/>
      <c r="G176" s="1965"/>
      <c r="H176" s="1301"/>
      <c r="I176" s="1965"/>
      <c r="J176" s="1965"/>
      <c r="K176" s="1965"/>
      <c r="L176" s="1965"/>
      <c r="M176" s="1966"/>
      <c r="N176" s="1965"/>
      <c r="O176" s="1965"/>
      <c r="P176" s="1965"/>
      <c r="Q176" s="1965"/>
      <c r="R176" s="1965"/>
      <c r="S176" s="1965"/>
      <c r="T176" s="1965"/>
      <c r="U176" s="1965"/>
      <c r="V176" s="1931"/>
      <c r="W176" s="1931"/>
      <c r="X176" s="1931"/>
      <c r="Y176" s="1931"/>
      <c r="Z176" s="1931"/>
      <c r="AA176" s="1931"/>
      <c r="AB176" s="1931"/>
      <c r="AC176" s="1931"/>
      <c r="AD176" s="1931"/>
      <c r="AE176" s="1931"/>
      <c r="AF176" s="1931"/>
      <c r="AG176" s="1931"/>
      <c r="AH176" s="1931"/>
      <c r="AI176" s="1931"/>
      <c r="AJ176" s="1931"/>
      <c r="AK176" s="1931"/>
      <c r="AL176" s="1931"/>
      <c r="AM176" s="1931"/>
      <c r="AN176" s="1931"/>
      <c r="AO176" s="1931"/>
      <c r="AP176" s="1931"/>
      <c r="AQ176" s="1931"/>
      <c r="AR176" s="1931"/>
      <c r="AS176" s="1931"/>
      <c r="AT176" s="1931"/>
      <c r="AU176" s="1931"/>
      <c r="AV176" s="1931"/>
      <c r="AW176" s="1931"/>
      <c r="AX176" s="1931"/>
      <c r="AY176" s="1931"/>
      <c r="AZ176" s="1931"/>
      <c r="BA176" s="1931"/>
      <c r="BB176" s="1931"/>
      <c r="BC176" s="1931"/>
      <c r="BD176" s="1931"/>
      <c r="BE176" s="1931"/>
      <c r="BF176" s="1931"/>
      <c r="BG176" s="1931"/>
      <c r="BH176" s="1931"/>
      <c r="BI176" s="1931"/>
      <c r="BJ176" s="1931"/>
      <c r="BK176" s="1931"/>
      <c r="BL176" s="1931"/>
      <c r="BM176" s="1931"/>
      <c r="BN176" s="1931"/>
      <c r="BO176" s="1931"/>
      <c r="BP176" s="1931"/>
      <c r="BQ176" s="1931"/>
      <c r="BR176" s="1931"/>
      <c r="BS176" s="1931"/>
      <c r="BT176" s="1931"/>
      <c r="BU176" s="1931"/>
      <c r="BV176" s="1931"/>
      <c r="BW176" s="1931"/>
      <c r="BX176" s="1931"/>
      <c r="BY176" s="1931"/>
      <c r="BZ176" s="1931"/>
      <c r="CA176" s="1931"/>
      <c r="CB176" s="1931"/>
      <c r="CC176" s="1931"/>
      <c r="CD176" s="1931"/>
      <c r="CE176" s="1930"/>
      <c r="CF176" s="1930"/>
      <c r="CG176" s="1930"/>
      <c r="CH176" s="1930"/>
      <c r="CI176" s="1931"/>
      <c r="CJ176" s="1931"/>
      <c r="CK176" s="1931"/>
      <c r="CL176" s="1931"/>
      <c r="CM176" s="1931"/>
      <c r="CN176" s="1931"/>
      <c r="CO176" s="1931"/>
      <c r="CP176" s="1931"/>
      <c r="CQ176" s="1931"/>
      <c r="CR176" s="1931"/>
      <c r="CS176" s="1931"/>
      <c r="CT176" s="1930"/>
      <c r="CU176" s="1930"/>
      <c r="CV176" s="1930"/>
      <c r="CW176" s="1930"/>
      <c r="CX176" s="1931"/>
      <c r="CY176" s="1931"/>
      <c r="CZ176" s="1931"/>
      <c r="DA176" s="1931"/>
      <c r="DB176" s="1932"/>
      <c r="DC176" s="1931"/>
      <c r="DD176" s="1931"/>
      <c r="DE176" s="1931"/>
    </row>
    <row r="177" spans="2:110" hidden="1" outlineLevel="1" x14ac:dyDescent="0.25">
      <c r="D177" s="1300"/>
      <c r="E177" s="1965"/>
      <c r="F177" s="1965"/>
      <c r="G177" s="1965"/>
      <c r="H177" s="1301"/>
      <c r="I177" s="1965"/>
      <c r="J177" s="1965"/>
      <c r="K177" s="1965"/>
      <c r="L177" s="1965"/>
      <c r="M177" s="1965"/>
      <c r="N177" s="1965"/>
      <c r="O177" s="1965"/>
      <c r="P177" s="1965"/>
      <c r="Q177" s="1965"/>
      <c r="R177" s="1965"/>
      <c r="S177" s="1965"/>
      <c r="T177" s="1965"/>
      <c r="U177" s="1965"/>
      <c r="V177" s="1931"/>
      <c r="W177" s="1931"/>
      <c r="X177" s="1931"/>
      <c r="Y177" s="1931"/>
      <c r="Z177" s="1931"/>
      <c r="AA177" s="1931"/>
      <c r="AB177" s="1931"/>
      <c r="AC177" s="1931"/>
      <c r="AD177" s="1931"/>
      <c r="AE177" s="1931"/>
      <c r="AF177" s="1931"/>
      <c r="AG177" s="1931"/>
      <c r="AH177" s="1931"/>
      <c r="AI177" s="1931"/>
      <c r="AJ177" s="1931"/>
      <c r="AK177" s="1931"/>
      <c r="AL177" s="1931"/>
      <c r="AM177" s="1931"/>
      <c r="AN177" s="1931"/>
      <c r="AO177" s="1931"/>
      <c r="AP177" s="1931"/>
      <c r="AQ177" s="1931"/>
      <c r="AR177" s="1931"/>
      <c r="AS177" s="1931"/>
      <c r="AT177" s="1931"/>
      <c r="AU177" s="1931"/>
      <c r="AV177" s="1931"/>
      <c r="AW177" s="1931"/>
      <c r="AX177" s="1931"/>
      <c r="AY177" s="1931"/>
      <c r="AZ177" s="1931"/>
      <c r="BA177" s="1931"/>
      <c r="BB177" s="1931"/>
      <c r="BC177" s="1931"/>
      <c r="BD177" s="1931"/>
      <c r="BE177" s="1931"/>
      <c r="BF177" s="1931"/>
      <c r="BG177" s="1931"/>
      <c r="BH177" s="1931"/>
      <c r="BI177" s="1931"/>
      <c r="BJ177" s="1931"/>
      <c r="BK177" s="1931"/>
      <c r="BL177" s="1931"/>
      <c r="BM177" s="1931"/>
      <c r="BN177" s="1931"/>
      <c r="BO177" s="1931"/>
      <c r="BP177" s="1931"/>
      <c r="BQ177" s="1931"/>
      <c r="BR177" s="1931"/>
      <c r="BS177" s="1931"/>
      <c r="BT177" s="1931"/>
      <c r="BU177" s="1931"/>
      <c r="BV177" s="1931"/>
      <c r="BW177" s="1931"/>
      <c r="BX177" s="1931"/>
      <c r="BY177" s="1931"/>
      <c r="BZ177" s="1931"/>
      <c r="CA177" s="1931"/>
      <c r="CB177" s="1931"/>
      <c r="CC177" s="1931"/>
      <c r="CD177" s="1931"/>
      <c r="CE177" s="1930"/>
      <c r="CF177" s="1930"/>
      <c r="CG177" s="1930"/>
      <c r="CH177" s="1930"/>
      <c r="CI177" s="1931"/>
      <c r="CJ177" s="1931"/>
      <c r="CK177" s="1931"/>
      <c r="CL177" s="1931"/>
      <c r="CM177" s="1931"/>
      <c r="CN177" s="1931"/>
      <c r="CO177" s="1931"/>
      <c r="CP177" s="1931"/>
      <c r="CQ177" s="1931"/>
      <c r="CR177" s="1931"/>
      <c r="CS177" s="1931"/>
      <c r="CT177" s="1930"/>
      <c r="CU177" s="1930"/>
      <c r="CV177" s="1930"/>
      <c r="CW177" s="1930"/>
      <c r="CX177" s="1931"/>
      <c r="CY177" s="1931"/>
      <c r="CZ177" s="1931"/>
      <c r="DA177" s="1931"/>
      <c r="DB177" s="1932"/>
      <c r="DC177" s="1931"/>
      <c r="DD177" s="1931"/>
      <c r="DE177" s="1931"/>
    </row>
    <row r="178" spans="2:110" s="55" customFormat="1" ht="17.25" hidden="1" outlineLevel="1" x14ac:dyDescent="0.25">
      <c r="C178" s="151"/>
      <c r="D178" s="3081" t="s">
        <v>2757</v>
      </c>
      <c r="E178" s="3081" t="s">
        <v>2758</v>
      </c>
      <c r="F178" s="3081" t="s">
        <v>2759</v>
      </c>
      <c r="G178" s="3081" t="s">
        <v>2760</v>
      </c>
      <c r="H178" s="4512" t="s">
        <v>2214</v>
      </c>
      <c r="I178" s="4513"/>
      <c r="J178" s="4512" t="s">
        <v>2761</v>
      </c>
      <c r="K178" s="4513"/>
      <c r="L178" s="401"/>
      <c r="M178" s="401"/>
      <c r="N178" s="401"/>
      <c r="O178" s="151"/>
      <c r="P178" s="401"/>
      <c r="Q178" s="401"/>
      <c r="R178" s="401"/>
      <c r="S178" s="401"/>
      <c r="T178" s="401"/>
      <c r="U178" s="401"/>
      <c r="DB178" s="72"/>
    </row>
    <row r="179" spans="2:110" s="55" customFormat="1" hidden="1" outlineLevel="1" x14ac:dyDescent="0.25">
      <c r="C179" s="151"/>
      <c r="D179" s="76"/>
      <c r="E179" s="76"/>
      <c r="F179" s="76"/>
      <c r="G179" s="76"/>
      <c r="H179" s="4514" t="s">
        <v>2762</v>
      </c>
      <c r="I179" s="4515"/>
      <c r="J179" s="4514" t="s">
        <v>2763</v>
      </c>
      <c r="K179" s="4515"/>
      <c r="L179" s="401"/>
      <c r="M179" s="401"/>
      <c r="N179" s="401"/>
      <c r="O179" s="151"/>
      <c r="P179" s="401"/>
      <c r="Q179" s="401"/>
      <c r="R179" s="401"/>
      <c r="S179" s="401"/>
      <c r="T179" s="401"/>
      <c r="U179" s="401"/>
      <c r="DB179" s="72"/>
    </row>
    <row r="180" spans="2:110" s="55" customFormat="1" hidden="1" outlineLevel="1" x14ac:dyDescent="0.25">
      <c r="C180" s="151"/>
      <c r="D180" s="77"/>
      <c r="E180" s="77"/>
      <c r="F180" s="77"/>
      <c r="G180" s="3196" t="s">
        <v>2764</v>
      </c>
      <c r="H180" s="3196" t="s">
        <v>2365</v>
      </c>
      <c r="I180" s="3196" t="s">
        <v>2765</v>
      </c>
      <c r="J180" s="3196" t="s">
        <v>2766</v>
      </c>
      <c r="K180" s="3196" t="s">
        <v>2767</v>
      </c>
      <c r="L180" s="401"/>
      <c r="M180" s="401"/>
      <c r="N180" s="401"/>
      <c r="O180" s="151"/>
      <c r="P180" s="401"/>
      <c r="Q180" s="401"/>
      <c r="R180" s="401"/>
      <c r="S180" s="401"/>
      <c r="T180" s="401"/>
      <c r="U180" s="401"/>
      <c r="DB180" s="72"/>
    </row>
    <row r="181" spans="2:110" hidden="1" outlineLevel="1" x14ac:dyDescent="0.25">
      <c r="D181" s="1967" t="s">
        <v>2768</v>
      </c>
      <c r="E181" s="1967" t="s">
        <v>2769</v>
      </c>
      <c r="F181" s="1967" t="s">
        <v>2770</v>
      </c>
      <c r="G181" s="1323" t="s">
        <v>2771</v>
      </c>
      <c r="H181" s="1324">
        <v>0.1</v>
      </c>
      <c r="I181" s="1324">
        <v>2.04</v>
      </c>
      <c r="J181" s="1325">
        <v>0.4</v>
      </c>
      <c r="K181" s="1326">
        <v>1.38</v>
      </c>
      <c r="L181" s="1968"/>
      <c r="M181" s="1968"/>
      <c r="N181" s="1965"/>
      <c r="O181" s="1965"/>
      <c r="P181" s="1965"/>
      <c r="Q181" s="1965"/>
      <c r="R181" s="1965"/>
      <c r="S181" s="1965"/>
      <c r="T181" s="1965"/>
      <c r="U181" s="1965"/>
      <c r="V181" s="1931"/>
      <c r="W181" s="1931"/>
      <c r="X181" s="1931"/>
      <c r="Y181" s="1931"/>
      <c r="Z181" s="1931"/>
      <c r="AA181" s="1931"/>
      <c r="AB181" s="1931"/>
      <c r="AC181" s="1931"/>
      <c r="AD181" s="1931"/>
      <c r="AE181" s="1931"/>
      <c r="AF181" s="1931"/>
      <c r="AG181" s="1931"/>
      <c r="AH181" s="1931"/>
      <c r="AI181" s="1931"/>
      <c r="AJ181" s="1931"/>
      <c r="AK181" s="1931"/>
      <c r="AL181" s="1931"/>
      <c r="AM181" s="1931"/>
      <c r="AN181" s="1931"/>
      <c r="AO181" s="1931"/>
      <c r="AP181" s="1931"/>
      <c r="AQ181" s="1931"/>
      <c r="AR181" s="1931"/>
      <c r="AS181" s="1931"/>
      <c r="AT181" s="1931"/>
      <c r="AU181" s="1931"/>
      <c r="AV181" s="1931"/>
      <c r="AW181" s="1931"/>
      <c r="AX181" s="1931"/>
      <c r="AY181" s="1931"/>
      <c r="AZ181" s="1931"/>
      <c r="BA181" s="1931"/>
      <c r="BB181" s="1931"/>
      <c r="BC181" s="1931"/>
      <c r="BD181" s="1931"/>
      <c r="BE181" s="1931"/>
      <c r="BF181" s="1931"/>
      <c r="BG181" s="1931"/>
      <c r="BH181" s="1931"/>
      <c r="BI181" s="1931"/>
      <c r="BJ181" s="1931"/>
      <c r="BK181" s="1931"/>
      <c r="BL181" s="1931"/>
      <c r="BM181" s="1931"/>
      <c r="BN181" s="1931"/>
      <c r="BO181" s="1931"/>
      <c r="BP181" s="1931"/>
      <c r="BQ181" s="1931"/>
      <c r="BR181" s="1931"/>
      <c r="BS181" s="1931"/>
      <c r="BT181" s="1931"/>
      <c r="BU181" s="1931"/>
      <c r="BV181" s="1931"/>
      <c r="BW181" s="1931"/>
      <c r="BX181" s="1931"/>
      <c r="BY181" s="1931"/>
      <c r="BZ181" s="1931"/>
      <c r="CA181" s="1931"/>
      <c r="CB181" s="1931"/>
      <c r="CC181" s="1931"/>
      <c r="CD181" s="1931"/>
      <c r="CE181" s="1930"/>
      <c r="CF181" s="1930"/>
      <c r="CG181" s="1930"/>
      <c r="CH181" s="1930"/>
      <c r="CI181" s="1931"/>
      <c r="CJ181" s="1931"/>
      <c r="CK181" s="1931"/>
      <c r="CL181" s="1931"/>
      <c r="CM181" s="1931"/>
      <c r="CN181" s="1931"/>
      <c r="CO181" s="1931"/>
      <c r="CP181" s="1931"/>
      <c r="CQ181" s="1931"/>
      <c r="CR181" s="1931"/>
      <c r="CS181" s="1931"/>
      <c r="CT181" s="1930"/>
      <c r="CU181" s="1930"/>
      <c r="CV181" s="1930"/>
      <c r="CW181" s="1930"/>
      <c r="CX181" s="1931"/>
      <c r="CY181" s="1931"/>
      <c r="CZ181" s="1931"/>
      <c r="DA181" s="1931"/>
      <c r="DB181" s="1932"/>
      <c r="DC181" s="1931"/>
      <c r="DD181" s="1931"/>
      <c r="DE181" s="1931"/>
    </row>
    <row r="182" spans="2:110" hidden="1" outlineLevel="1" x14ac:dyDescent="0.25">
      <c r="D182" s="1967" t="s">
        <v>2768</v>
      </c>
      <c r="E182" s="1967" t="s">
        <v>2772</v>
      </c>
      <c r="F182" s="1967" t="s">
        <v>2770</v>
      </c>
      <c r="G182" s="1323" t="s">
        <v>2771</v>
      </c>
      <c r="H182" s="1324">
        <v>0.12</v>
      </c>
      <c r="I182" s="1324">
        <v>3.34</v>
      </c>
      <c r="J182" s="1325">
        <v>0.75</v>
      </c>
      <c r="K182" s="1326">
        <v>4.0999999999999996</v>
      </c>
      <c r="L182" s="1968"/>
      <c r="M182" s="1968"/>
      <c r="N182" s="1965"/>
      <c r="O182" s="1965"/>
      <c r="P182" s="1965"/>
      <c r="Q182" s="1965"/>
      <c r="R182" s="1965"/>
      <c r="S182" s="1965"/>
      <c r="T182" s="1965"/>
      <c r="U182" s="1965"/>
      <c r="V182" s="1931"/>
      <c r="W182" s="1931"/>
      <c r="X182" s="1931"/>
      <c r="Y182" s="1931"/>
      <c r="Z182" s="1931"/>
      <c r="AA182" s="1931"/>
      <c r="AB182" s="1931"/>
      <c r="AC182" s="1931"/>
      <c r="AD182" s="1931"/>
      <c r="AE182" s="1931"/>
      <c r="AF182" s="1931"/>
      <c r="AG182" s="1931"/>
      <c r="AH182" s="1931"/>
      <c r="AI182" s="1931"/>
      <c r="AJ182" s="1931"/>
      <c r="AK182" s="1931"/>
      <c r="AL182" s="1931"/>
      <c r="AM182" s="1931"/>
      <c r="AN182" s="1931"/>
      <c r="AO182" s="1931"/>
      <c r="AP182" s="1931"/>
      <c r="AQ182" s="1931"/>
      <c r="AR182" s="1931"/>
      <c r="AS182" s="1931"/>
      <c r="AT182" s="1931"/>
      <c r="AU182" s="1931"/>
      <c r="AV182" s="1931"/>
      <c r="AW182" s="1931"/>
      <c r="AX182" s="1931"/>
      <c r="AY182" s="1931"/>
      <c r="AZ182" s="1931"/>
      <c r="BA182" s="1931"/>
      <c r="BB182" s="1931"/>
      <c r="BC182" s="1931"/>
      <c r="BD182" s="1931"/>
      <c r="BE182" s="1931"/>
      <c r="BF182" s="1931"/>
      <c r="BG182" s="1931"/>
      <c r="BH182" s="1931"/>
      <c r="BI182" s="1931"/>
      <c r="BJ182" s="1931"/>
      <c r="BK182" s="1931"/>
      <c r="BL182" s="1931"/>
      <c r="BM182" s="1931"/>
      <c r="BN182" s="1931"/>
      <c r="BO182" s="1931"/>
      <c r="BP182" s="1931"/>
      <c r="BQ182" s="1931"/>
      <c r="BR182" s="1931"/>
      <c r="BS182" s="1931"/>
      <c r="BT182" s="1931"/>
      <c r="BU182" s="1931"/>
      <c r="BV182" s="1931"/>
      <c r="BW182" s="1931"/>
      <c r="BX182" s="1931"/>
      <c r="BY182" s="1931"/>
      <c r="BZ182" s="1931"/>
      <c r="CA182" s="1931"/>
      <c r="CB182" s="1931"/>
      <c r="CC182" s="1931"/>
      <c r="CD182" s="1931"/>
      <c r="CE182" s="1930"/>
      <c r="CF182" s="1930"/>
      <c r="CG182" s="1930"/>
      <c r="CH182" s="1930"/>
      <c r="CI182" s="1931"/>
      <c r="CJ182" s="1931"/>
      <c r="CK182" s="1931"/>
      <c r="CL182" s="1931"/>
      <c r="CM182" s="1931"/>
      <c r="CN182" s="1931"/>
      <c r="CO182" s="1931"/>
      <c r="CP182" s="1931"/>
      <c r="CQ182" s="1931"/>
      <c r="CR182" s="1931"/>
      <c r="CS182" s="1931"/>
      <c r="CT182" s="1930"/>
      <c r="CU182" s="1930"/>
      <c r="CV182" s="1930"/>
      <c r="CW182" s="1930"/>
      <c r="CX182" s="1931"/>
      <c r="CY182" s="1931"/>
      <c r="CZ182" s="1931"/>
      <c r="DA182" s="1931"/>
      <c r="DB182" s="1932"/>
      <c r="DC182" s="1931"/>
      <c r="DD182" s="1931"/>
      <c r="DE182" s="1931"/>
    </row>
    <row r="183" spans="2:110" hidden="1" outlineLevel="1" x14ac:dyDescent="0.25">
      <c r="D183" s="1967" t="s">
        <v>2773</v>
      </c>
      <c r="E183" s="1967" t="s">
        <v>2774</v>
      </c>
      <c r="F183" s="1967" t="s">
        <v>2775</v>
      </c>
      <c r="G183" s="1323">
        <v>7.5</v>
      </c>
      <c r="H183" s="1324">
        <v>0.02</v>
      </c>
      <c r="I183" s="1325">
        <v>1.6</v>
      </c>
      <c r="J183" s="1325">
        <v>0.25</v>
      </c>
      <c r="K183" s="1328">
        <v>1.55</v>
      </c>
      <c r="L183" s="1968"/>
      <c r="M183" s="1968"/>
      <c r="N183" s="1965"/>
      <c r="O183" s="1965"/>
      <c r="P183" s="1965"/>
      <c r="Q183" s="1965"/>
      <c r="R183" s="1965"/>
      <c r="S183" s="1965"/>
      <c r="T183" s="1965"/>
      <c r="U183" s="1965"/>
      <c r="V183" s="1931"/>
      <c r="W183" s="1931"/>
      <c r="X183" s="1931"/>
      <c r="Y183" s="1931"/>
      <c r="Z183" s="1931"/>
      <c r="AA183" s="1931"/>
      <c r="AB183" s="1931"/>
      <c r="AC183" s="1931"/>
      <c r="AD183" s="1931"/>
      <c r="AE183" s="1931"/>
      <c r="AF183" s="1931"/>
      <c r="AG183" s="1931"/>
      <c r="AH183" s="1931"/>
      <c r="AI183" s="1931"/>
      <c r="AJ183" s="1931"/>
      <c r="AK183" s="1931"/>
      <c r="AL183" s="1931"/>
      <c r="AM183" s="1931"/>
      <c r="AN183" s="1931"/>
      <c r="AO183" s="1931"/>
      <c r="AP183" s="1931"/>
      <c r="AQ183" s="1931"/>
      <c r="AR183" s="1931"/>
      <c r="AS183" s="1931"/>
      <c r="AT183" s="1931"/>
      <c r="AU183" s="1931"/>
      <c r="AV183" s="1931"/>
      <c r="AW183" s="1931"/>
      <c r="AX183" s="1931"/>
      <c r="AY183" s="1931"/>
      <c r="AZ183" s="1931"/>
      <c r="BA183" s="1931"/>
      <c r="BB183" s="1931"/>
      <c r="BC183" s="1931"/>
      <c r="BD183" s="1931"/>
      <c r="BE183" s="1931"/>
      <c r="BF183" s="1931"/>
      <c r="BG183" s="1931"/>
      <c r="BH183" s="1931"/>
      <c r="BI183" s="1931"/>
      <c r="BJ183" s="1931"/>
      <c r="BK183" s="1931"/>
      <c r="BL183" s="1931"/>
      <c r="BM183" s="1931"/>
      <c r="BN183" s="1931"/>
      <c r="BO183" s="1931"/>
      <c r="BP183" s="1931"/>
      <c r="BQ183" s="1931"/>
      <c r="BR183" s="1931"/>
      <c r="BS183" s="1931"/>
      <c r="BT183" s="1931"/>
      <c r="BU183" s="1931"/>
      <c r="BV183" s="1931"/>
      <c r="BW183" s="1931"/>
      <c r="BX183" s="1931"/>
      <c r="BY183" s="1931"/>
      <c r="BZ183" s="1931"/>
      <c r="CA183" s="1931"/>
      <c r="CB183" s="1931"/>
      <c r="CC183" s="1931"/>
      <c r="CD183" s="1931"/>
      <c r="CE183" s="1930"/>
      <c r="CF183" s="1930"/>
      <c r="CG183" s="1930"/>
      <c r="CH183" s="1930"/>
      <c r="CI183" s="1931"/>
      <c r="CJ183" s="1931"/>
      <c r="CK183" s="1931"/>
      <c r="CL183" s="1931"/>
      <c r="CM183" s="1931"/>
      <c r="CN183" s="1931"/>
      <c r="CO183" s="1931"/>
      <c r="CP183" s="1931"/>
      <c r="CQ183" s="1931"/>
      <c r="CR183" s="1931"/>
      <c r="CS183" s="1931"/>
      <c r="CT183" s="1930"/>
      <c r="CU183" s="1930"/>
      <c r="CV183" s="1930"/>
      <c r="CW183" s="1930"/>
      <c r="CX183" s="1931"/>
      <c r="CY183" s="1931"/>
      <c r="CZ183" s="1931"/>
      <c r="DA183" s="1931"/>
      <c r="DB183" s="1932"/>
      <c r="DC183" s="1931"/>
      <c r="DD183" s="1931"/>
      <c r="DE183" s="1931"/>
    </row>
    <row r="184" spans="2:110" hidden="1" outlineLevel="1" x14ac:dyDescent="0.25">
      <c r="B184" s="1931"/>
      <c r="D184" s="1967" t="s">
        <v>2773</v>
      </c>
      <c r="E184" s="1967" t="s">
        <v>2774</v>
      </c>
      <c r="F184" s="1967" t="s">
        <v>2776</v>
      </c>
      <c r="G184" s="1323">
        <v>22.5</v>
      </c>
      <c r="H184" s="1324">
        <v>0.09</v>
      </c>
      <c r="I184" s="1325">
        <v>0.55000000000000004</v>
      </c>
      <c r="J184" s="1325">
        <v>0.2</v>
      </c>
      <c r="K184" s="1328">
        <v>2.2999999999999998</v>
      </c>
      <c r="L184" s="1968"/>
      <c r="M184" s="1968"/>
      <c r="N184" s="1965"/>
      <c r="O184" s="1965"/>
      <c r="P184" s="1965"/>
      <c r="Q184" s="1965"/>
      <c r="R184" s="1965"/>
      <c r="S184" s="1965"/>
      <c r="T184" s="1965"/>
      <c r="U184" s="1965"/>
      <c r="V184" s="1931"/>
      <c r="W184" s="1931"/>
      <c r="X184" s="1931"/>
      <c r="Y184" s="1931"/>
      <c r="Z184" s="1931"/>
      <c r="AA184" s="1931"/>
      <c r="AB184" s="1931"/>
      <c r="AC184" s="1931"/>
      <c r="AD184" s="1931"/>
      <c r="AE184" s="1931"/>
      <c r="AF184" s="1931"/>
      <c r="AG184" s="1931"/>
      <c r="AH184" s="1931"/>
      <c r="AI184" s="1931"/>
      <c r="AJ184" s="1931"/>
      <c r="AK184" s="1931"/>
      <c r="AL184" s="1931"/>
      <c r="AM184" s="1931"/>
      <c r="AN184" s="1931"/>
      <c r="AO184" s="1931"/>
      <c r="AP184" s="1931"/>
      <c r="AQ184" s="1931"/>
      <c r="AR184" s="1931"/>
      <c r="AS184" s="1931"/>
      <c r="AT184" s="1931"/>
      <c r="AU184" s="1931"/>
      <c r="AV184" s="1931"/>
      <c r="AW184" s="1931"/>
      <c r="AX184" s="1931"/>
      <c r="AY184" s="1931"/>
      <c r="AZ184" s="1931"/>
      <c r="BA184" s="1931"/>
      <c r="BB184" s="1931"/>
      <c r="BC184" s="1931"/>
      <c r="BD184" s="1931"/>
      <c r="BE184" s="1931"/>
      <c r="BF184" s="1931"/>
      <c r="BG184" s="1931"/>
      <c r="BH184" s="1931"/>
      <c r="BI184" s="1931"/>
      <c r="BJ184" s="1931"/>
      <c r="BK184" s="1931"/>
      <c r="BL184" s="1931"/>
      <c r="BM184" s="1931"/>
      <c r="BN184" s="1931"/>
      <c r="BO184" s="1931"/>
      <c r="BP184" s="1931"/>
      <c r="BQ184" s="1931"/>
      <c r="BR184" s="1931"/>
      <c r="BS184" s="1931"/>
      <c r="BT184" s="1931"/>
      <c r="BU184" s="1931"/>
      <c r="BV184" s="1931"/>
      <c r="BW184" s="1931"/>
      <c r="BX184" s="1931"/>
      <c r="BY184" s="1931"/>
      <c r="BZ184" s="1931"/>
      <c r="CA184" s="1931"/>
      <c r="CB184" s="1931"/>
      <c r="CC184" s="1931"/>
      <c r="CD184" s="1931"/>
      <c r="CE184" s="1930"/>
      <c r="CF184" s="1930"/>
      <c r="CG184" s="1930"/>
      <c r="CH184" s="1930"/>
      <c r="CI184" s="1931"/>
      <c r="CJ184" s="1931"/>
      <c r="CK184" s="1931"/>
      <c r="CL184" s="1931"/>
      <c r="CM184" s="1931"/>
      <c r="CN184" s="1931"/>
      <c r="CO184" s="1931"/>
      <c r="CP184" s="1931"/>
      <c r="CQ184" s="1931"/>
      <c r="CR184" s="1931"/>
      <c r="CS184" s="1931"/>
      <c r="CT184" s="1930"/>
      <c r="CU184" s="1930"/>
      <c r="CV184" s="1930"/>
      <c r="CW184" s="1930"/>
      <c r="CX184" s="1931"/>
      <c r="CY184" s="1931"/>
      <c r="CZ184" s="1931"/>
      <c r="DA184" s="1931"/>
      <c r="DB184" s="1932"/>
      <c r="DC184" s="1931"/>
      <c r="DD184" s="1931"/>
      <c r="DE184" s="1931"/>
      <c r="DF184" s="1931"/>
    </row>
    <row r="185" spans="2:110" hidden="1" outlineLevel="1" x14ac:dyDescent="0.25">
      <c r="B185" s="1931"/>
      <c r="D185" s="1967" t="s">
        <v>2773</v>
      </c>
      <c r="E185" s="1967" t="s">
        <v>2774</v>
      </c>
      <c r="F185" s="1967" t="s">
        <v>2777</v>
      </c>
      <c r="G185" s="1323">
        <v>40</v>
      </c>
      <c r="H185" s="1324">
        <v>0.01</v>
      </c>
      <c r="I185" s="1325">
        <v>2.95</v>
      </c>
      <c r="J185" s="1325">
        <v>0.25</v>
      </c>
      <c r="K185" s="1328">
        <v>0.8</v>
      </c>
      <c r="L185" s="1968"/>
      <c r="M185" s="1968"/>
      <c r="N185" s="1965"/>
      <c r="O185" s="1965"/>
      <c r="P185" s="1965"/>
      <c r="Q185" s="1965"/>
      <c r="R185" s="1965"/>
      <c r="S185" s="1965"/>
      <c r="T185" s="1965"/>
      <c r="U185" s="1965"/>
      <c r="V185" s="1931"/>
      <c r="W185" s="1931"/>
      <c r="X185" s="1931"/>
      <c r="Y185" s="1931"/>
      <c r="Z185" s="1931"/>
      <c r="AA185" s="1931"/>
      <c r="AB185" s="1931"/>
      <c r="AC185" s="1931"/>
      <c r="AD185" s="1931"/>
      <c r="AE185" s="1931"/>
      <c r="AF185" s="1931"/>
      <c r="AG185" s="1931"/>
      <c r="AH185" s="1931"/>
      <c r="AI185" s="1931"/>
      <c r="AJ185" s="1931"/>
      <c r="AK185" s="1931"/>
      <c r="AL185" s="1931"/>
      <c r="AM185" s="1931"/>
      <c r="AN185" s="1931"/>
      <c r="AO185" s="1931"/>
      <c r="AP185" s="1931"/>
      <c r="AQ185" s="1931"/>
      <c r="AR185" s="1931"/>
      <c r="AS185" s="1931"/>
      <c r="AT185" s="1931"/>
      <c r="AU185" s="1931"/>
      <c r="AV185" s="1931"/>
      <c r="AW185" s="1931"/>
      <c r="AX185" s="1931"/>
      <c r="AY185" s="1931"/>
      <c r="AZ185" s="1931"/>
      <c r="BA185" s="1931"/>
      <c r="BB185" s="1931"/>
      <c r="BC185" s="1931"/>
      <c r="BD185" s="1931"/>
      <c r="BE185" s="1931"/>
      <c r="BF185" s="1931"/>
      <c r="BG185" s="1931"/>
      <c r="BH185" s="1931"/>
      <c r="BI185" s="1931"/>
      <c r="BJ185" s="1931"/>
      <c r="BK185" s="1931"/>
      <c r="BL185" s="1931"/>
      <c r="BM185" s="1931"/>
      <c r="BN185" s="1931"/>
      <c r="BO185" s="1931"/>
      <c r="BP185" s="1931"/>
      <c r="BQ185" s="1931"/>
      <c r="BR185" s="1931"/>
      <c r="BS185" s="1931"/>
      <c r="BT185" s="1931"/>
      <c r="BU185" s="1931"/>
      <c r="BV185" s="1931"/>
      <c r="BW185" s="1931"/>
      <c r="BX185" s="1931"/>
      <c r="BY185" s="1931"/>
      <c r="BZ185" s="1931"/>
      <c r="CA185" s="1931"/>
      <c r="CB185" s="1931"/>
      <c r="CC185" s="1931"/>
      <c r="CD185" s="1931"/>
      <c r="CE185" s="1930"/>
      <c r="CF185" s="1930"/>
      <c r="CG185" s="1930"/>
      <c r="CH185" s="1930"/>
      <c r="CI185" s="1931"/>
      <c r="CJ185" s="1931"/>
      <c r="CK185" s="1931"/>
      <c r="CL185" s="1931"/>
      <c r="CM185" s="1931"/>
      <c r="CN185" s="1931"/>
      <c r="CO185" s="1931"/>
      <c r="CP185" s="1931"/>
      <c r="CQ185" s="1931"/>
      <c r="CR185" s="1931"/>
      <c r="CS185" s="1931"/>
      <c r="CT185" s="1930"/>
      <c r="CU185" s="1930"/>
      <c r="CV185" s="1930"/>
      <c r="CW185" s="1930"/>
      <c r="CX185" s="1931"/>
      <c r="CY185" s="1931"/>
      <c r="CZ185" s="1931"/>
      <c r="DA185" s="1931"/>
      <c r="DB185" s="1932"/>
      <c r="DC185" s="1931"/>
      <c r="DD185" s="1931"/>
      <c r="DE185" s="1931"/>
      <c r="DF185" s="1931"/>
    </row>
    <row r="186" spans="2:110" hidden="1" outlineLevel="1" x14ac:dyDescent="0.25">
      <c r="B186" s="1931"/>
      <c r="D186" s="1967" t="s">
        <v>2773</v>
      </c>
      <c r="E186" s="1967" t="s">
        <v>2774</v>
      </c>
      <c r="F186" s="1967" t="s">
        <v>2778</v>
      </c>
      <c r="G186" s="1323">
        <v>50</v>
      </c>
      <c r="H186" s="1324">
        <v>0.06</v>
      </c>
      <c r="I186" s="1325">
        <v>0.45</v>
      </c>
      <c r="J186" s="1325">
        <v>0.14000000000000001</v>
      </c>
      <c r="K186" s="1328">
        <v>6.3</v>
      </c>
      <c r="L186" s="1968"/>
      <c r="M186" s="1968"/>
      <c r="N186" s="1965"/>
      <c r="O186" s="1965"/>
      <c r="P186" s="1965"/>
      <c r="Q186" s="1965"/>
      <c r="R186" s="1965"/>
      <c r="S186" s="1965"/>
      <c r="T186" s="1965"/>
      <c r="U186" s="1965"/>
      <c r="V186" s="1931"/>
      <c r="W186" s="1931"/>
      <c r="X186" s="1931"/>
      <c r="Y186" s="1931"/>
      <c r="Z186" s="1931"/>
      <c r="AA186" s="1931"/>
      <c r="AB186" s="1931"/>
      <c r="AC186" s="1931"/>
      <c r="AD186" s="1931"/>
      <c r="AE186" s="1931"/>
      <c r="AF186" s="1931"/>
      <c r="AG186" s="1931"/>
      <c r="AH186" s="1931"/>
      <c r="AI186" s="1931"/>
      <c r="AJ186" s="1931"/>
      <c r="AK186" s="1931"/>
      <c r="AL186" s="1931"/>
      <c r="AM186" s="1931"/>
      <c r="AN186" s="1931"/>
      <c r="AO186" s="1931"/>
      <c r="AP186" s="1931"/>
      <c r="AQ186" s="1931"/>
      <c r="AR186" s="1931"/>
      <c r="AS186" s="1931"/>
      <c r="AT186" s="1931"/>
      <c r="AU186" s="1931"/>
      <c r="AV186" s="1931"/>
      <c r="AW186" s="1931"/>
      <c r="AX186" s="1931"/>
      <c r="AY186" s="1931"/>
      <c r="AZ186" s="1931"/>
      <c r="BA186" s="1931"/>
      <c r="BB186" s="1931"/>
      <c r="BC186" s="1931"/>
      <c r="BD186" s="1931"/>
      <c r="BE186" s="1931"/>
      <c r="BF186" s="1931"/>
      <c r="BG186" s="1931"/>
      <c r="BH186" s="1931"/>
      <c r="BI186" s="1931"/>
      <c r="BJ186" s="1931"/>
      <c r="BK186" s="1931"/>
      <c r="BL186" s="1931"/>
      <c r="BM186" s="1931"/>
      <c r="BN186" s="1931"/>
      <c r="BO186" s="1931"/>
      <c r="BP186" s="1931"/>
      <c r="BQ186" s="1931"/>
      <c r="BR186" s="1931"/>
      <c r="BS186" s="1931"/>
      <c r="BT186" s="1931"/>
      <c r="BU186" s="1931"/>
      <c r="BV186" s="1931"/>
      <c r="BW186" s="1931"/>
      <c r="BX186" s="1931"/>
      <c r="BY186" s="1931"/>
      <c r="BZ186" s="1931"/>
      <c r="CA186" s="1931"/>
      <c r="CB186" s="1931"/>
      <c r="CC186" s="1931"/>
      <c r="CD186" s="1931"/>
      <c r="CE186" s="1930"/>
      <c r="CF186" s="1930"/>
      <c r="CG186" s="1930"/>
      <c r="CH186" s="1930"/>
      <c r="CI186" s="1931"/>
      <c r="CJ186" s="1931"/>
      <c r="CK186" s="1931"/>
      <c r="CL186" s="1931"/>
      <c r="CM186" s="1931"/>
      <c r="CN186" s="1931"/>
      <c r="CO186" s="1931"/>
      <c r="CP186" s="1931"/>
      <c r="CQ186" s="1931"/>
      <c r="CR186" s="1931"/>
      <c r="CS186" s="1931"/>
      <c r="CT186" s="1930"/>
      <c r="CU186" s="1930"/>
      <c r="CV186" s="1930"/>
      <c r="CW186" s="1930"/>
      <c r="CX186" s="1931"/>
      <c r="CY186" s="1931"/>
      <c r="CZ186" s="1931"/>
      <c r="DA186" s="1931"/>
      <c r="DB186" s="1932"/>
      <c r="DC186" s="1931"/>
      <c r="DD186" s="1931"/>
      <c r="DE186" s="1931"/>
      <c r="DF186" s="1931"/>
    </row>
    <row r="187" spans="2:110" hidden="1" outlineLevel="1" x14ac:dyDescent="0.25">
      <c r="B187" s="1931"/>
      <c r="D187" s="1967" t="s">
        <v>2773</v>
      </c>
      <c r="E187" s="1967" t="s">
        <v>2779</v>
      </c>
      <c r="F187" s="1967" t="s">
        <v>2775</v>
      </c>
      <c r="G187" s="1323">
        <v>7.5</v>
      </c>
      <c r="H187" s="1324">
        <v>0.1</v>
      </c>
      <c r="I187" s="1325">
        <v>1.07</v>
      </c>
      <c r="J187" s="1325">
        <v>0.56000000000000005</v>
      </c>
      <c r="K187" s="1328">
        <v>1.61</v>
      </c>
      <c r="L187" s="1968"/>
      <c r="M187" s="1968"/>
      <c r="N187" s="1965"/>
      <c r="O187" s="1965"/>
      <c r="P187" s="1965"/>
      <c r="Q187" s="1965"/>
      <c r="R187" s="1965"/>
      <c r="S187" s="1965"/>
      <c r="T187" s="1965"/>
      <c r="U187" s="1965"/>
      <c r="V187" s="1931"/>
      <c r="W187" s="1931"/>
      <c r="X187" s="1931"/>
      <c r="Y187" s="1931"/>
      <c r="Z187" s="1931"/>
      <c r="AA187" s="1931"/>
      <c r="AB187" s="1931"/>
      <c r="AC187" s="1931"/>
      <c r="AD187" s="1931"/>
      <c r="AE187" s="1931"/>
      <c r="AF187" s="1931"/>
      <c r="AG187" s="1931"/>
      <c r="AH187" s="1931"/>
      <c r="AI187" s="1931"/>
      <c r="AJ187" s="1931"/>
      <c r="AK187" s="1931"/>
      <c r="AL187" s="1931"/>
      <c r="AM187" s="1931"/>
      <c r="AN187" s="1931"/>
      <c r="AO187" s="1931"/>
      <c r="AP187" s="1931"/>
      <c r="AQ187" s="1931"/>
      <c r="AR187" s="1931"/>
      <c r="AS187" s="1931"/>
      <c r="AT187" s="1931"/>
      <c r="AU187" s="1931"/>
      <c r="AV187" s="1931"/>
      <c r="AW187" s="1931"/>
      <c r="AX187" s="1931"/>
      <c r="AY187" s="1931"/>
      <c r="AZ187" s="1931"/>
      <c r="BA187" s="1931"/>
      <c r="BB187" s="1931"/>
      <c r="BC187" s="1931"/>
      <c r="BD187" s="1931"/>
      <c r="BE187" s="1931"/>
      <c r="BF187" s="1931"/>
      <c r="BG187" s="1931"/>
      <c r="BH187" s="1931"/>
      <c r="BI187" s="1931"/>
      <c r="BJ187" s="1931"/>
      <c r="BK187" s="1931"/>
      <c r="BL187" s="1931"/>
      <c r="BM187" s="1931"/>
      <c r="BN187" s="1931"/>
      <c r="BO187" s="1931"/>
      <c r="BP187" s="1931"/>
      <c r="BQ187" s="1931"/>
      <c r="BR187" s="1931"/>
      <c r="BS187" s="1931"/>
      <c r="BT187" s="1931"/>
      <c r="BU187" s="1931"/>
      <c r="BV187" s="1931"/>
      <c r="BW187" s="1931"/>
      <c r="BX187" s="1931"/>
      <c r="BY187" s="1931"/>
      <c r="BZ187" s="1931"/>
      <c r="CA187" s="1931"/>
      <c r="CB187" s="1931"/>
      <c r="CC187" s="1931"/>
      <c r="CD187" s="1931"/>
      <c r="CE187" s="1930"/>
      <c r="CF187" s="1930"/>
      <c r="CG187" s="1930"/>
      <c r="CH187" s="1930"/>
      <c r="CI187" s="1931"/>
      <c r="CJ187" s="1931"/>
      <c r="CK187" s="1931"/>
      <c r="CL187" s="1931"/>
      <c r="CM187" s="1931"/>
      <c r="CN187" s="1931"/>
      <c r="CO187" s="1931"/>
      <c r="CP187" s="1931"/>
      <c r="CQ187" s="1931"/>
      <c r="CR187" s="1931"/>
      <c r="CS187" s="1931"/>
      <c r="CT187" s="1930"/>
      <c r="CU187" s="1930"/>
      <c r="CV187" s="1930"/>
      <c r="CW187" s="1930"/>
      <c r="CX187" s="1931"/>
      <c r="CY187" s="1931"/>
      <c r="CZ187" s="1931"/>
      <c r="DA187" s="1931"/>
      <c r="DB187" s="1932"/>
      <c r="DC187" s="1931"/>
      <c r="DD187" s="1931"/>
      <c r="DE187" s="1931"/>
      <c r="DF187" s="1931"/>
    </row>
    <row r="188" spans="2:110" hidden="1" outlineLevel="1" x14ac:dyDescent="0.25">
      <c r="B188" s="1931"/>
      <c r="D188" s="1967" t="s">
        <v>2773</v>
      </c>
      <c r="E188" s="1967" t="s">
        <v>2779</v>
      </c>
      <c r="F188" s="1967" t="s">
        <v>2776</v>
      </c>
      <c r="G188" s="1323">
        <v>22.5</v>
      </c>
      <c r="H188" s="1324">
        <v>0.15</v>
      </c>
      <c r="I188" s="1325">
        <v>0.32</v>
      </c>
      <c r="J188" s="1325">
        <v>0.3</v>
      </c>
      <c r="K188" s="1326">
        <v>5.5</v>
      </c>
      <c r="L188" s="4516"/>
      <c r="M188" s="4516"/>
      <c r="N188" s="4516"/>
      <c r="O188" s="1965"/>
      <c r="P188" s="1965"/>
      <c r="Q188" s="1965"/>
      <c r="R188" s="1965"/>
      <c r="S188" s="1965"/>
      <c r="T188" s="1965"/>
      <c r="U188" s="1965"/>
      <c r="V188" s="1931"/>
      <c r="W188" s="1931"/>
      <c r="X188" s="1931"/>
      <c r="Y188" s="1931"/>
      <c r="Z188" s="1931"/>
      <c r="AA188" s="1931"/>
      <c r="AB188" s="1931"/>
      <c r="AC188" s="1931"/>
      <c r="AD188" s="1931"/>
      <c r="AE188" s="1931"/>
      <c r="AF188" s="1931"/>
      <c r="AG188" s="1931"/>
      <c r="AH188" s="1931"/>
      <c r="AI188" s="1931"/>
      <c r="AJ188" s="1931"/>
      <c r="AK188" s="1931"/>
      <c r="AL188" s="1931"/>
      <c r="AM188" s="1931"/>
      <c r="AN188" s="1931"/>
      <c r="AO188" s="1931"/>
      <c r="AP188" s="1931"/>
      <c r="AQ188" s="1931"/>
      <c r="AR188" s="1931"/>
      <c r="AS188" s="1931"/>
      <c r="AT188" s="1931"/>
      <c r="AU188" s="1931"/>
      <c r="AV188" s="1931"/>
      <c r="AW188" s="1931"/>
      <c r="AX188" s="1931"/>
      <c r="AY188" s="1931"/>
      <c r="AZ188" s="1931"/>
      <c r="BA188" s="1931"/>
      <c r="BB188" s="1931"/>
      <c r="BC188" s="1931"/>
      <c r="BD188" s="1931"/>
      <c r="BE188" s="1931"/>
      <c r="BF188" s="1931"/>
      <c r="BG188" s="1931"/>
      <c r="BH188" s="1931"/>
      <c r="BI188" s="1931"/>
      <c r="BJ188" s="1931"/>
      <c r="BK188" s="1931"/>
      <c r="BL188" s="1931"/>
      <c r="BM188" s="1931"/>
      <c r="BN188" s="1931"/>
      <c r="BO188" s="1931"/>
      <c r="BP188" s="1931"/>
      <c r="BQ188" s="1931"/>
      <c r="BR188" s="1931"/>
      <c r="BS188" s="1931"/>
      <c r="BT188" s="1931"/>
      <c r="BU188" s="1931"/>
      <c r="BV188" s="1931"/>
      <c r="BW188" s="1931"/>
      <c r="BX188" s="1931"/>
      <c r="BY188" s="1931"/>
      <c r="BZ188" s="1931"/>
      <c r="CA188" s="1931"/>
      <c r="CB188" s="1931"/>
      <c r="CC188" s="1931"/>
      <c r="CD188" s="1931"/>
      <c r="CE188" s="1930"/>
      <c r="CF188" s="1930"/>
      <c r="CG188" s="1930"/>
      <c r="CH188" s="1930"/>
      <c r="CI188" s="1931"/>
      <c r="CJ188" s="1931"/>
      <c r="CK188" s="1931"/>
      <c r="CL188" s="1931"/>
      <c r="CM188" s="1931"/>
      <c r="CN188" s="1931"/>
      <c r="CO188" s="1931"/>
      <c r="CP188" s="1931"/>
      <c r="CQ188" s="1931"/>
      <c r="CR188" s="1931"/>
      <c r="CS188" s="1931"/>
      <c r="CT188" s="1930"/>
      <c r="CU188" s="1930"/>
      <c r="CV188" s="1930"/>
      <c r="CW188" s="1930"/>
      <c r="CX188" s="1931"/>
      <c r="CY188" s="1931"/>
      <c r="CZ188" s="1931"/>
      <c r="DA188" s="1931"/>
      <c r="DB188" s="1932"/>
      <c r="DC188" s="1931"/>
      <c r="DD188" s="1931"/>
      <c r="DE188" s="1931"/>
      <c r="DF188" s="1931"/>
    </row>
    <row r="189" spans="2:110" hidden="1" outlineLevel="1" x14ac:dyDescent="0.25">
      <c r="B189" s="1931"/>
      <c r="D189" s="1967" t="s">
        <v>2773</v>
      </c>
      <c r="E189" s="1967" t="s">
        <v>2779</v>
      </c>
      <c r="F189" s="1967" t="s">
        <v>2777</v>
      </c>
      <c r="G189" s="1323">
        <v>40</v>
      </c>
      <c r="H189" s="1324">
        <v>0.06</v>
      </c>
      <c r="I189" s="1325">
        <v>3.02</v>
      </c>
      <c r="J189" s="1325">
        <v>0.55000000000000004</v>
      </c>
      <c r="K189" s="1326">
        <v>-2</v>
      </c>
      <c r="L189" s="4516"/>
      <c r="M189" s="4516"/>
      <c r="N189" s="4516"/>
      <c r="O189" s="1965"/>
      <c r="P189" s="1965"/>
      <c r="Q189" s="1965"/>
      <c r="R189" s="1965"/>
      <c r="S189" s="1965"/>
      <c r="T189" s="1965"/>
      <c r="U189" s="1965"/>
      <c r="V189" s="1931"/>
      <c r="W189" s="1931"/>
      <c r="X189" s="1931"/>
      <c r="Y189" s="1931"/>
      <c r="Z189" s="1931"/>
      <c r="AA189" s="1931"/>
      <c r="AB189" s="1931"/>
      <c r="AC189" s="1931"/>
      <c r="AD189" s="1931"/>
      <c r="AE189" s="1931"/>
      <c r="AF189" s="1931"/>
      <c r="AG189" s="1931"/>
      <c r="AH189" s="1931"/>
      <c r="AI189" s="1931"/>
      <c r="AJ189" s="1931"/>
      <c r="AK189" s="1931"/>
      <c r="AL189" s="1931"/>
      <c r="AM189" s="1931"/>
      <c r="AN189" s="1931"/>
      <c r="AO189" s="1931"/>
      <c r="AP189" s="1931"/>
      <c r="AQ189" s="1931"/>
      <c r="AR189" s="1931"/>
      <c r="AS189" s="1931"/>
      <c r="AT189" s="1931"/>
      <c r="AU189" s="1931"/>
      <c r="AV189" s="1931"/>
      <c r="AW189" s="1931"/>
      <c r="AX189" s="1931"/>
      <c r="AY189" s="1931"/>
      <c r="AZ189" s="1931"/>
      <c r="BA189" s="1931"/>
      <c r="BB189" s="1931"/>
      <c r="BC189" s="1931"/>
      <c r="BD189" s="1931"/>
      <c r="BE189" s="1931"/>
      <c r="BF189" s="1931"/>
      <c r="BG189" s="1931"/>
      <c r="BH189" s="1931"/>
      <c r="BI189" s="1931"/>
      <c r="BJ189" s="1931"/>
      <c r="BK189" s="1931"/>
      <c r="BL189" s="1931"/>
      <c r="BM189" s="1931"/>
      <c r="BN189" s="1931"/>
      <c r="BO189" s="1931"/>
      <c r="BP189" s="1931"/>
      <c r="BQ189" s="1931"/>
      <c r="BR189" s="1931"/>
      <c r="BS189" s="1931"/>
      <c r="BT189" s="1931"/>
      <c r="BU189" s="1931"/>
      <c r="BV189" s="1931"/>
      <c r="BW189" s="1931"/>
      <c r="BX189" s="1931"/>
      <c r="BY189" s="1931"/>
      <c r="BZ189" s="1931"/>
      <c r="CA189" s="1931"/>
      <c r="CB189" s="1931"/>
      <c r="CC189" s="1931"/>
      <c r="CD189" s="1931"/>
      <c r="CE189" s="1930"/>
      <c r="CF189" s="1930"/>
      <c r="CG189" s="1930"/>
      <c r="CH189" s="1930"/>
      <c r="CI189" s="1931"/>
      <c r="CJ189" s="1931"/>
      <c r="CK189" s="1931"/>
      <c r="CL189" s="1931"/>
      <c r="CM189" s="1931"/>
      <c r="CN189" s="1931"/>
      <c r="CO189" s="1931"/>
      <c r="CP189" s="1931"/>
      <c r="CQ189" s="1931"/>
      <c r="CR189" s="1931"/>
      <c r="CS189" s="1931"/>
      <c r="CT189" s="1930"/>
      <c r="CU189" s="1930"/>
      <c r="CV189" s="1930"/>
      <c r="CW189" s="1930"/>
      <c r="CX189" s="1931"/>
      <c r="CY189" s="1931"/>
      <c r="CZ189" s="1931"/>
      <c r="DA189" s="1931"/>
      <c r="DB189" s="1932"/>
      <c r="DC189" s="1931"/>
      <c r="DD189" s="1931"/>
      <c r="DE189" s="1931"/>
      <c r="DF189" s="1931"/>
    </row>
    <row r="190" spans="2:110" hidden="1" outlineLevel="1" x14ac:dyDescent="0.25">
      <c r="B190" s="1931"/>
      <c r="D190" s="1967" t="s">
        <v>2773</v>
      </c>
      <c r="E190" s="1967" t="s">
        <v>2779</v>
      </c>
      <c r="F190" s="1967" t="s">
        <v>2778</v>
      </c>
      <c r="G190" s="1323">
        <v>50</v>
      </c>
      <c r="H190" s="1324">
        <v>0.08</v>
      </c>
      <c r="I190" s="1325">
        <v>2.02</v>
      </c>
      <c r="J190" s="1325">
        <v>0.32</v>
      </c>
      <c r="K190" s="1326">
        <v>9.49</v>
      </c>
      <c r="L190" s="4516"/>
      <c r="M190" s="4516"/>
      <c r="N190" s="4516"/>
      <c r="O190" s="1965"/>
      <c r="P190" s="1965"/>
      <c r="Q190" s="1965"/>
      <c r="R190" s="1965"/>
      <c r="S190" s="1965"/>
      <c r="T190" s="1965"/>
      <c r="U190" s="1965"/>
      <c r="V190" s="1931"/>
      <c r="W190" s="1931"/>
      <c r="X190" s="1931"/>
      <c r="Y190" s="1931"/>
      <c r="Z190" s="1931"/>
      <c r="AA190" s="1931"/>
      <c r="AB190" s="1931"/>
      <c r="AC190" s="1931"/>
      <c r="AD190" s="1931"/>
      <c r="AE190" s="1931"/>
      <c r="AF190" s="1931"/>
      <c r="AG190" s="1931"/>
      <c r="AH190" s="1931"/>
      <c r="AI190" s="1931"/>
      <c r="AJ190" s="1931"/>
      <c r="AK190" s="1931"/>
      <c r="AL190" s="1931"/>
      <c r="AM190" s="1931"/>
      <c r="AN190" s="1931"/>
      <c r="AO190" s="1931"/>
      <c r="AP190" s="1931"/>
      <c r="AQ190" s="1931"/>
      <c r="AR190" s="1931"/>
      <c r="AS190" s="1931"/>
      <c r="AT190" s="1931"/>
      <c r="AU190" s="1931"/>
      <c r="AV190" s="1931"/>
      <c r="AW190" s="1931"/>
      <c r="AX190" s="1931"/>
      <c r="AY190" s="1931"/>
      <c r="AZ190" s="1931"/>
      <c r="BA190" s="1931"/>
      <c r="BB190" s="1931"/>
      <c r="BC190" s="1931"/>
      <c r="BD190" s="1931"/>
      <c r="BE190" s="1931"/>
      <c r="BF190" s="1931"/>
      <c r="BG190" s="1931"/>
      <c r="BH190" s="1931"/>
      <c r="BI190" s="1931"/>
      <c r="BJ190" s="1931"/>
      <c r="BK190" s="1931"/>
      <c r="BL190" s="1931"/>
      <c r="BM190" s="1931"/>
      <c r="BN190" s="1931"/>
      <c r="BO190" s="1931"/>
      <c r="BP190" s="1931"/>
      <c r="BQ190" s="1931"/>
      <c r="BR190" s="1931"/>
      <c r="BS190" s="1931"/>
      <c r="BT190" s="1931"/>
      <c r="BU190" s="1931"/>
      <c r="BV190" s="1931"/>
      <c r="BW190" s="1931"/>
      <c r="BX190" s="1931"/>
      <c r="BY190" s="1931"/>
      <c r="BZ190" s="1931"/>
      <c r="CA190" s="1931"/>
      <c r="CB190" s="1931"/>
      <c r="CC190" s="1931"/>
      <c r="CD190" s="1931"/>
      <c r="CE190" s="1930"/>
      <c r="CF190" s="1930"/>
      <c r="CG190" s="1930"/>
      <c r="CH190" s="1930"/>
      <c r="CI190" s="1931"/>
      <c r="CJ190" s="1931"/>
      <c r="CK190" s="1931"/>
      <c r="CL190" s="1931"/>
      <c r="CM190" s="1931"/>
      <c r="CN190" s="1931"/>
      <c r="CO190" s="1931"/>
      <c r="CP190" s="1931"/>
      <c r="CQ190" s="1931"/>
      <c r="CR190" s="1931"/>
      <c r="CS190" s="1931"/>
      <c r="CT190" s="1930"/>
      <c r="CU190" s="1930"/>
      <c r="CV190" s="1930"/>
      <c r="CW190" s="1930"/>
      <c r="CX190" s="1931"/>
      <c r="CY190" s="1931"/>
      <c r="CZ190" s="1931"/>
      <c r="DA190" s="1931"/>
      <c r="DB190" s="1932"/>
      <c r="DC190" s="1931"/>
      <c r="DD190" s="1931"/>
      <c r="DE190" s="1931"/>
      <c r="DF190" s="1931"/>
    </row>
    <row r="191" spans="2:110" hidden="1" outlineLevel="1" x14ac:dyDescent="0.25">
      <c r="B191" s="1931"/>
      <c r="D191" s="1967" t="s">
        <v>2773</v>
      </c>
      <c r="E191" s="1967" t="s">
        <v>2780</v>
      </c>
      <c r="F191" s="1967" t="s">
        <v>2781</v>
      </c>
      <c r="G191" s="1323">
        <v>25</v>
      </c>
      <c r="H191" s="1324">
        <v>0.06</v>
      </c>
      <c r="I191" s="1325">
        <v>0.6</v>
      </c>
      <c r="J191" s="1325">
        <v>0.1</v>
      </c>
      <c r="K191" s="1326">
        <v>0.2</v>
      </c>
      <c r="L191" s="4516"/>
      <c r="M191" s="4516"/>
      <c r="N191" s="4516"/>
      <c r="O191" s="1965"/>
      <c r="P191" s="1965"/>
      <c r="Q191" s="1965"/>
      <c r="R191" s="1965"/>
      <c r="S191" s="1965"/>
      <c r="T191" s="1965"/>
      <c r="U191" s="1965"/>
      <c r="V191" s="1931"/>
      <c r="W191" s="1931"/>
      <c r="X191" s="1931"/>
      <c r="Y191" s="1931"/>
      <c r="Z191" s="1931"/>
      <c r="AA191" s="1931"/>
      <c r="AB191" s="1931"/>
      <c r="AC191" s="1931"/>
      <c r="AD191" s="1931"/>
      <c r="AE191" s="1931"/>
      <c r="AF191" s="1931"/>
      <c r="AG191" s="1931"/>
      <c r="AH191" s="1931"/>
      <c r="AI191" s="1931"/>
      <c r="AJ191" s="1931"/>
      <c r="AK191" s="1931"/>
      <c r="AL191" s="1931"/>
      <c r="AM191" s="1931"/>
      <c r="AN191" s="1931"/>
      <c r="AO191" s="1931"/>
      <c r="AP191" s="1931"/>
      <c r="AQ191" s="1931"/>
      <c r="AR191" s="1931"/>
      <c r="AS191" s="1931"/>
      <c r="AT191" s="1931"/>
      <c r="AU191" s="1931"/>
      <c r="AV191" s="1931"/>
      <c r="AW191" s="1931"/>
      <c r="AX191" s="1931"/>
      <c r="AY191" s="1931"/>
      <c r="AZ191" s="1931"/>
      <c r="BA191" s="1931"/>
      <c r="BB191" s="1931"/>
      <c r="BC191" s="1931"/>
      <c r="BD191" s="1931"/>
      <c r="BE191" s="1931"/>
      <c r="BF191" s="1931"/>
      <c r="BG191" s="1931"/>
      <c r="BH191" s="1931"/>
      <c r="BI191" s="1931"/>
      <c r="BJ191" s="1931"/>
      <c r="BK191" s="1931"/>
      <c r="BL191" s="1931"/>
      <c r="BM191" s="1931"/>
      <c r="BN191" s="1931"/>
      <c r="BO191" s="1931"/>
      <c r="BP191" s="1931"/>
      <c r="BQ191" s="1931"/>
      <c r="BR191" s="1931"/>
      <c r="BS191" s="1931"/>
      <c r="BT191" s="1931"/>
      <c r="BU191" s="1931"/>
      <c r="BV191" s="1931"/>
      <c r="BW191" s="1931"/>
      <c r="BX191" s="1931"/>
      <c r="BY191" s="1931"/>
      <c r="BZ191" s="1931"/>
      <c r="CA191" s="1931"/>
      <c r="CB191" s="1931"/>
      <c r="CC191" s="1931"/>
      <c r="CD191" s="1931"/>
      <c r="CE191" s="1930"/>
      <c r="CF191" s="1930"/>
      <c r="CG191" s="1930"/>
      <c r="CH191" s="1930"/>
      <c r="CI191" s="1931"/>
      <c r="CJ191" s="1931"/>
      <c r="CK191" s="1931"/>
      <c r="CL191" s="1931"/>
      <c r="CM191" s="1931"/>
      <c r="CN191" s="1931"/>
      <c r="CO191" s="1931"/>
      <c r="CP191" s="1931"/>
      <c r="CQ191" s="1931"/>
      <c r="CR191" s="1931"/>
      <c r="CS191" s="1931"/>
      <c r="CT191" s="1930"/>
      <c r="CU191" s="1930"/>
      <c r="CV191" s="1930"/>
      <c r="CW191" s="1930"/>
      <c r="CX191" s="1931"/>
      <c r="CY191" s="1931"/>
      <c r="CZ191" s="1931"/>
      <c r="DA191" s="1931"/>
      <c r="DB191" s="1932"/>
      <c r="DC191" s="1931"/>
      <c r="DD191" s="1931"/>
      <c r="DE191" s="1931"/>
      <c r="DF191" s="1931"/>
    </row>
    <row r="192" spans="2:110" collapsed="1" x14ac:dyDescent="0.25">
      <c r="B192" s="1931"/>
      <c r="D192" s="1966"/>
      <c r="E192" s="1965"/>
      <c r="F192" s="1965"/>
      <c r="G192" s="1968"/>
      <c r="H192" s="1969"/>
      <c r="I192" s="1965"/>
      <c r="J192" s="1965"/>
      <c r="K192" s="1965"/>
      <c r="L192" s="1965"/>
      <c r="M192" s="1965"/>
      <c r="N192" s="1965"/>
      <c r="O192" s="1965"/>
      <c r="P192" s="1965"/>
      <c r="Q192" s="1965"/>
      <c r="R192" s="1965"/>
      <c r="S192" s="1965"/>
      <c r="T192" s="1965"/>
      <c r="U192" s="1965"/>
      <c r="V192" s="1931"/>
      <c r="W192" s="1931"/>
      <c r="X192" s="1931"/>
      <c r="Y192" s="1931"/>
      <c r="Z192" s="1931"/>
      <c r="AA192" s="1931"/>
      <c r="AB192" s="1931"/>
      <c r="AC192" s="1931"/>
      <c r="AD192" s="1931"/>
      <c r="AE192" s="1931"/>
      <c r="AF192" s="1931"/>
      <c r="AG192" s="1931"/>
      <c r="AH192" s="1931"/>
      <c r="AI192" s="1931"/>
      <c r="AJ192" s="1931"/>
      <c r="AK192" s="1931"/>
      <c r="AL192" s="1931"/>
      <c r="AM192" s="1931"/>
      <c r="AN192" s="1931"/>
      <c r="AO192" s="1931"/>
      <c r="AP192" s="1931"/>
      <c r="AQ192" s="1931"/>
      <c r="AR192" s="1931"/>
      <c r="AS192" s="1931"/>
      <c r="AT192" s="1931"/>
      <c r="AU192" s="1931"/>
      <c r="AV192" s="1931"/>
      <c r="AW192" s="1931"/>
      <c r="AX192" s="1931"/>
      <c r="AY192" s="1931"/>
      <c r="AZ192" s="1931"/>
      <c r="BA192" s="1931"/>
      <c r="BB192" s="1931"/>
      <c r="BC192" s="1931"/>
      <c r="BD192" s="1931"/>
      <c r="BE192" s="1931"/>
      <c r="BF192" s="1931"/>
      <c r="BG192" s="1931"/>
      <c r="BH192" s="1931"/>
      <c r="BI192" s="1931"/>
      <c r="BJ192" s="1931"/>
      <c r="BK192" s="1931"/>
      <c r="BL192" s="1931"/>
      <c r="BM192" s="1931"/>
      <c r="BN192" s="1931"/>
      <c r="BO192" s="1931"/>
      <c r="BP192" s="1931"/>
      <c r="BQ192" s="1931"/>
      <c r="BR192" s="1931"/>
      <c r="BS192" s="1931"/>
      <c r="BT192" s="1931"/>
      <c r="BU192" s="1931"/>
      <c r="BV192" s="1931"/>
      <c r="BW192" s="1931"/>
      <c r="BX192" s="1931"/>
      <c r="BY192" s="1931"/>
      <c r="BZ192" s="1931"/>
      <c r="CA192" s="1931"/>
      <c r="CB192" s="1931"/>
      <c r="CC192" s="1931"/>
      <c r="CD192" s="1931"/>
      <c r="CE192" s="1930"/>
      <c r="CF192" s="1930"/>
      <c r="CG192" s="1930"/>
      <c r="CH192" s="1930"/>
      <c r="CI192" s="1931"/>
      <c r="CJ192" s="1931"/>
      <c r="CK192" s="1931"/>
      <c r="CL192" s="1931"/>
      <c r="CM192" s="1931"/>
      <c r="CN192" s="1931"/>
      <c r="CO192" s="1931"/>
      <c r="CP192" s="1931"/>
      <c r="CQ192" s="1931"/>
      <c r="CR192" s="1931"/>
      <c r="CS192" s="1931"/>
      <c r="CT192" s="1930"/>
      <c r="CU192" s="1930"/>
      <c r="CV192" s="1930"/>
      <c r="CW192" s="1930"/>
      <c r="CX192" s="1931"/>
      <c r="CY192" s="1931"/>
      <c r="CZ192" s="1931"/>
      <c r="DA192" s="1931"/>
      <c r="DB192" s="1932"/>
      <c r="DC192" s="1931"/>
      <c r="DD192" s="1931"/>
      <c r="DE192" s="1931"/>
      <c r="DF192" s="1931"/>
    </row>
    <row r="194" spans="2:112" s="43" customFormat="1" x14ac:dyDescent="0.25">
      <c r="B194" s="4484" t="s">
        <v>2782</v>
      </c>
      <c r="C194" s="4485"/>
      <c r="D194" s="4485"/>
      <c r="E194" s="4485"/>
      <c r="F194" s="4485"/>
      <c r="G194" s="4485"/>
      <c r="H194" s="4485"/>
      <c r="I194" s="4486"/>
      <c r="J194" s="4486"/>
      <c r="K194" s="4486"/>
      <c r="L194" s="4486"/>
      <c r="M194" s="3752"/>
      <c r="N194" s="3752"/>
      <c r="O194" s="3753"/>
      <c r="P194" s="1935"/>
      <c r="Q194" s="1935"/>
      <c r="R194" s="1935"/>
      <c r="S194" s="1935"/>
      <c r="T194" s="1935"/>
      <c r="U194" s="1935"/>
      <c r="V194" s="3077" t="str">
        <f>B194</f>
        <v>Refrigerators &amp; Freezers Controls</v>
      </c>
      <c r="W194" s="3078"/>
      <c r="X194" s="3078"/>
      <c r="Y194" s="3078"/>
      <c r="Z194" s="3078"/>
      <c r="AA194" s="3078"/>
      <c r="AB194" s="3078"/>
      <c r="AC194" s="3078"/>
      <c r="AD194" s="3078"/>
      <c r="AE194" s="3078"/>
      <c r="AF194" s="3078"/>
      <c r="AG194" s="3078"/>
      <c r="AH194" s="3078"/>
      <c r="AI194" s="3170"/>
      <c r="AJ194" s="1931"/>
      <c r="AK194" s="1931"/>
      <c r="AL194" s="1931"/>
      <c r="AM194" s="1931"/>
      <c r="AN194" s="1931"/>
      <c r="AO194" s="1931"/>
      <c r="AP194" s="1931"/>
      <c r="AQ194" s="1931"/>
      <c r="AR194" s="1931"/>
      <c r="AS194" s="1931"/>
      <c r="AT194" s="1931"/>
      <c r="AU194" s="1931"/>
      <c r="AV194" s="1935"/>
      <c r="AW194" s="1935"/>
      <c r="AX194" s="1935"/>
      <c r="AY194" s="1935"/>
      <c r="AZ194" s="1935"/>
      <c r="BA194" s="1935"/>
      <c r="BB194" s="1935"/>
      <c r="BC194" s="1935"/>
      <c r="BD194" s="1935"/>
      <c r="BE194" s="1935"/>
      <c r="BF194" s="1935"/>
      <c r="BG194" s="1935"/>
      <c r="BH194" s="1935"/>
      <c r="BI194" s="1935"/>
      <c r="BJ194" s="1935"/>
      <c r="BK194" s="1935"/>
      <c r="BL194" s="1935"/>
      <c r="BM194" s="1935"/>
      <c r="BN194" s="1935"/>
      <c r="BO194" s="1935"/>
      <c r="BP194" s="1935"/>
      <c r="BQ194" s="1935"/>
      <c r="BR194" s="1935"/>
      <c r="BS194" s="1935"/>
      <c r="BT194" s="1935"/>
      <c r="BU194" s="1935"/>
      <c r="BV194" s="1935"/>
      <c r="BW194" s="1935"/>
      <c r="BX194" s="1935"/>
      <c r="BY194" s="1935"/>
      <c r="BZ194" s="1935"/>
      <c r="CA194" s="1935"/>
      <c r="CB194" s="1935"/>
      <c r="CC194" s="1935"/>
      <c r="CD194" s="1935"/>
      <c r="CE194" s="1935"/>
      <c r="CF194" s="1935"/>
      <c r="CG194" s="1935"/>
      <c r="CH194" s="1935"/>
      <c r="CI194" s="1935"/>
      <c r="CJ194" s="1935"/>
      <c r="CK194" s="1935"/>
      <c r="CL194" s="1935"/>
      <c r="CM194" s="1935"/>
      <c r="CN194" s="1935"/>
      <c r="CO194" s="1935"/>
      <c r="CP194" s="1935"/>
      <c r="CQ194" s="1935"/>
      <c r="CR194" s="1935"/>
      <c r="CS194" s="1935"/>
      <c r="CT194" s="1935"/>
      <c r="CU194" s="1935"/>
      <c r="CV194" s="1935"/>
      <c r="CW194" s="1935"/>
      <c r="CX194" s="1935"/>
      <c r="CY194" s="1935"/>
      <c r="CZ194" s="1935"/>
      <c r="DA194" s="1935"/>
      <c r="DB194" s="73"/>
      <c r="DC194" s="1935"/>
      <c r="DD194" s="1935"/>
      <c r="DE194" s="1935"/>
      <c r="DF194" s="1935"/>
      <c r="DG194" s="1935"/>
      <c r="DH194" s="1935"/>
    </row>
    <row r="195" spans="2:112" x14ac:dyDescent="0.25">
      <c r="B195" s="1931"/>
      <c r="D195" s="1286"/>
      <c r="E195" s="1966"/>
      <c r="F195" s="1966"/>
      <c r="G195" s="1966"/>
      <c r="H195" s="1287"/>
      <c r="I195" s="1966"/>
      <c r="J195" s="1966"/>
      <c r="K195" s="1966"/>
      <c r="L195" s="1966"/>
      <c r="M195" s="1965"/>
      <c r="N195" s="1965"/>
      <c r="O195" s="1965"/>
      <c r="P195" s="1966"/>
      <c r="Q195" s="1966"/>
      <c r="R195" s="1966"/>
      <c r="S195" s="1966"/>
      <c r="T195" s="1966"/>
      <c r="U195" s="1966"/>
      <c r="V195" s="1930"/>
      <c r="W195" s="1930"/>
      <c r="X195" s="1930"/>
      <c r="Y195" s="1930"/>
      <c r="Z195" s="1930"/>
      <c r="AA195" s="1930"/>
      <c r="AB195" s="1930"/>
      <c r="AC195" s="1930"/>
      <c r="AD195" s="1930"/>
      <c r="AE195" s="1930"/>
      <c r="AF195" s="1930"/>
      <c r="AG195" s="1930"/>
      <c r="AH195" s="1930"/>
      <c r="AI195" s="1930"/>
      <c r="AJ195" s="1934"/>
      <c r="AK195" s="1934"/>
      <c r="AL195" s="1934"/>
      <c r="AM195" s="1934"/>
      <c r="AN195" s="1934"/>
      <c r="AO195" s="1934"/>
      <c r="AP195" s="1934"/>
      <c r="AQ195" s="1934"/>
      <c r="AR195" s="1934"/>
      <c r="AS195" s="1934"/>
      <c r="AT195" s="1934"/>
      <c r="AU195" s="1934"/>
      <c r="AV195" s="1931"/>
      <c r="AW195" s="1931"/>
      <c r="AX195" s="1931"/>
      <c r="AY195" s="1931"/>
      <c r="AZ195" s="1931"/>
      <c r="BA195" s="1931"/>
      <c r="BB195" s="1931"/>
      <c r="BC195" s="1931"/>
      <c r="BD195" s="1931"/>
      <c r="BE195" s="1931"/>
      <c r="BF195" s="1931"/>
      <c r="BG195" s="1931"/>
      <c r="BH195" s="1931"/>
      <c r="BI195" s="1931"/>
      <c r="BJ195" s="1931"/>
      <c r="BK195" s="1931"/>
      <c r="BL195" s="1931"/>
      <c r="BM195" s="1931"/>
      <c r="BN195" s="1931"/>
      <c r="BO195" s="1931"/>
      <c r="BP195" s="1931"/>
      <c r="BQ195" s="1931"/>
      <c r="BR195" s="1931"/>
      <c r="BS195" s="1931"/>
      <c r="BT195" s="1931"/>
      <c r="BU195" s="1931"/>
      <c r="BV195" s="1931"/>
      <c r="BW195" s="1931"/>
      <c r="BX195" s="1931"/>
      <c r="BY195" s="1931"/>
      <c r="BZ195" s="1931"/>
      <c r="CA195" s="1931"/>
      <c r="CB195" s="1931"/>
      <c r="CC195" s="1931"/>
      <c r="CD195" s="1931"/>
      <c r="CE195" s="1930"/>
      <c r="CF195" s="1930"/>
      <c r="CG195" s="1930"/>
      <c r="CH195" s="1930"/>
      <c r="CI195" s="1931"/>
      <c r="CJ195" s="1931"/>
      <c r="CK195" s="1931"/>
      <c r="CL195" s="1931"/>
      <c r="CM195" s="1931"/>
      <c r="CN195" s="1931"/>
      <c r="CO195" s="1931"/>
      <c r="CP195" s="1931"/>
      <c r="CQ195" s="1931"/>
      <c r="CR195" s="1931"/>
      <c r="CS195" s="1931"/>
      <c r="CT195" s="1930"/>
      <c r="CU195" s="1930"/>
      <c r="CV195" s="1930"/>
      <c r="CW195" s="1930"/>
      <c r="CX195" s="1931"/>
      <c r="CY195" s="1931"/>
      <c r="CZ195" s="1931"/>
      <c r="DA195" s="1931"/>
      <c r="DB195" s="1932"/>
      <c r="DC195" s="1931"/>
      <c r="DD195" s="1931"/>
      <c r="DE195" s="1931"/>
      <c r="DF195" s="1931"/>
    </row>
    <row r="196" spans="2:112" s="44" customFormat="1" ht="30" x14ac:dyDescent="0.25">
      <c r="B196" s="45"/>
      <c r="C196" s="46" t="s">
        <v>28</v>
      </c>
      <c r="D196" s="3196" t="s">
        <v>29</v>
      </c>
      <c r="E196" s="3196" t="s">
        <v>30</v>
      </c>
      <c r="F196" s="3196" t="s">
        <v>2783</v>
      </c>
      <c r="G196" s="3196" t="s">
        <v>176</v>
      </c>
      <c r="H196" s="3196" t="s">
        <v>177</v>
      </c>
      <c r="I196" s="3196" t="s">
        <v>32</v>
      </c>
      <c r="J196" s="3196" t="s">
        <v>181</v>
      </c>
      <c r="K196" s="3196" t="s">
        <v>2784</v>
      </c>
      <c r="L196" s="46" t="s">
        <v>44</v>
      </c>
      <c r="M196" s="1965"/>
      <c r="N196" s="1965"/>
      <c r="O196" s="1965"/>
      <c r="P196" s="1288"/>
      <c r="Q196" s="1288"/>
      <c r="R196" s="1288"/>
      <c r="S196" s="1288"/>
      <c r="T196" s="1288"/>
      <c r="U196" s="1288"/>
      <c r="V196" s="1936" t="s">
        <v>45</v>
      </c>
      <c r="W196" s="1937">
        <f>$W$8</f>
        <v>43252</v>
      </c>
      <c r="X196" s="1937">
        <f>$X$8</f>
        <v>43465</v>
      </c>
      <c r="Y196" s="1937">
        <f>$Y$8</f>
        <v>43800</v>
      </c>
      <c r="Z196" s="1937">
        <f>$Z$8</f>
        <v>43862</v>
      </c>
      <c r="AA196" s="1937">
        <f>$AA$8</f>
        <v>44013</v>
      </c>
      <c r="AB196" s="1937">
        <v>44166</v>
      </c>
      <c r="AC196" s="1937">
        <f>$AC$8</f>
        <v>44531</v>
      </c>
      <c r="AD196" s="1937" t="str">
        <f>$AD$8</f>
        <v>-</v>
      </c>
      <c r="AE196" s="1937" t="str">
        <f>$AE$8</f>
        <v>-</v>
      </c>
      <c r="AF196" s="1937" t="str">
        <f>$AF$8</f>
        <v>-</v>
      </c>
      <c r="AG196" s="1937" t="str">
        <f>$AG$8</f>
        <v>-</v>
      </c>
      <c r="AH196" s="1930"/>
      <c r="AI196" s="1936" t="s">
        <v>45</v>
      </c>
      <c r="AJ196" s="1937">
        <v>43252</v>
      </c>
      <c r="AK196" s="1937">
        <f>$X$8</f>
        <v>43465</v>
      </c>
      <c r="AL196" s="1937">
        <f>$Y$8</f>
        <v>43800</v>
      </c>
      <c r="AM196" s="1937">
        <f>$Z$8</f>
        <v>43862</v>
      </c>
      <c r="AN196" s="1937">
        <f>$AA$8</f>
        <v>44013</v>
      </c>
      <c r="AO196" s="1937">
        <f>$AB$8</f>
        <v>44166</v>
      </c>
      <c r="AP196" s="1937">
        <f>$AC$8</f>
        <v>44531</v>
      </c>
      <c r="AQ196" s="1937" t="str">
        <f>$AD$8</f>
        <v>-</v>
      </c>
      <c r="AR196" s="1937" t="str">
        <f>$AE$8</f>
        <v>-</v>
      </c>
      <c r="AS196" s="1937" t="str">
        <f>$AF$8</f>
        <v>-</v>
      </c>
      <c r="AT196" s="1933"/>
      <c r="AU196" s="1936" t="s">
        <v>45</v>
      </c>
      <c r="AV196" s="1937">
        <v>43252</v>
      </c>
      <c r="AW196" s="1937">
        <f>$X$8</f>
        <v>43465</v>
      </c>
      <c r="AX196" s="1937">
        <f>$Y$8</f>
        <v>43800</v>
      </c>
      <c r="AY196" s="1937">
        <f>$Z$8</f>
        <v>43862</v>
      </c>
      <c r="AZ196" s="1937">
        <f>$AA$8</f>
        <v>44013</v>
      </c>
      <c r="BA196" s="1937">
        <v>44166</v>
      </c>
      <c r="BB196" s="1937">
        <f>$AC$8</f>
        <v>44531</v>
      </c>
      <c r="BC196" s="1937" t="str">
        <f>$AD$8</f>
        <v>-</v>
      </c>
      <c r="BD196" s="1937" t="str">
        <f>$AE$8</f>
        <v>-</v>
      </c>
      <c r="BE196" s="1937" t="str">
        <f>$AF$8</f>
        <v>-</v>
      </c>
      <c r="DB196" s="1938" t="str">
        <f>$DB$8</f>
        <v>TRC (2020)</v>
      </c>
      <c r="DC196" s="1953" t="str">
        <f>$DC$8</f>
        <v>Benefit Lookup</v>
      </c>
      <c r="DD196" s="1953" t="str">
        <f>$DD$8</f>
        <v>Benefits (2019 $)</v>
      </c>
      <c r="DE196" s="1953" t="str">
        <f>$DE$8</f>
        <v>Incremental Cost (2019 $)</v>
      </c>
    </row>
    <row r="197" spans="2:112" ht="15" customHeight="1" x14ac:dyDescent="0.25">
      <c r="B197" s="1931"/>
      <c r="C197" s="2462" t="s">
        <v>2785</v>
      </c>
      <c r="D197" s="1289" t="s">
        <v>2646</v>
      </c>
      <c r="E197" s="1308" t="s">
        <v>2786</v>
      </c>
      <c r="F197" s="1959">
        <f>ROUND(F$208*G$208*(H$208-H210)*I$208*J210,2)</f>
        <v>668.14</v>
      </c>
      <c r="G197" s="1290" t="s">
        <v>2722</v>
      </c>
      <c r="H197" s="1291">
        <f>VLOOKUP(G197,'CP FACTORS'!$A$26:$B$38,2,FALSE)</f>
        <v>1.3573829999999999E-4</v>
      </c>
      <c r="I197" s="1309">
        <f>ROUND(H197*F197,6)</f>
        <v>9.0691999999999995E-2</v>
      </c>
      <c r="J197" s="1316">
        <v>12</v>
      </c>
      <c r="K197" s="1329">
        <v>151</v>
      </c>
      <c r="L197" s="1180" t="s">
        <v>2787</v>
      </c>
      <c r="M197" s="4504"/>
      <c r="N197" s="4504"/>
      <c r="O197" s="4504"/>
      <c r="P197" s="1965"/>
      <c r="Q197" s="1965"/>
      <c r="R197" s="1965"/>
      <c r="S197" s="1965"/>
      <c r="T197" s="1965"/>
      <c r="U197" s="1965"/>
      <c r="V197" s="3226" t="str">
        <f>F196</f>
        <v>kWh Annual Savings (per door)</v>
      </c>
      <c r="W197" s="129">
        <v>668.13575400000013</v>
      </c>
      <c r="X197" s="129">
        <v>668.13575400000013</v>
      </c>
      <c r="Y197" s="129">
        <v>668.13575400000013</v>
      </c>
      <c r="Z197" s="129">
        <v>668.13575400000013</v>
      </c>
      <c r="AA197" s="129">
        <v>668.13575400000013</v>
      </c>
      <c r="AB197" s="2002">
        <v>668.14</v>
      </c>
      <c r="AC197" s="3364">
        <v>668.14</v>
      </c>
      <c r="AD197" s="2099"/>
      <c r="AE197" s="2099"/>
      <c r="AF197" s="2099"/>
      <c r="AG197" s="2099"/>
      <c r="AH197" s="2100"/>
      <c r="AI197" s="3227" t="s">
        <v>181</v>
      </c>
      <c r="AJ197" s="64">
        <v>12</v>
      </c>
      <c r="AK197" s="64">
        <v>12</v>
      </c>
      <c r="AL197" s="64">
        <v>12</v>
      </c>
      <c r="AM197" s="64">
        <v>12</v>
      </c>
      <c r="AN197" s="64">
        <v>12</v>
      </c>
      <c r="AO197" s="2091">
        <v>12</v>
      </c>
      <c r="AP197" s="2091">
        <v>12</v>
      </c>
      <c r="AQ197" s="2099"/>
      <c r="AR197" s="2099"/>
      <c r="AS197" s="2099"/>
      <c r="AT197" s="1933"/>
      <c r="AU197" s="3227" t="str">
        <f>K196</f>
        <v>Inc. Cost (per door)</v>
      </c>
      <c r="AV197" s="2102">
        <v>151</v>
      </c>
      <c r="AW197" s="2102">
        <v>151</v>
      </c>
      <c r="AX197" s="2102">
        <v>151</v>
      </c>
      <c r="AY197" s="2102">
        <v>151</v>
      </c>
      <c r="AZ197" s="2102">
        <v>151</v>
      </c>
      <c r="BA197" s="2102">
        <v>151</v>
      </c>
      <c r="BB197" s="2102">
        <v>151</v>
      </c>
      <c r="BC197" s="2099"/>
      <c r="BD197" s="2099"/>
      <c r="BE197" s="2099"/>
      <c r="BF197" s="1933"/>
      <c r="BG197" s="1933"/>
      <c r="BH197" s="1933"/>
      <c r="BI197" s="1933"/>
      <c r="BJ197" s="1933"/>
      <c r="BK197" s="1933"/>
      <c r="BL197" s="1933"/>
      <c r="BM197" s="1933"/>
      <c r="BN197" s="1933"/>
      <c r="BO197" s="1933"/>
      <c r="BP197" s="1933"/>
      <c r="BQ197" s="1933"/>
      <c r="BR197" s="1933"/>
      <c r="BS197" s="1933"/>
      <c r="BT197" s="1933"/>
      <c r="BU197" s="1933"/>
      <c r="BV197" s="1931"/>
      <c r="BW197" s="1931"/>
      <c r="BX197" s="1931"/>
      <c r="BY197" s="1931"/>
      <c r="BZ197" s="1931"/>
      <c r="CA197" s="1931"/>
      <c r="CB197" s="1931"/>
      <c r="CC197" s="1931"/>
      <c r="CD197" s="1931"/>
      <c r="CE197" s="1930"/>
      <c r="CF197" s="1930"/>
      <c r="CG197" s="1930"/>
      <c r="CH197" s="1930"/>
      <c r="CI197" s="1931"/>
      <c r="CJ197" s="1931"/>
      <c r="CK197" s="1931"/>
      <c r="CL197" s="1931"/>
      <c r="CM197" s="1931"/>
      <c r="CN197" s="1931"/>
      <c r="CO197" s="1931"/>
      <c r="CP197" s="1931"/>
      <c r="CQ197" s="1931"/>
      <c r="CR197" s="1931"/>
      <c r="CS197" s="1931"/>
      <c r="CT197" s="1930"/>
      <c r="CU197" s="1930"/>
      <c r="CV197" s="1930"/>
      <c r="CW197" s="1930"/>
      <c r="CX197" s="1931"/>
      <c r="CY197" s="1931"/>
      <c r="CZ197" s="1931"/>
      <c r="DA197" s="1931"/>
      <c r="DB197" s="1945">
        <f>(DD197)/(DE197)</f>
        <v>2.0378027787616295</v>
      </c>
      <c r="DC197" s="3166" t="str">
        <f>CONCATENATE(G197," ",J197," Year EUL")</f>
        <v>Refrigeration BUS 12 Year EUL</v>
      </c>
      <c r="DD197" s="69">
        <f>(INDEX('Avoided Cost Benefits'!$C$4:$C$857,MATCH(DC197,'Avoided Cost Benefits'!$A$4:$A$857,0)))*F197</f>
        <v>290.42776743086932</v>
      </c>
      <c r="DE197" s="1946">
        <f>K197/(1.0595^(2020-2019))</f>
        <v>142.52005663048607</v>
      </c>
      <c r="DF197" s="1931"/>
    </row>
    <row r="198" spans="2:112" x14ac:dyDescent="0.25">
      <c r="B198" s="1931"/>
      <c r="C198" s="2462" t="s">
        <v>2788</v>
      </c>
      <c r="D198" s="1289" t="s">
        <v>2646</v>
      </c>
      <c r="E198" s="1319" t="s">
        <v>2789</v>
      </c>
      <c r="F198" s="1959">
        <f>ROUND(F$208*G$208*(H$208-H211)*I$208*J211,2)</f>
        <v>770.93</v>
      </c>
      <c r="G198" s="1290" t="s">
        <v>2722</v>
      </c>
      <c r="H198" s="1291">
        <f>VLOOKUP(G198,'CP FACTORS'!$A$26:$B$38,2,FALSE)</f>
        <v>1.3573829999999999E-4</v>
      </c>
      <c r="I198" s="1309">
        <f>ROUND(H198*F198,6)</f>
        <v>0.104645</v>
      </c>
      <c r="J198" s="1317">
        <v>12</v>
      </c>
      <c r="K198" s="1329">
        <v>151</v>
      </c>
      <c r="L198" s="1180" t="s">
        <v>2787</v>
      </c>
      <c r="M198" s="4504"/>
      <c r="N198" s="4504"/>
      <c r="O198" s="4504"/>
      <c r="P198" s="1965"/>
      <c r="Q198" s="1965"/>
      <c r="R198" s="1965"/>
      <c r="S198" s="1965"/>
      <c r="T198" s="1965"/>
      <c r="U198" s="1965"/>
      <c r="V198" s="3226" t="str">
        <f>V197</f>
        <v>kWh Annual Savings (per door)</v>
      </c>
      <c r="W198" s="129">
        <v>770.92587000000003</v>
      </c>
      <c r="X198" s="129">
        <v>770.92587000000003</v>
      </c>
      <c r="Y198" s="129">
        <v>770.92587000000003</v>
      </c>
      <c r="Z198" s="129">
        <v>770.92587000000003</v>
      </c>
      <c r="AA198" s="129">
        <v>770.92587000000003</v>
      </c>
      <c r="AB198" s="2002">
        <v>770.93</v>
      </c>
      <c r="AC198" s="3364">
        <v>770.93</v>
      </c>
      <c r="AD198" s="2099"/>
      <c r="AE198" s="2099"/>
      <c r="AF198" s="2099"/>
      <c r="AG198" s="2099"/>
      <c r="AH198" s="2100"/>
      <c r="AI198" s="3227" t="s">
        <v>181</v>
      </c>
      <c r="AJ198" s="64">
        <v>12</v>
      </c>
      <c r="AK198" s="64">
        <v>12</v>
      </c>
      <c r="AL198" s="64">
        <v>12</v>
      </c>
      <c r="AM198" s="64">
        <v>12</v>
      </c>
      <c r="AN198" s="64">
        <v>12</v>
      </c>
      <c r="AO198" s="2091">
        <v>12</v>
      </c>
      <c r="AP198" s="2091">
        <v>12</v>
      </c>
      <c r="AQ198" s="2099"/>
      <c r="AR198" s="2099"/>
      <c r="AS198" s="2099"/>
      <c r="AT198" s="1933"/>
      <c r="AU198" s="3227" t="str">
        <f>AU197</f>
        <v>Inc. Cost (per door)</v>
      </c>
      <c r="AV198" s="2102">
        <v>151</v>
      </c>
      <c r="AW198" s="2102">
        <v>151</v>
      </c>
      <c r="AX198" s="2102">
        <v>151</v>
      </c>
      <c r="AY198" s="2102">
        <v>151</v>
      </c>
      <c r="AZ198" s="2102">
        <v>151</v>
      </c>
      <c r="BA198" s="2102">
        <v>151</v>
      </c>
      <c r="BB198" s="2102">
        <v>151</v>
      </c>
      <c r="BC198" s="2099"/>
      <c r="BD198" s="2099"/>
      <c r="BE198" s="2099"/>
      <c r="BF198" s="1933"/>
      <c r="BG198" s="1933"/>
      <c r="BH198" s="1933"/>
      <c r="BI198" s="1933"/>
      <c r="BJ198" s="1933"/>
      <c r="BK198" s="1933"/>
      <c r="BL198" s="1933"/>
      <c r="BM198" s="1933"/>
      <c r="BN198" s="1933"/>
      <c r="BO198" s="1933"/>
      <c r="BP198" s="1933"/>
      <c r="BQ198" s="1933"/>
      <c r="BR198" s="1933"/>
      <c r="BS198" s="1933"/>
      <c r="BT198" s="1933"/>
      <c r="BU198" s="1933"/>
      <c r="BV198" s="1931"/>
      <c r="BW198" s="1931"/>
      <c r="BX198" s="1931"/>
      <c r="BY198" s="1931"/>
      <c r="BZ198" s="1931"/>
      <c r="CA198" s="1931"/>
      <c r="CB198" s="1931"/>
      <c r="CC198" s="1931"/>
      <c r="CD198" s="1931"/>
      <c r="CE198" s="1930"/>
      <c r="CF198" s="1930"/>
      <c r="CG198" s="1930"/>
      <c r="CH198" s="1930"/>
      <c r="CI198" s="1931"/>
      <c r="CJ198" s="1931"/>
      <c r="CK198" s="1931"/>
      <c r="CL198" s="1931"/>
      <c r="CM198" s="1931"/>
      <c r="CN198" s="1931"/>
      <c r="CO198" s="1931"/>
      <c r="CP198" s="1931"/>
      <c r="CQ198" s="1931"/>
      <c r="CR198" s="1931"/>
      <c r="CS198" s="1931"/>
      <c r="CT198" s="1930"/>
      <c r="CU198" s="1930"/>
      <c r="CV198" s="1930"/>
      <c r="CW198" s="1930"/>
      <c r="CX198" s="1931"/>
      <c r="CY198" s="1931"/>
      <c r="CZ198" s="1931"/>
      <c r="DA198" s="1931"/>
      <c r="DB198" s="53">
        <f>(DD198)/(DE198)</f>
        <v>2.3513085524451509</v>
      </c>
      <c r="DC198" s="1948" t="str">
        <f>CONCATENATE(G198," ",J198," Year EUL")</f>
        <v>Refrigeration BUS 12 Year EUL</v>
      </c>
      <c r="DD198" s="71">
        <f>(INDEX('Avoided Cost Benefits'!$C$4:$C$857,MATCH(DC198,'Avoided Cost Benefits'!$A$4:$A$857,0)))*F198</f>
        <v>335.10862805022913</v>
      </c>
      <c r="DE198" s="1950">
        <f>K198/(1.0595^(2020-2019))</f>
        <v>142.52005663048607</v>
      </c>
      <c r="DF198" s="1931"/>
    </row>
    <row r="199" spans="2:112" hidden="1" outlineLevel="1" x14ac:dyDescent="0.25">
      <c r="B199" s="1931"/>
      <c r="D199" s="1966"/>
      <c r="E199" s="1966"/>
      <c r="F199" s="1966"/>
      <c r="G199" s="1966"/>
      <c r="H199" s="1299"/>
      <c r="I199" s="1966"/>
      <c r="J199" s="1966"/>
      <c r="K199" s="1966"/>
      <c r="L199" s="1965"/>
      <c r="M199" s="4504"/>
      <c r="N199" s="4504"/>
      <c r="O199" s="4504"/>
      <c r="P199" s="1965"/>
      <c r="Q199" s="1965"/>
      <c r="R199" s="1965"/>
      <c r="S199" s="1965"/>
      <c r="T199" s="1965"/>
      <c r="U199" s="1965"/>
      <c r="V199" s="1931"/>
      <c r="W199" s="1933"/>
      <c r="X199" s="1933"/>
      <c r="Y199" s="1933"/>
      <c r="Z199" s="1933"/>
      <c r="AA199" s="1933"/>
      <c r="AB199" s="1933"/>
      <c r="AC199" s="1933"/>
      <c r="AD199" s="1933"/>
      <c r="AE199" s="1933"/>
      <c r="AF199" s="1933"/>
      <c r="AG199" s="1933"/>
      <c r="AH199" s="1933"/>
      <c r="AI199" s="1933"/>
      <c r="AJ199" s="1933"/>
      <c r="AK199" s="1933"/>
      <c r="AL199" s="1933"/>
      <c r="AM199" s="1933"/>
      <c r="AN199" s="1933"/>
      <c r="AO199" s="1933"/>
      <c r="AP199" s="1933"/>
      <c r="AQ199" s="1933"/>
      <c r="AR199" s="1933"/>
      <c r="AS199" s="1933"/>
      <c r="AT199" s="1933"/>
      <c r="AU199" s="1933"/>
      <c r="AV199" s="1933"/>
      <c r="AW199" s="1933"/>
      <c r="AX199" s="1933"/>
      <c r="AY199" s="1933"/>
      <c r="AZ199" s="1933"/>
      <c r="BA199" s="1933"/>
      <c r="BB199" s="1933"/>
      <c r="BC199" s="1933"/>
      <c r="BD199" s="1933"/>
      <c r="BE199" s="1933"/>
      <c r="BF199" s="1933"/>
      <c r="BG199" s="1933"/>
      <c r="BH199" s="1933"/>
      <c r="BI199" s="1933"/>
      <c r="BJ199" s="1933"/>
      <c r="BK199" s="1933"/>
      <c r="BL199" s="1933"/>
      <c r="BM199" s="1933"/>
      <c r="BN199" s="1933"/>
      <c r="BO199" s="1933"/>
      <c r="BP199" s="1933"/>
      <c r="BQ199" s="1933"/>
      <c r="BR199" s="1933"/>
      <c r="BS199" s="1933"/>
      <c r="BT199" s="1933"/>
      <c r="BU199" s="1933"/>
      <c r="BV199" s="1931"/>
      <c r="BW199" s="1931"/>
      <c r="BX199" s="1931"/>
      <c r="BY199" s="1931"/>
      <c r="BZ199" s="1931"/>
      <c r="CA199" s="1931"/>
      <c r="CB199" s="1931"/>
      <c r="CC199" s="1931"/>
      <c r="CD199" s="1931"/>
      <c r="CE199" s="1930"/>
      <c r="CF199" s="1930"/>
      <c r="CG199" s="1930"/>
      <c r="CH199" s="1930"/>
      <c r="CI199" s="1931"/>
      <c r="CJ199" s="1931"/>
      <c r="CK199" s="1931"/>
      <c r="CL199" s="1931"/>
      <c r="CM199" s="1931"/>
      <c r="CN199" s="1931"/>
      <c r="CO199" s="1931"/>
      <c r="CP199" s="1931"/>
      <c r="CQ199" s="1931"/>
      <c r="CR199" s="1931"/>
      <c r="CS199" s="1931"/>
      <c r="CT199" s="1930"/>
      <c r="CU199" s="1930"/>
      <c r="CV199" s="1930"/>
      <c r="CW199" s="1930"/>
      <c r="CX199" s="1931"/>
      <c r="CY199" s="1931"/>
      <c r="CZ199" s="1931"/>
      <c r="DA199" s="1931"/>
      <c r="DB199" s="1932"/>
      <c r="DC199" s="1931"/>
      <c r="DD199" s="1931"/>
      <c r="DE199" s="1931"/>
      <c r="DF199" s="1931"/>
    </row>
    <row r="200" spans="2:112" hidden="1" outlineLevel="1" x14ac:dyDescent="0.25">
      <c r="B200" s="1931"/>
      <c r="D200" s="1966" t="s">
        <v>2689</v>
      </c>
      <c r="E200" s="1966"/>
      <c r="F200" s="1966"/>
      <c r="G200" s="1966"/>
      <c r="H200" s="1299"/>
      <c r="I200" s="1966"/>
      <c r="J200" s="1966"/>
      <c r="K200" s="1966"/>
      <c r="L200" s="1965"/>
      <c r="M200" s="4504"/>
      <c r="N200" s="4504"/>
      <c r="O200" s="4504"/>
      <c r="P200" s="1965"/>
      <c r="Q200" s="1965"/>
      <c r="R200" s="1965"/>
      <c r="S200" s="1965"/>
      <c r="T200" s="1965"/>
      <c r="U200" s="1965"/>
      <c r="V200" s="1931"/>
      <c r="W200" s="1933"/>
      <c r="X200" s="1933"/>
      <c r="Y200" s="1933"/>
      <c r="Z200" s="1933"/>
      <c r="AA200" s="1933"/>
      <c r="AB200" s="1933"/>
      <c r="AC200" s="1933"/>
      <c r="AD200" s="1933"/>
      <c r="AE200" s="1933"/>
      <c r="AF200" s="1933"/>
      <c r="AG200" s="1933"/>
      <c r="AH200" s="1933"/>
      <c r="AI200" s="1933"/>
      <c r="AJ200" s="1933"/>
      <c r="AK200" s="1933"/>
      <c r="AL200" s="1933"/>
      <c r="AM200" s="1933"/>
      <c r="AN200" s="1933"/>
      <c r="AO200" s="1933"/>
      <c r="AP200" s="1933"/>
      <c r="AQ200" s="1933"/>
      <c r="AR200" s="1933"/>
      <c r="AS200" s="1933"/>
      <c r="AT200" s="1933"/>
      <c r="AU200" s="1933"/>
      <c r="AV200" s="1933"/>
      <c r="AW200" s="1933"/>
      <c r="AX200" s="1933"/>
      <c r="AY200" s="1933"/>
      <c r="AZ200" s="1933"/>
      <c r="BA200" s="1933"/>
      <c r="BB200" s="1933"/>
      <c r="BC200" s="1933"/>
      <c r="BD200" s="1933"/>
      <c r="BE200" s="1933"/>
      <c r="BF200" s="1933"/>
      <c r="BG200" s="1933"/>
      <c r="BH200" s="1933"/>
      <c r="BI200" s="1933"/>
      <c r="BJ200" s="1933"/>
      <c r="BK200" s="1933"/>
      <c r="BL200" s="1933"/>
      <c r="BM200" s="1933"/>
      <c r="BN200" s="1933"/>
      <c r="BO200" s="1933"/>
      <c r="BP200" s="1933"/>
      <c r="BQ200" s="1933"/>
      <c r="BR200" s="1933"/>
      <c r="BS200" s="1933"/>
      <c r="BT200" s="1933"/>
      <c r="BU200" s="1933"/>
      <c r="BV200" s="1931"/>
      <c r="BW200" s="1931"/>
      <c r="BX200" s="1931"/>
      <c r="BY200" s="1931"/>
      <c r="BZ200" s="1931"/>
      <c r="CA200" s="1931"/>
      <c r="CB200" s="1931"/>
      <c r="CC200" s="1931"/>
      <c r="CD200" s="1931"/>
      <c r="CE200" s="1930"/>
      <c r="CF200" s="1930"/>
      <c r="CG200" s="1930"/>
      <c r="CH200" s="1930"/>
      <c r="CI200" s="1931"/>
      <c r="CJ200" s="1931"/>
      <c r="CK200" s="1931"/>
      <c r="CL200" s="1931"/>
      <c r="CM200" s="1931"/>
      <c r="CN200" s="1931"/>
      <c r="CO200" s="1931"/>
      <c r="CP200" s="1931"/>
      <c r="CQ200" s="1931"/>
      <c r="CR200" s="1931"/>
      <c r="CS200" s="1931"/>
      <c r="CT200" s="1930"/>
      <c r="CU200" s="1930"/>
      <c r="CV200" s="1930"/>
      <c r="CW200" s="1930"/>
      <c r="CX200" s="1931"/>
      <c r="CY200" s="1931"/>
      <c r="CZ200" s="1931"/>
      <c r="DA200" s="1931"/>
      <c r="DB200" s="1932"/>
      <c r="DC200" s="1931"/>
      <c r="DD200" s="1931"/>
      <c r="DE200" s="1931"/>
      <c r="DF200" s="1931"/>
    </row>
    <row r="201" spans="2:112" hidden="1" outlineLevel="1" x14ac:dyDescent="0.25">
      <c r="B201" s="1931"/>
      <c r="D201" s="1300"/>
      <c r="E201" s="1965"/>
      <c r="F201" s="1965"/>
      <c r="G201" s="1321"/>
      <c r="H201" s="1322"/>
      <c r="I201" s="1965"/>
      <c r="J201" s="1965"/>
      <c r="K201" s="1965"/>
      <c r="L201" s="1965"/>
      <c r="M201" s="4504"/>
      <c r="N201" s="4504"/>
      <c r="O201" s="4504"/>
      <c r="P201" s="1965"/>
      <c r="Q201" s="1965"/>
      <c r="R201" s="1965"/>
      <c r="S201" s="1965"/>
      <c r="T201" s="1965"/>
      <c r="U201" s="1965"/>
      <c r="V201" s="1931"/>
      <c r="W201" s="1933"/>
      <c r="X201" s="1933"/>
      <c r="Y201" s="1933"/>
      <c r="Z201" s="1933"/>
      <c r="AA201" s="1933"/>
      <c r="AB201" s="1933"/>
      <c r="AC201" s="1933"/>
      <c r="AD201" s="1933"/>
      <c r="AE201" s="1933"/>
      <c r="AF201" s="1933"/>
      <c r="AG201" s="1933"/>
      <c r="AH201" s="1933"/>
      <c r="AI201" s="1933"/>
      <c r="AJ201" s="1933"/>
      <c r="AK201" s="1933"/>
      <c r="AL201" s="1933"/>
      <c r="AM201" s="1933"/>
      <c r="AN201" s="1933"/>
      <c r="AO201" s="1933"/>
      <c r="AP201" s="1933"/>
      <c r="AQ201" s="1933"/>
      <c r="AR201" s="1933"/>
      <c r="AS201" s="1933"/>
      <c r="AT201" s="1933"/>
      <c r="AU201" s="1933"/>
      <c r="AV201" s="1933"/>
      <c r="AW201" s="1933"/>
      <c r="AX201" s="1933"/>
      <c r="AY201" s="1933"/>
      <c r="AZ201" s="1933"/>
      <c r="BA201" s="1933"/>
      <c r="BB201" s="1933"/>
      <c r="BC201" s="1933"/>
      <c r="BD201" s="1933"/>
      <c r="BE201" s="1933"/>
      <c r="BF201" s="1933"/>
      <c r="BG201" s="1933"/>
      <c r="BH201" s="1933"/>
      <c r="BI201" s="1933"/>
      <c r="BJ201" s="1933"/>
      <c r="BK201" s="1933"/>
      <c r="BL201" s="1933"/>
      <c r="BM201" s="1933"/>
      <c r="BN201" s="1933"/>
      <c r="BO201" s="1933"/>
      <c r="BP201" s="1933"/>
      <c r="BQ201" s="1933"/>
      <c r="BR201" s="1933"/>
      <c r="BS201" s="1933"/>
      <c r="BT201" s="1933"/>
      <c r="BU201" s="1933"/>
      <c r="BV201" s="1931"/>
      <c r="BW201" s="1931"/>
      <c r="BX201" s="1931"/>
      <c r="BY201" s="1931"/>
      <c r="BZ201" s="1931"/>
      <c r="CA201" s="1931"/>
      <c r="CB201" s="1931"/>
      <c r="CC201" s="1931"/>
      <c r="CD201" s="1931"/>
      <c r="CE201" s="1930"/>
      <c r="CF201" s="1930"/>
      <c r="CG201" s="1930"/>
      <c r="CH201" s="1930"/>
      <c r="CI201" s="1931"/>
      <c r="CJ201" s="1931"/>
      <c r="CK201" s="1931"/>
      <c r="CL201" s="1931"/>
      <c r="CM201" s="1931"/>
      <c r="CN201" s="1931"/>
      <c r="CO201" s="1931"/>
      <c r="CP201" s="1931"/>
      <c r="CQ201" s="1931"/>
      <c r="CR201" s="1931"/>
      <c r="CS201" s="1931"/>
      <c r="CT201" s="1930"/>
      <c r="CU201" s="1930"/>
      <c r="CV201" s="1930"/>
      <c r="CW201" s="1930"/>
      <c r="CX201" s="1931"/>
      <c r="CY201" s="1931"/>
      <c r="CZ201" s="1931"/>
      <c r="DA201" s="1931"/>
      <c r="DB201" s="1932"/>
      <c r="DC201" s="1931"/>
      <c r="DD201" s="1931"/>
      <c r="DE201" s="1931"/>
      <c r="DF201" s="1931"/>
    </row>
    <row r="202" spans="2:112" hidden="1" outlineLevel="1" x14ac:dyDescent="0.25">
      <c r="B202" s="1931"/>
      <c r="D202" s="1300"/>
      <c r="E202" s="1965"/>
      <c r="F202" s="1965"/>
      <c r="G202" s="1321"/>
      <c r="H202" s="1322"/>
      <c r="I202" s="1965"/>
      <c r="J202" s="1965"/>
      <c r="K202" s="1965"/>
      <c r="L202" s="1965"/>
      <c r="M202" s="1965"/>
      <c r="N202" s="1965"/>
      <c r="O202" s="1965"/>
      <c r="P202" s="1965"/>
      <c r="Q202" s="1965"/>
      <c r="R202" s="1965"/>
      <c r="S202" s="1965"/>
      <c r="T202" s="1965"/>
      <c r="U202" s="1965"/>
      <c r="V202" s="1931"/>
      <c r="W202" s="1931"/>
      <c r="X202" s="1931"/>
      <c r="Y202" s="1931"/>
      <c r="Z202" s="1931"/>
      <c r="AA202" s="1931"/>
      <c r="AB202" s="1931"/>
      <c r="AC202" s="1931"/>
      <c r="AD202" s="1931"/>
      <c r="AE202" s="1931"/>
      <c r="AF202" s="1931"/>
      <c r="AG202" s="1931"/>
      <c r="AH202" s="1931"/>
      <c r="AI202" s="1931"/>
      <c r="AJ202" s="1931"/>
      <c r="AK202" s="1931"/>
      <c r="AL202" s="1931"/>
      <c r="AM202" s="1931"/>
      <c r="AN202" s="1931"/>
      <c r="AO202" s="1931"/>
      <c r="AP202" s="1931"/>
      <c r="AQ202" s="1931"/>
      <c r="AR202" s="1931"/>
      <c r="AS202" s="1931"/>
      <c r="AT202" s="1931"/>
      <c r="AU202" s="1931"/>
      <c r="AV202" s="1931"/>
      <c r="AW202" s="1931"/>
      <c r="AX202" s="1931"/>
      <c r="AY202" s="1931"/>
      <c r="AZ202" s="1931"/>
      <c r="BA202" s="1931"/>
      <c r="BB202" s="1931"/>
      <c r="BC202" s="1931"/>
      <c r="BD202" s="1931"/>
      <c r="BE202" s="1931"/>
      <c r="BF202" s="1931"/>
      <c r="BG202" s="1931"/>
      <c r="BH202" s="1931"/>
      <c r="BI202" s="1931"/>
      <c r="BJ202" s="1931"/>
      <c r="BK202" s="1931"/>
      <c r="BL202" s="1931"/>
      <c r="BM202" s="1931"/>
      <c r="BN202" s="1931"/>
      <c r="BO202" s="1931"/>
      <c r="BP202" s="1931"/>
      <c r="BQ202" s="1931"/>
      <c r="BR202" s="1931"/>
      <c r="BS202" s="1931"/>
      <c r="BT202" s="1931"/>
      <c r="BU202" s="1931"/>
      <c r="BV202" s="1931"/>
      <c r="BW202" s="1931"/>
      <c r="BX202" s="1931"/>
      <c r="BY202" s="1931"/>
      <c r="BZ202" s="1931"/>
      <c r="CA202" s="1931"/>
      <c r="CB202" s="1931"/>
      <c r="CC202" s="1931"/>
      <c r="CD202" s="1931"/>
      <c r="CE202" s="1930"/>
      <c r="CF202" s="1930"/>
      <c r="CG202" s="1930"/>
      <c r="CH202" s="1930"/>
      <c r="CI202" s="1931"/>
      <c r="CJ202" s="1931"/>
      <c r="CK202" s="1931"/>
      <c r="CL202" s="1931"/>
      <c r="CM202" s="1931"/>
      <c r="CN202" s="1931"/>
      <c r="CO202" s="1931"/>
      <c r="CP202" s="1931"/>
      <c r="CQ202" s="1931"/>
      <c r="CR202" s="1931"/>
      <c r="CS202" s="1931"/>
      <c r="CT202" s="1930"/>
      <c r="CU202" s="1930"/>
      <c r="CV202" s="1930"/>
      <c r="CW202" s="1930"/>
      <c r="CX202" s="1931"/>
      <c r="CY202" s="1931"/>
      <c r="CZ202" s="1931"/>
      <c r="DA202" s="1931"/>
      <c r="DB202" s="1932"/>
      <c r="DC202" s="1931"/>
      <c r="DD202" s="1931"/>
      <c r="DE202" s="1931"/>
      <c r="DF202" s="1931"/>
    </row>
    <row r="203" spans="2:112" hidden="1" outlineLevel="1" x14ac:dyDescent="0.25">
      <c r="B203" s="1931"/>
      <c r="D203" s="1300"/>
      <c r="E203" s="1965"/>
      <c r="F203" s="1965"/>
      <c r="G203" s="1965"/>
      <c r="H203" s="1301"/>
      <c r="I203" s="1965"/>
      <c r="J203" s="1965"/>
      <c r="K203" s="1965"/>
      <c r="L203" s="1965"/>
      <c r="M203" s="1966"/>
      <c r="N203" s="1965"/>
      <c r="O203" s="1965"/>
      <c r="P203" s="1965"/>
      <c r="Q203" s="1965"/>
      <c r="R203" s="1965"/>
      <c r="S203" s="1965"/>
      <c r="T203" s="1965"/>
      <c r="U203" s="1965"/>
      <c r="V203" s="1931"/>
      <c r="W203" s="1931"/>
      <c r="X203" s="1931"/>
      <c r="Y203" s="1931"/>
      <c r="Z203" s="1931"/>
      <c r="AA203" s="1931"/>
      <c r="AB203" s="1931"/>
      <c r="AC203" s="1931"/>
      <c r="AD203" s="1931"/>
      <c r="AE203" s="1931"/>
      <c r="AF203" s="1931"/>
      <c r="AG203" s="1931"/>
      <c r="AH203" s="1931"/>
      <c r="AI203" s="1931"/>
      <c r="AJ203" s="1931"/>
      <c r="AK203" s="1931"/>
      <c r="AL203" s="1931"/>
      <c r="AM203" s="1931"/>
      <c r="AN203" s="1931"/>
      <c r="AO203" s="1931"/>
      <c r="AP203" s="1931"/>
      <c r="AQ203" s="1931"/>
      <c r="AR203" s="1931"/>
      <c r="AS203" s="1931"/>
      <c r="AT203" s="1931"/>
      <c r="AU203" s="1931"/>
      <c r="AV203" s="1931"/>
      <c r="AW203" s="1931"/>
      <c r="AX203" s="1931"/>
      <c r="AY203" s="1931"/>
      <c r="AZ203" s="1931"/>
      <c r="BA203" s="1931"/>
      <c r="BB203" s="1931"/>
      <c r="BC203" s="1931"/>
      <c r="BD203" s="1931"/>
      <c r="BE203" s="1931"/>
      <c r="BF203" s="1931"/>
      <c r="BG203" s="1931"/>
      <c r="BH203" s="1931"/>
      <c r="BI203" s="1931"/>
      <c r="BJ203" s="1931"/>
      <c r="BK203" s="1931"/>
      <c r="BL203" s="1931"/>
      <c r="BM203" s="1931"/>
      <c r="BN203" s="1931"/>
      <c r="BO203" s="1931"/>
      <c r="BP203" s="1931"/>
      <c r="BQ203" s="1931"/>
      <c r="BR203" s="1931"/>
      <c r="BS203" s="1931"/>
      <c r="BT203" s="1931"/>
      <c r="BU203" s="1931"/>
      <c r="BV203" s="1931"/>
      <c r="BW203" s="1931"/>
      <c r="BX203" s="1931"/>
      <c r="BY203" s="1931"/>
      <c r="BZ203" s="1931"/>
      <c r="CA203" s="1931"/>
      <c r="CB203" s="1931"/>
      <c r="CC203" s="1931"/>
      <c r="CD203" s="1931"/>
      <c r="CE203" s="1930"/>
      <c r="CF203" s="1930"/>
      <c r="CG203" s="1930"/>
      <c r="CH203" s="1930"/>
      <c r="CI203" s="1931"/>
      <c r="CJ203" s="1931"/>
      <c r="CK203" s="1931"/>
      <c r="CL203" s="1931"/>
      <c r="CM203" s="1931"/>
      <c r="CN203" s="1931"/>
      <c r="CO203" s="1931"/>
      <c r="CP203" s="1931"/>
      <c r="CQ203" s="1931"/>
      <c r="CR203" s="1931"/>
      <c r="CS203" s="1931"/>
      <c r="CT203" s="1930"/>
      <c r="CU203" s="1930"/>
      <c r="CV203" s="1930"/>
      <c r="CW203" s="1930"/>
      <c r="CX203" s="1931"/>
      <c r="CY203" s="1931"/>
      <c r="CZ203" s="1931"/>
      <c r="DA203" s="1931"/>
      <c r="DB203" s="1932"/>
      <c r="DC203" s="1931"/>
      <c r="DD203" s="1931"/>
      <c r="DE203" s="1931"/>
      <c r="DF203" s="1931"/>
    </row>
    <row r="204" spans="2:112" hidden="1" outlineLevel="1" x14ac:dyDescent="0.25">
      <c r="B204" s="1931"/>
      <c r="D204" s="1300"/>
      <c r="E204" s="1965"/>
      <c r="F204" s="1965"/>
      <c r="G204" s="1965"/>
      <c r="H204" s="1301"/>
      <c r="I204" s="1965"/>
      <c r="J204" s="1965"/>
      <c r="K204" s="1965"/>
      <c r="L204" s="1965"/>
      <c r="M204" s="1966"/>
      <c r="N204" s="1965"/>
      <c r="O204" s="1965"/>
      <c r="P204" s="1965"/>
      <c r="Q204" s="1965"/>
      <c r="R204" s="1965"/>
      <c r="S204" s="1965"/>
      <c r="T204" s="1965"/>
      <c r="U204" s="1965"/>
      <c r="V204" s="1931"/>
      <c r="W204" s="1931"/>
      <c r="X204" s="1931"/>
      <c r="Y204" s="1931"/>
      <c r="Z204" s="1931"/>
      <c r="AA204" s="1931"/>
      <c r="AB204" s="1931"/>
      <c r="AC204" s="1931"/>
      <c r="AD204" s="1931"/>
      <c r="AE204" s="1931"/>
      <c r="AF204" s="1931"/>
      <c r="AG204" s="1931"/>
      <c r="AH204" s="1931"/>
      <c r="AI204" s="1931"/>
      <c r="AJ204" s="1931"/>
      <c r="AK204" s="1931"/>
      <c r="AL204" s="1931"/>
      <c r="AM204" s="1931"/>
      <c r="AN204" s="1931"/>
      <c r="AO204" s="1931"/>
      <c r="AP204" s="1931"/>
      <c r="AQ204" s="1931"/>
      <c r="AR204" s="1931"/>
      <c r="AS204" s="1931"/>
      <c r="AT204" s="1931"/>
      <c r="AU204" s="1931"/>
      <c r="AV204" s="1931"/>
      <c r="AW204" s="1931"/>
      <c r="AX204" s="1931"/>
      <c r="AY204" s="1931"/>
      <c r="AZ204" s="1931"/>
      <c r="BA204" s="1931"/>
      <c r="BB204" s="1931"/>
      <c r="BC204" s="1931"/>
      <c r="BD204" s="1931"/>
      <c r="BE204" s="1931"/>
      <c r="BF204" s="1931"/>
      <c r="BG204" s="1931"/>
      <c r="BH204" s="1931"/>
      <c r="BI204" s="1931"/>
      <c r="BJ204" s="1931"/>
      <c r="BK204" s="1931"/>
      <c r="BL204" s="1931"/>
      <c r="BM204" s="1931"/>
      <c r="BN204" s="1931"/>
      <c r="BO204" s="1931"/>
      <c r="BP204" s="1931"/>
      <c r="BQ204" s="1931"/>
      <c r="BR204" s="1931"/>
      <c r="BS204" s="1931"/>
      <c r="BT204" s="1931"/>
      <c r="BU204" s="1931"/>
      <c r="BV204" s="1931"/>
      <c r="BW204" s="1931"/>
      <c r="BX204" s="1931"/>
      <c r="BY204" s="1931"/>
      <c r="BZ204" s="1931"/>
      <c r="CA204" s="1931"/>
      <c r="CB204" s="1931"/>
      <c r="CC204" s="1931"/>
      <c r="CD204" s="1931"/>
      <c r="CE204" s="1930"/>
      <c r="CF204" s="1930"/>
      <c r="CG204" s="1930"/>
      <c r="CH204" s="1930"/>
      <c r="CI204" s="1931"/>
      <c r="CJ204" s="1931"/>
      <c r="CK204" s="1931"/>
      <c r="CL204" s="1931"/>
      <c r="CM204" s="1931"/>
      <c r="CN204" s="1931"/>
      <c r="CO204" s="1931"/>
      <c r="CP204" s="1931"/>
      <c r="CQ204" s="1931"/>
      <c r="CR204" s="1931"/>
      <c r="CS204" s="1931"/>
      <c r="CT204" s="1930"/>
      <c r="CU204" s="1930"/>
      <c r="CV204" s="1930"/>
      <c r="CW204" s="1930"/>
      <c r="CX204" s="1931"/>
      <c r="CY204" s="1931"/>
      <c r="CZ204" s="1931"/>
      <c r="DA204" s="1931"/>
      <c r="DB204" s="1932"/>
      <c r="DC204" s="1931"/>
      <c r="DD204" s="1931"/>
      <c r="DE204" s="1931"/>
      <c r="DF204" s="1931"/>
    </row>
    <row r="205" spans="2:112" hidden="1" outlineLevel="1" x14ac:dyDescent="0.25">
      <c r="B205" s="1931"/>
      <c r="D205" s="1300"/>
      <c r="E205" s="1965"/>
      <c r="F205" s="1965"/>
      <c r="G205" s="1965"/>
      <c r="H205" s="1301"/>
      <c r="I205" s="1965"/>
      <c r="J205" s="1965"/>
      <c r="K205" s="1965"/>
      <c r="L205" s="1965"/>
      <c r="M205" s="1966"/>
      <c r="N205" s="1965"/>
      <c r="O205" s="1965"/>
      <c r="P205" s="1965"/>
      <c r="Q205" s="1965"/>
      <c r="R205" s="1965"/>
      <c r="S205" s="1965"/>
      <c r="T205" s="1965"/>
      <c r="U205" s="1965"/>
      <c r="V205" s="1931"/>
      <c r="W205" s="1931"/>
      <c r="X205" s="1931"/>
      <c r="Y205" s="1931"/>
      <c r="Z205" s="1931"/>
      <c r="AA205" s="1931"/>
      <c r="AB205" s="1931"/>
      <c r="AC205" s="1931"/>
      <c r="AD205" s="1931"/>
      <c r="AE205" s="1931"/>
      <c r="AF205" s="1931"/>
      <c r="AG205" s="1931"/>
      <c r="AH205" s="1931"/>
      <c r="AI205" s="1931"/>
      <c r="AJ205" s="1931"/>
      <c r="AK205" s="1931"/>
      <c r="AL205" s="1931"/>
      <c r="AM205" s="1931"/>
      <c r="AN205" s="1931"/>
      <c r="AO205" s="1931"/>
      <c r="AP205" s="1931"/>
      <c r="AQ205" s="1931"/>
      <c r="AR205" s="1931"/>
      <c r="AS205" s="1931"/>
      <c r="AT205" s="1931"/>
      <c r="AU205" s="1931"/>
      <c r="AV205" s="1931"/>
      <c r="AW205" s="1931"/>
      <c r="AX205" s="1931"/>
      <c r="AY205" s="1931"/>
      <c r="AZ205" s="1931"/>
      <c r="BA205" s="1931"/>
      <c r="BB205" s="1931"/>
      <c r="BC205" s="1931"/>
      <c r="BD205" s="1931"/>
      <c r="BE205" s="1931"/>
      <c r="BF205" s="1931"/>
      <c r="BG205" s="1931"/>
      <c r="BH205" s="1931"/>
      <c r="BI205" s="1931"/>
      <c r="BJ205" s="1931"/>
      <c r="BK205" s="1931"/>
      <c r="BL205" s="1931"/>
      <c r="BM205" s="1931"/>
      <c r="BN205" s="1931"/>
      <c r="BO205" s="1931"/>
      <c r="BP205" s="1931"/>
      <c r="BQ205" s="1931"/>
      <c r="BR205" s="1931"/>
      <c r="BS205" s="1931"/>
      <c r="BT205" s="1931"/>
      <c r="BU205" s="1931"/>
      <c r="BV205" s="1931"/>
      <c r="BW205" s="1931"/>
      <c r="BX205" s="1931"/>
      <c r="BY205" s="1931"/>
      <c r="BZ205" s="1931"/>
      <c r="CA205" s="1931"/>
      <c r="CB205" s="1931"/>
      <c r="CC205" s="1931"/>
      <c r="CD205" s="1931"/>
      <c r="CE205" s="1930"/>
      <c r="CF205" s="1930"/>
      <c r="CG205" s="1930"/>
      <c r="CH205" s="1930"/>
      <c r="CI205" s="1931"/>
      <c r="CJ205" s="1931"/>
      <c r="CK205" s="1931"/>
      <c r="CL205" s="1931"/>
      <c r="CM205" s="1931"/>
      <c r="CN205" s="1931"/>
      <c r="CO205" s="1931"/>
      <c r="CP205" s="1931"/>
      <c r="CQ205" s="1931"/>
      <c r="CR205" s="1931"/>
      <c r="CS205" s="1931"/>
      <c r="CT205" s="1930"/>
      <c r="CU205" s="1930"/>
      <c r="CV205" s="1930"/>
      <c r="CW205" s="1930"/>
      <c r="CX205" s="1931"/>
      <c r="CY205" s="1931"/>
      <c r="CZ205" s="1931"/>
      <c r="DA205" s="1931"/>
      <c r="DB205" s="1932"/>
      <c r="DC205" s="1931"/>
      <c r="DD205" s="1931"/>
      <c r="DE205" s="1931"/>
      <c r="DF205" s="1931"/>
    </row>
    <row r="206" spans="2:112" hidden="1" outlineLevel="1" x14ac:dyDescent="0.25">
      <c r="B206" s="1931"/>
      <c r="D206" s="1300"/>
      <c r="E206" s="1965"/>
      <c r="F206" s="1965"/>
      <c r="G206" s="1965"/>
      <c r="H206" s="1301"/>
      <c r="I206" s="1965"/>
      <c r="J206" s="1965"/>
      <c r="K206" s="1965"/>
      <c r="L206" s="1965"/>
      <c r="M206" s="1965"/>
      <c r="N206" s="1965"/>
      <c r="O206" s="1965"/>
      <c r="P206" s="1965"/>
      <c r="Q206" s="1965"/>
      <c r="R206" s="1965"/>
      <c r="S206" s="1965"/>
      <c r="T206" s="1965"/>
      <c r="U206" s="1965"/>
      <c r="V206" s="1931"/>
      <c r="W206" s="1931"/>
      <c r="X206" s="1931"/>
      <c r="Y206" s="1931"/>
      <c r="Z206" s="1931"/>
      <c r="AA206" s="1931"/>
      <c r="AB206" s="1931"/>
      <c r="AC206" s="1931"/>
      <c r="AD206" s="1931"/>
      <c r="AE206" s="1931"/>
      <c r="AF206" s="1931"/>
      <c r="AG206" s="1931"/>
      <c r="AH206" s="1931"/>
      <c r="AI206" s="1931"/>
      <c r="AJ206" s="1931"/>
      <c r="AK206" s="1931"/>
      <c r="AL206" s="1931"/>
      <c r="AM206" s="1931"/>
      <c r="AN206" s="1931"/>
      <c r="AO206" s="1931"/>
      <c r="AP206" s="1931"/>
      <c r="AQ206" s="1931"/>
      <c r="AR206" s="1931"/>
      <c r="AS206" s="1931"/>
      <c r="AT206" s="1931"/>
      <c r="AU206" s="1931"/>
      <c r="AV206" s="1931"/>
      <c r="AW206" s="1931"/>
      <c r="AX206" s="1931"/>
      <c r="AY206" s="1931"/>
      <c r="AZ206" s="1931"/>
      <c r="BA206" s="1931"/>
      <c r="BB206" s="1931"/>
      <c r="BC206" s="1931"/>
      <c r="BD206" s="1931"/>
      <c r="BE206" s="1931"/>
      <c r="BF206" s="1931"/>
      <c r="BG206" s="1931"/>
      <c r="BH206" s="1931"/>
      <c r="BI206" s="1931"/>
      <c r="BJ206" s="1931"/>
      <c r="BK206" s="1931"/>
      <c r="BL206" s="1931"/>
      <c r="BM206" s="1931"/>
      <c r="BN206" s="1931"/>
      <c r="BO206" s="1931"/>
      <c r="BP206" s="1931"/>
      <c r="BQ206" s="1931"/>
      <c r="BR206" s="1931"/>
      <c r="BS206" s="1931"/>
      <c r="BT206" s="1931"/>
      <c r="BU206" s="1931"/>
      <c r="BV206" s="1931"/>
      <c r="BW206" s="1931"/>
      <c r="BX206" s="1931"/>
      <c r="BY206" s="1931"/>
      <c r="BZ206" s="1931"/>
      <c r="CA206" s="1931"/>
      <c r="CB206" s="1931"/>
      <c r="CC206" s="1931"/>
      <c r="CD206" s="1931"/>
      <c r="CE206" s="1930"/>
      <c r="CF206" s="1930"/>
      <c r="CG206" s="1930"/>
      <c r="CH206" s="1930"/>
      <c r="CI206" s="1931"/>
      <c r="CJ206" s="1931"/>
      <c r="CK206" s="1931"/>
      <c r="CL206" s="1931"/>
      <c r="CM206" s="1931"/>
      <c r="CN206" s="1931"/>
      <c r="CO206" s="1931"/>
      <c r="CP206" s="1931"/>
      <c r="CQ206" s="1931"/>
      <c r="CR206" s="1931"/>
      <c r="CS206" s="1931"/>
      <c r="CT206" s="1930"/>
      <c r="CU206" s="1930"/>
      <c r="CV206" s="1930"/>
      <c r="CW206" s="1930"/>
      <c r="CX206" s="1931"/>
      <c r="CY206" s="1931"/>
      <c r="CZ206" s="1931"/>
      <c r="DA206" s="1931"/>
      <c r="DB206" s="1932"/>
      <c r="DC206" s="1931"/>
      <c r="DD206" s="1931"/>
      <c r="DE206" s="1931"/>
      <c r="DF206" s="1931"/>
    </row>
    <row r="207" spans="2:112" s="55" customFormat="1" ht="60" hidden="1" outlineLevel="1" x14ac:dyDescent="0.25">
      <c r="C207" s="151"/>
      <c r="D207" s="3081"/>
      <c r="E207" s="3081" t="s">
        <v>2758</v>
      </c>
      <c r="F207" s="3081" t="s">
        <v>2790</v>
      </c>
      <c r="G207" s="3081" t="s">
        <v>2791</v>
      </c>
      <c r="H207" s="78" t="s">
        <v>2792</v>
      </c>
      <c r="I207" s="78" t="s">
        <v>745</v>
      </c>
      <c r="J207" s="3249" t="s">
        <v>2793</v>
      </c>
      <c r="K207" s="401"/>
      <c r="L207" s="401"/>
      <c r="M207" s="151"/>
      <c r="N207" s="401"/>
      <c r="O207" s="401"/>
      <c r="P207" s="401"/>
      <c r="Q207" s="401"/>
      <c r="R207" s="401"/>
      <c r="S207" s="401"/>
      <c r="T207" s="401"/>
      <c r="U207" s="401"/>
      <c r="V207" s="1931"/>
      <c r="W207" s="1931"/>
      <c r="X207" s="1931"/>
      <c r="Y207" s="1931"/>
      <c r="Z207" s="1931"/>
      <c r="AA207" s="1931"/>
      <c r="AB207" s="1931"/>
      <c r="AC207" s="1931"/>
      <c r="AD207" s="1931"/>
      <c r="AE207" s="1931"/>
      <c r="AF207" s="1931"/>
      <c r="AG207" s="1931"/>
      <c r="AH207" s="1931"/>
      <c r="AI207" s="1931"/>
      <c r="AJ207" s="1931"/>
      <c r="AK207" s="1931"/>
      <c r="AL207" s="1931"/>
      <c r="AM207" s="1931"/>
      <c r="AN207" s="1931"/>
      <c r="AO207" s="1931"/>
      <c r="AP207" s="1931"/>
      <c r="AQ207" s="1931"/>
      <c r="AR207" s="1931"/>
      <c r="AS207" s="1931"/>
      <c r="AT207" s="1931"/>
      <c r="AU207" s="1931"/>
      <c r="AV207" s="1931"/>
      <c r="AW207" s="1931"/>
      <c r="AX207" s="1931"/>
      <c r="AY207" s="1931"/>
      <c r="AZ207" s="1931"/>
      <c r="BA207" s="1931"/>
      <c r="BB207" s="1931"/>
      <c r="BC207" s="1931"/>
      <c r="BD207" s="1931"/>
      <c r="BE207" s="1931"/>
      <c r="DB207" s="1932"/>
      <c r="DC207" s="1931"/>
      <c r="DD207" s="1931"/>
      <c r="DE207" s="1931"/>
      <c r="DF207" s="1931"/>
      <c r="DG207" s="1931"/>
      <c r="DH207" s="1931"/>
    </row>
    <row r="208" spans="2:112" hidden="1" outlineLevel="1" x14ac:dyDescent="0.25">
      <c r="B208" s="1931"/>
      <c r="D208" s="1967"/>
      <c r="E208" s="1967" t="s">
        <v>2794</v>
      </c>
      <c r="F208" s="1330">
        <v>0.13</v>
      </c>
      <c r="G208" s="1331">
        <v>1</v>
      </c>
      <c r="H208" s="1332">
        <v>0.90700000000000003</v>
      </c>
      <c r="I208" s="1333">
        <v>8766</v>
      </c>
      <c r="J208" s="1334"/>
      <c r="K208" s="1968"/>
      <c r="L208" s="1965"/>
      <c r="M208" s="1965"/>
      <c r="N208" s="1965"/>
      <c r="O208" s="1965"/>
      <c r="P208" s="1965"/>
      <c r="Q208" s="1965"/>
      <c r="R208" s="1965"/>
      <c r="S208" s="1965"/>
      <c r="T208" s="1965"/>
      <c r="U208" s="1965"/>
      <c r="V208" s="1931"/>
      <c r="W208" s="1931"/>
      <c r="X208" s="1931"/>
      <c r="Y208" s="1931"/>
      <c r="Z208" s="1931"/>
      <c r="AA208" s="1931"/>
      <c r="AB208" s="1931"/>
      <c r="AC208" s="1931"/>
      <c r="AD208" s="1931"/>
      <c r="AE208" s="1931"/>
      <c r="AF208" s="1931"/>
      <c r="AG208" s="1931"/>
      <c r="AH208" s="1931"/>
      <c r="AI208" s="1931"/>
      <c r="AJ208" s="1931"/>
      <c r="AK208" s="1931"/>
      <c r="AL208" s="1931"/>
      <c r="AM208" s="1931"/>
      <c r="AN208" s="1931"/>
      <c r="AO208" s="1931"/>
      <c r="AP208" s="1931"/>
      <c r="AQ208" s="1931"/>
      <c r="AR208" s="1931"/>
      <c r="AS208" s="1931"/>
      <c r="AT208" s="1931"/>
      <c r="AU208" s="1931"/>
      <c r="AV208" s="1931"/>
      <c r="AW208" s="1931"/>
      <c r="AX208" s="1931"/>
      <c r="AY208" s="1931"/>
      <c r="AZ208" s="1931"/>
      <c r="BA208" s="1931"/>
      <c r="BB208" s="1931"/>
      <c r="BC208" s="1931"/>
      <c r="BD208" s="1931"/>
      <c r="BE208" s="1931"/>
      <c r="BF208" s="1931"/>
      <c r="BG208" s="1931"/>
      <c r="BH208" s="1931"/>
      <c r="BI208" s="1931"/>
      <c r="BJ208" s="1931"/>
      <c r="BK208" s="1931"/>
      <c r="BL208" s="1931"/>
      <c r="BM208" s="1931"/>
      <c r="BN208" s="1931"/>
      <c r="BO208" s="1931"/>
      <c r="BP208" s="1931"/>
      <c r="BQ208" s="1931"/>
      <c r="BR208" s="1931"/>
      <c r="BS208" s="1931"/>
      <c r="BT208" s="1931"/>
      <c r="BU208" s="1931"/>
      <c r="BV208" s="1931"/>
      <c r="BW208" s="1931"/>
      <c r="BX208" s="1931"/>
      <c r="BY208" s="1931"/>
      <c r="BZ208" s="1931"/>
      <c r="CA208" s="1931"/>
      <c r="CB208" s="1931"/>
      <c r="CC208" s="1931"/>
      <c r="CD208" s="1931"/>
      <c r="CE208" s="1930"/>
      <c r="CF208" s="1930"/>
      <c r="CG208" s="1930"/>
      <c r="CH208" s="1930"/>
      <c r="CI208" s="1931"/>
      <c r="CJ208" s="1931"/>
      <c r="CK208" s="1931"/>
      <c r="CL208" s="1931"/>
      <c r="CM208" s="1931"/>
      <c r="CN208" s="1931"/>
      <c r="CO208" s="1931"/>
      <c r="CP208" s="1931"/>
      <c r="CQ208" s="1931"/>
      <c r="CR208" s="1931"/>
      <c r="CS208" s="1931"/>
      <c r="CT208" s="1930"/>
      <c r="CU208" s="1930"/>
      <c r="CV208" s="1930"/>
      <c r="CW208" s="1930"/>
      <c r="CX208" s="1931"/>
      <c r="CY208" s="1931"/>
      <c r="CZ208" s="1931"/>
      <c r="DA208" s="1931"/>
      <c r="DB208" s="1932"/>
      <c r="DC208" s="1931"/>
      <c r="DD208" s="1931"/>
      <c r="DE208" s="1931"/>
      <c r="DF208" s="1931"/>
    </row>
    <row r="209" spans="2:112" hidden="1" outlineLevel="1" x14ac:dyDescent="0.25">
      <c r="B209" s="1931"/>
      <c r="D209" s="1327"/>
      <c r="E209" s="1327"/>
      <c r="F209" s="1335"/>
      <c r="G209" s="1336"/>
      <c r="H209" s="1337"/>
      <c r="I209" s="1333"/>
      <c r="J209" s="1334"/>
      <c r="K209" s="1968"/>
      <c r="L209" s="1965"/>
      <c r="M209" s="1965"/>
      <c r="N209" s="1965"/>
      <c r="O209" s="1965"/>
      <c r="P209" s="1965"/>
      <c r="Q209" s="1965"/>
      <c r="R209" s="1965"/>
      <c r="S209" s="1965"/>
      <c r="T209" s="1965"/>
      <c r="U209" s="1965"/>
      <c r="V209" s="1931"/>
      <c r="W209" s="1931"/>
      <c r="X209" s="1931"/>
      <c r="Y209" s="1931"/>
      <c r="Z209" s="1931"/>
      <c r="AA209" s="1931"/>
      <c r="AB209" s="1931"/>
      <c r="AC209" s="1931"/>
      <c r="AD209" s="1931"/>
      <c r="AE209" s="1931"/>
      <c r="AF209" s="1931"/>
      <c r="AG209" s="1931"/>
      <c r="AH209" s="1931"/>
      <c r="AI209" s="1931"/>
      <c r="AJ209" s="1931"/>
      <c r="AK209" s="1931"/>
      <c r="AL209" s="1931"/>
      <c r="AM209" s="1931"/>
      <c r="AN209" s="1931"/>
      <c r="AO209" s="1931"/>
      <c r="AP209" s="1931"/>
      <c r="AQ209" s="1931"/>
      <c r="AR209" s="1931"/>
      <c r="AS209" s="1931"/>
      <c r="AT209" s="1931"/>
      <c r="AU209" s="1931"/>
      <c r="AV209" s="1931"/>
      <c r="AW209" s="1931"/>
      <c r="AX209" s="1931"/>
      <c r="AY209" s="1931"/>
      <c r="AZ209" s="1931"/>
      <c r="BA209" s="1931"/>
      <c r="BB209" s="1931"/>
      <c r="BC209" s="1931"/>
      <c r="BD209" s="1931"/>
      <c r="BE209" s="1931"/>
      <c r="BF209" s="1931"/>
      <c r="BG209" s="1931"/>
      <c r="BH209" s="1931"/>
      <c r="BI209" s="1931"/>
      <c r="BJ209" s="1931"/>
      <c r="BK209" s="1931"/>
      <c r="BL209" s="1931"/>
      <c r="BM209" s="1931"/>
      <c r="BN209" s="1931"/>
      <c r="BO209" s="1931"/>
      <c r="BP209" s="1931"/>
      <c r="BQ209" s="1931"/>
      <c r="BR209" s="1931"/>
      <c r="BS209" s="1931"/>
      <c r="BT209" s="1931"/>
      <c r="BU209" s="1931"/>
      <c r="BV209" s="1931"/>
      <c r="BW209" s="1931"/>
      <c r="BX209" s="1931"/>
      <c r="BY209" s="1931"/>
      <c r="BZ209" s="1931"/>
      <c r="CA209" s="1931"/>
      <c r="CB209" s="1931"/>
      <c r="CC209" s="1931"/>
      <c r="CD209" s="1931"/>
      <c r="CE209" s="1930"/>
      <c r="CF209" s="1930"/>
      <c r="CG209" s="1930"/>
      <c r="CH209" s="1930"/>
      <c r="CI209" s="1931"/>
      <c r="CJ209" s="1931"/>
      <c r="CK209" s="1931"/>
      <c r="CL209" s="1931"/>
      <c r="CM209" s="1931"/>
      <c r="CN209" s="1931"/>
      <c r="CO209" s="1931"/>
      <c r="CP209" s="1931"/>
      <c r="CQ209" s="1931"/>
      <c r="CR209" s="1931"/>
      <c r="CS209" s="1931"/>
      <c r="CT209" s="1930"/>
      <c r="CU209" s="1930"/>
      <c r="CV209" s="1930"/>
      <c r="CW209" s="1930"/>
      <c r="CX209" s="1931"/>
      <c r="CY209" s="1931"/>
      <c r="CZ209" s="1931"/>
      <c r="DA209" s="1931"/>
      <c r="DB209" s="1932"/>
      <c r="DC209" s="1931"/>
      <c r="DD209" s="1931"/>
      <c r="DE209" s="1931"/>
      <c r="DF209" s="1931"/>
    </row>
    <row r="210" spans="2:112" hidden="1" outlineLevel="1" x14ac:dyDescent="0.25">
      <c r="B210" s="1931"/>
      <c r="D210" s="1967"/>
      <c r="E210" s="1967" t="str">
        <f>E197</f>
        <v>Anti-Sweat Heater Controls Refrigerator</v>
      </c>
      <c r="F210" s="1330">
        <v>0.13</v>
      </c>
      <c r="G210" s="1331">
        <v>1</v>
      </c>
      <c r="H210" s="1332">
        <v>0.45600000000000002</v>
      </c>
      <c r="I210" s="1333">
        <v>8766</v>
      </c>
      <c r="J210" s="1334">
        <v>1.3</v>
      </c>
      <c r="K210" s="1968"/>
      <c r="L210" s="1965"/>
      <c r="M210" s="1965"/>
      <c r="N210" s="1965"/>
      <c r="O210" s="1965"/>
      <c r="P210" s="1965"/>
      <c r="Q210" s="1965"/>
      <c r="R210" s="1965"/>
      <c r="S210" s="1965"/>
      <c r="T210" s="1965"/>
      <c r="U210" s="1965"/>
      <c r="V210" s="1931"/>
      <c r="W210" s="1931"/>
      <c r="X210" s="1931"/>
      <c r="Y210" s="1931"/>
      <c r="Z210" s="1931"/>
      <c r="AA210" s="1931"/>
      <c r="AB210" s="1931"/>
      <c r="AC210" s="1931"/>
      <c r="AD210" s="1931"/>
      <c r="AE210" s="1931"/>
      <c r="AF210" s="1931"/>
      <c r="AG210" s="1931"/>
      <c r="AH210" s="1931"/>
      <c r="AI210" s="1931"/>
      <c r="AJ210" s="1931"/>
      <c r="AK210" s="1931"/>
      <c r="AL210" s="1931"/>
      <c r="AM210" s="1931"/>
      <c r="AN210" s="1931"/>
      <c r="AO210" s="1931"/>
      <c r="AP210" s="1931"/>
      <c r="AQ210" s="1931"/>
      <c r="AR210" s="1931"/>
      <c r="AS210" s="1931"/>
      <c r="AT210" s="1931"/>
      <c r="AU210" s="1931"/>
      <c r="AV210" s="1931"/>
      <c r="AW210" s="1931"/>
      <c r="AX210" s="1931"/>
      <c r="AY210" s="1931"/>
      <c r="AZ210" s="1931"/>
      <c r="BA210" s="1931"/>
      <c r="BB210" s="1931"/>
      <c r="BC210" s="1931"/>
      <c r="BD210" s="1931"/>
      <c r="BE210" s="1931"/>
      <c r="BF210" s="1931"/>
      <c r="BG210" s="1931"/>
      <c r="BH210" s="1931"/>
      <c r="BI210" s="1931"/>
      <c r="BJ210" s="1931"/>
      <c r="BK210" s="1931"/>
      <c r="BL210" s="1931"/>
      <c r="BM210" s="1931"/>
      <c r="BN210" s="1931"/>
      <c r="BO210" s="1931"/>
      <c r="BP210" s="1931"/>
      <c r="BQ210" s="1931"/>
      <c r="BR210" s="1931"/>
      <c r="BS210" s="1931"/>
      <c r="BT210" s="1931"/>
      <c r="BU210" s="1931"/>
      <c r="BV210" s="1931"/>
      <c r="BW210" s="1931"/>
      <c r="BX210" s="1931"/>
      <c r="BY210" s="1931"/>
      <c r="BZ210" s="1931"/>
      <c r="CA210" s="1931"/>
      <c r="CB210" s="1931"/>
      <c r="CC210" s="1931"/>
      <c r="CD210" s="1931"/>
      <c r="CE210" s="1930"/>
      <c r="CF210" s="1930"/>
      <c r="CG210" s="1930"/>
      <c r="CH210" s="1930"/>
      <c r="CI210" s="1931"/>
      <c r="CJ210" s="1931"/>
      <c r="CK210" s="1931"/>
      <c r="CL210" s="1931"/>
      <c r="CM210" s="1931"/>
      <c r="CN210" s="1931"/>
      <c r="CO210" s="1931"/>
      <c r="CP210" s="1931"/>
      <c r="CQ210" s="1931"/>
      <c r="CR210" s="1931"/>
      <c r="CS210" s="1931"/>
      <c r="CT210" s="1930"/>
      <c r="CU210" s="1930"/>
      <c r="CV210" s="1930"/>
      <c r="CW210" s="1930"/>
      <c r="CX210" s="1931"/>
      <c r="CY210" s="1931"/>
      <c r="CZ210" s="1931"/>
      <c r="DA210" s="1931"/>
      <c r="DB210" s="1932"/>
      <c r="DC210" s="1931"/>
      <c r="DD210" s="1931"/>
      <c r="DE210" s="1931"/>
      <c r="DF210" s="1931"/>
    </row>
    <row r="211" spans="2:112" hidden="1" outlineLevel="1" x14ac:dyDescent="0.25">
      <c r="B211" s="1931"/>
      <c r="D211" s="1967"/>
      <c r="E211" s="1967" t="str">
        <f>E198</f>
        <v>Anti-Sweat Heater Controls Freezer</v>
      </c>
      <c r="F211" s="1330">
        <v>0.13</v>
      </c>
      <c r="G211" s="1331">
        <v>1</v>
      </c>
      <c r="H211" s="1332">
        <v>0.45600000000000002</v>
      </c>
      <c r="I211" s="1333">
        <v>8766</v>
      </c>
      <c r="J211" s="1334">
        <v>1.5</v>
      </c>
      <c r="K211" s="1968"/>
      <c r="L211" s="1965"/>
      <c r="M211" s="1965"/>
      <c r="N211" s="1965"/>
      <c r="O211" s="1965"/>
      <c r="P211" s="1965"/>
      <c r="Q211" s="1965"/>
      <c r="R211" s="1965"/>
      <c r="S211" s="1965"/>
      <c r="T211" s="1965"/>
      <c r="U211" s="1965"/>
      <c r="V211" s="1931"/>
      <c r="W211" s="1931"/>
      <c r="X211" s="1931"/>
      <c r="Y211" s="1931"/>
      <c r="Z211" s="1931"/>
      <c r="AA211" s="1931"/>
      <c r="AB211" s="1931"/>
      <c r="AC211" s="1931"/>
      <c r="AD211" s="1931"/>
      <c r="AE211" s="1931"/>
      <c r="AF211" s="1931"/>
      <c r="AG211" s="1931"/>
      <c r="AH211" s="1931"/>
      <c r="AI211" s="1931"/>
      <c r="AJ211" s="1931"/>
      <c r="AK211" s="1931"/>
      <c r="AL211" s="1931"/>
      <c r="AM211" s="1931"/>
      <c r="AN211" s="1931"/>
      <c r="AO211" s="1931"/>
      <c r="AP211" s="1931"/>
      <c r="AQ211" s="1931"/>
      <c r="AR211" s="1931"/>
      <c r="AS211" s="1931"/>
      <c r="AT211" s="1931"/>
      <c r="AU211" s="1931"/>
      <c r="AV211" s="1931"/>
      <c r="AW211" s="1931"/>
      <c r="AX211" s="1931"/>
      <c r="AY211" s="1931"/>
      <c r="AZ211" s="1931"/>
      <c r="BA211" s="1931"/>
      <c r="BB211" s="1931"/>
      <c r="BC211" s="1931"/>
      <c r="BD211" s="1931"/>
      <c r="BE211" s="1931"/>
      <c r="BF211" s="1931"/>
      <c r="BG211" s="1931"/>
      <c r="BH211" s="1931"/>
      <c r="BI211" s="1931"/>
      <c r="BJ211" s="1931"/>
      <c r="BK211" s="1931"/>
      <c r="BL211" s="1931"/>
      <c r="BM211" s="1931"/>
      <c r="BN211" s="1931"/>
      <c r="BO211" s="1931"/>
      <c r="BP211" s="1931"/>
      <c r="BQ211" s="1931"/>
      <c r="BR211" s="1931"/>
      <c r="BS211" s="1931"/>
      <c r="BT211" s="1931"/>
      <c r="BU211" s="1931"/>
      <c r="BV211" s="1931"/>
      <c r="BW211" s="1931"/>
      <c r="BX211" s="1931"/>
      <c r="BY211" s="1931"/>
      <c r="BZ211" s="1931"/>
      <c r="CA211" s="1931"/>
      <c r="CB211" s="1931"/>
      <c r="CC211" s="1931"/>
      <c r="CD211" s="1931"/>
      <c r="CE211" s="1930"/>
      <c r="CF211" s="1930"/>
      <c r="CG211" s="1930"/>
      <c r="CH211" s="1930"/>
      <c r="CI211" s="1931"/>
      <c r="CJ211" s="1931"/>
      <c r="CK211" s="1931"/>
      <c r="CL211" s="1931"/>
      <c r="CM211" s="1931"/>
      <c r="CN211" s="1931"/>
      <c r="CO211" s="1931"/>
      <c r="CP211" s="1931"/>
      <c r="CQ211" s="1931"/>
      <c r="CR211" s="1931"/>
      <c r="CS211" s="1931"/>
      <c r="CT211" s="1930"/>
      <c r="CU211" s="1930"/>
      <c r="CV211" s="1930"/>
      <c r="CW211" s="1930"/>
      <c r="CX211" s="1931"/>
      <c r="CY211" s="1931"/>
      <c r="CZ211" s="1931"/>
      <c r="DA211" s="1931"/>
      <c r="DB211" s="1932"/>
      <c r="DC211" s="1931"/>
      <c r="DD211" s="1931"/>
      <c r="DE211" s="1931"/>
      <c r="DF211" s="1931"/>
    </row>
    <row r="212" spans="2:112" collapsed="1" x14ac:dyDescent="0.25">
      <c r="B212" s="1931"/>
      <c r="D212" s="1966"/>
      <c r="E212" s="1965"/>
      <c r="F212" s="1965"/>
      <c r="G212" s="1968"/>
      <c r="H212" s="1969"/>
      <c r="I212" s="1965"/>
      <c r="J212" s="1965"/>
      <c r="K212" s="1965"/>
      <c r="L212" s="1965"/>
      <c r="M212" s="1965"/>
      <c r="N212" s="1965"/>
      <c r="O212" s="1965"/>
      <c r="P212" s="1965"/>
      <c r="Q212" s="1965"/>
      <c r="R212" s="1965"/>
      <c r="S212" s="1965"/>
      <c r="T212" s="1965"/>
      <c r="U212" s="1965"/>
      <c r="V212" s="1931"/>
      <c r="W212" s="1931"/>
      <c r="X212" s="1931"/>
      <c r="Y212" s="1931"/>
      <c r="Z212" s="1931"/>
      <c r="AA212" s="1931"/>
      <c r="AB212" s="1931"/>
      <c r="AC212" s="1931"/>
      <c r="AD212" s="1931"/>
      <c r="AE212" s="1931"/>
      <c r="AF212" s="1931"/>
      <c r="AG212" s="1931"/>
      <c r="AH212" s="1931"/>
      <c r="AI212" s="1931"/>
      <c r="AJ212" s="1931"/>
      <c r="AK212" s="1931"/>
      <c r="AL212" s="1931"/>
      <c r="AM212" s="1931"/>
      <c r="AN212" s="1931"/>
      <c r="AO212" s="1931"/>
      <c r="AP212" s="1931"/>
      <c r="AQ212" s="1931"/>
      <c r="AR212" s="1931"/>
      <c r="AS212" s="1931"/>
      <c r="AT212" s="1931"/>
      <c r="AU212" s="1931"/>
      <c r="AV212" s="1931"/>
      <c r="AW212" s="1931"/>
      <c r="AX212" s="1931"/>
      <c r="AY212" s="1931"/>
      <c r="AZ212" s="1931"/>
      <c r="BA212" s="1931"/>
      <c r="BB212" s="1931"/>
      <c r="BC212" s="1931"/>
      <c r="BD212" s="1931"/>
      <c r="BE212" s="1931"/>
      <c r="BF212" s="1931"/>
      <c r="BG212" s="1931"/>
      <c r="BH212" s="1931"/>
      <c r="BI212" s="1931"/>
      <c r="BJ212" s="1931"/>
      <c r="BK212" s="1931"/>
      <c r="BL212" s="1931"/>
      <c r="BM212" s="1931"/>
      <c r="BN212" s="1931"/>
      <c r="BO212" s="1931"/>
      <c r="BP212" s="1931"/>
      <c r="BQ212" s="1931"/>
      <c r="BR212" s="1931"/>
      <c r="BS212" s="1931"/>
      <c r="BT212" s="1931"/>
      <c r="BU212" s="1931"/>
      <c r="BV212" s="1931"/>
      <c r="BW212" s="1931"/>
      <c r="BX212" s="1931"/>
      <c r="BY212" s="1931"/>
      <c r="BZ212" s="1931"/>
      <c r="CA212" s="1931"/>
      <c r="CB212" s="1931"/>
      <c r="CC212" s="1931"/>
      <c r="CD212" s="1931"/>
      <c r="CE212" s="1930"/>
      <c r="CF212" s="1930"/>
      <c r="CG212" s="1930"/>
      <c r="CH212" s="1930"/>
      <c r="CI212" s="1931"/>
      <c r="CJ212" s="1931"/>
      <c r="CK212" s="1931"/>
      <c r="CL212" s="1931"/>
      <c r="CM212" s="1931"/>
      <c r="CN212" s="1931"/>
      <c r="CO212" s="1931"/>
      <c r="CP212" s="1931"/>
      <c r="CQ212" s="1931"/>
      <c r="CR212" s="1931"/>
      <c r="CS212" s="1931"/>
      <c r="CT212" s="1930"/>
      <c r="CU212" s="1930"/>
      <c r="CV212" s="1930"/>
      <c r="CW212" s="1930"/>
      <c r="CX212" s="1931"/>
      <c r="CY212" s="1931"/>
      <c r="CZ212" s="1931"/>
      <c r="DA212" s="1931"/>
      <c r="DB212" s="1932"/>
      <c r="DC212" s="1931"/>
      <c r="DD212" s="1931"/>
      <c r="DE212" s="1931"/>
      <c r="DF212" s="1931"/>
    </row>
    <row r="214" spans="2:112" s="43" customFormat="1" x14ac:dyDescent="0.25">
      <c r="B214" s="4484" t="s">
        <v>2795</v>
      </c>
      <c r="C214" s="4485"/>
      <c r="D214" s="4485"/>
      <c r="E214" s="4485"/>
      <c r="F214" s="4485"/>
      <c r="G214" s="4485"/>
      <c r="H214" s="4485"/>
      <c r="I214" s="4486"/>
      <c r="J214" s="4486"/>
      <c r="K214" s="4486"/>
      <c r="L214" s="4486"/>
      <c r="M214" s="3752"/>
      <c r="N214" s="3752"/>
      <c r="O214" s="3753"/>
      <c r="P214" s="1935"/>
      <c r="Q214" s="1935"/>
      <c r="R214" s="1935"/>
      <c r="S214" s="1935"/>
      <c r="T214" s="1935"/>
      <c r="U214" s="1935"/>
      <c r="V214" s="3077" t="str">
        <f>B214</f>
        <v>Heat Pump Water Heaters</v>
      </c>
      <c r="W214" s="3078"/>
      <c r="X214" s="3078"/>
      <c r="Y214" s="3078"/>
      <c r="Z214" s="3078"/>
      <c r="AA214" s="3078"/>
      <c r="AB214" s="3078"/>
      <c r="AC214" s="3078"/>
      <c r="AD214" s="3078"/>
      <c r="AE214" s="3078"/>
      <c r="AF214" s="3078"/>
      <c r="AG214" s="3078"/>
      <c r="AH214" s="3078"/>
      <c r="AI214" s="3170"/>
      <c r="AJ214" s="1931"/>
      <c r="AK214" s="1931"/>
      <c r="AL214" s="1931"/>
      <c r="AM214" s="1931"/>
      <c r="AN214" s="1931"/>
      <c r="AO214" s="1931"/>
      <c r="AP214" s="1931"/>
      <c r="AQ214" s="1931"/>
      <c r="AR214" s="1931"/>
      <c r="AS214" s="1931"/>
      <c r="AT214" s="1931"/>
      <c r="AU214" s="1931"/>
      <c r="AV214" s="1935"/>
      <c r="AW214" s="1935"/>
      <c r="AX214" s="1935"/>
      <c r="AY214" s="1935"/>
      <c r="AZ214" s="1935"/>
      <c r="BA214" s="1935"/>
      <c r="BB214" s="1935"/>
      <c r="BC214" s="1935"/>
      <c r="BD214" s="1935"/>
      <c r="BE214" s="1935"/>
      <c r="BF214" s="1935"/>
      <c r="BG214" s="1935"/>
      <c r="BH214" s="1935"/>
      <c r="BI214" s="1935"/>
      <c r="BJ214" s="1935"/>
      <c r="BK214" s="1935"/>
      <c r="BL214" s="1935"/>
      <c r="BM214" s="1935"/>
      <c r="BN214" s="1935"/>
      <c r="BO214" s="1935"/>
      <c r="BP214" s="1935"/>
      <c r="BQ214" s="1935"/>
      <c r="BR214" s="1935"/>
      <c r="BS214" s="1935"/>
      <c r="BT214" s="1935"/>
      <c r="BU214" s="1935"/>
      <c r="BV214" s="1935"/>
      <c r="BW214" s="1935"/>
      <c r="BX214" s="1935"/>
      <c r="BY214" s="1935"/>
      <c r="BZ214" s="1935"/>
      <c r="CA214" s="1935"/>
      <c r="CB214" s="1935"/>
      <c r="CC214" s="1935"/>
      <c r="CD214" s="1935"/>
      <c r="CE214" s="1935"/>
      <c r="CF214" s="1935"/>
      <c r="CG214" s="1935"/>
      <c r="CH214" s="1935"/>
      <c r="CI214" s="1935"/>
      <c r="CJ214" s="1935"/>
      <c r="CK214" s="1935"/>
      <c r="CL214" s="1935"/>
      <c r="CM214" s="1935"/>
      <c r="CN214" s="1935"/>
      <c r="CO214" s="1935"/>
      <c r="CP214" s="1935"/>
      <c r="CQ214" s="1935"/>
      <c r="CR214" s="1935"/>
      <c r="CS214" s="1935"/>
      <c r="CT214" s="1935"/>
      <c r="CU214" s="1935"/>
      <c r="CV214" s="1935"/>
      <c r="CW214" s="1935"/>
      <c r="CX214" s="1935"/>
      <c r="CY214" s="1935"/>
      <c r="CZ214" s="1935"/>
      <c r="DA214" s="1935"/>
      <c r="DB214" s="73"/>
      <c r="DC214" s="1935"/>
      <c r="DD214" s="1935"/>
      <c r="DE214" s="1935"/>
      <c r="DF214" s="1935"/>
      <c r="DG214" s="1935"/>
      <c r="DH214" s="1935"/>
    </row>
    <row r="215" spans="2:112" x14ac:dyDescent="0.25">
      <c r="B215" s="1931"/>
      <c r="D215" s="1286"/>
      <c r="E215" s="1966"/>
      <c r="F215" s="1966"/>
      <c r="G215" s="1966"/>
      <c r="H215" s="1287"/>
      <c r="I215" s="1966"/>
      <c r="J215" s="1966"/>
      <c r="K215" s="1966"/>
      <c r="L215" s="1966"/>
      <c r="M215" s="1965"/>
      <c r="N215" s="1965"/>
      <c r="O215" s="1965"/>
      <c r="P215" s="1966"/>
      <c r="Q215" s="1966"/>
      <c r="R215" s="1966"/>
      <c r="S215" s="1966"/>
      <c r="T215" s="1966"/>
      <c r="U215" s="1966"/>
      <c r="V215" s="1930"/>
      <c r="W215" s="1930"/>
      <c r="X215" s="1930"/>
      <c r="Y215" s="1930"/>
      <c r="Z215" s="1930"/>
      <c r="AA215" s="1930"/>
      <c r="AB215" s="1930"/>
      <c r="AC215" s="1930"/>
      <c r="AD215" s="1930"/>
      <c r="AE215" s="1930"/>
      <c r="AF215" s="1930"/>
      <c r="AG215" s="1930"/>
      <c r="AH215" s="1930"/>
      <c r="AI215" s="1930"/>
      <c r="AJ215" s="1934"/>
      <c r="AK215" s="1934"/>
      <c r="AL215" s="1934"/>
      <c r="AM215" s="1934"/>
      <c r="AN215" s="1934"/>
      <c r="AO215" s="1934"/>
      <c r="AP215" s="1934"/>
      <c r="AQ215" s="1934"/>
      <c r="AR215" s="1934"/>
      <c r="AS215" s="1934"/>
      <c r="AT215" s="1934"/>
      <c r="AU215" s="1934"/>
      <c r="AV215" s="1931"/>
      <c r="AW215" s="1931"/>
      <c r="AX215" s="1931"/>
      <c r="AY215" s="1931"/>
      <c r="AZ215" s="1931"/>
      <c r="BA215" s="1931"/>
      <c r="BB215" s="1931"/>
      <c r="BC215" s="1931"/>
      <c r="BD215" s="1931"/>
      <c r="BE215" s="1931"/>
      <c r="BF215" s="1931"/>
      <c r="BG215" s="1931"/>
      <c r="BH215" s="1931"/>
      <c r="BI215" s="1931"/>
      <c r="BJ215" s="1931"/>
      <c r="BK215" s="1931"/>
      <c r="BL215" s="1931"/>
      <c r="BM215" s="1931"/>
      <c r="BN215" s="1931"/>
      <c r="BO215" s="1931"/>
      <c r="BP215" s="1931"/>
      <c r="BQ215" s="1931"/>
      <c r="BR215" s="1931"/>
      <c r="BS215" s="1931"/>
      <c r="BT215" s="1931"/>
      <c r="BU215" s="1931"/>
      <c r="BV215" s="1931"/>
      <c r="BW215" s="1931"/>
      <c r="BX215" s="1931"/>
      <c r="BY215" s="1931"/>
      <c r="BZ215" s="1931"/>
      <c r="CA215" s="1931"/>
      <c r="CB215" s="1931"/>
      <c r="CC215" s="1931"/>
      <c r="CD215" s="1931"/>
      <c r="CE215" s="1930"/>
      <c r="CF215" s="1930"/>
      <c r="CG215" s="1930"/>
      <c r="CH215" s="1930"/>
      <c r="CI215" s="1931"/>
      <c r="CJ215" s="1931"/>
      <c r="CK215" s="1931"/>
      <c r="CL215" s="1931"/>
      <c r="CM215" s="1931"/>
      <c r="CN215" s="1931"/>
      <c r="CO215" s="1931"/>
      <c r="CP215" s="1931"/>
      <c r="CQ215" s="1931"/>
      <c r="CR215" s="1931"/>
      <c r="CS215" s="1931"/>
      <c r="CT215" s="1930"/>
      <c r="CU215" s="1930"/>
      <c r="CV215" s="1930"/>
      <c r="CW215" s="1930"/>
      <c r="CX215" s="1931"/>
      <c r="CY215" s="1931"/>
      <c r="CZ215" s="1931"/>
      <c r="DA215" s="1931"/>
      <c r="DB215" s="1932"/>
      <c r="DC215" s="1931"/>
      <c r="DD215" s="1931"/>
      <c r="DE215" s="1931"/>
      <c r="DF215" s="1931"/>
    </row>
    <row r="216" spans="2:112" s="44" customFormat="1" ht="30" x14ac:dyDescent="0.25">
      <c r="B216" s="45"/>
      <c r="C216" s="46" t="s">
        <v>28</v>
      </c>
      <c r="D216" s="3196" t="s">
        <v>29</v>
      </c>
      <c r="E216" s="3196" t="s">
        <v>30</v>
      </c>
      <c r="F216" s="3196" t="s">
        <v>31</v>
      </c>
      <c r="G216" s="3196" t="s">
        <v>176</v>
      </c>
      <c r="H216" s="47" t="s">
        <v>177</v>
      </c>
      <c r="I216" s="3196" t="s">
        <v>32</v>
      </c>
      <c r="J216" s="3196" t="s">
        <v>181</v>
      </c>
      <c r="K216" s="46" t="s">
        <v>170</v>
      </c>
      <c r="L216" s="46" t="s">
        <v>44</v>
      </c>
      <c r="M216" s="1965"/>
      <c r="N216" s="1965"/>
      <c r="O216" s="1965"/>
      <c r="P216" s="1288"/>
      <c r="Q216" s="1288"/>
      <c r="R216" s="1288"/>
      <c r="S216" s="1288"/>
      <c r="T216" s="1288"/>
      <c r="U216" s="1288"/>
      <c r="V216" s="1936" t="s">
        <v>45</v>
      </c>
      <c r="W216" s="1937">
        <f>$W$8</f>
        <v>43252</v>
      </c>
      <c r="X216" s="1937">
        <f>$X$8</f>
        <v>43465</v>
      </c>
      <c r="Y216" s="1937">
        <f>$Y$8</f>
        <v>43800</v>
      </c>
      <c r="Z216" s="1937">
        <f>$Z$8</f>
        <v>43862</v>
      </c>
      <c r="AA216" s="1937">
        <f>$AA$8</f>
        <v>44013</v>
      </c>
      <c r="AB216" s="1937">
        <v>44166</v>
      </c>
      <c r="AC216" s="1937">
        <f>$AC$8</f>
        <v>44531</v>
      </c>
      <c r="AD216" s="1937" t="str">
        <f>$AD$8</f>
        <v>-</v>
      </c>
      <c r="AE216" s="1937" t="str">
        <f>$AE$8</f>
        <v>-</v>
      </c>
      <c r="AF216" s="1937" t="str">
        <f>$AF$8</f>
        <v>-</v>
      </c>
      <c r="AG216" s="1937" t="str">
        <f>$AG$8</f>
        <v>-</v>
      </c>
      <c r="AH216" s="1930"/>
      <c r="AI216" s="1936" t="s">
        <v>45</v>
      </c>
      <c r="AJ216" s="1937">
        <v>43252</v>
      </c>
      <c r="AK216" s="1937">
        <f>$X$8</f>
        <v>43465</v>
      </c>
      <c r="AL216" s="1937">
        <f>$Y$8</f>
        <v>43800</v>
      </c>
      <c r="AM216" s="1937">
        <f>$Z$8</f>
        <v>43862</v>
      </c>
      <c r="AN216" s="1937">
        <f>$AA$8</f>
        <v>44013</v>
      </c>
      <c r="AO216" s="1937">
        <f>$AB$8</f>
        <v>44166</v>
      </c>
      <c r="AP216" s="1937">
        <f>$AC$8</f>
        <v>44531</v>
      </c>
      <c r="AQ216" s="1937" t="str">
        <f>$AD$8</f>
        <v>-</v>
      </c>
      <c r="AR216" s="1937" t="str">
        <f>$AE$8</f>
        <v>-</v>
      </c>
      <c r="AS216" s="1937" t="str">
        <f>$AF$8</f>
        <v>-</v>
      </c>
      <c r="AT216" s="1933"/>
      <c r="AU216" s="1936" t="s">
        <v>45</v>
      </c>
      <c r="AV216" s="1937">
        <v>43252</v>
      </c>
      <c r="AW216" s="1937">
        <f>$X$8</f>
        <v>43465</v>
      </c>
      <c r="AX216" s="1937">
        <f>$Y$8</f>
        <v>43800</v>
      </c>
      <c r="AY216" s="1937">
        <f>$Z$8</f>
        <v>43862</v>
      </c>
      <c r="AZ216" s="1937">
        <f>$AA$8</f>
        <v>44013</v>
      </c>
      <c r="BA216" s="1937">
        <v>44166</v>
      </c>
      <c r="BB216" s="1937">
        <f>$AC$8</f>
        <v>44531</v>
      </c>
      <c r="BC216" s="1937" t="str">
        <f>$AD$8</f>
        <v>-</v>
      </c>
      <c r="BD216" s="1937" t="str">
        <f>$AE$8</f>
        <v>-</v>
      </c>
      <c r="BE216" s="1937" t="str">
        <f>$AF$8</f>
        <v>-</v>
      </c>
      <c r="DB216" s="1938" t="str">
        <f>$DB$8</f>
        <v>TRC (2020)</v>
      </c>
      <c r="DC216" s="1953" t="str">
        <f>$DC$8</f>
        <v>Benefit Lookup</v>
      </c>
      <c r="DD216" s="1953" t="str">
        <f>$DD$8</f>
        <v>Benefits (2019 $)</v>
      </c>
      <c r="DE216" s="1953" t="str">
        <f>$DE$8</f>
        <v>Incremental Cost (2019 $)</v>
      </c>
    </row>
    <row r="217" spans="2:112" x14ac:dyDescent="0.25">
      <c r="B217" s="1931"/>
      <c r="C217" s="1997" t="s">
        <v>2796</v>
      </c>
      <c r="D217" s="1289" t="s">
        <v>2646</v>
      </c>
      <c r="E217" s="1308" t="s">
        <v>2797</v>
      </c>
      <c r="F217" s="1959">
        <f>ROUND((((1/F231-1/G231)*H231*J231*(K231-L231)*1)/3412)+M231-N231,2)</f>
        <v>21156</v>
      </c>
      <c r="G217" s="1290" t="s">
        <v>2798</v>
      </c>
      <c r="H217" s="1291">
        <f>VLOOKUP(G217,'CP FACTORS'!$A$26:$B$38,2,FALSE)</f>
        <v>1.811545E-4</v>
      </c>
      <c r="I217" s="1309">
        <f>ROUND(H217*F217,6)</f>
        <v>3.8325049999999998</v>
      </c>
      <c r="J217" s="1316">
        <v>15</v>
      </c>
      <c r="K217" s="1329">
        <v>4000</v>
      </c>
      <c r="L217" s="1292" t="s">
        <v>185</v>
      </c>
      <c r="M217" s="1965"/>
      <c r="N217" s="1965"/>
      <c r="O217" s="1965"/>
      <c r="P217" s="1965"/>
      <c r="Q217" s="1965"/>
      <c r="R217" s="1965"/>
      <c r="S217" s="1965"/>
      <c r="T217" s="1965"/>
      <c r="U217" s="1965"/>
      <c r="V217" s="3226" t="s">
        <v>31</v>
      </c>
      <c r="W217" s="129">
        <v>21156</v>
      </c>
      <c r="X217" s="129">
        <v>21156</v>
      </c>
      <c r="Y217" s="129">
        <v>21156</v>
      </c>
      <c r="Z217" s="129">
        <v>21156</v>
      </c>
      <c r="AA217" s="129">
        <v>21156</v>
      </c>
      <c r="AB217" s="2002">
        <v>21156</v>
      </c>
      <c r="AC217" s="3364">
        <v>21156</v>
      </c>
      <c r="AD217" s="2099"/>
      <c r="AE217" s="2099"/>
      <c r="AF217" s="2099"/>
      <c r="AG217" s="2099"/>
      <c r="AH217" s="2100"/>
      <c r="AI217" s="3227" t="s">
        <v>181</v>
      </c>
      <c r="AJ217" s="74">
        <v>15</v>
      </c>
      <c r="AK217" s="74">
        <v>15</v>
      </c>
      <c r="AL217" s="74">
        <v>15</v>
      </c>
      <c r="AM217" s="2095">
        <v>15</v>
      </c>
      <c r="AN217" s="2095">
        <v>15</v>
      </c>
      <c r="AO217" s="2091">
        <v>15</v>
      </c>
      <c r="AP217" s="2091">
        <v>15</v>
      </c>
      <c r="AQ217" s="2099"/>
      <c r="AR217" s="2099"/>
      <c r="AS217" s="2099"/>
      <c r="AT217" s="1933"/>
      <c r="AU217" s="3227" t="s">
        <v>170</v>
      </c>
      <c r="AV217" s="2104">
        <v>4000</v>
      </c>
      <c r="AW217" s="2104">
        <v>4000</v>
      </c>
      <c r="AX217" s="2104">
        <v>4000</v>
      </c>
      <c r="AY217" s="2104">
        <v>4000</v>
      </c>
      <c r="AZ217" s="2104">
        <v>4000</v>
      </c>
      <c r="BA217" s="2390">
        <v>4000</v>
      </c>
      <c r="BB217" s="2390">
        <v>4000</v>
      </c>
      <c r="BC217" s="2099"/>
      <c r="BD217" s="2099"/>
      <c r="BE217" s="2099"/>
      <c r="BF217" s="1933"/>
      <c r="BG217" s="1933"/>
      <c r="BH217" s="1933"/>
      <c r="BI217" s="1931"/>
      <c r="BJ217" s="1931"/>
      <c r="BK217" s="1931"/>
      <c r="BL217" s="1931"/>
      <c r="BM217" s="1931"/>
      <c r="BN217" s="1931"/>
      <c r="BO217" s="1931"/>
      <c r="BP217" s="1931"/>
      <c r="BQ217" s="1931"/>
      <c r="BR217" s="1931"/>
      <c r="BS217" s="1931"/>
      <c r="BT217" s="1931"/>
      <c r="BU217" s="1931"/>
      <c r="BV217" s="1931"/>
      <c r="BW217" s="1931"/>
      <c r="BX217" s="1931"/>
      <c r="BY217" s="1931"/>
      <c r="BZ217" s="1931"/>
      <c r="CA217" s="1931"/>
      <c r="CB217" s="1931"/>
      <c r="CC217" s="1931"/>
      <c r="CD217" s="1931"/>
      <c r="CE217" s="1930"/>
      <c r="CF217" s="1930"/>
      <c r="CG217" s="1930"/>
      <c r="CH217" s="1930"/>
      <c r="CI217" s="1931"/>
      <c r="CJ217" s="1931"/>
      <c r="CK217" s="1931"/>
      <c r="CL217" s="1931"/>
      <c r="CM217" s="1931"/>
      <c r="CN217" s="1931"/>
      <c r="CO217" s="1931"/>
      <c r="CP217" s="1931"/>
      <c r="CQ217" s="1931"/>
      <c r="CR217" s="1931"/>
      <c r="CS217" s="1931"/>
      <c r="CT217" s="1930"/>
      <c r="CU217" s="1930"/>
      <c r="CV217" s="1930"/>
      <c r="CW217" s="1930"/>
      <c r="CX217" s="1931"/>
      <c r="CY217" s="1931"/>
      <c r="CZ217" s="1931"/>
      <c r="DA217" s="1931"/>
      <c r="DB217" s="1945">
        <f>(DD217)/(DE217)</f>
        <v>3.5430180315223572</v>
      </c>
      <c r="DC217" s="3166" t="str">
        <f>CONCATENATE(G217," ",J217," Year EUL")</f>
        <v>Water Heating BUS 15 Year EUL</v>
      </c>
      <c r="DD217" s="69">
        <f>(INDEX('Avoided Cost Benefits'!$C$4:$C$857,MATCH(DC217,'Avoided Cost Benefits'!$A$4:$A$857,0)))*F217</f>
        <v>13376.188887295353</v>
      </c>
      <c r="DE217" s="1946">
        <f>K217/(1.0595^(2020-2019))</f>
        <v>3775.3657385559222</v>
      </c>
    </row>
    <row r="218" spans="2:112" x14ac:dyDescent="0.25">
      <c r="B218" s="1931"/>
      <c r="C218" s="1997" t="s">
        <v>2799</v>
      </c>
      <c r="D218" s="1289" t="s">
        <v>2646</v>
      </c>
      <c r="E218" s="1319" t="s">
        <v>2800</v>
      </c>
      <c r="F218" s="1959">
        <f>ROUND((((1/F232-1/G232)*H232*J232*(K232-L232)*1)/3412)+M232-N232,2)</f>
        <v>52890</v>
      </c>
      <c r="G218" s="1290" t="s">
        <v>2798</v>
      </c>
      <c r="H218" s="1291">
        <f>VLOOKUP(G218,'CP FACTORS'!$A$26:$B$38,2,FALSE)</f>
        <v>1.811545E-4</v>
      </c>
      <c r="I218" s="1309">
        <f>ROUND(H218*F218,6)</f>
        <v>9.5812620000000006</v>
      </c>
      <c r="J218" s="1317">
        <v>15</v>
      </c>
      <c r="K218" s="1329">
        <v>7000</v>
      </c>
      <c r="L218" s="1292" t="s">
        <v>185</v>
      </c>
      <c r="M218" s="1965"/>
      <c r="N218" s="1965"/>
      <c r="O218" s="1965"/>
      <c r="P218" s="1965"/>
      <c r="Q218" s="1965"/>
      <c r="R218" s="1965"/>
      <c r="S218" s="1965"/>
      <c r="T218" s="1965"/>
      <c r="U218" s="1965"/>
      <c r="V218" s="3226" t="s">
        <v>31</v>
      </c>
      <c r="W218" s="129">
        <v>52890.000000000015</v>
      </c>
      <c r="X218" s="129">
        <v>52890.000000000015</v>
      </c>
      <c r="Y218" s="129">
        <v>52890.000000000015</v>
      </c>
      <c r="Z218" s="129">
        <v>52890.000000000015</v>
      </c>
      <c r="AA218" s="129">
        <v>52890.000000000015</v>
      </c>
      <c r="AB218" s="2002">
        <v>52890</v>
      </c>
      <c r="AC218" s="3364">
        <v>52890</v>
      </c>
      <c r="AD218" s="2099"/>
      <c r="AE218" s="2099"/>
      <c r="AF218" s="2099"/>
      <c r="AG218" s="2099"/>
      <c r="AH218" s="2100"/>
      <c r="AI218" s="3227" t="s">
        <v>181</v>
      </c>
      <c r="AJ218" s="75">
        <v>15</v>
      </c>
      <c r="AK218" s="75">
        <v>15</v>
      </c>
      <c r="AL218" s="75">
        <v>15</v>
      </c>
      <c r="AM218" s="2095">
        <v>15</v>
      </c>
      <c r="AN218" s="2095">
        <v>15</v>
      </c>
      <c r="AO218" s="2091">
        <v>15</v>
      </c>
      <c r="AP218" s="2091">
        <v>15</v>
      </c>
      <c r="AQ218" s="2099"/>
      <c r="AR218" s="2099"/>
      <c r="AS218" s="2099"/>
      <c r="AT218" s="1933"/>
      <c r="AU218" s="3227" t="s">
        <v>170</v>
      </c>
      <c r="AV218" s="2104">
        <v>7000</v>
      </c>
      <c r="AW218" s="2104">
        <v>7000</v>
      </c>
      <c r="AX218" s="2104">
        <v>7000</v>
      </c>
      <c r="AY218" s="2104">
        <v>7000</v>
      </c>
      <c r="AZ218" s="2104">
        <v>7000</v>
      </c>
      <c r="BA218" s="2390">
        <v>7000</v>
      </c>
      <c r="BB218" s="2390">
        <v>7000</v>
      </c>
      <c r="BC218" s="2099"/>
      <c r="BD218" s="2099"/>
      <c r="BE218" s="2099"/>
      <c r="BF218" s="1933"/>
      <c r="BG218" s="1933"/>
      <c r="BH218" s="1933"/>
      <c r="BI218" s="1931"/>
      <c r="BJ218" s="1931"/>
      <c r="BK218" s="1931"/>
      <c r="BL218" s="1931"/>
      <c r="BM218" s="1931"/>
      <c r="BN218" s="1931"/>
      <c r="BO218" s="1931"/>
      <c r="BP218" s="1931"/>
      <c r="BQ218" s="1931"/>
      <c r="BR218" s="1931"/>
      <c r="BS218" s="1931"/>
      <c r="BT218" s="1931"/>
      <c r="BU218" s="1931"/>
      <c r="BV218" s="1931"/>
      <c r="BW218" s="1931"/>
      <c r="BX218" s="1931"/>
      <c r="BY218" s="1931"/>
      <c r="BZ218" s="1931"/>
      <c r="CA218" s="1931"/>
      <c r="CB218" s="1931"/>
      <c r="CC218" s="1931"/>
      <c r="CD218" s="1931"/>
      <c r="CE218" s="1930"/>
      <c r="CF218" s="1930"/>
      <c r="CG218" s="1930"/>
      <c r="CH218" s="1930"/>
      <c r="CI218" s="1931"/>
      <c r="CJ218" s="1931"/>
      <c r="CK218" s="1931"/>
      <c r="CL218" s="1931"/>
      <c r="CM218" s="1931"/>
      <c r="CN218" s="1931"/>
      <c r="CO218" s="1931"/>
      <c r="CP218" s="1931"/>
      <c r="CQ218" s="1931"/>
      <c r="CR218" s="1931"/>
      <c r="CS218" s="1931"/>
      <c r="CT218" s="1930"/>
      <c r="CU218" s="1930"/>
      <c r="CV218" s="1930"/>
      <c r="CW218" s="1930"/>
      <c r="CX218" s="1931"/>
      <c r="CY218" s="1931"/>
      <c r="CZ218" s="1931"/>
      <c r="DA218" s="1931"/>
      <c r="DB218" s="52">
        <f>(DD218)/(DE218)</f>
        <v>5.0614543307462245</v>
      </c>
      <c r="DC218" s="1948" t="str">
        <f>CONCATENATE(G218," ",J218," Year EUL")</f>
        <v>Water Heating BUS 15 Year EUL</v>
      </c>
      <c r="DD218" s="70">
        <f>(INDEX('Avoided Cost Benefits'!$C$4:$C$857,MATCH(DC218,'Avoided Cost Benefits'!$A$4:$A$857,0)))*F218</f>
        <v>33440.472218238385</v>
      </c>
      <c r="DE218" s="1949">
        <f>K218/(1.0595^(2020-2019))</f>
        <v>6606.8900424728636</v>
      </c>
    </row>
    <row r="219" spans="2:112" x14ac:dyDescent="0.25">
      <c r="B219" s="1931"/>
      <c r="C219" s="1997" t="s">
        <v>2801</v>
      </c>
      <c r="D219" s="1289" t="s">
        <v>2646</v>
      </c>
      <c r="E219" s="1319" t="s">
        <v>2802</v>
      </c>
      <c r="F219" s="1959">
        <f>ROUND((((1/F233-1/G233)*H233*J233*(K233-L233)*1)/3412)+M233-N233,2)</f>
        <v>141041</v>
      </c>
      <c r="G219" s="1290" t="s">
        <v>2798</v>
      </c>
      <c r="H219" s="1291">
        <f>VLOOKUP(G219,'CP FACTORS'!$A$26:$B$38,2,FALSE)</f>
        <v>1.811545E-4</v>
      </c>
      <c r="I219" s="1309">
        <f>ROUND(H219*F219,6)</f>
        <v>25.550211999999998</v>
      </c>
      <c r="J219" s="1317">
        <v>15</v>
      </c>
      <c r="K219" s="1329">
        <v>10000</v>
      </c>
      <c r="L219" s="1292" t="s">
        <v>185</v>
      </c>
      <c r="M219" s="1965"/>
      <c r="N219" s="1965"/>
      <c r="O219" s="1965"/>
      <c r="P219" s="1965"/>
      <c r="Q219" s="1965"/>
      <c r="R219" s="1965"/>
      <c r="S219" s="1965"/>
      <c r="T219" s="1965"/>
      <c r="U219" s="1965"/>
      <c r="V219" s="3226" t="s">
        <v>31</v>
      </c>
      <c r="W219" s="129">
        <v>141040.99999999997</v>
      </c>
      <c r="X219" s="129">
        <v>141040.99999999997</v>
      </c>
      <c r="Y219" s="129">
        <v>141040.99999999997</v>
      </c>
      <c r="Z219" s="129">
        <v>141040.99999999997</v>
      </c>
      <c r="AA219" s="129">
        <v>141040.99999999997</v>
      </c>
      <c r="AB219" s="2002">
        <v>141041</v>
      </c>
      <c r="AC219" s="3364">
        <v>141041</v>
      </c>
      <c r="AD219" s="2099"/>
      <c r="AE219" s="2099"/>
      <c r="AF219" s="2099"/>
      <c r="AG219" s="2099"/>
      <c r="AH219" s="2100"/>
      <c r="AI219" s="3227" t="s">
        <v>181</v>
      </c>
      <c r="AJ219" s="75">
        <v>15</v>
      </c>
      <c r="AK219" s="75">
        <v>15</v>
      </c>
      <c r="AL219" s="75">
        <v>15</v>
      </c>
      <c r="AM219" s="2095">
        <v>15</v>
      </c>
      <c r="AN219" s="2095">
        <v>15</v>
      </c>
      <c r="AO219" s="2091">
        <v>15</v>
      </c>
      <c r="AP219" s="2091">
        <v>15</v>
      </c>
      <c r="AQ219" s="2099"/>
      <c r="AR219" s="2099"/>
      <c r="AS219" s="2099"/>
      <c r="AT219" s="1933"/>
      <c r="AU219" s="3227" t="s">
        <v>170</v>
      </c>
      <c r="AV219" s="2104">
        <v>10000</v>
      </c>
      <c r="AW219" s="2104">
        <v>10000</v>
      </c>
      <c r="AX219" s="2104">
        <v>10000</v>
      </c>
      <c r="AY219" s="2104">
        <v>10000</v>
      </c>
      <c r="AZ219" s="2104">
        <v>10000</v>
      </c>
      <c r="BA219" s="2390">
        <v>10000</v>
      </c>
      <c r="BB219" s="2390">
        <v>10000</v>
      </c>
      <c r="BC219" s="2099"/>
      <c r="BD219" s="2099"/>
      <c r="BE219" s="2099"/>
      <c r="BF219" s="1933"/>
      <c r="BG219" s="1933"/>
      <c r="BH219" s="1933"/>
      <c r="BI219" s="1931"/>
      <c r="BJ219" s="1931"/>
      <c r="BK219" s="1931"/>
      <c r="BL219" s="1931"/>
      <c r="BM219" s="1931"/>
      <c r="BN219" s="1931"/>
      <c r="BO219" s="1931"/>
      <c r="BP219" s="1931"/>
      <c r="BQ219" s="1931"/>
      <c r="BR219" s="1931"/>
      <c r="BS219" s="1931"/>
      <c r="BT219" s="1931"/>
      <c r="BU219" s="1931"/>
      <c r="BV219" s="1931"/>
      <c r="BW219" s="1931"/>
      <c r="BX219" s="1931"/>
      <c r="BY219" s="1931"/>
      <c r="BZ219" s="1931"/>
      <c r="CA219" s="1931"/>
      <c r="CB219" s="1931"/>
      <c r="CC219" s="1931"/>
      <c r="CD219" s="1931"/>
      <c r="CE219" s="1930"/>
      <c r="CF219" s="1930"/>
      <c r="CG219" s="1930"/>
      <c r="CH219" s="1930"/>
      <c r="CI219" s="1931"/>
      <c r="CJ219" s="1931"/>
      <c r="CK219" s="1931"/>
      <c r="CL219" s="1931"/>
      <c r="CM219" s="1931"/>
      <c r="CN219" s="1931"/>
      <c r="CO219" s="1931"/>
      <c r="CP219" s="1931"/>
      <c r="CQ219" s="1931"/>
      <c r="CR219" s="1931"/>
      <c r="CS219" s="1931"/>
      <c r="CT219" s="1930"/>
      <c r="CU219" s="1930"/>
      <c r="CV219" s="1930"/>
      <c r="CW219" s="1930"/>
      <c r="CX219" s="1931"/>
      <c r="CY219" s="1931"/>
      <c r="CZ219" s="1931"/>
      <c r="DA219" s="1931"/>
      <c r="DB219" s="52">
        <f>(DD219)/(DE219)</f>
        <v>9.4481150724890295</v>
      </c>
      <c r="DC219" s="1948" t="str">
        <f>CONCATENATE(G219," ",J219," Year EUL")</f>
        <v>Water Heating BUS 15 Year EUL</v>
      </c>
      <c r="DD219" s="70">
        <f>(INDEX('Avoided Cost Benefits'!$C$4:$C$857,MATCH(DC219,'Avoided Cost Benefits'!$A$4:$A$857,0)))*F219</f>
        <v>89175.224846522207</v>
      </c>
      <c r="DE219" s="1949">
        <f>K219/(1.0595^(2020-2019))</f>
        <v>9438.4143463898054</v>
      </c>
    </row>
    <row r="220" spans="2:112" x14ac:dyDescent="0.25">
      <c r="B220" s="1931"/>
      <c r="C220" s="1997" t="s">
        <v>2803</v>
      </c>
      <c r="D220" s="1289" t="s">
        <v>2646</v>
      </c>
      <c r="E220" s="1319" t="s">
        <v>2804</v>
      </c>
      <c r="F220" s="1959">
        <f>ROUND((((1/F234-1/G234)*H234*J234*(K234-L234)*1)/3412)+M234-N234,2)</f>
        <v>282081</v>
      </c>
      <c r="G220" s="1290" t="s">
        <v>2798</v>
      </c>
      <c r="H220" s="1291">
        <f>VLOOKUP(G220,'CP FACTORS'!$A$26:$B$38,2,FALSE)</f>
        <v>1.811545E-4</v>
      </c>
      <c r="I220" s="1309">
        <f>ROUND(H220*F220,6)</f>
        <v>51.100242999999999</v>
      </c>
      <c r="J220" s="1317">
        <v>15</v>
      </c>
      <c r="K220" s="1329">
        <v>14000</v>
      </c>
      <c r="L220" s="1292" t="s">
        <v>185</v>
      </c>
      <c r="M220" s="1965"/>
      <c r="N220" s="1965"/>
      <c r="O220" s="1965"/>
      <c r="P220" s="1965"/>
      <c r="Q220" s="1965"/>
      <c r="R220" s="1965"/>
      <c r="S220" s="1965"/>
      <c r="T220" s="1965"/>
      <c r="U220" s="1965"/>
      <c r="V220" s="3226" t="s">
        <v>31</v>
      </c>
      <c r="W220" s="129">
        <v>282081.00000000006</v>
      </c>
      <c r="X220" s="129">
        <v>282081.00000000006</v>
      </c>
      <c r="Y220" s="129">
        <v>282081.00000000006</v>
      </c>
      <c r="Z220" s="129">
        <v>282081.00000000006</v>
      </c>
      <c r="AA220" s="129">
        <v>282081.00000000006</v>
      </c>
      <c r="AB220" s="2002">
        <v>282081</v>
      </c>
      <c r="AC220" s="3364">
        <v>282081</v>
      </c>
      <c r="AD220" s="2099"/>
      <c r="AE220" s="2099"/>
      <c r="AF220" s="2099"/>
      <c r="AG220" s="2099"/>
      <c r="AH220" s="2100"/>
      <c r="AI220" s="3227" t="s">
        <v>181</v>
      </c>
      <c r="AJ220" s="75">
        <v>15</v>
      </c>
      <c r="AK220" s="75">
        <v>15</v>
      </c>
      <c r="AL220" s="75">
        <v>15</v>
      </c>
      <c r="AM220" s="2095">
        <v>15</v>
      </c>
      <c r="AN220" s="2095">
        <v>15</v>
      </c>
      <c r="AO220" s="2091">
        <v>15</v>
      </c>
      <c r="AP220" s="2091">
        <v>15</v>
      </c>
      <c r="AQ220" s="2099"/>
      <c r="AR220" s="2099"/>
      <c r="AS220" s="2099"/>
      <c r="AT220" s="1933"/>
      <c r="AU220" s="3227" t="s">
        <v>170</v>
      </c>
      <c r="AV220" s="2104">
        <v>14000</v>
      </c>
      <c r="AW220" s="2104">
        <v>14000</v>
      </c>
      <c r="AX220" s="2104">
        <v>14000</v>
      </c>
      <c r="AY220" s="2104">
        <v>14000</v>
      </c>
      <c r="AZ220" s="2104">
        <v>14000</v>
      </c>
      <c r="BA220" s="2390">
        <v>14000</v>
      </c>
      <c r="BB220" s="2390">
        <v>14000</v>
      </c>
      <c r="BC220" s="2099"/>
      <c r="BD220" s="2099"/>
      <c r="BE220" s="2099"/>
      <c r="BF220" s="1933"/>
      <c r="BG220" s="1933"/>
      <c r="BH220" s="1933"/>
      <c r="BI220" s="1931"/>
      <c r="BJ220" s="1931"/>
      <c r="BK220" s="1931"/>
      <c r="BL220" s="1931"/>
      <c r="BM220" s="1931"/>
      <c r="BN220" s="1931"/>
      <c r="BO220" s="1931"/>
      <c r="BP220" s="1931"/>
      <c r="BQ220" s="1931"/>
      <c r="BR220" s="1931"/>
      <c r="BS220" s="1931"/>
      <c r="BT220" s="1931"/>
      <c r="BU220" s="1931"/>
      <c r="BV220" s="1931"/>
      <c r="BW220" s="1931"/>
      <c r="BX220" s="1931"/>
      <c r="BY220" s="1931"/>
      <c r="BZ220" s="1931"/>
      <c r="CA220" s="1931"/>
      <c r="CB220" s="1931"/>
      <c r="CC220" s="1931"/>
      <c r="CD220" s="1931"/>
      <c r="CE220" s="1930"/>
      <c r="CF220" s="1930"/>
      <c r="CG220" s="1930"/>
      <c r="CH220" s="1930"/>
      <c r="CI220" s="1931"/>
      <c r="CJ220" s="1931"/>
      <c r="CK220" s="1931"/>
      <c r="CL220" s="1931"/>
      <c r="CM220" s="1931"/>
      <c r="CN220" s="1931"/>
      <c r="CO220" s="1931"/>
      <c r="CP220" s="1931"/>
      <c r="CQ220" s="1931"/>
      <c r="CR220" s="1931"/>
      <c r="CS220" s="1931"/>
      <c r="CT220" s="1930"/>
      <c r="CU220" s="1930"/>
      <c r="CV220" s="1930"/>
      <c r="CW220" s="1930"/>
      <c r="CX220" s="1931"/>
      <c r="CY220" s="1931"/>
      <c r="CZ220" s="1931"/>
      <c r="DA220" s="1931"/>
      <c r="DB220" s="52">
        <f>(DD220)/(DE220)</f>
        <v>13.497259397534748</v>
      </c>
      <c r="DC220" s="1948" t="str">
        <f>CONCATENATE(G220," ",J220," Year EUL")</f>
        <v>Water Heating BUS 15 Year EUL</v>
      </c>
      <c r="DD220" s="70">
        <f>(INDEX('Avoided Cost Benefits'!$C$4:$C$857,MATCH(DC220,'Avoided Cost Benefits'!$A$4:$A$857,0)))*F220</f>
        <v>178349.81742849122</v>
      </c>
      <c r="DE220" s="1949">
        <f>K220/(1.0595^(2020-2019))</f>
        <v>13213.780084945727</v>
      </c>
    </row>
    <row r="221" spans="2:112" x14ac:dyDescent="0.25">
      <c r="B221" s="1931"/>
      <c r="C221" s="1997" t="s">
        <v>2805</v>
      </c>
      <c r="D221" s="1289" t="s">
        <v>2646</v>
      </c>
      <c r="E221" s="1319" t="s">
        <v>2806</v>
      </c>
      <c r="F221" s="1959">
        <f>ROUND((((1/F235-1/G235)*H235*J235*(K235-L235)*1)/3412)+M235-N235,2)</f>
        <v>423122</v>
      </c>
      <c r="G221" s="1290" t="s">
        <v>2798</v>
      </c>
      <c r="H221" s="1291">
        <f>VLOOKUP(G221,'CP FACTORS'!$A$26:$B$38,2,FALSE)</f>
        <v>1.811545E-4</v>
      </c>
      <c r="I221" s="1309">
        <f>ROUND(H221*F221,6)</f>
        <v>76.650453999999996</v>
      </c>
      <c r="J221" s="1317">
        <v>15</v>
      </c>
      <c r="K221" s="1329">
        <v>18000</v>
      </c>
      <c r="L221" s="1292" t="s">
        <v>185</v>
      </c>
      <c r="M221" s="1965"/>
      <c r="N221" s="1321"/>
      <c r="O221" s="1321"/>
      <c r="P221" s="1321"/>
      <c r="Q221" s="1321"/>
      <c r="R221" s="1321"/>
      <c r="S221" s="1965"/>
      <c r="T221" s="1965"/>
      <c r="U221" s="1965"/>
      <c r="V221" s="3226" t="s">
        <v>31</v>
      </c>
      <c r="W221" s="129">
        <v>423122.00000000012</v>
      </c>
      <c r="X221" s="129">
        <v>423122.00000000012</v>
      </c>
      <c r="Y221" s="129">
        <v>423122.00000000012</v>
      </c>
      <c r="Z221" s="129">
        <v>423122.00000000012</v>
      </c>
      <c r="AA221" s="129">
        <v>423122.00000000012</v>
      </c>
      <c r="AB221" s="2002">
        <v>423122</v>
      </c>
      <c r="AC221" s="3364">
        <v>423122</v>
      </c>
      <c r="AD221" s="2099"/>
      <c r="AE221" s="2099"/>
      <c r="AF221" s="2099"/>
      <c r="AG221" s="2099"/>
      <c r="AH221" s="2100"/>
      <c r="AI221" s="3227" t="s">
        <v>181</v>
      </c>
      <c r="AJ221" s="75">
        <v>15</v>
      </c>
      <c r="AK221" s="75">
        <v>15</v>
      </c>
      <c r="AL221" s="75">
        <v>15</v>
      </c>
      <c r="AM221" s="2095">
        <v>15</v>
      </c>
      <c r="AN221" s="2095">
        <v>15</v>
      </c>
      <c r="AO221" s="2091">
        <v>15</v>
      </c>
      <c r="AP221" s="2091">
        <v>15</v>
      </c>
      <c r="AQ221" s="2099"/>
      <c r="AR221" s="2099"/>
      <c r="AS221" s="2099"/>
      <c r="AT221" s="1933"/>
      <c r="AU221" s="3227" t="s">
        <v>170</v>
      </c>
      <c r="AV221" s="2104">
        <v>18000</v>
      </c>
      <c r="AW221" s="2104">
        <v>18000</v>
      </c>
      <c r="AX221" s="2104">
        <v>18000</v>
      </c>
      <c r="AY221" s="2104">
        <v>18000</v>
      </c>
      <c r="AZ221" s="2104">
        <v>18000</v>
      </c>
      <c r="BA221" s="2390">
        <v>18000</v>
      </c>
      <c r="BB221" s="2390">
        <v>18000</v>
      </c>
      <c r="BC221" s="2099"/>
      <c r="BD221" s="2099"/>
      <c r="BE221" s="2099"/>
      <c r="BF221" s="1933"/>
      <c r="BG221" s="1933"/>
      <c r="BH221" s="1933"/>
      <c r="BI221" s="1931"/>
      <c r="BJ221" s="1931"/>
      <c r="BK221" s="1931"/>
      <c r="BL221" s="1931"/>
      <c r="BM221" s="1931"/>
      <c r="BN221" s="1931"/>
      <c r="BO221" s="1931"/>
      <c r="BP221" s="1931"/>
      <c r="BQ221" s="1931"/>
      <c r="BR221" s="1931"/>
      <c r="BS221" s="1931"/>
      <c r="BT221" s="1931"/>
      <c r="BU221" s="1931"/>
      <c r="BV221" s="1931"/>
      <c r="BW221" s="1931"/>
      <c r="BX221" s="1931"/>
      <c r="BY221" s="1931"/>
      <c r="BZ221" s="1931"/>
      <c r="CA221" s="1931"/>
      <c r="CB221" s="1931"/>
      <c r="CC221" s="1931"/>
      <c r="CD221" s="1931"/>
      <c r="CE221" s="1930"/>
      <c r="CF221" s="1930"/>
      <c r="CG221" s="1930"/>
      <c r="CH221" s="1930"/>
      <c r="CI221" s="1931"/>
      <c r="CJ221" s="1931"/>
      <c r="CK221" s="1931"/>
      <c r="CL221" s="1931"/>
      <c r="CM221" s="1931"/>
      <c r="CN221" s="1931"/>
      <c r="CO221" s="1931"/>
      <c r="CP221" s="1931"/>
      <c r="CQ221" s="1931"/>
      <c r="CR221" s="1931"/>
      <c r="CS221" s="1931"/>
      <c r="CT221" s="1930"/>
      <c r="CU221" s="1930"/>
      <c r="CV221" s="1930"/>
      <c r="CW221" s="1930"/>
      <c r="CX221" s="1931"/>
      <c r="CY221" s="1931"/>
      <c r="CZ221" s="1931"/>
      <c r="DA221" s="1931"/>
      <c r="DB221" s="53">
        <f>(DD221)/(DE221)</f>
        <v>15.746821238354265</v>
      </c>
      <c r="DC221" s="1948" t="str">
        <f>CONCATENATE(G221," ",J221," Year EUL")</f>
        <v>Water Heating BUS 15 Year EUL</v>
      </c>
      <c r="DD221" s="71">
        <f>(INDEX('Avoided Cost Benefits'!$C$4:$C$857,MATCH(DC221,'Avoided Cost Benefits'!$A$4:$A$857,0)))*F221</f>
        <v>267525.04227501346</v>
      </c>
      <c r="DE221" s="1950">
        <f>K221/(1.0595^(2020-2019))</f>
        <v>16989.145823501651</v>
      </c>
    </row>
    <row r="222" spans="2:112" hidden="1" outlineLevel="1" x14ac:dyDescent="0.25">
      <c r="B222" s="1931"/>
      <c r="D222" s="1966"/>
      <c r="E222" s="1966"/>
      <c r="F222" s="1966"/>
      <c r="G222" s="1966"/>
      <c r="H222" s="1299"/>
      <c r="I222" s="1966"/>
      <c r="J222" s="1966"/>
      <c r="K222" s="1966"/>
      <c r="L222" s="1965"/>
      <c r="M222" s="1965"/>
      <c r="N222" s="1321"/>
      <c r="O222" s="1321"/>
      <c r="P222" s="1321"/>
      <c r="Q222" s="1321"/>
      <c r="R222" s="1321"/>
      <c r="S222" s="1965"/>
      <c r="T222" s="1965"/>
      <c r="U222" s="1965"/>
      <c r="V222" s="1931"/>
      <c r="W222" s="1933"/>
      <c r="X222" s="1933"/>
      <c r="Y222" s="1933"/>
      <c r="Z222" s="1933"/>
      <c r="AA222" s="1933"/>
      <c r="AB222" s="1933"/>
      <c r="AC222" s="1933"/>
      <c r="AD222" s="1933"/>
      <c r="AE222" s="1933"/>
      <c r="AF222" s="1933"/>
      <c r="AG222" s="1933"/>
      <c r="AH222" s="1933"/>
      <c r="AI222" s="1933"/>
      <c r="AJ222" s="1933"/>
      <c r="AK222" s="1933"/>
      <c r="AL222" s="1933"/>
      <c r="AM222" s="1933"/>
      <c r="AN222" s="1933"/>
      <c r="AO222" s="1933"/>
      <c r="AP222" s="1933"/>
      <c r="AQ222" s="1933"/>
      <c r="AR222" s="1933"/>
      <c r="AS222" s="1933"/>
      <c r="AT222" s="1933"/>
      <c r="AU222" s="1933"/>
      <c r="AV222" s="1933"/>
      <c r="AW222" s="1933"/>
      <c r="AX222" s="1933"/>
      <c r="AY222" s="1933"/>
      <c r="AZ222" s="1933"/>
      <c r="BA222" s="1933"/>
      <c r="BB222" s="1933"/>
      <c r="BC222" s="1933"/>
      <c r="BD222" s="1933"/>
      <c r="BE222" s="1933"/>
      <c r="BF222" s="1933"/>
      <c r="BG222" s="1933"/>
      <c r="BH222" s="1933"/>
      <c r="BI222" s="1931"/>
      <c r="BJ222" s="1931"/>
      <c r="BK222" s="1931"/>
      <c r="BL222" s="1931"/>
      <c r="BM222" s="1931"/>
      <c r="BN222" s="1931"/>
      <c r="BO222" s="1931"/>
      <c r="BP222" s="1931"/>
      <c r="BQ222" s="1931"/>
      <c r="BR222" s="1931"/>
      <c r="BS222" s="1931"/>
      <c r="BT222" s="1931"/>
      <c r="BU222" s="1931"/>
      <c r="BV222" s="1931"/>
      <c r="BW222" s="1931"/>
      <c r="BX222" s="1931"/>
      <c r="BY222" s="1931"/>
      <c r="BZ222" s="1931"/>
      <c r="CA222" s="1931"/>
      <c r="CB222" s="1931"/>
      <c r="CC222" s="1931"/>
      <c r="CD222" s="1931"/>
      <c r="CE222" s="1930"/>
      <c r="CF222" s="1930"/>
      <c r="CG222" s="1930"/>
      <c r="CH222" s="1930"/>
      <c r="CI222" s="1931"/>
      <c r="CJ222" s="1931"/>
      <c r="CK222" s="1931"/>
      <c r="CL222" s="1931"/>
      <c r="CM222" s="1931"/>
      <c r="CN222" s="1931"/>
      <c r="CO222" s="1931"/>
      <c r="CP222" s="1931"/>
      <c r="CQ222" s="1931"/>
      <c r="CR222" s="1931"/>
      <c r="CS222" s="1931"/>
      <c r="CT222" s="1930"/>
      <c r="CU222" s="1930"/>
      <c r="CV222" s="1930"/>
      <c r="CW222" s="1930"/>
      <c r="CX222" s="1931"/>
      <c r="CY222" s="1931"/>
      <c r="CZ222" s="1931"/>
      <c r="DA222" s="1931"/>
      <c r="DB222" s="1932"/>
      <c r="DC222" s="1931"/>
      <c r="DD222" s="1931"/>
      <c r="DE222" s="1931"/>
    </row>
    <row r="223" spans="2:112" hidden="1" outlineLevel="1" x14ac:dyDescent="0.25">
      <c r="B223" s="1931"/>
      <c r="D223" s="1966" t="s">
        <v>2689</v>
      </c>
      <c r="E223" s="151"/>
      <c r="F223" s="1966"/>
      <c r="G223" s="1966"/>
      <c r="H223" s="1299"/>
      <c r="I223" s="1966"/>
      <c r="J223" s="1966"/>
      <c r="K223" s="151"/>
      <c r="L223" s="1965"/>
      <c r="M223" s="1965"/>
      <c r="N223" s="1321"/>
      <c r="O223" s="1321"/>
      <c r="P223" s="1321"/>
      <c r="Q223" s="1321"/>
      <c r="R223" s="1321"/>
      <c r="S223" s="1965"/>
      <c r="T223" s="1965"/>
      <c r="U223" s="1965"/>
      <c r="V223" s="1931"/>
      <c r="W223" s="1933"/>
      <c r="X223" s="1933"/>
      <c r="Y223" s="1933"/>
      <c r="Z223" s="1933"/>
      <c r="AA223" s="1933"/>
      <c r="AB223" s="1933"/>
      <c r="AC223" s="1933"/>
      <c r="AD223" s="1933"/>
      <c r="AE223" s="1933"/>
      <c r="AF223" s="1933"/>
      <c r="AG223" s="1933"/>
      <c r="AH223" s="1933"/>
      <c r="AI223" s="1933"/>
      <c r="AJ223" s="1933"/>
      <c r="AK223" s="1933"/>
      <c r="AL223" s="1933"/>
      <c r="AM223" s="1933"/>
      <c r="AN223" s="1933"/>
      <c r="AO223" s="1933"/>
      <c r="AP223" s="1933"/>
      <c r="AQ223" s="1933"/>
      <c r="AR223" s="1933"/>
      <c r="AS223" s="1933"/>
      <c r="AT223" s="1933"/>
      <c r="AU223" s="1933"/>
      <c r="AV223" s="1933"/>
      <c r="AW223" s="1933"/>
      <c r="AX223" s="1933"/>
      <c r="AY223" s="1933"/>
      <c r="AZ223" s="1933"/>
      <c r="BA223" s="1933"/>
      <c r="BB223" s="1933"/>
      <c r="BC223" s="1933"/>
      <c r="BD223" s="1933"/>
      <c r="BE223" s="1933"/>
      <c r="BF223" s="1933"/>
      <c r="BG223" s="1933"/>
      <c r="BH223" s="1933"/>
      <c r="BI223" s="1931"/>
      <c r="BJ223" s="1931"/>
      <c r="BK223" s="1931"/>
      <c r="BL223" s="1931"/>
      <c r="BM223" s="1931"/>
      <c r="BN223" s="1931"/>
      <c r="BO223" s="1931"/>
      <c r="BP223" s="1931"/>
      <c r="BQ223" s="1931"/>
      <c r="BR223" s="1931"/>
      <c r="BS223" s="1931"/>
      <c r="BT223" s="1931"/>
      <c r="BU223" s="1931"/>
      <c r="BV223" s="1931"/>
      <c r="BW223" s="1931"/>
      <c r="BX223" s="1931"/>
      <c r="BY223" s="1931"/>
      <c r="BZ223" s="1931"/>
      <c r="CA223" s="1931"/>
      <c r="CB223" s="1931"/>
      <c r="CC223" s="1931"/>
      <c r="CD223" s="1931"/>
      <c r="CE223" s="1930"/>
      <c r="CF223" s="1930"/>
      <c r="CG223" s="1930"/>
      <c r="CH223" s="1930"/>
      <c r="CI223" s="1931"/>
      <c r="CJ223" s="1931"/>
      <c r="CK223" s="1931"/>
      <c r="CL223" s="1931"/>
      <c r="CM223" s="1931"/>
      <c r="CN223" s="1931"/>
      <c r="CO223" s="1931"/>
      <c r="CP223" s="1931"/>
      <c r="CQ223" s="1931"/>
      <c r="CR223" s="1931"/>
      <c r="CS223" s="1931"/>
      <c r="CT223" s="1930"/>
      <c r="CU223" s="1930"/>
      <c r="CV223" s="1930"/>
      <c r="CW223" s="1930"/>
      <c r="CX223" s="1931"/>
      <c r="CY223" s="1931"/>
      <c r="CZ223" s="1931"/>
      <c r="DA223" s="1931"/>
      <c r="DB223" s="1932"/>
      <c r="DC223" s="1931"/>
      <c r="DD223" s="1931"/>
      <c r="DE223" s="1931"/>
    </row>
    <row r="224" spans="2:112" hidden="1" outlineLevel="1" x14ac:dyDescent="0.25">
      <c r="B224" s="1931"/>
      <c r="D224" s="1300"/>
      <c r="E224" s="1965"/>
      <c r="F224" s="151"/>
      <c r="G224" s="1321"/>
      <c r="H224" s="1322"/>
      <c r="I224" s="1965"/>
      <c r="J224" s="1965"/>
      <c r="K224" s="1965"/>
      <c r="L224" s="1965"/>
      <c r="M224" s="1965"/>
      <c r="N224" s="1321"/>
      <c r="O224" s="1321"/>
      <c r="P224" s="1321"/>
      <c r="Q224" s="1321"/>
      <c r="R224" s="1321"/>
      <c r="S224" s="1965"/>
      <c r="T224" s="1965"/>
      <c r="U224" s="1965"/>
      <c r="V224" s="1931"/>
      <c r="W224" s="1933"/>
      <c r="X224" s="1933"/>
      <c r="Y224" s="1933"/>
      <c r="Z224" s="1933"/>
      <c r="AA224" s="1933"/>
      <c r="AB224" s="1933"/>
      <c r="AC224" s="1933"/>
      <c r="AD224" s="1933"/>
      <c r="AE224" s="1933"/>
      <c r="AF224" s="1933"/>
      <c r="AG224" s="1933"/>
      <c r="AH224" s="1933"/>
      <c r="AI224" s="1933"/>
      <c r="AJ224" s="1933"/>
      <c r="AK224" s="1933"/>
      <c r="AL224" s="1933"/>
      <c r="AM224" s="1933"/>
      <c r="AN224" s="1933"/>
      <c r="AO224" s="1933"/>
      <c r="AP224" s="1933"/>
      <c r="AQ224" s="1933"/>
      <c r="AR224" s="1933"/>
      <c r="AS224" s="1933"/>
      <c r="AT224" s="1933"/>
      <c r="AU224" s="1933"/>
      <c r="AV224" s="1933"/>
      <c r="AW224" s="1933"/>
      <c r="AX224" s="1933"/>
      <c r="AY224" s="1933"/>
      <c r="AZ224" s="1933"/>
      <c r="BA224" s="1933"/>
      <c r="BB224" s="1933"/>
      <c r="BC224" s="1933"/>
      <c r="BD224" s="1933"/>
      <c r="BE224" s="1933"/>
      <c r="BF224" s="1933"/>
      <c r="BG224" s="1933"/>
      <c r="BH224" s="1933"/>
      <c r="BI224" s="1931"/>
      <c r="BJ224" s="1931"/>
      <c r="BK224" s="1931"/>
      <c r="BL224" s="1931"/>
      <c r="BM224" s="1931"/>
      <c r="BN224" s="1931"/>
      <c r="BO224" s="1931"/>
      <c r="BP224" s="1931"/>
      <c r="BQ224" s="1931"/>
      <c r="BR224" s="1931"/>
      <c r="BS224" s="1931"/>
      <c r="BT224" s="1931"/>
      <c r="BU224" s="1931"/>
      <c r="BV224" s="1931"/>
      <c r="BW224" s="1931"/>
      <c r="BX224" s="1931"/>
      <c r="BY224" s="1931"/>
      <c r="BZ224" s="1931"/>
      <c r="CA224" s="1931"/>
      <c r="CB224" s="1931"/>
      <c r="CC224" s="1931"/>
      <c r="CD224" s="1931"/>
      <c r="CE224" s="1930"/>
      <c r="CF224" s="1930"/>
      <c r="CG224" s="1930"/>
      <c r="CH224" s="1930"/>
      <c r="CI224" s="1931"/>
      <c r="CJ224" s="1931"/>
      <c r="CK224" s="1931"/>
      <c r="CL224" s="1931"/>
      <c r="CM224" s="1931"/>
      <c r="CN224" s="1931"/>
      <c r="CO224" s="1931"/>
      <c r="CP224" s="1931"/>
      <c r="CQ224" s="1931"/>
      <c r="CR224" s="1931"/>
      <c r="CS224" s="1931"/>
      <c r="CT224" s="1930"/>
      <c r="CU224" s="1930"/>
      <c r="CV224" s="1930"/>
      <c r="CW224" s="1930"/>
      <c r="CX224" s="1931"/>
      <c r="CY224" s="1931"/>
      <c r="CZ224" s="1931"/>
      <c r="DA224" s="1931"/>
      <c r="DB224" s="1932"/>
      <c r="DC224" s="1931"/>
      <c r="DD224" s="1931"/>
      <c r="DE224" s="1931"/>
    </row>
    <row r="225" spans="2:112" hidden="1" outlineLevel="1" x14ac:dyDescent="0.25">
      <c r="B225" s="1931"/>
      <c r="D225" s="1300"/>
      <c r="E225" s="1965"/>
      <c r="F225" s="1965"/>
      <c r="G225" s="1321"/>
      <c r="H225" s="1322"/>
      <c r="I225" s="1965"/>
      <c r="J225" s="1965"/>
      <c r="K225" s="1965"/>
      <c r="L225" s="1965"/>
      <c r="M225" s="1965"/>
      <c r="N225" s="1321"/>
      <c r="O225" s="1321"/>
      <c r="P225" s="1321"/>
      <c r="Q225" s="1321"/>
      <c r="R225" s="1321"/>
      <c r="S225" s="1965"/>
      <c r="T225" s="1965"/>
      <c r="U225" s="1965"/>
      <c r="V225" s="1931"/>
      <c r="W225" s="1933"/>
      <c r="X225" s="1933"/>
      <c r="Y225" s="1933"/>
      <c r="Z225" s="1933"/>
      <c r="AA225" s="1933"/>
      <c r="AB225" s="1933"/>
      <c r="AC225" s="1933"/>
      <c r="AD225" s="1933"/>
      <c r="AE225" s="1933"/>
      <c r="AF225" s="1933"/>
      <c r="AG225" s="1933"/>
      <c r="AH225" s="1933"/>
      <c r="AI225" s="1933"/>
      <c r="AJ225" s="1933"/>
      <c r="AK225" s="1933"/>
      <c r="AL225" s="1933"/>
      <c r="AM225" s="1933"/>
      <c r="AN225" s="1933"/>
      <c r="AO225" s="1933"/>
      <c r="AP225" s="1933"/>
      <c r="AQ225" s="1933"/>
      <c r="AR225" s="1933"/>
      <c r="AS225" s="1933"/>
      <c r="AT225" s="1933"/>
      <c r="AU225" s="1933"/>
      <c r="AV225" s="1933"/>
      <c r="AW225" s="1933"/>
      <c r="AX225" s="1933"/>
      <c r="AY225" s="1933"/>
      <c r="AZ225" s="1933"/>
      <c r="BA225" s="1933"/>
      <c r="BB225" s="1933"/>
      <c r="BC225" s="1933"/>
      <c r="BD225" s="1933"/>
      <c r="BE225" s="1933"/>
      <c r="BF225" s="1933"/>
      <c r="BG225" s="1933"/>
      <c r="BH225" s="1933"/>
      <c r="BI225" s="1931"/>
      <c r="BJ225" s="1931"/>
      <c r="BK225" s="1931"/>
      <c r="BL225" s="1931"/>
      <c r="BM225" s="1931"/>
      <c r="BN225" s="1931"/>
      <c r="BO225" s="1931"/>
      <c r="BP225" s="1931"/>
      <c r="BQ225" s="1931"/>
      <c r="BR225" s="1931"/>
      <c r="BS225" s="1931"/>
      <c r="BT225" s="1931"/>
      <c r="BU225" s="1931"/>
      <c r="BV225" s="1931"/>
      <c r="BW225" s="1931"/>
      <c r="BX225" s="1931"/>
      <c r="BY225" s="1931"/>
      <c r="BZ225" s="1931"/>
      <c r="CA225" s="1931"/>
      <c r="CB225" s="1931"/>
      <c r="CC225" s="1931"/>
      <c r="CD225" s="1931"/>
      <c r="CE225" s="1930"/>
      <c r="CF225" s="1930"/>
      <c r="CG225" s="1930"/>
      <c r="CH225" s="1930"/>
      <c r="CI225" s="1931"/>
      <c r="CJ225" s="1931"/>
      <c r="CK225" s="1931"/>
      <c r="CL225" s="1931"/>
      <c r="CM225" s="1931"/>
      <c r="CN225" s="1931"/>
      <c r="CO225" s="1931"/>
      <c r="CP225" s="1931"/>
      <c r="CQ225" s="1931"/>
      <c r="CR225" s="1931"/>
      <c r="CS225" s="1931"/>
      <c r="CT225" s="1930"/>
      <c r="CU225" s="1930"/>
      <c r="CV225" s="1930"/>
      <c r="CW225" s="1930"/>
      <c r="CX225" s="1931"/>
      <c r="CY225" s="1931"/>
      <c r="CZ225" s="1931"/>
      <c r="DA225" s="1931"/>
      <c r="DB225" s="1932"/>
      <c r="DC225" s="1931"/>
      <c r="DD225" s="1931"/>
      <c r="DE225" s="1931"/>
    </row>
    <row r="226" spans="2:112" hidden="1" outlineLevel="1" x14ac:dyDescent="0.25">
      <c r="B226" s="1931"/>
      <c r="D226" s="1300"/>
      <c r="E226" s="1965"/>
      <c r="F226" s="1965"/>
      <c r="G226" s="1965"/>
      <c r="H226" s="1301"/>
      <c r="I226" s="1965"/>
      <c r="J226" s="1965"/>
      <c r="K226" s="1965"/>
      <c r="L226" s="1965"/>
      <c r="M226" s="1966"/>
      <c r="N226" s="1321"/>
      <c r="O226" s="1321"/>
      <c r="P226" s="1321"/>
      <c r="Q226" s="1321"/>
      <c r="R226" s="1321"/>
      <c r="S226" s="1965"/>
      <c r="T226" s="1965"/>
      <c r="U226" s="1965"/>
      <c r="V226" s="1931"/>
      <c r="W226" s="1931"/>
      <c r="X226" s="1931"/>
      <c r="Y226" s="1931"/>
      <c r="Z226" s="1931"/>
      <c r="AA226" s="1931"/>
      <c r="AB226" s="1931"/>
      <c r="AC226" s="1931"/>
      <c r="AD226" s="1931"/>
      <c r="AE226" s="1931"/>
      <c r="AF226" s="1931"/>
      <c r="AG226" s="1931"/>
      <c r="AH226" s="1931"/>
      <c r="AI226" s="1931"/>
      <c r="AJ226" s="1931"/>
      <c r="AK226" s="1931"/>
      <c r="AL226" s="1931"/>
      <c r="AM226" s="1931"/>
      <c r="AN226" s="1931"/>
      <c r="AO226" s="1931"/>
      <c r="AP226" s="1931"/>
      <c r="AQ226" s="1931"/>
      <c r="AR226" s="1931"/>
      <c r="AS226" s="1931"/>
      <c r="AT226" s="1931"/>
      <c r="AU226" s="1931"/>
      <c r="AV226" s="1931"/>
      <c r="AW226" s="1931"/>
      <c r="AX226" s="1931"/>
      <c r="AY226" s="1931"/>
      <c r="AZ226" s="1931"/>
      <c r="BA226" s="1931"/>
      <c r="BB226" s="1931"/>
      <c r="BC226" s="1931"/>
      <c r="BD226" s="1931"/>
      <c r="BE226" s="1931"/>
      <c r="BF226" s="1931"/>
      <c r="BG226" s="1931"/>
      <c r="BH226" s="1931"/>
      <c r="BI226" s="1931"/>
      <c r="BJ226" s="1931"/>
      <c r="BK226" s="1931"/>
      <c r="BL226" s="1931"/>
      <c r="BM226" s="1931"/>
      <c r="BN226" s="1931"/>
      <c r="BO226" s="1931"/>
      <c r="BP226" s="1931"/>
      <c r="BQ226" s="1931"/>
      <c r="BR226" s="1931"/>
      <c r="BS226" s="1931"/>
      <c r="BT226" s="1931"/>
      <c r="BU226" s="1931"/>
      <c r="BV226" s="1931"/>
      <c r="BW226" s="1931"/>
      <c r="BX226" s="1931"/>
      <c r="BY226" s="1931"/>
      <c r="BZ226" s="1931"/>
      <c r="CA226" s="1931"/>
      <c r="CB226" s="1931"/>
      <c r="CC226" s="1931"/>
      <c r="CD226" s="1931"/>
      <c r="CE226" s="1930"/>
      <c r="CF226" s="1930"/>
      <c r="CG226" s="1930"/>
      <c r="CH226" s="1930"/>
      <c r="CI226" s="1931"/>
      <c r="CJ226" s="1931"/>
      <c r="CK226" s="1931"/>
      <c r="CL226" s="1931"/>
      <c r="CM226" s="1931"/>
      <c r="CN226" s="1931"/>
      <c r="CO226" s="1931"/>
      <c r="CP226" s="1931"/>
      <c r="CQ226" s="1931"/>
      <c r="CR226" s="1931"/>
      <c r="CS226" s="1931"/>
      <c r="CT226" s="1930"/>
      <c r="CU226" s="1930"/>
      <c r="CV226" s="1930"/>
      <c r="CW226" s="1930"/>
      <c r="CX226" s="1931"/>
      <c r="CY226" s="1931"/>
      <c r="CZ226" s="1931"/>
      <c r="DA226" s="1931"/>
      <c r="DB226" s="1932"/>
      <c r="DC226" s="1931"/>
      <c r="DD226" s="1931"/>
      <c r="DE226" s="1931"/>
    </row>
    <row r="227" spans="2:112" hidden="1" outlineLevel="1" x14ac:dyDescent="0.25">
      <c r="B227" s="1931"/>
      <c r="D227" s="1300"/>
      <c r="E227" s="1965"/>
      <c r="F227" s="1965"/>
      <c r="G227" s="1965"/>
      <c r="H227" s="1301"/>
      <c r="I227" s="1965"/>
      <c r="J227" s="1965"/>
      <c r="K227" s="1965"/>
      <c r="L227" s="1965"/>
      <c r="M227" s="1966"/>
      <c r="N227" s="1321"/>
      <c r="O227" s="1321"/>
      <c r="P227" s="1321"/>
      <c r="Q227" s="1321"/>
      <c r="R227" s="1321"/>
      <c r="S227" s="1965"/>
      <c r="T227" s="1965"/>
      <c r="U227" s="1965"/>
      <c r="V227" s="1931"/>
      <c r="W227" s="1931"/>
      <c r="X227" s="1931"/>
      <c r="Y227" s="1931"/>
      <c r="Z227" s="1931"/>
      <c r="AA227" s="1931"/>
      <c r="AB227" s="1931"/>
      <c r="AC227" s="1931"/>
      <c r="AD227" s="1931"/>
      <c r="AE227" s="1931"/>
      <c r="AF227" s="1931"/>
      <c r="AG227" s="1931"/>
      <c r="AH227" s="1931"/>
      <c r="AI227" s="1931"/>
      <c r="AJ227" s="1931"/>
      <c r="AK227" s="1931"/>
      <c r="AL227" s="1931"/>
      <c r="AM227" s="1931"/>
      <c r="AN227" s="1931"/>
      <c r="AO227" s="1931"/>
      <c r="AP227" s="1931"/>
      <c r="AQ227" s="1931"/>
      <c r="AR227" s="1931"/>
      <c r="AS227" s="1931"/>
      <c r="AT227" s="1931"/>
      <c r="AU227" s="1931"/>
      <c r="AV227" s="1931"/>
      <c r="AW227" s="1931"/>
      <c r="AX227" s="1931"/>
      <c r="AY227" s="1931"/>
      <c r="AZ227" s="1931"/>
      <c r="BA227" s="1931"/>
      <c r="BB227" s="1931"/>
      <c r="BC227" s="1931"/>
      <c r="BD227" s="1931"/>
      <c r="BE227" s="1931"/>
      <c r="BF227" s="1931"/>
      <c r="BG227" s="1931"/>
      <c r="BH227" s="1931"/>
      <c r="BI227" s="1931"/>
      <c r="BJ227" s="1931"/>
      <c r="BK227" s="1931"/>
      <c r="BL227" s="1931"/>
      <c r="BM227" s="1931"/>
      <c r="BN227" s="1931"/>
      <c r="BO227" s="1931"/>
      <c r="BP227" s="1931"/>
      <c r="BQ227" s="1931"/>
      <c r="BR227" s="1931"/>
      <c r="BS227" s="1931"/>
      <c r="BT227" s="1931"/>
      <c r="BU227" s="1931"/>
      <c r="BV227" s="1931"/>
      <c r="BW227" s="1931"/>
      <c r="BX227" s="1931"/>
      <c r="BY227" s="1931"/>
      <c r="BZ227" s="1931"/>
      <c r="CA227" s="1931"/>
      <c r="CB227" s="1931"/>
      <c r="CC227" s="1931"/>
      <c r="CD227" s="1931"/>
      <c r="CE227" s="1930"/>
      <c r="CF227" s="1930"/>
      <c r="CG227" s="1930"/>
      <c r="CH227" s="1930"/>
      <c r="CI227" s="1931"/>
      <c r="CJ227" s="1931"/>
      <c r="CK227" s="1931"/>
      <c r="CL227" s="1931"/>
      <c r="CM227" s="1931"/>
      <c r="CN227" s="1931"/>
      <c r="CO227" s="1931"/>
      <c r="CP227" s="1931"/>
      <c r="CQ227" s="1931"/>
      <c r="CR227" s="1931"/>
      <c r="CS227" s="1931"/>
      <c r="CT227" s="1930"/>
      <c r="CU227" s="1930"/>
      <c r="CV227" s="1930"/>
      <c r="CW227" s="1930"/>
      <c r="CX227" s="1931"/>
      <c r="CY227" s="1931"/>
      <c r="CZ227" s="1931"/>
      <c r="DA227" s="1931"/>
      <c r="DB227" s="1932"/>
      <c r="DC227" s="1931"/>
      <c r="DD227" s="1931"/>
      <c r="DE227" s="1931"/>
    </row>
    <row r="228" spans="2:112" hidden="1" outlineLevel="1" x14ac:dyDescent="0.25">
      <c r="B228" s="1931"/>
      <c r="D228" s="1300"/>
      <c r="E228" s="1965"/>
      <c r="F228" s="1965"/>
      <c r="G228" s="1965"/>
      <c r="H228" s="1301"/>
      <c r="I228" s="1965"/>
      <c r="J228" s="1965"/>
      <c r="K228" s="1965"/>
      <c r="L228" s="1965"/>
      <c r="M228" s="1966"/>
      <c r="N228" s="1321"/>
      <c r="O228" s="1321"/>
      <c r="P228" s="1321"/>
      <c r="Q228" s="1321"/>
      <c r="R228" s="1321"/>
      <c r="S228" s="1965"/>
      <c r="T228" s="1965"/>
      <c r="U228" s="1965"/>
      <c r="V228" s="1931"/>
      <c r="W228" s="1931"/>
      <c r="X228" s="1931"/>
      <c r="Y228" s="1931"/>
      <c r="Z228" s="1931"/>
      <c r="AA228" s="1931"/>
      <c r="AB228" s="1931"/>
      <c r="AC228" s="1931"/>
      <c r="AD228" s="1931"/>
      <c r="AE228" s="1931"/>
      <c r="AF228" s="1931"/>
      <c r="AG228" s="1931"/>
      <c r="AH228" s="1931"/>
      <c r="AI228" s="1931"/>
      <c r="AJ228" s="1931"/>
      <c r="AK228" s="1931"/>
      <c r="AL228" s="1931"/>
      <c r="AM228" s="1931"/>
      <c r="AN228" s="1931"/>
      <c r="AO228" s="1931"/>
      <c r="AP228" s="1931"/>
      <c r="AQ228" s="1931"/>
      <c r="AR228" s="1931"/>
      <c r="AS228" s="1931"/>
      <c r="AT228" s="1931"/>
      <c r="AU228" s="1931"/>
      <c r="AV228" s="1931"/>
      <c r="AW228" s="1931"/>
      <c r="AX228" s="1931"/>
      <c r="AY228" s="1931"/>
      <c r="AZ228" s="1931"/>
      <c r="BA228" s="1931"/>
      <c r="BB228" s="1931"/>
      <c r="BC228" s="1931"/>
      <c r="BD228" s="1931"/>
      <c r="BE228" s="1931"/>
      <c r="BF228" s="1931"/>
      <c r="BG228" s="1931"/>
      <c r="BH228" s="1931"/>
      <c r="BI228" s="1931"/>
      <c r="BJ228" s="1931"/>
      <c r="BK228" s="1931"/>
      <c r="BL228" s="1931"/>
      <c r="BM228" s="1931"/>
      <c r="BN228" s="1931"/>
      <c r="BO228" s="1931"/>
      <c r="BP228" s="1931"/>
      <c r="BQ228" s="1931"/>
      <c r="BR228" s="1931"/>
      <c r="BS228" s="1931"/>
      <c r="BT228" s="1931"/>
      <c r="BU228" s="1931"/>
      <c r="BV228" s="1931"/>
      <c r="BW228" s="1931"/>
      <c r="BX228" s="1931"/>
      <c r="BY228" s="1931"/>
      <c r="BZ228" s="1931"/>
      <c r="CA228" s="1931"/>
      <c r="CB228" s="1931"/>
      <c r="CC228" s="1931"/>
      <c r="CD228" s="1931"/>
      <c r="CE228" s="1930"/>
      <c r="CF228" s="1930"/>
      <c r="CG228" s="1930"/>
      <c r="CH228" s="1930"/>
      <c r="CI228" s="1931"/>
      <c r="CJ228" s="1931"/>
      <c r="CK228" s="1931"/>
      <c r="CL228" s="1931"/>
      <c r="CM228" s="1931"/>
      <c r="CN228" s="1931"/>
      <c r="CO228" s="1931"/>
      <c r="CP228" s="1931"/>
      <c r="CQ228" s="1931"/>
      <c r="CR228" s="1931"/>
      <c r="CS228" s="1931"/>
      <c r="CT228" s="1930"/>
      <c r="CU228" s="1930"/>
      <c r="CV228" s="1930"/>
      <c r="CW228" s="1930"/>
      <c r="CX228" s="1931"/>
      <c r="CY228" s="1931"/>
      <c r="CZ228" s="1931"/>
      <c r="DA228" s="1931"/>
      <c r="DB228" s="1932"/>
      <c r="DC228" s="1931"/>
      <c r="DD228" s="1931"/>
      <c r="DE228" s="1931"/>
    </row>
    <row r="229" spans="2:112" hidden="1" outlineLevel="1" x14ac:dyDescent="0.25">
      <c r="B229" s="1931"/>
      <c r="D229" s="1300"/>
      <c r="E229" s="1965"/>
      <c r="F229" s="1965"/>
      <c r="G229" s="1965"/>
      <c r="H229" s="1301"/>
      <c r="I229" s="1965"/>
      <c r="J229" s="1965"/>
      <c r="K229" s="1965"/>
      <c r="L229" s="1965"/>
      <c r="M229" s="1965"/>
      <c r="N229" s="1321"/>
      <c r="O229" s="1321"/>
      <c r="P229" s="1321"/>
      <c r="Q229" s="1321"/>
      <c r="R229" s="1321"/>
      <c r="S229" s="1965"/>
      <c r="T229" s="1965"/>
      <c r="U229" s="1965"/>
      <c r="V229" s="1931"/>
      <c r="W229" s="1931"/>
      <c r="X229" s="1931"/>
      <c r="Y229" s="1931"/>
      <c r="Z229" s="1931"/>
      <c r="AA229" s="1931"/>
      <c r="AB229" s="1931"/>
      <c r="AC229" s="1931"/>
      <c r="AD229" s="1931"/>
      <c r="AE229" s="1931"/>
      <c r="AF229" s="1931"/>
      <c r="AG229" s="1931"/>
      <c r="AH229" s="1931"/>
      <c r="AI229" s="1931"/>
      <c r="AJ229" s="1931"/>
      <c r="AK229" s="1931"/>
      <c r="AL229" s="1931"/>
      <c r="AM229" s="1931"/>
      <c r="AN229" s="1931"/>
      <c r="AO229" s="1931"/>
      <c r="AP229" s="1931"/>
      <c r="AQ229" s="1931"/>
      <c r="AR229" s="1931"/>
      <c r="AS229" s="1931"/>
      <c r="AT229" s="1931"/>
      <c r="AU229" s="1931"/>
      <c r="AV229" s="1931"/>
      <c r="AW229" s="1931"/>
      <c r="AX229" s="1931"/>
      <c r="AY229" s="1931"/>
      <c r="AZ229" s="1931"/>
      <c r="BA229" s="1931"/>
      <c r="BB229" s="1931"/>
      <c r="BC229" s="1931"/>
      <c r="BD229" s="1931"/>
      <c r="BE229" s="1931"/>
      <c r="BF229" s="1931"/>
      <c r="BG229" s="1931"/>
      <c r="BH229" s="1931"/>
      <c r="BI229" s="1931"/>
      <c r="BJ229" s="1931"/>
      <c r="BK229" s="1931"/>
      <c r="BL229" s="1931"/>
      <c r="BM229" s="1931"/>
      <c r="BN229" s="1931"/>
      <c r="BO229" s="1931"/>
      <c r="BP229" s="1931"/>
      <c r="BQ229" s="1931"/>
      <c r="BR229" s="1931"/>
      <c r="BS229" s="1931"/>
      <c r="BT229" s="1931"/>
      <c r="BU229" s="1931"/>
      <c r="BV229" s="1931"/>
      <c r="BW229" s="1931"/>
      <c r="BX229" s="1931"/>
      <c r="BY229" s="1931"/>
      <c r="BZ229" s="1931"/>
      <c r="CA229" s="1931"/>
      <c r="CB229" s="1931"/>
      <c r="CC229" s="1931"/>
      <c r="CD229" s="1931"/>
      <c r="CE229" s="1930"/>
      <c r="CF229" s="1930"/>
      <c r="CG229" s="1930"/>
      <c r="CH229" s="1930"/>
      <c r="CI229" s="1931"/>
      <c r="CJ229" s="1931"/>
      <c r="CK229" s="1931"/>
      <c r="CL229" s="1931"/>
      <c r="CM229" s="1931"/>
      <c r="CN229" s="1931"/>
      <c r="CO229" s="1931"/>
      <c r="CP229" s="1931"/>
      <c r="CQ229" s="1931"/>
      <c r="CR229" s="1931"/>
      <c r="CS229" s="1931"/>
      <c r="CT229" s="1930"/>
      <c r="CU229" s="1930"/>
      <c r="CV229" s="1930"/>
      <c r="CW229" s="1930"/>
      <c r="CX229" s="1931"/>
      <c r="CY229" s="1931"/>
      <c r="CZ229" s="1931"/>
      <c r="DA229" s="1931"/>
      <c r="DB229" s="1932"/>
      <c r="DC229" s="1931"/>
      <c r="DD229" s="1931"/>
      <c r="DE229" s="1931"/>
    </row>
    <row r="230" spans="2:112" s="55" customFormat="1" ht="30" hidden="1" outlineLevel="1" x14ac:dyDescent="0.25">
      <c r="C230" s="151"/>
      <c r="D230" s="46" t="s">
        <v>28</v>
      </c>
      <c r="E230" s="3081" t="s">
        <v>2758</v>
      </c>
      <c r="F230" s="3081" t="s">
        <v>2807</v>
      </c>
      <c r="G230" s="3081" t="s">
        <v>2808</v>
      </c>
      <c r="H230" s="3249" t="s">
        <v>2809</v>
      </c>
      <c r="I230" s="3249" t="s">
        <v>2810</v>
      </c>
      <c r="J230" s="3249" t="s">
        <v>2811</v>
      </c>
      <c r="K230" s="3249" t="s">
        <v>2812</v>
      </c>
      <c r="L230" s="3249" t="s">
        <v>2813</v>
      </c>
      <c r="M230" s="3196" t="s">
        <v>2814</v>
      </c>
      <c r="N230" s="3196" t="s">
        <v>2815</v>
      </c>
      <c r="O230" s="3196" t="s">
        <v>2816</v>
      </c>
      <c r="P230" s="3196" t="s">
        <v>2817</v>
      </c>
      <c r="Q230" s="3196" t="s">
        <v>2818</v>
      </c>
      <c r="R230" s="3196" t="s">
        <v>243</v>
      </c>
      <c r="S230" s="3196" t="s">
        <v>284</v>
      </c>
      <c r="T230" s="401"/>
      <c r="U230" s="401"/>
      <c r="V230" s="1931"/>
      <c r="W230" s="1931"/>
      <c r="X230" s="1931"/>
      <c r="Y230" s="1931"/>
      <c r="Z230" s="1931"/>
      <c r="AA230" s="1931"/>
      <c r="AB230" s="1931"/>
      <c r="AC230" s="1931"/>
      <c r="AD230" s="1931"/>
      <c r="AE230" s="1931"/>
      <c r="AF230" s="1931"/>
      <c r="AG230" s="1931"/>
      <c r="AH230" s="1931"/>
      <c r="AI230" s="1931"/>
      <c r="AJ230" s="1931"/>
      <c r="AK230" s="1931"/>
      <c r="AL230" s="1931"/>
      <c r="AM230" s="1931"/>
      <c r="AN230" s="1931"/>
      <c r="AO230" s="1931"/>
      <c r="AP230" s="1931"/>
      <c r="AQ230" s="1931"/>
      <c r="AR230" s="1931"/>
      <c r="AS230" s="1931"/>
      <c r="AT230" s="1931"/>
      <c r="AU230" s="1931"/>
      <c r="AV230" s="1931"/>
      <c r="AW230" s="1931"/>
      <c r="AX230" s="1931"/>
      <c r="AY230" s="1931"/>
      <c r="AZ230" s="1931"/>
      <c r="BA230" s="1931"/>
      <c r="BB230" s="1931"/>
      <c r="BC230" s="1931"/>
      <c r="BD230" s="1931"/>
      <c r="BE230" s="1931"/>
      <c r="DB230" s="72"/>
    </row>
    <row r="231" spans="2:112" hidden="1" outlineLevel="1" x14ac:dyDescent="0.25">
      <c r="B231" s="1931"/>
      <c r="D231" s="1967" t="str">
        <f>C217</f>
        <v>802250_2019_12_</v>
      </c>
      <c r="E231" s="1967" t="str">
        <f>E217</f>
        <v>Heat Pump Water Heater w/ 98% Efficiency 2.9-14.6 kW (10 to 50 MBH)</v>
      </c>
      <c r="F231" s="1338">
        <f>0.96-(0.0003*40)</f>
        <v>0.94799999999999995</v>
      </c>
      <c r="G231" s="1338">
        <v>4</v>
      </c>
      <c r="H231" s="1339">
        <f>558*I231</f>
        <v>149421.71926647448</v>
      </c>
      <c r="I231" s="1340">
        <v>267.78085890049192</v>
      </c>
      <c r="J231" s="1325">
        <v>8.33</v>
      </c>
      <c r="K231" s="1341">
        <v>125</v>
      </c>
      <c r="L231" s="1342">
        <v>57.898000000000003</v>
      </c>
      <c r="M231" s="1343">
        <f>((((1-1/G231)*H231*J231*(K231-L231)*1)*Q231*0.53*3)/(O231*3412))*R231</f>
        <v>10425.227215592167</v>
      </c>
      <c r="N231" s="1343">
        <f>((((1-1/G231)*H231*J231*(K231-L231)*1)*Q231*0.43)/(P231*3412))*S231</f>
        <v>8970.821589174504</v>
      </c>
      <c r="O231" s="1331">
        <v>2.8</v>
      </c>
      <c r="P231" s="1323">
        <v>0.88</v>
      </c>
      <c r="Q231" s="1331">
        <v>1</v>
      </c>
      <c r="R231" s="1338">
        <v>1</v>
      </c>
      <c r="S231" s="1338">
        <v>1</v>
      </c>
      <c r="T231" s="1965"/>
      <c r="U231" s="1965"/>
      <c r="V231" s="1931"/>
      <c r="W231" s="1931"/>
      <c r="X231" s="1931"/>
      <c r="Y231" s="1931"/>
      <c r="Z231" s="1931"/>
      <c r="AA231" s="1931"/>
      <c r="AB231" s="1931"/>
      <c r="AC231" s="1931"/>
      <c r="AD231" s="1931"/>
      <c r="AE231" s="1931"/>
      <c r="AF231" s="1931"/>
      <c r="AG231" s="1931"/>
      <c r="AH231" s="1931"/>
      <c r="AI231" s="1931"/>
      <c r="AJ231" s="1931"/>
      <c r="AK231" s="1931"/>
      <c r="AL231" s="1931"/>
      <c r="AM231" s="1931"/>
      <c r="AN231" s="1931"/>
      <c r="AO231" s="1931"/>
      <c r="AP231" s="1931"/>
      <c r="AQ231" s="1931"/>
      <c r="AR231" s="1931"/>
      <c r="AS231" s="1931"/>
      <c r="AT231" s="1931"/>
      <c r="AU231" s="1931"/>
      <c r="AV231" s="1931"/>
      <c r="AW231" s="1931"/>
      <c r="AX231" s="1931"/>
      <c r="AY231" s="1931"/>
      <c r="AZ231" s="1931"/>
      <c r="BA231" s="1931"/>
      <c r="BB231" s="1931"/>
      <c r="BC231" s="1931"/>
      <c r="BD231" s="1931"/>
      <c r="BE231" s="1931"/>
      <c r="BF231" s="1931"/>
      <c r="BG231" s="1931"/>
      <c r="BH231" s="1931"/>
      <c r="BI231" s="1931"/>
      <c r="BJ231" s="1931"/>
      <c r="BK231" s="1931"/>
      <c r="BL231" s="1931"/>
      <c r="BM231" s="1931"/>
      <c r="BN231" s="1931"/>
      <c r="BO231" s="1931"/>
      <c r="BP231" s="1931"/>
      <c r="BQ231" s="1931"/>
      <c r="BR231" s="1931"/>
      <c r="BS231" s="1931"/>
      <c r="BT231" s="1931"/>
      <c r="BU231" s="1931"/>
      <c r="BV231" s="1931"/>
      <c r="BW231" s="1931"/>
      <c r="BX231" s="1931"/>
      <c r="BY231" s="1931"/>
      <c r="BZ231" s="1931"/>
      <c r="CA231" s="1931"/>
      <c r="CB231" s="1931"/>
      <c r="CC231" s="1931"/>
      <c r="CD231" s="1931"/>
      <c r="CE231" s="1930"/>
      <c r="CF231" s="1930"/>
      <c r="CG231" s="1930"/>
      <c r="CH231" s="1930"/>
      <c r="CI231" s="1931"/>
      <c r="CJ231" s="1931"/>
      <c r="CK231" s="1931"/>
      <c r="CL231" s="1931"/>
      <c r="CM231" s="1931"/>
      <c r="CN231" s="1931"/>
      <c r="CO231" s="1931"/>
      <c r="CP231" s="1931"/>
      <c r="CQ231" s="1931"/>
      <c r="CR231" s="1931"/>
      <c r="CS231" s="1931"/>
      <c r="CT231" s="1930"/>
      <c r="CU231" s="1930"/>
      <c r="CV231" s="1930"/>
      <c r="CW231" s="1930"/>
      <c r="CX231" s="1931"/>
      <c r="CY231" s="1931"/>
      <c r="CZ231" s="1931"/>
      <c r="DA231" s="1931"/>
      <c r="DB231" s="1932"/>
      <c r="DC231" s="1931"/>
      <c r="DD231" s="1931"/>
      <c r="DE231" s="1931"/>
    </row>
    <row r="232" spans="2:112" hidden="1" outlineLevel="1" x14ac:dyDescent="0.25">
      <c r="B232" s="1931"/>
      <c r="D232" s="1967" t="str">
        <f>C218</f>
        <v>802300_2019_12_</v>
      </c>
      <c r="E232" s="1967" t="str">
        <f>E218</f>
        <v>Heat Pump Water Heater w/ 98% Efficiency 14.7-29.3 kW (50 to 100 MBH)</v>
      </c>
      <c r="F232" s="1344">
        <v>0.98</v>
      </c>
      <c r="G232" s="1338">
        <v>4</v>
      </c>
      <c r="H232" s="1339">
        <f>558*I232</f>
        <v>389059.7149286035</v>
      </c>
      <c r="I232" s="1340">
        <v>697.2396324885367</v>
      </c>
      <c r="J232" s="1325">
        <v>8.33</v>
      </c>
      <c r="K232" s="1341">
        <v>125</v>
      </c>
      <c r="L232" s="1342">
        <v>57.898000000000003</v>
      </c>
      <c r="M232" s="1343">
        <f>((((1-1/G232)*H232*J232*(K232-L232)*1)*1*0.53*3)/(O232*3412))*1</f>
        <v>27144.88863115534</v>
      </c>
      <c r="N232" s="1343">
        <f>((((1-1/G232)*H232*J232*(K232-L232)*1)*Q232*0.43)/(P232*3412))*S232</f>
        <v>23357.95162372143</v>
      </c>
      <c r="O232" s="1331">
        <v>2.8</v>
      </c>
      <c r="P232" s="1323">
        <v>0.88</v>
      </c>
      <c r="Q232" s="1331">
        <v>1</v>
      </c>
      <c r="R232" s="1338">
        <v>1</v>
      </c>
      <c r="S232" s="1338">
        <v>1</v>
      </c>
      <c r="T232" s="1965"/>
      <c r="U232" s="1965"/>
      <c r="V232" s="1931"/>
      <c r="W232" s="1931"/>
      <c r="X232" s="1931"/>
      <c r="Y232" s="1931"/>
      <c r="Z232" s="1931"/>
      <c r="AA232" s="1931"/>
      <c r="AB232" s="1931"/>
      <c r="AC232" s="1931"/>
      <c r="AD232" s="1931"/>
      <c r="AE232" s="1931"/>
      <c r="AF232" s="1931"/>
      <c r="AG232" s="1931"/>
      <c r="AH232" s="1931"/>
      <c r="AI232" s="1931"/>
      <c r="AJ232" s="1931"/>
      <c r="AK232" s="1931"/>
      <c r="AL232" s="1931"/>
      <c r="AM232" s="1931"/>
      <c r="AN232" s="1931"/>
      <c r="AO232" s="1931"/>
      <c r="AP232" s="1931"/>
      <c r="AQ232" s="1931"/>
      <c r="AR232" s="1931"/>
      <c r="AS232" s="1931"/>
      <c r="AT232" s="1931"/>
      <c r="AU232" s="1931"/>
      <c r="AV232" s="1931"/>
      <c r="AW232" s="1931"/>
      <c r="AX232" s="1931"/>
      <c r="AY232" s="1931"/>
      <c r="AZ232" s="1931"/>
      <c r="BA232" s="1931"/>
      <c r="BB232" s="1931"/>
      <c r="BC232" s="1931"/>
      <c r="BD232" s="1931"/>
      <c r="BE232" s="1931"/>
      <c r="BF232" s="1931"/>
      <c r="BG232" s="1931"/>
      <c r="BH232" s="1931"/>
      <c r="BI232" s="1931"/>
      <c r="BJ232" s="1931"/>
      <c r="BK232" s="1931"/>
      <c r="BL232" s="1931"/>
      <c r="BM232" s="1931"/>
      <c r="BN232" s="1931"/>
      <c r="BO232" s="1931"/>
      <c r="BP232" s="1931"/>
      <c r="BQ232" s="1931"/>
      <c r="BR232" s="1931"/>
      <c r="BS232" s="1931"/>
      <c r="BT232" s="1931"/>
      <c r="BU232" s="1931"/>
      <c r="BV232" s="1931"/>
      <c r="BW232" s="1931"/>
      <c r="BX232" s="1931"/>
      <c r="BY232" s="1931"/>
      <c r="BZ232" s="1931"/>
      <c r="CA232" s="1931"/>
      <c r="CB232" s="1931"/>
      <c r="CC232" s="1931"/>
      <c r="CD232" s="1931"/>
      <c r="CE232" s="1930"/>
      <c r="CF232" s="1930"/>
      <c r="CG232" s="1930"/>
      <c r="CH232" s="1930"/>
      <c r="CI232" s="1931"/>
      <c r="CJ232" s="1931"/>
      <c r="CK232" s="1931"/>
      <c r="CL232" s="1931"/>
      <c r="CM232" s="1931"/>
      <c r="CN232" s="1931"/>
      <c r="CO232" s="1931"/>
      <c r="CP232" s="1931"/>
      <c r="CQ232" s="1931"/>
      <c r="CR232" s="1931"/>
      <c r="CS232" s="1931"/>
      <c r="CT232" s="1930"/>
      <c r="CU232" s="1930"/>
      <c r="CV232" s="1930"/>
      <c r="CW232" s="1930"/>
      <c r="CX232" s="1931"/>
      <c r="CY232" s="1931"/>
      <c r="CZ232" s="1931"/>
      <c r="DA232" s="1931"/>
      <c r="DB232" s="1932"/>
      <c r="DC232" s="1931"/>
      <c r="DD232" s="1931"/>
      <c r="DE232" s="1931"/>
      <c r="DF232" s="1931"/>
    </row>
    <row r="233" spans="2:112" hidden="1" outlineLevel="1" x14ac:dyDescent="0.25">
      <c r="B233" s="1931"/>
      <c r="D233" s="1967" t="str">
        <f>C219</f>
        <v>802350_2019_12_</v>
      </c>
      <c r="E233" s="1967" t="str">
        <f>E219</f>
        <v>Heat Pump Water Heater w/ 98% Efficiency 29.4-87.9 kW (100 to 300 MBH)</v>
      </c>
      <c r="F233" s="1344">
        <v>0.98</v>
      </c>
      <c r="G233" s="1338">
        <v>4</v>
      </c>
      <c r="H233" s="1339">
        <f>558*I233</f>
        <v>1037499.9291594848</v>
      </c>
      <c r="I233" s="1340">
        <v>1859.3188694614423</v>
      </c>
      <c r="J233" s="1325">
        <v>8.33</v>
      </c>
      <c r="K233" s="1341">
        <v>125</v>
      </c>
      <c r="L233" s="1342">
        <v>57.898000000000003</v>
      </c>
      <c r="M233" s="1343">
        <f>((((1-1/G233)*H233*J233*(K233-L233)*1)*1*0.53*3)/(O233*3412))*1</f>
        <v>72386.882915991271</v>
      </c>
      <c r="N233" s="1343">
        <f>((((1-1/G233)*H233*J233*(K233-L233)*1)*Q233*0.43)/(P233*3412))*S233</f>
        <v>62288.312629254913</v>
      </c>
      <c r="O233" s="1331">
        <v>2.8</v>
      </c>
      <c r="P233" s="1323">
        <v>0.88</v>
      </c>
      <c r="Q233" s="1331">
        <v>1</v>
      </c>
      <c r="R233" s="1338">
        <v>1</v>
      </c>
      <c r="S233" s="1338">
        <v>1</v>
      </c>
      <c r="T233" s="1965"/>
      <c r="U233" s="1965"/>
      <c r="V233" s="1931"/>
      <c r="W233" s="1931"/>
      <c r="X233" s="1931"/>
      <c r="Y233" s="1931"/>
      <c r="Z233" s="1931"/>
      <c r="AA233" s="1931"/>
      <c r="AB233" s="1931"/>
      <c r="AC233" s="1931"/>
      <c r="AD233" s="1931"/>
      <c r="AE233" s="1931"/>
      <c r="AF233" s="1931"/>
      <c r="AG233" s="1931"/>
      <c r="AH233" s="1931"/>
      <c r="AI233" s="1931"/>
      <c r="AJ233" s="1931"/>
      <c r="AK233" s="1931"/>
      <c r="AL233" s="1931"/>
      <c r="AM233" s="1931"/>
      <c r="AN233" s="1931"/>
      <c r="AO233" s="1931"/>
      <c r="AP233" s="1931"/>
      <c r="AQ233" s="1931"/>
      <c r="AR233" s="1931"/>
      <c r="AS233" s="1931"/>
      <c r="AT233" s="1931"/>
      <c r="AU233" s="1931"/>
      <c r="AV233" s="1931"/>
      <c r="AW233" s="1931"/>
      <c r="AX233" s="1931"/>
      <c r="AY233" s="1931"/>
      <c r="AZ233" s="1931"/>
      <c r="BA233" s="1931"/>
      <c r="BB233" s="1931"/>
      <c r="BC233" s="1931"/>
      <c r="BD233" s="1931"/>
      <c r="BE233" s="1931"/>
      <c r="BF233" s="1931"/>
      <c r="BG233" s="1931"/>
      <c r="BH233" s="1931"/>
      <c r="BI233" s="1931"/>
      <c r="BJ233" s="1931"/>
      <c r="BK233" s="1931"/>
      <c r="BL233" s="1931"/>
      <c r="BM233" s="1931"/>
      <c r="BN233" s="1931"/>
      <c r="BO233" s="1931"/>
      <c r="BP233" s="1931"/>
      <c r="BQ233" s="1931"/>
      <c r="BR233" s="1931"/>
      <c r="BS233" s="1931"/>
      <c r="BT233" s="1931"/>
      <c r="BU233" s="1931"/>
      <c r="BV233" s="1931"/>
      <c r="BW233" s="1931"/>
      <c r="BX233" s="1931"/>
      <c r="BY233" s="1931"/>
      <c r="BZ233" s="1931"/>
      <c r="CA233" s="1931"/>
      <c r="CB233" s="1931"/>
      <c r="CC233" s="1931"/>
      <c r="CD233" s="1931"/>
      <c r="CE233" s="1930"/>
      <c r="CF233" s="1930"/>
      <c r="CG233" s="1930"/>
      <c r="CH233" s="1930"/>
      <c r="CI233" s="1931"/>
      <c r="CJ233" s="1931"/>
      <c r="CK233" s="1931"/>
      <c r="CL233" s="1931"/>
      <c r="CM233" s="1931"/>
      <c r="CN233" s="1931"/>
      <c r="CO233" s="1931"/>
      <c r="CP233" s="1931"/>
      <c r="CQ233" s="1931"/>
      <c r="CR233" s="1931"/>
      <c r="CS233" s="1931"/>
      <c r="CT233" s="1930"/>
      <c r="CU233" s="1930"/>
      <c r="CV233" s="1930"/>
      <c r="CW233" s="1930"/>
      <c r="CX233" s="1931"/>
      <c r="CY233" s="1931"/>
      <c r="CZ233" s="1931"/>
      <c r="DA233" s="1931"/>
      <c r="DB233" s="1932"/>
      <c r="DC233" s="1931"/>
      <c r="DD233" s="1931"/>
      <c r="DE233" s="1931"/>
      <c r="DF233" s="1931"/>
    </row>
    <row r="234" spans="2:112" hidden="1" outlineLevel="1" x14ac:dyDescent="0.25">
      <c r="B234" s="1931"/>
      <c r="D234" s="1967" t="str">
        <f>C220</f>
        <v>802400_2019_12_</v>
      </c>
      <c r="E234" s="1967" t="str">
        <f>E220</f>
        <v>Heat Pump Water Heater w/ 98% Efficiency 88-146.5 kW (300 to 500 MBH)</v>
      </c>
      <c r="F234" s="1344">
        <v>0.98</v>
      </c>
      <c r="G234" s="1338">
        <v>4</v>
      </c>
      <c r="H234" s="1339">
        <f>558*I234</f>
        <v>2074992.5023024278</v>
      </c>
      <c r="I234" s="1340">
        <v>3718.6245560975408</v>
      </c>
      <c r="J234" s="1325">
        <v>8.33</v>
      </c>
      <c r="K234" s="1341">
        <v>125</v>
      </c>
      <c r="L234" s="1342">
        <v>57.898000000000003</v>
      </c>
      <c r="M234" s="1343">
        <f>((((1-1/G234)*H234*J234*(K234-L234)*1)*1*0.53*3)/(O234*3412))*1</f>
        <v>144773.25259907221</v>
      </c>
      <c r="N234" s="1343">
        <f>((((1-1/G234)*H234*J234*(K234-L234)*1)*Q234*0.43)/(P234*3412))*S234</f>
        <v>124576.1836258454</v>
      </c>
      <c r="O234" s="1331">
        <v>2.8</v>
      </c>
      <c r="P234" s="1323">
        <v>0.88</v>
      </c>
      <c r="Q234" s="1331">
        <v>1</v>
      </c>
      <c r="R234" s="1338">
        <v>1</v>
      </c>
      <c r="S234" s="1338">
        <v>1</v>
      </c>
      <c r="T234" s="1965"/>
      <c r="U234" s="1965"/>
      <c r="V234" s="1931"/>
      <c r="W234" s="1931"/>
      <c r="X234" s="1931"/>
      <c r="Y234" s="1931"/>
      <c r="Z234" s="1931"/>
      <c r="AA234" s="1931"/>
      <c r="AB234" s="1931"/>
      <c r="AC234" s="1931"/>
      <c r="AD234" s="1931"/>
      <c r="AE234" s="1931"/>
      <c r="AF234" s="1931"/>
      <c r="AG234" s="1931"/>
      <c r="AH234" s="1931"/>
      <c r="AI234" s="1931"/>
      <c r="AJ234" s="1931"/>
      <c r="AK234" s="1931"/>
      <c r="AL234" s="1931"/>
      <c r="AM234" s="1931"/>
      <c r="AN234" s="1931"/>
      <c r="AO234" s="1931"/>
      <c r="AP234" s="1931"/>
      <c r="AQ234" s="1931"/>
      <c r="AR234" s="1931"/>
      <c r="AS234" s="1931"/>
      <c r="AT234" s="1931"/>
      <c r="AU234" s="1931"/>
      <c r="AV234" s="1931"/>
      <c r="AW234" s="1931"/>
      <c r="AX234" s="1931"/>
      <c r="AY234" s="1931"/>
      <c r="AZ234" s="1931"/>
      <c r="BA234" s="1931"/>
      <c r="BB234" s="1931"/>
      <c r="BC234" s="1931"/>
      <c r="BD234" s="1931"/>
      <c r="BE234" s="1931"/>
      <c r="BF234" s="1931"/>
      <c r="BG234" s="1931"/>
      <c r="BH234" s="1931"/>
      <c r="BI234" s="1931"/>
      <c r="BJ234" s="1931"/>
      <c r="BK234" s="1931"/>
      <c r="BL234" s="1931"/>
      <c r="BM234" s="1931"/>
      <c r="BN234" s="1931"/>
      <c r="BO234" s="1931"/>
      <c r="BP234" s="1931"/>
      <c r="BQ234" s="1931"/>
      <c r="BR234" s="1931"/>
      <c r="BS234" s="1931"/>
      <c r="BT234" s="1931"/>
      <c r="BU234" s="1931"/>
      <c r="BV234" s="1931"/>
      <c r="BW234" s="1931"/>
      <c r="BX234" s="1931"/>
      <c r="BY234" s="1931"/>
      <c r="BZ234" s="1931"/>
      <c r="CA234" s="1931"/>
      <c r="CB234" s="1931"/>
      <c r="CC234" s="1931"/>
      <c r="CD234" s="1931"/>
      <c r="CE234" s="1930"/>
      <c r="CF234" s="1930"/>
      <c r="CG234" s="1930"/>
      <c r="CH234" s="1930"/>
      <c r="CI234" s="1931"/>
      <c r="CJ234" s="1931"/>
      <c r="CK234" s="1931"/>
      <c r="CL234" s="1931"/>
      <c r="CM234" s="1931"/>
      <c r="CN234" s="1931"/>
      <c r="CO234" s="1931"/>
      <c r="CP234" s="1931"/>
      <c r="CQ234" s="1931"/>
      <c r="CR234" s="1931"/>
      <c r="CS234" s="1931"/>
      <c r="CT234" s="1930"/>
      <c r="CU234" s="1930"/>
      <c r="CV234" s="1930"/>
      <c r="CW234" s="1930"/>
      <c r="CX234" s="1931"/>
      <c r="CY234" s="1931"/>
      <c r="CZ234" s="1931"/>
      <c r="DA234" s="1931"/>
      <c r="DB234" s="1932"/>
      <c r="DC234" s="1931"/>
      <c r="DD234" s="1931"/>
      <c r="DE234" s="1931"/>
      <c r="DF234" s="1931"/>
    </row>
    <row r="235" spans="2:112" hidden="1" outlineLevel="1" x14ac:dyDescent="0.25">
      <c r="B235" s="1931"/>
      <c r="D235" s="1967" t="str">
        <f>C221</f>
        <v>802450_2019_12_</v>
      </c>
      <c r="E235" s="1967" t="str">
        <f>E221</f>
        <v>Heat Pump Water Heater w/ 98% Efficiency &gt;146.6 kW (above 500 MBH)</v>
      </c>
      <c r="F235" s="1344">
        <v>0.98</v>
      </c>
      <c r="G235" s="1338">
        <v>4</v>
      </c>
      <c r="H235" s="1339">
        <f>558*I235</f>
        <v>3112492.431461913</v>
      </c>
      <c r="I235" s="1340">
        <v>5577.943425558984</v>
      </c>
      <c r="J235" s="1325">
        <v>8.33</v>
      </c>
      <c r="K235" s="1341">
        <v>125</v>
      </c>
      <c r="L235" s="1342">
        <v>57.898000000000003</v>
      </c>
      <c r="M235" s="1343">
        <f>((((1-1/G235)*H235*J235*(K235-L235)*1)*1*0.53*3)/(O235*3412))*1</f>
        <v>217160.13551506354</v>
      </c>
      <c r="N235" s="1343">
        <f>((((1-1/G235)*H235*J235*(K235-L235)*1)*Q235*0.43)/(P235*3412))*S235</f>
        <v>186864.49625510038</v>
      </c>
      <c r="O235" s="1331">
        <v>2.8</v>
      </c>
      <c r="P235" s="1323">
        <v>0.88</v>
      </c>
      <c r="Q235" s="1331">
        <v>1</v>
      </c>
      <c r="R235" s="1338">
        <v>1</v>
      </c>
      <c r="S235" s="1338">
        <v>1</v>
      </c>
      <c r="T235" s="1965"/>
      <c r="U235" s="1965"/>
      <c r="V235" s="1931"/>
      <c r="W235" s="1931"/>
      <c r="X235" s="1931"/>
      <c r="Y235" s="1931"/>
      <c r="Z235" s="1931"/>
      <c r="AA235" s="1931"/>
      <c r="AB235" s="1931"/>
      <c r="AC235" s="1931"/>
      <c r="AD235" s="1931"/>
      <c r="AE235" s="1931"/>
      <c r="AF235" s="1931"/>
      <c r="AG235" s="1931"/>
      <c r="AH235" s="1931"/>
      <c r="AI235" s="1931"/>
      <c r="AJ235" s="1931"/>
      <c r="AK235" s="1931"/>
      <c r="AL235" s="1931"/>
      <c r="AM235" s="1931"/>
      <c r="AN235" s="1931"/>
      <c r="AO235" s="1931"/>
      <c r="AP235" s="1931"/>
      <c r="AQ235" s="1931"/>
      <c r="AR235" s="1931"/>
      <c r="AS235" s="1931"/>
      <c r="AT235" s="1931"/>
      <c r="AU235" s="1931"/>
      <c r="AV235" s="1931"/>
      <c r="AW235" s="1931"/>
      <c r="AX235" s="1931"/>
      <c r="AY235" s="1931"/>
      <c r="AZ235" s="1931"/>
      <c r="BA235" s="1931"/>
      <c r="BB235" s="1931"/>
      <c r="BC235" s="1931"/>
      <c r="BD235" s="1931"/>
      <c r="BE235" s="1931"/>
      <c r="BF235" s="1931"/>
      <c r="BG235" s="1931"/>
      <c r="BH235" s="1931"/>
      <c r="BI235" s="1931"/>
      <c r="BJ235" s="1931"/>
      <c r="BK235" s="1931"/>
      <c r="BL235" s="1931"/>
      <c r="BM235" s="1931"/>
      <c r="BN235" s="1931"/>
      <c r="BO235" s="1931"/>
      <c r="BP235" s="1931"/>
      <c r="BQ235" s="1931"/>
      <c r="BR235" s="1931"/>
      <c r="BS235" s="1931"/>
      <c r="BT235" s="1931"/>
      <c r="BU235" s="1931"/>
      <c r="BV235" s="1931"/>
      <c r="BW235" s="1931"/>
      <c r="BX235" s="1931"/>
      <c r="BY235" s="1931"/>
      <c r="BZ235" s="1931"/>
      <c r="CA235" s="1931"/>
      <c r="CB235" s="1931"/>
      <c r="CC235" s="1931"/>
      <c r="CD235" s="1931"/>
      <c r="CE235" s="1930"/>
      <c r="CF235" s="1930"/>
      <c r="CG235" s="1930"/>
      <c r="CH235" s="1930"/>
      <c r="CI235" s="1931"/>
      <c r="CJ235" s="1931"/>
      <c r="CK235" s="1931"/>
      <c r="CL235" s="1931"/>
      <c r="CM235" s="1931"/>
      <c r="CN235" s="1931"/>
      <c r="CO235" s="1931"/>
      <c r="CP235" s="1931"/>
      <c r="CQ235" s="1931"/>
      <c r="CR235" s="1931"/>
      <c r="CS235" s="1931"/>
      <c r="CT235" s="1930"/>
      <c r="CU235" s="1930"/>
      <c r="CV235" s="1930"/>
      <c r="CW235" s="1930"/>
      <c r="CX235" s="1931"/>
      <c r="CY235" s="1931"/>
      <c r="CZ235" s="1931"/>
      <c r="DA235" s="1931"/>
      <c r="DB235" s="1932"/>
      <c r="DC235" s="1931"/>
      <c r="DD235" s="1931"/>
      <c r="DE235" s="1931"/>
      <c r="DF235" s="1931"/>
    </row>
    <row r="236" spans="2:112" collapsed="1" x14ac:dyDescent="0.25">
      <c r="B236" s="1931"/>
      <c r="D236" s="1966"/>
      <c r="E236" s="1965"/>
      <c r="F236" s="1965"/>
      <c r="G236" s="1968"/>
      <c r="H236" s="1969"/>
      <c r="I236" s="1965"/>
      <c r="J236" s="1965"/>
      <c r="K236" s="1965"/>
      <c r="L236" s="1965"/>
      <c r="M236" s="1965"/>
      <c r="N236" s="1346"/>
      <c r="O236" s="1346"/>
      <c r="P236" s="1346"/>
      <c r="Q236" s="1346"/>
      <c r="R236" s="1346"/>
      <c r="S236" s="1965"/>
      <c r="T236" s="1965"/>
      <c r="U236" s="1965"/>
      <c r="V236" s="1931"/>
      <c r="W236" s="1931"/>
      <c r="X236" s="1931"/>
      <c r="Y236" s="1931"/>
      <c r="Z236" s="1931"/>
      <c r="AA236" s="1931"/>
      <c r="AB236" s="1931"/>
      <c r="AC236" s="1931"/>
      <c r="AD236" s="1931"/>
      <c r="AE236" s="1931"/>
      <c r="AF236" s="1931"/>
      <c r="AG236" s="1931"/>
      <c r="AH236" s="1931"/>
      <c r="AI236" s="1931"/>
      <c r="AJ236" s="1931"/>
      <c r="AK236" s="1931"/>
      <c r="AL236" s="1931"/>
      <c r="AM236" s="1931"/>
      <c r="AN236" s="1931"/>
      <c r="AO236" s="1931"/>
      <c r="AP236" s="1931"/>
      <c r="AQ236" s="1931"/>
      <c r="AR236" s="1931"/>
      <c r="AS236" s="1931"/>
      <c r="AT236" s="1931"/>
      <c r="AU236" s="1931"/>
      <c r="AV236" s="1931"/>
      <c r="AW236" s="1931"/>
      <c r="AX236" s="1931"/>
      <c r="AY236" s="1931"/>
      <c r="AZ236" s="1931"/>
      <c r="BA236" s="1931"/>
      <c r="BB236" s="1931"/>
      <c r="BC236" s="1931"/>
      <c r="BD236" s="1931"/>
      <c r="BE236" s="1931"/>
      <c r="BF236" s="1931"/>
      <c r="BG236" s="1931"/>
      <c r="BH236" s="1931"/>
      <c r="BI236" s="1931"/>
      <c r="BJ236" s="1931"/>
      <c r="BK236" s="1931"/>
      <c r="BL236" s="1931"/>
      <c r="BM236" s="1931"/>
      <c r="BN236" s="1931"/>
      <c r="BO236" s="1931"/>
      <c r="BP236" s="1931"/>
      <c r="BQ236" s="1931"/>
      <c r="BR236" s="1931"/>
      <c r="BS236" s="1931"/>
      <c r="BT236" s="1931"/>
      <c r="BU236" s="1931"/>
      <c r="BV236" s="1931"/>
      <c r="BW236" s="1931"/>
      <c r="BX236" s="1931"/>
      <c r="BY236" s="1931"/>
      <c r="BZ236" s="1931"/>
      <c r="CA236" s="1931"/>
      <c r="CB236" s="1931"/>
      <c r="CC236" s="1931"/>
      <c r="CD236" s="1931"/>
      <c r="CE236" s="1930"/>
      <c r="CF236" s="1930"/>
      <c r="CG236" s="1930"/>
      <c r="CH236" s="1930"/>
      <c r="CI236" s="1931"/>
      <c r="CJ236" s="1931"/>
      <c r="CK236" s="1931"/>
      <c r="CL236" s="1931"/>
      <c r="CM236" s="1931"/>
      <c r="CN236" s="1931"/>
      <c r="CO236" s="1931"/>
      <c r="CP236" s="1931"/>
      <c r="CQ236" s="1931"/>
      <c r="CR236" s="1931"/>
      <c r="CS236" s="1931"/>
      <c r="CT236" s="1930"/>
      <c r="CU236" s="1930"/>
      <c r="CV236" s="1930"/>
      <c r="CW236" s="1930"/>
      <c r="CX236" s="1931"/>
      <c r="CY236" s="1931"/>
      <c r="CZ236" s="1931"/>
      <c r="DA236" s="1931"/>
      <c r="DB236" s="1932"/>
      <c r="DC236" s="1931"/>
      <c r="DD236" s="1931"/>
      <c r="DE236" s="1931"/>
      <c r="DF236" s="1931"/>
    </row>
    <row r="237" spans="2:112" x14ac:dyDescent="0.25">
      <c r="B237" s="1931"/>
      <c r="D237" s="1966"/>
      <c r="E237" s="1965"/>
      <c r="F237" s="1965"/>
      <c r="G237" s="1968"/>
      <c r="H237" s="1969"/>
      <c r="I237" s="1965"/>
      <c r="J237" s="1965"/>
      <c r="K237" s="1965"/>
      <c r="L237" s="1965"/>
      <c r="M237" s="1965"/>
      <c r="N237" s="1321"/>
      <c r="O237" s="1321"/>
      <c r="P237" s="1321"/>
      <c r="Q237" s="1321"/>
      <c r="R237" s="1321"/>
      <c r="S237" s="1965"/>
      <c r="T237" s="1965"/>
      <c r="U237" s="1965"/>
      <c r="V237" s="1931"/>
      <c r="W237" s="1931"/>
      <c r="X237" s="1931"/>
      <c r="Y237" s="1931"/>
      <c r="Z237" s="1931"/>
      <c r="AA237" s="1931"/>
      <c r="AB237" s="1931"/>
      <c r="AC237" s="1931"/>
      <c r="AD237" s="1931"/>
      <c r="AE237" s="1931"/>
      <c r="AF237" s="1931"/>
      <c r="AG237" s="1931"/>
      <c r="AH237" s="1931"/>
      <c r="AI237" s="1931"/>
      <c r="AJ237" s="1931"/>
      <c r="AK237" s="1931"/>
      <c r="AL237" s="1931"/>
      <c r="AM237" s="1931"/>
      <c r="AN237" s="1931"/>
      <c r="AO237" s="1931"/>
      <c r="AP237" s="1931"/>
      <c r="AQ237" s="1931"/>
      <c r="AR237" s="1931"/>
      <c r="AS237" s="1931"/>
      <c r="AT237" s="1931"/>
      <c r="AU237" s="1931"/>
      <c r="AV237" s="1931"/>
      <c r="AW237" s="1931"/>
      <c r="AX237" s="1931"/>
      <c r="AY237" s="1931"/>
      <c r="AZ237" s="1931"/>
      <c r="BA237" s="1931"/>
      <c r="BB237" s="1931"/>
      <c r="BC237" s="1931"/>
      <c r="BD237" s="1931"/>
      <c r="BE237" s="1931"/>
      <c r="BF237" s="1931"/>
      <c r="BG237" s="1931"/>
      <c r="BH237" s="1931"/>
      <c r="BI237" s="1931"/>
      <c r="BJ237" s="1931"/>
      <c r="BK237" s="1931"/>
      <c r="BL237" s="1931"/>
      <c r="BM237" s="1931"/>
      <c r="BN237" s="1931"/>
      <c r="BO237" s="1931"/>
      <c r="BP237" s="1931"/>
      <c r="BQ237" s="1931"/>
      <c r="BR237" s="1931"/>
      <c r="BS237" s="1931"/>
      <c r="BT237" s="1931"/>
      <c r="BU237" s="1931"/>
      <c r="BV237" s="1931"/>
      <c r="BW237" s="1931"/>
      <c r="BX237" s="1931"/>
      <c r="BY237" s="1931"/>
      <c r="BZ237" s="1931"/>
      <c r="CA237" s="1931"/>
      <c r="CB237" s="1931"/>
      <c r="CC237" s="1931"/>
      <c r="CD237" s="1931"/>
      <c r="CE237" s="1930"/>
      <c r="CF237" s="1930"/>
      <c r="CG237" s="1930"/>
      <c r="CH237" s="1930"/>
      <c r="CI237" s="1931"/>
      <c r="CJ237" s="1931"/>
      <c r="CK237" s="1931"/>
      <c r="CL237" s="1931"/>
      <c r="CM237" s="1931"/>
      <c r="CN237" s="1931"/>
      <c r="CO237" s="1931"/>
      <c r="CP237" s="1931"/>
      <c r="CQ237" s="1931"/>
      <c r="CR237" s="1931"/>
      <c r="CS237" s="1931"/>
      <c r="CT237" s="1930"/>
      <c r="CU237" s="1930"/>
      <c r="CV237" s="1930"/>
      <c r="CW237" s="1930"/>
      <c r="CX237" s="1931"/>
      <c r="CY237" s="1931"/>
      <c r="CZ237" s="1931"/>
      <c r="DA237" s="1931"/>
      <c r="DB237" s="1932"/>
      <c r="DC237" s="1931"/>
      <c r="DD237" s="1931"/>
      <c r="DE237" s="1931"/>
      <c r="DF237" s="1931"/>
    </row>
    <row r="238" spans="2:112" s="43" customFormat="1" x14ac:dyDescent="0.25">
      <c r="B238" s="4484" t="s">
        <v>2819</v>
      </c>
      <c r="C238" s="4485"/>
      <c r="D238" s="4485"/>
      <c r="E238" s="4485"/>
      <c r="F238" s="4485"/>
      <c r="G238" s="4485"/>
      <c r="H238" s="4485"/>
      <c r="I238" s="4486"/>
      <c r="J238" s="4486"/>
      <c r="K238" s="4486"/>
      <c r="L238" s="4486"/>
      <c r="M238" s="3752"/>
      <c r="N238" s="3752"/>
      <c r="O238" s="3753"/>
      <c r="P238" s="1935"/>
      <c r="Q238" s="1935"/>
      <c r="R238" s="1935"/>
      <c r="S238" s="1935"/>
      <c r="T238" s="1935"/>
      <c r="U238" s="1935"/>
      <c r="V238" s="3077" t="str">
        <f>B238</f>
        <v>Heat Pump Pool Heater</v>
      </c>
      <c r="W238" s="3078"/>
      <c r="X238" s="3078"/>
      <c r="Y238" s="3078"/>
      <c r="Z238" s="3078"/>
      <c r="AA238" s="3078"/>
      <c r="AB238" s="3078"/>
      <c r="AC238" s="3078"/>
      <c r="AD238" s="3078"/>
      <c r="AE238" s="3078"/>
      <c r="AF238" s="3078"/>
      <c r="AG238" s="3078"/>
      <c r="AH238" s="3078"/>
      <c r="AI238" s="3170"/>
      <c r="AJ238" s="1931"/>
      <c r="AK238" s="1931"/>
      <c r="AL238" s="1931"/>
      <c r="AM238" s="1931"/>
      <c r="AN238" s="1931"/>
      <c r="AO238" s="1931"/>
      <c r="AP238" s="1931"/>
      <c r="AQ238" s="1931"/>
      <c r="AR238" s="1931"/>
      <c r="AS238" s="1931"/>
      <c r="AT238" s="1931"/>
      <c r="AU238" s="1931"/>
      <c r="AV238" s="1935"/>
      <c r="AW238" s="1935"/>
      <c r="AX238" s="1935"/>
      <c r="AY238" s="1935"/>
      <c r="AZ238" s="1935"/>
      <c r="BA238" s="1935"/>
      <c r="BB238" s="1935"/>
      <c r="BC238" s="1935"/>
      <c r="BD238" s="1935"/>
      <c r="BE238" s="1935"/>
      <c r="BF238" s="1935"/>
      <c r="BG238" s="1935"/>
      <c r="BH238" s="1935"/>
      <c r="BI238" s="1935"/>
      <c r="BJ238" s="1935"/>
      <c r="BK238" s="1935"/>
      <c r="BL238" s="1935"/>
      <c r="BM238" s="1935"/>
      <c r="BN238" s="1935"/>
      <c r="BO238" s="1935"/>
      <c r="BP238" s="1935"/>
      <c r="BQ238" s="1935"/>
      <c r="BR238" s="1935"/>
      <c r="BS238" s="1935"/>
      <c r="BT238" s="1935"/>
      <c r="BU238" s="1935"/>
      <c r="BV238" s="1935"/>
      <c r="BW238" s="1935"/>
      <c r="BX238" s="1935"/>
      <c r="BY238" s="1935"/>
      <c r="BZ238" s="1935"/>
      <c r="CA238" s="1935"/>
      <c r="CB238" s="1935"/>
      <c r="CC238" s="1935"/>
      <c r="CD238" s="1935"/>
      <c r="CE238" s="1935"/>
      <c r="CF238" s="1935"/>
      <c r="CG238" s="1935"/>
      <c r="CH238" s="1935"/>
      <c r="CI238" s="1935"/>
      <c r="CJ238" s="1935"/>
      <c r="CK238" s="1935"/>
      <c r="CL238" s="1935"/>
      <c r="CM238" s="1935"/>
      <c r="CN238" s="1935"/>
      <c r="CO238" s="1935"/>
      <c r="CP238" s="1935"/>
      <c r="CQ238" s="1935"/>
      <c r="CR238" s="1935"/>
      <c r="CS238" s="1935"/>
      <c r="CT238" s="1935"/>
      <c r="CU238" s="1935"/>
      <c r="CV238" s="1935"/>
      <c r="CW238" s="1935"/>
      <c r="CX238" s="1935"/>
      <c r="CY238" s="1935"/>
      <c r="CZ238" s="1935"/>
      <c r="DA238" s="1935"/>
      <c r="DB238" s="73"/>
      <c r="DC238" s="1935"/>
      <c r="DD238" s="1935"/>
      <c r="DE238" s="1935"/>
      <c r="DF238" s="1935"/>
      <c r="DG238" s="1935"/>
      <c r="DH238" s="1935"/>
    </row>
    <row r="239" spans="2:112" x14ac:dyDescent="0.25">
      <c r="B239" s="1931"/>
      <c r="D239" s="1286"/>
      <c r="E239" s="1966"/>
      <c r="F239" s="1966"/>
      <c r="G239" s="1966"/>
      <c r="H239" s="1287"/>
      <c r="I239" s="1966"/>
      <c r="J239" s="1966"/>
      <c r="K239" s="1966"/>
      <c r="L239" s="1966"/>
      <c r="M239" s="1965"/>
      <c r="N239" s="1321"/>
      <c r="O239" s="1321"/>
      <c r="P239" s="1347"/>
      <c r="Q239" s="1347"/>
      <c r="R239" s="1347"/>
      <c r="S239" s="1966"/>
      <c r="T239" s="1966"/>
      <c r="U239" s="1966"/>
      <c r="V239" s="1930"/>
      <c r="W239" s="1930"/>
      <c r="X239" s="1930"/>
      <c r="Y239" s="1930"/>
      <c r="Z239" s="1930"/>
      <c r="AA239" s="1930"/>
      <c r="AB239" s="1930"/>
      <c r="AC239" s="1930"/>
      <c r="AD239" s="1930"/>
      <c r="AE239" s="1930"/>
      <c r="AF239" s="1930"/>
      <c r="AG239" s="1930"/>
      <c r="AH239" s="1930"/>
      <c r="AI239" s="1930"/>
      <c r="AJ239" s="1934"/>
      <c r="AK239" s="1934"/>
      <c r="AL239" s="1934"/>
      <c r="AM239" s="1934"/>
      <c r="AN239" s="1934"/>
      <c r="AO239" s="1934"/>
      <c r="AP239" s="1934"/>
      <c r="AQ239" s="1934"/>
      <c r="AR239" s="1934"/>
      <c r="AS239" s="1934"/>
      <c r="AT239" s="1934"/>
      <c r="AU239" s="1934"/>
      <c r="AV239" s="1931"/>
      <c r="AW239" s="1931"/>
      <c r="AX239" s="1931"/>
      <c r="AY239" s="1931"/>
      <c r="AZ239" s="1931"/>
      <c r="BA239" s="1931"/>
      <c r="BB239" s="1931"/>
      <c r="BC239" s="1931"/>
      <c r="BD239" s="1931"/>
      <c r="BE239" s="1931"/>
      <c r="BF239" s="1931"/>
      <c r="BG239" s="1931"/>
      <c r="BH239" s="1931"/>
      <c r="BI239" s="1931"/>
      <c r="BJ239" s="1931"/>
      <c r="BK239" s="1931"/>
      <c r="BL239" s="1931"/>
      <c r="BM239" s="1931"/>
      <c r="BN239" s="1931"/>
      <c r="BO239" s="1931"/>
      <c r="BP239" s="1931"/>
      <c r="BQ239" s="1931"/>
      <c r="BR239" s="1931"/>
      <c r="BS239" s="1931"/>
      <c r="BT239" s="1931"/>
      <c r="BU239" s="1931"/>
      <c r="BV239" s="1931"/>
      <c r="BW239" s="1931"/>
      <c r="BX239" s="1931"/>
      <c r="BY239" s="1931"/>
      <c r="BZ239" s="1931"/>
      <c r="CA239" s="1931"/>
      <c r="CB239" s="1931"/>
      <c r="CC239" s="1931"/>
      <c r="CD239" s="1931"/>
      <c r="CE239" s="1930"/>
      <c r="CF239" s="1930"/>
      <c r="CG239" s="1930"/>
      <c r="CH239" s="1930"/>
      <c r="CI239" s="1931"/>
      <c r="CJ239" s="1931"/>
      <c r="CK239" s="1931"/>
      <c r="CL239" s="1931"/>
      <c r="CM239" s="1931"/>
      <c r="CN239" s="1931"/>
      <c r="CO239" s="1931"/>
      <c r="CP239" s="1931"/>
      <c r="CQ239" s="1931"/>
      <c r="CR239" s="1931"/>
      <c r="CS239" s="1931"/>
      <c r="CT239" s="1930"/>
      <c r="CU239" s="1930"/>
      <c r="CV239" s="1930"/>
      <c r="CW239" s="1930"/>
      <c r="CX239" s="1931"/>
      <c r="CY239" s="1931"/>
      <c r="CZ239" s="1931"/>
      <c r="DA239" s="1931"/>
      <c r="DB239" s="1932"/>
      <c r="DC239" s="1931"/>
      <c r="DD239" s="1931"/>
      <c r="DE239" s="1931"/>
      <c r="DF239" s="1931"/>
    </row>
    <row r="240" spans="2:112" s="44" customFormat="1" ht="30" x14ac:dyDescent="0.25">
      <c r="B240" s="45"/>
      <c r="C240" s="46" t="s">
        <v>28</v>
      </c>
      <c r="D240" s="3196" t="s">
        <v>29</v>
      </c>
      <c r="E240" s="3196" t="s">
        <v>30</v>
      </c>
      <c r="F240" s="3196" t="s">
        <v>31</v>
      </c>
      <c r="G240" s="3196" t="s">
        <v>176</v>
      </c>
      <c r="H240" s="3196" t="s">
        <v>177</v>
      </c>
      <c r="I240" s="3196" t="s">
        <v>32</v>
      </c>
      <c r="J240" s="3196" t="s">
        <v>181</v>
      </c>
      <c r="K240" s="3196" t="s">
        <v>2820</v>
      </c>
      <c r="L240" s="46" t="s">
        <v>44</v>
      </c>
      <c r="M240" s="1965"/>
      <c r="N240" s="1965"/>
      <c r="O240" s="1965"/>
      <c r="P240" s="1288"/>
      <c r="Q240" s="1288"/>
      <c r="R240" s="1288"/>
      <c r="S240" s="1288"/>
      <c r="T240" s="1288"/>
      <c r="U240" s="1288"/>
      <c r="V240" s="1936" t="s">
        <v>45</v>
      </c>
      <c r="W240" s="1937">
        <f>$W$8</f>
        <v>43252</v>
      </c>
      <c r="X240" s="1937">
        <f>$X$8</f>
        <v>43465</v>
      </c>
      <c r="Y240" s="1937">
        <f>$Y$8</f>
        <v>43800</v>
      </c>
      <c r="Z240" s="1937">
        <f>$Z$8</f>
        <v>43862</v>
      </c>
      <c r="AA240" s="1937">
        <f>$AA$8</f>
        <v>44013</v>
      </c>
      <c r="AB240" s="1937">
        <v>44166</v>
      </c>
      <c r="AC240" s="1937">
        <f>$AC$8</f>
        <v>44531</v>
      </c>
      <c r="AD240" s="1937" t="str">
        <f>$AD$8</f>
        <v>-</v>
      </c>
      <c r="AE240" s="1937" t="str">
        <f>$AE$8</f>
        <v>-</v>
      </c>
      <c r="AF240" s="1937" t="str">
        <f>$AF$8</f>
        <v>-</v>
      </c>
      <c r="AG240" s="1937" t="str">
        <f>$AG$8</f>
        <v>-</v>
      </c>
      <c r="AH240" s="1930"/>
      <c r="AI240" s="1936" t="s">
        <v>45</v>
      </c>
      <c r="AJ240" s="1937">
        <v>43252</v>
      </c>
      <c r="AK240" s="1937">
        <f>$X$8</f>
        <v>43465</v>
      </c>
      <c r="AL240" s="1937">
        <f>$Y$8</f>
        <v>43800</v>
      </c>
      <c r="AM240" s="1937">
        <f>$Z$8</f>
        <v>43862</v>
      </c>
      <c r="AN240" s="1937">
        <f>$AA$8</f>
        <v>44013</v>
      </c>
      <c r="AO240" s="1937">
        <f>$AB$8</f>
        <v>44166</v>
      </c>
      <c r="AP240" s="1937">
        <f>$AC$8</f>
        <v>44531</v>
      </c>
      <c r="AQ240" s="1937" t="str">
        <f>$AD$8</f>
        <v>-</v>
      </c>
      <c r="AR240" s="1937" t="str">
        <f>$AE$8</f>
        <v>-</v>
      </c>
      <c r="AS240" s="1937" t="str">
        <f>$AF$8</f>
        <v>-</v>
      </c>
      <c r="AT240" s="1933"/>
      <c r="AU240" s="1936" t="s">
        <v>45</v>
      </c>
      <c r="AV240" s="1937">
        <v>43252</v>
      </c>
      <c r="AW240" s="1937">
        <f>$X$8</f>
        <v>43465</v>
      </c>
      <c r="AX240" s="1937">
        <f>$Y$8</f>
        <v>43800</v>
      </c>
      <c r="AY240" s="1937">
        <f>$Z$8</f>
        <v>43862</v>
      </c>
      <c r="AZ240" s="1937">
        <f>$AA$8</f>
        <v>44013</v>
      </c>
      <c r="BA240" s="1937">
        <v>44166</v>
      </c>
      <c r="BB240" s="1937">
        <f>$AC$8</f>
        <v>44531</v>
      </c>
      <c r="BC240" s="1937" t="str">
        <f>$AD$8</f>
        <v>-</v>
      </c>
      <c r="BD240" s="1937" t="str">
        <f>$AE$8</f>
        <v>-</v>
      </c>
      <c r="BE240" s="1937" t="str">
        <f>$AF$8</f>
        <v>-</v>
      </c>
      <c r="DB240" s="1938" t="str">
        <f>$DB$8</f>
        <v>TRC (2020)</v>
      </c>
      <c r="DC240" s="1953" t="str">
        <f>$DC$8</f>
        <v>Benefit Lookup</v>
      </c>
      <c r="DD240" s="1953" t="str">
        <f>$DD$8</f>
        <v>Benefits (2019 $)</v>
      </c>
      <c r="DE240" s="1953" t="str">
        <f>$DE$8</f>
        <v>Incremental Cost (2019 $)</v>
      </c>
    </row>
    <row r="241" spans="2:112" x14ac:dyDescent="0.25">
      <c r="B241" s="1931"/>
      <c r="C241" s="2462" t="s">
        <v>2821</v>
      </c>
      <c r="D241" s="1289" t="s">
        <v>2646</v>
      </c>
      <c r="E241" s="1308" t="s">
        <v>2822</v>
      </c>
      <c r="F241" s="1959">
        <f>ROUND(F252*(1/H252-1/I252),2)</f>
        <v>35272.879999999997</v>
      </c>
      <c r="G241" s="1290" t="s">
        <v>2798</v>
      </c>
      <c r="H241" s="1291">
        <f>VLOOKUP(G241,'CP FACTORS'!$A$26:$B$38,2,FALSE)</f>
        <v>1.811545E-4</v>
      </c>
      <c r="I241" s="1309">
        <f>ROUND(H241*F241,6)</f>
        <v>6.3898409999999997</v>
      </c>
      <c r="J241" s="1348">
        <v>15</v>
      </c>
      <c r="K241" s="1310">
        <v>1000</v>
      </c>
      <c r="L241" s="1292" t="s">
        <v>185</v>
      </c>
      <c r="M241" s="3478"/>
      <c r="N241" s="3478"/>
      <c r="O241" s="3478"/>
      <c r="P241" s="1965"/>
      <c r="Q241" s="1965"/>
      <c r="R241" s="1965"/>
      <c r="S241" s="1965"/>
      <c r="T241" s="1965"/>
      <c r="U241" s="1965"/>
      <c r="V241" s="3227" t="s">
        <v>31</v>
      </c>
      <c r="W241" s="79">
        <v>35272.879999999997</v>
      </c>
      <c r="X241" s="129">
        <v>35272.879999999997</v>
      </c>
      <c r="Y241" s="129">
        <v>35272.879999999997</v>
      </c>
      <c r="Z241" s="129">
        <v>35272.879999999997</v>
      </c>
      <c r="AA241" s="129">
        <v>35272.879999999997</v>
      </c>
      <c r="AB241" s="2002">
        <v>35272.879999999997</v>
      </c>
      <c r="AC241" s="3364">
        <v>35272.879999999997</v>
      </c>
      <c r="AD241" s="2099"/>
      <c r="AE241" s="2099"/>
      <c r="AF241" s="2099"/>
      <c r="AG241" s="2099"/>
      <c r="AH241" s="2100"/>
      <c r="AI241" s="3227" t="s">
        <v>181</v>
      </c>
      <c r="AJ241" s="64">
        <v>15</v>
      </c>
      <c r="AK241" s="64">
        <v>15</v>
      </c>
      <c r="AL241" s="64">
        <v>15</v>
      </c>
      <c r="AM241" s="64">
        <v>15</v>
      </c>
      <c r="AN241" s="64">
        <v>15</v>
      </c>
      <c r="AO241" s="2091">
        <v>15</v>
      </c>
      <c r="AP241" s="2091">
        <v>15</v>
      </c>
      <c r="AQ241" s="2099"/>
      <c r="AR241" s="2099"/>
      <c r="AS241" s="2099"/>
      <c r="AT241" s="1933"/>
      <c r="AU241" s="3227" t="str">
        <f>K240</f>
        <v>Inc. Cost (per unit)</v>
      </c>
      <c r="AV241" s="2102">
        <v>1000</v>
      </c>
      <c r="AW241" s="2102">
        <v>1000</v>
      </c>
      <c r="AX241" s="2102">
        <v>1000</v>
      </c>
      <c r="AY241" s="2102">
        <v>1000</v>
      </c>
      <c r="AZ241" s="2102">
        <v>1000</v>
      </c>
      <c r="BA241" s="2103">
        <v>1000</v>
      </c>
      <c r="BB241" s="2103">
        <v>1000</v>
      </c>
      <c r="BC241" s="2099"/>
      <c r="BD241" s="2099"/>
      <c r="BE241" s="2099"/>
      <c r="BF241" s="1933"/>
      <c r="BG241" s="1933"/>
      <c r="BH241" s="1933"/>
      <c r="BI241" s="1933"/>
      <c r="BJ241" s="1931"/>
      <c r="BK241" s="1931"/>
      <c r="BL241" s="1931"/>
      <c r="BM241" s="1931"/>
      <c r="BN241" s="1931"/>
      <c r="BO241" s="1931"/>
      <c r="BP241" s="1931"/>
      <c r="BQ241" s="1931"/>
      <c r="BR241" s="1931"/>
      <c r="BS241" s="1931"/>
      <c r="BT241" s="1931"/>
      <c r="BU241" s="1931"/>
      <c r="BV241" s="1931"/>
      <c r="BW241" s="1931"/>
      <c r="BX241" s="1931"/>
      <c r="BY241" s="1931"/>
      <c r="BZ241" s="1931"/>
      <c r="CA241" s="1931"/>
      <c r="CB241" s="1931"/>
      <c r="CC241" s="1931"/>
      <c r="CD241" s="1931"/>
      <c r="CE241" s="1930"/>
      <c r="CF241" s="1930"/>
      <c r="CG241" s="1930"/>
      <c r="CH241" s="1930"/>
      <c r="CI241" s="1931"/>
      <c r="CJ241" s="1931"/>
      <c r="CK241" s="1931"/>
      <c r="CL241" s="1931"/>
      <c r="CM241" s="1931"/>
      <c r="CN241" s="1931"/>
      <c r="CO241" s="1931"/>
      <c r="CP241" s="1931"/>
      <c r="CQ241" s="1931"/>
      <c r="CR241" s="1931"/>
      <c r="CS241" s="1931"/>
      <c r="CT241" s="1930"/>
      <c r="CU241" s="1930"/>
      <c r="CV241" s="1930"/>
      <c r="CW241" s="1930"/>
      <c r="CX241" s="1931"/>
      <c r="CY241" s="1931"/>
      <c r="CZ241" s="1931"/>
      <c r="DA241" s="1931"/>
      <c r="DB241" s="1945">
        <f>(DD241)/(DE241)</f>
        <v>23.62874831985712</v>
      </c>
      <c r="DC241" s="3166" t="str">
        <f>CONCATENATE(G241," ",J241," Year EUL")</f>
        <v>Water Heating BUS 15 Year EUL</v>
      </c>
      <c r="DD241" s="69">
        <f>(INDEX('Avoided Cost Benefits'!$C$4:$C$857,MATCH(DC241,'Avoided Cost Benefits'!$A$4:$A$857,0)))*F241</f>
        <v>22301.791712937345</v>
      </c>
      <c r="DE241" s="1946">
        <f>K241/(1.0595^(2020-2019))</f>
        <v>943.84143463898056</v>
      </c>
      <c r="DF241" s="1931"/>
    </row>
    <row r="242" spans="2:112" x14ac:dyDescent="0.25">
      <c r="B242" s="1931"/>
      <c r="C242" s="2462" t="s">
        <v>2823</v>
      </c>
      <c r="D242" s="1289" t="s">
        <v>2646</v>
      </c>
      <c r="E242" s="1308" t="s">
        <v>2824</v>
      </c>
      <c r="F242" s="1959">
        <f>ROUND(F253*(1/H253-1/I253),2)</f>
        <v>6206.88</v>
      </c>
      <c r="G242" s="1290" t="s">
        <v>2798</v>
      </c>
      <c r="H242" s="1291">
        <f>VLOOKUP(G242,'CP FACTORS'!$A$26:$B$38,2,FALSE)</f>
        <v>1.811545E-4</v>
      </c>
      <c r="I242" s="1309">
        <f>ROUND(H242*F242,6)</f>
        <v>1.124404</v>
      </c>
      <c r="J242" s="1348">
        <v>15</v>
      </c>
      <c r="K242" s="1310">
        <v>1000</v>
      </c>
      <c r="L242" s="1292" t="s">
        <v>185</v>
      </c>
      <c r="M242" s="3478"/>
      <c r="N242" s="3478"/>
      <c r="O242" s="3478"/>
      <c r="P242" s="1965"/>
      <c r="Q242" s="1965"/>
      <c r="R242" s="1965"/>
      <c r="S242" s="1965"/>
      <c r="T242" s="1965"/>
      <c r="U242" s="1965"/>
      <c r="V242" s="3227" t="s">
        <v>31</v>
      </c>
      <c r="W242" s="79">
        <v>6206.880000000001</v>
      </c>
      <c r="X242" s="129">
        <v>6206.880000000001</v>
      </c>
      <c r="Y242" s="129">
        <v>6206.880000000001</v>
      </c>
      <c r="Z242" s="129">
        <v>6206.880000000001</v>
      </c>
      <c r="AA242" s="129">
        <v>6206.880000000001</v>
      </c>
      <c r="AB242" s="2002">
        <v>6206.88</v>
      </c>
      <c r="AC242" s="3364">
        <v>6206.88</v>
      </c>
      <c r="AD242" s="2099"/>
      <c r="AE242" s="2099"/>
      <c r="AF242" s="2099"/>
      <c r="AG242" s="2099"/>
      <c r="AH242" s="2100"/>
      <c r="AI242" s="3227" t="s">
        <v>181</v>
      </c>
      <c r="AJ242" s="64">
        <v>15</v>
      </c>
      <c r="AK242" s="64">
        <v>15</v>
      </c>
      <c r="AL242" s="64">
        <v>15</v>
      </c>
      <c r="AM242" s="64">
        <v>15</v>
      </c>
      <c r="AN242" s="64">
        <v>15</v>
      </c>
      <c r="AO242" s="2091">
        <v>15</v>
      </c>
      <c r="AP242" s="2091">
        <v>15</v>
      </c>
      <c r="AQ242" s="2099"/>
      <c r="AR242" s="2099"/>
      <c r="AS242" s="2099"/>
      <c r="AT242" s="1933"/>
      <c r="AU242" s="3227" t="str">
        <f>AU241</f>
        <v>Inc. Cost (per unit)</v>
      </c>
      <c r="AV242" s="2102">
        <v>1000</v>
      </c>
      <c r="AW242" s="2102">
        <v>1000</v>
      </c>
      <c r="AX242" s="2102">
        <v>1000</v>
      </c>
      <c r="AY242" s="2102">
        <v>1000</v>
      </c>
      <c r="AZ242" s="2102">
        <v>1000</v>
      </c>
      <c r="BA242" s="2103">
        <v>1000</v>
      </c>
      <c r="BB242" s="2103">
        <v>1000</v>
      </c>
      <c r="BC242" s="2099"/>
      <c r="BD242" s="2099"/>
      <c r="BE242" s="2099"/>
      <c r="BF242" s="1933"/>
      <c r="BG242" s="1933"/>
      <c r="BH242" s="1933"/>
      <c r="BI242" s="1933"/>
      <c r="BJ242" s="1931"/>
      <c r="BK242" s="1931"/>
      <c r="BL242" s="1931"/>
      <c r="BM242" s="1931"/>
      <c r="BN242" s="1931"/>
      <c r="BO242" s="1931"/>
      <c r="BP242" s="1931"/>
      <c r="BQ242" s="1931"/>
      <c r="BR242" s="1931"/>
      <c r="BS242" s="1931"/>
      <c r="BT242" s="1931"/>
      <c r="BU242" s="1931"/>
      <c r="BV242" s="1931"/>
      <c r="BW242" s="1931"/>
      <c r="BX242" s="1931"/>
      <c r="BY242" s="1931"/>
      <c r="BZ242" s="1931"/>
      <c r="CA242" s="1931"/>
      <c r="CB242" s="1931"/>
      <c r="CC242" s="1931"/>
      <c r="CD242" s="1931"/>
      <c r="CE242" s="1930"/>
      <c r="CF242" s="1930"/>
      <c r="CG242" s="1930"/>
      <c r="CH242" s="1930"/>
      <c r="CI242" s="1931"/>
      <c r="CJ242" s="1931"/>
      <c r="CK242" s="1931"/>
      <c r="CL242" s="1931"/>
      <c r="CM242" s="1931"/>
      <c r="CN242" s="1931"/>
      <c r="CO242" s="1931"/>
      <c r="CP242" s="1931"/>
      <c r="CQ242" s="1931"/>
      <c r="CR242" s="1931"/>
      <c r="CS242" s="1931"/>
      <c r="CT242" s="1930"/>
      <c r="CU242" s="1930"/>
      <c r="CV242" s="1930"/>
      <c r="CW242" s="1930"/>
      <c r="CX242" s="1931"/>
      <c r="CY242" s="1931"/>
      <c r="CZ242" s="1931"/>
      <c r="DA242" s="1931"/>
      <c r="DB242" s="53">
        <f>(DD242)/(DE242)</f>
        <v>4.1578914273956302</v>
      </c>
      <c r="DC242" s="1948" t="str">
        <f>CONCATENATE(G242," ",J242," Year EUL")</f>
        <v>Water Heating BUS 15 Year EUL</v>
      </c>
      <c r="DD242" s="71">
        <f>(INDEX('Avoided Cost Benefits'!$C$4:$C$857,MATCH(DC242,'Avoided Cost Benefits'!$A$4:$A$857,0)))*F242</f>
        <v>3924.3902099062102</v>
      </c>
      <c r="DE242" s="1950">
        <f>K242/(1.0595^(2020-2019))</f>
        <v>943.84143463898056</v>
      </c>
      <c r="DF242" s="1931"/>
    </row>
    <row r="243" spans="2:112" hidden="1" outlineLevel="1" x14ac:dyDescent="0.25">
      <c r="B243" s="1931"/>
      <c r="D243" s="1966"/>
      <c r="E243" s="1966"/>
      <c r="F243" s="1966"/>
      <c r="G243" s="1966"/>
      <c r="H243" s="1299"/>
      <c r="I243" s="1966"/>
      <c r="J243" s="1966"/>
      <c r="K243" s="1966"/>
      <c r="L243" s="1965"/>
      <c r="M243" s="3478"/>
      <c r="N243" s="3478"/>
      <c r="O243" s="3478"/>
      <c r="P243" s="1965"/>
      <c r="Q243" s="1965"/>
      <c r="R243" s="1965"/>
      <c r="S243" s="1965"/>
      <c r="T243" s="1965"/>
      <c r="U243" s="1965"/>
      <c r="V243" s="1933"/>
      <c r="W243" s="1933"/>
      <c r="X243" s="1933"/>
      <c r="Y243" s="1933"/>
      <c r="Z243" s="1933"/>
      <c r="AA243" s="1933"/>
      <c r="AB243" s="1933"/>
      <c r="AC243" s="1933"/>
      <c r="AD243" s="1933"/>
      <c r="AE243" s="1933"/>
      <c r="AF243" s="1933"/>
      <c r="AG243" s="1933"/>
      <c r="AH243" s="1933"/>
      <c r="AI243" s="1933"/>
      <c r="AJ243" s="1933"/>
      <c r="AK243" s="1933"/>
      <c r="AL243" s="1933"/>
      <c r="AM243" s="1933"/>
      <c r="AN243" s="1933"/>
      <c r="AO243" s="1933"/>
      <c r="AP243" s="1933"/>
      <c r="AQ243" s="1933"/>
      <c r="AR243" s="1933"/>
      <c r="AS243" s="1933"/>
      <c r="AT243" s="1933"/>
      <c r="AU243" s="1933"/>
      <c r="AV243" s="1933"/>
      <c r="AW243" s="1933"/>
      <c r="AX243" s="1933"/>
      <c r="AY243" s="1933"/>
      <c r="AZ243" s="1933"/>
      <c r="BA243" s="1933"/>
      <c r="BB243" s="1933"/>
      <c r="BC243" s="1933"/>
      <c r="BD243" s="1933"/>
      <c r="BE243" s="1933"/>
      <c r="BF243" s="1933"/>
      <c r="BG243" s="1933"/>
      <c r="BH243" s="1933"/>
      <c r="BI243" s="1933"/>
      <c r="BJ243" s="1931"/>
      <c r="BK243" s="1931"/>
      <c r="BL243" s="1931"/>
      <c r="BM243" s="1931"/>
      <c r="BN243" s="1931"/>
      <c r="BO243" s="1931"/>
      <c r="BP243" s="1931"/>
      <c r="BQ243" s="1931"/>
      <c r="BR243" s="1931"/>
      <c r="BS243" s="1931"/>
      <c r="BT243" s="1931"/>
      <c r="BU243" s="1931"/>
      <c r="BV243" s="1931"/>
      <c r="BW243" s="1931"/>
      <c r="BX243" s="1931"/>
      <c r="BY243" s="1931"/>
      <c r="BZ243" s="1931"/>
      <c r="CA243" s="1931"/>
      <c r="CB243" s="1931"/>
      <c r="CC243" s="1931"/>
      <c r="CD243" s="1931"/>
      <c r="CE243" s="1930"/>
      <c r="CF243" s="1930"/>
      <c r="CG243" s="1930"/>
      <c r="CH243" s="1930"/>
      <c r="CI243" s="1931"/>
      <c r="CJ243" s="1931"/>
      <c r="CK243" s="1931"/>
      <c r="CL243" s="1931"/>
      <c r="CM243" s="1931"/>
      <c r="CN243" s="1931"/>
      <c r="CO243" s="1931"/>
      <c r="CP243" s="1931"/>
      <c r="CQ243" s="1931"/>
      <c r="CR243" s="1931"/>
      <c r="CS243" s="1931"/>
      <c r="CT243" s="1930"/>
      <c r="CU243" s="1930"/>
      <c r="CV243" s="1930"/>
      <c r="CW243" s="1930"/>
      <c r="CX243" s="1931"/>
      <c r="CY243" s="1931"/>
      <c r="CZ243" s="1931"/>
      <c r="DA243" s="1931"/>
      <c r="DB243" s="1932"/>
      <c r="DC243" s="1931"/>
      <c r="DD243" s="1931"/>
      <c r="DE243" s="1931"/>
      <c r="DF243" s="1931"/>
    </row>
    <row r="244" spans="2:112" hidden="1" outlineLevel="1" x14ac:dyDescent="0.25">
      <c r="B244" s="1931"/>
      <c r="D244" s="1966" t="s">
        <v>2689</v>
      </c>
      <c r="E244" s="1966"/>
      <c r="F244" s="1966"/>
      <c r="G244" s="1966"/>
      <c r="H244" s="1299"/>
      <c r="I244" s="1966"/>
      <c r="J244" s="1966"/>
      <c r="K244" s="1966"/>
      <c r="L244" s="1965"/>
      <c r="M244" s="3478"/>
      <c r="N244" s="3478"/>
      <c r="O244" s="3478"/>
      <c r="P244" s="1965"/>
      <c r="Q244" s="1965"/>
      <c r="R244" s="1965"/>
      <c r="S244" s="1965"/>
      <c r="T244" s="1965"/>
      <c r="U244" s="1965"/>
      <c r="V244" s="1933"/>
      <c r="W244" s="1933"/>
      <c r="X244" s="1933"/>
      <c r="Y244" s="1933"/>
      <c r="Z244" s="1933"/>
      <c r="AA244" s="1933"/>
      <c r="AB244" s="1933"/>
      <c r="AC244" s="1933"/>
      <c r="AD244" s="1933"/>
      <c r="AE244" s="1933"/>
      <c r="AF244" s="1933"/>
      <c r="AG244" s="1933"/>
      <c r="AH244" s="1933"/>
      <c r="AI244" s="1933"/>
      <c r="AJ244" s="1933"/>
      <c r="AK244" s="1933"/>
      <c r="AL244" s="1933"/>
      <c r="AM244" s="1933"/>
      <c r="AN244" s="1933"/>
      <c r="AO244" s="1933"/>
      <c r="AP244" s="1933"/>
      <c r="AQ244" s="1933"/>
      <c r="AR244" s="1933"/>
      <c r="AS244" s="1933"/>
      <c r="AT244" s="1933"/>
      <c r="AU244" s="1933"/>
      <c r="AV244" s="1933"/>
      <c r="AW244" s="1933"/>
      <c r="AX244" s="1933"/>
      <c r="AY244" s="1933"/>
      <c r="AZ244" s="1933"/>
      <c r="BA244" s="1933"/>
      <c r="BB244" s="1933"/>
      <c r="BC244" s="1933"/>
      <c r="BD244" s="1933"/>
      <c r="BE244" s="1933"/>
      <c r="BF244" s="1933"/>
      <c r="BG244" s="1933"/>
      <c r="BH244" s="1933"/>
      <c r="BI244" s="1933"/>
      <c r="BJ244" s="1931"/>
      <c r="BK244" s="1931"/>
      <c r="BL244" s="1931"/>
      <c r="BM244" s="1931"/>
      <c r="BN244" s="1931"/>
      <c r="BO244" s="1931"/>
      <c r="BP244" s="1931"/>
      <c r="BQ244" s="1931"/>
      <c r="BR244" s="1931"/>
      <c r="BS244" s="1931"/>
      <c r="BT244" s="1931"/>
      <c r="BU244" s="1931"/>
      <c r="BV244" s="1931"/>
      <c r="BW244" s="1931"/>
      <c r="BX244" s="1931"/>
      <c r="BY244" s="1931"/>
      <c r="BZ244" s="1931"/>
      <c r="CA244" s="1931"/>
      <c r="CB244" s="1931"/>
      <c r="CC244" s="1931"/>
      <c r="CD244" s="1931"/>
      <c r="CE244" s="1930"/>
      <c r="CF244" s="1930"/>
      <c r="CG244" s="1930"/>
      <c r="CH244" s="1930"/>
      <c r="CI244" s="1931"/>
      <c r="CJ244" s="1931"/>
      <c r="CK244" s="1931"/>
      <c r="CL244" s="1931"/>
      <c r="CM244" s="1931"/>
      <c r="CN244" s="1931"/>
      <c r="CO244" s="1931"/>
      <c r="CP244" s="1931"/>
      <c r="CQ244" s="1931"/>
      <c r="CR244" s="1931"/>
      <c r="CS244" s="1931"/>
      <c r="CT244" s="1930"/>
      <c r="CU244" s="1930"/>
      <c r="CV244" s="1930"/>
      <c r="CW244" s="1930"/>
      <c r="CX244" s="1931"/>
      <c r="CY244" s="1931"/>
      <c r="CZ244" s="1931"/>
      <c r="DA244" s="1931"/>
      <c r="DB244" s="1932"/>
      <c r="DC244" s="1931"/>
      <c r="DD244" s="1931"/>
      <c r="DE244" s="1931"/>
      <c r="DF244" s="1931"/>
    </row>
    <row r="245" spans="2:112" hidden="1" outlineLevel="1" x14ac:dyDescent="0.25">
      <c r="B245" s="1931"/>
      <c r="D245" s="1300"/>
      <c r="E245" s="1965"/>
      <c r="F245" s="1349" t="s">
        <v>2825</v>
      </c>
      <c r="G245" s="1321"/>
      <c r="H245" s="1349" t="s">
        <v>2826</v>
      </c>
      <c r="I245" s="1965"/>
      <c r="J245" s="1965"/>
      <c r="K245" s="1965"/>
      <c r="L245" s="1965"/>
      <c r="M245" s="3478"/>
      <c r="N245" s="3478"/>
      <c r="O245" s="3478"/>
      <c r="P245" s="1965"/>
      <c r="Q245" s="1965"/>
      <c r="R245" s="1965"/>
      <c r="S245" s="1965"/>
      <c r="T245" s="1965"/>
      <c r="U245" s="1965"/>
      <c r="V245" s="1933"/>
      <c r="W245" s="1933"/>
      <c r="X245" s="1933"/>
      <c r="Y245" s="1933"/>
      <c r="Z245" s="1933"/>
      <c r="AA245" s="1933"/>
      <c r="AB245" s="1933"/>
      <c r="AC245" s="1933"/>
      <c r="AD245" s="1933"/>
      <c r="AE245" s="1933"/>
      <c r="AF245" s="1933"/>
      <c r="AG245" s="1933"/>
      <c r="AH245" s="1933"/>
      <c r="AI245" s="1933"/>
      <c r="AJ245" s="1933"/>
      <c r="AK245" s="1933"/>
      <c r="AL245" s="1933"/>
      <c r="AM245" s="1933"/>
      <c r="AN245" s="1933"/>
      <c r="AO245" s="1933"/>
      <c r="AP245" s="1933"/>
      <c r="AQ245" s="1933"/>
      <c r="AR245" s="1933"/>
      <c r="AS245" s="1933"/>
      <c r="AT245" s="1933"/>
      <c r="AU245" s="1933"/>
      <c r="AV245" s="1933"/>
      <c r="AW245" s="1933"/>
      <c r="AX245" s="1933"/>
      <c r="AY245" s="1933"/>
      <c r="AZ245" s="1933"/>
      <c r="BA245" s="1933"/>
      <c r="BB245" s="1933"/>
      <c r="BC245" s="1933"/>
      <c r="BD245" s="1933"/>
      <c r="BE245" s="1933"/>
      <c r="BF245" s="1933"/>
      <c r="BG245" s="1933"/>
      <c r="BH245" s="1933"/>
      <c r="BI245" s="1933"/>
      <c r="BJ245" s="1931"/>
      <c r="BK245" s="1931"/>
      <c r="BL245" s="1931"/>
      <c r="BM245" s="1931"/>
      <c r="BN245" s="1931"/>
      <c r="BO245" s="1931"/>
      <c r="BP245" s="1931"/>
      <c r="BQ245" s="1931"/>
      <c r="BR245" s="1931"/>
      <c r="BS245" s="1931"/>
      <c r="BT245" s="1931"/>
      <c r="BU245" s="1931"/>
      <c r="BV245" s="1931"/>
      <c r="BW245" s="1931"/>
      <c r="BX245" s="1931"/>
      <c r="BY245" s="1931"/>
      <c r="BZ245" s="1931"/>
      <c r="CA245" s="1931"/>
      <c r="CB245" s="1931"/>
      <c r="CC245" s="1931"/>
      <c r="CD245" s="1931"/>
      <c r="CE245" s="1930"/>
      <c r="CF245" s="1930"/>
      <c r="CG245" s="1930"/>
      <c r="CH245" s="1930"/>
      <c r="CI245" s="1931"/>
      <c r="CJ245" s="1931"/>
      <c r="CK245" s="1931"/>
      <c r="CL245" s="1931"/>
      <c r="CM245" s="1931"/>
      <c r="CN245" s="1931"/>
      <c r="CO245" s="1931"/>
      <c r="CP245" s="1931"/>
      <c r="CQ245" s="1931"/>
      <c r="CR245" s="1931"/>
      <c r="CS245" s="1931"/>
      <c r="CT245" s="1930"/>
      <c r="CU245" s="1930"/>
      <c r="CV245" s="1930"/>
      <c r="CW245" s="1930"/>
      <c r="CX245" s="1931"/>
      <c r="CY245" s="1931"/>
      <c r="CZ245" s="1931"/>
      <c r="DA245" s="1931"/>
      <c r="DB245" s="1932"/>
      <c r="DC245" s="1931"/>
      <c r="DD245" s="1931"/>
      <c r="DE245" s="1931"/>
      <c r="DF245" s="1931"/>
    </row>
    <row r="246" spans="2:112" hidden="1" outlineLevel="1" x14ac:dyDescent="0.25">
      <c r="B246" s="1931"/>
      <c r="D246" s="1300"/>
      <c r="E246" s="1965"/>
      <c r="F246" s="1965"/>
      <c r="G246" s="1321"/>
      <c r="H246" s="1322"/>
      <c r="I246" s="1965"/>
      <c r="J246" s="1965"/>
      <c r="K246" s="1965"/>
      <c r="L246" s="1965"/>
      <c r="M246" s="1965"/>
      <c r="N246" s="1965"/>
      <c r="O246" s="1965"/>
      <c r="P246" s="1965"/>
      <c r="Q246" s="1965"/>
      <c r="R246" s="1965"/>
      <c r="S246" s="1965"/>
      <c r="T246" s="1965"/>
      <c r="U246" s="1965"/>
      <c r="V246" s="1933"/>
      <c r="W246" s="1933"/>
      <c r="X246" s="1933"/>
      <c r="Y246" s="1933"/>
      <c r="Z246" s="1933"/>
      <c r="AA246" s="1933"/>
      <c r="AB246" s="1933"/>
      <c r="AC246" s="1933"/>
      <c r="AD246" s="1933"/>
      <c r="AE246" s="1933"/>
      <c r="AF246" s="1933"/>
      <c r="AG246" s="1933"/>
      <c r="AH246" s="1933"/>
      <c r="AI246" s="1933"/>
      <c r="AJ246" s="1933"/>
      <c r="AK246" s="1933"/>
      <c r="AL246" s="1933"/>
      <c r="AM246" s="1933"/>
      <c r="AN246" s="1933"/>
      <c r="AO246" s="1933"/>
      <c r="AP246" s="1933"/>
      <c r="AQ246" s="1933"/>
      <c r="AR246" s="1933"/>
      <c r="AS246" s="1933"/>
      <c r="AT246" s="1933"/>
      <c r="AU246" s="1933"/>
      <c r="AV246" s="1933"/>
      <c r="AW246" s="1933"/>
      <c r="AX246" s="1933"/>
      <c r="AY246" s="1933"/>
      <c r="AZ246" s="1933"/>
      <c r="BA246" s="1933"/>
      <c r="BB246" s="1933"/>
      <c r="BC246" s="1933"/>
      <c r="BD246" s="1933"/>
      <c r="BE246" s="1933"/>
      <c r="BF246" s="1933"/>
      <c r="BG246" s="1933"/>
      <c r="BH246" s="1933"/>
      <c r="BI246" s="1933"/>
      <c r="BJ246" s="1931"/>
      <c r="BK246" s="1931"/>
      <c r="BL246" s="1931"/>
      <c r="BM246" s="1931"/>
      <c r="BN246" s="1931"/>
      <c r="BO246" s="1931"/>
      <c r="BP246" s="1931"/>
      <c r="BQ246" s="1931"/>
      <c r="BR246" s="1931"/>
      <c r="BS246" s="1931"/>
      <c r="BT246" s="1931"/>
      <c r="BU246" s="1931"/>
      <c r="BV246" s="1931"/>
      <c r="BW246" s="1931"/>
      <c r="BX246" s="1931"/>
      <c r="BY246" s="1931"/>
      <c r="BZ246" s="1931"/>
      <c r="CA246" s="1931"/>
      <c r="CB246" s="1931"/>
      <c r="CC246" s="1931"/>
      <c r="CD246" s="1931"/>
      <c r="CE246" s="1930"/>
      <c r="CF246" s="1930"/>
      <c r="CG246" s="1930"/>
      <c r="CH246" s="1930"/>
      <c r="CI246" s="1931"/>
      <c r="CJ246" s="1931"/>
      <c r="CK246" s="1931"/>
      <c r="CL246" s="1931"/>
      <c r="CM246" s="1931"/>
      <c r="CN246" s="1931"/>
      <c r="CO246" s="1931"/>
      <c r="CP246" s="1931"/>
      <c r="CQ246" s="1931"/>
      <c r="CR246" s="1931"/>
      <c r="CS246" s="1931"/>
      <c r="CT246" s="1930"/>
      <c r="CU246" s="1930"/>
      <c r="CV246" s="1930"/>
      <c r="CW246" s="1930"/>
      <c r="CX246" s="1931"/>
      <c r="CY246" s="1931"/>
      <c r="CZ246" s="1931"/>
      <c r="DA246" s="1931"/>
      <c r="DB246" s="1932"/>
      <c r="DC246" s="1931"/>
      <c r="DD246" s="1931"/>
      <c r="DE246" s="1931"/>
      <c r="DF246" s="1931"/>
    </row>
    <row r="247" spans="2:112" hidden="1" outlineLevel="1" x14ac:dyDescent="0.25">
      <c r="B247" s="1931"/>
      <c r="D247" s="1300"/>
      <c r="E247" s="1965"/>
      <c r="F247" s="1965"/>
      <c r="G247" s="1965"/>
      <c r="H247" s="1301"/>
      <c r="I247" s="1965"/>
      <c r="J247" s="1965"/>
      <c r="K247" s="1965"/>
      <c r="L247" s="1965"/>
      <c r="M247" s="1966"/>
      <c r="N247" s="1965"/>
      <c r="O247" s="1965"/>
      <c r="P247" s="1965"/>
      <c r="Q247" s="1965"/>
      <c r="R247" s="1965"/>
      <c r="S247" s="1965"/>
      <c r="T247" s="1965"/>
      <c r="U247" s="1965"/>
      <c r="V247" s="1931"/>
      <c r="W247" s="1931"/>
      <c r="X247" s="1931"/>
      <c r="Y247" s="1931"/>
      <c r="Z247" s="1931"/>
      <c r="AA247" s="1931"/>
      <c r="AB247" s="1931"/>
      <c r="AC247" s="1931"/>
      <c r="AD247" s="1931"/>
      <c r="AE247" s="1931"/>
      <c r="AF247" s="1931"/>
      <c r="AG247" s="1931"/>
      <c r="AH247" s="1931"/>
      <c r="AI247" s="1931"/>
      <c r="AJ247" s="1931"/>
      <c r="AK247" s="1931"/>
      <c r="AL247" s="1931"/>
      <c r="AM247" s="1931"/>
      <c r="AN247" s="1931"/>
      <c r="AO247" s="1931"/>
      <c r="AP247" s="1931"/>
      <c r="AQ247" s="1931"/>
      <c r="AR247" s="1931"/>
      <c r="AS247" s="1931"/>
      <c r="AT247" s="1931"/>
      <c r="AU247" s="1931"/>
      <c r="AV247" s="1931"/>
      <c r="AW247" s="1931"/>
      <c r="AX247" s="1931"/>
      <c r="AY247" s="1931"/>
      <c r="AZ247" s="1931"/>
      <c r="BA247" s="1931"/>
      <c r="BB247" s="1931"/>
      <c r="BC247" s="1931"/>
      <c r="BD247" s="1931"/>
      <c r="BE247" s="1931"/>
      <c r="BF247" s="1931"/>
      <c r="BG247" s="1931"/>
      <c r="BH247" s="1931"/>
      <c r="BI247" s="1931"/>
      <c r="BJ247" s="1931"/>
      <c r="BK247" s="1931"/>
      <c r="BL247" s="1931"/>
      <c r="BM247" s="1931"/>
      <c r="BN247" s="1931"/>
      <c r="BO247" s="1931"/>
      <c r="BP247" s="1931"/>
      <c r="BQ247" s="1931"/>
      <c r="BR247" s="1931"/>
      <c r="BS247" s="1931"/>
      <c r="BT247" s="1931"/>
      <c r="BU247" s="1931"/>
      <c r="BV247" s="1931"/>
      <c r="BW247" s="1931"/>
      <c r="BX247" s="1931"/>
      <c r="BY247" s="1931"/>
      <c r="BZ247" s="1931"/>
      <c r="CA247" s="1931"/>
      <c r="CB247" s="1931"/>
      <c r="CC247" s="1931"/>
      <c r="CD247" s="1931"/>
      <c r="CE247" s="1930"/>
      <c r="CF247" s="1930"/>
      <c r="CG247" s="1930"/>
      <c r="CH247" s="1930"/>
      <c r="CI247" s="1931"/>
      <c r="CJ247" s="1931"/>
      <c r="CK247" s="1931"/>
      <c r="CL247" s="1931"/>
      <c r="CM247" s="1931"/>
      <c r="CN247" s="1931"/>
      <c r="CO247" s="1931"/>
      <c r="CP247" s="1931"/>
      <c r="CQ247" s="1931"/>
      <c r="CR247" s="1931"/>
      <c r="CS247" s="1931"/>
      <c r="CT247" s="1930"/>
      <c r="CU247" s="1930"/>
      <c r="CV247" s="1930"/>
      <c r="CW247" s="1930"/>
      <c r="CX247" s="1931"/>
      <c r="CY247" s="1931"/>
      <c r="CZ247" s="1931"/>
      <c r="DA247" s="1931"/>
      <c r="DB247" s="1932"/>
      <c r="DC247" s="1931"/>
      <c r="DD247" s="1931"/>
      <c r="DE247" s="1931"/>
      <c r="DF247" s="1931"/>
    </row>
    <row r="248" spans="2:112" hidden="1" outlineLevel="1" x14ac:dyDescent="0.25">
      <c r="B248" s="1931"/>
      <c r="D248" s="1300"/>
      <c r="E248" s="1965"/>
      <c r="F248" s="1965"/>
      <c r="G248" s="1965"/>
      <c r="H248" s="1301"/>
      <c r="I248" s="1965"/>
      <c r="J248" s="1965"/>
      <c r="K248" s="1965"/>
      <c r="L248" s="1965"/>
      <c r="M248" s="1966"/>
      <c r="N248" s="1965"/>
      <c r="O248" s="1965"/>
      <c r="P248" s="1965"/>
      <c r="Q248" s="1965"/>
      <c r="R248" s="1965"/>
      <c r="S248" s="1965"/>
      <c r="T248" s="1965"/>
      <c r="U248" s="1965"/>
      <c r="V248" s="1931"/>
      <c r="W248" s="1931"/>
      <c r="X248" s="1931"/>
      <c r="Y248" s="1931"/>
      <c r="Z248" s="1931"/>
      <c r="AA248" s="1931"/>
      <c r="AB248" s="1931"/>
      <c r="AC248" s="1931"/>
      <c r="AD248" s="1931"/>
      <c r="AE248" s="1931"/>
      <c r="AF248" s="1931"/>
      <c r="AG248" s="1931"/>
      <c r="AH248" s="1931"/>
      <c r="AI248" s="1931"/>
      <c r="AJ248" s="1931"/>
      <c r="AK248" s="1931"/>
      <c r="AL248" s="1931"/>
      <c r="AM248" s="1931"/>
      <c r="AN248" s="1931"/>
      <c r="AO248" s="1931"/>
      <c r="AP248" s="1931"/>
      <c r="AQ248" s="1931"/>
      <c r="AR248" s="1931"/>
      <c r="AS248" s="1931"/>
      <c r="AT248" s="1931"/>
      <c r="AU248" s="1931"/>
      <c r="AV248" s="1931"/>
      <c r="AW248" s="1931"/>
      <c r="AX248" s="1931"/>
      <c r="AY248" s="1931"/>
      <c r="AZ248" s="1931"/>
      <c r="BA248" s="1931"/>
      <c r="BB248" s="1931"/>
      <c r="BC248" s="1931"/>
      <c r="BD248" s="1931"/>
      <c r="BE248" s="1931"/>
      <c r="BF248" s="1931"/>
      <c r="BG248" s="1931"/>
      <c r="BH248" s="1931"/>
      <c r="BI248" s="1931"/>
      <c r="BJ248" s="1931"/>
      <c r="BK248" s="1931"/>
      <c r="BL248" s="1931"/>
      <c r="BM248" s="1931"/>
      <c r="BN248" s="1931"/>
      <c r="BO248" s="1931"/>
      <c r="BP248" s="1931"/>
      <c r="BQ248" s="1931"/>
      <c r="BR248" s="1931"/>
      <c r="BS248" s="1931"/>
      <c r="BT248" s="1931"/>
      <c r="BU248" s="1931"/>
      <c r="BV248" s="1931"/>
      <c r="BW248" s="1931"/>
      <c r="BX248" s="1931"/>
      <c r="BY248" s="1931"/>
      <c r="BZ248" s="1931"/>
      <c r="CA248" s="1931"/>
      <c r="CB248" s="1931"/>
      <c r="CC248" s="1931"/>
      <c r="CD248" s="1931"/>
      <c r="CE248" s="1930"/>
      <c r="CF248" s="1930"/>
      <c r="CG248" s="1930"/>
      <c r="CH248" s="1930"/>
      <c r="CI248" s="1931"/>
      <c r="CJ248" s="1931"/>
      <c r="CK248" s="1931"/>
      <c r="CL248" s="1931"/>
      <c r="CM248" s="1931"/>
      <c r="CN248" s="1931"/>
      <c r="CO248" s="1931"/>
      <c r="CP248" s="1931"/>
      <c r="CQ248" s="1931"/>
      <c r="CR248" s="1931"/>
      <c r="CS248" s="1931"/>
      <c r="CT248" s="1930"/>
      <c r="CU248" s="1930"/>
      <c r="CV248" s="1930"/>
      <c r="CW248" s="1930"/>
      <c r="CX248" s="1931"/>
      <c r="CY248" s="1931"/>
      <c r="CZ248" s="1931"/>
      <c r="DA248" s="1931"/>
      <c r="DB248" s="1932"/>
      <c r="DC248" s="1931"/>
      <c r="DD248" s="1931"/>
      <c r="DE248" s="1931"/>
      <c r="DF248" s="1931"/>
    </row>
    <row r="249" spans="2:112" hidden="1" outlineLevel="1" x14ac:dyDescent="0.25">
      <c r="B249" s="1931"/>
      <c r="D249" s="1300"/>
      <c r="E249" s="1965"/>
      <c r="F249" s="1965"/>
      <c r="G249" s="1965"/>
      <c r="H249" s="1301"/>
      <c r="I249" s="1965"/>
      <c r="J249" s="1965"/>
      <c r="K249" s="1965"/>
      <c r="L249" s="1965"/>
      <c r="M249" s="1966"/>
      <c r="N249" s="1965"/>
      <c r="O249" s="1965"/>
      <c r="P249" s="1965"/>
      <c r="Q249" s="1965"/>
      <c r="R249" s="1965"/>
      <c r="S249" s="1965"/>
      <c r="T249" s="1965"/>
      <c r="U249" s="1965"/>
      <c r="V249" s="1931"/>
      <c r="W249" s="1931"/>
      <c r="X249" s="1931"/>
      <c r="Y249" s="1931"/>
      <c r="Z249" s="1931"/>
      <c r="AA249" s="1931"/>
      <c r="AB249" s="1931"/>
      <c r="AC249" s="1931"/>
      <c r="AD249" s="1931"/>
      <c r="AE249" s="1931"/>
      <c r="AF249" s="1931"/>
      <c r="AG249" s="1931"/>
      <c r="AH249" s="1931"/>
      <c r="AI249" s="1931"/>
      <c r="AJ249" s="1931"/>
      <c r="AK249" s="1931"/>
      <c r="AL249" s="1931"/>
      <c r="AM249" s="1931"/>
      <c r="AN249" s="1931"/>
      <c r="AO249" s="1931"/>
      <c r="AP249" s="1931"/>
      <c r="AQ249" s="1931"/>
      <c r="AR249" s="1931"/>
      <c r="AS249" s="1931"/>
      <c r="AT249" s="1931"/>
      <c r="AU249" s="1931"/>
      <c r="AV249" s="1931"/>
      <c r="AW249" s="1931"/>
      <c r="AX249" s="1931"/>
      <c r="AY249" s="1931"/>
      <c r="AZ249" s="1931"/>
      <c r="BA249" s="1931"/>
      <c r="BB249" s="1931"/>
      <c r="BC249" s="1931"/>
      <c r="BD249" s="1931"/>
      <c r="BE249" s="1931"/>
      <c r="BF249" s="1931"/>
      <c r="BG249" s="1931"/>
      <c r="BH249" s="1931"/>
      <c r="BI249" s="1931"/>
      <c r="BJ249" s="1931"/>
      <c r="BK249" s="1931"/>
      <c r="BL249" s="1931"/>
      <c r="BM249" s="1931"/>
      <c r="BN249" s="1931"/>
      <c r="BO249" s="1931"/>
      <c r="BP249" s="1931"/>
      <c r="BQ249" s="1931"/>
      <c r="BR249" s="1931"/>
      <c r="BS249" s="1931"/>
      <c r="BT249" s="1931"/>
      <c r="BU249" s="1931"/>
      <c r="BV249" s="1931"/>
      <c r="BW249" s="1931"/>
      <c r="BX249" s="1931"/>
      <c r="BY249" s="1931"/>
      <c r="BZ249" s="1931"/>
      <c r="CA249" s="1931"/>
      <c r="CB249" s="1931"/>
      <c r="CC249" s="1931"/>
      <c r="CD249" s="1931"/>
      <c r="CE249" s="1930"/>
      <c r="CF249" s="1930"/>
      <c r="CG249" s="1930"/>
      <c r="CH249" s="1930"/>
      <c r="CI249" s="1931"/>
      <c r="CJ249" s="1931"/>
      <c r="CK249" s="1931"/>
      <c r="CL249" s="1931"/>
      <c r="CM249" s="1931"/>
      <c r="CN249" s="1931"/>
      <c r="CO249" s="1931"/>
      <c r="CP249" s="1931"/>
      <c r="CQ249" s="1931"/>
      <c r="CR249" s="1931"/>
      <c r="CS249" s="1931"/>
      <c r="CT249" s="1930"/>
      <c r="CU249" s="1930"/>
      <c r="CV249" s="1930"/>
      <c r="CW249" s="1930"/>
      <c r="CX249" s="1931"/>
      <c r="CY249" s="1931"/>
      <c r="CZ249" s="1931"/>
      <c r="DA249" s="1931"/>
      <c r="DB249" s="1932"/>
      <c r="DC249" s="1931"/>
      <c r="DD249" s="1931"/>
      <c r="DE249" s="1931"/>
      <c r="DF249" s="1931"/>
    </row>
    <row r="250" spans="2:112" hidden="1" outlineLevel="1" x14ac:dyDescent="0.25">
      <c r="B250" s="1931"/>
      <c r="D250" s="1300"/>
      <c r="E250" s="1965"/>
      <c r="F250" s="1965"/>
      <c r="G250" s="1965"/>
      <c r="H250" s="1301"/>
      <c r="I250" s="1965"/>
      <c r="J250" s="1965"/>
      <c r="K250" s="1965"/>
      <c r="L250" s="1965"/>
      <c r="M250" s="1965"/>
      <c r="N250" s="1965"/>
      <c r="O250" s="1965"/>
      <c r="P250" s="1965"/>
      <c r="Q250" s="1965"/>
      <c r="R250" s="1965"/>
      <c r="S250" s="1965"/>
      <c r="T250" s="1965"/>
      <c r="U250" s="1965"/>
      <c r="V250" s="1931"/>
      <c r="W250" s="1931"/>
      <c r="X250" s="1931"/>
      <c r="Y250" s="1931"/>
      <c r="Z250" s="1931"/>
      <c r="AA250" s="1931"/>
      <c r="AB250" s="1931"/>
      <c r="AC250" s="1931"/>
      <c r="AD250" s="1931"/>
      <c r="AE250" s="1931"/>
      <c r="AF250" s="1931"/>
      <c r="AG250" s="1931"/>
      <c r="AH250" s="1931"/>
      <c r="AI250" s="1931"/>
      <c r="AJ250" s="1931"/>
      <c r="AK250" s="1931"/>
      <c r="AL250" s="1931"/>
      <c r="AM250" s="1931"/>
      <c r="AN250" s="1931"/>
      <c r="AO250" s="1931"/>
      <c r="AP250" s="1931"/>
      <c r="AQ250" s="1931"/>
      <c r="AR250" s="1931"/>
      <c r="AS250" s="1931"/>
      <c r="AT250" s="1931"/>
      <c r="AU250" s="1931"/>
      <c r="AV250" s="1931"/>
      <c r="AW250" s="1931"/>
      <c r="AX250" s="1931"/>
      <c r="AY250" s="1931"/>
      <c r="AZ250" s="1931"/>
      <c r="BA250" s="1931"/>
      <c r="BB250" s="1931"/>
      <c r="BC250" s="1931"/>
      <c r="BD250" s="1931"/>
      <c r="BE250" s="1931"/>
      <c r="BF250" s="1931"/>
      <c r="BG250" s="1931"/>
      <c r="BH250" s="1931"/>
      <c r="BI250" s="1931"/>
      <c r="BJ250" s="1931"/>
      <c r="BK250" s="1931"/>
      <c r="BL250" s="1931"/>
      <c r="BM250" s="1931"/>
      <c r="BN250" s="1931"/>
      <c r="BO250" s="1931"/>
      <c r="BP250" s="1931"/>
      <c r="BQ250" s="1931"/>
      <c r="BR250" s="1931"/>
      <c r="BS250" s="1931"/>
      <c r="BT250" s="1931"/>
      <c r="BU250" s="1931"/>
      <c r="BV250" s="1931"/>
      <c r="BW250" s="1931"/>
      <c r="BX250" s="1931"/>
      <c r="BY250" s="1931"/>
      <c r="BZ250" s="1931"/>
      <c r="CA250" s="1931"/>
      <c r="CB250" s="1931"/>
      <c r="CC250" s="1931"/>
      <c r="CD250" s="1931"/>
      <c r="CE250" s="1930"/>
      <c r="CF250" s="1930"/>
      <c r="CG250" s="1930"/>
      <c r="CH250" s="1930"/>
      <c r="CI250" s="1931"/>
      <c r="CJ250" s="1931"/>
      <c r="CK250" s="1931"/>
      <c r="CL250" s="1931"/>
      <c r="CM250" s="1931"/>
      <c r="CN250" s="1931"/>
      <c r="CO250" s="1931"/>
      <c r="CP250" s="1931"/>
      <c r="CQ250" s="1931"/>
      <c r="CR250" s="1931"/>
      <c r="CS250" s="1931"/>
      <c r="CT250" s="1930"/>
      <c r="CU250" s="1930"/>
      <c r="CV250" s="1930"/>
      <c r="CW250" s="1930"/>
      <c r="CX250" s="1931"/>
      <c r="CY250" s="1931"/>
      <c r="CZ250" s="1931"/>
      <c r="DA250" s="1931"/>
      <c r="DB250" s="1932"/>
      <c r="DC250" s="1931"/>
      <c r="DD250" s="1931"/>
      <c r="DE250" s="1931"/>
      <c r="DF250" s="1931"/>
    </row>
    <row r="251" spans="2:112" s="55" customFormat="1" hidden="1" outlineLevel="1" x14ac:dyDescent="0.25">
      <c r="C251" s="151"/>
      <c r="D251" s="46" t="s">
        <v>28</v>
      </c>
      <c r="E251" s="3081" t="s">
        <v>2758</v>
      </c>
      <c r="F251" s="3081" t="s">
        <v>2827</v>
      </c>
      <c r="G251" s="3081" t="s">
        <v>2828</v>
      </c>
      <c r="H251" s="78" t="s">
        <v>2829</v>
      </c>
      <c r="I251" s="80" t="s">
        <v>2830</v>
      </c>
      <c r="J251" s="401"/>
      <c r="K251" s="401"/>
      <c r="L251" s="151"/>
      <c r="M251" s="401"/>
      <c r="N251" s="401"/>
      <c r="O251" s="401"/>
      <c r="P251" s="401"/>
      <c r="Q251" s="401"/>
      <c r="R251" s="401"/>
      <c r="S251" s="401"/>
      <c r="T251" s="401"/>
      <c r="U251" s="401"/>
      <c r="DB251" s="72"/>
    </row>
    <row r="252" spans="2:112" hidden="1" outlineLevel="1" x14ac:dyDescent="0.25">
      <c r="B252" s="1931"/>
      <c r="D252" s="1967" t="str">
        <f>C241</f>
        <v>802500_2019_12_</v>
      </c>
      <c r="E252" s="1967" t="str">
        <f>E241</f>
        <v>Pool Heater Heat Pump (Uncovered)</v>
      </c>
      <c r="F252" s="1350">
        <f>(53.075*G252)+1631.1</f>
        <v>44091.1</v>
      </c>
      <c r="G252" s="1331">
        <v>800</v>
      </c>
      <c r="H252" s="1351">
        <v>1</v>
      </c>
      <c r="I252" s="1352">
        <v>5</v>
      </c>
      <c r="J252" s="1968"/>
      <c r="K252" s="1965"/>
      <c r="L252" s="1965"/>
      <c r="M252" s="1965"/>
      <c r="N252" s="1965"/>
      <c r="O252" s="1965"/>
      <c r="P252" s="1965"/>
      <c r="Q252" s="1965"/>
      <c r="R252" s="1965"/>
      <c r="S252" s="1965"/>
      <c r="T252" s="1965"/>
      <c r="U252" s="1965"/>
      <c r="V252" s="1931"/>
      <c r="W252" s="1931"/>
      <c r="X252" s="1931"/>
      <c r="Y252" s="1931"/>
      <c r="Z252" s="1931"/>
      <c r="AA252" s="1931"/>
      <c r="AB252" s="1931"/>
      <c r="AC252" s="1931"/>
      <c r="AD252" s="1931"/>
      <c r="AE252" s="1931"/>
      <c r="AF252" s="1931"/>
      <c r="AG252" s="1931"/>
      <c r="AH252" s="1931"/>
      <c r="AI252" s="1931"/>
      <c r="AJ252" s="1931"/>
      <c r="AK252" s="1931"/>
      <c r="AL252" s="1931"/>
      <c r="AM252" s="1931"/>
      <c r="AN252" s="1931"/>
      <c r="AO252" s="1931"/>
      <c r="AP252" s="1931"/>
      <c r="AQ252" s="1931"/>
      <c r="AR252" s="1931"/>
      <c r="AS252" s="1931"/>
      <c r="AT252" s="1931"/>
      <c r="AU252" s="1931"/>
      <c r="AV252" s="1931"/>
      <c r="AW252" s="1931"/>
      <c r="AX252" s="1931"/>
      <c r="AY252" s="1931"/>
      <c r="AZ252" s="1931"/>
      <c r="BA252" s="1931"/>
      <c r="BB252" s="1931"/>
      <c r="BC252" s="1931"/>
      <c r="BD252" s="1931"/>
      <c r="BE252" s="1931"/>
      <c r="BF252" s="1931"/>
      <c r="BG252" s="1931"/>
      <c r="BH252" s="1931"/>
      <c r="BI252" s="1931"/>
      <c r="BJ252" s="1931"/>
      <c r="BK252" s="1931"/>
      <c r="BL252" s="1931"/>
      <c r="BM252" s="1931"/>
      <c r="BN252" s="1931"/>
      <c r="BO252" s="1931"/>
      <c r="BP252" s="1931"/>
      <c r="BQ252" s="1931"/>
      <c r="BR252" s="1931"/>
      <c r="BS252" s="1931"/>
      <c r="BT252" s="1931"/>
      <c r="BU252" s="1931"/>
      <c r="BV252" s="1931"/>
      <c r="BW252" s="1931"/>
      <c r="BX252" s="1931"/>
      <c r="BY252" s="1931"/>
      <c r="BZ252" s="1931"/>
      <c r="CA252" s="1931"/>
      <c r="CB252" s="1931"/>
      <c r="CC252" s="1931"/>
      <c r="CD252" s="1931"/>
      <c r="CE252" s="1930"/>
      <c r="CF252" s="1930"/>
      <c r="CG252" s="1930"/>
      <c r="CH252" s="1930"/>
      <c r="CI252" s="1931"/>
      <c r="CJ252" s="1931"/>
      <c r="CK252" s="1931"/>
      <c r="CL252" s="1931"/>
      <c r="CM252" s="1931"/>
      <c r="CN252" s="1931"/>
      <c r="CO252" s="1931"/>
      <c r="CP252" s="1931"/>
      <c r="CQ252" s="1931"/>
      <c r="CR252" s="1931"/>
      <c r="CS252" s="1931"/>
      <c r="CT252" s="1930"/>
      <c r="CU252" s="1930"/>
      <c r="CV252" s="1930"/>
      <c r="CW252" s="1930"/>
      <c r="CX252" s="1931"/>
      <c r="CY252" s="1931"/>
      <c r="CZ252" s="1931"/>
      <c r="DA252" s="1931"/>
      <c r="DB252" s="1932"/>
      <c r="DC252" s="1931"/>
      <c r="DD252" s="1931"/>
      <c r="DE252" s="1931"/>
      <c r="DF252" s="1931"/>
    </row>
    <row r="253" spans="2:112" hidden="1" outlineLevel="1" x14ac:dyDescent="0.25">
      <c r="B253" s="1931"/>
      <c r="D253" s="1967" t="str">
        <f>C242</f>
        <v>802550_2019_12_</v>
      </c>
      <c r="E253" s="1967" t="str">
        <f>E242</f>
        <v>Pool Heater Heat Pump (Covered)</v>
      </c>
      <c r="F253" s="1350">
        <f>(8.079*G253)+1295.4</f>
        <v>7758.6</v>
      </c>
      <c r="G253" s="1331">
        <v>800</v>
      </c>
      <c r="H253" s="1351">
        <v>1</v>
      </c>
      <c r="I253" s="1352">
        <v>5</v>
      </c>
      <c r="J253" s="1968"/>
      <c r="K253" s="1965"/>
      <c r="L253" s="1965"/>
      <c r="M253" s="1965"/>
      <c r="N253" s="1965"/>
      <c r="O253" s="1965"/>
      <c r="P253" s="1965"/>
      <c r="Q253" s="1965"/>
      <c r="R253" s="1965"/>
      <c r="S253" s="1965"/>
      <c r="T253" s="1965"/>
      <c r="U253" s="1965"/>
      <c r="V253" s="1931"/>
      <c r="W253" s="1931"/>
      <c r="X253" s="1931"/>
      <c r="Y253" s="1931"/>
      <c r="Z253" s="1931"/>
      <c r="AA253" s="1931"/>
      <c r="AB253" s="1931"/>
      <c r="AC253" s="1931"/>
      <c r="AD253" s="1931"/>
      <c r="AE253" s="1931"/>
      <c r="AF253" s="1931"/>
      <c r="AG253" s="1931"/>
      <c r="AH253" s="1931"/>
      <c r="AI253" s="1931"/>
      <c r="AJ253" s="1931"/>
      <c r="AK253" s="1931"/>
      <c r="AL253" s="1931"/>
      <c r="AM253" s="1931"/>
      <c r="AN253" s="1931"/>
      <c r="AO253" s="1931"/>
      <c r="AP253" s="1931"/>
      <c r="AQ253" s="1931"/>
      <c r="AR253" s="1931"/>
      <c r="AS253" s="1931"/>
      <c r="AT253" s="1931"/>
      <c r="AU253" s="1931"/>
      <c r="AV253" s="1931"/>
      <c r="AW253" s="1931"/>
      <c r="AX253" s="1931"/>
      <c r="AY253" s="1931"/>
      <c r="AZ253" s="1931"/>
      <c r="BA253" s="1931"/>
      <c r="BB253" s="1931"/>
      <c r="BC253" s="1931"/>
      <c r="BD253" s="1931"/>
      <c r="BE253" s="1931"/>
      <c r="BF253" s="1931"/>
      <c r="BG253" s="1931"/>
      <c r="BH253" s="1931"/>
      <c r="BI253" s="1931"/>
      <c r="BJ253" s="1931"/>
      <c r="BK253" s="1931"/>
      <c r="BL253" s="1931"/>
      <c r="BM253" s="1931"/>
      <c r="BN253" s="1931"/>
      <c r="BO253" s="1931"/>
      <c r="BP253" s="1931"/>
      <c r="BQ253" s="1931"/>
      <c r="BR253" s="1931"/>
      <c r="BS253" s="1931"/>
      <c r="BT253" s="1931"/>
      <c r="BU253" s="1931"/>
      <c r="BV253" s="1931"/>
      <c r="BW253" s="1931"/>
      <c r="BX253" s="1931"/>
      <c r="BY253" s="1931"/>
      <c r="BZ253" s="1931"/>
      <c r="CA253" s="1931"/>
      <c r="CB253" s="1931"/>
      <c r="CC253" s="1931"/>
      <c r="CD253" s="1931"/>
      <c r="CE253" s="1930"/>
      <c r="CF253" s="1930"/>
      <c r="CG253" s="1930"/>
      <c r="CH253" s="1930"/>
      <c r="CI253" s="1931"/>
      <c r="CJ253" s="1931"/>
      <c r="CK253" s="1931"/>
      <c r="CL253" s="1931"/>
      <c r="CM253" s="1931"/>
      <c r="CN253" s="1931"/>
      <c r="CO253" s="1931"/>
      <c r="CP253" s="1931"/>
      <c r="CQ253" s="1931"/>
      <c r="CR253" s="1931"/>
      <c r="CS253" s="1931"/>
      <c r="CT253" s="1930"/>
      <c r="CU253" s="1930"/>
      <c r="CV253" s="1930"/>
      <c r="CW253" s="1930"/>
      <c r="CX253" s="1931"/>
      <c r="CY253" s="1931"/>
      <c r="CZ253" s="1931"/>
      <c r="DA253" s="1931"/>
      <c r="DB253" s="1932"/>
      <c r="DC253" s="1931"/>
      <c r="DD253" s="1931"/>
      <c r="DE253" s="1931"/>
      <c r="DF253" s="1931"/>
    </row>
    <row r="254" spans="2:112" collapsed="1" x14ac:dyDescent="0.25">
      <c r="B254" s="1931"/>
      <c r="D254" s="1966"/>
      <c r="E254" s="1965"/>
      <c r="F254" s="1965"/>
      <c r="G254" s="1968"/>
      <c r="H254" s="1969"/>
      <c r="I254" s="1965"/>
      <c r="J254" s="1965"/>
      <c r="K254" s="1965"/>
      <c r="L254" s="1965"/>
      <c r="M254" s="1965"/>
      <c r="N254" s="1965"/>
      <c r="O254" s="1965"/>
      <c r="P254" s="1965"/>
      <c r="Q254" s="1965"/>
      <c r="R254" s="1965"/>
      <c r="S254" s="1965"/>
      <c r="T254" s="1965"/>
      <c r="U254" s="1965"/>
      <c r="V254" s="1931"/>
      <c r="W254" s="1931"/>
      <c r="X254" s="1931"/>
      <c r="Y254" s="1931"/>
      <c r="Z254" s="1931"/>
      <c r="AA254" s="1931"/>
      <c r="AB254" s="1931"/>
      <c r="AC254" s="1931"/>
      <c r="AD254" s="1931"/>
      <c r="AE254" s="1931"/>
      <c r="AF254" s="1931"/>
      <c r="AG254" s="1931"/>
      <c r="AH254" s="1931"/>
      <c r="AI254" s="1931"/>
      <c r="AJ254" s="1931"/>
      <c r="AK254" s="1931"/>
      <c r="AL254" s="1931"/>
      <c r="AM254" s="1931"/>
      <c r="AN254" s="1931"/>
      <c r="AO254" s="1931"/>
      <c r="AP254" s="1931"/>
      <c r="AQ254" s="1931"/>
      <c r="AR254" s="1931"/>
      <c r="AS254" s="1931"/>
      <c r="AT254" s="1931"/>
      <c r="AU254" s="1931"/>
      <c r="AV254" s="1931"/>
      <c r="AW254" s="1931"/>
      <c r="AX254" s="1931"/>
      <c r="AY254" s="1931"/>
      <c r="AZ254" s="1931"/>
      <c r="BA254" s="1931"/>
      <c r="BB254" s="1931"/>
      <c r="BC254" s="1931"/>
      <c r="BD254" s="1931"/>
      <c r="BE254" s="1931"/>
      <c r="BF254" s="1931"/>
      <c r="BG254" s="1931"/>
      <c r="BH254" s="1931"/>
      <c r="BI254" s="1931"/>
      <c r="BJ254" s="1931"/>
      <c r="BK254" s="1931"/>
      <c r="BL254" s="1931"/>
      <c r="BM254" s="1931"/>
      <c r="BN254" s="1931"/>
      <c r="BO254" s="1931"/>
      <c r="BP254" s="1931"/>
      <c r="BQ254" s="1931"/>
      <c r="BR254" s="1931"/>
      <c r="BS254" s="1931"/>
      <c r="BT254" s="1931"/>
      <c r="BU254" s="1931"/>
      <c r="BV254" s="1931"/>
      <c r="BW254" s="1931"/>
      <c r="BX254" s="1931"/>
      <c r="BY254" s="1931"/>
      <c r="BZ254" s="1931"/>
      <c r="CA254" s="1931"/>
      <c r="CB254" s="1931"/>
      <c r="CC254" s="1931"/>
      <c r="CD254" s="1931"/>
      <c r="CE254" s="1930"/>
      <c r="CF254" s="1930"/>
      <c r="CG254" s="1930"/>
      <c r="CH254" s="1930"/>
      <c r="CI254" s="1931"/>
      <c r="CJ254" s="1931"/>
      <c r="CK254" s="1931"/>
      <c r="CL254" s="1931"/>
      <c r="CM254" s="1931"/>
      <c r="CN254" s="1931"/>
      <c r="CO254" s="1931"/>
      <c r="CP254" s="1931"/>
      <c r="CQ254" s="1931"/>
      <c r="CR254" s="1931"/>
      <c r="CS254" s="1931"/>
      <c r="CT254" s="1930"/>
      <c r="CU254" s="1930"/>
      <c r="CV254" s="1930"/>
      <c r="CW254" s="1930"/>
      <c r="CX254" s="1931"/>
      <c r="CY254" s="1931"/>
      <c r="CZ254" s="1931"/>
      <c r="DA254" s="1931"/>
      <c r="DB254" s="1932"/>
      <c r="DC254" s="1931"/>
      <c r="DD254" s="1931"/>
      <c r="DE254" s="1931"/>
      <c r="DF254" s="1931"/>
    </row>
    <row r="256" spans="2:112" s="43" customFormat="1" x14ac:dyDescent="0.25">
      <c r="B256" s="4484" t="s">
        <v>2831</v>
      </c>
      <c r="C256" s="4485"/>
      <c r="D256" s="4485"/>
      <c r="E256" s="4485"/>
      <c r="F256" s="4485"/>
      <c r="G256" s="4485"/>
      <c r="H256" s="4485"/>
      <c r="I256" s="4486"/>
      <c r="J256" s="4486"/>
      <c r="K256" s="4486"/>
      <c r="L256" s="4486"/>
      <c r="M256" s="3752"/>
      <c r="N256" s="3752"/>
      <c r="O256" s="3753"/>
      <c r="P256" s="1935"/>
      <c r="Q256" s="1935"/>
      <c r="R256" s="1935"/>
      <c r="S256" s="1935"/>
      <c r="T256" s="1935"/>
      <c r="U256" s="1935"/>
      <c r="V256" s="3077" t="str">
        <f>B256</f>
        <v>Pool Pump</v>
      </c>
      <c r="W256" s="3078"/>
      <c r="X256" s="3078"/>
      <c r="Y256" s="3078"/>
      <c r="Z256" s="3078"/>
      <c r="AA256" s="3078"/>
      <c r="AB256" s="3078"/>
      <c r="AC256" s="3078"/>
      <c r="AD256" s="3078"/>
      <c r="AE256" s="3078"/>
      <c r="AF256" s="3078"/>
      <c r="AG256" s="3078"/>
      <c r="AH256" s="3078"/>
      <c r="AI256" s="3170"/>
      <c r="AJ256" s="1931"/>
      <c r="AK256" s="1931"/>
      <c r="AL256" s="1931"/>
      <c r="AM256" s="1931"/>
      <c r="AN256" s="1931"/>
      <c r="AO256" s="1931"/>
      <c r="AP256" s="1931"/>
      <c r="AQ256" s="1931"/>
      <c r="AR256" s="1931"/>
      <c r="AS256" s="1931"/>
      <c r="AT256" s="1931"/>
      <c r="AU256" s="1931"/>
      <c r="AV256" s="1935"/>
      <c r="AW256" s="1935"/>
      <c r="AX256" s="1935"/>
      <c r="AY256" s="1935"/>
      <c r="AZ256" s="1935"/>
      <c r="BA256" s="1935"/>
      <c r="BB256" s="1935"/>
      <c r="BC256" s="1935"/>
      <c r="BD256" s="1935"/>
      <c r="BE256" s="1935"/>
      <c r="BF256" s="1935"/>
      <c r="BG256" s="1935"/>
      <c r="BH256" s="1935"/>
      <c r="BI256" s="1935"/>
      <c r="BJ256" s="1935"/>
      <c r="BK256" s="1935"/>
      <c r="BL256" s="1935"/>
      <c r="BM256" s="1935"/>
      <c r="BN256" s="1935"/>
      <c r="BO256" s="1935"/>
      <c r="BP256" s="1935"/>
      <c r="BQ256" s="1935"/>
      <c r="BR256" s="1935"/>
      <c r="BS256" s="1935"/>
      <c r="BT256" s="1935"/>
      <c r="BU256" s="1935"/>
      <c r="BV256" s="1935"/>
      <c r="BW256" s="1935"/>
      <c r="BX256" s="1935"/>
      <c r="BY256" s="1935"/>
      <c r="BZ256" s="1935"/>
      <c r="CA256" s="1935"/>
      <c r="CB256" s="1935"/>
      <c r="CC256" s="1935"/>
      <c r="CD256" s="1935"/>
      <c r="CE256" s="1935"/>
      <c r="CF256" s="1935"/>
      <c r="CG256" s="1935"/>
      <c r="CH256" s="1935"/>
      <c r="CI256" s="1935"/>
      <c r="CJ256" s="1935"/>
      <c r="CK256" s="1935"/>
      <c r="CL256" s="1935"/>
      <c r="CM256" s="1935"/>
      <c r="CN256" s="1935"/>
      <c r="CO256" s="1935"/>
      <c r="CP256" s="1935"/>
      <c r="CQ256" s="1935"/>
      <c r="CR256" s="1935"/>
      <c r="CS256" s="1935"/>
      <c r="CT256" s="1935"/>
      <c r="CU256" s="1935"/>
      <c r="CV256" s="1935"/>
      <c r="CW256" s="1935"/>
      <c r="CX256" s="1935"/>
      <c r="CY256" s="1935"/>
      <c r="CZ256" s="1935"/>
      <c r="DA256" s="1935"/>
      <c r="DB256" s="73"/>
      <c r="DC256" s="1935"/>
      <c r="DD256" s="1935"/>
      <c r="DE256" s="1935"/>
      <c r="DF256" s="1935"/>
      <c r="DG256" s="1935"/>
      <c r="DH256" s="1935"/>
    </row>
    <row r="257" spans="2:110" x14ac:dyDescent="0.25">
      <c r="B257" s="1931"/>
      <c r="D257" s="1286"/>
      <c r="E257" s="1966"/>
      <c r="F257" s="1966"/>
      <c r="G257" s="1966"/>
      <c r="H257" s="1287"/>
      <c r="I257" s="1966"/>
      <c r="J257" s="1966"/>
      <c r="K257" s="1966"/>
      <c r="L257" s="1966"/>
      <c r="M257" s="1965"/>
      <c r="N257" s="1965"/>
      <c r="O257" s="1965"/>
      <c r="P257" s="1966"/>
      <c r="Q257" s="1966"/>
      <c r="R257" s="1966"/>
      <c r="S257" s="1966"/>
      <c r="T257" s="1966"/>
      <c r="U257" s="1966"/>
      <c r="V257" s="1930"/>
      <c r="W257" s="1930"/>
      <c r="X257" s="1930"/>
      <c r="Y257" s="1930"/>
      <c r="Z257" s="1930"/>
      <c r="AA257" s="1930"/>
      <c r="AB257" s="1930"/>
      <c r="AC257" s="1930"/>
      <c r="AD257" s="1930"/>
      <c r="AE257" s="1930"/>
      <c r="AF257" s="1930"/>
      <c r="AG257" s="1930"/>
      <c r="AH257" s="1930"/>
      <c r="AI257" s="1930"/>
      <c r="AJ257" s="1934"/>
      <c r="AK257" s="1934"/>
      <c r="AL257" s="1934"/>
      <c r="AM257" s="1934"/>
      <c r="AN257" s="1934"/>
      <c r="AO257" s="1934"/>
      <c r="AP257" s="1934"/>
      <c r="AQ257" s="1934"/>
      <c r="AR257" s="1934"/>
      <c r="AS257" s="1934"/>
      <c r="AT257" s="1934"/>
      <c r="AU257" s="1934"/>
      <c r="AV257" s="1931"/>
      <c r="AW257" s="1931"/>
      <c r="AX257" s="1931"/>
      <c r="AY257" s="1931"/>
      <c r="AZ257" s="1931"/>
      <c r="BA257" s="1931"/>
      <c r="BB257" s="1931"/>
      <c r="BC257" s="1931"/>
      <c r="BD257" s="1931"/>
      <c r="BE257" s="1931"/>
      <c r="BF257" s="1931"/>
      <c r="BG257" s="1931"/>
      <c r="BH257" s="1931"/>
      <c r="BI257" s="1931"/>
      <c r="BJ257" s="1931"/>
      <c r="BK257" s="1931"/>
      <c r="BL257" s="1931"/>
      <c r="BM257" s="1931"/>
      <c r="BN257" s="1931"/>
      <c r="BO257" s="1931"/>
      <c r="BP257" s="1931"/>
      <c r="BQ257" s="1931"/>
      <c r="BR257" s="1931"/>
      <c r="BS257" s="1931"/>
      <c r="BT257" s="1931"/>
      <c r="BU257" s="1931"/>
      <c r="BV257" s="1931"/>
      <c r="BW257" s="1931"/>
      <c r="BX257" s="1931"/>
      <c r="BY257" s="1931"/>
      <c r="BZ257" s="1931"/>
      <c r="CA257" s="1931"/>
      <c r="CB257" s="1931"/>
      <c r="CC257" s="1931"/>
      <c r="CD257" s="1931"/>
      <c r="CE257" s="1930"/>
      <c r="CF257" s="1930"/>
      <c r="CG257" s="1930"/>
      <c r="CH257" s="1930"/>
      <c r="CI257" s="1931"/>
      <c r="CJ257" s="1931"/>
      <c r="CK257" s="1931"/>
      <c r="CL257" s="1931"/>
      <c r="CM257" s="1931"/>
      <c r="CN257" s="1931"/>
      <c r="CO257" s="1931"/>
      <c r="CP257" s="1931"/>
      <c r="CQ257" s="1931"/>
      <c r="CR257" s="1931"/>
      <c r="CS257" s="1931"/>
      <c r="CT257" s="1930"/>
      <c r="CU257" s="1930"/>
      <c r="CV257" s="1930"/>
      <c r="CW257" s="1930"/>
      <c r="CX257" s="1931"/>
      <c r="CY257" s="1931"/>
      <c r="CZ257" s="1931"/>
      <c r="DA257" s="1931"/>
      <c r="DB257" s="1932"/>
      <c r="DC257" s="1931"/>
      <c r="DD257" s="1931"/>
      <c r="DE257" s="1931"/>
      <c r="DF257" s="1931"/>
    </row>
    <row r="258" spans="2:110" s="44" customFormat="1" ht="30" x14ac:dyDescent="0.25">
      <c r="B258" s="45"/>
      <c r="C258" s="46" t="s">
        <v>28</v>
      </c>
      <c r="D258" s="3196" t="s">
        <v>29</v>
      </c>
      <c r="E258" s="3196" t="s">
        <v>30</v>
      </c>
      <c r="F258" s="3196" t="s">
        <v>2832</v>
      </c>
      <c r="G258" s="3196" t="s">
        <v>176</v>
      </c>
      <c r="H258" s="47" t="s">
        <v>177</v>
      </c>
      <c r="I258" s="3196" t="s">
        <v>32</v>
      </c>
      <c r="J258" s="3196" t="s">
        <v>181</v>
      </c>
      <c r="K258" s="46" t="s">
        <v>170</v>
      </c>
      <c r="L258" s="46" t="s">
        <v>44</v>
      </c>
      <c r="M258" s="1965"/>
      <c r="N258" s="1965"/>
      <c r="O258" s="1965"/>
      <c r="P258" s="1288"/>
      <c r="Q258" s="1288"/>
      <c r="R258" s="1288"/>
      <c r="S258" s="1288"/>
      <c r="T258" s="1288"/>
      <c r="U258" s="1288"/>
      <c r="V258" s="1936" t="s">
        <v>45</v>
      </c>
      <c r="W258" s="1937">
        <f>$W$8</f>
        <v>43252</v>
      </c>
      <c r="X258" s="1937">
        <f>$X$8</f>
        <v>43465</v>
      </c>
      <c r="Y258" s="1937">
        <f>$Y$8</f>
        <v>43800</v>
      </c>
      <c r="Z258" s="1937">
        <f>$Z$8</f>
        <v>43862</v>
      </c>
      <c r="AA258" s="1937">
        <f>$AA$8</f>
        <v>44013</v>
      </c>
      <c r="AB258" s="1937">
        <v>44166</v>
      </c>
      <c r="AC258" s="1937">
        <f>$AC$8</f>
        <v>44531</v>
      </c>
      <c r="AD258" s="1937" t="str">
        <f>$AD$8</f>
        <v>-</v>
      </c>
      <c r="AE258" s="1937" t="str">
        <f>$AE$8</f>
        <v>-</v>
      </c>
      <c r="AF258" s="1937" t="str">
        <f>$AF$8</f>
        <v>-</v>
      </c>
      <c r="AG258" s="1937" t="str">
        <f>$AG$8</f>
        <v>-</v>
      </c>
      <c r="AH258" s="1930"/>
      <c r="AI258" s="1936" t="s">
        <v>45</v>
      </c>
      <c r="AJ258" s="1937">
        <v>43252</v>
      </c>
      <c r="AK258" s="1937">
        <f>$X$8</f>
        <v>43465</v>
      </c>
      <c r="AL258" s="1937">
        <f>$Y$8</f>
        <v>43800</v>
      </c>
      <c r="AM258" s="1937">
        <f>$Z$8</f>
        <v>43862</v>
      </c>
      <c r="AN258" s="1937">
        <f>$AA$8</f>
        <v>44013</v>
      </c>
      <c r="AO258" s="1937">
        <f>$AB$8</f>
        <v>44166</v>
      </c>
      <c r="AP258" s="1937">
        <f>$AC$8</f>
        <v>44531</v>
      </c>
      <c r="AQ258" s="1937" t="str">
        <f>$AD$8</f>
        <v>-</v>
      </c>
      <c r="AR258" s="1937" t="str">
        <f>$AE$8</f>
        <v>-</v>
      </c>
      <c r="AS258" s="1937" t="str">
        <f>$AF$8</f>
        <v>-</v>
      </c>
      <c r="AT258" s="1933"/>
      <c r="AU258" s="1936" t="s">
        <v>45</v>
      </c>
      <c r="AV258" s="1937">
        <v>43252</v>
      </c>
      <c r="AW258" s="1937">
        <f>$X$8</f>
        <v>43465</v>
      </c>
      <c r="AX258" s="1937">
        <f>$Y$8</f>
        <v>43800</v>
      </c>
      <c r="AY258" s="1937">
        <f>$Z$8</f>
        <v>43862</v>
      </c>
      <c r="AZ258" s="1937">
        <f>$AA$8</f>
        <v>44013</v>
      </c>
      <c r="BA258" s="1937">
        <v>44166</v>
      </c>
      <c r="BB258" s="1937">
        <f>$AC$8</f>
        <v>44531</v>
      </c>
      <c r="BC258" s="1937" t="str">
        <f>$AD$8</f>
        <v>-</v>
      </c>
      <c r="BD258" s="1937" t="str">
        <f>$AE$8</f>
        <v>-</v>
      </c>
      <c r="BE258" s="1937" t="str">
        <f>$AF$8</f>
        <v>-</v>
      </c>
      <c r="DB258" s="1938" t="str">
        <f>$DB$8</f>
        <v>TRC (2020)</v>
      </c>
      <c r="DC258" s="1953" t="str">
        <f>$DC$8</f>
        <v>Benefit Lookup</v>
      </c>
      <c r="DD258" s="1953" t="str">
        <f>$DD$8</f>
        <v>Benefits (2019 $)</v>
      </c>
      <c r="DE258" s="1953" t="str">
        <f>$DE$8</f>
        <v>Incremental Cost (2019 $)</v>
      </c>
    </row>
    <row r="259" spans="2:110" x14ac:dyDescent="0.25">
      <c r="B259" s="1931"/>
      <c r="C259" s="2462" t="s">
        <v>2833</v>
      </c>
      <c r="D259" s="1289" t="s">
        <v>2646</v>
      </c>
      <c r="E259" s="1308" t="s">
        <v>2834</v>
      </c>
      <c r="F259" s="1959">
        <f>ROUND(1747*F269,2)</f>
        <v>1747</v>
      </c>
      <c r="G259" s="1290" t="s">
        <v>2835</v>
      </c>
      <c r="H259" s="1291">
        <f>VLOOKUP(G259,'CP FACTORS'!$A$26:$B$38,2,FALSE)</f>
        <v>1.379439E-4</v>
      </c>
      <c r="I259" s="1309">
        <f>ROUND(H259*F259,6)</f>
        <v>0.24098800000000001</v>
      </c>
      <c r="J259" s="3477">
        <v>10</v>
      </c>
      <c r="K259" s="1329">
        <f>200*F269+46</f>
        <v>246</v>
      </c>
      <c r="L259" s="1292" t="s">
        <v>185</v>
      </c>
      <c r="M259" s="3478"/>
      <c r="N259" s="3478"/>
      <c r="O259" s="3478"/>
      <c r="P259" s="1965"/>
      <c r="Q259" s="1965"/>
      <c r="R259" s="1965"/>
      <c r="S259" s="1965"/>
      <c r="T259" s="1965"/>
      <c r="U259" s="1965"/>
      <c r="V259" s="3226" t="s">
        <v>31</v>
      </c>
      <c r="W259" s="1947">
        <v>1747</v>
      </c>
      <c r="X259" s="1947">
        <v>1747</v>
      </c>
      <c r="Y259" s="129">
        <v>1747</v>
      </c>
      <c r="Z259" s="129">
        <v>1747</v>
      </c>
      <c r="AA259" s="129">
        <v>1747</v>
      </c>
      <c r="AB259" s="2002">
        <v>1747</v>
      </c>
      <c r="AC259" s="3364">
        <v>1747</v>
      </c>
      <c r="AD259" s="2099"/>
      <c r="AE259" s="2099"/>
      <c r="AF259" s="2099"/>
      <c r="AG259" s="2099"/>
      <c r="AH259" s="2100"/>
      <c r="AI259" s="3227" t="s">
        <v>181</v>
      </c>
      <c r="AJ259" s="2105">
        <v>15</v>
      </c>
      <c r="AK259" s="2105">
        <v>15</v>
      </c>
      <c r="AL259" s="2105">
        <v>15</v>
      </c>
      <c r="AM259" s="2105">
        <v>15</v>
      </c>
      <c r="AN259" s="2105">
        <v>15</v>
      </c>
      <c r="AO259" s="2091">
        <v>15</v>
      </c>
      <c r="AP259" s="2098">
        <v>10</v>
      </c>
      <c r="AQ259" s="2099"/>
      <c r="AR259" s="2099"/>
      <c r="AS259" s="2099"/>
      <c r="AT259" s="1933"/>
      <c r="AU259" s="3227" t="s">
        <v>170</v>
      </c>
      <c r="AV259" s="2102">
        <v>246</v>
      </c>
      <c r="AW259" s="2102">
        <v>246</v>
      </c>
      <c r="AX259" s="2102">
        <v>246</v>
      </c>
      <c r="AY259" s="2102">
        <v>246</v>
      </c>
      <c r="AZ259" s="2102">
        <v>246</v>
      </c>
      <c r="BA259" s="2390">
        <v>246</v>
      </c>
      <c r="BB259" s="2390">
        <v>246</v>
      </c>
      <c r="BC259" s="2099"/>
      <c r="BD259" s="2099"/>
      <c r="BE259" s="2099"/>
      <c r="BF259" s="1933"/>
      <c r="BG259" s="1933"/>
      <c r="BH259" s="1933"/>
      <c r="BI259" s="1933"/>
      <c r="BJ259" s="1933"/>
      <c r="BK259" s="1933"/>
      <c r="BL259" s="1933"/>
      <c r="BM259" s="1933"/>
      <c r="BN259" s="1933"/>
      <c r="BO259" s="1933"/>
      <c r="BP259" s="1933"/>
      <c r="BQ259" s="1933"/>
      <c r="BR259" s="1933"/>
      <c r="BS259" s="1933"/>
      <c r="BT259" s="1931"/>
      <c r="BU259" s="1931"/>
      <c r="BV259" s="1931"/>
      <c r="BW259" s="1931"/>
      <c r="BX259" s="1931"/>
      <c r="BY259" s="1931"/>
      <c r="BZ259" s="1931"/>
      <c r="CA259" s="1931"/>
      <c r="CB259" s="1931"/>
      <c r="CC259" s="1931"/>
      <c r="CD259" s="1931"/>
      <c r="CE259" s="1930"/>
      <c r="CF259" s="1930"/>
      <c r="CG259" s="1930"/>
      <c r="CH259" s="1930"/>
      <c r="CI259" s="1931"/>
      <c r="CJ259" s="1931"/>
      <c r="CK259" s="1931"/>
      <c r="CL259" s="1931"/>
      <c r="CM259" s="1931"/>
      <c r="CN259" s="1931"/>
      <c r="CO259" s="1931"/>
      <c r="CP259" s="1931"/>
      <c r="CQ259" s="1931"/>
      <c r="CR259" s="1931"/>
      <c r="CS259" s="1931"/>
      <c r="CT259" s="1930"/>
      <c r="CU259" s="1930"/>
      <c r="CV259" s="1930"/>
      <c r="CW259" s="1930"/>
      <c r="CX259" s="1931"/>
      <c r="CY259" s="1931"/>
      <c r="CZ259" s="1931"/>
      <c r="DA259" s="1931"/>
      <c r="DB259" s="1954">
        <f>(DD259)/(DE259)</f>
        <v>2.7488935804935717</v>
      </c>
      <c r="DC259" s="3166" t="str">
        <f>CONCATENATE(G259," ",J259," Year EUL")</f>
        <v>Motors BUS 10 Year EUL</v>
      </c>
      <c r="DD259" s="1955">
        <f>(INDEX('Avoided Cost Benefits'!$C$4:$C$857,MATCH(DC259,'Avoided Cost Benefits'!$A$4:$A$857,0)))*F259</f>
        <v>638.2518365280024</v>
      </c>
      <c r="DE259" s="1956">
        <f>K259/(1.0595^(2020-2019))</f>
        <v>232.18499292118921</v>
      </c>
      <c r="DF259" s="1931"/>
    </row>
    <row r="260" spans="2:110" hidden="1" outlineLevel="1" x14ac:dyDescent="0.25">
      <c r="B260" s="1931"/>
      <c r="D260" s="1966"/>
      <c r="E260" s="1966"/>
      <c r="F260" s="1966"/>
      <c r="G260" s="1966"/>
      <c r="H260" s="1299"/>
      <c r="I260" s="1966"/>
      <c r="J260" s="1966"/>
      <c r="K260" s="1966"/>
      <c r="L260" s="1965"/>
      <c r="M260" s="3478"/>
      <c r="N260" s="3478"/>
      <c r="O260" s="3478"/>
      <c r="P260" s="1965"/>
      <c r="Q260" s="1965"/>
      <c r="R260" s="1965"/>
      <c r="S260" s="1965"/>
      <c r="T260" s="1965"/>
      <c r="U260" s="1965"/>
      <c r="V260" s="1931"/>
      <c r="W260" s="1931"/>
      <c r="X260" s="1931"/>
      <c r="Y260" s="1933"/>
      <c r="Z260" s="1933"/>
      <c r="AA260" s="1933"/>
      <c r="AB260" s="1933"/>
      <c r="AC260" s="1933"/>
      <c r="AD260" s="1933"/>
      <c r="AE260" s="1933"/>
      <c r="AF260" s="1933"/>
      <c r="AG260" s="1933"/>
      <c r="AH260" s="1933"/>
      <c r="AI260" s="1933"/>
      <c r="AJ260" s="1933"/>
      <c r="AK260" s="1933"/>
      <c r="AL260" s="1933"/>
      <c r="AM260" s="1933"/>
      <c r="AN260" s="1933"/>
      <c r="AO260" s="1933"/>
      <c r="AP260" s="1933"/>
      <c r="AQ260" s="1933"/>
      <c r="AR260" s="1933"/>
      <c r="AS260" s="1933"/>
      <c r="AT260" s="1933"/>
      <c r="AU260" s="1933"/>
      <c r="AV260" s="1933"/>
      <c r="AW260" s="1933"/>
      <c r="AX260" s="1933"/>
      <c r="AY260" s="1933"/>
      <c r="AZ260" s="1933"/>
      <c r="BA260" s="1933"/>
      <c r="BB260" s="1933"/>
      <c r="BC260" s="1933"/>
      <c r="BD260" s="1933"/>
      <c r="BE260" s="1933"/>
      <c r="BF260" s="1933"/>
      <c r="BG260" s="1933"/>
      <c r="BH260" s="1933"/>
      <c r="BI260" s="1933"/>
      <c r="BJ260" s="1933"/>
      <c r="BK260" s="1933"/>
      <c r="BL260" s="1933"/>
      <c r="BM260" s="1933"/>
      <c r="BN260" s="1933"/>
      <c r="BO260" s="1933"/>
      <c r="BP260" s="1933"/>
      <c r="BQ260" s="1933"/>
      <c r="BR260" s="1933"/>
      <c r="BS260" s="1933"/>
      <c r="BT260" s="1931"/>
      <c r="BU260" s="1931"/>
      <c r="BV260" s="1931"/>
      <c r="BW260" s="1931"/>
      <c r="BX260" s="1931"/>
      <c r="BY260" s="1931"/>
      <c r="BZ260" s="1931"/>
      <c r="CA260" s="1931"/>
      <c r="CB260" s="1931"/>
      <c r="CC260" s="1931"/>
      <c r="CD260" s="1931"/>
      <c r="CE260" s="1930"/>
      <c r="CF260" s="1930"/>
      <c r="CG260" s="1930"/>
      <c r="CH260" s="1930"/>
      <c r="CI260" s="1931"/>
      <c r="CJ260" s="1931"/>
      <c r="CK260" s="1931"/>
      <c r="CL260" s="1931"/>
      <c r="CM260" s="1931"/>
      <c r="CN260" s="1931"/>
      <c r="CO260" s="1931"/>
      <c r="CP260" s="1931"/>
      <c r="CQ260" s="1931"/>
      <c r="CR260" s="1931"/>
      <c r="CS260" s="1931"/>
      <c r="CT260" s="1930"/>
      <c r="CU260" s="1930"/>
      <c r="CV260" s="1930"/>
      <c r="CW260" s="1930"/>
      <c r="CX260" s="1931"/>
      <c r="CY260" s="1931"/>
      <c r="CZ260" s="1931"/>
      <c r="DA260" s="1931"/>
      <c r="DB260" s="1932"/>
      <c r="DC260" s="1931"/>
      <c r="DD260" s="1931"/>
      <c r="DE260" s="1931"/>
      <c r="DF260" s="1931"/>
    </row>
    <row r="261" spans="2:110" hidden="1" outlineLevel="1" x14ac:dyDescent="0.25">
      <c r="B261" s="1931"/>
      <c r="D261" s="1966" t="s">
        <v>2689</v>
      </c>
      <c r="E261" s="1966"/>
      <c r="F261" s="1966"/>
      <c r="G261" s="1966"/>
      <c r="H261" s="1299"/>
      <c r="I261" s="1966"/>
      <c r="J261" s="1966"/>
      <c r="K261" s="1966"/>
      <c r="L261" s="1965"/>
      <c r="M261" s="3478"/>
      <c r="N261" s="3478"/>
      <c r="O261" s="3478"/>
      <c r="P261" s="1965"/>
      <c r="Q261" s="1965"/>
      <c r="R261" s="1965"/>
      <c r="S261" s="1965"/>
      <c r="T261" s="1965"/>
      <c r="U261" s="1965"/>
      <c r="V261" s="1931"/>
      <c r="W261" s="1931"/>
      <c r="X261" s="1931"/>
      <c r="Y261" s="1933"/>
      <c r="Z261" s="1933"/>
      <c r="AA261" s="1933"/>
      <c r="AB261" s="1933"/>
      <c r="AC261" s="1933"/>
      <c r="AD261" s="1933"/>
      <c r="AE261" s="1933"/>
      <c r="AF261" s="1933"/>
      <c r="AG261" s="1933"/>
      <c r="AH261" s="1933"/>
      <c r="AI261" s="1933"/>
      <c r="AJ261" s="1933"/>
      <c r="AK261" s="1933"/>
      <c r="AL261" s="1933"/>
      <c r="AM261" s="1933"/>
      <c r="AN261" s="1933"/>
      <c r="AO261" s="1933"/>
      <c r="AP261" s="1933"/>
      <c r="AQ261" s="1933"/>
      <c r="AR261" s="1933"/>
      <c r="AS261" s="1933"/>
      <c r="AT261" s="1933"/>
      <c r="AU261" s="1933"/>
      <c r="AV261" s="1933"/>
      <c r="AW261" s="1933"/>
      <c r="AX261" s="1933"/>
      <c r="AY261" s="1933"/>
      <c r="AZ261" s="1933"/>
      <c r="BA261" s="1933"/>
      <c r="BB261" s="1933"/>
      <c r="BC261" s="1933"/>
      <c r="BD261" s="1933"/>
      <c r="BE261" s="1933"/>
      <c r="BF261" s="1933"/>
      <c r="BG261" s="1933"/>
      <c r="BH261" s="1933"/>
      <c r="BI261" s="1933"/>
      <c r="BJ261" s="1933"/>
      <c r="BK261" s="1933"/>
      <c r="BL261" s="1933"/>
      <c r="BM261" s="1933"/>
      <c r="BN261" s="1933"/>
      <c r="BO261" s="1933"/>
      <c r="BP261" s="1933"/>
      <c r="BQ261" s="1933"/>
      <c r="BR261" s="1933"/>
      <c r="BS261" s="1933"/>
      <c r="BT261" s="1931"/>
      <c r="BU261" s="1931"/>
      <c r="BV261" s="1931"/>
      <c r="BW261" s="1931"/>
      <c r="BX261" s="1931"/>
      <c r="BY261" s="1931"/>
      <c r="BZ261" s="1931"/>
      <c r="CA261" s="1931"/>
      <c r="CB261" s="1931"/>
      <c r="CC261" s="1931"/>
      <c r="CD261" s="1931"/>
      <c r="CE261" s="1930"/>
      <c r="CF261" s="1930"/>
      <c r="CG261" s="1930"/>
      <c r="CH261" s="1930"/>
      <c r="CI261" s="1931"/>
      <c r="CJ261" s="1931"/>
      <c r="CK261" s="1931"/>
      <c r="CL261" s="1931"/>
      <c r="CM261" s="1931"/>
      <c r="CN261" s="1931"/>
      <c r="CO261" s="1931"/>
      <c r="CP261" s="1931"/>
      <c r="CQ261" s="1931"/>
      <c r="CR261" s="1931"/>
      <c r="CS261" s="1931"/>
      <c r="CT261" s="1930"/>
      <c r="CU261" s="1930"/>
      <c r="CV261" s="1930"/>
      <c r="CW261" s="1930"/>
      <c r="CX261" s="1931"/>
      <c r="CY261" s="1931"/>
      <c r="CZ261" s="1931"/>
      <c r="DA261" s="1931"/>
      <c r="DB261" s="1932"/>
      <c r="DC261" s="1931"/>
      <c r="DD261" s="1931"/>
      <c r="DE261" s="1931"/>
      <c r="DF261" s="1931"/>
    </row>
    <row r="262" spans="2:110" hidden="1" outlineLevel="1" x14ac:dyDescent="0.25">
      <c r="B262" s="1931"/>
      <c r="D262" s="1300"/>
      <c r="E262" s="1965"/>
      <c r="F262" s="1965"/>
      <c r="G262" s="1321"/>
      <c r="H262" s="1322"/>
      <c r="I262" s="1965"/>
      <c r="J262" s="1965"/>
      <c r="K262" s="1965"/>
      <c r="L262" s="1965"/>
      <c r="M262" s="3478"/>
      <c r="N262" s="3478"/>
      <c r="O262" s="3478"/>
      <c r="P262" s="1965"/>
      <c r="Q262" s="1965"/>
      <c r="R262" s="1965"/>
      <c r="S262" s="1965"/>
      <c r="T262" s="1965"/>
      <c r="U262" s="1965"/>
      <c r="V262" s="1931"/>
      <c r="W262" s="1931"/>
      <c r="X262" s="1931"/>
      <c r="Y262" s="1931"/>
      <c r="Z262" s="1931"/>
      <c r="AA262" s="1931"/>
      <c r="AB262" s="1931"/>
      <c r="AC262" s="1931"/>
      <c r="AD262" s="1931"/>
      <c r="AE262" s="1931"/>
      <c r="AF262" s="1931"/>
      <c r="AG262" s="1931"/>
      <c r="AH262" s="1931"/>
      <c r="AI262" s="1931"/>
      <c r="AJ262" s="1931"/>
      <c r="AK262" s="1931"/>
      <c r="AL262" s="1931"/>
      <c r="AM262" s="1931"/>
      <c r="AN262" s="1931"/>
      <c r="AO262" s="1931"/>
      <c r="AP262" s="1931"/>
      <c r="AQ262" s="1931"/>
      <c r="AR262" s="1931"/>
      <c r="AS262" s="1931"/>
      <c r="AT262" s="1931"/>
      <c r="AU262" s="1931"/>
      <c r="AV262" s="1931"/>
      <c r="AW262" s="1931"/>
      <c r="AX262" s="1931"/>
      <c r="AY262" s="1931"/>
      <c r="AZ262" s="1931"/>
      <c r="BA262" s="1931"/>
      <c r="BB262" s="1931"/>
      <c r="BC262" s="1931"/>
      <c r="BD262" s="1931"/>
      <c r="BE262" s="1931"/>
      <c r="BF262" s="1931"/>
      <c r="BG262" s="1931"/>
      <c r="BH262" s="1931"/>
      <c r="BI262" s="1931"/>
      <c r="BJ262" s="1931"/>
      <c r="BK262" s="1931"/>
      <c r="BL262" s="1931"/>
      <c r="BM262" s="1931"/>
      <c r="BN262" s="1931"/>
      <c r="BO262" s="1931"/>
      <c r="BP262" s="1931"/>
      <c r="BQ262" s="1931"/>
      <c r="BR262" s="1931"/>
      <c r="BS262" s="1931"/>
      <c r="BT262" s="1931"/>
      <c r="BU262" s="1931"/>
      <c r="BV262" s="1931"/>
      <c r="BW262" s="1931"/>
      <c r="BX262" s="1931"/>
      <c r="BY262" s="1931"/>
      <c r="BZ262" s="1931"/>
      <c r="CA262" s="1931"/>
      <c r="CB262" s="1931"/>
      <c r="CC262" s="1931"/>
      <c r="CD262" s="1931"/>
      <c r="CE262" s="1930"/>
      <c r="CF262" s="1930"/>
      <c r="CG262" s="1930"/>
      <c r="CH262" s="1930"/>
      <c r="CI262" s="1931"/>
      <c r="CJ262" s="1931"/>
      <c r="CK262" s="1931"/>
      <c r="CL262" s="1931"/>
      <c r="CM262" s="1931"/>
      <c r="CN262" s="1931"/>
      <c r="CO262" s="1931"/>
      <c r="CP262" s="1931"/>
      <c r="CQ262" s="1931"/>
      <c r="CR262" s="1931"/>
      <c r="CS262" s="1931"/>
      <c r="CT262" s="1930"/>
      <c r="CU262" s="1930"/>
      <c r="CV262" s="1930"/>
      <c r="CW262" s="1930"/>
      <c r="CX262" s="1931"/>
      <c r="CY262" s="1931"/>
      <c r="CZ262" s="1931"/>
      <c r="DA262" s="1931"/>
      <c r="DB262" s="1932"/>
      <c r="DC262" s="1931"/>
      <c r="DD262" s="1931"/>
      <c r="DE262" s="1931"/>
      <c r="DF262" s="1931"/>
    </row>
    <row r="263" spans="2:110" hidden="1" outlineLevel="1" x14ac:dyDescent="0.25">
      <c r="B263" s="1931"/>
      <c r="D263" s="1300"/>
      <c r="E263" s="1965"/>
      <c r="F263" s="1965"/>
      <c r="G263" s="1321"/>
      <c r="H263" s="1322"/>
      <c r="I263" s="1965"/>
      <c r="J263" s="1965"/>
      <c r="K263" s="1965"/>
      <c r="L263" s="1965"/>
      <c r="M263" s="3478"/>
      <c r="N263" s="3478"/>
      <c r="O263" s="3478"/>
      <c r="P263" s="1965"/>
      <c r="Q263" s="1965"/>
      <c r="R263" s="1965"/>
      <c r="S263" s="1965"/>
      <c r="T263" s="1965"/>
      <c r="U263" s="1965"/>
      <c r="V263" s="1931"/>
      <c r="W263" s="1931"/>
      <c r="X263" s="1931"/>
      <c r="Y263" s="1931"/>
      <c r="Z263" s="1931"/>
      <c r="AA263" s="1931"/>
      <c r="AB263" s="1931"/>
      <c r="AC263" s="1931"/>
      <c r="AD263" s="1931"/>
      <c r="AE263" s="1931"/>
      <c r="AF263" s="1931"/>
      <c r="AG263" s="1931"/>
      <c r="AH263" s="1931"/>
      <c r="AI263" s="1931"/>
      <c r="AJ263" s="1931"/>
      <c r="AK263" s="1931"/>
      <c r="AL263" s="1931"/>
      <c r="AM263" s="1931"/>
      <c r="AN263" s="1931"/>
      <c r="AO263" s="1931"/>
      <c r="AP263" s="1931"/>
      <c r="AQ263" s="1931"/>
      <c r="AR263" s="1931"/>
      <c r="AS263" s="1931"/>
      <c r="AT263" s="1931"/>
      <c r="AU263" s="1931"/>
      <c r="AV263" s="1931"/>
      <c r="AW263" s="1931"/>
      <c r="AX263" s="1931"/>
      <c r="AY263" s="1931"/>
      <c r="AZ263" s="1931"/>
      <c r="BA263" s="1931"/>
      <c r="BB263" s="1931"/>
      <c r="BC263" s="1931"/>
      <c r="BD263" s="1931"/>
      <c r="BE263" s="1931"/>
      <c r="BF263" s="1931"/>
      <c r="BG263" s="1931"/>
      <c r="BH263" s="1931"/>
      <c r="BI263" s="1931"/>
      <c r="BJ263" s="1931"/>
      <c r="BK263" s="1931"/>
      <c r="BL263" s="1931"/>
      <c r="BM263" s="1931"/>
      <c r="BN263" s="1931"/>
      <c r="BO263" s="1931"/>
      <c r="BP263" s="1931"/>
      <c r="BQ263" s="1931"/>
      <c r="BR263" s="1931"/>
      <c r="BS263" s="1931"/>
      <c r="BT263" s="1931"/>
      <c r="BU263" s="1931"/>
      <c r="BV263" s="1931"/>
      <c r="BW263" s="1931"/>
      <c r="BX263" s="1931"/>
      <c r="BY263" s="1931"/>
      <c r="BZ263" s="1931"/>
      <c r="CA263" s="1931"/>
      <c r="CB263" s="1931"/>
      <c r="CC263" s="1931"/>
      <c r="CD263" s="1931"/>
      <c r="CE263" s="1930"/>
      <c r="CF263" s="1930"/>
      <c r="CG263" s="1930"/>
      <c r="CH263" s="1930"/>
      <c r="CI263" s="1931"/>
      <c r="CJ263" s="1931"/>
      <c r="CK263" s="1931"/>
      <c r="CL263" s="1931"/>
      <c r="CM263" s="1931"/>
      <c r="CN263" s="1931"/>
      <c r="CO263" s="1931"/>
      <c r="CP263" s="1931"/>
      <c r="CQ263" s="1931"/>
      <c r="CR263" s="1931"/>
      <c r="CS263" s="1931"/>
      <c r="CT263" s="1930"/>
      <c r="CU263" s="1930"/>
      <c r="CV263" s="1930"/>
      <c r="CW263" s="1930"/>
      <c r="CX263" s="1931"/>
      <c r="CY263" s="1931"/>
      <c r="CZ263" s="1931"/>
      <c r="DA263" s="1931"/>
      <c r="DB263" s="1932"/>
      <c r="DC263" s="1931"/>
      <c r="DD263" s="1931"/>
      <c r="DE263" s="1931"/>
      <c r="DF263" s="1931"/>
    </row>
    <row r="264" spans="2:110" hidden="1" outlineLevel="1" x14ac:dyDescent="0.25">
      <c r="B264" s="1931"/>
      <c r="D264" s="1300"/>
      <c r="E264" s="1965"/>
      <c r="F264" s="1965"/>
      <c r="G264" s="1965"/>
      <c r="H264" s="1301"/>
      <c r="I264" s="1965"/>
      <c r="J264" s="1965"/>
      <c r="K264" s="1965"/>
      <c r="L264" s="1965"/>
      <c r="M264" s="1966"/>
      <c r="N264" s="1965"/>
      <c r="O264" s="1965"/>
      <c r="P264" s="1965"/>
      <c r="Q264" s="1965"/>
      <c r="R264" s="1965"/>
      <c r="S264" s="1965"/>
      <c r="T264" s="1965"/>
      <c r="U264" s="1965"/>
      <c r="V264" s="1931"/>
      <c r="W264" s="1931"/>
      <c r="X264" s="1931"/>
      <c r="Y264" s="1931"/>
      <c r="Z264" s="1931"/>
      <c r="AA264" s="1931"/>
      <c r="AB264" s="1931"/>
      <c r="AC264" s="1931"/>
      <c r="AD264" s="1931"/>
      <c r="AE264" s="1931"/>
      <c r="AF264" s="1931"/>
      <c r="AG264" s="1931"/>
      <c r="AH264" s="1931"/>
      <c r="AI264" s="1931"/>
      <c r="AJ264" s="1931"/>
      <c r="AK264" s="1931"/>
      <c r="AL264" s="1931"/>
      <c r="AM264" s="1931"/>
      <c r="AN264" s="1931"/>
      <c r="AO264" s="1931"/>
      <c r="AP264" s="1931"/>
      <c r="AQ264" s="1931"/>
      <c r="AR264" s="1931"/>
      <c r="AS264" s="1931"/>
      <c r="AT264" s="1931"/>
      <c r="AU264" s="1931"/>
      <c r="AV264" s="1931"/>
      <c r="AW264" s="1931"/>
      <c r="AX264" s="1931"/>
      <c r="AY264" s="1931"/>
      <c r="AZ264" s="1931"/>
      <c r="BA264" s="1931"/>
      <c r="BB264" s="1931"/>
      <c r="BC264" s="1931"/>
      <c r="BD264" s="1931"/>
      <c r="BE264" s="1931"/>
      <c r="BF264" s="1931"/>
      <c r="BG264" s="1931"/>
      <c r="BH264" s="1931"/>
      <c r="BI264" s="1931"/>
      <c r="BJ264" s="1931"/>
      <c r="BK264" s="1931"/>
      <c r="BL264" s="1931"/>
      <c r="BM264" s="1931"/>
      <c r="BN264" s="1931"/>
      <c r="BO264" s="1931"/>
      <c r="BP264" s="1931"/>
      <c r="BQ264" s="1931"/>
      <c r="BR264" s="1931"/>
      <c r="BS264" s="1931"/>
      <c r="BT264" s="1931"/>
      <c r="BU264" s="1931"/>
      <c r="BV264" s="1931"/>
      <c r="BW264" s="1931"/>
      <c r="BX264" s="1931"/>
      <c r="BY264" s="1931"/>
      <c r="BZ264" s="1931"/>
      <c r="CA264" s="1931"/>
      <c r="CB264" s="1931"/>
      <c r="CC264" s="1931"/>
      <c r="CD264" s="1931"/>
      <c r="CE264" s="1930"/>
      <c r="CF264" s="1930"/>
      <c r="CG264" s="1930"/>
      <c r="CH264" s="1930"/>
      <c r="CI264" s="1931"/>
      <c r="CJ264" s="1931"/>
      <c r="CK264" s="1931"/>
      <c r="CL264" s="1931"/>
      <c r="CM264" s="1931"/>
      <c r="CN264" s="1931"/>
      <c r="CO264" s="1931"/>
      <c r="CP264" s="1931"/>
      <c r="CQ264" s="1931"/>
      <c r="CR264" s="1931"/>
      <c r="CS264" s="1931"/>
      <c r="CT264" s="1930"/>
      <c r="CU264" s="1930"/>
      <c r="CV264" s="1930"/>
      <c r="CW264" s="1930"/>
      <c r="CX264" s="1931"/>
      <c r="CY264" s="1931"/>
      <c r="CZ264" s="1931"/>
      <c r="DA264" s="1931"/>
      <c r="DB264" s="1932"/>
      <c r="DC264" s="1931"/>
      <c r="DD264" s="1931"/>
      <c r="DE264" s="1931"/>
    </row>
    <row r="265" spans="2:110" hidden="1" outlineLevel="1" x14ac:dyDescent="0.25">
      <c r="B265" s="1931"/>
      <c r="D265" s="1300"/>
      <c r="E265" s="1965"/>
      <c r="F265" s="1965"/>
      <c r="G265" s="1965"/>
      <c r="H265" s="1301"/>
      <c r="I265" s="1965"/>
      <c r="J265" s="1965"/>
      <c r="K265" s="1965"/>
      <c r="L265" s="1965"/>
      <c r="M265" s="1966"/>
      <c r="N265" s="1965"/>
      <c r="O265" s="1965"/>
      <c r="P265" s="1965"/>
      <c r="Q265" s="1965"/>
      <c r="R265" s="1965"/>
      <c r="S265" s="1965"/>
      <c r="T265" s="1965"/>
      <c r="U265" s="1965"/>
      <c r="V265" s="1931"/>
      <c r="W265" s="1931"/>
      <c r="X265" s="1931"/>
      <c r="Y265" s="1931"/>
      <c r="Z265" s="1931"/>
      <c r="AA265" s="1931"/>
      <c r="AB265" s="1931"/>
      <c r="AC265" s="1931"/>
      <c r="AD265" s="1931"/>
      <c r="AE265" s="1931"/>
      <c r="AF265" s="1931"/>
      <c r="AG265" s="1931"/>
      <c r="AH265" s="1931"/>
      <c r="AI265" s="1931"/>
      <c r="AJ265" s="1931"/>
      <c r="AK265" s="1931"/>
      <c r="AL265" s="1931"/>
      <c r="AM265" s="1931"/>
      <c r="AN265" s="1931"/>
      <c r="AO265" s="1931"/>
      <c r="AP265" s="1931"/>
      <c r="AQ265" s="1931"/>
      <c r="AR265" s="1931"/>
      <c r="AS265" s="1931"/>
      <c r="AT265" s="1931"/>
      <c r="AU265" s="1931"/>
      <c r="AV265" s="1931"/>
      <c r="AW265" s="1931"/>
      <c r="AX265" s="1931"/>
      <c r="AY265" s="1931"/>
      <c r="AZ265" s="1931"/>
      <c r="BA265" s="1931"/>
      <c r="BB265" s="1931"/>
      <c r="BC265" s="1931"/>
      <c r="BD265" s="1931"/>
      <c r="BE265" s="1931"/>
      <c r="BF265" s="1931"/>
      <c r="BG265" s="1931"/>
      <c r="BH265" s="1931"/>
      <c r="BI265" s="1931"/>
      <c r="BJ265" s="1931"/>
      <c r="BK265" s="1931"/>
      <c r="BL265" s="1931"/>
      <c r="BM265" s="1931"/>
      <c r="BN265" s="1931"/>
      <c r="BO265" s="1931"/>
      <c r="BP265" s="1931"/>
      <c r="BQ265" s="1931"/>
      <c r="BR265" s="1931"/>
      <c r="BS265" s="1931"/>
      <c r="BT265" s="1931"/>
      <c r="BU265" s="1931"/>
      <c r="BV265" s="1931"/>
      <c r="BW265" s="1931"/>
      <c r="BX265" s="1931"/>
      <c r="BY265" s="1931"/>
      <c r="BZ265" s="1931"/>
      <c r="CA265" s="1931"/>
      <c r="CB265" s="1931"/>
      <c r="CC265" s="1931"/>
      <c r="CD265" s="1931"/>
      <c r="CE265" s="1930"/>
      <c r="CF265" s="1930"/>
      <c r="CG265" s="1930"/>
      <c r="CH265" s="1930"/>
      <c r="CI265" s="1931"/>
      <c r="CJ265" s="1931"/>
      <c r="CK265" s="1931"/>
      <c r="CL265" s="1931"/>
      <c r="CM265" s="1931"/>
      <c r="CN265" s="1931"/>
      <c r="CO265" s="1931"/>
      <c r="CP265" s="1931"/>
      <c r="CQ265" s="1931"/>
      <c r="CR265" s="1931"/>
      <c r="CS265" s="1931"/>
      <c r="CT265" s="1930"/>
      <c r="CU265" s="1930"/>
      <c r="CV265" s="1930"/>
      <c r="CW265" s="1930"/>
      <c r="CX265" s="1931"/>
      <c r="CY265" s="1931"/>
      <c r="CZ265" s="1931"/>
      <c r="DA265" s="1931"/>
      <c r="DB265" s="1932"/>
      <c r="DC265" s="1931"/>
      <c r="DD265" s="1931"/>
      <c r="DE265" s="1931"/>
    </row>
    <row r="266" spans="2:110" hidden="1" outlineLevel="1" x14ac:dyDescent="0.25">
      <c r="B266" s="1931"/>
      <c r="D266" s="1300"/>
      <c r="E266" s="1965"/>
      <c r="F266" s="1965"/>
      <c r="G266" s="1965"/>
      <c r="H266" s="1301"/>
      <c r="I266" s="1965"/>
      <c r="J266" s="1965"/>
      <c r="K266" s="1965"/>
      <c r="L266" s="1965"/>
      <c r="M266" s="1966"/>
      <c r="N266" s="1965"/>
      <c r="O266" s="1965"/>
      <c r="P266" s="1965"/>
      <c r="Q266" s="1965"/>
      <c r="R266" s="1965"/>
      <c r="S266" s="1965"/>
      <c r="T266" s="1965"/>
      <c r="U266" s="1965"/>
      <c r="V266" s="1931"/>
      <c r="W266" s="1931"/>
      <c r="X266" s="1931"/>
      <c r="Y266" s="1931"/>
      <c r="Z266" s="1931"/>
      <c r="AA266" s="1931"/>
      <c r="AB266" s="1931"/>
      <c r="AC266" s="1931"/>
      <c r="AD266" s="1931"/>
      <c r="AE266" s="1931"/>
      <c r="AF266" s="1931"/>
      <c r="AG266" s="1931"/>
      <c r="AH266" s="1931"/>
      <c r="AI266" s="1931"/>
      <c r="AJ266" s="1931"/>
      <c r="AK266" s="1931"/>
      <c r="AL266" s="1931"/>
      <c r="AM266" s="1931"/>
      <c r="AN266" s="1931"/>
      <c r="AO266" s="1931"/>
      <c r="AP266" s="1931"/>
      <c r="AQ266" s="1931"/>
      <c r="AR266" s="1931"/>
      <c r="AS266" s="1931"/>
      <c r="AT266" s="1931"/>
      <c r="AU266" s="1931"/>
      <c r="AV266" s="1931"/>
      <c r="AW266" s="1931"/>
      <c r="AX266" s="1931"/>
      <c r="AY266" s="1931"/>
      <c r="AZ266" s="1931"/>
      <c r="BA266" s="1931"/>
      <c r="BB266" s="1931"/>
      <c r="BC266" s="1931"/>
      <c r="BD266" s="1931"/>
      <c r="BE266" s="1931"/>
      <c r="BF266" s="1931"/>
      <c r="BG266" s="1931"/>
      <c r="BH266" s="1931"/>
      <c r="BI266" s="1931"/>
      <c r="BJ266" s="1931"/>
      <c r="BK266" s="1931"/>
      <c r="BL266" s="1931"/>
      <c r="BM266" s="1931"/>
      <c r="BN266" s="1931"/>
      <c r="BO266" s="1931"/>
      <c r="BP266" s="1931"/>
      <c r="BQ266" s="1931"/>
      <c r="BR266" s="1931"/>
      <c r="BS266" s="1931"/>
      <c r="BT266" s="1931"/>
      <c r="BU266" s="1931"/>
      <c r="BV266" s="1931"/>
      <c r="BW266" s="1931"/>
      <c r="BX266" s="1931"/>
      <c r="BY266" s="1931"/>
      <c r="BZ266" s="1931"/>
      <c r="CA266" s="1931"/>
      <c r="CB266" s="1931"/>
      <c r="CC266" s="1931"/>
      <c r="CD266" s="1931"/>
      <c r="CE266" s="1930"/>
      <c r="CF266" s="1930"/>
      <c r="CG266" s="1930"/>
      <c r="CH266" s="1930"/>
      <c r="CI266" s="1931"/>
      <c r="CJ266" s="1931"/>
      <c r="CK266" s="1931"/>
      <c r="CL266" s="1931"/>
      <c r="CM266" s="1931"/>
      <c r="CN266" s="1931"/>
      <c r="CO266" s="1931"/>
      <c r="CP266" s="1931"/>
      <c r="CQ266" s="1931"/>
      <c r="CR266" s="1931"/>
      <c r="CS266" s="1931"/>
      <c r="CT266" s="1930"/>
      <c r="CU266" s="1930"/>
      <c r="CV266" s="1930"/>
      <c r="CW266" s="1930"/>
      <c r="CX266" s="1931"/>
      <c r="CY266" s="1931"/>
      <c r="CZ266" s="1931"/>
      <c r="DA266" s="1931"/>
      <c r="DB266" s="1932"/>
      <c r="DC266" s="1931"/>
      <c r="DD266" s="1931"/>
      <c r="DE266" s="1931"/>
    </row>
    <row r="267" spans="2:110" hidden="1" outlineLevel="1" x14ac:dyDescent="0.25">
      <c r="B267" s="1931"/>
      <c r="D267" s="1300"/>
      <c r="E267" s="1965"/>
      <c r="F267" s="1965"/>
      <c r="G267" s="1965"/>
      <c r="H267" s="1301"/>
      <c r="I267" s="1965"/>
      <c r="J267" s="1965"/>
      <c r="K267" s="1965"/>
      <c r="L267" s="1965"/>
      <c r="M267" s="1965"/>
      <c r="N267" s="1965"/>
      <c r="O267" s="1965"/>
      <c r="P267" s="1965"/>
      <c r="Q267" s="1965"/>
      <c r="R267" s="1965"/>
      <c r="S267" s="1965"/>
      <c r="T267" s="1965"/>
      <c r="U267" s="1965"/>
      <c r="V267" s="1931"/>
      <c r="W267" s="1931"/>
      <c r="X267" s="1931"/>
      <c r="Y267" s="1931"/>
      <c r="Z267" s="1931"/>
      <c r="AA267" s="1931"/>
      <c r="AB267" s="1931"/>
      <c r="AC267" s="1931"/>
      <c r="AD267" s="1931"/>
      <c r="AE267" s="1931"/>
      <c r="AF267" s="1931"/>
      <c r="AG267" s="1931"/>
      <c r="AH267" s="1931"/>
      <c r="AI267" s="1931"/>
      <c r="AJ267" s="1931"/>
      <c r="AK267" s="1931"/>
      <c r="AL267" s="1931"/>
      <c r="AM267" s="1931"/>
      <c r="AN267" s="1931"/>
      <c r="AO267" s="1931"/>
      <c r="AP267" s="1931"/>
      <c r="AQ267" s="1931"/>
      <c r="AR267" s="1931"/>
      <c r="AS267" s="1931"/>
      <c r="AT267" s="1931"/>
      <c r="AU267" s="1931"/>
      <c r="AV267" s="1931"/>
      <c r="AW267" s="1931"/>
      <c r="AX267" s="1931"/>
      <c r="AY267" s="1931"/>
      <c r="AZ267" s="1931"/>
      <c r="BA267" s="1931"/>
      <c r="BB267" s="1931"/>
      <c r="BC267" s="1931"/>
      <c r="BD267" s="1931"/>
      <c r="BE267" s="1931"/>
      <c r="BF267" s="1931"/>
      <c r="BG267" s="1931"/>
      <c r="BH267" s="1931"/>
      <c r="BI267" s="1931"/>
      <c r="BJ267" s="1931"/>
      <c r="BK267" s="1931"/>
      <c r="BL267" s="1931"/>
      <c r="BM267" s="1931"/>
      <c r="BN267" s="1931"/>
      <c r="BO267" s="1931"/>
      <c r="BP267" s="1931"/>
      <c r="BQ267" s="1931"/>
      <c r="BR267" s="1931"/>
      <c r="BS267" s="1931"/>
      <c r="BT267" s="1931"/>
      <c r="BU267" s="1931"/>
      <c r="BV267" s="1931"/>
      <c r="BW267" s="1931"/>
      <c r="BX267" s="1931"/>
      <c r="BY267" s="1931"/>
      <c r="BZ267" s="1931"/>
      <c r="CA267" s="1931"/>
      <c r="CB267" s="1931"/>
      <c r="CC267" s="1931"/>
      <c r="CD267" s="1931"/>
      <c r="CE267" s="1930"/>
      <c r="CF267" s="1930"/>
      <c r="CG267" s="1930"/>
      <c r="CH267" s="1930"/>
      <c r="CI267" s="1931"/>
      <c r="CJ267" s="1931"/>
      <c r="CK267" s="1931"/>
      <c r="CL267" s="1931"/>
      <c r="CM267" s="1931"/>
      <c r="CN267" s="1931"/>
      <c r="CO267" s="1931"/>
      <c r="CP267" s="1931"/>
      <c r="CQ267" s="1931"/>
      <c r="CR267" s="1931"/>
      <c r="CS267" s="1931"/>
      <c r="CT267" s="1930"/>
      <c r="CU267" s="1930"/>
      <c r="CV267" s="1930"/>
      <c r="CW267" s="1930"/>
      <c r="CX267" s="1931"/>
      <c r="CY267" s="1931"/>
      <c r="CZ267" s="1931"/>
      <c r="DA267" s="1931"/>
      <c r="DB267" s="1932"/>
      <c r="DC267" s="1931"/>
      <c r="DD267" s="1931"/>
      <c r="DE267" s="1931"/>
    </row>
    <row r="268" spans="2:110" s="55" customFormat="1" hidden="1" outlineLevel="1" x14ac:dyDescent="0.25">
      <c r="C268" s="151"/>
      <c r="D268" s="46" t="s">
        <v>28</v>
      </c>
      <c r="E268" s="3081" t="s">
        <v>2758</v>
      </c>
      <c r="F268" s="3081" t="s">
        <v>2836</v>
      </c>
      <c r="G268" s="401"/>
      <c r="H268" s="401"/>
      <c r="I268" s="151"/>
      <c r="J268" s="401"/>
      <c r="K268" s="401"/>
      <c r="L268" s="401"/>
      <c r="M268" s="401"/>
      <c r="N268" s="401"/>
      <c r="O268" s="401"/>
      <c r="P268" s="401"/>
      <c r="Q268" s="401"/>
      <c r="R268" s="401"/>
      <c r="S268" s="401"/>
      <c r="T268" s="401"/>
      <c r="U268" s="401"/>
      <c r="DB268" s="72"/>
    </row>
    <row r="269" spans="2:110" hidden="1" outlineLevel="1" x14ac:dyDescent="0.25">
      <c r="B269" s="1931"/>
      <c r="D269" s="1967" t="str">
        <f>C259</f>
        <v>802600_2019_12_</v>
      </c>
      <c r="E269" s="1967" t="str">
        <f>E259</f>
        <v>Pool Pump w/ Variable Frequency Drive</v>
      </c>
      <c r="F269" s="1353">
        <v>1</v>
      </c>
      <c r="G269" s="1968"/>
      <c r="H269" s="1965"/>
      <c r="I269" s="1965"/>
      <c r="J269" s="1965"/>
      <c r="K269" s="1965"/>
      <c r="L269" s="1965"/>
      <c r="M269" s="1965"/>
      <c r="N269" s="1965"/>
      <c r="O269" s="1965"/>
      <c r="P269" s="1965"/>
      <c r="Q269" s="1965"/>
      <c r="R269" s="1965"/>
      <c r="S269" s="1965"/>
      <c r="T269" s="1965"/>
      <c r="U269" s="1965"/>
      <c r="V269" s="1931"/>
      <c r="W269" s="1931"/>
      <c r="X269" s="1931"/>
      <c r="Y269" s="1931"/>
      <c r="Z269" s="1931"/>
      <c r="AA269" s="1931"/>
      <c r="AB269" s="1931"/>
      <c r="AC269" s="1931"/>
      <c r="AD269" s="1931"/>
      <c r="AE269" s="1931"/>
      <c r="AF269" s="1931"/>
      <c r="AG269" s="1931"/>
      <c r="AH269" s="1931"/>
      <c r="AI269" s="1931"/>
      <c r="AJ269" s="1931"/>
      <c r="AK269" s="1931"/>
      <c r="AL269" s="1931"/>
      <c r="AM269" s="1931"/>
      <c r="AN269" s="1931"/>
      <c r="AO269" s="1931"/>
      <c r="AP269" s="1931"/>
      <c r="AQ269" s="1931"/>
      <c r="AR269" s="1931"/>
      <c r="AS269" s="1931"/>
      <c r="AT269" s="1931"/>
      <c r="AU269" s="1931"/>
      <c r="AV269" s="1931"/>
      <c r="AW269" s="1931"/>
      <c r="AX269" s="1931"/>
      <c r="AY269" s="1931"/>
      <c r="AZ269" s="1931"/>
      <c r="BA269" s="1931"/>
      <c r="BB269" s="1931"/>
      <c r="BC269" s="1931"/>
      <c r="BD269" s="1931"/>
      <c r="BE269" s="1931"/>
      <c r="BF269" s="1931"/>
      <c r="BG269" s="1931"/>
      <c r="BH269" s="1931"/>
      <c r="BI269" s="1931"/>
      <c r="BJ269" s="1931"/>
      <c r="BK269" s="1931"/>
      <c r="BL269" s="1931"/>
      <c r="BM269" s="1931"/>
      <c r="BN269" s="1931"/>
      <c r="BO269" s="1931"/>
      <c r="BP269" s="1931"/>
      <c r="BQ269" s="1931"/>
      <c r="BR269" s="1931"/>
      <c r="BS269" s="1931"/>
      <c r="BT269" s="1931"/>
      <c r="BU269" s="1931"/>
      <c r="BV269" s="1931"/>
      <c r="BW269" s="1931"/>
      <c r="BX269" s="1931"/>
      <c r="BY269" s="1931"/>
      <c r="BZ269" s="1931"/>
      <c r="CA269" s="1931"/>
      <c r="CB269" s="1931"/>
      <c r="CC269" s="1931"/>
      <c r="CD269" s="1931"/>
      <c r="CE269" s="1930"/>
      <c r="CF269" s="1930"/>
      <c r="CG269" s="1930"/>
      <c r="CH269" s="1930"/>
      <c r="CI269" s="1931"/>
      <c r="CJ269" s="1931"/>
      <c r="CK269" s="1931"/>
      <c r="CL269" s="1931"/>
      <c r="CM269" s="1931"/>
      <c r="CN269" s="1931"/>
      <c r="CO269" s="1931"/>
      <c r="CP269" s="1931"/>
      <c r="CQ269" s="1931"/>
      <c r="CR269" s="1931"/>
      <c r="CS269" s="1931"/>
      <c r="CT269" s="1930"/>
      <c r="CU269" s="1930"/>
      <c r="CV269" s="1930"/>
      <c r="CW269" s="1930"/>
      <c r="CX269" s="1931"/>
      <c r="CY269" s="1931"/>
      <c r="CZ269" s="1931"/>
      <c r="DA269" s="1931"/>
      <c r="DB269" s="1932"/>
      <c r="DC269" s="1931"/>
      <c r="DD269" s="1931"/>
      <c r="DE269" s="1931"/>
    </row>
    <row r="270" spans="2:110" collapsed="1" x14ac:dyDescent="0.25">
      <c r="B270" s="1931"/>
      <c r="D270" s="1966"/>
      <c r="E270" s="1965"/>
      <c r="F270" s="1965"/>
      <c r="G270" s="1968"/>
      <c r="H270" s="1969"/>
      <c r="I270" s="1965"/>
      <c r="J270" s="1965"/>
      <c r="K270" s="1965"/>
      <c r="L270" s="1965"/>
      <c r="M270" s="1965"/>
      <c r="N270" s="1965"/>
      <c r="O270" s="1965"/>
      <c r="P270" s="1965"/>
      <c r="Q270" s="1965"/>
      <c r="R270" s="1965"/>
      <c r="S270" s="1965"/>
      <c r="T270" s="1965"/>
      <c r="U270" s="1965"/>
      <c r="V270" s="1931"/>
      <c r="W270" s="1931"/>
      <c r="X270" s="1931"/>
      <c r="Y270" s="1931"/>
      <c r="Z270" s="1931"/>
      <c r="AA270" s="1931"/>
      <c r="AB270" s="1931"/>
      <c r="AC270" s="1931"/>
      <c r="AD270" s="1931"/>
      <c r="AE270" s="1931"/>
      <c r="AF270" s="1931"/>
      <c r="AG270" s="1931"/>
      <c r="AH270" s="1931"/>
      <c r="AI270" s="1931"/>
      <c r="AJ270" s="1931"/>
      <c r="AK270" s="1931"/>
      <c r="AL270" s="1931"/>
      <c r="AM270" s="1931"/>
      <c r="AN270" s="1931"/>
      <c r="AO270" s="1931"/>
      <c r="AP270" s="1931"/>
      <c r="AQ270" s="1931"/>
      <c r="AR270" s="1931"/>
      <c r="AS270" s="1931"/>
      <c r="AT270" s="1931"/>
      <c r="AU270" s="1931"/>
      <c r="AV270" s="1931"/>
      <c r="AW270" s="1931"/>
      <c r="AX270" s="1931"/>
      <c r="AY270" s="1931"/>
      <c r="AZ270" s="1931"/>
      <c r="BA270" s="1931"/>
      <c r="BB270" s="1931"/>
      <c r="BC270" s="1931"/>
      <c r="BD270" s="1931"/>
      <c r="BE270" s="1931"/>
      <c r="BF270" s="1931"/>
      <c r="BG270" s="1931"/>
      <c r="BH270" s="1931"/>
      <c r="BI270" s="1931"/>
      <c r="BJ270" s="1931"/>
      <c r="BK270" s="1931"/>
      <c r="BL270" s="1931"/>
      <c r="BM270" s="1931"/>
      <c r="BN270" s="1931"/>
      <c r="BO270" s="1931"/>
      <c r="BP270" s="1931"/>
      <c r="BQ270" s="1931"/>
      <c r="BR270" s="1931"/>
      <c r="BS270" s="1931"/>
      <c r="BT270" s="1931"/>
      <c r="BU270" s="1931"/>
      <c r="BV270" s="1931"/>
      <c r="BW270" s="1931"/>
      <c r="BX270" s="1931"/>
      <c r="BY270" s="1931"/>
      <c r="BZ270" s="1931"/>
      <c r="CA270" s="1931"/>
      <c r="CB270" s="1931"/>
      <c r="CC270" s="1931"/>
      <c r="CD270" s="1931"/>
      <c r="CE270" s="1930"/>
      <c r="CF270" s="1930"/>
      <c r="CG270" s="1930"/>
      <c r="CH270" s="1930"/>
      <c r="CI270" s="1931"/>
      <c r="CJ270" s="1931"/>
      <c r="CK270" s="1931"/>
      <c r="CL270" s="1931"/>
      <c r="CM270" s="1931"/>
      <c r="CN270" s="1931"/>
      <c r="CO270" s="1931"/>
      <c r="CP270" s="1931"/>
      <c r="CQ270" s="1931"/>
      <c r="CR270" s="1931"/>
      <c r="CS270" s="1931"/>
      <c r="CT270" s="1930"/>
      <c r="CU270" s="1930"/>
      <c r="CV270" s="1930"/>
      <c r="CW270" s="1930"/>
      <c r="CX270" s="1931"/>
      <c r="CY270" s="1931"/>
      <c r="CZ270" s="1931"/>
      <c r="DA270" s="1931"/>
      <c r="DB270" s="1932"/>
      <c r="DC270" s="1931"/>
      <c r="DD270" s="1931"/>
      <c r="DE270" s="1931"/>
    </row>
    <row r="272" spans="2:110" s="44" customFormat="1" ht="30" x14ac:dyDescent="0.25">
      <c r="B272" s="45"/>
      <c r="C272" s="46" t="s">
        <v>28</v>
      </c>
      <c r="D272" s="3196" t="s">
        <v>29</v>
      </c>
      <c r="E272" s="3196" t="s">
        <v>30</v>
      </c>
      <c r="F272" s="3196" t="s">
        <v>31</v>
      </c>
      <c r="G272" s="3196" t="s">
        <v>176</v>
      </c>
      <c r="H272" s="47" t="s">
        <v>177</v>
      </c>
      <c r="I272" s="3196" t="s">
        <v>32</v>
      </c>
      <c r="J272" s="3196" t="s">
        <v>181</v>
      </c>
      <c r="K272" s="46" t="s">
        <v>170</v>
      </c>
      <c r="L272" s="46" t="s">
        <v>44</v>
      </c>
      <c r="M272" s="1965"/>
      <c r="N272" s="1965"/>
      <c r="O272" s="1965"/>
      <c r="P272" s="1288"/>
      <c r="Q272" s="1288"/>
      <c r="R272" s="1288"/>
      <c r="S272" s="1288"/>
      <c r="T272" s="1288"/>
      <c r="U272" s="1288"/>
      <c r="V272" s="1936" t="s">
        <v>45</v>
      </c>
      <c r="W272" s="1937">
        <f>$W$8</f>
        <v>43252</v>
      </c>
      <c r="X272" s="1937">
        <f>$X$8</f>
        <v>43465</v>
      </c>
      <c r="Y272" s="1937">
        <f>$Y$8</f>
        <v>43800</v>
      </c>
      <c r="Z272" s="1937">
        <f>$Z$8</f>
        <v>43862</v>
      </c>
      <c r="AA272" s="1937">
        <f>$AA$8</f>
        <v>44013</v>
      </c>
      <c r="AB272" s="1937">
        <v>44166</v>
      </c>
      <c r="AC272" s="1937">
        <f>$AC$8</f>
        <v>44531</v>
      </c>
      <c r="AD272" s="1937" t="str">
        <f>$AD$8</f>
        <v>-</v>
      </c>
      <c r="AE272" s="1937" t="str">
        <f>$AE$8</f>
        <v>-</v>
      </c>
      <c r="AF272" s="1937" t="str">
        <f>$AF$8</f>
        <v>-</v>
      </c>
      <c r="AG272" s="1937" t="str">
        <f>$AG$8</f>
        <v>-</v>
      </c>
      <c r="AH272" s="1930"/>
      <c r="AI272" s="1936" t="s">
        <v>45</v>
      </c>
      <c r="AJ272" s="1937">
        <v>43252</v>
      </c>
      <c r="AK272" s="1937">
        <f>$X$8</f>
        <v>43465</v>
      </c>
      <c r="AL272" s="1937">
        <f>$Y$8</f>
        <v>43800</v>
      </c>
      <c r="AM272" s="1937">
        <f>$Z$8</f>
        <v>43862</v>
      </c>
      <c r="AN272" s="1937">
        <f>$AA$8</f>
        <v>44013</v>
      </c>
      <c r="AO272" s="1937">
        <f>$AB$8</f>
        <v>44166</v>
      </c>
      <c r="AP272" s="1937">
        <f>$AC$8</f>
        <v>44531</v>
      </c>
      <c r="AQ272" s="1937" t="str">
        <f>$AD$8</f>
        <v>-</v>
      </c>
      <c r="AR272" s="1937" t="str">
        <f>$AE$8</f>
        <v>-</v>
      </c>
      <c r="AS272" s="1937" t="str">
        <f>$AF$8</f>
        <v>-</v>
      </c>
      <c r="AT272" s="1933"/>
      <c r="AU272" s="1936" t="s">
        <v>45</v>
      </c>
      <c r="AV272" s="1937">
        <v>43252</v>
      </c>
      <c r="AW272" s="1937">
        <f>$X$8</f>
        <v>43465</v>
      </c>
      <c r="AX272" s="1937">
        <f>$Y$8</f>
        <v>43800</v>
      </c>
      <c r="AY272" s="1937">
        <f>$Z$8</f>
        <v>43862</v>
      </c>
      <c r="AZ272" s="1937">
        <f>$AA$8</f>
        <v>44013</v>
      </c>
      <c r="BA272" s="1937">
        <v>44166</v>
      </c>
      <c r="BB272" s="1937">
        <f>$AC$8</f>
        <v>44531</v>
      </c>
      <c r="BC272" s="1937" t="str">
        <f>$AD$8</f>
        <v>-</v>
      </c>
      <c r="BD272" s="1937" t="str">
        <f>$AE$8</f>
        <v>-</v>
      </c>
      <c r="BE272" s="1937" t="str">
        <f>$AF$8</f>
        <v>-</v>
      </c>
      <c r="DB272" s="1938" t="str">
        <f>$DB$8</f>
        <v>TRC (2020)</v>
      </c>
      <c r="DC272" s="1953" t="str">
        <f>$DC$8</f>
        <v>Benefit Lookup</v>
      </c>
      <c r="DD272" s="1953" t="str">
        <f>$DD$8</f>
        <v>Benefits (2019 $)</v>
      </c>
      <c r="DE272" s="1953" t="str">
        <f>$DE$8</f>
        <v>Incremental Cost (2019 $)</v>
      </c>
    </row>
    <row r="273" spans="2:112" x14ac:dyDescent="0.25">
      <c r="B273" s="1931"/>
      <c r="C273" s="2462" t="s">
        <v>2837</v>
      </c>
      <c r="D273" s="1289" t="s">
        <v>2646</v>
      </c>
      <c r="E273" s="1308" t="s">
        <v>2838</v>
      </c>
      <c r="F273" s="1959">
        <f>ROUND(0.746*F283*G283,2)</f>
        <v>601.28</v>
      </c>
      <c r="G273" s="1290" t="s">
        <v>2835</v>
      </c>
      <c r="H273" s="1291">
        <f>VLOOKUP(G273,'CP FACTORS'!$A$26:$B$38,2,FALSE)</f>
        <v>1.379439E-4</v>
      </c>
      <c r="I273" s="1309">
        <f>ROUND(H273*F273,6)</f>
        <v>8.2943000000000003E-2</v>
      </c>
      <c r="J273" s="1354">
        <v>10</v>
      </c>
      <c r="K273" s="1329">
        <v>100</v>
      </c>
      <c r="L273" s="1292" t="s">
        <v>185</v>
      </c>
      <c r="M273" s="4504"/>
      <c r="N273" s="4504"/>
      <c r="O273" s="4504"/>
      <c r="P273" s="1965"/>
      <c r="Q273" s="1965"/>
      <c r="R273" s="1965"/>
      <c r="S273" s="1965"/>
      <c r="T273" s="1965"/>
      <c r="U273" s="1965"/>
      <c r="V273" s="3226" t="s">
        <v>31</v>
      </c>
      <c r="W273" s="1947">
        <v>601.27599999999995</v>
      </c>
      <c r="X273" s="129">
        <v>601.27599999999995</v>
      </c>
      <c r="Y273" s="129">
        <v>601.27599999999995</v>
      </c>
      <c r="Z273" s="129">
        <v>601.27599999999995</v>
      </c>
      <c r="AA273" s="129">
        <v>601.27599999999995</v>
      </c>
      <c r="AB273" s="2002">
        <v>601.28</v>
      </c>
      <c r="AC273" s="3364">
        <v>601.28</v>
      </c>
      <c r="AD273" s="2099"/>
      <c r="AE273" s="2099"/>
      <c r="AF273" s="2099"/>
      <c r="AG273" s="2099"/>
      <c r="AH273" s="2100"/>
      <c r="AI273" s="3227" t="s">
        <v>181</v>
      </c>
      <c r="AJ273" s="64">
        <v>10</v>
      </c>
      <c r="AK273" s="64">
        <v>10</v>
      </c>
      <c r="AL273" s="64">
        <v>10</v>
      </c>
      <c r="AM273" s="64">
        <v>10</v>
      </c>
      <c r="AN273" s="64">
        <v>10</v>
      </c>
      <c r="AO273" s="2091">
        <v>10</v>
      </c>
      <c r="AP273" s="2002">
        <v>10</v>
      </c>
      <c r="AQ273" s="2099"/>
      <c r="AR273" s="2099"/>
      <c r="AS273" s="2099"/>
      <c r="AT273" s="1933"/>
      <c r="AU273" s="3227" t="s">
        <v>170</v>
      </c>
      <c r="AV273" s="2102">
        <v>100</v>
      </c>
      <c r="AW273" s="2102">
        <v>100</v>
      </c>
      <c r="AX273" s="2102">
        <v>100</v>
      </c>
      <c r="AY273" s="2102">
        <v>100</v>
      </c>
      <c r="AZ273" s="2102">
        <v>100</v>
      </c>
      <c r="BA273" s="2390">
        <v>100</v>
      </c>
      <c r="BB273" s="2390">
        <v>100</v>
      </c>
      <c r="BC273" s="2099"/>
      <c r="BD273" s="2099"/>
      <c r="BE273" s="2099"/>
      <c r="BF273" s="1933"/>
      <c r="BG273" s="1933"/>
      <c r="BH273" s="1933"/>
      <c r="BI273" s="1933"/>
      <c r="BJ273" s="1933"/>
      <c r="BK273" s="1933"/>
      <c r="BL273" s="1933"/>
      <c r="BM273" s="1933"/>
      <c r="BN273" s="1931"/>
      <c r="BO273" s="1931"/>
      <c r="BP273" s="1931"/>
      <c r="BQ273" s="1931"/>
      <c r="BR273" s="1931"/>
      <c r="BS273" s="1931"/>
      <c r="BT273" s="1931"/>
      <c r="BU273" s="1931"/>
      <c r="BV273" s="1931"/>
      <c r="BW273" s="1931"/>
      <c r="BX273" s="1931"/>
      <c r="BY273" s="1931"/>
      <c r="BZ273" s="1931"/>
      <c r="CA273" s="1931"/>
      <c r="CB273" s="1931"/>
      <c r="CC273" s="1931"/>
      <c r="CD273" s="1931"/>
      <c r="CE273" s="1930"/>
      <c r="CF273" s="1930"/>
      <c r="CG273" s="1930"/>
      <c r="CH273" s="1930"/>
      <c r="CI273" s="1931"/>
      <c r="CJ273" s="1931"/>
      <c r="CK273" s="1931"/>
      <c r="CL273" s="1931"/>
      <c r="CM273" s="1931"/>
      <c r="CN273" s="1931"/>
      <c r="CO273" s="1931"/>
      <c r="CP273" s="1931"/>
      <c r="CQ273" s="1931"/>
      <c r="CR273" s="1931"/>
      <c r="CS273" s="1931"/>
      <c r="CT273" s="1930"/>
      <c r="CU273" s="1930"/>
      <c r="CV273" s="1930"/>
      <c r="CW273" s="1930"/>
      <c r="CX273" s="1931"/>
      <c r="CY273" s="1931"/>
      <c r="CZ273" s="1931"/>
      <c r="DA273" s="1931"/>
      <c r="DB273" s="1954">
        <f>(DD273)/(DE273)</f>
        <v>2.3274313914795477</v>
      </c>
      <c r="DC273" s="3166" t="str">
        <f>CONCATENATE(G273," ",J273," Year EUL")</f>
        <v>Motors BUS 10 Year EUL</v>
      </c>
      <c r="DD273" s="1955">
        <f>(INDEX('Avoided Cost Benefits'!$C$4:$C$857,MATCH(DC273,'Avoided Cost Benefits'!$A$4:$A$857,0)))*F273</f>
        <v>219.67261835578549</v>
      </c>
      <c r="DE273" s="1956">
        <f>K273/(1.0595^(2020-2019))</f>
        <v>94.384143463898056</v>
      </c>
    </row>
    <row r="274" spans="2:112" hidden="1" outlineLevel="1" x14ac:dyDescent="0.25">
      <c r="B274" s="1931"/>
      <c r="D274" s="1966"/>
      <c r="E274" s="1966"/>
      <c r="F274" s="1966"/>
      <c r="G274" s="1966"/>
      <c r="H274" s="1299"/>
      <c r="I274" s="1966"/>
      <c r="J274" s="1966"/>
      <c r="K274" s="1966"/>
      <c r="L274" s="1965"/>
      <c r="M274" s="4504"/>
      <c r="N274" s="4504"/>
      <c r="O274" s="4504"/>
      <c r="P274" s="1965"/>
      <c r="Q274" s="1965"/>
      <c r="R274" s="1965"/>
      <c r="S274" s="1965"/>
      <c r="T274" s="1965"/>
      <c r="U274" s="1965"/>
      <c r="V274" s="1931"/>
      <c r="W274" s="1931"/>
      <c r="X274" s="1933"/>
      <c r="Y274" s="1933"/>
      <c r="Z274" s="1933"/>
      <c r="AA274" s="1933"/>
      <c r="AB274" s="1933"/>
      <c r="AC274" s="1933"/>
      <c r="AD274" s="1933"/>
      <c r="AE274" s="1933"/>
      <c r="AF274" s="1933"/>
      <c r="AG274" s="1933"/>
      <c r="AH274" s="1933"/>
      <c r="AI274" s="1933"/>
      <c r="AJ274" s="1933"/>
      <c r="AK274" s="1933"/>
      <c r="AL274" s="1933"/>
      <c r="AM274" s="1933"/>
      <c r="AN274" s="1933"/>
      <c r="AO274" s="1933"/>
      <c r="AP274" s="1933"/>
      <c r="AQ274" s="1933"/>
      <c r="AR274" s="1933"/>
      <c r="AS274" s="1933"/>
      <c r="AT274" s="1933"/>
      <c r="AU274" s="1933"/>
      <c r="AV274" s="1933"/>
      <c r="AW274" s="1933"/>
      <c r="AX274" s="1933"/>
      <c r="AY274" s="1933"/>
      <c r="AZ274" s="1933"/>
      <c r="BA274" s="1933"/>
      <c r="BB274" s="1933"/>
      <c r="BC274" s="1933"/>
      <c r="BD274" s="1933"/>
      <c r="BE274" s="1933"/>
      <c r="BF274" s="1933"/>
      <c r="BG274" s="1933"/>
      <c r="BH274" s="1933"/>
      <c r="BI274" s="1933"/>
      <c r="BJ274" s="1933"/>
      <c r="BK274" s="1933"/>
      <c r="BL274" s="1933"/>
      <c r="BM274" s="1933"/>
      <c r="BN274" s="1931"/>
      <c r="BO274" s="1931"/>
      <c r="BP274" s="1931"/>
      <c r="BQ274" s="1931"/>
      <c r="BR274" s="1931"/>
      <c r="BS274" s="1931"/>
      <c r="BT274" s="1931"/>
      <c r="BU274" s="1931"/>
      <c r="BV274" s="1931"/>
      <c r="BW274" s="1931"/>
      <c r="BX274" s="1931"/>
      <c r="BY274" s="1931"/>
      <c r="BZ274" s="1931"/>
      <c r="CA274" s="1931"/>
      <c r="CB274" s="1931"/>
      <c r="CC274" s="1931"/>
      <c r="CD274" s="1931"/>
      <c r="CE274" s="1930"/>
      <c r="CF274" s="1930"/>
      <c r="CG274" s="1930"/>
      <c r="CH274" s="1930"/>
      <c r="CI274" s="1931"/>
      <c r="CJ274" s="1931"/>
      <c r="CK274" s="1931"/>
      <c r="CL274" s="1931"/>
      <c r="CM274" s="1931"/>
      <c r="CN274" s="1931"/>
      <c r="CO274" s="1931"/>
      <c r="CP274" s="1931"/>
      <c r="CQ274" s="1931"/>
      <c r="CR274" s="1931"/>
      <c r="CS274" s="1931"/>
      <c r="CT274" s="1930"/>
      <c r="CU274" s="1930"/>
      <c r="CV274" s="1930"/>
      <c r="CW274" s="1930"/>
      <c r="CX274" s="1931"/>
      <c r="CY274" s="1931"/>
      <c r="CZ274" s="1931"/>
      <c r="DA274" s="1931"/>
      <c r="DB274" s="1932"/>
      <c r="DC274" s="1931"/>
      <c r="DD274" s="1931"/>
      <c r="DE274" s="1931"/>
    </row>
    <row r="275" spans="2:112" hidden="1" outlineLevel="1" x14ac:dyDescent="0.25">
      <c r="B275" s="1931"/>
      <c r="D275" s="1966" t="s">
        <v>2689</v>
      </c>
      <c r="E275" s="1966"/>
      <c r="F275" s="1966"/>
      <c r="G275" s="1966"/>
      <c r="H275" s="1299"/>
      <c r="I275" s="1966"/>
      <c r="J275" s="1966"/>
      <c r="K275" s="1966"/>
      <c r="L275" s="1965"/>
      <c r="M275" s="4504"/>
      <c r="N275" s="4504"/>
      <c r="O275" s="4504"/>
      <c r="P275" s="1965"/>
      <c r="Q275" s="1965"/>
      <c r="R275" s="1965"/>
      <c r="S275" s="1965"/>
      <c r="T275" s="1965"/>
      <c r="U275" s="1965"/>
      <c r="V275" s="1931"/>
      <c r="W275" s="1931"/>
      <c r="X275" s="1933"/>
      <c r="Y275" s="1933"/>
      <c r="Z275" s="1933"/>
      <c r="AA275" s="1933"/>
      <c r="AB275" s="1933"/>
      <c r="AC275" s="1933"/>
      <c r="AD275" s="1933"/>
      <c r="AE275" s="1933"/>
      <c r="AF275" s="1933"/>
      <c r="AG275" s="1933"/>
      <c r="AH275" s="1933"/>
      <c r="AI275" s="1933"/>
      <c r="AJ275" s="1933"/>
      <c r="AK275" s="1933"/>
      <c r="AL275" s="1933"/>
      <c r="AM275" s="1933"/>
      <c r="AN275" s="1933"/>
      <c r="AO275" s="1933"/>
      <c r="AP275" s="1933"/>
      <c r="AQ275" s="1933"/>
      <c r="AR275" s="1933"/>
      <c r="AS275" s="1933"/>
      <c r="AT275" s="1933"/>
      <c r="AU275" s="1933"/>
      <c r="AV275" s="1933"/>
      <c r="AW275" s="1933"/>
      <c r="AX275" s="1933"/>
      <c r="AY275" s="1933"/>
      <c r="AZ275" s="1933"/>
      <c r="BA275" s="1933"/>
      <c r="BB275" s="1933"/>
      <c r="BC275" s="1933"/>
      <c r="BD275" s="1933"/>
      <c r="BE275" s="1933"/>
      <c r="BF275" s="1933"/>
      <c r="BG275" s="1933"/>
      <c r="BH275" s="1933"/>
      <c r="BI275" s="1933"/>
      <c r="BJ275" s="1933"/>
      <c r="BK275" s="1933"/>
      <c r="BL275" s="1933"/>
      <c r="BM275" s="1933"/>
      <c r="BN275" s="1931"/>
      <c r="BO275" s="1931"/>
      <c r="BP275" s="1931"/>
      <c r="BQ275" s="1931"/>
      <c r="BR275" s="1931"/>
      <c r="BS275" s="1931"/>
      <c r="BT275" s="1931"/>
      <c r="BU275" s="1931"/>
      <c r="BV275" s="1931"/>
      <c r="BW275" s="1931"/>
      <c r="BX275" s="1931"/>
      <c r="BY275" s="1931"/>
      <c r="BZ275" s="1931"/>
      <c r="CA275" s="1931"/>
      <c r="CB275" s="1931"/>
      <c r="CC275" s="1931"/>
      <c r="CD275" s="1931"/>
      <c r="CE275" s="1930"/>
      <c r="CF275" s="1930"/>
      <c r="CG275" s="1930"/>
      <c r="CH275" s="1930"/>
      <c r="CI275" s="1931"/>
      <c r="CJ275" s="1931"/>
      <c r="CK275" s="1931"/>
      <c r="CL275" s="1931"/>
      <c r="CM275" s="1931"/>
      <c r="CN275" s="1931"/>
      <c r="CO275" s="1931"/>
      <c r="CP275" s="1931"/>
      <c r="CQ275" s="1931"/>
      <c r="CR275" s="1931"/>
      <c r="CS275" s="1931"/>
      <c r="CT275" s="1930"/>
      <c r="CU275" s="1930"/>
      <c r="CV275" s="1930"/>
      <c r="CW275" s="1930"/>
      <c r="CX275" s="1931"/>
      <c r="CY275" s="1931"/>
      <c r="CZ275" s="1931"/>
      <c r="DA275" s="1931"/>
      <c r="DB275" s="1932"/>
      <c r="DC275" s="1931"/>
      <c r="DD275" s="1931"/>
      <c r="DE275" s="1931"/>
    </row>
    <row r="276" spans="2:112" hidden="1" outlineLevel="1" x14ac:dyDescent="0.25">
      <c r="B276" s="1931"/>
      <c r="D276" s="1355"/>
      <c r="E276" s="874"/>
      <c r="F276" s="1965"/>
      <c r="G276" s="1321"/>
      <c r="H276" s="1322"/>
      <c r="I276" s="1965"/>
      <c r="J276" s="1965"/>
      <c r="K276" s="1965"/>
      <c r="L276" s="1965"/>
      <c r="M276" s="4504"/>
      <c r="N276" s="4504"/>
      <c r="O276" s="4504"/>
      <c r="P276" s="1965"/>
      <c r="Q276" s="1965"/>
      <c r="R276" s="1965"/>
      <c r="S276" s="1965"/>
      <c r="T276" s="1965"/>
      <c r="U276" s="1965"/>
      <c r="V276" s="1931"/>
      <c r="W276" s="1931"/>
      <c r="X276" s="1933"/>
      <c r="Y276" s="1933"/>
      <c r="Z276" s="1933"/>
      <c r="AA276" s="1933"/>
      <c r="AB276" s="1933"/>
      <c r="AC276" s="1933"/>
      <c r="AD276" s="1933"/>
      <c r="AE276" s="1933"/>
      <c r="AF276" s="1933"/>
      <c r="AG276" s="1933"/>
      <c r="AH276" s="1933"/>
      <c r="AI276" s="1933"/>
      <c r="AJ276" s="1933"/>
      <c r="AK276" s="1933"/>
      <c r="AL276" s="1933"/>
      <c r="AM276" s="1933"/>
      <c r="AN276" s="1933"/>
      <c r="AO276" s="1933"/>
      <c r="AP276" s="1933"/>
      <c r="AQ276" s="1933"/>
      <c r="AR276" s="1933"/>
      <c r="AS276" s="1933"/>
      <c r="AT276" s="1933"/>
      <c r="AU276" s="1933"/>
      <c r="AV276" s="1933"/>
      <c r="AW276" s="1933"/>
      <c r="AX276" s="1933"/>
      <c r="AY276" s="1933"/>
      <c r="AZ276" s="1933"/>
      <c r="BA276" s="1933"/>
      <c r="BB276" s="1933"/>
      <c r="BC276" s="1933"/>
      <c r="BD276" s="1933"/>
      <c r="BE276" s="1933"/>
      <c r="BF276" s="1933"/>
      <c r="BG276" s="1933"/>
      <c r="BH276" s="1933"/>
      <c r="BI276" s="1933"/>
      <c r="BJ276" s="1933"/>
      <c r="BK276" s="1933"/>
      <c r="BL276" s="1933"/>
      <c r="BM276" s="1933"/>
      <c r="BN276" s="1931"/>
      <c r="BO276" s="1931"/>
      <c r="BP276" s="1931"/>
      <c r="BQ276" s="1931"/>
      <c r="BR276" s="1931"/>
      <c r="BS276" s="1931"/>
      <c r="BT276" s="1931"/>
      <c r="BU276" s="1931"/>
      <c r="BV276" s="1931"/>
      <c r="BW276" s="1931"/>
      <c r="BX276" s="1931"/>
      <c r="BY276" s="1931"/>
      <c r="BZ276" s="1931"/>
      <c r="CA276" s="1931"/>
      <c r="CB276" s="1931"/>
      <c r="CC276" s="1931"/>
      <c r="CD276" s="1931"/>
      <c r="CE276" s="1930"/>
      <c r="CF276" s="1930"/>
      <c r="CG276" s="1930"/>
      <c r="CH276" s="1930"/>
      <c r="CI276" s="1931"/>
      <c r="CJ276" s="1931"/>
      <c r="CK276" s="1931"/>
      <c r="CL276" s="1931"/>
      <c r="CM276" s="1931"/>
      <c r="CN276" s="1931"/>
      <c r="CO276" s="1931"/>
      <c r="CP276" s="1931"/>
      <c r="CQ276" s="1931"/>
      <c r="CR276" s="1931"/>
      <c r="CS276" s="1931"/>
      <c r="CT276" s="1930"/>
      <c r="CU276" s="1930"/>
      <c r="CV276" s="1930"/>
      <c r="CW276" s="1930"/>
      <c r="CX276" s="1931"/>
      <c r="CY276" s="1931"/>
      <c r="CZ276" s="1931"/>
      <c r="DA276" s="1931"/>
      <c r="DB276" s="1932"/>
      <c r="DC276" s="1931"/>
      <c r="DD276" s="1931"/>
      <c r="DE276" s="1931"/>
    </row>
    <row r="277" spans="2:112" hidden="1" outlineLevel="1" x14ac:dyDescent="0.25">
      <c r="B277" s="1931"/>
      <c r="D277" s="1355"/>
      <c r="E277" s="874"/>
      <c r="F277" s="1965"/>
      <c r="G277" s="1321"/>
      <c r="H277" s="1322"/>
      <c r="I277" s="1965"/>
      <c r="J277" s="1965"/>
      <c r="K277" s="1965"/>
      <c r="L277" s="1965"/>
      <c r="M277" s="4504"/>
      <c r="N277" s="4504"/>
      <c r="O277" s="4504"/>
      <c r="P277" s="1965"/>
      <c r="Q277" s="1965"/>
      <c r="R277" s="1965"/>
      <c r="S277" s="1965"/>
      <c r="T277" s="1965"/>
      <c r="U277" s="1965"/>
      <c r="V277" s="1931"/>
      <c r="W277" s="1931"/>
      <c r="X277" s="1931"/>
      <c r="Y277" s="1931"/>
      <c r="Z277" s="1931"/>
      <c r="AA277" s="1931"/>
      <c r="AB277" s="1931"/>
      <c r="AC277" s="1931"/>
      <c r="AD277" s="1931"/>
      <c r="AE277" s="1931"/>
      <c r="AF277" s="1931"/>
      <c r="AG277" s="1931"/>
      <c r="AH277" s="1931"/>
      <c r="AI277" s="1931"/>
      <c r="AJ277" s="1931"/>
      <c r="AK277" s="1931"/>
      <c r="AL277" s="1931"/>
      <c r="AM277" s="1931"/>
      <c r="AN277" s="1931"/>
      <c r="AO277" s="1931"/>
      <c r="AP277" s="1931"/>
      <c r="AQ277" s="1931"/>
      <c r="AR277" s="1931"/>
      <c r="AS277" s="1931"/>
      <c r="AT277" s="1931"/>
      <c r="AU277" s="1931"/>
      <c r="AV277" s="1931"/>
      <c r="AW277" s="1931"/>
      <c r="AX277" s="1931"/>
      <c r="AY277" s="1931"/>
      <c r="AZ277" s="1931"/>
      <c r="BA277" s="1931"/>
      <c r="BB277" s="1931"/>
      <c r="BC277" s="1931"/>
      <c r="BD277" s="1931"/>
      <c r="BE277" s="1931"/>
      <c r="BF277" s="1931"/>
      <c r="BG277" s="1931"/>
      <c r="BH277" s="1931"/>
      <c r="BI277" s="1931"/>
      <c r="BJ277" s="1931"/>
      <c r="BK277" s="1931"/>
      <c r="BL277" s="1931"/>
      <c r="BM277" s="1931"/>
      <c r="BN277" s="1931"/>
      <c r="BO277" s="1931"/>
      <c r="BP277" s="1931"/>
      <c r="BQ277" s="1931"/>
      <c r="BR277" s="1931"/>
      <c r="BS277" s="1931"/>
      <c r="BT277" s="1931"/>
      <c r="BU277" s="1931"/>
      <c r="BV277" s="1931"/>
      <c r="BW277" s="1931"/>
      <c r="BX277" s="1931"/>
      <c r="BY277" s="1931"/>
      <c r="BZ277" s="1931"/>
      <c r="CA277" s="1931"/>
      <c r="CB277" s="1931"/>
      <c r="CC277" s="1931"/>
      <c r="CD277" s="1931"/>
      <c r="CE277" s="1930"/>
      <c r="CF277" s="1930"/>
      <c r="CG277" s="1930"/>
      <c r="CH277" s="1930"/>
      <c r="CI277" s="1931"/>
      <c r="CJ277" s="1931"/>
      <c r="CK277" s="1931"/>
      <c r="CL277" s="1931"/>
      <c r="CM277" s="1931"/>
      <c r="CN277" s="1931"/>
      <c r="CO277" s="1931"/>
      <c r="CP277" s="1931"/>
      <c r="CQ277" s="1931"/>
      <c r="CR277" s="1931"/>
      <c r="CS277" s="1931"/>
      <c r="CT277" s="1930"/>
      <c r="CU277" s="1930"/>
      <c r="CV277" s="1930"/>
      <c r="CW277" s="1930"/>
      <c r="CX277" s="1931"/>
      <c r="CY277" s="1931"/>
      <c r="CZ277" s="1931"/>
      <c r="DA277" s="1931"/>
      <c r="DB277" s="1932"/>
      <c r="DC277" s="1931"/>
      <c r="DD277" s="1931"/>
      <c r="DE277" s="1931"/>
    </row>
    <row r="278" spans="2:112" hidden="1" outlineLevel="1" x14ac:dyDescent="0.25">
      <c r="B278" s="1931"/>
      <c r="D278" s="1355"/>
      <c r="E278" s="874"/>
      <c r="F278" s="1965"/>
      <c r="G278" s="1965"/>
      <c r="H278" s="1301"/>
      <c r="I278" s="1965"/>
      <c r="J278" s="1965"/>
      <c r="K278" s="1965"/>
      <c r="L278" s="1965"/>
      <c r="M278" s="1966"/>
      <c r="N278" s="1965"/>
      <c r="O278" s="1965"/>
      <c r="P278" s="1965"/>
      <c r="Q278" s="1965"/>
      <c r="R278" s="1965"/>
      <c r="S278" s="1965"/>
      <c r="T278" s="1965"/>
      <c r="U278" s="1965"/>
      <c r="V278" s="1931"/>
      <c r="W278" s="1931"/>
      <c r="X278" s="1931"/>
      <c r="Y278" s="1931"/>
      <c r="Z278" s="1931"/>
      <c r="AA278" s="1931"/>
      <c r="AB278" s="1931"/>
      <c r="AC278" s="1931"/>
      <c r="AD278" s="1931"/>
      <c r="AE278" s="1931"/>
      <c r="AF278" s="1931"/>
      <c r="AG278" s="1931"/>
      <c r="AH278" s="1931"/>
      <c r="AI278" s="1931"/>
      <c r="AJ278" s="1931"/>
      <c r="AK278" s="1931"/>
      <c r="AL278" s="1931"/>
      <c r="AM278" s="1931"/>
      <c r="AN278" s="1931"/>
      <c r="AO278" s="1931"/>
      <c r="AP278" s="1931"/>
      <c r="AQ278" s="1931"/>
      <c r="AR278" s="1931"/>
      <c r="AS278" s="1931"/>
      <c r="AT278" s="1931"/>
      <c r="AU278" s="1931"/>
      <c r="AV278" s="1931"/>
      <c r="AW278" s="1931"/>
      <c r="AX278" s="1931"/>
      <c r="AY278" s="1931"/>
      <c r="AZ278" s="1931"/>
      <c r="BA278" s="1931"/>
      <c r="BB278" s="1931"/>
      <c r="BC278" s="1931"/>
      <c r="BD278" s="1931"/>
      <c r="BE278" s="1931"/>
      <c r="BF278" s="1931"/>
      <c r="BG278" s="1931"/>
      <c r="BH278" s="1931"/>
      <c r="BI278" s="1931"/>
      <c r="BJ278" s="1931"/>
      <c r="BK278" s="1931"/>
      <c r="BL278" s="1931"/>
      <c r="BM278" s="1931"/>
      <c r="BN278" s="1931"/>
      <c r="BO278" s="1931"/>
      <c r="BP278" s="1931"/>
      <c r="BQ278" s="1931"/>
      <c r="BR278" s="1931"/>
      <c r="BS278" s="1931"/>
      <c r="BT278" s="1931"/>
      <c r="BU278" s="1931"/>
      <c r="BV278" s="1931"/>
      <c r="BW278" s="1931"/>
      <c r="BX278" s="1931"/>
      <c r="BY278" s="1931"/>
      <c r="BZ278" s="1931"/>
      <c r="CA278" s="1931"/>
      <c r="CB278" s="1931"/>
      <c r="CC278" s="1931"/>
      <c r="CD278" s="1931"/>
      <c r="CE278" s="1930"/>
      <c r="CF278" s="1930"/>
      <c r="CG278" s="1930"/>
      <c r="CH278" s="1930"/>
      <c r="CI278" s="1931"/>
      <c r="CJ278" s="1931"/>
      <c r="CK278" s="1931"/>
      <c r="CL278" s="1931"/>
      <c r="CM278" s="1931"/>
      <c r="CN278" s="1931"/>
      <c r="CO278" s="1931"/>
      <c r="CP278" s="1931"/>
      <c r="CQ278" s="1931"/>
      <c r="CR278" s="1931"/>
      <c r="CS278" s="1931"/>
      <c r="CT278" s="1930"/>
      <c r="CU278" s="1930"/>
      <c r="CV278" s="1930"/>
      <c r="CW278" s="1930"/>
      <c r="CX278" s="1931"/>
      <c r="CY278" s="1931"/>
      <c r="CZ278" s="1931"/>
      <c r="DA278" s="1931"/>
      <c r="DB278" s="1932"/>
      <c r="DC278" s="1931"/>
      <c r="DD278" s="1931"/>
      <c r="DE278" s="1931"/>
    </row>
    <row r="279" spans="2:112" hidden="1" outlineLevel="1" x14ac:dyDescent="0.25">
      <c r="B279" s="1931"/>
      <c r="D279" s="1300"/>
      <c r="E279" s="1965"/>
      <c r="F279" s="1965"/>
      <c r="G279" s="1965"/>
      <c r="H279" s="1301"/>
      <c r="I279" s="1965"/>
      <c r="J279" s="1965"/>
      <c r="K279" s="1965"/>
      <c r="L279" s="1965"/>
      <c r="M279" s="1966"/>
      <c r="N279" s="1965"/>
      <c r="O279" s="1965"/>
      <c r="P279" s="1965"/>
      <c r="Q279" s="1965"/>
      <c r="R279" s="1965"/>
      <c r="S279" s="1965"/>
      <c r="T279" s="1965"/>
      <c r="U279" s="1965"/>
      <c r="V279" s="1931"/>
      <c r="W279" s="1931"/>
      <c r="X279" s="1931"/>
      <c r="Y279" s="1931"/>
      <c r="Z279" s="1931"/>
      <c r="AA279" s="1931"/>
      <c r="AB279" s="1931"/>
      <c r="AC279" s="1931"/>
      <c r="AD279" s="1931"/>
      <c r="AE279" s="1931"/>
      <c r="AF279" s="1931"/>
      <c r="AG279" s="1931"/>
      <c r="AH279" s="1931"/>
      <c r="AI279" s="1931"/>
      <c r="AJ279" s="1931"/>
      <c r="AK279" s="1931"/>
      <c r="AL279" s="1931"/>
      <c r="AM279" s="1931"/>
      <c r="AN279" s="1931"/>
      <c r="AO279" s="1931"/>
      <c r="AP279" s="1931"/>
      <c r="AQ279" s="1931"/>
      <c r="AR279" s="1931"/>
      <c r="AS279" s="1931"/>
      <c r="AT279" s="1931"/>
      <c r="AU279" s="1931"/>
      <c r="AV279" s="1931"/>
      <c r="AW279" s="1931"/>
      <c r="AX279" s="1931"/>
      <c r="AY279" s="1931"/>
      <c r="AZ279" s="1931"/>
      <c r="BA279" s="1931"/>
      <c r="BB279" s="1931"/>
      <c r="BC279" s="1931"/>
      <c r="BD279" s="1931"/>
      <c r="BE279" s="1931"/>
      <c r="BF279" s="1931"/>
      <c r="BG279" s="1931"/>
      <c r="BH279" s="1931"/>
      <c r="BI279" s="1931"/>
      <c r="BJ279" s="1931"/>
      <c r="BK279" s="1931"/>
      <c r="BL279" s="1931"/>
      <c r="BM279" s="1931"/>
      <c r="BN279" s="1931"/>
      <c r="BO279" s="1931"/>
      <c r="BP279" s="1931"/>
      <c r="BQ279" s="1931"/>
      <c r="BR279" s="1931"/>
      <c r="BS279" s="1931"/>
      <c r="BT279" s="1931"/>
      <c r="BU279" s="1931"/>
      <c r="BV279" s="1931"/>
      <c r="BW279" s="1931"/>
      <c r="BX279" s="1931"/>
      <c r="BY279" s="1931"/>
      <c r="BZ279" s="1931"/>
      <c r="CA279" s="1931"/>
      <c r="CB279" s="1931"/>
      <c r="CC279" s="1931"/>
      <c r="CD279" s="1931"/>
      <c r="CE279" s="1930"/>
      <c r="CF279" s="1930"/>
      <c r="CG279" s="1930"/>
      <c r="CH279" s="1930"/>
      <c r="CI279" s="1931"/>
      <c r="CJ279" s="1931"/>
      <c r="CK279" s="1931"/>
      <c r="CL279" s="1931"/>
      <c r="CM279" s="1931"/>
      <c r="CN279" s="1931"/>
      <c r="CO279" s="1931"/>
      <c r="CP279" s="1931"/>
      <c r="CQ279" s="1931"/>
      <c r="CR279" s="1931"/>
      <c r="CS279" s="1931"/>
      <c r="CT279" s="1930"/>
      <c r="CU279" s="1930"/>
      <c r="CV279" s="1930"/>
      <c r="CW279" s="1930"/>
      <c r="CX279" s="1931"/>
      <c r="CY279" s="1931"/>
      <c r="CZ279" s="1931"/>
      <c r="DA279" s="1931"/>
      <c r="DB279" s="1932"/>
      <c r="DC279" s="1931"/>
      <c r="DD279" s="1931"/>
      <c r="DE279" s="1931"/>
    </row>
    <row r="280" spans="2:112" hidden="1" outlineLevel="1" x14ac:dyDescent="0.25">
      <c r="B280" s="1931"/>
      <c r="D280" s="1300"/>
      <c r="E280" s="1965"/>
      <c r="F280" s="1965"/>
      <c r="G280" s="1965"/>
      <c r="H280" s="1301"/>
      <c r="I280" s="1965"/>
      <c r="J280" s="1965"/>
      <c r="K280" s="1965"/>
      <c r="L280" s="1965"/>
      <c r="M280" s="1966"/>
      <c r="N280" s="1965"/>
      <c r="O280" s="1965"/>
      <c r="P280" s="1965"/>
      <c r="Q280" s="1965"/>
      <c r="R280" s="1965"/>
      <c r="S280" s="1965"/>
      <c r="T280" s="1965"/>
      <c r="U280" s="1965"/>
      <c r="V280" s="1931"/>
      <c r="W280" s="1931"/>
      <c r="X280" s="1931"/>
      <c r="Y280" s="1931"/>
      <c r="Z280" s="1931"/>
      <c r="AA280" s="1931"/>
      <c r="AB280" s="1931"/>
      <c r="AC280" s="1931"/>
      <c r="AD280" s="1931"/>
      <c r="AE280" s="1931"/>
      <c r="AF280" s="1931"/>
      <c r="AG280" s="1931"/>
      <c r="AH280" s="1931"/>
      <c r="AI280" s="1931"/>
      <c r="AJ280" s="1931"/>
      <c r="AK280" s="1931"/>
      <c r="AL280" s="1931"/>
      <c r="AM280" s="1931"/>
      <c r="AN280" s="1931"/>
      <c r="AO280" s="1931"/>
      <c r="AP280" s="1931"/>
      <c r="AQ280" s="1931"/>
      <c r="AR280" s="1931"/>
      <c r="AS280" s="1931"/>
      <c r="AT280" s="1931"/>
      <c r="AU280" s="1931"/>
      <c r="AV280" s="1931"/>
      <c r="AW280" s="1931"/>
      <c r="AX280" s="1931"/>
      <c r="AY280" s="1931"/>
      <c r="AZ280" s="1931"/>
      <c r="BA280" s="1931"/>
      <c r="BB280" s="1931"/>
      <c r="BC280" s="1931"/>
      <c r="BD280" s="1931"/>
      <c r="BE280" s="1931"/>
      <c r="BF280" s="1931"/>
      <c r="BG280" s="1931"/>
      <c r="BH280" s="1931"/>
      <c r="BI280" s="1931"/>
      <c r="BJ280" s="1931"/>
      <c r="BK280" s="1931"/>
      <c r="BL280" s="1931"/>
      <c r="BM280" s="1931"/>
      <c r="BN280" s="1931"/>
      <c r="BO280" s="1931"/>
      <c r="BP280" s="1931"/>
      <c r="BQ280" s="1931"/>
      <c r="BR280" s="1931"/>
      <c r="BS280" s="1931"/>
      <c r="BT280" s="1931"/>
      <c r="BU280" s="1931"/>
      <c r="BV280" s="1931"/>
      <c r="BW280" s="1931"/>
      <c r="BX280" s="1931"/>
      <c r="BY280" s="1931"/>
      <c r="BZ280" s="1931"/>
      <c r="CA280" s="1931"/>
      <c r="CB280" s="1931"/>
      <c r="CC280" s="1931"/>
      <c r="CD280" s="1931"/>
      <c r="CE280" s="1930"/>
      <c r="CF280" s="1930"/>
      <c r="CG280" s="1930"/>
      <c r="CH280" s="1930"/>
      <c r="CI280" s="1931"/>
      <c r="CJ280" s="1931"/>
      <c r="CK280" s="1931"/>
      <c r="CL280" s="1931"/>
      <c r="CM280" s="1931"/>
      <c r="CN280" s="1931"/>
      <c r="CO280" s="1931"/>
      <c r="CP280" s="1931"/>
      <c r="CQ280" s="1931"/>
      <c r="CR280" s="1931"/>
      <c r="CS280" s="1931"/>
      <c r="CT280" s="1930"/>
      <c r="CU280" s="1930"/>
      <c r="CV280" s="1930"/>
      <c r="CW280" s="1930"/>
      <c r="CX280" s="1931"/>
      <c r="CY280" s="1931"/>
      <c r="CZ280" s="1931"/>
      <c r="DA280" s="1931"/>
      <c r="DB280" s="1932"/>
      <c r="DC280" s="1931"/>
      <c r="DD280" s="1931"/>
      <c r="DE280" s="1931"/>
      <c r="DF280" s="1931"/>
    </row>
    <row r="281" spans="2:112" hidden="1" outlineLevel="1" x14ac:dyDescent="0.25">
      <c r="B281" s="1931"/>
      <c r="D281" s="1300"/>
      <c r="E281" s="1965"/>
      <c r="F281" s="1965"/>
      <c r="G281" s="1965"/>
      <c r="H281" s="1301"/>
      <c r="I281" s="1965"/>
      <c r="J281" s="1965"/>
      <c r="K281" s="1965"/>
      <c r="L281" s="1965"/>
      <c r="M281" s="1965"/>
      <c r="N281" s="1965"/>
      <c r="O281" s="1965"/>
      <c r="P281" s="1965"/>
      <c r="Q281" s="1965"/>
      <c r="R281" s="1965"/>
      <c r="S281" s="1965"/>
      <c r="T281" s="1965"/>
      <c r="U281" s="1965"/>
      <c r="V281" s="1931"/>
      <c r="W281" s="1931"/>
      <c r="X281" s="1931"/>
      <c r="Y281" s="1931"/>
      <c r="Z281" s="1931"/>
      <c r="AA281" s="1931"/>
      <c r="AB281" s="1931"/>
      <c r="AC281" s="1931"/>
      <c r="AD281" s="1931"/>
      <c r="AE281" s="1931"/>
      <c r="AF281" s="1931"/>
      <c r="AG281" s="1931"/>
      <c r="AH281" s="1931"/>
      <c r="AI281" s="1931"/>
      <c r="AJ281" s="1931"/>
      <c r="AK281" s="1931"/>
      <c r="AL281" s="1931"/>
      <c r="AM281" s="1931"/>
      <c r="AN281" s="1931"/>
      <c r="AO281" s="1931"/>
      <c r="AP281" s="1931"/>
      <c r="AQ281" s="1931"/>
      <c r="AR281" s="1931"/>
      <c r="AS281" s="1931"/>
      <c r="AT281" s="1931"/>
      <c r="AU281" s="1931"/>
      <c r="AV281" s="1931"/>
      <c r="AW281" s="1931"/>
      <c r="AX281" s="1931"/>
      <c r="AY281" s="1931"/>
      <c r="AZ281" s="1931"/>
      <c r="BA281" s="1931"/>
      <c r="BB281" s="1931"/>
      <c r="BC281" s="1931"/>
      <c r="BD281" s="1931"/>
      <c r="BE281" s="1931"/>
      <c r="BF281" s="1931"/>
      <c r="BG281" s="1931"/>
      <c r="BH281" s="1931"/>
      <c r="BI281" s="1931"/>
      <c r="BJ281" s="1931"/>
      <c r="BK281" s="1931"/>
      <c r="BL281" s="1931"/>
      <c r="BM281" s="1931"/>
      <c r="BN281" s="1931"/>
      <c r="BO281" s="1931"/>
      <c r="BP281" s="1931"/>
      <c r="BQ281" s="1931"/>
      <c r="BR281" s="1931"/>
      <c r="BS281" s="1931"/>
      <c r="BT281" s="1931"/>
      <c r="BU281" s="1931"/>
      <c r="BV281" s="1931"/>
      <c r="BW281" s="1931"/>
      <c r="BX281" s="1931"/>
      <c r="BY281" s="1931"/>
      <c r="BZ281" s="1931"/>
      <c r="CA281" s="1931"/>
      <c r="CB281" s="1931"/>
      <c r="CC281" s="1931"/>
      <c r="CD281" s="1931"/>
      <c r="CE281" s="1930"/>
      <c r="CF281" s="1930"/>
      <c r="CG281" s="1930"/>
      <c r="CH281" s="1930"/>
      <c r="CI281" s="1931"/>
      <c r="CJ281" s="1931"/>
      <c r="CK281" s="1931"/>
      <c r="CL281" s="1931"/>
      <c r="CM281" s="1931"/>
      <c r="CN281" s="1931"/>
      <c r="CO281" s="1931"/>
      <c r="CP281" s="1931"/>
      <c r="CQ281" s="1931"/>
      <c r="CR281" s="1931"/>
      <c r="CS281" s="1931"/>
      <c r="CT281" s="1930"/>
      <c r="CU281" s="1930"/>
      <c r="CV281" s="1930"/>
      <c r="CW281" s="1930"/>
      <c r="CX281" s="1931"/>
      <c r="CY281" s="1931"/>
      <c r="CZ281" s="1931"/>
      <c r="DA281" s="1931"/>
      <c r="DB281" s="1932"/>
      <c r="DC281" s="1931"/>
      <c r="DD281" s="1931"/>
      <c r="DE281" s="1931"/>
      <c r="DF281" s="1931"/>
    </row>
    <row r="282" spans="2:112" s="55" customFormat="1" hidden="1" outlineLevel="1" x14ac:dyDescent="0.25">
      <c r="C282" s="151"/>
      <c r="D282" s="46" t="s">
        <v>28</v>
      </c>
      <c r="E282" s="3081" t="s">
        <v>2758</v>
      </c>
      <c r="F282" s="3081" t="s">
        <v>2839</v>
      </c>
      <c r="G282" s="3081" t="s">
        <v>2840</v>
      </c>
      <c r="H282" s="401"/>
      <c r="I282" s="151"/>
      <c r="J282" s="401"/>
      <c r="K282" s="401"/>
      <c r="L282" s="401"/>
      <c r="M282" s="401"/>
      <c r="N282" s="401"/>
      <c r="O282" s="401"/>
      <c r="P282" s="401"/>
      <c r="Q282" s="401"/>
      <c r="R282" s="401"/>
      <c r="S282" s="401"/>
      <c r="T282" s="401"/>
      <c r="U282" s="401"/>
      <c r="DB282" s="72"/>
    </row>
    <row r="283" spans="2:112" hidden="1" outlineLevel="1" x14ac:dyDescent="0.25">
      <c r="B283" s="1931"/>
      <c r="D283" s="1967" t="str">
        <f>C273</f>
        <v>802650_2019_12_</v>
      </c>
      <c r="E283" s="1967" t="str">
        <f>E273</f>
        <v>Pool Pump Timer</v>
      </c>
      <c r="F283" s="1356">
        <v>403</v>
      </c>
      <c r="G283" s="1357">
        <v>2</v>
      </c>
      <c r="H283" s="1965"/>
      <c r="I283" s="1965"/>
      <c r="J283" s="1965"/>
      <c r="K283" s="1965"/>
      <c r="L283" s="1965"/>
      <c r="M283" s="1965"/>
      <c r="N283" s="1965"/>
      <c r="O283" s="1965"/>
      <c r="P283" s="1965"/>
      <c r="Q283" s="1965"/>
      <c r="R283" s="1965"/>
      <c r="S283" s="1965"/>
      <c r="T283" s="1965"/>
      <c r="U283" s="1965"/>
      <c r="V283" s="1931"/>
      <c r="W283" s="1931"/>
      <c r="X283" s="1931"/>
      <c r="Y283" s="1931"/>
      <c r="Z283" s="1931"/>
      <c r="AA283" s="1931"/>
      <c r="AB283" s="1931"/>
      <c r="AC283" s="1931"/>
      <c r="AD283" s="1931"/>
      <c r="AE283" s="1931"/>
      <c r="AF283" s="1931"/>
      <c r="AG283" s="1931"/>
      <c r="AH283" s="1931"/>
      <c r="AI283" s="1931"/>
      <c r="AJ283" s="1931"/>
      <c r="AK283" s="1931"/>
      <c r="AL283" s="1931"/>
      <c r="AM283" s="1931"/>
      <c r="AN283" s="1931"/>
      <c r="AO283" s="1931"/>
      <c r="AP283" s="1931"/>
      <c r="AQ283" s="1931"/>
      <c r="AR283" s="1931"/>
      <c r="AS283" s="1931"/>
      <c r="AT283" s="1931"/>
      <c r="AU283" s="1931"/>
      <c r="AV283" s="1931"/>
      <c r="AW283" s="1931"/>
      <c r="AX283" s="1931"/>
      <c r="AY283" s="1931"/>
      <c r="AZ283" s="1931"/>
      <c r="BA283" s="1931"/>
      <c r="BB283" s="1931"/>
      <c r="BC283" s="1931"/>
      <c r="BD283" s="1931"/>
      <c r="BE283" s="1931"/>
      <c r="BF283" s="1931"/>
      <c r="BG283" s="1931"/>
      <c r="BH283" s="1931"/>
      <c r="BI283" s="1931"/>
      <c r="BJ283" s="1931"/>
      <c r="BK283" s="1931"/>
      <c r="BL283" s="1931"/>
      <c r="BM283" s="1931"/>
      <c r="BN283" s="1931"/>
      <c r="BO283" s="1931"/>
      <c r="BP283" s="1931"/>
      <c r="BQ283" s="1931"/>
      <c r="BR283" s="1931"/>
      <c r="BS283" s="1931"/>
      <c r="BT283" s="1931"/>
      <c r="BU283" s="1931"/>
      <c r="BV283" s="1931"/>
      <c r="BW283" s="1931"/>
      <c r="BX283" s="1931"/>
      <c r="BY283" s="1931"/>
      <c r="BZ283" s="1931"/>
      <c r="CA283" s="1931"/>
      <c r="CB283" s="1931"/>
      <c r="CC283" s="1931"/>
      <c r="CD283" s="1931"/>
      <c r="CE283" s="1930"/>
      <c r="CF283" s="1930"/>
      <c r="CG283" s="1930"/>
      <c r="CH283" s="1930"/>
      <c r="CI283" s="1931"/>
      <c r="CJ283" s="1931"/>
      <c r="CK283" s="1931"/>
      <c r="CL283" s="1931"/>
      <c r="CM283" s="1931"/>
      <c r="CN283" s="1931"/>
      <c r="CO283" s="1931"/>
      <c r="CP283" s="1931"/>
      <c r="CQ283" s="1931"/>
      <c r="CR283" s="1931"/>
      <c r="CS283" s="1931"/>
      <c r="CT283" s="1930"/>
      <c r="CU283" s="1930"/>
      <c r="CV283" s="1930"/>
      <c r="CW283" s="1930"/>
      <c r="CX283" s="1931"/>
      <c r="CY283" s="1931"/>
      <c r="CZ283" s="1931"/>
      <c r="DA283" s="1931"/>
      <c r="DB283" s="1932"/>
      <c r="DC283" s="1931"/>
      <c r="DD283" s="1931"/>
      <c r="DE283" s="1931"/>
      <c r="DF283" s="1931"/>
    </row>
    <row r="284" spans="2:112" collapsed="1" x14ac:dyDescent="0.25">
      <c r="B284" s="1931"/>
      <c r="D284" s="1966"/>
      <c r="E284" s="1965"/>
      <c r="F284" s="1965"/>
      <c r="G284" s="1968"/>
      <c r="H284" s="1969"/>
      <c r="I284" s="1965"/>
      <c r="J284" s="1965"/>
      <c r="K284" s="1965"/>
      <c r="L284" s="1965"/>
      <c r="M284" s="1965"/>
      <c r="N284" s="1965"/>
      <c r="O284" s="1965"/>
      <c r="P284" s="1965"/>
      <c r="Q284" s="1965"/>
      <c r="R284" s="1965"/>
      <c r="S284" s="1965"/>
      <c r="T284" s="1965"/>
      <c r="U284" s="1965"/>
      <c r="V284" s="1931"/>
      <c r="W284" s="1931"/>
      <c r="X284" s="1931"/>
      <c r="Y284" s="1931"/>
      <c r="Z284" s="1931"/>
      <c r="AA284" s="1931"/>
      <c r="AB284" s="1931"/>
      <c r="AC284" s="1931"/>
      <c r="AD284" s="1931"/>
      <c r="AE284" s="1931"/>
      <c r="AF284" s="1931"/>
      <c r="AG284" s="1931"/>
      <c r="AH284" s="1931"/>
      <c r="AI284" s="1931"/>
      <c r="AJ284" s="1931"/>
      <c r="AK284" s="1931"/>
      <c r="AL284" s="1931"/>
      <c r="AM284" s="1931"/>
      <c r="AN284" s="1931"/>
      <c r="AO284" s="1931"/>
      <c r="AP284" s="1931"/>
      <c r="AQ284" s="1931"/>
      <c r="AR284" s="1931"/>
      <c r="AS284" s="1931"/>
      <c r="AT284" s="1931"/>
      <c r="AU284" s="1931"/>
      <c r="AV284" s="1931"/>
      <c r="AW284" s="1931"/>
      <c r="AX284" s="1931"/>
      <c r="AY284" s="1931"/>
      <c r="AZ284" s="1931"/>
      <c r="BA284" s="1931"/>
      <c r="BB284" s="1931"/>
      <c r="BC284" s="1931"/>
      <c r="BD284" s="1931"/>
      <c r="BE284" s="1931"/>
      <c r="BF284" s="1931"/>
      <c r="BG284" s="1931"/>
      <c r="BH284" s="1931"/>
      <c r="BI284" s="1931"/>
      <c r="BJ284" s="1931"/>
      <c r="BK284" s="1931"/>
      <c r="BL284" s="1931"/>
      <c r="BM284" s="1931"/>
      <c r="BN284" s="1931"/>
      <c r="BO284" s="1931"/>
      <c r="BP284" s="1931"/>
      <c r="BQ284" s="1931"/>
      <c r="BR284" s="1931"/>
      <c r="BS284" s="1931"/>
      <c r="BT284" s="1931"/>
      <c r="BU284" s="1931"/>
      <c r="BV284" s="1931"/>
      <c r="BW284" s="1931"/>
      <c r="BX284" s="1931"/>
      <c r="BY284" s="1931"/>
      <c r="BZ284" s="1931"/>
      <c r="CA284" s="1931"/>
      <c r="CB284" s="1931"/>
      <c r="CC284" s="1931"/>
      <c r="CD284" s="1931"/>
      <c r="CE284" s="1930"/>
      <c r="CF284" s="1930"/>
      <c r="CG284" s="1930"/>
      <c r="CH284" s="1930"/>
      <c r="CI284" s="1931"/>
      <c r="CJ284" s="1931"/>
      <c r="CK284" s="1931"/>
      <c r="CL284" s="1931"/>
      <c r="CM284" s="1931"/>
      <c r="CN284" s="1931"/>
      <c r="CO284" s="1931"/>
      <c r="CP284" s="1931"/>
      <c r="CQ284" s="1931"/>
      <c r="CR284" s="1931"/>
      <c r="CS284" s="1931"/>
      <c r="CT284" s="1930"/>
      <c r="CU284" s="1930"/>
      <c r="CV284" s="1930"/>
      <c r="CW284" s="1930"/>
      <c r="CX284" s="1931"/>
      <c r="CY284" s="1931"/>
      <c r="CZ284" s="1931"/>
      <c r="DA284" s="1931"/>
      <c r="DB284" s="1932"/>
      <c r="DC284" s="1931"/>
      <c r="DD284" s="1931"/>
      <c r="DE284" s="1931"/>
      <c r="DF284" s="1931"/>
    </row>
    <row r="286" spans="2:112" s="43" customFormat="1" x14ac:dyDescent="0.25">
      <c r="B286" s="4484" t="s">
        <v>2841</v>
      </c>
      <c r="C286" s="4485"/>
      <c r="D286" s="4485"/>
      <c r="E286" s="4485"/>
      <c r="F286" s="4485"/>
      <c r="G286" s="4485"/>
      <c r="H286" s="4485"/>
      <c r="I286" s="4486"/>
      <c r="J286" s="4486"/>
      <c r="K286" s="4486"/>
      <c r="L286" s="4486"/>
      <c r="M286" s="3752"/>
      <c r="N286" s="3752"/>
      <c r="O286" s="3753"/>
      <c r="P286" s="1935"/>
      <c r="Q286" s="1935"/>
      <c r="R286" s="1935"/>
      <c r="S286" s="1935"/>
      <c r="T286" s="1935"/>
      <c r="U286" s="1935"/>
      <c r="V286" s="3077" t="str">
        <f>B286</f>
        <v>Steam Cookers</v>
      </c>
      <c r="W286" s="3078"/>
      <c r="X286" s="3078"/>
      <c r="Y286" s="3078"/>
      <c r="Z286" s="3078"/>
      <c r="AA286" s="3078"/>
      <c r="AB286" s="3078"/>
      <c r="AC286" s="3078"/>
      <c r="AD286" s="3078"/>
      <c r="AE286" s="3078"/>
      <c r="AF286" s="3078"/>
      <c r="AG286" s="3078"/>
      <c r="AH286" s="3078"/>
      <c r="AI286" s="3170"/>
      <c r="AJ286" s="1931"/>
      <c r="AK286" s="1931"/>
      <c r="AL286" s="1931"/>
      <c r="AM286" s="1931"/>
      <c r="AN286" s="1931"/>
      <c r="AO286" s="1931"/>
      <c r="AP286" s="1931"/>
      <c r="AQ286" s="1931"/>
      <c r="AR286" s="1931"/>
      <c r="AS286" s="1931"/>
      <c r="AT286" s="1931"/>
      <c r="AU286" s="1931"/>
      <c r="AV286" s="1935"/>
      <c r="AW286" s="1935"/>
      <c r="AX286" s="1935"/>
      <c r="AY286" s="1935"/>
      <c r="AZ286" s="1935"/>
      <c r="BA286" s="1935"/>
      <c r="BB286" s="1935"/>
      <c r="BC286" s="1935"/>
      <c r="BD286" s="1935"/>
      <c r="BE286" s="1935"/>
      <c r="BF286" s="1935"/>
      <c r="BG286" s="1935"/>
      <c r="BH286" s="1935"/>
      <c r="BI286" s="1935"/>
      <c r="BJ286" s="1935"/>
      <c r="BK286" s="1935"/>
      <c r="BL286" s="1935"/>
      <c r="BM286" s="1935"/>
      <c r="BN286" s="1935"/>
      <c r="BO286" s="1935"/>
      <c r="BP286" s="1935"/>
      <c r="BQ286" s="1935"/>
      <c r="BR286" s="1935"/>
      <c r="BS286" s="1935"/>
      <c r="BT286" s="1935"/>
      <c r="BU286" s="1935"/>
      <c r="BV286" s="1935"/>
      <c r="BW286" s="1935"/>
      <c r="BX286" s="1935"/>
      <c r="BY286" s="1935"/>
      <c r="BZ286" s="1935"/>
      <c r="CA286" s="1935"/>
      <c r="CB286" s="1935"/>
      <c r="CC286" s="1935"/>
      <c r="CD286" s="1935"/>
      <c r="CE286" s="1935"/>
      <c r="CF286" s="1935"/>
      <c r="CG286" s="1935"/>
      <c r="CH286" s="1935"/>
      <c r="CI286" s="1935"/>
      <c r="CJ286" s="1935"/>
      <c r="CK286" s="1935"/>
      <c r="CL286" s="1935"/>
      <c r="CM286" s="1935"/>
      <c r="CN286" s="1935"/>
      <c r="CO286" s="1935"/>
      <c r="CP286" s="1935"/>
      <c r="CQ286" s="1935"/>
      <c r="CR286" s="1935"/>
      <c r="CS286" s="1935"/>
      <c r="CT286" s="1935"/>
      <c r="CU286" s="1935"/>
      <c r="CV286" s="1935"/>
      <c r="CW286" s="1935"/>
      <c r="CX286" s="1935"/>
      <c r="CY286" s="1935"/>
      <c r="CZ286" s="1935"/>
      <c r="DA286" s="1935"/>
      <c r="DB286" s="73"/>
      <c r="DC286" s="1935"/>
      <c r="DD286" s="1935"/>
      <c r="DE286" s="1935"/>
      <c r="DF286" s="1935"/>
      <c r="DG286" s="1935"/>
      <c r="DH286" s="1935"/>
    </row>
    <row r="287" spans="2:112" x14ac:dyDescent="0.25">
      <c r="B287" s="1931"/>
      <c r="D287" s="1286"/>
      <c r="E287" s="1966"/>
      <c r="F287" s="1966"/>
      <c r="G287" s="1966"/>
      <c r="H287" s="1287"/>
      <c r="I287" s="1966"/>
      <c r="J287" s="1966"/>
      <c r="K287" s="1966"/>
      <c r="L287" s="1966"/>
      <c r="M287" s="1965"/>
      <c r="N287" s="1965"/>
      <c r="O287" s="1965"/>
      <c r="P287" s="1966"/>
      <c r="Q287" s="1966"/>
      <c r="R287" s="1966"/>
      <c r="S287" s="1966"/>
      <c r="T287" s="1966"/>
      <c r="U287" s="1966"/>
      <c r="V287" s="1930"/>
      <c r="W287" s="1930"/>
      <c r="X287" s="1930"/>
      <c r="Y287" s="1930"/>
      <c r="Z287" s="1930"/>
      <c r="AA287" s="1930"/>
      <c r="AB287" s="1930"/>
      <c r="AC287" s="1930"/>
      <c r="AD287" s="1930"/>
      <c r="AE287" s="1930"/>
      <c r="AF287" s="1930"/>
      <c r="AG287" s="1930"/>
      <c r="AH287" s="1930"/>
      <c r="AI287" s="1930"/>
      <c r="AJ287" s="1934"/>
      <c r="AK287" s="1934"/>
      <c r="AL287" s="1934"/>
      <c r="AM287" s="1934"/>
      <c r="AN287" s="1934"/>
      <c r="AO287" s="1934"/>
      <c r="AP287" s="1934"/>
      <c r="AQ287" s="1934"/>
      <c r="AR287" s="1934"/>
      <c r="AS287" s="1934"/>
      <c r="AT287" s="1934"/>
      <c r="AU287" s="1934"/>
      <c r="AV287" s="1931"/>
      <c r="AW287" s="1931"/>
      <c r="AX287" s="1931"/>
      <c r="AY287" s="1931"/>
      <c r="AZ287" s="1931"/>
      <c r="BA287" s="1931"/>
      <c r="BB287" s="1931"/>
      <c r="BC287" s="1931"/>
      <c r="BD287" s="1931"/>
      <c r="BE287" s="1931"/>
      <c r="BF287" s="1931"/>
      <c r="BG287" s="1931"/>
      <c r="BH287" s="1931"/>
      <c r="BI287" s="1931"/>
      <c r="BJ287" s="1931"/>
      <c r="BK287" s="1931"/>
      <c r="BL287" s="1931"/>
      <c r="BM287" s="1931"/>
      <c r="BN287" s="1931"/>
      <c r="BO287" s="1931"/>
      <c r="BP287" s="1931"/>
      <c r="BQ287" s="1931"/>
      <c r="BR287" s="1931"/>
      <c r="BS287" s="1931"/>
      <c r="BT287" s="1931"/>
      <c r="BU287" s="1931"/>
      <c r="BV287" s="1931"/>
      <c r="BW287" s="1931"/>
      <c r="BX287" s="1931"/>
      <c r="BY287" s="1931"/>
      <c r="BZ287" s="1931"/>
      <c r="CA287" s="1931"/>
      <c r="CB287" s="1931"/>
      <c r="CC287" s="1931"/>
      <c r="CD287" s="1931"/>
      <c r="CE287" s="1930"/>
      <c r="CF287" s="1930"/>
      <c r="CG287" s="1930"/>
      <c r="CH287" s="1930"/>
      <c r="CI287" s="1931"/>
      <c r="CJ287" s="1931"/>
      <c r="CK287" s="1931"/>
      <c r="CL287" s="1931"/>
      <c r="CM287" s="1931"/>
      <c r="CN287" s="1931"/>
      <c r="CO287" s="1931"/>
      <c r="CP287" s="1931"/>
      <c r="CQ287" s="1931"/>
      <c r="CR287" s="1931"/>
      <c r="CS287" s="1931"/>
      <c r="CT287" s="1930"/>
      <c r="CU287" s="1930"/>
      <c r="CV287" s="1930"/>
      <c r="CW287" s="1930"/>
      <c r="CX287" s="1931"/>
      <c r="CY287" s="1931"/>
      <c r="CZ287" s="1931"/>
      <c r="DA287" s="1931"/>
      <c r="DB287" s="1932"/>
      <c r="DC287" s="1931"/>
      <c r="DD287" s="1931"/>
      <c r="DE287" s="1931"/>
      <c r="DF287" s="1931"/>
    </row>
    <row r="288" spans="2:112" s="44" customFormat="1" ht="30" x14ac:dyDescent="0.25">
      <c r="B288" s="45"/>
      <c r="C288" s="46" t="s">
        <v>28</v>
      </c>
      <c r="D288" s="3196" t="s">
        <v>29</v>
      </c>
      <c r="E288" s="3196" t="s">
        <v>30</v>
      </c>
      <c r="F288" s="3196" t="s">
        <v>31</v>
      </c>
      <c r="G288" s="3196" t="s">
        <v>176</v>
      </c>
      <c r="H288" s="47" t="s">
        <v>177</v>
      </c>
      <c r="I288" s="3196" t="s">
        <v>32</v>
      </c>
      <c r="J288" s="3196" t="s">
        <v>181</v>
      </c>
      <c r="K288" s="46" t="s">
        <v>170</v>
      </c>
      <c r="L288" s="46" t="s">
        <v>44</v>
      </c>
      <c r="M288" s="1965"/>
      <c r="N288" s="1965"/>
      <c r="O288" s="1965"/>
      <c r="P288" s="1288"/>
      <c r="Q288" s="1288"/>
      <c r="R288" s="1288"/>
      <c r="S288" s="1288"/>
      <c r="T288" s="1288"/>
      <c r="U288" s="1288"/>
      <c r="V288" s="1936" t="s">
        <v>45</v>
      </c>
      <c r="W288" s="1937">
        <f>$W$8</f>
        <v>43252</v>
      </c>
      <c r="X288" s="1937">
        <f>$X$8</f>
        <v>43465</v>
      </c>
      <c r="Y288" s="1937">
        <f>$Y$8</f>
        <v>43800</v>
      </c>
      <c r="Z288" s="1937">
        <f>$Z$8</f>
        <v>43862</v>
      </c>
      <c r="AA288" s="1937">
        <f>$AA$8</f>
        <v>44013</v>
      </c>
      <c r="AB288" s="1937">
        <v>44166</v>
      </c>
      <c r="AC288" s="1937">
        <f>$AC$8</f>
        <v>44531</v>
      </c>
      <c r="AD288" s="1937" t="str">
        <f>$AD$8</f>
        <v>-</v>
      </c>
      <c r="AE288" s="1937" t="str">
        <f>$AE$8</f>
        <v>-</v>
      </c>
      <c r="AF288" s="1937" t="str">
        <f>$AF$8</f>
        <v>-</v>
      </c>
      <c r="AG288" s="1937" t="str">
        <f>$AG$8</f>
        <v>-</v>
      </c>
      <c r="AH288" s="1930"/>
      <c r="AI288" s="1936" t="s">
        <v>45</v>
      </c>
      <c r="AJ288" s="1937">
        <v>43252</v>
      </c>
      <c r="AK288" s="1937">
        <f>$X$8</f>
        <v>43465</v>
      </c>
      <c r="AL288" s="1937">
        <f>$Y$8</f>
        <v>43800</v>
      </c>
      <c r="AM288" s="1937">
        <f>$Z$8</f>
        <v>43862</v>
      </c>
      <c r="AN288" s="1937">
        <f>$AA$8</f>
        <v>44013</v>
      </c>
      <c r="AO288" s="1937">
        <f>$AB$8</f>
        <v>44166</v>
      </c>
      <c r="AP288" s="1937">
        <f>$AC$8</f>
        <v>44531</v>
      </c>
      <c r="AQ288" s="1937" t="str">
        <f>$AD$8</f>
        <v>-</v>
      </c>
      <c r="AR288" s="1937" t="str">
        <f>$AE$8</f>
        <v>-</v>
      </c>
      <c r="AS288" s="1937" t="str">
        <f>$AF$8</f>
        <v>-</v>
      </c>
      <c r="AT288" s="1933"/>
      <c r="AU288" s="1936" t="s">
        <v>45</v>
      </c>
      <c r="AV288" s="1937">
        <v>43252</v>
      </c>
      <c r="AW288" s="1937">
        <f>$X$8</f>
        <v>43465</v>
      </c>
      <c r="AX288" s="1937">
        <f>$Y$8</f>
        <v>43800</v>
      </c>
      <c r="AY288" s="1937">
        <f>$Z$8</f>
        <v>43862</v>
      </c>
      <c r="AZ288" s="1937">
        <f>$AA$8</f>
        <v>44013</v>
      </c>
      <c r="BA288" s="1937">
        <v>44166</v>
      </c>
      <c r="BB288" s="1937">
        <f>$AC$8</f>
        <v>44531</v>
      </c>
      <c r="BC288" s="1937" t="str">
        <f>$AD$8</f>
        <v>-</v>
      </c>
      <c r="BD288" s="1937" t="str">
        <f>$AE$8</f>
        <v>-</v>
      </c>
      <c r="BE288" s="1937" t="str">
        <f>$AF$8</f>
        <v>-</v>
      </c>
      <c r="DB288" s="1938" t="str">
        <f>$DB$8</f>
        <v>TRC (2020)</v>
      </c>
      <c r="DC288" s="1953" t="str">
        <f>$DC$8</f>
        <v>Benefit Lookup</v>
      </c>
      <c r="DD288" s="1953" t="str">
        <f>$DD$8</f>
        <v>Benefits (2019 $)</v>
      </c>
      <c r="DE288" s="1953" t="str">
        <f>$DE$8</f>
        <v>Incremental Cost (2019 $)</v>
      </c>
    </row>
    <row r="289" spans="2:110" x14ac:dyDescent="0.25">
      <c r="B289" s="1931"/>
      <c r="C289" s="1997" t="s">
        <v>2842</v>
      </c>
      <c r="D289" s="1289" t="s">
        <v>2646</v>
      </c>
      <c r="E289" s="1308" t="s">
        <v>2843</v>
      </c>
      <c r="F289" s="1959">
        <f>ROUND((F302+G302)*H302/1000,2)</f>
        <v>7856.31</v>
      </c>
      <c r="G289" s="1290" t="s">
        <v>2844</v>
      </c>
      <c r="H289" s="1291">
        <f>VLOOKUP(G289,'CP FACTORS'!$A$26:$B$38,2,FALSE)</f>
        <v>1.998949E-4</v>
      </c>
      <c r="I289" s="1309">
        <f>ROUND(H289*F289,6)</f>
        <v>1.5704359999999999</v>
      </c>
      <c r="J289" s="1358">
        <v>12</v>
      </c>
      <c r="K289" s="1329">
        <v>4150</v>
      </c>
      <c r="L289" s="1292" t="s">
        <v>185</v>
      </c>
      <c r="M289" s="1965"/>
      <c r="N289" s="1965"/>
      <c r="O289" s="1965"/>
      <c r="P289" s="1965"/>
      <c r="Q289" s="1965"/>
      <c r="R289" s="1965"/>
      <c r="S289" s="1965"/>
      <c r="T289" s="1965"/>
      <c r="U289" s="1965"/>
      <c r="V289" s="3226" t="s">
        <v>31</v>
      </c>
      <c r="W289" s="1947">
        <v>7856.3138680450465</v>
      </c>
      <c r="X289" s="1947">
        <v>7856.3138680450465</v>
      </c>
      <c r="Y289" s="129">
        <v>7856.3138680450465</v>
      </c>
      <c r="Z289" s="129">
        <v>7856.3138680450465</v>
      </c>
      <c r="AA289" s="129">
        <v>7856.3138680450465</v>
      </c>
      <c r="AB289" s="2002">
        <v>7856.31</v>
      </c>
      <c r="AC289" s="3364">
        <v>7856.31</v>
      </c>
      <c r="AD289" s="2099"/>
      <c r="AE289" s="2099"/>
      <c r="AF289" s="2099"/>
      <c r="AG289" s="2099"/>
      <c r="AH289" s="2100"/>
      <c r="AI289" s="3227" t="s">
        <v>181</v>
      </c>
      <c r="AJ289" s="64">
        <v>12</v>
      </c>
      <c r="AK289" s="64">
        <v>12</v>
      </c>
      <c r="AL289" s="64">
        <v>12</v>
      </c>
      <c r="AM289" s="64">
        <v>12</v>
      </c>
      <c r="AN289" s="64">
        <v>12</v>
      </c>
      <c r="AO289" s="2091">
        <v>12</v>
      </c>
      <c r="AP289" s="2091">
        <v>12</v>
      </c>
      <c r="AQ289" s="2099"/>
      <c r="AR289" s="2099"/>
      <c r="AS289" s="2099"/>
      <c r="AT289" s="1933"/>
      <c r="AU289" s="3227" t="s">
        <v>170</v>
      </c>
      <c r="AV289" s="2102">
        <v>4150</v>
      </c>
      <c r="AW289" s="2102">
        <v>4150</v>
      </c>
      <c r="AX289" s="2102">
        <v>4150</v>
      </c>
      <c r="AY289" s="2102">
        <v>4150</v>
      </c>
      <c r="AZ289" s="2102">
        <v>4150</v>
      </c>
      <c r="BA289" s="2390">
        <v>4150</v>
      </c>
      <c r="BB289" s="2390">
        <v>4150</v>
      </c>
      <c r="BC289" s="2099"/>
      <c r="BD289" s="2099"/>
      <c r="BE289" s="2099"/>
      <c r="BF289" s="1933"/>
      <c r="BG289" s="1931"/>
      <c r="BH289" s="1931"/>
      <c r="BI289" s="1931"/>
      <c r="BJ289" s="1931"/>
      <c r="BK289" s="1931"/>
      <c r="BL289" s="1931"/>
      <c r="BM289" s="1931"/>
      <c r="BN289" s="1931"/>
      <c r="BO289" s="1931"/>
      <c r="BP289" s="1931"/>
      <c r="BQ289" s="1931"/>
      <c r="BR289" s="1931"/>
      <c r="BS289" s="1931"/>
      <c r="BT289" s="1931"/>
      <c r="BU289" s="1931"/>
      <c r="BV289" s="1931"/>
      <c r="BW289" s="1931"/>
      <c r="BX289" s="1931"/>
      <c r="BY289" s="1931"/>
      <c r="BZ289" s="1931"/>
      <c r="CA289" s="1931"/>
      <c r="CB289" s="1931"/>
      <c r="CC289" s="1931"/>
      <c r="CD289" s="1931"/>
      <c r="CE289" s="1930"/>
      <c r="CF289" s="1930"/>
      <c r="CG289" s="1930"/>
      <c r="CH289" s="1930"/>
      <c r="CI289" s="1931"/>
      <c r="CJ289" s="1931"/>
      <c r="CK289" s="1931"/>
      <c r="CL289" s="1931"/>
      <c r="CM289" s="1931"/>
      <c r="CN289" s="1931"/>
      <c r="CO289" s="1931"/>
      <c r="CP289" s="1931"/>
      <c r="CQ289" s="1931"/>
      <c r="CR289" s="1931"/>
      <c r="CS289" s="1931"/>
      <c r="CT289" s="1930"/>
      <c r="CU289" s="1930"/>
      <c r="CV289" s="1930"/>
      <c r="CW289" s="1930"/>
      <c r="CX289" s="1931"/>
      <c r="CY289" s="1931"/>
      <c r="CZ289" s="1931"/>
      <c r="DA289" s="1931"/>
      <c r="DB289" s="1945">
        <f>(DD289)/(DE289)</f>
        <v>1.0172947267638794</v>
      </c>
      <c r="DC289" s="3166" t="str">
        <f>CONCATENATE(G289," ",J289," Year EUL")</f>
        <v>Cooking BUS 12 Year EUL</v>
      </c>
      <c r="DD289" s="69">
        <f>(INDEX('Avoided Cost Benefits'!$C$4:$C$857,MATCH(DC289,'Avoided Cost Benefits'!$A$4:$A$857,0)))*F289</f>
        <v>3984.6843945918822</v>
      </c>
      <c r="DE289" s="1946">
        <f>K289/(1.0595^(2020-2019))</f>
        <v>3916.9419537517692</v>
      </c>
      <c r="DF289" s="1931"/>
    </row>
    <row r="290" spans="2:110" x14ac:dyDescent="0.25">
      <c r="B290" s="1931"/>
      <c r="C290" s="1997" t="s">
        <v>2845</v>
      </c>
      <c r="D290" s="1289" t="s">
        <v>2646</v>
      </c>
      <c r="E290" s="1319" t="s">
        <v>2846</v>
      </c>
      <c r="F290" s="1959">
        <f>ROUND((F303+G303)*H303/1000,2)</f>
        <v>9213.5</v>
      </c>
      <c r="G290" s="1290" t="s">
        <v>2844</v>
      </c>
      <c r="H290" s="1291">
        <f>VLOOKUP(G290,'CP FACTORS'!$A$26:$B$38,2,FALSE)</f>
        <v>1.998949E-4</v>
      </c>
      <c r="I290" s="1309">
        <f>ROUND(H290*F290,6)</f>
        <v>1.8417319999999999</v>
      </c>
      <c r="J290" s="1317">
        <v>12</v>
      </c>
      <c r="K290" s="1329">
        <v>4150</v>
      </c>
      <c r="L290" s="1292" t="s">
        <v>185</v>
      </c>
      <c r="M290" s="1965"/>
      <c r="N290" s="1965"/>
      <c r="O290" s="1965"/>
      <c r="P290" s="1965"/>
      <c r="Q290" s="1965"/>
      <c r="R290" s="1965"/>
      <c r="S290" s="1965"/>
      <c r="T290" s="1965"/>
      <c r="U290" s="1965"/>
      <c r="V290" s="3226" t="s">
        <v>31</v>
      </c>
      <c r="W290" s="1947">
        <v>9213.5039339295909</v>
      </c>
      <c r="X290" s="1947">
        <v>9213.5039339295909</v>
      </c>
      <c r="Y290" s="129">
        <v>9213.5039339295909</v>
      </c>
      <c r="Z290" s="129">
        <v>9213.5039339295909</v>
      </c>
      <c r="AA290" s="129">
        <v>9213.5039339295909</v>
      </c>
      <c r="AB290" s="2002">
        <v>9213.5</v>
      </c>
      <c r="AC290" s="3364">
        <v>9213.5</v>
      </c>
      <c r="AD290" s="2099"/>
      <c r="AE290" s="2099"/>
      <c r="AF290" s="2099"/>
      <c r="AG290" s="2099"/>
      <c r="AH290" s="2100"/>
      <c r="AI290" s="3227" t="s">
        <v>181</v>
      </c>
      <c r="AJ290" s="64">
        <v>12</v>
      </c>
      <c r="AK290" s="64">
        <v>12</v>
      </c>
      <c r="AL290" s="64">
        <v>12</v>
      </c>
      <c r="AM290" s="64">
        <v>12</v>
      </c>
      <c r="AN290" s="64">
        <v>12</v>
      </c>
      <c r="AO290" s="2091">
        <v>12</v>
      </c>
      <c r="AP290" s="2091">
        <v>12</v>
      </c>
      <c r="AQ290" s="2099"/>
      <c r="AR290" s="2099"/>
      <c r="AS290" s="2099"/>
      <c r="AT290" s="1933"/>
      <c r="AU290" s="3227" t="s">
        <v>170</v>
      </c>
      <c r="AV290" s="2102">
        <v>4150</v>
      </c>
      <c r="AW290" s="2102">
        <v>4150</v>
      </c>
      <c r="AX290" s="2102">
        <v>4150</v>
      </c>
      <c r="AY290" s="2102">
        <v>4150</v>
      </c>
      <c r="AZ290" s="2102">
        <v>4150</v>
      </c>
      <c r="BA290" s="2390">
        <v>4150</v>
      </c>
      <c r="BB290" s="2390">
        <v>4150</v>
      </c>
      <c r="BC290" s="2099"/>
      <c r="BD290" s="2099"/>
      <c r="BE290" s="2099"/>
      <c r="BF290" s="1933"/>
      <c r="BG290" s="1931"/>
      <c r="BH290" s="1931"/>
      <c r="BI290" s="1931"/>
      <c r="BJ290" s="1931"/>
      <c r="BK290" s="1931"/>
      <c r="BL290" s="1931"/>
      <c r="BM290" s="1931"/>
      <c r="BN290" s="1931"/>
      <c r="BO290" s="1931"/>
      <c r="BP290" s="1931"/>
      <c r="BQ290" s="1931"/>
      <c r="BR290" s="1931"/>
      <c r="BS290" s="1931"/>
      <c r="BT290" s="1931"/>
      <c r="BU290" s="1931"/>
      <c r="BV290" s="1931"/>
      <c r="BW290" s="1931"/>
      <c r="BX290" s="1931"/>
      <c r="BY290" s="1931"/>
      <c r="BZ290" s="1931"/>
      <c r="CA290" s="1931"/>
      <c r="CB290" s="1931"/>
      <c r="CC290" s="1931"/>
      <c r="CD290" s="1931"/>
      <c r="CE290" s="1930"/>
      <c r="CF290" s="1930"/>
      <c r="CG290" s="1930"/>
      <c r="CH290" s="1930"/>
      <c r="CI290" s="1931"/>
      <c r="CJ290" s="1931"/>
      <c r="CK290" s="1931"/>
      <c r="CL290" s="1931"/>
      <c r="CM290" s="1931"/>
      <c r="CN290" s="1931"/>
      <c r="CO290" s="1931"/>
      <c r="CP290" s="1931"/>
      <c r="CQ290" s="1931"/>
      <c r="CR290" s="1931"/>
      <c r="CS290" s="1931"/>
      <c r="CT290" s="1930"/>
      <c r="CU290" s="1930"/>
      <c r="CV290" s="1930"/>
      <c r="CW290" s="1930"/>
      <c r="CX290" s="1931"/>
      <c r="CY290" s="1931"/>
      <c r="CZ290" s="1931"/>
      <c r="DA290" s="1931"/>
      <c r="DB290" s="52">
        <f>(DD290)/(DE290)</f>
        <v>1.1930340026092405</v>
      </c>
      <c r="DC290" s="1948" t="str">
        <f>CONCATENATE(G290," ",J290," Year EUL")</f>
        <v>Cooking BUS 12 Year EUL</v>
      </c>
      <c r="DD290" s="70">
        <f>(INDEX('Avoided Cost Benefits'!$C$4:$C$857,MATCH(DC290,'Avoided Cost Benefits'!$A$4:$A$857,0)))*F290</f>
        <v>4673.0449370725319</v>
      </c>
      <c r="DE290" s="1949">
        <f>K290/(1.0595^(2020-2019))</f>
        <v>3916.9419537517692</v>
      </c>
      <c r="DF290" s="1931"/>
    </row>
    <row r="291" spans="2:110" x14ac:dyDescent="0.25">
      <c r="B291" s="1931"/>
      <c r="C291" s="1997" t="s">
        <v>2847</v>
      </c>
      <c r="D291" s="1289" t="s">
        <v>2646</v>
      </c>
      <c r="E291" s="1319" t="s">
        <v>2848</v>
      </c>
      <c r="F291" s="1959">
        <f>ROUND((F304+G304)*H304/1000,2)</f>
        <v>10512.97</v>
      </c>
      <c r="G291" s="1290" t="s">
        <v>2844</v>
      </c>
      <c r="H291" s="1291">
        <f>VLOOKUP(G291,'CP FACTORS'!$A$26:$B$38,2,FALSE)</f>
        <v>1.998949E-4</v>
      </c>
      <c r="I291" s="1309">
        <f>ROUND(H291*F291,6)</f>
        <v>2.1014889999999999</v>
      </c>
      <c r="J291" s="1317">
        <v>12</v>
      </c>
      <c r="K291" s="1329">
        <v>4150</v>
      </c>
      <c r="L291" s="1292" t="s">
        <v>185</v>
      </c>
      <c r="M291" s="1965"/>
      <c r="N291" s="1965"/>
      <c r="O291" s="1965"/>
      <c r="P291" s="1965"/>
      <c r="Q291" s="1965"/>
      <c r="R291" s="1965"/>
      <c r="S291" s="1965"/>
      <c r="T291" s="1965"/>
      <c r="U291" s="1965"/>
      <c r="V291" s="3226" t="s">
        <v>31</v>
      </c>
      <c r="W291" s="1947">
        <v>10512.970851398522</v>
      </c>
      <c r="X291" s="1947">
        <v>10512.970851398522</v>
      </c>
      <c r="Y291" s="129">
        <v>10512.970851398522</v>
      </c>
      <c r="Z291" s="129">
        <v>10512.970851398522</v>
      </c>
      <c r="AA291" s="129">
        <v>10512.970851398522</v>
      </c>
      <c r="AB291" s="2002">
        <v>10512.97</v>
      </c>
      <c r="AC291" s="3364">
        <v>10512.97</v>
      </c>
      <c r="AD291" s="2099"/>
      <c r="AE291" s="2099"/>
      <c r="AF291" s="2099"/>
      <c r="AG291" s="2099"/>
      <c r="AH291" s="2100"/>
      <c r="AI291" s="3227" t="s">
        <v>181</v>
      </c>
      <c r="AJ291" s="64">
        <v>12</v>
      </c>
      <c r="AK291" s="64">
        <v>12</v>
      </c>
      <c r="AL291" s="64">
        <v>12</v>
      </c>
      <c r="AM291" s="64">
        <v>12</v>
      </c>
      <c r="AN291" s="64">
        <v>12</v>
      </c>
      <c r="AO291" s="2091">
        <v>12</v>
      </c>
      <c r="AP291" s="2091">
        <v>12</v>
      </c>
      <c r="AQ291" s="2099"/>
      <c r="AR291" s="2099"/>
      <c r="AS291" s="2099"/>
      <c r="AT291" s="1933"/>
      <c r="AU291" s="3227" t="s">
        <v>170</v>
      </c>
      <c r="AV291" s="2102">
        <v>4150</v>
      </c>
      <c r="AW291" s="2102">
        <v>4150</v>
      </c>
      <c r="AX291" s="2102">
        <v>4150</v>
      </c>
      <c r="AY291" s="2102">
        <v>4150</v>
      </c>
      <c r="AZ291" s="2102">
        <v>4150</v>
      </c>
      <c r="BA291" s="2390">
        <v>4150</v>
      </c>
      <c r="BB291" s="2390">
        <v>4150</v>
      </c>
      <c r="BC291" s="2099"/>
      <c r="BD291" s="2099"/>
      <c r="BE291" s="2099"/>
      <c r="BF291" s="1933"/>
      <c r="BG291" s="1931"/>
      <c r="BH291" s="1931"/>
      <c r="BI291" s="1931"/>
      <c r="BJ291" s="1931"/>
      <c r="BK291" s="1931"/>
      <c r="BL291" s="1931"/>
      <c r="BM291" s="1931"/>
      <c r="BN291" s="1931"/>
      <c r="BO291" s="1931"/>
      <c r="BP291" s="1931"/>
      <c r="BQ291" s="1931"/>
      <c r="BR291" s="1931"/>
      <c r="BS291" s="1931"/>
      <c r="BT291" s="1931"/>
      <c r="BU291" s="1931"/>
      <c r="BV291" s="1931"/>
      <c r="BW291" s="1931"/>
      <c r="BX291" s="1931"/>
      <c r="BY291" s="1931"/>
      <c r="BZ291" s="1931"/>
      <c r="CA291" s="1931"/>
      <c r="CB291" s="1931"/>
      <c r="CC291" s="1931"/>
      <c r="CD291" s="1931"/>
      <c r="CE291" s="1930"/>
      <c r="CF291" s="1930"/>
      <c r="CG291" s="1930"/>
      <c r="CH291" s="1930"/>
      <c r="CI291" s="1931"/>
      <c r="CJ291" s="1931"/>
      <c r="CK291" s="1931"/>
      <c r="CL291" s="1931"/>
      <c r="CM291" s="1931"/>
      <c r="CN291" s="1931"/>
      <c r="CO291" s="1931"/>
      <c r="CP291" s="1931"/>
      <c r="CQ291" s="1931"/>
      <c r="CR291" s="1931"/>
      <c r="CS291" s="1931"/>
      <c r="CT291" s="1930"/>
      <c r="CU291" s="1930"/>
      <c r="CV291" s="1930"/>
      <c r="CW291" s="1930"/>
      <c r="CX291" s="1931"/>
      <c r="CY291" s="1931"/>
      <c r="CZ291" s="1931"/>
      <c r="DA291" s="1931"/>
      <c r="DB291" s="52">
        <f>(DD291)/(DE291)</f>
        <v>1.3612992541825437</v>
      </c>
      <c r="DC291" s="1948" t="str">
        <f>CONCATENATE(G291," ",J291," Year EUL")</f>
        <v>Cooking BUS 12 Year EUL</v>
      </c>
      <c r="DD291" s="70">
        <f>(INDEX('Avoided Cost Benefits'!$C$4:$C$857,MATCH(DC291,'Avoided Cost Benefits'!$A$4:$A$857,0)))*F291</f>
        <v>5332.1301603185993</v>
      </c>
      <c r="DE291" s="1949">
        <f>K291/(1.0595^(2020-2019))</f>
        <v>3916.9419537517692</v>
      </c>
      <c r="DF291" s="1931"/>
    </row>
    <row r="292" spans="2:110" x14ac:dyDescent="0.25">
      <c r="B292" s="1931"/>
      <c r="C292" s="1997" t="s">
        <v>2849</v>
      </c>
      <c r="D292" s="1289" t="s">
        <v>2646</v>
      </c>
      <c r="E292" s="1319" t="s">
        <v>2850</v>
      </c>
      <c r="F292" s="1959">
        <f>ROUND((F305+G305)*H305/1000,2)</f>
        <v>11818.65</v>
      </c>
      <c r="G292" s="1290" t="s">
        <v>2844</v>
      </c>
      <c r="H292" s="1291">
        <f>VLOOKUP(G292,'CP FACTORS'!$A$26:$B$38,2,FALSE)</f>
        <v>1.998949E-4</v>
      </c>
      <c r="I292" s="1309">
        <f>ROUND(H292*F292,6)</f>
        <v>2.3624879999999999</v>
      </c>
      <c r="J292" s="1317">
        <v>12</v>
      </c>
      <c r="K292" s="1329">
        <v>4150</v>
      </c>
      <c r="L292" s="1292" t="s">
        <v>185</v>
      </c>
      <c r="M292" s="1965"/>
      <c r="N292" s="1965"/>
      <c r="O292" s="1965"/>
      <c r="P292" s="1965"/>
      <c r="Q292" s="1965"/>
      <c r="R292" s="1965"/>
      <c r="S292" s="1965"/>
      <c r="T292" s="1965"/>
      <c r="U292" s="1965"/>
      <c r="V292" s="3226" t="s">
        <v>31</v>
      </c>
      <c r="W292" s="1947">
        <v>11818.648943162641</v>
      </c>
      <c r="X292" s="1947">
        <v>11818.648943162641</v>
      </c>
      <c r="Y292" s="129">
        <v>11818.648943162641</v>
      </c>
      <c r="Z292" s="129">
        <v>11818.648943162641</v>
      </c>
      <c r="AA292" s="129">
        <v>11818.648943162641</v>
      </c>
      <c r="AB292" s="2002">
        <v>11818.65</v>
      </c>
      <c r="AC292" s="3364">
        <v>11818.65</v>
      </c>
      <c r="AD292" s="2099"/>
      <c r="AE292" s="2099"/>
      <c r="AF292" s="2099"/>
      <c r="AG292" s="2099"/>
      <c r="AH292" s="2100"/>
      <c r="AI292" s="3227" t="s">
        <v>181</v>
      </c>
      <c r="AJ292" s="64">
        <v>12</v>
      </c>
      <c r="AK292" s="64">
        <v>12</v>
      </c>
      <c r="AL292" s="64">
        <v>12</v>
      </c>
      <c r="AM292" s="64">
        <v>12</v>
      </c>
      <c r="AN292" s="64">
        <v>12</v>
      </c>
      <c r="AO292" s="2091">
        <v>12</v>
      </c>
      <c r="AP292" s="2091">
        <v>12</v>
      </c>
      <c r="AQ292" s="2099"/>
      <c r="AR292" s="2099"/>
      <c r="AS292" s="2099"/>
      <c r="AT292" s="1933"/>
      <c r="AU292" s="3227" t="s">
        <v>170</v>
      </c>
      <c r="AV292" s="2102">
        <v>4150</v>
      </c>
      <c r="AW292" s="2102">
        <v>4150</v>
      </c>
      <c r="AX292" s="2102">
        <v>4150</v>
      </c>
      <c r="AY292" s="2102">
        <v>4150</v>
      </c>
      <c r="AZ292" s="2102">
        <v>4150</v>
      </c>
      <c r="BA292" s="2390">
        <v>4150</v>
      </c>
      <c r="BB292" s="2390">
        <v>4150</v>
      </c>
      <c r="BC292" s="2099"/>
      <c r="BD292" s="2099"/>
      <c r="BE292" s="2099"/>
      <c r="BF292" s="1933"/>
      <c r="BG292" s="1931"/>
      <c r="BH292" s="1931"/>
      <c r="BI292" s="1931"/>
      <c r="BJ292" s="1931"/>
      <c r="BK292" s="1931"/>
      <c r="BL292" s="1931"/>
      <c r="BM292" s="1931"/>
      <c r="BN292" s="1931"/>
      <c r="BO292" s="1931"/>
      <c r="BP292" s="1931"/>
      <c r="BQ292" s="1931"/>
      <c r="BR292" s="1931"/>
      <c r="BS292" s="1931"/>
      <c r="BT292" s="1931"/>
      <c r="BU292" s="1931"/>
      <c r="BV292" s="1931"/>
      <c r="BW292" s="1931"/>
      <c r="BX292" s="1931"/>
      <c r="BY292" s="1931"/>
      <c r="BZ292" s="1931"/>
      <c r="CA292" s="1931"/>
      <c r="CB292" s="1931"/>
      <c r="CC292" s="1931"/>
      <c r="CD292" s="1931"/>
      <c r="CE292" s="1930"/>
      <c r="CF292" s="1930"/>
      <c r="CG292" s="1930"/>
      <c r="CH292" s="1930"/>
      <c r="CI292" s="1931"/>
      <c r="CJ292" s="1931"/>
      <c r="CK292" s="1931"/>
      <c r="CL292" s="1931"/>
      <c r="CM292" s="1931"/>
      <c r="CN292" s="1931"/>
      <c r="CO292" s="1931"/>
      <c r="CP292" s="1931"/>
      <c r="CQ292" s="1931"/>
      <c r="CR292" s="1931"/>
      <c r="CS292" s="1931"/>
      <c r="CT292" s="1930"/>
      <c r="CU292" s="1930"/>
      <c r="CV292" s="1930"/>
      <c r="CW292" s="1930"/>
      <c r="CX292" s="1931"/>
      <c r="CY292" s="1931"/>
      <c r="CZ292" s="1931"/>
      <c r="DA292" s="1931"/>
      <c r="DB292" s="53">
        <f>(DD292)/(DE292)</f>
        <v>1.5303686237518535</v>
      </c>
      <c r="DC292" s="1948" t="str">
        <f>CONCATENATE(G292," ",J292," Year EUL")</f>
        <v>Cooking BUS 12 Year EUL</v>
      </c>
      <c r="DD292" s="71">
        <f>(INDEX('Avoided Cost Benefits'!$C$4:$C$857,MATCH(DC292,'Avoided Cost Benefits'!$A$4:$A$857,0)))*F292</f>
        <v>5994.3650670789912</v>
      </c>
      <c r="DE292" s="1950">
        <f>K292/(1.0595^(2020-2019))</f>
        <v>3916.9419537517692</v>
      </c>
      <c r="DF292" s="1931"/>
    </row>
    <row r="293" spans="2:110" hidden="1" outlineLevel="1" x14ac:dyDescent="0.25">
      <c r="B293" s="1931"/>
      <c r="D293" s="1966"/>
      <c r="E293" s="1966"/>
      <c r="F293" s="1966"/>
      <c r="G293" s="1966"/>
      <c r="H293" s="1299"/>
      <c r="I293" s="1966"/>
      <c r="J293" s="1966"/>
      <c r="K293" s="1966"/>
      <c r="L293" s="1965"/>
      <c r="M293" s="1965"/>
      <c r="N293" s="1965"/>
      <c r="O293" s="1965"/>
      <c r="P293" s="1965"/>
      <c r="Q293" s="1965"/>
      <c r="R293" s="1965"/>
      <c r="S293" s="1965"/>
      <c r="T293" s="1965"/>
      <c r="U293" s="1965"/>
      <c r="V293" s="1931"/>
      <c r="W293" s="1931"/>
      <c r="X293" s="1931"/>
      <c r="Y293" s="1933"/>
      <c r="Z293" s="1933"/>
      <c r="AA293" s="1933"/>
      <c r="AB293" s="1933"/>
      <c r="AC293" s="1933"/>
      <c r="AD293" s="1933"/>
      <c r="AE293" s="1933"/>
      <c r="AF293" s="1933"/>
      <c r="AG293" s="1933"/>
      <c r="AH293" s="1933"/>
      <c r="AI293" s="1933"/>
      <c r="AJ293" s="1933"/>
      <c r="AK293" s="1933"/>
      <c r="AL293" s="1933"/>
      <c r="AM293" s="1933"/>
      <c r="AN293" s="1933"/>
      <c r="AO293" s="1933"/>
      <c r="AP293" s="1933"/>
      <c r="AQ293" s="1933"/>
      <c r="AR293" s="1933"/>
      <c r="AS293" s="1933"/>
      <c r="AT293" s="1933"/>
      <c r="AU293" s="1933"/>
      <c r="AV293" s="1933"/>
      <c r="AW293" s="1933"/>
      <c r="AX293" s="1933"/>
      <c r="AY293" s="1933"/>
      <c r="AZ293" s="1933"/>
      <c r="BA293" s="1933"/>
      <c r="BB293" s="1933"/>
      <c r="BC293" s="1933"/>
      <c r="BD293" s="1933"/>
      <c r="BE293" s="1933"/>
      <c r="BF293" s="1933"/>
      <c r="BG293" s="1931"/>
      <c r="BH293" s="1931"/>
      <c r="BI293" s="1931"/>
      <c r="BJ293" s="1931"/>
      <c r="BK293" s="1931"/>
      <c r="BL293" s="1931"/>
      <c r="BM293" s="1931"/>
      <c r="BN293" s="1931"/>
      <c r="BO293" s="1931"/>
      <c r="BP293" s="1931"/>
      <c r="BQ293" s="1931"/>
      <c r="BR293" s="1931"/>
      <c r="BS293" s="1931"/>
      <c r="BT293" s="1931"/>
      <c r="BU293" s="1931"/>
      <c r="BV293" s="1931"/>
      <c r="BW293" s="1931"/>
      <c r="BX293" s="1931"/>
      <c r="BY293" s="1931"/>
      <c r="BZ293" s="1931"/>
      <c r="CA293" s="1931"/>
      <c r="CB293" s="1931"/>
      <c r="CC293" s="1931"/>
      <c r="CD293" s="1931"/>
      <c r="CE293" s="1930"/>
      <c r="CF293" s="1930"/>
      <c r="CG293" s="1930"/>
      <c r="CH293" s="1930"/>
      <c r="CI293" s="1931"/>
      <c r="CJ293" s="1931"/>
      <c r="CK293" s="1931"/>
      <c r="CL293" s="1931"/>
      <c r="CM293" s="1931"/>
      <c r="CN293" s="1931"/>
      <c r="CO293" s="1931"/>
      <c r="CP293" s="1931"/>
      <c r="CQ293" s="1931"/>
      <c r="CR293" s="1931"/>
      <c r="CS293" s="1931"/>
      <c r="CT293" s="1930"/>
      <c r="CU293" s="1930"/>
      <c r="CV293" s="1930"/>
      <c r="CW293" s="1930"/>
      <c r="CX293" s="1931"/>
      <c r="CY293" s="1931"/>
      <c r="CZ293" s="1931"/>
      <c r="DA293" s="1931"/>
      <c r="DB293" s="1932"/>
      <c r="DC293" s="1931"/>
      <c r="DD293" s="1931"/>
      <c r="DE293" s="1931"/>
      <c r="DF293" s="1931"/>
    </row>
    <row r="294" spans="2:110" hidden="1" outlineLevel="1" x14ac:dyDescent="0.25">
      <c r="B294" s="1931"/>
      <c r="D294" s="1966" t="s">
        <v>2689</v>
      </c>
      <c r="E294" s="151"/>
      <c r="F294" s="1966"/>
      <c r="G294" s="1966"/>
      <c r="H294" s="1299"/>
      <c r="I294" s="1966"/>
      <c r="J294" s="1966"/>
      <c r="K294" s="151"/>
      <c r="L294" s="1965"/>
      <c r="M294" s="1965"/>
      <c r="N294" s="1965"/>
      <c r="O294" s="1965"/>
      <c r="P294" s="1965"/>
      <c r="Q294" s="1965"/>
      <c r="R294" s="1965"/>
      <c r="S294" s="1965"/>
      <c r="T294" s="1965"/>
      <c r="U294" s="1965"/>
      <c r="V294" s="1931"/>
      <c r="W294" s="1931"/>
      <c r="X294" s="1931"/>
      <c r="Y294" s="1933"/>
      <c r="Z294" s="1933"/>
      <c r="AA294" s="1933"/>
      <c r="AB294" s="1933"/>
      <c r="AC294" s="1933"/>
      <c r="AD294" s="1933"/>
      <c r="AE294" s="1933"/>
      <c r="AF294" s="1933"/>
      <c r="AG294" s="1933"/>
      <c r="AH294" s="1933"/>
      <c r="AI294" s="1933"/>
      <c r="AJ294" s="1933"/>
      <c r="AK294" s="1933"/>
      <c r="AL294" s="1933"/>
      <c r="AM294" s="1933"/>
      <c r="AN294" s="1933"/>
      <c r="AO294" s="1933"/>
      <c r="AP294" s="1933"/>
      <c r="AQ294" s="1933"/>
      <c r="AR294" s="1933"/>
      <c r="AS294" s="1933"/>
      <c r="AT294" s="1933"/>
      <c r="AU294" s="1933"/>
      <c r="AV294" s="1933"/>
      <c r="AW294" s="1933"/>
      <c r="AX294" s="1933"/>
      <c r="AY294" s="1933"/>
      <c r="AZ294" s="1933"/>
      <c r="BA294" s="1933"/>
      <c r="BB294" s="1933"/>
      <c r="BC294" s="1933"/>
      <c r="BD294" s="1933"/>
      <c r="BE294" s="1933"/>
      <c r="BF294" s="1933"/>
      <c r="BG294" s="1931"/>
      <c r="BH294" s="1931"/>
      <c r="BI294" s="1931"/>
      <c r="BJ294" s="1931"/>
      <c r="BK294" s="1931"/>
      <c r="BL294" s="1931"/>
      <c r="BM294" s="1931"/>
      <c r="BN294" s="1931"/>
      <c r="BO294" s="1931"/>
      <c r="BP294" s="1931"/>
      <c r="BQ294" s="1931"/>
      <c r="BR294" s="1931"/>
      <c r="BS294" s="1931"/>
      <c r="BT294" s="1931"/>
      <c r="BU294" s="1931"/>
      <c r="BV294" s="1931"/>
      <c r="BW294" s="1931"/>
      <c r="BX294" s="1931"/>
      <c r="BY294" s="1931"/>
      <c r="BZ294" s="1931"/>
      <c r="CA294" s="1931"/>
      <c r="CB294" s="1931"/>
      <c r="CC294" s="1931"/>
      <c r="CD294" s="1931"/>
      <c r="CE294" s="1930"/>
      <c r="CF294" s="1930"/>
      <c r="CG294" s="1930"/>
      <c r="CH294" s="1930"/>
      <c r="CI294" s="1931"/>
      <c r="CJ294" s="1931"/>
      <c r="CK294" s="1931"/>
      <c r="CL294" s="1931"/>
      <c r="CM294" s="1931"/>
      <c r="CN294" s="1931"/>
      <c r="CO294" s="1931"/>
      <c r="CP294" s="1931"/>
      <c r="CQ294" s="1931"/>
      <c r="CR294" s="1931"/>
      <c r="CS294" s="1931"/>
      <c r="CT294" s="1930"/>
      <c r="CU294" s="1930"/>
      <c r="CV294" s="1930"/>
      <c r="CW294" s="1930"/>
      <c r="CX294" s="1931"/>
      <c r="CY294" s="1931"/>
      <c r="CZ294" s="1931"/>
      <c r="DA294" s="1931"/>
      <c r="DB294" s="1932"/>
      <c r="DC294" s="1931"/>
      <c r="DD294" s="1931"/>
      <c r="DE294" s="1931"/>
      <c r="DF294" s="1931"/>
    </row>
    <row r="295" spans="2:110" hidden="1" outlineLevel="1" x14ac:dyDescent="0.25">
      <c r="B295" s="1931"/>
      <c r="D295" s="1300"/>
      <c r="E295" s="151"/>
      <c r="F295" s="151"/>
      <c r="G295" s="1321"/>
      <c r="H295" s="1322"/>
      <c r="I295" s="1965"/>
      <c r="J295" s="1965"/>
      <c r="K295" s="1965"/>
      <c r="L295" s="1965"/>
      <c r="M295" s="1965"/>
      <c r="N295" s="1965"/>
      <c r="O295" s="1965"/>
      <c r="P295" s="1965"/>
      <c r="Q295" s="1965"/>
      <c r="R295" s="1965"/>
      <c r="S295" s="1965"/>
      <c r="T295" s="1965"/>
      <c r="U295" s="1965"/>
      <c r="V295" s="1931"/>
      <c r="W295" s="1931"/>
      <c r="X295" s="1931"/>
      <c r="Y295" s="1933"/>
      <c r="Z295" s="1933"/>
      <c r="AA295" s="1933"/>
      <c r="AB295" s="1933"/>
      <c r="AC295" s="1933"/>
      <c r="AD295" s="1933"/>
      <c r="AE295" s="1933"/>
      <c r="AF295" s="1933"/>
      <c r="AG295" s="1933"/>
      <c r="AH295" s="1933"/>
      <c r="AI295" s="1933"/>
      <c r="AJ295" s="1933"/>
      <c r="AK295" s="1933"/>
      <c r="AL295" s="1933"/>
      <c r="AM295" s="1933"/>
      <c r="AN295" s="1933"/>
      <c r="AO295" s="1933"/>
      <c r="AP295" s="1933"/>
      <c r="AQ295" s="1933"/>
      <c r="AR295" s="1933"/>
      <c r="AS295" s="1933"/>
      <c r="AT295" s="1933"/>
      <c r="AU295" s="1933"/>
      <c r="AV295" s="1933"/>
      <c r="AW295" s="1933"/>
      <c r="AX295" s="1933"/>
      <c r="AY295" s="1933"/>
      <c r="AZ295" s="1933"/>
      <c r="BA295" s="1933"/>
      <c r="BB295" s="1933"/>
      <c r="BC295" s="1933"/>
      <c r="BD295" s="1933"/>
      <c r="BE295" s="1933"/>
      <c r="BF295" s="1933"/>
      <c r="BG295" s="1931"/>
      <c r="BH295" s="1931"/>
      <c r="BI295" s="1931"/>
      <c r="BJ295" s="1931"/>
      <c r="BK295" s="1931"/>
      <c r="BL295" s="1931"/>
      <c r="BM295" s="1931"/>
      <c r="BN295" s="1931"/>
      <c r="BO295" s="1931"/>
      <c r="BP295" s="1931"/>
      <c r="BQ295" s="1931"/>
      <c r="BR295" s="1931"/>
      <c r="BS295" s="1931"/>
      <c r="BT295" s="1931"/>
      <c r="BU295" s="1931"/>
      <c r="BV295" s="1931"/>
      <c r="BW295" s="1931"/>
      <c r="BX295" s="1931"/>
      <c r="BY295" s="1931"/>
      <c r="BZ295" s="1931"/>
      <c r="CA295" s="1931"/>
      <c r="CB295" s="1931"/>
      <c r="CC295" s="1931"/>
      <c r="CD295" s="1931"/>
      <c r="CE295" s="1930"/>
      <c r="CF295" s="1930"/>
      <c r="CG295" s="1930"/>
      <c r="CH295" s="1930"/>
      <c r="CI295" s="1931"/>
      <c r="CJ295" s="1931"/>
      <c r="CK295" s="1931"/>
      <c r="CL295" s="1931"/>
      <c r="CM295" s="1931"/>
      <c r="CN295" s="1931"/>
      <c r="CO295" s="1931"/>
      <c r="CP295" s="1931"/>
      <c r="CQ295" s="1931"/>
      <c r="CR295" s="1931"/>
      <c r="CS295" s="1931"/>
      <c r="CT295" s="1930"/>
      <c r="CU295" s="1930"/>
      <c r="CV295" s="1930"/>
      <c r="CW295" s="1930"/>
      <c r="CX295" s="1931"/>
      <c r="CY295" s="1931"/>
      <c r="CZ295" s="1931"/>
      <c r="DA295" s="1931"/>
      <c r="DB295" s="1932"/>
      <c r="DC295" s="1931"/>
      <c r="DD295" s="1931"/>
      <c r="DE295" s="1931"/>
      <c r="DF295" s="1931"/>
    </row>
    <row r="296" spans="2:110" hidden="1" outlineLevel="1" x14ac:dyDescent="0.25">
      <c r="B296" s="1931"/>
      <c r="D296" s="1300"/>
      <c r="E296" s="1965"/>
      <c r="F296" s="1965"/>
      <c r="G296" s="1321"/>
      <c r="H296" s="1322"/>
      <c r="I296" s="1965"/>
      <c r="J296" s="1965"/>
      <c r="K296" s="1965"/>
      <c r="L296" s="1965"/>
      <c r="M296" s="1965"/>
      <c r="N296" s="1965"/>
      <c r="O296" s="1965"/>
      <c r="P296" s="4483"/>
      <c r="Q296" s="4483"/>
      <c r="R296" s="1965"/>
      <c r="S296" s="1965"/>
      <c r="T296" s="1965"/>
      <c r="U296" s="1965"/>
      <c r="V296" s="1931"/>
      <c r="W296" s="1931"/>
      <c r="X296" s="1931"/>
      <c r="Y296" s="1933"/>
      <c r="Z296" s="1933"/>
      <c r="AA296" s="1933"/>
      <c r="AB296" s="1933"/>
      <c r="AC296" s="1933"/>
      <c r="AD296" s="1933"/>
      <c r="AE296" s="1933"/>
      <c r="AF296" s="1933"/>
      <c r="AG296" s="1933"/>
      <c r="AH296" s="1933"/>
      <c r="AI296" s="1933"/>
      <c r="AJ296" s="1933"/>
      <c r="AK296" s="1933"/>
      <c r="AL296" s="1933"/>
      <c r="AM296" s="1933"/>
      <c r="AN296" s="1933"/>
      <c r="AO296" s="1933"/>
      <c r="AP296" s="1933"/>
      <c r="AQ296" s="1933"/>
      <c r="AR296" s="1933"/>
      <c r="AS296" s="1933"/>
      <c r="AT296" s="1933"/>
      <c r="AU296" s="1933"/>
      <c r="AV296" s="1933"/>
      <c r="AW296" s="1933"/>
      <c r="AX296" s="1933"/>
      <c r="AY296" s="1933"/>
      <c r="AZ296" s="1933"/>
      <c r="BA296" s="1933"/>
      <c r="BB296" s="1933"/>
      <c r="BC296" s="1933"/>
      <c r="BD296" s="1933"/>
      <c r="BE296" s="1933"/>
      <c r="BF296" s="1933"/>
      <c r="BG296" s="1931"/>
      <c r="BH296" s="1931"/>
      <c r="BI296" s="1931"/>
      <c r="BJ296" s="1931"/>
      <c r="BK296" s="1931"/>
      <c r="BL296" s="1931"/>
      <c r="BM296" s="1931"/>
      <c r="BN296" s="1931"/>
      <c r="BO296" s="1931"/>
      <c r="BP296" s="1931"/>
      <c r="BQ296" s="1931"/>
      <c r="BR296" s="1931"/>
      <c r="BS296" s="1931"/>
      <c r="BT296" s="1931"/>
      <c r="BU296" s="1931"/>
      <c r="BV296" s="1931"/>
      <c r="BW296" s="1931"/>
      <c r="BX296" s="1931"/>
      <c r="BY296" s="1931"/>
      <c r="BZ296" s="1931"/>
      <c r="CA296" s="1931"/>
      <c r="CB296" s="1931"/>
      <c r="CC296" s="1931"/>
      <c r="CD296" s="1931"/>
      <c r="CE296" s="1930"/>
      <c r="CF296" s="1930"/>
      <c r="CG296" s="1930"/>
      <c r="CH296" s="1930"/>
      <c r="CI296" s="1931"/>
      <c r="CJ296" s="1931"/>
      <c r="CK296" s="1931"/>
      <c r="CL296" s="1931"/>
      <c r="CM296" s="1931"/>
      <c r="CN296" s="1931"/>
      <c r="CO296" s="1931"/>
      <c r="CP296" s="1931"/>
      <c r="CQ296" s="1931"/>
      <c r="CR296" s="1931"/>
      <c r="CS296" s="1931"/>
      <c r="CT296" s="1930"/>
      <c r="CU296" s="1930"/>
      <c r="CV296" s="1930"/>
      <c r="CW296" s="1930"/>
      <c r="CX296" s="1931"/>
      <c r="CY296" s="1931"/>
      <c r="CZ296" s="1931"/>
      <c r="DA296" s="1931"/>
      <c r="DB296" s="1932"/>
      <c r="DC296" s="1931"/>
      <c r="DD296" s="1931"/>
      <c r="DE296" s="1931"/>
      <c r="DF296" s="1931"/>
    </row>
    <row r="297" spans="2:110" hidden="1" outlineLevel="1" x14ac:dyDescent="0.25">
      <c r="B297" s="1931"/>
      <c r="D297" s="1300"/>
      <c r="E297" s="1965"/>
      <c r="F297" s="1965"/>
      <c r="G297" s="1965"/>
      <c r="H297" s="1301"/>
      <c r="I297" s="1965"/>
      <c r="J297" s="1965"/>
      <c r="K297" s="1965"/>
      <c r="L297" s="1965"/>
      <c r="M297" s="1966"/>
      <c r="N297" s="1965"/>
      <c r="O297" s="1965"/>
      <c r="P297" s="4483"/>
      <c r="Q297" s="4483"/>
      <c r="R297" s="1965"/>
      <c r="S297" s="1965"/>
      <c r="T297" s="1965"/>
      <c r="U297" s="1965"/>
      <c r="V297" s="1931"/>
      <c r="W297" s="1931"/>
      <c r="X297" s="1931"/>
      <c r="Y297" s="1931"/>
      <c r="Z297" s="1931"/>
      <c r="AA297" s="1931"/>
      <c r="AB297" s="1931"/>
      <c r="AC297" s="1931"/>
      <c r="AD297" s="1931"/>
      <c r="AE297" s="1931"/>
      <c r="AF297" s="1931"/>
      <c r="AG297" s="1931"/>
      <c r="AH297" s="1931"/>
      <c r="AI297" s="1931"/>
      <c r="AJ297" s="1931"/>
      <c r="AK297" s="1931"/>
      <c r="AL297" s="1931"/>
      <c r="AM297" s="1931"/>
      <c r="AN297" s="1931"/>
      <c r="AO297" s="1931"/>
      <c r="AP297" s="1931"/>
      <c r="AQ297" s="1931"/>
      <c r="AR297" s="1931"/>
      <c r="AS297" s="1931"/>
      <c r="AT297" s="1931"/>
      <c r="AU297" s="1931"/>
      <c r="AV297" s="1931"/>
      <c r="AW297" s="1931"/>
      <c r="AX297" s="1931"/>
      <c r="AY297" s="1931"/>
      <c r="AZ297" s="1931"/>
      <c r="BA297" s="1931"/>
      <c r="BB297" s="1931"/>
      <c r="BC297" s="1931"/>
      <c r="BD297" s="1931"/>
      <c r="BE297" s="1931"/>
      <c r="BF297" s="1931"/>
      <c r="BG297" s="1931"/>
      <c r="BH297" s="1931"/>
      <c r="BI297" s="1931"/>
      <c r="BJ297" s="1931"/>
      <c r="BK297" s="1931"/>
      <c r="BL297" s="1931"/>
      <c r="BM297" s="1931"/>
      <c r="BN297" s="1931"/>
      <c r="BO297" s="1931"/>
      <c r="BP297" s="1931"/>
      <c r="BQ297" s="1931"/>
      <c r="BR297" s="1931"/>
      <c r="BS297" s="1931"/>
      <c r="BT297" s="1931"/>
      <c r="BU297" s="1931"/>
      <c r="BV297" s="1931"/>
      <c r="BW297" s="1931"/>
      <c r="BX297" s="1931"/>
      <c r="BY297" s="1931"/>
      <c r="BZ297" s="1931"/>
      <c r="CA297" s="1931"/>
      <c r="CB297" s="1931"/>
      <c r="CC297" s="1931"/>
      <c r="CD297" s="1931"/>
      <c r="CE297" s="1930"/>
      <c r="CF297" s="1930"/>
      <c r="CG297" s="1930"/>
      <c r="CH297" s="1930"/>
      <c r="CI297" s="1931"/>
      <c r="CJ297" s="1931"/>
      <c r="CK297" s="1931"/>
      <c r="CL297" s="1931"/>
      <c r="CM297" s="1931"/>
      <c r="CN297" s="1931"/>
      <c r="CO297" s="1931"/>
      <c r="CP297" s="1931"/>
      <c r="CQ297" s="1931"/>
      <c r="CR297" s="1931"/>
      <c r="CS297" s="1931"/>
      <c r="CT297" s="1930"/>
      <c r="CU297" s="1930"/>
      <c r="CV297" s="1930"/>
      <c r="CW297" s="1930"/>
      <c r="CX297" s="1931"/>
      <c r="CY297" s="1931"/>
      <c r="CZ297" s="1931"/>
      <c r="DA297" s="1931"/>
      <c r="DB297" s="1932"/>
      <c r="DC297" s="1931"/>
      <c r="DD297" s="1931"/>
      <c r="DE297" s="1931"/>
      <c r="DF297" s="1931"/>
    </row>
    <row r="298" spans="2:110" hidden="1" outlineLevel="1" x14ac:dyDescent="0.25">
      <c r="B298" s="1931"/>
      <c r="D298" s="1300"/>
      <c r="E298" s="1965"/>
      <c r="F298" s="1965"/>
      <c r="G298" s="1965"/>
      <c r="H298" s="1301"/>
      <c r="I298" s="1965"/>
      <c r="J298" s="1965"/>
      <c r="K298" s="1965"/>
      <c r="L298" s="1965"/>
      <c r="M298" s="1966"/>
      <c r="N298" s="1965"/>
      <c r="O298" s="1965"/>
      <c r="P298" s="4483"/>
      <c r="Q298" s="4483"/>
      <c r="R298" s="1965"/>
      <c r="S298" s="1965"/>
      <c r="T298" s="1965"/>
      <c r="U298" s="1965"/>
      <c r="V298" s="1931"/>
      <c r="W298" s="1931"/>
      <c r="X298" s="1931"/>
      <c r="Y298" s="1931"/>
      <c r="Z298" s="1931"/>
      <c r="AA298" s="1931"/>
      <c r="AB298" s="1931"/>
      <c r="AC298" s="1931"/>
      <c r="AD298" s="1931"/>
      <c r="AE298" s="1931"/>
      <c r="AF298" s="1931"/>
      <c r="AG298" s="1931"/>
      <c r="AH298" s="1931"/>
      <c r="AI298" s="1931"/>
      <c r="AJ298" s="1931"/>
      <c r="AK298" s="1931"/>
      <c r="AL298" s="1931"/>
      <c r="AM298" s="1931"/>
      <c r="AN298" s="1931"/>
      <c r="AO298" s="1931"/>
      <c r="AP298" s="1931"/>
      <c r="AQ298" s="1931"/>
      <c r="AR298" s="1931"/>
      <c r="AS298" s="1931"/>
      <c r="AT298" s="1931"/>
      <c r="AU298" s="1931"/>
      <c r="AV298" s="1931"/>
      <c r="AW298" s="1931"/>
      <c r="AX298" s="1931"/>
      <c r="AY298" s="1931"/>
      <c r="AZ298" s="1931"/>
      <c r="BA298" s="1931"/>
      <c r="BB298" s="1931"/>
      <c r="BC298" s="1931"/>
      <c r="BD298" s="1931"/>
      <c r="BE298" s="1931"/>
      <c r="BF298" s="1931"/>
      <c r="BG298" s="1931"/>
      <c r="BH298" s="1931"/>
      <c r="BI298" s="1931"/>
      <c r="BJ298" s="1931"/>
      <c r="BK298" s="1931"/>
      <c r="BL298" s="1931"/>
      <c r="BM298" s="1931"/>
      <c r="BN298" s="1931"/>
      <c r="BO298" s="1931"/>
      <c r="BP298" s="1931"/>
      <c r="BQ298" s="1931"/>
      <c r="BR298" s="1931"/>
      <c r="BS298" s="1931"/>
      <c r="BT298" s="1931"/>
      <c r="BU298" s="1931"/>
      <c r="BV298" s="1931"/>
      <c r="BW298" s="1931"/>
      <c r="BX298" s="1931"/>
      <c r="BY298" s="1931"/>
      <c r="BZ298" s="1931"/>
      <c r="CA298" s="1931"/>
      <c r="CB298" s="1931"/>
      <c r="CC298" s="1931"/>
      <c r="CD298" s="1931"/>
      <c r="CE298" s="1930"/>
      <c r="CF298" s="1930"/>
      <c r="CG298" s="1930"/>
      <c r="CH298" s="1930"/>
      <c r="CI298" s="1931"/>
      <c r="CJ298" s="1931"/>
      <c r="CK298" s="1931"/>
      <c r="CL298" s="1931"/>
      <c r="CM298" s="1931"/>
      <c r="CN298" s="1931"/>
      <c r="CO298" s="1931"/>
      <c r="CP298" s="1931"/>
      <c r="CQ298" s="1931"/>
      <c r="CR298" s="1931"/>
      <c r="CS298" s="1931"/>
      <c r="CT298" s="1930"/>
      <c r="CU298" s="1930"/>
      <c r="CV298" s="1930"/>
      <c r="CW298" s="1930"/>
      <c r="CX298" s="1931"/>
      <c r="CY298" s="1931"/>
      <c r="CZ298" s="1931"/>
      <c r="DA298" s="1931"/>
      <c r="DB298" s="1932"/>
      <c r="DC298" s="1931"/>
      <c r="DD298" s="1931"/>
      <c r="DE298" s="1931"/>
      <c r="DF298" s="1931"/>
    </row>
    <row r="299" spans="2:110" hidden="1" outlineLevel="1" x14ac:dyDescent="0.25">
      <c r="B299" s="1931"/>
      <c r="D299" s="1300"/>
      <c r="E299" s="1965"/>
      <c r="F299" s="1965"/>
      <c r="G299" s="1965"/>
      <c r="H299" s="1301"/>
      <c r="I299" s="1965"/>
      <c r="J299" s="1965"/>
      <c r="K299" s="1965"/>
      <c r="L299" s="1965"/>
      <c r="M299" s="1966"/>
      <c r="N299" s="1965"/>
      <c r="O299" s="1965"/>
      <c r="P299" s="1965"/>
      <c r="Q299" s="1965"/>
      <c r="R299" s="1965"/>
      <c r="S299" s="1965"/>
      <c r="T299" s="1965"/>
      <c r="U299" s="1965"/>
      <c r="V299" s="1931"/>
      <c r="W299" s="1931"/>
      <c r="X299" s="1931"/>
      <c r="Y299" s="1931"/>
      <c r="Z299" s="1931"/>
      <c r="AA299" s="1931"/>
      <c r="AB299" s="1931"/>
      <c r="AC299" s="1931"/>
      <c r="AD299" s="1931"/>
      <c r="AE299" s="1931"/>
      <c r="AF299" s="1931"/>
      <c r="AG299" s="1931"/>
      <c r="AH299" s="1931"/>
      <c r="AI299" s="1931"/>
      <c r="AJ299" s="1931"/>
      <c r="AK299" s="1931"/>
      <c r="AL299" s="1931"/>
      <c r="AM299" s="1931"/>
      <c r="AN299" s="1931"/>
      <c r="AO299" s="1931"/>
      <c r="AP299" s="1931"/>
      <c r="AQ299" s="1931"/>
      <c r="AR299" s="1931"/>
      <c r="AS299" s="1931"/>
      <c r="AT299" s="1931"/>
      <c r="AU299" s="1931"/>
      <c r="AV299" s="1931"/>
      <c r="AW299" s="1931"/>
      <c r="AX299" s="1931"/>
      <c r="AY299" s="1931"/>
      <c r="AZ299" s="1931"/>
      <c r="BA299" s="1931"/>
      <c r="BB299" s="1931"/>
      <c r="BC299" s="1931"/>
      <c r="BD299" s="1931"/>
      <c r="BE299" s="1931"/>
      <c r="BF299" s="1931"/>
      <c r="BG299" s="1931"/>
      <c r="BH299" s="1931"/>
      <c r="BI299" s="1931"/>
      <c r="BJ299" s="1931"/>
      <c r="BK299" s="1931"/>
      <c r="BL299" s="1931"/>
      <c r="BM299" s="1931"/>
      <c r="BN299" s="1931"/>
      <c r="BO299" s="1931"/>
      <c r="BP299" s="1931"/>
      <c r="BQ299" s="1931"/>
      <c r="BR299" s="1931"/>
      <c r="BS299" s="1931"/>
      <c r="BT299" s="1931"/>
      <c r="BU299" s="1931"/>
      <c r="BV299" s="1931"/>
      <c r="BW299" s="1931"/>
      <c r="BX299" s="1931"/>
      <c r="BY299" s="1931"/>
      <c r="BZ299" s="1931"/>
      <c r="CA299" s="1931"/>
      <c r="CB299" s="1931"/>
      <c r="CC299" s="1931"/>
      <c r="CD299" s="1931"/>
      <c r="CE299" s="1930"/>
      <c r="CF299" s="1930"/>
      <c r="CG299" s="1930"/>
      <c r="CH299" s="1930"/>
      <c r="CI299" s="1931"/>
      <c r="CJ299" s="1931"/>
      <c r="CK299" s="1931"/>
      <c r="CL299" s="1931"/>
      <c r="CM299" s="1931"/>
      <c r="CN299" s="1931"/>
      <c r="CO299" s="1931"/>
      <c r="CP299" s="1931"/>
      <c r="CQ299" s="1931"/>
      <c r="CR299" s="1931"/>
      <c r="CS299" s="1931"/>
      <c r="CT299" s="1930"/>
      <c r="CU299" s="1930"/>
      <c r="CV299" s="1930"/>
      <c r="CW299" s="1930"/>
      <c r="CX299" s="1931"/>
      <c r="CY299" s="1931"/>
      <c r="CZ299" s="1931"/>
      <c r="DA299" s="1931"/>
      <c r="DB299" s="1932"/>
      <c r="DC299" s="1931"/>
      <c r="DD299" s="1931"/>
      <c r="DE299" s="1931"/>
      <c r="DF299" s="1931"/>
    </row>
    <row r="300" spans="2:110" hidden="1" outlineLevel="1" x14ac:dyDescent="0.25">
      <c r="B300" s="1931"/>
      <c r="D300" s="1300"/>
      <c r="E300" s="1965"/>
      <c r="F300" s="1965"/>
      <c r="G300" s="1965"/>
      <c r="H300" s="1301"/>
      <c r="I300" s="1965"/>
      <c r="J300" s="1965"/>
      <c r="K300" s="1965"/>
      <c r="L300" s="1965"/>
      <c r="M300" s="1965"/>
      <c r="N300" s="1965"/>
      <c r="O300" s="1965"/>
      <c r="P300" s="1965"/>
      <c r="Q300" s="1965"/>
      <c r="R300" s="1965"/>
      <c r="S300" s="1965"/>
      <c r="T300" s="1965"/>
      <c r="U300" s="1965"/>
      <c r="V300" s="1931"/>
      <c r="W300" s="1931"/>
      <c r="X300" s="1931"/>
      <c r="Y300" s="1931"/>
      <c r="Z300" s="1931"/>
      <c r="AA300" s="1931"/>
      <c r="AB300" s="1931"/>
      <c r="AC300" s="1931"/>
      <c r="AD300" s="1931"/>
      <c r="AE300" s="1931"/>
      <c r="AF300" s="1931"/>
      <c r="AG300" s="1931"/>
      <c r="AH300" s="1931"/>
      <c r="AI300" s="1931"/>
      <c r="AJ300" s="1931"/>
      <c r="AK300" s="1931"/>
      <c r="AL300" s="1931"/>
      <c r="AM300" s="1931"/>
      <c r="AN300" s="1931"/>
      <c r="AO300" s="1931"/>
      <c r="AP300" s="1931"/>
      <c r="AQ300" s="1931"/>
      <c r="AR300" s="1931"/>
      <c r="AS300" s="1931"/>
      <c r="AT300" s="1931"/>
      <c r="AU300" s="1931"/>
      <c r="AV300" s="1931"/>
      <c r="AW300" s="1931"/>
      <c r="AX300" s="1931"/>
      <c r="AY300" s="1931"/>
      <c r="AZ300" s="1931"/>
      <c r="BA300" s="1931"/>
      <c r="BB300" s="1931"/>
      <c r="BC300" s="1931"/>
      <c r="BD300" s="1931"/>
      <c r="BE300" s="1931"/>
      <c r="BF300" s="1931"/>
      <c r="BG300" s="1931"/>
      <c r="BH300" s="1931"/>
      <c r="BI300" s="1931"/>
      <c r="BJ300" s="1931"/>
      <c r="BK300" s="1931"/>
      <c r="BL300" s="1931"/>
      <c r="BM300" s="1931"/>
      <c r="BN300" s="1931"/>
      <c r="BO300" s="1931"/>
      <c r="BP300" s="1931"/>
      <c r="BQ300" s="1931"/>
      <c r="BR300" s="1931"/>
      <c r="BS300" s="1931"/>
      <c r="BT300" s="1931"/>
      <c r="BU300" s="1931"/>
      <c r="BV300" s="1931"/>
      <c r="BW300" s="1931"/>
      <c r="BX300" s="1931"/>
      <c r="BY300" s="1931"/>
      <c r="BZ300" s="1931"/>
      <c r="CA300" s="1931"/>
      <c r="CB300" s="1931"/>
      <c r="CC300" s="1931"/>
      <c r="CD300" s="1931"/>
      <c r="CE300" s="1930"/>
      <c r="CF300" s="1930"/>
      <c r="CG300" s="1930"/>
      <c r="CH300" s="1930"/>
      <c r="CI300" s="1931"/>
      <c r="CJ300" s="1931"/>
      <c r="CK300" s="1931"/>
      <c r="CL300" s="1931"/>
      <c r="CM300" s="1931"/>
      <c r="CN300" s="1931"/>
      <c r="CO300" s="1931"/>
      <c r="CP300" s="1931"/>
      <c r="CQ300" s="1931"/>
      <c r="CR300" s="1931"/>
      <c r="CS300" s="1931"/>
      <c r="CT300" s="1930"/>
      <c r="CU300" s="1930"/>
      <c r="CV300" s="1930"/>
      <c r="CW300" s="1930"/>
      <c r="CX300" s="1931"/>
      <c r="CY300" s="1931"/>
      <c r="CZ300" s="1931"/>
      <c r="DA300" s="1931"/>
      <c r="DB300" s="1932"/>
      <c r="DC300" s="1931"/>
      <c r="DD300" s="1931"/>
      <c r="DE300" s="1931"/>
      <c r="DF300" s="1931"/>
    </row>
    <row r="301" spans="2:110" s="55" customFormat="1" ht="45" hidden="1" outlineLevel="1" x14ac:dyDescent="0.25">
      <c r="C301" s="151"/>
      <c r="D301" s="3081" t="s">
        <v>28</v>
      </c>
      <c r="E301" s="3081" t="s">
        <v>2758</v>
      </c>
      <c r="F301" s="81" t="s">
        <v>2851</v>
      </c>
      <c r="G301" s="3081" t="s">
        <v>2852</v>
      </c>
      <c r="H301" s="3081" t="s">
        <v>586</v>
      </c>
      <c r="I301" s="3081" t="s">
        <v>2853</v>
      </c>
      <c r="J301" s="3249" t="s">
        <v>2854</v>
      </c>
      <c r="K301" s="3249" t="s">
        <v>2855</v>
      </c>
      <c r="L301" s="3249" t="s">
        <v>2856</v>
      </c>
      <c r="M301" s="3249" t="s">
        <v>2857</v>
      </c>
      <c r="N301" s="3249" t="s">
        <v>2858</v>
      </c>
      <c r="O301" s="3249" t="s">
        <v>2859</v>
      </c>
      <c r="P301" s="3249" t="s">
        <v>2829</v>
      </c>
      <c r="Q301" s="3249" t="s">
        <v>2860</v>
      </c>
      <c r="R301" s="3249" t="s">
        <v>745</v>
      </c>
      <c r="S301" s="3196" t="s">
        <v>2861</v>
      </c>
      <c r="T301" s="401"/>
      <c r="U301" s="401"/>
      <c r="DB301" s="72"/>
    </row>
    <row r="302" spans="2:110" hidden="1" outlineLevel="1" x14ac:dyDescent="0.25">
      <c r="B302" s="1931"/>
      <c r="D302" s="1967" t="str">
        <f>C289</f>
        <v>802700_2019_12_</v>
      </c>
      <c r="E302" s="1967" t="str">
        <f>E289</f>
        <v>3 Pan ENERGY STAR Steam Cooker</v>
      </c>
      <c r="F302" s="1359">
        <f>((1-I302)*(J302+I302*L302*N302*(O302/P302))*(R302-S302/(L302*N302)))-((1-I302)*(K302+I302*M302*N302*(O302/Q302))*(R302-S302/(M302*N302)))</f>
        <v>16669.415107583976</v>
      </c>
      <c r="G302" s="1360">
        <f>(S302*(O302/P302))-(S302*(O302/Q302))</f>
        <v>4839.9999999999982</v>
      </c>
      <c r="H302" s="1970">
        <v>365.25</v>
      </c>
      <c r="I302" s="1338">
        <v>0.4</v>
      </c>
      <c r="J302" s="1361">
        <v>1100</v>
      </c>
      <c r="K302" s="1341">
        <v>400</v>
      </c>
      <c r="L302" s="1334">
        <v>23.3</v>
      </c>
      <c r="M302" s="1362">
        <v>16.7</v>
      </c>
      <c r="N302" s="1341">
        <v>3</v>
      </c>
      <c r="O302" s="1334">
        <v>30.8</v>
      </c>
      <c r="P302" s="1344">
        <v>0.28000000000000003</v>
      </c>
      <c r="Q302" s="1338">
        <v>0.5</v>
      </c>
      <c r="R302" s="1331">
        <v>12</v>
      </c>
      <c r="S302" s="1340">
        <v>100</v>
      </c>
      <c r="T302" s="1965"/>
      <c r="U302" s="1965"/>
      <c r="V302" s="1931"/>
      <c r="W302" s="1931"/>
      <c r="X302" s="1931"/>
      <c r="Y302" s="1931"/>
      <c r="Z302" s="1931"/>
      <c r="AA302" s="1931"/>
      <c r="AB302" s="1931"/>
      <c r="AC302" s="1931"/>
      <c r="AD302" s="1931"/>
      <c r="AE302" s="1931"/>
      <c r="AF302" s="1931"/>
      <c r="AG302" s="1931"/>
      <c r="AH302" s="1931"/>
      <c r="AI302" s="1931"/>
      <c r="AJ302" s="1931"/>
      <c r="AK302" s="1931"/>
      <c r="AL302" s="1931"/>
      <c r="AM302" s="1931"/>
      <c r="AN302" s="1931"/>
      <c r="AO302" s="1931"/>
      <c r="AP302" s="1931"/>
      <c r="AQ302" s="1931"/>
      <c r="AR302" s="1931"/>
      <c r="AS302" s="1931"/>
      <c r="AT302" s="1931"/>
      <c r="AU302" s="1931"/>
      <c r="AV302" s="1931"/>
      <c r="AW302" s="1931"/>
      <c r="AX302" s="1931"/>
      <c r="AY302" s="1931"/>
      <c r="AZ302" s="1931"/>
      <c r="BA302" s="1931"/>
      <c r="BB302" s="1931"/>
      <c r="BC302" s="1931"/>
      <c r="BD302" s="1931"/>
      <c r="BE302" s="1931"/>
      <c r="BF302" s="1931"/>
      <c r="BG302" s="1931"/>
      <c r="BH302" s="1931"/>
      <c r="BI302" s="1931"/>
      <c r="BJ302" s="1931"/>
      <c r="BK302" s="1931"/>
      <c r="BL302" s="1931"/>
      <c r="BM302" s="1931"/>
      <c r="BN302" s="1931"/>
      <c r="BO302" s="1931"/>
      <c r="BP302" s="1931"/>
      <c r="BQ302" s="1931"/>
      <c r="BR302" s="1931"/>
      <c r="BS302" s="1931"/>
      <c r="BT302" s="1931"/>
      <c r="BU302" s="1931"/>
      <c r="BV302" s="1931"/>
      <c r="BW302" s="1931"/>
      <c r="BX302" s="1931"/>
      <c r="BY302" s="1931"/>
      <c r="BZ302" s="1931"/>
      <c r="CA302" s="1931"/>
      <c r="CB302" s="1931"/>
      <c r="CC302" s="1931"/>
      <c r="CD302" s="1931"/>
      <c r="CE302" s="1930"/>
      <c r="CF302" s="1930"/>
      <c r="CG302" s="1930"/>
      <c r="CH302" s="1930"/>
      <c r="CI302" s="1931"/>
      <c r="CJ302" s="1931"/>
      <c r="CK302" s="1931"/>
      <c r="CL302" s="1931"/>
      <c r="CM302" s="1931"/>
      <c r="CN302" s="1931"/>
      <c r="CO302" s="1931"/>
      <c r="CP302" s="1931"/>
      <c r="CQ302" s="1931"/>
      <c r="CR302" s="1931"/>
      <c r="CS302" s="1931"/>
      <c r="CT302" s="1930"/>
      <c r="CU302" s="1930"/>
      <c r="CV302" s="1930"/>
      <c r="CW302" s="1930"/>
      <c r="CX302" s="1931"/>
      <c r="CY302" s="1931"/>
      <c r="CZ302" s="1931"/>
      <c r="DA302" s="1931"/>
      <c r="DB302" s="1932"/>
      <c r="DC302" s="1931"/>
      <c r="DD302" s="1931"/>
      <c r="DE302" s="1931"/>
      <c r="DF302" s="1931"/>
    </row>
    <row r="303" spans="2:110" hidden="1" outlineLevel="1" x14ac:dyDescent="0.25">
      <c r="B303" s="1931"/>
      <c r="D303" s="1967" t="str">
        <f>C290</f>
        <v>802750_2019_12_</v>
      </c>
      <c r="E303" s="1967" t="str">
        <f>E290</f>
        <v>4 Pan ENERGY STAR Steam Cooker</v>
      </c>
      <c r="F303" s="1359">
        <f>((1-I303)*(J303+I303*L303*N303*(O303/P303))*(R303-S303/(L303*N303)))-((1-I303)*(K303+I303*M303*N303*(O303/Q303))*(R303-S303/(M303*N303)))</f>
        <v>20385.19899775384</v>
      </c>
      <c r="G303" s="1360">
        <f>(S303*(O303/P303))-(S303*(O303/Q303))</f>
        <v>4839.9999999999982</v>
      </c>
      <c r="H303" s="1970">
        <v>365.25</v>
      </c>
      <c r="I303" s="1338">
        <v>0.4</v>
      </c>
      <c r="J303" s="1361">
        <v>1100</v>
      </c>
      <c r="K303" s="1341">
        <v>530</v>
      </c>
      <c r="L303" s="1334">
        <v>23.3</v>
      </c>
      <c r="M303" s="1362">
        <v>16.7</v>
      </c>
      <c r="N303" s="1341">
        <v>4</v>
      </c>
      <c r="O303" s="1334">
        <v>30.8</v>
      </c>
      <c r="P303" s="1344">
        <v>0.28000000000000003</v>
      </c>
      <c r="Q303" s="1338">
        <v>0.5</v>
      </c>
      <c r="R303" s="1331">
        <v>12</v>
      </c>
      <c r="S303" s="1340">
        <v>100</v>
      </c>
      <c r="T303" s="1965"/>
      <c r="U303" s="1965"/>
      <c r="V303" s="1931"/>
      <c r="W303" s="1931"/>
      <c r="X303" s="1931"/>
      <c r="Y303" s="1931"/>
      <c r="Z303" s="1931"/>
      <c r="AA303" s="1931"/>
      <c r="AB303" s="1931"/>
      <c r="AC303" s="1931"/>
      <c r="AD303" s="1931"/>
      <c r="AE303" s="1931"/>
      <c r="AF303" s="1931"/>
      <c r="AG303" s="1931"/>
      <c r="AH303" s="1931"/>
      <c r="AI303" s="1931"/>
      <c r="AJ303" s="1931"/>
      <c r="AK303" s="1931"/>
      <c r="AL303" s="1931"/>
      <c r="AM303" s="1931"/>
      <c r="AN303" s="1931"/>
      <c r="AO303" s="1931"/>
      <c r="AP303" s="1931"/>
      <c r="AQ303" s="1931"/>
      <c r="AR303" s="1931"/>
      <c r="AS303" s="1931"/>
      <c r="AT303" s="1931"/>
      <c r="AU303" s="1931"/>
      <c r="AV303" s="1931"/>
      <c r="AW303" s="1931"/>
      <c r="AX303" s="1931"/>
      <c r="AY303" s="1931"/>
      <c r="AZ303" s="1931"/>
      <c r="BA303" s="1931"/>
      <c r="BB303" s="1931"/>
      <c r="BC303" s="1931"/>
      <c r="BD303" s="1931"/>
      <c r="BE303" s="1931"/>
      <c r="BF303" s="1931"/>
      <c r="BG303" s="1931"/>
      <c r="BH303" s="1931"/>
      <c r="BI303" s="1931"/>
      <c r="BJ303" s="1931"/>
      <c r="BK303" s="1931"/>
      <c r="BL303" s="1931"/>
      <c r="BM303" s="1931"/>
      <c r="BN303" s="1931"/>
      <c r="BO303" s="1931"/>
      <c r="BP303" s="1931"/>
      <c r="BQ303" s="1931"/>
      <c r="BR303" s="1931"/>
      <c r="BS303" s="1931"/>
      <c r="BT303" s="1931"/>
      <c r="BU303" s="1931"/>
      <c r="BV303" s="1931"/>
      <c r="BW303" s="1931"/>
      <c r="BX303" s="1931"/>
      <c r="BY303" s="1931"/>
      <c r="BZ303" s="1931"/>
      <c r="CA303" s="1931"/>
      <c r="CB303" s="1931"/>
      <c r="CC303" s="1931"/>
      <c r="CD303" s="1931"/>
      <c r="CE303" s="1930"/>
      <c r="CF303" s="1930"/>
      <c r="CG303" s="1930"/>
      <c r="CH303" s="1930"/>
      <c r="CI303" s="1931"/>
      <c r="CJ303" s="1931"/>
      <c r="CK303" s="1931"/>
      <c r="CL303" s="1931"/>
      <c r="CM303" s="1931"/>
      <c r="CN303" s="1931"/>
      <c r="CO303" s="1931"/>
      <c r="CP303" s="1931"/>
      <c r="CQ303" s="1931"/>
      <c r="CR303" s="1931"/>
      <c r="CS303" s="1931"/>
      <c r="CT303" s="1930"/>
      <c r="CU303" s="1930"/>
      <c r="CV303" s="1930"/>
      <c r="CW303" s="1930"/>
      <c r="CX303" s="1931"/>
      <c r="CY303" s="1931"/>
      <c r="CZ303" s="1931"/>
      <c r="DA303" s="1931"/>
      <c r="DB303" s="1932"/>
      <c r="DC303" s="1931"/>
      <c r="DD303" s="1931"/>
      <c r="DE303" s="1931"/>
      <c r="DF303" s="1931"/>
    </row>
    <row r="304" spans="2:110" hidden="1" outlineLevel="1" x14ac:dyDescent="0.25">
      <c r="B304" s="1931"/>
      <c r="D304" s="1967" t="str">
        <f>C291</f>
        <v>802800_2019_12_</v>
      </c>
      <c r="E304" s="1967" t="str">
        <f>E291</f>
        <v>5 Pan ENERGY STAR Steam Cooker</v>
      </c>
      <c r="F304" s="1359">
        <f>((1-I304)*(J304+I304*L304*N304*(O304/P304))*(R304-S304/(L304*N304)))-((1-I304)*(K304+I304*M304*N304*(O304/Q304))*(R304-S304/(M304*N304)))</f>
        <v>23942.945520598285</v>
      </c>
      <c r="G304" s="1360">
        <f>(S304*(O304/P304))-(S304*(O304/Q304))</f>
        <v>4839.9999999999982</v>
      </c>
      <c r="H304" s="1970">
        <v>365.25</v>
      </c>
      <c r="I304" s="1338">
        <v>0.4</v>
      </c>
      <c r="J304" s="1361">
        <v>1100</v>
      </c>
      <c r="K304" s="1341">
        <v>670</v>
      </c>
      <c r="L304" s="1334">
        <v>23.3</v>
      </c>
      <c r="M304" s="1362">
        <v>16.7</v>
      </c>
      <c r="N304" s="1341">
        <v>5</v>
      </c>
      <c r="O304" s="1334">
        <v>30.8</v>
      </c>
      <c r="P304" s="1344">
        <v>0.28000000000000003</v>
      </c>
      <c r="Q304" s="1338">
        <v>0.5</v>
      </c>
      <c r="R304" s="1331">
        <v>12</v>
      </c>
      <c r="S304" s="1340">
        <v>100</v>
      </c>
      <c r="T304" s="1965"/>
      <c r="U304" s="1965"/>
      <c r="V304" s="1931"/>
      <c r="W304" s="1931"/>
      <c r="X304" s="1931"/>
      <c r="Y304" s="1931"/>
      <c r="Z304" s="1931"/>
      <c r="AA304" s="1931"/>
      <c r="AB304" s="1931"/>
      <c r="AC304" s="1931"/>
      <c r="AD304" s="1931"/>
      <c r="AE304" s="1931"/>
      <c r="AF304" s="1931"/>
      <c r="AG304" s="1931"/>
      <c r="AH304" s="1931"/>
      <c r="AI304" s="1931"/>
      <c r="AJ304" s="1931"/>
      <c r="AK304" s="1931"/>
      <c r="AL304" s="1931"/>
      <c r="AM304" s="1931"/>
      <c r="AN304" s="1931"/>
      <c r="AO304" s="1931"/>
      <c r="AP304" s="1931"/>
      <c r="AQ304" s="1931"/>
      <c r="AR304" s="1931"/>
      <c r="AS304" s="1931"/>
      <c r="AT304" s="1931"/>
      <c r="AU304" s="1931"/>
      <c r="AV304" s="1931"/>
      <c r="AW304" s="1931"/>
      <c r="AX304" s="1931"/>
      <c r="AY304" s="1931"/>
      <c r="AZ304" s="1931"/>
      <c r="BA304" s="1931"/>
      <c r="BB304" s="1931"/>
      <c r="BC304" s="1931"/>
      <c r="BD304" s="1931"/>
      <c r="BE304" s="1931"/>
      <c r="BF304" s="1931"/>
      <c r="BG304" s="1931"/>
      <c r="BH304" s="1931"/>
      <c r="BI304" s="1931"/>
      <c r="BJ304" s="1931"/>
      <c r="BK304" s="1931"/>
      <c r="BL304" s="1931"/>
      <c r="BM304" s="1931"/>
      <c r="BN304" s="1931"/>
      <c r="BO304" s="1931"/>
      <c r="BP304" s="1931"/>
      <c r="BQ304" s="1931"/>
      <c r="BR304" s="1931"/>
      <c r="BS304" s="1931"/>
      <c r="BT304" s="1931"/>
      <c r="BU304" s="1931"/>
      <c r="BV304" s="1931"/>
      <c r="BW304" s="1931"/>
      <c r="BX304" s="1931"/>
      <c r="BY304" s="1931"/>
      <c r="BZ304" s="1931"/>
      <c r="CA304" s="1931"/>
      <c r="CB304" s="1931"/>
      <c r="CC304" s="1931"/>
      <c r="CD304" s="1931"/>
      <c r="CE304" s="1930"/>
      <c r="CF304" s="1930"/>
      <c r="CG304" s="1930"/>
      <c r="CH304" s="1930"/>
      <c r="CI304" s="1931"/>
      <c r="CJ304" s="1931"/>
      <c r="CK304" s="1931"/>
      <c r="CL304" s="1931"/>
      <c r="CM304" s="1931"/>
      <c r="CN304" s="1931"/>
      <c r="CO304" s="1931"/>
      <c r="CP304" s="1931"/>
      <c r="CQ304" s="1931"/>
      <c r="CR304" s="1931"/>
      <c r="CS304" s="1931"/>
      <c r="CT304" s="1930"/>
      <c r="CU304" s="1930"/>
      <c r="CV304" s="1930"/>
      <c r="CW304" s="1930"/>
      <c r="CX304" s="1931"/>
      <c r="CY304" s="1931"/>
      <c r="CZ304" s="1931"/>
      <c r="DA304" s="1931"/>
      <c r="DB304" s="1932"/>
      <c r="DC304" s="1931"/>
      <c r="DD304" s="1931"/>
      <c r="DE304" s="1931"/>
      <c r="DF304" s="1931"/>
    </row>
    <row r="305" spans="2:112" hidden="1" outlineLevel="1" x14ac:dyDescent="0.25">
      <c r="B305" s="1931"/>
      <c r="D305" s="1967" t="str">
        <f>C292</f>
        <v>802850_2019_12_</v>
      </c>
      <c r="E305" s="1967" t="str">
        <f>E292</f>
        <v>6 Pan ENERGY STAR Steam Cooker</v>
      </c>
      <c r="F305" s="1359">
        <f>((1-I305)*(J305+I305*L305*N305*(O305/P305))*(R305-S305/(L305*N305)))-((1-I305)*(K305+I305*M305*N305*(O305/Q305))*(R305-S305/(M305*N305)))</f>
        <v>27517.697311875811</v>
      </c>
      <c r="G305" s="1360">
        <f>(S305*(O305/P305))-(S305*(O305/Q305))</f>
        <v>4839.9999999999982</v>
      </c>
      <c r="H305" s="1970">
        <v>365.25</v>
      </c>
      <c r="I305" s="1338">
        <v>0.4</v>
      </c>
      <c r="J305" s="1361">
        <v>1100</v>
      </c>
      <c r="K305" s="1341">
        <v>800</v>
      </c>
      <c r="L305" s="1334">
        <v>23.3</v>
      </c>
      <c r="M305" s="1362">
        <v>16.7</v>
      </c>
      <c r="N305" s="1341">
        <v>6</v>
      </c>
      <c r="O305" s="1334">
        <v>30.8</v>
      </c>
      <c r="P305" s="1344">
        <v>0.28000000000000003</v>
      </c>
      <c r="Q305" s="1338">
        <v>0.5</v>
      </c>
      <c r="R305" s="1331">
        <v>12</v>
      </c>
      <c r="S305" s="1340">
        <v>100</v>
      </c>
      <c r="T305" s="1965"/>
      <c r="U305" s="1965"/>
      <c r="V305" s="1931"/>
      <c r="W305" s="1931"/>
      <c r="X305" s="1931"/>
      <c r="Y305" s="1931"/>
      <c r="Z305" s="1931"/>
      <c r="AA305" s="1931"/>
      <c r="AB305" s="1931"/>
      <c r="AC305" s="1931"/>
      <c r="AD305" s="1931"/>
      <c r="AE305" s="1931"/>
      <c r="AF305" s="1931"/>
      <c r="AG305" s="1931"/>
      <c r="AH305" s="1931"/>
      <c r="AI305" s="1931"/>
      <c r="AJ305" s="1931"/>
      <c r="AK305" s="1931"/>
      <c r="AL305" s="1931"/>
      <c r="AM305" s="1931"/>
      <c r="AN305" s="1931"/>
      <c r="AO305" s="1931"/>
      <c r="AP305" s="1931"/>
      <c r="AQ305" s="1931"/>
      <c r="AR305" s="1931"/>
      <c r="AS305" s="1931"/>
      <c r="AT305" s="1931"/>
      <c r="AU305" s="1931"/>
      <c r="AV305" s="1931"/>
      <c r="AW305" s="1931"/>
      <c r="AX305" s="1931"/>
      <c r="AY305" s="1931"/>
      <c r="AZ305" s="1931"/>
      <c r="BA305" s="1931"/>
      <c r="BB305" s="1931"/>
      <c r="BC305" s="1931"/>
      <c r="BD305" s="1931"/>
      <c r="BE305" s="1931"/>
      <c r="BF305" s="1931"/>
      <c r="BG305" s="1931"/>
      <c r="BH305" s="1931"/>
      <c r="BI305" s="1931"/>
      <c r="BJ305" s="1931"/>
      <c r="BK305" s="1931"/>
      <c r="BL305" s="1931"/>
      <c r="BM305" s="1931"/>
      <c r="BN305" s="1931"/>
      <c r="BO305" s="1931"/>
      <c r="BP305" s="1931"/>
      <c r="BQ305" s="1931"/>
      <c r="BR305" s="1931"/>
      <c r="BS305" s="1931"/>
      <c r="BT305" s="1931"/>
      <c r="BU305" s="1931"/>
      <c r="BV305" s="1931"/>
      <c r="BW305" s="1931"/>
      <c r="BX305" s="1931"/>
      <c r="BY305" s="1931"/>
      <c r="BZ305" s="1931"/>
      <c r="CA305" s="1931"/>
      <c r="CB305" s="1931"/>
      <c r="CC305" s="1931"/>
      <c r="CD305" s="1931"/>
      <c r="CE305" s="1930"/>
      <c r="CF305" s="1930"/>
      <c r="CG305" s="1930"/>
      <c r="CH305" s="1930"/>
      <c r="CI305" s="1931"/>
      <c r="CJ305" s="1931"/>
      <c r="CK305" s="1931"/>
      <c r="CL305" s="1931"/>
      <c r="CM305" s="1931"/>
      <c r="CN305" s="1931"/>
      <c r="CO305" s="1931"/>
      <c r="CP305" s="1931"/>
      <c r="CQ305" s="1931"/>
      <c r="CR305" s="1931"/>
      <c r="CS305" s="1931"/>
      <c r="CT305" s="1930"/>
      <c r="CU305" s="1930"/>
      <c r="CV305" s="1930"/>
      <c r="CW305" s="1930"/>
      <c r="CX305" s="1931"/>
      <c r="CY305" s="1931"/>
      <c r="CZ305" s="1931"/>
      <c r="DA305" s="1931"/>
      <c r="DB305" s="1932"/>
      <c r="DC305" s="1931"/>
      <c r="DD305" s="1931"/>
      <c r="DE305" s="1931"/>
      <c r="DF305" s="1931"/>
    </row>
    <row r="306" spans="2:112" collapsed="1" x14ac:dyDescent="0.25">
      <c r="B306" s="1931"/>
      <c r="D306" s="1966"/>
      <c r="E306" s="1965"/>
      <c r="F306" s="1965"/>
      <c r="G306" s="1968"/>
      <c r="H306" s="1969"/>
      <c r="I306" s="1965"/>
      <c r="J306" s="1965"/>
      <c r="K306" s="1965"/>
      <c r="L306" s="1965"/>
      <c r="M306" s="1965"/>
      <c r="N306" s="1965"/>
      <c r="O306" s="1965"/>
      <c r="P306" s="1965"/>
      <c r="Q306" s="1965"/>
      <c r="R306" s="1965"/>
      <c r="S306" s="1965"/>
      <c r="T306" s="1965"/>
      <c r="U306" s="1965"/>
      <c r="V306" s="1931"/>
      <c r="W306" s="1931"/>
      <c r="X306" s="1931"/>
      <c r="Y306" s="1931"/>
      <c r="Z306" s="1931"/>
      <c r="AA306" s="1931"/>
      <c r="AB306" s="1931"/>
      <c r="AC306" s="1931"/>
      <c r="AD306" s="1931"/>
      <c r="AE306" s="1931"/>
      <c r="AF306" s="1931"/>
      <c r="AG306" s="1931"/>
      <c r="AH306" s="1931"/>
      <c r="AI306" s="1931"/>
      <c r="AJ306" s="1931"/>
      <c r="AK306" s="1931"/>
      <c r="AL306" s="1931"/>
      <c r="AM306" s="1931"/>
      <c r="AN306" s="1931"/>
      <c r="AO306" s="1931"/>
      <c r="AP306" s="1931"/>
      <c r="AQ306" s="1931"/>
      <c r="AR306" s="1931"/>
      <c r="AS306" s="1931"/>
      <c r="AT306" s="1931"/>
      <c r="AU306" s="1931"/>
      <c r="AV306" s="1931"/>
      <c r="AW306" s="1931"/>
      <c r="AX306" s="1931"/>
      <c r="AY306" s="1931"/>
      <c r="AZ306" s="1931"/>
      <c r="BA306" s="1931"/>
      <c r="BB306" s="1931"/>
      <c r="BC306" s="1931"/>
      <c r="BD306" s="1931"/>
      <c r="BE306" s="1931"/>
      <c r="BF306" s="1931"/>
      <c r="BG306" s="1931"/>
      <c r="BH306" s="1931"/>
      <c r="BI306" s="1931"/>
      <c r="BJ306" s="1931"/>
      <c r="BK306" s="1931"/>
      <c r="BL306" s="1931"/>
      <c r="BM306" s="1931"/>
      <c r="BN306" s="1931"/>
      <c r="BO306" s="1931"/>
      <c r="BP306" s="1931"/>
      <c r="BQ306" s="1931"/>
      <c r="BR306" s="1931"/>
      <c r="BS306" s="1931"/>
      <c r="BT306" s="1931"/>
      <c r="BU306" s="1931"/>
      <c r="BV306" s="1931"/>
      <c r="BW306" s="1931"/>
      <c r="BX306" s="1931"/>
      <c r="BY306" s="1931"/>
      <c r="BZ306" s="1931"/>
      <c r="CA306" s="1931"/>
      <c r="CB306" s="1931"/>
      <c r="CC306" s="1931"/>
      <c r="CD306" s="1931"/>
      <c r="CE306" s="1930"/>
      <c r="CF306" s="1930"/>
      <c r="CG306" s="1930"/>
      <c r="CH306" s="1930"/>
      <c r="CI306" s="1931"/>
      <c r="CJ306" s="1931"/>
      <c r="CK306" s="1931"/>
      <c r="CL306" s="1931"/>
      <c r="CM306" s="1931"/>
      <c r="CN306" s="1931"/>
      <c r="CO306" s="1931"/>
      <c r="CP306" s="1931"/>
      <c r="CQ306" s="1931"/>
      <c r="CR306" s="1931"/>
      <c r="CS306" s="1931"/>
      <c r="CT306" s="1930"/>
      <c r="CU306" s="1930"/>
      <c r="CV306" s="1930"/>
      <c r="CW306" s="1930"/>
      <c r="CX306" s="1931"/>
      <c r="CY306" s="1931"/>
      <c r="CZ306" s="1931"/>
      <c r="DA306" s="1931"/>
      <c r="DB306" s="1932"/>
      <c r="DC306" s="1931"/>
      <c r="DD306" s="1931"/>
      <c r="DE306" s="1931"/>
      <c r="DF306" s="1931"/>
    </row>
    <row r="308" spans="2:112" s="43" customFormat="1" x14ac:dyDescent="0.25">
      <c r="B308" s="4484" t="s">
        <v>2862</v>
      </c>
      <c r="C308" s="4485"/>
      <c r="D308" s="4485"/>
      <c r="E308" s="4485"/>
      <c r="F308" s="4485"/>
      <c r="G308" s="4485"/>
      <c r="H308" s="4485"/>
      <c r="I308" s="4486"/>
      <c r="J308" s="4486"/>
      <c r="K308" s="4486"/>
      <c r="L308" s="4486"/>
      <c r="M308" s="3752"/>
      <c r="N308" s="3752"/>
      <c r="O308" s="3753"/>
      <c r="P308" s="1935"/>
      <c r="Q308" s="1935"/>
      <c r="R308" s="1935"/>
      <c r="S308" s="1935"/>
      <c r="T308" s="1935"/>
      <c r="U308" s="1935"/>
      <c r="V308" s="3077" t="str">
        <f>B308</f>
        <v>Holding Cabinet</v>
      </c>
      <c r="W308" s="3078"/>
      <c r="X308" s="3078"/>
      <c r="Y308" s="3078"/>
      <c r="Z308" s="3078"/>
      <c r="AA308" s="3078"/>
      <c r="AB308" s="3078"/>
      <c r="AC308" s="3078"/>
      <c r="AD308" s="3078"/>
      <c r="AE308" s="3078"/>
      <c r="AF308" s="3078"/>
      <c r="AG308" s="3078"/>
      <c r="AH308" s="3078"/>
      <c r="AI308" s="3170"/>
      <c r="AJ308" s="1931"/>
      <c r="AK308" s="1931"/>
      <c r="AL308" s="1931"/>
      <c r="AM308" s="1931"/>
      <c r="AN308" s="1931"/>
      <c r="AO308" s="1931"/>
      <c r="AP308" s="1931"/>
      <c r="AQ308" s="1931"/>
      <c r="AR308" s="1931"/>
      <c r="AS308" s="1931"/>
      <c r="AT308" s="1931"/>
      <c r="AU308" s="1931"/>
      <c r="AV308" s="1935"/>
      <c r="AW308" s="1935"/>
      <c r="AX308" s="1935"/>
      <c r="AY308" s="1935"/>
      <c r="AZ308" s="1935"/>
      <c r="BA308" s="1935"/>
      <c r="BB308" s="1935"/>
      <c r="BC308" s="1935"/>
      <c r="BD308" s="1935"/>
      <c r="BE308" s="1935"/>
      <c r="BF308" s="1935"/>
      <c r="BG308" s="1935"/>
      <c r="BH308" s="1935"/>
      <c r="BI308" s="1935"/>
      <c r="BJ308" s="1935"/>
      <c r="BK308" s="1935"/>
      <c r="BL308" s="1935"/>
      <c r="BM308" s="1935"/>
      <c r="BN308" s="1935"/>
      <c r="BO308" s="1935"/>
      <c r="BP308" s="1935"/>
      <c r="BQ308" s="1935"/>
      <c r="BR308" s="1935"/>
      <c r="BS308" s="1935"/>
      <c r="BT308" s="1935"/>
      <c r="BU308" s="1935"/>
      <c r="BV308" s="1935"/>
      <c r="BW308" s="1935"/>
      <c r="BX308" s="1935"/>
      <c r="BY308" s="1935"/>
      <c r="BZ308" s="1935"/>
      <c r="CA308" s="1935"/>
      <c r="CB308" s="1935"/>
      <c r="CC308" s="1935"/>
      <c r="CD308" s="1935"/>
      <c r="CE308" s="1935"/>
      <c r="CF308" s="1935"/>
      <c r="CG308" s="1935"/>
      <c r="CH308" s="1935"/>
      <c r="CI308" s="1935"/>
      <c r="CJ308" s="1935"/>
      <c r="CK308" s="1935"/>
      <c r="CL308" s="1935"/>
      <c r="CM308" s="1935"/>
      <c r="CN308" s="1935"/>
      <c r="CO308" s="1935"/>
      <c r="CP308" s="1935"/>
      <c r="CQ308" s="1935"/>
      <c r="CR308" s="1935"/>
      <c r="CS308" s="1935"/>
      <c r="CT308" s="1935"/>
      <c r="CU308" s="1935"/>
      <c r="CV308" s="1935"/>
      <c r="CW308" s="1935"/>
      <c r="CX308" s="1935"/>
      <c r="CY308" s="1935"/>
      <c r="CZ308" s="1935"/>
      <c r="DA308" s="1935"/>
      <c r="DB308" s="73"/>
      <c r="DC308" s="1935"/>
      <c r="DD308" s="1935"/>
      <c r="DE308" s="1935"/>
      <c r="DF308" s="1935"/>
      <c r="DG308" s="1935"/>
      <c r="DH308" s="1935"/>
    </row>
    <row r="309" spans="2:112" x14ac:dyDescent="0.25">
      <c r="B309" s="1931"/>
      <c r="D309" s="1286"/>
      <c r="E309" s="1966"/>
      <c r="F309" s="1966"/>
      <c r="G309" s="1966"/>
      <c r="H309" s="1287"/>
      <c r="I309" s="1966"/>
      <c r="J309" s="1966"/>
      <c r="K309" s="1966"/>
      <c r="L309" s="1966"/>
      <c r="M309" s="1965"/>
      <c r="N309" s="1965"/>
      <c r="O309" s="1965"/>
      <c r="P309" s="1966"/>
      <c r="Q309" s="1966"/>
      <c r="R309" s="1966"/>
      <c r="S309" s="1966"/>
      <c r="T309" s="1966"/>
      <c r="U309" s="1966"/>
      <c r="V309" s="1930"/>
      <c r="W309" s="1930"/>
      <c r="X309" s="1930"/>
      <c r="Y309" s="1930"/>
      <c r="Z309" s="1930"/>
      <c r="AA309" s="1930"/>
      <c r="AB309" s="1930"/>
      <c r="AC309" s="1930"/>
      <c r="AD309" s="1930"/>
      <c r="AE309" s="1930"/>
      <c r="AF309" s="1930"/>
      <c r="AG309" s="1930"/>
      <c r="AH309" s="1930"/>
      <c r="AI309" s="1930"/>
      <c r="AJ309" s="1934"/>
      <c r="AK309" s="1934"/>
      <c r="AL309" s="1934"/>
      <c r="AM309" s="1934"/>
      <c r="AN309" s="1934"/>
      <c r="AO309" s="1934"/>
      <c r="AP309" s="1934"/>
      <c r="AQ309" s="1934"/>
      <c r="AR309" s="1934"/>
      <c r="AS309" s="1934"/>
      <c r="AT309" s="1934"/>
      <c r="AU309" s="1934"/>
      <c r="AV309" s="1931"/>
      <c r="AW309" s="1931"/>
      <c r="AX309" s="1931"/>
      <c r="AY309" s="1931"/>
      <c r="AZ309" s="1931"/>
      <c r="BA309" s="1931"/>
      <c r="BB309" s="1931"/>
      <c r="BC309" s="1931"/>
      <c r="BD309" s="1931"/>
      <c r="BE309" s="1931"/>
      <c r="BF309" s="1931"/>
      <c r="BG309" s="1931"/>
      <c r="BH309" s="1931"/>
      <c r="BI309" s="1931"/>
      <c r="BJ309" s="1931"/>
      <c r="BK309" s="1931"/>
      <c r="BL309" s="1931"/>
      <c r="BM309" s="1931"/>
      <c r="BN309" s="1931"/>
      <c r="BO309" s="1931"/>
      <c r="BP309" s="1931"/>
      <c r="BQ309" s="1931"/>
      <c r="BR309" s="1931"/>
      <c r="BS309" s="1931"/>
      <c r="BT309" s="1931"/>
      <c r="BU309" s="1931"/>
      <c r="BV309" s="1931"/>
      <c r="BW309" s="1931"/>
      <c r="BX309" s="1931"/>
      <c r="BY309" s="1931"/>
      <c r="BZ309" s="1931"/>
      <c r="CA309" s="1931"/>
      <c r="CB309" s="1931"/>
      <c r="CC309" s="1931"/>
      <c r="CD309" s="1931"/>
      <c r="CE309" s="1930"/>
      <c r="CF309" s="1930"/>
      <c r="CG309" s="1930"/>
      <c r="CH309" s="1930"/>
      <c r="CI309" s="1931"/>
      <c r="CJ309" s="1931"/>
      <c r="CK309" s="1931"/>
      <c r="CL309" s="1931"/>
      <c r="CM309" s="1931"/>
      <c r="CN309" s="1931"/>
      <c r="CO309" s="1931"/>
      <c r="CP309" s="1931"/>
      <c r="CQ309" s="1931"/>
      <c r="CR309" s="1931"/>
      <c r="CS309" s="1931"/>
      <c r="CT309" s="1930"/>
      <c r="CU309" s="1930"/>
      <c r="CV309" s="1930"/>
      <c r="CW309" s="1930"/>
      <c r="CX309" s="1931"/>
      <c r="CY309" s="1931"/>
      <c r="CZ309" s="1931"/>
      <c r="DA309" s="1931"/>
      <c r="DB309" s="1932"/>
      <c r="DC309" s="1931"/>
      <c r="DD309" s="1931"/>
      <c r="DE309" s="1931"/>
      <c r="DF309" s="1931"/>
    </row>
    <row r="310" spans="2:112" s="44" customFormat="1" ht="30" x14ac:dyDescent="0.25">
      <c r="B310" s="45"/>
      <c r="C310" s="46" t="s">
        <v>28</v>
      </c>
      <c r="D310" s="46" t="s">
        <v>29</v>
      </c>
      <c r="E310" s="3196" t="s">
        <v>30</v>
      </c>
      <c r="F310" s="3196" t="s">
        <v>31</v>
      </c>
      <c r="G310" s="3196" t="s">
        <v>176</v>
      </c>
      <c r="H310" s="47" t="s">
        <v>177</v>
      </c>
      <c r="I310" s="3196" t="s">
        <v>32</v>
      </c>
      <c r="J310" s="3196" t="s">
        <v>181</v>
      </c>
      <c r="K310" s="46" t="s">
        <v>170</v>
      </c>
      <c r="L310" s="46" t="s">
        <v>44</v>
      </c>
      <c r="M310" s="1965"/>
      <c r="N310" s="1965"/>
      <c r="O310" s="1965"/>
      <c r="P310" s="1288"/>
      <c r="Q310" s="1288"/>
      <c r="R310" s="1288"/>
      <c r="S310" s="1288"/>
      <c r="T310" s="1288"/>
      <c r="U310" s="1288"/>
      <c r="V310" s="1936" t="s">
        <v>45</v>
      </c>
      <c r="W310" s="1937">
        <f>$W$8</f>
        <v>43252</v>
      </c>
      <c r="X310" s="1937">
        <f>$X$8</f>
        <v>43465</v>
      </c>
      <c r="Y310" s="1937">
        <f>$Y$8</f>
        <v>43800</v>
      </c>
      <c r="Z310" s="1937">
        <f>$Z$8</f>
        <v>43862</v>
      </c>
      <c r="AA310" s="1937">
        <f>$AA$8</f>
        <v>44013</v>
      </c>
      <c r="AB310" s="1937">
        <v>44166</v>
      </c>
      <c r="AC310" s="1937">
        <f>$AC$8</f>
        <v>44531</v>
      </c>
      <c r="AD310" s="1937" t="str">
        <f>$AD$8</f>
        <v>-</v>
      </c>
      <c r="AE310" s="1937" t="str">
        <f>$AE$8</f>
        <v>-</v>
      </c>
      <c r="AF310" s="1937" t="str">
        <f>$AF$8</f>
        <v>-</v>
      </c>
      <c r="AG310" s="1937" t="str">
        <f>$AG$8</f>
        <v>-</v>
      </c>
      <c r="AH310" s="1930"/>
      <c r="AI310" s="1936" t="s">
        <v>45</v>
      </c>
      <c r="AJ310" s="1937">
        <v>43252</v>
      </c>
      <c r="AK310" s="1937">
        <f>$X$8</f>
        <v>43465</v>
      </c>
      <c r="AL310" s="1937">
        <f>$Y$8</f>
        <v>43800</v>
      </c>
      <c r="AM310" s="1937">
        <f>$Z$8</f>
        <v>43862</v>
      </c>
      <c r="AN310" s="1937">
        <f>$AA$8</f>
        <v>44013</v>
      </c>
      <c r="AO310" s="1937">
        <f>$AB$8</f>
        <v>44166</v>
      </c>
      <c r="AP310" s="1937">
        <f>$AC$8</f>
        <v>44531</v>
      </c>
      <c r="AQ310" s="1937" t="str">
        <f>$AD$8</f>
        <v>-</v>
      </c>
      <c r="AR310" s="1937" t="str">
        <f>$AE$8</f>
        <v>-</v>
      </c>
      <c r="AS310" s="1937" t="str">
        <f>$AF$8</f>
        <v>-</v>
      </c>
      <c r="AT310" s="1933"/>
      <c r="AU310" s="1936" t="s">
        <v>45</v>
      </c>
      <c r="AV310" s="1937">
        <v>43252</v>
      </c>
      <c r="AW310" s="1937">
        <f>$X$8</f>
        <v>43465</v>
      </c>
      <c r="AX310" s="1937">
        <f>$Y$8</f>
        <v>43800</v>
      </c>
      <c r="AY310" s="1937">
        <f>$Z$8</f>
        <v>43862</v>
      </c>
      <c r="AZ310" s="1937">
        <f>$AA$8</f>
        <v>44013</v>
      </c>
      <c r="BA310" s="1937">
        <v>44166</v>
      </c>
      <c r="BB310" s="1937">
        <f>$AC$8</f>
        <v>44531</v>
      </c>
      <c r="BC310" s="1937" t="str">
        <f>$AD$8</f>
        <v>-</v>
      </c>
      <c r="BD310" s="1937" t="str">
        <f>$AE$8</f>
        <v>-</v>
      </c>
      <c r="BE310" s="1937" t="str">
        <f>$AF$8</f>
        <v>-</v>
      </c>
      <c r="DB310" s="1938" t="str">
        <f>$DB$8</f>
        <v>TRC (2020)</v>
      </c>
      <c r="DC310" s="1953" t="str">
        <f>$DC$8</f>
        <v>Benefit Lookup</v>
      </c>
      <c r="DD310" s="1953" t="str">
        <f>$DD$8</f>
        <v>Benefits (2019 $)</v>
      </c>
      <c r="DE310" s="1953" t="str">
        <f>$DE$8</f>
        <v>Incremental Cost (2019 $)</v>
      </c>
    </row>
    <row r="311" spans="2:112" x14ac:dyDescent="0.25">
      <c r="B311" s="1931"/>
      <c r="C311" s="2462" t="s">
        <v>2863</v>
      </c>
      <c r="D311" s="1363" t="s">
        <v>2646</v>
      </c>
      <c r="E311" s="1308" t="s">
        <v>2864</v>
      </c>
      <c r="F311" s="1959">
        <f>ROUND((H323-I323)*J323*K323/1000,2)</f>
        <v>709.5</v>
      </c>
      <c r="G311" s="1290" t="s">
        <v>2844</v>
      </c>
      <c r="H311" s="1291">
        <f>VLOOKUP(G311,'CP FACTORS'!$A$26:$B$38,2,FALSE)</f>
        <v>1.998949E-4</v>
      </c>
      <c r="I311" s="1309">
        <f>ROUND(H311*F311,6)</f>
        <v>0.14182500000000001</v>
      </c>
      <c r="J311" s="1354">
        <v>12</v>
      </c>
      <c r="K311" s="1310">
        <v>1783</v>
      </c>
      <c r="L311" s="1292" t="s">
        <v>185</v>
      </c>
      <c r="M311" s="1965"/>
      <c r="N311" s="1965"/>
      <c r="O311" s="1965"/>
      <c r="P311" s="1965"/>
      <c r="Q311" s="1965"/>
      <c r="R311" s="1965"/>
      <c r="S311" s="1965"/>
      <c r="T311" s="1965"/>
      <c r="U311" s="1965"/>
      <c r="V311" s="3226" t="s">
        <v>31</v>
      </c>
      <c r="W311" s="129">
        <v>709.49812499999996</v>
      </c>
      <c r="X311" s="129">
        <v>709.49812499999996</v>
      </c>
      <c r="Y311" s="129">
        <v>709.49812499999996</v>
      </c>
      <c r="Z311" s="129">
        <v>709.49812499999996</v>
      </c>
      <c r="AA311" s="129">
        <v>709.49812499999996</v>
      </c>
      <c r="AB311" s="2002">
        <v>709.5</v>
      </c>
      <c r="AC311" s="3364">
        <v>709.5</v>
      </c>
      <c r="AD311" s="2099"/>
      <c r="AE311" s="2099"/>
      <c r="AF311" s="2099"/>
      <c r="AG311" s="2099"/>
      <c r="AH311" s="2100"/>
      <c r="AI311" s="3227" t="s">
        <v>181</v>
      </c>
      <c r="AJ311" s="64">
        <v>12</v>
      </c>
      <c r="AK311" s="64">
        <v>12</v>
      </c>
      <c r="AL311" s="64">
        <v>12</v>
      </c>
      <c r="AM311" s="64">
        <v>12</v>
      </c>
      <c r="AN311" s="64">
        <v>12</v>
      </c>
      <c r="AO311" s="2091">
        <v>12</v>
      </c>
      <c r="AP311" s="2091">
        <v>12</v>
      </c>
      <c r="AQ311" s="2099"/>
      <c r="AR311" s="2099"/>
      <c r="AS311" s="2099"/>
      <c r="AT311" s="1933"/>
      <c r="AU311" s="3227" t="s">
        <v>170</v>
      </c>
      <c r="AV311" s="2102">
        <v>1783</v>
      </c>
      <c r="AW311" s="2102">
        <v>1783</v>
      </c>
      <c r="AX311" s="2102">
        <v>1783</v>
      </c>
      <c r="AY311" s="2102">
        <v>1783</v>
      </c>
      <c r="AZ311" s="2102">
        <v>1783</v>
      </c>
      <c r="BA311" s="2103">
        <v>1783</v>
      </c>
      <c r="BB311" s="2103">
        <v>1783</v>
      </c>
      <c r="BC311" s="2099"/>
      <c r="BD311" s="2099"/>
      <c r="BE311" s="2099"/>
      <c r="BF311" s="1933"/>
      <c r="BG311" s="1933"/>
      <c r="BH311" s="1933"/>
      <c r="BI311" s="1933"/>
      <c r="BJ311" s="1933"/>
      <c r="BK311" s="1933"/>
      <c r="BL311" s="1933"/>
      <c r="BM311" s="1933"/>
      <c r="BN311" s="1933"/>
      <c r="BO311" s="1933"/>
      <c r="BP311" s="1933"/>
      <c r="BQ311" s="1931"/>
      <c r="BR311" s="1931"/>
      <c r="BS311" s="1931"/>
      <c r="BT311" s="1931"/>
      <c r="BU311" s="1931"/>
      <c r="BV311" s="1931"/>
      <c r="BW311" s="1931"/>
      <c r="BX311" s="1931"/>
      <c r="BY311" s="1931"/>
      <c r="BZ311" s="1931"/>
      <c r="CA311" s="1931"/>
      <c r="CB311" s="1931"/>
      <c r="CC311" s="1931"/>
      <c r="CD311" s="1931"/>
      <c r="CE311" s="1930"/>
      <c r="CF311" s="1930"/>
      <c r="CG311" s="1930"/>
      <c r="CH311" s="1930"/>
      <c r="CI311" s="1931"/>
      <c r="CJ311" s="1931"/>
      <c r="CK311" s="1931"/>
      <c r="CL311" s="1931"/>
      <c r="CM311" s="1931"/>
      <c r="CN311" s="1931"/>
      <c r="CO311" s="1931"/>
      <c r="CP311" s="1931"/>
      <c r="CQ311" s="1931"/>
      <c r="CR311" s="1931"/>
      <c r="CS311" s="1931"/>
      <c r="CT311" s="1930"/>
      <c r="CU311" s="1930"/>
      <c r="CV311" s="1930"/>
      <c r="CW311" s="1930"/>
      <c r="CX311" s="1931"/>
      <c r="CY311" s="1931"/>
      <c r="CZ311" s="1931"/>
      <c r="DA311" s="1931"/>
      <c r="DB311" s="1945">
        <f>(DD311)/(DE311)</f>
        <v>0.21383428302465121</v>
      </c>
      <c r="DC311" s="3166" t="str">
        <f>CONCATENATE(G311," ",J311," Year EUL")</f>
        <v>Cooking BUS 12 Year EUL</v>
      </c>
      <c r="DD311" s="69">
        <f>(INDEX('Avoided Cost Benefits'!$C$4:$C$857,MATCH(DC311,'Avoided Cost Benefits'!$A$4:$A$857,0)))*F311</f>
        <v>359.85514547706754</v>
      </c>
      <c r="DE311" s="1946">
        <f>K311/(1.0595^(2020-2019))</f>
        <v>1682.8692779613023</v>
      </c>
      <c r="DF311" s="1931"/>
    </row>
    <row r="312" spans="2:112" x14ac:dyDescent="0.25">
      <c r="C312" s="2462" t="s">
        <v>2865</v>
      </c>
      <c r="D312" s="1363" t="s">
        <v>2646</v>
      </c>
      <c r="E312" s="1308" t="s">
        <v>2866</v>
      </c>
      <c r="F312" s="1959">
        <f>ROUND((H324-I324)*J324*K324/1000,2)</f>
        <v>2772.25</v>
      </c>
      <c r="G312" s="1290" t="s">
        <v>2844</v>
      </c>
      <c r="H312" s="1291">
        <f>VLOOKUP(G312,'CP FACTORS'!$A$26:$B$38,2,FALSE)</f>
        <v>1.998949E-4</v>
      </c>
      <c r="I312" s="1309">
        <f>ROUND(H312*F312,6)</f>
        <v>0.55415899999999996</v>
      </c>
      <c r="J312" s="1354">
        <v>12</v>
      </c>
      <c r="K312" s="1310">
        <v>1783</v>
      </c>
      <c r="L312" s="1292" t="s">
        <v>185</v>
      </c>
      <c r="M312" s="1965"/>
      <c r="N312" s="1965"/>
      <c r="O312" s="1965"/>
      <c r="P312" s="1965"/>
      <c r="Q312" s="1965"/>
      <c r="R312" s="1965"/>
      <c r="S312" s="1965"/>
      <c r="T312" s="1965"/>
      <c r="U312" s="1965"/>
      <c r="V312" s="3226" t="s">
        <v>31</v>
      </c>
      <c r="W312" s="129">
        <v>2772.2474999999999</v>
      </c>
      <c r="X312" s="129">
        <v>2772.2474999999999</v>
      </c>
      <c r="Y312" s="129">
        <v>2772.2474999999999</v>
      </c>
      <c r="Z312" s="129">
        <v>2772.2474999999999</v>
      </c>
      <c r="AA312" s="129">
        <v>2772.2474999999999</v>
      </c>
      <c r="AB312" s="2002">
        <v>2772.25</v>
      </c>
      <c r="AC312" s="3364">
        <v>2772.25</v>
      </c>
      <c r="AD312" s="2099"/>
      <c r="AE312" s="2099"/>
      <c r="AF312" s="2099"/>
      <c r="AG312" s="2099"/>
      <c r="AH312" s="2100"/>
      <c r="AI312" s="3227" t="s">
        <v>181</v>
      </c>
      <c r="AJ312" s="64">
        <v>12</v>
      </c>
      <c r="AK312" s="64">
        <v>12</v>
      </c>
      <c r="AL312" s="64">
        <v>12</v>
      </c>
      <c r="AM312" s="64">
        <v>12</v>
      </c>
      <c r="AN312" s="64">
        <v>12</v>
      </c>
      <c r="AO312" s="2091">
        <v>12</v>
      </c>
      <c r="AP312" s="2091">
        <v>12</v>
      </c>
      <c r="AQ312" s="2099"/>
      <c r="AR312" s="2099"/>
      <c r="AS312" s="2099"/>
      <c r="AT312" s="1933"/>
      <c r="AU312" s="3227" t="s">
        <v>170</v>
      </c>
      <c r="AV312" s="2102">
        <v>1783</v>
      </c>
      <c r="AW312" s="2102">
        <v>1783</v>
      </c>
      <c r="AX312" s="2102">
        <v>1783</v>
      </c>
      <c r="AY312" s="2102">
        <v>1783</v>
      </c>
      <c r="AZ312" s="2102">
        <v>1783</v>
      </c>
      <c r="BA312" s="2103">
        <v>1783</v>
      </c>
      <c r="BB312" s="2103">
        <v>1783</v>
      </c>
      <c r="BC312" s="2099"/>
      <c r="BD312" s="2099"/>
      <c r="BE312" s="2099"/>
      <c r="BF312" s="1933"/>
      <c r="BG312" s="1933"/>
      <c r="BH312" s="1933"/>
      <c r="BI312" s="1933"/>
      <c r="BJ312" s="1933"/>
      <c r="BK312" s="1933"/>
      <c r="BL312" s="1933"/>
      <c r="BM312" s="1933"/>
      <c r="BN312" s="1933"/>
      <c r="BO312" s="1933"/>
      <c r="BP312" s="1933"/>
      <c r="BQ312" s="1931"/>
      <c r="BR312" s="1931"/>
      <c r="BS312" s="1931"/>
      <c r="BT312" s="1931"/>
      <c r="BU312" s="1931"/>
      <c r="BV312" s="1931"/>
      <c r="BW312" s="1931"/>
      <c r="BX312" s="1931"/>
      <c r="BY312" s="1931"/>
      <c r="BZ312" s="1931"/>
      <c r="CA312" s="1931"/>
      <c r="CB312" s="1931"/>
      <c r="CC312" s="1931"/>
      <c r="CD312" s="1931"/>
      <c r="CE312" s="1930"/>
      <c r="CF312" s="1930"/>
      <c r="CG312" s="1930"/>
      <c r="CH312" s="1930"/>
      <c r="CI312" s="1931"/>
      <c r="CJ312" s="1931"/>
      <c r="CK312" s="1931"/>
      <c r="CL312" s="1931"/>
      <c r="CM312" s="1931"/>
      <c r="CN312" s="1931"/>
      <c r="CO312" s="1931"/>
      <c r="CP312" s="1931"/>
      <c r="CQ312" s="1931"/>
      <c r="CR312" s="1931"/>
      <c r="CS312" s="1931"/>
      <c r="CT312" s="1930"/>
      <c r="CU312" s="1930"/>
      <c r="CV312" s="1930"/>
      <c r="CW312" s="1930"/>
      <c r="CX312" s="1931"/>
      <c r="CY312" s="1931"/>
      <c r="CZ312" s="1931"/>
      <c r="DA312" s="1931"/>
      <c r="DB312" s="52">
        <f>(DD312)/(DE312)</f>
        <v>0.83552091770978054</v>
      </c>
      <c r="DC312" s="1948" t="str">
        <f>CONCATENATE(G312," ",J312," Year EUL")</f>
        <v>Cooking BUS 12 Year EUL</v>
      </c>
      <c r="DD312" s="70">
        <f>(INDEX('Avoided Cost Benefits'!$C$4:$C$857,MATCH(DC312,'Avoided Cost Benefits'!$A$4:$A$857,0)))*F312</f>
        <v>1406.0724835078231</v>
      </c>
      <c r="DE312" s="1949">
        <f>K312/(1.0595^(2020-2019))</f>
        <v>1682.8692779613023</v>
      </c>
    </row>
    <row r="313" spans="2:112" x14ac:dyDescent="0.25">
      <c r="C313" s="2462" t="s">
        <v>2867</v>
      </c>
      <c r="D313" s="1363" t="s">
        <v>2646</v>
      </c>
      <c r="E313" s="1308" t="s">
        <v>2868</v>
      </c>
      <c r="F313" s="1959">
        <f>ROUND((H325-I325)*J325*K325/1000,2)</f>
        <v>4438.34</v>
      </c>
      <c r="G313" s="1290" t="s">
        <v>2844</v>
      </c>
      <c r="H313" s="1291">
        <f>VLOOKUP(G313,'CP FACTORS'!$A$26:$B$38,2,FALSE)</f>
        <v>1.998949E-4</v>
      </c>
      <c r="I313" s="1309">
        <f>ROUND(H313*F313,6)</f>
        <v>0.88720200000000005</v>
      </c>
      <c r="J313" s="1354">
        <v>12</v>
      </c>
      <c r="K313" s="1310">
        <v>1783</v>
      </c>
      <c r="L313" s="1292" t="s">
        <v>185</v>
      </c>
      <c r="M313" s="1965"/>
      <c r="N313" s="1965"/>
      <c r="O313" s="1965"/>
      <c r="P313" s="1965"/>
      <c r="Q313" s="1965"/>
      <c r="R313" s="1965"/>
      <c r="S313" s="1965"/>
      <c r="T313" s="1965"/>
      <c r="U313" s="1965"/>
      <c r="V313" s="3226" t="s">
        <v>31</v>
      </c>
      <c r="W313" s="129">
        <v>4438.3353749999997</v>
      </c>
      <c r="X313" s="129">
        <v>4438.3353749999997</v>
      </c>
      <c r="Y313" s="129">
        <v>4438.3353749999997</v>
      </c>
      <c r="Z313" s="129">
        <v>4438.3353749999997</v>
      </c>
      <c r="AA313" s="129">
        <v>4438.3353749999997</v>
      </c>
      <c r="AB313" s="2002">
        <v>4438.34</v>
      </c>
      <c r="AC313" s="3364">
        <v>4438.34</v>
      </c>
      <c r="AD313" s="2099"/>
      <c r="AE313" s="2099"/>
      <c r="AF313" s="2099"/>
      <c r="AG313" s="2099"/>
      <c r="AH313" s="2100"/>
      <c r="AI313" s="3227" t="s">
        <v>181</v>
      </c>
      <c r="AJ313" s="64">
        <v>12</v>
      </c>
      <c r="AK313" s="64">
        <v>12</v>
      </c>
      <c r="AL313" s="64">
        <v>12</v>
      </c>
      <c r="AM313" s="64">
        <v>12</v>
      </c>
      <c r="AN313" s="64">
        <v>12</v>
      </c>
      <c r="AO313" s="2091">
        <v>12</v>
      </c>
      <c r="AP313" s="2091">
        <v>12</v>
      </c>
      <c r="AQ313" s="2099"/>
      <c r="AR313" s="2099"/>
      <c r="AS313" s="2099"/>
      <c r="AT313" s="1933"/>
      <c r="AU313" s="3227" t="s">
        <v>170</v>
      </c>
      <c r="AV313" s="2102">
        <v>1783</v>
      </c>
      <c r="AW313" s="2102">
        <v>1783</v>
      </c>
      <c r="AX313" s="2102">
        <v>1783</v>
      </c>
      <c r="AY313" s="2102">
        <v>1783</v>
      </c>
      <c r="AZ313" s="2102">
        <v>1783</v>
      </c>
      <c r="BA313" s="2103">
        <v>1783</v>
      </c>
      <c r="BB313" s="2103">
        <v>1783</v>
      </c>
      <c r="BC313" s="2099"/>
      <c r="BD313" s="2099"/>
      <c r="BE313" s="2099"/>
      <c r="BF313" s="1933"/>
      <c r="BG313" s="1933"/>
      <c r="BH313" s="1933"/>
      <c r="BI313" s="1933"/>
      <c r="BJ313" s="1933"/>
      <c r="BK313" s="1933"/>
      <c r="BL313" s="1933"/>
      <c r="BM313" s="1933"/>
      <c r="BN313" s="1933"/>
      <c r="BO313" s="1933"/>
      <c r="BP313" s="1933"/>
      <c r="BQ313" s="1931"/>
      <c r="BR313" s="1931"/>
      <c r="BS313" s="1931"/>
      <c r="BT313" s="1931"/>
      <c r="BU313" s="1931"/>
      <c r="BV313" s="1931"/>
      <c r="BW313" s="1931"/>
      <c r="BX313" s="1931"/>
      <c r="BY313" s="1931"/>
      <c r="BZ313" s="1931"/>
      <c r="CA313" s="1931"/>
      <c r="CB313" s="1931"/>
      <c r="CC313" s="1931"/>
      <c r="CD313" s="1931"/>
      <c r="CE313" s="1930"/>
      <c r="CF313" s="1930"/>
      <c r="CG313" s="1930"/>
      <c r="CH313" s="1930"/>
      <c r="CI313" s="1931"/>
      <c r="CJ313" s="1931"/>
      <c r="CK313" s="1931"/>
      <c r="CL313" s="1931"/>
      <c r="CM313" s="1931"/>
      <c r="CN313" s="1931"/>
      <c r="CO313" s="1931"/>
      <c r="CP313" s="1931"/>
      <c r="CQ313" s="1931"/>
      <c r="CR313" s="1931"/>
      <c r="CS313" s="1931"/>
      <c r="CT313" s="1930"/>
      <c r="CU313" s="1930"/>
      <c r="CV313" s="1930"/>
      <c r="CW313" s="1930"/>
      <c r="CX313" s="1931"/>
      <c r="CY313" s="1931"/>
      <c r="CZ313" s="1931"/>
      <c r="DA313" s="1931"/>
      <c r="DB313" s="53">
        <f>(DD313)/(DE313)</f>
        <v>1.3376592695132212</v>
      </c>
      <c r="DC313" s="1948" t="str">
        <f>CONCATENATE(G313," ",J313," Year EUL")</f>
        <v>Cooking BUS 12 Year EUL</v>
      </c>
      <c r="DD313" s="71">
        <f>(INDEX('Avoided Cost Benefits'!$C$4:$C$857,MATCH(DC313,'Avoided Cost Benefits'!$A$4:$A$857,0)))*F313</f>
        <v>2251.1056890439577</v>
      </c>
      <c r="DE313" s="1950">
        <f>K313/(1.0595^(2020-2019))</f>
        <v>1682.8692779613023</v>
      </c>
    </row>
    <row r="314" spans="2:112" hidden="1" outlineLevel="1" x14ac:dyDescent="0.25">
      <c r="D314" s="1966"/>
      <c r="E314" s="1966"/>
      <c r="F314" s="1966"/>
      <c r="G314" s="1966"/>
      <c r="H314" s="1299"/>
      <c r="I314" s="1966"/>
      <c r="J314" s="1966"/>
      <c r="K314" s="1966"/>
      <c r="L314" s="1965"/>
      <c r="M314" s="1965"/>
      <c r="N314" s="1965"/>
      <c r="O314" s="1965"/>
      <c r="P314" s="1965"/>
      <c r="Q314" s="1965"/>
      <c r="R314" s="1965"/>
      <c r="S314" s="1965"/>
      <c r="T314" s="1965"/>
      <c r="U314" s="1965"/>
      <c r="V314" s="1931"/>
      <c r="W314" s="1933"/>
      <c r="X314" s="1933"/>
      <c r="Y314" s="1933"/>
      <c r="Z314" s="1933"/>
      <c r="AA314" s="1933"/>
      <c r="AB314" s="1933"/>
      <c r="AC314" s="1933"/>
      <c r="AD314" s="1933"/>
      <c r="AE314" s="1933"/>
      <c r="AF314" s="1933"/>
      <c r="AG314" s="1933"/>
      <c r="AH314" s="1933"/>
      <c r="AI314" s="1933"/>
      <c r="AJ314" s="1933"/>
      <c r="AK314" s="1933"/>
      <c r="AL314" s="1933"/>
      <c r="AM314" s="1933"/>
      <c r="AN314" s="1933"/>
      <c r="AO314" s="1933"/>
      <c r="AP314" s="1933"/>
      <c r="AQ314" s="1933"/>
      <c r="AR314" s="1933"/>
      <c r="AS314" s="1933"/>
      <c r="AT314" s="1933"/>
      <c r="AU314" s="1933"/>
      <c r="AV314" s="1933"/>
      <c r="AW314" s="1933"/>
      <c r="AX314" s="1933"/>
      <c r="AY314" s="1933"/>
      <c r="AZ314" s="1933"/>
      <c r="BA314" s="1933"/>
      <c r="BB314" s="1933"/>
      <c r="BC314" s="1933"/>
      <c r="BD314" s="1933"/>
      <c r="BE314" s="1933"/>
      <c r="BF314" s="1933"/>
      <c r="BG314" s="1933"/>
      <c r="BH314" s="1933"/>
      <c r="BI314" s="1933"/>
      <c r="BJ314" s="1933"/>
      <c r="BK314" s="1933"/>
      <c r="BL314" s="1933"/>
      <c r="BM314" s="1933"/>
      <c r="BN314" s="1933"/>
      <c r="BO314" s="1933"/>
      <c r="BP314" s="1933"/>
      <c r="BQ314" s="1931"/>
      <c r="BR314" s="1931"/>
      <c r="BS314" s="1931"/>
      <c r="BT314" s="1931"/>
      <c r="BU314" s="1931"/>
      <c r="BV314" s="1931"/>
      <c r="BW314" s="1931"/>
      <c r="BX314" s="1931"/>
      <c r="BY314" s="1931"/>
      <c r="BZ314" s="1931"/>
      <c r="CA314" s="1931"/>
      <c r="CB314" s="1931"/>
      <c r="CC314" s="1931"/>
      <c r="CD314" s="1931"/>
      <c r="CE314" s="1930"/>
      <c r="CF314" s="1930"/>
      <c r="CG314" s="1930"/>
      <c r="CH314" s="1930"/>
      <c r="CI314" s="1931"/>
      <c r="CJ314" s="1931"/>
      <c r="CK314" s="1931"/>
      <c r="CL314" s="1931"/>
      <c r="CM314" s="1931"/>
      <c r="CN314" s="1931"/>
      <c r="CO314" s="1931"/>
      <c r="CP314" s="1931"/>
      <c r="CQ314" s="1931"/>
      <c r="CR314" s="1931"/>
      <c r="CS314" s="1931"/>
      <c r="CT314" s="1930"/>
      <c r="CU314" s="1930"/>
      <c r="CV314" s="1930"/>
      <c r="CW314" s="1930"/>
      <c r="CX314" s="1931"/>
      <c r="CY314" s="1931"/>
      <c r="CZ314" s="1931"/>
      <c r="DA314" s="1931"/>
      <c r="DB314" s="1932"/>
      <c r="DC314" s="1931"/>
      <c r="DD314" s="1931"/>
      <c r="DE314" s="1931"/>
    </row>
    <row r="315" spans="2:112" hidden="1" outlineLevel="1" x14ac:dyDescent="0.25">
      <c r="D315" s="1966" t="s">
        <v>2689</v>
      </c>
      <c r="E315" s="1966"/>
      <c r="F315" s="1966"/>
      <c r="G315" s="1966"/>
      <c r="H315" s="1299"/>
      <c r="I315" s="1966"/>
      <c r="J315" s="1966"/>
      <c r="K315" s="1966"/>
      <c r="L315" s="1965"/>
      <c r="M315" s="1965"/>
      <c r="N315" s="1965"/>
      <c r="O315" s="1965"/>
      <c r="P315" s="1965"/>
      <c r="Q315" s="1965"/>
      <c r="R315" s="1965"/>
      <c r="S315" s="1965"/>
      <c r="T315" s="1965"/>
      <c r="U315" s="1965"/>
      <c r="V315" s="1931"/>
      <c r="W315" s="1933"/>
      <c r="X315" s="1933"/>
      <c r="Y315" s="1933"/>
      <c r="Z315" s="1933"/>
      <c r="AA315" s="1933"/>
      <c r="AB315" s="1933"/>
      <c r="AC315" s="1933"/>
      <c r="AD315" s="1933"/>
      <c r="AE315" s="1933"/>
      <c r="AF315" s="1933"/>
      <c r="AG315" s="1933"/>
      <c r="AH315" s="1933"/>
      <c r="AI315" s="1933"/>
      <c r="AJ315" s="1933"/>
      <c r="AK315" s="1933"/>
      <c r="AL315" s="1933"/>
      <c r="AM315" s="1933"/>
      <c r="AN315" s="1933"/>
      <c r="AO315" s="1933"/>
      <c r="AP315" s="1933"/>
      <c r="AQ315" s="1933"/>
      <c r="AR315" s="1933"/>
      <c r="AS315" s="1933"/>
      <c r="AT315" s="1933"/>
      <c r="AU315" s="1933"/>
      <c r="AV315" s="1933"/>
      <c r="AW315" s="1933"/>
      <c r="AX315" s="1933"/>
      <c r="AY315" s="1933"/>
      <c r="AZ315" s="1933"/>
      <c r="BA315" s="1933"/>
      <c r="BB315" s="1933"/>
      <c r="BC315" s="1933"/>
      <c r="BD315" s="1933"/>
      <c r="BE315" s="1933"/>
      <c r="BF315" s="1933"/>
      <c r="BG315" s="1933"/>
      <c r="BH315" s="1933"/>
      <c r="BI315" s="1933"/>
      <c r="BJ315" s="1933"/>
      <c r="BK315" s="1933"/>
      <c r="BL315" s="1933"/>
      <c r="BM315" s="1933"/>
      <c r="BN315" s="1933"/>
      <c r="BO315" s="1933"/>
      <c r="BP315" s="1933"/>
      <c r="BQ315" s="1931"/>
      <c r="BR315" s="1931"/>
      <c r="BS315" s="1931"/>
      <c r="BT315" s="1931"/>
      <c r="BU315" s="1931"/>
      <c r="BV315" s="1931"/>
      <c r="BW315" s="1931"/>
      <c r="BX315" s="1931"/>
      <c r="BY315" s="1931"/>
      <c r="BZ315" s="1931"/>
      <c r="CA315" s="1931"/>
      <c r="CB315" s="1931"/>
      <c r="CC315" s="1931"/>
      <c r="CD315" s="1931"/>
      <c r="CE315" s="1930"/>
      <c r="CF315" s="1930"/>
      <c r="CG315" s="1930"/>
      <c r="CH315" s="1930"/>
      <c r="CI315" s="1931"/>
      <c r="CJ315" s="1931"/>
      <c r="CK315" s="1931"/>
      <c r="CL315" s="1931"/>
      <c r="CM315" s="1931"/>
      <c r="CN315" s="1931"/>
      <c r="CO315" s="1931"/>
      <c r="CP315" s="1931"/>
      <c r="CQ315" s="1931"/>
      <c r="CR315" s="1931"/>
      <c r="CS315" s="1931"/>
      <c r="CT315" s="1930"/>
      <c r="CU315" s="1930"/>
      <c r="CV315" s="1930"/>
      <c r="CW315" s="1930"/>
      <c r="CX315" s="1931"/>
      <c r="CY315" s="1931"/>
      <c r="CZ315" s="1931"/>
      <c r="DA315" s="1931"/>
      <c r="DB315" s="1932"/>
      <c r="DC315" s="1931"/>
      <c r="DD315" s="1931"/>
      <c r="DE315" s="1931"/>
    </row>
    <row r="316" spans="2:112" hidden="1" outlineLevel="1" x14ac:dyDescent="0.25">
      <c r="D316" s="1300"/>
      <c r="E316" s="1965"/>
      <c r="F316" s="1965"/>
      <c r="G316" s="1321"/>
      <c r="H316" s="1322"/>
      <c r="I316" s="1965"/>
      <c r="J316" s="1965"/>
      <c r="K316" s="1965"/>
      <c r="L316" s="1965"/>
      <c r="M316" s="1965"/>
      <c r="N316" s="1965"/>
      <c r="O316" s="1965"/>
      <c r="P316" s="1965"/>
      <c r="Q316" s="1965"/>
      <c r="R316" s="1965"/>
      <c r="S316" s="1965"/>
      <c r="T316" s="1965"/>
      <c r="U316" s="1965"/>
      <c r="V316" s="1931"/>
      <c r="W316" s="1933"/>
      <c r="X316" s="1933"/>
      <c r="Y316" s="1933"/>
      <c r="Z316" s="1933"/>
      <c r="AA316" s="1933"/>
      <c r="AB316" s="1933"/>
      <c r="AC316" s="1933"/>
      <c r="AD316" s="1933"/>
      <c r="AE316" s="1933"/>
      <c r="AF316" s="1933"/>
      <c r="AG316" s="1933"/>
      <c r="AH316" s="1933"/>
      <c r="AI316" s="1933"/>
      <c r="AJ316" s="1933"/>
      <c r="AK316" s="1933"/>
      <c r="AL316" s="1933"/>
      <c r="AM316" s="1933"/>
      <c r="AN316" s="1933"/>
      <c r="AO316" s="1933"/>
      <c r="AP316" s="1933"/>
      <c r="AQ316" s="1933"/>
      <c r="AR316" s="1933"/>
      <c r="AS316" s="1933"/>
      <c r="AT316" s="1933"/>
      <c r="AU316" s="1933"/>
      <c r="AV316" s="1933"/>
      <c r="AW316" s="1933"/>
      <c r="AX316" s="1933"/>
      <c r="AY316" s="1933"/>
      <c r="AZ316" s="1933"/>
      <c r="BA316" s="1933"/>
      <c r="BB316" s="1933"/>
      <c r="BC316" s="1933"/>
      <c r="BD316" s="1933"/>
      <c r="BE316" s="1933"/>
      <c r="BF316" s="1933"/>
      <c r="BG316" s="1933"/>
      <c r="BH316" s="1933"/>
      <c r="BI316" s="1933"/>
      <c r="BJ316" s="1933"/>
      <c r="BK316" s="1933"/>
      <c r="BL316" s="1933"/>
      <c r="BM316" s="1933"/>
      <c r="BN316" s="1933"/>
      <c r="BO316" s="1933"/>
      <c r="BP316" s="1933"/>
      <c r="BQ316" s="1931"/>
      <c r="BR316" s="1931"/>
      <c r="BS316" s="1931"/>
      <c r="BT316" s="1931"/>
      <c r="BU316" s="1931"/>
      <c r="BV316" s="1931"/>
      <c r="BW316" s="1931"/>
      <c r="BX316" s="1931"/>
      <c r="BY316" s="1931"/>
      <c r="BZ316" s="1931"/>
      <c r="CA316" s="1931"/>
      <c r="CB316" s="1931"/>
      <c r="CC316" s="1931"/>
      <c r="CD316" s="1931"/>
      <c r="CE316" s="1930"/>
      <c r="CF316" s="1930"/>
      <c r="CG316" s="1930"/>
      <c r="CH316" s="1930"/>
      <c r="CI316" s="1931"/>
      <c r="CJ316" s="1931"/>
      <c r="CK316" s="1931"/>
      <c r="CL316" s="1931"/>
      <c r="CM316" s="1931"/>
      <c r="CN316" s="1931"/>
      <c r="CO316" s="1931"/>
      <c r="CP316" s="1931"/>
      <c r="CQ316" s="1931"/>
      <c r="CR316" s="1931"/>
      <c r="CS316" s="1931"/>
      <c r="CT316" s="1930"/>
      <c r="CU316" s="1930"/>
      <c r="CV316" s="1930"/>
      <c r="CW316" s="1930"/>
      <c r="CX316" s="1931"/>
      <c r="CY316" s="1931"/>
      <c r="CZ316" s="1931"/>
      <c r="DA316" s="1931"/>
      <c r="DB316" s="1932"/>
      <c r="DC316" s="1931"/>
      <c r="DD316" s="1931"/>
      <c r="DE316" s="1931"/>
    </row>
    <row r="317" spans="2:112" hidden="1" outlineLevel="1" x14ac:dyDescent="0.25">
      <c r="D317" s="151"/>
      <c r="E317" s="1965"/>
      <c r="F317" s="1965"/>
      <c r="G317" s="1321"/>
      <c r="H317" s="1322"/>
      <c r="I317" s="1965"/>
      <c r="J317" s="1965"/>
      <c r="K317" s="1965"/>
      <c r="L317" s="1965"/>
      <c r="M317" s="1965"/>
      <c r="N317" s="1965"/>
      <c r="O317" s="1965"/>
      <c r="P317" s="1965"/>
      <c r="Q317" s="1965"/>
      <c r="R317" s="1965"/>
      <c r="S317" s="1965"/>
      <c r="T317" s="1965"/>
      <c r="U317" s="1965"/>
      <c r="V317" s="1931"/>
      <c r="W317" s="1933"/>
      <c r="X317" s="1933"/>
      <c r="Y317" s="1933"/>
      <c r="Z317" s="1933"/>
      <c r="AA317" s="1933"/>
      <c r="AB317" s="1933"/>
      <c r="AC317" s="1933"/>
      <c r="AD317" s="1933"/>
      <c r="AE317" s="1933"/>
      <c r="AF317" s="1933"/>
      <c r="AG317" s="1933"/>
      <c r="AH317" s="1933"/>
      <c r="AI317" s="1933"/>
      <c r="AJ317" s="1933"/>
      <c r="AK317" s="1933"/>
      <c r="AL317" s="1933"/>
      <c r="AM317" s="1933"/>
      <c r="AN317" s="1933"/>
      <c r="AO317" s="1933"/>
      <c r="AP317" s="1933"/>
      <c r="AQ317" s="1933"/>
      <c r="AR317" s="1933"/>
      <c r="AS317" s="1933"/>
      <c r="AT317" s="1933"/>
      <c r="AU317" s="1933"/>
      <c r="AV317" s="1933"/>
      <c r="AW317" s="1933"/>
      <c r="AX317" s="1933"/>
      <c r="AY317" s="1933"/>
      <c r="AZ317" s="1933"/>
      <c r="BA317" s="1933"/>
      <c r="BB317" s="1933"/>
      <c r="BC317" s="1933"/>
      <c r="BD317" s="1933"/>
      <c r="BE317" s="1933"/>
      <c r="BF317" s="1933"/>
      <c r="BG317" s="1933"/>
      <c r="BH317" s="1933"/>
      <c r="BI317" s="1933"/>
      <c r="BJ317" s="1933"/>
      <c r="BK317" s="1933"/>
      <c r="BL317" s="1933"/>
      <c r="BM317" s="1933"/>
      <c r="BN317" s="1933"/>
      <c r="BO317" s="1933"/>
      <c r="BP317" s="1933"/>
      <c r="BQ317" s="1931"/>
      <c r="BR317" s="1931"/>
      <c r="BS317" s="1931"/>
      <c r="BT317" s="1931"/>
      <c r="BU317" s="1931"/>
      <c r="BV317" s="1931"/>
      <c r="BW317" s="1931"/>
      <c r="BX317" s="1931"/>
      <c r="BY317" s="1931"/>
      <c r="BZ317" s="1931"/>
      <c r="CA317" s="1931"/>
      <c r="CB317" s="1931"/>
      <c r="CC317" s="1931"/>
      <c r="CD317" s="1931"/>
      <c r="CE317" s="1930"/>
      <c r="CF317" s="1930"/>
      <c r="CG317" s="1930"/>
      <c r="CH317" s="1930"/>
      <c r="CI317" s="1931"/>
      <c r="CJ317" s="1931"/>
      <c r="CK317" s="1931"/>
      <c r="CL317" s="1931"/>
      <c r="CM317" s="1931"/>
      <c r="CN317" s="1931"/>
      <c r="CO317" s="1931"/>
      <c r="CP317" s="1931"/>
      <c r="CQ317" s="1931"/>
      <c r="CR317" s="1931"/>
      <c r="CS317" s="1931"/>
      <c r="CT317" s="1930"/>
      <c r="CU317" s="1930"/>
      <c r="CV317" s="1930"/>
      <c r="CW317" s="1930"/>
      <c r="CX317" s="1931"/>
      <c r="CY317" s="1931"/>
      <c r="CZ317" s="1931"/>
      <c r="DA317" s="1931"/>
      <c r="DB317" s="1932"/>
      <c r="DC317" s="1931"/>
      <c r="DD317" s="1931"/>
      <c r="DE317" s="1931"/>
    </row>
    <row r="318" spans="2:112" hidden="1" outlineLevel="1" x14ac:dyDescent="0.25">
      <c r="D318" s="1300"/>
      <c r="E318" s="1965"/>
      <c r="F318" s="1965"/>
      <c r="G318" s="1965"/>
      <c r="H318" s="1301"/>
      <c r="I318" s="1965"/>
      <c r="J318" s="1965"/>
      <c r="K318" s="1965"/>
      <c r="L318" s="1965"/>
      <c r="M318" s="1966"/>
      <c r="N318" s="1965"/>
      <c r="O318" s="1965"/>
      <c r="P318" s="1965"/>
      <c r="Q318" s="1965"/>
      <c r="R318" s="1965"/>
      <c r="S318" s="1965"/>
      <c r="T318" s="1965"/>
      <c r="U318" s="1965"/>
      <c r="V318" s="1931"/>
      <c r="W318" s="1933"/>
      <c r="X318" s="1933"/>
      <c r="Y318" s="1933"/>
      <c r="Z318" s="1933"/>
      <c r="AA318" s="1933"/>
      <c r="AB318" s="1933"/>
      <c r="AC318" s="1933"/>
      <c r="AD318" s="1933"/>
      <c r="AE318" s="1933"/>
      <c r="AF318" s="1933"/>
      <c r="AG318" s="1933"/>
      <c r="AH318" s="1933"/>
      <c r="AI318" s="1933"/>
      <c r="AJ318" s="1933"/>
      <c r="AK318" s="1933"/>
      <c r="AL318" s="1933"/>
      <c r="AM318" s="1933"/>
      <c r="AN318" s="1933"/>
      <c r="AO318" s="1933"/>
      <c r="AP318" s="1933"/>
      <c r="AQ318" s="1933"/>
      <c r="AR318" s="1933"/>
      <c r="AS318" s="1933"/>
      <c r="AT318" s="1933"/>
      <c r="AU318" s="1933"/>
      <c r="AV318" s="1933"/>
      <c r="AW318" s="1933"/>
      <c r="AX318" s="1933"/>
      <c r="AY318" s="1933"/>
      <c r="AZ318" s="1933"/>
      <c r="BA318" s="1933"/>
      <c r="BB318" s="1933"/>
      <c r="BC318" s="1933"/>
      <c r="BD318" s="1933"/>
      <c r="BE318" s="1933"/>
      <c r="BF318" s="1933"/>
      <c r="BG318" s="1933"/>
      <c r="BH318" s="1933"/>
      <c r="BI318" s="1933"/>
      <c r="BJ318" s="1933"/>
      <c r="BK318" s="1933"/>
      <c r="BL318" s="1933"/>
      <c r="BM318" s="1933"/>
      <c r="BN318" s="1933"/>
      <c r="BO318" s="1933"/>
      <c r="BP318" s="1933"/>
      <c r="BQ318" s="1931"/>
      <c r="BR318" s="1931"/>
      <c r="BS318" s="1931"/>
      <c r="BT318" s="1931"/>
      <c r="BU318" s="1931"/>
      <c r="BV318" s="1931"/>
      <c r="BW318" s="1931"/>
      <c r="BX318" s="1931"/>
      <c r="BY318" s="1931"/>
      <c r="BZ318" s="1931"/>
      <c r="CA318" s="1931"/>
      <c r="CB318" s="1931"/>
      <c r="CC318" s="1931"/>
      <c r="CD318" s="1931"/>
      <c r="CE318" s="1930"/>
      <c r="CF318" s="1930"/>
      <c r="CG318" s="1930"/>
      <c r="CH318" s="1930"/>
      <c r="CI318" s="1931"/>
      <c r="CJ318" s="1931"/>
      <c r="CK318" s="1931"/>
      <c r="CL318" s="1931"/>
      <c r="CM318" s="1931"/>
      <c r="CN318" s="1931"/>
      <c r="CO318" s="1931"/>
      <c r="CP318" s="1931"/>
      <c r="CQ318" s="1931"/>
      <c r="CR318" s="1931"/>
      <c r="CS318" s="1931"/>
      <c r="CT318" s="1930"/>
      <c r="CU318" s="1930"/>
      <c r="CV318" s="1930"/>
      <c r="CW318" s="1930"/>
      <c r="CX318" s="1931"/>
      <c r="CY318" s="1931"/>
      <c r="CZ318" s="1931"/>
      <c r="DA318" s="1931"/>
      <c r="DB318" s="1932"/>
      <c r="DC318" s="1931"/>
      <c r="DD318" s="1931"/>
      <c r="DE318" s="1931"/>
    </row>
    <row r="319" spans="2:112" hidden="1" outlineLevel="1" x14ac:dyDescent="0.25">
      <c r="D319" s="1300"/>
      <c r="E319" s="1965"/>
      <c r="F319" s="1965"/>
      <c r="G319" s="1965"/>
      <c r="H319" s="1301"/>
      <c r="I319" s="1965"/>
      <c r="J319" s="1965"/>
      <c r="K319" s="1965"/>
      <c r="L319" s="1965"/>
      <c r="M319" s="1966"/>
      <c r="N319" s="1965"/>
      <c r="O319" s="1965"/>
      <c r="P319" s="1965"/>
      <c r="Q319" s="1965"/>
      <c r="R319" s="1965"/>
      <c r="S319" s="1965"/>
      <c r="T319" s="1965"/>
      <c r="U319" s="1965"/>
      <c r="V319" s="1931"/>
      <c r="W319" s="1933"/>
      <c r="X319" s="1933"/>
      <c r="Y319" s="1933"/>
      <c r="Z319" s="1933"/>
      <c r="AA319" s="1933"/>
      <c r="AB319" s="1933"/>
      <c r="AC319" s="1933"/>
      <c r="AD319" s="1933"/>
      <c r="AE319" s="1933"/>
      <c r="AF319" s="1933"/>
      <c r="AG319" s="1933"/>
      <c r="AH319" s="1933"/>
      <c r="AI319" s="1933"/>
      <c r="AJ319" s="1933"/>
      <c r="AK319" s="1933"/>
      <c r="AL319" s="1933"/>
      <c r="AM319" s="1933"/>
      <c r="AN319" s="1933"/>
      <c r="AO319" s="1933"/>
      <c r="AP319" s="1933"/>
      <c r="AQ319" s="1933"/>
      <c r="AR319" s="1933"/>
      <c r="AS319" s="1933"/>
      <c r="AT319" s="1933"/>
      <c r="AU319" s="1933"/>
      <c r="AV319" s="1933"/>
      <c r="AW319" s="1933"/>
      <c r="AX319" s="1933"/>
      <c r="AY319" s="1933"/>
      <c r="AZ319" s="1933"/>
      <c r="BA319" s="1933"/>
      <c r="BB319" s="1933"/>
      <c r="BC319" s="1933"/>
      <c r="BD319" s="1933"/>
      <c r="BE319" s="1933"/>
      <c r="BF319" s="1933"/>
      <c r="BG319" s="1933"/>
      <c r="BH319" s="1933"/>
      <c r="BI319" s="1933"/>
      <c r="BJ319" s="1933"/>
      <c r="BK319" s="1933"/>
      <c r="BL319" s="1933"/>
      <c r="BM319" s="1933"/>
      <c r="BN319" s="1933"/>
      <c r="BO319" s="1933"/>
      <c r="BP319" s="1933"/>
      <c r="BQ319" s="1931"/>
      <c r="BR319" s="1931"/>
      <c r="BS319" s="1931"/>
      <c r="BT319" s="1931"/>
      <c r="BU319" s="1931"/>
      <c r="BV319" s="1931"/>
      <c r="BW319" s="1931"/>
      <c r="BX319" s="1931"/>
      <c r="BY319" s="1931"/>
      <c r="BZ319" s="1931"/>
      <c r="CA319" s="1931"/>
      <c r="CB319" s="1931"/>
      <c r="CC319" s="1931"/>
      <c r="CD319" s="1931"/>
      <c r="CE319" s="1930"/>
      <c r="CF319" s="1930"/>
      <c r="CG319" s="1930"/>
      <c r="CH319" s="1930"/>
      <c r="CI319" s="1931"/>
      <c r="CJ319" s="1931"/>
      <c r="CK319" s="1931"/>
      <c r="CL319" s="1931"/>
      <c r="CM319" s="1931"/>
      <c r="CN319" s="1931"/>
      <c r="CO319" s="1931"/>
      <c r="CP319" s="1931"/>
      <c r="CQ319" s="1931"/>
      <c r="CR319" s="1931"/>
      <c r="CS319" s="1931"/>
      <c r="CT319" s="1930"/>
      <c r="CU319" s="1930"/>
      <c r="CV319" s="1930"/>
      <c r="CW319" s="1930"/>
      <c r="CX319" s="1931"/>
      <c r="CY319" s="1931"/>
      <c r="CZ319" s="1931"/>
      <c r="DA319" s="1931"/>
      <c r="DB319" s="1932"/>
      <c r="DC319" s="1931"/>
      <c r="DD319" s="1931"/>
      <c r="DE319" s="1931"/>
    </row>
    <row r="320" spans="2:112" hidden="1" outlineLevel="1" x14ac:dyDescent="0.25">
      <c r="D320" s="1300"/>
      <c r="E320" s="1965"/>
      <c r="F320" s="1965"/>
      <c r="G320" s="1965"/>
      <c r="H320" s="1301"/>
      <c r="I320" s="1965"/>
      <c r="J320" s="1965"/>
      <c r="K320" s="1965"/>
      <c r="L320" s="1965"/>
      <c r="M320" s="1966"/>
      <c r="N320" s="1965"/>
      <c r="O320" s="1965"/>
      <c r="P320" s="1965"/>
      <c r="Q320" s="1965"/>
      <c r="R320" s="1965"/>
      <c r="S320" s="1965"/>
      <c r="T320" s="1965"/>
      <c r="U320" s="1965"/>
      <c r="V320" s="1931"/>
      <c r="W320" s="1931"/>
      <c r="X320" s="1931"/>
      <c r="Y320" s="1931"/>
      <c r="Z320" s="1931"/>
      <c r="AA320" s="1931"/>
      <c r="AB320" s="1931"/>
      <c r="AC320" s="1931"/>
      <c r="AD320" s="1931"/>
      <c r="AE320" s="1931"/>
      <c r="AF320" s="1931"/>
      <c r="AG320" s="1931"/>
      <c r="AH320" s="1931"/>
      <c r="AI320" s="1931"/>
      <c r="AJ320" s="1931"/>
      <c r="AK320" s="1931"/>
      <c r="AL320" s="1931"/>
      <c r="AM320" s="1931"/>
      <c r="AN320" s="1931"/>
      <c r="AO320" s="1931"/>
      <c r="AP320" s="1931"/>
      <c r="AQ320" s="1931"/>
      <c r="AR320" s="1931"/>
      <c r="AS320" s="1931"/>
      <c r="AT320" s="1931"/>
      <c r="AU320" s="1931"/>
      <c r="AV320" s="1931"/>
      <c r="AW320" s="1931"/>
      <c r="AX320" s="1931"/>
      <c r="AY320" s="1931"/>
      <c r="AZ320" s="1931"/>
      <c r="BA320" s="1931"/>
      <c r="BB320" s="1931"/>
      <c r="BC320" s="1931"/>
      <c r="BD320" s="1931"/>
      <c r="BE320" s="1931"/>
      <c r="BF320" s="1931"/>
      <c r="BG320" s="1931"/>
      <c r="BH320" s="1931"/>
      <c r="BI320" s="1931"/>
      <c r="BJ320" s="1931"/>
      <c r="BK320" s="1931"/>
      <c r="BL320" s="1931"/>
      <c r="BM320" s="1931"/>
      <c r="BN320" s="1931"/>
      <c r="BO320" s="1931"/>
      <c r="BP320" s="1931"/>
      <c r="BQ320" s="1931"/>
      <c r="BR320" s="1931"/>
      <c r="BS320" s="1931"/>
      <c r="BT320" s="1931"/>
      <c r="BU320" s="1931"/>
      <c r="BV320" s="1931"/>
      <c r="BW320" s="1931"/>
      <c r="BX320" s="1931"/>
      <c r="BY320" s="1931"/>
      <c r="BZ320" s="1931"/>
      <c r="CA320" s="1931"/>
      <c r="CB320" s="1931"/>
      <c r="CC320" s="1931"/>
      <c r="CD320" s="1931"/>
      <c r="CE320" s="1930"/>
      <c r="CF320" s="1930"/>
      <c r="CG320" s="1930"/>
      <c r="CH320" s="1930"/>
      <c r="CI320" s="1931"/>
      <c r="CJ320" s="1931"/>
      <c r="CK320" s="1931"/>
      <c r="CL320" s="1931"/>
      <c r="CM320" s="1931"/>
      <c r="CN320" s="1931"/>
      <c r="CO320" s="1931"/>
      <c r="CP320" s="1931"/>
      <c r="CQ320" s="1931"/>
      <c r="CR320" s="1931"/>
      <c r="CS320" s="1931"/>
      <c r="CT320" s="1930"/>
      <c r="CU320" s="1930"/>
      <c r="CV320" s="1930"/>
      <c r="CW320" s="1930"/>
      <c r="CX320" s="1931"/>
      <c r="CY320" s="1931"/>
      <c r="CZ320" s="1931"/>
      <c r="DA320" s="1931"/>
      <c r="DB320" s="1932"/>
      <c r="DC320" s="1931"/>
      <c r="DD320" s="1931"/>
      <c r="DE320" s="1931"/>
    </row>
    <row r="321" spans="2:112" hidden="1" outlineLevel="1" x14ac:dyDescent="0.25">
      <c r="D321" s="1300"/>
      <c r="E321" s="1965"/>
      <c r="F321" s="1965"/>
      <c r="G321" s="1965"/>
      <c r="H321" s="1301"/>
      <c r="I321" s="1965"/>
      <c r="J321" s="1965"/>
      <c r="K321" s="1965"/>
      <c r="L321" s="1965"/>
      <c r="M321" s="1965"/>
      <c r="N321" s="1965"/>
      <c r="O321" s="1965"/>
      <c r="P321" s="1965"/>
      <c r="Q321" s="1965"/>
      <c r="R321" s="1965"/>
      <c r="S321" s="1965"/>
      <c r="T321" s="1965"/>
      <c r="U321" s="1965"/>
      <c r="V321" s="1931"/>
      <c r="W321" s="1931"/>
      <c r="X321" s="1931"/>
      <c r="Y321" s="1931"/>
      <c r="Z321" s="1931"/>
      <c r="AA321" s="1931"/>
      <c r="AB321" s="1931"/>
      <c r="AC321" s="1931"/>
      <c r="AD321" s="1931"/>
      <c r="AE321" s="1931"/>
      <c r="AF321" s="1931"/>
      <c r="AG321" s="1931"/>
      <c r="AH321" s="1931"/>
      <c r="AI321" s="1931"/>
      <c r="AJ321" s="1931"/>
      <c r="AK321" s="1931"/>
      <c r="AL321" s="1931"/>
      <c r="AM321" s="1931"/>
      <c r="AN321" s="1931"/>
      <c r="AO321" s="1931"/>
      <c r="AP321" s="1931"/>
      <c r="AQ321" s="1931"/>
      <c r="AR321" s="1931"/>
      <c r="AS321" s="1931"/>
      <c r="AT321" s="1931"/>
      <c r="AU321" s="1931"/>
      <c r="AV321" s="1931"/>
      <c r="AW321" s="1931"/>
      <c r="AX321" s="1931"/>
      <c r="AY321" s="1931"/>
      <c r="AZ321" s="1931"/>
      <c r="BA321" s="1931"/>
      <c r="BB321" s="1931"/>
      <c r="BC321" s="1931"/>
      <c r="BD321" s="1931"/>
      <c r="BE321" s="1931"/>
      <c r="BF321" s="1931"/>
      <c r="BG321" s="1931"/>
      <c r="BH321" s="1931"/>
      <c r="BI321" s="1931"/>
      <c r="BJ321" s="1931"/>
      <c r="BK321" s="1931"/>
      <c r="BL321" s="1931"/>
      <c r="BM321" s="1931"/>
      <c r="BN321" s="1931"/>
      <c r="BO321" s="1931"/>
      <c r="BP321" s="1931"/>
      <c r="BQ321" s="1931"/>
      <c r="BR321" s="1931"/>
      <c r="BS321" s="1931"/>
      <c r="BT321" s="1931"/>
      <c r="BU321" s="1931"/>
      <c r="BV321" s="1931"/>
      <c r="BW321" s="1931"/>
      <c r="BX321" s="1931"/>
      <c r="BY321" s="1931"/>
      <c r="BZ321" s="1931"/>
      <c r="CA321" s="1931"/>
      <c r="CB321" s="1931"/>
      <c r="CC321" s="1931"/>
      <c r="CD321" s="1931"/>
      <c r="CE321" s="1930"/>
      <c r="CF321" s="1930"/>
      <c r="CG321" s="1930"/>
      <c r="CH321" s="1930"/>
      <c r="CI321" s="1931"/>
      <c r="CJ321" s="1931"/>
      <c r="CK321" s="1931"/>
      <c r="CL321" s="1931"/>
      <c r="CM321" s="1931"/>
      <c r="CN321" s="1931"/>
      <c r="CO321" s="1931"/>
      <c r="CP321" s="1931"/>
      <c r="CQ321" s="1931"/>
      <c r="CR321" s="1931"/>
      <c r="CS321" s="1931"/>
      <c r="CT321" s="1930"/>
      <c r="CU321" s="1930"/>
      <c r="CV321" s="1930"/>
      <c r="CW321" s="1930"/>
      <c r="CX321" s="1931"/>
      <c r="CY321" s="1931"/>
      <c r="CZ321" s="1931"/>
      <c r="DA321" s="1931"/>
      <c r="DB321" s="1932"/>
      <c r="DC321" s="1931"/>
      <c r="DD321" s="1931"/>
      <c r="DE321" s="1931"/>
    </row>
    <row r="322" spans="2:112" s="55" customFormat="1" ht="17.25" hidden="1" outlineLevel="1" x14ac:dyDescent="0.25">
      <c r="C322" s="151"/>
      <c r="D322" s="3081" t="s">
        <v>28</v>
      </c>
      <c r="E322" s="3081" t="s">
        <v>2758</v>
      </c>
      <c r="F322" s="3081" t="s">
        <v>2759</v>
      </c>
      <c r="G322" s="3081" t="s">
        <v>2760</v>
      </c>
      <c r="H322" s="78" t="s">
        <v>2869</v>
      </c>
      <c r="I322" s="80" t="s">
        <v>2870</v>
      </c>
      <c r="J322" s="80" t="s">
        <v>745</v>
      </c>
      <c r="K322" s="80" t="s">
        <v>586</v>
      </c>
      <c r="L322" s="151"/>
      <c r="M322" s="401"/>
      <c r="N322" s="401"/>
      <c r="O322" s="401"/>
      <c r="P322" s="401"/>
      <c r="Q322" s="401"/>
      <c r="R322" s="401"/>
      <c r="S322" s="401"/>
      <c r="T322" s="401"/>
      <c r="U322" s="401"/>
      <c r="DB322" s="72"/>
    </row>
    <row r="323" spans="2:112" hidden="1" outlineLevel="1" x14ac:dyDescent="0.25">
      <c r="D323" s="1967" t="str">
        <f>C311</f>
        <v>802900_2019_12_</v>
      </c>
      <c r="E323" s="1967" t="str">
        <f>E311</f>
        <v>ENERGY STAR Hot Holding Cabinet (0 &lt; V &lt;13)</v>
      </c>
      <c r="F323" s="1330" t="s">
        <v>2871</v>
      </c>
      <c r="G323" s="1331">
        <v>7</v>
      </c>
      <c r="H323" s="1364">
        <f>40*G323</f>
        <v>280</v>
      </c>
      <c r="I323" s="1365">
        <f>21.5*G323</f>
        <v>150.5</v>
      </c>
      <c r="J323" s="1366">
        <v>15</v>
      </c>
      <c r="K323" s="1310">
        <v>365.25</v>
      </c>
      <c r="L323" s="1965" t="s">
        <v>2872</v>
      </c>
      <c r="M323" s="1965"/>
      <c r="N323" s="1965"/>
      <c r="O323" s="1965"/>
      <c r="P323" s="1965"/>
      <c r="Q323" s="1965"/>
      <c r="R323" s="1965"/>
      <c r="S323" s="1965"/>
      <c r="T323" s="1965"/>
      <c r="U323" s="1965"/>
      <c r="V323" s="1931"/>
      <c r="W323" s="1931"/>
      <c r="X323" s="1931"/>
      <c r="Y323" s="1931"/>
      <c r="Z323" s="1931"/>
      <c r="AA323" s="1931"/>
      <c r="AB323" s="1931"/>
      <c r="AC323" s="1931"/>
      <c r="AD323" s="1931"/>
      <c r="AE323" s="1931"/>
      <c r="AF323" s="1931"/>
      <c r="AG323" s="1931"/>
      <c r="AH323" s="1931"/>
      <c r="AI323" s="1931"/>
      <c r="AJ323" s="1931"/>
      <c r="AK323" s="1931"/>
      <c r="AL323" s="1931"/>
      <c r="AM323" s="1931"/>
      <c r="AN323" s="1931"/>
      <c r="AO323" s="1931"/>
      <c r="AP323" s="1931"/>
      <c r="AQ323" s="1931"/>
      <c r="AR323" s="1931"/>
      <c r="AS323" s="1931"/>
      <c r="AT323" s="1931"/>
      <c r="AU323" s="1931"/>
      <c r="AV323" s="1931"/>
      <c r="AW323" s="1931"/>
      <c r="AX323" s="1931"/>
      <c r="AY323" s="1931"/>
      <c r="AZ323" s="1931"/>
      <c r="BA323" s="1931"/>
      <c r="BB323" s="1931"/>
      <c r="BC323" s="1931"/>
      <c r="BD323" s="1931"/>
      <c r="BE323" s="1931"/>
      <c r="BF323" s="1931"/>
      <c r="BG323" s="1931"/>
      <c r="BH323" s="1931"/>
      <c r="BI323" s="1931"/>
      <c r="BJ323" s="1931"/>
      <c r="BK323" s="1931"/>
      <c r="BL323" s="1931"/>
      <c r="BM323" s="1931"/>
      <c r="BN323" s="1931"/>
      <c r="BO323" s="1931"/>
      <c r="BP323" s="1931"/>
      <c r="BQ323" s="1931"/>
      <c r="BR323" s="1931"/>
      <c r="BS323" s="1931"/>
      <c r="BT323" s="1931"/>
      <c r="BU323" s="1931"/>
      <c r="BV323" s="1931"/>
      <c r="BW323" s="1931"/>
      <c r="BX323" s="1931"/>
      <c r="BY323" s="1931"/>
      <c r="BZ323" s="1931"/>
      <c r="CA323" s="1931"/>
      <c r="CB323" s="1931"/>
      <c r="CC323" s="1931"/>
      <c r="CD323" s="1931"/>
      <c r="CE323" s="1930"/>
      <c r="CF323" s="1930"/>
      <c r="CG323" s="1930"/>
      <c r="CH323" s="1930"/>
      <c r="CI323" s="1931"/>
      <c r="CJ323" s="1931"/>
      <c r="CK323" s="1931"/>
      <c r="CL323" s="1931"/>
      <c r="CM323" s="1931"/>
      <c r="CN323" s="1931"/>
      <c r="CO323" s="1931"/>
      <c r="CP323" s="1931"/>
      <c r="CQ323" s="1931"/>
      <c r="CR323" s="1931"/>
      <c r="CS323" s="1931"/>
      <c r="CT323" s="1930"/>
      <c r="CU323" s="1930"/>
      <c r="CV323" s="1930"/>
      <c r="CW323" s="1930"/>
      <c r="CX323" s="1931"/>
      <c r="CY323" s="1931"/>
      <c r="CZ323" s="1931"/>
      <c r="DA323" s="1931"/>
      <c r="DB323" s="1932"/>
      <c r="DC323" s="1931"/>
      <c r="DD323" s="1931"/>
      <c r="DE323" s="1931"/>
    </row>
    <row r="324" spans="2:112" hidden="1" outlineLevel="1" x14ac:dyDescent="0.25">
      <c r="D324" s="1967" t="str">
        <f>C312</f>
        <v>802950_2019_12_</v>
      </c>
      <c r="E324" s="1967" t="str">
        <f>E312</f>
        <v>ENERGY STAR Hot Holding Cabinet (13 ≤ V &lt;28)</v>
      </c>
      <c r="F324" s="1330" t="s">
        <v>2873</v>
      </c>
      <c r="G324" s="1331">
        <v>20</v>
      </c>
      <c r="H324" s="1364">
        <f>40*G324</f>
        <v>800</v>
      </c>
      <c r="I324" s="1365">
        <f>(2*G324)+254</f>
        <v>294</v>
      </c>
      <c r="J324" s="1366">
        <v>15</v>
      </c>
      <c r="K324" s="1310">
        <v>365.25</v>
      </c>
      <c r="L324" s="1965"/>
      <c r="M324" s="1965"/>
      <c r="N324" s="1965"/>
      <c r="O324" s="1965"/>
      <c r="P324" s="1965"/>
      <c r="Q324" s="1965"/>
      <c r="R324" s="1965"/>
      <c r="S324" s="1965"/>
      <c r="T324" s="1965"/>
      <c r="U324" s="1965"/>
      <c r="V324" s="1931"/>
      <c r="W324" s="1931"/>
      <c r="X324" s="1931"/>
      <c r="Y324" s="1931"/>
      <c r="Z324" s="1931"/>
      <c r="AA324" s="1931"/>
      <c r="AB324" s="1931"/>
      <c r="AC324" s="1931"/>
      <c r="AD324" s="1931"/>
      <c r="AE324" s="1931"/>
      <c r="AF324" s="1931"/>
      <c r="AG324" s="1931"/>
      <c r="AH324" s="1931"/>
      <c r="AI324" s="1931"/>
      <c r="AJ324" s="1931"/>
      <c r="AK324" s="1931"/>
      <c r="AL324" s="1931"/>
      <c r="AM324" s="1931"/>
      <c r="AN324" s="1931"/>
      <c r="AO324" s="1931"/>
      <c r="AP324" s="1931"/>
      <c r="AQ324" s="1931"/>
      <c r="AR324" s="1931"/>
      <c r="AS324" s="1931"/>
      <c r="AT324" s="1931"/>
      <c r="AU324" s="1931"/>
      <c r="AV324" s="1931"/>
      <c r="AW324" s="1931"/>
      <c r="AX324" s="1931"/>
      <c r="AY324" s="1931"/>
      <c r="AZ324" s="1931"/>
      <c r="BA324" s="1931"/>
      <c r="BB324" s="1931"/>
      <c r="BC324" s="1931"/>
      <c r="BD324" s="1931"/>
      <c r="BE324" s="1931"/>
      <c r="BF324" s="1931"/>
      <c r="BG324" s="1931"/>
      <c r="BH324" s="1931"/>
      <c r="BI324" s="1931"/>
      <c r="BJ324" s="1931"/>
      <c r="BK324" s="1931"/>
      <c r="BL324" s="1931"/>
      <c r="BM324" s="1931"/>
      <c r="BN324" s="1931"/>
      <c r="BO324" s="1931"/>
      <c r="BP324" s="1931"/>
      <c r="BQ324" s="1931"/>
      <c r="BR324" s="1931"/>
      <c r="BS324" s="1931"/>
      <c r="BT324" s="1931"/>
      <c r="BU324" s="1931"/>
      <c r="BV324" s="1931"/>
      <c r="BW324" s="1931"/>
      <c r="BX324" s="1931"/>
      <c r="BY324" s="1931"/>
      <c r="BZ324" s="1931"/>
      <c r="CA324" s="1931"/>
      <c r="CB324" s="1931"/>
      <c r="CC324" s="1931"/>
      <c r="CD324" s="1931"/>
      <c r="CE324" s="1930"/>
      <c r="CF324" s="1930"/>
      <c r="CG324" s="1930"/>
      <c r="CH324" s="1930"/>
      <c r="CI324" s="1931"/>
      <c r="CJ324" s="1931"/>
      <c r="CK324" s="1931"/>
      <c r="CL324" s="1931"/>
      <c r="CM324" s="1931"/>
      <c r="CN324" s="1931"/>
      <c r="CO324" s="1931"/>
      <c r="CP324" s="1931"/>
      <c r="CQ324" s="1931"/>
      <c r="CR324" s="1931"/>
      <c r="CS324" s="1931"/>
      <c r="CT324" s="1930"/>
      <c r="CU324" s="1930"/>
      <c r="CV324" s="1930"/>
      <c r="CW324" s="1930"/>
      <c r="CX324" s="1931"/>
      <c r="CY324" s="1931"/>
      <c r="CZ324" s="1931"/>
      <c r="DA324" s="1931"/>
      <c r="DB324" s="1932"/>
      <c r="DC324" s="1931"/>
      <c r="DD324" s="1931"/>
      <c r="DE324" s="1931"/>
    </row>
    <row r="325" spans="2:112" hidden="1" outlineLevel="1" x14ac:dyDescent="0.25">
      <c r="D325" s="1967" t="str">
        <f>C313</f>
        <v>803000_2019_12_</v>
      </c>
      <c r="E325" s="1967" t="str">
        <f>E313</f>
        <v>ENERGY STAR Hot Holding Cabinet (28 ≤ V)</v>
      </c>
      <c r="F325" s="1330" t="s">
        <v>2874</v>
      </c>
      <c r="G325" s="1331">
        <v>28</v>
      </c>
      <c r="H325" s="1364">
        <f>40*G325</f>
        <v>1120</v>
      </c>
      <c r="I325" s="1365">
        <f>(3.8*G325)+203.5</f>
        <v>309.89999999999998</v>
      </c>
      <c r="J325" s="1366">
        <v>15</v>
      </c>
      <c r="K325" s="1310">
        <v>365.25</v>
      </c>
      <c r="L325" s="1965"/>
      <c r="M325" s="1965"/>
      <c r="N325" s="1965"/>
      <c r="O325" s="1965"/>
      <c r="P325" s="1965"/>
      <c r="Q325" s="1965"/>
      <c r="R325" s="1965"/>
      <c r="S325" s="1965"/>
      <c r="T325" s="1965"/>
      <c r="U325" s="1965"/>
      <c r="V325" s="1931"/>
      <c r="W325" s="1931"/>
      <c r="X325" s="1931"/>
      <c r="Y325" s="1931"/>
      <c r="Z325" s="1931"/>
      <c r="AA325" s="1931"/>
      <c r="AB325" s="1931"/>
      <c r="AC325" s="1931"/>
      <c r="AD325" s="1931"/>
      <c r="AE325" s="1931"/>
      <c r="AF325" s="1931"/>
      <c r="AG325" s="1931"/>
      <c r="AH325" s="1931"/>
      <c r="AI325" s="1931"/>
      <c r="AJ325" s="1931"/>
      <c r="AK325" s="1931"/>
      <c r="AL325" s="1931"/>
      <c r="AM325" s="1931"/>
      <c r="AN325" s="1931"/>
      <c r="AO325" s="1931"/>
      <c r="AP325" s="1931"/>
      <c r="AQ325" s="1931"/>
      <c r="AR325" s="1931"/>
      <c r="AS325" s="1931"/>
      <c r="AT325" s="1931"/>
      <c r="AU325" s="1931"/>
      <c r="AV325" s="1931"/>
      <c r="AW325" s="1931"/>
      <c r="AX325" s="1931"/>
      <c r="AY325" s="1931"/>
      <c r="AZ325" s="1931"/>
      <c r="BA325" s="1931"/>
      <c r="BB325" s="1931"/>
      <c r="BC325" s="1931"/>
      <c r="BD325" s="1931"/>
      <c r="BE325" s="1931"/>
      <c r="BF325" s="1931"/>
      <c r="BG325" s="1931"/>
      <c r="BH325" s="1931"/>
      <c r="BI325" s="1931"/>
      <c r="BJ325" s="1931"/>
      <c r="BK325" s="1931"/>
      <c r="BL325" s="1931"/>
      <c r="BM325" s="1931"/>
      <c r="BN325" s="1931"/>
      <c r="BO325" s="1931"/>
      <c r="BP325" s="1931"/>
      <c r="BQ325" s="1931"/>
      <c r="BR325" s="1931"/>
      <c r="BS325" s="1931"/>
      <c r="BT325" s="1931"/>
      <c r="BU325" s="1931"/>
      <c r="BV325" s="1931"/>
      <c r="BW325" s="1931"/>
      <c r="BX325" s="1931"/>
      <c r="BY325" s="1931"/>
      <c r="BZ325" s="1931"/>
      <c r="CA325" s="1931"/>
      <c r="CB325" s="1931"/>
      <c r="CC325" s="1931"/>
      <c r="CD325" s="1931"/>
      <c r="CE325" s="1930"/>
      <c r="CF325" s="1930"/>
      <c r="CG325" s="1930"/>
      <c r="CH325" s="1930"/>
      <c r="CI325" s="1931"/>
      <c r="CJ325" s="1931"/>
      <c r="CK325" s="1931"/>
      <c r="CL325" s="1931"/>
      <c r="CM325" s="1931"/>
      <c r="CN325" s="1931"/>
      <c r="CO325" s="1931"/>
      <c r="CP325" s="1931"/>
      <c r="CQ325" s="1931"/>
      <c r="CR325" s="1931"/>
      <c r="CS325" s="1931"/>
      <c r="CT325" s="1930"/>
      <c r="CU325" s="1930"/>
      <c r="CV325" s="1930"/>
      <c r="CW325" s="1930"/>
      <c r="CX325" s="1931"/>
      <c r="CY325" s="1931"/>
      <c r="CZ325" s="1931"/>
      <c r="DA325" s="1931"/>
      <c r="DB325" s="1932"/>
      <c r="DC325" s="1931"/>
      <c r="DD325" s="1931"/>
      <c r="DE325" s="1931"/>
    </row>
    <row r="326" spans="2:112" collapsed="1" x14ac:dyDescent="0.25">
      <c r="D326" s="1966"/>
      <c r="E326" s="1965"/>
      <c r="F326" s="1965"/>
      <c r="G326" s="1968"/>
      <c r="H326" s="1969"/>
      <c r="I326" s="1965"/>
      <c r="J326" s="1965"/>
      <c r="K326" s="1965"/>
      <c r="L326" s="1965"/>
      <c r="M326" s="1965"/>
      <c r="N326" s="1965"/>
      <c r="O326" s="1965"/>
      <c r="P326" s="1965"/>
      <c r="Q326" s="1965"/>
      <c r="R326" s="1965"/>
      <c r="S326" s="1965"/>
      <c r="T326" s="1965"/>
      <c r="U326" s="1965"/>
      <c r="V326" s="1931"/>
      <c r="W326" s="1931"/>
      <c r="X326" s="1931"/>
      <c r="Y326" s="1931"/>
      <c r="Z326" s="1931"/>
      <c r="AA326" s="1931"/>
      <c r="AB326" s="1931"/>
      <c r="AC326" s="1931"/>
      <c r="AD326" s="1931"/>
      <c r="AE326" s="1931"/>
      <c r="AF326" s="1931"/>
      <c r="AG326" s="1931"/>
      <c r="AH326" s="1931"/>
      <c r="AI326" s="1931"/>
      <c r="AJ326" s="1931"/>
      <c r="AK326" s="1931"/>
      <c r="AL326" s="1931"/>
      <c r="AM326" s="1931"/>
      <c r="AN326" s="1931"/>
      <c r="AO326" s="1931"/>
      <c r="AP326" s="1931"/>
      <c r="AQ326" s="1931"/>
      <c r="AR326" s="1931"/>
      <c r="AS326" s="1931"/>
      <c r="AT326" s="1931"/>
      <c r="AU326" s="1931"/>
      <c r="AV326" s="1931"/>
      <c r="AW326" s="1931"/>
      <c r="AX326" s="1931"/>
      <c r="AY326" s="1931"/>
      <c r="AZ326" s="1931"/>
      <c r="BA326" s="1931"/>
      <c r="BB326" s="1931"/>
      <c r="BC326" s="1931"/>
      <c r="BD326" s="1931"/>
      <c r="BE326" s="1931"/>
      <c r="BF326" s="1931"/>
      <c r="BG326" s="1931"/>
      <c r="BH326" s="1931"/>
      <c r="BI326" s="1931"/>
      <c r="BJ326" s="1931"/>
      <c r="BK326" s="1931"/>
      <c r="BL326" s="1931"/>
      <c r="BM326" s="1931"/>
      <c r="BN326" s="1931"/>
      <c r="BO326" s="1931"/>
      <c r="BP326" s="1931"/>
      <c r="BQ326" s="1931"/>
      <c r="BR326" s="1931"/>
      <c r="BS326" s="1931"/>
      <c r="BT326" s="1931"/>
      <c r="BU326" s="1931"/>
      <c r="BV326" s="1931"/>
      <c r="BW326" s="1931"/>
      <c r="BX326" s="1931"/>
      <c r="BY326" s="1931"/>
      <c r="BZ326" s="1931"/>
      <c r="CA326" s="1931"/>
      <c r="CB326" s="1931"/>
      <c r="CC326" s="1931"/>
      <c r="CD326" s="1931"/>
      <c r="CE326" s="1930"/>
      <c r="CF326" s="1930"/>
      <c r="CG326" s="1930"/>
      <c r="CH326" s="1930"/>
      <c r="CI326" s="1931"/>
      <c r="CJ326" s="1931"/>
      <c r="CK326" s="1931"/>
      <c r="CL326" s="1931"/>
      <c r="CM326" s="1931"/>
      <c r="CN326" s="1931"/>
      <c r="CO326" s="1931"/>
      <c r="CP326" s="1931"/>
      <c r="CQ326" s="1931"/>
      <c r="CR326" s="1931"/>
      <c r="CS326" s="1931"/>
      <c r="CT326" s="1930"/>
      <c r="CU326" s="1930"/>
      <c r="CV326" s="1930"/>
      <c r="CW326" s="1930"/>
      <c r="CX326" s="1931"/>
      <c r="CY326" s="1931"/>
      <c r="CZ326" s="1931"/>
      <c r="DA326" s="1931"/>
      <c r="DB326" s="1932"/>
      <c r="DC326" s="1931"/>
      <c r="DD326" s="1931"/>
      <c r="DE326" s="1931"/>
    </row>
    <row r="328" spans="2:112" s="43" customFormat="1" x14ac:dyDescent="0.25">
      <c r="B328" s="4491" t="s">
        <v>2875</v>
      </c>
      <c r="C328" s="4492"/>
      <c r="D328" s="4492"/>
      <c r="E328" s="4492"/>
      <c r="F328" s="4492"/>
      <c r="G328" s="4492"/>
      <c r="H328" s="4492"/>
      <c r="I328" s="4493"/>
      <c r="J328" s="4493"/>
      <c r="K328" s="4493"/>
      <c r="L328" s="4493"/>
      <c r="M328" s="4494"/>
      <c r="N328" s="4494"/>
      <c r="O328" s="4495"/>
      <c r="P328" s="1935"/>
      <c r="Q328" s="1935"/>
      <c r="R328" s="1935"/>
      <c r="S328" s="1935"/>
      <c r="T328" s="1935"/>
      <c r="U328" s="1935"/>
      <c r="V328" s="3077" t="str">
        <f>B328</f>
        <v>HVAC</v>
      </c>
      <c r="W328" s="3078"/>
      <c r="X328" s="3078"/>
      <c r="Y328" s="3078"/>
      <c r="Z328" s="3078"/>
      <c r="AA328" s="3078"/>
      <c r="AB328" s="3078"/>
      <c r="AC328" s="3078"/>
      <c r="AD328" s="3078"/>
      <c r="AE328" s="3078"/>
      <c r="AF328" s="3078"/>
      <c r="AG328" s="3078"/>
      <c r="AH328" s="3078"/>
      <c r="AI328" s="3170"/>
      <c r="AJ328" s="1931"/>
      <c r="AK328" s="1931"/>
      <c r="AL328" s="1931"/>
      <c r="AM328" s="1931"/>
      <c r="AN328" s="1931"/>
      <c r="AO328" s="1931"/>
      <c r="AP328" s="1931"/>
      <c r="AQ328" s="1931"/>
      <c r="AR328" s="1931"/>
      <c r="AS328" s="1931"/>
      <c r="AT328" s="1931"/>
      <c r="AU328" s="1931"/>
      <c r="AV328" s="1935"/>
      <c r="AW328" s="1935"/>
      <c r="AX328" s="1935"/>
      <c r="AY328" s="1935"/>
      <c r="AZ328" s="1935"/>
      <c r="BA328" s="1935"/>
      <c r="BB328" s="1935"/>
      <c r="BC328" s="1935"/>
      <c r="BD328" s="1935"/>
      <c r="BE328" s="1935"/>
      <c r="BF328" s="1935"/>
      <c r="BG328" s="1935"/>
      <c r="BH328" s="1935"/>
      <c r="BI328" s="1935"/>
      <c r="BJ328" s="1935"/>
      <c r="BK328" s="1935"/>
      <c r="BL328" s="1935"/>
      <c r="BM328" s="1935"/>
      <c r="BN328" s="1935"/>
      <c r="BO328" s="1935"/>
      <c r="BP328" s="1935"/>
      <c r="BQ328" s="1935"/>
      <c r="BR328" s="1935"/>
      <c r="BS328" s="1935"/>
      <c r="BT328" s="1935"/>
      <c r="BU328" s="1935"/>
      <c r="BV328" s="1935"/>
      <c r="BW328" s="1935"/>
      <c r="BX328" s="1935"/>
      <c r="BY328" s="1935"/>
      <c r="BZ328" s="1935"/>
      <c r="CA328" s="1935"/>
      <c r="CB328" s="1935"/>
      <c r="CC328" s="1935"/>
      <c r="CD328" s="1935"/>
      <c r="CE328" s="1935"/>
      <c r="CF328" s="1935"/>
      <c r="CG328" s="1935"/>
      <c r="CH328" s="1935"/>
      <c r="CI328" s="1935"/>
      <c r="CJ328" s="1935"/>
      <c r="CK328" s="1935"/>
      <c r="CL328" s="1935"/>
      <c r="CM328" s="1935"/>
      <c r="CN328" s="1935"/>
      <c r="CO328" s="1935"/>
      <c r="CP328" s="1935"/>
      <c r="CQ328" s="1935"/>
      <c r="CR328" s="1935"/>
      <c r="CS328" s="1935"/>
      <c r="CT328" s="1935"/>
      <c r="CU328" s="1935"/>
      <c r="CV328" s="1935"/>
      <c r="CW328" s="1935"/>
      <c r="CX328" s="1935"/>
      <c r="CY328" s="1935"/>
      <c r="CZ328" s="1935"/>
      <c r="DA328" s="1935"/>
      <c r="DB328" s="73"/>
      <c r="DC328" s="1935"/>
      <c r="DD328" s="1935"/>
      <c r="DE328" s="1935"/>
      <c r="DF328" s="1935"/>
      <c r="DG328" s="1935"/>
      <c r="DH328" s="1935"/>
    </row>
    <row r="329" spans="2:112" x14ac:dyDescent="0.25">
      <c r="B329" s="1931"/>
      <c r="D329" s="1286"/>
      <c r="E329" s="1966"/>
      <c r="F329" s="1966"/>
      <c r="G329" s="1966"/>
      <c r="H329" s="1287"/>
      <c r="I329" s="1966"/>
      <c r="J329" s="1966"/>
      <c r="K329" s="1966"/>
      <c r="L329" s="1966"/>
      <c r="M329" s="1965"/>
      <c r="N329" s="1965"/>
      <c r="O329" s="1965"/>
      <c r="P329" s="1966"/>
      <c r="Q329" s="1966"/>
      <c r="R329" s="1966"/>
      <c r="S329" s="1966"/>
      <c r="T329" s="1966"/>
      <c r="U329" s="1966"/>
      <c r="V329" s="1930"/>
      <c r="W329" s="1930"/>
      <c r="X329" s="1930"/>
      <c r="Y329" s="1930"/>
      <c r="Z329" s="1930"/>
      <c r="AA329" s="1930"/>
      <c r="AB329" s="1930"/>
      <c r="AC329" s="1930"/>
      <c r="AD329" s="1930"/>
      <c r="AE329" s="1930"/>
      <c r="AF329" s="1930"/>
      <c r="AG329" s="1930"/>
      <c r="AH329" s="1930"/>
      <c r="AI329" s="1930"/>
      <c r="AJ329" s="1934"/>
      <c r="AK329" s="1934"/>
      <c r="AL329" s="1934"/>
      <c r="AM329" s="1934"/>
      <c r="AN329" s="1934"/>
      <c r="AO329" s="1934"/>
      <c r="AP329" s="1934"/>
      <c r="AQ329" s="1934"/>
      <c r="AR329" s="1934"/>
      <c r="AS329" s="1934"/>
      <c r="AT329" s="1934"/>
      <c r="AU329" s="1934"/>
      <c r="AV329" s="1931"/>
      <c r="AW329" s="1931"/>
      <c r="AX329" s="1931"/>
      <c r="AY329" s="1931"/>
      <c r="AZ329" s="1931"/>
      <c r="BA329" s="1931"/>
      <c r="BB329" s="1931"/>
      <c r="BC329" s="1931"/>
      <c r="BD329" s="1931"/>
      <c r="BE329" s="1931"/>
      <c r="BF329" s="1931"/>
      <c r="BG329" s="1931"/>
      <c r="BH329" s="1931"/>
      <c r="BI329" s="1931"/>
      <c r="BJ329" s="1931"/>
      <c r="BK329" s="1931"/>
      <c r="BL329" s="1931"/>
      <c r="BM329" s="1931"/>
      <c r="BN329" s="1931"/>
      <c r="BO329" s="1931"/>
      <c r="BP329" s="1931"/>
      <c r="BQ329" s="1931"/>
      <c r="BR329" s="1931"/>
      <c r="BS329" s="1931"/>
      <c r="BT329" s="1931"/>
      <c r="BU329" s="1931"/>
      <c r="BV329" s="1931"/>
      <c r="BW329" s="1931"/>
      <c r="BX329" s="1931"/>
      <c r="BY329" s="1931"/>
      <c r="BZ329" s="1931"/>
      <c r="CA329" s="1931"/>
      <c r="CB329" s="1931"/>
      <c r="CC329" s="1931"/>
      <c r="CD329" s="1931"/>
      <c r="CE329" s="1930"/>
      <c r="CF329" s="1930"/>
      <c r="CG329" s="1930"/>
      <c r="CH329" s="1930"/>
      <c r="CI329" s="1931"/>
      <c r="CJ329" s="1931"/>
      <c r="CK329" s="1931"/>
      <c r="CL329" s="1931"/>
      <c r="CM329" s="1931"/>
      <c r="CN329" s="1931"/>
      <c r="CO329" s="1931"/>
      <c r="CP329" s="1931"/>
      <c r="CQ329" s="1931"/>
      <c r="CR329" s="1931"/>
      <c r="CS329" s="1931"/>
      <c r="CT329" s="1930"/>
      <c r="CU329" s="1930"/>
      <c r="CV329" s="1930"/>
      <c r="CW329" s="1930"/>
      <c r="CX329" s="1931"/>
      <c r="CY329" s="1931"/>
      <c r="CZ329" s="1931"/>
      <c r="DA329" s="1931"/>
      <c r="DB329" s="1932"/>
      <c r="DC329" s="1931"/>
      <c r="DD329" s="1931"/>
      <c r="DE329" s="1931"/>
      <c r="DF329" s="1931"/>
    </row>
    <row r="330" spans="2:112" s="44" customFormat="1" ht="30" x14ac:dyDescent="0.25">
      <c r="B330" s="45"/>
      <c r="C330" s="46" t="s">
        <v>28</v>
      </c>
      <c r="D330" s="46" t="s">
        <v>29</v>
      </c>
      <c r="E330" s="3196" t="s">
        <v>30</v>
      </c>
      <c r="F330" s="3196" t="s">
        <v>2876</v>
      </c>
      <c r="G330" s="3196" t="s">
        <v>2877</v>
      </c>
      <c r="H330" s="3196" t="s">
        <v>2878</v>
      </c>
      <c r="I330" s="3196" t="s">
        <v>176</v>
      </c>
      <c r="J330" s="3196" t="s">
        <v>176</v>
      </c>
      <c r="K330" s="47" t="s">
        <v>177</v>
      </c>
      <c r="L330" s="3196" t="s">
        <v>32</v>
      </c>
      <c r="M330" s="3196" t="s">
        <v>181</v>
      </c>
      <c r="N330" s="46" t="s">
        <v>170</v>
      </c>
      <c r="O330" s="46" t="s">
        <v>44</v>
      </c>
      <c r="P330" s="1367"/>
      <c r="Q330" s="1368"/>
      <c r="R330" s="1288"/>
      <c r="S330" s="1288"/>
      <c r="T330" s="1288"/>
      <c r="U330" s="1288"/>
      <c r="V330" s="1936" t="s">
        <v>45</v>
      </c>
      <c r="W330" s="1937">
        <f>$W$8</f>
        <v>43252</v>
      </c>
      <c r="X330" s="1937">
        <f>$X$8</f>
        <v>43465</v>
      </c>
      <c r="Y330" s="1937">
        <f>$Y$8</f>
        <v>43800</v>
      </c>
      <c r="Z330" s="1937">
        <f>$Z$8</f>
        <v>43862</v>
      </c>
      <c r="AA330" s="1937">
        <f>$AA$8</f>
        <v>44013</v>
      </c>
      <c r="AB330" s="1937">
        <v>44166</v>
      </c>
      <c r="AC330" s="1937">
        <f>$AC$8</f>
        <v>44531</v>
      </c>
      <c r="AD330" s="1937" t="str">
        <f>$AD$8</f>
        <v>-</v>
      </c>
      <c r="AE330" s="1937" t="str">
        <f>$AE$8</f>
        <v>-</v>
      </c>
      <c r="AF330" s="1937" t="str">
        <f>$AF$8</f>
        <v>-</v>
      </c>
      <c r="AG330" s="1937" t="str">
        <f>$AG$8</f>
        <v>-</v>
      </c>
      <c r="AH330" s="1930"/>
      <c r="AI330" s="1936" t="s">
        <v>45</v>
      </c>
      <c r="AJ330" s="1937">
        <v>43252</v>
      </c>
      <c r="AK330" s="1937">
        <f>$X$8</f>
        <v>43465</v>
      </c>
      <c r="AL330" s="1937">
        <f>$Y$8</f>
        <v>43800</v>
      </c>
      <c r="AM330" s="1937">
        <f>$Z$8</f>
        <v>43862</v>
      </c>
      <c r="AN330" s="1937">
        <f>$AA$8</f>
        <v>44013</v>
      </c>
      <c r="AO330" s="1937">
        <f>$AB$8</f>
        <v>44166</v>
      </c>
      <c r="AP330" s="1937">
        <f>$AC$8</f>
        <v>44531</v>
      </c>
      <c r="AQ330" s="1937" t="str">
        <f>$AD$8</f>
        <v>-</v>
      </c>
      <c r="AR330" s="1937" t="str">
        <f>$AE$8</f>
        <v>-</v>
      </c>
      <c r="AS330" s="1937" t="str">
        <f>$AF$8</f>
        <v>-</v>
      </c>
      <c r="AT330" s="1930"/>
      <c r="AU330" s="1936" t="s">
        <v>45</v>
      </c>
      <c r="AV330" s="1937">
        <v>43252</v>
      </c>
      <c r="AW330" s="1937">
        <f>$X$8</f>
        <v>43465</v>
      </c>
      <c r="AX330" s="1937">
        <f>$Y$8</f>
        <v>43800</v>
      </c>
      <c r="AY330" s="1937">
        <f>$Z$8</f>
        <v>43862</v>
      </c>
      <c r="AZ330" s="1937">
        <f>$AA$8</f>
        <v>44013</v>
      </c>
      <c r="BA330" s="1937">
        <v>44166</v>
      </c>
      <c r="BB330" s="1937">
        <f>$AC$8</f>
        <v>44531</v>
      </c>
      <c r="BC330" s="1937" t="str">
        <f>$AD$8</f>
        <v>-</v>
      </c>
      <c r="BD330" s="1937" t="str">
        <f>$AE$8</f>
        <v>-</v>
      </c>
      <c r="BE330" s="1937" t="str">
        <f>$AF$8</f>
        <v>-</v>
      </c>
      <c r="BF330" s="1930"/>
      <c r="BG330" s="1936" t="s">
        <v>45</v>
      </c>
      <c r="BH330" s="1937">
        <v>43252</v>
      </c>
      <c r="BI330" s="1937">
        <f>$X$8</f>
        <v>43465</v>
      </c>
      <c r="BJ330" s="1937">
        <f>$Y$8</f>
        <v>43800</v>
      </c>
      <c r="BK330" s="1937">
        <f>$Z$8</f>
        <v>43862</v>
      </c>
      <c r="BL330" s="1937">
        <f>$AA$8</f>
        <v>44013</v>
      </c>
      <c r="BM330" s="1937">
        <v>44166</v>
      </c>
      <c r="BN330" s="1937">
        <f>$AC$8</f>
        <v>44531</v>
      </c>
      <c r="BO330" s="1937" t="str">
        <f>$AD$8</f>
        <v>-</v>
      </c>
      <c r="BP330" s="1937" t="str">
        <f>$AE$8</f>
        <v>-</v>
      </c>
      <c r="BQ330" s="1937" t="str">
        <f>$AF$8</f>
        <v>-</v>
      </c>
      <c r="BR330" s="1933"/>
      <c r="BS330" s="1936" t="s">
        <v>45</v>
      </c>
      <c r="BT330" s="1937">
        <v>43252</v>
      </c>
      <c r="BU330" s="1937">
        <f>$X$8</f>
        <v>43465</v>
      </c>
      <c r="BV330" s="1937">
        <f>$Y$8</f>
        <v>43800</v>
      </c>
      <c r="BW330" s="1937">
        <f>$Z$8</f>
        <v>43862</v>
      </c>
      <c r="BX330" s="1937">
        <f>$AA$8</f>
        <v>44013</v>
      </c>
      <c r="BY330" s="1937">
        <f>$AB$8</f>
        <v>44166</v>
      </c>
      <c r="BZ330" s="1937">
        <f>$AC$8</f>
        <v>44531</v>
      </c>
      <c r="CA330" s="1937" t="str">
        <f>$AD$8</f>
        <v>-</v>
      </c>
      <c r="CB330" s="1937" t="str">
        <f>$AE$8</f>
        <v>-</v>
      </c>
      <c r="CC330" s="1937" t="str">
        <f>$AF$8</f>
        <v>-</v>
      </c>
      <c r="DB330" s="1938" t="str">
        <f>$DB$8</f>
        <v>TRC (2020)</v>
      </c>
      <c r="DC330" s="1953" t="str">
        <f>$DC$8</f>
        <v>Benefit Lookup</v>
      </c>
      <c r="DD330" s="1953" t="str">
        <f>$DD$8</f>
        <v>Benefits (2019 $)</v>
      </c>
      <c r="DE330" s="1953" t="str">
        <f>$DE$8</f>
        <v>Incremental Cost (2019 $)</v>
      </c>
    </row>
    <row r="331" spans="2:112" ht="30" x14ac:dyDescent="0.25">
      <c r="B331" s="1931"/>
      <c r="C331" s="2462" t="s">
        <v>2879</v>
      </c>
      <c r="D331" s="1363" t="s">
        <v>2646</v>
      </c>
      <c r="E331" s="1369" t="s">
        <v>2880</v>
      </c>
      <c r="F331" s="1959">
        <f>ROUND((1/F341)*G341*(H341/1000)*I341,2)</f>
        <v>205.34</v>
      </c>
      <c r="G331" s="64">
        <f>J341*(L341/(K341*3412))*M341</f>
        <v>233.00117233294256</v>
      </c>
      <c r="H331" s="64">
        <f>SUM(F331:G331)</f>
        <v>438.34117233294256</v>
      </c>
      <c r="I331" s="1290" t="s">
        <v>2881</v>
      </c>
      <c r="J331" s="1290" t="s">
        <v>2882</v>
      </c>
      <c r="K331" s="1291">
        <v>9.1068395835808389E-4</v>
      </c>
      <c r="L331" s="1370">
        <f>ROUND(K331*F331,6)</f>
        <v>0.187</v>
      </c>
      <c r="M331" s="1354">
        <v>10</v>
      </c>
      <c r="N331" s="1329">
        <v>224</v>
      </c>
      <c r="O331" s="1292" t="s">
        <v>185</v>
      </c>
      <c r="P331" s="1965"/>
      <c r="Q331" s="1965"/>
      <c r="R331" s="1965"/>
      <c r="S331" s="1965"/>
      <c r="T331" s="1965"/>
      <c r="U331" s="1965"/>
      <c r="V331" s="3227" t="str">
        <f>F330</f>
        <v>Cooling kWh Annual Savings (per Ton)</v>
      </c>
      <c r="W331" s="129">
        <v>205.33500000000004</v>
      </c>
      <c r="X331" s="129">
        <v>205.33500000000004</v>
      </c>
      <c r="Y331" s="129">
        <v>205.33500000000004</v>
      </c>
      <c r="Z331" s="129">
        <v>205.33500000000004</v>
      </c>
      <c r="AA331" s="129">
        <v>205.33500000000004</v>
      </c>
      <c r="AB331" s="2002">
        <v>205.34</v>
      </c>
      <c r="AC331" s="3352">
        <v>205.34</v>
      </c>
      <c r="AD331" s="2099"/>
      <c r="AE331" s="2099"/>
      <c r="AF331" s="2099"/>
      <c r="AG331" s="2099"/>
      <c r="AH331" s="2100"/>
      <c r="AI331" s="3227" t="str">
        <f>G330</f>
        <v>Heating kWh Annual Savings (per ton)</v>
      </c>
      <c r="AJ331" s="129">
        <v>233.00117233294256</v>
      </c>
      <c r="AK331" s="129">
        <v>233.00117233294256</v>
      </c>
      <c r="AL331" s="129">
        <v>233.00117233294256</v>
      </c>
      <c r="AM331" s="129">
        <v>233.00117233294256</v>
      </c>
      <c r="AN331" s="129">
        <v>233.00117233294256</v>
      </c>
      <c r="AO331" s="2095">
        <v>233.00117233294256</v>
      </c>
      <c r="AP331" s="2002">
        <v>233.00117233294256</v>
      </c>
      <c r="AQ331" s="2099"/>
      <c r="AR331" s="2099"/>
      <c r="AS331" s="2099"/>
      <c r="AT331" s="2100"/>
      <c r="AU331" s="3227" t="str">
        <f>H330</f>
        <v>Total kWh Annual Savings</v>
      </c>
      <c r="AV331" s="129">
        <v>438.33617233294262</v>
      </c>
      <c r="AW331" s="129">
        <v>438.33617233294262</v>
      </c>
      <c r="AX331" s="129">
        <v>438.33617233294262</v>
      </c>
      <c r="AY331" s="129">
        <v>438.33617233294262</v>
      </c>
      <c r="AZ331" s="129">
        <v>438.33617233294262</v>
      </c>
      <c r="BA331" s="129">
        <v>438.34117233294256</v>
      </c>
      <c r="BB331" s="129">
        <v>438.34117233294256</v>
      </c>
      <c r="BC331" s="2099"/>
      <c r="BD331" s="2099"/>
      <c r="BE331" s="2099"/>
      <c r="BF331" s="2100"/>
      <c r="BG331" s="3227" t="s">
        <v>181</v>
      </c>
      <c r="BH331" s="64">
        <v>10</v>
      </c>
      <c r="BI331" s="64">
        <v>10</v>
      </c>
      <c r="BJ331" s="64">
        <v>10</v>
      </c>
      <c r="BK331" s="64">
        <v>10</v>
      </c>
      <c r="BL331" s="64">
        <v>10</v>
      </c>
      <c r="BM331" s="2002">
        <v>10</v>
      </c>
      <c r="BN331" s="2002">
        <v>10</v>
      </c>
      <c r="BO331" s="2099"/>
      <c r="BP331" s="2099"/>
      <c r="BQ331" s="2099"/>
      <c r="BR331" s="1933"/>
      <c r="BS331" s="3227" t="str">
        <f>N330</f>
        <v>Inc. Cost</v>
      </c>
      <c r="BT331" s="2102">
        <v>224</v>
      </c>
      <c r="BU331" s="2102">
        <v>224</v>
      </c>
      <c r="BV331" s="2102">
        <v>224</v>
      </c>
      <c r="BW331" s="2102">
        <v>224</v>
      </c>
      <c r="BX331" s="2102">
        <v>224</v>
      </c>
      <c r="BY331" s="2102">
        <v>224</v>
      </c>
      <c r="BZ331" s="2102">
        <v>224</v>
      </c>
      <c r="CA331" s="2099"/>
      <c r="CB331" s="2099"/>
      <c r="CC331" s="2099"/>
      <c r="CD331" s="1933"/>
      <c r="CE331" s="227"/>
      <c r="CF331" s="227"/>
      <c r="CG331" s="227"/>
      <c r="CH331" s="227"/>
      <c r="CI331" s="1933"/>
      <c r="CJ331" s="1933"/>
      <c r="CK331" s="1933"/>
      <c r="CL331" s="1933"/>
      <c r="CM331" s="1933"/>
      <c r="CN331" s="1933"/>
      <c r="CO331" s="1933"/>
      <c r="CP331" s="1933"/>
      <c r="CQ331" s="1933"/>
      <c r="CR331" s="1933"/>
      <c r="CS331" s="1933"/>
      <c r="CT331" s="227"/>
      <c r="CU331" s="227"/>
      <c r="CV331" s="227"/>
      <c r="CW331" s="227"/>
      <c r="CX331" s="1931"/>
      <c r="CY331" s="1931"/>
      <c r="CZ331" s="1931"/>
      <c r="DA331" s="1931"/>
      <c r="DB331" s="1954">
        <f>(DD331)/(DE331)</f>
        <v>0.93461733145643167</v>
      </c>
      <c r="DC331" s="3166" t="str">
        <f>CONCATENATE(I331," ",M331," Year EUL")</f>
        <v>Cooling BUS 10 Year EUL</v>
      </c>
      <c r="DD331" s="1955">
        <f>(INDEX('Avoided Cost Benefits'!$C$4:$C$857,MATCH(DC331,'Avoided Cost Benefits'!$A$4:$A$857,0)))*F331</f>
        <v>197.59724610310587</v>
      </c>
      <c r="DE331" s="1956">
        <f>N331/(1.0595^(2020-2019))</f>
        <v>211.42048135913166</v>
      </c>
      <c r="DF331" s="1931"/>
    </row>
    <row r="332" spans="2:112" hidden="1" outlineLevel="1" x14ac:dyDescent="0.25">
      <c r="B332" s="1931"/>
      <c r="D332" s="1966"/>
      <c r="E332" s="1966"/>
      <c r="F332" s="1966"/>
      <c r="G332" s="1966"/>
      <c r="H332" s="1299"/>
      <c r="I332" s="1966"/>
      <c r="J332" s="1966"/>
      <c r="K332" s="1966"/>
      <c r="L332" s="1965"/>
      <c r="M332" s="1965"/>
      <c r="N332" s="1965"/>
      <c r="O332" s="1965"/>
      <c r="P332" s="1965"/>
      <c r="Q332" s="1965"/>
      <c r="R332" s="1965"/>
      <c r="S332" s="1965"/>
      <c r="T332" s="1965"/>
      <c r="U332" s="1965"/>
      <c r="V332" s="1933"/>
      <c r="W332" s="1933"/>
      <c r="X332" s="1933"/>
      <c r="Y332" s="1933"/>
      <c r="Z332" s="1933"/>
      <c r="AA332" s="1933"/>
      <c r="AB332" s="1933"/>
      <c r="AC332" s="1933"/>
      <c r="AD332" s="1933"/>
      <c r="AE332" s="1933"/>
      <c r="AF332" s="1933"/>
      <c r="AG332" s="1933"/>
      <c r="AH332" s="1933"/>
      <c r="AI332" s="1933"/>
      <c r="AJ332" s="1933"/>
      <c r="AK332" s="1933"/>
      <c r="AL332" s="1933"/>
      <c r="AM332" s="1933"/>
      <c r="AN332" s="1933"/>
      <c r="AO332" s="1933"/>
      <c r="AP332" s="1933"/>
      <c r="AQ332" s="1933"/>
      <c r="AR332" s="1933"/>
      <c r="AS332" s="1933"/>
      <c r="AT332" s="1933"/>
      <c r="AU332" s="1933"/>
      <c r="AV332" s="1933"/>
      <c r="AW332" s="1933"/>
      <c r="AX332" s="1933"/>
      <c r="AY332" s="1933"/>
      <c r="AZ332" s="1933"/>
      <c r="BA332" s="1933"/>
      <c r="BB332" s="1933"/>
      <c r="BC332" s="1933"/>
      <c r="BD332" s="1933"/>
      <c r="BE332" s="1933"/>
      <c r="BF332" s="1933"/>
      <c r="BG332" s="1933"/>
      <c r="BH332" s="1933"/>
      <c r="BI332" s="1933"/>
      <c r="BJ332" s="1933"/>
      <c r="BK332" s="1933"/>
      <c r="BL332" s="1933"/>
      <c r="BM332" s="1933"/>
      <c r="BN332" s="1933"/>
      <c r="BO332" s="1933"/>
      <c r="BP332" s="1933"/>
      <c r="BQ332" s="1933"/>
      <c r="BR332" s="1933"/>
      <c r="BS332" s="1933"/>
      <c r="BT332" s="1933"/>
      <c r="BU332" s="1933"/>
      <c r="BV332" s="1933"/>
      <c r="BW332" s="1933"/>
      <c r="BX332" s="1933"/>
      <c r="BY332" s="1933"/>
      <c r="BZ332" s="1933"/>
      <c r="CA332" s="1933"/>
      <c r="CB332" s="1933"/>
      <c r="CC332" s="1933"/>
      <c r="CD332" s="1933"/>
      <c r="CE332" s="227"/>
      <c r="CF332" s="227"/>
      <c r="CG332" s="227"/>
      <c r="CH332" s="227"/>
      <c r="CI332" s="1933"/>
      <c r="CJ332" s="1933"/>
      <c r="CK332" s="1933"/>
      <c r="CL332" s="1933"/>
      <c r="CM332" s="1933"/>
      <c r="CN332" s="1933"/>
      <c r="CO332" s="1933"/>
      <c r="CP332" s="1933"/>
      <c r="CQ332" s="1933"/>
      <c r="CR332" s="1933"/>
      <c r="CS332" s="1933"/>
      <c r="CT332" s="227"/>
      <c r="CU332" s="227"/>
      <c r="CV332" s="227"/>
      <c r="CW332" s="227"/>
      <c r="CX332" s="1931"/>
      <c r="CY332" s="1931"/>
      <c r="CZ332" s="1931"/>
      <c r="DA332" s="1931"/>
      <c r="DB332" s="1932"/>
      <c r="DC332" s="1931"/>
      <c r="DD332" s="1931"/>
      <c r="DE332" s="1931"/>
      <c r="DF332" s="1931"/>
    </row>
    <row r="333" spans="2:112" hidden="1" outlineLevel="1" x14ac:dyDescent="0.25">
      <c r="B333" s="1931"/>
      <c r="D333" s="1966" t="s">
        <v>2689</v>
      </c>
      <c r="E333" s="1966"/>
      <c r="F333" s="1966"/>
      <c r="G333" s="1966"/>
      <c r="H333" s="1299"/>
      <c r="I333" s="1966"/>
      <c r="J333" s="1966"/>
      <c r="K333" s="1966"/>
      <c r="L333" s="1965"/>
      <c r="M333" s="1965"/>
      <c r="N333" s="1965"/>
      <c r="O333" s="1965"/>
      <c r="P333" s="1965"/>
      <c r="Q333" s="1965"/>
      <c r="R333" s="1965"/>
      <c r="S333" s="1965"/>
      <c r="T333" s="1965"/>
      <c r="U333" s="1965"/>
      <c r="V333" s="1933"/>
      <c r="W333" s="1933"/>
      <c r="X333" s="1933"/>
      <c r="Y333" s="1933"/>
      <c r="Z333" s="1933"/>
      <c r="AA333" s="1933"/>
      <c r="AB333" s="1933"/>
      <c r="AC333" s="1933"/>
      <c r="AD333" s="1933"/>
      <c r="AE333" s="1933"/>
      <c r="AF333" s="1933"/>
      <c r="AG333" s="1933"/>
      <c r="AH333" s="1933"/>
      <c r="AI333" s="1933"/>
      <c r="AJ333" s="1933"/>
      <c r="AK333" s="1933"/>
      <c r="AL333" s="1933"/>
      <c r="AM333" s="1933"/>
      <c r="AN333" s="1933"/>
      <c r="AO333" s="1933"/>
      <c r="AP333" s="1933"/>
      <c r="AQ333" s="1933"/>
      <c r="AR333" s="1933"/>
      <c r="AS333" s="1933"/>
      <c r="AT333" s="1933"/>
      <c r="AU333" s="1933"/>
      <c r="AV333" s="1933"/>
      <c r="AW333" s="1933"/>
      <c r="AX333" s="1933"/>
      <c r="AY333" s="1933"/>
      <c r="AZ333" s="1933"/>
      <c r="BA333" s="1933"/>
      <c r="BB333" s="1933"/>
      <c r="BC333" s="1933"/>
      <c r="BD333" s="1933"/>
      <c r="BE333" s="1933"/>
      <c r="BF333" s="1933"/>
      <c r="BG333" s="1933"/>
      <c r="BH333" s="1933"/>
      <c r="BI333" s="1933"/>
      <c r="BJ333" s="1933"/>
      <c r="BK333" s="1933"/>
      <c r="BL333" s="1933"/>
      <c r="BM333" s="1933"/>
      <c r="BN333" s="1933"/>
      <c r="BO333" s="1933"/>
      <c r="BP333" s="1933"/>
      <c r="BQ333" s="1933"/>
      <c r="BR333" s="1933"/>
      <c r="BS333" s="1933"/>
      <c r="BT333" s="1933"/>
      <c r="BU333" s="1933"/>
      <c r="BV333" s="1933"/>
      <c r="BW333" s="1933"/>
      <c r="BX333" s="1933"/>
      <c r="BY333" s="1933"/>
      <c r="BZ333" s="1933"/>
      <c r="CA333" s="1933"/>
      <c r="CB333" s="1933"/>
      <c r="CC333" s="1933"/>
      <c r="CD333" s="1933"/>
      <c r="CE333" s="227"/>
      <c r="CF333" s="227"/>
      <c r="CG333" s="227"/>
      <c r="CH333" s="227"/>
      <c r="CI333" s="1933"/>
      <c r="CJ333" s="1933"/>
      <c r="CK333" s="1933"/>
      <c r="CL333" s="1933"/>
      <c r="CM333" s="1933"/>
      <c r="CN333" s="1933"/>
      <c r="CO333" s="1933"/>
      <c r="CP333" s="1933"/>
      <c r="CQ333" s="1933"/>
      <c r="CR333" s="1933"/>
      <c r="CS333" s="1933"/>
      <c r="CT333" s="227"/>
      <c r="CU333" s="227"/>
      <c r="CV333" s="227"/>
      <c r="CW333" s="227"/>
      <c r="CX333" s="1931"/>
      <c r="CY333" s="1931"/>
      <c r="CZ333" s="1931"/>
      <c r="DA333" s="1931"/>
      <c r="DB333" s="1932"/>
      <c r="DC333" s="1931"/>
      <c r="DD333" s="1931"/>
      <c r="DE333" s="1931"/>
      <c r="DF333" s="1931"/>
    </row>
    <row r="334" spans="2:112" hidden="1" outlineLevel="1" x14ac:dyDescent="0.25">
      <c r="B334" s="1931"/>
      <c r="D334" s="1300"/>
      <c r="E334" s="1965"/>
      <c r="F334" s="1965"/>
      <c r="G334" s="1321"/>
      <c r="H334" s="1322"/>
      <c r="I334" s="1965"/>
      <c r="J334" s="1965"/>
      <c r="K334" s="1965"/>
      <c r="L334" s="1965"/>
      <c r="M334" s="1965"/>
      <c r="N334" s="1965"/>
      <c r="O334" s="1965"/>
      <c r="P334" s="1965"/>
      <c r="Q334" s="1965"/>
      <c r="R334" s="1965"/>
      <c r="S334" s="1965"/>
      <c r="T334" s="1965"/>
      <c r="U334" s="1965"/>
      <c r="V334" s="1933"/>
      <c r="W334" s="1933"/>
      <c r="X334" s="1933"/>
      <c r="Y334" s="1933"/>
      <c r="Z334" s="1933"/>
      <c r="AA334" s="1933"/>
      <c r="AB334" s="1933"/>
      <c r="AC334" s="1933"/>
      <c r="AD334" s="1933"/>
      <c r="AE334" s="1933"/>
      <c r="AF334" s="1933"/>
      <c r="AG334" s="1933"/>
      <c r="AH334" s="1933"/>
      <c r="AI334" s="1933"/>
      <c r="AJ334" s="1933"/>
      <c r="AK334" s="1933"/>
      <c r="AL334" s="1933"/>
      <c r="AM334" s="1933"/>
      <c r="AN334" s="1933"/>
      <c r="AO334" s="1933"/>
      <c r="AP334" s="1933"/>
      <c r="AQ334" s="1933"/>
      <c r="AR334" s="1933"/>
      <c r="AS334" s="1933"/>
      <c r="AT334" s="1933"/>
      <c r="AU334" s="1933"/>
      <c r="AV334" s="1933"/>
      <c r="AW334" s="1933"/>
      <c r="AX334" s="1933"/>
      <c r="AY334" s="1933"/>
      <c r="AZ334" s="1933"/>
      <c r="BA334" s="1933"/>
      <c r="BB334" s="1933"/>
      <c r="BC334" s="1933"/>
      <c r="BD334" s="1933"/>
      <c r="BE334" s="1933"/>
      <c r="BF334" s="1933"/>
      <c r="BG334" s="1933"/>
      <c r="BH334" s="1933"/>
      <c r="BI334" s="1933"/>
      <c r="BJ334" s="1933"/>
      <c r="BK334" s="1933"/>
      <c r="BL334" s="1933"/>
      <c r="BM334" s="1933"/>
      <c r="BN334" s="1933"/>
      <c r="BO334" s="1933"/>
      <c r="BP334" s="1933"/>
      <c r="BQ334" s="1933"/>
      <c r="BR334" s="1933"/>
      <c r="BS334" s="1933"/>
      <c r="BT334" s="1933"/>
      <c r="BU334" s="1933"/>
      <c r="BV334" s="1933"/>
      <c r="BW334" s="1933"/>
      <c r="BX334" s="1933"/>
      <c r="BY334" s="1933"/>
      <c r="BZ334" s="1933"/>
      <c r="CA334" s="1933"/>
      <c r="CB334" s="1933"/>
      <c r="CC334" s="1933"/>
      <c r="CD334" s="1933"/>
      <c r="CE334" s="227"/>
      <c r="CF334" s="227"/>
      <c r="CG334" s="227"/>
      <c r="CH334" s="227"/>
      <c r="CI334" s="1933"/>
      <c r="CJ334" s="1933"/>
      <c r="CK334" s="1933"/>
      <c r="CL334" s="1933"/>
      <c r="CM334" s="1933"/>
      <c r="CN334" s="1933"/>
      <c r="CO334" s="1933"/>
      <c r="CP334" s="1933"/>
      <c r="CQ334" s="1933"/>
      <c r="CR334" s="1933"/>
      <c r="CS334" s="1933"/>
      <c r="CT334" s="227"/>
      <c r="CU334" s="227"/>
      <c r="CV334" s="227"/>
      <c r="CW334" s="227"/>
      <c r="CX334" s="1931"/>
      <c r="CY334" s="1931"/>
      <c r="CZ334" s="1931"/>
      <c r="DA334" s="1931"/>
      <c r="DB334" s="1932"/>
      <c r="DC334" s="1931"/>
      <c r="DD334" s="1931"/>
      <c r="DE334" s="1931"/>
      <c r="DF334" s="1931"/>
    </row>
    <row r="335" spans="2:112" hidden="1" outlineLevel="1" x14ac:dyDescent="0.25">
      <c r="B335" s="1931"/>
      <c r="D335" s="1355"/>
      <c r="E335" s="874"/>
      <c r="F335" s="1965"/>
      <c r="G335" s="1321"/>
      <c r="H335" s="1322"/>
      <c r="I335" s="1965"/>
      <c r="J335" s="1965"/>
      <c r="K335" s="1965"/>
      <c r="L335" s="1965"/>
      <c r="M335" s="1965"/>
      <c r="N335" s="1965"/>
      <c r="O335" s="1965"/>
      <c r="P335" s="1965"/>
      <c r="Q335" s="1965"/>
      <c r="R335" s="1965"/>
      <c r="S335" s="1965"/>
      <c r="T335" s="1965"/>
      <c r="U335" s="1965"/>
      <c r="V335" s="1933"/>
      <c r="W335" s="1933"/>
      <c r="X335" s="1933"/>
      <c r="Y335" s="1933"/>
      <c r="Z335" s="1933"/>
      <c r="AA335" s="1933"/>
      <c r="AB335" s="1933"/>
      <c r="AC335" s="1933"/>
      <c r="AD335" s="1933"/>
      <c r="AE335" s="1933"/>
      <c r="AF335" s="1933"/>
      <c r="AG335" s="1933"/>
      <c r="AH335" s="1933"/>
      <c r="AI335" s="1933"/>
      <c r="AJ335" s="1933"/>
      <c r="AK335" s="1933"/>
      <c r="AL335" s="1933"/>
      <c r="AM335" s="1933"/>
      <c r="AN335" s="1933"/>
      <c r="AO335" s="1933"/>
      <c r="AP335" s="1933"/>
      <c r="AQ335" s="1933"/>
      <c r="AR335" s="1933"/>
      <c r="AS335" s="1933"/>
      <c r="AT335" s="1933"/>
      <c r="AU335" s="1933"/>
      <c r="AV335" s="1933"/>
      <c r="AW335" s="1933"/>
      <c r="AX335" s="1933"/>
      <c r="AY335" s="1933"/>
      <c r="AZ335" s="1933"/>
      <c r="BA335" s="1933"/>
      <c r="BB335" s="1933"/>
      <c r="BC335" s="1933"/>
      <c r="BD335" s="1933"/>
      <c r="BE335" s="1933"/>
      <c r="BF335" s="1933"/>
      <c r="BG335" s="1933"/>
      <c r="BH335" s="1933"/>
      <c r="BI335" s="1933"/>
      <c r="BJ335" s="1933"/>
      <c r="BK335" s="1933"/>
      <c r="BL335" s="1933"/>
      <c r="BM335" s="1933"/>
      <c r="BN335" s="1933"/>
      <c r="BO335" s="1933"/>
      <c r="BP335" s="1933"/>
      <c r="BQ335" s="1933"/>
      <c r="BR335" s="1933"/>
      <c r="BS335" s="1933"/>
      <c r="BT335" s="1933"/>
      <c r="BU335" s="1933"/>
      <c r="BV335" s="1933"/>
      <c r="BW335" s="1933"/>
      <c r="BX335" s="1933"/>
      <c r="BY335" s="1933"/>
      <c r="BZ335" s="1933"/>
      <c r="CA335" s="1933"/>
      <c r="CB335" s="1933"/>
      <c r="CC335" s="1933"/>
      <c r="CD335" s="1933"/>
      <c r="CE335" s="227"/>
      <c r="CF335" s="227"/>
      <c r="CG335" s="227"/>
      <c r="CH335" s="227"/>
      <c r="CI335" s="1933"/>
      <c r="CJ335" s="1933"/>
      <c r="CK335" s="1933"/>
      <c r="CL335" s="1933"/>
      <c r="CM335" s="1933"/>
      <c r="CN335" s="1933"/>
      <c r="CO335" s="1933"/>
      <c r="CP335" s="1933"/>
      <c r="CQ335" s="1933"/>
      <c r="CR335" s="1933"/>
      <c r="CS335" s="1933"/>
      <c r="CT335" s="227"/>
      <c r="CU335" s="227"/>
      <c r="CV335" s="227"/>
      <c r="CW335" s="227"/>
      <c r="CX335" s="1931"/>
      <c r="CY335" s="1931"/>
      <c r="CZ335" s="1931"/>
      <c r="DA335" s="1931"/>
      <c r="DB335" s="1932"/>
      <c r="DC335" s="1931"/>
      <c r="DD335" s="1931"/>
      <c r="DE335" s="1931"/>
      <c r="DF335" s="1931"/>
    </row>
    <row r="336" spans="2:112" hidden="1" outlineLevel="1" x14ac:dyDescent="0.25">
      <c r="B336" s="1931"/>
      <c r="D336" s="1355"/>
      <c r="E336" s="874"/>
      <c r="F336" s="1965"/>
      <c r="G336" s="1965"/>
      <c r="H336" s="1301"/>
      <c r="I336" s="1965"/>
      <c r="J336" s="1965"/>
      <c r="K336" s="1965"/>
      <c r="L336" s="1965"/>
      <c r="M336" s="1966"/>
      <c r="N336" s="1965"/>
      <c r="O336" s="1965"/>
      <c r="P336" s="1965"/>
      <c r="Q336" s="1965"/>
      <c r="R336" s="1965"/>
      <c r="S336" s="1965"/>
      <c r="T336" s="1965"/>
      <c r="U336" s="1965"/>
      <c r="V336" s="1933"/>
      <c r="W336" s="1933"/>
      <c r="X336" s="1933"/>
      <c r="Y336" s="1933"/>
      <c r="Z336" s="1933"/>
      <c r="AA336" s="1933"/>
      <c r="AB336" s="1933"/>
      <c r="AC336" s="1933"/>
      <c r="AD336" s="1933"/>
      <c r="AE336" s="1933"/>
      <c r="AF336" s="1933"/>
      <c r="AG336" s="1933"/>
      <c r="AH336" s="1933"/>
      <c r="AI336" s="1933"/>
      <c r="AJ336" s="1933"/>
      <c r="AK336" s="1933"/>
      <c r="AL336" s="1933"/>
      <c r="AM336" s="1933"/>
      <c r="AN336" s="1933"/>
      <c r="AO336" s="1933"/>
      <c r="AP336" s="1933"/>
      <c r="AQ336" s="1933"/>
      <c r="AR336" s="1933"/>
      <c r="AS336" s="1933"/>
      <c r="AT336" s="1933"/>
      <c r="AU336" s="1933"/>
      <c r="AV336" s="1933"/>
      <c r="AW336" s="1933"/>
      <c r="AX336" s="1933"/>
      <c r="AY336" s="1933"/>
      <c r="AZ336" s="1933"/>
      <c r="BA336" s="1933"/>
      <c r="BB336" s="1933"/>
      <c r="BC336" s="1933"/>
      <c r="BD336" s="1933"/>
      <c r="BE336" s="1933"/>
      <c r="BF336" s="1933"/>
      <c r="BG336" s="1933"/>
      <c r="BH336" s="1933"/>
      <c r="BI336" s="1933"/>
      <c r="BJ336" s="1933"/>
      <c r="BK336" s="1933"/>
      <c r="BL336" s="1933"/>
      <c r="BM336" s="1933"/>
      <c r="BN336" s="1933"/>
      <c r="BO336" s="1933"/>
      <c r="BP336" s="1933"/>
      <c r="BQ336" s="1933"/>
      <c r="BR336" s="1933"/>
      <c r="BS336" s="1933"/>
      <c r="BT336" s="1933"/>
      <c r="BU336" s="1933"/>
      <c r="BV336" s="1933"/>
      <c r="BW336" s="1933"/>
      <c r="BX336" s="1933"/>
      <c r="BY336" s="1933"/>
      <c r="BZ336" s="1933"/>
      <c r="CA336" s="1933"/>
      <c r="CB336" s="1933"/>
      <c r="CC336" s="1933"/>
      <c r="CD336" s="1933"/>
      <c r="CE336" s="227"/>
      <c r="CF336" s="227"/>
      <c r="CG336" s="227"/>
      <c r="CH336" s="227"/>
      <c r="CI336" s="1933"/>
      <c r="CJ336" s="1933"/>
      <c r="CK336" s="1933"/>
      <c r="CL336" s="1933"/>
      <c r="CM336" s="1933"/>
      <c r="CN336" s="1933"/>
      <c r="CO336" s="1933"/>
      <c r="CP336" s="1933"/>
      <c r="CQ336" s="1933"/>
      <c r="CR336" s="1933"/>
      <c r="CS336" s="1933"/>
      <c r="CT336" s="227"/>
      <c r="CU336" s="227"/>
      <c r="CV336" s="227"/>
      <c r="CW336" s="227"/>
      <c r="CX336" s="1931"/>
      <c r="CY336" s="1931"/>
      <c r="CZ336" s="1931"/>
      <c r="DA336" s="1931"/>
      <c r="DB336" s="1932"/>
      <c r="DC336" s="1931"/>
      <c r="DD336" s="1931"/>
      <c r="DE336" s="1931"/>
      <c r="DF336" s="1931"/>
    </row>
    <row r="337" spans="2:110" hidden="1" outlineLevel="1" x14ac:dyDescent="0.25">
      <c r="B337" s="1931"/>
      <c r="D337" s="1300"/>
      <c r="E337" s="1965"/>
      <c r="F337" s="1965"/>
      <c r="G337" s="1965"/>
      <c r="H337" s="1301"/>
      <c r="I337" s="1965"/>
      <c r="J337" s="1965"/>
      <c r="K337" s="1965"/>
      <c r="L337" s="1965"/>
      <c r="M337" s="1966"/>
      <c r="N337" s="1965"/>
      <c r="O337" s="1965"/>
      <c r="P337" s="1965"/>
      <c r="Q337" s="1965"/>
      <c r="R337" s="1965"/>
      <c r="S337" s="1965"/>
      <c r="T337" s="1965"/>
      <c r="U337" s="1965"/>
      <c r="V337" s="1933"/>
      <c r="W337" s="1933"/>
      <c r="X337" s="1933"/>
      <c r="Y337" s="1933"/>
      <c r="Z337" s="1933"/>
      <c r="AA337" s="1933"/>
      <c r="AB337" s="1933"/>
      <c r="AC337" s="1933"/>
      <c r="AD337" s="1933"/>
      <c r="AE337" s="1933"/>
      <c r="AF337" s="1933"/>
      <c r="AG337" s="1933"/>
      <c r="AH337" s="1933"/>
      <c r="AI337" s="1933"/>
      <c r="AJ337" s="1933"/>
      <c r="AK337" s="1933"/>
      <c r="AL337" s="1933"/>
      <c r="AM337" s="1933"/>
      <c r="AN337" s="1933"/>
      <c r="AO337" s="1933"/>
      <c r="AP337" s="1933"/>
      <c r="AQ337" s="1933"/>
      <c r="AR337" s="1933"/>
      <c r="AS337" s="1933"/>
      <c r="AT337" s="1933"/>
      <c r="AU337" s="1933"/>
      <c r="AV337" s="1933"/>
      <c r="AW337" s="1933"/>
      <c r="AX337" s="1933"/>
      <c r="AY337" s="1933"/>
      <c r="AZ337" s="1933"/>
      <c r="BA337" s="1933"/>
      <c r="BB337" s="1933"/>
      <c r="BC337" s="1933"/>
      <c r="BD337" s="1933"/>
      <c r="BE337" s="1933"/>
      <c r="BF337" s="1933"/>
      <c r="BG337" s="1933"/>
      <c r="BH337" s="1933"/>
      <c r="BI337" s="1933"/>
      <c r="BJ337" s="1933"/>
      <c r="BK337" s="1933"/>
      <c r="BL337" s="1933"/>
      <c r="BM337" s="1933"/>
      <c r="BN337" s="1933"/>
      <c r="BO337" s="1933"/>
      <c r="BP337" s="1933"/>
      <c r="BQ337" s="1933"/>
      <c r="BR337" s="1933"/>
      <c r="BS337" s="1933"/>
      <c r="BT337" s="1933"/>
      <c r="BU337" s="1933"/>
      <c r="BV337" s="1933"/>
      <c r="BW337" s="1933"/>
      <c r="BX337" s="1933"/>
      <c r="BY337" s="1933"/>
      <c r="BZ337" s="1933"/>
      <c r="CA337" s="1933"/>
      <c r="CB337" s="1933"/>
      <c r="CC337" s="1933"/>
      <c r="CD337" s="1933"/>
      <c r="CE337" s="227"/>
      <c r="CF337" s="227"/>
      <c r="CG337" s="227"/>
      <c r="CH337" s="227"/>
      <c r="CI337" s="1933"/>
      <c r="CJ337" s="1933"/>
      <c r="CK337" s="1933"/>
      <c r="CL337" s="1933"/>
      <c r="CM337" s="1933"/>
      <c r="CN337" s="1933"/>
      <c r="CO337" s="1933"/>
      <c r="CP337" s="1933"/>
      <c r="CQ337" s="1933"/>
      <c r="CR337" s="1933"/>
      <c r="CS337" s="1933"/>
      <c r="CT337" s="227"/>
      <c r="CU337" s="227"/>
      <c r="CV337" s="227"/>
      <c r="CW337" s="227"/>
      <c r="CX337" s="1931"/>
      <c r="CY337" s="1931"/>
      <c r="CZ337" s="1931"/>
      <c r="DA337" s="1931"/>
      <c r="DB337" s="1932"/>
      <c r="DC337" s="1931"/>
      <c r="DD337" s="1931"/>
      <c r="DE337" s="1931"/>
      <c r="DF337" s="1931"/>
    </row>
    <row r="338" spans="2:110" hidden="1" outlineLevel="1" x14ac:dyDescent="0.25">
      <c r="B338" s="1931"/>
      <c r="D338" s="1300"/>
      <c r="E338" s="1965"/>
      <c r="F338" s="1965"/>
      <c r="G338" s="1965"/>
      <c r="H338" s="1301"/>
      <c r="I338" s="1965"/>
      <c r="J338" s="1965"/>
      <c r="K338" s="1965"/>
      <c r="L338" s="1965"/>
      <c r="M338" s="1966"/>
      <c r="N338" s="1965"/>
      <c r="O338" s="1965"/>
      <c r="P338" s="1965"/>
      <c r="Q338" s="1965"/>
      <c r="R338" s="1965"/>
      <c r="S338" s="1965"/>
      <c r="T338" s="1965"/>
      <c r="U338" s="1965"/>
      <c r="V338" s="1933"/>
      <c r="W338" s="1933"/>
      <c r="X338" s="1933"/>
      <c r="Y338" s="1933"/>
      <c r="Z338" s="1933"/>
      <c r="AA338" s="1933"/>
      <c r="AB338" s="1933"/>
      <c r="AC338" s="1933"/>
      <c r="AD338" s="1933"/>
      <c r="AE338" s="1933"/>
      <c r="AF338" s="1933"/>
      <c r="AG338" s="1933"/>
      <c r="AH338" s="1933"/>
      <c r="AI338" s="1933"/>
      <c r="AJ338" s="1933"/>
      <c r="AK338" s="1933"/>
      <c r="AL338" s="1933"/>
      <c r="AM338" s="1933"/>
      <c r="AN338" s="1933"/>
      <c r="AO338" s="1933"/>
      <c r="AP338" s="1933"/>
      <c r="AQ338" s="1933"/>
      <c r="AR338" s="1933"/>
      <c r="AS338" s="1933"/>
      <c r="AT338" s="1933"/>
      <c r="AU338" s="1933"/>
      <c r="AV338" s="1933"/>
      <c r="AW338" s="1933"/>
      <c r="AX338" s="1933"/>
      <c r="AY338" s="1933"/>
      <c r="AZ338" s="1933"/>
      <c r="BA338" s="1933"/>
      <c r="BB338" s="1933"/>
      <c r="BC338" s="1933"/>
      <c r="BD338" s="1933"/>
      <c r="BE338" s="1933"/>
      <c r="BF338" s="1933"/>
      <c r="BG338" s="1933"/>
      <c r="BH338" s="1933"/>
      <c r="BI338" s="1933"/>
      <c r="BJ338" s="1933"/>
      <c r="BK338" s="1933"/>
      <c r="BL338" s="1933"/>
      <c r="BM338" s="1933"/>
      <c r="BN338" s="1933"/>
      <c r="BO338" s="1933"/>
      <c r="BP338" s="1933"/>
      <c r="BQ338" s="1933"/>
      <c r="BR338" s="1933"/>
      <c r="BS338" s="1933"/>
      <c r="BT338" s="1933"/>
      <c r="BU338" s="1933"/>
      <c r="BV338" s="1933"/>
      <c r="BW338" s="1933"/>
      <c r="BX338" s="1933"/>
      <c r="BY338" s="1933"/>
      <c r="BZ338" s="1933"/>
      <c r="CA338" s="1933"/>
      <c r="CB338" s="1933"/>
      <c r="CC338" s="1933"/>
      <c r="CD338" s="1933"/>
      <c r="CE338" s="227"/>
      <c r="CF338" s="227"/>
      <c r="CG338" s="227"/>
      <c r="CH338" s="227"/>
      <c r="CI338" s="1933"/>
      <c r="CJ338" s="1933"/>
      <c r="CK338" s="1933"/>
      <c r="CL338" s="1933"/>
      <c r="CM338" s="1933"/>
      <c r="CN338" s="1933"/>
      <c r="CO338" s="1933"/>
      <c r="CP338" s="1933"/>
      <c r="CQ338" s="1933"/>
      <c r="CR338" s="1933"/>
      <c r="CS338" s="1933"/>
      <c r="CT338" s="227"/>
      <c r="CU338" s="227"/>
      <c r="CV338" s="227"/>
      <c r="CW338" s="227"/>
      <c r="CX338" s="1931"/>
      <c r="CY338" s="1931"/>
      <c r="CZ338" s="1931"/>
      <c r="DA338" s="1931"/>
      <c r="DB338" s="1932"/>
      <c r="DC338" s="1931"/>
      <c r="DD338" s="1931"/>
      <c r="DE338" s="1931"/>
      <c r="DF338" s="1931"/>
    </row>
    <row r="339" spans="2:110" hidden="1" outlineLevel="1" x14ac:dyDescent="0.25">
      <c r="B339" s="1931"/>
      <c r="D339" s="1300"/>
      <c r="E339" s="1965"/>
      <c r="F339" s="1965"/>
      <c r="G339" s="1965"/>
      <c r="H339" s="1301"/>
      <c r="I339" s="1965"/>
      <c r="J339" s="1965"/>
      <c r="K339" s="1965"/>
      <c r="L339" s="1965"/>
      <c r="M339" s="1965"/>
      <c r="N339" s="1965"/>
      <c r="O339" s="1965"/>
      <c r="P339" s="1965"/>
      <c r="Q339" s="1965"/>
      <c r="R339" s="1965"/>
      <c r="S339" s="1965"/>
      <c r="T339" s="1965"/>
      <c r="U339" s="1965"/>
      <c r="V339" s="1933"/>
      <c r="W339" s="1933"/>
      <c r="X339" s="1933"/>
      <c r="Y339" s="1933"/>
      <c r="Z339" s="1933"/>
      <c r="AA339" s="1933"/>
      <c r="AB339" s="1933"/>
      <c r="AC339" s="1933"/>
      <c r="AD339" s="1933"/>
      <c r="AE339" s="1933"/>
      <c r="AF339" s="1933"/>
      <c r="AG339" s="1933"/>
      <c r="AH339" s="1933"/>
      <c r="AI339" s="1933"/>
      <c r="AJ339" s="1933"/>
      <c r="AK339" s="1933"/>
      <c r="AL339" s="1933"/>
      <c r="AM339" s="1933"/>
      <c r="AN339" s="1933"/>
      <c r="AO339" s="1933"/>
      <c r="AP339" s="1933"/>
      <c r="AQ339" s="1933"/>
      <c r="AR339" s="1933"/>
      <c r="AS339" s="1933"/>
      <c r="AT339" s="1933"/>
      <c r="AU339" s="1933"/>
      <c r="AV339" s="1933"/>
      <c r="AW339" s="1933"/>
      <c r="AX339" s="1933"/>
      <c r="AY339" s="1933"/>
      <c r="AZ339" s="1933"/>
      <c r="BA339" s="1933"/>
      <c r="BB339" s="1933"/>
      <c r="BC339" s="1933"/>
      <c r="BD339" s="1933"/>
      <c r="BE339" s="1933"/>
      <c r="BF339" s="1933"/>
      <c r="BG339" s="1933"/>
      <c r="BH339" s="1933"/>
      <c r="BI339" s="1933"/>
      <c r="BJ339" s="1933"/>
      <c r="BK339" s="1933"/>
      <c r="BL339" s="1933"/>
      <c r="BM339" s="1933"/>
      <c r="BN339" s="1933"/>
      <c r="BO339" s="1933"/>
      <c r="BP339" s="1933"/>
      <c r="BQ339" s="1933"/>
      <c r="BR339" s="1933"/>
      <c r="BS339" s="1933"/>
      <c r="BT339" s="1933"/>
      <c r="BU339" s="1933"/>
      <c r="BV339" s="1933"/>
      <c r="BW339" s="1933"/>
      <c r="BX339" s="1933"/>
      <c r="BY339" s="1933"/>
      <c r="BZ339" s="1933"/>
      <c r="CA339" s="1933"/>
      <c r="CB339" s="1933"/>
      <c r="CC339" s="1933"/>
      <c r="CD339" s="1933"/>
      <c r="CE339" s="227"/>
      <c r="CF339" s="227"/>
      <c r="CG339" s="227"/>
      <c r="CH339" s="227"/>
      <c r="CI339" s="1933"/>
      <c r="CJ339" s="1933"/>
      <c r="CK339" s="1933"/>
      <c r="CL339" s="1933"/>
      <c r="CM339" s="1933"/>
      <c r="CN339" s="1933"/>
      <c r="CO339" s="1933"/>
      <c r="CP339" s="1933"/>
      <c r="CQ339" s="1933"/>
      <c r="CR339" s="1933"/>
      <c r="CS339" s="1933"/>
      <c r="CT339" s="227"/>
      <c r="CU339" s="227"/>
      <c r="CV339" s="227"/>
      <c r="CW339" s="227"/>
      <c r="CX339" s="1931"/>
      <c r="CY339" s="1931"/>
      <c r="CZ339" s="1931"/>
      <c r="DA339" s="1931"/>
      <c r="DB339" s="1932"/>
      <c r="DC339" s="1931"/>
      <c r="DD339" s="1931"/>
      <c r="DE339" s="1931"/>
      <c r="DF339" s="1931"/>
    </row>
    <row r="340" spans="2:110" s="55" customFormat="1" hidden="1" outlineLevel="1" x14ac:dyDescent="0.25">
      <c r="C340" s="151"/>
      <c r="D340" s="3081" t="s">
        <v>28</v>
      </c>
      <c r="E340" s="3081" t="s">
        <v>2758</v>
      </c>
      <c r="F340" s="83" t="s">
        <v>2883</v>
      </c>
      <c r="G340" s="3081" t="s">
        <v>2884</v>
      </c>
      <c r="H340" s="3081" t="s">
        <v>2885</v>
      </c>
      <c r="I340" s="3081" t="s">
        <v>2886</v>
      </c>
      <c r="J340" s="83" t="s">
        <v>2887</v>
      </c>
      <c r="K340" s="83" t="s">
        <v>2888</v>
      </c>
      <c r="L340" s="3081" t="s">
        <v>2889</v>
      </c>
      <c r="M340" s="3081" t="s">
        <v>2890</v>
      </c>
      <c r="N340" s="401"/>
      <c r="O340" s="401"/>
      <c r="P340" s="401"/>
      <c r="Q340" s="401"/>
      <c r="R340" s="401"/>
      <c r="S340" s="401"/>
      <c r="T340" s="401"/>
      <c r="U340" s="401"/>
      <c r="DB340" s="72"/>
    </row>
    <row r="341" spans="2:110" hidden="1" outlineLevel="1" x14ac:dyDescent="0.25">
      <c r="B341" s="1931"/>
      <c r="D341" s="1967" t="str">
        <f>C331</f>
        <v>803050_2019_12_</v>
      </c>
      <c r="E341" s="1967" t="str">
        <f>E331</f>
        <v>Learning Thermostat</v>
      </c>
      <c r="F341" s="1371">
        <v>10</v>
      </c>
      <c r="G341" s="1357">
        <v>1053</v>
      </c>
      <c r="H341" s="1372">
        <v>12000</v>
      </c>
      <c r="I341" s="1373">
        <v>0.16250000000000001</v>
      </c>
      <c r="J341" s="1357">
        <v>1060</v>
      </c>
      <c r="K341" s="1353">
        <v>2</v>
      </c>
      <c r="L341" s="1372">
        <v>12000</v>
      </c>
      <c r="M341" s="1373">
        <v>0.125</v>
      </c>
      <c r="N341" s="1965"/>
      <c r="O341" s="1965"/>
      <c r="P341" s="1965"/>
      <c r="Q341" s="1965"/>
      <c r="R341" s="1965"/>
      <c r="S341" s="1965"/>
      <c r="T341" s="1965"/>
      <c r="U341" s="1965"/>
      <c r="V341" s="1931"/>
      <c r="W341" s="1931"/>
      <c r="X341" s="1931"/>
      <c r="Y341" s="1931"/>
      <c r="Z341" s="1931"/>
      <c r="AA341" s="1931"/>
      <c r="AB341" s="1931"/>
      <c r="AC341" s="1931"/>
      <c r="AD341" s="1931"/>
      <c r="AE341" s="1931"/>
      <c r="AF341" s="1931"/>
      <c r="AG341" s="1931"/>
      <c r="AH341" s="1931"/>
      <c r="AI341" s="1931"/>
      <c r="AJ341" s="1931"/>
      <c r="AK341" s="1931"/>
      <c r="AL341" s="1931"/>
      <c r="AM341" s="1931"/>
      <c r="AN341" s="1931"/>
      <c r="AO341" s="1931"/>
      <c r="AP341" s="1931"/>
      <c r="AQ341" s="1931"/>
      <c r="AR341" s="1931"/>
      <c r="AS341" s="1931"/>
      <c r="AT341" s="1931"/>
      <c r="AU341" s="1931"/>
      <c r="AV341" s="1931"/>
      <c r="AW341" s="1931"/>
      <c r="AX341" s="1931"/>
      <c r="AY341" s="1931"/>
      <c r="AZ341" s="1931"/>
      <c r="BA341" s="1931"/>
      <c r="BB341" s="1931"/>
      <c r="BC341" s="1931"/>
      <c r="BD341" s="1931"/>
      <c r="BE341" s="1931"/>
      <c r="BF341" s="1931"/>
      <c r="BG341" s="1931"/>
      <c r="BH341" s="1931"/>
      <c r="BI341" s="1931"/>
      <c r="BJ341" s="1931"/>
      <c r="BK341" s="1931"/>
      <c r="BL341" s="1931"/>
      <c r="BM341" s="1931"/>
      <c r="BN341" s="1931"/>
      <c r="BO341" s="1931"/>
      <c r="BP341" s="1931"/>
      <c r="BQ341" s="1931"/>
      <c r="BR341" s="1931"/>
      <c r="BS341" s="1931"/>
      <c r="BT341" s="1931"/>
      <c r="BU341" s="1931"/>
      <c r="BV341" s="1931"/>
      <c r="BW341" s="1931"/>
      <c r="BX341" s="1931"/>
      <c r="BY341" s="1931"/>
      <c r="BZ341" s="1931"/>
      <c r="CA341" s="1931"/>
      <c r="CB341" s="1931"/>
      <c r="CC341" s="1931"/>
      <c r="CD341" s="1931"/>
      <c r="CE341" s="1930"/>
      <c r="CF341" s="1930"/>
      <c r="CG341" s="1930"/>
      <c r="CH341" s="1930"/>
      <c r="CI341" s="1931"/>
      <c r="CJ341" s="1931"/>
      <c r="CK341" s="1931"/>
      <c r="CL341" s="1931"/>
      <c r="CM341" s="1931"/>
      <c r="CN341" s="1931"/>
      <c r="CO341" s="1931"/>
      <c r="CP341" s="1931"/>
      <c r="CQ341" s="1931"/>
      <c r="CR341" s="1931"/>
      <c r="CS341" s="1931"/>
      <c r="CT341" s="1930"/>
      <c r="CU341" s="1930"/>
      <c r="CV341" s="1930"/>
      <c r="CW341" s="1930"/>
      <c r="CX341" s="1931"/>
      <c r="CY341" s="1931"/>
      <c r="CZ341" s="1931"/>
      <c r="DA341" s="1931"/>
      <c r="DB341" s="1932"/>
      <c r="DC341" s="1931"/>
      <c r="DD341" s="1931"/>
      <c r="DE341" s="1931"/>
      <c r="DF341" s="1931"/>
    </row>
    <row r="342" spans="2:110" collapsed="1" x14ac:dyDescent="0.25">
      <c r="B342" s="1931"/>
      <c r="D342" s="1966"/>
      <c r="E342" s="1965"/>
      <c r="F342" s="1965"/>
      <c r="G342" s="1968"/>
      <c r="H342" s="1969"/>
      <c r="I342" s="1965"/>
      <c r="J342" s="1965"/>
      <c r="K342" s="1965"/>
      <c r="L342" s="1965"/>
      <c r="M342" s="1965"/>
      <c r="N342" s="1965"/>
      <c r="O342" s="1965"/>
      <c r="P342" s="1965"/>
      <c r="Q342" s="1965"/>
      <c r="R342" s="1965"/>
      <c r="S342" s="1965"/>
      <c r="T342" s="1965"/>
      <c r="U342" s="1965"/>
      <c r="V342" s="1931"/>
      <c r="W342" s="1931"/>
      <c r="X342" s="1931"/>
      <c r="Y342" s="1931"/>
      <c r="Z342" s="1931"/>
      <c r="AA342" s="1931"/>
      <c r="AB342" s="1931"/>
      <c r="AC342" s="1931"/>
      <c r="AD342" s="1931"/>
      <c r="AE342" s="1931"/>
      <c r="AF342" s="1931"/>
      <c r="AG342" s="1931"/>
      <c r="AH342" s="1931"/>
      <c r="AI342" s="1931"/>
      <c r="AJ342" s="1931"/>
      <c r="AK342" s="1931"/>
      <c r="AL342" s="1931"/>
      <c r="AM342" s="1931"/>
      <c r="AN342" s="1931"/>
      <c r="AO342" s="1931"/>
      <c r="AP342" s="1931"/>
      <c r="AQ342" s="1931"/>
      <c r="AR342" s="1931"/>
      <c r="AS342" s="1931"/>
      <c r="AT342" s="1931"/>
      <c r="AU342" s="1931"/>
      <c r="AV342" s="1931"/>
      <c r="AW342" s="1931"/>
      <c r="AX342" s="1931"/>
      <c r="AY342" s="1931"/>
      <c r="AZ342" s="1931"/>
      <c r="BA342" s="1931"/>
      <c r="BB342" s="1931"/>
      <c r="BC342" s="1931"/>
      <c r="BD342" s="1931"/>
      <c r="BE342" s="1931"/>
      <c r="BF342" s="1931"/>
      <c r="BG342" s="1931"/>
      <c r="BH342" s="1931"/>
      <c r="BI342" s="1931"/>
      <c r="BJ342" s="1931"/>
      <c r="BK342" s="1931"/>
      <c r="BL342" s="1931"/>
      <c r="BM342" s="1931"/>
      <c r="BN342" s="1931"/>
      <c r="BO342" s="1931"/>
      <c r="BP342" s="1931"/>
      <c r="BQ342" s="1931"/>
      <c r="BR342" s="1931"/>
      <c r="BS342" s="1931"/>
      <c r="BT342" s="1931"/>
      <c r="BU342" s="1931"/>
      <c r="BV342" s="1931"/>
      <c r="BW342" s="1931"/>
      <c r="BX342" s="1931"/>
      <c r="BY342" s="1931"/>
      <c r="BZ342" s="1931"/>
      <c r="CA342" s="1931"/>
      <c r="CB342" s="1931"/>
      <c r="CC342" s="1931"/>
      <c r="CD342" s="1931"/>
      <c r="CE342" s="1930"/>
      <c r="CF342" s="1930"/>
      <c r="CG342" s="1930"/>
      <c r="CH342" s="1930"/>
      <c r="CI342" s="1931"/>
      <c r="CJ342" s="1931"/>
      <c r="CK342" s="1931"/>
      <c r="CL342" s="1931"/>
      <c r="CM342" s="1931"/>
      <c r="CN342" s="1931"/>
      <c r="CO342" s="1931"/>
      <c r="CP342" s="1931"/>
      <c r="CQ342" s="1931"/>
      <c r="CR342" s="1931"/>
      <c r="CS342" s="1931"/>
      <c r="CT342" s="1930"/>
      <c r="CU342" s="1930"/>
      <c r="CV342" s="1930"/>
      <c r="CW342" s="1930"/>
      <c r="CX342" s="1931"/>
      <c r="CY342" s="1931"/>
      <c r="CZ342" s="1931"/>
      <c r="DA342" s="1931"/>
      <c r="DB342" s="1932"/>
      <c r="DC342" s="1931"/>
      <c r="DD342" s="1931"/>
      <c r="DE342" s="1931"/>
      <c r="DF342" s="1931"/>
    </row>
    <row r="344" spans="2:110" s="44" customFormat="1" ht="30" x14ac:dyDescent="0.25">
      <c r="B344" s="45"/>
      <c r="C344" s="46" t="s">
        <v>28</v>
      </c>
      <c r="D344" s="46" t="s">
        <v>29</v>
      </c>
      <c r="E344" s="3196" t="s">
        <v>30</v>
      </c>
      <c r="F344" s="3196" t="s">
        <v>2832</v>
      </c>
      <c r="G344" s="3196" t="s">
        <v>176</v>
      </c>
      <c r="H344" s="3196" t="s">
        <v>177</v>
      </c>
      <c r="I344" s="3196" t="s">
        <v>32</v>
      </c>
      <c r="J344" s="3196" t="s">
        <v>181</v>
      </c>
      <c r="K344" s="3196" t="s">
        <v>2891</v>
      </c>
      <c r="L344" s="46" t="s">
        <v>44</v>
      </c>
      <c r="M344" s="1965"/>
      <c r="N344" s="1965"/>
      <c r="O344" s="1965"/>
      <c r="P344" s="1288"/>
      <c r="Q344" s="1288"/>
      <c r="R344" s="1288"/>
      <c r="S344" s="1288"/>
      <c r="T344" s="1288"/>
      <c r="U344" s="1288"/>
      <c r="V344" s="1936" t="s">
        <v>45</v>
      </c>
      <c r="W344" s="1937">
        <f>$W$8</f>
        <v>43252</v>
      </c>
      <c r="X344" s="1937">
        <f>$X$8</f>
        <v>43465</v>
      </c>
      <c r="Y344" s="1937">
        <f>$Y$8</f>
        <v>43800</v>
      </c>
      <c r="Z344" s="1937">
        <f>$Z$8</f>
        <v>43862</v>
      </c>
      <c r="AA344" s="1937">
        <f>$AA$8</f>
        <v>44013</v>
      </c>
      <c r="AB344" s="1937">
        <v>44166</v>
      </c>
      <c r="AC344" s="1937">
        <f>$AC$8</f>
        <v>44531</v>
      </c>
      <c r="AD344" s="1937" t="str">
        <f>$AD$8</f>
        <v>-</v>
      </c>
      <c r="AE344" s="1937" t="str">
        <f>$AE$8</f>
        <v>-</v>
      </c>
      <c r="AF344" s="1937" t="str">
        <f>$AF$8</f>
        <v>-</v>
      </c>
      <c r="AG344" s="1937" t="str">
        <f>$AG$8</f>
        <v>-</v>
      </c>
      <c r="AH344" s="1930"/>
      <c r="AI344" s="1936" t="s">
        <v>45</v>
      </c>
      <c r="AJ344" s="1937">
        <v>43252</v>
      </c>
      <c r="AK344" s="1937">
        <f>$X$8</f>
        <v>43465</v>
      </c>
      <c r="AL344" s="1937">
        <f>$Y$8</f>
        <v>43800</v>
      </c>
      <c r="AM344" s="1937">
        <f>$Z$8</f>
        <v>43862</v>
      </c>
      <c r="AN344" s="1937">
        <f>$AA$8</f>
        <v>44013</v>
      </c>
      <c r="AO344" s="1937">
        <f>$AB$8</f>
        <v>44166</v>
      </c>
      <c r="AP344" s="1937">
        <f>$AC$8</f>
        <v>44531</v>
      </c>
      <c r="AQ344" s="1937" t="str">
        <f>$AD$8</f>
        <v>-</v>
      </c>
      <c r="AR344" s="1937" t="str">
        <f>$AE$8</f>
        <v>-</v>
      </c>
      <c r="AS344" s="1937" t="str">
        <f>$AF$8</f>
        <v>-</v>
      </c>
      <c r="AT344" s="1933"/>
      <c r="AU344" s="1936" t="s">
        <v>45</v>
      </c>
      <c r="AV344" s="1937">
        <v>43252</v>
      </c>
      <c r="AW344" s="1937">
        <f>$X$8</f>
        <v>43465</v>
      </c>
      <c r="AX344" s="1937">
        <f>$Y$8</f>
        <v>43800</v>
      </c>
      <c r="AY344" s="1937">
        <f>$Z$8</f>
        <v>43862</v>
      </c>
      <c r="AZ344" s="1937">
        <f>$AA$8</f>
        <v>44013</v>
      </c>
      <c r="BA344" s="1937">
        <v>44166</v>
      </c>
      <c r="BB344" s="1937">
        <f>$AC$8</f>
        <v>44531</v>
      </c>
      <c r="BC344" s="1937" t="str">
        <f>$AD$8</f>
        <v>-</v>
      </c>
      <c r="BD344" s="1937" t="str">
        <f>$AE$8</f>
        <v>-</v>
      </c>
      <c r="BE344" s="1937" t="str">
        <f>$AF$8</f>
        <v>-</v>
      </c>
      <c r="DB344" s="1938" t="str">
        <f>$DB$8</f>
        <v>TRC (2020)</v>
      </c>
      <c r="DC344" s="1953" t="str">
        <f>$DC$8</f>
        <v>Benefit Lookup</v>
      </c>
      <c r="DD344" s="1953" t="str">
        <f>$DD$8</f>
        <v>Benefits (2019 $)</v>
      </c>
      <c r="DE344" s="1953" t="str">
        <f>$DE$8</f>
        <v>Incremental Cost (2019 $)</v>
      </c>
    </row>
    <row r="345" spans="2:110" x14ac:dyDescent="0.25">
      <c r="B345" s="1931"/>
      <c r="C345" s="2462" t="s">
        <v>2892</v>
      </c>
      <c r="D345" s="1363" t="s">
        <v>2646</v>
      </c>
      <c r="E345" s="1987" t="s">
        <v>2893</v>
      </c>
      <c r="F345" s="64">
        <f>ROUND((F358/G358)*H358*I358,2)</f>
        <v>1289.6400000000001</v>
      </c>
      <c r="G345" s="1290" t="s">
        <v>2881</v>
      </c>
      <c r="H345" s="1291">
        <f>VLOOKUP(G345,'CP FACTORS'!$A$26:$B$38,2,FALSE)</f>
        <v>9.1068400000000004E-4</v>
      </c>
      <c r="I345" s="1309">
        <f>ROUND(H345*F345,6)</f>
        <v>1.174455</v>
      </c>
      <c r="J345" s="1354">
        <v>15</v>
      </c>
      <c r="K345" s="1310">
        <v>179</v>
      </c>
      <c r="L345" s="1374" t="s">
        <v>2894</v>
      </c>
      <c r="M345" s="1965"/>
      <c r="N345" s="1965"/>
      <c r="O345" s="1965"/>
      <c r="P345" s="1965"/>
      <c r="Q345" s="1965"/>
      <c r="R345" s="1965"/>
      <c r="S345" s="1965"/>
      <c r="T345" s="1965"/>
      <c r="U345" s="1965"/>
      <c r="V345" s="3226" t="str">
        <f>F344</f>
        <v>kWh Annual Savings (per HP)</v>
      </c>
      <c r="W345" s="1947">
        <v>1289.6420430107526</v>
      </c>
      <c r="X345" s="1947">
        <v>1289.6420430107526</v>
      </c>
      <c r="Y345" s="1947">
        <v>1289.6420430107526</v>
      </c>
      <c r="Z345" s="1947">
        <v>1289.6420430107526</v>
      </c>
      <c r="AA345" s="1947">
        <v>1289.6420430107526</v>
      </c>
      <c r="AB345" s="2002">
        <v>1289.6400000000001</v>
      </c>
      <c r="AC345" s="3364">
        <v>1289.6400000000001</v>
      </c>
      <c r="AD345" s="1941"/>
      <c r="AE345" s="1941"/>
      <c r="AF345" s="1941"/>
      <c r="AG345" s="1941"/>
      <c r="AH345" s="1942"/>
      <c r="AI345" s="3226" t="s">
        <v>181</v>
      </c>
      <c r="AJ345" s="1943">
        <v>15</v>
      </c>
      <c r="AK345" s="1943">
        <v>15</v>
      </c>
      <c r="AL345" s="1943">
        <v>15</v>
      </c>
      <c r="AM345" s="1943">
        <v>15</v>
      </c>
      <c r="AN345" s="1943">
        <v>15</v>
      </c>
      <c r="AO345" s="2095">
        <v>15</v>
      </c>
      <c r="AP345" s="2095">
        <v>15</v>
      </c>
      <c r="AQ345" s="1941"/>
      <c r="AR345" s="1941"/>
      <c r="AS345" s="1941"/>
      <c r="AT345" s="1933"/>
      <c r="AU345" s="3226" t="str">
        <f>K344</f>
        <v>Inc. Cost (per HP)</v>
      </c>
      <c r="AV345" s="1957">
        <v>179</v>
      </c>
      <c r="AW345" s="1957">
        <v>179</v>
      </c>
      <c r="AX345" s="1957">
        <v>179</v>
      </c>
      <c r="AY345" s="1957">
        <v>179</v>
      </c>
      <c r="AZ345" s="1957">
        <v>179</v>
      </c>
      <c r="BA345" s="1998">
        <v>179</v>
      </c>
      <c r="BB345" s="1998">
        <v>179</v>
      </c>
      <c r="BC345" s="1941"/>
      <c r="BD345" s="1941"/>
      <c r="BE345" s="1941"/>
      <c r="BF345" s="1931"/>
      <c r="BG345" s="1931"/>
      <c r="BH345" s="1931"/>
      <c r="BI345" s="1931"/>
      <c r="BJ345" s="1931"/>
      <c r="BK345" s="1931"/>
      <c r="BL345" s="1931"/>
      <c r="BM345" s="1931"/>
      <c r="BN345" s="1931"/>
      <c r="BO345" s="1931"/>
      <c r="BP345" s="1931"/>
      <c r="BQ345" s="1931"/>
      <c r="BR345" s="1931"/>
      <c r="BS345" s="1931"/>
      <c r="BT345" s="1931"/>
      <c r="BU345" s="1931"/>
      <c r="BV345" s="1931"/>
      <c r="BW345" s="1931"/>
      <c r="BX345" s="1931"/>
      <c r="BY345" s="1931"/>
      <c r="BZ345" s="1931"/>
      <c r="CA345" s="1931"/>
      <c r="CB345" s="1931"/>
      <c r="CC345" s="1931"/>
      <c r="CD345" s="1931"/>
      <c r="CE345" s="1930"/>
      <c r="CF345" s="1930"/>
      <c r="CG345" s="1930"/>
      <c r="CH345" s="1930"/>
      <c r="CI345" s="1931"/>
      <c r="CJ345" s="1931"/>
      <c r="CK345" s="1931"/>
      <c r="CL345" s="1931"/>
      <c r="CM345" s="1931"/>
      <c r="CN345" s="1931"/>
      <c r="CO345" s="1931"/>
      <c r="CP345" s="1931"/>
      <c r="CQ345" s="1931"/>
      <c r="CR345" s="1931"/>
      <c r="CS345" s="1931"/>
      <c r="CT345" s="1930"/>
      <c r="CU345" s="1930"/>
      <c r="CV345" s="1930"/>
      <c r="CW345" s="1930"/>
      <c r="CX345" s="1931"/>
      <c r="CY345" s="1931"/>
      <c r="CZ345" s="1931"/>
      <c r="DA345" s="1931"/>
      <c r="DB345" s="1945">
        <f>(DD345)/(DE345)</f>
        <v>10.881786166946494</v>
      </c>
      <c r="DC345" s="3166" t="str">
        <f>CONCATENATE(G345," ",J345," Year EUL")</f>
        <v>Cooling BUS 15 Year EUL</v>
      </c>
      <c r="DD345" s="69">
        <f>(INDEX('Avoided Cost Benefits'!$C$4:$C$857,MATCH(DC345,'Avoided Cost Benefits'!$A$4:$A$857,0)))*F345</f>
        <v>1838.4518394369252</v>
      </c>
      <c r="DE345" s="1946">
        <f>K345/(1.0595^(2020-2019))</f>
        <v>168.94761680037752</v>
      </c>
    </row>
    <row r="346" spans="2:110" x14ac:dyDescent="0.25">
      <c r="B346" s="1931"/>
      <c r="C346" s="2462" t="s">
        <v>2895</v>
      </c>
      <c r="D346" s="1363" t="s">
        <v>2646</v>
      </c>
      <c r="E346" s="1987" t="s">
        <v>2896</v>
      </c>
      <c r="F346" s="64">
        <f>ROUND((F359/G359)*H359*I359,2)</f>
        <v>1696.57</v>
      </c>
      <c r="G346" s="1290" t="s">
        <v>2897</v>
      </c>
      <c r="H346" s="1291">
        <f>VLOOKUP(G346,'CP FACTORS'!$A$26:$B$38,2,FALSE)</f>
        <v>4.4398300000000001E-4</v>
      </c>
      <c r="I346" s="1309">
        <f>ROUND(H346*F346,6)</f>
        <v>0.75324800000000003</v>
      </c>
      <c r="J346" s="1354">
        <v>15</v>
      </c>
      <c r="K346" s="1310">
        <f>K345</f>
        <v>179</v>
      </c>
      <c r="L346" s="1374" t="s">
        <v>2894</v>
      </c>
      <c r="M346" s="1965"/>
      <c r="N346" s="1965"/>
      <c r="O346" s="1965"/>
      <c r="P346" s="1965"/>
      <c r="Q346" s="1965"/>
      <c r="R346" s="1965"/>
      <c r="S346" s="1965"/>
      <c r="T346" s="1965"/>
      <c r="U346" s="1965"/>
      <c r="V346" s="3226" t="str">
        <f>V345</f>
        <v>kWh Annual Savings (per HP)</v>
      </c>
      <c r="W346" s="1947">
        <v>1696.5749462365593</v>
      </c>
      <c r="X346" s="1947">
        <v>1696.5749462365593</v>
      </c>
      <c r="Y346" s="1947">
        <v>1696.5749462365593</v>
      </c>
      <c r="Z346" s="1947">
        <v>1696.5749462365593</v>
      </c>
      <c r="AA346" s="1947">
        <v>1696.5749462365593</v>
      </c>
      <c r="AB346" s="2002">
        <v>1696.57</v>
      </c>
      <c r="AC346" s="3364">
        <v>1696.57</v>
      </c>
      <c r="AD346" s="1941"/>
      <c r="AE346" s="1941"/>
      <c r="AF346" s="1941"/>
      <c r="AG346" s="1941"/>
      <c r="AH346" s="1942"/>
      <c r="AI346" s="3226" t="s">
        <v>181</v>
      </c>
      <c r="AJ346" s="1943">
        <v>15</v>
      </c>
      <c r="AK346" s="1943">
        <v>15</v>
      </c>
      <c r="AL346" s="1943">
        <v>15</v>
      </c>
      <c r="AM346" s="1943">
        <v>15</v>
      </c>
      <c r="AN346" s="1943">
        <v>15</v>
      </c>
      <c r="AO346" s="2095">
        <v>15</v>
      </c>
      <c r="AP346" s="2095">
        <v>15</v>
      </c>
      <c r="AQ346" s="1941"/>
      <c r="AR346" s="1941"/>
      <c r="AS346" s="1941"/>
      <c r="AT346" s="1933"/>
      <c r="AU346" s="3226" t="str">
        <f>AU345</f>
        <v>Inc. Cost (per HP)</v>
      </c>
      <c r="AV346" s="1957">
        <f>AV345</f>
        <v>179</v>
      </c>
      <c r="AW346" s="1957">
        <f>AW345</f>
        <v>179</v>
      </c>
      <c r="AX346" s="1957">
        <v>179</v>
      </c>
      <c r="AY346" s="1957">
        <v>179</v>
      </c>
      <c r="AZ346" s="1957">
        <v>179</v>
      </c>
      <c r="BA346" s="1998">
        <v>179</v>
      </c>
      <c r="BB346" s="1998">
        <v>179</v>
      </c>
      <c r="BC346" s="1941"/>
      <c r="BD346" s="1941"/>
      <c r="BE346" s="1941"/>
      <c r="BF346" s="1931"/>
      <c r="BG346" s="1931"/>
      <c r="BH346" s="1931"/>
      <c r="BI346" s="1931"/>
      <c r="BJ346" s="1931"/>
      <c r="BK346" s="1931"/>
      <c r="BL346" s="1931"/>
      <c r="BM346" s="1931"/>
      <c r="BN346" s="1931"/>
      <c r="BO346" s="1931"/>
      <c r="BP346" s="1931"/>
      <c r="BQ346" s="1931"/>
      <c r="BR346" s="1931"/>
      <c r="BS346" s="1931"/>
      <c r="BT346" s="1931"/>
      <c r="BU346" s="1931"/>
      <c r="BV346" s="1931"/>
      <c r="BW346" s="1931"/>
      <c r="BX346" s="1931"/>
      <c r="BY346" s="1931"/>
      <c r="BZ346" s="1931"/>
      <c r="CA346" s="1931"/>
      <c r="CB346" s="1931"/>
      <c r="CC346" s="1931"/>
      <c r="CD346" s="1931"/>
      <c r="CE346" s="1930"/>
      <c r="CF346" s="1930"/>
      <c r="CG346" s="1930"/>
      <c r="CH346" s="1930"/>
      <c r="CI346" s="1931"/>
      <c r="CJ346" s="1931"/>
      <c r="CK346" s="1931"/>
      <c r="CL346" s="1931"/>
      <c r="CM346" s="1931"/>
      <c r="CN346" s="1931"/>
      <c r="CO346" s="1931"/>
      <c r="CP346" s="1931"/>
      <c r="CQ346" s="1931"/>
      <c r="CR346" s="1931"/>
      <c r="CS346" s="1931"/>
      <c r="CT346" s="1930"/>
      <c r="CU346" s="1930"/>
      <c r="CV346" s="1930"/>
      <c r="CW346" s="1930"/>
      <c r="CX346" s="1931"/>
      <c r="CY346" s="1931"/>
      <c r="CZ346" s="1931"/>
      <c r="DA346" s="1931"/>
      <c r="DB346" s="53">
        <f>(DD346)/(DE346)</f>
        <v>9.0833950189584112</v>
      </c>
      <c r="DC346" s="1948" t="str">
        <f>CONCATENATE(G346," ",J346," Year EUL")</f>
        <v>HVAC BUS 15 Year EUL</v>
      </c>
      <c r="DD346" s="71">
        <f>(INDEX('Avoided Cost Benefits'!$C$4:$C$857,MATCH(DC346,'Avoided Cost Benefits'!$A$4:$A$857,0)))*F346</f>
        <v>1534.6179409094434</v>
      </c>
      <c r="DE346" s="1950">
        <f>K346/(1.0595^(2020-2019))</f>
        <v>168.94761680037752</v>
      </c>
    </row>
    <row r="347" spans="2:110" x14ac:dyDescent="0.25">
      <c r="B347" s="1931"/>
      <c r="C347" s="2462" t="s">
        <v>2898</v>
      </c>
      <c r="D347" s="1363" t="s">
        <v>2646</v>
      </c>
      <c r="E347" s="1987" t="s">
        <v>2899</v>
      </c>
      <c r="F347" s="64">
        <f t="shared" ref="F347:F348" si="156">ROUND((F360/G360)*H360*I360,2)</f>
        <v>1289.6400000000001</v>
      </c>
      <c r="G347" s="1290" t="s">
        <v>2881</v>
      </c>
      <c r="H347" s="1291">
        <f>VLOOKUP(G347,'CP FACTORS'!$A$26:$B$38,2,FALSE)</f>
        <v>9.1068400000000004E-4</v>
      </c>
      <c r="I347" s="1309">
        <f t="shared" ref="I347:I348" si="157">ROUND(H347*F347,6)</f>
        <v>1.174455</v>
      </c>
      <c r="J347" s="1354">
        <v>15</v>
      </c>
      <c r="K347" s="1310">
        <v>179</v>
      </c>
      <c r="L347" s="1374" t="s">
        <v>2894</v>
      </c>
      <c r="M347" s="1965"/>
      <c r="N347" s="1965"/>
      <c r="O347" s="1965"/>
      <c r="P347" s="1965"/>
      <c r="Q347" s="1965"/>
      <c r="R347" s="1965"/>
      <c r="S347" s="1965"/>
      <c r="T347" s="1965"/>
      <c r="U347" s="1965"/>
      <c r="V347" s="3226" t="str">
        <f t="shared" ref="V347:V348" si="158">V346</f>
        <v>kWh Annual Savings (per HP)</v>
      </c>
      <c r="W347" s="1947"/>
      <c r="X347" s="1947"/>
      <c r="Y347" s="1947"/>
      <c r="Z347" s="1941"/>
      <c r="AA347" s="1958">
        <v>1289.6400000000001</v>
      </c>
      <c r="AB347" s="2002">
        <v>1289.6400000000001</v>
      </c>
      <c r="AC347" s="3364">
        <v>1289.6400000000001</v>
      </c>
      <c r="AD347" s="1941"/>
      <c r="AE347" s="1941"/>
      <c r="AF347" s="1941"/>
      <c r="AG347" s="1941"/>
      <c r="AH347" s="1942"/>
      <c r="AI347" s="3226" t="s">
        <v>181</v>
      </c>
      <c r="AJ347" s="1943"/>
      <c r="AK347" s="1943"/>
      <c r="AL347" s="1943"/>
      <c r="AM347" s="1941"/>
      <c r="AN347" s="101">
        <v>15</v>
      </c>
      <c r="AO347" s="2095">
        <v>15</v>
      </c>
      <c r="AP347" s="2095">
        <v>15</v>
      </c>
      <c r="AQ347" s="1941"/>
      <c r="AR347" s="1941"/>
      <c r="AS347" s="1941"/>
      <c r="AT347" s="1933"/>
      <c r="AU347" s="3226" t="str">
        <f t="shared" ref="AU347:AU348" si="159">AU346</f>
        <v>Inc. Cost (per HP)</v>
      </c>
      <c r="AV347" s="1957"/>
      <c r="AW347" s="1957"/>
      <c r="AX347" s="1957"/>
      <c r="AY347" s="1941"/>
      <c r="AZ347" s="1928">
        <v>179</v>
      </c>
      <c r="BA347" s="1998">
        <v>179</v>
      </c>
      <c r="BB347" s="1998">
        <v>179</v>
      </c>
      <c r="BC347" s="1941"/>
      <c r="BD347" s="1941"/>
      <c r="BE347" s="1941"/>
      <c r="BF347" s="1931"/>
      <c r="BG347" s="1931"/>
      <c r="BH347" s="1931"/>
      <c r="BI347" s="1931"/>
      <c r="BJ347" s="1931"/>
      <c r="BK347" s="1931"/>
      <c r="BL347" s="1931"/>
      <c r="BM347" s="1931"/>
      <c r="BN347" s="1931"/>
      <c r="BO347" s="1931"/>
      <c r="BP347" s="1931"/>
      <c r="BQ347" s="1931"/>
      <c r="BR347" s="1931"/>
      <c r="BS347" s="1931"/>
      <c r="BT347" s="1931"/>
      <c r="BU347" s="1931"/>
      <c r="BV347" s="1931"/>
      <c r="BW347" s="1931"/>
      <c r="BX347" s="1931"/>
      <c r="BY347" s="1931"/>
      <c r="BZ347" s="1931"/>
      <c r="CA347" s="1931"/>
      <c r="CB347" s="1931"/>
      <c r="CC347" s="1931"/>
      <c r="CD347" s="1931"/>
      <c r="CE347" s="1930"/>
      <c r="CF347" s="1930"/>
      <c r="CG347" s="1930"/>
      <c r="CH347" s="1930"/>
      <c r="CI347" s="1931"/>
      <c r="CJ347" s="1931"/>
      <c r="CK347" s="1931"/>
      <c r="CL347" s="1931"/>
      <c r="CM347" s="1931"/>
      <c r="CN347" s="1931"/>
      <c r="CO347" s="1931"/>
      <c r="CP347" s="1931"/>
      <c r="CQ347" s="1931"/>
      <c r="CR347" s="1931"/>
      <c r="CS347" s="1931"/>
      <c r="CT347" s="1930"/>
      <c r="CU347" s="1930"/>
      <c r="CV347" s="1930"/>
      <c r="CW347" s="1930"/>
      <c r="CX347" s="1931"/>
      <c r="CY347" s="1931"/>
      <c r="CZ347" s="1931"/>
      <c r="DA347" s="1931"/>
      <c r="DB347" s="1945">
        <f>(DD347)/(DE347)</f>
        <v>10.881786166946494</v>
      </c>
      <c r="DC347" s="3166" t="str">
        <f>CONCATENATE(G347," ",J347," Year EUL")</f>
        <v>Cooling BUS 15 Year EUL</v>
      </c>
      <c r="DD347" s="69">
        <f>(INDEX('Avoided Cost Benefits'!$C$4:$C$857,MATCH(DC347,'Avoided Cost Benefits'!$A$4:$A$857,0)))*F347</f>
        <v>1838.4518394369252</v>
      </c>
      <c r="DE347" s="1946">
        <f>K347/(1.0595^(2020-2019))</f>
        <v>168.94761680037752</v>
      </c>
    </row>
    <row r="348" spans="2:110" x14ac:dyDescent="0.25">
      <c r="B348" s="1931"/>
      <c r="C348" s="2462" t="s">
        <v>2900</v>
      </c>
      <c r="D348" s="1363" t="s">
        <v>2646</v>
      </c>
      <c r="E348" s="1987" t="s">
        <v>2901</v>
      </c>
      <c r="F348" s="64">
        <f t="shared" si="156"/>
        <v>479.48</v>
      </c>
      <c r="G348" s="1290" t="s">
        <v>2897</v>
      </c>
      <c r="H348" s="1291">
        <f>VLOOKUP(G348,'CP FACTORS'!$A$26:$B$38,2,FALSE)</f>
        <v>4.4398300000000001E-4</v>
      </c>
      <c r="I348" s="1309">
        <f t="shared" si="157"/>
        <v>0.21288099999999999</v>
      </c>
      <c r="J348" s="1354">
        <v>15</v>
      </c>
      <c r="K348" s="1310">
        <v>179</v>
      </c>
      <c r="L348" s="1374" t="s">
        <v>2894</v>
      </c>
      <c r="M348" s="1965"/>
      <c r="N348" s="1965"/>
      <c r="O348" s="1965"/>
      <c r="P348" s="1965"/>
      <c r="Q348" s="1965"/>
      <c r="R348" s="1965"/>
      <c r="S348" s="1965"/>
      <c r="T348" s="1965"/>
      <c r="U348" s="1965"/>
      <c r="V348" s="3226" t="str">
        <f t="shared" si="158"/>
        <v>kWh Annual Savings (per HP)</v>
      </c>
      <c r="W348" s="1947"/>
      <c r="X348" s="1947"/>
      <c r="Y348" s="1947"/>
      <c r="Z348" s="1941"/>
      <c r="AA348" s="1958">
        <v>479.48</v>
      </c>
      <c r="AB348" s="2002">
        <v>479.48</v>
      </c>
      <c r="AC348" s="3364">
        <v>479.48</v>
      </c>
      <c r="AD348" s="1941"/>
      <c r="AE348" s="1941"/>
      <c r="AF348" s="1941"/>
      <c r="AG348" s="1941"/>
      <c r="AH348" s="1942"/>
      <c r="AI348" s="3226" t="s">
        <v>181</v>
      </c>
      <c r="AJ348" s="1943"/>
      <c r="AK348" s="1943"/>
      <c r="AL348" s="1943"/>
      <c r="AM348" s="1941"/>
      <c r="AN348" s="101">
        <v>15</v>
      </c>
      <c r="AO348" s="2095">
        <v>15</v>
      </c>
      <c r="AP348" s="2095">
        <v>15</v>
      </c>
      <c r="AQ348" s="1941"/>
      <c r="AR348" s="1941"/>
      <c r="AS348" s="1941"/>
      <c r="AT348" s="1933"/>
      <c r="AU348" s="3226" t="str">
        <f t="shared" si="159"/>
        <v>Inc. Cost (per HP)</v>
      </c>
      <c r="AV348" s="1957"/>
      <c r="AW348" s="1957"/>
      <c r="AX348" s="1957"/>
      <c r="AY348" s="1941"/>
      <c r="AZ348" s="1928">
        <v>179</v>
      </c>
      <c r="BA348" s="1998">
        <v>179</v>
      </c>
      <c r="BB348" s="1998">
        <v>179</v>
      </c>
      <c r="BC348" s="1941"/>
      <c r="BD348" s="1941"/>
      <c r="BE348" s="1941"/>
      <c r="BF348" s="1931"/>
      <c r="BG348" s="1931"/>
      <c r="BH348" s="1931"/>
      <c r="BI348" s="1931"/>
      <c r="BJ348" s="1931"/>
      <c r="BK348" s="1931"/>
      <c r="BL348" s="1931"/>
      <c r="BM348" s="1931"/>
      <c r="BN348" s="1931"/>
      <c r="BO348" s="1931"/>
      <c r="BP348" s="1931"/>
      <c r="BQ348" s="1931"/>
      <c r="BR348" s="1931"/>
      <c r="BS348" s="1931"/>
      <c r="BT348" s="1931"/>
      <c r="BU348" s="1931"/>
      <c r="BV348" s="1931"/>
      <c r="BW348" s="1931"/>
      <c r="BX348" s="1931"/>
      <c r="BY348" s="1931"/>
      <c r="BZ348" s="1931"/>
      <c r="CA348" s="1931"/>
      <c r="CB348" s="1931"/>
      <c r="CC348" s="1931"/>
      <c r="CD348" s="1931"/>
      <c r="CE348" s="1930"/>
      <c r="CF348" s="1930"/>
      <c r="CG348" s="1930"/>
      <c r="CH348" s="1930"/>
      <c r="CI348" s="1931"/>
      <c r="CJ348" s="1931"/>
      <c r="CK348" s="1931"/>
      <c r="CL348" s="1931"/>
      <c r="CM348" s="1931"/>
      <c r="CN348" s="1931"/>
      <c r="CO348" s="1931"/>
      <c r="CP348" s="1931"/>
      <c r="CQ348" s="1931"/>
      <c r="CR348" s="1931"/>
      <c r="CS348" s="1931"/>
      <c r="CT348" s="1930"/>
      <c r="CU348" s="1930"/>
      <c r="CV348" s="1930"/>
      <c r="CW348" s="1930"/>
      <c r="CX348" s="1931"/>
      <c r="CY348" s="1931"/>
      <c r="CZ348" s="1931"/>
      <c r="DA348" s="1931"/>
      <c r="DB348" s="53">
        <f>(DD348)/(DE348)</f>
        <v>2.5671244002252656</v>
      </c>
      <c r="DC348" s="1948" t="str">
        <f>CONCATENATE(G348," ",J348," Year EUL")</f>
        <v>HVAC BUS 15 Year EUL</v>
      </c>
      <c r="DD348" s="71">
        <f>(INDEX('Avoided Cost Benefits'!$C$4:$C$857,MATCH(DC348,'Avoided Cost Benefits'!$A$4:$A$857,0)))*F348</f>
        <v>433.70954944815713</v>
      </c>
      <c r="DE348" s="1950">
        <f>K348/(1.0595^(2020-2019))</f>
        <v>168.94761680037752</v>
      </c>
    </row>
    <row r="349" spans="2:110" hidden="1" outlineLevel="1" x14ac:dyDescent="0.25">
      <c r="B349" s="1931"/>
      <c r="D349" s="1966"/>
      <c r="E349" s="1966"/>
      <c r="F349" s="1966"/>
      <c r="G349" s="1966"/>
      <c r="H349" s="1299"/>
      <c r="I349" s="1966"/>
      <c r="J349" s="1966"/>
      <c r="K349" s="1966"/>
      <c r="L349" s="1966"/>
      <c r="M349" s="1965"/>
      <c r="N349" s="1965"/>
      <c r="O349" s="1965"/>
      <c r="P349" s="1965"/>
      <c r="Q349" s="1965"/>
      <c r="R349" s="1965"/>
      <c r="S349" s="1965"/>
      <c r="T349" s="1965"/>
      <c r="U349" s="1965"/>
      <c r="V349" s="1931"/>
      <c r="W349" s="1931"/>
      <c r="X349" s="1931"/>
      <c r="Y349" s="1931"/>
      <c r="Z349" s="1931"/>
      <c r="AA349" s="1931"/>
      <c r="AB349" s="1931"/>
      <c r="AC349" s="1931"/>
      <c r="AD349" s="1931"/>
      <c r="AE349" s="1931"/>
      <c r="AF349" s="1931"/>
      <c r="AG349" s="1931"/>
      <c r="AH349" s="1931"/>
      <c r="AI349" s="1931"/>
      <c r="AJ349" s="1931"/>
      <c r="AK349" s="1931"/>
      <c r="AL349" s="1931"/>
      <c r="AM349" s="1931"/>
      <c r="AN349" s="1931"/>
      <c r="AO349" s="1931"/>
      <c r="AP349" s="1931"/>
      <c r="AQ349" s="1931"/>
      <c r="AR349" s="1931"/>
      <c r="AS349" s="1931"/>
      <c r="AT349" s="1931"/>
      <c r="AU349" s="1931"/>
      <c r="AV349" s="1931"/>
      <c r="AW349" s="1931"/>
      <c r="AX349" s="1931"/>
      <c r="AY349" s="1931"/>
      <c r="AZ349" s="1931"/>
      <c r="BA349" s="1931"/>
      <c r="BB349" s="1931"/>
      <c r="BC349" s="1931"/>
      <c r="BD349" s="1931"/>
      <c r="BE349" s="1931"/>
      <c r="BF349" s="1931"/>
      <c r="BG349" s="1931"/>
      <c r="BH349" s="1931"/>
      <c r="BI349" s="1931"/>
      <c r="BJ349" s="1931"/>
      <c r="BK349" s="1931"/>
      <c r="BL349" s="1931"/>
      <c r="BM349" s="1931"/>
      <c r="BN349" s="1931"/>
      <c r="BO349" s="1931"/>
      <c r="BP349" s="1931"/>
      <c r="BQ349" s="1931"/>
      <c r="BR349" s="1931"/>
      <c r="BS349" s="1931"/>
      <c r="BT349" s="1931"/>
      <c r="BU349" s="1931"/>
      <c r="BV349" s="1931"/>
      <c r="BW349" s="1931"/>
      <c r="BX349" s="1931"/>
      <c r="BY349" s="1931"/>
      <c r="BZ349" s="1931"/>
      <c r="CA349" s="1931"/>
      <c r="CB349" s="1931"/>
      <c r="CC349" s="1931"/>
      <c r="CD349" s="1931"/>
      <c r="CE349" s="1930"/>
      <c r="CF349" s="1930"/>
      <c r="CG349" s="1930"/>
      <c r="CH349" s="1930"/>
      <c r="CI349" s="1931"/>
      <c r="CJ349" s="1931"/>
      <c r="CK349" s="1931"/>
      <c r="CL349" s="1931"/>
      <c r="CM349" s="1931"/>
      <c r="CN349" s="1931"/>
      <c r="CO349" s="1931"/>
      <c r="CP349" s="1931"/>
      <c r="CQ349" s="1931"/>
      <c r="CR349" s="1931"/>
      <c r="CS349" s="1931"/>
      <c r="CT349" s="1930"/>
      <c r="CU349" s="1930"/>
      <c r="CV349" s="1930"/>
      <c r="CW349" s="1930"/>
      <c r="CX349" s="1931"/>
      <c r="CY349" s="1931"/>
      <c r="CZ349" s="1931"/>
      <c r="DA349" s="1931"/>
      <c r="DB349" s="1932"/>
      <c r="DC349" s="1931"/>
      <c r="DD349" s="1931"/>
      <c r="DE349" s="1931"/>
    </row>
    <row r="350" spans="2:110" hidden="1" outlineLevel="1" x14ac:dyDescent="0.25">
      <c r="B350" s="1931"/>
      <c r="D350" s="1966" t="s">
        <v>2689</v>
      </c>
      <c r="E350" s="1966"/>
      <c r="F350" s="1966"/>
      <c r="G350" s="1966"/>
      <c r="H350" s="1299"/>
      <c r="I350" s="1966"/>
      <c r="J350" s="1966"/>
      <c r="K350" s="1375"/>
      <c r="L350" s="1966"/>
      <c r="M350" s="1965"/>
      <c r="N350" s="1965"/>
      <c r="O350" s="1965"/>
      <c r="P350" s="1965"/>
      <c r="Q350" s="1965"/>
      <c r="R350" s="1965"/>
      <c r="S350" s="1965"/>
      <c r="T350" s="1965"/>
      <c r="U350" s="1965"/>
      <c r="V350" s="1931"/>
      <c r="W350" s="1931"/>
      <c r="X350" s="1931"/>
      <c r="Y350" s="1931"/>
      <c r="Z350" s="1931"/>
      <c r="AA350" s="1931"/>
      <c r="AB350" s="1931"/>
      <c r="AC350" s="1931"/>
      <c r="AD350" s="1931"/>
      <c r="AE350" s="1931"/>
      <c r="AF350" s="1931"/>
      <c r="AG350" s="1931"/>
      <c r="AH350" s="1931"/>
      <c r="AI350" s="1931"/>
      <c r="AJ350" s="1931"/>
      <c r="AK350" s="1931"/>
      <c r="AL350" s="1931"/>
      <c r="AM350" s="1931"/>
      <c r="AN350" s="1931"/>
      <c r="AO350" s="1931"/>
      <c r="AP350" s="1931"/>
      <c r="AQ350" s="1931"/>
      <c r="AR350" s="1931"/>
      <c r="AS350" s="1931"/>
      <c r="AT350" s="1931"/>
      <c r="AU350" s="1931"/>
      <c r="AV350" s="1931"/>
      <c r="AW350" s="1931"/>
      <c r="AX350" s="1931"/>
      <c r="AY350" s="1931"/>
      <c r="AZ350" s="1931"/>
      <c r="BA350" s="1931"/>
      <c r="BB350" s="1931"/>
      <c r="BC350" s="1931"/>
      <c r="BD350" s="1931"/>
      <c r="BE350" s="1931"/>
      <c r="BF350" s="1931"/>
      <c r="BG350" s="1931"/>
      <c r="BH350" s="1931"/>
      <c r="BI350" s="1931"/>
      <c r="BJ350" s="1931"/>
      <c r="BK350" s="1931"/>
      <c r="BL350" s="1931"/>
      <c r="BM350" s="1931"/>
      <c r="BN350" s="1931"/>
      <c r="BO350" s="1931"/>
      <c r="BP350" s="1931"/>
      <c r="BQ350" s="1931"/>
      <c r="BR350" s="1931"/>
      <c r="BS350" s="1931"/>
      <c r="BT350" s="1931"/>
      <c r="BU350" s="1931"/>
      <c r="BV350" s="1931"/>
      <c r="BW350" s="1931"/>
      <c r="BX350" s="1931"/>
      <c r="BY350" s="1931"/>
      <c r="BZ350" s="1931"/>
      <c r="CA350" s="1931"/>
      <c r="CB350" s="1931"/>
      <c r="CC350" s="1931"/>
      <c r="CD350" s="1931"/>
      <c r="CE350" s="1930"/>
      <c r="CF350" s="1930"/>
      <c r="CG350" s="1930"/>
      <c r="CH350" s="1930"/>
      <c r="CI350" s="1931"/>
      <c r="CJ350" s="1931"/>
      <c r="CK350" s="1931"/>
      <c r="CL350" s="1931"/>
      <c r="CM350" s="1931"/>
      <c r="CN350" s="1931"/>
      <c r="CO350" s="1931"/>
      <c r="CP350" s="1931"/>
      <c r="CQ350" s="1931"/>
      <c r="CR350" s="1931"/>
      <c r="CS350" s="1931"/>
      <c r="CT350" s="1930"/>
      <c r="CU350" s="1930"/>
      <c r="CV350" s="1930"/>
      <c r="CW350" s="1930"/>
      <c r="CX350" s="1931"/>
      <c r="CY350" s="1931"/>
      <c r="CZ350" s="1931"/>
      <c r="DA350" s="1931"/>
      <c r="DB350" s="1932"/>
      <c r="DC350" s="1931"/>
      <c r="DD350" s="1931"/>
      <c r="DE350" s="1931"/>
    </row>
    <row r="351" spans="2:110" hidden="1" outlineLevel="1" x14ac:dyDescent="0.25">
      <c r="B351" s="1931"/>
      <c r="D351" s="1300"/>
      <c r="E351" s="1965"/>
      <c r="F351" s="1965"/>
      <c r="G351" s="1321"/>
      <c r="H351" s="1322"/>
      <c r="I351" s="1965"/>
      <c r="J351" s="1965"/>
      <c r="K351" s="1965"/>
      <c r="L351" s="1966"/>
      <c r="M351" s="1965"/>
      <c r="N351" s="1965"/>
      <c r="O351" s="1965"/>
      <c r="P351" s="1965"/>
      <c r="Q351" s="1965"/>
      <c r="R351" s="1965"/>
      <c r="S351" s="1965"/>
      <c r="T351" s="1965"/>
      <c r="U351" s="1965"/>
      <c r="V351" s="1931"/>
      <c r="W351" s="1931"/>
      <c r="X351" s="1931"/>
      <c r="Y351" s="1931"/>
      <c r="Z351" s="1931"/>
      <c r="AA351" s="1931"/>
      <c r="AB351" s="1931"/>
      <c r="AC351" s="1931"/>
      <c r="AD351" s="1931"/>
      <c r="AE351" s="1931"/>
      <c r="AF351" s="1931"/>
      <c r="AG351" s="1931"/>
      <c r="AH351" s="1931"/>
      <c r="AI351" s="1931"/>
      <c r="AJ351" s="1931"/>
      <c r="AK351" s="1931"/>
      <c r="AL351" s="1931"/>
      <c r="AM351" s="1931"/>
      <c r="AN351" s="1931"/>
      <c r="AO351" s="1931"/>
      <c r="AP351" s="1931"/>
      <c r="AQ351" s="1931"/>
      <c r="AR351" s="1931"/>
      <c r="AS351" s="1931"/>
      <c r="AT351" s="1931"/>
      <c r="AU351" s="1931"/>
      <c r="AV351" s="1931"/>
      <c r="AW351" s="1931"/>
      <c r="AX351" s="1931"/>
      <c r="AY351" s="1931"/>
      <c r="AZ351" s="1931"/>
      <c r="BA351" s="1931"/>
      <c r="BB351" s="1931"/>
      <c r="BC351" s="1931"/>
      <c r="BD351" s="1931"/>
      <c r="BE351" s="1931"/>
      <c r="BF351" s="1931"/>
      <c r="BG351" s="1931"/>
      <c r="BH351" s="1931"/>
      <c r="BI351" s="1931"/>
      <c r="BJ351" s="1931"/>
      <c r="BK351" s="1931"/>
      <c r="BL351" s="1931"/>
      <c r="BM351" s="1931"/>
      <c r="BN351" s="1931"/>
      <c r="BO351" s="1931"/>
      <c r="BP351" s="1931"/>
      <c r="BQ351" s="1931"/>
      <c r="BR351" s="1931"/>
      <c r="BS351" s="1931"/>
      <c r="BT351" s="1931"/>
      <c r="BU351" s="1931"/>
      <c r="BV351" s="1931"/>
      <c r="BW351" s="1931"/>
      <c r="BX351" s="1931"/>
      <c r="BY351" s="1931"/>
      <c r="BZ351" s="1931"/>
      <c r="CA351" s="1931"/>
      <c r="CB351" s="1931"/>
      <c r="CC351" s="1931"/>
      <c r="CD351" s="1931"/>
      <c r="CE351" s="1930"/>
      <c r="CF351" s="1930"/>
      <c r="CG351" s="1930"/>
      <c r="CH351" s="1930"/>
      <c r="CI351" s="1931"/>
      <c r="CJ351" s="1931"/>
      <c r="CK351" s="1931"/>
      <c r="CL351" s="1931"/>
      <c r="CM351" s="1931"/>
      <c r="CN351" s="1931"/>
      <c r="CO351" s="1931"/>
      <c r="CP351" s="1931"/>
      <c r="CQ351" s="1931"/>
      <c r="CR351" s="1931"/>
      <c r="CS351" s="1931"/>
      <c r="CT351" s="1930"/>
      <c r="CU351" s="1930"/>
      <c r="CV351" s="1930"/>
      <c r="CW351" s="1930"/>
      <c r="CX351" s="1931"/>
      <c r="CY351" s="1931"/>
      <c r="CZ351" s="1931"/>
      <c r="DA351" s="1931"/>
      <c r="DB351" s="1932"/>
      <c r="DC351" s="1931"/>
      <c r="DD351" s="1931"/>
      <c r="DE351" s="1931"/>
    </row>
    <row r="352" spans="2:110" hidden="1" outlineLevel="1" x14ac:dyDescent="0.25">
      <c r="B352" s="1931"/>
      <c r="D352" s="1355"/>
      <c r="E352" s="874"/>
      <c r="F352" s="1965"/>
      <c r="G352" s="1321"/>
      <c r="H352" s="1322"/>
      <c r="I352" s="1965"/>
      <c r="J352" s="1965"/>
      <c r="K352" s="1965"/>
      <c r="L352" s="1966"/>
      <c r="M352" s="1965"/>
      <c r="N352" s="1965"/>
      <c r="O352" s="1965"/>
      <c r="P352" s="1965"/>
      <c r="Q352" s="1965"/>
      <c r="R352" s="1965"/>
      <c r="S352" s="1965"/>
      <c r="T352" s="1965"/>
      <c r="U352" s="1965"/>
      <c r="V352" s="1931"/>
      <c r="W352" s="1931"/>
      <c r="X352" s="1931"/>
      <c r="Y352" s="1931"/>
      <c r="Z352" s="1931"/>
      <c r="AA352" s="1931"/>
      <c r="AB352" s="1931"/>
      <c r="AC352" s="1931"/>
      <c r="AD352" s="1931"/>
      <c r="AE352" s="1931"/>
      <c r="AF352" s="1931"/>
      <c r="AG352" s="1931"/>
      <c r="AH352" s="1931"/>
      <c r="AI352" s="1931"/>
      <c r="AJ352" s="1931"/>
      <c r="AK352" s="1931"/>
      <c r="AL352" s="1931"/>
      <c r="AM352" s="1931"/>
      <c r="AN352" s="1931"/>
      <c r="AO352" s="1931"/>
      <c r="AP352" s="1931"/>
      <c r="AQ352" s="1931"/>
      <c r="AR352" s="1931"/>
      <c r="AS352" s="1931"/>
      <c r="AT352" s="1931"/>
      <c r="AU352" s="1931"/>
      <c r="AV352" s="1931"/>
      <c r="AW352" s="1931"/>
      <c r="AX352" s="1931"/>
      <c r="AY352" s="1931"/>
      <c r="AZ352" s="1931"/>
      <c r="BA352" s="1931"/>
      <c r="BB352" s="1931"/>
      <c r="BC352" s="1931"/>
      <c r="BD352" s="1931"/>
      <c r="BE352" s="1931"/>
      <c r="BF352" s="1931"/>
      <c r="BG352" s="1931"/>
      <c r="BH352" s="1931"/>
      <c r="BI352" s="1931"/>
      <c r="BJ352" s="1931"/>
      <c r="BK352" s="1931"/>
      <c r="BL352" s="1931"/>
      <c r="BM352" s="1931"/>
      <c r="BN352" s="1931"/>
      <c r="BO352" s="1931"/>
      <c r="BP352" s="1931"/>
      <c r="BQ352" s="1931"/>
      <c r="BR352" s="1931"/>
      <c r="BS352" s="1931"/>
      <c r="BT352" s="1931"/>
      <c r="BU352" s="1931"/>
      <c r="BV352" s="1931"/>
      <c r="BW352" s="1931"/>
      <c r="BX352" s="1931"/>
      <c r="BY352" s="1931"/>
      <c r="BZ352" s="1931"/>
      <c r="CA352" s="1931"/>
      <c r="CB352" s="1931"/>
      <c r="CC352" s="1931"/>
      <c r="CD352" s="1931"/>
      <c r="CE352" s="1930"/>
      <c r="CF352" s="1930"/>
      <c r="CG352" s="1930"/>
      <c r="CH352" s="1930"/>
      <c r="CI352" s="1931"/>
      <c r="CJ352" s="1931"/>
      <c r="CK352" s="1931"/>
      <c r="CL352" s="1931"/>
      <c r="CM352" s="1931"/>
      <c r="CN352" s="1931"/>
      <c r="CO352" s="1931"/>
      <c r="CP352" s="1931"/>
      <c r="CQ352" s="1931"/>
      <c r="CR352" s="1931"/>
      <c r="CS352" s="1931"/>
      <c r="CT352" s="1930"/>
      <c r="CU352" s="1930"/>
      <c r="CV352" s="1930"/>
      <c r="CW352" s="1930"/>
      <c r="CX352" s="1931"/>
      <c r="CY352" s="1931"/>
      <c r="CZ352" s="1931"/>
      <c r="DA352" s="1931"/>
      <c r="DB352" s="1932"/>
      <c r="DC352" s="1931"/>
      <c r="DD352" s="1931"/>
      <c r="DE352" s="1931"/>
    </row>
    <row r="353" spans="2:109" hidden="1" outlineLevel="1" x14ac:dyDescent="0.25">
      <c r="B353" s="1931"/>
      <c r="D353" s="1355"/>
      <c r="E353" s="874"/>
      <c r="F353" s="1965"/>
      <c r="G353" s="1965"/>
      <c r="H353" s="1301"/>
      <c r="I353" s="1965"/>
      <c r="J353" s="1965"/>
      <c r="K353" s="1965"/>
      <c r="L353" s="1966"/>
      <c r="M353" s="1966"/>
      <c r="N353" s="1965"/>
      <c r="O353" s="1965"/>
      <c r="P353" s="1965"/>
      <c r="Q353" s="1965"/>
      <c r="R353" s="1965"/>
      <c r="S353" s="1965"/>
      <c r="T353" s="1965"/>
      <c r="U353" s="1965"/>
      <c r="V353" s="1931"/>
      <c r="W353" s="1931"/>
      <c r="X353" s="1931"/>
      <c r="Y353" s="1931"/>
      <c r="Z353" s="1931"/>
      <c r="AA353" s="1931"/>
      <c r="AB353" s="1931"/>
      <c r="AC353" s="1931"/>
      <c r="AD353" s="1931"/>
      <c r="AE353" s="1931"/>
      <c r="AF353" s="1931"/>
      <c r="AG353" s="1931"/>
      <c r="AH353" s="1931"/>
      <c r="AI353" s="1931"/>
      <c r="AJ353" s="1931"/>
      <c r="AK353" s="1931"/>
      <c r="AL353" s="1931"/>
      <c r="AM353" s="1931"/>
      <c r="AN353" s="1931"/>
      <c r="AO353" s="1931"/>
      <c r="AP353" s="1931"/>
      <c r="AQ353" s="1931"/>
      <c r="AR353" s="1931"/>
      <c r="AS353" s="1931"/>
      <c r="AT353" s="1931"/>
      <c r="AU353" s="1931"/>
      <c r="AV353" s="1931"/>
      <c r="AW353" s="1931"/>
      <c r="AX353" s="1931"/>
      <c r="AY353" s="1931"/>
      <c r="AZ353" s="1931"/>
      <c r="BA353" s="1931"/>
      <c r="BB353" s="1931"/>
      <c r="BC353" s="1931"/>
      <c r="BD353" s="1931"/>
      <c r="BE353" s="1931"/>
      <c r="BF353" s="1931"/>
      <c r="BG353" s="1931"/>
      <c r="BH353" s="1931"/>
      <c r="BI353" s="1931"/>
      <c r="BJ353" s="1931"/>
      <c r="BK353" s="1931"/>
      <c r="BL353" s="1931"/>
      <c r="BM353" s="1931"/>
      <c r="BN353" s="1931"/>
      <c r="BO353" s="1931"/>
      <c r="BP353" s="1931"/>
      <c r="BQ353" s="1931"/>
      <c r="BR353" s="1931"/>
      <c r="BS353" s="1931"/>
      <c r="BT353" s="1931"/>
      <c r="BU353" s="1931"/>
      <c r="BV353" s="1931"/>
      <c r="BW353" s="1931"/>
      <c r="BX353" s="1931"/>
      <c r="BY353" s="1931"/>
      <c r="BZ353" s="1931"/>
      <c r="CA353" s="1931"/>
      <c r="CB353" s="1931"/>
      <c r="CC353" s="1931"/>
      <c r="CD353" s="1931"/>
      <c r="CE353" s="1930"/>
      <c r="CF353" s="1930"/>
      <c r="CG353" s="1930"/>
      <c r="CH353" s="1930"/>
      <c r="CI353" s="1931"/>
      <c r="CJ353" s="1931"/>
      <c r="CK353" s="1931"/>
      <c r="CL353" s="1931"/>
      <c r="CM353" s="1931"/>
      <c r="CN353" s="1931"/>
      <c r="CO353" s="1931"/>
      <c r="CP353" s="1931"/>
      <c r="CQ353" s="1931"/>
      <c r="CR353" s="1931"/>
      <c r="CS353" s="1931"/>
      <c r="CT353" s="1930"/>
      <c r="CU353" s="1930"/>
      <c r="CV353" s="1930"/>
      <c r="CW353" s="1930"/>
      <c r="CX353" s="1931"/>
      <c r="CY353" s="1931"/>
      <c r="CZ353" s="1931"/>
      <c r="DA353" s="1931"/>
      <c r="DB353" s="1932"/>
      <c r="DC353" s="1931"/>
      <c r="DD353" s="1931"/>
      <c r="DE353" s="1931"/>
    </row>
    <row r="354" spans="2:109" hidden="1" outlineLevel="1" x14ac:dyDescent="0.25">
      <c r="B354" s="1931"/>
      <c r="D354" s="1300"/>
      <c r="E354" s="1965"/>
      <c r="F354" s="1965"/>
      <c r="G354" s="1965"/>
      <c r="H354" s="1301"/>
      <c r="I354" s="1965"/>
      <c r="J354" s="1965"/>
      <c r="K354" s="1965"/>
      <c r="L354" s="1966"/>
      <c r="M354" s="1966"/>
      <c r="N354" s="1965"/>
      <c r="O354" s="1965"/>
      <c r="P354" s="1965"/>
      <c r="Q354" s="1965"/>
      <c r="R354" s="1965"/>
      <c r="S354" s="1965"/>
      <c r="T354" s="1965"/>
      <c r="U354" s="1965"/>
      <c r="V354" s="1931"/>
      <c r="W354" s="1931"/>
      <c r="X354" s="1931"/>
      <c r="Y354" s="1931"/>
      <c r="Z354" s="1931"/>
      <c r="AA354" s="1931"/>
      <c r="AB354" s="1931"/>
      <c r="AC354" s="1931"/>
      <c r="AD354" s="1931"/>
      <c r="AE354" s="1931"/>
      <c r="AF354" s="1931"/>
      <c r="AG354" s="1931"/>
      <c r="AH354" s="1931"/>
      <c r="AI354" s="1931"/>
      <c r="AJ354" s="1931"/>
      <c r="AK354" s="1931"/>
      <c r="AL354" s="1931"/>
      <c r="AM354" s="1931"/>
      <c r="AN354" s="1931"/>
      <c r="AO354" s="1931"/>
      <c r="AP354" s="1931"/>
      <c r="AQ354" s="1931"/>
      <c r="AR354" s="1931"/>
      <c r="AS354" s="1931"/>
      <c r="AT354" s="1931"/>
      <c r="AU354" s="1931"/>
      <c r="AV354" s="1931"/>
      <c r="AW354" s="1931"/>
      <c r="AX354" s="1931"/>
      <c r="AY354" s="1931"/>
      <c r="AZ354" s="1931"/>
      <c r="BA354" s="1931"/>
      <c r="BB354" s="1931"/>
      <c r="BC354" s="1931"/>
      <c r="BD354" s="1931"/>
      <c r="BE354" s="1931"/>
      <c r="BF354" s="1931"/>
      <c r="BG354" s="1931"/>
      <c r="BH354" s="1931"/>
      <c r="BI354" s="1931"/>
      <c r="BJ354" s="1931"/>
      <c r="BK354" s="1931"/>
      <c r="BL354" s="1931"/>
      <c r="BM354" s="1931"/>
      <c r="BN354" s="1931"/>
      <c r="BO354" s="1931"/>
      <c r="BP354" s="1931"/>
      <c r="BQ354" s="1931"/>
      <c r="BR354" s="1931"/>
      <c r="BS354" s="1931"/>
      <c r="BT354" s="1931"/>
      <c r="BU354" s="1931"/>
      <c r="BV354" s="1931"/>
      <c r="BW354" s="1931"/>
      <c r="BX354" s="1931"/>
      <c r="BY354" s="1931"/>
      <c r="BZ354" s="1931"/>
      <c r="CA354" s="1931"/>
      <c r="CB354" s="1931"/>
      <c r="CC354" s="1931"/>
      <c r="CD354" s="1931"/>
      <c r="CE354" s="1930"/>
      <c r="CF354" s="1930"/>
      <c r="CG354" s="1930"/>
      <c r="CH354" s="1930"/>
      <c r="CI354" s="1931"/>
      <c r="CJ354" s="1931"/>
      <c r="CK354" s="1931"/>
      <c r="CL354" s="1931"/>
      <c r="CM354" s="1931"/>
      <c r="CN354" s="1931"/>
      <c r="CO354" s="1931"/>
      <c r="CP354" s="1931"/>
      <c r="CQ354" s="1931"/>
      <c r="CR354" s="1931"/>
      <c r="CS354" s="1931"/>
      <c r="CT354" s="1930"/>
      <c r="CU354" s="1930"/>
      <c r="CV354" s="1930"/>
      <c r="CW354" s="1930"/>
      <c r="CX354" s="1931"/>
      <c r="CY354" s="1931"/>
      <c r="CZ354" s="1931"/>
      <c r="DA354" s="1931"/>
      <c r="DB354" s="1932"/>
      <c r="DC354" s="1931"/>
      <c r="DD354" s="1931"/>
      <c r="DE354" s="1931"/>
    </row>
    <row r="355" spans="2:109" hidden="1" outlineLevel="1" x14ac:dyDescent="0.25">
      <c r="B355" s="1931"/>
      <c r="D355" s="1300"/>
      <c r="E355" s="1965"/>
      <c r="F355" s="1965"/>
      <c r="G355" s="1965"/>
      <c r="H355" s="1301"/>
      <c r="I355" s="1965"/>
      <c r="J355" s="1965"/>
      <c r="K355" s="1965"/>
      <c r="L355" s="1966"/>
      <c r="M355" s="1966"/>
      <c r="N355" s="1965"/>
      <c r="O355" s="1965"/>
      <c r="P355" s="1965"/>
      <c r="Q355" s="1965"/>
      <c r="R355" s="1965"/>
      <c r="S355" s="1965"/>
      <c r="T355" s="1965"/>
      <c r="U355" s="1965"/>
      <c r="V355" s="1931"/>
      <c r="W355" s="1931"/>
      <c r="X355" s="1931"/>
      <c r="Y355" s="1931"/>
      <c r="Z355" s="1931"/>
      <c r="AA355" s="1931"/>
      <c r="AB355" s="1931"/>
      <c r="AC355" s="1931"/>
      <c r="AD355" s="1931"/>
      <c r="AE355" s="1931"/>
      <c r="AF355" s="1931"/>
      <c r="AG355" s="1931"/>
      <c r="AH355" s="1931"/>
      <c r="AI355" s="1931"/>
      <c r="AJ355" s="1931"/>
      <c r="AK355" s="1931"/>
      <c r="AL355" s="1931"/>
      <c r="AM355" s="1931"/>
      <c r="AN355" s="1931"/>
      <c r="AO355" s="1931"/>
      <c r="AP355" s="1931"/>
      <c r="AQ355" s="1931"/>
      <c r="AR355" s="1931"/>
      <c r="AS355" s="1931"/>
      <c r="AT355" s="1931"/>
      <c r="AU355" s="1931"/>
      <c r="AV355" s="1931"/>
      <c r="AW355" s="1931"/>
      <c r="AX355" s="1931"/>
      <c r="AY355" s="1931"/>
      <c r="AZ355" s="1931"/>
      <c r="BA355" s="1931"/>
      <c r="BB355" s="1931"/>
      <c r="BC355" s="1931"/>
      <c r="BD355" s="1931"/>
      <c r="BE355" s="1931"/>
      <c r="BF355" s="1931"/>
      <c r="BG355" s="1931"/>
      <c r="BH355" s="1931"/>
      <c r="BI355" s="1931"/>
      <c r="BJ355" s="1931"/>
      <c r="BK355" s="1931"/>
      <c r="BL355" s="1931"/>
      <c r="BM355" s="1931"/>
      <c r="BN355" s="1931"/>
      <c r="BO355" s="1931"/>
      <c r="BP355" s="1931"/>
      <c r="BQ355" s="1931"/>
      <c r="BR355" s="1931"/>
      <c r="BS355" s="1931"/>
      <c r="BT355" s="1931"/>
      <c r="BU355" s="1931"/>
      <c r="BV355" s="1931"/>
      <c r="BW355" s="1931"/>
      <c r="BX355" s="1931"/>
      <c r="BY355" s="1931"/>
      <c r="BZ355" s="1931"/>
      <c r="CA355" s="1931"/>
      <c r="CB355" s="1931"/>
      <c r="CC355" s="1931"/>
      <c r="CD355" s="1931"/>
      <c r="CE355" s="1930"/>
      <c r="CF355" s="1930"/>
      <c r="CG355" s="1930"/>
      <c r="CH355" s="1930"/>
      <c r="CI355" s="1931"/>
      <c r="CJ355" s="1931"/>
      <c r="CK355" s="1931"/>
      <c r="CL355" s="1931"/>
      <c r="CM355" s="1931"/>
      <c r="CN355" s="1931"/>
      <c r="CO355" s="1931"/>
      <c r="CP355" s="1931"/>
      <c r="CQ355" s="1931"/>
      <c r="CR355" s="1931"/>
      <c r="CS355" s="1931"/>
      <c r="CT355" s="1930"/>
      <c r="CU355" s="1930"/>
      <c r="CV355" s="1930"/>
      <c r="CW355" s="1930"/>
      <c r="CX355" s="1931"/>
      <c r="CY355" s="1931"/>
      <c r="CZ355" s="1931"/>
      <c r="DA355" s="1931"/>
      <c r="DB355" s="1932"/>
      <c r="DC355" s="1931"/>
      <c r="DD355" s="1931"/>
      <c r="DE355" s="1931"/>
    </row>
    <row r="356" spans="2:109" hidden="1" outlineLevel="1" x14ac:dyDescent="0.25">
      <c r="B356" s="1931"/>
      <c r="D356" s="1300"/>
      <c r="E356" s="1965"/>
      <c r="F356" s="1965"/>
      <c r="G356" s="1965"/>
      <c r="H356" s="1301"/>
      <c r="I356" s="1965"/>
      <c r="J356" s="1965"/>
      <c r="K356" s="1965"/>
      <c r="L356" s="1966"/>
      <c r="M356" s="1965"/>
      <c r="N356" s="1965"/>
      <c r="O356" s="1965"/>
      <c r="P356" s="1965"/>
      <c r="Q356" s="1965"/>
      <c r="R356" s="1965"/>
      <c r="S356" s="1965"/>
      <c r="T356" s="1965"/>
      <c r="U356" s="1965"/>
      <c r="V356" s="1931"/>
      <c r="W356" s="1931"/>
      <c r="X356" s="1931"/>
      <c r="Y356" s="1931"/>
      <c r="Z356" s="1931"/>
      <c r="AA356" s="1931"/>
      <c r="AB356" s="1931"/>
      <c r="AC356" s="1931"/>
      <c r="AD356" s="1931"/>
      <c r="AE356" s="1931"/>
      <c r="AF356" s="1931"/>
      <c r="AG356" s="1931"/>
      <c r="AH356" s="1931"/>
      <c r="AI356" s="1931"/>
      <c r="AJ356" s="1931"/>
      <c r="AK356" s="1931"/>
      <c r="AL356" s="1931"/>
      <c r="AM356" s="1931"/>
      <c r="AN356" s="1931"/>
      <c r="AO356" s="1931"/>
      <c r="AP356" s="1931"/>
      <c r="AQ356" s="1931"/>
      <c r="AR356" s="1931"/>
      <c r="AS356" s="1931"/>
      <c r="AT356" s="1931"/>
      <c r="AU356" s="1931"/>
      <c r="AV356" s="1931"/>
      <c r="AW356" s="1931"/>
      <c r="AX356" s="1931"/>
      <c r="AY356" s="1931"/>
      <c r="AZ356" s="1931"/>
      <c r="BA356" s="1931"/>
      <c r="BB356" s="1931"/>
      <c r="BC356" s="1931"/>
      <c r="BD356" s="1931"/>
      <c r="BE356" s="1931"/>
      <c r="BF356" s="1931"/>
      <c r="BG356" s="1931"/>
      <c r="BH356" s="1931"/>
      <c r="BI356" s="1931"/>
      <c r="BJ356" s="1931"/>
      <c r="BK356" s="1931"/>
      <c r="BL356" s="1931"/>
      <c r="BM356" s="1931"/>
      <c r="BN356" s="1931"/>
      <c r="BO356" s="1931"/>
      <c r="BP356" s="1931"/>
      <c r="BQ356" s="1931"/>
      <c r="BR356" s="1931"/>
      <c r="BS356" s="1931"/>
      <c r="BT356" s="1931"/>
      <c r="BU356" s="1931"/>
      <c r="BV356" s="1931"/>
      <c r="BW356" s="1931"/>
      <c r="BX356" s="1931"/>
      <c r="BY356" s="1931"/>
      <c r="BZ356" s="1931"/>
      <c r="CA356" s="1931"/>
      <c r="CB356" s="1931"/>
      <c r="CC356" s="1931"/>
      <c r="CD356" s="1931"/>
      <c r="CE356" s="1930"/>
      <c r="CF356" s="1930"/>
      <c r="CG356" s="1930"/>
      <c r="CH356" s="1930"/>
      <c r="CI356" s="1931"/>
      <c r="CJ356" s="1931"/>
      <c r="CK356" s="1931"/>
      <c r="CL356" s="1931"/>
      <c r="CM356" s="1931"/>
      <c r="CN356" s="1931"/>
      <c r="CO356" s="1931"/>
      <c r="CP356" s="1931"/>
      <c r="CQ356" s="1931"/>
      <c r="CR356" s="1931"/>
      <c r="CS356" s="1931"/>
      <c r="CT356" s="1930"/>
      <c r="CU356" s="1930"/>
      <c r="CV356" s="1930"/>
      <c r="CW356" s="1930"/>
      <c r="CX356" s="1931"/>
      <c r="CY356" s="1931"/>
      <c r="CZ356" s="1931"/>
      <c r="DA356" s="1931"/>
      <c r="DB356" s="1932"/>
      <c r="DC356" s="1931"/>
      <c r="DD356" s="1931"/>
      <c r="DE356" s="1931"/>
    </row>
    <row r="357" spans="2:109" s="55" customFormat="1" hidden="1" outlineLevel="1" x14ac:dyDescent="0.25">
      <c r="C357" s="151"/>
      <c r="D357" s="3081" t="s">
        <v>28</v>
      </c>
      <c r="E357" s="3081" t="s">
        <v>2758</v>
      </c>
      <c r="F357" s="3081" t="s">
        <v>2902</v>
      </c>
      <c r="G357" s="3081" t="s">
        <v>2903</v>
      </c>
      <c r="H357" s="3081" t="s">
        <v>745</v>
      </c>
      <c r="I357" s="3081" t="s">
        <v>2700</v>
      </c>
      <c r="J357" s="401"/>
      <c r="K357" s="401"/>
      <c r="L357" s="1966"/>
      <c r="M357" s="401"/>
      <c r="N357" s="401"/>
      <c r="O357" s="401"/>
      <c r="P357" s="401"/>
      <c r="Q357" s="401"/>
      <c r="R357" s="401"/>
      <c r="S357" s="401"/>
      <c r="T357" s="401"/>
      <c r="U357" s="401"/>
      <c r="DB357" s="72"/>
    </row>
    <row r="358" spans="2:109" hidden="1" outlineLevel="1" x14ac:dyDescent="0.25">
      <c r="B358" s="1931"/>
      <c r="D358" s="1967" t="str">
        <f>C345</f>
        <v>803100_2020_07_</v>
      </c>
      <c r="E358" s="1967" t="str">
        <f>E345</f>
        <v>VFD on Chilled Water Pump &gt;= 1HP</v>
      </c>
      <c r="F358" s="1353">
        <v>1</v>
      </c>
      <c r="G358" s="1376">
        <v>0.93</v>
      </c>
      <c r="H358" s="1357">
        <v>3539</v>
      </c>
      <c r="I358" s="1373">
        <v>0.33889999999999998</v>
      </c>
      <c r="J358" s="1965"/>
      <c r="K358" s="1965"/>
      <c r="L358" s="1966"/>
      <c r="M358" s="1965"/>
      <c r="N358" s="1965"/>
      <c r="O358" s="1965"/>
      <c r="P358" s="1965"/>
      <c r="Q358" s="1965"/>
      <c r="R358" s="1965"/>
      <c r="S358" s="1965"/>
      <c r="T358" s="1965"/>
      <c r="U358" s="1965"/>
      <c r="V358" s="1931"/>
      <c r="W358" s="1931"/>
      <c r="X358" s="1931"/>
      <c r="Y358" s="1931"/>
      <c r="Z358" s="1931"/>
      <c r="AA358" s="1931"/>
      <c r="AB358" s="1931"/>
      <c r="AC358" s="1931"/>
      <c r="AD358" s="1931"/>
      <c r="AE358" s="1931"/>
      <c r="AF358" s="1931"/>
      <c r="AG358" s="1931"/>
      <c r="AH358" s="1931"/>
      <c r="AI358" s="1931"/>
      <c r="AJ358" s="1931"/>
      <c r="AK358" s="1931"/>
      <c r="AL358" s="1931"/>
      <c r="AM358" s="1931"/>
      <c r="AN358" s="1931"/>
      <c r="AO358" s="1931"/>
      <c r="AP358" s="1931"/>
      <c r="AQ358" s="1931"/>
      <c r="AR358" s="1931"/>
      <c r="AS358" s="1931"/>
      <c r="AT358" s="1931"/>
      <c r="AU358" s="1931"/>
      <c r="AV358" s="1931"/>
      <c r="AW358" s="1931"/>
      <c r="AX358" s="1931"/>
      <c r="AY358" s="1931"/>
      <c r="AZ358" s="1931"/>
      <c r="BA358" s="1931"/>
      <c r="BB358" s="1931"/>
      <c r="BC358" s="1931"/>
      <c r="BD358" s="1931"/>
      <c r="BE358" s="1931"/>
      <c r="BF358" s="1931"/>
      <c r="BG358" s="1931"/>
      <c r="BH358" s="1931"/>
      <c r="BI358" s="1931"/>
      <c r="BJ358" s="1931"/>
      <c r="BK358" s="1931"/>
      <c r="BL358" s="1931"/>
      <c r="BM358" s="1931"/>
      <c r="BN358" s="1931"/>
      <c r="BO358" s="1931"/>
      <c r="BP358" s="1931"/>
      <c r="BQ358" s="1931"/>
      <c r="BR358" s="1931"/>
      <c r="BS358" s="1931"/>
      <c r="BT358" s="1931"/>
      <c r="BU358" s="1931"/>
      <c r="BV358" s="1931"/>
      <c r="BW358" s="1931"/>
      <c r="BX358" s="1931"/>
      <c r="BY358" s="1931"/>
      <c r="BZ358" s="1931"/>
      <c r="CA358" s="1931"/>
      <c r="CB358" s="1931"/>
      <c r="CC358" s="1931"/>
      <c r="CD358" s="1931"/>
      <c r="CE358" s="1930"/>
      <c r="CF358" s="1930"/>
      <c r="CG358" s="1930"/>
      <c r="CH358" s="1930"/>
      <c r="CI358" s="1931"/>
      <c r="CJ358" s="1931"/>
      <c r="CK358" s="1931"/>
      <c r="CL358" s="1931"/>
      <c r="CM358" s="1931"/>
      <c r="CN358" s="1931"/>
      <c r="CO358" s="1931"/>
      <c r="CP358" s="1931"/>
      <c r="CQ358" s="1931"/>
      <c r="CR358" s="1931"/>
      <c r="CS358" s="1931"/>
      <c r="CT358" s="1930"/>
      <c r="CU358" s="1930"/>
      <c r="CV358" s="1930"/>
      <c r="CW358" s="1930"/>
      <c r="CX358" s="1931"/>
      <c r="CY358" s="1931"/>
      <c r="CZ358" s="1931"/>
      <c r="DA358" s="1931"/>
      <c r="DB358" s="1932"/>
      <c r="DC358" s="1931"/>
      <c r="DD358" s="1931"/>
      <c r="DE358" s="1931"/>
    </row>
    <row r="359" spans="2:109" hidden="1" outlineLevel="1" x14ac:dyDescent="0.25">
      <c r="B359" s="1931"/>
      <c r="D359" s="1967" t="str">
        <f>C346</f>
        <v>803150_2020_07_</v>
      </c>
      <c r="E359" s="1967" t="str">
        <f>E346</f>
        <v>VFD on Hot Water Pump &gt;= 1HP</v>
      </c>
      <c r="F359" s="1353">
        <v>1</v>
      </c>
      <c r="G359" s="1376">
        <v>0.93</v>
      </c>
      <c r="H359" s="1357">
        <v>4411</v>
      </c>
      <c r="I359" s="1373">
        <v>0.35770000000000002</v>
      </c>
      <c r="J359" s="1965"/>
      <c r="K359" s="1965"/>
      <c r="L359" s="1966"/>
      <c r="M359" s="1965"/>
      <c r="N359" s="1965"/>
      <c r="O359" s="1965"/>
      <c r="P359" s="1965"/>
      <c r="Q359" s="1965"/>
      <c r="R359" s="1965"/>
      <c r="S359" s="1965"/>
      <c r="T359" s="1965"/>
      <c r="U359" s="1965"/>
      <c r="V359" s="1931"/>
      <c r="W359" s="1931"/>
      <c r="X359" s="1931"/>
      <c r="Y359" s="1931"/>
      <c r="Z359" s="1931"/>
      <c r="AA359" s="1931"/>
      <c r="AB359" s="1931"/>
      <c r="AC359" s="1931"/>
      <c r="AD359" s="1931"/>
      <c r="AE359" s="1931"/>
      <c r="AF359" s="1931"/>
      <c r="AG359" s="1931"/>
      <c r="AH359" s="1931"/>
      <c r="AI359" s="1931"/>
      <c r="AJ359" s="1931"/>
      <c r="AK359" s="1931"/>
      <c r="AL359" s="1931"/>
      <c r="AM359" s="1931"/>
      <c r="AN359" s="1931"/>
      <c r="AO359" s="1931"/>
      <c r="AP359" s="1931"/>
      <c r="AQ359" s="1931"/>
      <c r="AR359" s="1931"/>
      <c r="AS359" s="1931"/>
      <c r="AT359" s="1931"/>
      <c r="AU359" s="1931"/>
      <c r="AV359" s="1931"/>
      <c r="AW359" s="1931"/>
      <c r="AX359" s="1931"/>
      <c r="AY359" s="1931"/>
      <c r="AZ359" s="1931"/>
      <c r="BA359" s="1931"/>
      <c r="BB359" s="1931"/>
      <c r="BC359" s="1931"/>
      <c r="BD359" s="1931"/>
      <c r="BE359" s="1931"/>
      <c r="BF359" s="1931"/>
      <c r="BG359" s="1931"/>
      <c r="BH359" s="1931"/>
      <c r="BI359" s="1931"/>
      <c r="BJ359" s="1931"/>
      <c r="BK359" s="1931"/>
      <c r="BL359" s="1931"/>
      <c r="BM359" s="1931"/>
      <c r="BN359" s="1931"/>
      <c r="BO359" s="1931"/>
      <c r="BP359" s="1931"/>
      <c r="BQ359" s="1931"/>
      <c r="BR359" s="1931"/>
      <c r="BS359" s="1931"/>
      <c r="BT359" s="1931"/>
      <c r="BU359" s="1931"/>
      <c r="BV359" s="1931"/>
      <c r="BW359" s="1931"/>
      <c r="BX359" s="1931"/>
      <c r="BY359" s="1931"/>
      <c r="BZ359" s="1931"/>
      <c r="CA359" s="1931"/>
      <c r="CB359" s="1931"/>
      <c r="CC359" s="1931"/>
      <c r="CD359" s="1931"/>
      <c r="CE359" s="1930"/>
      <c r="CF359" s="1930"/>
      <c r="CG359" s="1930"/>
      <c r="CH359" s="1930"/>
      <c r="CI359" s="1931"/>
      <c r="CJ359" s="1931"/>
      <c r="CK359" s="1931"/>
      <c r="CL359" s="1931"/>
      <c r="CM359" s="1931"/>
      <c r="CN359" s="1931"/>
      <c r="CO359" s="1931"/>
      <c r="CP359" s="1931"/>
      <c r="CQ359" s="1931"/>
      <c r="CR359" s="1931"/>
      <c r="CS359" s="1931"/>
      <c r="CT359" s="1930"/>
      <c r="CU359" s="1930"/>
      <c r="CV359" s="1930"/>
      <c r="CW359" s="1930"/>
      <c r="CX359" s="1931"/>
      <c r="CY359" s="1931"/>
      <c r="CZ359" s="1931"/>
      <c r="DA359" s="1931"/>
      <c r="DB359" s="1932"/>
      <c r="DC359" s="1931"/>
      <c r="DD359" s="1931"/>
      <c r="DE359" s="1931"/>
    </row>
    <row r="360" spans="2:109" hidden="1" outlineLevel="1" x14ac:dyDescent="0.25">
      <c r="B360" s="1931"/>
      <c r="D360" s="1967" t="str">
        <f>C347</f>
        <v>803155_2020_07_</v>
      </c>
      <c r="E360" s="1967" t="str">
        <f t="shared" ref="E360:E361" si="160">E347</f>
        <v>VFD on Condenser Water Pump &gt;= 1HP</v>
      </c>
      <c r="F360" s="1353">
        <v>1</v>
      </c>
      <c r="G360" s="1376">
        <v>0.93</v>
      </c>
      <c r="H360" s="1357">
        <v>3539</v>
      </c>
      <c r="I360" s="1373">
        <v>0.33889999999999998</v>
      </c>
      <c r="J360" s="1965"/>
      <c r="K360" s="1965"/>
      <c r="L360" s="1966"/>
      <c r="M360" s="1965"/>
      <c r="N360" s="1965"/>
      <c r="O360" s="1965"/>
      <c r="P360" s="1965"/>
      <c r="Q360" s="1965"/>
      <c r="R360" s="1965"/>
      <c r="S360" s="1965"/>
      <c r="T360" s="1965"/>
      <c r="U360" s="1965"/>
      <c r="V360" s="1931"/>
      <c r="W360" s="1931"/>
      <c r="X360" s="1931"/>
      <c r="Y360" s="1931"/>
      <c r="Z360" s="1931"/>
      <c r="AA360" s="1931"/>
      <c r="AB360" s="1931"/>
      <c r="AC360" s="1931"/>
      <c r="AD360" s="1931"/>
      <c r="AE360" s="1931"/>
      <c r="AF360" s="1931"/>
      <c r="AG360" s="1931"/>
      <c r="AH360" s="1931"/>
      <c r="AI360" s="1931"/>
      <c r="AJ360" s="1931"/>
      <c r="AK360" s="1931"/>
      <c r="AL360" s="1931"/>
      <c r="AM360" s="1931"/>
      <c r="AN360" s="1931"/>
      <c r="AO360" s="1931"/>
      <c r="AP360" s="1931"/>
      <c r="AQ360" s="1931"/>
      <c r="AR360" s="1931"/>
      <c r="AS360" s="1931"/>
      <c r="AT360" s="1931"/>
      <c r="AU360" s="1931"/>
      <c r="AV360" s="1931"/>
      <c r="AW360" s="1931"/>
      <c r="AX360" s="1931"/>
      <c r="AY360" s="1931"/>
      <c r="AZ360" s="1931"/>
      <c r="BA360" s="1931"/>
      <c r="BB360" s="1931"/>
      <c r="BC360" s="1931"/>
      <c r="BD360" s="1931"/>
      <c r="BE360" s="1931"/>
      <c r="BF360" s="1931"/>
      <c r="BG360" s="1931"/>
      <c r="BH360" s="1931"/>
      <c r="BI360" s="1931"/>
      <c r="BJ360" s="1931"/>
      <c r="BK360" s="1931"/>
      <c r="BL360" s="1931"/>
      <c r="BM360" s="1931"/>
      <c r="BN360" s="1931"/>
      <c r="BO360" s="1931"/>
      <c r="BP360" s="1931"/>
      <c r="BQ360" s="1931"/>
      <c r="BR360" s="1931"/>
      <c r="BS360" s="1931"/>
      <c r="BT360" s="1931"/>
      <c r="BU360" s="1931"/>
      <c r="BV360" s="1931"/>
      <c r="BW360" s="1931"/>
      <c r="BX360" s="1931"/>
      <c r="BY360" s="1931"/>
      <c r="BZ360" s="1931"/>
      <c r="CA360" s="1931"/>
      <c r="CB360" s="1931"/>
      <c r="CC360" s="1931"/>
      <c r="CD360" s="1931"/>
      <c r="CE360" s="1930"/>
      <c r="CF360" s="1930"/>
      <c r="CG360" s="1930"/>
      <c r="CH360" s="1930"/>
      <c r="CI360" s="1931"/>
      <c r="CJ360" s="1931"/>
      <c r="CK360" s="1931"/>
      <c r="CL360" s="1931"/>
      <c r="CM360" s="1931"/>
      <c r="CN360" s="1931"/>
      <c r="CO360" s="1931"/>
      <c r="CP360" s="1931"/>
      <c r="CQ360" s="1931"/>
      <c r="CR360" s="1931"/>
      <c r="CS360" s="1931"/>
      <c r="CT360" s="1930"/>
      <c r="CU360" s="1930"/>
      <c r="CV360" s="1930"/>
      <c r="CW360" s="1930"/>
      <c r="CX360" s="1931"/>
      <c r="CY360" s="1931"/>
      <c r="CZ360" s="1931"/>
      <c r="DA360" s="1931"/>
      <c r="DB360" s="1932"/>
    </row>
    <row r="361" spans="2:109" hidden="1" outlineLevel="1" x14ac:dyDescent="0.25">
      <c r="B361" s="1931"/>
      <c r="D361" s="1967" t="str">
        <f>C348</f>
        <v>803160_2020_07_</v>
      </c>
      <c r="E361" s="1967" t="str">
        <f t="shared" si="160"/>
        <v>VFD on Cooling Tower Fan &gt;= 1HP</v>
      </c>
      <c r="F361" s="1353">
        <v>1</v>
      </c>
      <c r="G361" s="1376">
        <v>0.93</v>
      </c>
      <c r="H361" s="1357">
        <v>3539</v>
      </c>
      <c r="I361" s="1373">
        <v>0.126</v>
      </c>
      <c r="J361" s="1965"/>
      <c r="K361" s="1965"/>
      <c r="L361" s="1966"/>
      <c r="M361" s="1965"/>
      <c r="N361" s="1965"/>
      <c r="O361" s="1965"/>
      <c r="P361" s="1965"/>
      <c r="Q361" s="1965"/>
      <c r="R361" s="1965"/>
      <c r="S361" s="1965"/>
      <c r="T361" s="1965"/>
      <c r="U361" s="1965"/>
      <c r="V361" s="1931"/>
      <c r="W361" s="1931"/>
      <c r="X361" s="1931"/>
      <c r="Y361" s="1931"/>
      <c r="Z361" s="1931"/>
      <c r="AA361" s="1931"/>
      <c r="AB361" s="1931"/>
      <c r="AC361" s="1931"/>
      <c r="AD361" s="1931"/>
      <c r="AE361" s="1931"/>
      <c r="AF361" s="1931"/>
      <c r="AG361" s="1931"/>
      <c r="AH361" s="1931"/>
      <c r="AI361" s="1931"/>
      <c r="AJ361" s="1931"/>
      <c r="AK361" s="1931"/>
      <c r="AL361" s="1931"/>
      <c r="AM361" s="1931"/>
      <c r="AN361" s="1931"/>
      <c r="AO361" s="1931"/>
      <c r="AP361" s="1931"/>
      <c r="AQ361" s="1931"/>
      <c r="AR361" s="1931"/>
      <c r="AS361" s="1931"/>
      <c r="AT361" s="1931"/>
      <c r="AU361" s="1931"/>
      <c r="AV361" s="1931"/>
      <c r="AW361" s="1931"/>
      <c r="AX361" s="1931"/>
      <c r="AY361" s="1931"/>
      <c r="AZ361" s="1931"/>
      <c r="BA361" s="1931"/>
      <c r="BB361" s="1931"/>
      <c r="BC361" s="1931"/>
      <c r="BD361" s="1931"/>
      <c r="BE361" s="1931"/>
      <c r="BF361" s="1931"/>
      <c r="BG361" s="1931"/>
      <c r="BH361" s="1931"/>
      <c r="BI361" s="1931"/>
      <c r="BJ361" s="1931"/>
      <c r="BK361" s="1931"/>
      <c r="BL361" s="1931"/>
      <c r="BM361" s="1931"/>
      <c r="BN361" s="1931"/>
      <c r="BO361" s="1931"/>
      <c r="BP361" s="1931"/>
      <c r="BQ361" s="1931"/>
      <c r="BR361" s="1931"/>
      <c r="BS361" s="1931"/>
      <c r="BT361" s="1931"/>
      <c r="BU361" s="1931"/>
      <c r="BV361" s="1931"/>
      <c r="BW361" s="1931"/>
      <c r="BX361" s="1931"/>
      <c r="BY361" s="1931"/>
      <c r="BZ361" s="1931"/>
      <c r="CA361" s="1931"/>
      <c r="CB361" s="1931"/>
      <c r="CC361" s="1931"/>
      <c r="CD361" s="1931"/>
      <c r="CE361" s="1930"/>
      <c r="CF361" s="1930"/>
      <c r="CG361" s="1930"/>
      <c r="CH361" s="1930"/>
      <c r="CI361" s="1931"/>
      <c r="CJ361" s="1931"/>
      <c r="CK361" s="1931"/>
      <c r="CL361" s="1931"/>
      <c r="CM361" s="1931"/>
      <c r="CN361" s="1931"/>
      <c r="CO361" s="1931"/>
      <c r="CP361" s="1931"/>
      <c r="CQ361" s="1931"/>
      <c r="CR361" s="1931"/>
      <c r="CS361" s="1931"/>
      <c r="CT361" s="1930"/>
      <c r="CU361" s="1930"/>
      <c r="CV361" s="1930"/>
      <c r="CW361" s="1930"/>
      <c r="CX361" s="1931"/>
      <c r="CY361" s="1931"/>
      <c r="CZ361" s="1931"/>
      <c r="DA361" s="1931"/>
      <c r="DB361" s="1932"/>
    </row>
    <row r="362" spans="2:109" collapsed="1" x14ac:dyDescent="0.25">
      <c r="B362" s="1931"/>
      <c r="D362" s="1966"/>
      <c r="E362" s="1965"/>
      <c r="F362" s="1965"/>
      <c r="G362" s="1968"/>
      <c r="H362" s="1969"/>
      <c r="I362" s="1965"/>
      <c r="J362" s="1965"/>
      <c r="K362" s="1965"/>
      <c r="L362" s="1965"/>
      <c r="M362" s="1965"/>
      <c r="N362" s="1965"/>
      <c r="O362" s="1965"/>
      <c r="P362" s="1965"/>
      <c r="Q362" s="1965"/>
      <c r="R362" s="1965"/>
      <c r="S362" s="1965"/>
      <c r="T362" s="1965"/>
      <c r="U362" s="1965"/>
      <c r="V362" s="1931"/>
      <c r="W362" s="1931"/>
      <c r="X362" s="1931"/>
      <c r="Y362" s="1931"/>
      <c r="Z362" s="1931"/>
      <c r="AA362" s="1931"/>
      <c r="AB362" s="1931"/>
      <c r="AC362" s="1931"/>
      <c r="AD362" s="1931"/>
      <c r="AE362" s="1931"/>
      <c r="AF362" s="1931"/>
      <c r="AG362" s="1931"/>
      <c r="AH362" s="1931"/>
      <c r="AI362" s="1931"/>
      <c r="AJ362" s="1931"/>
      <c r="AK362" s="1931"/>
      <c r="AL362" s="1931"/>
      <c r="AM362" s="1931"/>
      <c r="AN362" s="1931"/>
      <c r="AO362" s="1931"/>
      <c r="AP362" s="1931"/>
      <c r="AQ362" s="1931"/>
      <c r="AR362" s="1931"/>
      <c r="AS362" s="1931"/>
      <c r="AT362" s="1931"/>
      <c r="AU362" s="1931"/>
      <c r="AV362" s="1931"/>
      <c r="AW362" s="1931"/>
      <c r="AX362" s="1931"/>
      <c r="AY362" s="1931"/>
      <c r="AZ362" s="1931"/>
      <c r="BA362" s="1931"/>
      <c r="BB362" s="1931"/>
      <c r="BC362" s="1931"/>
      <c r="BD362" s="1931"/>
      <c r="BE362" s="1931"/>
      <c r="BF362" s="1931"/>
      <c r="BG362" s="1931"/>
      <c r="BH362" s="1931"/>
      <c r="BI362" s="1931"/>
      <c r="BJ362" s="1931"/>
      <c r="BK362" s="1931"/>
      <c r="BL362" s="1931"/>
      <c r="BM362" s="1931"/>
      <c r="BN362" s="1931"/>
      <c r="BO362" s="1931"/>
      <c r="BP362" s="1931"/>
      <c r="BQ362" s="1931"/>
      <c r="BR362" s="1931"/>
      <c r="BS362" s="1931"/>
      <c r="BT362" s="1931"/>
      <c r="BU362" s="1931"/>
      <c r="BV362" s="1931"/>
      <c r="BW362" s="1931"/>
      <c r="BX362" s="1931"/>
      <c r="BY362" s="1931"/>
      <c r="BZ362" s="1931"/>
      <c r="CA362" s="1931"/>
      <c r="CB362" s="1931"/>
      <c r="CC362" s="1931"/>
      <c r="CD362" s="1931"/>
      <c r="CE362" s="1930"/>
      <c r="CF362" s="1930"/>
      <c r="CG362" s="1930"/>
      <c r="CH362" s="1930"/>
      <c r="CI362" s="1931"/>
      <c r="CJ362" s="1931"/>
      <c r="CK362" s="1931"/>
      <c r="CL362" s="1931"/>
      <c r="CM362" s="1931"/>
      <c r="CN362" s="1931"/>
      <c r="CO362" s="1931"/>
      <c r="CP362" s="1931"/>
      <c r="CQ362" s="1931"/>
      <c r="CR362" s="1931"/>
      <c r="CS362" s="1931"/>
      <c r="CT362" s="1930"/>
      <c r="CU362" s="1930"/>
      <c r="CV362" s="1930"/>
      <c r="CW362" s="1930"/>
      <c r="CX362" s="1931"/>
      <c r="CY362" s="1931"/>
      <c r="CZ362" s="1931"/>
      <c r="DA362" s="1931"/>
      <c r="DB362" s="1932"/>
    </row>
    <row r="364" spans="2:109" s="44" customFormat="1" ht="30" x14ac:dyDescent="0.25">
      <c r="B364" s="45"/>
      <c r="C364" s="46" t="s">
        <v>28</v>
      </c>
      <c r="D364" s="46" t="s">
        <v>29</v>
      </c>
      <c r="E364" s="3196" t="s">
        <v>30</v>
      </c>
      <c r="F364" s="3196" t="s">
        <v>2832</v>
      </c>
      <c r="G364" s="3196" t="s">
        <v>176</v>
      </c>
      <c r="H364" s="3196" t="s">
        <v>177</v>
      </c>
      <c r="I364" s="3196" t="s">
        <v>32</v>
      </c>
      <c r="J364" s="3196" t="s">
        <v>181</v>
      </c>
      <c r="K364" s="3196" t="s">
        <v>2891</v>
      </c>
      <c r="L364" s="46" t="s">
        <v>44</v>
      </c>
      <c r="M364" s="1965"/>
      <c r="N364" s="1965"/>
      <c r="O364" s="1965"/>
      <c r="P364" s="1288"/>
      <c r="Q364" s="1288"/>
      <c r="R364" s="1288"/>
      <c r="S364" s="1288"/>
      <c r="T364" s="1288"/>
      <c r="U364" s="1288"/>
      <c r="V364" s="1936" t="s">
        <v>45</v>
      </c>
      <c r="W364" s="1937">
        <f>$W$8</f>
        <v>43252</v>
      </c>
      <c r="X364" s="1937">
        <f>$X$8</f>
        <v>43465</v>
      </c>
      <c r="Y364" s="1937">
        <f>$Y$8</f>
        <v>43800</v>
      </c>
      <c r="Z364" s="1937">
        <f>$Z$8</f>
        <v>43862</v>
      </c>
      <c r="AA364" s="1937">
        <f>$AA$8</f>
        <v>44013</v>
      </c>
      <c r="AB364" s="1937">
        <v>44166</v>
      </c>
      <c r="AC364" s="1937">
        <f>$AC$8</f>
        <v>44531</v>
      </c>
      <c r="AD364" s="1937" t="str">
        <f>$AD$8</f>
        <v>-</v>
      </c>
      <c r="AE364" s="1937" t="str">
        <f>$AE$8</f>
        <v>-</v>
      </c>
      <c r="AF364" s="1937" t="str">
        <f>$AF$8</f>
        <v>-</v>
      </c>
      <c r="AG364" s="1937" t="str">
        <f>$AG$8</f>
        <v>-</v>
      </c>
      <c r="AH364" s="1930"/>
      <c r="AI364" s="1936" t="s">
        <v>45</v>
      </c>
      <c r="AJ364" s="1937">
        <v>43252</v>
      </c>
      <c r="AK364" s="1937">
        <f>$X$8</f>
        <v>43465</v>
      </c>
      <c r="AL364" s="1937">
        <f>$Y$8</f>
        <v>43800</v>
      </c>
      <c r="AM364" s="1937">
        <f>$Z$8</f>
        <v>43862</v>
      </c>
      <c r="AN364" s="1937">
        <f>$AA$8</f>
        <v>44013</v>
      </c>
      <c r="AO364" s="1937">
        <f>$AB$8</f>
        <v>44166</v>
      </c>
      <c r="AP364" s="1937">
        <f>$AC$8</f>
        <v>44531</v>
      </c>
      <c r="AQ364" s="1937" t="str">
        <f>$AD$8</f>
        <v>-</v>
      </c>
      <c r="AR364" s="1937" t="str">
        <f>$AE$8</f>
        <v>-</v>
      </c>
      <c r="AS364" s="1937" t="str">
        <f>$AF$8</f>
        <v>-</v>
      </c>
      <c r="AT364" s="1933"/>
      <c r="AU364" s="1936" t="s">
        <v>45</v>
      </c>
      <c r="AV364" s="1937">
        <v>43252</v>
      </c>
      <c r="AW364" s="1937">
        <f>$X$8</f>
        <v>43465</v>
      </c>
      <c r="AX364" s="1937">
        <f>$Y$8</f>
        <v>43800</v>
      </c>
      <c r="AY364" s="1937">
        <f>$Z$8</f>
        <v>43862</v>
      </c>
      <c r="AZ364" s="1937">
        <f>$AA$8</f>
        <v>44013</v>
      </c>
      <c r="BA364" s="1937">
        <v>44166</v>
      </c>
      <c r="BB364" s="1937">
        <f>$AC$8</f>
        <v>44531</v>
      </c>
      <c r="BC364" s="1937" t="str">
        <f>$AD$8</f>
        <v>-</v>
      </c>
      <c r="BD364" s="1937" t="str">
        <f>$AE$8</f>
        <v>-</v>
      </c>
      <c r="BE364" s="1937" t="str">
        <f>$AF$8</f>
        <v>-</v>
      </c>
      <c r="DB364" s="1938" t="str">
        <f>$DB$8</f>
        <v>TRC (2020)</v>
      </c>
      <c r="DC364" s="1953" t="str">
        <f>$DC$8</f>
        <v>Benefit Lookup</v>
      </c>
      <c r="DD364" s="1953" t="str">
        <f>$DD$8</f>
        <v>Benefits (2019 $)</v>
      </c>
      <c r="DE364" s="1953" t="str">
        <f>$DE$8</f>
        <v>Incremental Cost (2019 $)</v>
      </c>
    </row>
    <row r="365" spans="2:109" x14ac:dyDescent="0.25">
      <c r="B365" s="1931"/>
      <c r="C365" s="2462" t="s">
        <v>2904</v>
      </c>
      <c r="D365" s="1363" t="s">
        <v>2646</v>
      </c>
      <c r="E365" s="1987" t="s">
        <v>2905</v>
      </c>
      <c r="F365" s="1959">
        <f>ROUND((((0.746*F391*(G391/H391))*I391*J391)-((0.746*F391*(G391/H391))*I391*K391))*(1+L391),2)</f>
        <v>939.75</v>
      </c>
      <c r="G365" s="1290" t="s">
        <v>2897</v>
      </c>
      <c r="H365" s="1291">
        <f>VLOOKUP(G365,'CP FACTORS'!$A$26:$B$38,2,FALSE)</f>
        <v>4.4398300000000001E-4</v>
      </c>
      <c r="I365" s="1309">
        <f>ROUND(H365*F365,6)</f>
        <v>0.41723300000000002</v>
      </c>
      <c r="J365" s="1354">
        <v>15</v>
      </c>
      <c r="K365" s="1310">
        <v>168</v>
      </c>
      <c r="L365" s="1374" t="s">
        <v>2894</v>
      </c>
      <c r="M365" s="1965"/>
      <c r="N365" s="1965"/>
      <c r="O365" s="1965"/>
      <c r="P365" s="1965"/>
      <c r="Q365" s="1965"/>
      <c r="R365" s="1965"/>
      <c r="S365" s="1965"/>
      <c r="T365" s="1965"/>
      <c r="U365" s="1965"/>
      <c r="V365" s="3226" t="str">
        <f>F364</f>
        <v>kWh Annual Savings (per HP)</v>
      </c>
      <c r="W365" s="79">
        <v>939.74820779247341</v>
      </c>
      <c r="X365" s="79">
        <v>939.74820779247341</v>
      </c>
      <c r="Y365" s="79">
        <v>939.74820779247341</v>
      </c>
      <c r="Z365" s="79">
        <v>939.74820779247341</v>
      </c>
      <c r="AA365" s="79">
        <v>939.74820779247341</v>
      </c>
      <c r="AB365" s="2002">
        <v>939.75</v>
      </c>
      <c r="AC365" s="3364">
        <v>939.75</v>
      </c>
      <c r="AD365" s="1941"/>
      <c r="AE365" s="1941"/>
      <c r="AF365" s="1941"/>
      <c r="AG365" s="1941"/>
      <c r="AH365" s="1942"/>
      <c r="AI365" s="3226" t="s">
        <v>181</v>
      </c>
      <c r="AJ365" s="1943">
        <v>15</v>
      </c>
      <c r="AK365" s="1943">
        <v>15</v>
      </c>
      <c r="AL365" s="1943">
        <v>15</v>
      </c>
      <c r="AM365" s="1943">
        <v>15</v>
      </c>
      <c r="AN365" s="1943">
        <v>15</v>
      </c>
      <c r="AO365" s="2095">
        <v>15</v>
      </c>
      <c r="AP365" s="2002">
        <v>15</v>
      </c>
      <c r="AQ365" s="1941"/>
      <c r="AR365" s="1941"/>
      <c r="AS365" s="1941"/>
      <c r="AT365" s="1933"/>
      <c r="AU365" s="3226" t="str">
        <f>K364</f>
        <v>Inc. Cost (per HP)</v>
      </c>
      <c r="AV365" s="1944">
        <v>168</v>
      </c>
      <c r="AW365" s="1944">
        <v>168</v>
      </c>
      <c r="AX365" s="1944">
        <v>168</v>
      </c>
      <c r="AY365" s="1944">
        <v>168</v>
      </c>
      <c r="AZ365" s="1944">
        <v>168</v>
      </c>
      <c r="BA365" s="1998">
        <v>168</v>
      </c>
      <c r="BB365" s="1998">
        <v>168</v>
      </c>
      <c r="BC365" s="1941"/>
      <c r="BD365" s="1941"/>
      <c r="BE365" s="1941"/>
      <c r="BF365" s="1931"/>
      <c r="BG365" s="1931"/>
      <c r="BH365" s="1931"/>
      <c r="BI365" s="1931"/>
      <c r="BJ365" s="1931"/>
      <c r="BK365" s="1931"/>
      <c r="BL365" s="1931"/>
      <c r="BM365" s="1931"/>
      <c r="BN365" s="1931"/>
      <c r="BO365" s="1931"/>
      <c r="BP365" s="1931"/>
      <c r="BQ365" s="1931"/>
      <c r="BR365" s="1931"/>
      <c r="BS365" s="1931"/>
      <c r="BT365" s="1931"/>
      <c r="BU365" s="1931"/>
      <c r="BV365" s="1931"/>
      <c r="BW365" s="1931"/>
      <c r="BX365" s="1931"/>
      <c r="BY365" s="1931"/>
      <c r="BZ365" s="1931"/>
      <c r="CA365" s="1931"/>
      <c r="CB365" s="1931"/>
      <c r="CC365" s="1931"/>
      <c r="CD365" s="1931"/>
      <c r="CE365" s="1930"/>
      <c r="CF365" s="1930"/>
      <c r="CG365" s="1930"/>
      <c r="CH365" s="1930"/>
      <c r="CI365" s="1931"/>
      <c r="CJ365" s="1931"/>
      <c r="CK365" s="1931"/>
      <c r="CL365" s="1931"/>
      <c r="CM365" s="1931"/>
      <c r="CN365" s="1931"/>
      <c r="CO365" s="1931"/>
      <c r="CP365" s="1931"/>
      <c r="CQ365" s="1931"/>
      <c r="CR365" s="1931"/>
      <c r="CS365" s="1931"/>
      <c r="CT365" s="1930"/>
      <c r="CU365" s="1930"/>
      <c r="CV365" s="1930"/>
      <c r="CW365" s="1930"/>
      <c r="CX365" s="1931"/>
      <c r="CY365" s="1931"/>
      <c r="CZ365" s="1931"/>
      <c r="DA365" s="1931"/>
      <c r="DB365" s="1954">
        <f>(DD365)/(DE365)</f>
        <v>5.3608357561588678</v>
      </c>
      <c r="DC365" s="3454" t="str">
        <f>CONCATENATE(G365," ",J365," Year EUL")</f>
        <v>HVAC BUS 15 Year EUL</v>
      </c>
      <c r="DD365" s="1955">
        <f>(INDEX('Avoided Cost Benefits'!$C$4:$C$857,MATCH(DC365,'Avoided Cost Benefits'!$A$4:$A$857,0)))*F365</f>
        <v>850.04285704076426</v>
      </c>
      <c r="DE365" s="1956">
        <f>K365/(1.0595^(2020-2019))</f>
        <v>158.56536101934873</v>
      </c>
    </row>
    <row r="366" spans="2:109" hidden="1" outlineLevel="1" x14ac:dyDescent="0.25">
      <c r="B366" s="1931"/>
      <c r="D366" s="1966"/>
      <c r="E366" s="1966"/>
      <c r="F366" s="1966"/>
      <c r="G366" s="1966"/>
      <c r="H366" s="1299"/>
      <c r="I366" s="1966"/>
      <c r="J366" s="1966"/>
      <c r="K366" s="1965"/>
      <c r="L366" s="1965"/>
      <c r="M366" s="3488"/>
      <c r="N366" s="3488"/>
      <c r="O366" s="3488"/>
      <c r="P366" s="3488"/>
      <c r="Q366" s="1965"/>
      <c r="R366" s="1965"/>
      <c r="S366" s="1965"/>
      <c r="T366" s="1965"/>
      <c r="U366" s="1965"/>
      <c r="V366" s="1931"/>
      <c r="W366" s="1931"/>
      <c r="X366" s="1931"/>
      <c r="Y366" s="1931"/>
      <c r="Z366" s="1931"/>
      <c r="AA366" s="1931"/>
      <c r="AB366" s="1931"/>
      <c r="AC366" s="1931"/>
      <c r="AD366" s="1931"/>
      <c r="AE366" s="1931"/>
      <c r="AF366" s="1931"/>
      <c r="AG366" s="1931"/>
      <c r="AH366" s="1931"/>
      <c r="AI366" s="1931"/>
      <c r="AJ366" s="1931"/>
      <c r="AK366" s="1931"/>
      <c r="AL366" s="1931"/>
      <c r="AM366" s="1931"/>
      <c r="AN366" s="1931"/>
      <c r="AO366" s="1931"/>
      <c r="AP366" s="1931"/>
      <c r="AQ366" s="1931"/>
      <c r="AR366" s="1931"/>
      <c r="AS366" s="1931"/>
      <c r="AT366" s="1931"/>
      <c r="AU366" s="1931"/>
      <c r="AV366" s="1931"/>
      <c r="AW366" s="1931"/>
      <c r="AX366" s="1931"/>
      <c r="AY366" s="1931"/>
      <c r="AZ366" s="1931"/>
      <c r="BA366" s="1931"/>
      <c r="BB366" s="1931"/>
      <c r="BC366" s="1931"/>
      <c r="BD366" s="1931"/>
      <c r="BE366" s="1931"/>
      <c r="BF366" s="1931"/>
      <c r="BG366" s="1931"/>
      <c r="BH366" s="1931"/>
      <c r="BI366" s="1931"/>
      <c r="BJ366" s="1931"/>
      <c r="BK366" s="1931"/>
      <c r="BL366" s="1931"/>
      <c r="BM366" s="1931"/>
      <c r="BN366" s="1931"/>
      <c r="BO366" s="1931"/>
      <c r="BP366" s="1931"/>
      <c r="BQ366" s="1931"/>
      <c r="BR366" s="1931"/>
      <c r="BS366" s="1931"/>
      <c r="BT366" s="1931"/>
      <c r="BU366" s="1931"/>
      <c r="BV366" s="1931"/>
      <c r="BW366" s="1931"/>
      <c r="BX366" s="1931"/>
      <c r="BY366" s="1931"/>
      <c r="BZ366" s="1931"/>
      <c r="CA366" s="1931"/>
      <c r="CB366" s="1931"/>
      <c r="CC366" s="1931"/>
      <c r="CD366" s="1931"/>
      <c r="CE366" s="1930"/>
      <c r="CF366" s="1930"/>
      <c r="CG366" s="1930"/>
      <c r="CH366" s="1930"/>
      <c r="CI366" s="1931"/>
      <c r="CJ366" s="1931"/>
      <c r="CK366" s="1931"/>
      <c r="CL366" s="1931"/>
      <c r="CM366" s="1931"/>
      <c r="CN366" s="1931"/>
      <c r="CO366" s="1931"/>
      <c r="CP366" s="1931"/>
      <c r="CQ366" s="1931"/>
      <c r="CR366" s="1931"/>
      <c r="CS366" s="1931"/>
      <c r="CT366" s="1930"/>
      <c r="CU366" s="1930"/>
      <c r="CV366" s="1930"/>
      <c r="CW366" s="1930"/>
      <c r="CX366" s="1931"/>
      <c r="CY366" s="1931"/>
      <c r="CZ366" s="1931"/>
      <c r="DA366" s="1931"/>
      <c r="DB366" s="1932"/>
    </row>
    <row r="367" spans="2:109" hidden="1" outlineLevel="1" x14ac:dyDescent="0.25">
      <c r="B367" s="1931"/>
      <c r="D367" s="1966" t="s">
        <v>2689</v>
      </c>
      <c r="E367" s="1966"/>
      <c r="F367" s="1966"/>
      <c r="G367" s="1966"/>
      <c r="H367" s="1299"/>
      <c r="I367" s="1966"/>
      <c r="J367" s="1966"/>
      <c r="K367" s="1966"/>
      <c r="L367" s="1965"/>
      <c r="M367" s="3488"/>
      <c r="N367" s="3488"/>
      <c r="O367" s="3488"/>
      <c r="P367" s="3488"/>
      <c r="Q367" s="1965"/>
      <c r="R367" s="1965"/>
      <c r="S367" s="1965"/>
      <c r="T367" s="1965"/>
      <c r="U367" s="1965"/>
      <c r="V367" s="1931"/>
      <c r="W367" s="1931"/>
      <c r="X367" s="1931"/>
      <c r="Y367" s="1931"/>
      <c r="Z367" s="1931"/>
      <c r="AA367" s="1931"/>
      <c r="AB367" s="1931"/>
      <c r="AC367" s="1931"/>
      <c r="AD367" s="1931"/>
      <c r="AE367" s="1931"/>
      <c r="AF367" s="1931"/>
      <c r="AG367" s="1931"/>
      <c r="AH367" s="1931"/>
      <c r="AI367" s="1931"/>
      <c r="AJ367" s="1931"/>
      <c r="AK367" s="1931"/>
      <c r="AL367" s="1931"/>
      <c r="AM367" s="1931"/>
      <c r="AN367" s="1931"/>
      <c r="AO367" s="1931"/>
      <c r="AP367" s="1931"/>
      <c r="AQ367" s="1931"/>
      <c r="AR367" s="1931"/>
      <c r="AS367" s="1931"/>
      <c r="AT367" s="1931"/>
      <c r="AU367" s="1931"/>
      <c r="AV367" s="1931"/>
      <c r="AW367" s="1931"/>
      <c r="AX367" s="1931"/>
      <c r="AY367" s="1931"/>
      <c r="AZ367" s="1931"/>
      <c r="BA367" s="1931"/>
      <c r="BB367" s="1931"/>
      <c r="BC367" s="1931"/>
      <c r="BD367" s="1931"/>
      <c r="BE367" s="1931"/>
      <c r="BF367" s="1931"/>
      <c r="BG367" s="1931"/>
      <c r="BH367" s="1931"/>
      <c r="BI367" s="1931"/>
      <c r="BJ367" s="1931"/>
      <c r="BK367" s="1931"/>
      <c r="BL367" s="1931"/>
      <c r="BM367" s="1931"/>
      <c r="BN367" s="1931"/>
      <c r="BO367" s="1931"/>
      <c r="BP367" s="1931"/>
      <c r="BQ367" s="1931"/>
      <c r="BR367" s="1931"/>
      <c r="BS367" s="1931"/>
      <c r="BT367" s="1931"/>
      <c r="BU367" s="1931"/>
      <c r="BV367" s="1931"/>
      <c r="BW367" s="1931"/>
      <c r="BX367" s="1931"/>
      <c r="BY367" s="1931"/>
      <c r="BZ367" s="1931"/>
      <c r="CA367" s="1931"/>
      <c r="CB367" s="1931"/>
      <c r="CC367" s="1931"/>
      <c r="CD367" s="1931"/>
      <c r="CE367" s="1930"/>
      <c r="CF367" s="1930"/>
      <c r="CG367" s="1930"/>
      <c r="CH367" s="1930"/>
      <c r="CI367" s="1931"/>
      <c r="CJ367" s="1931"/>
      <c r="CK367" s="1931"/>
      <c r="CL367" s="1931"/>
      <c r="CM367" s="1931"/>
      <c r="CN367" s="1931"/>
      <c r="CO367" s="1931"/>
      <c r="CP367" s="1931"/>
      <c r="CQ367" s="1931"/>
      <c r="CR367" s="1931"/>
      <c r="CS367" s="1931"/>
      <c r="CT367" s="1930"/>
      <c r="CU367" s="1930"/>
      <c r="CV367" s="1930"/>
      <c r="CW367" s="1930"/>
      <c r="CX367" s="1931"/>
      <c r="CY367" s="1931"/>
      <c r="CZ367" s="1931"/>
      <c r="DA367" s="1931"/>
      <c r="DB367" s="1932"/>
    </row>
    <row r="368" spans="2:109" hidden="1" outlineLevel="1" x14ac:dyDescent="0.25">
      <c r="B368" s="1931"/>
      <c r="D368" s="1300"/>
      <c r="E368" s="1965"/>
      <c r="F368" s="1965"/>
      <c r="G368" s="1321"/>
      <c r="H368" s="1322"/>
      <c r="I368" s="1965"/>
      <c r="J368" s="1965"/>
      <c r="K368" s="1965"/>
      <c r="L368" s="1965"/>
      <c r="M368" s="3488"/>
      <c r="N368" s="3488"/>
      <c r="O368" s="3488"/>
      <c r="P368" s="3488"/>
      <c r="Q368" s="1965"/>
      <c r="R368" s="1965"/>
      <c r="S368" s="1965"/>
      <c r="T368" s="1965"/>
      <c r="U368" s="1965"/>
      <c r="V368" s="1931"/>
      <c r="W368" s="1931"/>
      <c r="X368" s="1931"/>
      <c r="Y368" s="1931"/>
      <c r="Z368" s="1931"/>
      <c r="AA368" s="1931"/>
      <c r="AB368" s="1931"/>
      <c r="AC368" s="1931"/>
      <c r="AD368" s="1931"/>
      <c r="AE368" s="1931"/>
      <c r="AF368" s="1931"/>
      <c r="AG368" s="1931"/>
      <c r="AH368" s="1931"/>
      <c r="AI368" s="1931"/>
      <c r="AJ368" s="1931"/>
      <c r="AK368" s="1931"/>
      <c r="AL368" s="1931"/>
      <c r="AM368" s="1931"/>
      <c r="AN368" s="1931"/>
      <c r="AO368" s="1931"/>
      <c r="AP368" s="1931"/>
      <c r="AQ368" s="1931"/>
      <c r="AR368" s="1931"/>
      <c r="AS368" s="1931"/>
      <c r="AT368" s="1931"/>
      <c r="AU368" s="1931"/>
      <c r="AV368" s="1931"/>
      <c r="AW368" s="1931"/>
      <c r="AX368" s="1931"/>
      <c r="AY368" s="1931"/>
      <c r="AZ368" s="1931"/>
      <c r="BA368" s="1931"/>
      <c r="BB368" s="1931"/>
      <c r="BC368" s="1931"/>
      <c r="BD368" s="1931"/>
      <c r="BE368" s="1931"/>
      <c r="BF368" s="1931"/>
      <c r="BG368" s="1931"/>
      <c r="BH368" s="1931"/>
      <c r="BI368" s="1931"/>
      <c r="BJ368" s="1931"/>
      <c r="BK368" s="1931"/>
      <c r="BL368" s="1931"/>
      <c r="BM368" s="1931"/>
      <c r="BN368" s="1931"/>
      <c r="BO368" s="1931"/>
      <c r="BP368" s="1931"/>
      <c r="BQ368" s="1931"/>
      <c r="BR368" s="1931"/>
      <c r="BS368" s="1931"/>
      <c r="BT368" s="1931"/>
      <c r="BU368" s="1931"/>
      <c r="BV368" s="1931"/>
      <c r="BW368" s="1931"/>
      <c r="BX368" s="1931"/>
      <c r="BY368" s="1931"/>
      <c r="BZ368" s="1931"/>
      <c r="CA368" s="1931"/>
      <c r="CB368" s="1931"/>
      <c r="CC368" s="1931"/>
      <c r="CD368" s="1931"/>
      <c r="CE368" s="1930"/>
      <c r="CF368" s="1930"/>
      <c r="CG368" s="1930"/>
      <c r="CH368" s="1930"/>
      <c r="CI368" s="1931"/>
      <c r="CJ368" s="1931"/>
      <c r="CK368" s="1931"/>
      <c r="CL368" s="1931"/>
      <c r="CM368" s="1931"/>
      <c r="CN368" s="1931"/>
      <c r="CO368" s="1931"/>
      <c r="CP368" s="1931"/>
      <c r="CQ368" s="1931"/>
      <c r="CR368" s="1931"/>
      <c r="CS368" s="1931"/>
      <c r="CT368" s="1930"/>
      <c r="CU368" s="1930"/>
      <c r="CV368" s="1930"/>
      <c r="CW368" s="1930"/>
      <c r="CX368" s="1931"/>
      <c r="CY368" s="1931"/>
      <c r="CZ368" s="1931"/>
      <c r="DA368" s="1931"/>
      <c r="DB368" s="1932"/>
    </row>
    <row r="369" spans="2:106" hidden="1" outlineLevel="1" x14ac:dyDescent="0.25">
      <c r="B369" s="1931"/>
      <c r="D369" s="1355"/>
      <c r="E369" s="874"/>
      <c r="F369" s="1965"/>
      <c r="G369" s="1321"/>
      <c r="H369" s="1322"/>
      <c r="I369" s="1965"/>
      <c r="J369" s="1965"/>
      <c r="K369" s="1965"/>
      <c r="L369" s="1965"/>
      <c r="M369" s="3488"/>
      <c r="N369" s="3488"/>
      <c r="O369" s="3488"/>
      <c r="P369" s="3488"/>
      <c r="Q369" s="1965"/>
      <c r="R369" s="1965"/>
      <c r="S369" s="1965"/>
      <c r="T369" s="1965"/>
      <c r="U369" s="1965"/>
      <c r="V369" s="1931"/>
      <c r="W369" s="1931"/>
      <c r="X369" s="1931"/>
      <c r="Y369" s="1931"/>
      <c r="Z369" s="1931"/>
      <c r="AA369" s="1931"/>
      <c r="AB369" s="1931"/>
      <c r="AC369" s="1931"/>
      <c r="AD369" s="1931"/>
      <c r="AE369" s="1931"/>
      <c r="AF369" s="1931"/>
      <c r="AG369" s="1931"/>
      <c r="AH369" s="1931"/>
      <c r="AI369" s="1931"/>
      <c r="AJ369" s="1931"/>
      <c r="AK369" s="1931"/>
      <c r="AL369" s="1931"/>
      <c r="AM369" s="1931"/>
      <c r="AN369" s="1931"/>
      <c r="AO369" s="1931"/>
      <c r="AP369" s="1931"/>
      <c r="AQ369" s="1931"/>
      <c r="AR369" s="1931"/>
      <c r="AS369" s="1931"/>
      <c r="AT369" s="1931"/>
      <c r="AU369" s="1931"/>
      <c r="AV369" s="1931"/>
      <c r="AW369" s="1931"/>
      <c r="AX369" s="1931"/>
      <c r="AY369" s="1931"/>
      <c r="AZ369" s="1931"/>
      <c r="BA369" s="1931"/>
      <c r="BB369" s="1931"/>
      <c r="BC369" s="1931"/>
      <c r="BD369" s="1931"/>
      <c r="BE369" s="1931"/>
      <c r="BF369" s="1931"/>
      <c r="BG369" s="1931"/>
      <c r="BH369" s="1931"/>
      <c r="BI369" s="1931"/>
      <c r="BJ369" s="1931"/>
      <c r="BK369" s="1931"/>
      <c r="BL369" s="1931"/>
      <c r="BM369" s="1931"/>
      <c r="BN369" s="1931"/>
      <c r="BO369" s="1931"/>
      <c r="BP369" s="1931"/>
      <c r="BQ369" s="1931"/>
      <c r="BR369" s="1931"/>
      <c r="BS369" s="1931"/>
      <c r="BT369" s="1931"/>
      <c r="BU369" s="1931"/>
      <c r="BV369" s="1931"/>
      <c r="BW369" s="1931"/>
      <c r="BX369" s="1931"/>
      <c r="BY369" s="1931"/>
      <c r="BZ369" s="1931"/>
      <c r="CA369" s="1931"/>
      <c r="CB369" s="1931"/>
      <c r="CC369" s="1931"/>
      <c r="CD369" s="1931"/>
      <c r="CE369" s="1930"/>
      <c r="CF369" s="1930"/>
      <c r="CG369" s="1930"/>
      <c r="CH369" s="1930"/>
      <c r="CI369" s="1931"/>
      <c r="CJ369" s="1931"/>
      <c r="CK369" s="1931"/>
      <c r="CL369" s="1931"/>
      <c r="CM369" s="1931"/>
      <c r="CN369" s="1931"/>
      <c r="CO369" s="1931"/>
      <c r="CP369" s="1931"/>
      <c r="CQ369" s="1931"/>
      <c r="CR369" s="1931"/>
      <c r="CS369" s="1931"/>
      <c r="CT369" s="1930"/>
      <c r="CU369" s="1930"/>
      <c r="CV369" s="1930"/>
      <c r="CW369" s="1930"/>
      <c r="CX369" s="1931"/>
      <c r="CY369" s="1931"/>
      <c r="CZ369" s="1931"/>
      <c r="DA369" s="1931"/>
      <c r="DB369" s="1932"/>
    </row>
    <row r="370" spans="2:106" hidden="1" outlineLevel="1" x14ac:dyDescent="0.25">
      <c r="B370" s="1931"/>
      <c r="D370" s="1355"/>
      <c r="E370" s="874"/>
      <c r="F370" s="1965"/>
      <c r="G370" s="1965"/>
      <c r="H370" s="1301"/>
      <c r="I370" s="1965"/>
      <c r="J370" s="1965"/>
      <c r="K370" s="1965"/>
      <c r="L370" s="1965"/>
      <c r="M370" s="3488"/>
      <c r="N370" s="3488"/>
      <c r="O370" s="3488"/>
      <c r="P370" s="3488"/>
      <c r="Q370" s="1965"/>
      <c r="R370" s="1965"/>
      <c r="S370" s="1965"/>
      <c r="T370" s="1965"/>
      <c r="U370" s="1965"/>
      <c r="V370" s="1931"/>
      <c r="W370" s="1931"/>
      <c r="X370" s="1931"/>
      <c r="Y370" s="1931"/>
      <c r="Z370" s="1931"/>
      <c r="AA370" s="1931"/>
      <c r="AB370" s="1931"/>
      <c r="AC370" s="1931"/>
      <c r="AD370" s="1931"/>
      <c r="AE370" s="1931"/>
      <c r="AF370" s="1931"/>
      <c r="AG370" s="1931"/>
      <c r="AH370" s="1931"/>
      <c r="AI370" s="1931"/>
      <c r="AJ370" s="1931"/>
      <c r="AK370" s="1931"/>
      <c r="AL370" s="1931"/>
      <c r="AM370" s="1931"/>
      <c r="AN370" s="1931"/>
      <c r="AO370" s="1931"/>
      <c r="AP370" s="1931"/>
      <c r="AQ370" s="1931"/>
      <c r="AR370" s="1931"/>
      <c r="AS370" s="1931"/>
      <c r="AT370" s="1931"/>
      <c r="AU370" s="1931"/>
      <c r="AV370" s="1931"/>
      <c r="AW370" s="1931"/>
      <c r="AX370" s="1931"/>
      <c r="AY370" s="1931"/>
      <c r="AZ370" s="1931"/>
      <c r="BA370" s="1931"/>
      <c r="BB370" s="1931"/>
      <c r="BC370" s="1931"/>
      <c r="BD370" s="1931"/>
      <c r="BE370" s="1931"/>
      <c r="BF370" s="1931"/>
      <c r="BG370" s="1931"/>
      <c r="BH370" s="1931"/>
      <c r="BI370" s="1931"/>
      <c r="BJ370" s="1931"/>
      <c r="BK370" s="1931"/>
      <c r="BL370" s="1931"/>
      <c r="BM370" s="1931"/>
      <c r="BN370" s="1931"/>
      <c r="BO370" s="1931"/>
      <c r="BP370" s="1931"/>
      <c r="BQ370" s="1931"/>
      <c r="BR370" s="1931"/>
      <c r="BS370" s="1931"/>
      <c r="BT370" s="1931"/>
      <c r="BU370" s="1931"/>
      <c r="BV370" s="1931"/>
      <c r="BW370" s="1931"/>
      <c r="BX370" s="1931"/>
      <c r="BY370" s="1931"/>
      <c r="BZ370" s="1931"/>
      <c r="CA370" s="1931"/>
      <c r="CB370" s="1931"/>
      <c r="CC370" s="1931"/>
      <c r="CD370" s="1931"/>
      <c r="CE370" s="1930"/>
      <c r="CF370" s="1930"/>
      <c r="CG370" s="1930"/>
      <c r="CH370" s="1930"/>
      <c r="CI370" s="1931"/>
      <c r="CJ370" s="1931"/>
      <c r="CK370" s="1931"/>
      <c r="CL370" s="1931"/>
      <c r="CM370" s="1931"/>
      <c r="CN370" s="1931"/>
      <c r="CO370" s="1931"/>
      <c r="CP370" s="1931"/>
      <c r="CQ370" s="1931"/>
      <c r="CR370" s="1931"/>
      <c r="CS370" s="1931"/>
      <c r="CT370" s="1930"/>
      <c r="CU370" s="1930"/>
      <c r="CV370" s="1930"/>
      <c r="CW370" s="1930"/>
      <c r="CX370" s="1931"/>
      <c r="CY370" s="1931"/>
      <c r="CZ370" s="1931"/>
      <c r="DA370" s="1931"/>
      <c r="DB370" s="1932"/>
    </row>
    <row r="371" spans="2:106" hidden="1" outlineLevel="1" x14ac:dyDescent="0.25">
      <c r="B371" s="1931"/>
      <c r="D371" s="1300"/>
      <c r="E371" s="1965"/>
      <c r="F371" s="1965"/>
      <c r="G371" s="1965"/>
      <c r="H371" s="1301"/>
      <c r="I371" s="1965"/>
      <c r="J371" s="1965"/>
      <c r="K371" s="1965"/>
      <c r="L371" s="1965"/>
      <c r="M371" s="1966"/>
      <c r="N371" s="1965"/>
      <c r="O371" s="1965"/>
      <c r="P371" s="1965"/>
      <c r="Q371" s="1965"/>
      <c r="R371" s="1965"/>
      <c r="S371" s="1965"/>
      <c r="T371" s="1965"/>
      <c r="U371" s="1965"/>
      <c r="V371" s="1931"/>
      <c r="W371" s="1931"/>
      <c r="X371" s="1931"/>
      <c r="Y371" s="1931"/>
      <c r="Z371" s="1931"/>
      <c r="AA371" s="1931"/>
      <c r="AB371" s="1931"/>
      <c r="AC371" s="1931"/>
      <c r="AD371" s="1931"/>
      <c r="AE371" s="1931"/>
      <c r="AF371" s="1931"/>
      <c r="AG371" s="1931"/>
      <c r="AH371" s="1931"/>
      <c r="AI371" s="1931"/>
      <c r="AJ371" s="1931"/>
      <c r="AK371" s="1931"/>
      <c r="AL371" s="1931"/>
      <c r="AM371" s="1931"/>
      <c r="AN371" s="1931"/>
      <c r="AO371" s="1931"/>
      <c r="AP371" s="1931"/>
      <c r="AQ371" s="1931"/>
      <c r="AR371" s="1931"/>
      <c r="AS371" s="1931"/>
      <c r="AT371" s="1931"/>
      <c r="AU371" s="1931"/>
      <c r="AV371" s="1931"/>
      <c r="AW371" s="1931"/>
      <c r="AX371" s="1931"/>
      <c r="AY371" s="1931"/>
      <c r="AZ371" s="1931"/>
      <c r="BA371" s="1931"/>
      <c r="BB371" s="1931"/>
      <c r="BC371" s="1931"/>
      <c r="BD371" s="1931"/>
      <c r="BE371" s="1931"/>
      <c r="BF371" s="1931"/>
      <c r="BG371" s="1931"/>
      <c r="BH371" s="1931"/>
      <c r="BI371" s="1931"/>
      <c r="BJ371" s="1931"/>
      <c r="BK371" s="1931"/>
      <c r="BL371" s="1931"/>
      <c r="BM371" s="1931"/>
      <c r="BN371" s="1931"/>
      <c r="BO371" s="1931"/>
      <c r="BP371" s="1931"/>
      <c r="BQ371" s="1931"/>
      <c r="BR371" s="1931"/>
      <c r="BS371" s="1931"/>
      <c r="BT371" s="1931"/>
      <c r="BU371" s="1931"/>
      <c r="BV371" s="1931"/>
      <c r="BW371" s="1931"/>
      <c r="BX371" s="1931"/>
      <c r="BY371" s="1931"/>
      <c r="BZ371" s="1931"/>
      <c r="CA371" s="1931"/>
      <c r="CB371" s="1931"/>
      <c r="CC371" s="1931"/>
      <c r="CD371" s="1931"/>
      <c r="CE371" s="1930"/>
      <c r="CF371" s="1930"/>
      <c r="CG371" s="1930"/>
      <c r="CH371" s="1930"/>
      <c r="CI371" s="1931"/>
      <c r="CJ371" s="1931"/>
      <c r="CK371" s="1931"/>
      <c r="CL371" s="1931"/>
      <c r="CM371" s="1931"/>
      <c r="CN371" s="1931"/>
      <c r="CO371" s="1931"/>
      <c r="CP371" s="1931"/>
      <c r="CQ371" s="1931"/>
      <c r="CR371" s="1931"/>
      <c r="CS371" s="1931"/>
      <c r="CT371" s="1930"/>
      <c r="CU371" s="1930"/>
      <c r="CV371" s="1930"/>
      <c r="CW371" s="1930"/>
      <c r="CX371" s="1931"/>
      <c r="CY371" s="1931"/>
      <c r="CZ371" s="1931"/>
      <c r="DA371" s="1931"/>
      <c r="DB371" s="1932"/>
    </row>
    <row r="372" spans="2:106" hidden="1" outlineLevel="1" x14ac:dyDescent="0.25">
      <c r="B372" s="1931"/>
      <c r="D372" s="1300"/>
      <c r="E372" s="1965"/>
      <c r="F372" s="1965"/>
      <c r="G372" s="1965"/>
      <c r="H372" s="1301"/>
      <c r="I372" s="1965"/>
      <c r="J372" s="1965"/>
      <c r="K372" s="1965"/>
      <c r="L372" s="1965"/>
      <c r="M372" s="1966"/>
      <c r="N372" s="1965"/>
      <c r="O372" s="1965"/>
      <c r="P372" s="1965"/>
      <c r="Q372" s="1965"/>
      <c r="R372" s="1965"/>
      <c r="S372" s="1965"/>
      <c r="T372" s="1965"/>
      <c r="U372" s="1965"/>
      <c r="V372" s="1931"/>
      <c r="W372" s="1931"/>
      <c r="X372" s="1931"/>
      <c r="Y372" s="1931"/>
      <c r="Z372" s="1931"/>
      <c r="AA372" s="1931"/>
      <c r="AB372" s="1931"/>
      <c r="AC372" s="1931"/>
      <c r="AD372" s="1931"/>
      <c r="AE372" s="1931"/>
      <c r="AF372" s="1931"/>
      <c r="AG372" s="1931"/>
      <c r="AH372" s="1931"/>
      <c r="AI372" s="1931"/>
      <c r="AJ372" s="1931"/>
      <c r="AK372" s="1931"/>
      <c r="AL372" s="1931"/>
      <c r="AM372" s="1931"/>
      <c r="AN372" s="1931"/>
      <c r="AO372" s="1931"/>
      <c r="AP372" s="1931"/>
      <c r="AQ372" s="1931"/>
      <c r="AR372" s="1931"/>
      <c r="AS372" s="1931"/>
      <c r="AT372" s="1931"/>
      <c r="AU372" s="1931"/>
      <c r="AV372" s="1931"/>
      <c r="AW372" s="1931"/>
      <c r="AX372" s="1931"/>
      <c r="AY372" s="1931"/>
      <c r="AZ372" s="1931"/>
      <c r="BA372" s="1931"/>
      <c r="BB372" s="1931"/>
      <c r="BC372" s="1931"/>
      <c r="BD372" s="1931"/>
      <c r="BE372" s="1931"/>
      <c r="BF372" s="1931"/>
      <c r="BG372" s="1931"/>
      <c r="BH372" s="1931"/>
      <c r="BI372" s="1931"/>
      <c r="BJ372" s="1931"/>
      <c r="BK372" s="1931"/>
      <c r="BL372" s="1931"/>
      <c r="BM372" s="1931"/>
      <c r="BN372" s="1931"/>
      <c r="BO372" s="1931"/>
      <c r="BP372" s="1931"/>
      <c r="BQ372" s="1931"/>
      <c r="BR372" s="1931"/>
      <c r="BS372" s="1931"/>
      <c r="BT372" s="1931"/>
      <c r="BU372" s="1931"/>
      <c r="BV372" s="1931"/>
      <c r="BW372" s="1931"/>
      <c r="BX372" s="1931"/>
      <c r="BY372" s="1931"/>
      <c r="BZ372" s="1931"/>
      <c r="CA372" s="1931"/>
      <c r="CB372" s="1931"/>
      <c r="CC372" s="1931"/>
      <c r="CD372" s="1931"/>
      <c r="CE372" s="1930"/>
      <c r="CF372" s="1930"/>
      <c r="CG372" s="1930"/>
      <c r="CH372" s="1930"/>
      <c r="CI372" s="1931"/>
      <c r="CJ372" s="1931"/>
      <c r="CK372" s="1931"/>
      <c r="CL372" s="1931"/>
      <c r="CM372" s="1931"/>
      <c r="CN372" s="1931"/>
      <c r="CO372" s="1931"/>
      <c r="CP372" s="1931"/>
      <c r="CQ372" s="1931"/>
      <c r="CR372" s="1931"/>
      <c r="CS372" s="1931"/>
      <c r="CT372" s="1930"/>
      <c r="CU372" s="1930"/>
      <c r="CV372" s="1930"/>
      <c r="CW372" s="1930"/>
      <c r="CX372" s="1931"/>
      <c r="CY372" s="1931"/>
      <c r="CZ372" s="1931"/>
      <c r="DA372" s="1931"/>
      <c r="DB372" s="1932"/>
    </row>
    <row r="373" spans="2:106" ht="15.75" hidden="1" outlineLevel="1" thickBot="1" x14ac:dyDescent="0.3">
      <c r="B373" s="1931"/>
      <c r="D373" s="1300"/>
      <c r="E373" s="1965"/>
      <c r="F373" s="1965"/>
      <c r="G373" s="1965"/>
      <c r="H373" s="1301"/>
      <c r="I373" s="1965"/>
      <c r="J373" s="1965"/>
      <c r="K373" s="1965"/>
      <c r="L373" s="1965"/>
      <c r="M373" s="1966"/>
      <c r="N373" s="1965"/>
      <c r="O373" s="1965"/>
      <c r="P373" s="1965"/>
      <c r="Q373" s="1965"/>
      <c r="R373" s="1965"/>
      <c r="S373" s="1965"/>
      <c r="T373" s="1965"/>
      <c r="U373" s="1965"/>
      <c r="V373" s="1931"/>
      <c r="W373" s="1931"/>
      <c r="X373" s="1931"/>
      <c r="Y373" s="1931"/>
      <c r="Z373" s="1931"/>
      <c r="AA373" s="1931"/>
      <c r="AB373" s="1931"/>
      <c r="AC373" s="1931"/>
      <c r="AD373" s="1931"/>
      <c r="AE373" s="1931"/>
      <c r="AF373" s="1931"/>
      <c r="AG373" s="1931"/>
      <c r="AH373" s="1931"/>
      <c r="AI373" s="1931"/>
      <c r="AJ373" s="1931"/>
      <c r="AK373" s="1931"/>
      <c r="AL373" s="1931"/>
      <c r="AM373" s="1931"/>
      <c r="AN373" s="1931"/>
      <c r="AO373" s="1931"/>
      <c r="AP373" s="1931"/>
      <c r="AQ373" s="1931"/>
      <c r="AR373" s="1931"/>
      <c r="AS373" s="1931"/>
      <c r="AT373" s="1931"/>
      <c r="AU373" s="1931"/>
      <c r="AV373" s="1931"/>
      <c r="AW373" s="1931"/>
      <c r="AX373" s="1931"/>
      <c r="AY373" s="1931"/>
      <c r="AZ373" s="1931"/>
      <c r="BA373" s="1931"/>
      <c r="BB373" s="1931"/>
      <c r="BC373" s="1931"/>
      <c r="BD373" s="1931"/>
      <c r="BE373" s="1931"/>
      <c r="BF373" s="1931"/>
      <c r="BG373" s="1931"/>
      <c r="BH373" s="1931"/>
      <c r="BI373" s="1931"/>
      <c r="BJ373" s="1931"/>
      <c r="BK373" s="1931"/>
      <c r="BL373" s="1931"/>
      <c r="BM373" s="1931"/>
      <c r="BN373" s="1931"/>
      <c r="BO373" s="1931"/>
      <c r="BP373" s="1931"/>
      <c r="BQ373" s="1931"/>
      <c r="BR373" s="1931"/>
      <c r="BS373" s="1931"/>
      <c r="BT373" s="1931"/>
      <c r="BU373" s="1931"/>
      <c r="BV373" s="1931"/>
      <c r="BW373" s="1931"/>
      <c r="BX373" s="1931"/>
      <c r="BY373" s="1931"/>
      <c r="BZ373" s="1931"/>
      <c r="CA373" s="1931"/>
      <c r="CB373" s="1931"/>
      <c r="CC373" s="1931"/>
      <c r="CD373" s="1931"/>
      <c r="CE373" s="1930"/>
      <c r="CF373" s="1930"/>
      <c r="CG373" s="1930"/>
      <c r="CH373" s="1930"/>
      <c r="CI373" s="1931"/>
      <c r="CJ373" s="1931"/>
      <c r="CK373" s="1931"/>
      <c r="CL373" s="1931"/>
      <c r="CM373" s="1931"/>
      <c r="CN373" s="1931"/>
      <c r="CO373" s="1931"/>
      <c r="CP373" s="1931"/>
      <c r="CQ373" s="1931"/>
      <c r="CR373" s="1931"/>
      <c r="CS373" s="1931"/>
      <c r="CT373" s="1930"/>
      <c r="CU373" s="1930"/>
      <c r="CV373" s="1930"/>
      <c r="CW373" s="1930"/>
      <c r="CX373" s="1931"/>
      <c r="CY373" s="1931"/>
      <c r="CZ373" s="1931"/>
      <c r="DA373" s="1931"/>
      <c r="DB373" s="1932"/>
    </row>
    <row r="374" spans="2:106" hidden="1" outlineLevel="1" x14ac:dyDescent="0.25">
      <c r="B374" s="1931"/>
      <c r="D374" s="1300"/>
      <c r="E374" s="1377" t="s">
        <v>2906</v>
      </c>
      <c r="F374" s="1378"/>
      <c r="G374" s="1965"/>
      <c r="H374" s="1301"/>
      <c r="I374" s="1965"/>
      <c r="J374" s="1965"/>
      <c r="K374" s="1965"/>
      <c r="L374" s="1965"/>
      <c r="M374" s="1966"/>
      <c r="N374" s="1965"/>
      <c r="O374" s="1965"/>
      <c r="P374" s="1965"/>
      <c r="Q374" s="1965"/>
      <c r="R374" s="1965"/>
      <c r="S374" s="1965"/>
      <c r="T374" s="1965"/>
      <c r="U374" s="1965"/>
      <c r="V374" s="1931"/>
      <c r="W374" s="1931"/>
      <c r="X374" s="1931"/>
      <c r="Y374" s="1931"/>
      <c r="Z374" s="1931"/>
      <c r="AA374" s="1931"/>
      <c r="AB374" s="1931"/>
      <c r="AC374" s="1931"/>
      <c r="AD374" s="1931"/>
      <c r="AE374" s="1931"/>
      <c r="AF374" s="1931"/>
      <c r="AG374" s="1931"/>
      <c r="AH374" s="1931"/>
      <c r="AI374" s="1931"/>
      <c r="AJ374" s="1931"/>
      <c r="AK374" s="1931"/>
      <c r="AL374" s="1931"/>
      <c r="AM374" s="1931"/>
      <c r="AN374" s="1931"/>
      <c r="AO374" s="1931"/>
      <c r="AP374" s="1931"/>
      <c r="AQ374" s="1931"/>
      <c r="AR374" s="1931"/>
      <c r="AS374" s="1931"/>
      <c r="AT374" s="1931"/>
      <c r="AU374" s="1931"/>
      <c r="AV374" s="1931"/>
      <c r="AW374" s="1931"/>
      <c r="AX374" s="1931"/>
      <c r="AY374" s="1931"/>
      <c r="AZ374" s="1931"/>
      <c r="BA374" s="1931"/>
      <c r="BB374" s="1931"/>
      <c r="BC374" s="1931"/>
      <c r="BD374" s="1931"/>
      <c r="BE374" s="1931"/>
      <c r="BF374" s="1931"/>
      <c r="BG374" s="1931"/>
      <c r="BH374" s="1931"/>
      <c r="BI374" s="1931"/>
      <c r="BJ374" s="1931"/>
      <c r="BK374" s="1931"/>
      <c r="BL374" s="1931"/>
      <c r="BM374" s="1931"/>
      <c r="BN374" s="1931"/>
      <c r="BO374" s="1931"/>
      <c r="BP374" s="1931"/>
      <c r="BQ374" s="1931"/>
      <c r="BR374" s="1931"/>
      <c r="BS374" s="1931"/>
      <c r="BT374" s="1931"/>
      <c r="BU374" s="1931"/>
      <c r="BV374" s="1931"/>
      <c r="BW374" s="1931"/>
      <c r="BX374" s="1931"/>
      <c r="BY374" s="1931"/>
      <c r="BZ374" s="1931"/>
      <c r="CA374" s="1931"/>
      <c r="CB374" s="1931"/>
      <c r="CC374" s="1931"/>
      <c r="CD374" s="1931"/>
      <c r="CE374" s="1930"/>
      <c r="CF374" s="1930"/>
      <c r="CG374" s="1930"/>
      <c r="CH374" s="1930"/>
      <c r="CI374" s="1931"/>
      <c r="CJ374" s="1931"/>
      <c r="CK374" s="1931"/>
      <c r="CL374" s="1931"/>
      <c r="CM374" s="1931"/>
      <c r="CN374" s="1931"/>
      <c r="CO374" s="1931"/>
      <c r="CP374" s="1931"/>
      <c r="CQ374" s="1931"/>
      <c r="CR374" s="1931"/>
      <c r="CS374" s="1931"/>
      <c r="CT374" s="1930"/>
      <c r="CU374" s="1930"/>
      <c r="CV374" s="1930"/>
      <c r="CW374" s="1930"/>
      <c r="CX374" s="1931"/>
      <c r="CY374" s="1931"/>
      <c r="CZ374" s="1931"/>
      <c r="DA374" s="1931"/>
      <c r="DB374" s="1932"/>
    </row>
    <row r="375" spans="2:106" hidden="1" outlineLevel="1" x14ac:dyDescent="0.25">
      <c r="B375" s="1931"/>
      <c r="D375" s="1300"/>
      <c r="E375" s="1379"/>
      <c r="F375" s="1380"/>
      <c r="G375" s="1965"/>
      <c r="H375" s="1301"/>
      <c r="I375" s="1965"/>
      <c r="J375" s="1965"/>
      <c r="K375" s="1965"/>
      <c r="L375" s="1965"/>
      <c r="M375" s="1966"/>
      <c r="N375" s="1965"/>
      <c r="O375" s="1965"/>
      <c r="P375" s="1965"/>
      <c r="Q375" s="1965"/>
      <c r="R375" s="1965"/>
      <c r="S375" s="1965"/>
      <c r="T375" s="1965"/>
      <c r="U375" s="1965"/>
      <c r="V375" s="1931"/>
      <c r="W375" s="1931"/>
      <c r="X375" s="1931"/>
      <c r="Y375" s="1931"/>
      <c r="Z375" s="1931"/>
      <c r="AA375" s="1931"/>
      <c r="AB375" s="1931"/>
      <c r="AC375" s="1931"/>
      <c r="AD375" s="1931"/>
      <c r="AE375" s="1931"/>
      <c r="AF375" s="1931"/>
      <c r="AG375" s="1931"/>
      <c r="AH375" s="1931"/>
      <c r="AI375" s="1931"/>
      <c r="AJ375" s="1931"/>
      <c r="AK375" s="1931"/>
      <c r="AL375" s="1931"/>
      <c r="AM375" s="1931"/>
      <c r="AN375" s="1931"/>
      <c r="AO375" s="1931"/>
      <c r="AP375" s="1931"/>
      <c r="AQ375" s="1931"/>
      <c r="AR375" s="1931"/>
      <c r="AS375" s="1931"/>
      <c r="AT375" s="1931"/>
      <c r="AU375" s="1931"/>
      <c r="AV375" s="1931"/>
      <c r="AW375" s="1931"/>
      <c r="AX375" s="1931"/>
      <c r="AY375" s="1931"/>
      <c r="AZ375" s="1931"/>
      <c r="BA375" s="1931"/>
      <c r="BB375" s="1931"/>
      <c r="BC375" s="1931"/>
      <c r="BD375" s="1931"/>
      <c r="BE375" s="1931"/>
      <c r="BF375" s="1931"/>
      <c r="BG375" s="1931"/>
      <c r="BH375" s="1931"/>
      <c r="BI375" s="1931"/>
      <c r="BJ375" s="1931"/>
      <c r="BK375" s="1931"/>
      <c r="BL375" s="1931"/>
      <c r="BM375" s="1931"/>
      <c r="BN375" s="1931"/>
      <c r="BO375" s="1931"/>
      <c r="BP375" s="1931"/>
      <c r="BQ375" s="1931"/>
      <c r="BR375" s="1931"/>
      <c r="BS375" s="1931"/>
      <c r="BT375" s="1931"/>
      <c r="BU375" s="1931"/>
      <c r="BV375" s="1931"/>
      <c r="BW375" s="1931"/>
      <c r="BX375" s="1931"/>
      <c r="BY375" s="1931"/>
      <c r="BZ375" s="1931"/>
      <c r="CA375" s="1931"/>
      <c r="CB375" s="1931"/>
      <c r="CC375" s="1931"/>
      <c r="CD375" s="1931"/>
      <c r="CE375" s="1930"/>
      <c r="CF375" s="1930"/>
      <c r="CG375" s="1930"/>
      <c r="CH375" s="1930"/>
      <c r="CI375" s="1931"/>
      <c r="CJ375" s="1931"/>
      <c r="CK375" s="1931"/>
      <c r="CL375" s="1931"/>
      <c r="CM375" s="1931"/>
      <c r="CN375" s="1931"/>
      <c r="CO375" s="1931"/>
      <c r="CP375" s="1931"/>
      <c r="CQ375" s="1931"/>
      <c r="CR375" s="1931"/>
      <c r="CS375" s="1931"/>
      <c r="CT375" s="1930"/>
      <c r="CU375" s="1930"/>
      <c r="CV375" s="1930"/>
      <c r="CW375" s="1930"/>
      <c r="CX375" s="1931"/>
      <c r="CY375" s="1931"/>
      <c r="CZ375" s="1931"/>
      <c r="DA375" s="1931"/>
      <c r="DB375" s="1932"/>
    </row>
    <row r="376" spans="2:106" hidden="1" outlineLevel="1" x14ac:dyDescent="0.25">
      <c r="D376" s="1300"/>
      <c r="E376" s="1381" t="s">
        <v>2907</v>
      </c>
      <c r="F376" s="1380">
        <v>1</v>
      </c>
      <c r="G376" s="1965"/>
      <c r="H376" s="1301"/>
      <c r="I376" s="1965"/>
      <c r="J376" s="1965"/>
      <c r="K376" s="1965"/>
      <c r="L376" s="1965"/>
      <c r="M376" s="1966"/>
      <c r="N376" s="1965"/>
      <c r="O376" s="1965"/>
      <c r="P376" s="1965"/>
      <c r="Q376" s="1965"/>
      <c r="R376" s="1965"/>
      <c r="S376" s="1965"/>
      <c r="T376" s="1965"/>
      <c r="U376" s="1965"/>
      <c r="V376" s="1931"/>
      <c r="W376" s="1931"/>
      <c r="X376" s="1931"/>
      <c r="Y376" s="1931"/>
      <c r="Z376" s="1931"/>
      <c r="AA376" s="1931"/>
      <c r="AB376" s="1931"/>
      <c r="AC376" s="1931"/>
      <c r="AD376" s="1931"/>
      <c r="AE376" s="1931"/>
      <c r="AF376" s="1931"/>
      <c r="AG376" s="1931"/>
      <c r="AH376" s="1931"/>
      <c r="AI376" s="1931"/>
      <c r="AJ376" s="1931"/>
      <c r="AK376" s="1931"/>
      <c r="AL376" s="1931"/>
      <c r="AM376" s="1931"/>
      <c r="AN376" s="1931"/>
      <c r="AO376" s="1931"/>
      <c r="AP376" s="1931"/>
      <c r="AQ376" s="1931"/>
      <c r="AR376" s="1931"/>
      <c r="AS376" s="1931"/>
      <c r="AT376" s="1931"/>
      <c r="AU376" s="1931"/>
      <c r="AV376" s="1931"/>
      <c r="AW376" s="1931"/>
      <c r="AX376" s="1931"/>
      <c r="AY376" s="1931"/>
      <c r="AZ376" s="1931"/>
      <c r="BA376" s="1931"/>
      <c r="BB376" s="1931"/>
      <c r="BC376" s="1931"/>
      <c r="BD376" s="1931"/>
      <c r="BE376" s="1931"/>
      <c r="BF376" s="1931"/>
      <c r="BG376" s="1931"/>
      <c r="BH376" s="1931"/>
      <c r="BI376" s="1931"/>
      <c r="BJ376" s="1931"/>
      <c r="BK376" s="1931"/>
      <c r="BL376" s="1931"/>
      <c r="BM376" s="1931"/>
      <c r="BN376" s="1931"/>
      <c r="BO376" s="1931"/>
      <c r="BP376" s="1931"/>
      <c r="BQ376" s="1931"/>
      <c r="BR376" s="1931"/>
      <c r="BS376" s="1931"/>
      <c r="BT376" s="1931"/>
      <c r="BU376" s="1931"/>
      <c r="BV376" s="1931"/>
      <c r="BW376" s="1931"/>
      <c r="BX376" s="1931"/>
      <c r="BY376" s="1931"/>
      <c r="BZ376" s="1931"/>
      <c r="CA376" s="1931"/>
      <c r="CB376" s="1931"/>
      <c r="CC376" s="1931"/>
      <c r="CD376" s="1931"/>
      <c r="CE376" s="1930"/>
      <c r="CF376" s="1930"/>
      <c r="CG376" s="1930"/>
      <c r="CH376" s="1930"/>
      <c r="CI376" s="1931"/>
      <c r="CJ376" s="1931"/>
      <c r="CK376" s="1931"/>
      <c r="CL376" s="1931"/>
      <c r="CM376" s="1931"/>
      <c r="CN376" s="1931"/>
      <c r="CO376" s="1931"/>
      <c r="CP376" s="1931"/>
      <c r="CQ376" s="1931"/>
      <c r="CR376" s="1931"/>
      <c r="CS376" s="1931"/>
      <c r="CT376" s="1930"/>
      <c r="CU376" s="1930"/>
      <c r="CV376" s="1930"/>
      <c r="CW376" s="1930"/>
      <c r="CX376" s="1931"/>
      <c r="CY376" s="1931"/>
      <c r="CZ376" s="1931"/>
      <c r="DA376" s="1931"/>
      <c r="DB376" s="1932"/>
    </row>
    <row r="377" spans="2:106" hidden="1" outlineLevel="1" x14ac:dyDescent="0.25">
      <c r="D377" s="1300"/>
      <c r="E377" s="1381" t="s">
        <v>2908</v>
      </c>
      <c r="F377" s="1380">
        <v>0.8</v>
      </c>
      <c r="G377" s="1965"/>
      <c r="H377" s="1301"/>
      <c r="I377" s="1965"/>
      <c r="J377" s="1965"/>
      <c r="K377" s="1965"/>
      <c r="L377" s="1965"/>
      <c r="M377" s="1966"/>
      <c r="N377" s="1965"/>
      <c r="O377" s="1965"/>
      <c r="P377" s="1965"/>
      <c r="Q377" s="1965"/>
      <c r="R377" s="1965"/>
      <c r="S377" s="1965"/>
      <c r="T377" s="1965"/>
      <c r="U377" s="1965"/>
      <c r="V377" s="1931"/>
      <c r="W377" s="1931"/>
      <c r="X377" s="1931"/>
      <c r="Y377" s="1931"/>
      <c r="Z377" s="1931"/>
      <c r="AA377" s="1931"/>
      <c r="AB377" s="1931"/>
      <c r="AC377" s="1931"/>
      <c r="AD377" s="1931"/>
      <c r="AE377" s="1931"/>
      <c r="AF377" s="1931"/>
      <c r="AG377" s="1931"/>
      <c r="AH377" s="1931"/>
      <c r="AI377" s="1931"/>
      <c r="AJ377" s="1931"/>
      <c r="AK377" s="1931"/>
      <c r="AL377" s="1931"/>
      <c r="AM377" s="1931"/>
      <c r="AN377" s="1931"/>
      <c r="AO377" s="1931"/>
      <c r="AP377" s="1931"/>
      <c r="AQ377" s="1931"/>
      <c r="AR377" s="1931"/>
      <c r="AS377" s="1931"/>
      <c r="AT377" s="1931"/>
      <c r="AU377" s="1931"/>
      <c r="AV377" s="1931"/>
      <c r="AW377" s="1931"/>
      <c r="AX377" s="1931"/>
      <c r="AY377" s="1931"/>
      <c r="AZ377" s="1931"/>
      <c r="BA377" s="1931"/>
      <c r="BB377" s="1931"/>
      <c r="BC377" s="1931"/>
      <c r="BD377" s="1931"/>
      <c r="BE377" s="1931"/>
      <c r="BF377" s="1931"/>
      <c r="BG377" s="1931"/>
      <c r="BH377" s="1931"/>
      <c r="BI377" s="1931"/>
      <c r="BJ377" s="1931"/>
      <c r="BK377" s="1931"/>
      <c r="BL377" s="1931"/>
      <c r="BM377" s="1931"/>
      <c r="BN377" s="1931"/>
      <c r="BO377" s="1931"/>
      <c r="BP377" s="1931"/>
      <c r="BQ377" s="1931"/>
      <c r="BR377" s="1931"/>
      <c r="BS377" s="1931"/>
      <c r="BT377" s="1931"/>
      <c r="BU377" s="1931"/>
      <c r="BV377" s="1931"/>
      <c r="BW377" s="1931"/>
      <c r="BX377" s="1931"/>
      <c r="BY377" s="1931"/>
      <c r="BZ377" s="1931"/>
      <c r="CA377" s="1931"/>
      <c r="CB377" s="1931"/>
      <c r="CC377" s="1931"/>
      <c r="CD377" s="1931"/>
      <c r="CE377" s="1930"/>
      <c r="CF377" s="1930"/>
      <c r="CG377" s="1930"/>
      <c r="CH377" s="1930"/>
      <c r="CI377" s="1931"/>
      <c r="CJ377" s="1931"/>
      <c r="CK377" s="1931"/>
      <c r="CL377" s="1931"/>
      <c r="CM377" s="1931"/>
      <c r="CN377" s="1931"/>
      <c r="CO377" s="1931"/>
      <c r="CP377" s="1931"/>
      <c r="CQ377" s="1931"/>
      <c r="CR377" s="1931"/>
      <c r="CS377" s="1931"/>
      <c r="CT377" s="1930"/>
      <c r="CU377" s="1930"/>
      <c r="CV377" s="1930"/>
      <c r="CW377" s="1930"/>
      <c r="CX377" s="1931"/>
      <c r="CY377" s="1931"/>
      <c r="CZ377" s="1931"/>
      <c r="DA377" s="1931"/>
      <c r="DB377" s="1932"/>
    </row>
    <row r="378" spans="2:106" hidden="1" outlineLevel="1" x14ac:dyDescent="0.25">
      <c r="D378" s="1300"/>
      <c r="E378" s="1381" t="s">
        <v>2909</v>
      </c>
      <c r="F378" s="1380">
        <v>0.78</v>
      </c>
      <c r="G378" s="1965"/>
      <c r="H378" s="1301"/>
      <c r="I378" s="1965"/>
      <c r="J378" s="1965"/>
      <c r="K378" s="1965"/>
      <c r="L378" s="1965"/>
      <c r="M378" s="1966"/>
      <c r="N378" s="1965"/>
      <c r="O378" s="1965"/>
      <c r="P378" s="1965"/>
      <c r="Q378" s="1965"/>
      <c r="R378" s="1965"/>
      <c r="S378" s="1965"/>
      <c r="T378" s="1965"/>
      <c r="U378" s="1965"/>
      <c r="V378" s="1931"/>
      <c r="W378" s="1931"/>
      <c r="X378" s="1931"/>
      <c r="Y378" s="1931"/>
      <c r="Z378" s="1931"/>
      <c r="AA378" s="1931"/>
      <c r="AB378" s="1931"/>
      <c r="AC378" s="1931"/>
      <c r="AD378" s="1931"/>
      <c r="AE378" s="1931"/>
      <c r="AF378" s="1931"/>
      <c r="AG378" s="1931"/>
      <c r="AH378" s="1931"/>
      <c r="AI378" s="1931"/>
      <c r="AJ378" s="1931"/>
      <c r="AK378" s="1931"/>
      <c r="AL378" s="1931"/>
      <c r="AM378" s="1931"/>
      <c r="AN378" s="1931"/>
      <c r="AO378" s="1931"/>
      <c r="AP378" s="1931"/>
      <c r="AQ378" s="1931"/>
      <c r="AR378" s="1931"/>
      <c r="AS378" s="1931"/>
      <c r="AT378" s="1931"/>
      <c r="AU378" s="1931"/>
      <c r="AV378" s="1931"/>
      <c r="AW378" s="1931"/>
      <c r="AX378" s="1931"/>
      <c r="AY378" s="1931"/>
      <c r="AZ378" s="1931"/>
      <c r="BA378" s="1931"/>
      <c r="BB378" s="1931"/>
      <c r="BC378" s="1931"/>
      <c r="BD378" s="1931"/>
      <c r="BE378" s="1931"/>
      <c r="BF378" s="1931"/>
      <c r="BG378" s="1931"/>
      <c r="BH378" s="1931"/>
      <c r="BI378" s="1931"/>
      <c r="BJ378" s="1931"/>
      <c r="BK378" s="1931"/>
      <c r="BL378" s="1931"/>
      <c r="BM378" s="1931"/>
      <c r="BN378" s="1931"/>
      <c r="BO378" s="1931"/>
      <c r="BP378" s="1931"/>
      <c r="BQ378" s="1931"/>
      <c r="BR378" s="1931"/>
      <c r="BS378" s="1931"/>
      <c r="BT378" s="1931"/>
      <c r="BU378" s="1931"/>
      <c r="BV378" s="1931"/>
      <c r="BW378" s="1931"/>
      <c r="BX378" s="1931"/>
      <c r="BY378" s="1931"/>
      <c r="BZ378" s="1931"/>
      <c r="CA378" s="1931"/>
      <c r="CB378" s="1931"/>
      <c r="CC378" s="1931"/>
      <c r="CD378" s="1931"/>
      <c r="CE378" s="1930"/>
      <c r="CF378" s="1930"/>
      <c r="CG378" s="1930"/>
      <c r="CH378" s="1930"/>
      <c r="CI378" s="1931"/>
      <c r="CJ378" s="1931"/>
      <c r="CK378" s="1931"/>
      <c r="CL378" s="1931"/>
      <c r="CM378" s="1931"/>
      <c r="CN378" s="1931"/>
      <c r="CO378" s="1931"/>
      <c r="CP378" s="1931"/>
      <c r="CQ378" s="1931"/>
      <c r="CR378" s="1931"/>
      <c r="CS378" s="1931"/>
      <c r="CT378" s="1930"/>
      <c r="CU378" s="1930"/>
      <c r="CV378" s="1930"/>
      <c r="CW378" s="1930"/>
      <c r="CX378" s="1931"/>
      <c r="CY378" s="1931"/>
      <c r="CZ378" s="1931"/>
      <c r="DA378" s="1931"/>
      <c r="DB378" s="1932"/>
    </row>
    <row r="379" spans="2:106" hidden="1" outlineLevel="1" x14ac:dyDescent="0.25">
      <c r="D379" s="1300"/>
      <c r="E379" s="1381" t="s">
        <v>2910</v>
      </c>
      <c r="F379" s="1380">
        <v>0.69</v>
      </c>
      <c r="G379" s="1965"/>
      <c r="H379" s="1301"/>
      <c r="I379" s="1965"/>
      <c r="J379" s="1965"/>
      <c r="K379" s="1965"/>
      <c r="L379" s="1965"/>
      <c r="M379" s="1966"/>
      <c r="N379" s="1965"/>
      <c r="O379" s="1965"/>
      <c r="P379" s="1965"/>
      <c r="Q379" s="1965"/>
      <c r="R379" s="1965"/>
      <c r="S379" s="1965"/>
      <c r="T379" s="1965"/>
      <c r="U379" s="1965"/>
      <c r="V379" s="1931"/>
      <c r="W379" s="1931"/>
      <c r="X379" s="1931"/>
      <c r="Y379" s="1931"/>
      <c r="Z379" s="1931"/>
      <c r="AA379" s="1931"/>
      <c r="AB379" s="1931"/>
      <c r="AC379" s="1931"/>
      <c r="AD379" s="1931"/>
      <c r="AE379" s="1931"/>
      <c r="AF379" s="1931"/>
      <c r="AG379" s="1931"/>
      <c r="AH379" s="1931"/>
      <c r="AI379" s="1931"/>
      <c r="AJ379" s="1931"/>
      <c r="AK379" s="1931"/>
      <c r="AL379" s="1931"/>
      <c r="AM379" s="1931"/>
      <c r="AN379" s="1931"/>
      <c r="AO379" s="1931"/>
      <c r="AP379" s="1931"/>
      <c r="AQ379" s="1931"/>
      <c r="AR379" s="1931"/>
      <c r="AS379" s="1931"/>
      <c r="AT379" s="1931"/>
      <c r="AU379" s="1931"/>
      <c r="AV379" s="1931"/>
      <c r="AW379" s="1931"/>
      <c r="AX379" s="1931"/>
      <c r="AY379" s="1931"/>
      <c r="AZ379" s="1931"/>
      <c r="BA379" s="1931"/>
      <c r="BB379" s="1931"/>
      <c r="BC379" s="1931"/>
      <c r="BD379" s="1931"/>
      <c r="BE379" s="1931"/>
      <c r="BF379" s="1931"/>
      <c r="BG379" s="1931"/>
      <c r="BH379" s="1931"/>
      <c r="BI379" s="1931"/>
      <c r="BJ379" s="1931"/>
      <c r="BK379" s="1931"/>
      <c r="BL379" s="1931"/>
      <c r="BM379" s="1931"/>
      <c r="BN379" s="1931"/>
      <c r="BO379" s="1931"/>
      <c r="BP379" s="1931"/>
      <c r="BQ379" s="1931"/>
      <c r="BR379" s="1931"/>
      <c r="BS379" s="1931"/>
      <c r="BT379" s="1931"/>
      <c r="BU379" s="1931"/>
      <c r="BV379" s="1931"/>
      <c r="BW379" s="1931"/>
      <c r="BX379" s="1931"/>
      <c r="BY379" s="1931"/>
      <c r="BZ379" s="1931"/>
      <c r="CA379" s="1931"/>
      <c r="CB379" s="1931"/>
      <c r="CC379" s="1931"/>
      <c r="CD379" s="1931"/>
      <c r="CE379" s="1930"/>
      <c r="CF379" s="1930"/>
      <c r="CG379" s="1930"/>
      <c r="CH379" s="1930"/>
      <c r="CI379" s="1931"/>
      <c r="CJ379" s="1931"/>
      <c r="CK379" s="1931"/>
      <c r="CL379" s="1931"/>
      <c r="CM379" s="1931"/>
      <c r="CN379" s="1931"/>
      <c r="CO379" s="1931"/>
      <c r="CP379" s="1931"/>
      <c r="CQ379" s="1931"/>
      <c r="CR379" s="1931"/>
      <c r="CS379" s="1931"/>
      <c r="CT379" s="1930"/>
      <c r="CU379" s="1930"/>
      <c r="CV379" s="1930"/>
      <c r="CW379" s="1930"/>
      <c r="CX379" s="1931"/>
      <c r="CY379" s="1931"/>
      <c r="CZ379" s="1931"/>
      <c r="DA379" s="1931"/>
      <c r="DB379" s="1932"/>
    </row>
    <row r="380" spans="2:106" hidden="1" outlineLevel="1" x14ac:dyDescent="0.25">
      <c r="D380" s="1300"/>
      <c r="E380" s="1381" t="s">
        <v>2911</v>
      </c>
      <c r="F380" s="1380">
        <v>0.63</v>
      </c>
      <c r="G380" s="1965"/>
      <c r="H380" s="1301"/>
      <c r="I380" s="1965"/>
      <c r="J380" s="1965"/>
      <c r="K380" s="1965"/>
      <c r="L380" s="1965"/>
      <c r="M380" s="1966"/>
      <c r="N380" s="1965"/>
      <c r="O380" s="1965"/>
      <c r="P380" s="1965"/>
      <c r="Q380" s="1965"/>
      <c r="R380" s="1965"/>
      <c r="S380" s="1965"/>
      <c r="T380" s="1965"/>
      <c r="U380" s="1965"/>
      <c r="V380" s="1931"/>
      <c r="W380" s="1931"/>
      <c r="X380" s="1931"/>
      <c r="Y380" s="1931"/>
      <c r="Z380" s="1931"/>
      <c r="AA380" s="1931"/>
      <c r="AB380" s="1931"/>
      <c r="AC380" s="1931"/>
      <c r="AD380" s="1931"/>
      <c r="AE380" s="1931"/>
      <c r="AF380" s="1931"/>
      <c r="AG380" s="1931"/>
      <c r="AH380" s="1931"/>
      <c r="AI380" s="1931"/>
      <c r="AJ380" s="1931"/>
      <c r="AK380" s="1931"/>
      <c r="AL380" s="1931"/>
      <c r="AM380" s="1931"/>
      <c r="AN380" s="1931"/>
      <c r="AO380" s="1931"/>
      <c r="AP380" s="1931"/>
      <c r="AQ380" s="1931"/>
      <c r="AR380" s="1931"/>
      <c r="AS380" s="1931"/>
      <c r="AT380" s="1931"/>
      <c r="AU380" s="1931"/>
      <c r="AV380" s="1931"/>
      <c r="AW380" s="1931"/>
      <c r="AX380" s="1931"/>
      <c r="AY380" s="1931"/>
      <c r="AZ380" s="1931"/>
      <c r="BA380" s="1931"/>
      <c r="BB380" s="1931"/>
      <c r="BC380" s="1931"/>
      <c r="BD380" s="1931"/>
      <c r="BE380" s="1931"/>
      <c r="BF380" s="1931"/>
      <c r="BG380" s="1931"/>
      <c r="BH380" s="1931"/>
      <c r="BI380" s="1931"/>
      <c r="BJ380" s="1931"/>
      <c r="BK380" s="1931"/>
      <c r="BL380" s="1931"/>
      <c r="BM380" s="1931"/>
      <c r="BN380" s="1931"/>
      <c r="BO380" s="1931"/>
      <c r="BP380" s="1931"/>
      <c r="BQ380" s="1931"/>
      <c r="BR380" s="1931"/>
      <c r="BS380" s="1931"/>
      <c r="BT380" s="1931"/>
      <c r="BU380" s="1931"/>
      <c r="BV380" s="1931"/>
      <c r="BW380" s="1931"/>
      <c r="BX380" s="1931"/>
      <c r="BY380" s="1931"/>
      <c r="BZ380" s="1931"/>
      <c r="CA380" s="1931"/>
      <c r="CB380" s="1931"/>
      <c r="CC380" s="1931"/>
      <c r="CD380" s="1931"/>
      <c r="CE380" s="1930"/>
      <c r="CF380" s="1930"/>
      <c r="CG380" s="1930"/>
      <c r="CH380" s="1930"/>
      <c r="CI380" s="1931"/>
      <c r="CJ380" s="1931"/>
      <c r="CK380" s="1931"/>
      <c r="CL380" s="1931"/>
      <c r="CM380" s="1931"/>
      <c r="CN380" s="1931"/>
      <c r="CO380" s="1931"/>
      <c r="CP380" s="1931"/>
      <c r="CQ380" s="1931"/>
      <c r="CR380" s="1931"/>
      <c r="CS380" s="1931"/>
      <c r="CT380" s="1930"/>
      <c r="CU380" s="1930"/>
      <c r="CV380" s="1930"/>
      <c r="CW380" s="1930"/>
      <c r="CX380" s="1931"/>
      <c r="CY380" s="1931"/>
      <c r="CZ380" s="1931"/>
      <c r="DA380" s="1931"/>
      <c r="DB380" s="1932"/>
    </row>
    <row r="381" spans="2:106" hidden="1" outlineLevel="1" x14ac:dyDescent="0.25">
      <c r="D381" s="1300"/>
      <c r="E381" s="1381" t="s">
        <v>2912</v>
      </c>
      <c r="F381" s="1380">
        <v>0.53</v>
      </c>
      <c r="G381" s="1965"/>
      <c r="H381" s="1301"/>
      <c r="I381" s="1965"/>
      <c r="J381" s="1965"/>
      <c r="K381" s="1965"/>
      <c r="L381" s="1965"/>
      <c r="M381" s="1966"/>
      <c r="N381" s="1965"/>
      <c r="O381" s="1965"/>
      <c r="P381" s="1965"/>
      <c r="Q381" s="1965"/>
      <c r="R381" s="1965"/>
      <c r="S381" s="1965"/>
      <c r="T381" s="1965"/>
      <c r="U381" s="1965"/>
      <c r="V381" s="1931"/>
      <c r="W381" s="1931"/>
      <c r="X381" s="1931"/>
      <c r="Y381" s="1931"/>
      <c r="Z381" s="1931"/>
      <c r="AA381" s="1931"/>
      <c r="AB381" s="1931"/>
      <c r="AC381" s="1931"/>
      <c r="AD381" s="1931"/>
      <c r="AE381" s="1931"/>
      <c r="AF381" s="1931"/>
      <c r="AG381" s="1931"/>
      <c r="AH381" s="1931"/>
      <c r="AI381" s="1931"/>
      <c r="AJ381" s="1931"/>
      <c r="AK381" s="1931"/>
      <c r="AL381" s="1931"/>
      <c r="AM381" s="1931"/>
      <c r="AN381" s="1931"/>
      <c r="AO381" s="1931"/>
      <c r="AP381" s="1931"/>
      <c r="AQ381" s="1931"/>
      <c r="AR381" s="1931"/>
      <c r="AS381" s="1931"/>
      <c r="AT381" s="1931"/>
      <c r="AU381" s="1931"/>
      <c r="AV381" s="1931"/>
      <c r="AW381" s="1931"/>
      <c r="AX381" s="1931"/>
      <c r="AY381" s="1931"/>
      <c r="AZ381" s="1931"/>
      <c r="BA381" s="1931"/>
      <c r="BB381" s="1931"/>
      <c r="BC381" s="1931"/>
      <c r="BD381" s="1931"/>
      <c r="BE381" s="1931"/>
      <c r="BF381" s="1931"/>
      <c r="BG381" s="1931"/>
      <c r="BH381" s="1931"/>
      <c r="BI381" s="1931"/>
      <c r="BJ381" s="1931"/>
      <c r="BK381" s="1931"/>
      <c r="BL381" s="1931"/>
      <c r="BM381" s="1931"/>
      <c r="BN381" s="1931"/>
      <c r="BO381" s="1931"/>
      <c r="BP381" s="1931"/>
      <c r="BQ381" s="1931"/>
      <c r="BR381" s="1931"/>
      <c r="BS381" s="1931"/>
      <c r="BT381" s="1931"/>
      <c r="BU381" s="1931"/>
      <c r="BV381" s="1931"/>
      <c r="BW381" s="1931"/>
      <c r="BX381" s="1931"/>
      <c r="BY381" s="1931"/>
      <c r="BZ381" s="1931"/>
      <c r="CA381" s="1931"/>
      <c r="CB381" s="1931"/>
      <c r="CC381" s="1931"/>
      <c r="CD381" s="1931"/>
      <c r="CE381" s="1930"/>
      <c r="CF381" s="1930"/>
      <c r="CG381" s="1930"/>
      <c r="CH381" s="1930"/>
      <c r="CI381" s="1931"/>
      <c r="CJ381" s="1931"/>
      <c r="CK381" s="1931"/>
      <c r="CL381" s="1931"/>
      <c r="CM381" s="1931"/>
      <c r="CN381" s="1931"/>
      <c r="CO381" s="1931"/>
      <c r="CP381" s="1931"/>
      <c r="CQ381" s="1931"/>
      <c r="CR381" s="1931"/>
      <c r="CS381" s="1931"/>
      <c r="CT381" s="1930"/>
      <c r="CU381" s="1930"/>
      <c r="CV381" s="1930"/>
      <c r="CW381" s="1930"/>
      <c r="CX381" s="1931"/>
      <c r="CY381" s="1931"/>
      <c r="CZ381" s="1931"/>
      <c r="DA381" s="1931"/>
      <c r="DB381" s="1932"/>
    </row>
    <row r="382" spans="2:106" hidden="1" outlineLevel="1" x14ac:dyDescent="0.25">
      <c r="D382" s="1300"/>
      <c r="E382" s="1381" t="s">
        <v>2913</v>
      </c>
      <c r="F382" s="1380">
        <v>0.53</v>
      </c>
      <c r="G382" s="1965"/>
      <c r="H382" s="1301"/>
      <c r="I382" s="1965"/>
      <c r="J382" s="1965"/>
      <c r="K382" s="1965"/>
      <c r="L382" s="1965"/>
      <c r="M382" s="1966"/>
      <c r="N382" s="1965"/>
      <c r="O382" s="1965"/>
      <c r="P382" s="1965"/>
      <c r="Q382" s="1965"/>
      <c r="R382" s="1965"/>
      <c r="S382" s="1965"/>
      <c r="T382" s="1965"/>
      <c r="U382" s="1965"/>
      <c r="V382" s="1931"/>
      <c r="W382" s="1931"/>
      <c r="X382" s="1931"/>
      <c r="Y382" s="1931"/>
      <c r="Z382" s="1931"/>
      <c r="AA382" s="1931"/>
      <c r="AB382" s="1931"/>
      <c r="AC382" s="1931"/>
      <c r="AD382" s="1931"/>
      <c r="AE382" s="1931"/>
      <c r="AF382" s="1931"/>
      <c r="AG382" s="1931"/>
      <c r="AH382" s="1931"/>
      <c r="AI382" s="1931"/>
      <c r="AJ382" s="1931"/>
      <c r="AK382" s="1931"/>
      <c r="AL382" s="1931"/>
      <c r="AM382" s="1931"/>
      <c r="AN382" s="1931"/>
      <c r="AO382" s="1931"/>
      <c r="AP382" s="1931"/>
      <c r="AQ382" s="1931"/>
      <c r="AR382" s="1931"/>
      <c r="AS382" s="1931"/>
      <c r="AT382" s="1931"/>
      <c r="AU382" s="1931"/>
      <c r="AV382" s="1931"/>
      <c r="AW382" s="1931"/>
      <c r="AX382" s="1931"/>
      <c r="AY382" s="1931"/>
      <c r="AZ382" s="1931"/>
      <c r="BA382" s="1931"/>
      <c r="BB382" s="1931"/>
      <c r="BC382" s="1931"/>
      <c r="BD382" s="1931"/>
      <c r="BE382" s="1931"/>
      <c r="BF382" s="1931"/>
      <c r="BG382" s="1931"/>
      <c r="BH382" s="1931"/>
      <c r="BI382" s="1931"/>
      <c r="BJ382" s="1931"/>
      <c r="BK382" s="1931"/>
      <c r="BL382" s="1931"/>
      <c r="BM382" s="1931"/>
      <c r="BN382" s="1931"/>
      <c r="BO382" s="1931"/>
      <c r="BP382" s="1931"/>
      <c r="BQ382" s="1931"/>
      <c r="BR382" s="1931"/>
      <c r="BS382" s="1931"/>
      <c r="BT382" s="1931"/>
      <c r="BU382" s="1931"/>
      <c r="BV382" s="1931"/>
      <c r="BW382" s="1931"/>
      <c r="BX382" s="1931"/>
      <c r="BY382" s="1931"/>
      <c r="BZ382" s="1931"/>
      <c r="CA382" s="1931"/>
      <c r="CB382" s="1931"/>
      <c r="CC382" s="1931"/>
      <c r="CD382" s="1931"/>
      <c r="CE382" s="1930"/>
      <c r="CF382" s="1930"/>
      <c r="CG382" s="1930"/>
      <c r="CH382" s="1930"/>
      <c r="CI382" s="1931"/>
      <c r="CJ382" s="1931"/>
      <c r="CK382" s="1931"/>
      <c r="CL382" s="1931"/>
      <c r="CM382" s="1931"/>
      <c r="CN382" s="1931"/>
      <c r="CO382" s="1931"/>
      <c r="CP382" s="1931"/>
      <c r="CQ382" s="1931"/>
      <c r="CR382" s="1931"/>
      <c r="CS382" s="1931"/>
      <c r="CT382" s="1930"/>
      <c r="CU382" s="1930"/>
      <c r="CV382" s="1930"/>
      <c r="CW382" s="1930"/>
      <c r="CX382" s="1931"/>
      <c r="CY382" s="1931"/>
      <c r="CZ382" s="1931"/>
      <c r="DA382" s="1931"/>
      <c r="DB382" s="1932"/>
    </row>
    <row r="383" spans="2:106" hidden="1" outlineLevel="1" x14ac:dyDescent="0.25">
      <c r="D383" s="1300"/>
      <c r="E383" s="1381" t="s">
        <v>2914</v>
      </c>
      <c r="F383" s="1380">
        <v>0.49</v>
      </c>
      <c r="G383" s="1965"/>
      <c r="H383" s="1301"/>
      <c r="I383" s="1965"/>
      <c r="J383" s="1965"/>
      <c r="K383" s="1965"/>
      <c r="L383" s="1965"/>
      <c r="M383" s="1966"/>
      <c r="N383" s="1965"/>
      <c r="O383" s="1965"/>
      <c r="P383" s="1965"/>
      <c r="Q383" s="1965"/>
      <c r="R383" s="1965"/>
      <c r="S383" s="1965"/>
      <c r="T383" s="1965"/>
      <c r="U383" s="1965"/>
      <c r="V383" s="1931"/>
      <c r="W383" s="1931"/>
      <c r="X383" s="1931"/>
      <c r="Y383" s="1931"/>
      <c r="Z383" s="1931"/>
      <c r="AA383" s="1931"/>
      <c r="AB383" s="1931"/>
      <c r="AC383" s="1931"/>
      <c r="AD383" s="1931"/>
      <c r="AE383" s="1931"/>
      <c r="AF383" s="1931"/>
      <c r="AG383" s="1931"/>
      <c r="AH383" s="1931"/>
      <c r="AI383" s="1931"/>
      <c r="AJ383" s="1931"/>
      <c r="AK383" s="1931"/>
      <c r="AL383" s="1931"/>
      <c r="AM383" s="1931"/>
      <c r="AN383" s="1931"/>
      <c r="AO383" s="1931"/>
      <c r="AP383" s="1931"/>
      <c r="AQ383" s="1931"/>
      <c r="AR383" s="1931"/>
      <c r="AS383" s="1931"/>
      <c r="AT383" s="1931"/>
      <c r="AU383" s="1931"/>
      <c r="AV383" s="1931"/>
      <c r="AW383" s="1931"/>
      <c r="AX383" s="1931"/>
      <c r="AY383" s="1931"/>
      <c r="AZ383" s="1931"/>
      <c r="BA383" s="1931"/>
      <c r="BB383" s="1931"/>
      <c r="BC383" s="1931"/>
      <c r="BD383" s="1931"/>
      <c r="BE383" s="1931"/>
      <c r="BF383" s="1931"/>
      <c r="BG383" s="1931"/>
      <c r="BH383" s="1931"/>
      <c r="BI383" s="1931"/>
      <c r="BJ383" s="1931"/>
      <c r="BK383" s="1931"/>
      <c r="BL383" s="1931"/>
      <c r="BM383" s="1931"/>
      <c r="BN383" s="1931"/>
      <c r="BO383" s="1931"/>
      <c r="BP383" s="1931"/>
      <c r="BQ383" s="1931"/>
      <c r="BR383" s="1931"/>
      <c r="BS383" s="1931"/>
      <c r="BT383" s="1931"/>
      <c r="BU383" s="1931"/>
      <c r="BV383" s="1931"/>
      <c r="BW383" s="1931"/>
      <c r="BX383" s="1931"/>
      <c r="BY383" s="1931"/>
      <c r="BZ383" s="1931"/>
      <c r="CA383" s="1931"/>
      <c r="CB383" s="1931"/>
      <c r="CC383" s="1931"/>
      <c r="CD383" s="1931"/>
      <c r="CE383" s="1930"/>
      <c r="CF383" s="1930"/>
      <c r="CG383" s="1930"/>
      <c r="CH383" s="1930"/>
      <c r="CI383" s="1931"/>
      <c r="CJ383" s="1931"/>
      <c r="CK383" s="1931"/>
      <c r="CL383" s="1931"/>
      <c r="CM383" s="1931"/>
      <c r="CN383" s="1931"/>
      <c r="CO383" s="1931"/>
      <c r="CP383" s="1931"/>
      <c r="CQ383" s="1931"/>
      <c r="CR383" s="1931"/>
      <c r="CS383" s="1931"/>
      <c r="CT383" s="1930"/>
      <c r="CU383" s="1930"/>
      <c r="CV383" s="1930"/>
      <c r="CW383" s="1930"/>
      <c r="CX383" s="1931"/>
      <c r="CY383" s="1931"/>
      <c r="CZ383" s="1931"/>
      <c r="DA383" s="1931"/>
      <c r="DB383" s="1932"/>
    </row>
    <row r="384" spans="2:106" hidden="1" outlineLevel="1" x14ac:dyDescent="0.25">
      <c r="D384" s="1300"/>
      <c r="E384" s="1381" t="s">
        <v>2915</v>
      </c>
      <c r="F384" s="1380">
        <v>0.39</v>
      </c>
      <c r="G384" s="1965"/>
      <c r="H384" s="1301"/>
      <c r="I384" s="1965"/>
      <c r="J384" s="1965"/>
      <c r="K384" s="1965"/>
      <c r="L384" s="1965"/>
      <c r="M384" s="1966"/>
      <c r="N384" s="1965"/>
      <c r="O384" s="1965"/>
      <c r="P384" s="1965"/>
      <c r="Q384" s="1965"/>
      <c r="R384" s="1965"/>
      <c r="S384" s="1965"/>
      <c r="T384" s="1965"/>
      <c r="U384" s="1965"/>
      <c r="V384" s="1931"/>
      <c r="W384" s="1931"/>
      <c r="X384" s="1931"/>
      <c r="Y384" s="1931"/>
      <c r="Z384" s="1931"/>
      <c r="AA384" s="1931"/>
      <c r="AB384" s="1931"/>
      <c r="AC384" s="1931"/>
      <c r="AD384" s="1931"/>
      <c r="AE384" s="1931"/>
      <c r="AF384" s="1931"/>
      <c r="AG384" s="1931"/>
      <c r="AH384" s="1931"/>
      <c r="AI384" s="1931"/>
      <c r="AJ384" s="1931"/>
      <c r="AK384" s="1931"/>
      <c r="AL384" s="1931"/>
      <c r="AM384" s="1931"/>
      <c r="AN384" s="1931"/>
      <c r="AO384" s="1931"/>
      <c r="AP384" s="1931"/>
      <c r="AQ384" s="1931"/>
      <c r="AR384" s="1931"/>
      <c r="AS384" s="1931"/>
      <c r="AT384" s="1931"/>
      <c r="AU384" s="1931"/>
      <c r="AV384" s="1931"/>
      <c r="AW384" s="1931"/>
      <c r="AX384" s="1931"/>
      <c r="AY384" s="1931"/>
      <c r="AZ384" s="1931"/>
      <c r="BA384" s="1931"/>
      <c r="BB384" s="1931"/>
      <c r="BC384" s="1931"/>
      <c r="BD384" s="1931"/>
      <c r="BE384" s="1931"/>
      <c r="BF384" s="1931"/>
      <c r="BG384" s="1931"/>
      <c r="BH384" s="1931"/>
      <c r="BI384" s="1931"/>
      <c r="BJ384" s="1931"/>
      <c r="BK384" s="1931"/>
      <c r="BL384" s="1931"/>
      <c r="BM384" s="1931"/>
      <c r="BN384" s="1931"/>
      <c r="BO384" s="1931"/>
      <c r="BP384" s="1931"/>
      <c r="BQ384" s="1931"/>
      <c r="BR384" s="1931"/>
      <c r="BS384" s="1931"/>
      <c r="BT384" s="1931"/>
      <c r="BU384" s="1931"/>
      <c r="BV384" s="1931"/>
      <c r="BW384" s="1931"/>
      <c r="BX384" s="1931"/>
      <c r="BY384" s="1931"/>
      <c r="BZ384" s="1931"/>
      <c r="CA384" s="1931"/>
      <c r="CB384" s="1931"/>
      <c r="CC384" s="1931"/>
      <c r="CD384" s="1931"/>
      <c r="CE384" s="1930"/>
      <c r="CF384" s="1930"/>
      <c r="CG384" s="1930"/>
      <c r="CH384" s="1930"/>
      <c r="CI384" s="1931"/>
      <c r="CJ384" s="1931"/>
      <c r="CK384" s="1931"/>
      <c r="CL384" s="1931"/>
      <c r="CM384" s="1931"/>
      <c r="CN384" s="1931"/>
      <c r="CO384" s="1931"/>
      <c r="CP384" s="1931"/>
      <c r="CQ384" s="1931"/>
      <c r="CR384" s="1931"/>
      <c r="CS384" s="1931"/>
      <c r="CT384" s="1930"/>
      <c r="CU384" s="1930"/>
      <c r="CV384" s="1930"/>
      <c r="CW384" s="1930"/>
      <c r="CX384" s="1931"/>
      <c r="CY384" s="1931"/>
      <c r="CZ384" s="1931"/>
      <c r="DA384" s="1931"/>
      <c r="DB384" s="1932"/>
    </row>
    <row r="385" spans="2:109" hidden="1" outlineLevel="1" x14ac:dyDescent="0.25">
      <c r="D385" s="1300"/>
      <c r="E385" s="1381" t="s">
        <v>2916</v>
      </c>
      <c r="F385" s="1380">
        <v>0.3</v>
      </c>
      <c r="G385" s="1965"/>
      <c r="H385" s="1301"/>
      <c r="I385" s="1965"/>
      <c r="J385" s="1965"/>
      <c r="K385" s="1965"/>
      <c r="L385" s="1965"/>
      <c r="M385" s="1966"/>
      <c r="N385" s="1965"/>
      <c r="O385" s="1965"/>
      <c r="P385" s="1965"/>
      <c r="Q385" s="1965"/>
      <c r="R385" s="1965"/>
      <c r="S385" s="1965"/>
      <c r="T385" s="1965"/>
      <c r="U385" s="1965"/>
      <c r="V385" s="1931"/>
      <c r="W385" s="1931"/>
      <c r="X385" s="1931"/>
      <c r="Y385" s="1931"/>
      <c r="Z385" s="1931"/>
      <c r="AA385" s="1931"/>
      <c r="AB385" s="1931"/>
      <c r="AC385" s="1931"/>
      <c r="AD385" s="1931"/>
      <c r="AE385" s="1931"/>
      <c r="AF385" s="1931"/>
      <c r="AG385" s="1931"/>
      <c r="AH385" s="1931"/>
      <c r="AI385" s="1931"/>
      <c r="AJ385" s="1931"/>
      <c r="AK385" s="1931"/>
      <c r="AL385" s="1931"/>
      <c r="AM385" s="1931"/>
      <c r="AN385" s="1931"/>
      <c r="AO385" s="1931"/>
      <c r="AP385" s="1931"/>
      <c r="AQ385" s="1931"/>
      <c r="AR385" s="1931"/>
      <c r="AS385" s="1931"/>
      <c r="AT385" s="1931"/>
      <c r="AU385" s="1931"/>
      <c r="AV385" s="1931"/>
      <c r="AW385" s="1931"/>
      <c r="AX385" s="1931"/>
      <c r="AY385" s="1931"/>
      <c r="AZ385" s="1931"/>
      <c r="BA385" s="1931"/>
      <c r="BB385" s="1931"/>
      <c r="BC385" s="1931"/>
      <c r="BD385" s="1931"/>
      <c r="BE385" s="1931"/>
      <c r="BF385" s="1931"/>
      <c r="BG385" s="1931"/>
      <c r="BH385" s="1931"/>
      <c r="BI385" s="1931"/>
      <c r="BJ385" s="1931"/>
      <c r="BK385" s="1931"/>
      <c r="BL385" s="1931"/>
      <c r="BM385" s="1931"/>
      <c r="BN385" s="1931"/>
      <c r="BO385" s="1931"/>
      <c r="BP385" s="1931"/>
      <c r="BQ385" s="1931"/>
      <c r="BR385" s="1931"/>
      <c r="BS385" s="1931"/>
      <c r="BT385" s="1931"/>
      <c r="BU385" s="1931"/>
      <c r="BV385" s="1931"/>
      <c r="BW385" s="1931"/>
      <c r="BX385" s="1931"/>
      <c r="BY385" s="1931"/>
      <c r="BZ385" s="1931"/>
      <c r="CA385" s="1931"/>
      <c r="CB385" s="1931"/>
      <c r="CC385" s="1931"/>
      <c r="CD385" s="1931"/>
      <c r="CE385" s="1930"/>
      <c r="CF385" s="1930"/>
      <c r="CG385" s="1930"/>
      <c r="CH385" s="1930"/>
      <c r="CI385" s="1931"/>
      <c r="CJ385" s="1931"/>
      <c r="CK385" s="1931"/>
      <c r="CL385" s="1931"/>
      <c r="CM385" s="1931"/>
      <c r="CN385" s="1931"/>
      <c r="CO385" s="1931"/>
      <c r="CP385" s="1931"/>
      <c r="CQ385" s="1931"/>
      <c r="CR385" s="1931"/>
      <c r="CS385" s="1931"/>
      <c r="CT385" s="1930"/>
      <c r="CU385" s="1930"/>
      <c r="CV385" s="1930"/>
      <c r="CW385" s="1930"/>
      <c r="CX385" s="1931"/>
      <c r="CY385" s="1931"/>
      <c r="CZ385" s="1931"/>
      <c r="DA385" s="1931"/>
      <c r="DB385" s="1932"/>
    </row>
    <row r="386" spans="2:109" ht="15.75" hidden="1" outlineLevel="1" thickBot="1" x14ac:dyDescent="0.3">
      <c r="D386" s="1300"/>
      <c r="E386" s="1382" t="s">
        <v>2917</v>
      </c>
      <c r="F386" s="1383">
        <v>0.27</v>
      </c>
      <c r="G386" s="1965"/>
      <c r="H386" s="1301"/>
      <c r="I386" s="1965"/>
      <c r="J386" s="1965"/>
      <c r="K386" s="1965"/>
      <c r="L386" s="1965"/>
      <c r="M386" s="1966"/>
      <c r="N386" s="1965"/>
      <c r="O386" s="1965"/>
      <c r="P386" s="1965"/>
      <c r="Q386" s="1965"/>
      <c r="R386" s="1965"/>
      <c r="S386" s="1965"/>
      <c r="T386" s="1965"/>
      <c r="U386" s="1965"/>
      <c r="V386" s="1931"/>
      <c r="W386" s="1931"/>
      <c r="X386" s="1931"/>
      <c r="Y386" s="1931"/>
      <c r="Z386" s="1931"/>
      <c r="AA386" s="1931"/>
      <c r="AB386" s="1931"/>
      <c r="AC386" s="1931"/>
      <c r="AD386" s="1931"/>
      <c r="AE386" s="1931"/>
      <c r="AF386" s="1931"/>
      <c r="AG386" s="1931"/>
      <c r="AH386" s="1931"/>
      <c r="AI386" s="1931"/>
      <c r="AJ386" s="1931"/>
      <c r="AK386" s="1931"/>
      <c r="AL386" s="1931"/>
      <c r="AM386" s="1931"/>
      <c r="AN386" s="1931"/>
      <c r="AO386" s="1931"/>
      <c r="AP386" s="1931"/>
      <c r="AQ386" s="1931"/>
      <c r="AR386" s="1931"/>
      <c r="AS386" s="1931"/>
      <c r="AT386" s="1931"/>
      <c r="AU386" s="1931"/>
      <c r="AV386" s="1931"/>
      <c r="AW386" s="1931"/>
      <c r="AX386" s="1931"/>
      <c r="AY386" s="1931"/>
      <c r="AZ386" s="1931"/>
      <c r="BA386" s="1931"/>
      <c r="BB386" s="1931"/>
      <c r="BC386" s="1931"/>
      <c r="BD386" s="1931"/>
      <c r="BE386" s="1931"/>
      <c r="BF386" s="1931"/>
      <c r="BG386" s="1931"/>
      <c r="BH386" s="1931"/>
      <c r="BI386" s="1931"/>
      <c r="BJ386" s="1931"/>
      <c r="BK386" s="1931"/>
      <c r="BL386" s="1931"/>
      <c r="BM386" s="1931"/>
      <c r="BN386" s="1931"/>
      <c r="BO386" s="1931"/>
      <c r="BP386" s="1931"/>
      <c r="BQ386" s="1931"/>
      <c r="BR386" s="1931"/>
      <c r="BS386" s="1931"/>
      <c r="BT386" s="1931"/>
      <c r="BU386" s="1931"/>
      <c r="BV386" s="1931"/>
      <c r="BW386" s="1931"/>
      <c r="BX386" s="1931"/>
      <c r="BY386" s="1931"/>
      <c r="BZ386" s="1931"/>
      <c r="CA386" s="1931"/>
      <c r="CB386" s="1931"/>
      <c r="CC386" s="1931"/>
      <c r="CD386" s="1931"/>
      <c r="CE386" s="1930"/>
      <c r="CF386" s="1930"/>
      <c r="CG386" s="1930"/>
      <c r="CH386" s="1930"/>
      <c r="CI386" s="1931"/>
      <c r="CJ386" s="1931"/>
      <c r="CK386" s="1931"/>
      <c r="CL386" s="1931"/>
      <c r="CM386" s="1931"/>
      <c r="CN386" s="1931"/>
      <c r="CO386" s="1931"/>
      <c r="CP386" s="1931"/>
      <c r="CQ386" s="1931"/>
      <c r="CR386" s="1931"/>
      <c r="CS386" s="1931"/>
      <c r="CT386" s="1930"/>
      <c r="CU386" s="1930"/>
      <c r="CV386" s="1930"/>
      <c r="CW386" s="1930"/>
      <c r="CX386" s="1931"/>
      <c r="CY386" s="1931"/>
      <c r="CZ386" s="1931"/>
      <c r="DA386" s="1931"/>
      <c r="DB386" s="1932"/>
    </row>
    <row r="387" spans="2:109" hidden="1" outlineLevel="1" x14ac:dyDescent="0.25">
      <c r="D387" s="1300"/>
      <c r="E387" s="1965"/>
      <c r="F387" s="1965"/>
      <c r="G387" s="1965"/>
      <c r="H387" s="1301"/>
      <c r="I387" s="1965"/>
      <c r="J387" s="1965"/>
      <c r="K387" s="1965"/>
      <c r="L387" s="1965"/>
      <c r="M387" s="1966"/>
      <c r="N387" s="1965"/>
      <c r="O387" s="1965"/>
      <c r="P387" s="1965"/>
      <c r="Q387" s="1965"/>
      <c r="R387" s="1965"/>
      <c r="S387" s="1965"/>
      <c r="T387" s="1965"/>
      <c r="U387" s="1965"/>
      <c r="V387" s="1931"/>
      <c r="W387" s="1931"/>
      <c r="X387" s="1931"/>
      <c r="Y387" s="1931"/>
      <c r="Z387" s="1931"/>
      <c r="AA387" s="1931"/>
      <c r="AB387" s="1931"/>
      <c r="AC387" s="1931"/>
      <c r="AD387" s="1931"/>
      <c r="AE387" s="1931"/>
      <c r="AF387" s="1931"/>
      <c r="AG387" s="1931"/>
      <c r="AH387" s="1931"/>
      <c r="AI387" s="1931"/>
      <c r="AJ387" s="1931"/>
      <c r="AK387" s="1931"/>
      <c r="AL387" s="1931"/>
      <c r="AM387" s="1931"/>
      <c r="AN387" s="1931"/>
      <c r="AO387" s="1931"/>
      <c r="AP387" s="1931"/>
      <c r="AQ387" s="1931"/>
      <c r="AR387" s="1931"/>
      <c r="AS387" s="1931"/>
      <c r="AT387" s="1931"/>
      <c r="AU387" s="1931"/>
      <c r="AV387" s="1931"/>
      <c r="AW387" s="1931"/>
      <c r="AX387" s="1931"/>
      <c r="AY387" s="1931"/>
      <c r="AZ387" s="1931"/>
      <c r="BA387" s="1931"/>
      <c r="BB387" s="1931"/>
      <c r="BC387" s="1931"/>
      <c r="BD387" s="1931"/>
      <c r="BE387" s="1931"/>
      <c r="BF387" s="1931"/>
      <c r="BG387" s="1931"/>
      <c r="BH387" s="1931"/>
      <c r="BI387" s="1931"/>
      <c r="BJ387" s="1931"/>
      <c r="BK387" s="1931"/>
      <c r="BL387" s="1931"/>
      <c r="BM387" s="1931"/>
      <c r="BN387" s="1931"/>
      <c r="BO387" s="1931"/>
      <c r="BP387" s="1931"/>
      <c r="BQ387" s="1931"/>
      <c r="BR387" s="1931"/>
      <c r="BS387" s="1931"/>
      <c r="BT387" s="1931"/>
      <c r="BU387" s="1931"/>
      <c r="BV387" s="1931"/>
      <c r="BW387" s="1931"/>
      <c r="BX387" s="1931"/>
      <c r="BY387" s="1931"/>
      <c r="BZ387" s="1931"/>
      <c r="CA387" s="1931"/>
      <c r="CB387" s="1931"/>
      <c r="CC387" s="1931"/>
      <c r="CD387" s="1931"/>
      <c r="CE387" s="1930"/>
      <c r="CF387" s="1930"/>
      <c r="CG387" s="1930"/>
      <c r="CH387" s="1930"/>
      <c r="CI387" s="1931"/>
      <c r="CJ387" s="1931"/>
      <c r="CK387" s="1931"/>
      <c r="CL387" s="1931"/>
      <c r="CM387" s="1931"/>
      <c r="CN387" s="1931"/>
      <c r="CO387" s="1931"/>
      <c r="CP387" s="1931"/>
      <c r="CQ387" s="1931"/>
      <c r="CR387" s="1931"/>
      <c r="CS387" s="1931"/>
      <c r="CT387" s="1930"/>
      <c r="CU387" s="1930"/>
      <c r="CV387" s="1930"/>
      <c r="CW387" s="1930"/>
      <c r="CX387" s="1931"/>
      <c r="CY387" s="1931"/>
      <c r="CZ387" s="1931"/>
      <c r="DA387" s="1931"/>
      <c r="DB387" s="1932"/>
    </row>
    <row r="388" spans="2:109" hidden="1" outlineLevel="1" x14ac:dyDescent="0.25">
      <c r="D388" s="1300"/>
      <c r="E388" s="1965"/>
      <c r="F388" s="1965"/>
      <c r="G388" s="1965"/>
      <c r="H388" s="1301"/>
      <c r="I388" s="1965"/>
      <c r="J388" s="1965"/>
      <c r="K388" s="1965"/>
      <c r="L388" s="1965"/>
      <c r="M388" s="1966"/>
      <c r="N388" s="1965"/>
      <c r="O388" s="1965"/>
      <c r="P388" s="1965"/>
      <c r="Q388" s="1965"/>
      <c r="R388" s="1965"/>
      <c r="S388" s="1965"/>
      <c r="T388" s="1965"/>
      <c r="U388" s="1965"/>
      <c r="V388" s="1931"/>
      <c r="W388" s="1931"/>
      <c r="X388" s="1931"/>
      <c r="Y388" s="1931"/>
      <c r="Z388" s="1931"/>
      <c r="AA388" s="1931"/>
      <c r="AB388" s="1931"/>
      <c r="AC388" s="1931"/>
      <c r="AD388" s="1931"/>
      <c r="AE388" s="1931"/>
      <c r="AF388" s="1931"/>
      <c r="AG388" s="1931"/>
      <c r="AH388" s="1931"/>
      <c r="AI388" s="1931"/>
      <c r="AJ388" s="1931"/>
      <c r="AK388" s="1931"/>
      <c r="AL388" s="1931"/>
      <c r="AM388" s="1931"/>
      <c r="AN388" s="1931"/>
      <c r="AO388" s="1931"/>
      <c r="AP388" s="1931"/>
      <c r="AQ388" s="1931"/>
      <c r="AR388" s="1931"/>
      <c r="AS388" s="1931"/>
      <c r="AT388" s="1931"/>
      <c r="AU388" s="1931"/>
      <c r="AV388" s="1931"/>
      <c r="AW388" s="1931"/>
      <c r="AX388" s="1931"/>
      <c r="AY388" s="1931"/>
      <c r="AZ388" s="1931"/>
      <c r="BA388" s="1931"/>
      <c r="BB388" s="1931"/>
      <c r="BC388" s="1931"/>
      <c r="BD388" s="1931"/>
      <c r="BE388" s="1931"/>
      <c r="BF388" s="1931"/>
      <c r="BG388" s="1931"/>
      <c r="BH388" s="1931"/>
      <c r="BI388" s="1931"/>
      <c r="BJ388" s="1931"/>
      <c r="BK388" s="1931"/>
      <c r="BL388" s="1931"/>
      <c r="BM388" s="1931"/>
      <c r="BN388" s="1931"/>
      <c r="BO388" s="1931"/>
      <c r="BP388" s="1931"/>
      <c r="BQ388" s="1931"/>
      <c r="BR388" s="1931"/>
      <c r="BS388" s="1931"/>
      <c r="BT388" s="1931"/>
      <c r="BU388" s="1931"/>
      <c r="BV388" s="1931"/>
      <c r="BW388" s="1931"/>
      <c r="BX388" s="1931"/>
      <c r="BY388" s="1931"/>
      <c r="BZ388" s="1931"/>
      <c r="CA388" s="1931"/>
      <c r="CB388" s="1931"/>
      <c r="CC388" s="1931"/>
      <c r="CD388" s="1931"/>
      <c r="CE388" s="1930"/>
      <c r="CF388" s="1930"/>
      <c r="CG388" s="1930"/>
      <c r="CH388" s="1930"/>
      <c r="CI388" s="1931"/>
      <c r="CJ388" s="1931"/>
      <c r="CK388" s="1931"/>
      <c r="CL388" s="1931"/>
      <c r="CM388" s="1931"/>
      <c r="CN388" s="1931"/>
      <c r="CO388" s="1931"/>
      <c r="CP388" s="1931"/>
      <c r="CQ388" s="1931"/>
      <c r="CR388" s="1931"/>
      <c r="CS388" s="1931"/>
      <c r="CT388" s="1930"/>
      <c r="CU388" s="1930"/>
      <c r="CV388" s="1930"/>
      <c r="CW388" s="1930"/>
      <c r="CX388" s="1931"/>
      <c r="CY388" s="1931"/>
      <c r="CZ388" s="1931"/>
      <c r="DA388" s="1931"/>
      <c r="DB388" s="1932"/>
    </row>
    <row r="389" spans="2:109" hidden="1" outlineLevel="1" x14ac:dyDescent="0.25">
      <c r="D389" s="1300"/>
      <c r="E389" s="1965"/>
      <c r="F389" s="1965"/>
      <c r="G389" s="1965"/>
      <c r="H389" s="1301"/>
      <c r="I389" s="1965"/>
      <c r="J389" s="1965"/>
      <c r="K389" s="1965"/>
      <c r="L389" s="1965"/>
      <c r="M389" s="1965"/>
      <c r="N389" s="1965"/>
      <c r="O389" s="1965"/>
      <c r="P389" s="1965"/>
      <c r="Q389" s="1965"/>
      <c r="R389" s="1965"/>
      <c r="S389" s="1965"/>
      <c r="T389" s="1965"/>
      <c r="U389" s="1965"/>
      <c r="V389" s="1931"/>
      <c r="W389" s="1931"/>
      <c r="X389" s="1931"/>
      <c r="Y389" s="1931"/>
      <c r="Z389" s="1931"/>
      <c r="AA389" s="1931"/>
      <c r="AB389" s="1931"/>
      <c r="AC389" s="1931"/>
      <c r="AD389" s="1931"/>
      <c r="AE389" s="1931"/>
      <c r="AF389" s="1931"/>
      <c r="AG389" s="1931"/>
      <c r="AH389" s="1931"/>
      <c r="AI389" s="1931"/>
      <c r="AJ389" s="1931"/>
      <c r="AK389" s="1931"/>
      <c r="AL389" s="1931"/>
      <c r="AM389" s="1931"/>
      <c r="AN389" s="1931"/>
      <c r="AO389" s="1931"/>
      <c r="AP389" s="1931"/>
      <c r="AQ389" s="1931"/>
      <c r="AR389" s="1931"/>
      <c r="AS389" s="1931"/>
      <c r="AT389" s="1931"/>
      <c r="AU389" s="1931"/>
      <c r="AV389" s="1931"/>
      <c r="AW389" s="1931"/>
      <c r="AX389" s="1931"/>
      <c r="AY389" s="1931"/>
      <c r="AZ389" s="1931"/>
      <c r="BA389" s="1931"/>
      <c r="BB389" s="1931"/>
      <c r="BC389" s="1931"/>
      <c r="BD389" s="1931"/>
      <c r="BE389" s="1931"/>
      <c r="BF389" s="1931"/>
      <c r="BG389" s="1931"/>
      <c r="BH389" s="1931"/>
      <c r="BI389" s="1931"/>
      <c r="BJ389" s="1931"/>
      <c r="BK389" s="1931"/>
      <c r="BL389" s="1931"/>
      <c r="BM389" s="1931"/>
      <c r="BN389" s="1931"/>
      <c r="BO389" s="1931"/>
      <c r="BP389" s="1931"/>
      <c r="BQ389" s="1931"/>
      <c r="BR389" s="1931"/>
      <c r="BS389" s="1931"/>
      <c r="BT389" s="1931"/>
      <c r="BU389" s="1931"/>
      <c r="BV389" s="1931"/>
      <c r="BW389" s="1931"/>
      <c r="BX389" s="1931"/>
      <c r="BY389" s="1931"/>
      <c r="BZ389" s="1931"/>
      <c r="CA389" s="1931"/>
      <c r="CB389" s="1931"/>
      <c r="CC389" s="1931"/>
      <c r="CD389" s="1931"/>
      <c r="CE389" s="1930"/>
      <c r="CF389" s="1930"/>
      <c r="CG389" s="1930"/>
      <c r="CH389" s="1930"/>
      <c r="CI389" s="1931"/>
      <c r="CJ389" s="1931"/>
      <c r="CK389" s="1931"/>
      <c r="CL389" s="1931"/>
      <c r="CM389" s="1931"/>
      <c r="CN389" s="1931"/>
      <c r="CO389" s="1931"/>
      <c r="CP389" s="1931"/>
      <c r="CQ389" s="1931"/>
      <c r="CR389" s="1931"/>
      <c r="CS389" s="1931"/>
      <c r="CT389" s="1930"/>
      <c r="CU389" s="1930"/>
      <c r="CV389" s="1930"/>
      <c r="CW389" s="1930"/>
      <c r="CX389" s="1931"/>
      <c r="CY389" s="1931"/>
      <c r="CZ389" s="1931"/>
      <c r="DA389" s="1931"/>
      <c r="DB389" s="1932"/>
    </row>
    <row r="390" spans="2:109" s="55" customFormat="1" ht="30" hidden="1" outlineLevel="1" x14ac:dyDescent="0.25">
      <c r="C390" s="151"/>
      <c r="D390" s="3081" t="s">
        <v>28</v>
      </c>
      <c r="E390" s="3081" t="s">
        <v>2758</v>
      </c>
      <c r="F390" s="3081" t="s">
        <v>2918</v>
      </c>
      <c r="G390" s="3081" t="s">
        <v>220</v>
      </c>
      <c r="H390" s="3081" t="s">
        <v>2919</v>
      </c>
      <c r="I390" s="3081" t="s">
        <v>2920</v>
      </c>
      <c r="J390" s="3081" t="s">
        <v>2921</v>
      </c>
      <c r="K390" s="3081" t="s">
        <v>2922</v>
      </c>
      <c r="L390" s="3081" t="s">
        <v>2923</v>
      </c>
      <c r="M390" s="401"/>
      <c r="N390" s="401"/>
      <c r="O390" s="401"/>
      <c r="P390" s="401"/>
      <c r="Q390" s="401"/>
      <c r="R390" s="401"/>
      <c r="S390" s="401"/>
      <c r="T390" s="401"/>
      <c r="U390" s="401"/>
      <c r="DB390" s="72"/>
    </row>
    <row r="391" spans="2:109" hidden="1" outlineLevel="1" x14ac:dyDescent="0.25">
      <c r="D391" s="1967" t="str">
        <f>C365</f>
        <v>803200_2020_07_</v>
      </c>
      <c r="E391" s="1967" t="str">
        <f>E365</f>
        <v xml:space="preserve"> VFD on HVAC Fans &gt;= 1HP </v>
      </c>
      <c r="F391" s="1353">
        <v>1</v>
      </c>
      <c r="G391" s="88">
        <v>0.65</v>
      </c>
      <c r="H391" s="1353">
        <v>0.93</v>
      </c>
      <c r="I391" s="1353">
        <v>6773</v>
      </c>
      <c r="J391" s="1353">
        <v>0.53</v>
      </c>
      <c r="K391" s="1353">
        <v>0.3</v>
      </c>
      <c r="L391" s="1384">
        <v>0.157</v>
      </c>
      <c r="M391" s="1965"/>
      <c r="N391" s="1965"/>
      <c r="O391" s="1965"/>
      <c r="P391" s="1965"/>
      <c r="Q391" s="1965"/>
      <c r="R391" s="1965"/>
      <c r="S391" s="1965"/>
      <c r="T391" s="1965"/>
      <c r="U391" s="1965"/>
      <c r="V391" s="1931"/>
      <c r="W391" s="1931"/>
      <c r="X391" s="1931"/>
      <c r="Y391" s="1931"/>
      <c r="Z391" s="1931"/>
      <c r="AA391" s="1931"/>
      <c r="AB391" s="1931"/>
      <c r="AC391" s="1931"/>
      <c r="AD391" s="1931"/>
      <c r="AE391" s="1931"/>
      <c r="AF391" s="1931"/>
      <c r="AG391" s="1931"/>
      <c r="AH391" s="1931"/>
      <c r="AI391" s="1931"/>
      <c r="AJ391" s="1931"/>
      <c r="AK391" s="1931"/>
      <c r="AL391" s="1931"/>
      <c r="AM391" s="1931"/>
      <c r="AN391" s="1931"/>
      <c r="AO391" s="1931"/>
      <c r="AP391" s="1931"/>
      <c r="AQ391" s="1931"/>
      <c r="AR391" s="1931"/>
      <c r="AS391" s="1931"/>
      <c r="AT391" s="1931"/>
      <c r="AU391" s="1931"/>
      <c r="AV391" s="1931"/>
      <c r="AW391" s="1931"/>
      <c r="AX391" s="1931"/>
      <c r="AY391" s="1931"/>
      <c r="AZ391" s="1931"/>
      <c r="BA391" s="1931"/>
      <c r="BB391" s="1931"/>
      <c r="BC391" s="1931"/>
      <c r="BD391" s="1931"/>
      <c r="BE391" s="1931"/>
      <c r="BF391" s="1931"/>
      <c r="BG391" s="1931"/>
      <c r="BH391" s="1931"/>
      <c r="BI391" s="1931"/>
      <c r="BJ391" s="1931"/>
      <c r="BK391" s="1931"/>
      <c r="BL391" s="1931"/>
      <c r="BM391" s="1931"/>
      <c r="BN391" s="1931"/>
      <c r="BO391" s="1931"/>
      <c r="BP391" s="1931"/>
      <c r="BQ391" s="1931"/>
      <c r="BR391" s="1931"/>
      <c r="BS391" s="1931"/>
      <c r="BT391" s="1931"/>
      <c r="BU391" s="1931"/>
      <c r="BV391" s="1931"/>
      <c r="BW391" s="1931"/>
      <c r="BX391" s="1931"/>
      <c r="BY391" s="1931"/>
      <c r="BZ391" s="1931"/>
      <c r="CA391" s="1931"/>
      <c r="CB391" s="1931"/>
      <c r="CC391" s="1931"/>
      <c r="CD391" s="1931"/>
      <c r="CE391" s="1930"/>
      <c r="CF391" s="1930"/>
      <c r="CG391" s="1930"/>
      <c r="CH391" s="1930"/>
      <c r="CI391" s="1931"/>
      <c r="CJ391" s="1931"/>
      <c r="CK391" s="1931"/>
      <c r="CL391" s="1931"/>
      <c r="CM391" s="1931"/>
      <c r="CN391" s="1931"/>
      <c r="CO391" s="1931"/>
      <c r="CP391" s="1931"/>
      <c r="CQ391" s="1931"/>
      <c r="CR391" s="1931"/>
      <c r="CS391" s="1931"/>
      <c r="CT391" s="1930"/>
      <c r="CU391" s="1930"/>
      <c r="CV391" s="1930"/>
      <c r="CW391" s="1930"/>
      <c r="CX391" s="1931"/>
      <c r="CY391" s="1931"/>
      <c r="CZ391" s="1931"/>
      <c r="DA391" s="1931"/>
      <c r="DB391" s="1932"/>
    </row>
    <row r="392" spans="2:109" collapsed="1" x14ac:dyDescent="0.25">
      <c r="B392" s="1931"/>
      <c r="D392" s="1966"/>
      <c r="E392" s="1965"/>
      <c r="F392" s="1965"/>
      <c r="G392" s="1968"/>
      <c r="H392" s="1969"/>
      <c r="I392" s="1965"/>
      <c r="J392" s="1965"/>
      <c r="K392" s="1965"/>
      <c r="L392" s="1965"/>
      <c r="M392" s="1965"/>
      <c r="N392" s="1965"/>
      <c r="O392" s="1965"/>
      <c r="P392" s="1965"/>
      <c r="Q392" s="1965"/>
      <c r="R392" s="1965"/>
      <c r="S392" s="1965"/>
      <c r="T392" s="1965"/>
      <c r="U392" s="1965"/>
      <c r="V392" s="1931"/>
      <c r="W392" s="1931"/>
      <c r="X392" s="1931"/>
      <c r="Y392" s="1931"/>
      <c r="Z392" s="1931"/>
      <c r="AA392" s="1931"/>
      <c r="AB392" s="1931"/>
      <c r="AC392" s="1931"/>
      <c r="AD392" s="1931"/>
      <c r="AE392" s="1931"/>
      <c r="AF392" s="1931"/>
      <c r="AG392" s="1931"/>
      <c r="AH392" s="1931"/>
      <c r="AI392" s="1931"/>
      <c r="AJ392" s="1931"/>
      <c r="AK392" s="1931"/>
      <c r="AL392" s="1931"/>
      <c r="AM392" s="1931"/>
      <c r="AN392" s="1931"/>
      <c r="AO392" s="1931"/>
      <c r="AP392" s="1931"/>
      <c r="AQ392" s="1931"/>
      <c r="AR392" s="1931"/>
      <c r="AS392" s="1931"/>
      <c r="AT392" s="1931"/>
      <c r="AU392" s="1931"/>
      <c r="AV392" s="1931"/>
      <c r="AW392" s="1931"/>
      <c r="AX392" s="1931"/>
      <c r="AY392" s="1931"/>
      <c r="AZ392" s="1931"/>
      <c r="BA392" s="1931"/>
      <c r="BB392" s="1931"/>
      <c r="BC392" s="1931"/>
      <c r="BD392" s="1931"/>
      <c r="BE392" s="1931"/>
      <c r="BF392" s="1931"/>
      <c r="BG392" s="1931"/>
      <c r="BH392" s="1931"/>
      <c r="BI392" s="1931"/>
      <c r="BJ392" s="1931"/>
      <c r="BK392" s="1931"/>
      <c r="BL392" s="1931"/>
      <c r="BM392" s="1931"/>
      <c r="BN392" s="1931"/>
      <c r="BO392" s="1931"/>
      <c r="BP392" s="1931"/>
      <c r="BQ392" s="1931"/>
      <c r="BR392" s="1931"/>
      <c r="BS392" s="1931"/>
      <c r="BT392" s="1931"/>
      <c r="BU392" s="1931"/>
      <c r="BV392" s="1931"/>
      <c r="BW392" s="1931"/>
      <c r="BX392" s="1931"/>
      <c r="BY392" s="1931"/>
      <c r="BZ392" s="1931"/>
      <c r="CA392" s="1931"/>
      <c r="CB392" s="1931"/>
      <c r="CC392" s="1931"/>
      <c r="CD392" s="1931"/>
      <c r="CE392" s="1930"/>
      <c r="CF392" s="1930"/>
      <c r="CG392" s="1930"/>
      <c r="CH392" s="1930"/>
      <c r="CI392" s="1931"/>
      <c r="CJ392" s="1931"/>
      <c r="CK392" s="1931"/>
      <c r="CL392" s="1931"/>
      <c r="CM392" s="1931"/>
      <c r="CN392" s="1931"/>
      <c r="CO392" s="1931"/>
      <c r="CP392" s="1931"/>
      <c r="CQ392" s="1931"/>
      <c r="CR392" s="1931"/>
      <c r="CS392" s="1931"/>
      <c r="CT392" s="1930"/>
      <c r="CU392" s="1930"/>
      <c r="CV392" s="1930"/>
      <c r="CW392" s="1930"/>
      <c r="CX392" s="1931"/>
      <c r="CY392" s="1931"/>
      <c r="CZ392" s="1931"/>
      <c r="DA392" s="1931"/>
      <c r="DB392" s="1932"/>
      <c r="DC392" s="1931"/>
      <c r="DD392" s="1931"/>
      <c r="DE392" s="1931"/>
    </row>
    <row r="394" spans="2:109" s="44" customFormat="1" ht="30" x14ac:dyDescent="0.25">
      <c r="B394" s="45"/>
      <c r="C394" s="46" t="s">
        <v>28</v>
      </c>
      <c r="D394" s="46" t="s">
        <v>29</v>
      </c>
      <c r="E394" s="3196" t="s">
        <v>30</v>
      </c>
      <c r="F394" s="3196" t="s">
        <v>2924</v>
      </c>
      <c r="G394" s="3196" t="s">
        <v>176</v>
      </c>
      <c r="H394" s="3196" t="s">
        <v>177</v>
      </c>
      <c r="I394" s="3196" t="s">
        <v>32</v>
      </c>
      <c r="J394" s="3196" t="s">
        <v>181</v>
      </c>
      <c r="K394" s="3196" t="s">
        <v>170</v>
      </c>
      <c r="L394" s="46" t="s">
        <v>44</v>
      </c>
      <c r="M394" s="1965"/>
      <c r="N394" s="1965"/>
      <c r="O394" s="1965"/>
      <c r="P394" s="1288"/>
      <c r="Q394" s="1288"/>
      <c r="R394" s="1288"/>
      <c r="S394" s="1288"/>
      <c r="T394" s="1288"/>
      <c r="U394" s="1288"/>
      <c r="V394" s="1936" t="s">
        <v>45</v>
      </c>
      <c r="W394" s="1937">
        <f>$W$8</f>
        <v>43252</v>
      </c>
      <c r="X394" s="1937">
        <f>$X$8</f>
        <v>43465</v>
      </c>
      <c r="Y394" s="1937">
        <f>$Y$8</f>
        <v>43800</v>
      </c>
      <c r="Z394" s="1937">
        <f>$Z$8</f>
        <v>43862</v>
      </c>
      <c r="AA394" s="1937">
        <f>$AA$8</f>
        <v>44013</v>
      </c>
      <c r="AB394" s="1937">
        <v>44166</v>
      </c>
      <c r="AC394" s="1937">
        <f>$AC$8</f>
        <v>44531</v>
      </c>
      <c r="AD394" s="1937" t="str">
        <f>$AD$8</f>
        <v>-</v>
      </c>
      <c r="AE394" s="1937" t="str">
        <f>$AE$8</f>
        <v>-</v>
      </c>
      <c r="AF394" s="1937" t="str">
        <f>$AF$8</f>
        <v>-</v>
      </c>
      <c r="AG394" s="1937" t="str">
        <f>$AG$8</f>
        <v>-</v>
      </c>
      <c r="AH394" s="1930"/>
      <c r="AI394" s="1936" t="s">
        <v>45</v>
      </c>
      <c r="AJ394" s="1937">
        <v>43252</v>
      </c>
      <c r="AK394" s="1937">
        <f>$X$8</f>
        <v>43465</v>
      </c>
      <c r="AL394" s="1937">
        <f>$Y$8</f>
        <v>43800</v>
      </c>
      <c r="AM394" s="1937">
        <f>$Z$8</f>
        <v>43862</v>
      </c>
      <c r="AN394" s="1937">
        <f>$AA$8</f>
        <v>44013</v>
      </c>
      <c r="AO394" s="1937">
        <v>44166</v>
      </c>
      <c r="AP394" s="1937">
        <f>$AC$8</f>
        <v>44531</v>
      </c>
      <c r="AQ394" s="1937" t="str">
        <f>$AD$8</f>
        <v>-</v>
      </c>
      <c r="AR394" s="1937" t="str">
        <f>$AE$8</f>
        <v>-</v>
      </c>
      <c r="AS394" s="1937" t="str">
        <f>$AF$8</f>
        <v>-</v>
      </c>
      <c r="AT394" s="1933"/>
      <c r="AU394" s="1936" t="s">
        <v>45</v>
      </c>
      <c r="AV394" s="1937">
        <v>43252</v>
      </c>
      <c r="AW394" s="1937">
        <f>$X$8</f>
        <v>43465</v>
      </c>
      <c r="AX394" s="1937">
        <f>$Y$8</f>
        <v>43800</v>
      </c>
      <c r="AY394" s="1937">
        <f>$Z$8</f>
        <v>43862</v>
      </c>
      <c r="AZ394" s="1937">
        <f>$AA$8</f>
        <v>44013</v>
      </c>
      <c r="BA394" s="1937">
        <v>44166</v>
      </c>
      <c r="BB394" s="1937">
        <f>$AC$8</f>
        <v>44531</v>
      </c>
      <c r="BC394" s="1937" t="str">
        <f>$AD$8</f>
        <v>-</v>
      </c>
      <c r="BD394" s="1937" t="str">
        <f>$AE$8</f>
        <v>-</v>
      </c>
      <c r="BE394" s="1937" t="str">
        <f>$AF$8</f>
        <v>-</v>
      </c>
      <c r="DB394" s="1938" t="str">
        <f>$DB$8</f>
        <v>TRC (2020)</v>
      </c>
      <c r="DC394" s="1953" t="str">
        <f>$DC$8</f>
        <v>Benefit Lookup</v>
      </c>
      <c r="DD394" s="1953" t="str">
        <f>$DD$8</f>
        <v>Benefits (2019 $)</v>
      </c>
      <c r="DE394" s="1953" t="str">
        <f>$DE$8</f>
        <v>Incremental Cost (2019 $)</v>
      </c>
    </row>
    <row r="395" spans="2:109" x14ac:dyDescent="0.25">
      <c r="B395" s="1931"/>
      <c r="C395" s="1997" t="s">
        <v>2925</v>
      </c>
      <c r="D395" s="1363" t="s">
        <v>2646</v>
      </c>
      <c r="E395" s="1308" t="s">
        <v>2926</v>
      </c>
      <c r="F395" s="1959">
        <f>ROUND(F409*((1/G409)-(1/H409))*I409,2)</f>
        <v>153.77000000000001</v>
      </c>
      <c r="G395" s="1290" t="s">
        <v>2881</v>
      </c>
      <c r="H395" s="1291">
        <f>VLOOKUP(G395,'CP FACTORS'!$A$26:$B$38,2,FALSE)</f>
        <v>9.1068400000000004E-4</v>
      </c>
      <c r="I395" s="1309">
        <f>ROUND(H395*F395,6)</f>
        <v>0.14003599999999999</v>
      </c>
      <c r="J395" s="1316">
        <v>15</v>
      </c>
      <c r="K395" s="1310">
        <v>100</v>
      </c>
      <c r="L395" s="1374" t="s">
        <v>2927</v>
      </c>
      <c r="M395" s="1965"/>
      <c r="N395" s="1965"/>
      <c r="O395" s="1965"/>
      <c r="P395" s="1965"/>
      <c r="Q395" s="1965"/>
      <c r="R395" s="1965"/>
      <c r="S395" s="1965"/>
      <c r="T395" s="1965"/>
      <c r="U395" s="1965"/>
      <c r="V395" s="3226" t="str">
        <f>F394</f>
        <v>kWh Annual Savings (per ton)</v>
      </c>
      <c r="W395" s="1947">
        <v>153.95313964386136</v>
      </c>
      <c r="X395" s="1947">
        <v>153.95313964386136</v>
      </c>
      <c r="Y395" s="1947">
        <v>153.95313964386136</v>
      </c>
      <c r="Z395" s="1947">
        <v>153.95313964386136</v>
      </c>
      <c r="AA395" s="1958">
        <v>153.77000000000001</v>
      </c>
      <c r="AB395" s="1825">
        <v>153.77000000000001</v>
      </c>
      <c r="AC395" s="3364">
        <v>153.77000000000001</v>
      </c>
      <c r="AD395" s="1941"/>
      <c r="AE395" s="1941"/>
      <c r="AF395" s="1941"/>
      <c r="AG395" s="1941"/>
      <c r="AH395" s="1942"/>
      <c r="AI395" s="3226" t="s">
        <v>181</v>
      </c>
      <c r="AJ395" s="1943">
        <v>15</v>
      </c>
      <c r="AK395" s="1943">
        <v>15</v>
      </c>
      <c r="AL395" s="1943">
        <v>15</v>
      </c>
      <c r="AM395" s="1943">
        <v>15</v>
      </c>
      <c r="AN395" s="1943">
        <v>15</v>
      </c>
      <c r="AO395" s="1825">
        <v>15</v>
      </c>
      <c r="AP395" s="1825">
        <v>15</v>
      </c>
      <c r="AQ395" s="1941"/>
      <c r="AR395" s="1941"/>
      <c r="AS395" s="1941"/>
      <c r="AT395" s="1933"/>
      <c r="AU395" s="3226" t="s">
        <v>170</v>
      </c>
      <c r="AV395" s="1944">
        <v>100</v>
      </c>
      <c r="AW395" s="1944">
        <v>100</v>
      </c>
      <c r="AX395" s="1944">
        <v>100</v>
      </c>
      <c r="AY395" s="1944">
        <v>100</v>
      </c>
      <c r="AZ395" s="1944">
        <v>100</v>
      </c>
      <c r="BA395" s="1998">
        <v>100</v>
      </c>
      <c r="BB395" s="1998">
        <v>100</v>
      </c>
      <c r="BC395" s="1941"/>
      <c r="BD395" s="1941"/>
      <c r="BE395" s="1941"/>
      <c r="BF395" s="1931"/>
      <c r="BG395" s="1931"/>
      <c r="BH395" s="1931"/>
      <c r="BI395" s="1931"/>
      <c r="BJ395" s="1931"/>
      <c r="BK395" s="1931"/>
      <c r="BL395" s="1931"/>
      <c r="BM395" s="1931"/>
      <c r="BN395" s="1931"/>
      <c r="BO395" s="1931"/>
      <c r="BP395" s="1931"/>
      <c r="BQ395" s="1931"/>
      <c r="BR395" s="1931"/>
      <c r="BS395" s="1931"/>
      <c r="BT395" s="1931"/>
      <c r="BU395" s="1931"/>
      <c r="BV395" s="1931"/>
      <c r="BW395" s="1931"/>
      <c r="BX395" s="1931"/>
      <c r="BY395" s="1931"/>
      <c r="BZ395" s="1931"/>
      <c r="CA395" s="1931"/>
      <c r="CB395" s="1931"/>
      <c r="CC395" s="1931"/>
      <c r="CD395" s="1931"/>
      <c r="CE395" s="1930"/>
      <c r="CF395" s="1930"/>
      <c r="CG395" s="1930"/>
      <c r="CH395" s="1930"/>
      <c r="CI395" s="1931"/>
      <c r="CJ395" s="1931"/>
      <c r="CK395" s="1931"/>
      <c r="CL395" s="1931"/>
      <c r="CM395" s="1931"/>
      <c r="CN395" s="1931"/>
      <c r="CO395" s="1931"/>
      <c r="CP395" s="1931"/>
      <c r="CQ395" s="1931"/>
      <c r="CR395" s="1931"/>
      <c r="CS395" s="1931"/>
      <c r="CT395" s="1930"/>
      <c r="CU395" s="1930"/>
      <c r="CV395" s="1930"/>
      <c r="CW395" s="1930"/>
      <c r="CX395" s="1931"/>
      <c r="CY395" s="1931"/>
      <c r="CZ395" s="1931"/>
      <c r="DA395" s="1931"/>
      <c r="DB395" s="1945">
        <f>(DD395)/(DE395)</f>
        <v>2.3225032903876577</v>
      </c>
      <c r="DC395" s="3166" t="str">
        <f>CONCATENATE(G395," ",J395," Year EUL")</f>
        <v>Cooling BUS 15 Year EUL</v>
      </c>
      <c r="DD395" s="69">
        <f>(INDEX('Avoided Cost Benefits'!$C$4:$C$857,MATCH(DC395,'Avoided Cost Benefits'!$A$4:$A$857,0)))*F395</f>
        <v>219.20748375532395</v>
      </c>
      <c r="DE395" s="1946">
        <f>K395/(1.0595^(2020-2019))</f>
        <v>94.384143463898056</v>
      </c>
    </row>
    <row r="396" spans="2:109" x14ac:dyDescent="0.25">
      <c r="B396" s="1931"/>
      <c r="C396" s="1997" t="s">
        <v>2928</v>
      </c>
      <c r="D396" s="1363" t="s">
        <v>2646</v>
      </c>
      <c r="E396" s="1319" t="s">
        <v>2929</v>
      </c>
      <c r="F396" s="1959">
        <f>ROUND(F410*((1/G410)-(1/H410))*I410,2)</f>
        <v>167.94</v>
      </c>
      <c r="G396" s="1290" t="s">
        <v>2881</v>
      </c>
      <c r="H396" s="1291">
        <f>VLOOKUP(G396,'CP FACTORS'!$A$26:$B$38,2,FALSE)</f>
        <v>9.1068400000000004E-4</v>
      </c>
      <c r="I396" s="1309">
        <f>ROUND(H396*F396,6)</f>
        <v>0.15293999999999999</v>
      </c>
      <c r="J396" s="1317">
        <v>15</v>
      </c>
      <c r="K396" s="1310">
        <v>100</v>
      </c>
      <c r="L396" s="1374" t="s">
        <v>2927</v>
      </c>
      <c r="M396" s="1965"/>
      <c r="N396" s="1965"/>
      <c r="O396" s="1965"/>
      <c r="P396" s="1965"/>
      <c r="Q396" s="1965"/>
      <c r="R396" s="1965"/>
      <c r="S396" s="1965"/>
      <c r="T396" s="1965"/>
      <c r="U396" s="1965"/>
      <c r="V396" s="3226" t="str">
        <f>V395</f>
        <v>kWh Annual Savings (per ton)</v>
      </c>
      <c r="W396" s="1947">
        <v>66.505263157894589</v>
      </c>
      <c r="X396" s="1947">
        <v>66.505263157894589</v>
      </c>
      <c r="Y396" s="1947">
        <v>66.505263157894589</v>
      </c>
      <c r="Z396" s="1947">
        <v>66.505263157894589</v>
      </c>
      <c r="AA396" s="1958">
        <v>167.94</v>
      </c>
      <c r="AB396" s="1825">
        <v>167.94</v>
      </c>
      <c r="AC396" s="3364">
        <v>167.94</v>
      </c>
      <c r="AD396" s="1941"/>
      <c r="AE396" s="1941"/>
      <c r="AF396" s="1941"/>
      <c r="AG396" s="1941"/>
      <c r="AH396" s="1942"/>
      <c r="AI396" s="3226" t="s">
        <v>181</v>
      </c>
      <c r="AJ396" s="1943">
        <v>15</v>
      </c>
      <c r="AK396" s="1943">
        <v>15</v>
      </c>
      <c r="AL396" s="1943">
        <v>15</v>
      </c>
      <c r="AM396" s="1943">
        <v>15</v>
      </c>
      <c r="AN396" s="1943">
        <v>15</v>
      </c>
      <c r="AO396" s="1825">
        <v>15</v>
      </c>
      <c r="AP396" s="1825">
        <v>15</v>
      </c>
      <c r="AQ396" s="1941"/>
      <c r="AR396" s="1941"/>
      <c r="AS396" s="1941"/>
      <c r="AT396" s="1933"/>
      <c r="AU396" s="3226" t="s">
        <v>170</v>
      </c>
      <c r="AV396" s="1944">
        <v>100</v>
      </c>
      <c r="AW396" s="1944">
        <v>100</v>
      </c>
      <c r="AX396" s="1944">
        <v>100</v>
      </c>
      <c r="AY396" s="1944">
        <v>100</v>
      </c>
      <c r="AZ396" s="1944">
        <v>100</v>
      </c>
      <c r="BA396" s="1998">
        <v>100</v>
      </c>
      <c r="BB396" s="1998">
        <v>100</v>
      </c>
      <c r="BC396" s="1941"/>
      <c r="BD396" s="1941"/>
      <c r="BE396" s="1941"/>
      <c r="BF396" s="1931"/>
      <c r="BG396" s="1931"/>
      <c r="BH396" s="1931"/>
      <c r="BI396" s="1931"/>
      <c r="BJ396" s="1931"/>
      <c r="BK396" s="1931"/>
      <c r="BL396" s="1931"/>
      <c r="BM396" s="1931"/>
      <c r="BN396" s="1931"/>
      <c r="BO396" s="1931"/>
      <c r="BP396" s="1931"/>
      <c r="BQ396" s="1931"/>
      <c r="BR396" s="1931"/>
      <c r="BS396" s="1931"/>
      <c r="BT396" s="1931"/>
      <c r="BU396" s="1931"/>
      <c r="BV396" s="1931"/>
      <c r="BW396" s="1931"/>
      <c r="BX396" s="1931"/>
      <c r="BY396" s="1931"/>
      <c r="BZ396" s="1931"/>
      <c r="CA396" s="1931"/>
      <c r="CB396" s="1931"/>
      <c r="CC396" s="1931"/>
      <c r="CD396" s="1931"/>
      <c r="CE396" s="1930"/>
      <c r="CF396" s="1930"/>
      <c r="CG396" s="1930"/>
      <c r="CH396" s="1930"/>
      <c r="CI396" s="1931"/>
      <c r="CJ396" s="1931"/>
      <c r="CK396" s="1931"/>
      <c r="CL396" s="1931"/>
      <c r="CM396" s="1931"/>
      <c r="CN396" s="1931"/>
      <c r="CO396" s="1931"/>
      <c r="CP396" s="1931"/>
      <c r="CQ396" s="1931"/>
      <c r="CR396" s="1931"/>
      <c r="CS396" s="1931"/>
      <c r="CT396" s="1930"/>
      <c r="CU396" s="1930"/>
      <c r="CV396" s="1930"/>
      <c r="CW396" s="1930"/>
      <c r="CX396" s="1931"/>
      <c r="CY396" s="1931"/>
      <c r="CZ396" s="1931"/>
      <c r="DA396" s="1931"/>
      <c r="DB396" s="52">
        <f>(DD396)/(DE396)</f>
        <v>2.5365233959010416</v>
      </c>
      <c r="DC396" s="1948" t="str">
        <f>CONCATENATE(G396," ",J396," Year EUL")</f>
        <v>Cooling BUS 15 Year EUL</v>
      </c>
      <c r="DD396" s="70">
        <f>(INDEX('Avoided Cost Benefits'!$C$4:$C$857,MATCH(DC396,'Avoided Cost Benefits'!$A$4:$A$857,0)))*F396</f>
        <v>239.4075880982578</v>
      </c>
      <c r="DE396" s="1949">
        <f>K396/(1.0595^(2020-2019))</f>
        <v>94.384143463898056</v>
      </c>
    </row>
    <row r="397" spans="2:109" x14ac:dyDescent="0.25">
      <c r="B397" s="1931"/>
      <c r="C397" s="1997" t="s">
        <v>2930</v>
      </c>
      <c r="D397" s="1363" t="s">
        <v>2646</v>
      </c>
      <c r="E397" s="1319" t="s">
        <v>2931</v>
      </c>
      <c r="F397" s="1959">
        <f>ROUND(F411*((1/G411)-(1/H411))*I411,2)</f>
        <v>148.68</v>
      </c>
      <c r="G397" s="1290" t="s">
        <v>2881</v>
      </c>
      <c r="H397" s="1291">
        <f>VLOOKUP(G397,'CP FACTORS'!$A$26:$B$38,2,FALSE)</f>
        <v>9.1068400000000004E-4</v>
      </c>
      <c r="I397" s="1309">
        <f>ROUND(H397*F397,6)</f>
        <v>0.13539999999999999</v>
      </c>
      <c r="J397" s="1317">
        <v>15</v>
      </c>
      <c r="K397" s="1310">
        <v>100</v>
      </c>
      <c r="L397" s="1374" t="s">
        <v>2927</v>
      </c>
      <c r="M397" s="4496"/>
      <c r="N397" s="4496"/>
      <c r="O397" s="4496"/>
      <c r="P397" s="4496"/>
      <c r="Q397" s="1965"/>
      <c r="R397" s="1965"/>
      <c r="S397" s="1965"/>
      <c r="T397" s="1965"/>
      <c r="U397" s="1965"/>
      <c r="V397" s="3226" t="str">
        <f>V396</f>
        <v>kWh Annual Savings (per ton)</v>
      </c>
      <c r="W397" s="1947">
        <v>98.581830790568617</v>
      </c>
      <c r="X397" s="1947">
        <v>98.581830790568617</v>
      </c>
      <c r="Y397" s="1947">
        <v>98.581830790568617</v>
      </c>
      <c r="Z397" s="1947">
        <v>98.581830790568617</v>
      </c>
      <c r="AA397" s="1958">
        <v>148.68</v>
      </c>
      <c r="AB397" s="1825">
        <v>148.68</v>
      </c>
      <c r="AC397" s="3364">
        <v>148.68</v>
      </c>
      <c r="AD397" s="1941"/>
      <c r="AE397" s="1941"/>
      <c r="AF397" s="1941"/>
      <c r="AG397" s="1941"/>
      <c r="AH397" s="1942"/>
      <c r="AI397" s="3226" t="s">
        <v>181</v>
      </c>
      <c r="AJ397" s="1943">
        <v>15</v>
      </c>
      <c r="AK397" s="1943">
        <v>15</v>
      </c>
      <c r="AL397" s="1943">
        <v>15</v>
      </c>
      <c r="AM397" s="1943">
        <v>15</v>
      </c>
      <c r="AN397" s="1943">
        <v>15</v>
      </c>
      <c r="AO397" s="1825">
        <v>15</v>
      </c>
      <c r="AP397" s="1825">
        <v>15</v>
      </c>
      <c r="AQ397" s="1941"/>
      <c r="AR397" s="1941"/>
      <c r="AS397" s="1941"/>
      <c r="AT397" s="1933"/>
      <c r="AU397" s="3226" t="s">
        <v>170</v>
      </c>
      <c r="AV397" s="1944">
        <v>100</v>
      </c>
      <c r="AW397" s="1944">
        <v>100</v>
      </c>
      <c r="AX397" s="1944">
        <v>100</v>
      </c>
      <c r="AY397" s="1944">
        <v>100</v>
      </c>
      <c r="AZ397" s="1944">
        <v>100</v>
      </c>
      <c r="BA397" s="1998">
        <v>100</v>
      </c>
      <c r="BB397" s="1998">
        <v>100</v>
      </c>
      <c r="BC397" s="1941"/>
      <c r="BD397" s="1941"/>
      <c r="BE397" s="1941"/>
      <c r="BF397" s="1931"/>
      <c r="BG397" s="1931"/>
      <c r="BH397" s="1931"/>
      <c r="BI397" s="1931"/>
      <c r="BJ397" s="1931"/>
      <c r="BK397" s="1931"/>
      <c r="BL397" s="1931"/>
      <c r="BM397" s="1931"/>
      <c r="BN397" s="1931"/>
      <c r="BO397" s="1931"/>
      <c r="BP397" s="1931"/>
      <c r="BQ397" s="1931"/>
      <c r="BR397" s="1931"/>
      <c r="BS397" s="1931"/>
      <c r="BT397" s="1931"/>
      <c r="BU397" s="1931"/>
      <c r="BV397" s="1931"/>
      <c r="BW397" s="1931"/>
      <c r="BX397" s="1931"/>
      <c r="BY397" s="1931"/>
      <c r="BZ397" s="1931"/>
      <c r="CA397" s="1931"/>
      <c r="CB397" s="1931"/>
      <c r="CC397" s="1931"/>
      <c r="CD397" s="1931"/>
      <c r="CE397" s="1930"/>
      <c r="CF397" s="1930"/>
      <c r="CG397" s="1930"/>
      <c r="CH397" s="1930"/>
      <c r="CI397" s="1931"/>
      <c r="CJ397" s="1931"/>
      <c r="CK397" s="1931"/>
      <c r="CL397" s="1931"/>
      <c r="CM397" s="1931"/>
      <c r="CN397" s="1931"/>
      <c r="CO397" s="1931"/>
      <c r="CP397" s="1931"/>
      <c r="CQ397" s="1931"/>
      <c r="CR397" s="1931"/>
      <c r="CS397" s="1931"/>
      <c r="CT397" s="1930"/>
      <c r="CU397" s="1930"/>
      <c r="CV397" s="1930"/>
      <c r="CW397" s="1930"/>
      <c r="CX397" s="1931"/>
      <c r="CY397" s="1931"/>
      <c r="CZ397" s="1931"/>
      <c r="DA397" s="1931"/>
      <c r="DB397" s="52">
        <f>(DD397)/(DE397)</f>
        <v>2.2456252143775566</v>
      </c>
      <c r="DC397" s="1948" t="str">
        <f>CONCATENATE(G397," ",J397," Year EUL")</f>
        <v>Cooling BUS 15 Year EUL</v>
      </c>
      <c r="DD397" s="70">
        <f>(INDEX('Avoided Cost Benefits'!$C$4:$C$857,MATCH(DC397,'Avoided Cost Benefits'!$A$4:$A$857,0)))*F397</f>
        <v>211.95141239995814</v>
      </c>
      <c r="DE397" s="1949">
        <f>K397/(1.0595^(2020-2019))</f>
        <v>94.384143463898056</v>
      </c>
    </row>
    <row r="398" spans="2:109" ht="15.75" customHeight="1" x14ac:dyDescent="0.25">
      <c r="B398" s="1931"/>
      <c r="C398" s="1997" t="s">
        <v>2932</v>
      </c>
      <c r="D398" s="1363" t="s">
        <v>2646</v>
      </c>
      <c r="E398" s="1319" t="s">
        <v>2933</v>
      </c>
      <c r="F398" s="1959">
        <f>ROUND(F412*((1/G412)-(1/H412))*I412,2)</f>
        <v>167.52</v>
      </c>
      <c r="G398" s="1290" t="s">
        <v>2881</v>
      </c>
      <c r="H398" s="1291">
        <f>VLOOKUP(G398,'CP FACTORS'!$A$26:$B$38,2,FALSE)</f>
        <v>9.1068400000000004E-4</v>
      </c>
      <c r="I398" s="1309">
        <f>ROUND(H398*F398,6)</f>
        <v>0.152558</v>
      </c>
      <c r="J398" s="1317">
        <v>15</v>
      </c>
      <c r="K398" s="1310">
        <v>100</v>
      </c>
      <c r="L398" s="1374" t="s">
        <v>2927</v>
      </c>
      <c r="M398" s="4496"/>
      <c r="N398" s="4496"/>
      <c r="O398" s="4496"/>
      <c r="P398" s="4496"/>
      <c r="Q398" s="1965"/>
      <c r="R398" s="1965"/>
      <c r="S398" s="1965"/>
      <c r="T398" s="1965"/>
      <c r="U398" s="1965"/>
      <c r="V398" s="3226" t="str">
        <f>V397</f>
        <v>kWh Annual Savings (per ton)</v>
      </c>
      <c r="W398" s="1947">
        <v>70.797848498431222</v>
      </c>
      <c r="X398" s="1947">
        <v>70.797848498431222</v>
      </c>
      <c r="Y398" s="1947">
        <v>70.797848498431222</v>
      </c>
      <c r="Z398" s="1947">
        <v>70.797848498431222</v>
      </c>
      <c r="AA398" s="1958">
        <v>167.52</v>
      </c>
      <c r="AB398" s="1825">
        <v>167.52</v>
      </c>
      <c r="AC398" s="3364">
        <v>167.52</v>
      </c>
      <c r="AD398" s="1941"/>
      <c r="AE398" s="1941"/>
      <c r="AF398" s="1941"/>
      <c r="AG398" s="1941"/>
      <c r="AH398" s="1942"/>
      <c r="AI398" s="3226" t="s">
        <v>181</v>
      </c>
      <c r="AJ398" s="1943">
        <v>15</v>
      </c>
      <c r="AK398" s="1943">
        <v>15</v>
      </c>
      <c r="AL398" s="1943">
        <v>15</v>
      </c>
      <c r="AM398" s="1943">
        <v>15</v>
      </c>
      <c r="AN398" s="1943">
        <v>15</v>
      </c>
      <c r="AO398" s="1825">
        <v>15</v>
      </c>
      <c r="AP398" s="1825">
        <v>15</v>
      </c>
      <c r="AQ398" s="1941"/>
      <c r="AR398" s="1941"/>
      <c r="AS398" s="1941"/>
      <c r="AT398" s="1933"/>
      <c r="AU398" s="3226" t="s">
        <v>170</v>
      </c>
      <c r="AV398" s="1944">
        <v>100</v>
      </c>
      <c r="AW398" s="1944">
        <v>100</v>
      </c>
      <c r="AX398" s="1944">
        <v>100</v>
      </c>
      <c r="AY398" s="1944">
        <v>100</v>
      </c>
      <c r="AZ398" s="1944">
        <v>100</v>
      </c>
      <c r="BA398" s="1998">
        <v>100</v>
      </c>
      <c r="BB398" s="1998">
        <v>100</v>
      </c>
      <c r="BC398" s="1941"/>
      <c r="BD398" s="1941"/>
      <c r="BE398" s="1941"/>
      <c r="BF398" s="1931"/>
      <c r="BG398" s="1931"/>
      <c r="BH398" s="1931"/>
      <c r="BI398" s="1931"/>
      <c r="BJ398" s="1931"/>
      <c r="BK398" s="1931"/>
      <c r="BL398" s="1931"/>
      <c r="BM398" s="1931"/>
      <c r="BN398" s="1931"/>
      <c r="BO398" s="1931"/>
      <c r="BP398" s="1931"/>
      <c r="BQ398" s="1931"/>
      <c r="BR398" s="1931"/>
      <c r="BS398" s="1931"/>
      <c r="BT398" s="1931"/>
      <c r="BU398" s="1931"/>
      <c r="BV398" s="1931"/>
      <c r="BW398" s="1931"/>
      <c r="BX398" s="1931"/>
      <c r="BY398" s="1931"/>
      <c r="BZ398" s="1931"/>
      <c r="CA398" s="1931"/>
      <c r="CB398" s="1931"/>
      <c r="CC398" s="1931"/>
      <c r="CD398" s="1931"/>
      <c r="CE398" s="1930"/>
      <c r="CF398" s="1930"/>
      <c r="CG398" s="1930"/>
      <c r="CH398" s="1930"/>
      <c r="CI398" s="1931"/>
      <c r="CJ398" s="1931"/>
      <c r="CK398" s="1931"/>
      <c r="CL398" s="1931"/>
      <c r="CM398" s="1931"/>
      <c r="CN398" s="1931"/>
      <c r="CO398" s="1931"/>
      <c r="CP398" s="1931"/>
      <c r="CQ398" s="1931"/>
      <c r="CR398" s="1931"/>
      <c r="CS398" s="1931"/>
      <c r="CT398" s="1930"/>
      <c r="CU398" s="1930"/>
      <c r="CV398" s="1930"/>
      <c r="CW398" s="1930"/>
      <c r="CX398" s="1931"/>
      <c r="CY398" s="1931"/>
      <c r="CZ398" s="1931"/>
      <c r="DA398" s="1931"/>
      <c r="DB398" s="52">
        <f>(DD398)/(DE398)</f>
        <v>2.5301798218491278</v>
      </c>
      <c r="DC398" s="1948" t="str">
        <f>CONCATENATE(G398," ",J398," Year EUL")</f>
        <v>Cooling BUS 15 Year EUL</v>
      </c>
      <c r="DD398" s="70">
        <f>(INDEX('Avoided Cost Benefits'!$C$4:$C$857,MATCH(DC398,'Avoided Cost Benefits'!$A$4:$A$857,0)))*F398</f>
        <v>238.8088552948681</v>
      </c>
      <c r="DE398" s="1949">
        <f>K398/(1.0595^(2020-2019))</f>
        <v>94.384143463898056</v>
      </c>
    </row>
    <row r="399" spans="2:109" x14ac:dyDescent="0.25">
      <c r="B399" s="1931"/>
      <c r="C399" s="1997" t="s">
        <v>2934</v>
      </c>
      <c r="D399" s="1363" t="s">
        <v>2646</v>
      </c>
      <c r="E399" s="1319" t="s">
        <v>2935</v>
      </c>
      <c r="F399" s="1959">
        <f>ROUND(F413*((1/G413)-(1/H413))*I413,2)</f>
        <v>129.6</v>
      </c>
      <c r="G399" s="1290" t="s">
        <v>2881</v>
      </c>
      <c r="H399" s="1291">
        <f>VLOOKUP(G399,'CP FACTORS'!$A$26:$B$38,2,FALSE)</f>
        <v>9.1068400000000004E-4</v>
      </c>
      <c r="I399" s="1309">
        <f>ROUND(H399*F399,6)</f>
        <v>0.118025</v>
      </c>
      <c r="J399" s="1317">
        <v>15</v>
      </c>
      <c r="K399" s="1310">
        <v>100</v>
      </c>
      <c r="L399" s="1374" t="s">
        <v>2927</v>
      </c>
      <c r="M399" s="4496"/>
      <c r="N399" s="4496"/>
      <c r="O399" s="4496"/>
      <c r="P399" s="4496"/>
      <c r="Q399" s="1965"/>
      <c r="R399" s="1965"/>
      <c r="S399" s="1965"/>
      <c r="T399" s="1965"/>
      <c r="U399" s="1965"/>
      <c r="V399" s="3226" t="str">
        <f>V398</f>
        <v>kWh Annual Savings (per ton)</v>
      </c>
      <c r="W399" s="1947">
        <v>69.42857142857153</v>
      </c>
      <c r="X399" s="1947">
        <v>69.42857142857153</v>
      </c>
      <c r="Y399" s="1947">
        <v>69.42857142857153</v>
      </c>
      <c r="Z399" s="1947">
        <v>69.42857142857153</v>
      </c>
      <c r="AA399" s="1958">
        <v>129.6</v>
      </c>
      <c r="AB399" s="1825">
        <v>129.6</v>
      </c>
      <c r="AC399" s="3364">
        <v>129.6</v>
      </c>
      <c r="AD399" s="1941"/>
      <c r="AE399" s="1941"/>
      <c r="AF399" s="1941"/>
      <c r="AG399" s="1941"/>
      <c r="AH399" s="1942"/>
      <c r="AI399" s="3226" t="s">
        <v>181</v>
      </c>
      <c r="AJ399" s="1943">
        <v>15</v>
      </c>
      <c r="AK399" s="1943">
        <v>15</v>
      </c>
      <c r="AL399" s="1943">
        <v>15</v>
      </c>
      <c r="AM399" s="1943">
        <v>15</v>
      </c>
      <c r="AN399" s="1943">
        <v>15</v>
      </c>
      <c r="AO399" s="1825">
        <v>15</v>
      </c>
      <c r="AP399" s="1825">
        <v>15</v>
      </c>
      <c r="AQ399" s="1941"/>
      <c r="AR399" s="1941"/>
      <c r="AS399" s="1941"/>
      <c r="AT399" s="1933"/>
      <c r="AU399" s="3226" t="s">
        <v>170</v>
      </c>
      <c r="AV399" s="1944">
        <v>100</v>
      </c>
      <c r="AW399" s="1944">
        <v>100</v>
      </c>
      <c r="AX399" s="1944">
        <v>100</v>
      </c>
      <c r="AY399" s="1944">
        <v>100</v>
      </c>
      <c r="AZ399" s="1944">
        <v>100</v>
      </c>
      <c r="BA399" s="1998">
        <v>100</v>
      </c>
      <c r="BB399" s="1998">
        <v>100</v>
      </c>
      <c r="BC399" s="1941"/>
      <c r="BD399" s="1941"/>
      <c r="BE399" s="1941"/>
      <c r="BF399" s="1931"/>
      <c r="BG399" s="1931"/>
      <c r="BH399" s="1931"/>
      <c r="BI399" s="1931"/>
      <c r="BJ399" s="1931"/>
      <c r="BK399" s="1931"/>
      <c r="BL399" s="1931"/>
      <c r="BM399" s="1931"/>
      <c r="BN399" s="1931"/>
      <c r="BO399" s="1931"/>
      <c r="BP399" s="1931"/>
      <c r="BQ399" s="1931"/>
      <c r="BR399" s="1931"/>
      <c r="BS399" s="1931"/>
      <c r="BT399" s="1931"/>
      <c r="BU399" s="1931"/>
      <c r="BV399" s="1931"/>
      <c r="BW399" s="1931"/>
      <c r="BX399" s="1931"/>
      <c r="BY399" s="1931"/>
      <c r="BZ399" s="1931"/>
      <c r="CA399" s="1931"/>
      <c r="CB399" s="1931"/>
      <c r="CC399" s="1931"/>
      <c r="CD399" s="1931"/>
      <c r="CE399" s="1930"/>
      <c r="CF399" s="1930"/>
      <c r="CG399" s="1930"/>
      <c r="CH399" s="1930"/>
      <c r="CI399" s="1931"/>
      <c r="CJ399" s="1931"/>
      <c r="CK399" s="1931"/>
      <c r="CL399" s="1931"/>
      <c r="CM399" s="1931"/>
      <c r="CN399" s="1931"/>
      <c r="CO399" s="1931"/>
      <c r="CP399" s="1931"/>
      <c r="CQ399" s="1931"/>
      <c r="CR399" s="1931"/>
      <c r="CS399" s="1931"/>
      <c r="CT399" s="1930"/>
      <c r="CU399" s="1930"/>
      <c r="CV399" s="1930"/>
      <c r="CW399" s="1930"/>
      <c r="CX399" s="1931"/>
      <c r="CY399" s="1931"/>
      <c r="CZ399" s="1931"/>
      <c r="DA399" s="1931"/>
      <c r="DB399" s="53">
        <f>(DD399)/(DE399)</f>
        <v>1.9574457074477492</v>
      </c>
      <c r="DC399" s="1948" t="str">
        <f>CONCATENATE(G399," ",J399," Year EUL")</f>
        <v>Cooling BUS 15 Year EUL</v>
      </c>
      <c r="DD399" s="71">
        <f>(INDEX('Avoided Cost Benefits'!$C$4:$C$857,MATCH(DC399,'Avoided Cost Benefits'!$A$4:$A$857,0)))*F399</f>
        <v>184.75183647453977</v>
      </c>
      <c r="DE399" s="1950">
        <f>K399/(1.0595^(2020-2019))</f>
        <v>94.384143463898056</v>
      </c>
    </row>
    <row r="400" spans="2:109" hidden="1" outlineLevel="1" x14ac:dyDescent="0.25">
      <c r="B400" s="1931"/>
      <c r="D400" s="1966"/>
      <c r="E400" s="1966"/>
      <c r="F400" s="1966"/>
      <c r="G400" s="1966"/>
      <c r="H400" s="1299"/>
      <c r="I400" s="1966"/>
      <c r="J400" s="1966"/>
      <c r="K400" s="1966"/>
      <c r="L400" s="1965"/>
      <c r="M400" s="4496"/>
      <c r="N400" s="4496"/>
      <c r="O400" s="4496"/>
      <c r="P400" s="4496"/>
      <c r="Q400" s="1965"/>
      <c r="R400" s="1965"/>
      <c r="S400" s="1965"/>
      <c r="T400" s="1965"/>
      <c r="U400" s="1965"/>
      <c r="V400" s="1931"/>
      <c r="W400" s="1931"/>
      <c r="X400" s="1931"/>
      <c r="Y400" s="1931"/>
      <c r="Z400" s="1931"/>
      <c r="AA400" s="1931"/>
      <c r="AB400" s="1931"/>
      <c r="AC400" s="1931"/>
      <c r="AD400" s="1931"/>
      <c r="AE400" s="1931"/>
      <c r="AF400" s="1931"/>
      <c r="AG400" s="1931"/>
      <c r="AH400" s="1931"/>
      <c r="AI400" s="1931"/>
      <c r="AJ400" s="1931"/>
      <c r="AK400" s="1931"/>
      <c r="AL400" s="1931"/>
      <c r="AM400" s="1931"/>
      <c r="AN400" s="1931"/>
      <c r="AO400" s="1931"/>
      <c r="AP400" s="1931"/>
      <c r="AQ400" s="1931"/>
      <c r="AR400" s="1931"/>
      <c r="AS400" s="1931"/>
      <c r="AT400" s="1931"/>
      <c r="AU400" s="1931"/>
      <c r="AV400" s="1931"/>
      <c r="AW400" s="1931"/>
      <c r="AX400" s="1931"/>
      <c r="AY400" s="1931"/>
      <c r="AZ400" s="1931"/>
      <c r="BA400" s="1931"/>
      <c r="BB400" s="1931"/>
      <c r="BC400" s="1931"/>
      <c r="BD400" s="1931"/>
      <c r="BE400" s="1931"/>
      <c r="BF400" s="1931"/>
      <c r="BG400" s="1931"/>
      <c r="BH400" s="1931"/>
      <c r="BI400" s="1931"/>
      <c r="BJ400" s="1931"/>
      <c r="BK400" s="1931"/>
      <c r="BL400" s="1931"/>
      <c r="BM400" s="1931"/>
      <c r="BN400" s="1931"/>
      <c r="BO400" s="1931"/>
      <c r="BP400" s="1931"/>
      <c r="BQ400" s="1931"/>
      <c r="BR400" s="1931"/>
      <c r="BS400" s="1931"/>
      <c r="BT400" s="1931"/>
      <c r="BU400" s="1931"/>
      <c r="BV400" s="1931"/>
      <c r="BW400" s="1931"/>
      <c r="BX400" s="1931"/>
      <c r="BY400" s="1931"/>
      <c r="BZ400" s="1931"/>
      <c r="CA400" s="1931"/>
      <c r="CB400" s="1931"/>
      <c r="CC400" s="1931"/>
      <c r="CD400" s="1931"/>
      <c r="CE400" s="1930"/>
      <c r="CF400" s="1930"/>
      <c r="CG400" s="1930"/>
      <c r="CH400" s="1930"/>
      <c r="CI400" s="1931"/>
      <c r="CJ400" s="1931"/>
      <c r="CK400" s="1931"/>
      <c r="CL400" s="1931"/>
      <c r="CM400" s="1931"/>
      <c r="CN400" s="1931"/>
      <c r="CO400" s="1931"/>
      <c r="CP400" s="1931"/>
      <c r="CQ400" s="1931"/>
      <c r="CR400" s="1931"/>
      <c r="CS400" s="1931"/>
      <c r="CT400" s="1930"/>
      <c r="CU400" s="1930"/>
      <c r="CV400" s="1930"/>
      <c r="CW400" s="1930"/>
      <c r="CX400" s="1931"/>
      <c r="CY400" s="1931"/>
      <c r="CZ400" s="1931"/>
      <c r="DA400" s="1931"/>
      <c r="DB400" s="1932"/>
      <c r="DC400" s="1931"/>
      <c r="DD400" s="1931"/>
      <c r="DE400" s="1931"/>
    </row>
    <row r="401" spans="2:111" hidden="1" outlineLevel="1" x14ac:dyDescent="0.25">
      <c r="B401" s="1931"/>
      <c r="D401" s="1966" t="s">
        <v>2689</v>
      </c>
      <c r="E401" s="151"/>
      <c r="F401" s="1966"/>
      <c r="G401" s="1966"/>
      <c r="H401" s="1299"/>
      <c r="I401" s="1966"/>
      <c r="J401" s="1966"/>
      <c r="K401" s="151"/>
      <c r="L401" s="1965"/>
      <c r="M401" s="4496"/>
      <c r="N401" s="4496"/>
      <c r="O401" s="4496"/>
      <c r="P401" s="4496"/>
      <c r="Q401" s="1965"/>
      <c r="R401" s="1965"/>
      <c r="S401" s="1965"/>
      <c r="T401" s="1965"/>
      <c r="U401" s="1965"/>
      <c r="V401" s="1931"/>
      <c r="W401" s="1931"/>
      <c r="X401" s="1931"/>
      <c r="Y401" s="1931"/>
      <c r="Z401" s="1931"/>
      <c r="AA401" s="1931"/>
      <c r="AB401" s="1931"/>
      <c r="AC401" s="1931"/>
      <c r="AD401" s="1931"/>
      <c r="AE401" s="1931"/>
      <c r="AF401" s="1931"/>
      <c r="AG401" s="1931"/>
      <c r="AH401" s="1931"/>
      <c r="AI401" s="1931"/>
      <c r="AJ401" s="1931"/>
      <c r="AK401" s="1931"/>
      <c r="AL401" s="1931"/>
      <c r="AM401" s="1931"/>
      <c r="AN401" s="1931"/>
      <c r="AO401" s="1931"/>
      <c r="AP401" s="1931"/>
      <c r="AQ401" s="1931"/>
      <c r="AR401" s="1931"/>
      <c r="AS401" s="1931"/>
      <c r="AT401" s="1931"/>
      <c r="AU401" s="1931"/>
      <c r="AV401" s="1931"/>
      <c r="AW401" s="1931"/>
      <c r="AX401" s="1931"/>
      <c r="AY401" s="1931"/>
      <c r="AZ401" s="1931"/>
      <c r="BA401" s="1931"/>
      <c r="BB401" s="1931"/>
      <c r="BC401" s="1931"/>
      <c r="BD401" s="1931"/>
      <c r="BE401" s="1931"/>
      <c r="BF401" s="1931"/>
      <c r="BG401" s="1931"/>
      <c r="BH401" s="1931"/>
      <c r="BI401" s="1931"/>
      <c r="BJ401" s="1931"/>
      <c r="BK401" s="1931"/>
      <c r="BL401" s="1931"/>
      <c r="BM401" s="1931"/>
      <c r="BN401" s="1931"/>
      <c r="BO401" s="1931"/>
      <c r="BP401" s="1931"/>
      <c r="BQ401" s="1931"/>
      <c r="BR401" s="1931"/>
      <c r="BS401" s="1931"/>
      <c r="BT401" s="1931"/>
      <c r="BU401" s="1931"/>
      <c r="BV401" s="1931"/>
      <c r="BW401" s="1931"/>
      <c r="BX401" s="1931"/>
      <c r="BY401" s="1931"/>
      <c r="BZ401" s="1931"/>
      <c r="CA401" s="1931"/>
      <c r="CB401" s="1931"/>
      <c r="CC401" s="1931"/>
      <c r="CD401" s="1931"/>
      <c r="CE401" s="1930"/>
      <c r="CF401" s="1930"/>
      <c r="CG401" s="1930"/>
      <c r="CH401" s="1930"/>
      <c r="CI401" s="1931"/>
      <c r="CJ401" s="1931"/>
      <c r="CK401" s="1931"/>
      <c r="CL401" s="1931"/>
      <c r="CM401" s="1931"/>
      <c r="CN401" s="1931"/>
      <c r="CO401" s="1931"/>
      <c r="CP401" s="1931"/>
      <c r="CQ401" s="1931"/>
      <c r="CR401" s="1931"/>
      <c r="CS401" s="1931"/>
      <c r="CT401" s="1930"/>
      <c r="CU401" s="1930"/>
      <c r="CV401" s="1930"/>
      <c r="CW401" s="1930"/>
      <c r="CX401" s="1931"/>
      <c r="CY401" s="1931"/>
      <c r="CZ401" s="1931"/>
      <c r="DA401" s="1931"/>
      <c r="DB401" s="1932"/>
      <c r="DC401" s="1931"/>
      <c r="DD401" s="1931"/>
      <c r="DE401" s="1931"/>
    </row>
    <row r="402" spans="2:111" hidden="1" outlineLevel="1" x14ac:dyDescent="0.25">
      <c r="B402" s="1931"/>
      <c r="D402" s="1300" t="s">
        <v>2936</v>
      </c>
      <c r="E402" s="151"/>
      <c r="F402" s="1300" t="s">
        <v>2937</v>
      </c>
      <c r="G402" s="1321"/>
      <c r="H402" s="1322"/>
      <c r="I402" s="1965"/>
      <c r="J402" s="1965"/>
      <c r="K402" s="1965"/>
      <c r="L402" s="1965"/>
      <c r="M402" s="1965"/>
      <c r="N402" s="1965"/>
      <c r="O402" s="1965"/>
      <c r="P402" s="1965"/>
      <c r="Q402" s="1965"/>
      <c r="R402" s="1965"/>
      <c r="S402" s="1965"/>
      <c r="T402" s="1965"/>
      <c r="U402" s="1965"/>
      <c r="V402" s="1931"/>
      <c r="W402" s="1931"/>
      <c r="X402" s="1931"/>
      <c r="Y402" s="1931"/>
      <c r="Z402" s="1931"/>
      <c r="AA402" s="1931"/>
      <c r="AB402" s="1931"/>
      <c r="AC402" s="1931"/>
      <c r="AD402" s="1931"/>
      <c r="AE402" s="1931"/>
      <c r="AF402" s="1931"/>
      <c r="AG402" s="1931"/>
      <c r="AH402" s="1931"/>
      <c r="AI402" s="1931"/>
      <c r="AJ402" s="1931"/>
      <c r="AK402" s="1931"/>
      <c r="AL402" s="1931"/>
      <c r="AM402" s="1931"/>
      <c r="AN402" s="1931"/>
      <c r="AO402" s="1931"/>
      <c r="AP402" s="1931"/>
      <c r="AQ402" s="1931"/>
      <c r="AR402" s="1931"/>
      <c r="AS402" s="1931"/>
      <c r="AT402" s="1931"/>
      <c r="AU402" s="1931"/>
      <c r="AV402" s="1931"/>
      <c r="AW402" s="1931"/>
      <c r="AX402" s="1931"/>
      <c r="AY402" s="1931"/>
      <c r="AZ402" s="1931"/>
      <c r="BA402" s="1931"/>
      <c r="BB402" s="1931"/>
      <c r="BC402" s="1931"/>
      <c r="BD402" s="1931"/>
      <c r="BE402" s="1931"/>
      <c r="BF402" s="1931"/>
      <c r="BG402" s="1931"/>
      <c r="BH402" s="1931"/>
      <c r="BI402" s="1931"/>
      <c r="BJ402" s="1931"/>
      <c r="BK402" s="1931"/>
      <c r="BL402" s="1931"/>
      <c r="BM402" s="1931"/>
      <c r="BN402" s="1931"/>
      <c r="BO402" s="1931"/>
      <c r="BP402" s="1931"/>
      <c r="BQ402" s="1931"/>
      <c r="BR402" s="1931"/>
      <c r="BS402" s="1931"/>
      <c r="BT402" s="1931"/>
      <c r="BU402" s="1931"/>
      <c r="BV402" s="1931"/>
      <c r="BW402" s="1931"/>
      <c r="BX402" s="1931"/>
      <c r="BY402" s="1931"/>
      <c r="BZ402" s="1931"/>
      <c r="CA402" s="1931"/>
      <c r="CB402" s="1931"/>
      <c r="CC402" s="1931"/>
      <c r="CD402" s="1931"/>
      <c r="CE402" s="1930"/>
      <c r="CF402" s="1930"/>
      <c r="CG402" s="1930"/>
      <c r="CH402" s="1930"/>
      <c r="CI402" s="1931"/>
      <c r="CJ402" s="1931"/>
      <c r="CK402" s="1931"/>
      <c r="CL402" s="1931"/>
      <c r="CM402" s="1931"/>
      <c r="CN402" s="1931"/>
      <c r="CO402" s="1931"/>
      <c r="CP402" s="1931"/>
      <c r="CQ402" s="1931"/>
      <c r="CR402" s="1931"/>
      <c r="CS402" s="1931"/>
      <c r="CT402" s="1930"/>
      <c r="CU402" s="1930"/>
      <c r="CV402" s="1930"/>
      <c r="CW402" s="1930"/>
      <c r="CX402" s="1931"/>
      <c r="CY402" s="1931"/>
      <c r="CZ402" s="1931"/>
      <c r="DA402" s="1931"/>
      <c r="DB402" s="1932"/>
      <c r="DC402" s="1931"/>
      <c r="DD402" s="1931"/>
      <c r="DE402" s="1931"/>
    </row>
    <row r="403" spans="2:111" hidden="1" outlineLevel="1" x14ac:dyDescent="0.25">
      <c r="B403" s="1931"/>
      <c r="D403" s="1300"/>
      <c r="E403" s="1965"/>
      <c r="F403" s="1965"/>
      <c r="G403" s="1321"/>
      <c r="H403" s="1322"/>
      <c r="I403" s="1965"/>
      <c r="J403" s="1965"/>
      <c r="K403" s="1965"/>
      <c r="L403" s="1965"/>
      <c r="M403" s="1965"/>
      <c r="N403" s="1965"/>
      <c r="O403" s="1965"/>
      <c r="P403" s="1965"/>
      <c r="Q403" s="1965"/>
      <c r="R403" s="1965"/>
      <c r="S403" s="1965"/>
      <c r="T403" s="1965"/>
      <c r="U403" s="1965"/>
      <c r="V403" s="1931"/>
      <c r="W403" s="1931"/>
      <c r="X403" s="1931"/>
      <c r="Y403" s="1931"/>
      <c r="Z403" s="1931"/>
      <c r="AA403" s="1931"/>
      <c r="AB403" s="1931"/>
      <c r="AC403" s="1931"/>
      <c r="AD403" s="1931"/>
      <c r="AE403" s="1931"/>
      <c r="AF403" s="1931"/>
      <c r="AG403" s="1931"/>
      <c r="AH403" s="1931"/>
      <c r="AI403" s="1931"/>
      <c r="AJ403" s="1931"/>
      <c r="AK403" s="1931"/>
      <c r="AL403" s="1931"/>
      <c r="AM403" s="1931"/>
      <c r="AN403" s="1931"/>
      <c r="AO403" s="1931"/>
      <c r="AP403" s="1931"/>
      <c r="AQ403" s="1931"/>
      <c r="AR403" s="1931"/>
      <c r="AS403" s="1931"/>
      <c r="AT403" s="1931"/>
      <c r="AU403" s="1931"/>
      <c r="AV403" s="1931"/>
      <c r="AW403" s="1931"/>
      <c r="AX403" s="1931"/>
      <c r="AY403" s="1931"/>
      <c r="AZ403" s="1931"/>
      <c r="BA403" s="1931"/>
      <c r="BB403" s="1931"/>
      <c r="BC403" s="1931"/>
      <c r="BD403" s="1931"/>
      <c r="BE403" s="1931"/>
      <c r="BF403" s="1931"/>
      <c r="BG403" s="1931"/>
      <c r="BH403" s="1931"/>
      <c r="BI403" s="1931"/>
      <c r="BJ403" s="1931"/>
      <c r="BK403" s="1931"/>
      <c r="BL403" s="1931"/>
      <c r="BM403" s="1931"/>
      <c r="BN403" s="1931"/>
      <c r="BO403" s="1931"/>
      <c r="BP403" s="1931"/>
      <c r="BQ403" s="1931"/>
      <c r="BR403" s="1931"/>
      <c r="BS403" s="1931"/>
      <c r="BT403" s="1931"/>
      <c r="BU403" s="1931"/>
      <c r="BV403" s="1931"/>
      <c r="BW403" s="1931"/>
      <c r="BX403" s="1931"/>
      <c r="BY403" s="1931"/>
      <c r="BZ403" s="1931"/>
      <c r="CA403" s="1931"/>
      <c r="CB403" s="1931"/>
      <c r="CC403" s="1931"/>
      <c r="CD403" s="1931"/>
      <c r="CE403" s="1930"/>
      <c r="CF403" s="1930"/>
      <c r="CG403" s="1930"/>
      <c r="CH403" s="1930"/>
      <c r="CI403" s="1931"/>
      <c r="CJ403" s="1931"/>
      <c r="CK403" s="1931"/>
      <c r="CL403" s="1931"/>
      <c r="CM403" s="1931"/>
      <c r="CN403" s="1931"/>
      <c r="CO403" s="1931"/>
      <c r="CP403" s="1931"/>
      <c r="CQ403" s="1931"/>
      <c r="CR403" s="1931"/>
      <c r="CS403" s="1931"/>
      <c r="CT403" s="1930"/>
      <c r="CU403" s="1930"/>
      <c r="CV403" s="1930"/>
      <c r="CW403" s="1930"/>
      <c r="CX403" s="1931"/>
      <c r="CY403" s="1931"/>
      <c r="CZ403" s="1931"/>
      <c r="DA403" s="1931"/>
      <c r="DB403" s="1932"/>
      <c r="DC403" s="1931"/>
      <c r="DD403" s="1931"/>
      <c r="DE403" s="1931"/>
    </row>
    <row r="404" spans="2:111" hidden="1" outlineLevel="1" x14ac:dyDescent="0.25">
      <c r="B404" s="1931"/>
      <c r="D404" s="1300"/>
      <c r="E404" s="1965"/>
      <c r="F404" s="1965"/>
      <c r="G404" s="1965"/>
      <c r="H404" s="1301"/>
      <c r="I404" s="1965"/>
      <c r="J404" s="1965"/>
      <c r="K404" s="1965"/>
      <c r="L404" s="1965"/>
      <c r="M404" s="1966"/>
      <c r="N404" s="1965"/>
      <c r="O404" s="1965"/>
      <c r="P404" s="1965"/>
      <c r="Q404" s="1965"/>
      <c r="R404" s="1965"/>
      <c r="S404" s="1965"/>
      <c r="T404" s="1965"/>
      <c r="U404" s="1965"/>
      <c r="V404" s="1931"/>
      <c r="W404" s="1931"/>
      <c r="X404" s="1931"/>
      <c r="Y404" s="1931"/>
      <c r="Z404" s="1931"/>
      <c r="AA404" s="1931"/>
      <c r="AB404" s="1931"/>
      <c r="AC404" s="1931"/>
      <c r="AD404" s="1931"/>
      <c r="AE404" s="1931"/>
      <c r="AF404" s="1931"/>
      <c r="AG404" s="1931"/>
      <c r="AH404" s="1931"/>
      <c r="AI404" s="1931"/>
      <c r="AJ404" s="1931"/>
      <c r="AK404" s="1931"/>
      <c r="AL404" s="1931"/>
      <c r="AM404" s="1931"/>
      <c r="AN404" s="1931"/>
      <c r="AO404" s="1931"/>
      <c r="AP404" s="1931"/>
      <c r="AQ404" s="1931"/>
      <c r="AR404" s="1931"/>
      <c r="AS404" s="1931"/>
      <c r="AT404" s="1931"/>
      <c r="AU404" s="1931"/>
      <c r="AV404" s="1931"/>
      <c r="AW404" s="1931"/>
      <c r="AX404" s="1931"/>
      <c r="AY404" s="1931"/>
      <c r="AZ404" s="1931"/>
      <c r="BA404" s="1931"/>
      <c r="BB404" s="1931"/>
      <c r="BC404" s="1931"/>
      <c r="BD404" s="1931"/>
      <c r="BE404" s="1931"/>
      <c r="BF404" s="1931"/>
      <c r="BG404" s="1931"/>
      <c r="BH404" s="1931"/>
      <c r="BI404" s="1931"/>
      <c r="BJ404" s="1931"/>
      <c r="BK404" s="1931"/>
      <c r="BL404" s="1931"/>
      <c r="BM404" s="1931"/>
      <c r="BN404" s="1931"/>
      <c r="BO404" s="1931"/>
      <c r="BP404" s="1931"/>
      <c r="BQ404" s="1931"/>
      <c r="BR404" s="1931"/>
      <c r="BS404" s="1931"/>
      <c r="BT404" s="1931"/>
      <c r="BU404" s="1931"/>
      <c r="BV404" s="1931"/>
      <c r="BW404" s="1931"/>
      <c r="BX404" s="1931"/>
      <c r="BY404" s="1931"/>
      <c r="BZ404" s="1931"/>
      <c r="CA404" s="1931"/>
      <c r="CB404" s="1931"/>
      <c r="CC404" s="1931"/>
      <c r="CD404" s="1931"/>
      <c r="CE404" s="1930"/>
      <c r="CF404" s="1930"/>
      <c r="CG404" s="1930"/>
      <c r="CH404" s="1930"/>
      <c r="CI404" s="1931"/>
      <c r="CJ404" s="1931"/>
      <c r="CK404" s="1931"/>
      <c r="CL404" s="1931"/>
      <c r="CM404" s="1931"/>
      <c r="CN404" s="1931"/>
      <c r="CO404" s="1931"/>
      <c r="CP404" s="1931"/>
      <c r="CQ404" s="1931"/>
      <c r="CR404" s="1931"/>
      <c r="CS404" s="1931"/>
      <c r="CT404" s="1930"/>
      <c r="CU404" s="1930"/>
      <c r="CV404" s="1930"/>
      <c r="CW404" s="1930"/>
      <c r="CX404" s="1931"/>
      <c r="CY404" s="1931"/>
      <c r="CZ404" s="1931"/>
      <c r="DA404" s="1931"/>
      <c r="DB404" s="1932"/>
      <c r="DC404" s="1931"/>
      <c r="DD404" s="1931"/>
      <c r="DE404" s="1931"/>
    </row>
    <row r="405" spans="2:111" hidden="1" outlineLevel="1" x14ac:dyDescent="0.25">
      <c r="B405" s="1931"/>
      <c r="D405" s="1300"/>
      <c r="E405" s="1965"/>
      <c r="F405" s="1965"/>
      <c r="G405" s="1965"/>
      <c r="H405" s="1301"/>
      <c r="I405" s="1965"/>
      <c r="J405" s="1965"/>
      <c r="K405" s="1965"/>
      <c r="L405" s="1965"/>
      <c r="M405" s="1966"/>
      <c r="N405" s="1965"/>
      <c r="O405" s="1965"/>
      <c r="P405" s="1965"/>
      <c r="Q405" s="1965"/>
      <c r="R405" s="1965"/>
      <c r="S405" s="1965"/>
      <c r="T405" s="1965"/>
      <c r="U405" s="1965"/>
      <c r="V405" s="1931"/>
      <c r="W405" s="1931"/>
      <c r="X405" s="1931"/>
      <c r="Y405" s="1931"/>
      <c r="Z405" s="1931"/>
      <c r="AA405" s="1931"/>
      <c r="AB405" s="1931"/>
      <c r="AC405" s="1931"/>
      <c r="AD405" s="1931"/>
      <c r="AE405" s="1931"/>
      <c r="AF405" s="1931"/>
      <c r="AG405" s="1931"/>
      <c r="AH405" s="1931"/>
      <c r="AI405" s="1931"/>
      <c r="AJ405" s="1931"/>
      <c r="AK405" s="1931"/>
      <c r="AL405" s="1931"/>
      <c r="AM405" s="1931"/>
      <c r="AN405" s="1931"/>
      <c r="AO405" s="1931"/>
      <c r="AP405" s="1931"/>
      <c r="AQ405" s="1931"/>
      <c r="AR405" s="1931"/>
      <c r="AS405" s="1931"/>
      <c r="AT405" s="1931"/>
      <c r="AU405" s="1931"/>
      <c r="AV405" s="1931"/>
      <c r="AW405" s="1931"/>
      <c r="AX405" s="1931"/>
      <c r="AY405" s="1931"/>
      <c r="AZ405" s="1931"/>
      <c r="BA405" s="1931"/>
      <c r="BB405" s="1931"/>
      <c r="BC405" s="1931"/>
      <c r="BD405" s="1931"/>
      <c r="BE405" s="1931"/>
      <c r="BF405" s="1931"/>
      <c r="BG405" s="1931"/>
      <c r="BH405" s="1931"/>
      <c r="BI405" s="1931"/>
      <c r="BJ405" s="1931"/>
      <c r="BK405" s="1931"/>
      <c r="BL405" s="1931"/>
      <c r="BM405" s="1931"/>
      <c r="BN405" s="1931"/>
      <c r="BO405" s="1931"/>
      <c r="BP405" s="1931"/>
      <c r="BQ405" s="1931"/>
      <c r="BR405" s="1931"/>
      <c r="BS405" s="1931"/>
      <c r="BT405" s="1931"/>
      <c r="BU405" s="1931"/>
      <c r="BV405" s="1931"/>
      <c r="BW405" s="1931"/>
      <c r="BX405" s="1931"/>
      <c r="BY405" s="1931"/>
      <c r="BZ405" s="1931"/>
      <c r="CA405" s="1931"/>
      <c r="CB405" s="1931"/>
      <c r="CC405" s="1931"/>
      <c r="CD405" s="1931"/>
      <c r="CE405" s="1930"/>
      <c r="CF405" s="1930"/>
      <c r="CG405" s="1930"/>
      <c r="CH405" s="1930"/>
      <c r="CI405" s="1931"/>
      <c r="CJ405" s="1931"/>
      <c r="CK405" s="1931"/>
      <c r="CL405" s="1931"/>
      <c r="CM405" s="1931"/>
      <c r="CN405" s="1931"/>
      <c r="CO405" s="1931"/>
      <c r="CP405" s="1931"/>
      <c r="CQ405" s="1931"/>
      <c r="CR405" s="1931"/>
      <c r="CS405" s="1931"/>
      <c r="CT405" s="1930"/>
      <c r="CU405" s="1930"/>
      <c r="CV405" s="1930"/>
      <c r="CW405" s="1930"/>
      <c r="CX405" s="1931"/>
      <c r="CY405" s="1931"/>
      <c r="CZ405" s="1931"/>
      <c r="DA405" s="1931"/>
      <c r="DB405" s="1932"/>
      <c r="DC405" s="1931"/>
      <c r="DD405" s="1931"/>
      <c r="DE405" s="1931"/>
    </row>
    <row r="406" spans="2:111" hidden="1" outlineLevel="1" x14ac:dyDescent="0.25">
      <c r="B406" s="1931"/>
      <c r="D406" s="1300"/>
      <c r="E406" s="1965"/>
      <c r="F406" s="1965"/>
      <c r="G406" s="1965"/>
      <c r="H406" s="1301"/>
      <c r="I406" s="1965"/>
      <c r="J406" s="1965"/>
      <c r="K406" s="1965"/>
      <c r="L406" s="1965"/>
      <c r="M406" s="1966"/>
      <c r="N406" s="1965"/>
      <c r="O406" s="1965"/>
      <c r="P406" s="1965"/>
      <c r="Q406" s="1965"/>
      <c r="R406" s="1965"/>
      <c r="S406" s="1965"/>
      <c r="T406" s="1965"/>
      <c r="U406" s="1965"/>
      <c r="V406" s="1931"/>
      <c r="W406" s="1931"/>
      <c r="X406" s="1931"/>
      <c r="Y406" s="1931"/>
      <c r="Z406" s="1931"/>
      <c r="AA406" s="1931"/>
      <c r="AB406" s="1931"/>
      <c r="AC406" s="1931"/>
      <c r="AD406" s="1931"/>
      <c r="AE406" s="1931"/>
      <c r="AF406" s="1931"/>
      <c r="AG406" s="1931"/>
      <c r="AH406" s="1931"/>
      <c r="AI406" s="1931"/>
      <c r="AJ406" s="1931"/>
      <c r="AK406" s="1931"/>
      <c r="AL406" s="1931"/>
      <c r="AM406" s="1931"/>
      <c r="AN406" s="1931"/>
      <c r="AO406" s="1931"/>
      <c r="AP406" s="1931"/>
      <c r="AQ406" s="1931"/>
      <c r="AR406" s="1931"/>
      <c r="AS406" s="1931"/>
      <c r="AT406" s="1931"/>
      <c r="AU406" s="1931"/>
      <c r="AV406" s="1931"/>
      <c r="AW406" s="1931"/>
      <c r="AX406" s="1931"/>
      <c r="AY406" s="1931"/>
      <c r="AZ406" s="1931"/>
      <c r="BA406" s="1931"/>
      <c r="BB406" s="1931"/>
      <c r="BC406" s="1931"/>
      <c r="BD406" s="1931"/>
      <c r="BE406" s="1931"/>
      <c r="BF406" s="1931"/>
      <c r="BG406" s="1931"/>
      <c r="BH406" s="1931"/>
      <c r="BI406" s="1931"/>
      <c r="BJ406" s="1931"/>
      <c r="BK406" s="1931"/>
      <c r="BL406" s="1931"/>
      <c r="BM406" s="1931"/>
      <c r="BN406" s="1931"/>
      <c r="BO406" s="1931"/>
      <c r="BP406" s="1931"/>
      <c r="BQ406" s="1931"/>
      <c r="BR406" s="1931"/>
      <c r="BS406" s="1931"/>
      <c r="BT406" s="1931"/>
      <c r="BU406" s="1931"/>
      <c r="BV406" s="1931"/>
      <c r="BW406" s="1931"/>
      <c r="BX406" s="1931"/>
      <c r="BY406" s="1931"/>
      <c r="BZ406" s="1931"/>
      <c r="CA406" s="1931"/>
      <c r="CB406" s="1931"/>
      <c r="CC406" s="1931"/>
      <c r="CD406" s="1931"/>
      <c r="CE406" s="1930"/>
      <c r="CF406" s="1930"/>
      <c r="CG406" s="1930"/>
      <c r="CH406" s="1930"/>
      <c r="CI406" s="1931"/>
      <c r="CJ406" s="1931"/>
      <c r="CK406" s="1931"/>
      <c r="CL406" s="1931"/>
      <c r="CM406" s="1931"/>
      <c r="CN406" s="1931"/>
      <c r="CO406" s="1931"/>
      <c r="CP406" s="1931"/>
      <c r="CQ406" s="1931"/>
      <c r="CR406" s="1931"/>
      <c r="CS406" s="1931"/>
      <c r="CT406" s="1930"/>
      <c r="CU406" s="1930"/>
      <c r="CV406" s="1930"/>
      <c r="CW406" s="1930"/>
      <c r="CX406" s="1931"/>
      <c r="CY406" s="1931"/>
      <c r="CZ406" s="1931"/>
      <c r="DA406" s="1931"/>
      <c r="DB406" s="1932"/>
      <c r="DC406" s="1931"/>
      <c r="DD406" s="1931"/>
      <c r="DE406" s="1931"/>
    </row>
    <row r="407" spans="2:111" hidden="1" outlineLevel="1" x14ac:dyDescent="0.25">
      <c r="B407" s="1931"/>
      <c r="D407" s="1300"/>
      <c r="E407" s="1965"/>
      <c r="F407" s="1965"/>
      <c r="G407" s="1965"/>
      <c r="H407" s="1301"/>
      <c r="I407" s="1965"/>
      <c r="J407" s="1965"/>
      <c r="K407" s="1965"/>
      <c r="L407" s="1965"/>
      <c r="M407" s="1965"/>
      <c r="N407" s="1965"/>
      <c r="O407" s="1965"/>
      <c r="P407" s="1965"/>
      <c r="Q407" s="1965"/>
      <c r="R407" s="1965"/>
      <c r="S407" s="1965"/>
      <c r="T407" s="1965"/>
      <c r="U407" s="1965"/>
      <c r="V407" s="1931"/>
      <c r="W407" s="1931"/>
      <c r="X407" s="1931"/>
      <c r="Y407" s="1931"/>
      <c r="Z407" s="1931"/>
      <c r="AA407" s="1931"/>
      <c r="AB407" s="1931"/>
      <c r="AC407" s="1931"/>
      <c r="AD407" s="1931"/>
      <c r="AE407" s="1931"/>
      <c r="AF407" s="1931"/>
      <c r="AG407" s="1931"/>
      <c r="AH407" s="1931"/>
      <c r="AI407" s="1931"/>
      <c r="AJ407" s="1931"/>
      <c r="AK407" s="1931"/>
      <c r="AL407" s="1931"/>
      <c r="AM407" s="1931"/>
      <c r="AN407" s="1931"/>
      <c r="AO407" s="1931"/>
      <c r="AP407" s="1931"/>
      <c r="AQ407" s="1931"/>
      <c r="AR407" s="1931"/>
      <c r="AS407" s="1931"/>
      <c r="AT407" s="1931"/>
      <c r="AU407" s="1931"/>
      <c r="AV407" s="1931"/>
      <c r="AW407" s="1931"/>
      <c r="AX407" s="1931"/>
      <c r="AY407" s="1931"/>
      <c r="AZ407" s="1931"/>
      <c r="BA407" s="1931"/>
      <c r="BB407" s="1931"/>
      <c r="BC407" s="1931"/>
      <c r="BD407" s="1931"/>
      <c r="BE407" s="1931"/>
      <c r="BF407" s="1931"/>
      <c r="BG407" s="1931"/>
      <c r="BH407" s="1931"/>
      <c r="BI407" s="1931"/>
      <c r="BJ407" s="1931"/>
      <c r="BK407" s="1931"/>
      <c r="BL407" s="1931"/>
      <c r="BM407" s="1931"/>
      <c r="BN407" s="1931"/>
      <c r="BO407" s="1931"/>
      <c r="BP407" s="1931"/>
      <c r="BQ407" s="1931"/>
      <c r="BR407" s="1931"/>
      <c r="BS407" s="1931"/>
      <c r="BT407" s="1931"/>
      <c r="BU407" s="1931"/>
      <c r="BV407" s="1931"/>
      <c r="BW407" s="1931"/>
      <c r="BX407" s="1931"/>
      <c r="BY407" s="1931"/>
      <c r="BZ407" s="1931"/>
      <c r="CA407" s="1931"/>
      <c r="CB407" s="1931"/>
      <c r="CC407" s="1931"/>
      <c r="CD407" s="1931"/>
      <c r="CE407" s="1930"/>
      <c r="CF407" s="1930"/>
      <c r="CG407" s="1930"/>
      <c r="CH407" s="1930"/>
      <c r="CI407" s="1931"/>
      <c r="CJ407" s="1931"/>
      <c r="CK407" s="1931"/>
      <c r="CL407" s="1931"/>
      <c r="CM407" s="1931"/>
      <c r="CN407" s="1931"/>
      <c r="CO407" s="1931"/>
      <c r="CP407" s="1931"/>
      <c r="CQ407" s="1931"/>
      <c r="CR407" s="1931"/>
      <c r="CS407" s="1931"/>
      <c r="CT407" s="1930"/>
      <c r="CU407" s="1930"/>
      <c r="CV407" s="1930"/>
      <c r="CW407" s="1930"/>
      <c r="CX407" s="1931"/>
      <c r="CY407" s="1931"/>
      <c r="CZ407" s="1931"/>
      <c r="DA407" s="1931"/>
      <c r="DB407" s="1932"/>
      <c r="DC407" s="1931"/>
      <c r="DD407" s="1931"/>
      <c r="DE407" s="1931"/>
    </row>
    <row r="408" spans="2:111" s="55" customFormat="1" ht="30" hidden="1" outlineLevel="1" x14ac:dyDescent="0.25">
      <c r="C408" s="151"/>
      <c r="D408" s="3081" t="s">
        <v>28</v>
      </c>
      <c r="E408" s="3081" t="s">
        <v>2758</v>
      </c>
      <c r="F408" s="81" t="s">
        <v>2938</v>
      </c>
      <c r="G408" s="3081" t="s">
        <v>2939</v>
      </c>
      <c r="H408" s="3081" t="s">
        <v>2940</v>
      </c>
      <c r="I408" s="3196" t="s">
        <v>2941</v>
      </c>
      <c r="J408" s="1965"/>
      <c r="L408" s="401"/>
      <c r="M408" s="401"/>
      <c r="N408" s="401"/>
      <c r="O408" s="401"/>
      <c r="P408" s="401"/>
      <c r="Q408" s="401"/>
      <c r="R408" s="401"/>
      <c r="S408" s="401"/>
      <c r="T408" s="401"/>
      <c r="U408" s="401"/>
      <c r="DB408" s="72"/>
    </row>
    <row r="409" spans="2:111" hidden="1" outlineLevel="1" x14ac:dyDescent="0.25">
      <c r="B409" s="1931"/>
      <c r="D409" s="1967" t="str">
        <f>C395</f>
        <v>803250_2020_07_</v>
      </c>
      <c r="E409" s="1302" t="str">
        <f>E395</f>
        <v>Single Packag or Split Sytem Unitary AC_DX 135 - 240kbtu</v>
      </c>
      <c r="F409" s="1335">
        <v>12</v>
      </c>
      <c r="G409" s="1970">
        <v>11</v>
      </c>
      <c r="H409" s="1970">
        <f>ROUND(G409*1.15, 1)</f>
        <v>12.7</v>
      </c>
      <c r="I409" s="1341">
        <v>1053</v>
      </c>
      <c r="J409" s="1965"/>
      <c r="K409" s="1931"/>
      <c r="L409" s="1965"/>
      <c r="M409" s="1965"/>
      <c r="N409" s="1965"/>
      <c r="O409" s="1965"/>
      <c r="P409" s="1965"/>
      <c r="Q409" s="1965"/>
      <c r="R409" s="1965"/>
      <c r="S409" s="1965"/>
      <c r="T409" s="1965"/>
      <c r="U409" s="1965"/>
      <c r="V409" s="1931"/>
      <c r="W409" s="1931"/>
      <c r="X409" s="1931"/>
      <c r="Y409" s="1931"/>
      <c r="Z409" s="1931"/>
      <c r="AA409" s="1931"/>
      <c r="AB409" s="1931"/>
      <c r="AC409" s="1931"/>
      <c r="AD409" s="1931"/>
      <c r="AE409" s="1931"/>
      <c r="AF409" s="1931"/>
      <c r="AG409" s="1931"/>
      <c r="AH409" s="1931"/>
      <c r="AI409" s="1931"/>
      <c r="AJ409" s="1931"/>
      <c r="AK409" s="1931"/>
      <c r="AL409" s="1931"/>
      <c r="AM409" s="1931"/>
      <c r="AN409" s="1931"/>
      <c r="AO409" s="1931"/>
      <c r="AP409" s="1931"/>
      <c r="AQ409" s="1931"/>
      <c r="AR409" s="1931"/>
      <c r="AS409" s="1931"/>
      <c r="AT409" s="1931"/>
      <c r="AU409" s="1931"/>
      <c r="AV409" s="1931"/>
      <c r="AW409" s="1931"/>
      <c r="AX409" s="1931"/>
      <c r="AY409" s="1931"/>
      <c r="AZ409" s="1931"/>
      <c r="BA409" s="1931"/>
      <c r="BB409" s="1931"/>
      <c r="BC409" s="1931"/>
      <c r="BD409" s="1931"/>
      <c r="BE409" s="1931"/>
      <c r="BF409" s="1931"/>
      <c r="BG409" s="1931"/>
      <c r="BH409" s="1931"/>
      <c r="BI409" s="1931"/>
      <c r="BJ409" s="1931"/>
      <c r="BK409" s="1931"/>
      <c r="BL409" s="1931"/>
      <c r="BM409" s="1931"/>
      <c r="BN409" s="1931"/>
      <c r="BO409" s="1931"/>
      <c r="BP409" s="1931"/>
      <c r="BQ409" s="1931"/>
      <c r="BR409" s="1931"/>
      <c r="BS409" s="1931"/>
      <c r="BT409" s="1931"/>
      <c r="BU409" s="1931"/>
      <c r="BV409" s="1931"/>
      <c r="BW409" s="1931"/>
      <c r="BX409" s="1931"/>
      <c r="BY409" s="1931"/>
      <c r="BZ409" s="1931"/>
      <c r="CA409" s="1931"/>
      <c r="CB409" s="1931"/>
      <c r="CC409" s="1931"/>
      <c r="CD409" s="1931"/>
      <c r="CE409" s="1930"/>
      <c r="CF409" s="1930"/>
      <c r="CG409" s="1930"/>
      <c r="CH409" s="1930"/>
      <c r="CI409" s="1931"/>
      <c r="CJ409" s="1931"/>
      <c r="CK409" s="1931"/>
      <c r="CL409" s="1931"/>
      <c r="CM409" s="1931"/>
      <c r="CN409" s="1931"/>
      <c r="CO409" s="1931"/>
      <c r="CP409" s="1931"/>
      <c r="CQ409" s="1931"/>
      <c r="CR409" s="1931"/>
      <c r="CS409" s="1931"/>
      <c r="CT409" s="1930"/>
      <c r="CU409" s="1930"/>
      <c r="CV409" s="1930"/>
      <c r="CW409" s="1930"/>
      <c r="CX409" s="1931"/>
      <c r="CY409" s="1931"/>
      <c r="CZ409" s="1931"/>
      <c r="DA409" s="1931"/>
      <c r="DB409" s="1932"/>
      <c r="DC409" s="1931"/>
      <c r="DD409" s="1931"/>
      <c r="DE409" s="1931"/>
      <c r="DF409" s="1931"/>
    </row>
    <row r="410" spans="2:111" hidden="1" outlineLevel="1" x14ac:dyDescent="0.25">
      <c r="B410" s="1931"/>
      <c r="D410" s="1967" t="str">
        <f>C396</f>
        <v>803300_2020_07_</v>
      </c>
      <c r="E410" s="1302" t="str">
        <f>E396</f>
        <v>Single Packag or Split Sytem Unitary AC_DX 240 - 760kbtu</v>
      </c>
      <c r="F410" s="1335">
        <v>12</v>
      </c>
      <c r="G410" s="1970">
        <v>9.9</v>
      </c>
      <c r="H410" s="1970">
        <f t="shared" ref="H410:H413" si="161">ROUND(G410*1.15, 1)</f>
        <v>11.4</v>
      </c>
      <c r="I410" s="1341">
        <v>1053</v>
      </c>
      <c r="J410" s="1965"/>
      <c r="K410" s="1931"/>
      <c r="L410" s="1965"/>
      <c r="M410" s="1965"/>
      <c r="N410" s="1965"/>
      <c r="O410" s="1965"/>
      <c r="P410" s="1965"/>
      <c r="Q410" s="1965"/>
      <c r="R410" s="1965"/>
      <c r="S410" s="1965"/>
      <c r="T410" s="1965"/>
      <c r="U410" s="1965"/>
      <c r="V410" s="1931"/>
      <c r="W410" s="1931"/>
      <c r="X410" s="1931"/>
      <c r="Y410" s="1931"/>
      <c r="Z410" s="1931"/>
      <c r="AA410" s="1931"/>
      <c r="AB410" s="1931"/>
      <c r="AC410" s="1931"/>
      <c r="AD410" s="1931"/>
      <c r="AE410" s="1931"/>
      <c r="AF410" s="1931"/>
      <c r="AG410" s="1931"/>
      <c r="AH410" s="1931"/>
      <c r="AI410" s="1931"/>
      <c r="AJ410" s="1931"/>
      <c r="AK410" s="1931"/>
      <c r="AL410" s="1931"/>
      <c r="AM410" s="1931"/>
      <c r="AN410" s="1931"/>
      <c r="AO410" s="1931"/>
      <c r="AP410" s="1931"/>
      <c r="AQ410" s="1931"/>
      <c r="AR410" s="1931"/>
      <c r="AS410" s="1931"/>
      <c r="AT410" s="1931"/>
      <c r="AU410" s="1931"/>
      <c r="AV410" s="1931"/>
      <c r="AW410" s="1931"/>
      <c r="AX410" s="1931"/>
      <c r="AY410" s="1931"/>
      <c r="AZ410" s="1931"/>
      <c r="BA410" s="1931"/>
      <c r="BB410" s="1931"/>
      <c r="BC410" s="1931"/>
      <c r="BD410" s="1931"/>
      <c r="BE410" s="1931"/>
      <c r="BF410" s="1931"/>
      <c r="BG410" s="1931"/>
      <c r="BH410" s="1931"/>
      <c r="BI410" s="1931"/>
      <c r="BJ410" s="1931"/>
      <c r="BK410" s="1931"/>
      <c r="BL410" s="1931"/>
      <c r="BM410" s="1931"/>
      <c r="BN410" s="1931"/>
      <c r="BO410" s="1931"/>
      <c r="BP410" s="1931"/>
      <c r="BQ410" s="1931"/>
      <c r="BR410" s="1931"/>
      <c r="BS410" s="1931"/>
      <c r="BT410" s="1931"/>
      <c r="BU410" s="1931"/>
      <c r="BV410" s="1931"/>
      <c r="BW410" s="1931"/>
      <c r="BX410" s="1931"/>
      <c r="BY410" s="1931"/>
      <c r="BZ410" s="1931"/>
      <c r="CA410" s="1931"/>
      <c r="CB410" s="1931"/>
      <c r="CC410" s="1931"/>
      <c r="CD410" s="1931"/>
      <c r="CE410" s="1930"/>
      <c r="CF410" s="1930"/>
      <c r="CG410" s="1930"/>
      <c r="CH410" s="1930"/>
      <c r="CI410" s="1931"/>
      <c r="CJ410" s="1931"/>
      <c r="CK410" s="1931"/>
      <c r="CL410" s="1931"/>
      <c r="CM410" s="1931"/>
      <c r="CN410" s="1931"/>
      <c r="CO410" s="1931"/>
      <c r="CP410" s="1931"/>
      <c r="CQ410" s="1931"/>
      <c r="CR410" s="1931"/>
      <c r="CS410" s="1931"/>
      <c r="CT410" s="1930"/>
      <c r="CU410" s="1930"/>
      <c r="CV410" s="1930"/>
      <c r="CW410" s="1930"/>
      <c r="CX410" s="1931"/>
      <c r="CY410" s="1931"/>
      <c r="CZ410" s="1931"/>
      <c r="DA410" s="1931"/>
      <c r="DB410" s="1932"/>
      <c r="DC410" s="1931"/>
      <c r="DD410" s="1931"/>
      <c r="DE410" s="1931"/>
      <c r="DF410" s="1931"/>
    </row>
    <row r="411" spans="2:111" hidden="1" outlineLevel="1" x14ac:dyDescent="0.25">
      <c r="B411" s="1931"/>
      <c r="D411" s="1967" t="str">
        <f>C397</f>
        <v>803350_2020_07_</v>
      </c>
      <c r="E411" s="1302" t="str">
        <f>E397</f>
        <v>Single Packag or Split Sytem Unitary AC_DX 65 -135kbtu</v>
      </c>
      <c r="F411" s="1335">
        <v>12</v>
      </c>
      <c r="G411" s="1970">
        <v>11.2</v>
      </c>
      <c r="H411" s="1970">
        <f t="shared" si="161"/>
        <v>12.9</v>
      </c>
      <c r="I411" s="1341">
        <v>1053</v>
      </c>
      <c r="J411" s="1965"/>
      <c r="K411" s="1931"/>
      <c r="L411" s="1965"/>
      <c r="M411" s="1965"/>
      <c r="N411" s="1965"/>
      <c r="O411" s="1965"/>
      <c r="P411" s="1965"/>
      <c r="Q411" s="1965"/>
      <c r="R411" s="1965"/>
      <c r="S411" s="1965"/>
      <c r="T411" s="1965"/>
      <c r="U411" s="1965"/>
      <c r="V411" s="1931"/>
      <c r="W411" s="1931"/>
      <c r="X411" s="1931"/>
      <c r="Y411" s="1931"/>
      <c r="Z411" s="1931"/>
      <c r="AA411" s="1931"/>
      <c r="AB411" s="1931"/>
      <c r="AC411" s="1931"/>
      <c r="AD411" s="1931"/>
      <c r="AE411" s="1931"/>
      <c r="AF411" s="1931"/>
      <c r="AG411" s="1931"/>
      <c r="AH411" s="1931"/>
      <c r="AI411" s="1931"/>
      <c r="AJ411" s="1931"/>
      <c r="AK411" s="1931"/>
      <c r="AL411" s="1931"/>
      <c r="AM411" s="1931"/>
      <c r="AN411" s="1931"/>
      <c r="AO411" s="1931"/>
      <c r="AP411" s="1931"/>
      <c r="AQ411" s="1931"/>
      <c r="AR411" s="1931"/>
      <c r="AS411" s="1931"/>
      <c r="AT411" s="1931"/>
      <c r="AU411" s="1931"/>
      <c r="AV411" s="1931"/>
      <c r="AW411" s="1931"/>
      <c r="AX411" s="1931"/>
      <c r="AY411" s="1931"/>
      <c r="AZ411" s="1931"/>
      <c r="BA411" s="1931"/>
      <c r="BB411" s="1931"/>
      <c r="BC411" s="1931"/>
      <c r="BD411" s="1931"/>
      <c r="BE411" s="1931"/>
      <c r="BF411" s="1931"/>
      <c r="BG411" s="1931"/>
      <c r="BH411" s="1931"/>
      <c r="BI411" s="1931"/>
      <c r="BJ411" s="1931"/>
      <c r="BK411" s="1931"/>
      <c r="BL411" s="1931"/>
      <c r="BM411" s="1931"/>
      <c r="BN411" s="1931"/>
      <c r="BO411" s="1931"/>
      <c r="BP411" s="1931"/>
      <c r="BQ411" s="1931"/>
      <c r="BR411" s="1931"/>
      <c r="BS411" s="1931"/>
      <c r="BT411" s="1931"/>
      <c r="BU411" s="1931"/>
      <c r="BV411" s="1931"/>
      <c r="BW411" s="1931"/>
      <c r="BX411" s="1931"/>
      <c r="BY411" s="1931"/>
      <c r="BZ411" s="1931"/>
      <c r="CA411" s="1931"/>
      <c r="CB411" s="1931"/>
      <c r="CC411" s="1931"/>
      <c r="CD411" s="1931"/>
      <c r="CE411" s="1930"/>
      <c r="CF411" s="1930"/>
      <c r="CG411" s="1930"/>
      <c r="CH411" s="1930"/>
      <c r="CI411" s="1931"/>
      <c r="CJ411" s="1931"/>
      <c r="CK411" s="1931"/>
      <c r="CL411" s="1931"/>
      <c r="CM411" s="1931"/>
      <c r="CN411" s="1931"/>
      <c r="CO411" s="1931"/>
      <c r="CP411" s="1931"/>
      <c r="CQ411" s="1931"/>
      <c r="CR411" s="1931"/>
      <c r="CS411" s="1931"/>
      <c r="CT411" s="1930"/>
      <c r="CU411" s="1930"/>
      <c r="CV411" s="1930"/>
      <c r="CW411" s="1930"/>
      <c r="CX411" s="1931"/>
      <c r="CY411" s="1931"/>
      <c r="CZ411" s="1931"/>
      <c r="DA411" s="1931"/>
      <c r="DB411" s="1932"/>
      <c r="DC411" s="1931"/>
      <c r="DD411" s="1931"/>
      <c r="DE411" s="1931"/>
      <c r="DF411" s="1931"/>
    </row>
    <row r="412" spans="2:111" hidden="1" outlineLevel="1" x14ac:dyDescent="0.25">
      <c r="B412" s="1931"/>
      <c r="D412" s="1967" t="str">
        <f>C398</f>
        <v>803400_2020_07_</v>
      </c>
      <c r="E412" s="1302" t="str">
        <f>E398</f>
        <v>Single Packag or Split Sytem Unitary AC_DX &gt;760kbtu</v>
      </c>
      <c r="F412" s="1335">
        <v>12</v>
      </c>
      <c r="G412" s="1970">
        <v>9.6</v>
      </c>
      <c r="H412" s="1970">
        <f t="shared" si="161"/>
        <v>11</v>
      </c>
      <c r="I412" s="1341">
        <v>1053</v>
      </c>
      <c r="J412" s="1965"/>
      <c r="K412" s="1931"/>
      <c r="L412" s="1965"/>
      <c r="M412" s="1965"/>
      <c r="N412" s="1965"/>
      <c r="O412" s="1965"/>
      <c r="P412" s="1965"/>
      <c r="Q412" s="1965"/>
      <c r="R412" s="1965"/>
      <c r="S412" s="1965"/>
      <c r="T412" s="1965"/>
      <c r="U412" s="1965"/>
      <c r="V412" s="1931"/>
      <c r="W412" s="1931"/>
      <c r="X412" s="1931"/>
      <c r="Y412" s="1931"/>
      <c r="Z412" s="1931"/>
      <c r="AA412" s="1931"/>
      <c r="AB412" s="1931"/>
      <c r="AC412" s="1931"/>
      <c r="AD412" s="1931"/>
      <c r="AE412" s="1931"/>
      <c r="AF412" s="1931"/>
      <c r="AG412" s="1931"/>
      <c r="AH412" s="1931"/>
      <c r="AI412" s="1931"/>
      <c r="AJ412" s="1931"/>
      <c r="AK412" s="1931"/>
      <c r="AL412" s="1931"/>
      <c r="AM412" s="1931"/>
      <c r="AN412" s="1931"/>
      <c r="AO412" s="1931"/>
      <c r="AP412" s="1931"/>
      <c r="AQ412" s="1931"/>
      <c r="AR412" s="1931"/>
      <c r="AS412" s="1931"/>
      <c r="AT412" s="1931"/>
      <c r="AU412" s="1931"/>
      <c r="AV412" s="1931"/>
      <c r="AW412" s="1931"/>
      <c r="AX412" s="1931"/>
      <c r="AY412" s="1931"/>
      <c r="AZ412" s="1931"/>
      <c r="BA412" s="1931"/>
      <c r="BB412" s="1931"/>
      <c r="BC412" s="1931"/>
      <c r="BD412" s="1931"/>
      <c r="BE412" s="1931"/>
      <c r="BF412" s="1931"/>
      <c r="BG412" s="1931"/>
      <c r="BH412" s="1931"/>
      <c r="BI412" s="1931"/>
      <c r="BJ412" s="1931"/>
      <c r="BK412" s="1931"/>
      <c r="BL412" s="1931"/>
      <c r="BM412" s="1931"/>
      <c r="BN412" s="1931"/>
      <c r="BO412" s="1931"/>
      <c r="BP412" s="1931"/>
      <c r="BQ412" s="1931"/>
      <c r="BR412" s="1931"/>
      <c r="BS412" s="1931"/>
      <c r="BT412" s="1931"/>
      <c r="BU412" s="1931"/>
      <c r="BV412" s="1931"/>
      <c r="BW412" s="1931"/>
      <c r="BX412" s="1931"/>
      <c r="BY412" s="1931"/>
      <c r="BZ412" s="1931"/>
      <c r="CA412" s="1931"/>
      <c r="CB412" s="1931"/>
      <c r="CC412" s="1931"/>
      <c r="CD412" s="1931"/>
      <c r="CE412" s="1930"/>
      <c r="CF412" s="1930"/>
      <c r="CG412" s="1930"/>
      <c r="CH412" s="1930"/>
      <c r="CI412" s="1931"/>
      <c r="CJ412" s="1931"/>
      <c r="CK412" s="1931"/>
      <c r="CL412" s="1931"/>
      <c r="CM412" s="1931"/>
      <c r="CN412" s="1931"/>
      <c r="CO412" s="1931"/>
      <c r="CP412" s="1931"/>
      <c r="CQ412" s="1931"/>
      <c r="CR412" s="1931"/>
      <c r="CS412" s="1931"/>
      <c r="CT412" s="1930"/>
      <c r="CU412" s="1930"/>
      <c r="CV412" s="1930"/>
      <c r="CW412" s="1930"/>
      <c r="CX412" s="1931"/>
      <c r="CY412" s="1931"/>
      <c r="CZ412" s="1931"/>
      <c r="DA412" s="1931"/>
      <c r="DB412" s="1932"/>
      <c r="DC412" s="1931"/>
      <c r="DD412" s="1931"/>
      <c r="DE412" s="1931"/>
      <c r="DF412" s="1931"/>
    </row>
    <row r="413" spans="2:111" hidden="1" outlineLevel="1" x14ac:dyDescent="0.25">
      <c r="B413" s="1931"/>
      <c r="D413" s="1967" t="str">
        <f>C399</f>
        <v>803450_2020_07_</v>
      </c>
      <c r="E413" s="1302" t="str">
        <f>E399</f>
        <v>Single Packag or Split Sytem Unitary AC_DX &lt;65kbtu</v>
      </c>
      <c r="F413" s="1335">
        <v>12</v>
      </c>
      <c r="G413" s="1970">
        <v>13</v>
      </c>
      <c r="H413" s="1970">
        <f t="shared" si="161"/>
        <v>15</v>
      </c>
      <c r="I413" s="1341">
        <v>1053</v>
      </c>
      <c r="J413" s="1965"/>
      <c r="K413" s="1931"/>
      <c r="L413" s="1965"/>
      <c r="M413" s="1965"/>
      <c r="N413" s="1965"/>
      <c r="O413" s="1965"/>
      <c r="P413" s="1965"/>
      <c r="Q413" s="1965"/>
      <c r="R413" s="1965"/>
      <c r="S413" s="1965"/>
      <c r="T413" s="1965"/>
      <c r="U413" s="1965"/>
      <c r="V413" s="1931"/>
      <c r="W413" s="1931"/>
      <c r="X413" s="1931"/>
      <c r="Y413" s="1931"/>
      <c r="Z413" s="1931"/>
      <c r="AA413" s="1931"/>
      <c r="AB413" s="1931"/>
      <c r="AC413" s="1931"/>
      <c r="AD413" s="1931"/>
      <c r="AE413" s="1931"/>
      <c r="AF413" s="1931"/>
      <c r="AG413" s="1931"/>
      <c r="AH413" s="1931"/>
      <c r="AI413" s="1931"/>
      <c r="AJ413" s="1931"/>
      <c r="AK413" s="1931"/>
      <c r="AL413" s="1931"/>
      <c r="AM413" s="1931"/>
      <c r="AN413" s="1931"/>
      <c r="AO413" s="1931"/>
      <c r="AP413" s="1931"/>
      <c r="AQ413" s="1931"/>
      <c r="AR413" s="1931"/>
      <c r="AS413" s="1931"/>
      <c r="AT413" s="1931"/>
      <c r="AU413" s="1931"/>
      <c r="AV413" s="1931"/>
      <c r="AW413" s="1931"/>
      <c r="AX413" s="1931"/>
      <c r="AY413" s="1931"/>
      <c r="AZ413" s="1931"/>
      <c r="BA413" s="1931"/>
      <c r="BB413" s="1931"/>
      <c r="BC413" s="1931"/>
      <c r="BD413" s="1931"/>
      <c r="BE413" s="1931"/>
      <c r="BF413" s="1931"/>
      <c r="BG413" s="1931"/>
      <c r="BH413" s="1931"/>
      <c r="BI413" s="1931"/>
      <c r="BJ413" s="1931"/>
      <c r="BK413" s="1931"/>
      <c r="BL413" s="1931"/>
      <c r="BM413" s="1931"/>
      <c r="BN413" s="1931"/>
      <c r="BO413" s="1931"/>
      <c r="BP413" s="1931"/>
      <c r="BQ413" s="1931"/>
      <c r="BR413" s="1931"/>
      <c r="BS413" s="1931"/>
      <c r="BT413" s="1931"/>
      <c r="BU413" s="1931"/>
      <c r="BV413" s="1931"/>
      <c r="BW413" s="1931"/>
      <c r="BX413" s="1931"/>
      <c r="BY413" s="1931"/>
      <c r="BZ413" s="1931"/>
      <c r="CA413" s="1931"/>
      <c r="CB413" s="1931"/>
      <c r="CC413" s="1931"/>
      <c r="CD413" s="1931"/>
      <c r="CE413" s="1930"/>
      <c r="CF413" s="1930"/>
      <c r="CG413" s="1930"/>
      <c r="CH413" s="1930"/>
      <c r="CI413" s="1931"/>
      <c r="CJ413" s="1931"/>
      <c r="CK413" s="1931"/>
      <c r="CL413" s="1931"/>
      <c r="CM413" s="1931"/>
      <c r="CN413" s="1931"/>
      <c r="CO413" s="1931"/>
      <c r="CP413" s="1931"/>
      <c r="CQ413" s="1931"/>
      <c r="CR413" s="1931"/>
      <c r="CS413" s="1931"/>
      <c r="CT413" s="1930"/>
      <c r="CU413" s="1930"/>
      <c r="CV413" s="1930"/>
      <c r="CW413" s="1930"/>
      <c r="CX413" s="1931"/>
      <c r="CY413" s="1931"/>
      <c r="CZ413" s="1931"/>
      <c r="DA413" s="1931"/>
      <c r="DB413" s="1932"/>
      <c r="DC413" s="1931"/>
      <c r="DD413" s="1931"/>
      <c r="DE413" s="1931"/>
      <c r="DF413" s="1931"/>
    </row>
    <row r="414" spans="2:111" ht="15.75" collapsed="1" thickBot="1" x14ac:dyDescent="0.3">
      <c r="B414" s="1931"/>
      <c r="D414" s="1966"/>
      <c r="E414" s="1965"/>
      <c r="F414" s="1965"/>
      <c r="G414" s="1931"/>
      <c r="H414" s="1931"/>
      <c r="I414" s="1965"/>
      <c r="J414" s="1965"/>
      <c r="K414" s="1965"/>
      <c r="L414" s="1965"/>
      <c r="M414" s="1965"/>
      <c r="N414" s="1965"/>
      <c r="O414" s="1965"/>
      <c r="P414" s="1965"/>
      <c r="Q414" s="1965"/>
      <c r="R414" s="1965"/>
      <c r="S414" s="1965"/>
      <c r="T414" s="1965"/>
      <c r="U414" s="1965"/>
      <c r="V414" s="1931"/>
      <c r="W414" s="1931"/>
      <c r="X414" s="1931"/>
      <c r="Y414" s="1931"/>
      <c r="Z414" s="1931"/>
      <c r="AA414" s="1931"/>
      <c r="AB414" s="1931"/>
      <c r="AC414" s="1931"/>
      <c r="AD414" s="1931"/>
      <c r="AE414" s="1931"/>
      <c r="AF414" s="1931"/>
      <c r="AG414" s="1931"/>
      <c r="AH414" s="1931"/>
      <c r="AI414" s="1931"/>
      <c r="AJ414" s="1931"/>
      <c r="AK414" s="1931"/>
      <c r="AL414" s="1931"/>
      <c r="AM414" s="1931"/>
      <c r="AN414" s="1931"/>
      <c r="AO414" s="1931"/>
      <c r="AP414" s="1931"/>
      <c r="AQ414" s="1931"/>
      <c r="AR414" s="1931"/>
      <c r="AS414" s="1931"/>
      <c r="AT414" s="1931"/>
      <c r="AU414" s="1931"/>
      <c r="AV414" s="1931"/>
      <c r="AW414" s="1931"/>
      <c r="AX414" s="1931"/>
      <c r="AY414" s="1931"/>
      <c r="AZ414" s="1931"/>
      <c r="BA414" s="1931"/>
      <c r="BB414" s="1931"/>
      <c r="BC414" s="1931"/>
      <c r="BD414" s="1931"/>
      <c r="BE414" s="1931"/>
      <c r="BF414" s="1931"/>
      <c r="BG414" s="1931"/>
      <c r="BH414" s="1931"/>
      <c r="BI414" s="1931"/>
      <c r="BJ414" s="1931"/>
      <c r="BK414" s="1931"/>
      <c r="BL414" s="1931"/>
      <c r="BM414" s="1931"/>
      <c r="BN414" s="1931"/>
      <c r="BO414" s="1931"/>
      <c r="BP414" s="1931"/>
      <c r="BQ414" s="1931"/>
      <c r="BR414" s="1931"/>
      <c r="BS414" s="1931"/>
      <c r="BT414" s="1931"/>
      <c r="BU414" s="1931"/>
      <c r="BV414" s="1931"/>
      <c r="BW414" s="1931"/>
      <c r="BX414" s="1931"/>
      <c r="BY414" s="1931"/>
      <c r="BZ414" s="1931"/>
      <c r="CA414" s="1931"/>
      <c r="CB414" s="1931"/>
      <c r="CC414" s="1931"/>
      <c r="CD414" s="1931"/>
      <c r="CE414" s="1930"/>
      <c r="CF414" s="1930"/>
      <c r="CG414" s="1930"/>
      <c r="CH414" s="1930"/>
      <c r="CI414" s="1931"/>
      <c r="CJ414" s="1931"/>
      <c r="CK414" s="1931"/>
      <c r="CL414" s="1931"/>
      <c r="CM414" s="1931"/>
      <c r="CN414" s="1931"/>
      <c r="CO414" s="1931"/>
      <c r="CP414" s="1931"/>
      <c r="CQ414" s="1931"/>
      <c r="CR414" s="1931"/>
      <c r="CS414" s="1931"/>
      <c r="CT414" s="1930"/>
      <c r="CU414" s="1930"/>
      <c r="CV414" s="1930"/>
      <c r="CW414" s="1930"/>
      <c r="CX414" s="1931"/>
      <c r="CY414" s="1931"/>
      <c r="CZ414" s="1931"/>
      <c r="DA414" s="1931"/>
      <c r="DB414" s="1932"/>
      <c r="DC414" s="1931"/>
      <c r="DD414" s="1931"/>
      <c r="DE414" s="1931"/>
      <c r="DF414" s="1931"/>
    </row>
    <row r="415" spans="2:111" ht="15.75" thickBot="1" x14ac:dyDescent="0.3">
      <c r="B415" s="1931"/>
      <c r="D415" s="1966"/>
      <c r="E415" s="1965"/>
      <c r="F415" s="1965"/>
      <c r="G415" s="1968"/>
      <c r="H415" s="1969"/>
      <c r="I415" s="1965"/>
      <c r="J415" s="1965"/>
      <c r="K415" s="1965"/>
      <c r="L415" s="1965"/>
      <c r="M415" s="1965"/>
      <c r="N415" s="1965"/>
      <c r="O415" s="1965"/>
      <c r="P415" s="1965"/>
      <c r="Q415" s="1965"/>
      <c r="R415" s="1965"/>
      <c r="S415" s="1965"/>
      <c r="T415" s="1965"/>
      <c r="U415" s="1965"/>
      <c r="V415" s="1931"/>
      <c r="W415" s="1931"/>
      <c r="X415" s="1931"/>
      <c r="Y415" s="1931"/>
      <c r="Z415" s="1931"/>
      <c r="AA415" s="1931"/>
      <c r="AB415" s="1931"/>
      <c r="AC415" s="1931"/>
      <c r="AD415" s="1931"/>
      <c r="AE415" s="1931"/>
      <c r="AF415" s="1931"/>
      <c r="AG415" s="1931"/>
      <c r="AH415" s="1931"/>
      <c r="AI415" s="1931"/>
      <c r="AJ415" s="1931"/>
      <c r="AK415" s="1931"/>
      <c r="AL415" s="1931"/>
      <c r="AM415" s="1931"/>
      <c r="AN415" s="1931"/>
      <c r="AO415" s="1931"/>
      <c r="AP415" s="1931"/>
      <c r="AQ415" s="1931"/>
      <c r="AR415" s="1931"/>
      <c r="AS415" s="1931"/>
      <c r="AT415" s="1931"/>
      <c r="AU415" s="1931"/>
      <c r="AV415" s="1931"/>
      <c r="AW415" s="1931"/>
      <c r="AX415" s="1931"/>
      <c r="AY415" s="1931"/>
      <c r="AZ415" s="1931"/>
      <c r="BA415" s="1931"/>
      <c r="BB415" s="1931"/>
      <c r="BC415" s="1931"/>
      <c r="BD415" s="1931"/>
      <c r="BE415" s="1931"/>
      <c r="BF415" s="1931"/>
      <c r="BG415" s="1931"/>
      <c r="BH415" s="1931"/>
      <c r="BI415" s="1931"/>
      <c r="BJ415" s="1931"/>
      <c r="BK415" s="1931"/>
      <c r="BL415" s="1931"/>
      <c r="BM415" s="1931"/>
      <c r="BN415" s="1931"/>
      <c r="BO415" s="1931"/>
      <c r="BP415" s="1931"/>
      <c r="BQ415" s="1931"/>
      <c r="BR415" s="1931"/>
      <c r="BS415" s="1931"/>
      <c r="BT415" s="1931"/>
      <c r="BU415" s="1931"/>
      <c r="BV415" s="1931"/>
      <c r="BW415" s="1931"/>
      <c r="BX415" s="1931"/>
      <c r="BY415" s="1931"/>
      <c r="BZ415" s="1931"/>
      <c r="CA415" s="1931"/>
      <c r="CB415" s="1931"/>
      <c r="CC415" s="1931"/>
      <c r="CD415" s="1931"/>
      <c r="CE415" s="1930"/>
      <c r="CF415" s="1930"/>
      <c r="CG415" s="1930"/>
      <c r="CH415" s="1930"/>
      <c r="CI415" s="1931"/>
      <c r="CJ415" s="1931"/>
      <c r="CK415" s="1931"/>
      <c r="CL415" s="1931"/>
      <c r="CM415" s="1931"/>
      <c r="CN415" s="1931"/>
      <c r="CO415" s="1931"/>
      <c r="CP415" s="1931"/>
      <c r="CQ415" s="1931"/>
      <c r="CR415" s="1931"/>
      <c r="CS415" s="1931"/>
      <c r="CT415" s="1930"/>
      <c r="CU415" s="1930"/>
      <c r="CV415" s="1930"/>
      <c r="CW415" s="1930"/>
      <c r="CX415" s="1931"/>
      <c r="CY415" s="1931"/>
      <c r="CZ415" s="1931"/>
      <c r="DA415" s="1931"/>
      <c r="DB415" s="2649"/>
      <c r="DC415" s="1965"/>
      <c r="DD415" s="4510" t="s">
        <v>2942</v>
      </c>
      <c r="DE415" s="4511"/>
      <c r="DF415" s="4510" t="s">
        <v>2943</v>
      </c>
      <c r="DG415" s="4511" t="s">
        <v>2943</v>
      </c>
    </row>
    <row r="416" spans="2:111" s="44" customFormat="1" ht="30" x14ac:dyDescent="0.25">
      <c r="B416" s="84"/>
      <c r="C416" s="46" t="s">
        <v>28</v>
      </c>
      <c r="D416" s="46" t="s">
        <v>29</v>
      </c>
      <c r="E416" s="3196" t="s">
        <v>30</v>
      </c>
      <c r="F416" s="3196" t="s">
        <v>2944</v>
      </c>
      <c r="G416" s="3196" t="s">
        <v>2877</v>
      </c>
      <c r="H416" s="3196" t="s">
        <v>2878</v>
      </c>
      <c r="I416" s="3196" t="s">
        <v>176</v>
      </c>
      <c r="J416" s="3196" t="s">
        <v>176</v>
      </c>
      <c r="K416" s="47" t="s">
        <v>177</v>
      </c>
      <c r="L416" s="3196" t="s">
        <v>32</v>
      </c>
      <c r="M416" s="3196" t="s">
        <v>181</v>
      </c>
      <c r="N416" s="46" t="s">
        <v>2945</v>
      </c>
      <c r="O416" s="46" t="s">
        <v>44</v>
      </c>
      <c r="P416" s="1385"/>
      <c r="Q416" s="1386"/>
      <c r="R416" s="1288"/>
      <c r="S416" s="1288"/>
      <c r="T416" s="1288"/>
      <c r="U416" s="1288"/>
      <c r="V416" s="1936" t="s">
        <v>45</v>
      </c>
      <c r="W416" s="1937">
        <f>$W$8</f>
        <v>43252</v>
      </c>
      <c r="X416" s="1937">
        <f>$X$8</f>
        <v>43465</v>
      </c>
      <c r="Y416" s="1937">
        <f>$Y$8</f>
        <v>43800</v>
      </c>
      <c r="Z416" s="1937">
        <f>$Z$8</f>
        <v>43862</v>
      </c>
      <c r="AA416" s="1937">
        <f>$AA$8</f>
        <v>44013</v>
      </c>
      <c r="AB416" s="1937">
        <v>44166</v>
      </c>
      <c r="AC416" s="1937">
        <f>$AC$8</f>
        <v>44531</v>
      </c>
      <c r="AD416" s="1937" t="str">
        <f>$AD$8</f>
        <v>-</v>
      </c>
      <c r="AE416" s="1937" t="str">
        <f>$AE$8</f>
        <v>-</v>
      </c>
      <c r="AF416" s="1937" t="str">
        <f>$AF$8</f>
        <v>-</v>
      </c>
      <c r="AG416" s="1937" t="str">
        <f>$AG$8</f>
        <v>-</v>
      </c>
      <c r="AH416" s="1930"/>
      <c r="AI416" s="1936" t="s">
        <v>45</v>
      </c>
      <c r="AJ416" s="1937">
        <v>43252</v>
      </c>
      <c r="AK416" s="1937">
        <f>$X$8</f>
        <v>43465</v>
      </c>
      <c r="AL416" s="1937">
        <f>$Y$8</f>
        <v>43800</v>
      </c>
      <c r="AM416" s="1937">
        <f>$Z$8</f>
        <v>43862</v>
      </c>
      <c r="AN416" s="1937">
        <f>$AA$8</f>
        <v>44013</v>
      </c>
      <c r="AO416" s="1937">
        <v>44166</v>
      </c>
      <c r="AP416" s="1937">
        <f>$AC$8</f>
        <v>44531</v>
      </c>
      <c r="AQ416" s="1937" t="str">
        <f>$AD$8</f>
        <v>-</v>
      </c>
      <c r="AR416" s="1937" t="str">
        <f>$AE$8</f>
        <v>-</v>
      </c>
      <c r="AS416" s="1937" t="str">
        <f>$AF$8</f>
        <v>-</v>
      </c>
      <c r="AT416" s="1930"/>
      <c r="AU416" s="1936" t="s">
        <v>45</v>
      </c>
      <c r="AV416" s="1937">
        <v>43252</v>
      </c>
      <c r="AW416" s="1937">
        <f>$X$8</f>
        <v>43465</v>
      </c>
      <c r="AX416" s="1937">
        <f>$Y$8</f>
        <v>43800</v>
      </c>
      <c r="AY416" s="1937">
        <f>$Z$8</f>
        <v>43862</v>
      </c>
      <c r="AZ416" s="1937">
        <f>$AA$8</f>
        <v>44013</v>
      </c>
      <c r="BA416" s="1937">
        <v>44166</v>
      </c>
      <c r="BB416" s="1937">
        <f>$AC$8</f>
        <v>44531</v>
      </c>
      <c r="BC416" s="1937" t="str">
        <f>$AD$8</f>
        <v>-</v>
      </c>
      <c r="BD416" s="1937" t="str">
        <f>$AE$8</f>
        <v>-</v>
      </c>
      <c r="BE416" s="1937" t="str">
        <f>$AF$8</f>
        <v>-</v>
      </c>
      <c r="BF416" s="1930"/>
      <c r="BG416" s="1936" t="s">
        <v>45</v>
      </c>
      <c r="BH416" s="1937">
        <v>43252</v>
      </c>
      <c r="BI416" s="1937">
        <f>$X$8</f>
        <v>43465</v>
      </c>
      <c r="BJ416" s="1937">
        <f>$Y$8</f>
        <v>43800</v>
      </c>
      <c r="BK416" s="1937">
        <f>$Z$8</f>
        <v>43862</v>
      </c>
      <c r="BL416" s="1937">
        <f>$AA$8</f>
        <v>44013</v>
      </c>
      <c r="BM416" s="1937">
        <v>44166</v>
      </c>
      <c r="BN416" s="1937">
        <f>$AC$8</f>
        <v>44531</v>
      </c>
      <c r="BO416" s="1937" t="str">
        <f>$AD$8</f>
        <v>-</v>
      </c>
      <c r="BP416" s="1937" t="str">
        <f>$AE$8</f>
        <v>-</v>
      </c>
      <c r="BQ416" s="1937" t="str">
        <f>$AF$8</f>
        <v>-</v>
      </c>
      <c r="BR416" s="1933"/>
      <c r="BS416" s="1936" t="s">
        <v>45</v>
      </c>
      <c r="BT416" s="1937">
        <v>43252</v>
      </c>
      <c r="BU416" s="1937">
        <f>$X$8</f>
        <v>43465</v>
      </c>
      <c r="BV416" s="1937">
        <f>$Y$8</f>
        <v>43800</v>
      </c>
      <c r="BW416" s="1937">
        <f>$Z$8</f>
        <v>43862</v>
      </c>
      <c r="BX416" s="1937">
        <f>$AA$8</f>
        <v>44013</v>
      </c>
      <c r="BY416" s="1937">
        <v>44166</v>
      </c>
      <c r="BZ416" s="1937">
        <f>$AC$8</f>
        <v>44531</v>
      </c>
      <c r="CA416" s="1937" t="str">
        <f>$AD$8</f>
        <v>-</v>
      </c>
      <c r="CB416" s="1937" t="str">
        <f>$AE$8</f>
        <v>-</v>
      </c>
      <c r="CC416" s="1937" t="str">
        <f>$AF$8</f>
        <v>-</v>
      </c>
      <c r="DB416" s="2650" t="str">
        <f>$DB$8</f>
        <v>TRC (2020)</v>
      </c>
      <c r="DC416" s="2651" t="str">
        <f>$DC$8</f>
        <v>Benefit Lookup</v>
      </c>
      <c r="DD416" s="2653" t="str">
        <f>$DD$8</f>
        <v>Benefits (2019 $)</v>
      </c>
      <c r="DE416" s="2653" t="str">
        <f>$DE$8</f>
        <v>Incremental Cost (2019 $)</v>
      </c>
      <c r="DF416" s="2653" t="str">
        <f>$DC$8</f>
        <v>Benefit Lookup</v>
      </c>
      <c r="DG416" s="2653" t="str">
        <f>$DD$8</f>
        <v>Benefits (2019 $)</v>
      </c>
    </row>
    <row r="417" spans="2:111" x14ac:dyDescent="0.25">
      <c r="B417" s="54"/>
      <c r="C417" s="1997" t="s">
        <v>2946</v>
      </c>
      <c r="D417" s="1363" t="s">
        <v>2646</v>
      </c>
      <c r="E417" s="1308" t="s">
        <v>2947</v>
      </c>
      <c r="F417" s="1959">
        <f>ROUND(F433*((1/G433)-(1/H433))*K433,2)</f>
        <v>36.71</v>
      </c>
      <c r="G417" s="1959">
        <f>ROUND((P433/3.412*((1/L433)-(1/M433))*Q433),2)</f>
        <v>27.99</v>
      </c>
      <c r="H417" s="1959">
        <f t="shared" ref="H417:H422" si="162">SUM(F417:G417)</f>
        <v>64.7</v>
      </c>
      <c r="I417" s="1290" t="s">
        <v>2881</v>
      </c>
      <c r="J417" s="1290" t="s">
        <v>2882</v>
      </c>
      <c r="K417" s="1291">
        <v>9.1068395835808389E-4</v>
      </c>
      <c r="L417" s="1370">
        <f t="shared" ref="L417:L422" si="163">ROUND(K417*F417,6)</f>
        <v>3.3431000000000002E-2</v>
      </c>
      <c r="M417" s="325">
        <v>15</v>
      </c>
      <c r="N417" s="1310">
        <v>180</v>
      </c>
      <c r="O417" s="1374" t="s">
        <v>2927</v>
      </c>
      <c r="P417" s="1385"/>
      <c r="Q417" s="1385"/>
      <c r="R417" s="1965"/>
      <c r="S417" s="1965"/>
      <c r="T417" s="1965"/>
      <c r="U417" s="1965"/>
      <c r="V417" s="3226" t="str">
        <f>F416</f>
        <v>Cooling kWh Annual Savings (per ton)</v>
      </c>
      <c r="W417" s="1947">
        <v>36.705882352941231</v>
      </c>
      <c r="X417" s="1947">
        <v>36.705882352941231</v>
      </c>
      <c r="Y417" s="1939">
        <v>36.705882352941231</v>
      </c>
      <c r="Z417" s="1939">
        <v>36.705882352941231</v>
      </c>
      <c r="AA417" s="1962">
        <v>36.71</v>
      </c>
      <c r="AB417" s="1825">
        <v>36.71</v>
      </c>
      <c r="AC417" s="3364">
        <v>36.71</v>
      </c>
      <c r="AD417" s="1941"/>
      <c r="AE417" s="1941"/>
      <c r="AF417" s="1941"/>
      <c r="AG417" s="1941"/>
      <c r="AH417" s="1942"/>
      <c r="AI417" s="3226" t="str">
        <f>G416</f>
        <v>Heating kWh Annual Savings (per ton)</v>
      </c>
      <c r="AJ417" s="1947">
        <v>27.988128808762067</v>
      </c>
      <c r="AK417" s="1947">
        <v>27.988128808762067</v>
      </c>
      <c r="AL417" s="1947">
        <v>27.988128808762067</v>
      </c>
      <c r="AM417" s="1947">
        <v>27.988128808762067</v>
      </c>
      <c r="AN417" s="1962">
        <v>27.99</v>
      </c>
      <c r="AO417" s="1825">
        <v>27.99</v>
      </c>
      <c r="AP417" s="2002">
        <v>27.99</v>
      </c>
      <c r="AQ417" s="1941"/>
      <c r="AR417" s="1941"/>
      <c r="AS417" s="1941"/>
      <c r="AT417" s="1942"/>
      <c r="AU417" s="3226" t="str">
        <f>H416</f>
        <v>Total kWh Annual Savings</v>
      </c>
      <c r="AV417" s="1947">
        <v>64.694011161703301</v>
      </c>
      <c r="AW417" s="1947">
        <v>64.694011161703301</v>
      </c>
      <c r="AX417" s="1947">
        <v>64.694011161703301</v>
      </c>
      <c r="AY417" s="1941"/>
      <c r="AZ417" s="1947">
        <v>64.7</v>
      </c>
      <c r="BA417" s="1825">
        <v>64.7</v>
      </c>
      <c r="BB417" s="1941">
        <v>64.7</v>
      </c>
      <c r="BC417" s="1941"/>
      <c r="BD417" s="1941"/>
      <c r="BE417" s="1941"/>
      <c r="BF417" s="1942"/>
      <c r="BG417" s="3226" t="s">
        <v>181</v>
      </c>
      <c r="BH417" s="1943">
        <v>15</v>
      </c>
      <c r="BI417" s="1943">
        <v>15</v>
      </c>
      <c r="BJ417" s="1964">
        <v>15</v>
      </c>
      <c r="BK417" s="1964">
        <v>15</v>
      </c>
      <c r="BL417" s="1964">
        <v>15</v>
      </c>
      <c r="BM417" s="1825">
        <v>15</v>
      </c>
      <c r="BN417" s="1825">
        <v>15</v>
      </c>
      <c r="BO417" s="1941"/>
      <c r="BP417" s="1941"/>
      <c r="BQ417" s="1941"/>
      <c r="BR417" s="1933"/>
      <c r="BS417" s="3226" t="str">
        <f>N416</f>
        <v>Inc. Cost     (per ton)</v>
      </c>
      <c r="BT417" s="1944">
        <v>180</v>
      </c>
      <c r="BU417" s="1944">
        <v>180</v>
      </c>
      <c r="BV417" s="1944">
        <v>180</v>
      </c>
      <c r="BW417" s="1944">
        <v>180</v>
      </c>
      <c r="BX417" s="1944">
        <v>180</v>
      </c>
      <c r="BY417" s="1998">
        <v>180</v>
      </c>
      <c r="BZ417" s="1998">
        <v>180</v>
      </c>
      <c r="CA417" s="1941"/>
      <c r="CB417" s="1941"/>
      <c r="CC417" s="1941"/>
      <c r="CD417" s="1931"/>
      <c r="CE417" s="1930"/>
      <c r="CF417" s="1930"/>
      <c r="CG417" s="1930"/>
      <c r="CH417" s="1930"/>
      <c r="CI417" s="1931"/>
      <c r="CJ417" s="1931"/>
      <c r="CK417" s="1931"/>
      <c r="CL417" s="1931"/>
      <c r="CM417" s="1931"/>
      <c r="CN417" s="1931"/>
      <c r="CO417" s="1931"/>
      <c r="CP417" s="1931"/>
      <c r="CQ417" s="1931"/>
      <c r="CR417" s="1931"/>
      <c r="CS417" s="1931"/>
      <c r="CT417" s="1930"/>
      <c r="CU417" s="1930"/>
      <c r="CV417" s="1930"/>
      <c r="CW417" s="1930"/>
      <c r="CX417" s="1931"/>
      <c r="CY417" s="1931"/>
      <c r="CZ417" s="1931"/>
      <c r="DA417" s="1931"/>
      <c r="DB417" s="1659">
        <f t="shared" ref="DB417:DB422" si="164">(DD417+DG417)/(DE417)</f>
        <v>0.37254962167027522</v>
      </c>
      <c r="DC417" s="3166" t="str">
        <f t="shared" ref="DC417:DC422" si="165">CONCATENATE(I417," ",M417," Year EUL")</f>
        <v>Cooling BUS 15 Year EUL</v>
      </c>
      <c r="DD417" s="1220">
        <f>(INDEX('Avoided Cost Benefits'!$C$4:$C$857,MATCH(DC417,'Avoided Cost Benefits'!$A$4:$A$857,0)))*F417</f>
        <v>52.332098124848422</v>
      </c>
      <c r="DE417" s="1220">
        <f t="shared" ref="DE417:DE422" si="166">N417/(1.0595^(2020-2019))</f>
        <v>169.8914582350165</v>
      </c>
      <c r="DF417" s="3166" t="str">
        <f t="shared" ref="DF417:DF422" si="167">CONCATENATE(J417," ",M417," Year EUL")</f>
        <v>Heating BUS 15 Year EUL</v>
      </c>
      <c r="DG417" s="2652">
        <f>(INDEX('Avoided Cost Benefits'!$C$4:$C$857,MATCH(DF417,'Avoided Cost Benefits'!$A$4:$A$857,0)))*G417</f>
        <v>10.960900365618334</v>
      </c>
    </row>
    <row r="418" spans="2:111" x14ac:dyDescent="0.25">
      <c r="B418" s="54"/>
      <c r="C418" s="1997" t="s">
        <v>2948</v>
      </c>
      <c r="D418" s="1363" t="s">
        <v>2646</v>
      </c>
      <c r="E418" s="1319" t="s">
        <v>2949</v>
      </c>
      <c r="F418" s="1959">
        <f>ROUND(F434*((1/G434)-(1/H434))*K434,2)</f>
        <v>114.95</v>
      </c>
      <c r="G418" s="1959">
        <f>ROUND((P434/3.412*((1/L434)-(1/M434))*Q434),2)</f>
        <v>27.99</v>
      </c>
      <c r="H418" s="1959">
        <f t="shared" si="162"/>
        <v>142.94</v>
      </c>
      <c r="I418" s="1290" t="s">
        <v>2881</v>
      </c>
      <c r="J418" s="1290" t="s">
        <v>2882</v>
      </c>
      <c r="K418" s="1291">
        <v>9.1068395835808389E-4</v>
      </c>
      <c r="L418" s="1370">
        <f t="shared" si="163"/>
        <v>0.104683</v>
      </c>
      <c r="M418" s="1317">
        <v>15</v>
      </c>
      <c r="N418" s="1310">
        <v>180</v>
      </c>
      <c r="O418" s="1374" t="s">
        <v>2927</v>
      </c>
      <c r="P418" s="1385"/>
      <c r="Q418" s="1385"/>
      <c r="R418" s="1965"/>
      <c r="S418" s="1965"/>
      <c r="T418" s="1965"/>
      <c r="U418" s="1965"/>
      <c r="V418" s="3226" t="str">
        <f>V417</f>
        <v>Cooling kWh Annual Savings (per ton)</v>
      </c>
      <c r="W418" s="1947">
        <v>114.94736842105272</v>
      </c>
      <c r="X418" s="1947">
        <v>114.94736842105272</v>
      </c>
      <c r="Y418" s="1939">
        <v>114.94736842105272</v>
      </c>
      <c r="Z418" s="1939">
        <v>114.94736842105272</v>
      </c>
      <c r="AA418" s="1962">
        <v>114.95</v>
      </c>
      <c r="AB418" s="1825">
        <v>114.95</v>
      </c>
      <c r="AC418" s="3364">
        <v>114.95</v>
      </c>
      <c r="AD418" s="1941"/>
      <c r="AE418" s="1941"/>
      <c r="AF418" s="1941"/>
      <c r="AG418" s="1941"/>
      <c r="AH418" s="1942"/>
      <c r="AI418" s="3226" t="str">
        <f>AI417</f>
        <v>Heating kWh Annual Savings (per ton)</v>
      </c>
      <c r="AJ418" s="1947">
        <v>27.988128808762067</v>
      </c>
      <c r="AK418" s="1947">
        <v>27.988128808762067</v>
      </c>
      <c r="AL418" s="1947">
        <v>27.988128808762067</v>
      </c>
      <c r="AM418" s="1947">
        <v>27.988128808762067</v>
      </c>
      <c r="AN418" s="1962">
        <v>27.99</v>
      </c>
      <c r="AO418" s="1825">
        <v>27.99</v>
      </c>
      <c r="AP418" s="2002">
        <v>27.99</v>
      </c>
      <c r="AQ418" s="1941"/>
      <c r="AR418" s="1941"/>
      <c r="AS418" s="1941"/>
      <c r="AT418" s="1942"/>
      <c r="AU418" s="3226" t="str">
        <f>AU417</f>
        <v>Total kWh Annual Savings</v>
      </c>
      <c r="AV418" s="1947">
        <v>142.93549722981479</v>
      </c>
      <c r="AW418" s="1947">
        <v>142.93549722981479</v>
      </c>
      <c r="AX418" s="1947">
        <v>142.93549722981479</v>
      </c>
      <c r="AY418" s="1941"/>
      <c r="AZ418" s="1947">
        <v>142.94</v>
      </c>
      <c r="BA418" s="1825">
        <v>142.94</v>
      </c>
      <c r="BB418" s="1941">
        <v>142.94</v>
      </c>
      <c r="BC418" s="1941"/>
      <c r="BD418" s="1941"/>
      <c r="BE418" s="1941"/>
      <c r="BF418" s="1942"/>
      <c r="BG418" s="3226" t="s">
        <v>181</v>
      </c>
      <c r="BH418" s="1943">
        <v>15</v>
      </c>
      <c r="BI418" s="1943">
        <v>15</v>
      </c>
      <c r="BJ418" s="1964">
        <v>15</v>
      </c>
      <c r="BK418" s="1964">
        <v>15</v>
      </c>
      <c r="BL418" s="1964">
        <v>15</v>
      </c>
      <c r="BM418" s="1825">
        <v>15</v>
      </c>
      <c r="BN418" s="1825">
        <v>15</v>
      </c>
      <c r="BO418" s="1941"/>
      <c r="BP418" s="1941"/>
      <c r="BQ418" s="1941"/>
      <c r="BR418" s="1933"/>
      <c r="BS418" s="3226" t="str">
        <f>BS417</f>
        <v>Inc. Cost     (per ton)</v>
      </c>
      <c r="BT418" s="1944">
        <v>180</v>
      </c>
      <c r="BU418" s="1944">
        <v>180</v>
      </c>
      <c r="BV418" s="1944">
        <v>180</v>
      </c>
      <c r="BW418" s="1944">
        <v>180</v>
      </c>
      <c r="BX418" s="1944">
        <v>180</v>
      </c>
      <c r="BY418" s="1998">
        <v>180</v>
      </c>
      <c r="BZ418" s="1998">
        <v>180</v>
      </c>
      <c r="CA418" s="1941"/>
      <c r="CB418" s="1941"/>
      <c r="CC418" s="1941"/>
      <c r="CD418" s="1931"/>
      <c r="CE418" s="1930"/>
      <c r="CF418" s="1930"/>
      <c r="CG418" s="1930"/>
      <c r="CH418" s="1930"/>
      <c r="CI418" s="1931"/>
      <c r="CJ418" s="1931"/>
      <c r="CK418" s="1931"/>
      <c r="CL418" s="1931"/>
      <c r="CM418" s="1931"/>
      <c r="CN418" s="1931"/>
      <c r="CO418" s="1931"/>
      <c r="CP418" s="1931"/>
      <c r="CQ418" s="1931"/>
      <c r="CR418" s="1931"/>
      <c r="CS418" s="1931"/>
      <c r="CT418" s="1930"/>
      <c r="CU418" s="1930"/>
      <c r="CV418" s="1930"/>
      <c r="CW418" s="1930"/>
      <c r="CX418" s="1931"/>
      <c r="CY418" s="1931"/>
      <c r="CZ418" s="1931"/>
      <c r="DA418" s="1931"/>
      <c r="DB418" s="1659">
        <f t="shared" si="164"/>
        <v>1.0290591902175654</v>
      </c>
      <c r="DC418" s="3166" t="str">
        <f t="shared" si="165"/>
        <v>Cooling BUS 15 Year EUL</v>
      </c>
      <c r="DD418" s="1220">
        <f>(INDEX('Avoided Cost Benefits'!$C$4:$C$857,MATCH(DC418,'Avoided Cost Benefits'!$A$4:$A$857,0)))*F418</f>
        <v>163.8674660705891</v>
      </c>
      <c r="DE418" s="1220">
        <f t="shared" si="166"/>
        <v>169.8914582350165</v>
      </c>
      <c r="DF418" s="3166" t="str">
        <f t="shared" si="167"/>
        <v>Heating BUS 15 Year EUL</v>
      </c>
      <c r="DG418" s="2652">
        <f>(INDEX('Avoided Cost Benefits'!$C$4:$C$857,MATCH(DF418,'Avoided Cost Benefits'!$A$4:$A$857,0)))*G418</f>
        <v>10.960900365618334</v>
      </c>
    </row>
    <row r="419" spans="2:111" x14ac:dyDescent="0.25">
      <c r="B419" s="54"/>
      <c r="C419" s="1997" t="s">
        <v>2950</v>
      </c>
      <c r="D419" s="1363" t="s">
        <v>2646</v>
      </c>
      <c r="E419" s="1319" t="s">
        <v>2951</v>
      </c>
      <c r="F419" s="1959">
        <f t="shared" ref="F419:F421" si="168">ROUND((F435*((1/I435)-(1/J435))*K435),2)</f>
        <v>117.33</v>
      </c>
      <c r="G419" s="1959">
        <f>ROUND((P435/3.412*((1/L435)-(1/M435))*Q435),2)</f>
        <v>223.04</v>
      </c>
      <c r="H419" s="1959">
        <f t="shared" si="162"/>
        <v>340.37</v>
      </c>
      <c r="I419" s="1290" t="s">
        <v>2881</v>
      </c>
      <c r="J419" s="1290" t="s">
        <v>2882</v>
      </c>
      <c r="K419" s="1291">
        <v>9.1068395835808389E-4</v>
      </c>
      <c r="L419" s="1370">
        <f t="shared" si="163"/>
        <v>0.106851</v>
      </c>
      <c r="M419" s="1317">
        <v>15</v>
      </c>
      <c r="N419" s="1310">
        <v>100</v>
      </c>
      <c r="O419" s="1374" t="s">
        <v>2927</v>
      </c>
      <c r="P419" s="1385"/>
      <c r="Q419" s="1385"/>
      <c r="R419" s="1965"/>
      <c r="S419" s="1965"/>
      <c r="T419" s="1965"/>
      <c r="U419" s="1965"/>
      <c r="V419" s="3226" t="str">
        <f>V418</f>
        <v>Cooling kWh Annual Savings (per ton)</v>
      </c>
      <c r="W419" s="1947">
        <v>95.727272727272819</v>
      </c>
      <c r="X419" s="1947">
        <v>95.727272727272819</v>
      </c>
      <c r="Y419" s="1939">
        <v>95.727272727272819</v>
      </c>
      <c r="Z419" s="1939">
        <v>95.727272727272819</v>
      </c>
      <c r="AA419" s="1958">
        <v>117.33</v>
      </c>
      <c r="AB419" s="1825">
        <v>117.33</v>
      </c>
      <c r="AC419" s="3364">
        <v>117.33</v>
      </c>
      <c r="AD419" s="1941"/>
      <c r="AE419" s="1941"/>
      <c r="AF419" s="1941"/>
      <c r="AG419" s="1941"/>
      <c r="AH419" s="1942"/>
      <c r="AI419" s="3226" t="str">
        <f>AI418</f>
        <v>Heating kWh Annual Savings (per ton)</v>
      </c>
      <c r="AJ419" s="1947">
        <v>64.554437356313187</v>
      </c>
      <c r="AK419" s="1947">
        <v>64.554437356313187</v>
      </c>
      <c r="AL419" s="1947">
        <v>64.554437356313187</v>
      </c>
      <c r="AM419" s="1947">
        <v>64.554437356313187</v>
      </c>
      <c r="AN419" s="1958">
        <v>223.04</v>
      </c>
      <c r="AO419" s="1825">
        <v>223.04</v>
      </c>
      <c r="AP419" s="2002">
        <v>223.04</v>
      </c>
      <c r="AQ419" s="1941"/>
      <c r="AR419" s="1941"/>
      <c r="AS419" s="1941"/>
      <c r="AT419" s="1942"/>
      <c r="AU419" s="3226" t="str">
        <f>AU418</f>
        <v>Total kWh Annual Savings</v>
      </c>
      <c r="AV419" s="1947">
        <v>160.28171008358601</v>
      </c>
      <c r="AW419" s="1947">
        <v>160.28171008358601</v>
      </c>
      <c r="AX419" s="1947">
        <v>160.28171008358601</v>
      </c>
      <c r="AY419" s="1941"/>
      <c r="AZ419" s="1940">
        <v>340.37</v>
      </c>
      <c r="BA419" s="1825">
        <v>340.37</v>
      </c>
      <c r="BB419" s="1941">
        <v>340.37</v>
      </c>
      <c r="BC419" s="1941"/>
      <c r="BD419" s="1941"/>
      <c r="BE419" s="1941"/>
      <c r="BF419" s="1942"/>
      <c r="BG419" s="3226" t="s">
        <v>181</v>
      </c>
      <c r="BH419" s="1943">
        <v>15</v>
      </c>
      <c r="BI419" s="1943">
        <v>15</v>
      </c>
      <c r="BJ419" s="1964">
        <v>15</v>
      </c>
      <c r="BK419" s="1964">
        <v>15</v>
      </c>
      <c r="BL419" s="1964">
        <v>15</v>
      </c>
      <c r="BM419" s="1825">
        <v>15</v>
      </c>
      <c r="BN419" s="1825">
        <v>15</v>
      </c>
      <c r="BO419" s="1941"/>
      <c r="BP419" s="1941"/>
      <c r="BQ419" s="1941"/>
      <c r="BR419" s="1933"/>
      <c r="BS419" s="3226" t="str">
        <f>BS418</f>
        <v>Inc. Cost     (per ton)</v>
      </c>
      <c r="BT419" s="1944">
        <v>100</v>
      </c>
      <c r="BU419" s="1944">
        <v>100</v>
      </c>
      <c r="BV419" s="1944">
        <v>100</v>
      </c>
      <c r="BW419" s="1944">
        <v>100</v>
      </c>
      <c r="BX419" s="1944">
        <v>100</v>
      </c>
      <c r="BY419" s="1998">
        <v>100</v>
      </c>
      <c r="BZ419" s="1998">
        <v>100</v>
      </c>
      <c r="CA419" s="1941"/>
      <c r="CB419" s="1941"/>
      <c r="CC419" s="1941"/>
      <c r="CD419" s="1931"/>
      <c r="CE419" s="1930"/>
      <c r="CF419" s="1930"/>
      <c r="CG419" s="1930"/>
      <c r="CH419" s="1930"/>
      <c r="CI419" s="1931"/>
      <c r="CJ419" s="1931"/>
      <c r="CK419" s="1931"/>
      <c r="CL419" s="1931"/>
      <c r="CM419" s="1931"/>
      <c r="CN419" s="1931"/>
      <c r="CO419" s="1931"/>
      <c r="CP419" s="1931"/>
      <c r="CQ419" s="1931"/>
      <c r="CR419" s="1931"/>
      <c r="CS419" s="1931"/>
      <c r="CT419" s="1930"/>
      <c r="CU419" s="1930"/>
      <c r="CV419" s="1930"/>
      <c r="CW419" s="1930"/>
      <c r="CX419" s="1931"/>
      <c r="CY419" s="1931"/>
      <c r="CZ419" s="1931"/>
      <c r="DA419" s="1931"/>
      <c r="DB419" s="1659">
        <f t="shared" si="164"/>
        <v>2.6975175104237503</v>
      </c>
      <c r="DC419" s="3166" t="str">
        <f t="shared" si="165"/>
        <v>Cooling BUS 15 Year EUL</v>
      </c>
      <c r="DD419" s="1220">
        <f>(INDEX('Avoided Cost Benefits'!$C$4:$C$857,MATCH(DC419,'Avoided Cost Benefits'!$A$4:$A$857,0)))*F419</f>
        <v>167.26028528979748</v>
      </c>
      <c r="DE419" s="1220">
        <f t="shared" si="166"/>
        <v>94.384143463898056</v>
      </c>
      <c r="DF419" s="3166" t="str">
        <f t="shared" si="167"/>
        <v>Heating BUS 15 Year EUL</v>
      </c>
      <c r="DG419" s="2652">
        <f>(INDEX('Avoided Cost Benefits'!$C$4:$C$857,MATCH(DF419,'Avoided Cost Benefits'!$A$4:$A$857,0)))*G419</f>
        <v>87.342594410414918</v>
      </c>
    </row>
    <row r="420" spans="2:111" x14ac:dyDescent="0.25">
      <c r="B420" s="54"/>
      <c r="C420" s="1997" t="s">
        <v>2952</v>
      </c>
      <c r="D420" s="1363" t="s">
        <v>2646</v>
      </c>
      <c r="E420" s="1308" t="s">
        <v>2953</v>
      </c>
      <c r="F420" s="1959">
        <f t="shared" si="168"/>
        <v>127.93</v>
      </c>
      <c r="G420" s="1959">
        <f>ROUND((P436/3.412*((1/L436)-(1/M436))*Q436),2)</f>
        <v>265.2</v>
      </c>
      <c r="H420" s="1959">
        <f t="shared" si="162"/>
        <v>393.13</v>
      </c>
      <c r="I420" s="1290" t="s">
        <v>2881</v>
      </c>
      <c r="J420" s="1290" t="s">
        <v>2882</v>
      </c>
      <c r="K420" s="1291">
        <v>9.1068395835808389E-4</v>
      </c>
      <c r="L420" s="1370">
        <f t="shared" si="163"/>
        <v>0.116504</v>
      </c>
      <c r="M420" s="325">
        <v>15</v>
      </c>
      <c r="N420" s="1310">
        <v>100</v>
      </c>
      <c r="O420" s="1374" t="s">
        <v>2927</v>
      </c>
      <c r="P420" s="1387"/>
      <c r="Q420" s="1387"/>
      <c r="R420" s="1965"/>
      <c r="S420" s="1965"/>
      <c r="T420" s="1965"/>
      <c r="U420" s="1965"/>
      <c r="V420" s="3226" t="str">
        <f>V419</f>
        <v>Cooling kWh Annual Savings (per ton)</v>
      </c>
      <c r="W420" s="1947">
        <v>43.348198970840535</v>
      </c>
      <c r="X420" s="1947">
        <v>43.348198970840535</v>
      </c>
      <c r="Y420" s="1939">
        <v>43.348198970840535</v>
      </c>
      <c r="Z420" s="1939">
        <v>43.348198970840535</v>
      </c>
      <c r="AA420" s="1958">
        <v>127.93</v>
      </c>
      <c r="AB420" s="1825">
        <v>127.93</v>
      </c>
      <c r="AC420" s="3364">
        <v>127.93</v>
      </c>
      <c r="AD420" s="1941"/>
      <c r="AE420" s="1941"/>
      <c r="AF420" s="1941"/>
      <c r="AG420" s="1941"/>
      <c r="AH420" s="1942"/>
      <c r="AI420" s="3226" t="str">
        <f>AI419</f>
        <v>Heating kWh Annual Savings (per ton)</v>
      </c>
      <c r="AJ420" s="1947">
        <v>183.94829394705997</v>
      </c>
      <c r="AK420" s="1947">
        <v>183.94829394705997</v>
      </c>
      <c r="AL420" s="1947">
        <v>183.94829394705997</v>
      </c>
      <c r="AM420" s="1947">
        <v>183.94829394705997</v>
      </c>
      <c r="AN420" s="1958">
        <v>265.2</v>
      </c>
      <c r="AO420" s="1825">
        <v>265.2</v>
      </c>
      <c r="AP420" s="2002">
        <v>265.2</v>
      </c>
      <c r="AQ420" s="1941"/>
      <c r="AR420" s="1941"/>
      <c r="AS420" s="1941"/>
      <c r="AT420" s="1942"/>
      <c r="AU420" s="3226" t="str">
        <f>AU419</f>
        <v>Total kWh Annual Savings</v>
      </c>
      <c r="AV420" s="1947">
        <v>227.29649291790051</v>
      </c>
      <c r="AW420" s="1947">
        <v>227.29649291790051</v>
      </c>
      <c r="AX420" s="1947">
        <v>227.29649291790051</v>
      </c>
      <c r="AY420" s="1941"/>
      <c r="AZ420" s="1940">
        <v>393.13</v>
      </c>
      <c r="BA420" s="1825">
        <v>393.13</v>
      </c>
      <c r="BB420" s="1941">
        <v>393.13</v>
      </c>
      <c r="BC420" s="1941"/>
      <c r="BD420" s="1941"/>
      <c r="BE420" s="1941"/>
      <c r="BF420" s="1942"/>
      <c r="BG420" s="3226" t="s">
        <v>181</v>
      </c>
      <c r="BH420" s="1943">
        <v>15</v>
      </c>
      <c r="BI420" s="1943">
        <v>15</v>
      </c>
      <c r="BJ420" s="1964">
        <v>15</v>
      </c>
      <c r="BK420" s="1964">
        <v>15</v>
      </c>
      <c r="BL420" s="1964">
        <v>15</v>
      </c>
      <c r="BM420" s="1825">
        <v>15</v>
      </c>
      <c r="BN420" s="1825">
        <v>15</v>
      </c>
      <c r="BO420" s="1941"/>
      <c r="BP420" s="1941"/>
      <c r="BQ420" s="1941"/>
      <c r="BR420" s="1933"/>
      <c r="BS420" s="3226" t="str">
        <f>BS419</f>
        <v>Inc. Cost     (per ton)</v>
      </c>
      <c r="BT420" s="1944">
        <v>100</v>
      </c>
      <c r="BU420" s="1944">
        <v>100</v>
      </c>
      <c r="BV420" s="1944">
        <v>100</v>
      </c>
      <c r="BW420" s="1944">
        <v>100</v>
      </c>
      <c r="BX420" s="1944">
        <v>100</v>
      </c>
      <c r="BY420" s="1998">
        <v>100</v>
      </c>
      <c r="BZ420" s="1998">
        <v>100</v>
      </c>
      <c r="CA420" s="1941"/>
      <c r="CB420" s="1941"/>
      <c r="CC420" s="1941"/>
      <c r="CD420" s="1931"/>
      <c r="CE420" s="1930"/>
      <c r="CF420" s="1930"/>
      <c r="CG420" s="1930"/>
      <c r="CH420" s="1930"/>
      <c r="CI420" s="1931"/>
      <c r="CJ420" s="1931"/>
      <c r="CK420" s="1931"/>
      <c r="CL420" s="1931"/>
      <c r="CM420" s="1931"/>
      <c r="CN420" s="1931"/>
      <c r="CO420" s="1931"/>
      <c r="CP420" s="1931"/>
      <c r="CQ420" s="1931"/>
      <c r="CR420" s="1931"/>
      <c r="CS420" s="1931"/>
      <c r="CT420" s="1930"/>
      <c r="CU420" s="1930"/>
      <c r="CV420" s="1930"/>
      <c r="CW420" s="1930"/>
      <c r="CX420" s="1931"/>
      <c r="CY420" s="1931"/>
      <c r="CZ420" s="1931"/>
      <c r="DA420" s="1931"/>
      <c r="DB420" s="1659">
        <f t="shared" si="164"/>
        <v>3.0325394219905535</v>
      </c>
      <c r="DC420" s="3166" t="str">
        <f t="shared" si="165"/>
        <v>Cooling BUS 15 Year EUL</v>
      </c>
      <c r="DD420" s="1220">
        <f>(INDEX('Avoided Cost Benefits'!$C$4:$C$857,MATCH(DC420,'Avoided Cost Benefits'!$A$4:$A$857,0)))*F420</f>
        <v>182.3711608039188</v>
      </c>
      <c r="DE420" s="1220">
        <f t="shared" si="166"/>
        <v>94.384143463898056</v>
      </c>
      <c r="DF420" s="3166" t="str">
        <f t="shared" si="167"/>
        <v>Heating BUS 15 Year EUL</v>
      </c>
      <c r="DG420" s="2652">
        <f>(INDEX('Avoided Cost Benefits'!$C$4:$C$857,MATCH(DF420,'Avoided Cost Benefits'!$A$4:$A$857,0)))*G420</f>
        <v>103.85247506116407</v>
      </c>
    </row>
    <row r="421" spans="2:111" x14ac:dyDescent="0.25">
      <c r="B421" s="54"/>
      <c r="C421" s="1997" t="s">
        <v>2954</v>
      </c>
      <c r="D421" s="1363" t="s">
        <v>2646</v>
      </c>
      <c r="E421" s="1319" t="s">
        <v>2955</v>
      </c>
      <c r="F421" s="1959">
        <f t="shared" si="168"/>
        <v>146.25</v>
      </c>
      <c r="G421" s="1959">
        <f>ROUND((P437/3.412*((1/L437)-(1/M437))*Q437),2)</f>
        <v>265.2</v>
      </c>
      <c r="H421" s="1959">
        <f t="shared" si="162"/>
        <v>411.45</v>
      </c>
      <c r="I421" s="1290" t="s">
        <v>2881</v>
      </c>
      <c r="J421" s="1290" t="s">
        <v>2882</v>
      </c>
      <c r="K421" s="1291">
        <v>9.1068395835808389E-4</v>
      </c>
      <c r="L421" s="1370">
        <f t="shared" si="163"/>
        <v>0.133188</v>
      </c>
      <c r="M421" s="1317">
        <v>15</v>
      </c>
      <c r="N421" s="1310">
        <v>100</v>
      </c>
      <c r="O421" s="1374" t="s">
        <v>2927</v>
      </c>
      <c r="P421" s="1387"/>
      <c r="Q421" s="1387"/>
      <c r="R421" s="1965"/>
      <c r="S421" s="1965"/>
      <c r="T421" s="1965"/>
      <c r="U421" s="1965"/>
      <c r="V421" s="3226" t="str">
        <f>V420</f>
        <v>Cooling kWh Annual Savings (per ton)</v>
      </c>
      <c r="W421" s="1947">
        <v>138.02979145978136</v>
      </c>
      <c r="X421" s="1947">
        <v>138.02979145978136</v>
      </c>
      <c r="Y421" s="1939">
        <v>138.02979145978136</v>
      </c>
      <c r="Z421" s="1939">
        <v>138.02979145978136</v>
      </c>
      <c r="AA421" s="1958">
        <v>146.25</v>
      </c>
      <c r="AB421" s="1825">
        <v>146.25</v>
      </c>
      <c r="AC421" s="3364">
        <v>146.25</v>
      </c>
      <c r="AD421" s="1941"/>
      <c r="AE421" s="1941"/>
      <c r="AF421" s="1941"/>
      <c r="AG421" s="1941"/>
      <c r="AH421" s="1942"/>
      <c r="AI421" s="3226" t="str">
        <f>AI420</f>
        <v>Heating kWh Annual Savings (per ton)</v>
      </c>
      <c r="AJ421" s="1947">
        <v>129.44509574052361</v>
      </c>
      <c r="AK421" s="1947">
        <v>129.44509574052361</v>
      </c>
      <c r="AL421" s="1947">
        <v>129.44509574052361</v>
      </c>
      <c r="AM421" s="1947">
        <v>129.44509574052361</v>
      </c>
      <c r="AN421" s="1958">
        <v>265.2</v>
      </c>
      <c r="AO421" s="1825">
        <v>265.2</v>
      </c>
      <c r="AP421" s="2002">
        <v>265.2</v>
      </c>
      <c r="AQ421" s="1941"/>
      <c r="AR421" s="1941"/>
      <c r="AS421" s="1941"/>
      <c r="AT421" s="1942"/>
      <c r="AU421" s="3226" t="str">
        <f>AU420</f>
        <v>Total kWh Annual Savings</v>
      </c>
      <c r="AV421" s="1947">
        <v>267.47488720030498</v>
      </c>
      <c r="AW421" s="1947">
        <v>267.47488720030498</v>
      </c>
      <c r="AX421" s="1947">
        <v>267.47488720030498</v>
      </c>
      <c r="AY421" s="1941"/>
      <c r="AZ421" s="1940">
        <v>411.45</v>
      </c>
      <c r="BA421" s="1825">
        <v>411.45</v>
      </c>
      <c r="BB421" s="1941">
        <v>411.45</v>
      </c>
      <c r="BC421" s="1941"/>
      <c r="BD421" s="1941"/>
      <c r="BE421" s="1941"/>
      <c r="BF421" s="1942"/>
      <c r="BG421" s="3226" t="s">
        <v>181</v>
      </c>
      <c r="BH421" s="1943">
        <v>15</v>
      </c>
      <c r="BI421" s="1943">
        <v>15</v>
      </c>
      <c r="BJ421" s="1964">
        <v>15</v>
      </c>
      <c r="BK421" s="1964">
        <v>15</v>
      </c>
      <c r="BL421" s="1964">
        <v>15</v>
      </c>
      <c r="BM421" s="1825">
        <v>15</v>
      </c>
      <c r="BN421" s="1825">
        <v>15</v>
      </c>
      <c r="BO421" s="1941"/>
      <c r="BP421" s="1941"/>
      <c r="BQ421" s="1941"/>
      <c r="BR421" s="1933"/>
      <c r="BS421" s="3226" t="str">
        <f>BS420</f>
        <v>Inc. Cost     (per ton)</v>
      </c>
      <c r="BT421" s="1944">
        <v>100</v>
      </c>
      <c r="BU421" s="1944">
        <v>100</v>
      </c>
      <c r="BV421" s="1944">
        <v>100</v>
      </c>
      <c r="BW421" s="1944">
        <v>100</v>
      </c>
      <c r="BX421" s="1944">
        <v>100</v>
      </c>
      <c r="BY421" s="1998">
        <v>100</v>
      </c>
      <c r="BZ421" s="1998">
        <v>100</v>
      </c>
      <c r="CA421" s="1941"/>
      <c r="CB421" s="1941"/>
      <c r="CC421" s="1941"/>
      <c r="CD421" s="1931"/>
      <c r="CE421" s="1930"/>
      <c r="CF421" s="1930"/>
      <c r="CG421" s="1930"/>
      <c r="CH421" s="1930"/>
      <c r="CI421" s="1931"/>
      <c r="CJ421" s="1931"/>
      <c r="CK421" s="1931"/>
      <c r="CL421" s="1931"/>
      <c r="CM421" s="1931"/>
      <c r="CN421" s="1931"/>
      <c r="CO421" s="1931"/>
      <c r="CP421" s="1931"/>
      <c r="CQ421" s="1931"/>
      <c r="CR421" s="1931"/>
      <c r="CS421" s="1931"/>
      <c r="CT421" s="1930"/>
      <c r="CU421" s="1930"/>
      <c r="CV421" s="1930"/>
      <c r="CW421" s="1930"/>
      <c r="CX421" s="1931"/>
      <c r="CY421" s="1931"/>
      <c r="CZ421" s="1931"/>
      <c r="DA421" s="1931"/>
      <c r="DB421" s="1659">
        <f t="shared" si="164"/>
        <v>3.3092400806359445</v>
      </c>
      <c r="DC421" s="3166" t="str">
        <f t="shared" si="165"/>
        <v>Cooling BUS 15 Year EUL</v>
      </c>
      <c r="DD421" s="1220">
        <f>(INDEX('Avoided Cost Benefits'!$C$4:$C$857,MATCH(DC421,'Avoided Cost Benefits'!$A$4:$A$857,0)))*F421</f>
        <v>208.48731546606052</v>
      </c>
      <c r="DE421" s="1220">
        <f t="shared" si="166"/>
        <v>94.384143463898056</v>
      </c>
      <c r="DF421" s="3166" t="str">
        <f t="shared" si="167"/>
        <v>Heating BUS 15 Year EUL</v>
      </c>
      <c r="DG421" s="2652">
        <f>(INDEX('Avoided Cost Benefits'!$C$4:$C$857,MATCH(DF421,'Avoided Cost Benefits'!$A$4:$A$857,0)))*G421</f>
        <v>103.85247506116407</v>
      </c>
    </row>
    <row r="422" spans="2:111" x14ac:dyDescent="0.25">
      <c r="B422" s="54"/>
      <c r="C422" s="1997" t="s">
        <v>2956</v>
      </c>
      <c r="D422" s="1363" t="s">
        <v>2646</v>
      </c>
      <c r="E422" s="1319" t="s">
        <v>2957</v>
      </c>
      <c r="F422" s="1959">
        <f>ROUND((F438*((1/I438)-(1/J438))*K438),2)</f>
        <v>106.52</v>
      </c>
      <c r="G422" s="1959">
        <f>ROUND((P438*((1/N438)-(1/O438))*Q438),2)</f>
        <v>222.73</v>
      </c>
      <c r="H422" s="1959">
        <f t="shared" si="162"/>
        <v>329.25</v>
      </c>
      <c r="I422" s="1290" t="s">
        <v>2881</v>
      </c>
      <c r="J422" s="1290" t="s">
        <v>2882</v>
      </c>
      <c r="K422" s="1291">
        <v>9.1068395835808389E-4</v>
      </c>
      <c r="L422" s="1370">
        <f t="shared" si="163"/>
        <v>9.7005999999999995E-2</v>
      </c>
      <c r="M422" s="1317">
        <v>15</v>
      </c>
      <c r="N422" s="1310">
        <v>100</v>
      </c>
      <c r="O422" s="1374" t="s">
        <v>2927</v>
      </c>
      <c r="P422" s="1387"/>
      <c r="Q422" s="1387"/>
      <c r="R422" s="1965"/>
      <c r="S422" s="1965"/>
      <c r="T422" s="1965"/>
      <c r="U422" s="1965"/>
      <c r="V422" s="3227" t="str">
        <f>V421</f>
        <v>Cooling kWh Annual Savings (per ton)</v>
      </c>
      <c r="W422" s="129">
        <v>69.42857142857153</v>
      </c>
      <c r="X422" s="129">
        <v>69.42857142857153</v>
      </c>
      <c r="Y422" s="2002">
        <v>69.42857142857153</v>
      </c>
      <c r="Z422" s="2002">
        <v>69.42857142857153</v>
      </c>
      <c r="AA422" s="2003">
        <v>106.52</v>
      </c>
      <c r="AB422" s="1825">
        <v>106.52</v>
      </c>
      <c r="AC422" s="3364">
        <v>106.52</v>
      </c>
      <c r="AD422" s="1941"/>
      <c r="AE422" s="1941"/>
      <c r="AF422" s="1941"/>
      <c r="AG422" s="1941"/>
      <c r="AH422" s="1942"/>
      <c r="AI422" s="3226" t="str">
        <f>AI421</f>
        <v>Heating kWh Annual Savings (per ton)</v>
      </c>
      <c r="AJ422" s="1947">
        <v>61.948051948051791</v>
      </c>
      <c r="AK422" s="1947">
        <v>61.948051948051791</v>
      </c>
      <c r="AL422" s="1947">
        <v>61.948051948051791</v>
      </c>
      <c r="AM422" s="1947">
        <v>61.948051948051791</v>
      </c>
      <c r="AN422" s="1958">
        <v>222.73</v>
      </c>
      <c r="AO422" s="1825">
        <v>222.73</v>
      </c>
      <c r="AP422" s="2002">
        <v>222.73</v>
      </c>
      <c r="AQ422" s="1941"/>
      <c r="AR422" s="1941"/>
      <c r="AS422" s="1941"/>
      <c r="AT422" s="1942"/>
      <c r="AU422" s="3226" t="str">
        <f>AU421</f>
        <v>Total kWh Annual Savings</v>
      </c>
      <c r="AV422" s="1947">
        <v>131.37662337662331</v>
      </c>
      <c r="AW422" s="1947">
        <v>131.37662337662331</v>
      </c>
      <c r="AX422" s="1947">
        <v>131.37662337662331</v>
      </c>
      <c r="AY422" s="1941"/>
      <c r="AZ422" s="1940">
        <v>329.25</v>
      </c>
      <c r="BA422" s="1825">
        <v>329.25</v>
      </c>
      <c r="BB422" s="1941">
        <v>329.25</v>
      </c>
      <c r="BC422" s="1941"/>
      <c r="BD422" s="1941"/>
      <c r="BE422" s="1941"/>
      <c r="BF422" s="1942"/>
      <c r="BG422" s="3226" t="s">
        <v>181</v>
      </c>
      <c r="BH422" s="1943">
        <v>15</v>
      </c>
      <c r="BI422" s="1943">
        <v>15</v>
      </c>
      <c r="BJ422" s="1964">
        <v>15</v>
      </c>
      <c r="BK422" s="1964">
        <v>15</v>
      </c>
      <c r="BL422" s="1964">
        <v>15</v>
      </c>
      <c r="BM422" s="1825">
        <v>15</v>
      </c>
      <c r="BN422" s="1825">
        <v>15</v>
      </c>
      <c r="BO422" s="1941"/>
      <c r="BP422" s="1941"/>
      <c r="BQ422" s="1941"/>
      <c r="BR422" s="1933"/>
      <c r="BS422" s="3226" t="str">
        <f>BS421</f>
        <v>Inc. Cost     (per ton)</v>
      </c>
      <c r="BT422" s="1944">
        <v>100</v>
      </c>
      <c r="BU422" s="1944">
        <v>100</v>
      </c>
      <c r="BV422" s="1944">
        <v>100</v>
      </c>
      <c r="BW422" s="1944">
        <v>100</v>
      </c>
      <c r="BX422" s="1944">
        <v>100</v>
      </c>
      <c r="BY422" s="1998">
        <v>100</v>
      </c>
      <c r="BZ422" s="1998">
        <v>100</v>
      </c>
      <c r="CA422" s="1941"/>
      <c r="CB422" s="1941"/>
      <c r="CC422" s="1941"/>
      <c r="CD422" s="1931"/>
      <c r="CE422" s="1930"/>
      <c r="CF422" s="1930"/>
      <c r="CG422" s="1930"/>
      <c r="CH422" s="1930"/>
      <c r="CI422" s="1931"/>
      <c r="CJ422" s="1931"/>
      <c r="CK422" s="1931"/>
      <c r="CL422" s="1931"/>
      <c r="CM422" s="1931"/>
      <c r="CN422" s="1931"/>
      <c r="CO422" s="1931"/>
      <c r="CP422" s="1931"/>
      <c r="CQ422" s="1931"/>
      <c r="CR422" s="1931"/>
      <c r="CS422" s="1931"/>
      <c r="CT422" s="1930"/>
      <c r="CU422" s="1930"/>
      <c r="CV422" s="1930"/>
      <c r="CW422" s="1930"/>
      <c r="CX422" s="1931"/>
      <c r="CY422" s="1931"/>
      <c r="CZ422" s="1931"/>
      <c r="DA422" s="1931"/>
      <c r="DB422" s="1659">
        <f t="shared" si="164"/>
        <v>2.5329598047852757</v>
      </c>
      <c r="DC422" s="3166" t="str">
        <f t="shared" si="165"/>
        <v>Cooling BUS 15 Year EUL</v>
      </c>
      <c r="DD422" s="1220">
        <f>(INDEX('Avoided Cost Benefits'!$C$4:$C$857,MATCH(DC422,'Avoided Cost Benefits'!$A$4:$A$857,0)))*F422</f>
        <v>151.85004337398129</v>
      </c>
      <c r="DE422" s="1220">
        <f t="shared" si="166"/>
        <v>94.384143463898056</v>
      </c>
      <c r="DF422" s="3166" t="str">
        <f t="shared" si="167"/>
        <v>Heating BUS 15 Year EUL</v>
      </c>
      <c r="DG422" s="2652">
        <f>(INDEX('Avoided Cost Benefits'!$C$4:$C$857,MATCH(DF422,'Avoided Cost Benefits'!$A$4:$A$857,0)))*G422</f>
        <v>87.221198229159398</v>
      </c>
    </row>
    <row r="423" spans="2:111" hidden="1" outlineLevel="1" x14ac:dyDescent="0.25">
      <c r="B423" s="1931"/>
      <c r="D423" s="1966"/>
      <c r="E423" s="1966"/>
      <c r="F423" s="1966"/>
      <c r="G423" s="1966"/>
      <c r="H423" s="1299"/>
      <c r="I423" s="1966"/>
      <c r="J423" s="1966"/>
      <c r="K423" s="1966"/>
      <c r="L423" s="1965"/>
      <c r="M423" s="1387"/>
      <c r="N423" s="1387"/>
      <c r="O423" s="1387"/>
      <c r="P423" s="1387"/>
      <c r="Q423" s="1965"/>
      <c r="R423" s="1965"/>
      <c r="S423" s="1965"/>
      <c r="T423" s="1965"/>
      <c r="U423" s="1965"/>
      <c r="V423" s="1931"/>
      <c r="W423" s="1931"/>
      <c r="X423" s="1931"/>
      <c r="Y423" s="1931"/>
      <c r="Z423" s="1931"/>
      <c r="AA423" s="1931"/>
      <c r="AB423" s="1931"/>
      <c r="AC423" s="1931"/>
      <c r="AD423" s="1931"/>
      <c r="AE423" s="1931"/>
      <c r="AF423" s="1931"/>
      <c r="AG423" s="1931"/>
      <c r="AH423" s="1931"/>
      <c r="AI423" s="1931"/>
      <c r="AJ423" s="1931"/>
      <c r="AK423" s="1931"/>
      <c r="AL423" s="1931"/>
      <c r="AM423" s="1931"/>
      <c r="AN423" s="1931"/>
      <c r="AO423" s="1931"/>
      <c r="AP423" s="1931"/>
      <c r="AQ423" s="1931"/>
      <c r="AR423" s="1931"/>
      <c r="AS423" s="1931"/>
      <c r="AT423" s="1931"/>
      <c r="AU423" s="1931"/>
      <c r="AV423" s="1931"/>
      <c r="AW423" s="1931"/>
      <c r="AX423" s="1931"/>
      <c r="AY423" s="1931"/>
      <c r="AZ423" s="1931"/>
      <c r="BA423" s="1931"/>
      <c r="BB423" s="1931"/>
      <c r="BC423" s="1931"/>
      <c r="BD423" s="1931"/>
      <c r="BE423" s="1931"/>
      <c r="BF423" s="1931"/>
      <c r="BG423" s="1931"/>
      <c r="BH423" s="1931"/>
      <c r="BI423" s="1931"/>
      <c r="BJ423" s="1931"/>
      <c r="BK423" s="1931"/>
      <c r="BL423" s="1931"/>
      <c r="BM423" s="1931"/>
      <c r="BN423" s="1931"/>
      <c r="BO423" s="1931"/>
      <c r="BP423" s="1931"/>
      <c r="BQ423" s="1931"/>
      <c r="BR423" s="1931"/>
      <c r="BS423" s="1931"/>
      <c r="BT423" s="1931"/>
      <c r="BU423" s="1931"/>
      <c r="BV423" s="1931"/>
      <c r="BW423" s="1931"/>
      <c r="BX423" s="1931"/>
      <c r="BY423" s="1931"/>
      <c r="BZ423" s="1931"/>
      <c r="CA423" s="1931"/>
      <c r="CB423" s="1931"/>
      <c r="CC423" s="1931"/>
      <c r="CD423" s="1931"/>
      <c r="CE423" s="1930"/>
      <c r="CF423" s="1930"/>
      <c r="CG423" s="1930"/>
      <c r="CH423" s="1930"/>
      <c r="CI423" s="1931"/>
      <c r="CJ423" s="1931"/>
      <c r="CK423" s="1931"/>
      <c r="CL423" s="1931"/>
      <c r="CM423" s="1931"/>
      <c r="CN423" s="1931"/>
      <c r="CO423" s="1931"/>
      <c r="CP423" s="1931"/>
      <c r="CQ423" s="1931"/>
      <c r="CR423" s="1931"/>
      <c r="CS423" s="1931"/>
      <c r="CT423" s="1930"/>
      <c r="CU423" s="1930"/>
      <c r="CV423" s="1930"/>
      <c r="CW423" s="1930"/>
      <c r="CX423" s="1931"/>
      <c r="CY423" s="1931"/>
      <c r="CZ423" s="1931"/>
      <c r="DA423" s="1931"/>
      <c r="DB423" s="1932"/>
      <c r="DC423" s="1931"/>
      <c r="DD423" s="1931"/>
      <c r="DE423" s="1931"/>
      <c r="DF423" s="1931"/>
    </row>
    <row r="424" spans="2:111" hidden="1" outlineLevel="1" x14ac:dyDescent="0.25">
      <c r="B424" s="1931"/>
      <c r="D424" s="1966" t="s">
        <v>2689</v>
      </c>
      <c r="E424" s="151"/>
      <c r="F424" s="1966"/>
      <c r="G424" s="1966"/>
      <c r="H424" s="1299"/>
      <c r="I424" s="1966"/>
      <c r="J424" s="1966"/>
      <c r="K424" s="151"/>
      <c r="L424" s="1965"/>
      <c r="M424" s="1387"/>
      <c r="N424" s="1387"/>
      <c r="O424" s="1387"/>
      <c r="P424" s="1387"/>
      <c r="Q424" s="1965"/>
      <c r="R424" s="1965"/>
      <c r="S424" s="1965"/>
      <c r="T424" s="1965"/>
      <c r="U424" s="1965"/>
      <c r="V424" s="1931"/>
      <c r="W424" s="1931"/>
      <c r="X424" s="1931"/>
      <c r="Y424" s="1931"/>
      <c r="Z424" s="1931"/>
      <c r="AA424" s="1931"/>
      <c r="AB424" s="1931"/>
      <c r="AC424" s="1931"/>
      <c r="AD424" s="1931"/>
      <c r="AE424" s="1931"/>
      <c r="AF424" s="1931"/>
      <c r="AG424" s="1931"/>
      <c r="AH424" s="1931"/>
      <c r="AI424" s="1931"/>
      <c r="AJ424" s="1931"/>
      <c r="AK424" s="1931"/>
      <c r="AL424" s="1931"/>
      <c r="AM424" s="1931"/>
      <c r="AN424" s="1931"/>
      <c r="AO424" s="1931"/>
      <c r="AP424" s="1931"/>
      <c r="AQ424" s="1931"/>
      <c r="AR424" s="1931"/>
      <c r="AS424" s="1931"/>
      <c r="AT424" s="1931"/>
      <c r="AU424" s="1931"/>
      <c r="AV424" s="1931"/>
      <c r="AW424" s="1931"/>
      <c r="AX424" s="1931"/>
      <c r="AY424" s="1931"/>
      <c r="AZ424" s="1931"/>
      <c r="BA424" s="1931"/>
      <c r="BB424" s="1931"/>
      <c r="BC424" s="1931"/>
      <c r="BD424" s="1931"/>
      <c r="BE424" s="1931"/>
      <c r="BF424" s="1931"/>
      <c r="BG424" s="1931"/>
      <c r="BH424" s="1931"/>
      <c r="BI424" s="1931"/>
      <c r="BJ424" s="1931"/>
      <c r="BK424" s="1931"/>
      <c r="BL424" s="1931"/>
      <c r="BM424" s="1931"/>
      <c r="BN424" s="1931"/>
      <c r="BO424" s="1931"/>
      <c r="BP424" s="1931"/>
      <c r="BQ424" s="1931"/>
      <c r="BR424" s="1931"/>
      <c r="BS424" s="1931"/>
      <c r="BT424" s="1931"/>
      <c r="BU424" s="1931"/>
      <c r="BV424" s="1931"/>
      <c r="BW424" s="1931"/>
      <c r="BX424" s="1931"/>
      <c r="BY424" s="1931"/>
      <c r="BZ424" s="1931"/>
      <c r="CA424" s="1931"/>
      <c r="CB424" s="1931"/>
      <c r="CC424" s="1931"/>
      <c r="CD424" s="1931"/>
      <c r="CE424" s="1930"/>
      <c r="CF424" s="1930"/>
      <c r="CG424" s="1930"/>
      <c r="CH424" s="1930"/>
      <c r="CI424" s="1931"/>
      <c r="CJ424" s="1931"/>
      <c r="CK424" s="1931"/>
      <c r="CL424" s="1931"/>
      <c r="CM424" s="1931"/>
      <c r="CN424" s="1931"/>
      <c r="CO424" s="1931"/>
      <c r="CP424" s="1931"/>
      <c r="CQ424" s="1931"/>
      <c r="CR424" s="1931"/>
      <c r="CS424" s="1931"/>
      <c r="CT424" s="1930"/>
      <c r="CU424" s="1930"/>
      <c r="CV424" s="1930"/>
      <c r="CW424" s="1930"/>
      <c r="CX424" s="1931"/>
      <c r="CY424" s="1931"/>
      <c r="CZ424" s="1931"/>
      <c r="DA424" s="1931"/>
      <c r="DB424" s="1932"/>
    </row>
    <row r="425" spans="2:111" hidden="1" outlineLevel="1" x14ac:dyDescent="0.25">
      <c r="B425" s="1931"/>
      <c r="D425" s="1966"/>
      <c r="E425" s="151"/>
      <c r="F425" s="1349" t="s">
        <v>2936</v>
      </c>
      <c r="G425" s="1321"/>
      <c r="H425" s="1322"/>
      <c r="I425" s="1965"/>
      <c r="J425" s="1349" t="s">
        <v>2958</v>
      </c>
      <c r="K425" s="1965"/>
      <c r="L425" s="1965"/>
      <c r="M425" s="1965"/>
      <c r="N425" s="1965"/>
      <c r="O425" s="1965"/>
      <c r="P425" s="1965"/>
      <c r="Q425" s="1965"/>
      <c r="R425" s="1965"/>
      <c r="S425" s="1965"/>
      <c r="T425" s="1965"/>
      <c r="U425" s="1965"/>
      <c r="V425" s="1931"/>
      <c r="W425" s="1931"/>
      <c r="X425" s="1931"/>
      <c r="Y425" s="1931"/>
      <c r="Z425" s="1931"/>
      <c r="AA425" s="1931"/>
      <c r="AB425" s="1931"/>
      <c r="AC425" s="1931"/>
      <c r="AD425" s="1931"/>
      <c r="AE425" s="1931"/>
      <c r="AF425" s="1931"/>
      <c r="AG425" s="1931"/>
      <c r="AH425" s="1931"/>
      <c r="AI425" s="1931"/>
      <c r="AJ425" s="1931"/>
      <c r="AK425" s="1931"/>
      <c r="AL425" s="1931"/>
      <c r="AM425" s="1931"/>
      <c r="AN425" s="1931"/>
      <c r="AO425" s="1931"/>
      <c r="AP425" s="1931"/>
      <c r="AQ425" s="1931"/>
      <c r="AR425" s="1931"/>
      <c r="AS425" s="1931"/>
      <c r="AT425" s="1931"/>
      <c r="AU425" s="1931"/>
      <c r="AV425" s="1931"/>
      <c r="AW425" s="1931"/>
      <c r="AX425" s="1931"/>
      <c r="AY425" s="1931"/>
      <c r="AZ425" s="1931"/>
      <c r="BA425" s="1931"/>
      <c r="BB425" s="1931"/>
      <c r="BC425" s="1931"/>
      <c r="BD425" s="1931"/>
      <c r="BE425" s="1931"/>
      <c r="BF425" s="1931"/>
      <c r="BG425" s="1931"/>
      <c r="BH425" s="1931"/>
      <c r="BI425" s="1931"/>
      <c r="BJ425" s="1931"/>
      <c r="BK425" s="1931"/>
      <c r="BL425" s="1931"/>
      <c r="BM425" s="1931"/>
      <c r="BN425" s="1931"/>
      <c r="BO425" s="1931"/>
      <c r="BP425" s="1931"/>
      <c r="BQ425" s="1931"/>
      <c r="BR425" s="1931"/>
      <c r="BS425" s="1931"/>
      <c r="BT425" s="1931"/>
      <c r="BU425" s="1931"/>
      <c r="BV425" s="1931"/>
      <c r="BW425" s="1931"/>
      <c r="BX425" s="1931"/>
      <c r="BY425" s="1931"/>
      <c r="BZ425" s="1931"/>
      <c r="CA425" s="1931"/>
      <c r="CB425" s="1931"/>
      <c r="CC425" s="1931"/>
      <c r="CD425" s="1931"/>
      <c r="CE425" s="1930"/>
      <c r="CF425" s="1930"/>
      <c r="CG425" s="1930"/>
      <c r="CH425" s="1930"/>
      <c r="CI425" s="1931"/>
      <c r="CJ425" s="1931"/>
      <c r="CK425" s="1931"/>
      <c r="CL425" s="1931"/>
      <c r="CM425" s="1931"/>
      <c r="CN425" s="1931"/>
      <c r="CO425" s="1931"/>
      <c r="CP425" s="1931"/>
      <c r="CQ425" s="1931"/>
      <c r="CR425" s="1931"/>
      <c r="CS425" s="1931"/>
      <c r="CT425" s="1930"/>
      <c r="CU425" s="1930"/>
      <c r="CV425" s="1930"/>
      <c r="CW425" s="1930"/>
      <c r="CX425" s="1931"/>
      <c r="CY425" s="1931"/>
      <c r="CZ425" s="1931"/>
      <c r="DA425" s="1931"/>
      <c r="DB425" s="1932"/>
    </row>
    <row r="426" spans="2:111" hidden="1" outlineLevel="1" x14ac:dyDescent="0.25">
      <c r="B426" s="1931"/>
      <c r="D426" s="1300"/>
      <c r="E426" s="1965"/>
      <c r="F426" s="1965"/>
      <c r="G426" s="1321"/>
      <c r="H426" s="1322"/>
      <c r="I426" s="1965"/>
      <c r="J426" s="1965"/>
      <c r="K426" s="1965"/>
      <c r="L426" s="1965"/>
      <c r="M426" s="1965"/>
      <c r="N426" s="1965"/>
      <c r="O426" s="1965"/>
      <c r="P426" s="1965"/>
      <c r="Q426" s="1965"/>
      <c r="R426" s="1965"/>
      <c r="S426" s="1965"/>
      <c r="T426" s="1965"/>
      <c r="U426" s="1965"/>
      <c r="V426" s="1931"/>
      <c r="W426" s="1931"/>
      <c r="X426" s="1931"/>
      <c r="Y426" s="1931"/>
      <c r="Z426" s="1931"/>
      <c r="AA426" s="1931"/>
      <c r="AB426" s="1931"/>
      <c r="AC426" s="1931"/>
      <c r="AD426" s="1931"/>
      <c r="AE426" s="1931"/>
      <c r="AF426" s="1931"/>
      <c r="AG426" s="1931"/>
      <c r="AH426" s="1931"/>
      <c r="AI426" s="1931"/>
      <c r="AJ426" s="1931"/>
      <c r="AK426" s="1931"/>
      <c r="AL426" s="1931"/>
      <c r="AM426" s="1931"/>
      <c r="AN426" s="1931"/>
      <c r="AO426" s="1931"/>
      <c r="AP426" s="1931"/>
      <c r="AQ426" s="1931"/>
      <c r="AR426" s="1931"/>
      <c r="AS426" s="1931"/>
      <c r="AT426" s="1931"/>
      <c r="AU426" s="1931"/>
      <c r="AV426" s="1931"/>
      <c r="AW426" s="1931"/>
      <c r="AX426" s="1931"/>
      <c r="AY426" s="1931"/>
      <c r="AZ426" s="1931"/>
      <c r="BA426" s="1931"/>
      <c r="BB426" s="1931"/>
      <c r="BC426" s="1931"/>
      <c r="BD426" s="1931"/>
      <c r="BE426" s="1931"/>
      <c r="BF426" s="1931"/>
      <c r="BG426" s="1931"/>
      <c r="BH426" s="1931"/>
      <c r="BI426" s="1931"/>
      <c r="BJ426" s="1931"/>
      <c r="BK426" s="1931"/>
      <c r="BL426" s="1931"/>
      <c r="BM426" s="1931"/>
      <c r="BN426" s="1931"/>
      <c r="BO426" s="1931"/>
      <c r="BP426" s="1931"/>
      <c r="BQ426" s="1931"/>
      <c r="BR426" s="1931"/>
      <c r="BS426" s="1931"/>
      <c r="BT426" s="1931"/>
      <c r="BU426" s="1931"/>
      <c r="BV426" s="1931"/>
      <c r="BW426" s="1931"/>
      <c r="BX426" s="1931"/>
      <c r="BY426" s="1931"/>
      <c r="BZ426" s="1931"/>
      <c r="CA426" s="1931"/>
      <c r="CB426" s="1931"/>
      <c r="CC426" s="1931"/>
      <c r="CD426" s="1931"/>
      <c r="CE426" s="1930"/>
      <c r="CF426" s="1930"/>
      <c r="CG426" s="1930"/>
      <c r="CH426" s="1930"/>
      <c r="CI426" s="1931"/>
      <c r="CJ426" s="1931"/>
      <c r="CK426" s="1931"/>
      <c r="CL426" s="1931"/>
      <c r="CM426" s="1931"/>
      <c r="CN426" s="1931"/>
      <c r="CO426" s="1931"/>
      <c r="CP426" s="1931"/>
      <c r="CQ426" s="1931"/>
      <c r="CR426" s="1931"/>
      <c r="CS426" s="1931"/>
      <c r="CT426" s="1930"/>
      <c r="CU426" s="1930"/>
      <c r="CV426" s="1930"/>
      <c r="CW426" s="1930"/>
      <c r="CX426" s="1931"/>
      <c r="CY426" s="1931"/>
      <c r="CZ426" s="1931"/>
      <c r="DA426" s="1931"/>
      <c r="DB426" s="1932"/>
    </row>
    <row r="427" spans="2:111" hidden="1" outlineLevel="1" x14ac:dyDescent="0.25">
      <c r="B427" s="1931"/>
      <c r="D427" s="1300"/>
      <c r="E427" s="1965"/>
      <c r="F427" s="1965"/>
      <c r="G427" s="1965"/>
      <c r="H427" s="1301"/>
      <c r="I427" s="1965"/>
      <c r="J427" s="1965"/>
      <c r="K427" s="1965"/>
      <c r="L427" s="1965"/>
      <c r="M427" s="1966"/>
      <c r="N427" s="1965"/>
      <c r="O427" s="1965"/>
      <c r="P427" s="1965"/>
      <c r="Q427" s="1965"/>
      <c r="R427" s="1965"/>
      <c r="S427" s="1965"/>
      <c r="T427" s="1965"/>
      <c r="U427" s="1965"/>
      <c r="V427" s="1931"/>
      <c r="W427" s="1931"/>
      <c r="X427" s="1931"/>
      <c r="Y427" s="1931"/>
      <c r="Z427" s="1931"/>
      <c r="AA427" s="1931"/>
      <c r="AB427" s="1931"/>
      <c r="AC427" s="1931"/>
      <c r="AD427" s="1931"/>
      <c r="AE427" s="1931"/>
      <c r="AF427" s="1931"/>
      <c r="AG427" s="1931"/>
      <c r="AH427" s="1931"/>
      <c r="AI427" s="1931"/>
      <c r="AJ427" s="1931"/>
      <c r="AK427" s="1931"/>
      <c r="AL427" s="1931"/>
      <c r="AM427" s="1931"/>
      <c r="AN427" s="1931"/>
      <c r="AO427" s="1931"/>
      <c r="AP427" s="1931"/>
      <c r="AQ427" s="1931"/>
      <c r="AR427" s="1931"/>
      <c r="AS427" s="1931"/>
      <c r="AT427" s="1931"/>
      <c r="AU427" s="1931"/>
      <c r="AV427" s="1931"/>
      <c r="AW427" s="1931"/>
      <c r="AX427" s="1931"/>
      <c r="AY427" s="1931"/>
      <c r="AZ427" s="1931"/>
      <c r="BA427" s="1931"/>
      <c r="BB427" s="1931"/>
      <c r="BC427" s="1931"/>
      <c r="BD427" s="1931"/>
      <c r="BE427" s="1931"/>
      <c r="BF427" s="1931"/>
      <c r="BG427" s="1931"/>
      <c r="BH427" s="1931"/>
      <c r="BI427" s="1931"/>
      <c r="BJ427" s="1931"/>
      <c r="BK427" s="1931"/>
      <c r="BL427" s="1931"/>
      <c r="BM427" s="1931"/>
      <c r="BN427" s="1931"/>
      <c r="BO427" s="1931"/>
      <c r="BP427" s="1931"/>
      <c r="BQ427" s="1931"/>
      <c r="BR427" s="1931"/>
      <c r="BS427" s="1931"/>
      <c r="BT427" s="1931"/>
      <c r="BU427" s="1931"/>
      <c r="BV427" s="1931"/>
      <c r="BW427" s="1931"/>
      <c r="BX427" s="1931"/>
      <c r="BY427" s="1931"/>
      <c r="BZ427" s="1931"/>
      <c r="CA427" s="1931"/>
      <c r="CB427" s="1931"/>
      <c r="CC427" s="1931"/>
      <c r="CD427" s="1931"/>
      <c r="CE427" s="1930"/>
      <c r="CF427" s="1930"/>
      <c r="CG427" s="1930"/>
      <c r="CH427" s="1930"/>
      <c r="CI427" s="1931"/>
      <c r="CJ427" s="1931"/>
      <c r="CK427" s="1931"/>
      <c r="CL427" s="1931"/>
      <c r="CM427" s="1931"/>
      <c r="CN427" s="1931"/>
      <c r="CO427" s="1931"/>
      <c r="CP427" s="1931"/>
      <c r="CQ427" s="1931"/>
      <c r="CR427" s="1931"/>
      <c r="CS427" s="1931"/>
      <c r="CT427" s="1930"/>
      <c r="CU427" s="1930"/>
      <c r="CV427" s="1930"/>
      <c r="CW427" s="1930"/>
      <c r="CX427" s="1931"/>
      <c r="CY427" s="1931"/>
      <c r="CZ427" s="1931"/>
      <c r="DA427" s="1931"/>
      <c r="DB427" s="1932"/>
    </row>
    <row r="428" spans="2:111" hidden="1" outlineLevel="1" x14ac:dyDescent="0.25">
      <c r="B428" s="1931"/>
      <c r="D428" s="1300"/>
      <c r="E428" s="1965"/>
      <c r="F428" s="1965"/>
      <c r="G428" s="1965"/>
      <c r="H428" s="1301"/>
      <c r="I428" s="1965"/>
      <c r="J428" s="1965"/>
      <c r="K428" s="1965"/>
      <c r="L428" s="1965"/>
      <c r="M428" s="1966"/>
      <c r="N428" s="1965"/>
      <c r="O428" s="1965"/>
      <c r="P428" s="1965"/>
      <c r="Q428" s="1965"/>
      <c r="R428" s="1965"/>
      <c r="S428" s="1965"/>
      <c r="T428" s="1965"/>
      <c r="U428" s="1965"/>
      <c r="V428" s="1931"/>
      <c r="W428" s="1931"/>
      <c r="X428" s="1931"/>
      <c r="Y428" s="1931"/>
      <c r="Z428" s="1931"/>
      <c r="AA428" s="1931"/>
      <c r="AB428" s="1931"/>
      <c r="AC428" s="1931"/>
      <c r="AD428" s="1931"/>
      <c r="AE428" s="1931"/>
      <c r="AF428" s="1931"/>
      <c r="AG428" s="1931"/>
      <c r="AH428" s="1931"/>
      <c r="AI428" s="1931"/>
      <c r="AJ428" s="1931"/>
      <c r="AK428" s="1931"/>
      <c r="AL428" s="1931"/>
      <c r="AM428" s="1931"/>
      <c r="AN428" s="1931"/>
      <c r="AO428" s="1931"/>
      <c r="AP428" s="1931"/>
      <c r="AQ428" s="1931"/>
      <c r="AR428" s="1931"/>
      <c r="AS428" s="1931"/>
      <c r="AT428" s="1931"/>
      <c r="AU428" s="1931"/>
      <c r="AV428" s="1931"/>
      <c r="AW428" s="1931"/>
      <c r="AX428" s="1931"/>
      <c r="AY428" s="1931"/>
      <c r="AZ428" s="1931"/>
      <c r="BA428" s="1931"/>
      <c r="BB428" s="1931"/>
      <c r="BC428" s="1931"/>
      <c r="BD428" s="1931"/>
      <c r="BE428" s="1931"/>
      <c r="BF428" s="1931"/>
      <c r="BG428" s="1931"/>
      <c r="BH428" s="1931"/>
      <c r="BI428" s="1931"/>
      <c r="BJ428" s="1931"/>
      <c r="BK428" s="1931"/>
      <c r="BL428" s="1931"/>
      <c r="BM428" s="1931"/>
      <c r="BN428" s="1931"/>
      <c r="BO428" s="1931"/>
      <c r="BP428" s="1931"/>
      <c r="BQ428" s="1931"/>
      <c r="BR428" s="1931"/>
      <c r="BS428" s="1931"/>
      <c r="BT428" s="1931"/>
      <c r="BU428" s="1931"/>
      <c r="BV428" s="1931"/>
      <c r="BW428" s="1931"/>
      <c r="BX428" s="1931"/>
      <c r="BY428" s="1931"/>
      <c r="BZ428" s="1931"/>
      <c r="CA428" s="1931"/>
      <c r="CB428" s="1931"/>
      <c r="CC428" s="1931"/>
      <c r="CD428" s="1931"/>
      <c r="CE428" s="1930"/>
      <c r="CF428" s="1930"/>
      <c r="CG428" s="1930"/>
      <c r="CH428" s="1930"/>
      <c r="CI428" s="1931"/>
      <c r="CJ428" s="1931"/>
      <c r="CK428" s="1931"/>
      <c r="CL428" s="1931"/>
      <c r="CM428" s="1931"/>
      <c r="CN428" s="1931"/>
      <c r="CO428" s="1931"/>
      <c r="CP428" s="1931"/>
      <c r="CQ428" s="1931"/>
      <c r="CR428" s="1931"/>
      <c r="CS428" s="1931"/>
      <c r="CT428" s="1930"/>
      <c r="CU428" s="1930"/>
      <c r="CV428" s="1930"/>
      <c r="CW428" s="1930"/>
      <c r="CX428" s="1931"/>
      <c r="CY428" s="1931"/>
      <c r="CZ428" s="1931"/>
      <c r="DA428" s="1931"/>
      <c r="DB428" s="1932"/>
    </row>
    <row r="429" spans="2:111" hidden="1" outlineLevel="1" x14ac:dyDescent="0.25">
      <c r="B429" s="1931"/>
      <c r="D429" s="1300"/>
      <c r="E429" s="1965"/>
      <c r="F429" s="1965"/>
      <c r="G429" s="1965"/>
      <c r="H429" s="1301"/>
      <c r="I429" s="1965"/>
      <c r="J429" s="1965"/>
      <c r="K429" s="1965"/>
      <c r="L429" s="1965"/>
      <c r="M429" s="1966"/>
      <c r="N429" s="1965"/>
      <c r="O429" s="1965"/>
      <c r="P429" s="1965"/>
      <c r="Q429" s="1965"/>
      <c r="R429" s="1965"/>
      <c r="S429" s="1965"/>
      <c r="T429" s="1965"/>
      <c r="U429" s="1965"/>
      <c r="V429" s="1931"/>
      <c r="W429" s="1931"/>
      <c r="X429" s="1931"/>
      <c r="Y429" s="1931"/>
      <c r="Z429" s="1931"/>
      <c r="AA429" s="1931"/>
      <c r="AB429" s="1931"/>
      <c r="AC429" s="1931"/>
      <c r="AD429" s="1931"/>
      <c r="AE429" s="1931"/>
      <c r="AF429" s="1931"/>
      <c r="AG429" s="1931"/>
      <c r="AH429" s="1931"/>
      <c r="AI429" s="1931"/>
      <c r="AJ429" s="1931"/>
      <c r="AK429" s="1931"/>
      <c r="AL429" s="1931"/>
      <c r="AM429" s="1931"/>
      <c r="AN429" s="1931"/>
      <c r="AO429" s="1931"/>
      <c r="AP429" s="1931"/>
      <c r="AQ429" s="1931"/>
      <c r="AR429" s="1931"/>
      <c r="AS429" s="1931"/>
      <c r="AT429" s="1931"/>
      <c r="AU429" s="1931"/>
      <c r="AV429" s="1931"/>
      <c r="AW429" s="1931"/>
      <c r="AX429" s="1931"/>
      <c r="AY429" s="1931"/>
      <c r="AZ429" s="1931"/>
      <c r="BA429" s="1931"/>
      <c r="BB429" s="1931"/>
      <c r="BC429" s="1931"/>
      <c r="BD429" s="1931"/>
      <c r="BE429" s="1931"/>
      <c r="BF429" s="1931"/>
      <c r="BG429" s="1931"/>
      <c r="BH429" s="1931"/>
      <c r="BI429" s="1931"/>
      <c r="BJ429" s="1931"/>
      <c r="BK429" s="1931"/>
      <c r="BL429" s="1931"/>
      <c r="BM429" s="1931"/>
      <c r="BN429" s="1931"/>
      <c r="BO429" s="1931"/>
      <c r="BP429" s="1931"/>
      <c r="BQ429" s="1931"/>
      <c r="BR429" s="1931"/>
      <c r="BS429" s="1931"/>
      <c r="BT429" s="1931"/>
      <c r="BU429" s="1931"/>
      <c r="BV429" s="1931"/>
      <c r="BW429" s="1931"/>
      <c r="BX429" s="1931"/>
      <c r="BY429" s="1931"/>
      <c r="BZ429" s="1931"/>
      <c r="CA429" s="1931"/>
      <c r="CB429" s="1931"/>
      <c r="CC429" s="1931"/>
      <c r="CD429" s="1931"/>
      <c r="CE429" s="1930"/>
      <c r="CF429" s="1930"/>
      <c r="CG429" s="1930"/>
      <c r="CH429" s="1930"/>
      <c r="CI429" s="1931"/>
      <c r="CJ429" s="1931"/>
      <c r="CK429" s="1931"/>
      <c r="CL429" s="1931"/>
      <c r="CM429" s="1931"/>
      <c r="CN429" s="1931"/>
      <c r="CO429" s="1931"/>
      <c r="CP429" s="1931"/>
      <c r="CQ429" s="1931"/>
      <c r="CR429" s="1931"/>
      <c r="CS429" s="1931"/>
      <c r="CT429" s="1930"/>
      <c r="CU429" s="1930"/>
      <c r="CV429" s="1930"/>
      <c r="CW429" s="1930"/>
      <c r="CX429" s="1931"/>
      <c r="CY429" s="1931"/>
      <c r="CZ429" s="1931"/>
      <c r="DA429" s="1931"/>
      <c r="DB429" s="1932"/>
    </row>
    <row r="430" spans="2:111" hidden="1" outlineLevel="1" x14ac:dyDescent="0.25">
      <c r="B430" s="1931"/>
      <c r="D430" s="1300"/>
      <c r="E430" s="1965"/>
      <c r="F430" s="1965"/>
      <c r="G430" s="1965"/>
      <c r="H430" s="1301"/>
      <c r="I430" s="1965"/>
      <c r="J430" s="1965"/>
      <c r="K430" s="1965"/>
      <c r="L430" s="1965"/>
      <c r="M430" s="1965"/>
      <c r="N430" s="1965"/>
      <c r="O430" s="1965"/>
      <c r="P430" s="1965"/>
      <c r="Q430" s="1965"/>
      <c r="R430" s="1965"/>
      <c r="S430" s="1965"/>
      <c r="T430" s="1965"/>
      <c r="U430" s="1965"/>
      <c r="V430" s="1931"/>
      <c r="W430" s="1931"/>
      <c r="X430" s="1931"/>
      <c r="Y430" s="1931"/>
      <c r="Z430" s="1931"/>
      <c r="AA430" s="1931"/>
      <c r="AB430" s="1931"/>
      <c r="AC430" s="1931"/>
      <c r="AD430" s="1931"/>
      <c r="AE430" s="1931"/>
      <c r="AF430" s="1931"/>
      <c r="AG430" s="1931"/>
      <c r="AH430" s="1931"/>
      <c r="AI430" s="1931"/>
      <c r="AJ430" s="1931"/>
      <c r="AK430" s="1931"/>
      <c r="AL430" s="1931"/>
      <c r="AM430" s="1931"/>
      <c r="AN430" s="1931"/>
      <c r="AO430" s="1931"/>
      <c r="AP430" s="1931"/>
      <c r="AQ430" s="1931"/>
      <c r="AR430" s="1931"/>
      <c r="AS430" s="1931"/>
      <c r="AT430" s="1931"/>
      <c r="AU430" s="1931"/>
      <c r="AV430" s="1931"/>
      <c r="AW430" s="1931"/>
      <c r="AX430" s="1931"/>
      <c r="AY430" s="1931"/>
      <c r="AZ430" s="1931"/>
      <c r="BA430" s="1931"/>
      <c r="BB430" s="1931"/>
      <c r="BC430" s="1931"/>
      <c r="BD430" s="1931"/>
      <c r="BE430" s="1931"/>
      <c r="BF430" s="1931"/>
      <c r="BG430" s="1931"/>
      <c r="BH430" s="1931"/>
      <c r="BI430" s="1931"/>
      <c r="BJ430" s="1931"/>
      <c r="BK430" s="1931"/>
      <c r="BL430" s="1931"/>
      <c r="BM430" s="1931"/>
      <c r="BN430" s="1931"/>
      <c r="BO430" s="1931"/>
      <c r="BP430" s="1931"/>
      <c r="BQ430" s="1931"/>
      <c r="BR430" s="1931"/>
      <c r="BS430" s="1931"/>
      <c r="BT430" s="1931"/>
      <c r="BU430" s="1931"/>
      <c r="BV430" s="1931"/>
      <c r="BW430" s="1931"/>
      <c r="BX430" s="1931"/>
      <c r="BY430" s="1931"/>
      <c r="BZ430" s="1931"/>
      <c r="CA430" s="1931"/>
      <c r="CB430" s="1931"/>
      <c r="CC430" s="1931"/>
      <c r="CD430" s="1931"/>
      <c r="CE430" s="1930"/>
      <c r="CF430" s="1930"/>
      <c r="CG430" s="1930"/>
      <c r="CH430" s="1930"/>
      <c r="CI430" s="1931"/>
      <c r="CJ430" s="1931"/>
      <c r="CK430" s="1931"/>
      <c r="CL430" s="1931"/>
      <c r="CM430" s="1931"/>
      <c r="CN430" s="1931"/>
      <c r="CO430" s="1931"/>
      <c r="CP430" s="1931"/>
      <c r="CQ430" s="1931"/>
      <c r="CR430" s="1931"/>
      <c r="CS430" s="1931"/>
      <c r="CT430" s="1930"/>
      <c r="CU430" s="1930"/>
      <c r="CV430" s="1930"/>
      <c r="CW430" s="1930"/>
      <c r="CX430" s="1931"/>
      <c r="CY430" s="1931"/>
      <c r="CZ430" s="1931"/>
      <c r="DA430" s="1931"/>
      <c r="DB430" s="1932"/>
    </row>
    <row r="431" spans="2:111" s="1931" customFormat="1" hidden="1" outlineLevel="1" x14ac:dyDescent="0.25">
      <c r="C431" s="1966"/>
      <c r="D431" s="1300"/>
      <c r="E431" s="1965"/>
      <c r="F431" s="1965"/>
      <c r="G431" s="1965"/>
      <c r="H431" s="1301"/>
      <c r="I431" s="1965"/>
      <c r="J431" s="1965"/>
      <c r="K431" s="1965"/>
      <c r="L431" s="1965"/>
      <c r="M431" s="1965"/>
      <c r="N431" s="1965"/>
      <c r="O431" s="1965"/>
      <c r="P431" s="1965"/>
      <c r="Q431" s="1965"/>
      <c r="R431" s="1965"/>
      <c r="S431" s="1965"/>
      <c r="T431" s="1965"/>
      <c r="U431" s="1965"/>
      <c r="CE431" s="1930"/>
      <c r="CF431" s="1930"/>
      <c r="CG431" s="1930"/>
      <c r="CH431" s="1930"/>
      <c r="CT431" s="1930"/>
      <c r="CU431" s="1930"/>
      <c r="CV431" s="1930"/>
      <c r="CW431" s="1930"/>
      <c r="DB431" s="1932"/>
    </row>
    <row r="432" spans="2:111" s="55" customFormat="1" ht="30" hidden="1" outlineLevel="1" x14ac:dyDescent="0.25">
      <c r="C432" s="151"/>
      <c r="D432" s="3081" t="s">
        <v>28</v>
      </c>
      <c r="E432" s="3081" t="s">
        <v>2758</v>
      </c>
      <c r="F432" s="81" t="s">
        <v>2938</v>
      </c>
      <c r="G432" s="3081" t="s">
        <v>2959</v>
      </c>
      <c r="H432" s="3081" t="s">
        <v>2960</v>
      </c>
      <c r="I432" s="3081" t="s">
        <v>2961</v>
      </c>
      <c r="J432" s="3249" t="s">
        <v>2940</v>
      </c>
      <c r="K432" s="3249" t="s">
        <v>2884</v>
      </c>
      <c r="L432" s="3249" t="s">
        <v>2962</v>
      </c>
      <c r="M432" s="3249" t="s">
        <v>2963</v>
      </c>
      <c r="N432" s="3249" t="s">
        <v>2964</v>
      </c>
      <c r="O432" s="3249" t="s">
        <v>1114</v>
      </c>
      <c r="P432" s="81" t="s">
        <v>2965</v>
      </c>
      <c r="Q432" s="3249" t="s">
        <v>2966</v>
      </c>
      <c r="R432" s="1983" t="s">
        <v>2967</v>
      </c>
      <c r="S432" s="1984"/>
      <c r="T432" s="401"/>
      <c r="U432" s="401"/>
      <c r="AU432" s="1931"/>
      <c r="BR432" s="1931"/>
      <c r="BS432" s="1931"/>
      <c r="DB432" s="72"/>
    </row>
    <row r="433" spans="2:110" hidden="1" outlineLevel="1" x14ac:dyDescent="0.25">
      <c r="B433" s="1933"/>
      <c r="D433" s="1967" t="str">
        <f t="shared" ref="D433:D438" si="169">C417</f>
        <v>803500_2019_12_</v>
      </c>
      <c r="E433" s="1967" t="str">
        <f t="shared" ref="E433:E438" si="170">E417</f>
        <v>GSHP &lt;135kbtu; ≥17EER</v>
      </c>
      <c r="F433" s="1335">
        <v>12</v>
      </c>
      <c r="G433" s="1970">
        <v>16.2</v>
      </c>
      <c r="H433" s="1970">
        <v>17</v>
      </c>
      <c r="I433" s="1970"/>
      <c r="J433" s="1970"/>
      <c r="K433" s="1341">
        <v>1053</v>
      </c>
      <c r="L433" s="1362">
        <v>3.6</v>
      </c>
      <c r="M433" s="1362">
        <v>3.7</v>
      </c>
      <c r="N433" s="1362"/>
      <c r="O433" s="1388"/>
      <c r="P433" s="1333">
        <v>12</v>
      </c>
      <c r="Q433" s="1362">
        <v>1060</v>
      </c>
      <c r="R433" s="1389" t="s">
        <v>2968</v>
      </c>
      <c r="S433" s="1361"/>
      <c r="T433" s="1965"/>
      <c r="U433" s="1965"/>
      <c r="V433" s="1931"/>
      <c r="W433" s="1931"/>
      <c r="X433" s="1931"/>
      <c r="Y433" s="1931"/>
      <c r="Z433" s="1931"/>
      <c r="AA433" s="1931"/>
      <c r="AB433" s="1931"/>
      <c r="AC433" s="1931"/>
      <c r="AD433" s="1931"/>
      <c r="AE433" s="1931"/>
      <c r="AF433" s="1931"/>
      <c r="AG433" s="1931"/>
      <c r="AH433" s="1931"/>
      <c r="AI433" s="1931"/>
      <c r="AJ433" s="1931"/>
      <c r="AK433" s="1931"/>
      <c r="AL433" s="1931"/>
      <c r="AM433" s="1931"/>
      <c r="AN433" s="1931"/>
      <c r="AO433" s="1931"/>
      <c r="AP433" s="1931"/>
      <c r="AQ433" s="1931"/>
      <c r="AR433" s="1931"/>
      <c r="AS433" s="1931"/>
      <c r="AT433" s="1931"/>
      <c r="AU433" s="1931"/>
      <c r="AV433" s="1931"/>
      <c r="AW433" s="1931"/>
      <c r="AX433" s="1931"/>
      <c r="AY433" s="1931"/>
      <c r="AZ433" s="1931"/>
      <c r="BA433" s="1931"/>
      <c r="BB433" s="1931"/>
      <c r="BC433" s="1931"/>
      <c r="BD433" s="1931"/>
      <c r="BE433" s="1931"/>
      <c r="BF433" s="1931"/>
      <c r="BG433" s="1931"/>
      <c r="BH433" s="1931"/>
      <c r="BI433" s="1931"/>
      <c r="BJ433" s="1931"/>
      <c r="BK433" s="1931"/>
      <c r="BL433" s="1931"/>
      <c r="BM433" s="1931"/>
      <c r="BN433" s="1931"/>
      <c r="BO433" s="1931"/>
      <c r="BP433" s="1931"/>
      <c r="BQ433" s="1931"/>
      <c r="BR433" s="1931"/>
      <c r="BS433" s="1931"/>
      <c r="BT433" s="1931"/>
      <c r="BU433" s="1931"/>
      <c r="BV433" s="1931"/>
      <c r="BW433" s="1931"/>
      <c r="BX433" s="1931"/>
      <c r="BY433" s="1931"/>
      <c r="BZ433" s="1931"/>
      <c r="CA433" s="1931"/>
      <c r="CB433" s="1931"/>
      <c r="CC433" s="1931"/>
      <c r="CD433" s="1931"/>
      <c r="CE433" s="1930"/>
      <c r="CF433" s="1930"/>
      <c r="CG433" s="1930"/>
      <c r="CH433" s="1930"/>
      <c r="CI433" s="1931"/>
      <c r="CJ433" s="1931"/>
      <c r="CK433" s="1931"/>
      <c r="CL433" s="1931"/>
      <c r="CM433" s="1931"/>
      <c r="CN433" s="1931"/>
      <c r="CO433" s="1931"/>
      <c r="CP433" s="1931"/>
      <c r="CQ433" s="1931"/>
      <c r="CR433" s="1931"/>
      <c r="CS433" s="1931"/>
      <c r="CT433" s="1930"/>
      <c r="CU433" s="1930"/>
      <c r="CV433" s="1930"/>
      <c r="CW433" s="1930"/>
      <c r="CX433" s="1931"/>
      <c r="CY433" s="1931"/>
      <c r="CZ433" s="1931"/>
      <c r="DA433" s="1931"/>
      <c r="DB433" s="1932"/>
    </row>
    <row r="434" spans="2:110" hidden="1" outlineLevel="1" x14ac:dyDescent="0.25">
      <c r="B434" s="1933"/>
      <c r="D434" s="1967" t="str">
        <f t="shared" si="169"/>
        <v>803550_2019_12_</v>
      </c>
      <c r="E434" s="1967" t="str">
        <f t="shared" si="170"/>
        <v>GSHP &lt;135kbtu; ≥19EER</v>
      </c>
      <c r="F434" s="1335">
        <v>12</v>
      </c>
      <c r="G434" s="1970">
        <v>16.2</v>
      </c>
      <c r="H434" s="1970">
        <v>19</v>
      </c>
      <c r="I434" s="1970"/>
      <c r="J434" s="1970"/>
      <c r="K434" s="1341">
        <v>1053</v>
      </c>
      <c r="L434" s="1362">
        <v>3.6</v>
      </c>
      <c r="M434" s="1362">
        <v>3.7</v>
      </c>
      <c r="N434" s="1362"/>
      <c r="O434" s="1388"/>
      <c r="P434" s="1333">
        <v>12</v>
      </c>
      <c r="Q434" s="1362">
        <v>1060</v>
      </c>
      <c r="R434" s="1389" t="s">
        <v>2968</v>
      </c>
      <c r="S434" s="1361"/>
      <c r="T434" s="1965"/>
      <c r="U434" s="1965"/>
      <c r="V434" s="1931"/>
      <c r="W434" s="1931"/>
      <c r="X434" s="1931"/>
      <c r="Y434" s="1931"/>
      <c r="Z434" s="1931"/>
      <c r="AA434" s="1931"/>
      <c r="AB434" s="1931"/>
      <c r="AC434" s="1931"/>
      <c r="AD434" s="1931"/>
      <c r="AE434" s="1931"/>
      <c r="AF434" s="1931"/>
      <c r="AG434" s="1931"/>
      <c r="AH434" s="1931"/>
      <c r="AI434" s="1931"/>
      <c r="AJ434" s="1931"/>
      <c r="AK434" s="1931"/>
      <c r="AL434" s="1931"/>
      <c r="AM434" s="1931"/>
      <c r="AN434" s="1931"/>
      <c r="AO434" s="1931"/>
      <c r="AP434" s="1931"/>
      <c r="AQ434" s="1931"/>
      <c r="AR434" s="1931"/>
      <c r="AS434" s="1931"/>
      <c r="AT434" s="1931"/>
      <c r="AU434" s="1931"/>
      <c r="AV434" s="1931"/>
      <c r="AW434" s="1931"/>
      <c r="AX434" s="1931"/>
      <c r="AY434" s="1931"/>
      <c r="AZ434" s="1931"/>
      <c r="BA434" s="1931"/>
      <c r="BB434" s="1931"/>
      <c r="BC434" s="1931"/>
      <c r="BD434" s="1931"/>
      <c r="BE434" s="1931"/>
      <c r="BF434" s="1931"/>
      <c r="BG434" s="1931"/>
      <c r="BH434" s="1931"/>
      <c r="BI434" s="1931"/>
      <c r="BJ434" s="1931"/>
      <c r="BK434" s="1931"/>
      <c r="BL434" s="1931"/>
      <c r="BM434" s="1931"/>
      <c r="BN434" s="1931"/>
      <c r="BO434" s="1931"/>
      <c r="BP434" s="1931"/>
      <c r="BQ434" s="1931"/>
      <c r="BR434" s="1931"/>
      <c r="BS434" s="1931"/>
      <c r="BT434" s="1931"/>
      <c r="BU434" s="1931"/>
      <c r="BV434" s="1931"/>
      <c r="BW434" s="1931"/>
      <c r="BX434" s="1931"/>
      <c r="BY434" s="1931"/>
      <c r="BZ434" s="1931"/>
      <c r="CA434" s="1931"/>
      <c r="CB434" s="1931"/>
      <c r="CC434" s="1931"/>
      <c r="CD434" s="1931"/>
      <c r="CE434" s="1930"/>
      <c r="CF434" s="1930"/>
      <c r="CG434" s="1930"/>
      <c r="CH434" s="1930"/>
      <c r="CI434" s="1931"/>
      <c r="CJ434" s="1931"/>
      <c r="CK434" s="1931"/>
      <c r="CL434" s="1931"/>
      <c r="CM434" s="1931"/>
      <c r="CN434" s="1931"/>
      <c r="CO434" s="1931"/>
      <c r="CP434" s="1931"/>
      <c r="CQ434" s="1931"/>
      <c r="CR434" s="1931"/>
      <c r="CS434" s="1931"/>
      <c r="CT434" s="1930"/>
      <c r="CU434" s="1930"/>
      <c r="CV434" s="1930"/>
      <c r="CW434" s="1930"/>
      <c r="CX434" s="1931"/>
      <c r="CY434" s="1931"/>
      <c r="CZ434" s="1931"/>
      <c r="DA434" s="1931"/>
      <c r="DB434" s="1932"/>
    </row>
    <row r="435" spans="2:110" hidden="1" outlineLevel="1" x14ac:dyDescent="0.25">
      <c r="B435" s="1933"/>
      <c r="D435" s="1967" t="str">
        <f t="shared" si="169"/>
        <v>803600_2020_07_</v>
      </c>
      <c r="E435" s="1967" t="str">
        <f t="shared" si="170"/>
        <v>ASHP 65 - 135kbtu</v>
      </c>
      <c r="F435" s="1335">
        <v>12</v>
      </c>
      <c r="G435" s="1977"/>
      <c r="H435" s="1977"/>
      <c r="I435" s="1970">
        <v>11.2</v>
      </c>
      <c r="J435" s="1970">
        <f>ROUND(I435*1.12, 1)</f>
        <v>12.5</v>
      </c>
      <c r="K435" s="1341">
        <v>1053</v>
      </c>
      <c r="L435" s="1362">
        <v>2.25</v>
      </c>
      <c r="M435" s="1362">
        <v>2.6</v>
      </c>
      <c r="N435" s="1362"/>
      <c r="O435" s="1388"/>
      <c r="P435" s="1333">
        <v>12</v>
      </c>
      <c r="Q435" s="1362">
        <v>1060</v>
      </c>
      <c r="R435" s="1389" t="s">
        <v>2968</v>
      </c>
      <c r="S435" s="1361"/>
      <c r="T435" s="1965"/>
      <c r="U435" s="1965"/>
      <c r="V435" s="1931"/>
      <c r="W435" s="1931"/>
      <c r="X435" s="1931"/>
      <c r="Y435" s="1931"/>
      <c r="Z435" s="1931"/>
      <c r="AA435" s="1931"/>
      <c r="AB435" s="1931"/>
      <c r="AC435" s="1931"/>
      <c r="AD435" s="1931"/>
      <c r="AE435" s="1931"/>
      <c r="AF435" s="1931"/>
      <c r="AG435" s="1931"/>
      <c r="AH435" s="1931"/>
      <c r="AI435" s="1931"/>
      <c r="AJ435" s="1931"/>
      <c r="AK435" s="1931"/>
      <c r="AL435" s="1931"/>
      <c r="AM435" s="1931"/>
      <c r="AN435" s="1931"/>
      <c r="AO435" s="1931"/>
      <c r="AP435" s="1931"/>
      <c r="AQ435" s="1931"/>
      <c r="AR435" s="1931"/>
      <c r="AS435" s="1931"/>
      <c r="AT435" s="1931"/>
      <c r="AU435" s="1931"/>
      <c r="AV435" s="1931"/>
      <c r="AW435" s="1931"/>
      <c r="AX435" s="1931"/>
      <c r="AY435" s="1931"/>
      <c r="AZ435" s="1931"/>
      <c r="BA435" s="1931"/>
      <c r="BB435" s="1931"/>
      <c r="BC435" s="1931"/>
      <c r="BD435" s="1931"/>
      <c r="BE435" s="1931"/>
      <c r="BF435" s="1931"/>
      <c r="BG435" s="1931"/>
      <c r="BH435" s="1931"/>
      <c r="BI435" s="1931"/>
      <c r="BJ435" s="1931"/>
      <c r="BK435" s="1931"/>
      <c r="BL435" s="1931"/>
      <c r="BM435" s="1931"/>
      <c r="BN435" s="1931"/>
      <c r="BO435" s="1931"/>
      <c r="BP435" s="1931"/>
      <c r="BQ435" s="1931"/>
      <c r="BR435" s="1931"/>
      <c r="BS435" s="1931"/>
      <c r="BT435" s="1931"/>
      <c r="BU435" s="1931"/>
      <c r="BV435" s="1931"/>
      <c r="BW435" s="1931"/>
      <c r="BX435" s="1931"/>
      <c r="BY435" s="1931"/>
      <c r="BZ435" s="1931"/>
      <c r="CA435" s="1931"/>
      <c r="CB435" s="1931"/>
      <c r="CC435" s="1931"/>
      <c r="CD435" s="1931"/>
      <c r="CE435" s="1930"/>
      <c r="CF435" s="1930"/>
      <c r="CG435" s="1930"/>
      <c r="CH435" s="1930"/>
      <c r="CI435" s="1931"/>
      <c r="CJ435" s="1931"/>
      <c r="CK435" s="1931"/>
      <c r="CL435" s="1931"/>
      <c r="CM435" s="1931"/>
      <c r="CN435" s="1931"/>
      <c r="CO435" s="1931"/>
      <c r="CP435" s="1931"/>
      <c r="CQ435" s="1931"/>
      <c r="CR435" s="1931"/>
      <c r="CS435" s="1931"/>
      <c r="CT435" s="1930"/>
      <c r="CU435" s="1930"/>
      <c r="CV435" s="1930"/>
      <c r="CW435" s="1930"/>
      <c r="CX435" s="1931"/>
      <c r="CY435" s="1931"/>
      <c r="CZ435" s="1931"/>
      <c r="DA435" s="1931"/>
      <c r="DB435" s="1932"/>
    </row>
    <row r="436" spans="2:110" hidden="1" outlineLevel="1" x14ac:dyDescent="0.25">
      <c r="B436" s="1933"/>
      <c r="D436" s="1967" t="str">
        <f t="shared" si="169"/>
        <v>803650_2020_07_</v>
      </c>
      <c r="E436" s="1967" t="str">
        <f t="shared" si="170"/>
        <v>ASHP 135 - 240kbtu</v>
      </c>
      <c r="F436" s="1335">
        <v>12</v>
      </c>
      <c r="G436" s="1977"/>
      <c r="H436" s="1977"/>
      <c r="I436" s="1970">
        <v>10.7</v>
      </c>
      <c r="J436" s="1970">
        <f t="shared" ref="J436:J438" si="171">ROUND(I436*1.12, 1)</f>
        <v>12</v>
      </c>
      <c r="K436" s="1341">
        <v>1053</v>
      </c>
      <c r="L436" s="1362">
        <v>2.0499999999999998</v>
      </c>
      <c r="M436" s="1362">
        <v>2.4</v>
      </c>
      <c r="N436" s="1362"/>
      <c r="O436" s="1388"/>
      <c r="P436" s="1333">
        <v>12</v>
      </c>
      <c r="Q436" s="1362">
        <v>1060</v>
      </c>
      <c r="R436" s="1389" t="s">
        <v>2968</v>
      </c>
      <c r="S436" s="1361"/>
      <c r="T436" s="1965"/>
      <c r="U436" s="1965"/>
      <c r="V436" s="1931"/>
      <c r="W436" s="1931"/>
      <c r="X436" s="1931"/>
      <c r="Y436" s="1931"/>
      <c r="Z436" s="1931"/>
      <c r="AA436" s="1931"/>
      <c r="AB436" s="1931"/>
      <c r="AC436" s="1931"/>
      <c r="AD436" s="1931"/>
      <c r="AE436" s="1931"/>
      <c r="AF436" s="1931"/>
      <c r="AG436" s="1931"/>
      <c r="AH436" s="1931"/>
      <c r="AI436" s="1931"/>
      <c r="AJ436" s="1931"/>
      <c r="AK436" s="1931"/>
      <c r="AL436" s="1931"/>
      <c r="AM436" s="1931"/>
      <c r="AN436" s="1931"/>
      <c r="AO436" s="1931"/>
      <c r="AP436" s="1931"/>
      <c r="AQ436" s="1931"/>
      <c r="AR436" s="1931"/>
      <c r="AS436" s="1931"/>
      <c r="AT436" s="1931"/>
      <c r="AU436" s="1931"/>
      <c r="AV436" s="1931"/>
      <c r="AW436" s="1931"/>
      <c r="AX436" s="1931"/>
      <c r="AY436" s="1931"/>
      <c r="AZ436" s="1931"/>
      <c r="BA436" s="1931"/>
      <c r="BB436" s="1931"/>
      <c r="BC436" s="1931"/>
      <c r="BD436" s="1931"/>
      <c r="BE436" s="1931"/>
      <c r="BF436" s="1931"/>
      <c r="BG436" s="1931"/>
      <c r="BH436" s="1931"/>
      <c r="BI436" s="1931"/>
      <c r="BJ436" s="1931"/>
      <c r="BK436" s="1931"/>
      <c r="BL436" s="1931"/>
      <c r="BM436" s="1931"/>
      <c r="BN436" s="1931"/>
      <c r="BO436" s="1931"/>
      <c r="BP436" s="1931"/>
      <c r="BQ436" s="1931"/>
      <c r="BR436" s="1931"/>
      <c r="BS436" s="1931"/>
      <c r="BT436" s="1931"/>
      <c r="BU436" s="1931"/>
      <c r="BV436" s="1931"/>
      <c r="BW436" s="1931"/>
      <c r="BX436" s="1931"/>
      <c r="BY436" s="1931"/>
      <c r="BZ436" s="1931"/>
      <c r="CA436" s="1931"/>
      <c r="CB436" s="1931"/>
      <c r="CC436" s="1931"/>
      <c r="CD436" s="1931"/>
      <c r="CE436" s="1930"/>
      <c r="CF436" s="1930"/>
      <c r="CG436" s="1930"/>
      <c r="CH436" s="1930"/>
      <c r="CI436" s="1931"/>
      <c r="CJ436" s="1931"/>
      <c r="CK436" s="1931"/>
      <c r="CL436" s="1931"/>
      <c r="CM436" s="1931"/>
      <c r="CN436" s="1931"/>
      <c r="CO436" s="1931"/>
      <c r="CP436" s="1931"/>
      <c r="CQ436" s="1931"/>
      <c r="CR436" s="1931"/>
      <c r="CS436" s="1931"/>
      <c r="CT436" s="1930"/>
      <c r="CU436" s="1930"/>
      <c r="CV436" s="1930"/>
      <c r="CW436" s="1930"/>
      <c r="CX436" s="1931"/>
      <c r="CY436" s="1931"/>
      <c r="CZ436" s="1931"/>
      <c r="DA436" s="1931"/>
      <c r="DB436" s="1932"/>
    </row>
    <row r="437" spans="2:110" hidden="1" outlineLevel="1" x14ac:dyDescent="0.25">
      <c r="B437" s="1933"/>
      <c r="D437" s="1967" t="str">
        <f t="shared" si="169"/>
        <v>803700_2020_07_</v>
      </c>
      <c r="E437" s="1967" t="str">
        <f t="shared" si="170"/>
        <v>ASHP &gt;240kbtu</v>
      </c>
      <c r="F437" s="1335">
        <v>12</v>
      </c>
      <c r="G437" s="1977"/>
      <c r="H437" s="1977"/>
      <c r="I437" s="1970">
        <v>9.6</v>
      </c>
      <c r="J437" s="1970">
        <f t="shared" si="171"/>
        <v>10.8</v>
      </c>
      <c r="K437" s="1341">
        <v>1053</v>
      </c>
      <c r="L437" s="1362">
        <v>2.0499999999999998</v>
      </c>
      <c r="M437" s="1362">
        <v>2.4</v>
      </c>
      <c r="N437" s="1362"/>
      <c r="O437" s="1388"/>
      <c r="P437" s="1333">
        <v>12</v>
      </c>
      <c r="Q437" s="1362">
        <v>1060</v>
      </c>
      <c r="R437" s="1389" t="s">
        <v>2968</v>
      </c>
      <c r="S437" s="1361"/>
      <c r="T437" s="1965"/>
      <c r="U437" s="1965"/>
      <c r="V437" s="1931"/>
      <c r="W437" s="1931"/>
      <c r="X437" s="1931"/>
      <c r="Y437" s="1931"/>
      <c r="Z437" s="1931"/>
      <c r="AA437" s="1931"/>
      <c r="AB437" s="1931"/>
      <c r="AC437" s="1931"/>
      <c r="AD437" s="1931"/>
      <c r="AE437" s="1931"/>
      <c r="AF437" s="1931"/>
      <c r="AG437" s="1931"/>
      <c r="AH437" s="1931"/>
      <c r="AI437" s="1931"/>
      <c r="AJ437" s="1931"/>
      <c r="AK437" s="1931"/>
      <c r="AL437" s="1931"/>
      <c r="AM437" s="1931"/>
      <c r="AN437" s="1931"/>
      <c r="AO437" s="1931"/>
      <c r="AP437" s="1931"/>
      <c r="AQ437" s="1931"/>
      <c r="AR437" s="1931"/>
      <c r="AS437" s="1931"/>
      <c r="AT437" s="1931"/>
      <c r="AU437" s="1931"/>
      <c r="AV437" s="1931"/>
      <c r="AW437" s="1931"/>
      <c r="AX437" s="1931"/>
      <c r="AY437" s="1931"/>
      <c r="AZ437" s="1931"/>
      <c r="BA437" s="1931"/>
      <c r="BB437" s="1931"/>
      <c r="BC437" s="1931"/>
      <c r="BD437" s="1931"/>
      <c r="BE437" s="1931"/>
      <c r="BF437" s="1931"/>
      <c r="BG437" s="1931"/>
      <c r="BH437" s="1931"/>
      <c r="BI437" s="1931"/>
      <c r="BJ437" s="1931"/>
      <c r="BK437" s="1931"/>
      <c r="BL437" s="1931"/>
      <c r="BM437" s="1931"/>
      <c r="BN437" s="1931"/>
      <c r="BO437" s="1931"/>
      <c r="BP437" s="1931"/>
      <c r="BQ437" s="1931"/>
      <c r="BR437" s="1931"/>
      <c r="BS437" s="1931"/>
      <c r="BT437" s="1931"/>
      <c r="BU437" s="1931"/>
      <c r="BV437" s="1931"/>
      <c r="BW437" s="1931"/>
      <c r="BX437" s="1931"/>
      <c r="BY437" s="1931"/>
      <c r="BZ437" s="1931"/>
      <c r="CA437" s="1931"/>
      <c r="CB437" s="1931"/>
      <c r="CC437" s="1931"/>
      <c r="CD437" s="1931"/>
      <c r="CE437" s="1930"/>
      <c r="CF437" s="1930"/>
      <c r="CG437" s="1930"/>
      <c r="CH437" s="1930"/>
      <c r="CI437" s="1931"/>
      <c r="CJ437" s="1931"/>
      <c r="CK437" s="1931"/>
      <c r="CL437" s="1931"/>
      <c r="CM437" s="1931"/>
      <c r="CN437" s="1931"/>
      <c r="CO437" s="1931"/>
      <c r="CP437" s="1931"/>
      <c r="CQ437" s="1931"/>
      <c r="CR437" s="1931"/>
      <c r="CS437" s="1931"/>
      <c r="CT437" s="1930"/>
      <c r="CU437" s="1930"/>
      <c r="CV437" s="1930"/>
      <c r="CW437" s="1930"/>
      <c r="CX437" s="1931"/>
      <c r="CY437" s="1931"/>
      <c r="CZ437" s="1931"/>
      <c r="DA437" s="1931"/>
      <c r="DB437" s="1932"/>
    </row>
    <row r="438" spans="2:110" hidden="1" outlineLevel="1" x14ac:dyDescent="0.25">
      <c r="B438" s="1933"/>
      <c r="D438" s="1967" t="str">
        <f t="shared" si="169"/>
        <v>803750_2020_07_</v>
      </c>
      <c r="E438" s="1967" t="str">
        <f t="shared" si="170"/>
        <v>ASHP &lt;65kbtu</v>
      </c>
      <c r="F438" s="1335">
        <v>12</v>
      </c>
      <c r="G438" s="1970"/>
      <c r="H438" s="1970"/>
      <c r="I438" s="1970">
        <v>13</v>
      </c>
      <c r="J438" s="1970">
        <f t="shared" si="171"/>
        <v>14.6</v>
      </c>
      <c r="K438" s="1341">
        <v>1053</v>
      </c>
      <c r="L438" s="1341"/>
      <c r="M438" s="1341"/>
      <c r="N438" s="1362">
        <v>7.7</v>
      </c>
      <c r="O438" s="1388">
        <v>8.9</v>
      </c>
      <c r="P438" s="1333">
        <v>12</v>
      </c>
      <c r="Q438" s="1362">
        <v>1060</v>
      </c>
      <c r="R438" s="1389" t="s">
        <v>2969</v>
      </c>
      <c r="S438" s="1361"/>
      <c r="T438" s="1965"/>
      <c r="U438" s="1965"/>
      <c r="V438" s="1931"/>
      <c r="W438" s="1931"/>
      <c r="X438" s="1931"/>
      <c r="Y438" s="1931"/>
      <c r="Z438" s="1931"/>
      <c r="AA438" s="1931"/>
      <c r="AB438" s="1931"/>
      <c r="AC438" s="1931"/>
      <c r="AD438" s="1931"/>
      <c r="AE438" s="1931"/>
      <c r="AF438" s="1931"/>
      <c r="AG438" s="1931"/>
      <c r="AH438" s="1931"/>
      <c r="AI438" s="1931"/>
      <c r="AJ438" s="1931"/>
      <c r="AK438" s="1931"/>
      <c r="AL438" s="1931"/>
      <c r="AM438" s="1931"/>
      <c r="AN438" s="1931"/>
      <c r="AO438" s="1931"/>
      <c r="AP438" s="1931"/>
      <c r="AQ438" s="1931"/>
      <c r="AR438" s="1931"/>
      <c r="AS438" s="1931"/>
      <c r="AT438" s="1931"/>
      <c r="AU438" s="1931"/>
      <c r="AV438" s="1931"/>
      <c r="AW438" s="1931"/>
      <c r="AX438" s="1931"/>
      <c r="AY438" s="1931"/>
      <c r="AZ438" s="1931"/>
      <c r="BA438" s="1931"/>
      <c r="BB438" s="1931"/>
      <c r="BC438" s="1931"/>
      <c r="BD438" s="1931"/>
      <c r="BE438" s="1931"/>
      <c r="BF438" s="1931"/>
      <c r="BG438" s="1931"/>
      <c r="BH438" s="1931"/>
      <c r="BI438" s="1931"/>
      <c r="BJ438" s="1931"/>
      <c r="BK438" s="1931"/>
      <c r="BL438" s="1931"/>
      <c r="BM438" s="1931"/>
      <c r="BN438" s="1931"/>
      <c r="BO438" s="1931"/>
      <c r="BP438" s="1931"/>
      <c r="BQ438" s="1931"/>
      <c r="BR438" s="1931"/>
      <c r="BS438" s="1931"/>
      <c r="BT438" s="1931"/>
      <c r="BU438" s="1931"/>
      <c r="BV438" s="1931"/>
      <c r="BW438" s="1931"/>
      <c r="BX438" s="1931"/>
      <c r="BY438" s="1931"/>
      <c r="BZ438" s="1931"/>
      <c r="CA438" s="1931"/>
      <c r="CB438" s="1931"/>
      <c r="CC438" s="1931"/>
      <c r="CD438" s="1931"/>
      <c r="CE438" s="1930"/>
      <c r="CF438" s="1930"/>
      <c r="CG438" s="1930"/>
      <c r="CH438" s="1930"/>
      <c r="CI438" s="1931"/>
      <c r="CJ438" s="1931"/>
      <c r="CK438" s="1931"/>
      <c r="CL438" s="1931"/>
      <c r="CM438" s="1931"/>
      <c r="CN438" s="1931"/>
      <c r="CO438" s="1931"/>
      <c r="CP438" s="1931"/>
      <c r="CQ438" s="1931"/>
      <c r="CR438" s="1931"/>
      <c r="CS438" s="1931"/>
      <c r="CT438" s="1930"/>
      <c r="CU438" s="1930"/>
      <c r="CV438" s="1930"/>
      <c r="CW438" s="1930"/>
      <c r="CX438" s="1931"/>
      <c r="CY438" s="1931"/>
      <c r="CZ438" s="1931"/>
      <c r="DA438" s="1931"/>
      <c r="DB438" s="1932"/>
    </row>
    <row r="439" spans="2:110" collapsed="1" x14ac:dyDescent="0.25">
      <c r="B439" s="1931"/>
      <c r="D439" s="1966"/>
      <c r="E439" s="1965"/>
      <c r="F439" s="1965"/>
      <c r="G439" s="1968"/>
      <c r="H439" s="1969"/>
      <c r="I439" s="1965"/>
      <c r="J439" s="1965"/>
      <c r="K439" s="1965"/>
      <c r="L439" s="1965"/>
      <c r="M439" s="1965"/>
      <c r="N439" s="1965"/>
      <c r="O439" s="1965"/>
      <c r="P439" s="1965"/>
      <c r="Q439" s="1965"/>
      <c r="R439" s="1965"/>
      <c r="S439" s="1965"/>
      <c r="T439" s="1965"/>
      <c r="U439" s="1965"/>
      <c r="V439" s="1931"/>
      <c r="W439" s="1931"/>
      <c r="X439" s="1931"/>
      <c r="Y439" s="1931"/>
      <c r="Z439" s="1931"/>
      <c r="AA439" s="1931"/>
      <c r="AB439" s="1931"/>
      <c r="AC439" s="1931"/>
      <c r="AD439" s="1931"/>
      <c r="AE439" s="1931"/>
      <c r="AF439" s="1931"/>
      <c r="AG439" s="1931"/>
      <c r="AH439" s="1931"/>
      <c r="AI439" s="1931"/>
      <c r="AJ439" s="1931"/>
      <c r="AK439" s="1931"/>
      <c r="AL439" s="1931"/>
      <c r="AM439" s="1931"/>
      <c r="AN439" s="1931"/>
      <c r="AO439" s="1931"/>
      <c r="AP439" s="1931"/>
      <c r="AQ439" s="1931"/>
      <c r="AR439" s="1931"/>
      <c r="AS439" s="1931"/>
      <c r="AT439" s="1931"/>
      <c r="AU439" s="1931"/>
      <c r="AV439" s="1931"/>
      <c r="AW439" s="1931"/>
      <c r="AX439" s="1931"/>
      <c r="AY439" s="1931"/>
      <c r="AZ439" s="1931"/>
      <c r="BA439" s="1931"/>
      <c r="BB439" s="1931"/>
      <c r="BC439" s="1931"/>
      <c r="BD439" s="1931"/>
      <c r="BE439" s="1931"/>
      <c r="BF439" s="1931"/>
      <c r="BG439" s="1931"/>
      <c r="BH439" s="1931"/>
      <c r="BI439" s="1931"/>
      <c r="BJ439" s="1931"/>
      <c r="BK439" s="1931"/>
      <c r="BL439" s="1931"/>
      <c r="BM439" s="1931"/>
      <c r="BN439" s="1931"/>
      <c r="BO439" s="1931"/>
      <c r="BP439" s="1931"/>
      <c r="BQ439" s="1931"/>
      <c r="BR439" s="1931"/>
      <c r="BS439" s="1931"/>
      <c r="BT439" s="1931"/>
      <c r="BU439" s="1931"/>
      <c r="BV439" s="1931"/>
      <c r="BW439" s="1931"/>
      <c r="BX439" s="1931"/>
      <c r="BY439" s="1931"/>
      <c r="BZ439" s="1931"/>
      <c r="CA439" s="1931"/>
      <c r="CB439" s="1931"/>
      <c r="CC439" s="1931"/>
      <c r="CD439" s="1931"/>
      <c r="CE439" s="1930"/>
      <c r="CF439" s="1930"/>
      <c r="CG439" s="1930"/>
      <c r="CH439" s="1930"/>
      <c r="CI439" s="1931"/>
      <c r="CJ439" s="1931"/>
      <c r="CK439" s="1931"/>
      <c r="CL439" s="1931"/>
      <c r="CM439" s="1931"/>
      <c r="CN439" s="1931"/>
      <c r="CO439" s="1931"/>
      <c r="CP439" s="1931"/>
      <c r="CQ439" s="1931"/>
      <c r="CR439" s="1931"/>
      <c r="CS439" s="1931"/>
      <c r="CT439" s="1930"/>
      <c r="CU439" s="1930"/>
      <c r="CV439" s="1930"/>
      <c r="CW439" s="1930"/>
      <c r="CX439" s="1931"/>
      <c r="CY439" s="1931"/>
      <c r="CZ439" s="1931"/>
      <c r="DA439" s="1931"/>
      <c r="DB439" s="1932"/>
    </row>
    <row r="441" spans="2:110" s="44" customFormat="1" ht="30" x14ac:dyDescent="0.25">
      <c r="B441" s="45"/>
      <c r="C441" s="46" t="s">
        <v>28</v>
      </c>
      <c r="D441" s="46" t="s">
        <v>29</v>
      </c>
      <c r="E441" s="3196" t="s">
        <v>30</v>
      </c>
      <c r="F441" s="3196" t="s">
        <v>2924</v>
      </c>
      <c r="G441" s="3196" t="s">
        <v>176</v>
      </c>
      <c r="H441" s="47" t="s">
        <v>177</v>
      </c>
      <c r="I441" s="3196" t="s">
        <v>32</v>
      </c>
      <c r="J441" s="3196" t="s">
        <v>181</v>
      </c>
      <c r="K441" s="46" t="s">
        <v>2970</v>
      </c>
      <c r="L441" s="46" t="s">
        <v>44</v>
      </c>
      <c r="M441" s="1965"/>
      <c r="N441" s="1965"/>
      <c r="O441" s="1965"/>
      <c r="P441" s="1288"/>
      <c r="Q441" s="1288"/>
      <c r="R441" s="1288"/>
      <c r="S441" s="1288"/>
      <c r="T441" s="1288"/>
      <c r="U441" s="1288"/>
      <c r="V441" s="1936" t="s">
        <v>45</v>
      </c>
      <c r="W441" s="1937">
        <f>$W$8</f>
        <v>43252</v>
      </c>
      <c r="X441" s="1937">
        <f>$X$8</f>
        <v>43465</v>
      </c>
      <c r="Y441" s="1937">
        <f>$Y$8</f>
        <v>43800</v>
      </c>
      <c r="Z441" s="1937">
        <f>$Z$8</f>
        <v>43862</v>
      </c>
      <c r="AA441" s="1937">
        <f>$AA$8</f>
        <v>44013</v>
      </c>
      <c r="AB441" s="1937">
        <v>44166</v>
      </c>
      <c r="AC441" s="1937">
        <f>$AC$8</f>
        <v>44531</v>
      </c>
      <c r="AD441" s="1937" t="str">
        <f>$AD$8</f>
        <v>-</v>
      </c>
      <c r="AE441" s="1937" t="str">
        <f>$AE$8</f>
        <v>-</v>
      </c>
      <c r="AF441" s="1937" t="str">
        <f>$AF$8</f>
        <v>-</v>
      </c>
      <c r="AG441" s="1937" t="str">
        <f>$AG$8</f>
        <v>-</v>
      </c>
      <c r="AH441" s="1930"/>
      <c r="AI441" s="1936" t="s">
        <v>45</v>
      </c>
      <c r="AJ441" s="1937">
        <v>43252</v>
      </c>
      <c r="AK441" s="1937">
        <f>$X$8</f>
        <v>43465</v>
      </c>
      <c r="AL441" s="1937">
        <f>$Y$8</f>
        <v>43800</v>
      </c>
      <c r="AM441" s="1937">
        <f>$Z$8</f>
        <v>43862</v>
      </c>
      <c r="AN441" s="1937">
        <f>$AA$8</f>
        <v>44013</v>
      </c>
      <c r="AO441" s="1937">
        <f>$AB$8</f>
        <v>44166</v>
      </c>
      <c r="AP441" s="1937">
        <f>$AC$8</f>
        <v>44531</v>
      </c>
      <c r="AQ441" s="1937" t="str">
        <f>$AD$8</f>
        <v>-</v>
      </c>
      <c r="AR441" s="1937" t="str">
        <f>$AE$8</f>
        <v>-</v>
      </c>
      <c r="AS441" s="1937" t="str">
        <f>$AF$8</f>
        <v>-</v>
      </c>
      <c r="AT441" s="1933"/>
      <c r="AU441" s="1936" t="s">
        <v>45</v>
      </c>
      <c r="AV441" s="1937">
        <v>43252</v>
      </c>
      <c r="AW441" s="1937">
        <f>$X$8</f>
        <v>43465</v>
      </c>
      <c r="AX441" s="1937">
        <f>$Y$8</f>
        <v>43800</v>
      </c>
      <c r="AY441" s="1937">
        <f>$Z$8</f>
        <v>43862</v>
      </c>
      <c r="AZ441" s="1937">
        <f>$AA$8</f>
        <v>44013</v>
      </c>
      <c r="BA441" s="1937">
        <v>44166</v>
      </c>
      <c r="BB441" s="1937">
        <f>$AC$8</f>
        <v>44531</v>
      </c>
      <c r="BC441" s="1937" t="str">
        <f>$AD$8</f>
        <v>-</v>
      </c>
      <c r="BD441" s="1937" t="str">
        <f>$AE$8</f>
        <v>-</v>
      </c>
      <c r="BE441" s="1937" t="str">
        <f>$AF$8</f>
        <v>-</v>
      </c>
      <c r="DB441" s="1938" t="str">
        <f>$DB$8</f>
        <v>TRC (2020)</v>
      </c>
      <c r="DC441" s="1953" t="str">
        <f>$DC$8</f>
        <v>Benefit Lookup</v>
      </c>
      <c r="DD441" s="1953" t="str">
        <f>$DD$8</f>
        <v>Benefits (2019 $)</v>
      </c>
      <c r="DE441" s="1953" t="str">
        <f>$DE$8</f>
        <v>Incremental Cost (2019 $)</v>
      </c>
    </row>
    <row r="442" spans="2:110" x14ac:dyDescent="0.25">
      <c r="B442" s="1931"/>
      <c r="C442" s="1997" t="s">
        <v>2971</v>
      </c>
      <c r="D442" s="1363" t="s">
        <v>2646</v>
      </c>
      <c r="E442" s="1319" t="s">
        <v>2972</v>
      </c>
      <c r="F442" s="1959">
        <f>ROUND(F453*(G453-H453)*I453,2)</f>
        <v>411</v>
      </c>
      <c r="G442" s="1290" t="s">
        <v>2881</v>
      </c>
      <c r="H442" s="1291">
        <f>VLOOKUP(G442,'CP FACTORS'!$A$26:$B$38,2,FALSE)</f>
        <v>9.1068400000000004E-4</v>
      </c>
      <c r="I442" s="1309">
        <f>ROUND(H442*F442,6)</f>
        <v>0.37429099999999998</v>
      </c>
      <c r="J442" s="325">
        <v>20</v>
      </c>
      <c r="K442" s="1310">
        <v>106.23</v>
      </c>
      <c r="L442" s="1374" t="s">
        <v>2927</v>
      </c>
      <c r="M442" s="4497"/>
      <c r="N442" s="4497"/>
      <c r="O442" s="4497"/>
      <c r="P442" s="1965"/>
      <c r="Q442" s="1965"/>
      <c r="R442" s="1965"/>
      <c r="S442" s="1965"/>
      <c r="T442" s="1965"/>
      <c r="U442" s="1965"/>
      <c r="V442" s="3226" t="str">
        <f>F441</f>
        <v>kWh Annual Savings (per ton)</v>
      </c>
      <c r="W442" s="1947">
        <v>411</v>
      </c>
      <c r="X442" s="1947">
        <v>411</v>
      </c>
      <c r="Y442" s="129">
        <v>411</v>
      </c>
      <c r="Z442" s="129">
        <v>411</v>
      </c>
      <c r="AA442" s="129">
        <v>411</v>
      </c>
      <c r="AB442" s="1825">
        <v>411</v>
      </c>
      <c r="AC442" s="3364">
        <v>411</v>
      </c>
      <c r="AD442" s="2099"/>
      <c r="AE442" s="2099"/>
      <c r="AF442" s="2099"/>
      <c r="AG442" s="2099"/>
      <c r="AH442" s="2100"/>
      <c r="AI442" s="3227" t="s">
        <v>181</v>
      </c>
      <c r="AJ442" s="64">
        <v>20</v>
      </c>
      <c r="AK442" s="64">
        <v>20</v>
      </c>
      <c r="AL442" s="64">
        <v>20</v>
      </c>
      <c r="AM442" s="64">
        <v>20</v>
      </c>
      <c r="AN442" s="64">
        <v>20</v>
      </c>
      <c r="AO442" s="2095">
        <v>20</v>
      </c>
      <c r="AP442" s="2101">
        <v>20</v>
      </c>
      <c r="AQ442" s="2099"/>
      <c r="AR442" s="2099"/>
      <c r="AS442" s="2099"/>
      <c r="AT442" s="1933"/>
      <c r="AU442" s="3227" t="str">
        <f>K441</f>
        <v>Inc. Cost (per ton)</v>
      </c>
      <c r="AV442" s="2102">
        <v>106.23</v>
      </c>
      <c r="AW442" s="2102">
        <v>106.23</v>
      </c>
      <c r="AX442" s="2102">
        <v>106.23</v>
      </c>
      <c r="AY442" s="2102">
        <v>106.23</v>
      </c>
      <c r="AZ442" s="2102">
        <v>106.23</v>
      </c>
      <c r="BA442" s="2103">
        <v>106.23</v>
      </c>
      <c r="BB442" s="2099">
        <v>106.23</v>
      </c>
      <c r="BC442" s="2099"/>
      <c r="BD442" s="2099"/>
      <c r="BE442" s="2099"/>
      <c r="BF442" s="1933"/>
      <c r="BG442" s="1933"/>
      <c r="BH442" s="1933"/>
      <c r="BI442" s="1933"/>
      <c r="BJ442" s="1933"/>
      <c r="BK442" s="1933"/>
      <c r="BL442" s="1933"/>
      <c r="BM442" s="1931"/>
      <c r="BN442" s="1931"/>
      <c r="BO442" s="1931"/>
      <c r="BP442" s="1931"/>
      <c r="BQ442" s="1931"/>
      <c r="BR442" s="1931"/>
      <c r="BS442" s="1931"/>
      <c r="BT442" s="1931"/>
      <c r="BU442" s="1931"/>
      <c r="BV442" s="1931"/>
      <c r="BW442" s="1931"/>
      <c r="BX442" s="1931"/>
      <c r="BY442" s="1931"/>
      <c r="BZ442" s="1931"/>
      <c r="CA442" s="1931"/>
      <c r="CB442" s="1931"/>
      <c r="CC442" s="1931"/>
      <c r="CD442" s="1931"/>
      <c r="CE442" s="1930"/>
      <c r="CF442" s="1930"/>
      <c r="CG442" s="1930"/>
      <c r="CH442" s="1930"/>
      <c r="CI442" s="1931"/>
      <c r="CJ442" s="1931"/>
      <c r="CK442" s="1931"/>
      <c r="CL442" s="1931"/>
      <c r="CM442" s="1931"/>
      <c r="CN442" s="1931"/>
      <c r="CO442" s="1931"/>
      <c r="CP442" s="1931"/>
      <c r="CQ442" s="1931"/>
      <c r="CR442" s="1931"/>
      <c r="CS442" s="1931"/>
      <c r="CT442" s="1930"/>
      <c r="CU442" s="1930"/>
      <c r="CV442" s="1930"/>
      <c r="CW442" s="1930"/>
      <c r="CX442" s="1931"/>
      <c r="CY442" s="1931"/>
      <c r="CZ442" s="1931"/>
      <c r="DA442" s="1931"/>
      <c r="DB442" s="1954">
        <f>(DD442)/(DE442)</f>
        <v>7.3595302367685331</v>
      </c>
      <c r="DC442" s="3166" t="str">
        <f>CONCATENATE(G442," ",J442," Year EUL")</f>
        <v>Cooling BUS 20 Year EUL</v>
      </c>
      <c r="DD442" s="1955">
        <f>(INDEX('Avoided Cost Benefits'!$C$4:$C$857,MATCH(DC442,'Avoided Cost Benefits'!$A$4:$A$857,0)))*F442</f>
        <v>737.89796795839663</v>
      </c>
      <c r="DE442" s="1956">
        <f>K442/(1.0595^(2020-2019))</f>
        <v>100.26427560169891</v>
      </c>
      <c r="DF442" s="1931"/>
    </row>
    <row r="443" spans="2:110" s="1931" customFormat="1" x14ac:dyDescent="0.25">
      <c r="C443" s="3311" t="s">
        <v>4313</v>
      </c>
      <c r="D443" s="3346" t="s">
        <v>2646</v>
      </c>
      <c r="E443" s="3347" t="s">
        <v>4314</v>
      </c>
      <c r="F443" s="139">
        <f>ROUND(F454*(G454-H454)*I454,2)</f>
        <v>122.15</v>
      </c>
      <c r="G443" s="3312" t="s">
        <v>2881</v>
      </c>
      <c r="H443" s="3314">
        <f>VLOOKUP(G443,'CP FACTORS'!$A$26:$B$38,2,FALSE)</f>
        <v>9.1068400000000004E-4</v>
      </c>
      <c r="I443" s="3334">
        <f>ROUND(H443*F443,6)</f>
        <v>0.11124000000000001</v>
      </c>
      <c r="J443" s="98">
        <v>20</v>
      </c>
      <c r="K443" s="3335">
        <v>106.23</v>
      </c>
      <c r="L443" s="3348" t="s">
        <v>2927</v>
      </c>
      <c r="M443" s="4497"/>
      <c r="N443" s="4497"/>
      <c r="O443" s="4497"/>
      <c r="P443" s="1965"/>
      <c r="Q443" s="1965"/>
      <c r="R443" s="1965"/>
      <c r="S443" s="1965"/>
      <c r="T443" s="1965"/>
      <c r="U443" s="1965"/>
      <c r="V443" s="3273" t="str">
        <f>V442</f>
        <v>kWh Annual Savings (per ton)</v>
      </c>
      <c r="W443" s="3357"/>
      <c r="X443" s="3357"/>
      <c r="Y443" s="3357"/>
      <c r="Z443" s="3357"/>
      <c r="AA443" s="3357"/>
      <c r="AB443" s="3363"/>
      <c r="AC443" s="3364">
        <v>122.15</v>
      </c>
      <c r="AD443" s="2099"/>
      <c r="AE443" s="2099"/>
      <c r="AF443" s="2099"/>
      <c r="AG443" s="2099"/>
      <c r="AH443" s="2100"/>
      <c r="AI443" s="3274" t="s">
        <v>181</v>
      </c>
      <c r="AJ443" s="3357"/>
      <c r="AK443" s="3357"/>
      <c r="AL443" s="3357"/>
      <c r="AM443" s="3357"/>
      <c r="AN443" s="3357"/>
      <c r="AO443" s="3363"/>
      <c r="AP443" s="135">
        <v>20</v>
      </c>
      <c r="AQ443" s="2099"/>
      <c r="AR443" s="2099"/>
      <c r="AS443" s="2099"/>
      <c r="AT443" s="1933"/>
      <c r="AU443" s="3456" t="str">
        <f>AU442</f>
        <v>Inc. Cost (per ton)</v>
      </c>
      <c r="AV443" s="3357"/>
      <c r="AW443" s="3357"/>
      <c r="AX443" s="3357"/>
      <c r="AY443" s="3357"/>
      <c r="AZ443" s="3357"/>
      <c r="BA443" s="3363"/>
      <c r="BB443" s="3476">
        <f>K443</f>
        <v>106.23</v>
      </c>
      <c r="BC443" s="2099"/>
      <c r="BD443" s="2099"/>
      <c r="BE443" s="2099"/>
      <c r="BF443" s="1933"/>
      <c r="BG443" s="1933"/>
      <c r="BH443" s="1933"/>
      <c r="BI443" s="1933"/>
      <c r="BJ443" s="1933"/>
      <c r="BK443" s="1933"/>
      <c r="BL443" s="1933"/>
      <c r="CE443" s="1930"/>
      <c r="CF443" s="1930"/>
      <c r="CG443" s="1930"/>
      <c r="CH443" s="1930"/>
      <c r="CT443" s="1930"/>
      <c r="CU443" s="1930"/>
      <c r="CV443" s="1930"/>
      <c r="CW443" s="1930"/>
      <c r="DB443" s="1954">
        <f>(DD443)/(DE443)</f>
        <v>2.1872667114872901</v>
      </c>
      <c r="DC443" s="3454" t="str">
        <f>CONCATENATE(G443," ",J443," Year EUL")</f>
        <v>Cooling BUS 20 Year EUL</v>
      </c>
      <c r="DD443" s="1955">
        <f>(INDEX('Avoided Cost Benefits'!$C$4:$C$857,MATCH(DC443,'Avoided Cost Benefits'!$A$4:$A$857,0)))*F443</f>
        <v>219.30471237498332</v>
      </c>
      <c r="DE443" s="1956">
        <f>K443/(1.0595^(2020-2019))</f>
        <v>100.26427560169891</v>
      </c>
    </row>
    <row r="444" spans="2:110" x14ac:dyDescent="0.25">
      <c r="B444" s="1931"/>
      <c r="D444" s="1966"/>
      <c r="E444" s="1966"/>
      <c r="F444" s="1966"/>
      <c r="G444" s="1966"/>
      <c r="H444" s="1299"/>
      <c r="I444" s="1966"/>
      <c r="J444" s="1966"/>
      <c r="K444" s="1966"/>
      <c r="L444" s="1965"/>
      <c r="M444" s="4497"/>
      <c r="N444" s="4497"/>
      <c r="O444" s="4497"/>
      <c r="P444" s="1965"/>
      <c r="Q444" s="1965"/>
      <c r="R444" s="1965"/>
      <c r="S444" s="1965"/>
      <c r="T444" s="1965"/>
      <c r="U444" s="1965"/>
      <c r="V444" s="1931"/>
      <c r="W444" s="1931"/>
      <c r="X444" s="1931"/>
      <c r="Y444" s="1933"/>
      <c r="Z444" s="1933"/>
      <c r="AA444" s="1933"/>
      <c r="AB444" s="1933"/>
      <c r="AC444" s="1933"/>
      <c r="AD444" s="1933"/>
      <c r="AE444" s="1933"/>
      <c r="AF444" s="1933"/>
      <c r="AG444" s="1933"/>
      <c r="AH444" s="1933"/>
      <c r="AI444" s="1933"/>
      <c r="AJ444" s="1933"/>
      <c r="AK444" s="1933"/>
      <c r="AL444" s="1933"/>
      <c r="AM444" s="1933"/>
      <c r="AN444" s="1933"/>
      <c r="AO444" s="1933"/>
      <c r="AP444" s="1933"/>
      <c r="AQ444" s="1933"/>
      <c r="AR444" s="1933"/>
      <c r="AS444" s="1933"/>
      <c r="AT444" s="1933"/>
      <c r="AU444" s="1933"/>
      <c r="AV444" s="1933"/>
      <c r="AW444" s="1933"/>
      <c r="AX444" s="1933"/>
      <c r="AY444" s="1933"/>
      <c r="AZ444" s="1933"/>
      <c r="BA444" s="1933"/>
      <c r="BB444" s="1933"/>
      <c r="BC444" s="1933"/>
      <c r="BD444" s="1933"/>
      <c r="BE444" s="1933"/>
      <c r="BF444" s="1933"/>
      <c r="BG444" s="1933"/>
      <c r="BH444" s="1933"/>
      <c r="BI444" s="1933"/>
      <c r="BJ444" s="1933"/>
      <c r="BK444" s="1933"/>
      <c r="BL444" s="1933"/>
      <c r="BM444" s="1931"/>
      <c r="BN444" s="1931"/>
      <c r="BO444" s="1931"/>
      <c r="BP444" s="1931"/>
      <c r="BQ444" s="1931"/>
      <c r="BR444" s="1931"/>
      <c r="BS444" s="1931"/>
      <c r="BT444" s="1931"/>
      <c r="BU444" s="1931"/>
      <c r="BV444" s="1931"/>
      <c r="BW444" s="1931"/>
      <c r="BX444" s="1931"/>
      <c r="BY444" s="1931"/>
      <c r="BZ444" s="1931"/>
      <c r="CA444" s="1931"/>
      <c r="CB444" s="1931"/>
      <c r="CC444" s="1931"/>
      <c r="CD444" s="1931"/>
      <c r="CE444" s="1930"/>
      <c r="CF444" s="1930"/>
      <c r="CG444" s="1930"/>
      <c r="CH444" s="1930"/>
      <c r="CI444" s="1931"/>
      <c r="CJ444" s="1931"/>
      <c r="CK444" s="1931"/>
      <c r="CL444" s="1931"/>
      <c r="CM444" s="1931"/>
      <c r="CN444" s="1931"/>
      <c r="CO444" s="1931"/>
      <c r="CP444" s="1931"/>
      <c r="CQ444" s="1931"/>
      <c r="CR444" s="1931"/>
      <c r="CS444" s="1931"/>
      <c r="CT444" s="1930"/>
      <c r="CU444" s="1930"/>
      <c r="CV444" s="1930"/>
      <c r="CW444" s="1930"/>
      <c r="CX444" s="1931"/>
      <c r="CY444" s="1931"/>
      <c r="CZ444" s="1931"/>
      <c r="DA444" s="1931"/>
      <c r="DB444" s="1932"/>
      <c r="DC444" s="1931"/>
      <c r="DD444" s="1931"/>
      <c r="DE444" s="1931"/>
      <c r="DF444" s="1931"/>
    </row>
    <row r="445" spans="2:110" hidden="1" outlineLevel="1" x14ac:dyDescent="0.25">
      <c r="B445" s="1931"/>
      <c r="D445" s="1966" t="s">
        <v>2689</v>
      </c>
      <c r="E445" s="151"/>
      <c r="F445" s="1966"/>
      <c r="G445" s="1966"/>
      <c r="H445" s="1299"/>
      <c r="I445" s="1966"/>
      <c r="J445" s="1966"/>
      <c r="K445" s="1966"/>
      <c r="L445" s="1965"/>
      <c r="M445" s="4497"/>
      <c r="N445" s="4497"/>
      <c r="O445" s="4497"/>
      <c r="P445" s="1965"/>
      <c r="Q445" s="1965"/>
      <c r="R445" s="1965"/>
      <c r="S445" s="1965"/>
      <c r="T445" s="1965"/>
      <c r="U445" s="1965"/>
      <c r="V445" s="1931"/>
      <c r="W445" s="1931"/>
      <c r="X445" s="1931"/>
      <c r="Y445" s="1933"/>
      <c r="Z445" s="1933"/>
      <c r="AA445" s="1933"/>
      <c r="AB445" s="1933"/>
      <c r="AC445" s="1933"/>
      <c r="AD445" s="1933"/>
      <c r="AE445" s="1933"/>
      <c r="AF445" s="1933"/>
      <c r="AG445" s="1933"/>
      <c r="AH445" s="1933"/>
      <c r="AI445" s="1933"/>
      <c r="AJ445" s="1933"/>
      <c r="AK445" s="1933"/>
      <c r="AL445" s="1933"/>
      <c r="AM445" s="1933"/>
      <c r="AN445" s="1933"/>
      <c r="AO445" s="1933"/>
      <c r="AP445" s="1933"/>
      <c r="AQ445" s="1933"/>
      <c r="AR445" s="1933"/>
      <c r="AS445" s="1933"/>
      <c r="AT445" s="1933"/>
      <c r="AU445" s="1933"/>
      <c r="AV445" s="1933"/>
      <c r="AW445" s="1933"/>
      <c r="AX445" s="1933"/>
      <c r="AY445" s="1933"/>
      <c r="AZ445" s="1933"/>
      <c r="BA445" s="1933"/>
      <c r="BB445" s="1933"/>
      <c r="BC445" s="1933"/>
      <c r="BD445" s="1933"/>
      <c r="BE445" s="1933"/>
      <c r="BF445" s="1933"/>
      <c r="BG445" s="1933"/>
      <c r="BH445" s="1933"/>
      <c r="BI445" s="1933"/>
      <c r="BJ445" s="1933"/>
      <c r="BK445" s="1933"/>
      <c r="BL445" s="1933"/>
      <c r="BM445" s="1931"/>
      <c r="BN445" s="1931"/>
      <c r="BO445" s="1931"/>
      <c r="BP445" s="1931"/>
      <c r="BQ445" s="1931"/>
      <c r="BR445" s="1931"/>
      <c r="BS445" s="1931"/>
      <c r="BT445" s="1931"/>
      <c r="BU445" s="1931"/>
      <c r="BV445" s="1931"/>
      <c r="BW445" s="1931"/>
      <c r="BX445" s="1931"/>
      <c r="BY445" s="1931"/>
      <c r="BZ445" s="1931"/>
      <c r="CA445" s="1931"/>
      <c r="CB445" s="1931"/>
      <c r="CC445" s="1931"/>
      <c r="CD445" s="1931"/>
      <c r="CE445" s="1930"/>
      <c r="CF445" s="1930"/>
      <c r="CG445" s="1930"/>
      <c r="CH445" s="1930"/>
      <c r="CI445" s="1931"/>
      <c r="CJ445" s="1931"/>
      <c r="CK445" s="1931"/>
      <c r="CL445" s="1931"/>
      <c r="CM445" s="1931"/>
      <c r="CN445" s="1931"/>
      <c r="CO445" s="1931"/>
      <c r="CP445" s="1931"/>
      <c r="CQ445" s="1931"/>
      <c r="CR445" s="1931"/>
      <c r="CS445" s="1931"/>
      <c r="CT445" s="1930"/>
      <c r="CU445" s="1930"/>
      <c r="CV445" s="1930"/>
      <c r="CW445" s="1930"/>
      <c r="CX445" s="1931"/>
      <c r="CY445" s="1931"/>
      <c r="CZ445" s="1931"/>
      <c r="DA445" s="1931"/>
      <c r="DB445" s="1932"/>
      <c r="DC445" s="1931"/>
      <c r="DD445" s="1931"/>
      <c r="DE445" s="1931"/>
      <c r="DF445" s="1931"/>
    </row>
    <row r="446" spans="2:110" hidden="1" outlineLevel="1" x14ac:dyDescent="0.25">
      <c r="B446" s="1931"/>
      <c r="D446" s="1300"/>
      <c r="E446" s="151"/>
      <c r="F446" s="1349"/>
      <c r="G446" s="1321"/>
      <c r="H446" s="1322"/>
      <c r="I446" s="1965"/>
      <c r="J446" s="1965"/>
      <c r="K446" s="1965"/>
      <c r="L446" s="1965"/>
      <c r="M446" s="1965"/>
      <c r="N446" s="1965"/>
      <c r="O446" s="1965"/>
      <c r="P446" s="1965"/>
      <c r="Q446" s="1965"/>
      <c r="R446" s="1965"/>
      <c r="S446" s="1965"/>
      <c r="T446" s="1965"/>
      <c r="U446" s="1965"/>
      <c r="V446" s="1931"/>
      <c r="W446" s="1931"/>
      <c r="X446" s="1931"/>
      <c r="Y446" s="1933"/>
      <c r="Z446" s="1933"/>
      <c r="AA446" s="1933"/>
      <c r="AB446" s="1933"/>
      <c r="AC446" s="1933"/>
      <c r="AD446" s="1933"/>
      <c r="AE446" s="1933"/>
      <c r="AF446" s="1933"/>
      <c r="AG446" s="1933"/>
      <c r="AH446" s="1933"/>
      <c r="AI446" s="1933"/>
      <c r="AJ446" s="1933"/>
      <c r="AK446" s="1933"/>
      <c r="AL446" s="1933"/>
      <c r="AM446" s="1933"/>
      <c r="AN446" s="1933"/>
      <c r="AO446" s="1933"/>
      <c r="AP446" s="1933"/>
      <c r="AQ446" s="1933"/>
      <c r="AR446" s="1933"/>
      <c r="AS446" s="1933"/>
      <c r="AT446" s="1933"/>
      <c r="AU446" s="1933"/>
      <c r="AV446" s="1933"/>
      <c r="AW446" s="1933"/>
      <c r="AX446" s="1933"/>
      <c r="AY446" s="1933"/>
      <c r="AZ446" s="1933"/>
      <c r="BA446" s="1933"/>
      <c r="BB446" s="1933"/>
      <c r="BC446" s="1933"/>
      <c r="BD446" s="1933"/>
      <c r="BE446" s="1933"/>
      <c r="BF446" s="1933"/>
      <c r="BG446" s="1933"/>
      <c r="BH446" s="1933"/>
      <c r="BI446" s="1933"/>
      <c r="BJ446" s="1933"/>
      <c r="BK446" s="1933"/>
      <c r="BL446" s="1933"/>
      <c r="BM446" s="1931"/>
      <c r="BN446" s="1931"/>
      <c r="BO446" s="1931"/>
      <c r="BP446" s="1931"/>
      <c r="BQ446" s="1931"/>
      <c r="BR446" s="1931"/>
      <c r="BS446" s="1931"/>
      <c r="BT446" s="1931"/>
      <c r="BU446" s="1931"/>
      <c r="BV446" s="1931"/>
      <c r="BW446" s="1931"/>
      <c r="BX446" s="1931"/>
      <c r="BY446" s="1931"/>
      <c r="BZ446" s="1931"/>
      <c r="CA446" s="1931"/>
      <c r="CB446" s="1931"/>
      <c r="CC446" s="1931"/>
      <c r="CD446" s="1931"/>
      <c r="CE446" s="1930"/>
      <c r="CF446" s="1930"/>
      <c r="CG446" s="1930"/>
      <c r="CH446" s="1930"/>
      <c r="CI446" s="1931"/>
      <c r="CJ446" s="1931"/>
      <c r="CK446" s="1931"/>
      <c r="CL446" s="1931"/>
      <c r="CM446" s="1931"/>
      <c r="CN446" s="1931"/>
      <c r="CO446" s="1931"/>
      <c r="CP446" s="1931"/>
      <c r="CQ446" s="1931"/>
      <c r="CR446" s="1931"/>
      <c r="CS446" s="1931"/>
      <c r="CT446" s="1930"/>
      <c r="CU446" s="1930"/>
      <c r="CV446" s="1930"/>
      <c r="CW446" s="1930"/>
      <c r="CX446" s="1931"/>
      <c r="CY446" s="1931"/>
      <c r="CZ446" s="1931"/>
      <c r="DA446" s="1931"/>
      <c r="DB446" s="1932"/>
      <c r="DC446" s="1931"/>
      <c r="DD446" s="1931"/>
      <c r="DE446" s="1931"/>
      <c r="DF446" s="1931"/>
    </row>
    <row r="447" spans="2:110" hidden="1" outlineLevel="1" x14ac:dyDescent="0.25">
      <c r="B447" s="1931"/>
      <c r="D447" s="1300"/>
      <c r="E447" s="1965"/>
      <c r="F447" s="1965"/>
      <c r="G447" s="1321"/>
      <c r="H447" s="1322"/>
      <c r="I447" s="1965"/>
      <c r="J447" s="1965"/>
      <c r="K447" s="1965"/>
      <c r="L447" s="1965"/>
      <c r="M447" s="1965"/>
      <c r="N447" s="1965"/>
      <c r="O447" s="1965"/>
      <c r="P447" s="1965"/>
      <c r="Q447" s="1965"/>
      <c r="R447" s="1965"/>
      <c r="S447" s="1965"/>
      <c r="T447" s="1965"/>
      <c r="U447" s="1965"/>
      <c r="V447" s="1931"/>
      <c r="W447" s="1931"/>
      <c r="X447" s="1931"/>
      <c r="Y447" s="1933"/>
      <c r="Z447" s="1933"/>
      <c r="AA447" s="1933"/>
      <c r="AB447" s="1933"/>
      <c r="AC447" s="1933"/>
      <c r="AD447" s="1933"/>
      <c r="AE447" s="1933"/>
      <c r="AF447" s="1933"/>
      <c r="AG447" s="1933"/>
      <c r="AH447" s="1933"/>
      <c r="AI447" s="1933"/>
      <c r="AJ447" s="1933"/>
      <c r="AK447" s="1933"/>
      <c r="AL447" s="1933"/>
      <c r="AM447" s="1933"/>
      <c r="AN447" s="1933"/>
      <c r="AO447" s="1933"/>
      <c r="AP447" s="1933"/>
      <c r="AQ447" s="1933"/>
      <c r="AR447" s="1933"/>
      <c r="AS447" s="1933"/>
      <c r="AT447" s="1933"/>
      <c r="AU447" s="1933"/>
      <c r="AV447" s="1933"/>
      <c r="AW447" s="1933"/>
      <c r="AX447" s="1933"/>
      <c r="AY447" s="1933"/>
      <c r="AZ447" s="1933"/>
      <c r="BA447" s="1933"/>
      <c r="BB447" s="1933"/>
      <c r="BC447" s="1933"/>
      <c r="BD447" s="1933"/>
      <c r="BE447" s="1933"/>
      <c r="BF447" s="1933"/>
      <c r="BG447" s="1933"/>
      <c r="BH447" s="1933"/>
      <c r="BI447" s="1933"/>
      <c r="BJ447" s="1933"/>
      <c r="BK447" s="1933"/>
      <c r="BL447" s="1933"/>
      <c r="BM447" s="1931"/>
      <c r="BN447" s="1931"/>
      <c r="BO447" s="1931"/>
      <c r="BP447" s="1931"/>
      <c r="BQ447" s="1931"/>
      <c r="BR447" s="1931"/>
      <c r="BS447" s="1931"/>
      <c r="BT447" s="1931"/>
      <c r="BU447" s="1931"/>
      <c r="BV447" s="1931"/>
      <c r="BW447" s="1931"/>
      <c r="BX447" s="1931"/>
      <c r="BY447" s="1931"/>
      <c r="BZ447" s="1931"/>
      <c r="CA447" s="1931"/>
      <c r="CB447" s="1931"/>
      <c r="CC447" s="1931"/>
      <c r="CD447" s="1931"/>
      <c r="CE447" s="1930"/>
      <c r="CF447" s="1930"/>
      <c r="CG447" s="1930"/>
      <c r="CH447" s="1930"/>
      <c r="CI447" s="1931"/>
      <c r="CJ447" s="1931"/>
      <c r="CK447" s="1931"/>
      <c r="CL447" s="1931"/>
      <c r="CM447" s="1931"/>
      <c r="CN447" s="1931"/>
      <c r="CO447" s="1931"/>
      <c r="CP447" s="1931"/>
      <c r="CQ447" s="1931"/>
      <c r="CR447" s="1931"/>
      <c r="CS447" s="1931"/>
      <c r="CT447" s="1930"/>
      <c r="CU447" s="1930"/>
      <c r="CV447" s="1930"/>
      <c r="CW447" s="1930"/>
      <c r="CX447" s="1931"/>
      <c r="CY447" s="1931"/>
      <c r="CZ447" s="1931"/>
      <c r="DA447" s="1931"/>
      <c r="DB447" s="1932"/>
      <c r="DC447" s="1931"/>
      <c r="DD447" s="1931"/>
      <c r="DE447" s="1931"/>
      <c r="DF447" s="1931"/>
    </row>
    <row r="448" spans="2:110" hidden="1" outlineLevel="1" x14ac:dyDescent="0.25">
      <c r="B448" s="1931"/>
      <c r="D448" s="1300"/>
      <c r="E448" s="1965"/>
      <c r="F448" s="1965"/>
      <c r="G448" s="1965"/>
      <c r="H448" s="1301"/>
      <c r="I448" s="1965"/>
      <c r="J448" s="1965"/>
      <c r="K448" s="1965"/>
      <c r="L448" s="1965"/>
      <c r="M448" s="1965"/>
      <c r="N448" s="1965"/>
      <c r="O448" s="1965"/>
      <c r="P448" s="1965"/>
      <c r="Q448" s="1965"/>
      <c r="R448" s="1965"/>
      <c r="S448" s="1965"/>
      <c r="T448" s="1965"/>
      <c r="U448" s="1965"/>
      <c r="V448" s="1931"/>
      <c r="W448" s="1931"/>
      <c r="X448" s="1931"/>
      <c r="Y448" s="1931"/>
      <c r="Z448" s="1931"/>
      <c r="AA448" s="1931"/>
      <c r="AB448" s="1931"/>
      <c r="AC448" s="1931"/>
      <c r="AD448" s="1931"/>
      <c r="AE448" s="1931"/>
      <c r="AF448" s="1931"/>
      <c r="AG448" s="1931"/>
      <c r="AH448" s="1931"/>
      <c r="AI448" s="1931"/>
      <c r="AJ448" s="1931"/>
      <c r="AK448" s="1931"/>
      <c r="AL448" s="1931"/>
      <c r="AM448" s="1931"/>
      <c r="AN448" s="1931"/>
      <c r="AO448" s="1931"/>
      <c r="AP448" s="1931"/>
      <c r="AQ448" s="1931"/>
      <c r="AR448" s="1931"/>
      <c r="AS448" s="1931"/>
      <c r="AT448" s="1931"/>
      <c r="AU448" s="1931"/>
      <c r="AV448" s="1931"/>
      <c r="AW448" s="1931"/>
      <c r="AX448" s="1931"/>
      <c r="AY448" s="1931"/>
      <c r="AZ448" s="1931"/>
      <c r="BA448" s="1931"/>
      <c r="BB448" s="1931"/>
      <c r="BC448" s="1931"/>
      <c r="BD448" s="1931"/>
      <c r="BE448" s="1931"/>
      <c r="BF448" s="1931"/>
      <c r="BG448" s="1931"/>
      <c r="BH448" s="1931"/>
      <c r="BI448" s="1931"/>
      <c r="BJ448" s="1931"/>
      <c r="BK448" s="1931"/>
      <c r="BL448" s="1931"/>
      <c r="BM448" s="1931"/>
      <c r="BN448" s="1931"/>
      <c r="BO448" s="1931"/>
      <c r="BP448" s="1931"/>
      <c r="BQ448" s="1931"/>
      <c r="BR448" s="1931"/>
      <c r="BS448" s="1931"/>
      <c r="BT448" s="1931"/>
      <c r="BU448" s="1931"/>
      <c r="BV448" s="1931"/>
      <c r="BW448" s="1931"/>
      <c r="BX448" s="1931"/>
      <c r="BY448" s="1931"/>
      <c r="BZ448" s="1931"/>
      <c r="CA448" s="1931"/>
      <c r="CB448" s="1931"/>
      <c r="CC448" s="1931"/>
      <c r="CD448" s="1931"/>
      <c r="CE448" s="1930"/>
      <c r="CF448" s="1930"/>
      <c r="CG448" s="1930"/>
      <c r="CH448" s="1930"/>
      <c r="CI448" s="1931"/>
      <c r="CJ448" s="1931"/>
      <c r="CK448" s="1931"/>
      <c r="CL448" s="1931"/>
      <c r="CM448" s="1931"/>
      <c r="CN448" s="1931"/>
      <c r="CO448" s="1931"/>
      <c r="CP448" s="1931"/>
      <c r="CQ448" s="1931"/>
      <c r="CR448" s="1931"/>
      <c r="CS448" s="1931"/>
      <c r="CT448" s="1930"/>
      <c r="CU448" s="1930"/>
      <c r="CV448" s="1930"/>
      <c r="CW448" s="1930"/>
      <c r="CX448" s="1931"/>
      <c r="CY448" s="1931"/>
      <c r="CZ448" s="1931"/>
      <c r="DA448" s="1931"/>
      <c r="DB448" s="1932"/>
      <c r="DC448" s="1931"/>
      <c r="DD448" s="1931"/>
      <c r="DE448" s="1931"/>
      <c r="DF448" s="1931"/>
    </row>
    <row r="449" spans="2:112" hidden="1" outlineLevel="1" x14ac:dyDescent="0.25">
      <c r="B449" s="1931"/>
      <c r="D449" s="1300"/>
      <c r="E449" s="1965"/>
      <c r="F449" s="1965"/>
      <c r="G449" s="1965"/>
      <c r="H449" s="1301"/>
      <c r="I449" s="1965"/>
      <c r="J449" s="1965"/>
      <c r="K449" s="1965"/>
      <c r="L449" s="1965"/>
      <c r="M449" s="1965"/>
      <c r="N449" s="1965"/>
      <c r="O449" s="1965"/>
      <c r="P449" s="1965"/>
      <c r="Q449" s="1965"/>
      <c r="R449" s="1965"/>
      <c r="S449" s="1965"/>
      <c r="T449" s="1965"/>
      <c r="U449" s="1965"/>
      <c r="V449" s="1931"/>
      <c r="W449" s="1931"/>
      <c r="X449" s="1931"/>
      <c r="Y449" s="1931"/>
      <c r="Z449" s="1931"/>
      <c r="AA449" s="1931"/>
      <c r="AB449" s="1931"/>
      <c r="AC449" s="1931"/>
      <c r="AD449" s="1931"/>
      <c r="AE449" s="1931"/>
      <c r="AF449" s="1931"/>
      <c r="AG449" s="1931"/>
      <c r="AH449" s="1931"/>
      <c r="AI449" s="1931"/>
      <c r="AJ449" s="1931"/>
      <c r="AK449" s="1931"/>
      <c r="AL449" s="1931"/>
      <c r="AM449" s="1931"/>
      <c r="AN449" s="1931"/>
      <c r="AO449" s="1931"/>
      <c r="AP449" s="1931"/>
      <c r="AQ449" s="1931"/>
      <c r="AR449" s="1931"/>
      <c r="AS449" s="1931"/>
      <c r="AT449" s="1931"/>
      <c r="AU449" s="1931"/>
      <c r="AV449" s="1931"/>
      <c r="AW449" s="1931"/>
      <c r="AX449" s="1931"/>
      <c r="AY449" s="1931"/>
      <c r="AZ449" s="1931"/>
      <c r="BA449" s="1931"/>
      <c r="BB449" s="1931"/>
      <c r="BC449" s="1931"/>
      <c r="BD449" s="1931"/>
      <c r="BE449" s="1931"/>
      <c r="BF449" s="1931"/>
      <c r="BG449" s="1931"/>
      <c r="BH449" s="1931"/>
      <c r="BI449" s="1931"/>
      <c r="BJ449" s="1931"/>
      <c r="BK449" s="1931"/>
      <c r="BL449" s="1931"/>
      <c r="BM449" s="1931"/>
      <c r="BN449" s="1931"/>
      <c r="BO449" s="1931"/>
      <c r="BP449" s="1931"/>
      <c r="BQ449" s="1931"/>
      <c r="BR449" s="1931"/>
      <c r="BS449" s="1931"/>
      <c r="BT449" s="1931"/>
      <c r="BU449" s="1931"/>
      <c r="BV449" s="1931"/>
      <c r="BW449" s="1931"/>
      <c r="BX449" s="1931"/>
      <c r="BY449" s="1931"/>
      <c r="BZ449" s="1931"/>
      <c r="CA449" s="1931"/>
      <c r="CB449" s="1931"/>
      <c r="CC449" s="1931"/>
      <c r="CD449" s="1931"/>
      <c r="CE449" s="1930"/>
      <c r="CF449" s="1930"/>
      <c r="CG449" s="1930"/>
      <c r="CH449" s="1930"/>
      <c r="CI449" s="1931"/>
      <c r="CJ449" s="1931"/>
      <c r="CK449" s="1931"/>
      <c r="CL449" s="1931"/>
      <c r="CM449" s="1931"/>
      <c r="CN449" s="1931"/>
      <c r="CO449" s="1931"/>
      <c r="CP449" s="1931"/>
      <c r="CQ449" s="1931"/>
      <c r="CR449" s="1931"/>
      <c r="CS449" s="1931"/>
      <c r="CT449" s="1930"/>
      <c r="CU449" s="1930"/>
      <c r="CV449" s="1930"/>
      <c r="CW449" s="1930"/>
      <c r="CX449" s="1931"/>
      <c r="CY449" s="1931"/>
      <c r="CZ449" s="1931"/>
      <c r="DA449" s="1931"/>
      <c r="DB449" s="1932"/>
      <c r="DC449" s="1931"/>
      <c r="DD449" s="1931"/>
      <c r="DE449" s="1931"/>
      <c r="DF449" s="1931"/>
    </row>
    <row r="450" spans="2:112" hidden="1" outlineLevel="1" x14ac:dyDescent="0.25">
      <c r="B450" s="1931"/>
      <c r="D450" s="1300"/>
      <c r="E450" s="1965"/>
      <c r="F450" s="1965"/>
      <c r="G450" s="1965"/>
      <c r="H450" s="1301"/>
      <c r="I450" s="1965"/>
      <c r="J450" s="1965"/>
      <c r="K450" s="1965"/>
      <c r="L450" s="1965"/>
      <c r="M450" s="1965"/>
      <c r="N450" s="1965"/>
      <c r="O450" s="1965"/>
      <c r="P450" s="1965"/>
      <c r="Q450" s="1965"/>
      <c r="R450" s="1965"/>
      <c r="S450" s="1965"/>
      <c r="T450" s="1965"/>
      <c r="U450" s="1965"/>
      <c r="V450" s="1931"/>
      <c r="W450" s="1931"/>
      <c r="X450" s="1931"/>
      <c r="Y450" s="1931"/>
      <c r="Z450" s="1931"/>
      <c r="AA450" s="1931"/>
      <c r="AB450" s="1931"/>
      <c r="AC450" s="1931"/>
      <c r="AD450" s="1931"/>
      <c r="AE450" s="1931"/>
      <c r="AF450" s="1931"/>
      <c r="AG450" s="1931"/>
      <c r="AH450" s="1931"/>
      <c r="AI450" s="1931"/>
      <c r="AJ450" s="1931"/>
      <c r="AK450" s="1931"/>
      <c r="AL450" s="1931"/>
      <c r="AM450" s="1931"/>
      <c r="AN450" s="1931"/>
      <c r="AO450" s="1931"/>
      <c r="AP450" s="1931"/>
      <c r="AQ450" s="1931"/>
      <c r="AR450" s="1931"/>
      <c r="AS450" s="1931"/>
      <c r="AT450" s="1931"/>
      <c r="AU450" s="1931"/>
      <c r="AV450" s="1931"/>
      <c r="AW450" s="1931"/>
      <c r="AX450" s="1931"/>
      <c r="AY450" s="1931"/>
      <c r="AZ450" s="1931"/>
      <c r="BA450" s="1931"/>
      <c r="BB450" s="1931"/>
      <c r="BC450" s="1931"/>
      <c r="BD450" s="1931"/>
      <c r="BE450" s="1931"/>
      <c r="BF450" s="1931"/>
      <c r="BG450" s="1931"/>
      <c r="BH450" s="1931"/>
      <c r="BI450" s="1931"/>
      <c r="BJ450" s="1931"/>
      <c r="BK450" s="1931"/>
      <c r="BL450" s="1931"/>
      <c r="BM450" s="1931"/>
      <c r="BN450" s="1931"/>
      <c r="BO450" s="1931"/>
      <c r="BP450" s="1931"/>
      <c r="BQ450" s="1931"/>
      <c r="BR450" s="1931"/>
      <c r="BS450" s="1931"/>
      <c r="BT450" s="1931"/>
      <c r="BU450" s="1931"/>
      <c r="BV450" s="1931"/>
      <c r="BW450" s="1931"/>
      <c r="BX450" s="1931"/>
      <c r="BY450" s="1931"/>
      <c r="BZ450" s="1931"/>
      <c r="CA450" s="1931"/>
      <c r="CB450" s="1931"/>
      <c r="CC450" s="1931"/>
      <c r="CD450" s="1931"/>
      <c r="CE450" s="1930"/>
      <c r="CF450" s="1930"/>
      <c r="CG450" s="1930"/>
      <c r="CH450" s="1930"/>
      <c r="CI450" s="1931"/>
      <c r="CJ450" s="1931"/>
      <c r="CK450" s="1931"/>
      <c r="CL450" s="1931"/>
      <c r="CM450" s="1931"/>
      <c r="CN450" s="1931"/>
      <c r="CO450" s="1931"/>
      <c r="CP450" s="1931"/>
      <c r="CQ450" s="1931"/>
      <c r="CR450" s="1931"/>
      <c r="CS450" s="1931"/>
      <c r="CT450" s="1930"/>
      <c r="CU450" s="1930"/>
      <c r="CV450" s="1930"/>
      <c r="CW450" s="1930"/>
      <c r="CX450" s="1931"/>
      <c r="CY450" s="1931"/>
      <c r="CZ450" s="1931"/>
      <c r="DA450" s="1931"/>
      <c r="DB450" s="1932"/>
      <c r="DC450" s="1931"/>
      <c r="DD450" s="1931"/>
      <c r="DE450" s="1931"/>
      <c r="DF450" s="1931"/>
    </row>
    <row r="451" spans="2:112" hidden="1" outlineLevel="1" x14ac:dyDescent="0.25">
      <c r="B451" s="1931"/>
      <c r="D451" s="1300"/>
      <c r="E451" s="1965"/>
      <c r="F451" s="1965"/>
      <c r="G451" s="1965"/>
      <c r="H451" s="1301"/>
      <c r="I451" s="1965"/>
      <c r="J451" s="1965"/>
      <c r="K451" s="1965"/>
      <c r="L451" s="1965"/>
      <c r="M451" s="1965"/>
      <c r="N451" s="1965"/>
      <c r="O451" s="1965"/>
      <c r="P451" s="1965"/>
      <c r="Q451" s="1965"/>
      <c r="R451" s="1965"/>
      <c r="S451" s="1965"/>
      <c r="T451" s="1965"/>
      <c r="U451" s="1965"/>
      <c r="V451" s="1931"/>
      <c r="W451" s="1931"/>
      <c r="X451" s="1931"/>
      <c r="Y451" s="1931"/>
      <c r="Z451" s="1931"/>
      <c r="AA451" s="1931"/>
      <c r="AB451" s="1931"/>
      <c r="AC451" s="1931"/>
      <c r="AD451" s="1931"/>
      <c r="AE451" s="1931"/>
      <c r="AF451" s="1931"/>
      <c r="AG451" s="1931"/>
      <c r="AH451" s="1931"/>
      <c r="AI451" s="1931"/>
      <c r="AJ451" s="1931"/>
      <c r="AK451" s="1931"/>
      <c r="AL451" s="1931"/>
      <c r="AM451" s="1931"/>
      <c r="AN451" s="1931"/>
      <c r="AO451" s="1931"/>
      <c r="AP451" s="1931"/>
      <c r="AQ451" s="1931"/>
      <c r="AR451" s="1931"/>
      <c r="AS451" s="1931"/>
      <c r="AT451" s="1931"/>
      <c r="AU451" s="1931"/>
      <c r="AV451" s="1931"/>
      <c r="AW451" s="1931"/>
      <c r="AX451" s="1931"/>
      <c r="AY451" s="1931"/>
      <c r="AZ451" s="1931"/>
      <c r="BA451" s="1931"/>
      <c r="BB451" s="1931"/>
      <c r="BC451" s="1931"/>
      <c r="BD451" s="1931"/>
      <c r="BE451" s="1931"/>
      <c r="BF451" s="1931"/>
      <c r="BG451" s="1931"/>
      <c r="BH451" s="1931"/>
      <c r="BI451" s="1931"/>
      <c r="BJ451" s="1931"/>
      <c r="BK451" s="1931"/>
      <c r="BL451" s="1931"/>
      <c r="BM451" s="1931"/>
      <c r="BN451" s="1931"/>
      <c r="BO451" s="1931"/>
      <c r="BP451" s="1931"/>
      <c r="BQ451" s="1931"/>
      <c r="BR451" s="1931"/>
      <c r="BS451" s="1931"/>
      <c r="BT451" s="1931"/>
      <c r="BU451" s="1931"/>
      <c r="BV451" s="1931"/>
      <c r="BW451" s="1931"/>
      <c r="BX451" s="1931"/>
      <c r="BY451" s="1931"/>
      <c r="BZ451" s="1931"/>
      <c r="CA451" s="1931"/>
      <c r="CB451" s="1931"/>
      <c r="CC451" s="1931"/>
      <c r="CD451" s="1931"/>
      <c r="CE451" s="1930"/>
      <c r="CF451" s="1930"/>
      <c r="CG451" s="1930"/>
      <c r="CH451" s="1930"/>
      <c r="CI451" s="1931"/>
      <c r="CJ451" s="1931"/>
      <c r="CK451" s="1931"/>
      <c r="CL451" s="1931"/>
      <c r="CM451" s="1931"/>
      <c r="CN451" s="1931"/>
      <c r="CO451" s="1931"/>
      <c r="CP451" s="1931"/>
      <c r="CQ451" s="1931"/>
      <c r="CR451" s="1931"/>
      <c r="CS451" s="1931"/>
      <c r="CT451" s="1930"/>
      <c r="CU451" s="1930"/>
      <c r="CV451" s="1930"/>
      <c r="CW451" s="1930"/>
      <c r="CX451" s="1931"/>
      <c r="CY451" s="1931"/>
      <c r="CZ451" s="1931"/>
      <c r="DA451" s="1931"/>
      <c r="DB451" s="1932"/>
      <c r="DC451" s="1931"/>
      <c r="DD451" s="1931"/>
      <c r="DE451" s="1931"/>
      <c r="DF451" s="1931"/>
    </row>
    <row r="452" spans="2:112" s="55" customFormat="1" hidden="1" outlineLevel="1" x14ac:dyDescent="0.25">
      <c r="C452" s="151"/>
      <c r="D452" s="3081" t="s">
        <v>28</v>
      </c>
      <c r="E452" s="3081" t="s">
        <v>2758</v>
      </c>
      <c r="F452" s="81" t="s">
        <v>2973</v>
      </c>
      <c r="G452" s="3081" t="s">
        <v>2974</v>
      </c>
      <c r="H452" s="3081" t="s">
        <v>2975</v>
      </c>
      <c r="I452" s="3081" t="s">
        <v>2941</v>
      </c>
      <c r="J452" s="401"/>
      <c r="K452" s="401"/>
      <c r="L452" s="401"/>
      <c r="M452" s="401"/>
      <c r="N452" s="401"/>
      <c r="O452" s="401"/>
      <c r="P452" s="401"/>
      <c r="Q452" s="401"/>
      <c r="R452" s="401"/>
      <c r="S452" s="401"/>
      <c r="T452" s="401"/>
      <c r="U452" s="401"/>
      <c r="DB452" s="72"/>
    </row>
    <row r="453" spans="2:112" hidden="1" outlineLevel="1" x14ac:dyDescent="0.25">
      <c r="B453" s="1931"/>
      <c r="D453" s="1967" t="str">
        <f>C442</f>
        <v>803800_2019_12_</v>
      </c>
      <c r="E453" s="1302" t="str">
        <f>E442</f>
        <v>Air Cooled Chiller</v>
      </c>
      <c r="F453" s="1390">
        <v>1</v>
      </c>
      <c r="G453" s="1391">
        <f>12/(3.66*3.412)</f>
        <v>0.96092864143908663</v>
      </c>
      <c r="H453" s="1970">
        <v>0.57061525112569633</v>
      </c>
      <c r="I453" s="1970">
        <v>1053</v>
      </c>
      <c r="J453" s="1965"/>
      <c r="K453" s="1965"/>
      <c r="L453" s="1965"/>
      <c r="M453" s="1965"/>
      <c r="N453" s="1965"/>
      <c r="O453" s="1965"/>
      <c r="P453" s="1965"/>
      <c r="Q453" s="1965"/>
      <c r="R453" s="1965"/>
      <c r="S453" s="1965"/>
      <c r="T453" s="1965"/>
      <c r="U453" s="1965"/>
      <c r="V453" s="1931"/>
      <c r="W453" s="1931"/>
      <c r="X453" s="1931"/>
      <c r="Y453" s="1931"/>
      <c r="Z453" s="1931"/>
      <c r="AA453" s="1931"/>
      <c r="AB453" s="1931"/>
      <c r="AC453" s="1931"/>
      <c r="AD453" s="1931"/>
      <c r="AE453" s="1931"/>
      <c r="AF453" s="1931"/>
      <c r="AG453" s="1931"/>
      <c r="AH453" s="1931"/>
      <c r="AI453" s="1931"/>
      <c r="AJ453" s="1931"/>
      <c r="AK453" s="1931"/>
      <c r="AL453" s="1931"/>
      <c r="AM453" s="1931"/>
      <c r="AN453" s="1931"/>
      <c r="AO453" s="1931"/>
      <c r="AP453" s="1931"/>
      <c r="AQ453" s="1931"/>
      <c r="AR453" s="1931"/>
      <c r="AS453" s="1931"/>
      <c r="AT453" s="1931"/>
      <c r="AU453" s="1931"/>
      <c r="AV453" s="1931"/>
      <c r="AW453" s="1931"/>
      <c r="AX453" s="1931"/>
      <c r="AY453" s="1931"/>
      <c r="AZ453" s="1931"/>
      <c r="BA453" s="1931"/>
      <c r="BB453" s="1931"/>
      <c r="BC453" s="1931"/>
      <c r="BD453" s="1931"/>
      <c r="BE453" s="1931"/>
      <c r="BF453" s="1931"/>
      <c r="BG453" s="1931"/>
      <c r="BH453" s="1931"/>
      <c r="BI453" s="1931"/>
      <c r="BJ453" s="1931"/>
      <c r="BK453" s="1931"/>
      <c r="BL453" s="1931"/>
      <c r="BM453" s="1931"/>
      <c r="BN453" s="1931"/>
      <c r="BO453" s="1931"/>
      <c r="BP453" s="1931"/>
      <c r="BQ453" s="1931"/>
      <c r="BR453" s="1931"/>
      <c r="BS453" s="1931"/>
      <c r="BT453" s="1931"/>
      <c r="BU453" s="1931"/>
      <c r="BV453" s="1931"/>
      <c r="BW453" s="1931"/>
      <c r="BX453" s="1931"/>
      <c r="BY453" s="1931"/>
      <c r="BZ453" s="1931"/>
      <c r="CA453" s="1931"/>
      <c r="CB453" s="1931"/>
      <c r="CC453" s="1931"/>
      <c r="CD453" s="1931"/>
      <c r="CE453" s="1930"/>
      <c r="CF453" s="1930"/>
      <c r="CG453" s="1930"/>
      <c r="CH453" s="1930"/>
      <c r="CI453" s="1931"/>
      <c r="CJ453" s="1931"/>
      <c r="CK453" s="1931"/>
      <c r="CL453" s="1931"/>
      <c r="CM453" s="1931"/>
      <c r="CN453" s="1931"/>
      <c r="CO453" s="1931"/>
      <c r="CP453" s="1931"/>
      <c r="CQ453" s="1931"/>
      <c r="CR453" s="1931"/>
      <c r="CS453" s="1931"/>
      <c r="CT453" s="1930"/>
      <c r="CU453" s="1930"/>
      <c r="CV453" s="1930"/>
      <c r="CW453" s="1930"/>
      <c r="CX453" s="1931"/>
      <c r="CY453" s="1931"/>
      <c r="CZ453" s="1931"/>
      <c r="DA453" s="1931"/>
      <c r="DB453" s="1932"/>
      <c r="DC453" s="1931"/>
      <c r="DD453" s="1931"/>
      <c r="DE453" s="1931"/>
      <c r="DF453" s="1931"/>
    </row>
    <row r="454" spans="2:112" s="1931" customFormat="1" hidden="1" outlineLevel="1" x14ac:dyDescent="0.25">
      <c r="C454" s="1966"/>
      <c r="D454" s="3338" t="str">
        <f>C443</f>
        <v>803810_2021_12_</v>
      </c>
      <c r="E454" s="3331" t="str">
        <f>E443</f>
        <v>Water Cooled Chiller</v>
      </c>
      <c r="F454" s="3349">
        <v>1</v>
      </c>
      <c r="G454" s="3350">
        <v>0.57999999999999996</v>
      </c>
      <c r="H454" s="3351">
        <f>G454*0.8</f>
        <v>0.46399999999999997</v>
      </c>
      <c r="I454" s="3351">
        <v>1053</v>
      </c>
      <c r="J454" s="1965"/>
      <c r="K454" s="1965"/>
      <c r="L454" s="1965"/>
      <c r="M454" s="1965"/>
      <c r="N454" s="1965"/>
      <c r="O454" s="1965"/>
      <c r="P454" s="1965"/>
      <c r="Q454" s="1965"/>
      <c r="R454" s="1965"/>
      <c r="S454" s="1965"/>
      <c r="T454" s="1965"/>
      <c r="U454" s="1965"/>
      <c r="CE454" s="1930"/>
      <c r="CF454" s="1930"/>
      <c r="CG454" s="1930"/>
      <c r="CH454" s="1930"/>
      <c r="CT454" s="1930"/>
      <c r="CU454" s="1930"/>
      <c r="CV454" s="1930"/>
      <c r="CW454" s="1930"/>
      <c r="DB454" s="1932"/>
    </row>
    <row r="455" spans="2:112" s="1931" customFormat="1" hidden="1" outlineLevel="1" x14ac:dyDescent="0.25">
      <c r="C455" s="1966"/>
      <c r="D455" s="3337" t="s">
        <v>4315</v>
      </c>
      <c r="E455" s="1965"/>
      <c r="F455" s="1965"/>
      <c r="G455" s="1968"/>
      <c r="H455" s="1969"/>
      <c r="I455" s="1965"/>
      <c r="J455" s="1965"/>
      <c r="K455" s="1965"/>
      <c r="L455" s="1965"/>
      <c r="M455" s="1965"/>
      <c r="N455" s="1965"/>
      <c r="O455" s="1965"/>
      <c r="P455" s="1965"/>
      <c r="Q455" s="1965"/>
      <c r="R455" s="1965"/>
      <c r="S455" s="1965"/>
      <c r="T455" s="1965"/>
      <c r="U455" s="1965"/>
      <c r="CE455" s="1930"/>
      <c r="CF455" s="1930"/>
      <c r="CG455" s="1930"/>
      <c r="CH455" s="1930"/>
      <c r="CT455" s="1930"/>
      <c r="CU455" s="1930"/>
      <c r="CV455" s="1930"/>
      <c r="CW455" s="1930"/>
      <c r="DB455" s="1932"/>
    </row>
    <row r="456" spans="2:112" hidden="1" outlineLevel="1" x14ac:dyDescent="0.25">
      <c r="B456" s="1931"/>
      <c r="D456" s="3337" t="s">
        <v>4316</v>
      </c>
      <c r="E456" s="1965"/>
      <c r="F456" s="1965"/>
      <c r="G456" s="1968"/>
      <c r="H456" s="1969"/>
      <c r="I456" s="1965"/>
      <c r="J456" s="1965"/>
      <c r="K456" s="1965"/>
      <c r="L456" s="1965"/>
      <c r="M456" s="1965"/>
      <c r="N456" s="1965"/>
      <c r="O456" s="1965"/>
      <c r="P456" s="1965"/>
      <c r="Q456" s="1965"/>
      <c r="R456" s="1965"/>
      <c r="S456" s="1965"/>
      <c r="T456" s="1965"/>
      <c r="U456" s="1965"/>
      <c r="V456" s="1931"/>
      <c r="W456" s="1931"/>
      <c r="X456" s="1931"/>
      <c r="Y456" s="1931"/>
      <c r="Z456" s="1931"/>
      <c r="AA456" s="1931"/>
      <c r="AB456" s="1931"/>
      <c r="AC456" s="1931"/>
      <c r="AD456" s="1931"/>
      <c r="AE456" s="1931"/>
      <c r="AF456" s="1931"/>
      <c r="AG456" s="1931"/>
      <c r="AH456" s="1931"/>
      <c r="AI456" s="1931"/>
      <c r="AJ456" s="1931"/>
      <c r="AK456" s="1931"/>
      <c r="AL456" s="1931"/>
      <c r="AM456" s="1931"/>
      <c r="AN456" s="1931"/>
      <c r="AO456" s="1931"/>
      <c r="AP456" s="1931"/>
      <c r="AQ456" s="1931"/>
      <c r="AR456" s="1931"/>
      <c r="AS456" s="1931"/>
      <c r="AT456" s="1931"/>
      <c r="AU456" s="1931"/>
      <c r="AV456" s="1931"/>
      <c r="AW456" s="1931"/>
      <c r="AX456" s="1931"/>
      <c r="AY456" s="1931"/>
      <c r="AZ456" s="1931"/>
      <c r="BA456" s="1931"/>
      <c r="BB456" s="1931"/>
      <c r="BC456" s="1931"/>
      <c r="BD456" s="1931"/>
      <c r="BE456" s="1931"/>
      <c r="BF456" s="1931"/>
      <c r="BG456" s="1931"/>
      <c r="BH456" s="1931"/>
      <c r="BI456" s="1931"/>
      <c r="BJ456" s="1931"/>
      <c r="BK456" s="1931"/>
      <c r="BL456" s="1931"/>
      <c r="BM456" s="1931"/>
      <c r="BN456" s="1931"/>
      <c r="BO456" s="1931"/>
      <c r="BP456" s="1931"/>
      <c r="BQ456" s="1931"/>
      <c r="BR456" s="1931"/>
      <c r="BS456" s="1931"/>
      <c r="BT456" s="1931"/>
      <c r="BU456" s="1931"/>
      <c r="BV456" s="1931"/>
      <c r="BW456" s="1931"/>
      <c r="BX456" s="1931"/>
      <c r="BY456" s="1931"/>
      <c r="BZ456" s="1931"/>
      <c r="CA456" s="1931"/>
      <c r="CB456" s="1931"/>
      <c r="CC456" s="1931"/>
      <c r="CD456" s="1931"/>
      <c r="CE456" s="1930"/>
      <c r="CF456" s="1930"/>
      <c r="CG456" s="1930"/>
      <c r="CH456" s="1930"/>
      <c r="CI456" s="1931"/>
      <c r="CJ456" s="1931"/>
      <c r="CK456" s="1931"/>
      <c r="CL456" s="1931"/>
      <c r="CM456" s="1931"/>
      <c r="CN456" s="1931"/>
      <c r="CO456" s="1931"/>
      <c r="CP456" s="1931"/>
      <c r="CQ456" s="1931"/>
      <c r="CR456" s="1931"/>
      <c r="CS456" s="1931"/>
      <c r="CT456" s="1930"/>
      <c r="CU456" s="1930"/>
      <c r="CV456" s="1930"/>
      <c r="CW456" s="1930"/>
      <c r="CX456" s="1931"/>
      <c r="CY456" s="1931"/>
      <c r="CZ456" s="1931"/>
      <c r="DA456" s="1931"/>
      <c r="DB456" s="1932"/>
      <c r="DC456" s="1931"/>
      <c r="DD456" s="1931"/>
      <c r="DE456" s="1931"/>
      <c r="DF456" s="1931"/>
    </row>
    <row r="457" spans="2:112" s="1931" customFormat="1" hidden="1" outlineLevel="1" x14ac:dyDescent="0.25">
      <c r="C457" s="1966"/>
      <c r="D457" s="3337"/>
      <c r="E457" s="1965"/>
      <c r="F457" s="1965"/>
      <c r="G457" s="1968"/>
      <c r="H457" s="1969"/>
      <c r="I457" s="1965"/>
      <c r="J457" s="1965"/>
      <c r="K457" s="1965"/>
      <c r="L457" s="1965"/>
      <c r="M457" s="1965"/>
      <c r="N457" s="1965"/>
      <c r="O457" s="1965"/>
      <c r="P457" s="1965"/>
      <c r="Q457" s="1965"/>
      <c r="R457" s="1965"/>
      <c r="S457" s="1965"/>
      <c r="T457" s="1965"/>
      <c r="U457" s="1965"/>
      <c r="CE457" s="1930"/>
      <c r="CF457" s="1930"/>
      <c r="CG457" s="1930"/>
      <c r="CH457" s="1930"/>
      <c r="CT457" s="1930"/>
      <c r="CU457" s="1930"/>
      <c r="CV457" s="1930"/>
      <c r="CW457" s="1930"/>
      <c r="DB457" s="1932"/>
    </row>
    <row r="458" spans="2:112" collapsed="1" x14ac:dyDescent="0.25"/>
    <row r="459" spans="2:112" s="43" customFormat="1" x14ac:dyDescent="0.25">
      <c r="B459" s="4484" t="s">
        <v>2976</v>
      </c>
      <c r="C459" s="4485"/>
      <c r="D459" s="4485"/>
      <c r="E459" s="4485"/>
      <c r="F459" s="4485"/>
      <c r="G459" s="4485"/>
      <c r="H459" s="4485"/>
      <c r="I459" s="4486"/>
      <c r="J459" s="4486"/>
      <c r="K459" s="4486"/>
      <c r="L459" s="4486"/>
      <c r="M459" s="3752"/>
      <c r="N459" s="3752"/>
      <c r="O459" s="3753"/>
      <c r="P459" s="1935"/>
      <c r="Q459" s="1935"/>
      <c r="R459" s="1935"/>
      <c r="S459" s="1935"/>
      <c r="T459" s="1935"/>
      <c r="U459" s="1935"/>
      <c r="V459" s="3077" t="str">
        <f>B459</f>
        <v>Appliances</v>
      </c>
      <c r="W459" s="3078"/>
      <c r="X459" s="3078"/>
      <c r="Y459" s="3078"/>
      <c r="Z459" s="3078"/>
      <c r="AA459" s="3078"/>
      <c r="AB459" s="3078"/>
      <c r="AC459" s="3078"/>
      <c r="AD459" s="3078"/>
      <c r="AE459" s="3078"/>
      <c r="AF459" s="3078"/>
      <c r="AG459" s="3078"/>
      <c r="AH459" s="3078"/>
      <c r="AI459" s="3170"/>
      <c r="AJ459" s="1931"/>
      <c r="AK459" s="1931"/>
      <c r="AL459" s="1931"/>
      <c r="AM459" s="1931"/>
      <c r="AN459" s="1931"/>
      <c r="AO459" s="1931"/>
      <c r="AP459" s="1931"/>
      <c r="AQ459" s="1931"/>
      <c r="AR459" s="1931"/>
      <c r="AS459" s="1931"/>
      <c r="AT459" s="1931"/>
      <c r="AU459" s="1931"/>
      <c r="AV459" s="1935"/>
      <c r="AW459" s="1935"/>
      <c r="AX459" s="1935"/>
      <c r="AY459" s="1935"/>
      <c r="AZ459" s="1935"/>
      <c r="BA459" s="1935"/>
      <c r="BB459" s="1935"/>
      <c r="BC459" s="1935"/>
      <c r="BD459" s="1935"/>
      <c r="BE459" s="1935"/>
      <c r="BF459" s="1935"/>
      <c r="BG459" s="1935"/>
      <c r="BH459" s="1935"/>
      <c r="BI459" s="1935"/>
      <c r="BJ459" s="1935"/>
      <c r="BK459" s="1935"/>
      <c r="BL459" s="1935"/>
      <c r="BM459" s="1935"/>
      <c r="BN459" s="1935"/>
      <c r="BO459" s="1935"/>
      <c r="BP459" s="1935"/>
      <c r="BQ459" s="1935"/>
      <c r="BR459" s="1935"/>
      <c r="BS459" s="1935"/>
      <c r="BT459" s="1935"/>
      <c r="BU459" s="1935"/>
      <c r="BV459" s="1935"/>
      <c r="BW459" s="1935"/>
      <c r="BX459" s="1935"/>
      <c r="BY459" s="1935"/>
      <c r="BZ459" s="1935"/>
      <c r="CA459" s="1935"/>
      <c r="CB459" s="1935"/>
      <c r="CC459" s="1935"/>
      <c r="CD459" s="1935"/>
      <c r="CE459" s="1935"/>
      <c r="CF459" s="1935"/>
      <c r="CG459" s="1935"/>
      <c r="CH459" s="1935"/>
      <c r="CI459" s="1935"/>
      <c r="CJ459" s="1935"/>
      <c r="CK459" s="1935"/>
      <c r="CL459" s="1935"/>
      <c r="CM459" s="1935"/>
      <c r="CN459" s="1935"/>
      <c r="CO459" s="1935"/>
      <c r="CP459" s="1935"/>
      <c r="CQ459" s="1935"/>
      <c r="CR459" s="1935"/>
      <c r="CS459" s="1935"/>
      <c r="CT459" s="1935"/>
      <c r="CU459" s="1935"/>
      <c r="CV459" s="1935"/>
      <c r="CW459" s="1935"/>
      <c r="CX459" s="1935"/>
      <c r="CY459" s="1935"/>
      <c r="CZ459" s="1935"/>
      <c r="DA459" s="1935"/>
      <c r="DB459" s="73"/>
      <c r="DC459" s="1935"/>
      <c r="DD459" s="1935"/>
      <c r="DE459" s="1935"/>
      <c r="DF459" s="1935"/>
      <c r="DG459" s="1935"/>
      <c r="DH459" s="1935"/>
    </row>
    <row r="460" spans="2:112" x14ac:dyDescent="0.25">
      <c r="B460" s="1931"/>
      <c r="D460" s="1286"/>
      <c r="E460" s="1966"/>
      <c r="F460" s="1966"/>
      <c r="G460" s="1966"/>
      <c r="H460" s="1287"/>
      <c r="I460" s="1966"/>
      <c r="J460" s="1966"/>
      <c r="K460" s="1966"/>
      <c r="L460" s="1966"/>
      <c r="M460" s="1965"/>
      <c r="N460" s="1965"/>
      <c r="O460" s="1965"/>
      <c r="P460" s="1966"/>
      <c r="Q460" s="1966"/>
      <c r="R460" s="1966"/>
      <c r="S460" s="1966"/>
      <c r="T460" s="1966"/>
      <c r="U460" s="1966"/>
      <c r="V460" s="1930"/>
      <c r="W460" s="1930"/>
      <c r="X460" s="1930"/>
      <c r="Y460" s="1930"/>
      <c r="Z460" s="1930"/>
      <c r="AA460" s="1930"/>
      <c r="AB460" s="1930"/>
      <c r="AC460" s="1930"/>
      <c r="AD460" s="1930"/>
      <c r="AE460" s="1930"/>
      <c r="AF460" s="1930"/>
      <c r="AG460" s="1930"/>
      <c r="AH460" s="1930"/>
      <c r="AI460" s="1930"/>
      <c r="AJ460" s="1934"/>
      <c r="AK460" s="1934"/>
      <c r="AL460" s="1934"/>
      <c r="AM460" s="1934"/>
      <c r="AN460" s="1934"/>
      <c r="AO460" s="1934"/>
      <c r="AP460" s="1934"/>
      <c r="AQ460" s="1934"/>
      <c r="AR460" s="1934"/>
      <c r="AS460" s="1934"/>
      <c r="AT460" s="1934"/>
      <c r="AU460" s="1934"/>
      <c r="AV460" s="1931"/>
      <c r="AW460" s="1931"/>
      <c r="AX460" s="1931"/>
      <c r="AY460" s="1931"/>
      <c r="AZ460" s="1931"/>
      <c r="BA460" s="1931"/>
      <c r="BB460" s="1931"/>
      <c r="BC460" s="1931"/>
      <c r="BD460" s="1931"/>
      <c r="BE460" s="1931"/>
      <c r="BF460" s="1931"/>
      <c r="BG460" s="1931"/>
      <c r="BH460" s="1931"/>
      <c r="BI460" s="1931"/>
      <c r="BJ460" s="1931"/>
      <c r="BK460" s="1931"/>
      <c r="BL460" s="1931"/>
      <c r="BM460" s="1931"/>
      <c r="BN460" s="1931"/>
      <c r="BO460" s="1931"/>
      <c r="BP460" s="1931"/>
      <c r="BQ460" s="1931"/>
      <c r="BR460" s="1931"/>
      <c r="BS460" s="1931"/>
      <c r="BT460" s="1931"/>
      <c r="BU460" s="1931"/>
      <c r="BV460" s="1931"/>
      <c r="BW460" s="1931"/>
      <c r="BX460" s="1931"/>
      <c r="BY460" s="1931"/>
      <c r="BZ460" s="1931"/>
      <c r="CA460" s="1931"/>
      <c r="CB460" s="1931"/>
      <c r="CC460" s="1931"/>
      <c r="CD460" s="1931"/>
      <c r="CE460" s="1930"/>
      <c r="CF460" s="1930"/>
      <c r="CG460" s="1930"/>
      <c r="CH460" s="1930"/>
      <c r="CI460" s="1931"/>
      <c r="CJ460" s="1931"/>
      <c r="CK460" s="1931"/>
      <c r="CL460" s="1931"/>
      <c r="CM460" s="1931"/>
      <c r="CN460" s="1931"/>
      <c r="CO460" s="1931"/>
      <c r="CP460" s="1931"/>
      <c r="CQ460" s="1931"/>
      <c r="CR460" s="1931"/>
      <c r="CS460" s="1931"/>
      <c r="CT460" s="1930"/>
      <c r="CU460" s="1930"/>
      <c r="CV460" s="1930"/>
      <c r="CW460" s="1930"/>
      <c r="CX460" s="1931"/>
      <c r="CY460" s="1931"/>
      <c r="CZ460" s="1931"/>
      <c r="DA460" s="1931"/>
      <c r="DB460" s="1932"/>
      <c r="DC460" s="1931"/>
      <c r="DD460" s="1931"/>
      <c r="DE460" s="1931"/>
    </row>
    <row r="461" spans="2:112" s="44" customFormat="1" ht="30" x14ac:dyDescent="0.25">
      <c r="B461" s="45"/>
      <c r="C461" s="46" t="s">
        <v>28</v>
      </c>
      <c r="D461" s="46" t="s">
        <v>29</v>
      </c>
      <c r="E461" s="3196" t="s">
        <v>30</v>
      </c>
      <c r="F461" s="3196" t="s">
        <v>31</v>
      </c>
      <c r="G461" s="3196" t="s">
        <v>176</v>
      </c>
      <c r="H461" s="47" t="s">
        <v>177</v>
      </c>
      <c r="I461" s="3196" t="s">
        <v>32</v>
      </c>
      <c r="J461" s="3196" t="s">
        <v>181</v>
      </c>
      <c r="K461" s="46" t="s">
        <v>170</v>
      </c>
      <c r="L461" s="46" t="s">
        <v>44</v>
      </c>
      <c r="M461" s="1965"/>
      <c r="N461" s="1392"/>
      <c r="O461" s="1367"/>
      <c r="P461" s="1368"/>
      <c r="Q461" s="1288"/>
      <c r="R461" s="1288"/>
      <c r="S461" s="1288"/>
      <c r="T461" s="1288"/>
      <c r="U461" s="1288"/>
      <c r="V461" s="1936" t="s">
        <v>45</v>
      </c>
      <c r="W461" s="1937">
        <f>$W$8</f>
        <v>43252</v>
      </c>
      <c r="X461" s="1937">
        <f>$X$8</f>
        <v>43465</v>
      </c>
      <c r="Y461" s="1937">
        <f>$Y$8</f>
        <v>43800</v>
      </c>
      <c r="Z461" s="1937">
        <f>$Z$8</f>
        <v>43862</v>
      </c>
      <c r="AA461" s="1937">
        <f>$AA$8</f>
        <v>44013</v>
      </c>
      <c r="AB461" s="1937">
        <v>44166</v>
      </c>
      <c r="AC461" s="1937">
        <f>$AC$8</f>
        <v>44531</v>
      </c>
      <c r="AD461" s="1937" t="str">
        <f>$AD$8</f>
        <v>-</v>
      </c>
      <c r="AE461" s="1937" t="str">
        <f>$AE$8</f>
        <v>-</v>
      </c>
      <c r="AF461" s="1937" t="str">
        <f>$AF$8</f>
        <v>-</v>
      </c>
      <c r="AG461" s="1937" t="str">
        <f>$AG$8</f>
        <v>-</v>
      </c>
      <c r="AH461" s="1930"/>
      <c r="AI461" s="1936" t="s">
        <v>45</v>
      </c>
      <c r="AJ461" s="1937">
        <v>43252</v>
      </c>
      <c r="AK461" s="1937">
        <f>$X$8</f>
        <v>43465</v>
      </c>
      <c r="AL461" s="1937">
        <f>$Y$8</f>
        <v>43800</v>
      </c>
      <c r="AM461" s="1937">
        <f>$Z$8</f>
        <v>43862</v>
      </c>
      <c r="AN461" s="1937">
        <f>$AA$8</f>
        <v>44013</v>
      </c>
      <c r="AO461" s="1937">
        <f>$AB$8</f>
        <v>44166</v>
      </c>
      <c r="AP461" s="1937">
        <f>$AC$8</f>
        <v>44531</v>
      </c>
      <c r="AQ461" s="1937" t="str">
        <f>$AD$8</f>
        <v>-</v>
      </c>
      <c r="AR461" s="1937" t="str">
        <f>$AE$8</f>
        <v>-</v>
      </c>
      <c r="AS461" s="1937" t="str">
        <f>$AF$8</f>
        <v>-</v>
      </c>
      <c r="AT461" s="1933"/>
      <c r="AU461" s="1936" t="s">
        <v>45</v>
      </c>
      <c r="AV461" s="1937">
        <v>43252</v>
      </c>
      <c r="AW461" s="1937">
        <f>$X$8</f>
        <v>43465</v>
      </c>
      <c r="AX461" s="1937">
        <f>$Y$8</f>
        <v>43800</v>
      </c>
      <c r="AY461" s="1937">
        <f>$Z$8</f>
        <v>43862</v>
      </c>
      <c r="AZ461" s="1937">
        <f>$AA$8</f>
        <v>44013</v>
      </c>
      <c r="BA461" s="1937">
        <v>44166</v>
      </c>
      <c r="BB461" s="1937">
        <f>$AC$8</f>
        <v>44531</v>
      </c>
      <c r="BC461" s="1937" t="str">
        <f>$AD$8</f>
        <v>-</v>
      </c>
      <c r="BD461" s="1937" t="str">
        <f>$AE$8</f>
        <v>-</v>
      </c>
      <c r="BE461" s="1937" t="str">
        <f>$AF$8</f>
        <v>-</v>
      </c>
      <c r="DB461" s="1938" t="str">
        <f>$DB$8</f>
        <v>TRC (2020)</v>
      </c>
      <c r="DC461" s="1953" t="str">
        <f>$DC$8</f>
        <v>Benefit Lookup</v>
      </c>
      <c r="DD461" s="1953" t="str">
        <f>$DD$8</f>
        <v>Benefits (2019 $)</v>
      </c>
      <c r="DE461" s="1953" t="str">
        <f>$DE$8</f>
        <v>Incremental Cost (2019 $)</v>
      </c>
    </row>
    <row r="462" spans="2:112" x14ac:dyDescent="0.25">
      <c r="B462" s="1931"/>
      <c r="C462" s="2462" t="s">
        <v>2977</v>
      </c>
      <c r="D462" s="1363" t="s">
        <v>2646</v>
      </c>
      <c r="E462" s="1308" t="s">
        <v>2978</v>
      </c>
      <c r="F462" s="1959">
        <f>ROUND(((F475*(1/G475)*I475)*(J475+(L475*P475)+(N475*Q475)))-((F475*(1/H475)*I475)*(K475+(M475*P475)+(O475*Q475))),2)</f>
        <v>907.62</v>
      </c>
      <c r="G462" s="1290" t="s">
        <v>2671</v>
      </c>
      <c r="H462" s="1291">
        <f>VLOOKUP(G462,'CP FACTORS'!$A$26:$B$38,2,FALSE)</f>
        <v>1.379439E-4</v>
      </c>
      <c r="I462" s="1309">
        <f>ROUND(H462*F462,6)</f>
        <v>0.12520100000000001</v>
      </c>
      <c r="J462" s="1354">
        <v>11</v>
      </c>
      <c r="K462" s="1310">
        <v>200</v>
      </c>
      <c r="L462" s="1374" t="s">
        <v>185</v>
      </c>
      <c r="M462" s="1965"/>
      <c r="N462" s="1965"/>
      <c r="O462" s="1965"/>
      <c r="P462" s="1965"/>
      <c r="Q462" s="1965"/>
      <c r="R462" s="1965"/>
      <c r="S462" s="1965"/>
      <c r="T462" s="1965"/>
      <c r="U462" s="1965"/>
      <c r="V462" s="3227" t="s">
        <v>31</v>
      </c>
      <c r="W462" s="129">
        <v>907.62032085561532</v>
      </c>
      <c r="X462" s="129">
        <v>907.62032085561532</v>
      </c>
      <c r="Y462" s="129">
        <v>907.62032085561532</v>
      </c>
      <c r="Z462" s="129">
        <v>907.62032085561532</v>
      </c>
      <c r="AA462" s="129">
        <v>907.62032085561532</v>
      </c>
      <c r="AB462" s="1825">
        <v>907.62</v>
      </c>
      <c r="AC462" s="3364">
        <v>907.62</v>
      </c>
      <c r="AD462" s="2099"/>
      <c r="AE462" s="2099"/>
      <c r="AF462" s="2099"/>
      <c r="AG462" s="2099"/>
      <c r="AH462" s="2100"/>
      <c r="AI462" s="3227" t="s">
        <v>181</v>
      </c>
      <c r="AJ462" s="64">
        <v>11</v>
      </c>
      <c r="AK462" s="64">
        <v>11</v>
      </c>
      <c r="AL462" s="64">
        <v>11</v>
      </c>
      <c r="AM462" s="64">
        <v>11</v>
      </c>
      <c r="AN462" s="64">
        <v>11</v>
      </c>
      <c r="AO462" s="2095">
        <v>11</v>
      </c>
      <c r="AP462" s="2101">
        <v>11</v>
      </c>
      <c r="AQ462" s="2099"/>
      <c r="AR462" s="2099"/>
      <c r="AS462" s="2099"/>
      <c r="AT462" s="1933"/>
      <c r="AU462" s="3227" t="s">
        <v>170</v>
      </c>
      <c r="AV462" s="2102">
        <v>200</v>
      </c>
      <c r="AW462" s="2102">
        <v>200</v>
      </c>
      <c r="AX462" s="2102">
        <v>200</v>
      </c>
      <c r="AY462" s="2102">
        <v>200</v>
      </c>
      <c r="AZ462" s="2102">
        <v>200</v>
      </c>
      <c r="BA462" s="2103">
        <v>200</v>
      </c>
      <c r="BB462" s="2103">
        <v>200</v>
      </c>
      <c r="BC462" s="2099"/>
      <c r="BD462" s="2099"/>
      <c r="BE462" s="2099"/>
      <c r="BF462" s="1933"/>
      <c r="BG462" s="1933"/>
      <c r="BH462" s="1933"/>
      <c r="BI462" s="1933"/>
      <c r="BJ462" s="1933"/>
      <c r="BK462" s="1933"/>
      <c r="BL462" s="1933"/>
      <c r="BM462" s="1931"/>
      <c r="BN462" s="1931"/>
      <c r="BO462" s="1931"/>
      <c r="BP462" s="1931"/>
      <c r="BQ462" s="1931"/>
      <c r="BR462" s="1931"/>
      <c r="BS462" s="1931"/>
      <c r="BT462" s="1931"/>
      <c r="BU462" s="1931"/>
      <c r="BV462" s="1931"/>
      <c r="BW462" s="1931"/>
      <c r="BX462" s="1931"/>
      <c r="BY462" s="1931"/>
      <c r="BZ462" s="1931"/>
      <c r="CA462" s="1931"/>
      <c r="CB462" s="1931"/>
      <c r="CC462" s="1931"/>
      <c r="CD462" s="1931"/>
      <c r="CE462" s="1930"/>
      <c r="CF462" s="1930"/>
      <c r="CG462" s="1930"/>
      <c r="CH462" s="1930"/>
      <c r="CI462" s="1931"/>
      <c r="CJ462" s="1931"/>
      <c r="CK462" s="1931"/>
      <c r="CL462" s="1931"/>
      <c r="CM462" s="1931"/>
      <c r="CN462" s="1931"/>
      <c r="CO462" s="1931"/>
      <c r="CP462" s="1931"/>
      <c r="CQ462" s="1931"/>
      <c r="CR462" s="1931"/>
      <c r="CS462" s="1931"/>
      <c r="CT462" s="1930"/>
      <c r="CU462" s="1930"/>
      <c r="CV462" s="1930"/>
      <c r="CW462" s="1930"/>
      <c r="CX462" s="1931"/>
      <c r="CY462" s="1931"/>
      <c r="CZ462" s="1931"/>
      <c r="DA462" s="1931"/>
      <c r="DB462" s="1945">
        <f>(DD462)/(DE462)</f>
        <v>1.9297176618985081</v>
      </c>
      <c r="DC462" s="3166" t="str">
        <f>CONCATENATE(G462," ",J462," Year EUL")</f>
        <v>Miscellaneous BUS 11 Year EUL</v>
      </c>
      <c r="DD462" s="69">
        <f>(INDEX('Avoided Cost Benefits'!$C$4:$C$857,MATCH(DC462,'Avoided Cost Benefits'!$A$4:$A$857,0)))*F462</f>
        <v>364.26949729089341</v>
      </c>
      <c r="DE462" s="1946">
        <f>K462/(1.0595^(2020-2019))</f>
        <v>188.76828692779611</v>
      </c>
    </row>
    <row r="463" spans="2:112" x14ac:dyDescent="0.25">
      <c r="B463" s="1931"/>
      <c r="C463" s="2462" t="s">
        <v>2979</v>
      </c>
      <c r="D463" s="1363" t="s">
        <v>2646</v>
      </c>
      <c r="E463" s="1308" t="s">
        <v>2980</v>
      </c>
      <c r="F463" s="1959">
        <f>ROUND(((F476*(1/G476)*I476)*(J476+(L476*P476)+(N476*Q476)))-((F476*(1/H476)*I476)*(K476+(M476*P476)+(O476*Q476))),2)</f>
        <v>308.41000000000003</v>
      </c>
      <c r="G463" s="1290" t="s">
        <v>2671</v>
      </c>
      <c r="H463" s="1291">
        <f>VLOOKUP(G463,'CP FACTORS'!$A$26:$B$38,2,FALSE)</f>
        <v>1.379439E-4</v>
      </c>
      <c r="I463" s="1309">
        <f>ROUND(H463*F463,6)</f>
        <v>4.2542999999999997E-2</v>
      </c>
      <c r="J463" s="1354">
        <v>11</v>
      </c>
      <c r="K463" s="1310">
        <v>200</v>
      </c>
      <c r="L463" s="1374" t="s">
        <v>185</v>
      </c>
      <c r="M463" s="1965"/>
      <c r="N463" s="1965"/>
      <c r="O463" s="1965"/>
      <c r="P463" s="1965"/>
      <c r="Q463" s="1965"/>
      <c r="R463" s="1965"/>
      <c r="S463" s="1965"/>
      <c r="T463" s="1965"/>
      <c r="U463" s="1965"/>
      <c r="V463" s="3227" t="s">
        <v>31</v>
      </c>
      <c r="W463" s="129">
        <v>308.40938502673907</v>
      </c>
      <c r="X463" s="129">
        <v>308.40938502673907</v>
      </c>
      <c r="Y463" s="129">
        <v>308.40938502673907</v>
      </c>
      <c r="Z463" s="129">
        <v>308.40938502673907</v>
      </c>
      <c r="AA463" s="129">
        <v>308.40938502673907</v>
      </c>
      <c r="AB463" s="1825">
        <v>308.41000000000003</v>
      </c>
      <c r="AC463" s="3364">
        <v>308.41000000000003</v>
      </c>
      <c r="AD463" s="2099"/>
      <c r="AE463" s="2099"/>
      <c r="AF463" s="2099"/>
      <c r="AG463" s="2099"/>
      <c r="AH463" s="2100"/>
      <c r="AI463" s="3227" t="s">
        <v>181</v>
      </c>
      <c r="AJ463" s="64">
        <v>11</v>
      </c>
      <c r="AK463" s="64">
        <v>11</v>
      </c>
      <c r="AL463" s="64">
        <v>11</v>
      </c>
      <c r="AM463" s="64">
        <v>11</v>
      </c>
      <c r="AN463" s="64">
        <v>11</v>
      </c>
      <c r="AO463" s="2095">
        <v>11</v>
      </c>
      <c r="AP463" s="2101">
        <v>11</v>
      </c>
      <c r="AQ463" s="2099"/>
      <c r="AR463" s="2099"/>
      <c r="AS463" s="2099"/>
      <c r="AT463" s="1933"/>
      <c r="AU463" s="3227" t="s">
        <v>170</v>
      </c>
      <c r="AV463" s="2102">
        <v>200</v>
      </c>
      <c r="AW463" s="2102">
        <v>200</v>
      </c>
      <c r="AX463" s="2102">
        <v>200</v>
      </c>
      <c r="AY463" s="2102">
        <v>200</v>
      </c>
      <c r="AZ463" s="2102">
        <v>200</v>
      </c>
      <c r="BA463" s="2103">
        <v>200</v>
      </c>
      <c r="BB463" s="2103">
        <v>200</v>
      </c>
      <c r="BC463" s="2099"/>
      <c r="BD463" s="2099"/>
      <c r="BE463" s="2099"/>
      <c r="BF463" s="1933"/>
      <c r="BG463" s="1933"/>
      <c r="BH463" s="1933"/>
      <c r="BI463" s="1933"/>
      <c r="BJ463" s="1933"/>
      <c r="BK463" s="1933"/>
      <c r="BL463" s="1933"/>
      <c r="BM463" s="1931"/>
      <c r="BN463" s="1931"/>
      <c r="BO463" s="1931"/>
      <c r="BP463" s="1931"/>
      <c r="BQ463" s="1931"/>
      <c r="BR463" s="1931"/>
      <c r="BS463" s="1931"/>
      <c r="BT463" s="1931"/>
      <c r="BU463" s="1931"/>
      <c r="BV463" s="1931"/>
      <c r="BW463" s="1931"/>
      <c r="BX463" s="1931"/>
      <c r="BY463" s="1931"/>
      <c r="BZ463" s="1931"/>
      <c r="CA463" s="1931"/>
      <c r="CB463" s="1931"/>
      <c r="CC463" s="1931"/>
      <c r="CD463" s="1931"/>
      <c r="CE463" s="1930"/>
      <c r="CF463" s="1930"/>
      <c r="CG463" s="1930"/>
      <c r="CH463" s="1930"/>
      <c r="CI463" s="1931"/>
      <c r="CJ463" s="1931"/>
      <c r="CK463" s="1931"/>
      <c r="CL463" s="1931"/>
      <c r="CM463" s="1931"/>
      <c r="CN463" s="1931"/>
      <c r="CO463" s="1931"/>
      <c r="CP463" s="1931"/>
      <c r="CQ463" s="1931"/>
      <c r="CR463" s="1931"/>
      <c r="CS463" s="1931"/>
      <c r="CT463" s="1930"/>
      <c r="CU463" s="1930"/>
      <c r="CV463" s="1930"/>
      <c r="CW463" s="1930"/>
      <c r="CX463" s="1931"/>
      <c r="CY463" s="1931"/>
      <c r="CZ463" s="1931"/>
      <c r="DA463" s="1931"/>
      <c r="DB463" s="52">
        <f>(DD463)/(DE463)</f>
        <v>0.65571960083087522</v>
      </c>
      <c r="DC463" s="1948" t="str">
        <f>CONCATENATE(G463," ",J463," Year EUL")</f>
        <v>Miscellaneous BUS 11 Year EUL</v>
      </c>
      <c r="DD463" s="70">
        <f>(INDEX('Avoided Cost Benefits'!$C$4:$C$857,MATCH(DC463,'Avoided Cost Benefits'!$A$4:$A$857,0)))*F463</f>
        <v>123.77906575382258</v>
      </c>
      <c r="DE463" s="1949">
        <f>K463/(1.0595^(2020-2019))</f>
        <v>188.76828692779611</v>
      </c>
    </row>
    <row r="464" spans="2:112" x14ac:dyDescent="0.25">
      <c r="B464" s="1931"/>
      <c r="C464" s="2462" t="s">
        <v>2981</v>
      </c>
      <c r="D464" s="1363" t="s">
        <v>2646</v>
      </c>
      <c r="E464" s="1308" t="s">
        <v>2982</v>
      </c>
      <c r="F464" s="1959">
        <f>ROUND(((F477*(1/G477)*I477)*(J477+(L477*P477)+(N477*Q477)))-((F477*(1/H477)*I477)*(K477+(M477*P477)+(O477*Q477))),2)</f>
        <v>750.78</v>
      </c>
      <c r="G464" s="1290" t="s">
        <v>2671</v>
      </c>
      <c r="H464" s="1291">
        <f>VLOOKUP(G464,'CP FACTORS'!$A$26:$B$38,2,FALSE)</f>
        <v>1.379439E-4</v>
      </c>
      <c r="I464" s="1309">
        <f>ROUND(H464*F464,6)</f>
        <v>0.10356600000000001</v>
      </c>
      <c r="J464" s="1354">
        <v>11</v>
      </c>
      <c r="K464" s="1310">
        <v>200</v>
      </c>
      <c r="L464" s="1374" t="s">
        <v>185</v>
      </c>
      <c r="M464" s="1965"/>
      <c r="N464" s="1965"/>
      <c r="O464" s="1965"/>
      <c r="P464" s="1965"/>
      <c r="Q464" s="1965"/>
      <c r="R464" s="1965"/>
      <c r="S464" s="1965"/>
      <c r="T464" s="1965"/>
      <c r="U464" s="1965"/>
      <c r="V464" s="3227" t="s">
        <v>31</v>
      </c>
      <c r="W464" s="129">
        <v>750.78352941176479</v>
      </c>
      <c r="X464" s="129">
        <v>750.78352941176479</v>
      </c>
      <c r="Y464" s="129">
        <v>750.78352941176479</v>
      </c>
      <c r="Z464" s="129">
        <v>750.78352941176479</v>
      </c>
      <c r="AA464" s="129">
        <v>750.78352941176479</v>
      </c>
      <c r="AB464" s="1825">
        <v>750.78</v>
      </c>
      <c r="AC464" s="3364">
        <v>750.78</v>
      </c>
      <c r="AD464" s="2099"/>
      <c r="AE464" s="2099"/>
      <c r="AF464" s="2099"/>
      <c r="AG464" s="2099"/>
      <c r="AH464" s="2100"/>
      <c r="AI464" s="3227" t="s">
        <v>181</v>
      </c>
      <c r="AJ464" s="64">
        <v>11</v>
      </c>
      <c r="AK464" s="64">
        <v>11</v>
      </c>
      <c r="AL464" s="64">
        <v>11</v>
      </c>
      <c r="AM464" s="64">
        <v>11</v>
      </c>
      <c r="AN464" s="64">
        <v>11</v>
      </c>
      <c r="AO464" s="2095">
        <v>11</v>
      </c>
      <c r="AP464" s="2101">
        <v>11</v>
      </c>
      <c r="AQ464" s="2099"/>
      <c r="AR464" s="2099"/>
      <c r="AS464" s="2099"/>
      <c r="AT464" s="1933"/>
      <c r="AU464" s="3227" t="s">
        <v>170</v>
      </c>
      <c r="AV464" s="2102">
        <v>200</v>
      </c>
      <c r="AW464" s="2102">
        <v>200</v>
      </c>
      <c r="AX464" s="2102">
        <v>200</v>
      </c>
      <c r="AY464" s="2102">
        <v>200</v>
      </c>
      <c r="AZ464" s="2102">
        <v>200</v>
      </c>
      <c r="BA464" s="2103">
        <v>200</v>
      </c>
      <c r="BB464" s="2103">
        <v>200</v>
      </c>
      <c r="BC464" s="2099"/>
      <c r="BD464" s="2099"/>
      <c r="BE464" s="2099"/>
      <c r="BF464" s="1933"/>
      <c r="BG464" s="1933"/>
      <c r="BH464" s="1933"/>
      <c r="BI464" s="1933"/>
      <c r="BJ464" s="1933"/>
      <c r="BK464" s="1933"/>
      <c r="BL464" s="1933"/>
      <c r="BM464" s="1931"/>
      <c r="BN464" s="1931"/>
      <c r="BO464" s="1931"/>
      <c r="BP464" s="1931"/>
      <c r="BQ464" s="1931"/>
      <c r="BR464" s="1931"/>
      <c r="BS464" s="1931"/>
      <c r="BT464" s="1931"/>
      <c r="BU464" s="1931"/>
      <c r="BV464" s="1931"/>
      <c r="BW464" s="1931"/>
      <c r="BX464" s="1931"/>
      <c r="BY464" s="1931"/>
      <c r="BZ464" s="1931"/>
      <c r="CA464" s="1931"/>
      <c r="CB464" s="1931"/>
      <c r="CC464" s="1931"/>
      <c r="CD464" s="1931"/>
      <c r="CE464" s="1930"/>
      <c r="CF464" s="1930"/>
      <c r="CG464" s="1930"/>
      <c r="CH464" s="1930"/>
      <c r="CI464" s="1931"/>
      <c r="CJ464" s="1931"/>
      <c r="CK464" s="1931"/>
      <c r="CL464" s="1931"/>
      <c r="CM464" s="1931"/>
      <c r="CN464" s="1931"/>
      <c r="CO464" s="1931"/>
      <c r="CP464" s="1931"/>
      <c r="CQ464" s="1931"/>
      <c r="CR464" s="1931"/>
      <c r="CS464" s="1931"/>
      <c r="CT464" s="1930"/>
      <c r="CU464" s="1930"/>
      <c r="CV464" s="1930"/>
      <c r="CW464" s="1930"/>
      <c r="CX464" s="1931"/>
      <c r="CY464" s="1931"/>
      <c r="CZ464" s="1931"/>
      <c r="DA464" s="1931"/>
      <c r="DB464" s="52">
        <f>(DD464)/(DE464)</f>
        <v>1.5962555102357394</v>
      </c>
      <c r="DC464" s="1948" t="str">
        <f>CONCATENATE(G464," ",J464," Year EUL")</f>
        <v>Miscellaneous BUS 11 Year EUL</v>
      </c>
      <c r="DD464" s="70">
        <f>(INDEX('Avoided Cost Benefits'!$C$4:$C$857,MATCH(DC464,'Avoided Cost Benefits'!$A$4:$A$857,0)))*F464</f>
        <v>301.32241816625566</v>
      </c>
      <c r="DE464" s="1949">
        <f>K464/(1.0595^(2020-2019))</f>
        <v>188.76828692779611</v>
      </c>
    </row>
    <row r="465" spans="2:109" x14ac:dyDescent="0.25">
      <c r="B465" s="1931"/>
      <c r="C465" s="2462" t="s">
        <v>2983</v>
      </c>
      <c r="D465" s="1363" t="s">
        <v>2646</v>
      </c>
      <c r="E465" s="1308" t="s">
        <v>2984</v>
      </c>
      <c r="F465" s="1959">
        <f>ROUND(((F478*(1/G478)*I478)*(J478+(L478*P478)+(N478*Q478)))-((F478*(1/H478)*I478)*(K478+(M478*P478)+(O478*Q478))),2)</f>
        <v>151.57</v>
      </c>
      <c r="G465" s="1290" t="s">
        <v>2671</v>
      </c>
      <c r="H465" s="1291">
        <f>VLOOKUP(G465,'CP FACTORS'!$A$26:$B$38,2,FALSE)</f>
        <v>1.379439E-4</v>
      </c>
      <c r="I465" s="1309">
        <f>ROUND(H465*F465,6)</f>
        <v>2.0908E-2</v>
      </c>
      <c r="J465" s="1354">
        <v>11</v>
      </c>
      <c r="K465" s="1310">
        <v>200</v>
      </c>
      <c r="L465" s="1374" t="s">
        <v>185</v>
      </c>
      <c r="M465" s="1965"/>
      <c r="N465" s="1965"/>
      <c r="O465" s="1965"/>
      <c r="P465" s="1965"/>
      <c r="Q465" s="1965"/>
      <c r="R465" s="1965"/>
      <c r="S465" s="1965"/>
      <c r="T465" s="1965"/>
      <c r="U465" s="1965"/>
      <c r="V465" s="3227" t="s">
        <v>31</v>
      </c>
      <c r="W465" s="129">
        <v>151.57259358288775</v>
      </c>
      <c r="X465" s="129">
        <v>151.57259358288775</v>
      </c>
      <c r="Y465" s="129">
        <v>151.57259358288775</v>
      </c>
      <c r="Z465" s="129">
        <v>151.57259358288775</v>
      </c>
      <c r="AA465" s="129">
        <v>151.57259358288775</v>
      </c>
      <c r="AB465" s="1825">
        <v>151.57</v>
      </c>
      <c r="AC465" s="3364">
        <v>151.57</v>
      </c>
      <c r="AD465" s="2099"/>
      <c r="AE465" s="2099"/>
      <c r="AF465" s="2099"/>
      <c r="AG465" s="2099"/>
      <c r="AH465" s="2100"/>
      <c r="AI465" s="3227" t="s">
        <v>181</v>
      </c>
      <c r="AJ465" s="64">
        <v>11</v>
      </c>
      <c r="AK465" s="64">
        <v>11</v>
      </c>
      <c r="AL465" s="64">
        <v>11</v>
      </c>
      <c r="AM465" s="64">
        <v>11</v>
      </c>
      <c r="AN465" s="64">
        <v>11</v>
      </c>
      <c r="AO465" s="2095">
        <v>11</v>
      </c>
      <c r="AP465" s="2101">
        <v>11</v>
      </c>
      <c r="AQ465" s="2099"/>
      <c r="AR465" s="2099"/>
      <c r="AS465" s="2099"/>
      <c r="AT465" s="1933"/>
      <c r="AU465" s="3227" t="s">
        <v>170</v>
      </c>
      <c r="AV465" s="2102">
        <v>200</v>
      </c>
      <c r="AW465" s="2102">
        <v>200</v>
      </c>
      <c r="AX465" s="2102">
        <v>200</v>
      </c>
      <c r="AY465" s="2102">
        <v>200</v>
      </c>
      <c r="AZ465" s="2102">
        <v>200</v>
      </c>
      <c r="BA465" s="2103">
        <v>200</v>
      </c>
      <c r="BB465" s="2103">
        <v>200</v>
      </c>
      <c r="BC465" s="2099"/>
      <c r="BD465" s="2099"/>
      <c r="BE465" s="2099"/>
      <c r="BF465" s="1933"/>
      <c r="BG465" s="1933"/>
      <c r="BH465" s="1933"/>
      <c r="BI465" s="1933"/>
      <c r="BJ465" s="1933"/>
      <c r="BK465" s="1933"/>
      <c r="BL465" s="1933"/>
      <c r="BM465" s="1931"/>
      <c r="BN465" s="1931"/>
      <c r="BO465" s="1931"/>
      <c r="BP465" s="1931"/>
      <c r="BQ465" s="1931"/>
      <c r="BR465" s="1931"/>
      <c r="BS465" s="1931"/>
      <c r="BT465" s="1931"/>
      <c r="BU465" s="1931"/>
      <c r="BV465" s="1931"/>
      <c r="BW465" s="1931"/>
      <c r="BX465" s="1931"/>
      <c r="BY465" s="1931"/>
      <c r="BZ465" s="1931"/>
      <c r="CA465" s="1931"/>
      <c r="CB465" s="1931"/>
      <c r="CC465" s="1931"/>
      <c r="CD465" s="1931"/>
      <c r="CE465" s="1930"/>
      <c r="CF465" s="1930"/>
      <c r="CG465" s="1930"/>
      <c r="CH465" s="1930"/>
      <c r="CI465" s="1931"/>
      <c r="CJ465" s="1931"/>
      <c r="CK465" s="1931"/>
      <c r="CL465" s="1931"/>
      <c r="CM465" s="1931"/>
      <c r="CN465" s="1931"/>
      <c r="CO465" s="1931"/>
      <c r="CP465" s="1931"/>
      <c r="CQ465" s="1931"/>
      <c r="CR465" s="1931"/>
      <c r="CS465" s="1931"/>
      <c r="CT465" s="1930"/>
      <c r="CU465" s="1930"/>
      <c r="CV465" s="1930"/>
      <c r="CW465" s="1930"/>
      <c r="CX465" s="1931"/>
      <c r="CY465" s="1931"/>
      <c r="CZ465" s="1931"/>
      <c r="DA465" s="1931"/>
      <c r="DB465" s="53">
        <f>(DD465)/(DE465)</f>
        <v>0.32225744916810656</v>
      </c>
      <c r="DC465" s="1948" t="str">
        <f>CONCATENATE(G465," ",J465," Year EUL")</f>
        <v>Miscellaneous BUS 11 Year EUL</v>
      </c>
      <c r="DD465" s="71">
        <f>(INDEX('Avoided Cost Benefits'!$C$4:$C$857,MATCH(DC465,'Avoided Cost Benefits'!$A$4:$A$857,0)))*F465</f>
        <v>60.831986629184811</v>
      </c>
      <c r="DE465" s="1950">
        <f>K465/(1.0595^(2020-2019))</f>
        <v>188.76828692779611</v>
      </c>
    </row>
    <row r="466" spans="2:109" hidden="1" outlineLevel="1" x14ac:dyDescent="0.25">
      <c r="B466" s="1931"/>
      <c r="D466" s="1966"/>
      <c r="E466" s="1966"/>
      <c r="F466" s="1966"/>
      <c r="G466" s="1966"/>
      <c r="H466" s="1299"/>
      <c r="I466" s="1966"/>
      <c r="J466" s="1966"/>
      <c r="K466" s="1966"/>
      <c r="L466" s="1965"/>
      <c r="M466" s="1965"/>
      <c r="N466" s="1965"/>
      <c r="O466" s="1965"/>
      <c r="P466" s="1965"/>
      <c r="Q466" s="1965"/>
      <c r="R466" s="1965"/>
      <c r="S466" s="1965"/>
      <c r="T466" s="1965"/>
      <c r="U466" s="1965"/>
      <c r="V466" s="1933"/>
      <c r="W466" s="1933"/>
      <c r="X466" s="1933"/>
      <c r="Y466" s="1933"/>
      <c r="Z466" s="1933"/>
      <c r="AA466" s="1933"/>
      <c r="AB466" s="1933"/>
      <c r="AC466" s="1933"/>
      <c r="AD466" s="1933"/>
      <c r="AE466" s="1933"/>
      <c r="AF466" s="1933"/>
      <c r="AG466" s="1933"/>
      <c r="AH466" s="1933"/>
      <c r="AI466" s="1933"/>
      <c r="AJ466" s="1933"/>
      <c r="AK466" s="1933"/>
      <c r="AL466" s="1933"/>
      <c r="AM466" s="1933"/>
      <c r="AN466" s="1933"/>
      <c r="AO466" s="1933"/>
      <c r="AP466" s="1933"/>
      <c r="AQ466" s="1933"/>
      <c r="AR466" s="1933"/>
      <c r="AS466" s="1933"/>
      <c r="AT466" s="1933"/>
      <c r="AU466" s="1933"/>
      <c r="AV466" s="1933"/>
      <c r="AW466" s="1933"/>
      <c r="AX466" s="1933"/>
      <c r="AY466" s="1933"/>
      <c r="AZ466" s="1933"/>
      <c r="BA466" s="1933"/>
      <c r="BB466" s="1933"/>
      <c r="BC466" s="1933"/>
      <c r="BD466" s="1933"/>
      <c r="BE466" s="1933"/>
      <c r="BF466" s="1933"/>
      <c r="BG466" s="1933"/>
      <c r="BH466" s="1933"/>
      <c r="BI466" s="1933"/>
      <c r="BJ466" s="1933"/>
      <c r="BK466" s="1933"/>
      <c r="BL466" s="1933"/>
      <c r="BM466" s="1931"/>
      <c r="BN466" s="1931"/>
      <c r="BO466" s="1931"/>
      <c r="BP466" s="1931"/>
      <c r="BQ466" s="1931"/>
      <c r="BR466" s="1931"/>
      <c r="BS466" s="1931"/>
      <c r="BT466" s="1931"/>
      <c r="BU466" s="1931"/>
      <c r="BV466" s="1931"/>
      <c r="BW466" s="1931"/>
      <c r="BX466" s="1931"/>
      <c r="BY466" s="1931"/>
      <c r="BZ466" s="1931"/>
      <c r="CA466" s="1931"/>
      <c r="CB466" s="1931"/>
      <c r="CC466" s="1931"/>
      <c r="CD466" s="1931"/>
      <c r="CE466" s="1930"/>
      <c r="CF466" s="1930"/>
      <c r="CG466" s="1930"/>
      <c r="CH466" s="1930"/>
      <c r="CI466" s="1931"/>
      <c r="CJ466" s="1931"/>
      <c r="CK466" s="1931"/>
      <c r="CL466" s="1931"/>
      <c r="CM466" s="1931"/>
      <c r="CN466" s="1931"/>
      <c r="CO466" s="1931"/>
      <c r="CP466" s="1931"/>
      <c r="CQ466" s="1931"/>
      <c r="CR466" s="1931"/>
      <c r="CS466" s="1931"/>
      <c r="CT466" s="1930"/>
      <c r="CU466" s="1930"/>
      <c r="CV466" s="1930"/>
      <c r="CW466" s="1930"/>
      <c r="CX466" s="1931"/>
      <c r="CY466" s="1931"/>
      <c r="CZ466" s="1931"/>
      <c r="DA466" s="1931"/>
      <c r="DB466" s="1932"/>
      <c r="DC466" s="1931"/>
      <c r="DD466" s="1931"/>
      <c r="DE466" s="1931"/>
    </row>
    <row r="467" spans="2:109" hidden="1" outlineLevel="1" x14ac:dyDescent="0.25">
      <c r="B467" s="1931"/>
      <c r="D467" s="1966" t="s">
        <v>2689</v>
      </c>
      <c r="E467" s="1966"/>
      <c r="F467" s="1966"/>
      <c r="G467" s="1966"/>
      <c r="H467" s="1299"/>
      <c r="I467" s="1966"/>
      <c r="J467" s="1966"/>
      <c r="K467" s="1966"/>
      <c r="L467" s="1965"/>
      <c r="M467" s="1965"/>
      <c r="N467" s="1965"/>
      <c r="O467" s="1965"/>
      <c r="P467" s="1965"/>
      <c r="Q467" s="1965"/>
      <c r="R467" s="1965"/>
      <c r="S467" s="1965"/>
      <c r="T467" s="1965"/>
      <c r="U467" s="1965"/>
      <c r="V467" s="1933"/>
      <c r="W467" s="1933"/>
      <c r="X467" s="1933"/>
      <c r="Y467" s="1933"/>
      <c r="Z467" s="1933"/>
      <c r="AA467" s="1933"/>
      <c r="AB467" s="1933"/>
      <c r="AC467" s="1933"/>
      <c r="AD467" s="1933"/>
      <c r="AE467" s="1933"/>
      <c r="AF467" s="1933"/>
      <c r="AG467" s="1933"/>
      <c r="AH467" s="1933"/>
      <c r="AI467" s="1933"/>
      <c r="AJ467" s="1933"/>
      <c r="AK467" s="1933"/>
      <c r="AL467" s="1933"/>
      <c r="AM467" s="1933"/>
      <c r="AN467" s="1933"/>
      <c r="AO467" s="1933"/>
      <c r="AP467" s="1933"/>
      <c r="AQ467" s="1933"/>
      <c r="AR467" s="1933"/>
      <c r="AS467" s="1933"/>
      <c r="AT467" s="1933"/>
      <c r="AU467" s="1933"/>
      <c r="AV467" s="1933"/>
      <c r="AW467" s="1933"/>
      <c r="AX467" s="1933"/>
      <c r="AY467" s="1933"/>
      <c r="AZ467" s="1933"/>
      <c r="BA467" s="1933"/>
      <c r="BB467" s="1933"/>
      <c r="BC467" s="1933"/>
      <c r="BD467" s="1933"/>
      <c r="BE467" s="1933"/>
      <c r="BF467" s="1933"/>
      <c r="BG467" s="1933"/>
      <c r="BH467" s="1933"/>
      <c r="BI467" s="1933"/>
      <c r="BJ467" s="1933"/>
      <c r="BK467" s="1933"/>
      <c r="BL467" s="1933"/>
      <c r="BM467" s="1931"/>
      <c r="BN467" s="1931"/>
      <c r="BO467" s="1931"/>
      <c r="BP467" s="1931"/>
      <c r="BQ467" s="1931"/>
      <c r="BR467" s="1931"/>
      <c r="BS467" s="1931"/>
      <c r="BT467" s="1931"/>
      <c r="BU467" s="1931"/>
      <c r="BV467" s="1931"/>
      <c r="BW467" s="1931"/>
      <c r="BX467" s="1931"/>
      <c r="BY467" s="1931"/>
      <c r="BZ467" s="1931"/>
      <c r="CA467" s="1931"/>
      <c r="CB467" s="1931"/>
      <c r="CC467" s="1931"/>
      <c r="CD467" s="1931"/>
      <c r="CE467" s="1930"/>
      <c r="CF467" s="1930"/>
      <c r="CG467" s="1930"/>
      <c r="CH467" s="1930"/>
      <c r="CI467" s="1931"/>
      <c r="CJ467" s="1931"/>
      <c r="CK467" s="1931"/>
      <c r="CL467" s="1931"/>
      <c r="CM467" s="1931"/>
      <c r="CN467" s="1931"/>
      <c r="CO467" s="1931"/>
      <c r="CP467" s="1931"/>
      <c r="CQ467" s="1931"/>
      <c r="CR467" s="1931"/>
      <c r="CS467" s="1931"/>
      <c r="CT467" s="1930"/>
      <c r="CU467" s="1930"/>
      <c r="CV467" s="1930"/>
      <c r="CW467" s="1930"/>
      <c r="CX467" s="1931"/>
      <c r="CY467" s="1931"/>
      <c r="CZ467" s="1931"/>
      <c r="DA467" s="1931"/>
      <c r="DB467" s="1932"/>
      <c r="DC467" s="1931"/>
      <c r="DD467" s="1931"/>
      <c r="DE467" s="1931"/>
    </row>
    <row r="468" spans="2:109" hidden="1" outlineLevel="1" x14ac:dyDescent="0.25">
      <c r="B468" s="1931"/>
      <c r="D468" s="1300"/>
      <c r="E468" s="1965"/>
      <c r="F468" s="1965"/>
      <c r="G468" s="1321"/>
      <c r="H468" s="1322"/>
      <c r="I468" s="1965"/>
      <c r="J468" s="1965"/>
      <c r="K468" s="1965"/>
      <c r="L468" s="1965"/>
      <c r="M468" s="1965"/>
      <c r="N468" s="1965"/>
      <c r="O468" s="1965"/>
      <c r="P468" s="1965"/>
      <c r="Q468" s="1965"/>
      <c r="R468" s="1965"/>
      <c r="S468" s="1965"/>
      <c r="T468" s="1965"/>
      <c r="U468" s="1965"/>
      <c r="V468" s="1933"/>
      <c r="W468" s="1933"/>
      <c r="X468" s="1933"/>
      <c r="Y468" s="1933"/>
      <c r="Z468" s="1933"/>
      <c r="AA468" s="1933"/>
      <c r="AB468" s="1933"/>
      <c r="AC468" s="1933"/>
      <c r="AD468" s="1933"/>
      <c r="AE468" s="1933"/>
      <c r="AF468" s="1933"/>
      <c r="AG468" s="1933"/>
      <c r="AH468" s="1933"/>
      <c r="AI468" s="1933"/>
      <c r="AJ468" s="1933"/>
      <c r="AK468" s="1933"/>
      <c r="AL468" s="1933"/>
      <c r="AM468" s="1933"/>
      <c r="AN468" s="1933"/>
      <c r="AO468" s="1933"/>
      <c r="AP468" s="1933"/>
      <c r="AQ468" s="1933"/>
      <c r="AR468" s="1933"/>
      <c r="AS468" s="1933"/>
      <c r="AT468" s="1933"/>
      <c r="AU468" s="1933"/>
      <c r="AV468" s="1933"/>
      <c r="AW468" s="1933"/>
      <c r="AX468" s="1933"/>
      <c r="AY468" s="1933"/>
      <c r="AZ468" s="1933"/>
      <c r="BA468" s="1933"/>
      <c r="BB468" s="1933"/>
      <c r="BC468" s="1933"/>
      <c r="BD468" s="1933"/>
      <c r="BE468" s="1933"/>
      <c r="BF468" s="1933"/>
      <c r="BG468" s="1933"/>
      <c r="BH468" s="1933"/>
      <c r="BI468" s="1933"/>
      <c r="BJ468" s="1933"/>
      <c r="BK468" s="1933"/>
      <c r="BL468" s="1933"/>
      <c r="BM468" s="1931"/>
      <c r="BN468" s="1931"/>
      <c r="BO468" s="1931"/>
      <c r="BP468" s="1931"/>
      <c r="BQ468" s="1931"/>
      <c r="BR468" s="1931"/>
      <c r="BS468" s="1931"/>
      <c r="BT468" s="1931"/>
      <c r="BU468" s="1931"/>
      <c r="BV468" s="1931"/>
      <c r="BW468" s="1931"/>
      <c r="BX468" s="1931"/>
      <c r="BY468" s="1931"/>
      <c r="BZ468" s="1931"/>
      <c r="CA468" s="1931"/>
      <c r="CB468" s="1931"/>
      <c r="CC468" s="1931"/>
      <c r="CD468" s="1931"/>
      <c r="CE468" s="1930"/>
      <c r="CF468" s="1930"/>
      <c r="CG468" s="1930"/>
      <c r="CH468" s="1930"/>
      <c r="CI468" s="1931"/>
      <c r="CJ468" s="1931"/>
      <c r="CK468" s="1931"/>
      <c r="CL468" s="1931"/>
      <c r="CM468" s="1931"/>
      <c r="CN468" s="1931"/>
      <c r="CO468" s="1931"/>
      <c r="CP468" s="1931"/>
      <c r="CQ468" s="1931"/>
      <c r="CR468" s="1931"/>
      <c r="CS468" s="1931"/>
      <c r="CT468" s="1930"/>
      <c r="CU468" s="1930"/>
      <c r="CV468" s="1930"/>
      <c r="CW468" s="1930"/>
      <c r="CX468" s="1931"/>
      <c r="CY468" s="1931"/>
      <c r="CZ468" s="1931"/>
      <c r="DA468" s="1931"/>
      <c r="DB468" s="1932"/>
      <c r="DC468" s="1931"/>
      <c r="DD468" s="1931"/>
      <c r="DE468" s="1931"/>
    </row>
    <row r="469" spans="2:109" hidden="1" outlineLevel="1" x14ac:dyDescent="0.25">
      <c r="B469" s="1931"/>
      <c r="D469" s="1355"/>
      <c r="E469" s="874"/>
      <c r="F469" s="1965"/>
      <c r="G469" s="1321"/>
      <c r="H469" s="1322"/>
      <c r="I469" s="1965"/>
      <c r="J469" s="1965"/>
      <c r="K469" s="1965"/>
      <c r="L469" s="1965"/>
      <c r="M469" s="1965"/>
      <c r="N469" s="1965"/>
      <c r="O469" s="1965"/>
      <c r="P469" s="1965"/>
      <c r="Q469" s="1965"/>
      <c r="R469" s="1965"/>
      <c r="S469" s="1965"/>
      <c r="T469" s="1965"/>
      <c r="U469" s="1965"/>
      <c r="V469" s="1931"/>
      <c r="W469" s="1931"/>
      <c r="X469" s="1931"/>
      <c r="Y469" s="1931"/>
      <c r="Z469" s="1931"/>
      <c r="AA469" s="1931"/>
      <c r="AB469" s="1931"/>
      <c r="AC469" s="1931"/>
      <c r="AD469" s="1931"/>
      <c r="AE469" s="1931"/>
      <c r="AF469" s="1931"/>
      <c r="AG469" s="1931"/>
      <c r="AH469" s="1931"/>
      <c r="AI469" s="1931"/>
      <c r="AJ469" s="1931"/>
      <c r="AK469" s="1931"/>
      <c r="AL469" s="1931"/>
      <c r="AM469" s="1931"/>
      <c r="AN469" s="1931"/>
      <c r="AO469" s="1931"/>
      <c r="AP469" s="1931"/>
      <c r="AQ469" s="1931"/>
      <c r="AR469" s="1931"/>
      <c r="AS469" s="1931"/>
      <c r="AT469" s="1931"/>
      <c r="AU469" s="1931"/>
      <c r="AV469" s="1931"/>
      <c r="AW469" s="1931"/>
      <c r="AX469" s="1931"/>
      <c r="AY469" s="1931"/>
      <c r="AZ469" s="1931"/>
      <c r="BA469" s="1931"/>
      <c r="BB469" s="1931"/>
      <c r="BC469" s="1931"/>
      <c r="BD469" s="1931"/>
      <c r="BE469" s="1931"/>
      <c r="BF469" s="1931"/>
      <c r="BG469" s="1931"/>
      <c r="BH469" s="1931"/>
      <c r="BI469" s="1931"/>
      <c r="BJ469" s="1931"/>
      <c r="BK469" s="1931"/>
      <c r="BL469" s="1931"/>
      <c r="BM469" s="1931"/>
      <c r="BN469" s="1931"/>
      <c r="BO469" s="1931"/>
      <c r="BP469" s="1931"/>
      <c r="BQ469" s="1931"/>
      <c r="BR469" s="1931"/>
      <c r="BS469" s="1931"/>
      <c r="BT469" s="1931"/>
      <c r="BU469" s="1931"/>
      <c r="BV469" s="1931"/>
      <c r="BW469" s="1931"/>
      <c r="BX469" s="1931"/>
      <c r="BY469" s="1931"/>
      <c r="BZ469" s="1931"/>
      <c r="CA469" s="1931"/>
      <c r="CB469" s="1931"/>
      <c r="CC469" s="1931"/>
      <c r="CD469" s="1931"/>
      <c r="CE469" s="1930"/>
      <c r="CF469" s="1930"/>
      <c r="CG469" s="1930"/>
      <c r="CH469" s="1930"/>
      <c r="CI469" s="1931"/>
      <c r="CJ469" s="1931"/>
      <c r="CK469" s="1931"/>
      <c r="CL469" s="1931"/>
      <c r="CM469" s="1931"/>
      <c r="CN469" s="1931"/>
      <c r="CO469" s="1931"/>
      <c r="CP469" s="1931"/>
      <c r="CQ469" s="1931"/>
      <c r="CR469" s="1931"/>
      <c r="CS469" s="1931"/>
      <c r="CT469" s="1930"/>
      <c r="CU469" s="1930"/>
      <c r="CV469" s="1930"/>
      <c r="CW469" s="1930"/>
      <c r="CX469" s="1931"/>
      <c r="CY469" s="1931"/>
      <c r="CZ469" s="1931"/>
      <c r="DA469" s="1931"/>
      <c r="DB469" s="1932"/>
      <c r="DC469" s="1931"/>
      <c r="DD469" s="1931"/>
      <c r="DE469" s="1931"/>
    </row>
    <row r="470" spans="2:109" hidden="1" outlineLevel="1" x14ac:dyDescent="0.25">
      <c r="B470" s="1931"/>
      <c r="D470" s="1355"/>
      <c r="E470" s="874"/>
      <c r="F470" s="1965"/>
      <c r="G470" s="1965"/>
      <c r="H470" s="1301"/>
      <c r="I470" s="1965"/>
      <c r="J470" s="1965"/>
      <c r="K470" s="1965"/>
      <c r="L470" s="1965"/>
      <c r="M470" s="1966"/>
      <c r="N470" s="1965"/>
      <c r="O470" s="1965"/>
      <c r="P470" s="1965"/>
      <c r="Q470" s="1965"/>
      <c r="R470" s="1965"/>
      <c r="S470" s="1965"/>
      <c r="T470" s="1965"/>
      <c r="U470" s="1965"/>
      <c r="V470" s="1931"/>
      <c r="W470" s="1931"/>
      <c r="X470" s="1931"/>
      <c r="Y470" s="1931"/>
      <c r="Z470" s="1931"/>
      <c r="AA470" s="1931"/>
      <c r="AB470" s="1931"/>
      <c r="AC470" s="1931"/>
      <c r="AD470" s="1931"/>
      <c r="AE470" s="1931"/>
      <c r="AF470" s="1931"/>
      <c r="AG470" s="1931"/>
      <c r="AH470" s="1931"/>
      <c r="AI470" s="1931"/>
      <c r="AJ470" s="1931"/>
      <c r="AK470" s="1931"/>
      <c r="AL470" s="1931"/>
      <c r="AM470" s="1931"/>
      <c r="AN470" s="1931"/>
      <c r="AO470" s="1931"/>
      <c r="AP470" s="1931"/>
      <c r="AQ470" s="1931"/>
      <c r="AR470" s="1931"/>
      <c r="AS470" s="1931"/>
      <c r="AT470" s="1931"/>
      <c r="AU470" s="1931"/>
      <c r="AV470" s="1931"/>
      <c r="AW470" s="1931"/>
      <c r="AX470" s="1931"/>
      <c r="AY470" s="1931"/>
      <c r="AZ470" s="1931"/>
      <c r="BA470" s="1931"/>
      <c r="BB470" s="1931"/>
      <c r="BC470" s="1931"/>
      <c r="BD470" s="1931"/>
      <c r="BE470" s="1931"/>
      <c r="BF470" s="1931"/>
      <c r="BG470" s="1931"/>
      <c r="BH470" s="1931"/>
      <c r="BI470" s="1931"/>
      <c r="BJ470" s="1931"/>
      <c r="BK470" s="1931"/>
      <c r="BL470" s="1931"/>
      <c r="BM470" s="1931"/>
      <c r="BN470" s="1931"/>
      <c r="BO470" s="1931"/>
      <c r="BP470" s="1931"/>
      <c r="BQ470" s="1931"/>
      <c r="BR470" s="1931"/>
      <c r="BS470" s="1931"/>
      <c r="BT470" s="1931"/>
      <c r="BU470" s="1931"/>
      <c r="BV470" s="1931"/>
      <c r="BW470" s="1931"/>
      <c r="BX470" s="1931"/>
      <c r="BY470" s="1931"/>
      <c r="BZ470" s="1931"/>
      <c r="CA470" s="1931"/>
      <c r="CB470" s="1931"/>
      <c r="CC470" s="1931"/>
      <c r="CD470" s="1931"/>
      <c r="CE470" s="1930"/>
      <c r="CF470" s="1930"/>
      <c r="CG470" s="1930"/>
      <c r="CH470" s="1930"/>
      <c r="CI470" s="1931"/>
      <c r="CJ470" s="1931"/>
      <c r="CK470" s="1931"/>
      <c r="CL470" s="1931"/>
      <c r="CM470" s="1931"/>
      <c r="CN470" s="1931"/>
      <c r="CO470" s="1931"/>
      <c r="CP470" s="1931"/>
      <c r="CQ470" s="1931"/>
      <c r="CR470" s="1931"/>
      <c r="CS470" s="1931"/>
      <c r="CT470" s="1930"/>
      <c r="CU470" s="1930"/>
      <c r="CV470" s="1930"/>
      <c r="CW470" s="1930"/>
      <c r="CX470" s="1931"/>
      <c r="CY470" s="1931"/>
      <c r="CZ470" s="1931"/>
      <c r="DA470" s="1931"/>
      <c r="DB470" s="1932"/>
      <c r="DC470" s="1931"/>
      <c r="DD470" s="1931"/>
      <c r="DE470" s="1931"/>
    </row>
    <row r="471" spans="2:109" hidden="1" outlineLevel="1" x14ac:dyDescent="0.25">
      <c r="B471" s="1931"/>
      <c r="D471" s="1300"/>
      <c r="E471" s="1965"/>
      <c r="F471" s="1965"/>
      <c r="G471" s="1965"/>
      <c r="H471" s="1301"/>
      <c r="I471" s="1965"/>
      <c r="J471" s="1965"/>
      <c r="K471" s="1965"/>
      <c r="L471" s="1965"/>
      <c r="M471" s="1966"/>
      <c r="N471" s="1965"/>
      <c r="O471" s="1965"/>
      <c r="P471" s="1965"/>
      <c r="Q471" s="1965"/>
      <c r="R471" s="1965"/>
      <c r="S471" s="1965"/>
      <c r="T471" s="1965"/>
      <c r="U471" s="1965"/>
      <c r="V471" s="1931"/>
      <c r="W471" s="1931"/>
      <c r="X471" s="1931"/>
      <c r="Y471" s="1931"/>
      <c r="Z471" s="1931"/>
      <c r="AA471" s="1931"/>
      <c r="AB471" s="1931"/>
      <c r="AC471" s="1931"/>
      <c r="AD471" s="1931"/>
      <c r="AE471" s="1931"/>
      <c r="AF471" s="1931"/>
      <c r="AG471" s="1931"/>
      <c r="AH471" s="1931"/>
      <c r="AI471" s="1931"/>
      <c r="AJ471" s="1931"/>
      <c r="AK471" s="1931"/>
      <c r="AL471" s="1931"/>
      <c r="AM471" s="1931"/>
      <c r="AN471" s="1931"/>
      <c r="AO471" s="1931"/>
      <c r="AP471" s="1931"/>
      <c r="AQ471" s="1931"/>
      <c r="AR471" s="1931"/>
      <c r="AS471" s="1931"/>
      <c r="AT471" s="1931"/>
      <c r="AU471" s="1931"/>
      <c r="AV471" s="1931"/>
      <c r="AW471" s="1931"/>
      <c r="AX471" s="1931"/>
      <c r="AY471" s="1931"/>
      <c r="AZ471" s="1931"/>
      <c r="BA471" s="1931"/>
      <c r="BB471" s="1931"/>
      <c r="BC471" s="1931"/>
      <c r="BD471" s="1931"/>
      <c r="BE471" s="1931"/>
      <c r="BF471" s="1931"/>
      <c r="BG471" s="1931"/>
      <c r="BH471" s="1931"/>
      <c r="BI471" s="1931"/>
      <c r="BJ471" s="1931"/>
      <c r="BK471" s="1931"/>
      <c r="BL471" s="1931"/>
      <c r="BM471" s="1931"/>
      <c r="BN471" s="1931"/>
      <c r="BO471" s="1931"/>
      <c r="BP471" s="1931"/>
      <c r="BQ471" s="1931"/>
      <c r="BR471" s="1931"/>
      <c r="BS471" s="1931"/>
      <c r="BT471" s="1931"/>
      <c r="BU471" s="1931"/>
      <c r="BV471" s="1931"/>
      <c r="BW471" s="1931"/>
      <c r="BX471" s="1931"/>
      <c r="BY471" s="1931"/>
      <c r="BZ471" s="1931"/>
      <c r="CA471" s="1931"/>
      <c r="CB471" s="1931"/>
      <c r="CC471" s="1931"/>
      <c r="CD471" s="1931"/>
      <c r="CE471" s="1930"/>
      <c r="CF471" s="1930"/>
      <c r="CG471" s="1930"/>
      <c r="CH471" s="1930"/>
      <c r="CI471" s="1931"/>
      <c r="CJ471" s="1931"/>
      <c r="CK471" s="1931"/>
      <c r="CL471" s="1931"/>
      <c r="CM471" s="1931"/>
      <c r="CN471" s="1931"/>
      <c r="CO471" s="1931"/>
      <c r="CP471" s="1931"/>
      <c r="CQ471" s="1931"/>
      <c r="CR471" s="1931"/>
      <c r="CS471" s="1931"/>
      <c r="CT471" s="1930"/>
      <c r="CU471" s="1930"/>
      <c r="CV471" s="1930"/>
      <c r="CW471" s="1930"/>
      <c r="CX471" s="1931"/>
      <c r="CY471" s="1931"/>
      <c r="CZ471" s="1931"/>
      <c r="DA471" s="1931"/>
      <c r="DB471" s="1932"/>
      <c r="DC471" s="1931"/>
      <c r="DD471" s="1931"/>
      <c r="DE471" s="1931"/>
    </row>
    <row r="472" spans="2:109" hidden="1" outlineLevel="1" x14ac:dyDescent="0.25">
      <c r="B472" s="1931"/>
      <c r="D472" s="1300"/>
      <c r="E472" s="1965"/>
      <c r="F472" s="1965"/>
      <c r="G472" s="1965"/>
      <c r="H472" s="1301"/>
      <c r="I472" s="1965"/>
      <c r="J472" s="1965"/>
      <c r="K472" s="1965"/>
      <c r="L472" s="1965"/>
      <c r="M472" s="1966"/>
      <c r="N472" s="1965"/>
      <c r="O472" s="1965"/>
      <c r="P472" s="1965"/>
      <c r="Q472" s="1965"/>
      <c r="R472" s="1965"/>
      <c r="S472" s="1965"/>
      <c r="T472" s="1965"/>
      <c r="U472" s="1965"/>
      <c r="V472" s="1931"/>
      <c r="W472" s="1931"/>
      <c r="X472" s="1931"/>
      <c r="Y472" s="1931"/>
      <c r="Z472" s="1931"/>
      <c r="AA472" s="1931"/>
      <c r="AB472" s="1931"/>
      <c r="AC472" s="1931"/>
      <c r="AD472" s="1931"/>
      <c r="AE472" s="1931"/>
      <c r="AF472" s="1931"/>
      <c r="AG472" s="1931"/>
      <c r="AH472" s="1931"/>
      <c r="AI472" s="1931"/>
      <c r="AJ472" s="1931"/>
      <c r="AK472" s="1931"/>
      <c r="AL472" s="1931"/>
      <c r="AM472" s="1931"/>
      <c r="AN472" s="1931"/>
      <c r="AO472" s="1931"/>
      <c r="AP472" s="1931"/>
      <c r="AQ472" s="1931"/>
      <c r="AR472" s="1931"/>
      <c r="AS472" s="1931"/>
      <c r="AT472" s="1931"/>
      <c r="AU472" s="1931"/>
      <c r="AV472" s="1931"/>
      <c r="AW472" s="1931"/>
      <c r="AX472" s="1931"/>
      <c r="AY472" s="1931"/>
      <c r="AZ472" s="1931"/>
      <c r="BA472" s="1931"/>
      <c r="BB472" s="1931"/>
      <c r="BC472" s="1931"/>
      <c r="BD472" s="1931"/>
      <c r="BE472" s="1931"/>
      <c r="BF472" s="1931"/>
      <c r="BG472" s="1931"/>
      <c r="BH472" s="1931"/>
      <c r="BI472" s="1931"/>
      <c r="BJ472" s="1931"/>
      <c r="BK472" s="1931"/>
      <c r="BL472" s="1931"/>
      <c r="BM472" s="1931"/>
      <c r="BN472" s="1931"/>
      <c r="BO472" s="1931"/>
      <c r="BP472" s="1931"/>
      <c r="BQ472" s="1931"/>
      <c r="BR472" s="1931"/>
      <c r="BS472" s="1931"/>
      <c r="BT472" s="1931"/>
      <c r="BU472" s="1931"/>
      <c r="BV472" s="1931"/>
      <c r="BW472" s="1931"/>
      <c r="BX472" s="1931"/>
      <c r="BY472" s="1931"/>
      <c r="BZ472" s="1931"/>
      <c r="CA472" s="1931"/>
      <c r="CB472" s="1931"/>
      <c r="CC472" s="1931"/>
      <c r="CD472" s="1931"/>
      <c r="CE472" s="1930"/>
      <c r="CF472" s="1930"/>
      <c r="CG472" s="1930"/>
      <c r="CH472" s="1930"/>
      <c r="CI472" s="1931"/>
      <c r="CJ472" s="1931"/>
      <c r="CK472" s="1931"/>
      <c r="CL472" s="1931"/>
      <c r="CM472" s="1931"/>
      <c r="CN472" s="1931"/>
      <c r="CO472" s="1931"/>
      <c r="CP472" s="1931"/>
      <c r="CQ472" s="1931"/>
      <c r="CR472" s="1931"/>
      <c r="CS472" s="1931"/>
      <c r="CT472" s="1930"/>
      <c r="CU472" s="1930"/>
      <c r="CV472" s="1930"/>
      <c r="CW472" s="1930"/>
      <c r="CX472" s="1931"/>
      <c r="CY472" s="1931"/>
      <c r="CZ472" s="1931"/>
      <c r="DA472" s="1931"/>
      <c r="DB472" s="1932"/>
      <c r="DC472" s="1931"/>
      <c r="DD472" s="1931"/>
      <c r="DE472" s="1931"/>
    </row>
    <row r="473" spans="2:109" hidden="1" outlineLevel="1" x14ac:dyDescent="0.25">
      <c r="B473" s="1931"/>
      <c r="D473" s="1300"/>
      <c r="E473" s="1965"/>
      <c r="F473" s="1965"/>
      <c r="G473" s="1965"/>
      <c r="H473" s="1301"/>
      <c r="I473" s="1965"/>
      <c r="J473" s="1965"/>
      <c r="K473" s="1965"/>
      <c r="L473" s="1965"/>
      <c r="M473" s="1965"/>
      <c r="N473" s="1965"/>
      <c r="O473" s="1965"/>
      <c r="P473" s="1965"/>
      <c r="Q473" s="1965"/>
      <c r="R473" s="1965"/>
      <c r="S473" s="1965"/>
      <c r="T473" s="1965"/>
      <c r="U473" s="1965"/>
      <c r="V473" s="1931"/>
      <c r="W473" s="1931"/>
      <c r="X473" s="1931"/>
      <c r="Y473" s="1931"/>
      <c r="Z473" s="1931"/>
      <c r="AA473" s="1931"/>
      <c r="AB473" s="1931"/>
      <c r="AC473" s="1931"/>
      <c r="AD473" s="1931"/>
      <c r="AE473" s="1931"/>
      <c r="AF473" s="1931"/>
      <c r="AG473" s="1931"/>
      <c r="AH473" s="1931"/>
      <c r="AI473" s="1931"/>
      <c r="AJ473" s="1931"/>
      <c r="AK473" s="1931"/>
      <c r="AL473" s="1931"/>
      <c r="AM473" s="1931"/>
      <c r="AN473" s="1931"/>
      <c r="AO473" s="1931"/>
      <c r="AP473" s="1931"/>
      <c r="AQ473" s="1931"/>
      <c r="AR473" s="1931"/>
      <c r="AS473" s="1931"/>
      <c r="AT473" s="1931"/>
      <c r="AU473" s="1931"/>
      <c r="AV473" s="1931"/>
      <c r="AW473" s="1931"/>
      <c r="AX473" s="1931"/>
      <c r="AY473" s="1931"/>
      <c r="AZ473" s="1931"/>
      <c r="BA473" s="1931"/>
      <c r="BB473" s="1931"/>
      <c r="BC473" s="1931"/>
      <c r="BD473" s="1931"/>
      <c r="BE473" s="1931"/>
      <c r="BF473" s="1931"/>
      <c r="BG473" s="1931"/>
      <c r="BH473" s="1931"/>
      <c r="BI473" s="1931"/>
      <c r="BJ473" s="1931"/>
      <c r="BK473" s="1931"/>
      <c r="BL473" s="1931"/>
      <c r="BM473" s="1931"/>
      <c r="BN473" s="1931"/>
      <c r="BO473" s="1931"/>
      <c r="BP473" s="1931"/>
      <c r="BQ473" s="1931"/>
      <c r="BR473" s="1931"/>
      <c r="BS473" s="1931"/>
      <c r="BT473" s="1931"/>
      <c r="BU473" s="1931"/>
      <c r="BV473" s="1931"/>
      <c r="BW473" s="1931"/>
      <c r="BX473" s="1931"/>
      <c r="BY473" s="1931"/>
      <c r="BZ473" s="1931"/>
      <c r="CA473" s="1931"/>
      <c r="CB473" s="1931"/>
      <c r="CC473" s="1931"/>
      <c r="CD473" s="1931"/>
      <c r="CE473" s="1930"/>
      <c r="CF473" s="1930"/>
      <c r="CG473" s="1930"/>
      <c r="CH473" s="1930"/>
      <c r="CI473" s="1931"/>
      <c r="CJ473" s="1931"/>
      <c r="CK473" s="1931"/>
      <c r="CL473" s="1931"/>
      <c r="CM473" s="1931"/>
      <c r="CN473" s="1931"/>
      <c r="CO473" s="1931"/>
      <c r="CP473" s="1931"/>
      <c r="CQ473" s="1931"/>
      <c r="CR473" s="1931"/>
      <c r="CS473" s="1931"/>
      <c r="CT473" s="1930"/>
      <c r="CU473" s="1930"/>
      <c r="CV473" s="1930"/>
      <c r="CW473" s="1930"/>
      <c r="CX473" s="1931"/>
      <c r="CY473" s="1931"/>
      <c r="CZ473" s="1931"/>
      <c r="DA473" s="1931"/>
      <c r="DB473" s="1932"/>
      <c r="DC473" s="1931"/>
      <c r="DD473" s="1931"/>
      <c r="DE473" s="1931"/>
    </row>
    <row r="474" spans="2:109" s="55" customFormat="1" hidden="1" outlineLevel="1" x14ac:dyDescent="0.25">
      <c r="C474" s="151"/>
      <c r="D474" s="3081" t="s">
        <v>28</v>
      </c>
      <c r="E474" s="3081" t="s">
        <v>2758</v>
      </c>
      <c r="F474" s="83" t="s">
        <v>2985</v>
      </c>
      <c r="G474" s="3081" t="s">
        <v>2986</v>
      </c>
      <c r="H474" s="3081" t="s">
        <v>2987</v>
      </c>
      <c r="I474" s="3081" t="s">
        <v>2988</v>
      </c>
      <c r="J474" s="3081" t="s">
        <v>2989</v>
      </c>
      <c r="K474" s="3081" t="s">
        <v>2990</v>
      </c>
      <c r="L474" s="3081" t="s">
        <v>2991</v>
      </c>
      <c r="M474" s="3081" t="s">
        <v>2992</v>
      </c>
      <c r="N474" s="3081" t="s">
        <v>2993</v>
      </c>
      <c r="O474" s="3081" t="s">
        <v>2994</v>
      </c>
      <c r="P474" s="3081" t="s">
        <v>2995</v>
      </c>
      <c r="Q474" s="3081" t="s">
        <v>2996</v>
      </c>
      <c r="R474" s="401"/>
      <c r="S474" s="401"/>
      <c r="T474" s="401"/>
      <c r="U474" s="401"/>
      <c r="DB474" s="72"/>
    </row>
    <row r="475" spans="2:109" hidden="1" outlineLevel="1" x14ac:dyDescent="0.25">
      <c r="B475" s="1931"/>
      <c r="D475" s="1967" t="str">
        <f>C462</f>
        <v>803850_2019_12_</v>
      </c>
      <c r="E475" s="1967" t="str">
        <f>E462</f>
        <v>Clothes Washer (Electric DHW; Electric Dryer)</v>
      </c>
      <c r="F475" s="1371">
        <v>3.1</v>
      </c>
      <c r="G475" s="86">
        <v>1.7</v>
      </c>
      <c r="H475" s="1393">
        <v>2.2000000000000002</v>
      </c>
      <c r="I475" s="1356">
        <v>2190</v>
      </c>
      <c r="J475" s="1384">
        <v>6.5000000000000002E-2</v>
      </c>
      <c r="K475" s="1384">
        <v>3.5000000000000003E-2</v>
      </c>
      <c r="L475" s="1384">
        <v>0.25900000000000001</v>
      </c>
      <c r="M475" s="1384">
        <v>0.14099999999999999</v>
      </c>
      <c r="N475" s="1384">
        <v>0.67600000000000005</v>
      </c>
      <c r="O475" s="1384">
        <v>0.82399999999999995</v>
      </c>
      <c r="P475" s="1384">
        <v>1</v>
      </c>
      <c r="Q475" s="1384">
        <v>1</v>
      </c>
      <c r="R475" s="1965"/>
      <c r="S475" s="1965"/>
      <c r="T475" s="1965"/>
      <c r="U475" s="1965"/>
      <c r="V475" s="1931"/>
      <c r="W475" s="1931"/>
      <c r="X475" s="1931"/>
      <c r="Y475" s="1931"/>
      <c r="Z475" s="1931"/>
      <c r="AA475" s="1931"/>
      <c r="AB475" s="1931"/>
      <c r="AC475" s="1931"/>
      <c r="AD475" s="1931"/>
      <c r="AE475" s="1931"/>
      <c r="AF475" s="1931"/>
      <c r="AG475" s="1931"/>
      <c r="AH475" s="1931"/>
      <c r="AI475" s="1931"/>
      <c r="AJ475" s="1931"/>
      <c r="AK475" s="1931"/>
      <c r="AL475" s="1931"/>
      <c r="AM475" s="1931"/>
      <c r="AN475" s="1931"/>
      <c r="AO475" s="1931"/>
      <c r="AP475" s="1931"/>
      <c r="AQ475" s="1931"/>
      <c r="AR475" s="1931"/>
      <c r="AS475" s="1931"/>
      <c r="AT475" s="1931"/>
      <c r="AU475" s="1931"/>
      <c r="AV475" s="1931"/>
      <c r="AW475" s="1931"/>
      <c r="AX475" s="1931"/>
      <c r="AY475" s="1931"/>
      <c r="AZ475" s="1931"/>
      <c r="BA475" s="1931"/>
      <c r="BB475" s="1931"/>
      <c r="BC475" s="1931"/>
      <c r="BD475" s="1931"/>
      <c r="BE475" s="1931"/>
      <c r="BF475" s="1931"/>
      <c r="BG475" s="1931"/>
      <c r="BH475" s="1931"/>
      <c r="BI475" s="1931"/>
      <c r="BJ475" s="1931"/>
      <c r="BK475" s="1931"/>
      <c r="BL475" s="1931"/>
      <c r="BM475" s="1931"/>
      <c r="BN475" s="1931"/>
      <c r="BO475" s="1931"/>
      <c r="BP475" s="1931"/>
      <c r="BQ475" s="1931"/>
      <c r="BR475" s="1931"/>
      <c r="BS475" s="1931"/>
      <c r="BT475" s="1931"/>
      <c r="BU475" s="1931"/>
      <c r="BV475" s="1931"/>
      <c r="BW475" s="1931"/>
      <c r="BX475" s="1931"/>
      <c r="BY475" s="1931"/>
      <c r="BZ475" s="1931"/>
      <c r="CA475" s="1931"/>
      <c r="CB475" s="1931"/>
      <c r="CC475" s="1931"/>
      <c r="CD475" s="1931"/>
      <c r="CE475" s="1930"/>
      <c r="CF475" s="1930"/>
      <c r="CG475" s="1930"/>
      <c r="CH475" s="1930"/>
      <c r="CI475" s="1931"/>
      <c r="CJ475" s="1931"/>
      <c r="CK475" s="1931"/>
      <c r="CL475" s="1931"/>
      <c r="CM475" s="1931"/>
      <c r="CN475" s="1931"/>
      <c r="CO475" s="1931"/>
      <c r="CP475" s="1931"/>
      <c r="CQ475" s="1931"/>
      <c r="CR475" s="1931"/>
      <c r="CS475" s="1931"/>
      <c r="CT475" s="1930"/>
      <c r="CU475" s="1930"/>
      <c r="CV475" s="1930"/>
      <c r="CW475" s="1930"/>
      <c r="CX475" s="1931"/>
      <c r="CY475" s="1931"/>
      <c r="CZ475" s="1931"/>
      <c r="DA475" s="1931"/>
      <c r="DB475" s="1932"/>
      <c r="DC475" s="1931"/>
      <c r="DD475" s="1931"/>
      <c r="DE475" s="1931"/>
    </row>
    <row r="476" spans="2:109" hidden="1" outlineLevel="1" x14ac:dyDescent="0.25">
      <c r="B476" s="1931"/>
      <c r="D476" s="1967" t="str">
        <f>C463</f>
        <v>803900_2019_12_</v>
      </c>
      <c r="E476" s="1967" t="str">
        <f>E463</f>
        <v>Clothes Washer (Gas DHW; Electric Dryer)</v>
      </c>
      <c r="F476" s="1371">
        <v>3.1</v>
      </c>
      <c r="G476" s="86">
        <v>1.7</v>
      </c>
      <c r="H476" s="1393">
        <v>2.2000000000000002</v>
      </c>
      <c r="I476" s="1356">
        <v>2190</v>
      </c>
      <c r="J476" s="1384">
        <v>6.5000000000000002E-2</v>
      </c>
      <c r="K476" s="1384">
        <v>3.5000000000000003E-2</v>
      </c>
      <c r="L476" s="1384">
        <v>0.25900000000000001</v>
      </c>
      <c r="M476" s="1384">
        <v>0.14099999999999999</v>
      </c>
      <c r="N476" s="1384">
        <v>0.67600000000000005</v>
      </c>
      <c r="O476" s="1384">
        <v>0.82399999999999995</v>
      </c>
      <c r="P476" s="1384">
        <v>0</v>
      </c>
      <c r="Q476" s="1384">
        <v>1</v>
      </c>
      <c r="R476" s="1965"/>
      <c r="S476" s="1965"/>
      <c r="T476" s="1965"/>
      <c r="U476" s="1965"/>
      <c r="V476" s="1931"/>
      <c r="W476" s="1931"/>
      <c r="X476" s="1931"/>
      <c r="Y476" s="1931"/>
      <c r="Z476" s="1931"/>
      <c r="AA476" s="1931"/>
      <c r="AB476" s="1931"/>
      <c r="AC476" s="1931"/>
      <c r="AD476" s="1931"/>
      <c r="AE476" s="1931"/>
      <c r="AF476" s="1931"/>
      <c r="AG476" s="1931"/>
      <c r="AH476" s="1931"/>
      <c r="AI476" s="1931"/>
      <c r="AJ476" s="1931"/>
      <c r="AK476" s="1931"/>
      <c r="AL476" s="1931"/>
      <c r="AM476" s="1931"/>
      <c r="AN476" s="1931"/>
      <c r="AO476" s="1931"/>
      <c r="AP476" s="1931"/>
      <c r="AQ476" s="1931"/>
      <c r="AR476" s="1931"/>
      <c r="AS476" s="1931"/>
      <c r="AT476" s="1931"/>
      <c r="AU476" s="1931"/>
      <c r="AV476" s="1931"/>
      <c r="AW476" s="1931"/>
      <c r="AX476" s="1931"/>
      <c r="AY476" s="1931"/>
      <c r="AZ476" s="1931"/>
      <c r="BA476" s="1931"/>
      <c r="BB476" s="1931"/>
      <c r="BC476" s="1931"/>
      <c r="BD476" s="1931"/>
      <c r="BE476" s="1931"/>
      <c r="BF476" s="1931"/>
      <c r="BG476" s="1931"/>
      <c r="BH476" s="1931"/>
      <c r="BI476" s="1931"/>
      <c r="BJ476" s="1931"/>
      <c r="BK476" s="1931"/>
      <c r="BL476" s="1931"/>
      <c r="BM476" s="1931"/>
      <c r="BN476" s="1931"/>
      <c r="BO476" s="1931"/>
      <c r="BP476" s="1931"/>
      <c r="BQ476" s="1931"/>
      <c r="BR476" s="1931"/>
      <c r="BS476" s="1931"/>
      <c r="BT476" s="1931"/>
      <c r="BU476" s="1931"/>
      <c r="BV476" s="1931"/>
      <c r="BW476" s="1931"/>
      <c r="BX476" s="1931"/>
      <c r="BY476" s="1931"/>
      <c r="BZ476" s="1931"/>
      <c r="CA476" s="1931"/>
      <c r="CB476" s="1931"/>
      <c r="CC476" s="1931"/>
      <c r="CD476" s="1931"/>
      <c r="CE476" s="1930"/>
      <c r="CF476" s="1930"/>
      <c r="CG476" s="1930"/>
      <c r="CH476" s="1930"/>
      <c r="CI476" s="1931"/>
      <c r="CJ476" s="1931"/>
      <c r="CK476" s="1931"/>
      <c r="CL476" s="1931"/>
      <c r="CM476" s="1931"/>
      <c r="CN476" s="1931"/>
      <c r="CO476" s="1931"/>
      <c r="CP476" s="1931"/>
      <c r="CQ476" s="1931"/>
      <c r="CR476" s="1931"/>
      <c r="CS476" s="1931"/>
      <c r="CT476" s="1930"/>
      <c r="CU476" s="1930"/>
      <c r="CV476" s="1930"/>
      <c r="CW476" s="1930"/>
      <c r="CX476" s="1931"/>
      <c r="CY476" s="1931"/>
      <c r="CZ476" s="1931"/>
      <c r="DA476" s="1931"/>
      <c r="DB476" s="1932"/>
      <c r="DC476" s="1931"/>
      <c r="DD476" s="1931"/>
      <c r="DE476" s="1931"/>
    </row>
    <row r="477" spans="2:109" hidden="1" outlineLevel="1" x14ac:dyDescent="0.25">
      <c r="B477" s="1931"/>
      <c r="D477" s="1967" t="str">
        <f>C464</f>
        <v>803950_2019_12_</v>
      </c>
      <c r="E477" s="1967" t="str">
        <f>E464</f>
        <v>Clothes Washer (Electric DHW; Gas Dryer)</v>
      </c>
      <c r="F477" s="1371">
        <v>3.1</v>
      </c>
      <c r="G477" s="86">
        <v>1.7</v>
      </c>
      <c r="H477" s="1393">
        <v>2.2000000000000002</v>
      </c>
      <c r="I477" s="1356">
        <v>2190</v>
      </c>
      <c r="J477" s="1384">
        <v>6.5000000000000002E-2</v>
      </c>
      <c r="K477" s="1384">
        <v>3.5000000000000003E-2</v>
      </c>
      <c r="L477" s="1384">
        <v>0.25900000000000001</v>
      </c>
      <c r="M477" s="1384">
        <v>0.14099999999999999</v>
      </c>
      <c r="N477" s="1384">
        <v>0.67600000000000005</v>
      </c>
      <c r="O477" s="1384">
        <v>0.82399999999999995</v>
      </c>
      <c r="P477" s="1384">
        <v>1</v>
      </c>
      <c r="Q477" s="1384">
        <v>0</v>
      </c>
      <c r="R477" s="1965"/>
      <c r="S477" s="1965"/>
      <c r="T477" s="1965"/>
      <c r="U477" s="1965"/>
      <c r="V477" s="1931"/>
      <c r="W477" s="1931"/>
      <c r="X477" s="1931"/>
      <c r="Y477" s="1931"/>
      <c r="Z477" s="1931"/>
      <c r="AA477" s="1931"/>
      <c r="AB477" s="1931"/>
      <c r="AC477" s="1931"/>
      <c r="AD477" s="1931"/>
      <c r="AE477" s="1931"/>
      <c r="AF477" s="1931"/>
      <c r="AG477" s="1931"/>
      <c r="AH477" s="1931"/>
      <c r="AI477" s="1931"/>
      <c r="AJ477" s="1931"/>
      <c r="AK477" s="1931"/>
      <c r="AL477" s="1931"/>
      <c r="AM477" s="1931"/>
      <c r="AN477" s="1931"/>
      <c r="AO477" s="1931"/>
      <c r="AP477" s="1931"/>
      <c r="AQ477" s="1931"/>
      <c r="AR477" s="1931"/>
      <c r="AS477" s="1931"/>
      <c r="AT477" s="1931"/>
      <c r="AU477" s="1931"/>
      <c r="AV477" s="1931"/>
      <c r="AW477" s="1931"/>
      <c r="AX477" s="1931"/>
      <c r="AY477" s="1931"/>
      <c r="AZ477" s="1931"/>
      <c r="BA477" s="1931"/>
      <c r="BB477" s="1931"/>
      <c r="BC477" s="1931"/>
      <c r="BD477" s="1931"/>
      <c r="BE477" s="1931"/>
      <c r="BF477" s="1931"/>
      <c r="BG477" s="1931"/>
      <c r="BH477" s="1931"/>
      <c r="BI477" s="1931"/>
      <c r="BJ477" s="1931"/>
      <c r="BK477" s="1931"/>
      <c r="BL477" s="1931"/>
      <c r="BM477" s="1931"/>
      <c r="BN477" s="1931"/>
      <c r="BO477" s="1931"/>
      <c r="BP477" s="1931"/>
      <c r="BQ477" s="1931"/>
      <c r="BR477" s="1931"/>
      <c r="BS477" s="1931"/>
      <c r="BT477" s="1931"/>
      <c r="BU477" s="1931"/>
      <c r="BV477" s="1931"/>
      <c r="BW477" s="1931"/>
      <c r="BX477" s="1931"/>
      <c r="BY477" s="1931"/>
      <c r="BZ477" s="1931"/>
      <c r="CA477" s="1931"/>
      <c r="CB477" s="1931"/>
      <c r="CC477" s="1931"/>
      <c r="CD477" s="1931"/>
      <c r="CE477" s="1930"/>
      <c r="CF477" s="1930"/>
      <c r="CG477" s="1930"/>
      <c r="CH477" s="1930"/>
      <c r="CI477" s="1931"/>
      <c r="CJ477" s="1931"/>
      <c r="CK477" s="1931"/>
      <c r="CL477" s="1931"/>
      <c r="CM477" s="1931"/>
      <c r="CN477" s="1931"/>
      <c r="CO477" s="1931"/>
      <c r="CP477" s="1931"/>
      <c r="CQ477" s="1931"/>
      <c r="CR477" s="1931"/>
      <c r="CS477" s="1931"/>
      <c r="CT477" s="1930"/>
      <c r="CU477" s="1930"/>
      <c r="CV477" s="1930"/>
      <c r="CW477" s="1930"/>
      <c r="CX477" s="1931"/>
      <c r="CY477" s="1931"/>
      <c r="CZ477" s="1931"/>
      <c r="DA477" s="1931"/>
      <c r="DB477" s="1932"/>
      <c r="DC477" s="1931"/>
      <c r="DD477" s="1931"/>
      <c r="DE477" s="1931"/>
    </row>
    <row r="478" spans="2:109" hidden="1" outlineLevel="1" x14ac:dyDescent="0.25">
      <c r="B478" s="1931"/>
      <c r="D478" s="1967" t="str">
        <f>C465</f>
        <v>804000_2019_12_</v>
      </c>
      <c r="E478" s="1967" t="str">
        <f>E465</f>
        <v>Clothes Washer (Gas DHW; Gas Dryer)</v>
      </c>
      <c r="F478" s="1371">
        <v>3.1</v>
      </c>
      <c r="G478" s="86">
        <v>1.7</v>
      </c>
      <c r="H478" s="1393">
        <v>2.2000000000000002</v>
      </c>
      <c r="I478" s="1356">
        <v>2190</v>
      </c>
      <c r="J478" s="1384">
        <v>6.5000000000000002E-2</v>
      </c>
      <c r="K478" s="1384">
        <v>3.5000000000000003E-2</v>
      </c>
      <c r="L478" s="1384">
        <v>0.25900000000000001</v>
      </c>
      <c r="M478" s="1384">
        <v>0.14099999999999999</v>
      </c>
      <c r="N478" s="1384">
        <v>0.67600000000000005</v>
      </c>
      <c r="O478" s="1384">
        <v>0.82399999999999995</v>
      </c>
      <c r="P478" s="1384">
        <v>0</v>
      </c>
      <c r="Q478" s="1384">
        <v>0</v>
      </c>
      <c r="R478" s="1965"/>
      <c r="S478" s="1965"/>
      <c r="T478" s="1965"/>
      <c r="U478" s="1965"/>
      <c r="V478" s="1931"/>
      <c r="W478" s="1931"/>
      <c r="X478" s="1931"/>
      <c r="Y478" s="1931"/>
      <c r="Z478" s="1931"/>
      <c r="AA478" s="1931"/>
      <c r="AB478" s="1931"/>
      <c r="AC478" s="1931"/>
      <c r="AD478" s="1931"/>
      <c r="AE478" s="1931"/>
      <c r="AF478" s="1931"/>
      <c r="AG478" s="1931"/>
      <c r="AH478" s="1931"/>
      <c r="AI478" s="1931"/>
      <c r="AJ478" s="1931"/>
      <c r="AK478" s="1931"/>
      <c r="AL478" s="1931"/>
      <c r="AM478" s="1931"/>
      <c r="AN478" s="1931"/>
      <c r="AO478" s="1931"/>
      <c r="AP478" s="1931"/>
      <c r="AQ478" s="1931"/>
      <c r="AR478" s="1931"/>
      <c r="AS478" s="1931"/>
      <c r="AT478" s="1931"/>
      <c r="AU478" s="1931"/>
      <c r="AV478" s="1931"/>
      <c r="AW478" s="1931"/>
      <c r="AX478" s="1931"/>
      <c r="AY478" s="1931"/>
      <c r="AZ478" s="1931"/>
      <c r="BA478" s="1931"/>
      <c r="BB478" s="1931"/>
      <c r="BC478" s="1931"/>
      <c r="BD478" s="1931"/>
      <c r="BE478" s="1931"/>
      <c r="BF478" s="1931"/>
      <c r="BG478" s="1931"/>
      <c r="BH478" s="1931"/>
      <c r="BI478" s="1931"/>
      <c r="BJ478" s="1931"/>
      <c r="BK478" s="1931"/>
      <c r="BL478" s="1931"/>
      <c r="BM478" s="1931"/>
      <c r="BN478" s="1931"/>
      <c r="BO478" s="1931"/>
      <c r="BP478" s="1931"/>
      <c r="BQ478" s="1931"/>
      <c r="BR478" s="1931"/>
      <c r="BS478" s="1931"/>
      <c r="BT478" s="1931"/>
      <c r="BU478" s="1931"/>
      <c r="BV478" s="1931"/>
      <c r="BW478" s="1931"/>
      <c r="BX478" s="1931"/>
      <c r="BY478" s="1931"/>
      <c r="BZ478" s="1931"/>
      <c r="CA478" s="1931"/>
      <c r="CB478" s="1931"/>
      <c r="CC478" s="1931"/>
      <c r="CD478" s="1931"/>
      <c r="CE478" s="1930"/>
      <c r="CF478" s="1930"/>
      <c r="CG478" s="1930"/>
      <c r="CH478" s="1930"/>
      <c r="CI478" s="1931"/>
      <c r="CJ478" s="1931"/>
      <c r="CK478" s="1931"/>
      <c r="CL478" s="1931"/>
      <c r="CM478" s="1931"/>
      <c r="CN478" s="1931"/>
      <c r="CO478" s="1931"/>
      <c r="CP478" s="1931"/>
      <c r="CQ478" s="1931"/>
      <c r="CR478" s="1931"/>
      <c r="CS478" s="1931"/>
      <c r="CT478" s="1930"/>
      <c r="CU478" s="1930"/>
      <c r="CV478" s="1930"/>
      <c r="CW478" s="1930"/>
      <c r="CX478" s="1931"/>
      <c r="CY478" s="1931"/>
      <c r="CZ478" s="1931"/>
      <c r="DA478" s="1931"/>
      <c r="DB478" s="1932"/>
      <c r="DC478" s="1931"/>
      <c r="DD478" s="1931"/>
      <c r="DE478" s="1931"/>
    </row>
    <row r="479" spans="2:109" collapsed="1" x14ac:dyDescent="0.25">
      <c r="B479" s="1931"/>
      <c r="D479" s="1966"/>
      <c r="E479" s="1965"/>
      <c r="F479" s="1965"/>
      <c r="G479" s="1968"/>
      <c r="H479" s="1969"/>
      <c r="I479" s="1965"/>
      <c r="J479" s="1965"/>
      <c r="K479" s="1965"/>
      <c r="L479" s="1965"/>
      <c r="M479" s="1965"/>
      <c r="N479" s="1965"/>
      <c r="O479" s="1965"/>
      <c r="P479" s="1965"/>
      <c r="Q479" s="1965"/>
      <c r="R479" s="1965"/>
      <c r="S479" s="1965"/>
      <c r="T479" s="1965"/>
      <c r="U479" s="1965"/>
      <c r="V479" s="1931"/>
      <c r="W479" s="1931"/>
      <c r="X479" s="1931"/>
      <c r="Y479" s="1931"/>
      <c r="Z479" s="1931"/>
      <c r="AA479" s="1931"/>
      <c r="AB479" s="1931"/>
      <c r="AC479" s="1931"/>
      <c r="AD479" s="1931"/>
      <c r="AE479" s="1931"/>
      <c r="AF479" s="1931"/>
      <c r="AG479" s="1931"/>
      <c r="AH479" s="1931"/>
      <c r="AI479" s="1931"/>
      <c r="AJ479" s="1931"/>
      <c r="AK479" s="1931"/>
      <c r="AL479" s="1931"/>
      <c r="AM479" s="1931"/>
      <c r="AN479" s="1931"/>
      <c r="AO479" s="1931"/>
      <c r="AP479" s="1931"/>
      <c r="AQ479" s="1931"/>
      <c r="AR479" s="1931"/>
      <c r="AS479" s="1931"/>
      <c r="AT479" s="1931"/>
      <c r="AU479" s="1931"/>
      <c r="AV479" s="1931"/>
      <c r="AW479" s="1931"/>
      <c r="AX479" s="1931"/>
      <c r="AY479" s="1931"/>
      <c r="AZ479" s="1931"/>
      <c r="BA479" s="1931"/>
      <c r="BB479" s="1931"/>
      <c r="BC479" s="1931"/>
      <c r="BD479" s="1931"/>
      <c r="BE479" s="1931"/>
      <c r="BF479" s="1931"/>
      <c r="BG479" s="1931"/>
      <c r="BH479" s="1931"/>
      <c r="BI479" s="1931"/>
      <c r="BJ479" s="1931"/>
      <c r="BK479" s="1931"/>
      <c r="BL479" s="1931"/>
      <c r="BM479" s="1931"/>
      <c r="BN479" s="1931"/>
      <c r="BO479" s="1931"/>
      <c r="BP479" s="1931"/>
      <c r="BQ479" s="1931"/>
      <c r="BR479" s="1931"/>
      <c r="BS479" s="1931"/>
      <c r="BT479" s="1931"/>
      <c r="BU479" s="1931"/>
      <c r="BV479" s="1931"/>
      <c r="BW479" s="1931"/>
      <c r="BX479" s="1931"/>
      <c r="BY479" s="1931"/>
      <c r="BZ479" s="1931"/>
      <c r="CA479" s="1931"/>
      <c r="CB479" s="1931"/>
      <c r="CC479" s="1931"/>
      <c r="CD479" s="1931"/>
      <c r="CE479" s="1930"/>
      <c r="CF479" s="1930"/>
      <c r="CG479" s="1930"/>
      <c r="CH479" s="1930"/>
      <c r="CI479" s="1931"/>
      <c r="CJ479" s="1931"/>
      <c r="CK479" s="1931"/>
      <c r="CL479" s="1931"/>
      <c r="CM479" s="1931"/>
      <c r="CN479" s="1931"/>
      <c r="CO479" s="1931"/>
      <c r="CP479" s="1931"/>
      <c r="CQ479" s="1931"/>
      <c r="CR479" s="1931"/>
      <c r="CS479" s="1931"/>
      <c r="CT479" s="1930"/>
      <c r="CU479" s="1930"/>
      <c r="CV479" s="1930"/>
      <c r="CW479" s="1930"/>
      <c r="CX479" s="1931"/>
      <c r="CY479" s="1931"/>
      <c r="CZ479" s="1931"/>
      <c r="DA479" s="1931"/>
      <c r="DB479" s="1932"/>
      <c r="DC479" s="1931"/>
      <c r="DD479" s="1931"/>
      <c r="DE479" s="1931"/>
    </row>
    <row r="481" spans="2:110" s="44" customFormat="1" ht="30" x14ac:dyDescent="0.25">
      <c r="B481" s="45"/>
      <c r="C481" s="46" t="s">
        <v>28</v>
      </c>
      <c r="D481" s="46" t="s">
        <v>29</v>
      </c>
      <c r="E481" s="3196" t="s">
        <v>30</v>
      </c>
      <c r="F481" s="3196" t="s">
        <v>31</v>
      </c>
      <c r="G481" s="3196" t="s">
        <v>176</v>
      </c>
      <c r="H481" s="47" t="s">
        <v>177</v>
      </c>
      <c r="I481" s="3196" t="s">
        <v>32</v>
      </c>
      <c r="J481" s="3196" t="s">
        <v>181</v>
      </c>
      <c r="K481" s="46" t="s">
        <v>170</v>
      </c>
      <c r="L481" s="46" t="s">
        <v>44</v>
      </c>
      <c r="M481" s="1965"/>
      <c r="N481" s="1392"/>
      <c r="O481" s="1367"/>
      <c r="P481" s="1368"/>
      <c r="Q481" s="1288"/>
      <c r="R481" s="1288"/>
      <c r="S481" s="1288"/>
      <c r="T481" s="1288"/>
      <c r="U481" s="1288"/>
      <c r="V481" s="1936" t="s">
        <v>45</v>
      </c>
      <c r="W481" s="1937">
        <f>$W$8</f>
        <v>43252</v>
      </c>
      <c r="X481" s="1937">
        <f>$X$8</f>
        <v>43465</v>
      </c>
      <c r="Y481" s="1937">
        <f>$Y$8</f>
        <v>43800</v>
      </c>
      <c r="Z481" s="1937">
        <f>$Z$8</f>
        <v>43862</v>
      </c>
      <c r="AA481" s="1937">
        <f>$AA$8</f>
        <v>44013</v>
      </c>
      <c r="AB481" s="1937">
        <v>44166</v>
      </c>
      <c r="AC481" s="1937">
        <f>$AC$8</f>
        <v>44531</v>
      </c>
      <c r="AD481" s="1937" t="str">
        <f>$AD$8</f>
        <v>-</v>
      </c>
      <c r="AE481" s="1937" t="str">
        <f>$AE$8</f>
        <v>-</v>
      </c>
      <c r="AF481" s="1937" t="str">
        <f>$AF$8</f>
        <v>-</v>
      </c>
      <c r="AG481" s="1937" t="str">
        <f>$AG$8</f>
        <v>-</v>
      </c>
      <c r="AH481" s="1930"/>
      <c r="AI481" s="1936" t="s">
        <v>45</v>
      </c>
      <c r="AJ481" s="1937">
        <v>43252</v>
      </c>
      <c r="AK481" s="1937">
        <f>$X$8</f>
        <v>43465</v>
      </c>
      <c r="AL481" s="1937">
        <f>$Y$8</f>
        <v>43800</v>
      </c>
      <c r="AM481" s="1937">
        <f>$Z$8</f>
        <v>43862</v>
      </c>
      <c r="AN481" s="1937">
        <f>$AA$8</f>
        <v>44013</v>
      </c>
      <c r="AO481" s="1937">
        <f>$AB$8</f>
        <v>44166</v>
      </c>
      <c r="AP481" s="1937">
        <f>$AC$8</f>
        <v>44531</v>
      </c>
      <c r="AQ481" s="1937" t="str">
        <f>$AD$8</f>
        <v>-</v>
      </c>
      <c r="AR481" s="1937" t="str">
        <f>$AE$8</f>
        <v>-</v>
      </c>
      <c r="AS481" s="1937" t="str">
        <f>$AF$8</f>
        <v>-</v>
      </c>
      <c r="AT481" s="1933"/>
      <c r="AU481" s="1936" t="s">
        <v>45</v>
      </c>
      <c r="AV481" s="1937">
        <v>43252</v>
      </c>
      <c r="AW481" s="1937">
        <f>$X$8</f>
        <v>43465</v>
      </c>
      <c r="AX481" s="1937">
        <f>$Y$8</f>
        <v>43800</v>
      </c>
      <c r="AY481" s="1937">
        <f>$Z$8</f>
        <v>43862</v>
      </c>
      <c r="AZ481" s="1937">
        <f>$AA$8</f>
        <v>44013</v>
      </c>
      <c r="BA481" s="1937">
        <v>44166</v>
      </c>
      <c r="BB481" s="1937">
        <f>$AC$8</f>
        <v>44531</v>
      </c>
      <c r="BC481" s="1937" t="str">
        <f>$AD$8</f>
        <v>-</v>
      </c>
      <c r="BD481" s="1937" t="str">
        <f>$AE$8</f>
        <v>-</v>
      </c>
      <c r="BE481" s="1937" t="str">
        <f>$AF$8</f>
        <v>-</v>
      </c>
      <c r="DB481" s="1938" t="str">
        <f>$DB$8</f>
        <v>TRC (2020)</v>
      </c>
      <c r="DC481" s="1953" t="str">
        <f>$DC$8</f>
        <v>Benefit Lookup</v>
      </c>
      <c r="DD481" s="1953" t="str">
        <f>$DD$8</f>
        <v>Benefits (2019 $)</v>
      </c>
      <c r="DE481" s="1953" t="str">
        <f>$DE$8</f>
        <v>Incremental Cost (2019 $)</v>
      </c>
    </row>
    <row r="482" spans="2:110" x14ac:dyDescent="0.25">
      <c r="B482" s="1931"/>
      <c r="C482" s="2462" t="s">
        <v>2997</v>
      </c>
      <c r="D482" s="1363" t="s">
        <v>2646</v>
      </c>
      <c r="E482" s="1308" t="s">
        <v>2998</v>
      </c>
      <c r="F482" s="1959">
        <f>ROUND(((F496/G496)-(F496/H496))*I496*J496,2)</f>
        <v>840.73</v>
      </c>
      <c r="G482" s="1290" t="s">
        <v>2671</v>
      </c>
      <c r="H482" s="1291">
        <f>VLOOKUP(G482,'CP FACTORS'!$A$26:$B$38,2,FALSE)</f>
        <v>1.379439E-4</v>
      </c>
      <c r="I482" s="1309">
        <f>ROUND(H482*F482,6)</f>
        <v>0.11597399999999999</v>
      </c>
      <c r="J482" s="1354">
        <v>14</v>
      </c>
      <c r="K482" s="1310">
        <v>75</v>
      </c>
      <c r="L482" s="1374" t="s">
        <v>185</v>
      </c>
      <c r="M482" s="1965"/>
      <c r="N482" s="1965"/>
      <c r="O482" s="1965"/>
      <c r="P482" s="1965"/>
      <c r="Q482" s="1965"/>
      <c r="R482" s="1965"/>
      <c r="S482" s="1965"/>
      <c r="T482" s="1965"/>
      <c r="U482" s="1965"/>
      <c r="V482" s="3227" t="s">
        <v>31</v>
      </c>
      <c r="W482" s="129">
        <v>840.73431350891383</v>
      </c>
      <c r="X482" s="129">
        <v>840.73431350891383</v>
      </c>
      <c r="Y482" s="129">
        <v>840.73431350891383</v>
      </c>
      <c r="Z482" s="129">
        <v>840.73431350891383</v>
      </c>
      <c r="AA482" s="129">
        <v>840.73431350891383</v>
      </c>
      <c r="AB482" s="1825">
        <v>840.73</v>
      </c>
      <c r="AC482" s="3364">
        <v>840.73</v>
      </c>
      <c r="AD482" s="2099"/>
      <c r="AE482" s="2099"/>
      <c r="AF482" s="2099"/>
      <c r="AG482" s="2099"/>
      <c r="AH482" s="2100"/>
      <c r="AI482" s="3227" t="s">
        <v>181</v>
      </c>
      <c r="AJ482" s="64">
        <v>14</v>
      </c>
      <c r="AK482" s="64">
        <v>14</v>
      </c>
      <c r="AL482" s="64">
        <v>14</v>
      </c>
      <c r="AM482" s="64">
        <v>14</v>
      </c>
      <c r="AN482" s="64">
        <v>14</v>
      </c>
      <c r="AO482" s="2095">
        <v>14</v>
      </c>
      <c r="AP482" s="2101">
        <v>14</v>
      </c>
      <c r="AQ482" s="2099"/>
      <c r="AR482" s="2099"/>
      <c r="AS482" s="2099"/>
      <c r="AT482" s="1933"/>
      <c r="AU482" s="3227" t="s">
        <v>170</v>
      </c>
      <c r="AV482" s="2102">
        <v>75</v>
      </c>
      <c r="AW482" s="2102">
        <v>75</v>
      </c>
      <c r="AX482" s="2102">
        <v>75</v>
      </c>
      <c r="AY482" s="2102">
        <v>75</v>
      </c>
      <c r="AZ482" s="2102">
        <v>75</v>
      </c>
      <c r="BA482" s="2103">
        <v>75</v>
      </c>
      <c r="BB482" s="2103">
        <v>75</v>
      </c>
      <c r="BC482" s="2099"/>
      <c r="BD482" s="2099"/>
      <c r="BE482" s="2099"/>
      <c r="BF482" s="1933"/>
      <c r="BG482" s="1933"/>
      <c r="BH482" s="1933"/>
      <c r="BI482" s="1933"/>
      <c r="BJ482" s="1931"/>
      <c r="BK482" s="1931"/>
      <c r="BL482" s="1931"/>
      <c r="BM482" s="1931"/>
      <c r="BN482" s="1931"/>
      <c r="BO482" s="1931"/>
      <c r="BP482" s="1931"/>
      <c r="BQ482" s="1931"/>
      <c r="BR482" s="1931"/>
      <c r="BS482" s="1931"/>
      <c r="BT482" s="1931"/>
      <c r="BU482" s="1931"/>
      <c r="BV482" s="1931"/>
      <c r="BW482" s="1931"/>
      <c r="BX482" s="1931"/>
      <c r="BY482" s="1931"/>
      <c r="BZ482" s="1931"/>
      <c r="CA482" s="1931"/>
      <c r="CB482" s="1931"/>
      <c r="CC482" s="1931"/>
      <c r="CD482" s="1931"/>
      <c r="CE482" s="1930"/>
      <c r="CF482" s="1930"/>
      <c r="CG482" s="1930"/>
      <c r="CH482" s="1930"/>
      <c r="CI482" s="1931"/>
      <c r="CJ482" s="1931"/>
      <c r="CK482" s="1931"/>
      <c r="CL482" s="1931"/>
      <c r="CM482" s="1931"/>
      <c r="CN482" s="1931"/>
      <c r="CO482" s="1931"/>
      <c r="CP482" s="1931"/>
      <c r="CQ482" s="1931"/>
      <c r="CR482" s="1931"/>
      <c r="CS482" s="1931"/>
      <c r="CT482" s="1930"/>
      <c r="CU482" s="1930"/>
      <c r="CV482" s="1930"/>
      <c r="CW482" s="1930"/>
      <c r="CX482" s="1931"/>
      <c r="CY482" s="1931"/>
      <c r="CZ482" s="1931"/>
      <c r="DA482" s="1931"/>
      <c r="DB482" s="1945">
        <f>(DD482)/(DE482)</f>
        <v>5.9917958609290851</v>
      </c>
      <c r="DC482" s="3166" t="str">
        <f>CONCATENATE(G482," ",J482," Year EUL")</f>
        <v>Miscellaneous BUS 14 Year EUL</v>
      </c>
      <c r="DD482" s="69">
        <f>(INDEX('Avoided Cost Benefits'!$C$4:$C$857,MATCH(DC482,'Avoided Cost Benefits'!$A$4:$A$857,0)))*F482</f>
        <v>424.14789010824103</v>
      </c>
      <c r="DE482" s="1946">
        <f>K482/(1.0595^(2020-2019))</f>
        <v>70.788107597923542</v>
      </c>
    </row>
    <row r="483" spans="2:110" x14ac:dyDescent="0.25">
      <c r="B483" s="1931"/>
      <c r="C483" s="2462" t="s">
        <v>2999</v>
      </c>
      <c r="D483" s="1363" t="s">
        <v>2646</v>
      </c>
      <c r="E483" s="1308" t="s">
        <v>3000</v>
      </c>
      <c r="F483" s="1959">
        <f>ROUND(((F497/G497)-(F497/H497))*I497*J497,2)</f>
        <v>307.27999999999997</v>
      </c>
      <c r="G483" s="1290" t="s">
        <v>2671</v>
      </c>
      <c r="H483" s="1291">
        <f>VLOOKUP(G483,'CP FACTORS'!$A$26:$B$38,2,FALSE)</f>
        <v>1.379439E-4</v>
      </c>
      <c r="I483" s="1309">
        <f>ROUND(H483*F483,6)</f>
        <v>4.2387000000000001E-2</v>
      </c>
      <c r="J483" s="1354">
        <v>14</v>
      </c>
      <c r="K483" s="1310">
        <v>105</v>
      </c>
      <c r="L483" s="1374" t="s">
        <v>185</v>
      </c>
      <c r="M483" s="1965"/>
      <c r="N483" s="1965"/>
      <c r="O483" s="1965"/>
      <c r="P483" s="1965"/>
      <c r="Q483" s="1965"/>
      <c r="R483" s="1965"/>
      <c r="S483" s="1965"/>
      <c r="T483" s="1965"/>
      <c r="U483" s="1965"/>
      <c r="V483" s="3227" t="s">
        <v>31</v>
      </c>
      <c r="W483" s="129">
        <v>307.28361601678625</v>
      </c>
      <c r="X483" s="129">
        <v>307.28361601678625</v>
      </c>
      <c r="Y483" s="129">
        <v>307.28361601678625</v>
      </c>
      <c r="Z483" s="129">
        <v>307.28361601678625</v>
      </c>
      <c r="AA483" s="129">
        <v>307.28361601678625</v>
      </c>
      <c r="AB483" s="1825">
        <v>307.27999999999997</v>
      </c>
      <c r="AC483" s="3364">
        <v>307.27999999999997</v>
      </c>
      <c r="AD483" s="2099"/>
      <c r="AE483" s="2099"/>
      <c r="AF483" s="2099"/>
      <c r="AG483" s="2099"/>
      <c r="AH483" s="2100"/>
      <c r="AI483" s="3227" t="s">
        <v>181</v>
      </c>
      <c r="AJ483" s="64">
        <v>14</v>
      </c>
      <c r="AK483" s="64">
        <v>14</v>
      </c>
      <c r="AL483" s="64">
        <v>14</v>
      </c>
      <c r="AM483" s="64">
        <v>14</v>
      </c>
      <c r="AN483" s="64">
        <v>14</v>
      </c>
      <c r="AO483" s="2095">
        <v>14</v>
      </c>
      <c r="AP483" s="2101">
        <v>14</v>
      </c>
      <c r="AQ483" s="2099"/>
      <c r="AR483" s="2099"/>
      <c r="AS483" s="2099"/>
      <c r="AT483" s="1933"/>
      <c r="AU483" s="3227" t="s">
        <v>170</v>
      </c>
      <c r="AV483" s="2102">
        <v>105</v>
      </c>
      <c r="AW483" s="2102">
        <v>105</v>
      </c>
      <c r="AX483" s="2102">
        <v>105</v>
      </c>
      <c r="AY483" s="2102">
        <v>105</v>
      </c>
      <c r="AZ483" s="2102">
        <v>105</v>
      </c>
      <c r="BA483" s="2103">
        <v>105</v>
      </c>
      <c r="BB483" s="2103">
        <v>105</v>
      </c>
      <c r="BC483" s="2099"/>
      <c r="BD483" s="2099"/>
      <c r="BE483" s="2099"/>
      <c r="BF483" s="1933"/>
      <c r="BG483" s="1933"/>
      <c r="BH483" s="1933"/>
      <c r="BI483" s="1933"/>
      <c r="BJ483" s="1931"/>
      <c r="BK483" s="1931"/>
      <c r="BL483" s="1931"/>
      <c r="BM483" s="1931"/>
      <c r="BN483" s="1931"/>
      <c r="BO483" s="1931"/>
      <c r="BP483" s="1931"/>
      <c r="BQ483" s="1931"/>
      <c r="BR483" s="1931"/>
      <c r="BS483" s="1931"/>
      <c r="BT483" s="1931"/>
      <c r="BU483" s="1931"/>
      <c r="BV483" s="1931"/>
      <c r="BW483" s="1931"/>
      <c r="BX483" s="1931"/>
      <c r="BY483" s="1931"/>
      <c r="BZ483" s="1931"/>
      <c r="CA483" s="1931"/>
      <c r="CB483" s="1931"/>
      <c r="CC483" s="1931"/>
      <c r="CD483" s="1931"/>
      <c r="CE483" s="1930"/>
      <c r="CF483" s="1930"/>
      <c r="CG483" s="1930"/>
      <c r="CH483" s="1930"/>
      <c r="CI483" s="1931"/>
      <c r="CJ483" s="1931"/>
      <c r="CK483" s="1931"/>
      <c r="CL483" s="1931"/>
      <c r="CM483" s="1931"/>
      <c r="CN483" s="1931"/>
      <c r="CO483" s="1931"/>
      <c r="CP483" s="1931"/>
      <c r="CQ483" s="1931"/>
      <c r="CR483" s="1931"/>
      <c r="CS483" s="1931"/>
      <c r="CT483" s="1930"/>
      <c r="CU483" s="1930"/>
      <c r="CV483" s="1930"/>
      <c r="CW483" s="1930"/>
      <c r="CX483" s="1931"/>
      <c r="CY483" s="1931"/>
      <c r="CZ483" s="1931"/>
      <c r="DA483" s="1931"/>
      <c r="DB483" s="52">
        <f>(DD483)/(DE483)</f>
        <v>1.564252012406131</v>
      </c>
      <c r="DC483" s="1948" t="str">
        <f>CONCATENATE(G483," ",J483," Year EUL")</f>
        <v>Miscellaneous BUS 14 Year EUL</v>
      </c>
      <c r="DD483" s="70">
        <f>(INDEX('Avoided Cost Benefits'!$C$4:$C$857,MATCH(DC483,'Avoided Cost Benefits'!$A$4:$A$857,0)))*F483</f>
        <v>155.02261567026309</v>
      </c>
      <c r="DE483" s="1949">
        <f>K483/(1.0595^(2020-2019))</f>
        <v>99.103350637092959</v>
      </c>
    </row>
    <row r="484" spans="2:110" x14ac:dyDescent="0.25">
      <c r="B484" s="1931"/>
      <c r="C484" s="2462" t="s">
        <v>3001</v>
      </c>
      <c r="D484" s="1363" t="s">
        <v>2646</v>
      </c>
      <c r="E484" s="1308" t="s">
        <v>3002</v>
      </c>
      <c r="F484" s="1959">
        <f>ROUND(((F498/G498)-(F498/H498))*I498*J498,2)</f>
        <v>340.11</v>
      </c>
      <c r="G484" s="1290" t="s">
        <v>2671</v>
      </c>
      <c r="H484" s="1291">
        <f>VLOOKUP(G484,'CP FACTORS'!$A$26:$B$38,2,FALSE)</f>
        <v>1.379439E-4</v>
      </c>
      <c r="I484" s="1309">
        <f>ROUND(H484*F484,6)</f>
        <v>4.6915999999999999E-2</v>
      </c>
      <c r="J484" s="1354">
        <v>14</v>
      </c>
      <c r="K484" s="1310">
        <v>105</v>
      </c>
      <c r="L484" s="1374" t="s">
        <v>185</v>
      </c>
      <c r="M484" s="1965"/>
      <c r="N484" s="1965"/>
      <c r="O484" s="1965"/>
      <c r="P484" s="1965"/>
      <c r="Q484" s="1965"/>
      <c r="R484" s="1965"/>
      <c r="S484" s="1965"/>
      <c r="T484" s="1965"/>
      <c r="U484" s="1965"/>
      <c r="V484" s="3227" t="s">
        <v>31</v>
      </c>
      <c r="W484" s="129">
        <v>340.10511227902549</v>
      </c>
      <c r="X484" s="129">
        <v>340.10511227902549</v>
      </c>
      <c r="Y484" s="129">
        <v>340.10511227902549</v>
      </c>
      <c r="Z484" s="129">
        <v>340.10511227902549</v>
      </c>
      <c r="AA484" s="129">
        <v>340.10511227902549</v>
      </c>
      <c r="AB484" s="1825">
        <v>340.11</v>
      </c>
      <c r="AC484" s="3364">
        <v>340.11</v>
      </c>
      <c r="AD484" s="2099"/>
      <c r="AE484" s="2099"/>
      <c r="AF484" s="2099"/>
      <c r="AG484" s="2099"/>
      <c r="AH484" s="2100"/>
      <c r="AI484" s="3227" t="s">
        <v>181</v>
      </c>
      <c r="AJ484" s="64">
        <v>14</v>
      </c>
      <c r="AK484" s="64">
        <v>14</v>
      </c>
      <c r="AL484" s="64">
        <v>14</v>
      </c>
      <c r="AM484" s="64">
        <v>14</v>
      </c>
      <c r="AN484" s="64">
        <v>14</v>
      </c>
      <c r="AO484" s="2095">
        <v>14</v>
      </c>
      <c r="AP484" s="2101">
        <v>14</v>
      </c>
      <c r="AQ484" s="2099"/>
      <c r="AR484" s="2099"/>
      <c r="AS484" s="2099"/>
      <c r="AT484" s="1933"/>
      <c r="AU484" s="3227" t="s">
        <v>170</v>
      </c>
      <c r="AV484" s="2102">
        <v>105</v>
      </c>
      <c r="AW484" s="2102">
        <v>105</v>
      </c>
      <c r="AX484" s="2102">
        <v>105</v>
      </c>
      <c r="AY484" s="2102">
        <v>105</v>
      </c>
      <c r="AZ484" s="2102">
        <v>105</v>
      </c>
      <c r="BA484" s="2103">
        <v>105</v>
      </c>
      <c r="BB484" s="2103">
        <v>105</v>
      </c>
      <c r="BC484" s="2099"/>
      <c r="BD484" s="2099"/>
      <c r="BE484" s="2099"/>
      <c r="BF484" s="1933"/>
      <c r="BG484" s="1933"/>
      <c r="BH484" s="1933"/>
      <c r="BI484" s="1933"/>
      <c r="BJ484" s="1931"/>
      <c r="BK484" s="1931"/>
      <c r="BL484" s="1931"/>
      <c r="BM484" s="1931"/>
      <c r="BN484" s="1931"/>
      <c r="BO484" s="1931"/>
      <c r="BP484" s="1931"/>
      <c r="BQ484" s="1931"/>
      <c r="BR484" s="1931"/>
      <c r="BS484" s="1931"/>
      <c r="BT484" s="1931"/>
      <c r="BU484" s="1931"/>
      <c r="BV484" s="1931"/>
      <c r="BW484" s="1931"/>
      <c r="BX484" s="1931"/>
      <c r="BY484" s="1931"/>
      <c r="BZ484" s="1931"/>
      <c r="CA484" s="1931"/>
      <c r="CB484" s="1931"/>
      <c r="CC484" s="1931"/>
      <c r="CD484" s="1931"/>
      <c r="CE484" s="1930"/>
      <c r="CF484" s="1930"/>
      <c r="CG484" s="1930"/>
      <c r="CH484" s="1930"/>
      <c r="CI484" s="1931"/>
      <c r="CJ484" s="1931"/>
      <c r="CK484" s="1931"/>
      <c r="CL484" s="1931"/>
      <c r="CM484" s="1931"/>
      <c r="CN484" s="1931"/>
      <c r="CO484" s="1931"/>
      <c r="CP484" s="1931"/>
      <c r="CQ484" s="1931"/>
      <c r="CR484" s="1931"/>
      <c r="CS484" s="1931"/>
      <c r="CT484" s="1930"/>
      <c r="CU484" s="1930"/>
      <c r="CV484" s="1930"/>
      <c r="CW484" s="1930"/>
      <c r="CX484" s="1931"/>
      <c r="CY484" s="1931"/>
      <c r="CZ484" s="1931"/>
      <c r="DA484" s="1931"/>
      <c r="DB484" s="52">
        <f>(DD484)/(DE484)</f>
        <v>1.7313777399747763</v>
      </c>
      <c r="DC484" s="1948" t="str">
        <f>CONCATENATE(G484," ",J484," Year EUL")</f>
        <v>Miscellaneous BUS 14 Year EUL</v>
      </c>
      <c r="DD484" s="70">
        <f>(INDEX('Avoided Cost Benefits'!$C$4:$C$857,MATCH(DC484,'Avoided Cost Benefits'!$A$4:$A$857,0)))*F484</f>
        <v>171.58533524997782</v>
      </c>
      <c r="DE484" s="1949">
        <f>K484/(1.0595^(2020-2019))</f>
        <v>99.103350637092959</v>
      </c>
    </row>
    <row r="485" spans="2:110" x14ac:dyDescent="0.25">
      <c r="B485" s="1931"/>
      <c r="C485" s="2462" t="s">
        <v>3003</v>
      </c>
      <c r="D485" s="1363" t="s">
        <v>2646</v>
      </c>
      <c r="E485" s="1308" t="s">
        <v>3004</v>
      </c>
      <c r="F485" s="1959">
        <f>ROUND(((F499/G499)-(F499/H499))*I499*J499,2)</f>
        <v>428.66</v>
      </c>
      <c r="G485" s="1290" t="s">
        <v>2671</v>
      </c>
      <c r="H485" s="1291">
        <f>VLOOKUP(G485,'CP FACTORS'!$A$26:$B$38,2,FALSE)</f>
        <v>1.379439E-4</v>
      </c>
      <c r="I485" s="1309">
        <f>ROUND(H485*F485,6)</f>
        <v>5.9131000000000003E-2</v>
      </c>
      <c r="J485" s="1354">
        <v>14</v>
      </c>
      <c r="K485" s="1310">
        <v>105</v>
      </c>
      <c r="L485" s="1374" t="s">
        <v>185</v>
      </c>
      <c r="M485" s="1965"/>
      <c r="N485" s="1965"/>
      <c r="O485" s="1965"/>
      <c r="P485" s="1965"/>
      <c r="Q485" s="1965"/>
      <c r="R485" s="1965"/>
      <c r="S485" s="1965"/>
      <c r="T485" s="1965"/>
      <c r="U485" s="1965"/>
      <c r="V485" s="3227" t="s">
        <v>31</v>
      </c>
      <c r="W485" s="129">
        <v>428.65776750052589</v>
      </c>
      <c r="X485" s="129">
        <v>428.65776750052589</v>
      </c>
      <c r="Y485" s="129">
        <v>428.65776750052589</v>
      </c>
      <c r="Z485" s="129">
        <v>428.65776750052589</v>
      </c>
      <c r="AA485" s="129">
        <v>428.65776750052589</v>
      </c>
      <c r="AB485" s="1825">
        <v>428.66</v>
      </c>
      <c r="AC485" s="3364">
        <v>428.66</v>
      </c>
      <c r="AD485" s="2099"/>
      <c r="AE485" s="2099"/>
      <c r="AF485" s="2099"/>
      <c r="AG485" s="2099"/>
      <c r="AH485" s="2100"/>
      <c r="AI485" s="3227" t="s">
        <v>181</v>
      </c>
      <c r="AJ485" s="64">
        <v>14</v>
      </c>
      <c r="AK485" s="64">
        <v>14</v>
      </c>
      <c r="AL485" s="64">
        <v>14</v>
      </c>
      <c r="AM485" s="64">
        <v>14</v>
      </c>
      <c r="AN485" s="64">
        <v>14</v>
      </c>
      <c r="AO485" s="2095">
        <v>14</v>
      </c>
      <c r="AP485" s="2101">
        <v>14</v>
      </c>
      <c r="AQ485" s="2099"/>
      <c r="AR485" s="2099"/>
      <c r="AS485" s="2099"/>
      <c r="AT485" s="1933"/>
      <c r="AU485" s="3227" t="s">
        <v>170</v>
      </c>
      <c r="AV485" s="2102">
        <v>105</v>
      </c>
      <c r="AW485" s="2102">
        <v>105</v>
      </c>
      <c r="AX485" s="2102">
        <v>105</v>
      </c>
      <c r="AY485" s="2102">
        <v>105</v>
      </c>
      <c r="AZ485" s="2102">
        <v>105</v>
      </c>
      <c r="BA485" s="2103">
        <v>105</v>
      </c>
      <c r="BB485" s="2103">
        <v>105</v>
      </c>
      <c r="BC485" s="2099"/>
      <c r="BD485" s="2099"/>
      <c r="BE485" s="2099"/>
      <c r="BF485" s="1933"/>
      <c r="BG485" s="1933"/>
      <c r="BH485" s="1933"/>
      <c r="BI485" s="1933"/>
      <c r="BJ485" s="1931"/>
      <c r="BK485" s="1931"/>
      <c r="BL485" s="1931"/>
      <c r="BM485" s="1931"/>
      <c r="BN485" s="1931"/>
      <c r="BO485" s="1931"/>
      <c r="BP485" s="1931"/>
      <c r="BQ485" s="1931"/>
      <c r="BR485" s="1931"/>
      <c r="BS485" s="1931"/>
      <c r="BT485" s="1931"/>
      <c r="BU485" s="1931"/>
      <c r="BV485" s="1931"/>
      <c r="BW485" s="1931"/>
      <c r="BX485" s="1931"/>
      <c r="BY485" s="1931"/>
      <c r="BZ485" s="1931"/>
      <c r="CA485" s="1931"/>
      <c r="CB485" s="1931"/>
      <c r="CC485" s="1931"/>
      <c r="CD485" s="1931"/>
      <c r="CE485" s="1930"/>
      <c r="CF485" s="1930"/>
      <c r="CG485" s="1930"/>
      <c r="CH485" s="1930"/>
      <c r="CI485" s="1931"/>
      <c r="CJ485" s="1931"/>
      <c r="CK485" s="1931"/>
      <c r="CL485" s="1931"/>
      <c r="CM485" s="1931"/>
      <c r="CN485" s="1931"/>
      <c r="CO485" s="1931"/>
      <c r="CP485" s="1931"/>
      <c r="CQ485" s="1931"/>
      <c r="CR485" s="1931"/>
      <c r="CS485" s="1931"/>
      <c r="CT485" s="1930"/>
      <c r="CU485" s="1930"/>
      <c r="CV485" s="1930"/>
      <c r="CW485" s="1930"/>
      <c r="CX485" s="1931"/>
      <c r="CY485" s="1931"/>
      <c r="CZ485" s="1931"/>
      <c r="DA485" s="1931"/>
      <c r="DB485" s="52">
        <f>(DD485)/(DE485)</f>
        <v>2.1821539561247469</v>
      </c>
      <c r="DC485" s="1948" t="str">
        <f>CONCATENATE(G485," ",J485," Year EUL")</f>
        <v>Miscellaneous BUS 14 Year EUL</v>
      </c>
      <c r="DD485" s="70">
        <f>(INDEX('Avoided Cost Benefits'!$C$4:$C$857,MATCH(DC485,'Avoided Cost Benefits'!$A$4:$A$857,0)))*F485</f>
        <v>216.25876865795036</v>
      </c>
      <c r="DE485" s="1949">
        <f>K485/(1.0595^(2020-2019))</f>
        <v>99.103350637092959</v>
      </c>
    </row>
    <row r="486" spans="2:110" x14ac:dyDescent="0.25">
      <c r="B486" s="1931"/>
      <c r="C486" s="2462" t="s">
        <v>3005</v>
      </c>
      <c r="D486" s="1363" t="s">
        <v>2646</v>
      </c>
      <c r="E486" s="1308" t="s">
        <v>3006</v>
      </c>
      <c r="F486" s="1959">
        <f>ROUND(((F500/G500)-(F500/H500))*I500*J500,2)</f>
        <v>40.57</v>
      </c>
      <c r="G486" s="1290" t="s">
        <v>2671</v>
      </c>
      <c r="H486" s="1291">
        <f>VLOOKUP(G486,'CP FACTORS'!$A$26:$B$38,2,FALSE)</f>
        <v>1.379439E-4</v>
      </c>
      <c r="I486" s="1309">
        <f>ROUND(H486*F486,6)</f>
        <v>5.5960000000000003E-3</v>
      </c>
      <c r="J486" s="1354">
        <v>14</v>
      </c>
      <c r="K486" s="1310">
        <v>75</v>
      </c>
      <c r="L486" s="1374" t="s">
        <v>185</v>
      </c>
      <c r="M486" s="1965"/>
      <c r="N486" s="1965"/>
      <c r="O486" s="1965"/>
      <c r="P486" s="1965"/>
      <c r="Q486" s="1965"/>
      <c r="R486" s="1965"/>
      <c r="S486" s="1965"/>
      <c r="T486" s="1965"/>
      <c r="U486" s="1965"/>
      <c r="V486" s="3227" t="s">
        <v>31</v>
      </c>
      <c r="W486" s="129">
        <v>40.574226971021517</v>
      </c>
      <c r="X486" s="129">
        <v>40.574226971021517</v>
      </c>
      <c r="Y486" s="129">
        <v>40.574226971021517</v>
      </c>
      <c r="Z486" s="129">
        <v>40.574226971021517</v>
      </c>
      <c r="AA486" s="129">
        <v>40.574226971021517</v>
      </c>
      <c r="AB486" s="1825">
        <v>40.57</v>
      </c>
      <c r="AC486" s="3364">
        <v>40.57</v>
      </c>
      <c r="AD486" s="2099"/>
      <c r="AE486" s="2099"/>
      <c r="AF486" s="2099"/>
      <c r="AG486" s="2099"/>
      <c r="AH486" s="2100"/>
      <c r="AI486" s="3227" t="s">
        <v>181</v>
      </c>
      <c r="AJ486" s="64">
        <v>14</v>
      </c>
      <c r="AK486" s="64">
        <v>14</v>
      </c>
      <c r="AL486" s="64">
        <v>14</v>
      </c>
      <c r="AM486" s="64">
        <v>14</v>
      </c>
      <c r="AN486" s="64">
        <v>14</v>
      </c>
      <c r="AO486" s="2095">
        <v>14</v>
      </c>
      <c r="AP486" s="2101">
        <v>14</v>
      </c>
      <c r="AQ486" s="2099"/>
      <c r="AR486" s="2099"/>
      <c r="AS486" s="2099"/>
      <c r="AT486" s="1933"/>
      <c r="AU486" s="3227" t="s">
        <v>170</v>
      </c>
      <c r="AV486" s="2102">
        <v>75</v>
      </c>
      <c r="AW486" s="2102">
        <v>75</v>
      </c>
      <c r="AX486" s="2102">
        <v>75</v>
      </c>
      <c r="AY486" s="2102">
        <v>75</v>
      </c>
      <c r="AZ486" s="2102">
        <v>75</v>
      </c>
      <c r="BA486" s="2103">
        <v>75</v>
      </c>
      <c r="BB486" s="2103">
        <v>75</v>
      </c>
      <c r="BC486" s="2099"/>
      <c r="BD486" s="2099"/>
      <c r="BE486" s="2099"/>
      <c r="BF486" s="1933"/>
      <c r="BG486" s="1933"/>
      <c r="BH486" s="1933"/>
      <c r="BI486" s="1933"/>
      <c r="BJ486" s="1931"/>
      <c r="BK486" s="1931"/>
      <c r="BL486" s="1931"/>
      <c r="BM486" s="1931"/>
      <c r="BN486" s="1931"/>
      <c r="BO486" s="1931"/>
      <c r="BP486" s="1931"/>
      <c r="BQ486" s="1931"/>
      <c r="BR486" s="1931"/>
      <c r="BS486" s="1931"/>
      <c r="BT486" s="1931"/>
      <c r="BU486" s="1931"/>
      <c r="BV486" s="1931"/>
      <c r="BW486" s="1931"/>
      <c r="BX486" s="1931"/>
      <c r="BY486" s="1931"/>
      <c r="BZ486" s="1931"/>
      <c r="CA486" s="1931"/>
      <c r="CB486" s="1931"/>
      <c r="CC486" s="1931"/>
      <c r="CD486" s="1931"/>
      <c r="CE486" s="1930"/>
      <c r="CF486" s="1930"/>
      <c r="CG486" s="1930"/>
      <c r="CH486" s="1930"/>
      <c r="CI486" s="1931"/>
      <c r="CJ486" s="1931"/>
      <c r="CK486" s="1931"/>
      <c r="CL486" s="1931"/>
      <c r="CM486" s="1931"/>
      <c r="CN486" s="1931"/>
      <c r="CO486" s="1931"/>
      <c r="CP486" s="1931"/>
      <c r="CQ486" s="1931"/>
      <c r="CR486" s="1931"/>
      <c r="CS486" s="1931"/>
      <c r="CT486" s="1930"/>
      <c r="CU486" s="1930"/>
      <c r="CV486" s="1930"/>
      <c r="CW486" s="1930"/>
      <c r="CX486" s="1931"/>
      <c r="CY486" s="1931"/>
      <c r="CZ486" s="1931"/>
      <c r="DA486" s="1931"/>
      <c r="DB486" s="53">
        <f>(DD486)/(DE486)</f>
        <v>0.28913819903880317</v>
      </c>
      <c r="DC486" s="1948" t="str">
        <f>CONCATENATE(G486," ",J486," Year EUL")</f>
        <v>Miscellaneous BUS 14 Year EUL</v>
      </c>
      <c r="DD486" s="71">
        <f>(INDEX('Avoided Cost Benefits'!$C$4:$C$857,MATCH(DC486,'Avoided Cost Benefits'!$A$4:$A$857,0)))*F486</f>
        <v>20.467545944228632</v>
      </c>
      <c r="DE486" s="1950">
        <f>K486/(1.0595^(2020-2019))</f>
        <v>70.788107597923542</v>
      </c>
    </row>
    <row r="487" spans="2:110" hidden="1" outlineLevel="1" x14ac:dyDescent="0.25">
      <c r="B487" s="1931"/>
      <c r="D487" s="1966"/>
      <c r="E487" s="1966"/>
      <c r="F487" s="1966"/>
      <c r="G487" s="1966"/>
      <c r="H487" s="1299"/>
      <c r="I487" s="1966"/>
      <c r="J487" s="1966"/>
      <c r="K487" s="1966"/>
      <c r="L487" s="1965"/>
      <c r="M487" s="1965"/>
      <c r="N487" s="1965"/>
      <c r="O487" s="1965"/>
      <c r="P487" s="1965"/>
      <c r="Q487" s="1965"/>
      <c r="R487" s="1965"/>
      <c r="S487" s="1965"/>
      <c r="T487" s="1965"/>
      <c r="U487" s="1965"/>
      <c r="V487" s="1933"/>
      <c r="W487" s="1933"/>
      <c r="X487" s="1933"/>
      <c r="Y487" s="1933"/>
      <c r="Z487" s="1933"/>
      <c r="AA487" s="1933"/>
      <c r="AB487" s="1933"/>
      <c r="AC487" s="1933"/>
      <c r="AD487" s="1933"/>
      <c r="AE487" s="1933"/>
      <c r="AF487" s="1933"/>
      <c r="AG487" s="1933"/>
      <c r="AH487" s="1933"/>
      <c r="AI487" s="1933"/>
      <c r="AJ487" s="1933"/>
      <c r="AK487" s="1933"/>
      <c r="AL487" s="1933"/>
      <c r="AM487" s="1933"/>
      <c r="AN487" s="1933"/>
      <c r="AO487" s="1933"/>
      <c r="AP487" s="1933"/>
      <c r="AQ487" s="1933"/>
      <c r="AR487" s="1933"/>
      <c r="AS487" s="1933"/>
      <c r="AT487" s="1933"/>
      <c r="AU487" s="1933"/>
      <c r="AV487" s="1933"/>
      <c r="AW487" s="1933"/>
      <c r="AX487" s="1933"/>
      <c r="AY487" s="1933"/>
      <c r="AZ487" s="1933"/>
      <c r="BA487" s="1933"/>
      <c r="BB487" s="1933"/>
      <c r="BC487" s="1933"/>
      <c r="BD487" s="1933"/>
      <c r="BE487" s="1933"/>
      <c r="BF487" s="1933"/>
      <c r="BG487" s="1933"/>
      <c r="BH487" s="1933"/>
      <c r="BI487" s="1933"/>
      <c r="BJ487" s="1931"/>
      <c r="BK487" s="1931"/>
      <c r="BL487" s="1931"/>
      <c r="BM487" s="1931"/>
      <c r="BN487" s="1931"/>
      <c r="BO487" s="1931"/>
      <c r="BP487" s="1931"/>
      <c r="BQ487" s="1931"/>
      <c r="BR487" s="1931"/>
      <c r="BS487" s="1931"/>
      <c r="BT487" s="1931"/>
      <c r="BU487" s="1931"/>
      <c r="BV487" s="1931"/>
      <c r="BW487" s="1931"/>
      <c r="BX487" s="1931"/>
      <c r="BY487" s="1931"/>
      <c r="BZ487" s="1931"/>
      <c r="CA487" s="1931"/>
      <c r="CB487" s="1931"/>
      <c r="CC487" s="1931"/>
      <c r="CD487" s="1931"/>
      <c r="CE487" s="1930"/>
      <c r="CF487" s="1930"/>
      <c r="CG487" s="1930"/>
      <c r="CH487" s="1930"/>
      <c r="CI487" s="1931"/>
      <c r="CJ487" s="1931"/>
      <c r="CK487" s="1931"/>
      <c r="CL487" s="1931"/>
      <c r="CM487" s="1931"/>
      <c r="CN487" s="1931"/>
      <c r="CO487" s="1931"/>
      <c r="CP487" s="1931"/>
      <c r="CQ487" s="1931"/>
      <c r="CR487" s="1931"/>
      <c r="CS487" s="1931"/>
      <c r="CT487" s="1930"/>
      <c r="CU487" s="1930"/>
      <c r="CV487" s="1930"/>
      <c r="CW487" s="1930"/>
      <c r="CX487" s="1931"/>
      <c r="CY487" s="1931"/>
      <c r="CZ487" s="1931"/>
      <c r="DA487" s="1931"/>
      <c r="DB487" s="1932"/>
      <c r="DC487" s="1931"/>
      <c r="DD487" s="1931"/>
      <c r="DE487" s="1931"/>
    </row>
    <row r="488" spans="2:110" hidden="1" outlineLevel="1" x14ac:dyDescent="0.25">
      <c r="B488" s="1931"/>
      <c r="D488" s="1966" t="s">
        <v>2689</v>
      </c>
      <c r="E488" s="1966"/>
      <c r="F488" s="1966"/>
      <c r="G488" s="1966"/>
      <c r="H488" s="1299"/>
      <c r="I488" s="1966"/>
      <c r="J488" s="1966"/>
      <c r="K488" s="1966"/>
      <c r="L488" s="1965"/>
      <c r="M488" s="1965"/>
      <c r="N488" s="1965"/>
      <c r="O488" s="1965"/>
      <c r="P488" s="1965"/>
      <c r="Q488" s="1965"/>
      <c r="R488" s="1965"/>
      <c r="S488" s="1965"/>
      <c r="T488" s="1965"/>
      <c r="U488" s="1965"/>
      <c r="V488" s="1933"/>
      <c r="W488" s="1933"/>
      <c r="X488" s="1933"/>
      <c r="Y488" s="1933"/>
      <c r="Z488" s="1933"/>
      <c r="AA488" s="1933"/>
      <c r="AB488" s="1933"/>
      <c r="AC488" s="1933"/>
      <c r="AD488" s="1933"/>
      <c r="AE488" s="1933"/>
      <c r="AF488" s="1933"/>
      <c r="AG488" s="1933"/>
      <c r="AH488" s="1933"/>
      <c r="AI488" s="1933"/>
      <c r="AJ488" s="1933"/>
      <c r="AK488" s="1933"/>
      <c r="AL488" s="1933"/>
      <c r="AM488" s="1933"/>
      <c r="AN488" s="1933"/>
      <c r="AO488" s="1933"/>
      <c r="AP488" s="1933"/>
      <c r="AQ488" s="1933"/>
      <c r="AR488" s="1933"/>
      <c r="AS488" s="1933"/>
      <c r="AT488" s="1933"/>
      <c r="AU488" s="1933"/>
      <c r="AV488" s="1933"/>
      <c r="AW488" s="1933"/>
      <c r="AX488" s="1933"/>
      <c r="AY488" s="1933"/>
      <c r="AZ488" s="1933"/>
      <c r="BA488" s="1933"/>
      <c r="BB488" s="1933"/>
      <c r="BC488" s="1933"/>
      <c r="BD488" s="1933"/>
      <c r="BE488" s="1933"/>
      <c r="BF488" s="1933"/>
      <c r="BG488" s="1933"/>
      <c r="BH488" s="1933"/>
      <c r="BI488" s="1933"/>
      <c r="BJ488" s="1931"/>
      <c r="BK488" s="1931"/>
      <c r="BL488" s="1931"/>
      <c r="BM488" s="1931"/>
      <c r="BN488" s="1931"/>
      <c r="BO488" s="1931"/>
      <c r="BP488" s="1931"/>
      <c r="BQ488" s="1931"/>
      <c r="BR488" s="1931"/>
      <c r="BS488" s="1931"/>
      <c r="BT488" s="1931"/>
      <c r="BU488" s="1931"/>
      <c r="BV488" s="1931"/>
      <c r="BW488" s="1931"/>
      <c r="BX488" s="1931"/>
      <c r="BY488" s="1931"/>
      <c r="BZ488" s="1931"/>
      <c r="CA488" s="1931"/>
      <c r="CB488" s="1931"/>
      <c r="CC488" s="1931"/>
      <c r="CD488" s="1931"/>
      <c r="CE488" s="1930"/>
      <c r="CF488" s="1930"/>
      <c r="CG488" s="1930"/>
      <c r="CH488" s="1930"/>
      <c r="CI488" s="1931"/>
      <c r="CJ488" s="1931"/>
      <c r="CK488" s="1931"/>
      <c r="CL488" s="1931"/>
      <c r="CM488" s="1931"/>
      <c r="CN488" s="1931"/>
      <c r="CO488" s="1931"/>
      <c r="CP488" s="1931"/>
      <c r="CQ488" s="1931"/>
      <c r="CR488" s="1931"/>
      <c r="CS488" s="1931"/>
      <c r="CT488" s="1930"/>
      <c r="CU488" s="1930"/>
      <c r="CV488" s="1930"/>
      <c r="CW488" s="1930"/>
      <c r="CX488" s="1931"/>
      <c r="CY488" s="1931"/>
      <c r="CZ488" s="1931"/>
      <c r="DA488" s="1931"/>
      <c r="DB488" s="1932"/>
      <c r="DC488" s="1931"/>
      <c r="DD488" s="1931"/>
      <c r="DE488" s="1931"/>
    </row>
    <row r="489" spans="2:110" hidden="1" outlineLevel="1" x14ac:dyDescent="0.25">
      <c r="B489" s="1931"/>
      <c r="D489" s="1300"/>
      <c r="E489" s="1965"/>
      <c r="F489" s="1965"/>
      <c r="G489" s="1321"/>
      <c r="H489" s="1322"/>
      <c r="I489" s="1965"/>
      <c r="J489" s="1965"/>
      <c r="K489" s="1965"/>
      <c r="L489" s="1965"/>
      <c r="M489" s="1965"/>
      <c r="N489" s="1965"/>
      <c r="O489" s="1965"/>
      <c r="P489" s="1965"/>
      <c r="Q489" s="1965"/>
      <c r="R489" s="1965"/>
      <c r="S489" s="1965"/>
      <c r="T489" s="1965"/>
      <c r="U489" s="1965"/>
      <c r="V489" s="1933"/>
      <c r="W489" s="1933"/>
      <c r="X489" s="1933"/>
      <c r="Y489" s="1933"/>
      <c r="Z489" s="1933"/>
      <c r="AA489" s="1933"/>
      <c r="AB489" s="1933"/>
      <c r="AC489" s="1933"/>
      <c r="AD489" s="1933"/>
      <c r="AE489" s="1933"/>
      <c r="AF489" s="1933"/>
      <c r="AG489" s="1933"/>
      <c r="AH489" s="1933"/>
      <c r="AI489" s="1933"/>
      <c r="AJ489" s="1933"/>
      <c r="AK489" s="1933"/>
      <c r="AL489" s="1933"/>
      <c r="AM489" s="1933"/>
      <c r="AN489" s="1933"/>
      <c r="AO489" s="1933"/>
      <c r="AP489" s="1933"/>
      <c r="AQ489" s="1933"/>
      <c r="AR489" s="1933"/>
      <c r="AS489" s="1933"/>
      <c r="AT489" s="1933"/>
      <c r="AU489" s="1933"/>
      <c r="AV489" s="1933"/>
      <c r="AW489" s="1933"/>
      <c r="AX489" s="1933"/>
      <c r="AY489" s="1933"/>
      <c r="AZ489" s="1933"/>
      <c r="BA489" s="1933"/>
      <c r="BB489" s="1933"/>
      <c r="BC489" s="1933"/>
      <c r="BD489" s="1933"/>
      <c r="BE489" s="1933"/>
      <c r="BF489" s="1933"/>
      <c r="BG489" s="1933"/>
      <c r="BH489" s="1933"/>
      <c r="BI489" s="1933"/>
      <c r="BJ489" s="1931"/>
      <c r="BK489" s="1931"/>
      <c r="BL489" s="1931"/>
      <c r="BM489" s="1931"/>
      <c r="BN489" s="1931"/>
      <c r="BO489" s="1931"/>
      <c r="BP489" s="1931"/>
      <c r="BQ489" s="1931"/>
      <c r="BR489" s="1931"/>
      <c r="BS489" s="1931"/>
      <c r="BT489" s="1931"/>
      <c r="BU489" s="1931"/>
      <c r="BV489" s="1931"/>
      <c r="BW489" s="1931"/>
      <c r="BX489" s="1931"/>
      <c r="BY489" s="1931"/>
      <c r="BZ489" s="1931"/>
      <c r="CA489" s="1931"/>
      <c r="CB489" s="1931"/>
      <c r="CC489" s="1931"/>
      <c r="CD489" s="1931"/>
      <c r="CE489" s="1930"/>
      <c r="CF489" s="1930"/>
      <c r="CG489" s="1930"/>
      <c r="CH489" s="1930"/>
      <c r="CI489" s="1931"/>
      <c r="CJ489" s="1931"/>
      <c r="CK489" s="1931"/>
      <c r="CL489" s="1931"/>
      <c r="CM489" s="1931"/>
      <c r="CN489" s="1931"/>
      <c r="CO489" s="1931"/>
      <c r="CP489" s="1931"/>
      <c r="CQ489" s="1931"/>
      <c r="CR489" s="1931"/>
      <c r="CS489" s="1931"/>
      <c r="CT489" s="1930"/>
      <c r="CU489" s="1930"/>
      <c r="CV489" s="1930"/>
      <c r="CW489" s="1930"/>
      <c r="CX489" s="1931"/>
      <c r="CY489" s="1931"/>
      <c r="CZ489" s="1931"/>
      <c r="DA489" s="1931"/>
      <c r="DB489" s="1932"/>
      <c r="DC489" s="1931"/>
      <c r="DD489" s="1931"/>
      <c r="DE489" s="1931"/>
    </row>
    <row r="490" spans="2:110" hidden="1" outlineLevel="1" x14ac:dyDescent="0.25">
      <c r="B490" s="1931"/>
      <c r="D490" s="1355"/>
      <c r="E490" s="874"/>
      <c r="F490" s="1965"/>
      <c r="G490" s="1321"/>
      <c r="H490" s="1322"/>
      <c r="I490" s="1965"/>
      <c r="J490" s="1965"/>
      <c r="K490" s="1965"/>
      <c r="L490" s="1965"/>
      <c r="M490" s="1965"/>
      <c r="N490" s="1965"/>
      <c r="O490" s="1965"/>
      <c r="P490" s="1965"/>
      <c r="Q490" s="1965"/>
      <c r="R490" s="1965"/>
      <c r="S490" s="1965"/>
      <c r="T490" s="1965"/>
      <c r="U490" s="1965"/>
      <c r="V490" s="1933"/>
      <c r="W490" s="1933"/>
      <c r="X490" s="1933"/>
      <c r="Y490" s="1933"/>
      <c r="Z490" s="1933"/>
      <c r="AA490" s="1933"/>
      <c r="AB490" s="1933"/>
      <c r="AC490" s="1933"/>
      <c r="AD490" s="1933"/>
      <c r="AE490" s="1933"/>
      <c r="AF490" s="1933"/>
      <c r="AG490" s="1933"/>
      <c r="AH490" s="1933"/>
      <c r="AI490" s="1933"/>
      <c r="AJ490" s="1933"/>
      <c r="AK490" s="1933"/>
      <c r="AL490" s="1933"/>
      <c r="AM490" s="1933"/>
      <c r="AN490" s="1933"/>
      <c r="AO490" s="1933"/>
      <c r="AP490" s="1933"/>
      <c r="AQ490" s="1933"/>
      <c r="AR490" s="1933"/>
      <c r="AS490" s="1933"/>
      <c r="AT490" s="1933"/>
      <c r="AU490" s="1933"/>
      <c r="AV490" s="1933"/>
      <c r="AW490" s="1933"/>
      <c r="AX490" s="1933"/>
      <c r="AY490" s="1933"/>
      <c r="AZ490" s="1933"/>
      <c r="BA490" s="1933"/>
      <c r="BB490" s="1933"/>
      <c r="BC490" s="1933"/>
      <c r="BD490" s="1933"/>
      <c r="BE490" s="1933"/>
      <c r="BF490" s="1933"/>
      <c r="BG490" s="1933"/>
      <c r="BH490" s="1933"/>
      <c r="BI490" s="1933"/>
      <c r="BJ490" s="1931"/>
      <c r="BK490" s="1931"/>
      <c r="BL490" s="1931"/>
      <c r="BM490" s="1931"/>
      <c r="BN490" s="1931"/>
      <c r="BO490" s="1931"/>
      <c r="BP490" s="1931"/>
      <c r="BQ490" s="1931"/>
      <c r="BR490" s="1931"/>
      <c r="BS490" s="1931"/>
      <c r="BT490" s="1931"/>
      <c r="BU490" s="1931"/>
      <c r="BV490" s="1931"/>
      <c r="BW490" s="1931"/>
      <c r="BX490" s="1931"/>
      <c r="BY490" s="1931"/>
      <c r="BZ490" s="1931"/>
      <c r="CA490" s="1931"/>
      <c r="CB490" s="1931"/>
      <c r="CC490" s="1931"/>
      <c r="CD490" s="1931"/>
      <c r="CE490" s="1930"/>
      <c r="CF490" s="1930"/>
      <c r="CG490" s="1930"/>
      <c r="CH490" s="1930"/>
      <c r="CI490" s="1931"/>
      <c r="CJ490" s="1931"/>
      <c r="CK490" s="1931"/>
      <c r="CL490" s="1931"/>
      <c r="CM490" s="1931"/>
      <c r="CN490" s="1931"/>
      <c r="CO490" s="1931"/>
      <c r="CP490" s="1931"/>
      <c r="CQ490" s="1931"/>
      <c r="CR490" s="1931"/>
      <c r="CS490" s="1931"/>
      <c r="CT490" s="1930"/>
      <c r="CU490" s="1930"/>
      <c r="CV490" s="1930"/>
      <c r="CW490" s="1930"/>
      <c r="CX490" s="1931"/>
      <c r="CY490" s="1931"/>
      <c r="CZ490" s="1931"/>
      <c r="DA490" s="1931"/>
      <c r="DB490" s="1932"/>
      <c r="DC490" s="1931"/>
      <c r="DD490" s="1931"/>
      <c r="DE490" s="1931"/>
    </row>
    <row r="491" spans="2:110" hidden="1" outlineLevel="1" x14ac:dyDescent="0.25">
      <c r="B491" s="1931"/>
      <c r="D491" s="1355"/>
      <c r="E491" s="874"/>
      <c r="F491" s="1965"/>
      <c r="G491" s="1965"/>
      <c r="H491" s="1301"/>
      <c r="I491" s="1965"/>
      <c r="J491" s="1965"/>
      <c r="K491" s="1965"/>
      <c r="L491" s="1965"/>
      <c r="M491" s="1966"/>
      <c r="N491" s="1965"/>
      <c r="O491" s="1965"/>
      <c r="P491" s="1965"/>
      <c r="Q491" s="1965"/>
      <c r="R491" s="1965"/>
      <c r="S491" s="1965"/>
      <c r="T491" s="1965"/>
      <c r="U491" s="1965"/>
      <c r="V491" s="1933"/>
      <c r="W491" s="1933"/>
      <c r="X491" s="1933"/>
      <c r="Y491" s="1933"/>
      <c r="Z491" s="1933"/>
      <c r="AA491" s="1933"/>
      <c r="AB491" s="1933"/>
      <c r="AC491" s="1933"/>
      <c r="AD491" s="1933"/>
      <c r="AE491" s="1933"/>
      <c r="AF491" s="1933"/>
      <c r="AG491" s="1933"/>
      <c r="AH491" s="1933"/>
      <c r="AI491" s="1933"/>
      <c r="AJ491" s="1933"/>
      <c r="AK491" s="1933"/>
      <c r="AL491" s="1933"/>
      <c r="AM491" s="1933"/>
      <c r="AN491" s="1933"/>
      <c r="AO491" s="1933"/>
      <c r="AP491" s="1933"/>
      <c r="AQ491" s="1933"/>
      <c r="AR491" s="1933"/>
      <c r="AS491" s="1933"/>
      <c r="AT491" s="1933"/>
      <c r="AU491" s="1933"/>
      <c r="AV491" s="1933"/>
      <c r="AW491" s="1933"/>
      <c r="AX491" s="1933"/>
      <c r="AY491" s="1933"/>
      <c r="AZ491" s="1933"/>
      <c r="BA491" s="1933"/>
      <c r="BB491" s="1933"/>
      <c r="BC491" s="1933"/>
      <c r="BD491" s="1933"/>
      <c r="BE491" s="1933"/>
      <c r="BF491" s="1933"/>
      <c r="BG491" s="1933"/>
      <c r="BH491" s="1933"/>
      <c r="BI491" s="1933"/>
      <c r="BJ491" s="1931"/>
      <c r="BK491" s="1931"/>
      <c r="BL491" s="1931"/>
      <c r="BM491" s="1931"/>
      <c r="BN491" s="1931"/>
      <c r="BO491" s="1931"/>
      <c r="BP491" s="1931"/>
      <c r="BQ491" s="1931"/>
      <c r="BR491" s="1931"/>
      <c r="BS491" s="1931"/>
      <c r="BT491" s="1931"/>
      <c r="BU491" s="1931"/>
      <c r="BV491" s="1931"/>
      <c r="BW491" s="1931"/>
      <c r="BX491" s="1931"/>
      <c r="BY491" s="1931"/>
      <c r="BZ491" s="1931"/>
      <c r="CA491" s="1931"/>
      <c r="CB491" s="1931"/>
      <c r="CC491" s="1931"/>
      <c r="CD491" s="1931"/>
      <c r="CE491" s="1930"/>
      <c r="CF491" s="1930"/>
      <c r="CG491" s="1930"/>
      <c r="CH491" s="1930"/>
      <c r="CI491" s="1931"/>
      <c r="CJ491" s="1931"/>
      <c r="CK491" s="1931"/>
      <c r="CL491" s="1931"/>
      <c r="CM491" s="1931"/>
      <c r="CN491" s="1931"/>
      <c r="CO491" s="1931"/>
      <c r="CP491" s="1931"/>
      <c r="CQ491" s="1931"/>
      <c r="CR491" s="1931"/>
      <c r="CS491" s="1931"/>
      <c r="CT491" s="1930"/>
      <c r="CU491" s="1930"/>
      <c r="CV491" s="1930"/>
      <c r="CW491" s="1930"/>
      <c r="CX491" s="1931"/>
      <c r="CY491" s="1931"/>
      <c r="CZ491" s="1931"/>
      <c r="DA491" s="1931"/>
      <c r="DB491" s="1932"/>
      <c r="DC491" s="1931"/>
      <c r="DD491" s="1931"/>
      <c r="DE491" s="1931"/>
    </row>
    <row r="492" spans="2:110" hidden="1" outlineLevel="1" x14ac:dyDescent="0.25">
      <c r="B492" s="1931"/>
      <c r="D492" s="1300"/>
      <c r="E492" s="1965"/>
      <c r="F492" s="1965"/>
      <c r="G492" s="1965"/>
      <c r="H492" s="1301"/>
      <c r="I492" s="1965"/>
      <c r="J492" s="1965"/>
      <c r="K492" s="1965"/>
      <c r="L492" s="1965"/>
      <c r="M492" s="1966"/>
      <c r="N492" s="1965"/>
      <c r="O492" s="1965"/>
      <c r="P492" s="1965"/>
      <c r="Q492" s="1965"/>
      <c r="R492" s="1965"/>
      <c r="S492" s="1965"/>
      <c r="T492" s="1965"/>
      <c r="U492" s="1965"/>
      <c r="V492" s="1933"/>
      <c r="W492" s="1933"/>
      <c r="X492" s="1933"/>
      <c r="Y492" s="1933"/>
      <c r="Z492" s="1933"/>
      <c r="AA492" s="1933"/>
      <c r="AB492" s="1933"/>
      <c r="AC492" s="1933"/>
      <c r="AD492" s="1933"/>
      <c r="AE492" s="1933"/>
      <c r="AF492" s="1933"/>
      <c r="AG492" s="1933"/>
      <c r="AH492" s="1933"/>
      <c r="AI492" s="1933"/>
      <c r="AJ492" s="1933"/>
      <c r="AK492" s="1933"/>
      <c r="AL492" s="1933"/>
      <c r="AM492" s="1933"/>
      <c r="AN492" s="1933"/>
      <c r="AO492" s="1933"/>
      <c r="AP492" s="1933"/>
      <c r="AQ492" s="1933"/>
      <c r="AR492" s="1933"/>
      <c r="AS492" s="1933"/>
      <c r="AT492" s="1933"/>
      <c r="AU492" s="1933"/>
      <c r="AV492" s="1933"/>
      <c r="AW492" s="1933"/>
      <c r="AX492" s="1933"/>
      <c r="AY492" s="1933"/>
      <c r="AZ492" s="1933"/>
      <c r="BA492" s="1933"/>
      <c r="BB492" s="1933"/>
      <c r="BC492" s="1933"/>
      <c r="BD492" s="1933"/>
      <c r="BE492" s="1933"/>
      <c r="BF492" s="1933"/>
      <c r="BG492" s="1933"/>
      <c r="BH492" s="1933"/>
      <c r="BI492" s="1933"/>
      <c r="BJ492" s="1931"/>
      <c r="BK492" s="1931"/>
      <c r="BL492" s="1931"/>
      <c r="BM492" s="1931"/>
      <c r="BN492" s="1931"/>
      <c r="BO492" s="1931"/>
      <c r="BP492" s="1931"/>
      <c r="BQ492" s="1931"/>
      <c r="BR492" s="1931"/>
      <c r="BS492" s="1931"/>
      <c r="BT492" s="1931"/>
      <c r="BU492" s="1931"/>
      <c r="BV492" s="1931"/>
      <c r="BW492" s="1931"/>
      <c r="BX492" s="1931"/>
      <c r="BY492" s="1931"/>
      <c r="BZ492" s="1931"/>
      <c r="CA492" s="1931"/>
      <c r="CB492" s="1931"/>
      <c r="CC492" s="1931"/>
      <c r="CD492" s="1931"/>
      <c r="CE492" s="1930"/>
      <c r="CF492" s="1930"/>
      <c r="CG492" s="1930"/>
      <c r="CH492" s="1930"/>
      <c r="CI492" s="1931"/>
      <c r="CJ492" s="1931"/>
      <c r="CK492" s="1931"/>
      <c r="CL492" s="1931"/>
      <c r="CM492" s="1931"/>
      <c r="CN492" s="1931"/>
      <c r="CO492" s="1931"/>
      <c r="CP492" s="1931"/>
      <c r="CQ492" s="1931"/>
      <c r="CR492" s="1931"/>
      <c r="CS492" s="1931"/>
      <c r="CT492" s="1930"/>
      <c r="CU492" s="1930"/>
      <c r="CV492" s="1930"/>
      <c r="CW492" s="1930"/>
      <c r="CX492" s="1931"/>
      <c r="CY492" s="1931"/>
      <c r="CZ492" s="1931"/>
      <c r="DA492" s="1931"/>
      <c r="DB492" s="1932"/>
      <c r="DC492" s="1931"/>
      <c r="DD492" s="1931"/>
      <c r="DE492" s="1931"/>
      <c r="DF492" s="1931"/>
    </row>
    <row r="493" spans="2:110" hidden="1" outlineLevel="1" x14ac:dyDescent="0.25">
      <c r="B493" s="1931"/>
      <c r="D493" s="1300"/>
      <c r="E493" s="1965"/>
      <c r="F493" s="1965"/>
      <c r="G493" s="1965"/>
      <c r="H493" s="1301"/>
      <c r="I493" s="1965"/>
      <c r="J493" s="1965"/>
      <c r="K493" s="1965"/>
      <c r="L493" s="1965"/>
      <c r="M493" s="1966"/>
      <c r="N493" s="1965"/>
      <c r="O493" s="1965"/>
      <c r="P493" s="1965"/>
      <c r="Q493" s="1965"/>
      <c r="R493" s="1965"/>
      <c r="S493" s="1965"/>
      <c r="T493" s="1965"/>
      <c r="U493" s="1965"/>
      <c r="V493" s="1933"/>
      <c r="W493" s="1933"/>
      <c r="X493" s="1933"/>
      <c r="Y493" s="1933"/>
      <c r="Z493" s="1933"/>
      <c r="AA493" s="1933"/>
      <c r="AB493" s="1933"/>
      <c r="AC493" s="1933"/>
      <c r="AD493" s="1933"/>
      <c r="AE493" s="1933"/>
      <c r="AF493" s="1933"/>
      <c r="AG493" s="1933"/>
      <c r="AH493" s="1933"/>
      <c r="AI493" s="1933"/>
      <c r="AJ493" s="1933"/>
      <c r="AK493" s="1933"/>
      <c r="AL493" s="1933"/>
      <c r="AM493" s="1933"/>
      <c r="AN493" s="1933"/>
      <c r="AO493" s="1933"/>
      <c r="AP493" s="1933"/>
      <c r="AQ493" s="1933"/>
      <c r="AR493" s="1933"/>
      <c r="AS493" s="1933"/>
      <c r="AT493" s="1933"/>
      <c r="AU493" s="1933"/>
      <c r="AV493" s="1933"/>
      <c r="AW493" s="1933"/>
      <c r="AX493" s="1933"/>
      <c r="AY493" s="1933"/>
      <c r="AZ493" s="1933"/>
      <c r="BA493" s="1933"/>
      <c r="BB493" s="1933"/>
      <c r="BC493" s="1933"/>
      <c r="BD493" s="1933"/>
      <c r="BE493" s="1933"/>
      <c r="BF493" s="1933"/>
      <c r="BG493" s="1933"/>
      <c r="BH493" s="1933"/>
      <c r="BI493" s="1933"/>
      <c r="BJ493" s="1931"/>
      <c r="BK493" s="1931"/>
      <c r="BL493" s="1931"/>
      <c r="BM493" s="1931"/>
      <c r="BN493" s="1931"/>
      <c r="BO493" s="1931"/>
      <c r="BP493" s="1931"/>
      <c r="BQ493" s="1931"/>
      <c r="BR493" s="1931"/>
      <c r="BS493" s="1931"/>
      <c r="BT493" s="1931"/>
      <c r="BU493" s="1931"/>
      <c r="BV493" s="1931"/>
      <c r="BW493" s="1931"/>
      <c r="BX493" s="1931"/>
      <c r="BY493" s="1931"/>
      <c r="BZ493" s="1931"/>
      <c r="CA493" s="1931"/>
      <c r="CB493" s="1931"/>
      <c r="CC493" s="1931"/>
      <c r="CD493" s="1931"/>
      <c r="CE493" s="1930"/>
      <c r="CF493" s="1930"/>
      <c r="CG493" s="1930"/>
      <c r="CH493" s="1930"/>
      <c r="CI493" s="1931"/>
      <c r="CJ493" s="1931"/>
      <c r="CK493" s="1931"/>
      <c r="CL493" s="1931"/>
      <c r="CM493" s="1931"/>
      <c r="CN493" s="1931"/>
      <c r="CO493" s="1931"/>
      <c r="CP493" s="1931"/>
      <c r="CQ493" s="1931"/>
      <c r="CR493" s="1931"/>
      <c r="CS493" s="1931"/>
      <c r="CT493" s="1930"/>
      <c r="CU493" s="1930"/>
      <c r="CV493" s="1930"/>
      <c r="CW493" s="1930"/>
      <c r="CX493" s="1931"/>
      <c r="CY493" s="1931"/>
      <c r="CZ493" s="1931"/>
      <c r="DA493" s="1931"/>
      <c r="DB493" s="1932"/>
      <c r="DC493" s="1931"/>
      <c r="DD493" s="1931"/>
      <c r="DE493" s="1931"/>
      <c r="DF493" s="1931"/>
    </row>
    <row r="494" spans="2:110" hidden="1" outlineLevel="1" x14ac:dyDescent="0.25">
      <c r="B494" s="1931"/>
      <c r="D494" s="1300"/>
      <c r="E494" s="1965"/>
      <c r="F494" s="1965"/>
      <c r="G494" s="1965"/>
      <c r="H494" s="1301"/>
      <c r="I494" s="1965"/>
      <c r="J494" s="1965"/>
      <c r="K494" s="1965"/>
      <c r="L494" s="1965"/>
      <c r="M494" s="1965"/>
      <c r="N494" s="1965"/>
      <c r="O494" s="1965"/>
      <c r="P494" s="1965"/>
      <c r="Q494" s="1965"/>
      <c r="R494" s="1965"/>
      <c r="S494" s="1965"/>
      <c r="T494" s="1965"/>
      <c r="U494" s="1965"/>
      <c r="V494" s="1933"/>
      <c r="W494" s="1933"/>
      <c r="X494" s="1933"/>
      <c r="Y494" s="1933"/>
      <c r="Z494" s="1933"/>
      <c r="AA494" s="1933"/>
      <c r="AB494" s="1933"/>
      <c r="AC494" s="1933"/>
      <c r="AD494" s="1933"/>
      <c r="AE494" s="1933"/>
      <c r="AF494" s="1933"/>
      <c r="AG494" s="1933"/>
      <c r="AH494" s="1933"/>
      <c r="AI494" s="1933"/>
      <c r="AJ494" s="1933"/>
      <c r="AK494" s="1933"/>
      <c r="AL494" s="1933"/>
      <c r="AM494" s="1933"/>
      <c r="AN494" s="1933"/>
      <c r="AO494" s="1933"/>
      <c r="AP494" s="1933"/>
      <c r="AQ494" s="1933"/>
      <c r="AR494" s="1933"/>
      <c r="AS494" s="1933"/>
      <c r="AT494" s="1933"/>
      <c r="AU494" s="1933"/>
      <c r="AV494" s="1933"/>
      <c r="AW494" s="1933"/>
      <c r="AX494" s="1933"/>
      <c r="AY494" s="1933"/>
      <c r="AZ494" s="1933"/>
      <c r="BA494" s="1933"/>
      <c r="BB494" s="1933"/>
      <c r="BC494" s="1933"/>
      <c r="BD494" s="1933"/>
      <c r="BE494" s="1933"/>
      <c r="BF494" s="1933"/>
      <c r="BG494" s="1933"/>
      <c r="BH494" s="1933"/>
      <c r="BI494" s="1933"/>
      <c r="BJ494" s="1931"/>
      <c r="BK494" s="1931"/>
      <c r="BL494" s="1931"/>
      <c r="BM494" s="1931"/>
      <c r="BN494" s="1931"/>
      <c r="BO494" s="1931"/>
      <c r="BP494" s="1931"/>
      <c r="BQ494" s="1931"/>
      <c r="BR494" s="1931"/>
      <c r="BS494" s="1931"/>
      <c r="BT494" s="1931"/>
      <c r="BU494" s="1931"/>
      <c r="BV494" s="1931"/>
      <c r="BW494" s="1931"/>
      <c r="BX494" s="1931"/>
      <c r="BY494" s="1931"/>
      <c r="BZ494" s="1931"/>
      <c r="CA494" s="1931"/>
      <c r="CB494" s="1931"/>
      <c r="CC494" s="1931"/>
      <c r="CD494" s="1931"/>
      <c r="CE494" s="1930"/>
      <c r="CF494" s="1930"/>
      <c r="CG494" s="1930"/>
      <c r="CH494" s="1930"/>
      <c r="CI494" s="1931"/>
      <c r="CJ494" s="1931"/>
      <c r="CK494" s="1931"/>
      <c r="CL494" s="1931"/>
      <c r="CM494" s="1931"/>
      <c r="CN494" s="1931"/>
      <c r="CO494" s="1931"/>
      <c r="CP494" s="1931"/>
      <c r="CQ494" s="1931"/>
      <c r="CR494" s="1931"/>
      <c r="CS494" s="1931"/>
      <c r="CT494" s="1930"/>
      <c r="CU494" s="1930"/>
      <c r="CV494" s="1930"/>
      <c r="CW494" s="1930"/>
      <c r="CX494" s="1931"/>
      <c r="CY494" s="1931"/>
      <c r="CZ494" s="1931"/>
      <c r="DA494" s="1931"/>
      <c r="DB494" s="1932"/>
      <c r="DC494" s="1931"/>
      <c r="DD494" s="1931"/>
      <c r="DE494" s="1931"/>
      <c r="DF494" s="1931"/>
    </row>
    <row r="495" spans="2:110" s="55" customFormat="1" hidden="1" outlineLevel="1" x14ac:dyDescent="0.25">
      <c r="C495" s="151"/>
      <c r="D495" s="3081" t="s">
        <v>28</v>
      </c>
      <c r="E495" s="3081" t="s">
        <v>2758</v>
      </c>
      <c r="F495" s="83" t="s">
        <v>3007</v>
      </c>
      <c r="G495" s="3081" t="s">
        <v>3008</v>
      </c>
      <c r="H495" s="3081" t="s">
        <v>3009</v>
      </c>
      <c r="I495" s="3081" t="s">
        <v>2988</v>
      </c>
      <c r="J495" s="3081" t="s">
        <v>3010</v>
      </c>
      <c r="K495" s="3081"/>
      <c r="L495" s="3081"/>
      <c r="M495" s="3081"/>
      <c r="N495" s="3081"/>
      <c r="O495" s="3081"/>
      <c r="P495" s="3081"/>
      <c r="Q495" s="3081"/>
      <c r="R495" s="401"/>
      <c r="S495" s="401"/>
      <c r="T495" s="401"/>
      <c r="U495" s="401"/>
      <c r="DB495" s="72"/>
    </row>
    <row r="496" spans="2:110" hidden="1" outlineLevel="1" x14ac:dyDescent="0.25">
      <c r="B496" s="1931"/>
      <c r="D496" s="1967" t="str">
        <f>C482</f>
        <v>804050_2019_12_</v>
      </c>
      <c r="E496" s="1967" t="str">
        <f>E482</f>
        <v>Clothes Dryer Vented Electric, Standard (≥ 4.4 ft3)</v>
      </c>
      <c r="F496" s="1371">
        <v>8.4499999999999993</v>
      </c>
      <c r="G496" s="86">
        <v>3.11</v>
      </c>
      <c r="H496" s="1394">
        <v>3.93</v>
      </c>
      <c r="I496" s="1357">
        <v>1483</v>
      </c>
      <c r="J496" s="1384">
        <v>1</v>
      </c>
      <c r="K496" s="1384"/>
      <c r="L496" s="1384"/>
      <c r="M496" s="1384"/>
      <c r="N496" s="1384"/>
      <c r="O496" s="1384"/>
      <c r="P496" s="1384"/>
      <c r="Q496" s="1384"/>
      <c r="R496" s="1965"/>
      <c r="S496" s="1965"/>
      <c r="T496" s="1965"/>
      <c r="U496" s="1965"/>
      <c r="V496" s="1931"/>
      <c r="W496" s="1931"/>
      <c r="X496" s="1931"/>
      <c r="Y496" s="1931"/>
      <c r="Z496" s="1931"/>
      <c r="AA496" s="1931"/>
      <c r="AB496" s="1931"/>
      <c r="AC496" s="1931"/>
      <c r="AD496" s="1931"/>
      <c r="AE496" s="1931"/>
      <c r="AF496" s="1931"/>
      <c r="AG496" s="1931"/>
      <c r="AH496" s="1931"/>
      <c r="AI496" s="1931"/>
      <c r="AJ496" s="1931"/>
      <c r="AK496" s="1931"/>
      <c r="AL496" s="1931"/>
      <c r="AM496" s="1931"/>
      <c r="AN496" s="1931"/>
      <c r="AO496" s="1931"/>
      <c r="AP496" s="1931"/>
      <c r="AQ496" s="1931"/>
      <c r="AR496" s="1931"/>
      <c r="AS496" s="1931"/>
      <c r="AT496" s="1931"/>
      <c r="AU496" s="1931"/>
      <c r="AV496" s="1931"/>
      <c r="AW496" s="1931"/>
      <c r="AX496" s="1931"/>
      <c r="AY496" s="1931"/>
      <c r="AZ496" s="1931"/>
      <c r="BA496" s="1931"/>
      <c r="BB496" s="1931"/>
      <c r="BC496" s="1931"/>
      <c r="BD496" s="1931"/>
      <c r="BE496" s="1931"/>
      <c r="BF496" s="1931"/>
      <c r="BG496" s="1931"/>
      <c r="BH496" s="1931"/>
      <c r="BI496" s="1931"/>
      <c r="BJ496" s="1931"/>
      <c r="BK496" s="1931"/>
      <c r="BL496" s="1931"/>
      <c r="BM496" s="1931"/>
      <c r="BN496" s="1931"/>
      <c r="BO496" s="1931"/>
      <c r="BP496" s="1931"/>
      <c r="BQ496" s="1931"/>
      <c r="BR496" s="1931"/>
      <c r="BS496" s="1931"/>
      <c r="BT496" s="1931"/>
      <c r="BU496" s="1931"/>
      <c r="BV496" s="1931"/>
      <c r="BW496" s="1931"/>
      <c r="BX496" s="1931"/>
      <c r="BY496" s="1931"/>
      <c r="BZ496" s="1931"/>
      <c r="CA496" s="1931"/>
      <c r="CB496" s="1931"/>
      <c r="CC496" s="1931"/>
      <c r="CD496" s="1931"/>
      <c r="CE496" s="1930"/>
      <c r="CF496" s="1930"/>
      <c r="CG496" s="1930"/>
      <c r="CH496" s="1930"/>
      <c r="CI496" s="1931"/>
      <c r="CJ496" s="1931"/>
      <c r="CK496" s="1931"/>
      <c r="CL496" s="1931"/>
      <c r="CM496" s="1931"/>
      <c r="CN496" s="1931"/>
      <c r="CO496" s="1931"/>
      <c r="CP496" s="1931"/>
      <c r="CQ496" s="1931"/>
      <c r="CR496" s="1931"/>
      <c r="CS496" s="1931"/>
      <c r="CT496" s="1930"/>
      <c r="CU496" s="1930"/>
      <c r="CV496" s="1930"/>
      <c r="CW496" s="1930"/>
      <c r="CX496" s="1931"/>
      <c r="CY496" s="1931"/>
      <c r="CZ496" s="1931"/>
      <c r="DA496" s="1931"/>
      <c r="DB496" s="1932"/>
      <c r="DC496" s="1931"/>
      <c r="DD496" s="1931"/>
      <c r="DE496" s="1931"/>
      <c r="DF496" s="1931"/>
    </row>
    <row r="497" spans="2:112" hidden="1" outlineLevel="1" x14ac:dyDescent="0.25">
      <c r="B497" s="1931"/>
      <c r="D497" s="1967" t="str">
        <f>C483</f>
        <v>804100_2019_12_</v>
      </c>
      <c r="E497" s="1967" t="str">
        <f>E483</f>
        <v>Clothes Dryer Vented Electric, Compact (120V) (&lt; 4.4 ft3)</v>
      </c>
      <c r="F497" s="1371">
        <v>3</v>
      </c>
      <c r="G497" s="86">
        <v>3.01</v>
      </c>
      <c r="H497" s="1394">
        <v>3.8</v>
      </c>
      <c r="I497" s="1357">
        <v>1483</v>
      </c>
      <c r="J497" s="1384">
        <v>1</v>
      </c>
      <c r="K497" s="1384"/>
      <c r="L497" s="1384"/>
      <c r="M497" s="1384"/>
      <c r="N497" s="1384"/>
      <c r="O497" s="1384"/>
      <c r="P497" s="1384"/>
      <c r="Q497" s="1384"/>
      <c r="R497" s="1965"/>
      <c r="S497" s="1965"/>
      <c r="T497" s="1965"/>
      <c r="U497" s="1965"/>
      <c r="V497" s="1931"/>
      <c r="W497" s="1931"/>
      <c r="X497" s="1931"/>
      <c r="Y497" s="1931"/>
      <c r="Z497" s="1931"/>
      <c r="AA497" s="1931"/>
      <c r="AB497" s="1931"/>
      <c r="AC497" s="1931"/>
      <c r="AD497" s="1931"/>
      <c r="AE497" s="1931"/>
      <c r="AF497" s="1931"/>
      <c r="AG497" s="1931"/>
      <c r="AH497" s="1931"/>
      <c r="AI497" s="1931"/>
      <c r="AJ497" s="1931"/>
      <c r="AK497" s="1931"/>
      <c r="AL497" s="1931"/>
      <c r="AM497" s="1931"/>
      <c r="AN497" s="1931"/>
      <c r="AO497" s="1931"/>
      <c r="AP497" s="1931"/>
      <c r="AQ497" s="1931"/>
      <c r="AR497" s="1931"/>
      <c r="AS497" s="1931"/>
      <c r="AT497" s="1931"/>
      <c r="AU497" s="1931"/>
      <c r="AV497" s="1931"/>
      <c r="AW497" s="1931"/>
      <c r="AX497" s="1931"/>
      <c r="AY497" s="1931"/>
      <c r="AZ497" s="1931"/>
      <c r="BA497" s="1931"/>
      <c r="BB497" s="1931"/>
      <c r="BC497" s="1931"/>
      <c r="BD497" s="1931"/>
      <c r="BE497" s="1931"/>
      <c r="BF497" s="1931"/>
      <c r="BG497" s="1931"/>
      <c r="BH497" s="1931"/>
      <c r="BI497" s="1931"/>
      <c r="BJ497" s="1931"/>
      <c r="BK497" s="1931"/>
      <c r="BL497" s="1931"/>
      <c r="BM497" s="1931"/>
      <c r="BN497" s="1931"/>
      <c r="BO497" s="1931"/>
      <c r="BP497" s="1931"/>
      <c r="BQ497" s="1931"/>
      <c r="BR497" s="1931"/>
      <c r="BS497" s="1931"/>
      <c r="BT497" s="1931"/>
      <c r="BU497" s="1931"/>
      <c r="BV497" s="1931"/>
      <c r="BW497" s="1931"/>
      <c r="BX497" s="1931"/>
      <c r="BY497" s="1931"/>
      <c r="BZ497" s="1931"/>
      <c r="CA497" s="1931"/>
      <c r="CB497" s="1931"/>
      <c r="CC497" s="1931"/>
      <c r="CD497" s="1931"/>
      <c r="CE497" s="1930"/>
      <c r="CF497" s="1930"/>
      <c r="CG497" s="1930"/>
      <c r="CH497" s="1930"/>
      <c r="CI497" s="1931"/>
      <c r="CJ497" s="1931"/>
      <c r="CK497" s="1931"/>
      <c r="CL497" s="1931"/>
      <c r="CM497" s="1931"/>
      <c r="CN497" s="1931"/>
      <c r="CO497" s="1931"/>
      <c r="CP497" s="1931"/>
      <c r="CQ497" s="1931"/>
      <c r="CR497" s="1931"/>
      <c r="CS497" s="1931"/>
      <c r="CT497" s="1930"/>
      <c r="CU497" s="1930"/>
      <c r="CV497" s="1930"/>
      <c r="CW497" s="1930"/>
      <c r="CX497" s="1931"/>
      <c r="CY497" s="1931"/>
      <c r="CZ497" s="1931"/>
      <c r="DA497" s="1931"/>
      <c r="DB497" s="1932"/>
      <c r="DC497" s="1931"/>
      <c r="DD497" s="1931"/>
      <c r="DE497" s="1931"/>
      <c r="DF497" s="1931"/>
    </row>
    <row r="498" spans="2:112" hidden="1" outlineLevel="1" x14ac:dyDescent="0.25">
      <c r="B498" s="1931"/>
      <c r="D498" s="1967" t="str">
        <f>C484</f>
        <v>804150_2019_12_</v>
      </c>
      <c r="E498" s="1967" t="str">
        <f>E484</f>
        <v>Clothes Dryer Vented Electric, Compact (240V) (&lt;4.4 ft3)</v>
      </c>
      <c r="F498" s="1371">
        <v>3</v>
      </c>
      <c r="G498" s="86">
        <v>2.73</v>
      </c>
      <c r="H498" s="1394">
        <v>3.45</v>
      </c>
      <c r="I498" s="1357">
        <v>1483</v>
      </c>
      <c r="J498" s="1384">
        <v>1</v>
      </c>
      <c r="K498" s="1384"/>
      <c r="L498" s="1384"/>
      <c r="M498" s="1384"/>
      <c r="N498" s="1384"/>
      <c r="O498" s="1384"/>
      <c r="P498" s="1384"/>
      <c r="Q498" s="1384"/>
      <c r="R498" s="1965"/>
      <c r="S498" s="1965"/>
      <c r="T498" s="1965"/>
      <c r="U498" s="1965"/>
      <c r="V498" s="1931"/>
      <c r="W498" s="1931"/>
      <c r="X498" s="1931"/>
      <c r="Y498" s="1931"/>
      <c r="Z498" s="1931"/>
      <c r="AA498" s="1931"/>
      <c r="AB498" s="1931"/>
      <c r="AC498" s="1931"/>
      <c r="AD498" s="1931"/>
      <c r="AE498" s="1931"/>
      <c r="AF498" s="1931"/>
      <c r="AG498" s="1931"/>
      <c r="AH498" s="1931"/>
      <c r="AI498" s="1931"/>
      <c r="AJ498" s="1931"/>
      <c r="AK498" s="1931"/>
      <c r="AL498" s="1931"/>
      <c r="AM498" s="1931"/>
      <c r="AN498" s="1931"/>
      <c r="AO498" s="1931"/>
      <c r="AP498" s="1931"/>
      <c r="AQ498" s="1931"/>
      <c r="AR498" s="1931"/>
      <c r="AS498" s="1931"/>
      <c r="AT498" s="1931"/>
      <c r="AU498" s="1931"/>
      <c r="AV498" s="1931"/>
      <c r="AW498" s="1931"/>
      <c r="AX498" s="1931"/>
      <c r="AY498" s="1931"/>
      <c r="AZ498" s="1931"/>
      <c r="BA498" s="1931"/>
      <c r="BB498" s="1931"/>
      <c r="BC498" s="1931"/>
      <c r="BD498" s="1931"/>
      <c r="BE498" s="1931"/>
      <c r="BF498" s="1931"/>
      <c r="BG498" s="1931"/>
      <c r="BH498" s="1931"/>
      <c r="BI498" s="1931"/>
      <c r="BJ498" s="1931"/>
      <c r="BK498" s="1931"/>
      <c r="BL498" s="1931"/>
      <c r="BM498" s="1931"/>
      <c r="BN498" s="1931"/>
      <c r="BO498" s="1931"/>
      <c r="BP498" s="1931"/>
      <c r="BQ498" s="1931"/>
      <c r="BR498" s="1931"/>
      <c r="BS498" s="1931"/>
      <c r="BT498" s="1931"/>
      <c r="BU498" s="1931"/>
      <c r="BV498" s="1931"/>
      <c r="BW498" s="1931"/>
      <c r="BX498" s="1931"/>
      <c r="BY498" s="1931"/>
      <c r="BZ498" s="1931"/>
      <c r="CA498" s="1931"/>
      <c r="CB498" s="1931"/>
      <c r="CC498" s="1931"/>
      <c r="CD498" s="1931"/>
      <c r="CE498" s="1930"/>
      <c r="CF498" s="1930"/>
      <c r="CG498" s="1930"/>
      <c r="CH498" s="1930"/>
      <c r="CI498" s="1931"/>
      <c r="CJ498" s="1931"/>
      <c r="CK498" s="1931"/>
      <c r="CL498" s="1931"/>
      <c r="CM498" s="1931"/>
      <c r="CN498" s="1931"/>
      <c r="CO498" s="1931"/>
      <c r="CP498" s="1931"/>
      <c r="CQ498" s="1931"/>
      <c r="CR498" s="1931"/>
      <c r="CS498" s="1931"/>
      <c r="CT498" s="1930"/>
      <c r="CU498" s="1930"/>
      <c r="CV498" s="1930"/>
      <c r="CW498" s="1930"/>
      <c r="CX498" s="1931"/>
      <c r="CY498" s="1931"/>
      <c r="CZ498" s="1931"/>
      <c r="DA498" s="1931"/>
      <c r="DB498" s="1932"/>
      <c r="DC498" s="1931"/>
      <c r="DD498" s="1931"/>
      <c r="DE498" s="1931"/>
      <c r="DF498" s="1931"/>
    </row>
    <row r="499" spans="2:112" hidden="1" outlineLevel="1" x14ac:dyDescent="0.25">
      <c r="B499" s="1931"/>
      <c r="D499" s="1967" t="str">
        <f>C485</f>
        <v>804200_2019_12_</v>
      </c>
      <c r="E499" s="1967" t="str">
        <f>E485</f>
        <v>Clothes Dryer Ventless Electric, Compact (240V) (&lt;4.4 ft3)</v>
      </c>
      <c r="F499" s="1371">
        <v>3</v>
      </c>
      <c r="G499" s="86">
        <v>2.13</v>
      </c>
      <c r="H499" s="1394">
        <v>2.68</v>
      </c>
      <c r="I499" s="1357">
        <v>1483</v>
      </c>
      <c r="J499" s="1384">
        <v>1</v>
      </c>
      <c r="K499" s="1384"/>
      <c r="L499" s="1384"/>
      <c r="M499" s="1384"/>
      <c r="N499" s="1384"/>
      <c r="O499" s="1384"/>
      <c r="P499" s="1384"/>
      <c r="Q499" s="1384"/>
      <c r="R499" s="1965"/>
      <c r="S499" s="1965"/>
      <c r="T499" s="1965"/>
      <c r="U499" s="1965"/>
      <c r="V499" s="1931"/>
      <c r="W499" s="1931"/>
      <c r="X499" s="1931"/>
      <c r="Y499" s="1931"/>
      <c r="Z499" s="1931"/>
      <c r="AA499" s="1931"/>
      <c r="AB499" s="1931"/>
      <c r="AC499" s="1931"/>
      <c r="AD499" s="1931"/>
      <c r="AE499" s="1931"/>
      <c r="AF499" s="1931"/>
      <c r="AG499" s="1931"/>
      <c r="AH499" s="1931"/>
      <c r="AI499" s="1931"/>
      <c r="AJ499" s="1931"/>
      <c r="AK499" s="1931"/>
      <c r="AL499" s="1931"/>
      <c r="AM499" s="1931"/>
      <c r="AN499" s="1931"/>
      <c r="AO499" s="1931"/>
      <c r="AP499" s="1931"/>
      <c r="AQ499" s="1931"/>
      <c r="AR499" s="1931"/>
      <c r="AS499" s="1931"/>
      <c r="AT499" s="1931"/>
      <c r="AU499" s="1931"/>
      <c r="AV499" s="1931"/>
      <c r="AW499" s="1931"/>
      <c r="AX499" s="1931"/>
      <c r="AY499" s="1931"/>
      <c r="AZ499" s="1931"/>
      <c r="BA499" s="1931"/>
      <c r="BB499" s="1931"/>
      <c r="BC499" s="1931"/>
      <c r="BD499" s="1931"/>
      <c r="BE499" s="1931"/>
      <c r="BF499" s="1931"/>
      <c r="BG499" s="1931"/>
      <c r="BH499" s="1931"/>
      <c r="BI499" s="1931"/>
      <c r="BJ499" s="1931"/>
      <c r="BK499" s="1931"/>
      <c r="BL499" s="1931"/>
      <c r="BM499" s="1931"/>
      <c r="BN499" s="1931"/>
      <c r="BO499" s="1931"/>
      <c r="BP499" s="1931"/>
      <c r="BQ499" s="1931"/>
      <c r="BR499" s="1931"/>
      <c r="BS499" s="1931"/>
      <c r="BT499" s="1931"/>
      <c r="BU499" s="1931"/>
      <c r="BV499" s="1931"/>
      <c r="BW499" s="1931"/>
      <c r="BX499" s="1931"/>
      <c r="BY499" s="1931"/>
      <c r="BZ499" s="1931"/>
      <c r="CA499" s="1931"/>
      <c r="CB499" s="1931"/>
      <c r="CC499" s="1931"/>
      <c r="CD499" s="1931"/>
      <c r="CE499" s="1930"/>
      <c r="CF499" s="1930"/>
      <c r="CG499" s="1930"/>
      <c r="CH499" s="1930"/>
      <c r="CI499" s="1931"/>
      <c r="CJ499" s="1931"/>
      <c r="CK499" s="1931"/>
      <c r="CL499" s="1931"/>
      <c r="CM499" s="1931"/>
      <c r="CN499" s="1931"/>
      <c r="CO499" s="1931"/>
      <c r="CP499" s="1931"/>
      <c r="CQ499" s="1931"/>
      <c r="CR499" s="1931"/>
      <c r="CS499" s="1931"/>
      <c r="CT499" s="1930"/>
      <c r="CU499" s="1930"/>
      <c r="CV499" s="1930"/>
      <c r="CW499" s="1930"/>
      <c r="CX499" s="1931"/>
      <c r="CY499" s="1931"/>
      <c r="CZ499" s="1931"/>
      <c r="DA499" s="1931"/>
      <c r="DB499" s="1932"/>
      <c r="DC499" s="1931"/>
      <c r="DD499" s="1931"/>
      <c r="DE499" s="1931"/>
      <c r="DF499" s="1931"/>
    </row>
    <row r="500" spans="2:112" hidden="1" outlineLevel="1" x14ac:dyDescent="0.25">
      <c r="B500" s="1931"/>
      <c r="D500" s="1967" t="str">
        <f>C486</f>
        <v>804250_2019_12_</v>
      </c>
      <c r="E500" s="1967" t="str">
        <f>E486</f>
        <v>Clothes Dryer Vented Gas</v>
      </c>
      <c r="F500" s="1371">
        <v>8.4499999999999993</v>
      </c>
      <c r="G500" s="86">
        <v>2.84</v>
      </c>
      <c r="H500" s="1394">
        <v>3.48</v>
      </c>
      <c r="I500" s="1357">
        <v>1483</v>
      </c>
      <c r="J500" s="1384">
        <v>0.05</v>
      </c>
      <c r="K500" s="1384"/>
      <c r="L500" s="1384"/>
      <c r="M500" s="1384"/>
      <c r="N500" s="1384"/>
      <c r="O500" s="1384"/>
      <c r="P500" s="1384"/>
      <c r="Q500" s="1384"/>
      <c r="R500" s="1965"/>
      <c r="S500" s="1965"/>
      <c r="T500" s="1965"/>
      <c r="U500" s="1965"/>
      <c r="V500" s="1931"/>
      <c r="W500" s="1931"/>
      <c r="X500" s="1931"/>
      <c r="Y500" s="1931"/>
      <c r="Z500" s="1931"/>
      <c r="AA500" s="1931"/>
      <c r="AB500" s="1931"/>
      <c r="AC500" s="1931"/>
      <c r="AD500" s="1931"/>
      <c r="AE500" s="1931"/>
      <c r="AF500" s="1931"/>
      <c r="AG500" s="1931"/>
      <c r="AH500" s="1931"/>
      <c r="AI500" s="1931"/>
      <c r="AJ500" s="1931"/>
      <c r="AK500" s="1931"/>
      <c r="AL500" s="1931"/>
      <c r="AM500" s="1931"/>
      <c r="AN500" s="1931"/>
      <c r="AO500" s="1931"/>
      <c r="AP500" s="1931"/>
      <c r="AQ500" s="1931"/>
      <c r="AR500" s="1931"/>
      <c r="AS500" s="1931"/>
      <c r="AT500" s="1931"/>
      <c r="AU500" s="1931"/>
      <c r="AV500" s="1931"/>
      <c r="AW500" s="1931"/>
      <c r="AX500" s="1931"/>
      <c r="AY500" s="1931"/>
      <c r="AZ500" s="1931"/>
      <c r="BA500" s="1931"/>
      <c r="BB500" s="1931"/>
      <c r="BC500" s="1931"/>
      <c r="BD500" s="1931"/>
      <c r="BE500" s="1931"/>
      <c r="BF500" s="1931"/>
      <c r="BG500" s="1931"/>
      <c r="BH500" s="1931"/>
      <c r="BI500" s="1931"/>
      <c r="BJ500" s="1931"/>
      <c r="BK500" s="1931"/>
      <c r="BL500" s="1931"/>
      <c r="BM500" s="1931"/>
      <c r="BN500" s="1931"/>
      <c r="BO500" s="1931"/>
      <c r="BP500" s="1931"/>
      <c r="BQ500" s="1931"/>
      <c r="BR500" s="1931"/>
      <c r="BS500" s="1931"/>
      <c r="BT500" s="1931"/>
      <c r="BU500" s="1931"/>
      <c r="BV500" s="1931"/>
      <c r="BW500" s="1931"/>
      <c r="BX500" s="1931"/>
      <c r="BY500" s="1931"/>
      <c r="BZ500" s="1931"/>
      <c r="CA500" s="1931"/>
      <c r="CB500" s="1931"/>
      <c r="CC500" s="1931"/>
      <c r="CD500" s="1931"/>
      <c r="CE500" s="1930"/>
      <c r="CF500" s="1930"/>
      <c r="CG500" s="1930"/>
      <c r="CH500" s="1930"/>
      <c r="CI500" s="1931"/>
      <c r="CJ500" s="1931"/>
      <c r="CK500" s="1931"/>
      <c r="CL500" s="1931"/>
      <c r="CM500" s="1931"/>
      <c r="CN500" s="1931"/>
      <c r="CO500" s="1931"/>
      <c r="CP500" s="1931"/>
      <c r="CQ500" s="1931"/>
      <c r="CR500" s="1931"/>
      <c r="CS500" s="1931"/>
      <c r="CT500" s="1930"/>
      <c r="CU500" s="1930"/>
      <c r="CV500" s="1930"/>
      <c r="CW500" s="1930"/>
      <c r="CX500" s="1931"/>
      <c r="CY500" s="1931"/>
      <c r="CZ500" s="1931"/>
      <c r="DA500" s="1931"/>
      <c r="DB500" s="1932"/>
      <c r="DC500" s="1931"/>
      <c r="DD500" s="1931"/>
      <c r="DE500" s="1931"/>
      <c r="DF500" s="1931"/>
    </row>
    <row r="501" spans="2:112" collapsed="1" x14ac:dyDescent="0.25">
      <c r="B501" s="1931"/>
      <c r="D501" s="1966"/>
      <c r="E501" s="1965"/>
      <c r="F501" s="1965"/>
      <c r="G501" s="1968"/>
      <c r="H501" s="1969"/>
      <c r="I501" s="1965"/>
      <c r="J501" s="1965"/>
      <c r="K501" s="1965"/>
      <c r="L501" s="1965"/>
      <c r="M501" s="1965"/>
      <c r="N501" s="1965"/>
      <c r="O501" s="1965"/>
      <c r="P501" s="1965"/>
      <c r="Q501" s="1965"/>
      <c r="R501" s="1965"/>
      <c r="S501" s="1965"/>
      <c r="T501" s="1965"/>
      <c r="U501" s="1965"/>
      <c r="V501" s="1931"/>
      <c r="W501" s="1931"/>
      <c r="X501" s="1931"/>
      <c r="Y501" s="1931"/>
      <c r="Z501" s="1931"/>
      <c r="AA501" s="1931"/>
      <c r="AB501" s="1931"/>
      <c r="AC501" s="1931"/>
      <c r="AD501" s="1931"/>
      <c r="AE501" s="1931"/>
      <c r="AF501" s="1931"/>
      <c r="AG501" s="1931"/>
      <c r="AH501" s="1931"/>
      <c r="AI501" s="1931"/>
      <c r="AJ501" s="1931"/>
      <c r="AK501" s="1931"/>
      <c r="AL501" s="1931"/>
      <c r="AM501" s="1931"/>
      <c r="AN501" s="1931"/>
      <c r="AO501" s="1931"/>
      <c r="AP501" s="1931"/>
      <c r="AQ501" s="1931"/>
      <c r="AR501" s="1931"/>
      <c r="AS501" s="1931"/>
      <c r="AT501" s="1931"/>
      <c r="AU501" s="1931"/>
      <c r="AV501" s="1931"/>
      <c r="AW501" s="1931"/>
      <c r="AX501" s="1931"/>
      <c r="AY501" s="1931"/>
      <c r="AZ501" s="1931"/>
      <c r="BA501" s="1931"/>
      <c r="BB501" s="1931"/>
      <c r="BC501" s="1931"/>
      <c r="BD501" s="1931"/>
      <c r="BE501" s="1931"/>
      <c r="BF501" s="1931"/>
      <c r="BG501" s="1931"/>
      <c r="BH501" s="1931"/>
      <c r="BI501" s="1931"/>
      <c r="BJ501" s="1931"/>
      <c r="BK501" s="1931"/>
      <c r="BL501" s="1931"/>
      <c r="BM501" s="1931"/>
      <c r="BN501" s="1931"/>
      <c r="BO501" s="1931"/>
      <c r="BP501" s="1931"/>
      <c r="BQ501" s="1931"/>
      <c r="BR501" s="1931"/>
      <c r="BS501" s="1931"/>
      <c r="BT501" s="1931"/>
      <c r="BU501" s="1931"/>
      <c r="BV501" s="1931"/>
      <c r="BW501" s="1931"/>
      <c r="BX501" s="1931"/>
      <c r="BY501" s="1931"/>
      <c r="BZ501" s="1931"/>
      <c r="CA501" s="1931"/>
      <c r="CB501" s="1931"/>
      <c r="CC501" s="1931"/>
      <c r="CD501" s="1931"/>
      <c r="CE501" s="1930"/>
      <c r="CF501" s="1930"/>
      <c r="CG501" s="1930"/>
      <c r="CH501" s="1930"/>
      <c r="CI501" s="1931"/>
      <c r="CJ501" s="1931"/>
      <c r="CK501" s="1931"/>
      <c r="CL501" s="1931"/>
      <c r="CM501" s="1931"/>
      <c r="CN501" s="1931"/>
      <c r="CO501" s="1931"/>
      <c r="CP501" s="1931"/>
      <c r="CQ501" s="1931"/>
      <c r="CR501" s="1931"/>
      <c r="CS501" s="1931"/>
      <c r="CT501" s="1930"/>
      <c r="CU501" s="1930"/>
      <c r="CV501" s="1930"/>
      <c r="CW501" s="1930"/>
      <c r="CX501" s="1931"/>
      <c r="CY501" s="1931"/>
      <c r="CZ501" s="1931"/>
      <c r="DA501" s="1931"/>
      <c r="DB501" s="1932"/>
      <c r="DC501" s="1931"/>
      <c r="DD501" s="1931"/>
      <c r="DE501" s="1931"/>
      <c r="DF501" s="1931"/>
    </row>
    <row r="503" spans="2:112" s="43" customFormat="1" x14ac:dyDescent="0.25">
      <c r="B503" s="4484" t="s">
        <v>3011</v>
      </c>
      <c r="C503" s="4485"/>
      <c r="D503" s="4485"/>
      <c r="E503" s="4485"/>
      <c r="F503" s="4485"/>
      <c r="G503" s="4485"/>
      <c r="H503" s="4485"/>
      <c r="I503" s="4486"/>
      <c r="J503" s="4486"/>
      <c r="K503" s="4486"/>
      <c r="L503" s="4486"/>
      <c r="M503" s="3752"/>
      <c r="N503" s="3752"/>
      <c r="O503" s="3753"/>
      <c r="P503" s="1935"/>
      <c r="Q503" s="1935"/>
      <c r="R503" s="1935"/>
      <c r="S503" s="1935"/>
      <c r="T503" s="1935"/>
      <c r="U503" s="1935"/>
      <c r="V503" s="3077" t="str">
        <f>B503</f>
        <v>Compressed Air</v>
      </c>
      <c r="W503" s="3078"/>
      <c r="X503" s="3078"/>
      <c r="Y503" s="3078"/>
      <c r="Z503" s="3078"/>
      <c r="AA503" s="3078"/>
      <c r="AB503" s="3078"/>
      <c r="AC503" s="3078"/>
      <c r="AD503" s="3078"/>
      <c r="AE503" s="3078"/>
      <c r="AF503" s="3078"/>
      <c r="AG503" s="3078"/>
      <c r="AH503" s="3078"/>
      <c r="AI503" s="3170"/>
      <c r="AJ503" s="1931"/>
      <c r="AK503" s="1931"/>
      <c r="AL503" s="1931"/>
      <c r="AM503" s="1931"/>
      <c r="AN503" s="1931"/>
      <c r="AO503" s="1931"/>
      <c r="AP503" s="1931"/>
      <c r="AQ503" s="1931"/>
      <c r="AR503" s="1931"/>
      <c r="AS503" s="1931"/>
      <c r="AT503" s="1931"/>
      <c r="AU503" s="1931"/>
      <c r="AV503" s="1935"/>
      <c r="AW503" s="1935"/>
      <c r="AX503" s="1935"/>
      <c r="AY503" s="1935"/>
      <c r="AZ503" s="1935"/>
      <c r="BA503" s="1935"/>
      <c r="BB503" s="1935"/>
      <c r="BC503" s="1935"/>
      <c r="BD503" s="1935"/>
      <c r="BE503" s="1935"/>
      <c r="BF503" s="1935"/>
      <c r="BG503" s="1935"/>
      <c r="BH503" s="1935"/>
      <c r="BI503" s="1935"/>
      <c r="BJ503" s="1935"/>
      <c r="BK503" s="1935"/>
      <c r="BL503" s="1935"/>
      <c r="BM503" s="1935"/>
      <c r="BN503" s="1935"/>
      <c r="BO503" s="1935"/>
      <c r="BP503" s="1935"/>
      <c r="BQ503" s="1935"/>
      <c r="BR503" s="1935"/>
      <c r="BS503" s="1935"/>
      <c r="BT503" s="1935"/>
      <c r="BU503" s="1935"/>
      <c r="BV503" s="1935"/>
      <c r="BW503" s="1935"/>
      <c r="BX503" s="1935"/>
      <c r="BY503" s="1935"/>
      <c r="BZ503" s="1935"/>
      <c r="CA503" s="1935"/>
      <c r="CB503" s="1935"/>
      <c r="CC503" s="1935"/>
      <c r="CD503" s="1935"/>
      <c r="CE503" s="1935"/>
      <c r="CF503" s="1935"/>
      <c r="CG503" s="1935"/>
      <c r="CH503" s="1935"/>
      <c r="CI503" s="1935"/>
      <c r="CJ503" s="1935"/>
      <c r="CK503" s="1935"/>
      <c r="CL503" s="1935"/>
      <c r="CM503" s="1935"/>
      <c r="CN503" s="1935"/>
      <c r="CO503" s="1935"/>
      <c r="CP503" s="1935"/>
      <c r="CQ503" s="1935"/>
      <c r="CR503" s="1935"/>
      <c r="CS503" s="1935"/>
      <c r="CT503" s="1935"/>
      <c r="CU503" s="1935"/>
      <c r="CV503" s="1935"/>
      <c r="CW503" s="1935"/>
      <c r="CX503" s="1935"/>
      <c r="CY503" s="1935"/>
      <c r="CZ503" s="1935"/>
      <c r="DA503" s="1935"/>
      <c r="DB503" s="73"/>
      <c r="DC503" s="1935"/>
      <c r="DD503" s="1935"/>
      <c r="DE503" s="1935"/>
      <c r="DF503" s="1935"/>
      <c r="DG503" s="1935"/>
      <c r="DH503" s="1935"/>
    </row>
    <row r="504" spans="2:112" x14ac:dyDescent="0.25">
      <c r="B504" s="1931"/>
      <c r="D504" s="1286"/>
      <c r="E504" s="1966"/>
      <c r="F504" s="1966"/>
      <c r="G504" s="1966"/>
      <c r="H504" s="1287"/>
      <c r="I504" s="1966"/>
      <c r="J504" s="1966"/>
      <c r="K504" s="1966"/>
      <c r="L504" s="1966"/>
      <c r="M504" s="1965"/>
      <c r="N504" s="1965"/>
      <c r="O504" s="1965"/>
      <c r="P504" s="1966"/>
      <c r="Q504" s="1966"/>
      <c r="R504" s="1966"/>
      <c r="S504" s="1966"/>
      <c r="T504" s="1966"/>
      <c r="U504" s="1966"/>
      <c r="V504" s="1930"/>
      <c r="W504" s="1930"/>
      <c r="X504" s="1930"/>
      <c r="Y504" s="1930"/>
      <c r="Z504" s="1930"/>
      <c r="AA504" s="1930"/>
      <c r="AB504" s="1930"/>
      <c r="AC504" s="1930"/>
      <c r="AD504" s="1930"/>
      <c r="AE504" s="1930"/>
      <c r="AF504" s="1930"/>
      <c r="AG504" s="1930"/>
      <c r="AH504" s="1930"/>
      <c r="AI504" s="1930"/>
      <c r="AJ504" s="1934"/>
      <c r="AK504" s="1934"/>
      <c r="AL504" s="1934"/>
      <c r="AM504" s="1934"/>
      <c r="AN504" s="1934"/>
      <c r="AO504" s="1934"/>
      <c r="AP504" s="1934"/>
      <c r="AQ504" s="1934"/>
      <c r="AR504" s="1934"/>
      <c r="AS504" s="1934"/>
      <c r="AT504" s="1934"/>
      <c r="AU504" s="1934"/>
      <c r="AV504" s="1931"/>
      <c r="AW504" s="1931"/>
      <c r="AX504" s="1931"/>
      <c r="AY504" s="1931"/>
      <c r="AZ504" s="1931"/>
      <c r="BA504" s="1931"/>
      <c r="BB504" s="1931"/>
      <c r="BC504" s="1931"/>
      <c r="BD504" s="1931"/>
      <c r="BE504" s="1931"/>
      <c r="BF504" s="1931"/>
      <c r="BG504" s="1931"/>
      <c r="BH504" s="1931"/>
      <c r="BI504" s="1931"/>
      <c r="BJ504" s="1931"/>
      <c r="BK504" s="1931"/>
      <c r="BL504" s="1931"/>
      <c r="BM504" s="1931"/>
      <c r="BN504" s="1931"/>
      <c r="BO504" s="1931"/>
      <c r="BP504" s="1931"/>
      <c r="BQ504" s="1931"/>
      <c r="BR504" s="1931"/>
      <c r="BS504" s="1931"/>
      <c r="BT504" s="1931"/>
      <c r="BU504" s="1931"/>
      <c r="BV504" s="1931"/>
      <c r="BW504" s="1931"/>
      <c r="BX504" s="1931"/>
      <c r="BY504" s="1931"/>
      <c r="BZ504" s="1931"/>
      <c r="CA504" s="1931"/>
      <c r="CB504" s="1931"/>
      <c r="CC504" s="1931"/>
      <c r="CD504" s="1931"/>
      <c r="CE504" s="1930"/>
      <c r="CF504" s="1930"/>
      <c r="CG504" s="1930"/>
      <c r="CH504" s="1930"/>
      <c r="CI504" s="1931"/>
      <c r="CJ504" s="1931"/>
      <c r="CK504" s="1931"/>
      <c r="CL504" s="1931"/>
      <c r="CM504" s="1931"/>
      <c r="CN504" s="1931"/>
      <c r="CO504" s="1931"/>
      <c r="CP504" s="1931"/>
      <c r="CQ504" s="1931"/>
      <c r="CR504" s="1931"/>
      <c r="CS504" s="1931"/>
      <c r="CT504" s="1930"/>
      <c r="CU504" s="1930"/>
      <c r="CV504" s="1930"/>
      <c r="CW504" s="1930"/>
      <c r="CX504" s="1931"/>
      <c r="CY504" s="1931"/>
      <c r="CZ504" s="1931"/>
      <c r="DA504" s="1931"/>
      <c r="DB504" s="1932"/>
      <c r="DC504" s="1931"/>
      <c r="DD504" s="1931"/>
      <c r="DE504" s="1931"/>
      <c r="DF504" s="1931"/>
    </row>
    <row r="505" spans="2:112" s="44" customFormat="1" ht="30" x14ac:dyDescent="0.25">
      <c r="B505" s="45"/>
      <c r="C505" s="46" t="s">
        <v>28</v>
      </c>
      <c r="D505" s="46" t="s">
        <v>29</v>
      </c>
      <c r="E505" s="3196" t="s">
        <v>30</v>
      </c>
      <c r="F505" s="3196" t="s">
        <v>31</v>
      </c>
      <c r="G505" s="3196" t="s">
        <v>176</v>
      </c>
      <c r="H505" s="47" t="s">
        <v>177</v>
      </c>
      <c r="I505" s="3196" t="s">
        <v>32</v>
      </c>
      <c r="J505" s="3196" t="s">
        <v>181</v>
      </c>
      <c r="K505" s="46" t="s">
        <v>170</v>
      </c>
      <c r="L505" s="46" t="s">
        <v>44</v>
      </c>
      <c r="M505" s="1965"/>
      <c r="N505" s="1392"/>
      <c r="O505" s="1367"/>
      <c r="P505" s="1368"/>
      <c r="Q505" s="1288"/>
      <c r="R505" s="1288"/>
      <c r="S505" s="1288"/>
      <c r="T505" s="1288"/>
      <c r="U505" s="1288"/>
      <c r="V505" s="1936" t="s">
        <v>45</v>
      </c>
      <c r="W505" s="1937">
        <f>$W$8</f>
        <v>43252</v>
      </c>
      <c r="X505" s="1937">
        <f>$X$8</f>
        <v>43465</v>
      </c>
      <c r="Y505" s="1937">
        <f>$Y$8</f>
        <v>43800</v>
      </c>
      <c r="Z505" s="1937">
        <f>$Z$8</f>
        <v>43862</v>
      </c>
      <c r="AA505" s="1937">
        <f>$AA$8</f>
        <v>44013</v>
      </c>
      <c r="AB505" s="1937">
        <v>44166</v>
      </c>
      <c r="AC505" s="1937">
        <f>$AC$8</f>
        <v>44531</v>
      </c>
      <c r="AD505" s="1937" t="str">
        <f>$AD$8</f>
        <v>-</v>
      </c>
      <c r="AE505" s="1937" t="str">
        <f>$AE$8</f>
        <v>-</v>
      </c>
      <c r="AF505" s="1937" t="str">
        <f>$AF$8</f>
        <v>-</v>
      </c>
      <c r="AG505" s="1937" t="str">
        <f>$AG$8</f>
        <v>-</v>
      </c>
      <c r="AH505" s="1930"/>
      <c r="AI505" s="1936" t="s">
        <v>45</v>
      </c>
      <c r="AJ505" s="1937">
        <v>43252</v>
      </c>
      <c r="AK505" s="1937">
        <f>$X$8</f>
        <v>43465</v>
      </c>
      <c r="AL505" s="1937">
        <f>$Y$8</f>
        <v>43800</v>
      </c>
      <c r="AM505" s="1937">
        <f>$Z$8</f>
        <v>43862</v>
      </c>
      <c r="AN505" s="1937">
        <f>$AA$8</f>
        <v>44013</v>
      </c>
      <c r="AO505" s="1937">
        <f>$AB$8</f>
        <v>44166</v>
      </c>
      <c r="AP505" s="1937">
        <f>$AC$8</f>
        <v>44531</v>
      </c>
      <c r="AQ505" s="1937" t="str">
        <f>$AD$8</f>
        <v>-</v>
      </c>
      <c r="AR505" s="1937" t="str">
        <f>$AE$8</f>
        <v>-</v>
      </c>
      <c r="AS505" s="1937" t="str">
        <f>$AF$8</f>
        <v>-</v>
      </c>
      <c r="AT505" s="1933"/>
      <c r="AU505" s="1936" t="s">
        <v>45</v>
      </c>
      <c r="AV505" s="1937">
        <v>43252</v>
      </c>
      <c r="AW505" s="1937">
        <f>$X$8</f>
        <v>43465</v>
      </c>
      <c r="AX505" s="1937">
        <f>$Y$8</f>
        <v>43800</v>
      </c>
      <c r="AY505" s="1937">
        <f>$Z$8</f>
        <v>43862</v>
      </c>
      <c r="AZ505" s="1937">
        <f>$AA$8</f>
        <v>44013</v>
      </c>
      <c r="BA505" s="1937">
        <v>44166</v>
      </c>
      <c r="BB505" s="1937">
        <f>$AC$8</f>
        <v>44531</v>
      </c>
      <c r="BC505" s="1937" t="str">
        <f>$AD$8</f>
        <v>-</v>
      </c>
      <c r="BD505" s="1937" t="str">
        <f>$AE$8</f>
        <v>-</v>
      </c>
      <c r="BE505" s="1937" t="str">
        <f>$AF$8</f>
        <v>-</v>
      </c>
      <c r="DB505" s="1938" t="str">
        <f>$DB$8</f>
        <v>TRC (2020)</v>
      </c>
      <c r="DC505" s="1953" t="str">
        <f>$DC$8</f>
        <v>Benefit Lookup</v>
      </c>
      <c r="DD505" s="1953" t="str">
        <f>$DD$8</f>
        <v>Benefits (2019 $)</v>
      </c>
      <c r="DE505" s="1953" t="str">
        <f>$DE$8</f>
        <v>Incremental Cost (2019 $)</v>
      </c>
    </row>
    <row r="506" spans="2:112" x14ac:dyDescent="0.25">
      <c r="B506" s="1931"/>
      <c r="C506" s="2462" t="s">
        <v>3012</v>
      </c>
      <c r="D506" s="1363" t="s">
        <v>2646</v>
      </c>
      <c r="E506" s="1308" t="s">
        <v>3013</v>
      </c>
      <c r="F506" s="64">
        <f>ROUND(F522*G522*H522,2)</f>
        <v>3272.26</v>
      </c>
      <c r="G506" s="1290" t="s">
        <v>3014</v>
      </c>
      <c r="H506" s="1291">
        <f>VLOOKUP(G506,'CP FACTORS'!$A$26:$B$38,2,FALSE)</f>
        <v>1.379439E-4</v>
      </c>
      <c r="I506" s="1309">
        <f t="shared" ref="I506:I512" si="172">ROUND(H506*F506,6)</f>
        <v>0.45138800000000001</v>
      </c>
      <c r="J506" s="1354">
        <v>13</v>
      </c>
      <c r="K506" s="1310">
        <v>700</v>
      </c>
      <c r="L506" s="1374" t="s">
        <v>185</v>
      </c>
      <c r="M506" s="1965"/>
      <c r="N506" s="1965"/>
      <c r="O506" s="1965"/>
      <c r="P506" s="1965"/>
      <c r="Q506" s="1965"/>
      <c r="R506" s="1965"/>
      <c r="S506" s="1965"/>
      <c r="T506" s="1965"/>
      <c r="U506" s="1965"/>
      <c r="V506" s="3227" t="s">
        <v>31</v>
      </c>
      <c r="W506" s="129">
        <v>3272.2560000000003</v>
      </c>
      <c r="X506" s="129">
        <v>3272.2560000000003</v>
      </c>
      <c r="Y506" s="129">
        <v>3272.2560000000003</v>
      </c>
      <c r="Z506" s="129">
        <v>3272.2560000000003</v>
      </c>
      <c r="AA506" s="129">
        <v>3272.2560000000003</v>
      </c>
      <c r="AB506" s="1825">
        <v>3272.26</v>
      </c>
      <c r="AC506" s="3364">
        <v>3272.26</v>
      </c>
      <c r="AD506" s="2099"/>
      <c r="AE506" s="2099"/>
      <c r="AF506" s="2099"/>
      <c r="AG506" s="2099"/>
      <c r="AH506" s="2100"/>
      <c r="AI506" s="3227" t="s">
        <v>181</v>
      </c>
      <c r="AJ506" s="64">
        <v>13</v>
      </c>
      <c r="AK506" s="64">
        <v>13</v>
      </c>
      <c r="AL506" s="64">
        <v>13</v>
      </c>
      <c r="AM506" s="64">
        <v>13</v>
      </c>
      <c r="AN506" s="64">
        <v>13</v>
      </c>
      <c r="AO506" s="2095">
        <v>13</v>
      </c>
      <c r="AP506" s="2101">
        <v>13</v>
      </c>
      <c r="AQ506" s="2099"/>
      <c r="AR506" s="2099"/>
      <c r="AS506" s="2099"/>
      <c r="AT506" s="1933"/>
      <c r="AU506" s="3227" t="s">
        <v>170</v>
      </c>
      <c r="AV506" s="2102">
        <v>700</v>
      </c>
      <c r="AW506" s="2102">
        <v>700</v>
      </c>
      <c r="AX506" s="2102">
        <v>700</v>
      </c>
      <c r="AY506" s="2102">
        <v>700</v>
      </c>
      <c r="AZ506" s="2102">
        <v>700</v>
      </c>
      <c r="BA506" s="2103">
        <v>700</v>
      </c>
      <c r="BB506" s="2103">
        <v>700</v>
      </c>
      <c r="BC506" s="2099"/>
      <c r="BD506" s="2099"/>
      <c r="BE506" s="2099"/>
      <c r="BF506" s="1933"/>
      <c r="BG506" s="1933"/>
      <c r="BH506" s="1933"/>
      <c r="BI506" s="1931"/>
      <c r="BJ506" s="1931"/>
      <c r="BK506" s="1931"/>
      <c r="BL506" s="1931"/>
      <c r="BM506" s="1931"/>
      <c r="BN506" s="1931"/>
      <c r="BO506" s="1931"/>
      <c r="BP506" s="1931"/>
      <c r="BQ506" s="1931"/>
      <c r="BR506" s="1931"/>
      <c r="BS506" s="1931"/>
      <c r="BT506" s="1931"/>
      <c r="BU506" s="1931"/>
      <c r="BV506" s="1931"/>
      <c r="BW506" s="1931"/>
      <c r="BX506" s="1931"/>
      <c r="BY506" s="1931"/>
      <c r="BZ506" s="1931"/>
      <c r="CA506" s="1931"/>
      <c r="CB506" s="1931"/>
      <c r="CC506" s="1931"/>
      <c r="CD506" s="1931"/>
      <c r="CE506" s="1930"/>
      <c r="CF506" s="1930"/>
      <c r="CG506" s="1930"/>
      <c r="CH506" s="1930"/>
      <c r="CI506" s="1931"/>
      <c r="CJ506" s="1931"/>
      <c r="CK506" s="1931"/>
      <c r="CL506" s="1931"/>
      <c r="CM506" s="1931"/>
      <c r="CN506" s="1931"/>
      <c r="CO506" s="1931"/>
      <c r="CP506" s="1931"/>
      <c r="CQ506" s="1931"/>
      <c r="CR506" s="1931"/>
      <c r="CS506" s="1931"/>
      <c r="CT506" s="1930"/>
      <c r="CU506" s="1930"/>
      <c r="CV506" s="1930"/>
      <c r="CW506" s="1930"/>
      <c r="CX506" s="1931"/>
      <c r="CY506" s="1931"/>
      <c r="CZ506" s="1931"/>
      <c r="DA506" s="1931"/>
      <c r="DB506" s="1945">
        <f t="shared" ref="DB506:DB512" si="173">(DD506)/(DE506)</f>
        <v>2.3362622986271173</v>
      </c>
      <c r="DC506" s="3166" t="str">
        <f t="shared" ref="DC506:DC512" si="174">CONCATENATE(G506," ",J506," Year EUL")</f>
        <v>Air Comp BUS 13 Year EUL</v>
      </c>
      <c r="DD506" s="69">
        <f>(INDEX('Avoided Cost Benefits'!$C$4:$C$857,MATCH(DC506,'Avoided Cost Benefits'!$A$4:$A$857,0)))*F506</f>
        <v>1543.5428117404265</v>
      </c>
      <c r="DE506" s="1946">
        <f t="shared" ref="DE506:DE512" si="175">K506/(1.0595^(2020-2019))</f>
        <v>660.68900424728633</v>
      </c>
      <c r="DF506" s="1931"/>
    </row>
    <row r="507" spans="2:112" x14ac:dyDescent="0.25">
      <c r="B507" s="1931"/>
      <c r="C507" s="2462" t="s">
        <v>3015</v>
      </c>
      <c r="D507" s="1363" t="s">
        <v>2646</v>
      </c>
      <c r="E507" s="1308" t="s">
        <v>3016</v>
      </c>
      <c r="F507" s="64">
        <f t="shared" ref="F507:F512" si="176">ROUND(F523*G523*H523,2)</f>
        <v>2418.62</v>
      </c>
      <c r="G507" s="1290" t="s">
        <v>3014</v>
      </c>
      <c r="H507" s="1291">
        <f>VLOOKUP(G507,'CP FACTORS'!$A$26:$B$38,2,FALSE)</f>
        <v>1.379439E-4</v>
      </c>
      <c r="I507" s="1309">
        <f t="shared" si="172"/>
        <v>0.33363399999999999</v>
      </c>
      <c r="J507" s="1354">
        <v>13</v>
      </c>
      <c r="K507" s="1310">
        <v>700</v>
      </c>
      <c r="L507" s="1374" t="s">
        <v>185</v>
      </c>
      <c r="M507" s="1965"/>
      <c r="N507" s="1965"/>
      <c r="O507" s="1965"/>
      <c r="P507" s="1965"/>
      <c r="Q507" s="1965"/>
      <c r="R507" s="1965"/>
      <c r="S507" s="1965"/>
      <c r="T507" s="1965"/>
      <c r="U507" s="1965"/>
      <c r="V507" s="3227" t="s">
        <v>31</v>
      </c>
      <c r="W507" s="129">
        <v>2418.6240000000003</v>
      </c>
      <c r="X507" s="129">
        <v>2418.6240000000003</v>
      </c>
      <c r="Y507" s="129">
        <v>2418.6240000000003</v>
      </c>
      <c r="Z507" s="129">
        <v>2418.6240000000003</v>
      </c>
      <c r="AA507" s="129">
        <v>2418.6240000000003</v>
      </c>
      <c r="AB507" s="1825">
        <v>2418.62</v>
      </c>
      <c r="AC507" s="3364">
        <v>2418.62</v>
      </c>
      <c r="AD507" s="2099"/>
      <c r="AE507" s="2099"/>
      <c r="AF507" s="2099"/>
      <c r="AG507" s="2099"/>
      <c r="AH507" s="2100"/>
      <c r="AI507" s="3227" t="s">
        <v>181</v>
      </c>
      <c r="AJ507" s="64">
        <v>13</v>
      </c>
      <c r="AK507" s="64">
        <v>13</v>
      </c>
      <c r="AL507" s="64">
        <v>13</v>
      </c>
      <c r="AM507" s="64">
        <v>13</v>
      </c>
      <c r="AN507" s="64">
        <v>13</v>
      </c>
      <c r="AO507" s="2095">
        <v>13</v>
      </c>
      <c r="AP507" s="2101">
        <v>13</v>
      </c>
      <c r="AQ507" s="2099"/>
      <c r="AR507" s="2099"/>
      <c r="AS507" s="2099"/>
      <c r="AT507" s="1933"/>
      <c r="AU507" s="3227" t="s">
        <v>170</v>
      </c>
      <c r="AV507" s="2102">
        <v>700</v>
      </c>
      <c r="AW507" s="2102">
        <v>700</v>
      </c>
      <c r="AX507" s="2102">
        <v>700</v>
      </c>
      <c r="AY507" s="2102">
        <v>700</v>
      </c>
      <c r="AZ507" s="2102">
        <v>700</v>
      </c>
      <c r="BA507" s="2103">
        <v>700</v>
      </c>
      <c r="BB507" s="2103">
        <v>700</v>
      </c>
      <c r="BC507" s="2099"/>
      <c r="BD507" s="2099"/>
      <c r="BE507" s="2099"/>
      <c r="BF507" s="1933"/>
      <c r="BG507" s="1933"/>
      <c r="BH507" s="1933"/>
      <c r="BI507" s="1931"/>
      <c r="BJ507" s="1931"/>
      <c r="BK507" s="1931"/>
      <c r="BL507" s="1931"/>
      <c r="BM507" s="1931"/>
      <c r="BN507" s="1931"/>
      <c r="BO507" s="1931"/>
      <c r="BP507" s="1931"/>
      <c r="BQ507" s="1931"/>
      <c r="BR507" s="1931"/>
      <c r="BS507" s="1931"/>
      <c r="BT507" s="1931"/>
      <c r="BU507" s="1931"/>
      <c r="BV507" s="1931"/>
      <c r="BW507" s="1931"/>
      <c r="BX507" s="1931"/>
      <c r="BY507" s="1931"/>
      <c r="BZ507" s="1931"/>
      <c r="CA507" s="1931"/>
      <c r="CB507" s="1931"/>
      <c r="CC507" s="1931"/>
      <c r="CD507" s="1931"/>
      <c r="CE507" s="1930"/>
      <c r="CF507" s="1930"/>
      <c r="CG507" s="1930"/>
      <c r="CH507" s="1930"/>
      <c r="CI507" s="1931"/>
      <c r="CJ507" s="1931"/>
      <c r="CK507" s="1931"/>
      <c r="CL507" s="1931"/>
      <c r="CM507" s="1931"/>
      <c r="CN507" s="1931"/>
      <c r="CO507" s="1931"/>
      <c r="CP507" s="1931"/>
      <c r="CQ507" s="1931"/>
      <c r="CR507" s="1931"/>
      <c r="CS507" s="1931"/>
      <c r="CT507" s="1930"/>
      <c r="CU507" s="1930"/>
      <c r="CV507" s="1930"/>
      <c r="CW507" s="1930"/>
      <c r="CX507" s="1931"/>
      <c r="CY507" s="1931"/>
      <c r="CZ507" s="1931"/>
      <c r="DA507" s="1931"/>
      <c r="DB507" s="52">
        <f t="shared" si="173"/>
        <v>1.7267976018731757</v>
      </c>
      <c r="DC507" s="1948" t="str">
        <f t="shared" si="174"/>
        <v>Air Comp BUS 13 Year EUL</v>
      </c>
      <c r="DD507" s="70">
        <f>(INDEX('Avoided Cost Benefits'!$C$4:$C$857,MATCH(DC507,'Avoided Cost Benefits'!$A$4:$A$857,0)))*F507</f>
        <v>1140.8761881181904</v>
      </c>
      <c r="DE507" s="1949">
        <f t="shared" si="175"/>
        <v>660.68900424728633</v>
      </c>
      <c r="DF507" s="1931"/>
    </row>
    <row r="508" spans="2:112" x14ac:dyDescent="0.25">
      <c r="C508" s="2462" t="s">
        <v>3017</v>
      </c>
      <c r="D508" s="1363" t="s">
        <v>2646</v>
      </c>
      <c r="E508" s="1308" t="s">
        <v>3018</v>
      </c>
      <c r="F508" s="64">
        <f t="shared" si="176"/>
        <v>2703.17</v>
      </c>
      <c r="G508" s="1290" t="s">
        <v>3014</v>
      </c>
      <c r="H508" s="1291">
        <f>VLOOKUP(G508,'CP FACTORS'!$A$26:$B$38,2,FALSE)</f>
        <v>1.379439E-4</v>
      </c>
      <c r="I508" s="1309">
        <f t="shared" si="172"/>
        <v>0.372886</v>
      </c>
      <c r="J508" s="1354">
        <v>13</v>
      </c>
      <c r="K508" s="1310">
        <v>700</v>
      </c>
      <c r="L508" s="1374" t="s">
        <v>185</v>
      </c>
      <c r="M508" s="1965"/>
      <c r="N508" s="1965"/>
      <c r="O508" s="1965"/>
      <c r="P508" s="1965"/>
      <c r="Q508" s="1965"/>
      <c r="R508" s="1965"/>
      <c r="S508" s="1965"/>
      <c r="T508" s="1965"/>
      <c r="U508" s="1965"/>
      <c r="V508" s="3227" t="s">
        <v>31</v>
      </c>
      <c r="W508" s="129">
        <v>2703.1679999999997</v>
      </c>
      <c r="X508" s="129">
        <v>2703.1679999999997</v>
      </c>
      <c r="Y508" s="129">
        <v>2703.1679999999997</v>
      </c>
      <c r="Z508" s="129">
        <v>2703.1679999999997</v>
      </c>
      <c r="AA508" s="129">
        <v>2703.1679999999997</v>
      </c>
      <c r="AB508" s="1825">
        <v>2703.17</v>
      </c>
      <c r="AC508" s="3364">
        <v>2703.17</v>
      </c>
      <c r="AD508" s="2099"/>
      <c r="AE508" s="2099"/>
      <c r="AF508" s="2099"/>
      <c r="AG508" s="2099"/>
      <c r="AH508" s="2100"/>
      <c r="AI508" s="3227" t="s">
        <v>181</v>
      </c>
      <c r="AJ508" s="64">
        <v>13</v>
      </c>
      <c r="AK508" s="64">
        <v>13</v>
      </c>
      <c r="AL508" s="64">
        <v>13</v>
      </c>
      <c r="AM508" s="64">
        <v>13</v>
      </c>
      <c r="AN508" s="64">
        <v>13</v>
      </c>
      <c r="AO508" s="2095">
        <v>13</v>
      </c>
      <c r="AP508" s="2101">
        <v>13</v>
      </c>
      <c r="AQ508" s="2099"/>
      <c r="AR508" s="2099"/>
      <c r="AS508" s="2099"/>
      <c r="AT508" s="1933"/>
      <c r="AU508" s="3227" t="s">
        <v>170</v>
      </c>
      <c r="AV508" s="2102">
        <v>700</v>
      </c>
      <c r="AW508" s="2102">
        <v>700</v>
      </c>
      <c r="AX508" s="2102">
        <v>700</v>
      </c>
      <c r="AY508" s="2102">
        <v>700</v>
      </c>
      <c r="AZ508" s="2102">
        <v>700</v>
      </c>
      <c r="BA508" s="2103">
        <v>700</v>
      </c>
      <c r="BB508" s="2103">
        <v>700</v>
      </c>
      <c r="BC508" s="2099"/>
      <c r="BD508" s="2099"/>
      <c r="BE508" s="2099"/>
      <c r="BF508" s="1933"/>
      <c r="BG508" s="1933"/>
      <c r="BH508" s="1933"/>
      <c r="BI508" s="1931"/>
      <c r="BJ508" s="1931"/>
      <c r="BK508" s="1931"/>
      <c r="BL508" s="1931"/>
      <c r="BM508" s="1931"/>
      <c r="BN508" s="1931"/>
      <c r="BO508" s="1931"/>
      <c r="BP508" s="1931"/>
      <c r="BQ508" s="1931"/>
      <c r="BR508" s="1931"/>
      <c r="BS508" s="1931"/>
      <c r="BT508" s="1931"/>
      <c r="BU508" s="1931"/>
      <c r="BV508" s="1931"/>
      <c r="BW508" s="1931"/>
      <c r="BX508" s="1931"/>
      <c r="BY508" s="1931"/>
      <c r="BZ508" s="1931"/>
      <c r="CA508" s="1931"/>
      <c r="CB508" s="1931"/>
      <c r="CC508" s="1931"/>
      <c r="CD508" s="1931"/>
      <c r="CE508" s="1930"/>
      <c r="CF508" s="1930"/>
      <c r="CG508" s="1930"/>
      <c r="CH508" s="1930"/>
      <c r="CI508" s="1931"/>
      <c r="CJ508" s="1931"/>
      <c r="CK508" s="1931"/>
      <c r="CL508" s="1931"/>
      <c r="CM508" s="1931"/>
      <c r="CN508" s="1931"/>
      <c r="CO508" s="1931"/>
      <c r="CP508" s="1931"/>
      <c r="CQ508" s="1931"/>
      <c r="CR508" s="1931"/>
      <c r="CS508" s="1931"/>
      <c r="CT508" s="1930"/>
      <c r="CU508" s="1930"/>
      <c r="CV508" s="1930"/>
      <c r="CW508" s="1930"/>
      <c r="CX508" s="1931"/>
      <c r="CY508" s="1931"/>
      <c r="CZ508" s="1931"/>
      <c r="DA508" s="1931"/>
      <c r="DB508" s="52">
        <f t="shared" si="173"/>
        <v>1.9299548806573634</v>
      </c>
      <c r="DC508" s="1948" t="str">
        <f t="shared" si="174"/>
        <v>Air Comp BUS 13 Year EUL</v>
      </c>
      <c r="DD508" s="70">
        <f>(INDEX('Avoided Cost Benefits'!$C$4:$C$857,MATCH(DC508,'Avoided Cost Benefits'!$A$4:$A$857,0)))*F508</f>
        <v>1275.0999683437037</v>
      </c>
      <c r="DE508" s="1949">
        <f t="shared" si="175"/>
        <v>660.68900424728633</v>
      </c>
    </row>
    <row r="509" spans="2:112" x14ac:dyDescent="0.25">
      <c r="C509" s="2462" t="s">
        <v>3019</v>
      </c>
      <c r="D509" s="1363" t="s">
        <v>2646</v>
      </c>
      <c r="E509" s="1308" t="s">
        <v>3020</v>
      </c>
      <c r="F509" s="64">
        <f t="shared" si="176"/>
        <v>978.12</v>
      </c>
      <c r="G509" s="1290" t="s">
        <v>3014</v>
      </c>
      <c r="H509" s="1291">
        <f>VLOOKUP(G509,'CP FACTORS'!$A$26:$B$38,2,FALSE)</f>
        <v>1.379439E-4</v>
      </c>
      <c r="I509" s="1309">
        <f t="shared" si="172"/>
        <v>0.13492599999999999</v>
      </c>
      <c r="J509" s="1354">
        <v>13</v>
      </c>
      <c r="K509" s="1310">
        <v>700</v>
      </c>
      <c r="L509" s="1374" t="s">
        <v>185</v>
      </c>
      <c r="M509" s="1965"/>
      <c r="N509" s="1965"/>
      <c r="O509" s="1965"/>
      <c r="P509" s="1965"/>
      <c r="Q509" s="1965"/>
      <c r="R509" s="1965"/>
      <c r="S509" s="1965"/>
      <c r="T509" s="1965"/>
      <c r="U509" s="1965"/>
      <c r="V509" s="3227" t="s">
        <v>31</v>
      </c>
      <c r="W509" s="129">
        <v>978.12</v>
      </c>
      <c r="X509" s="129">
        <v>978.12</v>
      </c>
      <c r="Y509" s="129">
        <v>978.12</v>
      </c>
      <c r="Z509" s="129">
        <v>978.12</v>
      </c>
      <c r="AA509" s="129">
        <v>978.12</v>
      </c>
      <c r="AB509" s="1825">
        <v>978.12</v>
      </c>
      <c r="AC509" s="3364">
        <v>978.12</v>
      </c>
      <c r="AD509" s="2099"/>
      <c r="AE509" s="2099"/>
      <c r="AF509" s="2099"/>
      <c r="AG509" s="2099"/>
      <c r="AH509" s="2100"/>
      <c r="AI509" s="3227" t="s">
        <v>181</v>
      </c>
      <c r="AJ509" s="64">
        <v>13</v>
      </c>
      <c r="AK509" s="64">
        <v>13</v>
      </c>
      <c r="AL509" s="64">
        <v>13</v>
      </c>
      <c r="AM509" s="64">
        <v>13</v>
      </c>
      <c r="AN509" s="64">
        <v>13</v>
      </c>
      <c r="AO509" s="2095">
        <v>13</v>
      </c>
      <c r="AP509" s="2101">
        <v>13</v>
      </c>
      <c r="AQ509" s="2099"/>
      <c r="AR509" s="2099"/>
      <c r="AS509" s="2099"/>
      <c r="AT509" s="1933"/>
      <c r="AU509" s="3227" t="s">
        <v>170</v>
      </c>
      <c r="AV509" s="2102">
        <v>700</v>
      </c>
      <c r="AW509" s="2102">
        <v>700</v>
      </c>
      <c r="AX509" s="2102">
        <v>700</v>
      </c>
      <c r="AY509" s="2102">
        <v>700</v>
      </c>
      <c r="AZ509" s="2102">
        <v>700</v>
      </c>
      <c r="BA509" s="2103">
        <v>700</v>
      </c>
      <c r="BB509" s="2103">
        <v>700</v>
      </c>
      <c r="BC509" s="2099"/>
      <c r="BD509" s="2099"/>
      <c r="BE509" s="2099"/>
      <c r="BF509" s="1933"/>
      <c r="BG509" s="1933"/>
      <c r="BH509" s="1933"/>
      <c r="BI509" s="1931"/>
      <c r="BJ509" s="1931"/>
      <c r="BK509" s="1931"/>
      <c r="BL509" s="1931"/>
      <c r="BM509" s="1931"/>
      <c r="BN509" s="1931"/>
      <c r="BO509" s="1931"/>
      <c r="BP509" s="1931"/>
      <c r="BQ509" s="1931"/>
      <c r="BR509" s="1931"/>
      <c r="BS509" s="1931"/>
      <c r="BT509" s="1931"/>
      <c r="BU509" s="1931"/>
      <c r="BV509" s="1931"/>
      <c r="BW509" s="1931"/>
      <c r="BX509" s="1931"/>
      <c r="BY509" s="1931"/>
      <c r="BZ509" s="1931"/>
      <c r="CA509" s="1931"/>
      <c r="CB509" s="1931"/>
      <c r="CC509" s="1931"/>
      <c r="CD509" s="1931"/>
      <c r="CE509" s="1930"/>
      <c r="CF509" s="1930"/>
      <c r="CG509" s="1930"/>
      <c r="CH509" s="1930"/>
      <c r="CI509" s="1931"/>
      <c r="CJ509" s="1931"/>
      <c r="CK509" s="1931"/>
      <c r="CL509" s="1931"/>
      <c r="CM509" s="1931"/>
      <c r="CN509" s="1931"/>
      <c r="CO509" s="1931"/>
      <c r="CP509" s="1931"/>
      <c r="CQ509" s="1931"/>
      <c r="CR509" s="1931"/>
      <c r="CS509" s="1931"/>
      <c r="CT509" s="1930"/>
      <c r="CU509" s="1930"/>
      <c r="CV509" s="1930"/>
      <c r="CW509" s="1930"/>
      <c r="CX509" s="1931"/>
      <c r="CY509" s="1931"/>
      <c r="CZ509" s="1931"/>
      <c r="DA509" s="1931"/>
      <c r="DB509" s="52">
        <f t="shared" si="173"/>
        <v>0.69833842039848781</v>
      </c>
      <c r="DC509" s="1948" t="str">
        <f t="shared" si="174"/>
        <v>Air Comp BUS 13 Year EUL</v>
      </c>
      <c r="DD509" s="70">
        <f>(INDEX('Avoided Cost Benefits'!$C$4:$C$857,MATCH(DC509,'Avoided Cost Benefits'!$A$4:$A$857,0)))*F509</f>
        <v>461.38451560069973</v>
      </c>
      <c r="DE509" s="1949">
        <f t="shared" si="175"/>
        <v>660.68900424728633</v>
      </c>
    </row>
    <row r="510" spans="2:112" x14ac:dyDescent="0.25">
      <c r="C510" s="2462" t="s">
        <v>3021</v>
      </c>
      <c r="D510" s="1363" t="s">
        <v>2646</v>
      </c>
      <c r="E510" s="1308" t="s">
        <v>3022</v>
      </c>
      <c r="F510" s="64">
        <f t="shared" si="176"/>
        <v>978.12</v>
      </c>
      <c r="G510" s="1290" t="s">
        <v>3014</v>
      </c>
      <c r="H510" s="1291">
        <f>VLOOKUP(G510,'CP FACTORS'!$A$26:$B$38,2,FALSE)</f>
        <v>1.379439E-4</v>
      </c>
      <c r="I510" s="1309">
        <f t="shared" si="172"/>
        <v>0.13492599999999999</v>
      </c>
      <c r="J510" s="1354">
        <v>13</v>
      </c>
      <c r="K510" s="1310">
        <v>700</v>
      </c>
      <c r="L510" s="1374" t="s">
        <v>185</v>
      </c>
      <c r="M510" s="1965"/>
      <c r="N510" s="1965"/>
      <c r="O510" s="1965"/>
      <c r="P510" s="1965"/>
      <c r="Q510" s="1965"/>
      <c r="R510" s="1965"/>
      <c r="S510" s="1965"/>
      <c r="T510" s="1965"/>
      <c r="U510" s="1965"/>
      <c r="V510" s="3227" t="s">
        <v>31</v>
      </c>
      <c r="W510" s="129">
        <v>978.12</v>
      </c>
      <c r="X510" s="129">
        <v>978.12</v>
      </c>
      <c r="Y510" s="129">
        <v>978.12</v>
      </c>
      <c r="Z510" s="129">
        <v>978.12</v>
      </c>
      <c r="AA510" s="129">
        <v>978.12</v>
      </c>
      <c r="AB510" s="1825">
        <v>978.12</v>
      </c>
      <c r="AC510" s="3364">
        <v>978.12</v>
      </c>
      <c r="AD510" s="2099"/>
      <c r="AE510" s="2099"/>
      <c r="AF510" s="2099"/>
      <c r="AG510" s="2099"/>
      <c r="AH510" s="2100"/>
      <c r="AI510" s="3227" t="s">
        <v>181</v>
      </c>
      <c r="AJ510" s="64">
        <v>13</v>
      </c>
      <c r="AK510" s="64">
        <v>13</v>
      </c>
      <c r="AL510" s="64">
        <v>13</v>
      </c>
      <c r="AM510" s="64">
        <v>13</v>
      </c>
      <c r="AN510" s="64">
        <v>13</v>
      </c>
      <c r="AO510" s="2095">
        <v>13</v>
      </c>
      <c r="AP510" s="2101">
        <v>13</v>
      </c>
      <c r="AQ510" s="2099"/>
      <c r="AR510" s="2099"/>
      <c r="AS510" s="2099"/>
      <c r="AT510" s="1933"/>
      <c r="AU510" s="3227" t="s">
        <v>170</v>
      </c>
      <c r="AV510" s="2102">
        <v>700</v>
      </c>
      <c r="AW510" s="2102">
        <v>700</v>
      </c>
      <c r="AX510" s="2102">
        <v>700</v>
      </c>
      <c r="AY510" s="2102">
        <v>700</v>
      </c>
      <c r="AZ510" s="2102">
        <v>700</v>
      </c>
      <c r="BA510" s="2103">
        <v>700</v>
      </c>
      <c r="BB510" s="2103">
        <v>700</v>
      </c>
      <c r="BC510" s="2099"/>
      <c r="BD510" s="2099"/>
      <c r="BE510" s="2099"/>
      <c r="BF510" s="1933"/>
      <c r="BG510" s="1933"/>
      <c r="BH510" s="1933"/>
      <c r="BI510" s="1931"/>
      <c r="BJ510" s="1931"/>
      <c r="BK510" s="1931"/>
      <c r="BL510" s="1931"/>
      <c r="BM510" s="1931"/>
      <c r="BN510" s="1931"/>
      <c r="BO510" s="1931"/>
      <c r="BP510" s="1931"/>
      <c r="BQ510" s="1931"/>
      <c r="BR510" s="1931"/>
      <c r="BS510" s="1931"/>
      <c r="BT510" s="1931"/>
      <c r="BU510" s="1931"/>
      <c r="BV510" s="1931"/>
      <c r="BW510" s="1931"/>
      <c r="BX510" s="1931"/>
      <c r="BY510" s="1931"/>
      <c r="BZ510" s="1931"/>
      <c r="CA510" s="1931"/>
      <c r="CB510" s="1931"/>
      <c r="CC510" s="1931"/>
      <c r="CD510" s="1931"/>
      <c r="CE510" s="1930"/>
      <c r="CF510" s="1930"/>
      <c r="CG510" s="1930"/>
      <c r="CH510" s="1930"/>
      <c r="CI510" s="1931"/>
      <c r="CJ510" s="1931"/>
      <c r="CK510" s="1931"/>
      <c r="CL510" s="1931"/>
      <c r="CM510" s="1931"/>
      <c r="CN510" s="1931"/>
      <c r="CO510" s="1931"/>
      <c r="CP510" s="1931"/>
      <c r="CQ510" s="1931"/>
      <c r="CR510" s="1931"/>
      <c r="CS510" s="1931"/>
      <c r="CT510" s="1930"/>
      <c r="CU510" s="1930"/>
      <c r="CV510" s="1930"/>
      <c r="CW510" s="1930"/>
      <c r="CX510" s="1931"/>
      <c r="CY510" s="1931"/>
      <c r="CZ510" s="1931"/>
      <c r="DA510" s="1931"/>
      <c r="DB510" s="52">
        <f t="shared" si="173"/>
        <v>0.69833842039848781</v>
      </c>
      <c r="DC510" s="1948" t="str">
        <f t="shared" si="174"/>
        <v>Air Comp BUS 13 Year EUL</v>
      </c>
      <c r="DD510" s="70">
        <f>(INDEX('Avoided Cost Benefits'!$C$4:$C$857,MATCH(DC510,'Avoided Cost Benefits'!$A$4:$A$857,0)))*F510</f>
        <v>461.38451560069973</v>
      </c>
      <c r="DE510" s="1949">
        <f t="shared" si="175"/>
        <v>660.68900424728633</v>
      </c>
    </row>
    <row r="511" spans="2:112" x14ac:dyDescent="0.25">
      <c r="C511" s="2462" t="s">
        <v>3023</v>
      </c>
      <c r="D511" s="1363" t="s">
        <v>2646</v>
      </c>
      <c r="E511" s="1308" t="s">
        <v>3024</v>
      </c>
      <c r="F511" s="64">
        <f t="shared" si="176"/>
        <v>2720.95</v>
      </c>
      <c r="G511" s="1290" t="s">
        <v>3014</v>
      </c>
      <c r="H511" s="1291">
        <f>VLOOKUP(G511,'CP FACTORS'!$A$26:$B$38,2,FALSE)</f>
        <v>1.379439E-4</v>
      </c>
      <c r="I511" s="1309">
        <f t="shared" si="172"/>
        <v>0.375338</v>
      </c>
      <c r="J511" s="1354">
        <v>13</v>
      </c>
      <c r="K511" s="1310">
        <v>700</v>
      </c>
      <c r="L511" s="1374" t="s">
        <v>185</v>
      </c>
      <c r="M511" s="1965"/>
      <c r="N511" s="1965"/>
      <c r="O511" s="1965"/>
      <c r="P511" s="1965"/>
      <c r="Q511" s="1965"/>
      <c r="R511" s="1965"/>
      <c r="S511" s="1965"/>
      <c r="T511" s="1965"/>
      <c r="U511" s="1965"/>
      <c r="V511" s="3227" t="s">
        <v>31</v>
      </c>
      <c r="W511" s="129">
        <v>2720.9519999999998</v>
      </c>
      <c r="X511" s="129">
        <v>2720.9519999999998</v>
      </c>
      <c r="Y511" s="129">
        <v>2720.9519999999998</v>
      </c>
      <c r="Z511" s="129">
        <v>2720.9519999999998</v>
      </c>
      <c r="AA511" s="129">
        <v>2720.9519999999998</v>
      </c>
      <c r="AB511" s="1825">
        <v>2720.95</v>
      </c>
      <c r="AC511" s="3364">
        <v>2720.95</v>
      </c>
      <c r="AD511" s="2099"/>
      <c r="AE511" s="2099"/>
      <c r="AF511" s="2099"/>
      <c r="AG511" s="2099"/>
      <c r="AH511" s="2100"/>
      <c r="AI511" s="3227" t="s">
        <v>181</v>
      </c>
      <c r="AJ511" s="64">
        <v>13</v>
      </c>
      <c r="AK511" s="64">
        <v>13</v>
      </c>
      <c r="AL511" s="64">
        <v>13</v>
      </c>
      <c r="AM511" s="64">
        <v>13</v>
      </c>
      <c r="AN511" s="64">
        <v>13</v>
      </c>
      <c r="AO511" s="2095">
        <v>13</v>
      </c>
      <c r="AP511" s="2101">
        <v>13</v>
      </c>
      <c r="AQ511" s="2099"/>
      <c r="AR511" s="2099"/>
      <c r="AS511" s="2099"/>
      <c r="AT511" s="1933"/>
      <c r="AU511" s="3227" t="s">
        <v>170</v>
      </c>
      <c r="AV511" s="2102">
        <v>700</v>
      </c>
      <c r="AW511" s="2102">
        <v>700</v>
      </c>
      <c r="AX511" s="2102">
        <v>700</v>
      </c>
      <c r="AY511" s="2102">
        <v>700</v>
      </c>
      <c r="AZ511" s="2102">
        <v>700</v>
      </c>
      <c r="BA511" s="2103">
        <v>700</v>
      </c>
      <c r="BB511" s="2103">
        <v>700</v>
      </c>
      <c r="BC511" s="2099"/>
      <c r="BD511" s="2099"/>
      <c r="BE511" s="2099"/>
      <c r="BF511" s="1933"/>
      <c r="BG511" s="1933"/>
      <c r="BH511" s="1933"/>
      <c r="BI511" s="1931"/>
      <c r="BJ511" s="1931"/>
      <c r="BK511" s="1931"/>
      <c r="BL511" s="1931"/>
      <c r="BM511" s="1931"/>
      <c r="BN511" s="1931"/>
      <c r="BO511" s="1931"/>
      <c r="BP511" s="1931"/>
      <c r="BQ511" s="1931"/>
      <c r="BR511" s="1931"/>
      <c r="BS511" s="1931"/>
      <c r="BT511" s="1931"/>
      <c r="BU511" s="1931"/>
      <c r="BV511" s="1931"/>
      <c r="BW511" s="1931"/>
      <c r="BX511" s="1931"/>
      <c r="BY511" s="1931"/>
      <c r="BZ511" s="1931"/>
      <c r="CA511" s="1931"/>
      <c r="CB511" s="1931"/>
      <c r="CC511" s="1931"/>
      <c r="CD511" s="1931"/>
      <c r="CE511" s="1930"/>
      <c r="CF511" s="1930"/>
      <c r="CG511" s="1930"/>
      <c r="CH511" s="1930"/>
      <c r="CI511" s="1931"/>
      <c r="CJ511" s="1931"/>
      <c r="CK511" s="1931"/>
      <c r="CL511" s="1931"/>
      <c r="CM511" s="1931"/>
      <c r="CN511" s="1931"/>
      <c r="CO511" s="1931"/>
      <c r="CP511" s="1931"/>
      <c r="CQ511" s="1931"/>
      <c r="CR511" s="1931"/>
      <c r="CS511" s="1931"/>
      <c r="CT511" s="1930"/>
      <c r="CU511" s="1930"/>
      <c r="CV511" s="1930"/>
      <c r="CW511" s="1930"/>
      <c r="CX511" s="1931"/>
      <c r="CY511" s="1931"/>
      <c r="CZ511" s="1931"/>
      <c r="DA511" s="1931"/>
      <c r="DB511" s="52">
        <f t="shared" si="173"/>
        <v>1.9426490870069779</v>
      </c>
      <c r="DC511" s="1948" t="str">
        <f t="shared" si="174"/>
        <v>Air Comp BUS 13 Year EUL</v>
      </c>
      <c r="DD511" s="70">
        <f>(INDEX('Avoided Cost Benefits'!$C$4:$C$857,MATCH(DC511,'Avoided Cost Benefits'!$A$4:$A$857,0)))*F511</f>
        <v>1283.4868908965402</v>
      </c>
      <c r="DE511" s="1949">
        <f t="shared" si="175"/>
        <v>660.68900424728633</v>
      </c>
    </row>
    <row r="512" spans="2:112" x14ac:dyDescent="0.25">
      <c r="C512" s="2462" t="s">
        <v>3025</v>
      </c>
      <c r="D512" s="1363" t="s">
        <v>2646</v>
      </c>
      <c r="E512" s="1308" t="s">
        <v>3026</v>
      </c>
      <c r="F512" s="64">
        <f t="shared" si="176"/>
        <v>3165.55</v>
      </c>
      <c r="G512" s="1290" t="s">
        <v>3014</v>
      </c>
      <c r="H512" s="1291">
        <f>VLOOKUP(G512,'CP FACTORS'!$A$26:$B$38,2,FALSE)</f>
        <v>1.379439E-4</v>
      </c>
      <c r="I512" s="1309">
        <f t="shared" si="172"/>
        <v>0.436668</v>
      </c>
      <c r="J512" s="1354">
        <v>13</v>
      </c>
      <c r="K512" s="1310">
        <v>700</v>
      </c>
      <c r="L512" s="1374" t="s">
        <v>185</v>
      </c>
      <c r="M512" s="1965"/>
      <c r="N512" s="1965"/>
      <c r="O512" s="1965"/>
      <c r="P512" s="1965"/>
      <c r="Q512" s="1965"/>
      <c r="R512" s="1965"/>
      <c r="S512" s="1965"/>
      <c r="T512" s="1965"/>
      <c r="U512" s="1965"/>
      <c r="V512" s="3227" t="s">
        <v>31</v>
      </c>
      <c r="W512" s="129">
        <v>3165.5520000000001</v>
      </c>
      <c r="X512" s="129">
        <v>3165.5520000000001</v>
      </c>
      <c r="Y512" s="129">
        <v>3165.5520000000001</v>
      </c>
      <c r="Z512" s="129">
        <v>3165.5520000000001</v>
      </c>
      <c r="AA512" s="129">
        <v>3165.5520000000001</v>
      </c>
      <c r="AB512" s="1825">
        <v>3165.55</v>
      </c>
      <c r="AC512" s="3364">
        <v>3165.55</v>
      </c>
      <c r="AD512" s="2099"/>
      <c r="AE512" s="2099"/>
      <c r="AF512" s="2099"/>
      <c r="AG512" s="2099"/>
      <c r="AH512" s="2100"/>
      <c r="AI512" s="3227" t="s">
        <v>181</v>
      </c>
      <c r="AJ512" s="64">
        <v>13</v>
      </c>
      <c r="AK512" s="64">
        <v>13</v>
      </c>
      <c r="AL512" s="64">
        <v>13</v>
      </c>
      <c r="AM512" s="64">
        <v>13</v>
      </c>
      <c r="AN512" s="64">
        <v>13</v>
      </c>
      <c r="AO512" s="2095">
        <v>13</v>
      </c>
      <c r="AP512" s="2101">
        <v>13</v>
      </c>
      <c r="AQ512" s="2099"/>
      <c r="AR512" s="2099"/>
      <c r="AS512" s="2099"/>
      <c r="AT512" s="1933"/>
      <c r="AU512" s="3227" t="s">
        <v>170</v>
      </c>
      <c r="AV512" s="2102">
        <v>700</v>
      </c>
      <c r="AW512" s="2102">
        <v>700</v>
      </c>
      <c r="AX512" s="2102">
        <v>700</v>
      </c>
      <c r="AY512" s="2102">
        <v>700</v>
      </c>
      <c r="AZ512" s="2102">
        <v>700</v>
      </c>
      <c r="BA512" s="2103">
        <v>700</v>
      </c>
      <c r="BB512" s="2103">
        <v>700</v>
      </c>
      <c r="BC512" s="2099"/>
      <c r="BD512" s="2099"/>
      <c r="BE512" s="2099"/>
      <c r="BF512" s="1933"/>
      <c r="BG512" s="1933"/>
      <c r="BH512" s="1933"/>
      <c r="BI512" s="1931"/>
      <c r="BJ512" s="1931"/>
      <c r="BK512" s="1931"/>
      <c r="BL512" s="1931"/>
      <c r="BM512" s="1931"/>
      <c r="BN512" s="1931"/>
      <c r="BO512" s="1931"/>
      <c r="BP512" s="1931"/>
      <c r="BQ512" s="1931"/>
      <c r="BR512" s="1931"/>
      <c r="BS512" s="1931"/>
      <c r="BT512" s="1931"/>
      <c r="BU512" s="1931"/>
      <c r="BV512" s="1931"/>
      <c r="BW512" s="1931"/>
      <c r="BX512" s="1931"/>
      <c r="BY512" s="1931"/>
      <c r="BZ512" s="1931"/>
      <c r="CA512" s="1931"/>
      <c r="CB512" s="1931"/>
      <c r="CC512" s="1931"/>
      <c r="CD512" s="1931"/>
      <c r="CE512" s="1930"/>
      <c r="CF512" s="1930"/>
      <c r="CG512" s="1930"/>
      <c r="CH512" s="1930"/>
      <c r="CI512" s="1931"/>
      <c r="CJ512" s="1931"/>
      <c r="CK512" s="1931"/>
      <c r="CL512" s="1931"/>
      <c r="CM512" s="1931"/>
      <c r="CN512" s="1931"/>
      <c r="CO512" s="1931"/>
      <c r="CP512" s="1931"/>
      <c r="CQ512" s="1931"/>
      <c r="CR512" s="1931"/>
      <c r="CS512" s="1931"/>
      <c r="CT512" s="1930"/>
      <c r="CU512" s="1930"/>
      <c r="CV512" s="1930"/>
      <c r="CW512" s="1930"/>
      <c r="CX512" s="1931"/>
      <c r="CY512" s="1931"/>
      <c r="CZ512" s="1931"/>
      <c r="DA512" s="1931"/>
      <c r="DB512" s="53">
        <f t="shared" si="173"/>
        <v>2.2600756417335637</v>
      </c>
      <c r="DC512" s="1948" t="str">
        <f t="shared" si="174"/>
        <v>Air Comp BUS 13 Year EUL</v>
      </c>
      <c r="DD512" s="71">
        <f>(INDEX('Avoided Cost Benefits'!$C$4:$C$857,MATCH(DC512,'Avoided Cost Benefits'!$A$4:$A$857,0)))*F512</f>
        <v>1493.2071252604949</v>
      </c>
      <c r="DE512" s="1950">
        <f t="shared" si="175"/>
        <v>660.68900424728633</v>
      </c>
    </row>
    <row r="513" spans="2:109" hidden="1" outlineLevel="1" x14ac:dyDescent="0.25">
      <c r="D513" s="1966"/>
      <c r="E513" s="1966"/>
      <c r="F513" s="1966"/>
      <c r="G513" s="1966"/>
      <c r="H513" s="1299"/>
      <c r="I513" s="1966"/>
      <c r="J513" s="1966"/>
      <c r="K513" s="1966"/>
      <c r="L513" s="1965"/>
      <c r="M513" s="1965"/>
      <c r="N513" s="1965"/>
      <c r="O513" s="1965"/>
      <c r="P513" s="1965"/>
      <c r="Q513" s="1965"/>
      <c r="R513" s="1965"/>
      <c r="S513" s="1965"/>
      <c r="T513" s="1965"/>
      <c r="U513" s="1965"/>
      <c r="V513" s="1933"/>
      <c r="W513" s="1933"/>
      <c r="X513" s="1933"/>
      <c r="Y513" s="1933"/>
      <c r="Z513" s="1933"/>
      <c r="AA513" s="1933"/>
      <c r="AB513" s="1933"/>
      <c r="AC513" s="1933"/>
      <c r="AD513" s="1933"/>
      <c r="AE513" s="1933"/>
      <c r="AF513" s="1933"/>
      <c r="AG513" s="1933"/>
      <c r="AH513" s="1933"/>
      <c r="AI513" s="1933"/>
      <c r="AJ513" s="1933"/>
      <c r="AK513" s="1933"/>
      <c r="AL513" s="1933"/>
      <c r="AM513" s="1933"/>
      <c r="AN513" s="1933"/>
      <c r="AO513" s="1933"/>
      <c r="AP513" s="1933"/>
      <c r="AQ513" s="1933"/>
      <c r="AR513" s="1933"/>
      <c r="AS513" s="1933"/>
      <c r="AT513" s="1933"/>
      <c r="AU513" s="1933"/>
      <c r="AV513" s="1933"/>
      <c r="AW513" s="1933"/>
      <c r="AX513" s="1933"/>
      <c r="AY513" s="1933"/>
      <c r="AZ513" s="1933"/>
      <c r="BA513" s="1933"/>
      <c r="BB513" s="1933"/>
      <c r="BC513" s="1933"/>
      <c r="BD513" s="1933"/>
      <c r="BE513" s="1933"/>
      <c r="BF513" s="1933"/>
      <c r="BG513" s="1933"/>
      <c r="BH513" s="1933"/>
      <c r="BI513" s="1931"/>
      <c r="BJ513" s="1931"/>
      <c r="BK513" s="1931"/>
      <c r="BL513" s="1931"/>
      <c r="BM513" s="1931"/>
      <c r="BN513" s="1931"/>
      <c r="BO513" s="1931"/>
      <c r="BP513" s="1931"/>
      <c r="BQ513" s="1931"/>
      <c r="BR513" s="1931"/>
      <c r="BS513" s="1931"/>
      <c r="BT513" s="1931"/>
      <c r="BU513" s="1931"/>
      <c r="BV513" s="1931"/>
      <c r="BW513" s="1931"/>
      <c r="BX513" s="1931"/>
      <c r="BY513" s="1931"/>
      <c r="BZ513" s="1931"/>
      <c r="CA513" s="1931"/>
      <c r="CB513" s="1931"/>
      <c r="CC513" s="1931"/>
      <c r="CD513" s="1931"/>
      <c r="CE513" s="1930"/>
      <c r="CF513" s="1930"/>
      <c r="CG513" s="1930"/>
      <c r="CH513" s="1930"/>
      <c r="CI513" s="1931"/>
      <c r="CJ513" s="1931"/>
      <c r="CK513" s="1931"/>
      <c r="CL513" s="1931"/>
      <c r="CM513" s="1931"/>
      <c r="CN513" s="1931"/>
      <c r="CO513" s="1931"/>
      <c r="CP513" s="1931"/>
      <c r="CQ513" s="1931"/>
      <c r="CR513" s="1931"/>
      <c r="CS513" s="1931"/>
      <c r="CT513" s="1930"/>
      <c r="CU513" s="1930"/>
      <c r="CV513" s="1930"/>
      <c r="CW513" s="1930"/>
      <c r="CX513" s="1931"/>
      <c r="CY513" s="1931"/>
      <c r="CZ513" s="1931"/>
      <c r="DA513" s="1931"/>
      <c r="DB513" s="1932"/>
      <c r="DC513" s="1931"/>
      <c r="DD513" s="1931"/>
      <c r="DE513" s="1931"/>
    </row>
    <row r="514" spans="2:109" hidden="1" outlineLevel="1" x14ac:dyDescent="0.25">
      <c r="D514" s="1966" t="s">
        <v>2689</v>
      </c>
      <c r="E514" s="1966"/>
      <c r="F514" s="1966"/>
      <c r="G514" s="1966"/>
      <c r="H514" s="1299"/>
      <c r="I514" s="1966"/>
      <c r="J514" s="1966"/>
      <c r="K514" s="1966"/>
      <c r="L514" s="1965"/>
      <c r="M514" s="1965"/>
      <c r="N514" s="1965"/>
      <c r="O514" s="1965"/>
      <c r="P514" s="1965"/>
      <c r="Q514" s="1965"/>
      <c r="R514" s="1965"/>
      <c r="S514" s="1965"/>
      <c r="T514" s="1965"/>
      <c r="U514" s="1965"/>
      <c r="V514" s="1931"/>
      <c r="W514" s="1931"/>
      <c r="X514" s="1931"/>
      <c r="Y514" s="1931"/>
      <c r="Z514" s="1931"/>
      <c r="AA514" s="1931"/>
      <c r="AB514" s="1931"/>
      <c r="AC514" s="1931"/>
      <c r="AD514" s="1931"/>
      <c r="AE514" s="1931"/>
      <c r="AF514" s="1931"/>
      <c r="AG514" s="1931"/>
      <c r="AH514" s="1931"/>
      <c r="AI514" s="1931"/>
      <c r="AJ514" s="1931"/>
      <c r="AK514" s="1931"/>
      <c r="AL514" s="1931"/>
      <c r="AM514" s="1931"/>
      <c r="AN514" s="1931"/>
      <c r="AO514" s="1931"/>
      <c r="AP514" s="1931"/>
      <c r="AQ514" s="1931"/>
      <c r="AR514" s="1931"/>
      <c r="AS514" s="1931"/>
      <c r="AT514" s="1931"/>
      <c r="AU514" s="1931"/>
      <c r="AV514" s="1931"/>
      <c r="AW514" s="1931"/>
      <c r="AX514" s="1931"/>
      <c r="AY514" s="1931"/>
      <c r="AZ514" s="1931"/>
      <c r="BA514" s="1931"/>
      <c r="BB514" s="1931"/>
      <c r="BC514" s="1931"/>
      <c r="BD514" s="1931"/>
      <c r="BE514" s="1931"/>
      <c r="BF514" s="1931"/>
      <c r="BG514" s="1931"/>
      <c r="BH514" s="1931"/>
      <c r="BI514" s="1931"/>
      <c r="BJ514" s="1931"/>
      <c r="BK514" s="1931"/>
      <c r="BL514" s="1931"/>
      <c r="BM514" s="1931"/>
      <c r="BN514" s="1931"/>
      <c r="BO514" s="1931"/>
      <c r="BP514" s="1931"/>
      <c r="BQ514" s="1931"/>
      <c r="BR514" s="1931"/>
      <c r="BS514" s="1931"/>
      <c r="BT514" s="1931"/>
      <c r="BU514" s="1931"/>
      <c r="BV514" s="1931"/>
      <c r="BW514" s="1931"/>
      <c r="BX514" s="1931"/>
      <c r="BY514" s="1931"/>
      <c r="BZ514" s="1931"/>
      <c r="CA514" s="1931"/>
      <c r="CB514" s="1931"/>
      <c r="CC514" s="1931"/>
      <c r="CD514" s="1931"/>
      <c r="CE514" s="1930"/>
      <c r="CF514" s="1930"/>
      <c r="CG514" s="1930"/>
      <c r="CH514" s="1930"/>
      <c r="CI514" s="1931"/>
      <c r="CJ514" s="1931"/>
      <c r="CK514" s="1931"/>
      <c r="CL514" s="1931"/>
      <c r="CM514" s="1931"/>
      <c r="CN514" s="1931"/>
      <c r="CO514" s="1931"/>
      <c r="CP514" s="1931"/>
      <c r="CQ514" s="1931"/>
      <c r="CR514" s="1931"/>
      <c r="CS514" s="1931"/>
      <c r="CT514" s="1930"/>
      <c r="CU514" s="1930"/>
      <c r="CV514" s="1930"/>
      <c r="CW514" s="1930"/>
      <c r="CX514" s="1931"/>
      <c r="CY514" s="1931"/>
      <c r="CZ514" s="1931"/>
      <c r="DA514" s="1931"/>
      <c r="DB514" s="1932"/>
      <c r="DC514" s="1931"/>
      <c r="DD514" s="1931"/>
      <c r="DE514" s="1931"/>
    </row>
    <row r="515" spans="2:109" hidden="1" outlineLevel="1" x14ac:dyDescent="0.25">
      <c r="D515" s="1300"/>
      <c r="E515" s="1965"/>
      <c r="F515" s="1965"/>
      <c r="G515" s="1321"/>
      <c r="H515" s="1322"/>
      <c r="I515" s="1965"/>
      <c r="J515" s="1965"/>
      <c r="K515" s="1965"/>
      <c r="L515" s="1965"/>
      <c r="M515" s="1965"/>
      <c r="N515" s="1965"/>
      <c r="O515" s="1965"/>
      <c r="P515" s="1965"/>
      <c r="Q515" s="1965"/>
      <c r="R515" s="1965"/>
      <c r="S515" s="1965"/>
      <c r="T515" s="1965"/>
      <c r="U515" s="1965"/>
      <c r="V515" s="1931"/>
      <c r="W515" s="1931"/>
      <c r="X515" s="1931"/>
      <c r="Y515" s="1931"/>
      <c r="Z515" s="1931"/>
      <c r="AA515" s="1931"/>
      <c r="AB515" s="1931"/>
      <c r="AC515" s="1931"/>
      <c r="AD515" s="1931"/>
      <c r="AE515" s="1931"/>
      <c r="AF515" s="1931"/>
      <c r="AG515" s="1931"/>
      <c r="AH515" s="1931"/>
      <c r="AI515" s="1931"/>
      <c r="AJ515" s="1931"/>
      <c r="AK515" s="1931"/>
      <c r="AL515" s="1931"/>
      <c r="AM515" s="1931"/>
      <c r="AN515" s="1931"/>
      <c r="AO515" s="1931"/>
      <c r="AP515" s="1931"/>
      <c r="AQ515" s="1931"/>
      <c r="AR515" s="1931"/>
      <c r="AS515" s="1931"/>
      <c r="AT515" s="1931"/>
      <c r="AU515" s="1931"/>
      <c r="AV515" s="1931"/>
      <c r="AW515" s="1931"/>
      <c r="AX515" s="1931"/>
      <c r="AY515" s="1931"/>
      <c r="AZ515" s="1931"/>
      <c r="BA515" s="1931"/>
      <c r="BB515" s="1931"/>
      <c r="BC515" s="1931"/>
      <c r="BD515" s="1931"/>
      <c r="BE515" s="1931"/>
      <c r="BF515" s="1931"/>
      <c r="BG515" s="1931"/>
      <c r="BH515" s="1931"/>
      <c r="BI515" s="1931"/>
      <c r="BJ515" s="1931"/>
      <c r="BK515" s="1931"/>
      <c r="BL515" s="1931"/>
      <c r="BM515" s="1931"/>
      <c r="BN515" s="1931"/>
      <c r="BO515" s="1931"/>
      <c r="BP515" s="1931"/>
      <c r="BQ515" s="1931"/>
      <c r="BR515" s="1931"/>
      <c r="BS515" s="1931"/>
      <c r="BT515" s="1931"/>
      <c r="BU515" s="1931"/>
      <c r="BV515" s="1931"/>
      <c r="BW515" s="1931"/>
      <c r="BX515" s="1931"/>
      <c r="BY515" s="1931"/>
      <c r="BZ515" s="1931"/>
      <c r="CA515" s="1931"/>
      <c r="CB515" s="1931"/>
      <c r="CC515" s="1931"/>
      <c r="CD515" s="1931"/>
      <c r="CE515" s="1930"/>
      <c r="CF515" s="1930"/>
      <c r="CG515" s="1930"/>
      <c r="CH515" s="1930"/>
      <c r="CI515" s="1931"/>
      <c r="CJ515" s="1931"/>
      <c r="CK515" s="1931"/>
      <c r="CL515" s="1931"/>
      <c r="CM515" s="1931"/>
      <c r="CN515" s="1931"/>
      <c r="CO515" s="1931"/>
      <c r="CP515" s="1931"/>
      <c r="CQ515" s="1931"/>
      <c r="CR515" s="1931"/>
      <c r="CS515" s="1931"/>
      <c r="CT515" s="1930"/>
      <c r="CU515" s="1930"/>
      <c r="CV515" s="1930"/>
      <c r="CW515" s="1930"/>
      <c r="CX515" s="1931"/>
      <c r="CY515" s="1931"/>
      <c r="CZ515" s="1931"/>
      <c r="DA515" s="1931"/>
      <c r="DB515" s="1932"/>
      <c r="DC515" s="1931"/>
      <c r="DD515" s="1931"/>
      <c r="DE515" s="1931"/>
    </row>
    <row r="516" spans="2:109" hidden="1" outlineLevel="1" x14ac:dyDescent="0.25">
      <c r="D516" s="1355"/>
      <c r="E516" s="874"/>
      <c r="F516" s="1965"/>
      <c r="G516" s="1321"/>
      <c r="H516" s="1322"/>
      <c r="I516" s="1965"/>
      <c r="J516" s="1965"/>
      <c r="K516" s="1965"/>
      <c r="L516" s="1965"/>
      <c r="M516" s="1965"/>
      <c r="N516" s="1965"/>
      <c r="O516" s="1965"/>
      <c r="P516" s="1965"/>
      <c r="Q516" s="1965"/>
      <c r="R516" s="1965"/>
      <c r="S516" s="1965"/>
      <c r="T516" s="1965"/>
      <c r="U516" s="1965"/>
      <c r="V516" s="1931"/>
      <c r="W516" s="1931"/>
      <c r="X516" s="1931"/>
      <c r="Y516" s="1931"/>
      <c r="Z516" s="1931"/>
      <c r="AA516" s="1931"/>
      <c r="AB516" s="1931"/>
      <c r="AC516" s="1931"/>
      <c r="AD516" s="1931"/>
      <c r="AE516" s="1931"/>
      <c r="AF516" s="1931"/>
      <c r="AG516" s="1931"/>
      <c r="AH516" s="1931"/>
      <c r="AI516" s="1931"/>
      <c r="AJ516" s="1931"/>
      <c r="AK516" s="1931"/>
      <c r="AL516" s="1931"/>
      <c r="AM516" s="1931"/>
      <c r="AN516" s="1931"/>
      <c r="AO516" s="1931"/>
      <c r="AP516" s="1931"/>
      <c r="AQ516" s="1931"/>
      <c r="AR516" s="1931"/>
      <c r="AS516" s="1931"/>
      <c r="AT516" s="1931"/>
      <c r="AU516" s="1931"/>
      <c r="AV516" s="1931"/>
      <c r="AW516" s="1931"/>
      <c r="AX516" s="1931"/>
      <c r="AY516" s="1931"/>
      <c r="AZ516" s="1931"/>
      <c r="BA516" s="1931"/>
      <c r="BB516" s="1931"/>
      <c r="BC516" s="1931"/>
      <c r="BD516" s="1931"/>
      <c r="BE516" s="1931"/>
      <c r="BF516" s="1931"/>
      <c r="BG516" s="1931"/>
      <c r="BH516" s="1931"/>
      <c r="BI516" s="1931"/>
      <c r="BJ516" s="1931"/>
      <c r="BK516" s="1931"/>
      <c r="BL516" s="1931"/>
      <c r="BM516" s="1931"/>
      <c r="BN516" s="1931"/>
      <c r="BO516" s="1931"/>
      <c r="BP516" s="1931"/>
      <c r="BQ516" s="1931"/>
      <c r="BR516" s="1931"/>
      <c r="BS516" s="1931"/>
      <c r="BT516" s="1931"/>
      <c r="BU516" s="1931"/>
      <c r="BV516" s="1931"/>
      <c r="BW516" s="1931"/>
      <c r="BX516" s="1931"/>
      <c r="BY516" s="1931"/>
      <c r="BZ516" s="1931"/>
      <c r="CA516" s="1931"/>
      <c r="CB516" s="1931"/>
      <c r="CC516" s="1931"/>
      <c r="CD516" s="1931"/>
      <c r="CE516" s="1930"/>
      <c r="CF516" s="1930"/>
      <c r="CG516" s="1930"/>
      <c r="CH516" s="1930"/>
      <c r="CI516" s="1931"/>
      <c r="CJ516" s="1931"/>
      <c r="CK516" s="1931"/>
      <c r="CL516" s="1931"/>
      <c r="CM516" s="1931"/>
      <c r="CN516" s="1931"/>
      <c r="CO516" s="1931"/>
      <c r="CP516" s="1931"/>
      <c r="CQ516" s="1931"/>
      <c r="CR516" s="1931"/>
      <c r="CS516" s="1931"/>
      <c r="CT516" s="1930"/>
      <c r="CU516" s="1930"/>
      <c r="CV516" s="1930"/>
      <c r="CW516" s="1930"/>
      <c r="CX516" s="1931"/>
      <c r="CY516" s="1931"/>
      <c r="CZ516" s="1931"/>
      <c r="DA516" s="1931"/>
      <c r="DB516" s="1932"/>
      <c r="DC516" s="1931"/>
      <c r="DD516" s="1931"/>
      <c r="DE516" s="1931"/>
    </row>
    <row r="517" spans="2:109" hidden="1" outlineLevel="1" x14ac:dyDescent="0.25">
      <c r="D517" s="1355"/>
      <c r="E517" s="874"/>
      <c r="F517" s="1965"/>
      <c r="G517" s="1965"/>
      <c r="H517" s="1301"/>
      <c r="I517" s="1965"/>
      <c r="J517" s="1965"/>
      <c r="K517" s="1965"/>
      <c r="L517" s="1965"/>
      <c r="M517" s="1966"/>
      <c r="N517" s="1965"/>
      <c r="O517" s="1965"/>
      <c r="P517" s="1965"/>
      <c r="Q517" s="1965"/>
      <c r="R517" s="1965"/>
      <c r="S517" s="1965"/>
      <c r="T517" s="1965"/>
      <c r="U517" s="1965"/>
      <c r="V517" s="1931"/>
      <c r="W517" s="1931"/>
      <c r="X517" s="1931"/>
      <c r="Y517" s="1931"/>
      <c r="Z517" s="1931"/>
      <c r="AA517" s="1931"/>
      <c r="AB517" s="1931"/>
      <c r="AC517" s="1931"/>
      <c r="AD517" s="1931"/>
      <c r="AE517" s="1931"/>
      <c r="AF517" s="1931"/>
      <c r="AG517" s="1931"/>
      <c r="AH517" s="1931"/>
      <c r="AI517" s="1931"/>
      <c r="AJ517" s="1931"/>
      <c r="AK517" s="1931"/>
      <c r="AL517" s="1931"/>
      <c r="AM517" s="1931"/>
      <c r="AN517" s="1931"/>
      <c r="AO517" s="1931"/>
      <c r="AP517" s="1931"/>
      <c r="AQ517" s="1931"/>
      <c r="AR517" s="1931"/>
      <c r="AS517" s="1931"/>
      <c r="AT517" s="1931"/>
      <c r="AU517" s="1931"/>
      <c r="AV517" s="1931"/>
      <c r="AW517" s="1931"/>
      <c r="AX517" s="1931"/>
      <c r="AY517" s="1931"/>
      <c r="AZ517" s="1931"/>
      <c r="BA517" s="1931"/>
      <c r="BB517" s="1931"/>
      <c r="BC517" s="1931"/>
      <c r="BD517" s="1931"/>
      <c r="BE517" s="1931"/>
      <c r="BF517" s="1931"/>
      <c r="BG517" s="1931"/>
      <c r="BH517" s="1931"/>
      <c r="BI517" s="1931"/>
      <c r="BJ517" s="1931"/>
      <c r="BK517" s="1931"/>
      <c r="BL517" s="1931"/>
      <c r="BM517" s="1931"/>
      <c r="BN517" s="1931"/>
      <c r="BO517" s="1931"/>
      <c r="BP517" s="1931"/>
      <c r="BQ517" s="1931"/>
      <c r="BR517" s="1931"/>
      <c r="BS517" s="1931"/>
      <c r="BT517" s="1931"/>
      <c r="BU517" s="1931"/>
      <c r="BV517" s="1931"/>
      <c r="BW517" s="1931"/>
      <c r="BX517" s="1931"/>
      <c r="BY517" s="1931"/>
      <c r="BZ517" s="1931"/>
      <c r="CA517" s="1931"/>
      <c r="CB517" s="1931"/>
      <c r="CC517" s="1931"/>
      <c r="CD517" s="1931"/>
      <c r="CE517" s="1930"/>
      <c r="CF517" s="1930"/>
      <c r="CG517" s="1930"/>
      <c r="CH517" s="1930"/>
      <c r="CI517" s="1931"/>
      <c r="CJ517" s="1931"/>
      <c r="CK517" s="1931"/>
      <c r="CL517" s="1931"/>
      <c r="CM517" s="1931"/>
      <c r="CN517" s="1931"/>
      <c r="CO517" s="1931"/>
      <c r="CP517" s="1931"/>
      <c r="CQ517" s="1931"/>
      <c r="CR517" s="1931"/>
      <c r="CS517" s="1931"/>
      <c r="CT517" s="1930"/>
      <c r="CU517" s="1930"/>
      <c r="CV517" s="1930"/>
      <c r="CW517" s="1930"/>
      <c r="CX517" s="1931"/>
      <c r="CY517" s="1931"/>
      <c r="CZ517" s="1931"/>
      <c r="DA517" s="1931"/>
      <c r="DB517" s="1932"/>
      <c r="DC517" s="1931"/>
      <c r="DD517" s="1931"/>
      <c r="DE517" s="1931"/>
    </row>
    <row r="518" spans="2:109" hidden="1" outlineLevel="1" x14ac:dyDescent="0.25">
      <c r="D518" s="1300"/>
      <c r="E518" s="1965"/>
      <c r="F518" s="1965"/>
      <c r="G518" s="1965"/>
      <c r="H518" s="1301"/>
      <c r="I518" s="1965"/>
      <c r="J518" s="1965"/>
      <c r="K518" s="1965"/>
      <c r="L518" s="1965"/>
      <c r="M518" s="1966"/>
      <c r="N518" s="1965"/>
      <c r="O518" s="1965"/>
      <c r="P518" s="1965"/>
      <c r="Q518" s="1965"/>
      <c r="R518" s="1965"/>
      <c r="S518" s="1965"/>
      <c r="T518" s="1965"/>
      <c r="U518" s="1965"/>
      <c r="V518" s="1931"/>
      <c r="W518" s="1931"/>
      <c r="X518" s="1931"/>
      <c r="Y518" s="1931"/>
      <c r="Z518" s="1931"/>
      <c r="AA518" s="1931"/>
      <c r="AB518" s="1931"/>
      <c r="AC518" s="1931"/>
      <c r="AD518" s="1931"/>
      <c r="AE518" s="1931"/>
      <c r="AF518" s="1931"/>
      <c r="AG518" s="1931"/>
      <c r="AH518" s="1931"/>
      <c r="AI518" s="1931"/>
      <c r="AJ518" s="1931"/>
      <c r="AK518" s="1931"/>
      <c r="AL518" s="1931"/>
      <c r="AM518" s="1931"/>
      <c r="AN518" s="1931"/>
      <c r="AO518" s="1931"/>
      <c r="AP518" s="1931"/>
      <c r="AQ518" s="1931"/>
      <c r="AR518" s="1931"/>
      <c r="AS518" s="1931"/>
      <c r="AT518" s="1931"/>
      <c r="AU518" s="1931"/>
      <c r="AV518" s="1931"/>
      <c r="AW518" s="1931"/>
      <c r="AX518" s="1931"/>
      <c r="AY518" s="1931"/>
      <c r="AZ518" s="1931"/>
      <c r="BA518" s="1931"/>
      <c r="BB518" s="1931"/>
      <c r="BC518" s="1931"/>
      <c r="BD518" s="1931"/>
      <c r="BE518" s="1931"/>
      <c r="BF518" s="1931"/>
      <c r="BG518" s="1931"/>
      <c r="BH518" s="1931"/>
      <c r="BI518" s="1931"/>
      <c r="BJ518" s="1931"/>
      <c r="BK518" s="1931"/>
      <c r="BL518" s="1931"/>
      <c r="BM518" s="1931"/>
      <c r="BN518" s="1931"/>
      <c r="BO518" s="1931"/>
      <c r="BP518" s="1931"/>
      <c r="BQ518" s="1931"/>
      <c r="BR518" s="1931"/>
      <c r="BS518" s="1931"/>
      <c r="BT518" s="1931"/>
      <c r="BU518" s="1931"/>
      <c r="BV518" s="1931"/>
      <c r="BW518" s="1931"/>
      <c r="BX518" s="1931"/>
      <c r="BY518" s="1931"/>
      <c r="BZ518" s="1931"/>
      <c r="CA518" s="1931"/>
      <c r="CB518" s="1931"/>
      <c r="CC518" s="1931"/>
      <c r="CD518" s="1931"/>
      <c r="CE518" s="1930"/>
      <c r="CF518" s="1930"/>
      <c r="CG518" s="1930"/>
      <c r="CH518" s="1930"/>
      <c r="CI518" s="1931"/>
      <c r="CJ518" s="1931"/>
      <c r="CK518" s="1931"/>
      <c r="CL518" s="1931"/>
      <c r="CM518" s="1931"/>
      <c r="CN518" s="1931"/>
      <c r="CO518" s="1931"/>
      <c r="CP518" s="1931"/>
      <c r="CQ518" s="1931"/>
      <c r="CR518" s="1931"/>
      <c r="CS518" s="1931"/>
      <c r="CT518" s="1930"/>
      <c r="CU518" s="1930"/>
      <c r="CV518" s="1930"/>
      <c r="CW518" s="1930"/>
      <c r="CX518" s="1931"/>
      <c r="CY518" s="1931"/>
      <c r="CZ518" s="1931"/>
      <c r="DA518" s="1931"/>
      <c r="DB518" s="1932"/>
      <c r="DC518" s="1931"/>
      <c r="DD518" s="1931"/>
      <c r="DE518" s="1931"/>
    </row>
    <row r="519" spans="2:109" hidden="1" outlineLevel="1" x14ac:dyDescent="0.25">
      <c r="D519" s="1300"/>
      <c r="E519" s="1965"/>
      <c r="F519" s="1965"/>
      <c r="G519" s="1965"/>
      <c r="H519" s="1301"/>
      <c r="I519" s="1965"/>
      <c r="J519" s="1965"/>
      <c r="K519" s="1965"/>
      <c r="L519" s="1965"/>
      <c r="M519" s="1966"/>
      <c r="N519" s="1965"/>
      <c r="O519" s="1965"/>
      <c r="P519" s="1965"/>
      <c r="Q519" s="1965"/>
      <c r="R519" s="1965"/>
      <c r="S519" s="1965"/>
      <c r="T519" s="1965"/>
      <c r="U519" s="1965"/>
      <c r="V519" s="1931"/>
      <c r="W519" s="1931"/>
      <c r="X519" s="1931"/>
      <c r="Y519" s="1931"/>
      <c r="Z519" s="1931"/>
      <c r="AA519" s="1931"/>
      <c r="AB519" s="1931"/>
      <c r="AC519" s="1931"/>
      <c r="AD519" s="1931"/>
      <c r="AE519" s="1931"/>
      <c r="AF519" s="1931"/>
      <c r="AG519" s="1931"/>
      <c r="AH519" s="1931"/>
      <c r="AI519" s="1931"/>
      <c r="AJ519" s="1931"/>
      <c r="AK519" s="1931"/>
      <c r="AL519" s="1931"/>
      <c r="AM519" s="1931"/>
      <c r="AN519" s="1931"/>
      <c r="AO519" s="1931"/>
      <c r="AP519" s="1931"/>
      <c r="AQ519" s="1931"/>
      <c r="AR519" s="1931"/>
      <c r="AS519" s="1931"/>
      <c r="AT519" s="1931"/>
      <c r="AU519" s="1931"/>
      <c r="AV519" s="1931"/>
      <c r="AW519" s="1931"/>
      <c r="AX519" s="1931"/>
      <c r="AY519" s="1931"/>
      <c r="AZ519" s="1931"/>
      <c r="BA519" s="1931"/>
      <c r="BB519" s="1931"/>
      <c r="BC519" s="1931"/>
      <c r="BD519" s="1931"/>
      <c r="BE519" s="1931"/>
      <c r="BF519" s="1931"/>
      <c r="BG519" s="1931"/>
      <c r="BH519" s="1931"/>
      <c r="BI519" s="1931"/>
      <c r="BJ519" s="1931"/>
      <c r="BK519" s="1931"/>
      <c r="BL519" s="1931"/>
      <c r="BM519" s="1931"/>
      <c r="BN519" s="1931"/>
      <c r="BO519" s="1931"/>
      <c r="BP519" s="1931"/>
      <c r="BQ519" s="1931"/>
      <c r="BR519" s="1931"/>
      <c r="BS519" s="1931"/>
      <c r="BT519" s="1931"/>
      <c r="BU519" s="1931"/>
      <c r="BV519" s="1931"/>
      <c r="BW519" s="1931"/>
      <c r="BX519" s="1931"/>
      <c r="BY519" s="1931"/>
      <c r="BZ519" s="1931"/>
      <c r="CA519" s="1931"/>
      <c r="CB519" s="1931"/>
      <c r="CC519" s="1931"/>
      <c r="CD519" s="1931"/>
      <c r="CE519" s="1930"/>
      <c r="CF519" s="1930"/>
      <c r="CG519" s="1930"/>
      <c r="CH519" s="1930"/>
      <c r="CI519" s="1931"/>
      <c r="CJ519" s="1931"/>
      <c r="CK519" s="1931"/>
      <c r="CL519" s="1931"/>
      <c r="CM519" s="1931"/>
      <c r="CN519" s="1931"/>
      <c r="CO519" s="1931"/>
      <c r="CP519" s="1931"/>
      <c r="CQ519" s="1931"/>
      <c r="CR519" s="1931"/>
      <c r="CS519" s="1931"/>
      <c r="CT519" s="1930"/>
      <c r="CU519" s="1930"/>
      <c r="CV519" s="1930"/>
      <c r="CW519" s="1930"/>
      <c r="CX519" s="1931"/>
      <c r="CY519" s="1931"/>
      <c r="CZ519" s="1931"/>
      <c r="DA519" s="1931"/>
      <c r="DB519" s="1932"/>
      <c r="DC519" s="1931"/>
      <c r="DD519" s="1931"/>
      <c r="DE519" s="1931"/>
    </row>
    <row r="520" spans="2:109" hidden="1" outlineLevel="1" x14ac:dyDescent="0.25">
      <c r="D520" s="1300"/>
      <c r="E520" s="1965"/>
      <c r="F520" s="1965"/>
      <c r="G520" s="1965"/>
      <c r="H520" s="1301"/>
      <c r="I520" s="1965"/>
      <c r="J520" s="1965"/>
      <c r="K520" s="1965"/>
      <c r="L520" s="1965"/>
      <c r="M520" s="1965"/>
      <c r="N520" s="1965"/>
      <c r="O520" s="1965"/>
      <c r="P520" s="1965"/>
      <c r="Q520" s="1965"/>
      <c r="R520" s="1965"/>
      <c r="S520" s="1965"/>
      <c r="T520" s="1965"/>
      <c r="U520" s="1965"/>
      <c r="V520" s="1931"/>
      <c r="W520" s="1931"/>
      <c r="X520" s="1931"/>
      <c r="Y520" s="1931"/>
      <c r="Z520" s="1931"/>
      <c r="AA520" s="1931"/>
      <c r="AB520" s="1931"/>
      <c r="AC520" s="1931"/>
      <c r="AD520" s="1931"/>
      <c r="AE520" s="1931"/>
      <c r="AF520" s="1931"/>
      <c r="AG520" s="1931"/>
      <c r="AH520" s="1931"/>
      <c r="AI520" s="1931"/>
      <c r="AJ520" s="1931"/>
      <c r="AK520" s="1931"/>
      <c r="AL520" s="1931"/>
      <c r="AM520" s="1931"/>
      <c r="AN520" s="1931"/>
      <c r="AO520" s="1931"/>
      <c r="AP520" s="1931"/>
      <c r="AQ520" s="1931"/>
      <c r="AR520" s="1931"/>
      <c r="AS520" s="1931"/>
      <c r="AT520" s="1931"/>
      <c r="AU520" s="1931"/>
      <c r="AV520" s="1931"/>
      <c r="AW520" s="1931"/>
      <c r="AX520" s="1931"/>
      <c r="AY520" s="1931"/>
      <c r="AZ520" s="1931"/>
      <c r="BA520" s="1931"/>
      <c r="BB520" s="1931"/>
      <c r="BC520" s="1931"/>
      <c r="BD520" s="1931"/>
      <c r="BE520" s="1931"/>
      <c r="BF520" s="1931"/>
      <c r="BG520" s="1931"/>
      <c r="BH520" s="1931"/>
      <c r="BI520" s="1931"/>
      <c r="BJ520" s="1931"/>
      <c r="BK520" s="1931"/>
      <c r="BL520" s="1931"/>
      <c r="BM520" s="1931"/>
      <c r="BN520" s="1931"/>
      <c r="BO520" s="1931"/>
      <c r="BP520" s="1931"/>
      <c r="BQ520" s="1931"/>
      <c r="BR520" s="1931"/>
      <c r="BS520" s="1931"/>
      <c r="BT520" s="1931"/>
      <c r="BU520" s="1931"/>
      <c r="BV520" s="1931"/>
      <c r="BW520" s="1931"/>
      <c r="BX520" s="1931"/>
      <c r="BY520" s="1931"/>
      <c r="BZ520" s="1931"/>
      <c r="CA520" s="1931"/>
      <c r="CB520" s="1931"/>
      <c r="CC520" s="1931"/>
      <c r="CD520" s="1931"/>
      <c r="CE520" s="1930"/>
      <c r="CF520" s="1930"/>
      <c r="CG520" s="1930"/>
      <c r="CH520" s="1930"/>
      <c r="CI520" s="1931"/>
      <c r="CJ520" s="1931"/>
      <c r="CK520" s="1931"/>
      <c r="CL520" s="1931"/>
      <c r="CM520" s="1931"/>
      <c r="CN520" s="1931"/>
      <c r="CO520" s="1931"/>
      <c r="CP520" s="1931"/>
      <c r="CQ520" s="1931"/>
      <c r="CR520" s="1931"/>
      <c r="CS520" s="1931"/>
      <c r="CT520" s="1930"/>
      <c r="CU520" s="1930"/>
      <c r="CV520" s="1930"/>
      <c r="CW520" s="1930"/>
      <c r="CX520" s="1931"/>
      <c r="CY520" s="1931"/>
      <c r="CZ520" s="1931"/>
      <c r="DA520" s="1931"/>
      <c r="DB520" s="1932"/>
      <c r="DC520" s="1931"/>
      <c r="DD520" s="1931"/>
      <c r="DE520" s="1931"/>
    </row>
    <row r="521" spans="2:109" s="55" customFormat="1" hidden="1" outlineLevel="1" x14ac:dyDescent="0.25">
      <c r="C521" s="151"/>
      <c r="D521" s="3081" t="s">
        <v>28</v>
      </c>
      <c r="E521" s="3081" t="s">
        <v>2758</v>
      </c>
      <c r="F521" s="83" t="s">
        <v>3027</v>
      </c>
      <c r="G521" s="3081" t="s">
        <v>3028</v>
      </c>
      <c r="H521" s="3081" t="s">
        <v>745</v>
      </c>
      <c r="I521" s="401"/>
      <c r="J521" s="401"/>
      <c r="K521" s="401"/>
      <c r="L521" s="401"/>
      <c r="M521" s="401"/>
      <c r="N521" s="401"/>
      <c r="O521" s="401"/>
      <c r="P521" s="401"/>
      <c r="Q521" s="401"/>
      <c r="R521" s="401"/>
      <c r="S521" s="401"/>
      <c r="T521" s="401"/>
      <c r="U521" s="401"/>
      <c r="DB521" s="72"/>
    </row>
    <row r="522" spans="2:109" hidden="1" outlineLevel="1" x14ac:dyDescent="0.25">
      <c r="D522" s="1967" t="str">
        <f>C506</f>
        <v>804300_2019_12_</v>
      </c>
      <c r="E522" s="1967" t="str">
        <f t="shared" ref="E522:E528" si="177">E506</f>
        <v>No Loss Condensate Drain (Reciprocating - On/off Control)</v>
      </c>
      <c r="F522" s="86">
        <v>3</v>
      </c>
      <c r="G522" s="87">
        <v>0.184</v>
      </c>
      <c r="H522" s="1395">
        <v>5928</v>
      </c>
      <c r="I522" s="1965"/>
      <c r="J522" s="1965"/>
      <c r="K522" s="1965"/>
      <c r="L522" s="1965"/>
      <c r="M522" s="1965"/>
      <c r="N522" s="1965"/>
      <c r="O522" s="1965"/>
      <c r="P522" s="1965"/>
      <c r="Q522" s="1965"/>
      <c r="R522" s="1965"/>
      <c r="S522" s="1965"/>
      <c r="T522" s="1965"/>
      <c r="U522" s="1965"/>
      <c r="V522" s="1931"/>
      <c r="W522" s="1931"/>
      <c r="X522" s="1931"/>
      <c r="Y522" s="1931"/>
      <c r="Z522" s="1931"/>
      <c r="AA522" s="1931"/>
      <c r="AB522" s="1931"/>
      <c r="AC522" s="1931"/>
      <c r="AD522" s="1931"/>
      <c r="AE522" s="1931"/>
      <c r="AF522" s="1931"/>
      <c r="AG522" s="1931"/>
      <c r="AH522" s="1931"/>
      <c r="AI522" s="1931"/>
      <c r="AJ522" s="1931"/>
      <c r="AK522" s="1931"/>
      <c r="AL522" s="1931"/>
      <c r="AM522" s="1931"/>
      <c r="AN522" s="1931"/>
      <c r="AO522" s="1931"/>
      <c r="AP522" s="1931"/>
      <c r="AQ522" s="1931"/>
      <c r="AR522" s="1931"/>
      <c r="AS522" s="1931"/>
      <c r="AT522" s="1931"/>
      <c r="AU522" s="1931"/>
      <c r="AV522" s="1931"/>
      <c r="AW522" s="1931"/>
      <c r="AX522" s="1931"/>
      <c r="AY522" s="1931"/>
      <c r="AZ522" s="1931"/>
      <c r="BA522" s="1931"/>
      <c r="BB522" s="1931"/>
      <c r="BC522" s="1931"/>
      <c r="BD522" s="1931"/>
      <c r="BE522" s="1931"/>
      <c r="BF522" s="1931"/>
      <c r="BG522" s="1931"/>
      <c r="BH522" s="1931"/>
      <c r="BI522" s="1931"/>
      <c r="BJ522" s="1931"/>
      <c r="BK522" s="1931"/>
      <c r="BL522" s="1931"/>
      <c r="BM522" s="1931"/>
      <c r="BN522" s="1931"/>
      <c r="BO522" s="1931"/>
      <c r="BP522" s="1931"/>
      <c r="BQ522" s="1931"/>
      <c r="BR522" s="1931"/>
      <c r="BS522" s="1931"/>
      <c r="BT522" s="1931"/>
      <c r="BU522" s="1931"/>
      <c r="BV522" s="1931"/>
      <c r="BW522" s="1931"/>
      <c r="BX522" s="1931"/>
      <c r="BY522" s="1931"/>
      <c r="BZ522" s="1931"/>
      <c r="CA522" s="1931"/>
      <c r="CB522" s="1931"/>
      <c r="CC522" s="1931"/>
      <c r="CD522" s="1931"/>
      <c r="CE522" s="1930"/>
      <c r="CF522" s="1930"/>
      <c r="CG522" s="1930"/>
      <c r="CH522" s="1930"/>
      <c r="CI522" s="1931"/>
      <c r="CJ522" s="1931"/>
      <c r="CK522" s="1931"/>
      <c r="CL522" s="1931"/>
      <c r="CM522" s="1931"/>
      <c r="CN522" s="1931"/>
      <c r="CO522" s="1931"/>
      <c r="CP522" s="1931"/>
      <c r="CQ522" s="1931"/>
      <c r="CR522" s="1931"/>
      <c r="CS522" s="1931"/>
      <c r="CT522" s="1930"/>
      <c r="CU522" s="1930"/>
      <c r="CV522" s="1930"/>
      <c r="CW522" s="1930"/>
      <c r="CX522" s="1931"/>
      <c r="CY522" s="1931"/>
      <c r="CZ522" s="1931"/>
      <c r="DA522" s="1931"/>
      <c r="DB522" s="1932"/>
      <c r="DC522" s="1931"/>
      <c r="DD522" s="1931"/>
      <c r="DE522" s="1931"/>
    </row>
    <row r="523" spans="2:109" hidden="1" outlineLevel="1" x14ac:dyDescent="0.25">
      <c r="D523" s="1967" t="str">
        <f t="shared" ref="D523:D528" si="178">C507</f>
        <v>804350_2019_12_</v>
      </c>
      <c r="E523" s="1967" t="str">
        <f t="shared" si="177"/>
        <v>No Loss Condensate Drain (Reciprocating - Load/Unload)</v>
      </c>
      <c r="F523" s="86">
        <v>3</v>
      </c>
      <c r="G523" s="87">
        <v>0.13600000000000001</v>
      </c>
      <c r="H523" s="1395">
        <v>5928</v>
      </c>
      <c r="I523" s="1965"/>
      <c r="J523" s="1965"/>
      <c r="K523" s="1965"/>
      <c r="L523" s="1965"/>
      <c r="M523" s="1965"/>
      <c r="N523" s="1965"/>
      <c r="O523" s="1965"/>
      <c r="P523" s="1965"/>
      <c r="Q523" s="1965"/>
      <c r="R523" s="1965"/>
      <c r="S523" s="1965"/>
      <c r="T523" s="1965"/>
      <c r="U523" s="1965"/>
      <c r="V523" s="1931"/>
      <c r="W523" s="1931"/>
      <c r="X523" s="1931"/>
      <c r="Y523" s="1931"/>
      <c r="Z523" s="1931"/>
      <c r="AA523" s="1931"/>
      <c r="AB523" s="1931"/>
      <c r="AC523" s="1931"/>
      <c r="AD523" s="1931"/>
      <c r="AE523" s="1931"/>
      <c r="AF523" s="1931"/>
      <c r="AG523" s="1931"/>
      <c r="AH523" s="1931"/>
      <c r="AI523" s="1931"/>
      <c r="AJ523" s="1931"/>
      <c r="AK523" s="1931"/>
      <c r="AL523" s="1931"/>
      <c r="AM523" s="1931"/>
      <c r="AN523" s="1931"/>
      <c r="AO523" s="1931"/>
      <c r="AP523" s="1931"/>
      <c r="AQ523" s="1931"/>
      <c r="AR523" s="1931"/>
      <c r="AS523" s="1931"/>
      <c r="AT523" s="1931"/>
      <c r="AU523" s="1931"/>
      <c r="AV523" s="1931"/>
      <c r="AW523" s="1931"/>
      <c r="AX523" s="1931"/>
      <c r="AY523" s="1931"/>
      <c r="AZ523" s="1931"/>
      <c r="BA523" s="1931"/>
      <c r="BB523" s="1931"/>
      <c r="BC523" s="1931"/>
      <c r="BD523" s="1931"/>
      <c r="BE523" s="1931"/>
      <c r="BF523" s="1931"/>
      <c r="BG523" s="1931"/>
      <c r="BH523" s="1931"/>
      <c r="BI523" s="1931"/>
      <c r="BJ523" s="1931"/>
      <c r="BK523" s="1931"/>
      <c r="BL523" s="1931"/>
      <c r="BM523" s="1931"/>
      <c r="BN523" s="1931"/>
      <c r="BO523" s="1931"/>
      <c r="BP523" s="1931"/>
      <c r="BQ523" s="1931"/>
      <c r="BR523" s="1931"/>
      <c r="BS523" s="1931"/>
      <c r="BT523" s="1931"/>
      <c r="BU523" s="1931"/>
      <c r="BV523" s="1931"/>
      <c r="BW523" s="1931"/>
      <c r="BX523" s="1931"/>
      <c r="BY523" s="1931"/>
      <c r="BZ523" s="1931"/>
      <c r="CA523" s="1931"/>
      <c r="CB523" s="1931"/>
      <c r="CC523" s="1931"/>
      <c r="CD523" s="1931"/>
      <c r="CE523" s="1930"/>
      <c r="CF523" s="1930"/>
      <c r="CG523" s="1930"/>
      <c r="CH523" s="1930"/>
      <c r="CI523" s="1931"/>
      <c r="CJ523" s="1931"/>
      <c r="CK523" s="1931"/>
      <c r="CL523" s="1931"/>
      <c r="CM523" s="1931"/>
      <c r="CN523" s="1931"/>
      <c r="CO523" s="1931"/>
      <c r="CP523" s="1931"/>
      <c r="CQ523" s="1931"/>
      <c r="CR523" s="1931"/>
      <c r="CS523" s="1931"/>
      <c r="CT523" s="1930"/>
      <c r="CU523" s="1930"/>
      <c r="CV523" s="1930"/>
      <c r="CW523" s="1930"/>
      <c r="CX523" s="1931"/>
      <c r="CY523" s="1931"/>
      <c r="CZ523" s="1931"/>
      <c r="DA523" s="1931"/>
      <c r="DB523" s="1932"/>
      <c r="DC523" s="1931"/>
      <c r="DD523" s="1931"/>
      <c r="DE523" s="1931"/>
    </row>
    <row r="524" spans="2:109" hidden="1" outlineLevel="1" x14ac:dyDescent="0.25">
      <c r="B524" s="1931"/>
      <c r="D524" s="1967" t="str">
        <f t="shared" si="178"/>
        <v>804400_2019_12_</v>
      </c>
      <c r="E524" s="1967" t="str">
        <f t="shared" si="177"/>
        <v>No Loss Condensate Drain (Screw - Load/Unload)</v>
      </c>
      <c r="F524" s="86">
        <v>3</v>
      </c>
      <c r="G524" s="87">
        <v>0.152</v>
      </c>
      <c r="H524" s="1395">
        <v>5928</v>
      </c>
      <c r="I524" s="1965"/>
      <c r="J524" s="1965"/>
      <c r="K524" s="1965"/>
      <c r="L524" s="1965"/>
      <c r="M524" s="1965"/>
      <c r="N524" s="1965"/>
      <c r="O524" s="1965"/>
      <c r="P524" s="1965"/>
      <c r="Q524" s="1965"/>
      <c r="R524" s="1965"/>
      <c r="S524" s="1965"/>
      <c r="T524" s="1965"/>
      <c r="U524" s="1965"/>
      <c r="V524" s="1931"/>
      <c r="W524" s="1931"/>
      <c r="X524" s="1931"/>
      <c r="Y524" s="1931"/>
      <c r="Z524" s="1931"/>
      <c r="AA524" s="1931"/>
      <c r="AB524" s="1931"/>
      <c r="AC524" s="1931"/>
      <c r="AD524" s="1931"/>
      <c r="AE524" s="1931"/>
      <c r="AF524" s="1931"/>
      <c r="AG524" s="1931"/>
      <c r="AH524" s="1931"/>
      <c r="AI524" s="1931"/>
      <c r="AJ524" s="1931"/>
      <c r="AK524" s="1931"/>
      <c r="AL524" s="1931"/>
      <c r="AM524" s="1931"/>
      <c r="AN524" s="1931"/>
      <c r="AO524" s="1931"/>
      <c r="AP524" s="1931"/>
      <c r="AQ524" s="1931"/>
      <c r="AR524" s="1931"/>
      <c r="AS524" s="1931"/>
      <c r="AT524" s="1931"/>
      <c r="AU524" s="1931"/>
      <c r="AV524" s="1931"/>
      <c r="AW524" s="1931"/>
      <c r="AX524" s="1931"/>
      <c r="AY524" s="1931"/>
      <c r="AZ524" s="1931"/>
      <c r="BA524" s="1931"/>
      <c r="BB524" s="1931"/>
      <c r="BC524" s="1931"/>
      <c r="BD524" s="1931"/>
      <c r="BE524" s="1931"/>
      <c r="BF524" s="1931"/>
      <c r="BG524" s="1931"/>
      <c r="BH524" s="1931"/>
      <c r="BI524" s="1931"/>
      <c r="BJ524" s="1931"/>
      <c r="BK524" s="1931"/>
      <c r="BL524" s="1931"/>
      <c r="BM524" s="1931"/>
      <c r="BN524" s="1931"/>
      <c r="BO524" s="1931"/>
      <c r="BP524" s="1931"/>
      <c r="BQ524" s="1931"/>
      <c r="BR524" s="1931"/>
      <c r="BS524" s="1931"/>
      <c r="BT524" s="1931"/>
      <c r="BU524" s="1931"/>
      <c r="BV524" s="1931"/>
      <c r="BW524" s="1931"/>
      <c r="BX524" s="1931"/>
      <c r="BY524" s="1931"/>
      <c r="BZ524" s="1931"/>
      <c r="CA524" s="1931"/>
      <c r="CB524" s="1931"/>
      <c r="CC524" s="1931"/>
      <c r="CD524" s="1931"/>
      <c r="CE524" s="1930"/>
      <c r="CF524" s="1930"/>
      <c r="CG524" s="1930"/>
      <c r="CH524" s="1930"/>
      <c r="CI524" s="1931"/>
      <c r="CJ524" s="1931"/>
      <c r="CK524" s="1931"/>
      <c r="CL524" s="1931"/>
      <c r="CM524" s="1931"/>
      <c r="CN524" s="1931"/>
      <c r="CO524" s="1931"/>
      <c r="CP524" s="1931"/>
      <c r="CQ524" s="1931"/>
      <c r="CR524" s="1931"/>
      <c r="CS524" s="1931"/>
      <c r="CT524" s="1930"/>
      <c r="CU524" s="1930"/>
      <c r="CV524" s="1930"/>
      <c r="CW524" s="1930"/>
      <c r="CX524" s="1931"/>
      <c r="CY524" s="1931"/>
      <c r="CZ524" s="1931"/>
      <c r="DA524" s="1931"/>
      <c r="DB524" s="1932"/>
      <c r="DC524" s="1931"/>
      <c r="DD524" s="1931"/>
      <c r="DE524" s="1931"/>
    </row>
    <row r="525" spans="2:109" hidden="1" outlineLevel="1" x14ac:dyDescent="0.25">
      <c r="B525" s="1931"/>
      <c r="D525" s="1967" t="str">
        <f t="shared" si="178"/>
        <v>804450_2019_12_</v>
      </c>
      <c r="E525" s="1967" t="str">
        <f t="shared" si="177"/>
        <v>No Loss Condensate Drain (Screw - Inlet Modulation)</v>
      </c>
      <c r="F525" s="86">
        <v>3</v>
      </c>
      <c r="G525" s="87">
        <v>5.5E-2</v>
      </c>
      <c r="H525" s="1395">
        <v>5928</v>
      </c>
      <c r="I525" s="1965"/>
      <c r="J525" s="1965"/>
      <c r="K525" s="1965"/>
      <c r="L525" s="1965"/>
      <c r="M525" s="1965"/>
      <c r="N525" s="1965"/>
      <c r="O525" s="1965"/>
      <c r="P525" s="1965"/>
      <c r="Q525" s="1965"/>
      <c r="R525" s="1965"/>
      <c r="S525" s="1965"/>
      <c r="T525" s="1965"/>
      <c r="U525" s="1965"/>
      <c r="V525" s="1931"/>
      <c r="W525" s="1931"/>
      <c r="X525" s="1931"/>
      <c r="Y525" s="1931"/>
      <c r="Z525" s="1931"/>
      <c r="AA525" s="1931"/>
      <c r="AB525" s="1931"/>
      <c r="AC525" s="1931"/>
      <c r="AD525" s="1931"/>
      <c r="AE525" s="1931"/>
      <c r="AF525" s="1931"/>
      <c r="AG525" s="1931"/>
      <c r="AH525" s="1931"/>
      <c r="AI525" s="1931"/>
      <c r="AJ525" s="1931"/>
      <c r="AK525" s="1931"/>
      <c r="AL525" s="1931"/>
      <c r="AM525" s="1931"/>
      <c r="AN525" s="1931"/>
      <c r="AO525" s="1931"/>
      <c r="AP525" s="1931"/>
      <c r="AQ525" s="1931"/>
      <c r="AR525" s="1931"/>
      <c r="AS525" s="1931"/>
      <c r="AT525" s="1931"/>
      <c r="AU525" s="1931"/>
      <c r="AV525" s="1931"/>
      <c r="AW525" s="1931"/>
      <c r="AX525" s="1931"/>
      <c r="AY525" s="1931"/>
      <c r="AZ525" s="1931"/>
      <c r="BA525" s="1931"/>
      <c r="BB525" s="1931"/>
      <c r="BC525" s="1931"/>
      <c r="BD525" s="1931"/>
      <c r="BE525" s="1931"/>
      <c r="BF525" s="1931"/>
      <c r="BG525" s="1931"/>
      <c r="BH525" s="1931"/>
      <c r="BI525" s="1931"/>
      <c r="BJ525" s="1931"/>
      <c r="BK525" s="1931"/>
      <c r="BL525" s="1931"/>
      <c r="BM525" s="1931"/>
      <c r="BN525" s="1931"/>
      <c r="BO525" s="1931"/>
      <c r="BP525" s="1931"/>
      <c r="BQ525" s="1931"/>
      <c r="BR525" s="1931"/>
      <c r="BS525" s="1931"/>
      <c r="BT525" s="1931"/>
      <c r="BU525" s="1931"/>
      <c r="BV525" s="1931"/>
      <c r="BW525" s="1931"/>
      <c r="BX525" s="1931"/>
      <c r="BY525" s="1931"/>
      <c r="BZ525" s="1931"/>
      <c r="CA525" s="1931"/>
      <c r="CB525" s="1931"/>
      <c r="CC525" s="1931"/>
      <c r="CD525" s="1931"/>
      <c r="CE525" s="1930"/>
      <c r="CF525" s="1930"/>
      <c r="CG525" s="1930"/>
      <c r="CH525" s="1930"/>
      <c r="CI525" s="1931"/>
      <c r="CJ525" s="1931"/>
      <c r="CK525" s="1931"/>
      <c r="CL525" s="1931"/>
      <c r="CM525" s="1931"/>
      <c r="CN525" s="1931"/>
      <c r="CO525" s="1931"/>
      <c r="CP525" s="1931"/>
      <c r="CQ525" s="1931"/>
      <c r="CR525" s="1931"/>
      <c r="CS525" s="1931"/>
      <c r="CT525" s="1930"/>
      <c r="CU525" s="1930"/>
      <c r="CV525" s="1930"/>
      <c r="CW525" s="1930"/>
      <c r="CX525" s="1931"/>
      <c r="CY525" s="1931"/>
      <c r="CZ525" s="1931"/>
      <c r="DA525" s="1931"/>
      <c r="DB525" s="1932"/>
      <c r="DC525" s="1931"/>
      <c r="DD525" s="1931"/>
      <c r="DE525" s="1931"/>
    </row>
    <row r="526" spans="2:109" hidden="1" outlineLevel="1" x14ac:dyDescent="0.25">
      <c r="B526" s="1931"/>
      <c r="D526" s="1967" t="str">
        <f t="shared" si="178"/>
        <v>804500_2019_12_</v>
      </c>
      <c r="E526" s="1967" t="str">
        <f t="shared" si="177"/>
        <v>No Loss Condensate Drain (Screw - Inlet Modulation w/ Unloading)</v>
      </c>
      <c r="F526" s="86">
        <v>3</v>
      </c>
      <c r="G526" s="87">
        <v>5.5E-2</v>
      </c>
      <c r="H526" s="1395">
        <v>5928</v>
      </c>
      <c r="I526" s="1965"/>
      <c r="J526" s="1965"/>
      <c r="K526" s="1965"/>
      <c r="L526" s="1965"/>
      <c r="M526" s="1965"/>
      <c r="N526" s="1965"/>
      <c r="O526" s="1965"/>
      <c r="P526" s="1965"/>
      <c r="Q526" s="1965"/>
      <c r="R526" s="1965"/>
      <c r="S526" s="1965"/>
      <c r="T526" s="1965"/>
      <c r="U526" s="1965"/>
      <c r="V526" s="1931"/>
      <c r="W526" s="1931"/>
      <c r="X526" s="1931"/>
      <c r="Y526" s="1931"/>
      <c r="Z526" s="1931"/>
      <c r="AA526" s="1931"/>
      <c r="AB526" s="1931"/>
      <c r="AC526" s="1931"/>
      <c r="AD526" s="1931"/>
      <c r="AE526" s="1931"/>
      <c r="AF526" s="1931"/>
      <c r="AG526" s="1931"/>
      <c r="AH526" s="1931"/>
      <c r="AI526" s="1931"/>
      <c r="AJ526" s="1931"/>
      <c r="AK526" s="1931"/>
      <c r="AL526" s="1931"/>
      <c r="AM526" s="1931"/>
      <c r="AN526" s="1931"/>
      <c r="AO526" s="1931"/>
      <c r="AP526" s="1931"/>
      <c r="AQ526" s="1931"/>
      <c r="AR526" s="1931"/>
      <c r="AS526" s="1931"/>
      <c r="AT526" s="1931"/>
      <c r="AU526" s="1931"/>
      <c r="AV526" s="1931"/>
      <c r="AW526" s="1931"/>
      <c r="AX526" s="1931"/>
      <c r="AY526" s="1931"/>
      <c r="AZ526" s="1931"/>
      <c r="BA526" s="1931"/>
      <c r="BB526" s="1931"/>
      <c r="BC526" s="1931"/>
      <c r="BD526" s="1931"/>
      <c r="BE526" s="1931"/>
      <c r="BF526" s="1931"/>
      <c r="BG526" s="1931"/>
      <c r="BH526" s="1931"/>
      <c r="BI526" s="1931"/>
      <c r="BJ526" s="1931"/>
      <c r="BK526" s="1931"/>
      <c r="BL526" s="1931"/>
      <c r="BM526" s="1931"/>
      <c r="BN526" s="1931"/>
      <c r="BO526" s="1931"/>
      <c r="BP526" s="1931"/>
      <c r="BQ526" s="1931"/>
      <c r="BR526" s="1931"/>
      <c r="BS526" s="1931"/>
      <c r="BT526" s="1931"/>
      <c r="BU526" s="1931"/>
      <c r="BV526" s="1931"/>
      <c r="BW526" s="1931"/>
      <c r="BX526" s="1931"/>
      <c r="BY526" s="1931"/>
      <c r="BZ526" s="1931"/>
      <c r="CA526" s="1931"/>
      <c r="CB526" s="1931"/>
      <c r="CC526" s="1931"/>
      <c r="CD526" s="1931"/>
      <c r="CE526" s="1930"/>
      <c r="CF526" s="1930"/>
      <c r="CG526" s="1930"/>
      <c r="CH526" s="1930"/>
      <c r="CI526" s="1931"/>
      <c r="CJ526" s="1931"/>
      <c r="CK526" s="1931"/>
      <c r="CL526" s="1931"/>
      <c r="CM526" s="1931"/>
      <c r="CN526" s="1931"/>
      <c r="CO526" s="1931"/>
      <c r="CP526" s="1931"/>
      <c r="CQ526" s="1931"/>
      <c r="CR526" s="1931"/>
      <c r="CS526" s="1931"/>
      <c r="CT526" s="1930"/>
      <c r="CU526" s="1930"/>
      <c r="CV526" s="1930"/>
      <c r="CW526" s="1930"/>
      <c r="CX526" s="1931"/>
      <c r="CY526" s="1931"/>
      <c r="CZ526" s="1931"/>
      <c r="DA526" s="1931"/>
      <c r="DB526" s="1932"/>
      <c r="DC526" s="1931"/>
      <c r="DD526" s="1931"/>
      <c r="DE526" s="1931"/>
    </row>
    <row r="527" spans="2:109" hidden="1" outlineLevel="1" x14ac:dyDescent="0.25">
      <c r="B527" s="1931"/>
      <c r="D527" s="1967" t="str">
        <f t="shared" si="178"/>
        <v>804550_2019_12_</v>
      </c>
      <c r="E527" s="1967" t="str">
        <f t="shared" si="177"/>
        <v>No Loss Condensate Drain (Screw - Variable Displacement)</v>
      </c>
      <c r="F527" s="86">
        <v>3</v>
      </c>
      <c r="G527" s="87">
        <v>0.153</v>
      </c>
      <c r="H527" s="1395">
        <v>5928</v>
      </c>
      <c r="I527" s="1965"/>
      <c r="J527" s="1965"/>
      <c r="K527" s="1965"/>
      <c r="L527" s="1965"/>
      <c r="M527" s="1965"/>
      <c r="N527" s="1965"/>
      <c r="O527" s="1965"/>
      <c r="P527" s="1965"/>
      <c r="Q527" s="1965"/>
      <c r="R527" s="1965"/>
      <c r="S527" s="1965"/>
      <c r="T527" s="1965"/>
      <c r="U527" s="1965"/>
      <c r="V527" s="1931"/>
      <c r="W527" s="1931"/>
      <c r="X527" s="1931"/>
      <c r="Y527" s="1931"/>
      <c r="Z527" s="1931"/>
      <c r="AA527" s="1931"/>
      <c r="AB527" s="1931"/>
      <c r="AC527" s="1931"/>
      <c r="AD527" s="1931"/>
      <c r="AE527" s="1931"/>
      <c r="AF527" s="1931"/>
      <c r="AG527" s="1931"/>
      <c r="AH527" s="1931"/>
      <c r="AI527" s="1931"/>
      <c r="AJ527" s="1931"/>
      <c r="AK527" s="1931"/>
      <c r="AL527" s="1931"/>
      <c r="AM527" s="1931"/>
      <c r="AN527" s="1931"/>
      <c r="AO527" s="1931"/>
      <c r="AP527" s="1931"/>
      <c r="AQ527" s="1931"/>
      <c r="AR527" s="1931"/>
      <c r="AS527" s="1931"/>
      <c r="AT527" s="1931"/>
      <c r="AU527" s="1931"/>
      <c r="AV527" s="1931"/>
      <c r="AW527" s="1931"/>
      <c r="AX527" s="1931"/>
      <c r="AY527" s="1931"/>
      <c r="AZ527" s="1931"/>
      <c r="BA527" s="1931"/>
      <c r="BB527" s="1931"/>
      <c r="BC527" s="1931"/>
      <c r="BD527" s="1931"/>
      <c r="BE527" s="1931"/>
      <c r="BF527" s="1931"/>
      <c r="BG527" s="1931"/>
      <c r="BH527" s="1931"/>
      <c r="BI527" s="1931"/>
      <c r="BJ527" s="1931"/>
      <c r="BK527" s="1931"/>
      <c r="BL527" s="1931"/>
      <c r="BM527" s="1931"/>
      <c r="BN527" s="1931"/>
      <c r="BO527" s="1931"/>
      <c r="BP527" s="1931"/>
      <c r="BQ527" s="1931"/>
      <c r="BR527" s="1931"/>
      <c r="BS527" s="1931"/>
      <c r="BT527" s="1931"/>
      <c r="BU527" s="1931"/>
      <c r="BV527" s="1931"/>
      <c r="BW527" s="1931"/>
      <c r="BX527" s="1931"/>
      <c r="BY527" s="1931"/>
      <c r="BZ527" s="1931"/>
      <c r="CA527" s="1931"/>
      <c r="CB527" s="1931"/>
      <c r="CC527" s="1931"/>
      <c r="CD527" s="1931"/>
      <c r="CE527" s="1930"/>
      <c r="CF527" s="1930"/>
      <c r="CG527" s="1930"/>
      <c r="CH527" s="1930"/>
      <c r="CI527" s="1931"/>
      <c r="CJ527" s="1931"/>
      <c r="CK527" s="1931"/>
      <c r="CL527" s="1931"/>
      <c r="CM527" s="1931"/>
      <c r="CN527" s="1931"/>
      <c r="CO527" s="1931"/>
      <c r="CP527" s="1931"/>
      <c r="CQ527" s="1931"/>
      <c r="CR527" s="1931"/>
      <c r="CS527" s="1931"/>
      <c r="CT527" s="1930"/>
      <c r="CU527" s="1930"/>
      <c r="CV527" s="1930"/>
      <c r="CW527" s="1930"/>
      <c r="CX527" s="1931"/>
      <c r="CY527" s="1931"/>
      <c r="CZ527" s="1931"/>
      <c r="DA527" s="1931"/>
      <c r="DB527" s="1932"/>
      <c r="DC527" s="1931"/>
      <c r="DD527" s="1931"/>
      <c r="DE527" s="1931"/>
    </row>
    <row r="528" spans="2:109" hidden="1" outlineLevel="1" x14ac:dyDescent="0.25">
      <c r="B528" s="1931"/>
      <c r="D528" s="1967" t="str">
        <f t="shared" si="178"/>
        <v>804600_2019_12_</v>
      </c>
      <c r="E528" s="1967" t="str">
        <f t="shared" si="177"/>
        <v>No Loss Condensate Drain (Screw - VFD)</v>
      </c>
      <c r="F528" s="86">
        <v>3</v>
      </c>
      <c r="G528" s="87">
        <v>0.17799999999999999</v>
      </c>
      <c r="H528" s="1395">
        <v>5928</v>
      </c>
      <c r="I528" s="1965"/>
      <c r="J528" s="1965"/>
      <c r="K528" s="1965"/>
      <c r="L528" s="1965"/>
      <c r="M528" s="1965"/>
      <c r="N528" s="1965"/>
      <c r="O528" s="1965"/>
      <c r="P528" s="1965"/>
      <c r="Q528" s="1965"/>
      <c r="R528" s="1965"/>
      <c r="S528" s="1965"/>
      <c r="T528" s="1965"/>
      <c r="U528" s="1965"/>
      <c r="V528" s="1931"/>
      <c r="W528" s="1931"/>
      <c r="X528" s="1931"/>
      <c r="Y528" s="1931"/>
      <c r="Z528" s="1931"/>
      <c r="AA528" s="1931"/>
      <c r="AB528" s="1931"/>
      <c r="AC528" s="1931"/>
      <c r="AD528" s="1931"/>
      <c r="AE528" s="1931"/>
      <c r="AF528" s="1931"/>
      <c r="AG528" s="1931"/>
      <c r="AH528" s="1931"/>
      <c r="AI528" s="1931"/>
      <c r="AJ528" s="1931"/>
      <c r="AK528" s="1931"/>
      <c r="AL528" s="1931"/>
      <c r="AM528" s="1931"/>
      <c r="AN528" s="1931"/>
      <c r="AO528" s="1931"/>
      <c r="AP528" s="1931"/>
      <c r="AQ528" s="1931"/>
      <c r="AR528" s="1931"/>
      <c r="AS528" s="1931"/>
      <c r="AT528" s="1931"/>
      <c r="AU528" s="1931"/>
      <c r="AV528" s="1931"/>
      <c r="AW528" s="1931"/>
      <c r="AX528" s="1931"/>
      <c r="AY528" s="1931"/>
      <c r="AZ528" s="1931"/>
      <c r="BA528" s="1931"/>
      <c r="BB528" s="1931"/>
      <c r="BC528" s="1931"/>
      <c r="BD528" s="1931"/>
      <c r="BE528" s="1931"/>
      <c r="BF528" s="1931"/>
      <c r="BG528" s="1931"/>
      <c r="BH528" s="1931"/>
      <c r="BI528" s="1931"/>
      <c r="BJ528" s="1931"/>
      <c r="BK528" s="1931"/>
      <c r="BL528" s="1931"/>
      <c r="BM528" s="1931"/>
      <c r="BN528" s="1931"/>
      <c r="BO528" s="1931"/>
      <c r="BP528" s="1931"/>
      <c r="BQ528" s="1931"/>
      <c r="BR528" s="1931"/>
      <c r="BS528" s="1931"/>
      <c r="BT528" s="1931"/>
      <c r="BU528" s="1931"/>
      <c r="BV528" s="1931"/>
      <c r="BW528" s="1931"/>
      <c r="BX528" s="1931"/>
      <c r="BY528" s="1931"/>
      <c r="BZ528" s="1931"/>
      <c r="CA528" s="1931"/>
      <c r="CB528" s="1931"/>
      <c r="CC528" s="1931"/>
      <c r="CD528" s="1931"/>
      <c r="CE528" s="1930"/>
      <c r="CF528" s="1930"/>
      <c r="CG528" s="1930"/>
      <c r="CH528" s="1930"/>
      <c r="CI528" s="1931"/>
      <c r="CJ528" s="1931"/>
      <c r="CK528" s="1931"/>
      <c r="CL528" s="1931"/>
      <c r="CM528" s="1931"/>
      <c r="CN528" s="1931"/>
      <c r="CO528" s="1931"/>
      <c r="CP528" s="1931"/>
      <c r="CQ528" s="1931"/>
      <c r="CR528" s="1931"/>
      <c r="CS528" s="1931"/>
      <c r="CT528" s="1930"/>
      <c r="CU528" s="1930"/>
      <c r="CV528" s="1930"/>
      <c r="CW528" s="1930"/>
      <c r="CX528" s="1931"/>
      <c r="CY528" s="1931"/>
      <c r="CZ528" s="1931"/>
      <c r="DA528" s="1931"/>
      <c r="DB528" s="1932"/>
      <c r="DC528" s="1931"/>
      <c r="DD528" s="1931"/>
      <c r="DE528" s="1931"/>
    </row>
    <row r="529" spans="2:109" collapsed="1" x14ac:dyDescent="0.25">
      <c r="B529" s="1931"/>
      <c r="D529" s="1966"/>
      <c r="E529" s="1965"/>
      <c r="F529" s="1965"/>
      <c r="G529" s="1968"/>
      <c r="H529" s="1969"/>
      <c r="I529" s="1965"/>
      <c r="J529" s="1965"/>
      <c r="K529" s="1965"/>
      <c r="L529" s="1965"/>
      <c r="M529" s="1965"/>
      <c r="N529" s="1965"/>
      <c r="O529" s="1965"/>
      <c r="P529" s="1965"/>
      <c r="Q529" s="1965"/>
      <c r="R529" s="1965"/>
      <c r="S529" s="1965"/>
      <c r="T529" s="1965"/>
      <c r="U529" s="1965"/>
      <c r="V529" s="1931"/>
      <c r="W529" s="1931"/>
      <c r="X529" s="1931"/>
      <c r="Y529" s="1931"/>
      <c r="Z529" s="1931"/>
      <c r="AA529" s="1931"/>
      <c r="AB529" s="1931"/>
      <c r="AC529" s="1931"/>
      <c r="AD529" s="1931"/>
      <c r="AE529" s="1931"/>
      <c r="AF529" s="1931"/>
      <c r="AG529" s="1931"/>
      <c r="AH529" s="1931"/>
      <c r="AI529" s="1931"/>
      <c r="AJ529" s="1931"/>
      <c r="AK529" s="1931"/>
      <c r="AL529" s="1931"/>
      <c r="AM529" s="1931"/>
      <c r="AN529" s="1931"/>
      <c r="AO529" s="1931"/>
      <c r="AP529" s="1931"/>
      <c r="AQ529" s="1931"/>
      <c r="AR529" s="1931"/>
      <c r="AS529" s="1931"/>
      <c r="AT529" s="1931"/>
      <c r="AU529" s="1931"/>
      <c r="AV529" s="1931"/>
      <c r="AW529" s="1931"/>
      <c r="AX529" s="1931"/>
      <c r="AY529" s="1931"/>
      <c r="AZ529" s="1931"/>
      <c r="BA529" s="1931"/>
      <c r="BB529" s="1931"/>
      <c r="BC529" s="1931"/>
      <c r="BD529" s="1931"/>
      <c r="BE529" s="1931"/>
      <c r="BF529" s="1931"/>
      <c r="BG529" s="1931"/>
      <c r="BH529" s="1931"/>
      <c r="BI529" s="1931"/>
      <c r="BJ529" s="1931"/>
      <c r="BK529" s="1931"/>
      <c r="BL529" s="1931"/>
      <c r="BM529" s="1931"/>
      <c r="BN529" s="1931"/>
      <c r="BO529" s="1931"/>
      <c r="BP529" s="1931"/>
      <c r="BQ529" s="1931"/>
      <c r="BR529" s="1931"/>
      <c r="BS529" s="1931"/>
      <c r="BT529" s="1931"/>
      <c r="BU529" s="1931"/>
      <c r="BV529" s="1931"/>
      <c r="BW529" s="1931"/>
      <c r="BX529" s="1931"/>
      <c r="BY529" s="1931"/>
      <c r="BZ529" s="1931"/>
      <c r="CA529" s="1931"/>
      <c r="CB529" s="1931"/>
      <c r="CC529" s="1931"/>
      <c r="CD529" s="1931"/>
      <c r="CE529" s="1930"/>
      <c r="CF529" s="1930"/>
      <c r="CG529" s="1930"/>
      <c r="CH529" s="1930"/>
      <c r="CI529" s="1931"/>
      <c r="CJ529" s="1931"/>
      <c r="CK529" s="1931"/>
      <c r="CL529" s="1931"/>
      <c r="CM529" s="1931"/>
      <c r="CN529" s="1931"/>
      <c r="CO529" s="1931"/>
      <c r="CP529" s="1931"/>
      <c r="CQ529" s="1931"/>
      <c r="CR529" s="1931"/>
      <c r="CS529" s="1931"/>
      <c r="CT529" s="1930"/>
      <c r="CU529" s="1930"/>
      <c r="CV529" s="1930"/>
      <c r="CW529" s="1930"/>
      <c r="CX529" s="1931"/>
      <c r="CY529" s="1931"/>
      <c r="CZ529" s="1931"/>
      <c r="DA529" s="1931"/>
      <c r="DB529" s="1932"/>
      <c r="DC529" s="1931"/>
      <c r="DD529" s="1931"/>
      <c r="DE529" s="1931"/>
    </row>
    <row r="531" spans="2:109" s="44" customFormat="1" ht="30" x14ac:dyDescent="0.25">
      <c r="B531" s="45"/>
      <c r="C531" s="46" t="s">
        <v>28</v>
      </c>
      <c r="D531" s="46" t="s">
        <v>29</v>
      </c>
      <c r="E531" s="3196" t="s">
        <v>30</v>
      </c>
      <c r="F531" s="3196" t="s">
        <v>31</v>
      </c>
      <c r="G531" s="3196" t="s">
        <v>176</v>
      </c>
      <c r="H531" s="47" t="s">
        <v>177</v>
      </c>
      <c r="I531" s="3196" t="s">
        <v>32</v>
      </c>
      <c r="J531" s="3196" t="s">
        <v>181</v>
      </c>
      <c r="K531" s="46" t="s">
        <v>170</v>
      </c>
      <c r="L531" s="46" t="s">
        <v>44</v>
      </c>
      <c r="M531" s="1965"/>
      <c r="N531" s="1392"/>
      <c r="O531" s="1367"/>
      <c r="P531" s="1368"/>
      <c r="Q531" s="1288"/>
      <c r="R531" s="1288"/>
      <c r="S531" s="1288"/>
      <c r="T531" s="1288"/>
      <c r="U531" s="1288"/>
      <c r="V531" s="1936" t="s">
        <v>45</v>
      </c>
      <c r="W531" s="1937">
        <f>$W$8</f>
        <v>43252</v>
      </c>
      <c r="X531" s="1937">
        <f>$X$8</f>
        <v>43465</v>
      </c>
      <c r="Y531" s="1937">
        <f>$Y$8</f>
        <v>43800</v>
      </c>
      <c r="Z531" s="1937">
        <f>$Z$8</f>
        <v>43862</v>
      </c>
      <c r="AA531" s="1937">
        <f>$AA$8</f>
        <v>44013</v>
      </c>
      <c r="AB531" s="1937">
        <v>44166</v>
      </c>
      <c r="AC531" s="1937">
        <f>$AC$8</f>
        <v>44531</v>
      </c>
      <c r="AD531" s="1937" t="str">
        <f>$AD$8</f>
        <v>-</v>
      </c>
      <c r="AE531" s="1937" t="str">
        <f>$AE$8</f>
        <v>-</v>
      </c>
      <c r="AF531" s="1937" t="str">
        <f>$AF$8</f>
        <v>-</v>
      </c>
      <c r="AG531" s="1937" t="str">
        <f>$AG$8</f>
        <v>-</v>
      </c>
      <c r="AH531" s="1930"/>
      <c r="AI531" s="1936" t="s">
        <v>45</v>
      </c>
      <c r="AJ531" s="1937">
        <v>43252</v>
      </c>
      <c r="AK531" s="1937">
        <f>$X$8</f>
        <v>43465</v>
      </c>
      <c r="AL531" s="1937">
        <f>$Y$8</f>
        <v>43800</v>
      </c>
      <c r="AM531" s="1937">
        <f>$Z$8</f>
        <v>43862</v>
      </c>
      <c r="AN531" s="1937">
        <f>$AA$8</f>
        <v>44013</v>
      </c>
      <c r="AO531" s="1937">
        <f>$AB$8</f>
        <v>44166</v>
      </c>
      <c r="AP531" s="1937">
        <f>$AC$8</f>
        <v>44531</v>
      </c>
      <c r="AQ531" s="1937" t="str">
        <f>$AD$8</f>
        <v>-</v>
      </c>
      <c r="AR531" s="1937" t="str">
        <f>$AE$8</f>
        <v>-</v>
      </c>
      <c r="AS531" s="1937" t="str">
        <f>$AF$8</f>
        <v>-</v>
      </c>
      <c r="AT531" s="1933"/>
      <c r="AU531" s="1936" t="s">
        <v>45</v>
      </c>
      <c r="AV531" s="1937">
        <v>43252</v>
      </c>
      <c r="AW531" s="1937">
        <f>$X$8</f>
        <v>43465</v>
      </c>
      <c r="AX531" s="1937">
        <f>$Y$8</f>
        <v>43800</v>
      </c>
      <c r="AY531" s="1937">
        <f>$Z$8</f>
        <v>43862</v>
      </c>
      <c r="AZ531" s="1937">
        <f>$AA$8</f>
        <v>44013</v>
      </c>
      <c r="BA531" s="1937">
        <v>44166</v>
      </c>
      <c r="BB531" s="1937">
        <f>$AC$8</f>
        <v>44531</v>
      </c>
      <c r="BC531" s="1937" t="str">
        <f>$AD$8</f>
        <v>-</v>
      </c>
      <c r="BD531" s="1937" t="str">
        <f>$AE$8</f>
        <v>-</v>
      </c>
      <c r="BE531" s="1937" t="str">
        <f>$AF$8</f>
        <v>-</v>
      </c>
      <c r="DB531" s="1938" t="str">
        <f>$DB$8</f>
        <v>TRC (2020)</v>
      </c>
      <c r="DC531" s="1953" t="str">
        <f>$DC$8</f>
        <v>Benefit Lookup</v>
      </c>
      <c r="DD531" s="1953" t="str">
        <f>$DD$8</f>
        <v>Benefits (2019 $)</v>
      </c>
      <c r="DE531" s="1953" t="str">
        <f>$DE$8</f>
        <v>Incremental Cost (2019 $)</v>
      </c>
    </row>
    <row r="532" spans="2:109" x14ac:dyDescent="0.25">
      <c r="B532" s="1931"/>
      <c r="C532" s="2462" t="s">
        <v>3029</v>
      </c>
      <c r="D532" s="1363" t="s">
        <v>2646</v>
      </c>
      <c r="E532" s="1308" t="s">
        <v>3030</v>
      </c>
      <c r="F532" s="1959">
        <f>ROUND((F548*G548)*H548*I548*J548,2)</f>
        <v>1547.21</v>
      </c>
      <c r="G532" s="1290" t="s">
        <v>3014</v>
      </c>
      <c r="H532" s="1291">
        <f>VLOOKUP(G532,'CP FACTORS'!$A$26:$B$38,2,FALSE)</f>
        <v>1.379439E-4</v>
      </c>
      <c r="I532" s="1309">
        <f t="shared" ref="I532:I538" si="179">ROUND(H532*F532,6)</f>
        <v>0.21342800000000001</v>
      </c>
      <c r="J532" s="1354">
        <v>15</v>
      </c>
      <c r="K532" s="1310">
        <v>77</v>
      </c>
      <c r="L532" s="1374" t="s">
        <v>185</v>
      </c>
      <c r="M532" s="1965"/>
      <c r="N532" s="1965"/>
      <c r="O532" s="1965"/>
      <c r="P532" s="1965"/>
      <c r="Q532" s="1965"/>
      <c r="R532" s="1965"/>
      <c r="S532" s="1965"/>
      <c r="T532" s="1965"/>
      <c r="U532" s="1965"/>
      <c r="V532" s="3227" t="s">
        <v>31</v>
      </c>
      <c r="W532" s="129">
        <v>1547.2080000000001</v>
      </c>
      <c r="X532" s="129">
        <v>1547.2080000000001</v>
      </c>
      <c r="Y532" s="129">
        <v>1547.2080000000001</v>
      </c>
      <c r="Z532" s="129">
        <v>1547.2080000000001</v>
      </c>
      <c r="AA532" s="129">
        <v>1547.2080000000001</v>
      </c>
      <c r="AB532" s="1825">
        <v>1547.21</v>
      </c>
      <c r="AC532" s="3364">
        <v>1547.21</v>
      </c>
      <c r="AD532" s="2099"/>
      <c r="AE532" s="2099"/>
      <c r="AF532" s="2099"/>
      <c r="AG532" s="2099"/>
      <c r="AH532" s="2100"/>
      <c r="AI532" s="3227" t="s">
        <v>181</v>
      </c>
      <c r="AJ532" s="64">
        <v>15</v>
      </c>
      <c r="AK532" s="64">
        <v>15</v>
      </c>
      <c r="AL532" s="64">
        <v>15</v>
      </c>
      <c r="AM532" s="64">
        <v>15</v>
      </c>
      <c r="AN532" s="64">
        <v>15</v>
      </c>
      <c r="AO532" s="2095">
        <v>15</v>
      </c>
      <c r="AP532" s="2101">
        <v>15</v>
      </c>
      <c r="AQ532" s="2099"/>
      <c r="AR532" s="2099"/>
      <c r="AS532" s="2099"/>
      <c r="AT532" s="1933"/>
      <c r="AU532" s="3227" t="s">
        <v>170</v>
      </c>
      <c r="AV532" s="2102">
        <v>77</v>
      </c>
      <c r="AW532" s="2102">
        <v>77</v>
      </c>
      <c r="AX532" s="2102">
        <v>77</v>
      </c>
      <c r="AY532" s="2102">
        <v>77</v>
      </c>
      <c r="AZ532" s="2102">
        <v>77</v>
      </c>
      <c r="BA532" s="2103">
        <v>77</v>
      </c>
      <c r="BB532" s="2103">
        <v>77</v>
      </c>
      <c r="BC532" s="2099"/>
      <c r="BD532" s="2099"/>
      <c r="BE532" s="2099"/>
      <c r="BF532" s="1933"/>
      <c r="BG532" s="1933"/>
      <c r="BH532" s="1933"/>
      <c r="BI532" s="1933"/>
      <c r="BJ532" s="1933"/>
      <c r="BK532" s="1933"/>
      <c r="BL532" s="1933"/>
      <c r="BM532" s="1933"/>
      <c r="BN532" s="1933"/>
      <c r="BO532" s="1933"/>
      <c r="BP532" s="1933"/>
      <c r="BQ532" s="1931"/>
      <c r="BR532" s="1931"/>
      <c r="BS532" s="1931"/>
      <c r="BT532" s="1931"/>
      <c r="BU532" s="1931"/>
      <c r="BV532" s="1931"/>
      <c r="BW532" s="1931"/>
      <c r="BX532" s="1931"/>
      <c r="BY532" s="1931"/>
      <c r="BZ532" s="1931"/>
      <c r="CA532" s="1931"/>
      <c r="CB532" s="1931"/>
      <c r="CC532" s="1931"/>
      <c r="CD532" s="1931"/>
      <c r="CE532" s="1930"/>
      <c r="CF532" s="1930"/>
      <c r="CG532" s="1930"/>
      <c r="CH532" s="1930"/>
      <c r="CI532" s="1931"/>
      <c r="CJ532" s="1931"/>
      <c r="CK532" s="1931"/>
      <c r="CL532" s="1931"/>
      <c r="CM532" s="1931"/>
      <c r="CN532" s="1931"/>
      <c r="CO532" s="1931"/>
      <c r="CP532" s="1931"/>
      <c r="CQ532" s="1931"/>
      <c r="CR532" s="1931"/>
      <c r="CS532" s="1931"/>
      <c r="CT532" s="1930"/>
      <c r="CU532" s="1930"/>
      <c r="CV532" s="1930"/>
      <c r="CW532" s="1930"/>
      <c r="CX532" s="1931"/>
      <c r="CY532" s="1931"/>
      <c r="CZ532" s="1931"/>
      <c r="DA532" s="1931"/>
      <c r="DB532" s="1945">
        <f t="shared" ref="DB532:DB538" si="180">(DD532)/(DE532)</f>
        <v>11.413575812861211</v>
      </c>
      <c r="DC532" s="3166" t="str">
        <f t="shared" ref="DC532:DC538" si="181">CONCATENATE(G532," ",J532," Year EUL")</f>
        <v>Air Comp BUS 15 Year EUL</v>
      </c>
      <c r="DD532" s="69">
        <f>(INDEX('Avoided Cost Benefits'!$C$4:$C$857,MATCH(DC532,'Avoided Cost Benefits'!$A$4:$A$857,0)))*F532</f>
        <v>829.49064425702056</v>
      </c>
      <c r="DE532" s="1946">
        <f t="shared" ref="DE532:DE538" si="182">K532/(1.0595^(2020-2019))</f>
        <v>72.675790467201509</v>
      </c>
    </row>
    <row r="533" spans="2:109" x14ac:dyDescent="0.25">
      <c r="B533" s="1931"/>
      <c r="C533" s="2462" t="s">
        <v>3031</v>
      </c>
      <c r="D533" s="1363" t="s">
        <v>2646</v>
      </c>
      <c r="E533" s="1308" t="s">
        <v>3032</v>
      </c>
      <c r="F533" s="1959">
        <f t="shared" ref="F533:F538" si="183">ROUND((F549*G549)*H549*I549*J549,2)</f>
        <v>1203.3800000000001</v>
      </c>
      <c r="G533" s="1290" t="s">
        <v>3014</v>
      </c>
      <c r="H533" s="1291">
        <f>VLOOKUP(G533,'CP FACTORS'!$A$26:$B$38,2,FALSE)</f>
        <v>1.379439E-4</v>
      </c>
      <c r="I533" s="1309">
        <f t="shared" si="179"/>
        <v>0.16599900000000001</v>
      </c>
      <c r="J533" s="1354">
        <v>15</v>
      </c>
      <c r="K533" s="1310">
        <v>77</v>
      </c>
      <c r="L533" s="1374" t="s">
        <v>185</v>
      </c>
      <c r="M533" s="1965"/>
      <c r="N533" s="1965"/>
      <c r="O533" s="1965"/>
      <c r="P533" s="1965"/>
      <c r="Q533" s="1965"/>
      <c r="R533" s="1965"/>
      <c r="S533" s="1965"/>
      <c r="T533" s="1965"/>
      <c r="U533" s="1965"/>
      <c r="V533" s="3227" t="s">
        <v>31</v>
      </c>
      <c r="W533" s="129">
        <v>1203.3840000000002</v>
      </c>
      <c r="X533" s="129">
        <v>1203.3840000000002</v>
      </c>
      <c r="Y533" s="129">
        <v>1203.3840000000002</v>
      </c>
      <c r="Z533" s="129">
        <v>1203.3840000000002</v>
      </c>
      <c r="AA533" s="129">
        <v>1203.3840000000002</v>
      </c>
      <c r="AB533" s="1825">
        <v>1203.3800000000001</v>
      </c>
      <c r="AC533" s="3364">
        <v>1203.3800000000001</v>
      </c>
      <c r="AD533" s="2099"/>
      <c r="AE533" s="2099"/>
      <c r="AF533" s="2099"/>
      <c r="AG533" s="2099"/>
      <c r="AH533" s="2100"/>
      <c r="AI533" s="3227" t="s">
        <v>181</v>
      </c>
      <c r="AJ533" s="64">
        <v>15</v>
      </c>
      <c r="AK533" s="64">
        <v>15</v>
      </c>
      <c r="AL533" s="64">
        <v>15</v>
      </c>
      <c r="AM533" s="64">
        <v>15</v>
      </c>
      <c r="AN533" s="64">
        <v>15</v>
      </c>
      <c r="AO533" s="2095">
        <v>15</v>
      </c>
      <c r="AP533" s="2101">
        <v>15</v>
      </c>
      <c r="AQ533" s="2099"/>
      <c r="AR533" s="2099"/>
      <c r="AS533" s="2099"/>
      <c r="AT533" s="1933"/>
      <c r="AU533" s="3227" t="s">
        <v>170</v>
      </c>
      <c r="AV533" s="2102">
        <v>77</v>
      </c>
      <c r="AW533" s="2102">
        <v>77</v>
      </c>
      <c r="AX533" s="2102">
        <v>77</v>
      </c>
      <c r="AY533" s="2102">
        <v>77</v>
      </c>
      <c r="AZ533" s="2102">
        <v>77</v>
      </c>
      <c r="BA533" s="2103">
        <v>77</v>
      </c>
      <c r="BB533" s="2103">
        <v>77</v>
      </c>
      <c r="BC533" s="2099"/>
      <c r="BD533" s="2099"/>
      <c r="BE533" s="2099"/>
      <c r="BF533" s="1933"/>
      <c r="BG533" s="1933"/>
      <c r="BH533" s="1933"/>
      <c r="BI533" s="1933"/>
      <c r="BJ533" s="1933"/>
      <c r="BK533" s="1933"/>
      <c r="BL533" s="1933"/>
      <c r="BM533" s="1933"/>
      <c r="BN533" s="1933"/>
      <c r="BO533" s="1933"/>
      <c r="BP533" s="1933"/>
      <c r="BQ533" s="1931"/>
      <c r="BR533" s="1931"/>
      <c r="BS533" s="1931"/>
      <c r="BT533" s="1931"/>
      <c r="BU533" s="1931"/>
      <c r="BV533" s="1931"/>
      <c r="BW533" s="1931"/>
      <c r="BX533" s="1931"/>
      <c r="BY533" s="1931"/>
      <c r="BZ533" s="1931"/>
      <c r="CA533" s="1931"/>
      <c r="CB533" s="1931"/>
      <c r="CC533" s="1931"/>
      <c r="CD533" s="1931"/>
      <c r="CE533" s="1930"/>
      <c r="CF533" s="1930"/>
      <c r="CG533" s="1930"/>
      <c r="CH533" s="1930"/>
      <c r="CI533" s="1931"/>
      <c r="CJ533" s="1931"/>
      <c r="CK533" s="1931"/>
      <c r="CL533" s="1931"/>
      <c r="CM533" s="1931"/>
      <c r="CN533" s="1931"/>
      <c r="CO533" s="1931"/>
      <c r="CP533" s="1931"/>
      <c r="CQ533" s="1931"/>
      <c r="CR533" s="1931"/>
      <c r="CS533" s="1931"/>
      <c r="CT533" s="1930"/>
      <c r="CU533" s="1930"/>
      <c r="CV533" s="1930"/>
      <c r="CW533" s="1930"/>
      <c r="CX533" s="1931"/>
      <c r="CY533" s="1931"/>
      <c r="CZ533" s="1931"/>
      <c r="DA533" s="1931"/>
      <c r="DB533" s="52">
        <f t="shared" si="180"/>
        <v>8.8771846495827482</v>
      </c>
      <c r="DC533" s="1948" t="str">
        <f t="shared" si="181"/>
        <v>Air Comp BUS 15 Year EUL</v>
      </c>
      <c r="DD533" s="70">
        <f>(INDEX('Avoided Cost Benefits'!$C$4:$C$857,MATCH(DC533,'Avoided Cost Benefits'!$A$4:$A$857,0)))*F533</f>
        <v>645.15641153173351</v>
      </c>
      <c r="DE533" s="1949">
        <f t="shared" si="182"/>
        <v>72.675790467201509</v>
      </c>
    </row>
    <row r="534" spans="2:109" x14ac:dyDescent="0.25">
      <c r="B534" s="1931"/>
      <c r="C534" s="2462" t="s">
        <v>3033</v>
      </c>
      <c r="D534" s="1363" t="s">
        <v>2646</v>
      </c>
      <c r="E534" s="1308" t="s">
        <v>3034</v>
      </c>
      <c r="F534" s="1959">
        <f t="shared" si="183"/>
        <v>1289.3399999999999</v>
      </c>
      <c r="G534" s="1290" t="s">
        <v>3014</v>
      </c>
      <c r="H534" s="1291">
        <f>VLOOKUP(G534,'CP FACTORS'!$A$26:$B$38,2,FALSE)</f>
        <v>1.379439E-4</v>
      </c>
      <c r="I534" s="1309">
        <f t="shared" si="179"/>
        <v>0.17785699999999999</v>
      </c>
      <c r="J534" s="1354">
        <v>15</v>
      </c>
      <c r="K534" s="1310">
        <v>77</v>
      </c>
      <c r="L534" s="1374" t="s">
        <v>185</v>
      </c>
      <c r="M534" s="1965"/>
      <c r="N534" s="1965"/>
      <c r="O534" s="1965"/>
      <c r="P534" s="1965"/>
      <c r="Q534" s="1965"/>
      <c r="R534" s="1965"/>
      <c r="S534" s="1965"/>
      <c r="T534" s="1965"/>
      <c r="U534" s="1965"/>
      <c r="V534" s="3227" t="s">
        <v>31</v>
      </c>
      <c r="W534" s="129">
        <v>1289.3399999999999</v>
      </c>
      <c r="X534" s="129">
        <v>1289.3399999999999</v>
      </c>
      <c r="Y534" s="129">
        <v>1289.3399999999999</v>
      </c>
      <c r="Z534" s="129">
        <v>1289.3399999999999</v>
      </c>
      <c r="AA534" s="129">
        <v>1289.3399999999999</v>
      </c>
      <c r="AB534" s="1825">
        <v>1289.3399999999999</v>
      </c>
      <c r="AC534" s="3364">
        <v>1289.3399999999999</v>
      </c>
      <c r="AD534" s="2099"/>
      <c r="AE534" s="2099"/>
      <c r="AF534" s="2099"/>
      <c r="AG534" s="2099"/>
      <c r="AH534" s="2100"/>
      <c r="AI534" s="3227" t="s">
        <v>181</v>
      </c>
      <c r="AJ534" s="64">
        <v>15</v>
      </c>
      <c r="AK534" s="64">
        <v>15</v>
      </c>
      <c r="AL534" s="64">
        <v>15</v>
      </c>
      <c r="AM534" s="64">
        <v>15</v>
      </c>
      <c r="AN534" s="64">
        <v>15</v>
      </c>
      <c r="AO534" s="2095">
        <v>15</v>
      </c>
      <c r="AP534" s="2101">
        <v>15</v>
      </c>
      <c r="AQ534" s="2099"/>
      <c r="AR534" s="2099"/>
      <c r="AS534" s="2099"/>
      <c r="AT534" s="1933"/>
      <c r="AU534" s="3227" t="s">
        <v>170</v>
      </c>
      <c r="AV534" s="2102">
        <v>77</v>
      </c>
      <c r="AW534" s="2102">
        <v>77</v>
      </c>
      <c r="AX534" s="2102">
        <v>77</v>
      </c>
      <c r="AY534" s="2102">
        <v>77</v>
      </c>
      <c r="AZ534" s="2102">
        <v>77</v>
      </c>
      <c r="BA534" s="2103">
        <v>77</v>
      </c>
      <c r="BB534" s="2103">
        <v>77</v>
      </c>
      <c r="BC534" s="2099"/>
      <c r="BD534" s="2099"/>
      <c r="BE534" s="2099"/>
      <c r="BF534" s="1933"/>
      <c r="BG534" s="1933"/>
      <c r="BH534" s="1933"/>
      <c r="BI534" s="1933"/>
      <c r="BJ534" s="1933"/>
      <c r="BK534" s="1933"/>
      <c r="BL534" s="1933"/>
      <c r="BM534" s="1933"/>
      <c r="BN534" s="1933"/>
      <c r="BO534" s="1933"/>
      <c r="BP534" s="1933"/>
      <c r="BQ534" s="1931"/>
      <c r="BR534" s="1931"/>
      <c r="BS534" s="1931"/>
      <c r="BT534" s="1931"/>
      <c r="BU534" s="1931"/>
      <c r="BV534" s="1931"/>
      <c r="BW534" s="1931"/>
      <c r="BX534" s="1931"/>
      <c r="BY534" s="1931"/>
      <c r="BZ534" s="1931"/>
      <c r="CA534" s="1931"/>
      <c r="CB534" s="1931"/>
      <c r="CC534" s="1931"/>
      <c r="CD534" s="1931"/>
      <c r="CE534" s="1930"/>
      <c r="CF534" s="1930"/>
      <c r="CG534" s="1930"/>
      <c r="CH534" s="1930"/>
      <c r="CI534" s="1931"/>
      <c r="CJ534" s="1931"/>
      <c r="CK534" s="1931"/>
      <c r="CL534" s="1931"/>
      <c r="CM534" s="1931"/>
      <c r="CN534" s="1931"/>
      <c r="CO534" s="1931"/>
      <c r="CP534" s="1931"/>
      <c r="CQ534" s="1931"/>
      <c r="CR534" s="1931"/>
      <c r="CS534" s="1931"/>
      <c r="CT534" s="1930"/>
      <c r="CU534" s="1930"/>
      <c r="CV534" s="1930"/>
      <c r="CW534" s="1930"/>
      <c r="CX534" s="1931"/>
      <c r="CY534" s="1931"/>
      <c r="CZ534" s="1931"/>
      <c r="DA534" s="1931"/>
      <c r="DB534" s="52">
        <f t="shared" si="180"/>
        <v>9.5113008825915504</v>
      </c>
      <c r="DC534" s="1948" t="str">
        <f t="shared" si="181"/>
        <v>Air Comp BUS 15 Year EUL</v>
      </c>
      <c r="DD534" s="70">
        <f>(INDEX('Avoided Cost Benefits'!$C$4:$C$857,MATCH(DC534,'Avoided Cost Benefits'!$A$4:$A$857,0)))*F534</f>
        <v>691.24131001373235</v>
      </c>
      <c r="DE534" s="1949">
        <f t="shared" si="182"/>
        <v>72.675790467201509</v>
      </c>
    </row>
    <row r="535" spans="2:109" x14ac:dyDescent="0.25">
      <c r="B535" s="1931"/>
      <c r="C535" s="2462" t="s">
        <v>3035</v>
      </c>
      <c r="D535" s="1363" t="s">
        <v>2646</v>
      </c>
      <c r="E535" s="1308" t="s">
        <v>3036</v>
      </c>
      <c r="F535" s="1959">
        <f t="shared" si="183"/>
        <v>515.74</v>
      </c>
      <c r="G535" s="1290" t="s">
        <v>3014</v>
      </c>
      <c r="H535" s="1291">
        <f>VLOOKUP(G535,'CP FACTORS'!$A$26:$B$38,2,FALSE)</f>
        <v>1.379439E-4</v>
      </c>
      <c r="I535" s="1309">
        <f t="shared" si="179"/>
        <v>7.1142999999999998E-2</v>
      </c>
      <c r="J535" s="1354">
        <v>15</v>
      </c>
      <c r="K535" s="1310">
        <v>77</v>
      </c>
      <c r="L535" s="1374" t="s">
        <v>185</v>
      </c>
      <c r="M535" s="1965"/>
      <c r="N535" s="1965"/>
      <c r="O535" s="1965"/>
      <c r="P535" s="1965"/>
      <c r="Q535" s="1965"/>
      <c r="R535" s="1965"/>
      <c r="S535" s="1965"/>
      <c r="T535" s="1965"/>
      <c r="U535" s="1965"/>
      <c r="V535" s="3227" t="s">
        <v>31</v>
      </c>
      <c r="W535" s="129">
        <v>515.73599999999999</v>
      </c>
      <c r="X535" s="129">
        <v>515.73599999999999</v>
      </c>
      <c r="Y535" s="129">
        <v>515.73599999999999</v>
      </c>
      <c r="Z535" s="129">
        <v>515.73599999999999</v>
      </c>
      <c r="AA535" s="129">
        <v>515.73599999999999</v>
      </c>
      <c r="AB535" s="1825">
        <v>515.74</v>
      </c>
      <c r="AC535" s="3364">
        <v>515.74</v>
      </c>
      <c r="AD535" s="2099"/>
      <c r="AE535" s="2099"/>
      <c r="AF535" s="2099"/>
      <c r="AG535" s="2099"/>
      <c r="AH535" s="2100"/>
      <c r="AI535" s="3227" t="s">
        <v>181</v>
      </c>
      <c r="AJ535" s="64">
        <v>15</v>
      </c>
      <c r="AK535" s="64">
        <v>15</v>
      </c>
      <c r="AL535" s="64">
        <v>15</v>
      </c>
      <c r="AM535" s="64">
        <v>15</v>
      </c>
      <c r="AN535" s="64">
        <v>15</v>
      </c>
      <c r="AO535" s="2095">
        <v>15</v>
      </c>
      <c r="AP535" s="2101">
        <v>15</v>
      </c>
      <c r="AQ535" s="2099"/>
      <c r="AR535" s="2099"/>
      <c r="AS535" s="2099"/>
      <c r="AT535" s="1933"/>
      <c r="AU535" s="3227" t="s">
        <v>170</v>
      </c>
      <c r="AV535" s="2102">
        <v>77</v>
      </c>
      <c r="AW535" s="2102">
        <v>77</v>
      </c>
      <c r="AX535" s="2102">
        <v>77</v>
      </c>
      <c r="AY535" s="2102">
        <v>77</v>
      </c>
      <c r="AZ535" s="2102">
        <v>77</v>
      </c>
      <c r="BA535" s="2103">
        <v>77</v>
      </c>
      <c r="BB535" s="2103">
        <v>77</v>
      </c>
      <c r="BC535" s="2099"/>
      <c r="BD535" s="2099"/>
      <c r="BE535" s="2099"/>
      <c r="BF535" s="1933"/>
      <c r="BG535" s="1933"/>
      <c r="BH535" s="1933"/>
      <c r="BI535" s="1933"/>
      <c r="BJ535" s="1933"/>
      <c r="BK535" s="1933"/>
      <c r="BL535" s="1933"/>
      <c r="BM535" s="1933"/>
      <c r="BN535" s="1933"/>
      <c r="BO535" s="1933"/>
      <c r="BP535" s="1933"/>
      <c r="BQ535" s="1931"/>
      <c r="BR535" s="1931"/>
      <c r="BS535" s="1931"/>
      <c r="BT535" s="1931"/>
      <c r="BU535" s="1931"/>
      <c r="BV535" s="1931"/>
      <c r="BW535" s="1931"/>
      <c r="BX535" s="1931"/>
      <c r="BY535" s="1931"/>
      <c r="BZ535" s="1931"/>
      <c r="CA535" s="1931"/>
      <c r="CB535" s="1931"/>
      <c r="CC535" s="1931"/>
      <c r="CD535" s="1931"/>
      <c r="CE535" s="1930"/>
      <c r="CF535" s="1930"/>
      <c r="CG535" s="1930"/>
      <c r="CH535" s="1930"/>
      <c r="CI535" s="1931"/>
      <c r="CJ535" s="1931"/>
      <c r="CK535" s="1931"/>
      <c r="CL535" s="1931"/>
      <c r="CM535" s="1931"/>
      <c r="CN535" s="1931"/>
      <c r="CO535" s="1931"/>
      <c r="CP535" s="1931"/>
      <c r="CQ535" s="1931"/>
      <c r="CR535" s="1931"/>
      <c r="CS535" s="1931"/>
      <c r="CT535" s="1930"/>
      <c r="CU535" s="1930"/>
      <c r="CV535" s="1930"/>
      <c r="CW535" s="1930"/>
      <c r="CX535" s="1931"/>
      <c r="CY535" s="1931"/>
      <c r="CZ535" s="1931"/>
      <c r="DA535" s="1931"/>
      <c r="DB535" s="52">
        <f t="shared" si="180"/>
        <v>3.8045498605393195</v>
      </c>
      <c r="DC535" s="1948" t="str">
        <f t="shared" si="181"/>
        <v>Air Comp BUS 15 Year EUL</v>
      </c>
      <c r="DD535" s="70">
        <f>(INDEX('Avoided Cost Benefits'!$C$4:$C$857,MATCH(DC535,'Avoided Cost Benefits'!$A$4:$A$857,0)))*F535</f>
        <v>276.49866848657632</v>
      </c>
      <c r="DE535" s="1949">
        <f t="shared" si="182"/>
        <v>72.675790467201509</v>
      </c>
    </row>
    <row r="536" spans="2:109" x14ac:dyDescent="0.25">
      <c r="B536" s="1931"/>
      <c r="C536" s="2462" t="s">
        <v>3037</v>
      </c>
      <c r="D536" s="1363" t="s">
        <v>2646</v>
      </c>
      <c r="E536" s="1308" t="s">
        <v>3038</v>
      </c>
      <c r="F536" s="1959">
        <f t="shared" si="183"/>
        <v>515.74</v>
      </c>
      <c r="G536" s="1290" t="s">
        <v>3014</v>
      </c>
      <c r="H536" s="1291">
        <f>VLOOKUP(G536,'CP FACTORS'!$A$26:$B$38,2,FALSE)</f>
        <v>1.379439E-4</v>
      </c>
      <c r="I536" s="1309">
        <f t="shared" si="179"/>
        <v>7.1142999999999998E-2</v>
      </c>
      <c r="J536" s="1354">
        <v>15</v>
      </c>
      <c r="K536" s="1310">
        <v>77</v>
      </c>
      <c r="L536" s="1374" t="s">
        <v>185</v>
      </c>
      <c r="M536" s="1965"/>
      <c r="N536" s="1965"/>
      <c r="O536" s="1965"/>
      <c r="P536" s="1965"/>
      <c r="Q536" s="1965"/>
      <c r="R536" s="1965"/>
      <c r="S536" s="1965"/>
      <c r="T536" s="1965"/>
      <c r="U536" s="1965"/>
      <c r="V536" s="3227" t="s">
        <v>31</v>
      </c>
      <c r="W536" s="129">
        <v>515.73599999999999</v>
      </c>
      <c r="X536" s="129">
        <v>515.73599999999999</v>
      </c>
      <c r="Y536" s="129">
        <v>515.73599999999999</v>
      </c>
      <c r="Z536" s="129">
        <v>515.73599999999999</v>
      </c>
      <c r="AA536" s="129">
        <v>515.73599999999999</v>
      </c>
      <c r="AB536" s="1825">
        <v>515.74</v>
      </c>
      <c r="AC536" s="3364">
        <v>515.74</v>
      </c>
      <c r="AD536" s="2099"/>
      <c r="AE536" s="2099"/>
      <c r="AF536" s="2099"/>
      <c r="AG536" s="2099"/>
      <c r="AH536" s="2100"/>
      <c r="AI536" s="3227" t="s">
        <v>181</v>
      </c>
      <c r="AJ536" s="64">
        <v>15</v>
      </c>
      <c r="AK536" s="64">
        <v>15</v>
      </c>
      <c r="AL536" s="64">
        <v>15</v>
      </c>
      <c r="AM536" s="64">
        <v>15</v>
      </c>
      <c r="AN536" s="64">
        <v>15</v>
      </c>
      <c r="AO536" s="2095">
        <v>15</v>
      </c>
      <c r="AP536" s="2101">
        <v>15</v>
      </c>
      <c r="AQ536" s="2099"/>
      <c r="AR536" s="2099"/>
      <c r="AS536" s="2099"/>
      <c r="AT536" s="1933"/>
      <c r="AU536" s="3227" t="s">
        <v>170</v>
      </c>
      <c r="AV536" s="2102">
        <v>77</v>
      </c>
      <c r="AW536" s="2102">
        <v>77</v>
      </c>
      <c r="AX536" s="2102">
        <v>77</v>
      </c>
      <c r="AY536" s="2102">
        <v>77</v>
      </c>
      <c r="AZ536" s="2102">
        <v>77</v>
      </c>
      <c r="BA536" s="2103">
        <v>77</v>
      </c>
      <c r="BB536" s="2103">
        <v>77</v>
      </c>
      <c r="BC536" s="2099"/>
      <c r="BD536" s="2099"/>
      <c r="BE536" s="2099"/>
      <c r="BF536" s="1933"/>
      <c r="BG536" s="1933"/>
      <c r="BH536" s="1933"/>
      <c r="BI536" s="1933"/>
      <c r="BJ536" s="1933"/>
      <c r="BK536" s="1933"/>
      <c r="BL536" s="1933"/>
      <c r="BM536" s="1933"/>
      <c r="BN536" s="1933"/>
      <c r="BO536" s="1933"/>
      <c r="BP536" s="1933"/>
      <c r="BQ536" s="1931"/>
      <c r="BR536" s="1931"/>
      <c r="BS536" s="1931"/>
      <c r="BT536" s="1931"/>
      <c r="BU536" s="1931"/>
      <c r="BV536" s="1931"/>
      <c r="BW536" s="1931"/>
      <c r="BX536" s="1931"/>
      <c r="BY536" s="1931"/>
      <c r="BZ536" s="1931"/>
      <c r="CA536" s="1931"/>
      <c r="CB536" s="1931"/>
      <c r="CC536" s="1931"/>
      <c r="CD536" s="1931"/>
      <c r="CE536" s="1930"/>
      <c r="CF536" s="1930"/>
      <c r="CG536" s="1930"/>
      <c r="CH536" s="1930"/>
      <c r="CI536" s="1931"/>
      <c r="CJ536" s="1931"/>
      <c r="CK536" s="1931"/>
      <c r="CL536" s="1931"/>
      <c r="CM536" s="1931"/>
      <c r="CN536" s="1931"/>
      <c r="CO536" s="1931"/>
      <c r="CP536" s="1931"/>
      <c r="CQ536" s="1931"/>
      <c r="CR536" s="1931"/>
      <c r="CS536" s="1931"/>
      <c r="CT536" s="1930"/>
      <c r="CU536" s="1930"/>
      <c r="CV536" s="1930"/>
      <c r="CW536" s="1930"/>
      <c r="CX536" s="1931"/>
      <c r="CY536" s="1931"/>
      <c r="CZ536" s="1931"/>
      <c r="DA536" s="1931"/>
      <c r="DB536" s="52">
        <f t="shared" si="180"/>
        <v>3.8045498605393195</v>
      </c>
      <c r="DC536" s="1948" t="str">
        <f t="shared" si="181"/>
        <v>Air Comp BUS 15 Year EUL</v>
      </c>
      <c r="DD536" s="70">
        <f>(INDEX('Avoided Cost Benefits'!$C$4:$C$857,MATCH(DC536,'Avoided Cost Benefits'!$A$4:$A$857,0)))*F536</f>
        <v>276.49866848657632</v>
      </c>
      <c r="DE536" s="1949">
        <f t="shared" si="182"/>
        <v>72.675790467201509</v>
      </c>
    </row>
    <row r="537" spans="2:109" x14ac:dyDescent="0.25">
      <c r="B537" s="1931"/>
      <c r="C537" s="2462" t="s">
        <v>3039</v>
      </c>
      <c r="D537" s="1363" t="s">
        <v>2646</v>
      </c>
      <c r="E537" s="1308" t="s">
        <v>3040</v>
      </c>
      <c r="F537" s="1959">
        <f t="shared" si="183"/>
        <v>1289.3399999999999</v>
      </c>
      <c r="G537" s="1290" t="s">
        <v>3014</v>
      </c>
      <c r="H537" s="1291">
        <f>VLOOKUP(G537,'CP FACTORS'!$A$26:$B$38,2,FALSE)</f>
        <v>1.379439E-4</v>
      </c>
      <c r="I537" s="1309">
        <f t="shared" si="179"/>
        <v>0.17785699999999999</v>
      </c>
      <c r="J537" s="1354">
        <v>15</v>
      </c>
      <c r="K537" s="1310">
        <v>77</v>
      </c>
      <c r="L537" s="1374" t="s">
        <v>185</v>
      </c>
      <c r="M537" s="1965"/>
      <c r="N537" s="1965"/>
      <c r="O537" s="1965"/>
      <c r="P537" s="1965"/>
      <c r="Q537" s="1965"/>
      <c r="R537" s="1965"/>
      <c r="S537" s="1965"/>
      <c r="T537" s="1965"/>
      <c r="U537" s="1965"/>
      <c r="V537" s="3227" t="s">
        <v>31</v>
      </c>
      <c r="W537" s="129">
        <v>1289.3399999999999</v>
      </c>
      <c r="X537" s="129">
        <v>1289.3399999999999</v>
      </c>
      <c r="Y537" s="129">
        <v>1289.3399999999999</v>
      </c>
      <c r="Z537" s="129">
        <v>1289.3399999999999</v>
      </c>
      <c r="AA537" s="129">
        <v>1289.3399999999999</v>
      </c>
      <c r="AB537" s="1825">
        <v>1289.3399999999999</v>
      </c>
      <c r="AC537" s="3364">
        <v>1289.3399999999999</v>
      </c>
      <c r="AD537" s="2099"/>
      <c r="AE537" s="2099"/>
      <c r="AF537" s="2099"/>
      <c r="AG537" s="2099"/>
      <c r="AH537" s="2100"/>
      <c r="AI537" s="3227" t="s">
        <v>181</v>
      </c>
      <c r="AJ537" s="64">
        <v>15</v>
      </c>
      <c r="AK537" s="64">
        <v>15</v>
      </c>
      <c r="AL537" s="64">
        <v>15</v>
      </c>
      <c r="AM537" s="64">
        <v>15</v>
      </c>
      <c r="AN537" s="64">
        <v>15</v>
      </c>
      <c r="AO537" s="2095">
        <v>15</v>
      </c>
      <c r="AP537" s="2101">
        <v>15</v>
      </c>
      <c r="AQ537" s="2099"/>
      <c r="AR537" s="2099"/>
      <c r="AS537" s="2099"/>
      <c r="AT537" s="1933"/>
      <c r="AU537" s="3227" t="s">
        <v>170</v>
      </c>
      <c r="AV537" s="2102">
        <v>77</v>
      </c>
      <c r="AW537" s="2102">
        <v>77</v>
      </c>
      <c r="AX537" s="2102">
        <v>77</v>
      </c>
      <c r="AY537" s="2102">
        <v>77</v>
      </c>
      <c r="AZ537" s="2102">
        <v>77</v>
      </c>
      <c r="BA537" s="2103">
        <v>77</v>
      </c>
      <c r="BB537" s="2103">
        <v>77</v>
      </c>
      <c r="BC537" s="2099"/>
      <c r="BD537" s="2099"/>
      <c r="BE537" s="2099"/>
      <c r="BF537" s="1933"/>
      <c r="BG537" s="1933"/>
      <c r="BH537" s="1933"/>
      <c r="BI537" s="1933"/>
      <c r="BJ537" s="1933"/>
      <c r="BK537" s="1933"/>
      <c r="BL537" s="1933"/>
      <c r="BM537" s="1933"/>
      <c r="BN537" s="1933"/>
      <c r="BO537" s="1933"/>
      <c r="BP537" s="1933"/>
      <c r="BQ537" s="1931"/>
      <c r="BR537" s="1931"/>
      <c r="BS537" s="1931"/>
      <c r="BT537" s="1931"/>
      <c r="BU537" s="1931"/>
      <c r="BV537" s="1931"/>
      <c r="BW537" s="1931"/>
      <c r="BX537" s="1931"/>
      <c r="BY537" s="1931"/>
      <c r="BZ537" s="1931"/>
      <c r="CA537" s="1931"/>
      <c r="CB537" s="1931"/>
      <c r="CC537" s="1931"/>
      <c r="CD537" s="1931"/>
      <c r="CE537" s="1930"/>
      <c r="CF537" s="1930"/>
      <c r="CG537" s="1930"/>
      <c r="CH537" s="1930"/>
      <c r="CI537" s="1931"/>
      <c r="CJ537" s="1931"/>
      <c r="CK537" s="1931"/>
      <c r="CL537" s="1931"/>
      <c r="CM537" s="1931"/>
      <c r="CN537" s="1931"/>
      <c r="CO537" s="1931"/>
      <c r="CP537" s="1931"/>
      <c r="CQ537" s="1931"/>
      <c r="CR537" s="1931"/>
      <c r="CS537" s="1931"/>
      <c r="CT537" s="1930"/>
      <c r="CU537" s="1930"/>
      <c r="CV537" s="1930"/>
      <c r="CW537" s="1930"/>
      <c r="CX537" s="1931"/>
      <c r="CY537" s="1931"/>
      <c r="CZ537" s="1931"/>
      <c r="DA537" s="1931"/>
      <c r="DB537" s="52">
        <f t="shared" si="180"/>
        <v>9.5113008825915504</v>
      </c>
      <c r="DC537" s="1948" t="str">
        <f t="shared" si="181"/>
        <v>Air Comp BUS 15 Year EUL</v>
      </c>
      <c r="DD537" s="70">
        <f>(INDEX('Avoided Cost Benefits'!$C$4:$C$857,MATCH(DC537,'Avoided Cost Benefits'!$A$4:$A$857,0)))*F537</f>
        <v>691.24131001373235</v>
      </c>
      <c r="DE537" s="1949">
        <f t="shared" si="182"/>
        <v>72.675790467201509</v>
      </c>
    </row>
    <row r="538" spans="2:109" x14ac:dyDescent="0.25">
      <c r="B538" s="1931"/>
      <c r="C538" s="2462" t="s">
        <v>3041</v>
      </c>
      <c r="D538" s="1363" t="s">
        <v>2646</v>
      </c>
      <c r="E538" s="1308" t="s">
        <v>3042</v>
      </c>
      <c r="F538" s="1959">
        <f t="shared" si="183"/>
        <v>1547.21</v>
      </c>
      <c r="G538" s="1290" t="s">
        <v>3014</v>
      </c>
      <c r="H538" s="1291">
        <f>VLOOKUP(G538,'CP FACTORS'!$A$26:$B$38,2,FALSE)</f>
        <v>1.379439E-4</v>
      </c>
      <c r="I538" s="1309">
        <f t="shared" si="179"/>
        <v>0.21342800000000001</v>
      </c>
      <c r="J538" s="1354">
        <v>15</v>
      </c>
      <c r="K538" s="1310">
        <v>77</v>
      </c>
      <c r="L538" s="1374" t="s">
        <v>185</v>
      </c>
      <c r="M538" s="1965"/>
      <c r="N538" s="1965"/>
      <c r="O538" s="1965"/>
      <c r="P538" s="1965"/>
      <c r="Q538" s="1965"/>
      <c r="R538" s="1965"/>
      <c r="S538" s="1965"/>
      <c r="T538" s="1965"/>
      <c r="U538" s="1965"/>
      <c r="V538" s="3227" t="s">
        <v>31</v>
      </c>
      <c r="W538" s="129">
        <v>1547.2080000000001</v>
      </c>
      <c r="X538" s="129">
        <v>1547.2080000000001</v>
      </c>
      <c r="Y538" s="129">
        <v>1547.2080000000001</v>
      </c>
      <c r="Z538" s="129">
        <v>1547.2080000000001</v>
      </c>
      <c r="AA538" s="129">
        <v>1547.2080000000001</v>
      </c>
      <c r="AB538" s="1825">
        <v>1547.21</v>
      </c>
      <c r="AC538" s="3364">
        <v>1547.21</v>
      </c>
      <c r="AD538" s="2099"/>
      <c r="AE538" s="2099"/>
      <c r="AF538" s="2099"/>
      <c r="AG538" s="2099"/>
      <c r="AH538" s="2100"/>
      <c r="AI538" s="3227" t="s">
        <v>181</v>
      </c>
      <c r="AJ538" s="64">
        <v>15</v>
      </c>
      <c r="AK538" s="64">
        <v>15</v>
      </c>
      <c r="AL538" s="64">
        <v>15</v>
      </c>
      <c r="AM538" s="64">
        <v>15</v>
      </c>
      <c r="AN538" s="64">
        <v>15</v>
      </c>
      <c r="AO538" s="2095">
        <v>15</v>
      </c>
      <c r="AP538" s="2101">
        <v>15</v>
      </c>
      <c r="AQ538" s="2099"/>
      <c r="AR538" s="2099"/>
      <c r="AS538" s="2099"/>
      <c r="AT538" s="1933"/>
      <c r="AU538" s="3227" t="s">
        <v>170</v>
      </c>
      <c r="AV538" s="2102">
        <v>77</v>
      </c>
      <c r="AW538" s="2102">
        <v>77</v>
      </c>
      <c r="AX538" s="2102">
        <v>77</v>
      </c>
      <c r="AY538" s="2102">
        <v>77</v>
      </c>
      <c r="AZ538" s="2102">
        <v>77</v>
      </c>
      <c r="BA538" s="2103">
        <v>77</v>
      </c>
      <c r="BB538" s="2103">
        <v>77</v>
      </c>
      <c r="BC538" s="2099"/>
      <c r="BD538" s="2099"/>
      <c r="BE538" s="2099"/>
      <c r="BF538" s="1933"/>
      <c r="BG538" s="1933"/>
      <c r="BH538" s="1933"/>
      <c r="BI538" s="1933"/>
      <c r="BJ538" s="1933"/>
      <c r="BK538" s="1933"/>
      <c r="BL538" s="1933"/>
      <c r="BM538" s="1933"/>
      <c r="BN538" s="1933"/>
      <c r="BO538" s="1933"/>
      <c r="BP538" s="1933"/>
      <c r="BQ538" s="1931"/>
      <c r="BR538" s="1931"/>
      <c r="BS538" s="1931"/>
      <c r="BT538" s="1931"/>
      <c r="BU538" s="1931"/>
      <c r="BV538" s="1931"/>
      <c r="BW538" s="1931"/>
      <c r="BX538" s="1931"/>
      <c r="BY538" s="1931"/>
      <c r="BZ538" s="1931"/>
      <c r="CA538" s="1931"/>
      <c r="CB538" s="1931"/>
      <c r="CC538" s="1931"/>
      <c r="CD538" s="1931"/>
      <c r="CE538" s="1930"/>
      <c r="CF538" s="1930"/>
      <c r="CG538" s="1930"/>
      <c r="CH538" s="1930"/>
      <c r="CI538" s="1931"/>
      <c r="CJ538" s="1931"/>
      <c r="CK538" s="1931"/>
      <c r="CL538" s="1931"/>
      <c r="CM538" s="1931"/>
      <c r="CN538" s="1931"/>
      <c r="CO538" s="1931"/>
      <c r="CP538" s="1931"/>
      <c r="CQ538" s="1931"/>
      <c r="CR538" s="1931"/>
      <c r="CS538" s="1931"/>
      <c r="CT538" s="1930"/>
      <c r="CU538" s="1930"/>
      <c r="CV538" s="1930"/>
      <c r="CW538" s="1930"/>
      <c r="CX538" s="1931"/>
      <c r="CY538" s="1931"/>
      <c r="CZ538" s="1931"/>
      <c r="DA538" s="1931"/>
      <c r="DB538" s="53">
        <f t="shared" si="180"/>
        <v>11.413575812861211</v>
      </c>
      <c r="DC538" s="1948" t="str">
        <f t="shared" si="181"/>
        <v>Air Comp BUS 15 Year EUL</v>
      </c>
      <c r="DD538" s="71">
        <f>(INDEX('Avoided Cost Benefits'!$C$4:$C$857,MATCH(DC538,'Avoided Cost Benefits'!$A$4:$A$857,0)))*F538</f>
        <v>829.49064425702056</v>
      </c>
      <c r="DE538" s="1950">
        <f t="shared" si="182"/>
        <v>72.675790467201509</v>
      </c>
    </row>
    <row r="539" spans="2:109" hidden="1" outlineLevel="1" x14ac:dyDescent="0.25">
      <c r="B539" s="1931"/>
      <c r="D539" s="1966"/>
      <c r="E539" s="1966"/>
      <c r="F539" s="1966"/>
      <c r="G539" s="1966"/>
      <c r="H539" s="1299"/>
      <c r="I539" s="1966"/>
      <c r="J539" s="1966"/>
      <c r="K539" s="1966"/>
      <c r="L539" s="1965"/>
      <c r="M539" s="1965"/>
      <c r="N539" s="1965"/>
      <c r="O539" s="1965"/>
      <c r="P539" s="1965"/>
      <c r="Q539" s="1965"/>
      <c r="R539" s="1965"/>
      <c r="S539" s="1965"/>
      <c r="T539" s="1965"/>
      <c r="U539" s="1965"/>
      <c r="V539" s="1933"/>
      <c r="W539" s="1933"/>
      <c r="X539" s="1933"/>
      <c r="Y539" s="1933"/>
      <c r="Z539" s="1933"/>
      <c r="AA539" s="1933"/>
      <c r="AB539" s="1933"/>
      <c r="AC539" s="1933"/>
      <c r="AD539" s="1933"/>
      <c r="AE539" s="1933"/>
      <c r="AF539" s="1933"/>
      <c r="AG539" s="1933"/>
      <c r="AH539" s="1933"/>
      <c r="AI539" s="1933"/>
      <c r="AJ539" s="1933"/>
      <c r="AK539" s="1933"/>
      <c r="AL539" s="1933"/>
      <c r="AM539" s="1933"/>
      <c r="AN539" s="1933"/>
      <c r="AO539" s="1933"/>
      <c r="AP539" s="1933"/>
      <c r="AQ539" s="1933"/>
      <c r="AR539" s="1933"/>
      <c r="AS539" s="1933"/>
      <c r="AT539" s="1933"/>
      <c r="AU539" s="1933"/>
      <c r="AV539" s="1933"/>
      <c r="AW539" s="1933"/>
      <c r="AX539" s="1933"/>
      <c r="AY539" s="1933"/>
      <c r="AZ539" s="1933"/>
      <c r="BA539" s="1933"/>
      <c r="BB539" s="1933"/>
      <c r="BC539" s="1933"/>
      <c r="BD539" s="1933"/>
      <c r="BE539" s="1933"/>
      <c r="BF539" s="1933"/>
      <c r="BG539" s="1933"/>
      <c r="BH539" s="1933"/>
      <c r="BI539" s="1933"/>
      <c r="BJ539" s="1933"/>
      <c r="BK539" s="1933"/>
      <c r="BL539" s="1933"/>
      <c r="BM539" s="1933"/>
      <c r="BN539" s="1933"/>
      <c r="BO539" s="1933"/>
      <c r="BP539" s="1933"/>
      <c r="BQ539" s="1931"/>
      <c r="BR539" s="1931"/>
      <c r="BS539" s="1931"/>
      <c r="BT539" s="1931"/>
      <c r="BU539" s="1931"/>
      <c r="BV539" s="1931"/>
      <c r="BW539" s="1931"/>
      <c r="BX539" s="1931"/>
      <c r="BY539" s="1931"/>
      <c r="BZ539" s="1931"/>
      <c r="CA539" s="1931"/>
      <c r="CB539" s="1931"/>
      <c r="CC539" s="1931"/>
      <c r="CD539" s="1931"/>
      <c r="CE539" s="1930"/>
      <c r="CF539" s="1930"/>
      <c r="CG539" s="1930"/>
      <c r="CH539" s="1930"/>
      <c r="CI539" s="1931"/>
      <c r="CJ539" s="1931"/>
      <c r="CK539" s="1931"/>
      <c r="CL539" s="1931"/>
      <c r="CM539" s="1931"/>
      <c r="CN539" s="1931"/>
      <c r="CO539" s="1931"/>
      <c r="CP539" s="1931"/>
      <c r="CQ539" s="1931"/>
      <c r="CR539" s="1931"/>
      <c r="CS539" s="1931"/>
      <c r="CT539" s="1930"/>
      <c r="CU539" s="1930"/>
      <c r="CV539" s="1930"/>
      <c r="CW539" s="1930"/>
      <c r="CX539" s="1931"/>
      <c r="CY539" s="1931"/>
      <c r="CZ539" s="1931"/>
      <c r="DA539" s="1931"/>
      <c r="DB539" s="1932"/>
      <c r="DC539" s="1931"/>
      <c r="DD539" s="1931"/>
      <c r="DE539" s="1931"/>
    </row>
    <row r="540" spans="2:109" hidden="1" outlineLevel="1" x14ac:dyDescent="0.25">
      <c r="D540" s="1966" t="s">
        <v>2689</v>
      </c>
      <c r="E540" s="1966"/>
      <c r="F540" s="1966"/>
      <c r="G540" s="1966"/>
      <c r="H540" s="1299"/>
      <c r="I540" s="1966"/>
      <c r="J540" s="1966"/>
      <c r="K540" s="1966"/>
      <c r="L540" s="1965"/>
      <c r="M540" s="1965"/>
      <c r="N540" s="1965"/>
      <c r="O540" s="1965"/>
      <c r="P540" s="1965"/>
      <c r="Q540" s="1965"/>
      <c r="R540" s="1965"/>
      <c r="S540" s="1965"/>
      <c r="T540" s="1965"/>
      <c r="U540" s="1965"/>
      <c r="V540" s="1933"/>
      <c r="W540" s="1933"/>
      <c r="X540" s="1933"/>
      <c r="Y540" s="1933"/>
      <c r="Z540" s="1933"/>
      <c r="AA540" s="1933"/>
      <c r="AB540" s="1933"/>
      <c r="AC540" s="1933"/>
      <c r="AD540" s="1933"/>
      <c r="AE540" s="1933"/>
      <c r="AF540" s="1933"/>
      <c r="AG540" s="1933"/>
      <c r="AH540" s="1933"/>
      <c r="AI540" s="1933"/>
      <c r="AJ540" s="1933"/>
      <c r="AK540" s="1933"/>
      <c r="AL540" s="1933"/>
      <c r="AM540" s="1933"/>
      <c r="AN540" s="1933"/>
      <c r="AO540" s="1933"/>
      <c r="AP540" s="1933"/>
      <c r="AQ540" s="1933"/>
      <c r="AR540" s="1933"/>
      <c r="AS540" s="1933"/>
      <c r="AT540" s="1933"/>
      <c r="AU540" s="1933"/>
      <c r="AV540" s="1933"/>
      <c r="AW540" s="1933"/>
      <c r="AX540" s="1933"/>
      <c r="AY540" s="1933"/>
      <c r="AZ540" s="1933"/>
      <c r="BA540" s="1933"/>
      <c r="BB540" s="1933"/>
      <c r="BC540" s="1933"/>
      <c r="BD540" s="1933"/>
      <c r="BE540" s="1933"/>
      <c r="BF540" s="1933"/>
      <c r="BG540" s="1933"/>
      <c r="BH540" s="1933"/>
      <c r="BI540" s="1933"/>
      <c r="BJ540" s="1933"/>
      <c r="BK540" s="1933"/>
      <c r="BL540" s="1933"/>
      <c r="BM540" s="1933"/>
      <c r="BN540" s="1933"/>
      <c r="BO540" s="1933"/>
      <c r="BP540" s="1933"/>
      <c r="BQ540" s="1931"/>
      <c r="BR540" s="1931"/>
      <c r="BS540" s="1931"/>
      <c r="BT540" s="1931"/>
      <c r="BU540" s="1931"/>
      <c r="BV540" s="1931"/>
      <c r="BW540" s="1931"/>
      <c r="BX540" s="1931"/>
      <c r="BY540" s="1931"/>
      <c r="BZ540" s="1931"/>
      <c r="CA540" s="1931"/>
      <c r="CB540" s="1931"/>
      <c r="CC540" s="1931"/>
      <c r="CD540" s="1931"/>
      <c r="CE540" s="1930"/>
      <c r="CF540" s="1930"/>
      <c r="CG540" s="1930"/>
      <c r="CH540" s="1930"/>
      <c r="CI540" s="1931"/>
      <c r="CJ540" s="1931"/>
      <c r="CK540" s="1931"/>
      <c r="CL540" s="1931"/>
      <c r="CM540" s="1931"/>
      <c r="CN540" s="1931"/>
      <c r="CO540" s="1931"/>
      <c r="CP540" s="1931"/>
      <c r="CQ540" s="1931"/>
      <c r="CR540" s="1931"/>
      <c r="CS540" s="1931"/>
      <c r="CT540" s="1930"/>
      <c r="CU540" s="1930"/>
      <c r="CV540" s="1930"/>
      <c r="CW540" s="1930"/>
      <c r="CX540" s="1931"/>
      <c r="CY540" s="1931"/>
      <c r="CZ540" s="1931"/>
      <c r="DA540" s="1931"/>
      <c r="DB540" s="1932"/>
    </row>
    <row r="541" spans="2:109" hidden="1" outlineLevel="1" x14ac:dyDescent="0.25">
      <c r="D541" s="1300"/>
      <c r="E541" s="1965"/>
      <c r="F541" s="1965"/>
      <c r="G541" s="1321"/>
      <c r="H541" s="1322"/>
      <c r="I541" s="1965"/>
      <c r="J541" s="1965"/>
      <c r="K541" s="1965"/>
      <c r="L541" s="1965"/>
      <c r="M541" s="1965"/>
      <c r="N541" s="1965"/>
      <c r="O541" s="1965"/>
      <c r="P541" s="1965"/>
      <c r="Q541" s="1965"/>
      <c r="R541" s="1965"/>
      <c r="S541" s="1965"/>
      <c r="T541" s="1965"/>
      <c r="U541" s="1965"/>
      <c r="V541" s="1933"/>
      <c r="W541" s="1933"/>
      <c r="X541" s="1933"/>
      <c r="Y541" s="1933"/>
      <c r="Z541" s="1933"/>
      <c r="AA541" s="1933"/>
      <c r="AB541" s="1933"/>
      <c r="AC541" s="1933"/>
      <c r="AD541" s="1933"/>
      <c r="AE541" s="1933"/>
      <c r="AF541" s="1933"/>
      <c r="AG541" s="1933"/>
      <c r="AH541" s="1933"/>
      <c r="AI541" s="1933"/>
      <c r="AJ541" s="1933"/>
      <c r="AK541" s="1933"/>
      <c r="AL541" s="1933"/>
      <c r="AM541" s="1933"/>
      <c r="AN541" s="1933"/>
      <c r="AO541" s="1933"/>
      <c r="AP541" s="1933"/>
      <c r="AQ541" s="1933"/>
      <c r="AR541" s="1933"/>
      <c r="AS541" s="1933"/>
      <c r="AT541" s="1933"/>
      <c r="AU541" s="1933"/>
      <c r="AV541" s="1933"/>
      <c r="AW541" s="1933"/>
      <c r="AX541" s="1933"/>
      <c r="AY541" s="1933"/>
      <c r="AZ541" s="1933"/>
      <c r="BA541" s="1933"/>
      <c r="BB541" s="1933"/>
      <c r="BC541" s="1933"/>
      <c r="BD541" s="1933"/>
      <c r="BE541" s="1933"/>
      <c r="BF541" s="1933"/>
      <c r="BG541" s="1933"/>
      <c r="BH541" s="1933"/>
      <c r="BI541" s="1933"/>
      <c r="BJ541" s="1933"/>
      <c r="BK541" s="1933"/>
      <c r="BL541" s="1933"/>
      <c r="BM541" s="1933"/>
      <c r="BN541" s="1933"/>
      <c r="BO541" s="1933"/>
      <c r="BP541" s="1933"/>
      <c r="BQ541" s="1931"/>
      <c r="BR541" s="1931"/>
      <c r="BS541" s="1931"/>
      <c r="BT541" s="1931"/>
      <c r="BU541" s="1931"/>
      <c r="BV541" s="1931"/>
      <c r="BW541" s="1931"/>
      <c r="BX541" s="1931"/>
      <c r="BY541" s="1931"/>
      <c r="BZ541" s="1931"/>
      <c r="CA541" s="1931"/>
      <c r="CB541" s="1931"/>
      <c r="CC541" s="1931"/>
      <c r="CD541" s="1931"/>
      <c r="CE541" s="1930"/>
      <c r="CF541" s="1930"/>
      <c r="CG541" s="1930"/>
      <c r="CH541" s="1930"/>
      <c r="CI541" s="1931"/>
      <c r="CJ541" s="1931"/>
      <c r="CK541" s="1931"/>
      <c r="CL541" s="1931"/>
      <c r="CM541" s="1931"/>
      <c r="CN541" s="1931"/>
      <c r="CO541" s="1931"/>
      <c r="CP541" s="1931"/>
      <c r="CQ541" s="1931"/>
      <c r="CR541" s="1931"/>
      <c r="CS541" s="1931"/>
      <c r="CT541" s="1930"/>
      <c r="CU541" s="1930"/>
      <c r="CV541" s="1930"/>
      <c r="CW541" s="1930"/>
      <c r="CX541" s="1931"/>
      <c r="CY541" s="1931"/>
      <c r="CZ541" s="1931"/>
      <c r="DA541" s="1931"/>
      <c r="DB541" s="1932"/>
    </row>
    <row r="542" spans="2:109" hidden="1" outlineLevel="1" x14ac:dyDescent="0.25">
      <c r="D542" s="1355"/>
      <c r="E542" s="874"/>
      <c r="F542" s="1965"/>
      <c r="G542" s="1321"/>
      <c r="H542" s="1322"/>
      <c r="I542" s="1965"/>
      <c r="J542" s="1965"/>
      <c r="K542" s="1965"/>
      <c r="L542" s="1965"/>
      <c r="M542" s="1965"/>
      <c r="N542" s="1965"/>
      <c r="O542" s="1965"/>
      <c r="P542" s="1965"/>
      <c r="Q542" s="1965"/>
      <c r="R542" s="1965"/>
      <c r="S542" s="1965"/>
      <c r="T542" s="1965"/>
      <c r="U542" s="1965"/>
      <c r="V542" s="1931"/>
      <c r="W542" s="1931"/>
      <c r="X542" s="1931"/>
      <c r="Y542" s="1931"/>
      <c r="Z542" s="1931"/>
      <c r="AA542" s="1931"/>
      <c r="AB542" s="1931"/>
      <c r="AC542" s="1931"/>
      <c r="AD542" s="1931"/>
      <c r="AE542" s="1931"/>
      <c r="AF542" s="1931"/>
      <c r="AG542" s="1931"/>
      <c r="AH542" s="1931"/>
      <c r="AI542" s="1931"/>
      <c r="AJ542" s="1931"/>
      <c r="AK542" s="1931"/>
      <c r="AL542" s="1931"/>
      <c r="AM542" s="1931"/>
      <c r="AN542" s="1931"/>
      <c r="AO542" s="1931"/>
      <c r="AP542" s="1931"/>
      <c r="AQ542" s="1931"/>
      <c r="AR542" s="1931"/>
      <c r="AS542" s="1931"/>
      <c r="AT542" s="1931"/>
      <c r="AU542" s="1931"/>
      <c r="AV542" s="1931"/>
      <c r="AW542" s="1931"/>
      <c r="AX542" s="1931"/>
      <c r="AY542" s="1931"/>
      <c r="AZ542" s="1931"/>
      <c r="BA542" s="1931"/>
      <c r="BB542" s="1931"/>
      <c r="BC542" s="1931"/>
      <c r="BD542" s="1931"/>
      <c r="BE542" s="1931"/>
      <c r="BF542" s="1931"/>
      <c r="BG542" s="1931"/>
      <c r="BH542" s="1931"/>
      <c r="BI542" s="1931"/>
      <c r="BJ542" s="1931"/>
      <c r="BK542" s="1931"/>
      <c r="BL542" s="1931"/>
      <c r="BM542" s="1931"/>
      <c r="BN542" s="1931"/>
      <c r="BO542" s="1931"/>
      <c r="BP542" s="1931"/>
      <c r="BQ542" s="1931"/>
      <c r="BR542" s="1931"/>
      <c r="BS542" s="1931"/>
      <c r="BT542" s="1931"/>
      <c r="BU542" s="1931"/>
      <c r="BV542" s="1931"/>
      <c r="BW542" s="1931"/>
      <c r="BX542" s="1931"/>
      <c r="BY542" s="1931"/>
      <c r="BZ542" s="1931"/>
      <c r="CA542" s="1931"/>
      <c r="CB542" s="1931"/>
      <c r="CC542" s="1931"/>
      <c r="CD542" s="1931"/>
      <c r="CE542" s="1930"/>
      <c r="CF542" s="1930"/>
      <c r="CG542" s="1930"/>
      <c r="CH542" s="1930"/>
      <c r="CI542" s="1931"/>
      <c r="CJ542" s="1931"/>
      <c r="CK542" s="1931"/>
      <c r="CL542" s="1931"/>
      <c r="CM542" s="1931"/>
      <c r="CN542" s="1931"/>
      <c r="CO542" s="1931"/>
      <c r="CP542" s="1931"/>
      <c r="CQ542" s="1931"/>
      <c r="CR542" s="1931"/>
      <c r="CS542" s="1931"/>
      <c r="CT542" s="1930"/>
      <c r="CU542" s="1930"/>
      <c r="CV542" s="1930"/>
      <c r="CW542" s="1930"/>
      <c r="CX542" s="1931"/>
      <c r="CY542" s="1931"/>
      <c r="CZ542" s="1931"/>
      <c r="DA542" s="1931"/>
      <c r="DB542" s="1932"/>
    </row>
    <row r="543" spans="2:109" hidden="1" outlineLevel="1" x14ac:dyDescent="0.25">
      <c r="D543" s="1355"/>
      <c r="E543" s="874"/>
      <c r="F543" s="1965"/>
      <c r="G543" s="1965"/>
      <c r="H543" s="1301"/>
      <c r="I543" s="1965"/>
      <c r="J543" s="1965"/>
      <c r="K543" s="1965"/>
      <c r="L543" s="1965"/>
      <c r="M543" s="1966"/>
      <c r="N543" s="1965"/>
      <c r="O543" s="1965"/>
      <c r="P543" s="1965"/>
      <c r="Q543" s="1965"/>
      <c r="R543" s="1965"/>
      <c r="S543" s="1965"/>
      <c r="T543" s="1965"/>
      <c r="U543" s="1965"/>
      <c r="V543" s="1931"/>
      <c r="W543" s="1931"/>
      <c r="X543" s="1931"/>
      <c r="Y543" s="1931"/>
      <c r="Z543" s="1931"/>
      <c r="AA543" s="1931"/>
      <c r="AB543" s="1931"/>
      <c r="AC543" s="1931"/>
      <c r="AD543" s="1931"/>
      <c r="AE543" s="1931"/>
      <c r="AF543" s="1931"/>
      <c r="AG543" s="1931"/>
      <c r="AH543" s="1931"/>
      <c r="AI543" s="1931"/>
      <c r="AJ543" s="1931"/>
      <c r="AK543" s="1931"/>
      <c r="AL543" s="1931"/>
      <c r="AM543" s="1931"/>
      <c r="AN543" s="1931"/>
      <c r="AO543" s="1931"/>
      <c r="AP543" s="1931"/>
      <c r="AQ543" s="1931"/>
      <c r="AR543" s="1931"/>
      <c r="AS543" s="1931"/>
      <c r="AT543" s="1931"/>
      <c r="AU543" s="1931"/>
      <c r="AV543" s="1931"/>
      <c r="AW543" s="1931"/>
      <c r="AX543" s="1931"/>
      <c r="AY543" s="1931"/>
      <c r="AZ543" s="1931"/>
      <c r="BA543" s="1931"/>
      <c r="BB543" s="1931"/>
      <c r="BC543" s="1931"/>
      <c r="BD543" s="1931"/>
      <c r="BE543" s="1931"/>
      <c r="BF543" s="1931"/>
      <c r="BG543" s="1931"/>
      <c r="BH543" s="1931"/>
      <c r="BI543" s="1931"/>
      <c r="BJ543" s="1931"/>
      <c r="BK543" s="1931"/>
      <c r="BL543" s="1931"/>
      <c r="BM543" s="1931"/>
      <c r="BN543" s="1931"/>
      <c r="BO543" s="1931"/>
      <c r="BP543" s="1931"/>
      <c r="BQ543" s="1931"/>
      <c r="BR543" s="1931"/>
      <c r="BS543" s="1931"/>
      <c r="BT543" s="1931"/>
      <c r="BU543" s="1931"/>
      <c r="BV543" s="1931"/>
      <c r="BW543" s="1931"/>
      <c r="BX543" s="1931"/>
      <c r="BY543" s="1931"/>
      <c r="BZ543" s="1931"/>
      <c r="CA543" s="1931"/>
      <c r="CB543" s="1931"/>
      <c r="CC543" s="1931"/>
      <c r="CD543" s="1931"/>
      <c r="CE543" s="1930"/>
      <c r="CF543" s="1930"/>
      <c r="CG543" s="1930"/>
      <c r="CH543" s="1930"/>
      <c r="CI543" s="1931"/>
      <c r="CJ543" s="1931"/>
      <c r="CK543" s="1931"/>
      <c r="CL543" s="1931"/>
      <c r="CM543" s="1931"/>
      <c r="CN543" s="1931"/>
      <c r="CO543" s="1931"/>
      <c r="CP543" s="1931"/>
      <c r="CQ543" s="1931"/>
      <c r="CR543" s="1931"/>
      <c r="CS543" s="1931"/>
      <c r="CT543" s="1930"/>
      <c r="CU543" s="1930"/>
      <c r="CV543" s="1930"/>
      <c r="CW543" s="1930"/>
      <c r="CX543" s="1931"/>
      <c r="CY543" s="1931"/>
      <c r="CZ543" s="1931"/>
      <c r="DA543" s="1931"/>
      <c r="DB543" s="1932"/>
    </row>
    <row r="544" spans="2:109" hidden="1" outlineLevel="1" x14ac:dyDescent="0.25">
      <c r="D544" s="1300"/>
      <c r="E544" s="1965"/>
      <c r="F544" s="1965"/>
      <c r="G544" s="1965"/>
      <c r="H544" s="1301"/>
      <c r="I544" s="1965"/>
      <c r="J544" s="1965"/>
      <c r="K544" s="1965"/>
      <c r="L544" s="1965"/>
      <c r="M544" s="1966"/>
      <c r="N544" s="1965"/>
      <c r="O544" s="1965"/>
      <c r="P544" s="1965"/>
      <c r="Q544" s="1965"/>
      <c r="R544" s="1965"/>
      <c r="S544" s="1965"/>
      <c r="T544" s="1965"/>
      <c r="U544" s="1965"/>
      <c r="V544" s="1931"/>
      <c r="W544" s="1931"/>
      <c r="X544" s="1931"/>
      <c r="Y544" s="1931"/>
      <c r="Z544" s="1931"/>
      <c r="AA544" s="1931"/>
      <c r="AB544" s="1931"/>
      <c r="AC544" s="1931"/>
      <c r="AD544" s="1931"/>
      <c r="AE544" s="1931"/>
      <c r="AF544" s="1931"/>
      <c r="AG544" s="1931"/>
      <c r="AH544" s="1931"/>
      <c r="AI544" s="1931"/>
      <c r="AJ544" s="1931"/>
      <c r="AK544" s="1931"/>
      <c r="AL544" s="1931"/>
      <c r="AM544" s="1931"/>
      <c r="AN544" s="1931"/>
      <c r="AO544" s="1931"/>
      <c r="AP544" s="1931"/>
      <c r="AQ544" s="1931"/>
      <c r="AR544" s="1931"/>
      <c r="AS544" s="1931"/>
      <c r="AT544" s="1931"/>
      <c r="AU544" s="1931"/>
      <c r="AV544" s="1931"/>
      <c r="AW544" s="1931"/>
      <c r="AX544" s="1931"/>
      <c r="AY544" s="1931"/>
      <c r="AZ544" s="1931"/>
      <c r="BA544" s="1931"/>
      <c r="BB544" s="1931"/>
      <c r="BC544" s="1931"/>
      <c r="BD544" s="1931"/>
      <c r="BE544" s="1931"/>
      <c r="BF544" s="1931"/>
      <c r="BG544" s="1931"/>
      <c r="BH544" s="1931"/>
      <c r="BI544" s="1931"/>
      <c r="BJ544" s="1931"/>
      <c r="BK544" s="1931"/>
      <c r="BL544" s="1931"/>
      <c r="BM544" s="1931"/>
      <c r="BN544" s="1931"/>
      <c r="BO544" s="1931"/>
      <c r="BP544" s="1931"/>
      <c r="BQ544" s="1931"/>
      <c r="BR544" s="1931"/>
      <c r="BS544" s="1931"/>
      <c r="BT544" s="1931"/>
      <c r="BU544" s="1931"/>
      <c r="BV544" s="1931"/>
      <c r="BW544" s="1931"/>
      <c r="BX544" s="1931"/>
      <c r="BY544" s="1931"/>
      <c r="BZ544" s="1931"/>
      <c r="CA544" s="1931"/>
      <c r="CB544" s="1931"/>
      <c r="CC544" s="1931"/>
      <c r="CD544" s="1931"/>
      <c r="CE544" s="1930"/>
      <c r="CF544" s="1930"/>
      <c r="CG544" s="1930"/>
      <c r="CH544" s="1930"/>
      <c r="CI544" s="1931"/>
      <c r="CJ544" s="1931"/>
      <c r="CK544" s="1931"/>
      <c r="CL544" s="1931"/>
      <c r="CM544" s="1931"/>
      <c r="CN544" s="1931"/>
      <c r="CO544" s="1931"/>
      <c r="CP544" s="1931"/>
      <c r="CQ544" s="1931"/>
      <c r="CR544" s="1931"/>
      <c r="CS544" s="1931"/>
      <c r="CT544" s="1930"/>
      <c r="CU544" s="1930"/>
      <c r="CV544" s="1930"/>
      <c r="CW544" s="1930"/>
      <c r="CX544" s="1931"/>
      <c r="CY544" s="1931"/>
      <c r="CZ544" s="1931"/>
      <c r="DA544" s="1931"/>
      <c r="DB544" s="1932"/>
    </row>
    <row r="545" spans="2:110" hidden="1" outlineLevel="1" x14ac:dyDescent="0.25">
      <c r="D545" s="1300"/>
      <c r="E545" s="1965"/>
      <c r="F545" s="1965"/>
      <c r="G545" s="1965"/>
      <c r="H545" s="1301"/>
      <c r="I545" s="1965"/>
      <c r="J545" s="1965"/>
      <c r="K545" s="1965"/>
      <c r="L545" s="1965"/>
      <c r="M545" s="1966"/>
      <c r="N545" s="1965"/>
      <c r="O545" s="1965"/>
      <c r="P545" s="1965"/>
      <c r="Q545" s="1965"/>
      <c r="R545" s="1965"/>
      <c r="S545" s="1965"/>
      <c r="T545" s="1965"/>
      <c r="U545" s="1965"/>
      <c r="V545" s="1931"/>
      <c r="W545" s="1931"/>
      <c r="X545" s="1931"/>
      <c r="Y545" s="1931"/>
      <c r="Z545" s="1931"/>
      <c r="AA545" s="1931"/>
      <c r="AB545" s="1931"/>
      <c r="AC545" s="1931"/>
      <c r="AD545" s="1931"/>
      <c r="AE545" s="1931"/>
      <c r="AF545" s="1931"/>
      <c r="AG545" s="1931"/>
      <c r="AH545" s="1931"/>
      <c r="AI545" s="1931"/>
      <c r="AJ545" s="1931"/>
      <c r="AK545" s="1931"/>
      <c r="AL545" s="1931"/>
      <c r="AM545" s="1931"/>
      <c r="AN545" s="1931"/>
      <c r="AO545" s="1931"/>
      <c r="AP545" s="1931"/>
      <c r="AQ545" s="1931"/>
      <c r="AR545" s="1931"/>
      <c r="AS545" s="1931"/>
      <c r="AT545" s="1931"/>
      <c r="AU545" s="1931"/>
      <c r="AV545" s="1931"/>
      <c r="AW545" s="1931"/>
      <c r="AX545" s="1931"/>
      <c r="AY545" s="1931"/>
      <c r="AZ545" s="1931"/>
      <c r="BA545" s="1931"/>
      <c r="BB545" s="1931"/>
      <c r="BC545" s="1931"/>
      <c r="BD545" s="1931"/>
      <c r="BE545" s="1931"/>
      <c r="BF545" s="1931"/>
      <c r="BG545" s="1931"/>
      <c r="BH545" s="1931"/>
      <c r="BI545" s="1931"/>
      <c r="BJ545" s="1931"/>
      <c r="BK545" s="1931"/>
      <c r="BL545" s="1931"/>
      <c r="BM545" s="1931"/>
      <c r="BN545" s="1931"/>
      <c r="BO545" s="1931"/>
      <c r="BP545" s="1931"/>
      <c r="BQ545" s="1931"/>
      <c r="BR545" s="1931"/>
      <c r="BS545" s="1931"/>
      <c r="BT545" s="1931"/>
      <c r="BU545" s="1931"/>
      <c r="BV545" s="1931"/>
      <c r="BW545" s="1931"/>
      <c r="BX545" s="1931"/>
      <c r="BY545" s="1931"/>
      <c r="BZ545" s="1931"/>
      <c r="CA545" s="1931"/>
      <c r="CB545" s="1931"/>
      <c r="CC545" s="1931"/>
      <c r="CD545" s="1931"/>
      <c r="CE545" s="1930"/>
      <c r="CF545" s="1930"/>
      <c r="CG545" s="1930"/>
      <c r="CH545" s="1930"/>
      <c r="CI545" s="1931"/>
      <c r="CJ545" s="1931"/>
      <c r="CK545" s="1931"/>
      <c r="CL545" s="1931"/>
      <c r="CM545" s="1931"/>
      <c r="CN545" s="1931"/>
      <c r="CO545" s="1931"/>
      <c r="CP545" s="1931"/>
      <c r="CQ545" s="1931"/>
      <c r="CR545" s="1931"/>
      <c r="CS545" s="1931"/>
      <c r="CT545" s="1930"/>
      <c r="CU545" s="1930"/>
      <c r="CV545" s="1930"/>
      <c r="CW545" s="1930"/>
      <c r="CX545" s="1931"/>
      <c r="CY545" s="1931"/>
      <c r="CZ545" s="1931"/>
      <c r="DA545" s="1931"/>
      <c r="DB545" s="1932"/>
    </row>
    <row r="546" spans="2:110" hidden="1" outlineLevel="1" x14ac:dyDescent="0.25">
      <c r="D546" s="1300"/>
      <c r="E546" s="1965"/>
      <c r="F546" s="1965"/>
      <c r="G546" s="1965"/>
      <c r="H546" s="1301"/>
      <c r="I546" s="1965"/>
      <c r="J546" s="1965"/>
      <c r="K546" s="1965"/>
      <c r="L546" s="1965"/>
      <c r="M546" s="1965"/>
      <c r="N546" s="1965"/>
      <c r="O546" s="1965"/>
      <c r="P546" s="1965"/>
      <c r="Q546" s="1965"/>
      <c r="R546" s="1965"/>
      <c r="S546" s="1965"/>
      <c r="T546" s="1965"/>
      <c r="U546" s="1965"/>
      <c r="V546" s="1931"/>
      <c r="W546" s="1931"/>
      <c r="X546" s="1931"/>
      <c r="Y546" s="1931"/>
      <c r="Z546" s="1931"/>
      <c r="AA546" s="1931"/>
      <c r="AB546" s="1931"/>
      <c r="AC546" s="1931"/>
      <c r="AD546" s="1931"/>
      <c r="AE546" s="1931"/>
      <c r="AF546" s="1931"/>
      <c r="AG546" s="1931"/>
      <c r="AH546" s="1931"/>
      <c r="AI546" s="1931"/>
      <c r="AJ546" s="1931"/>
      <c r="AK546" s="1931"/>
      <c r="AL546" s="1931"/>
      <c r="AM546" s="1931"/>
      <c r="AN546" s="1931"/>
      <c r="AO546" s="1931"/>
      <c r="AP546" s="1931"/>
      <c r="AQ546" s="1931"/>
      <c r="AR546" s="1931"/>
      <c r="AS546" s="1931"/>
      <c r="AT546" s="1931"/>
      <c r="AU546" s="1931"/>
      <c r="AV546" s="1931"/>
      <c r="AW546" s="1931"/>
      <c r="AX546" s="1931"/>
      <c r="AY546" s="1931"/>
      <c r="AZ546" s="1931"/>
      <c r="BA546" s="1931"/>
      <c r="BB546" s="1931"/>
      <c r="BC546" s="1931"/>
      <c r="BD546" s="1931"/>
      <c r="BE546" s="1931"/>
      <c r="BF546" s="1931"/>
      <c r="BG546" s="1931"/>
      <c r="BH546" s="1931"/>
      <c r="BI546" s="1931"/>
      <c r="BJ546" s="1931"/>
      <c r="BK546" s="1931"/>
      <c r="BL546" s="1931"/>
      <c r="BM546" s="1931"/>
      <c r="BN546" s="1931"/>
      <c r="BO546" s="1931"/>
      <c r="BP546" s="1931"/>
      <c r="BQ546" s="1931"/>
      <c r="BR546" s="1931"/>
      <c r="BS546" s="1931"/>
      <c r="BT546" s="1931"/>
      <c r="BU546" s="1931"/>
      <c r="BV546" s="1931"/>
      <c r="BW546" s="1931"/>
      <c r="BX546" s="1931"/>
      <c r="BY546" s="1931"/>
      <c r="BZ546" s="1931"/>
      <c r="CA546" s="1931"/>
      <c r="CB546" s="1931"/>
      <c r="CC546" s="1931"/>
      <c r="CD546" s="1931"/>
      <c r="CE546" s="1930"/>
      <c r="CF546" s="1930"/>
      <c r="CG546" s="1930"/>
      <c r="CH546" s="1930"/>
      <c r="CI546" s="1931"/>
      <c r="CJ546" s="1931"/>
      <c r="CK546" s="1931"/>
      <c r="CL546" s="1931"/>
      <c r="CM546" s="1931"/>
      <c r="CN546" s="1931"/>
      <c r="CO546" s="1931"/>
      <c r="CP546" s="1931"/>
      <c r="CQ546" s="1931"/>
      <c r="CR546" s="1931"/>
      <c r="CS546" s="1931"/>
      <c r="CT546" s="1930"/>
      <c r="CU546" s="1930"/>
      <c r="CV546" s="1930"/>
      <c r="CW546" s="1930"/>
      <c r="CX546" s="1931"/>
      <c r="CY546" s="1931"/>
      <c r="CZ546" s="1931"/>
      <c r="DA546" s="1931"/>
      <c r="DB546" s="1932"/>
    </row>
    <row r="547" spans="2:110" s="55" customFormat="1" hidden="1" outlineLevel="1" x14ac:dyDescent="0.25">
      <c r="C547" s="151"/>
      <c r="D547" s="3081" t="s">
        <v>28</v>
      </c>
      <c r="E547" s="3081" t="s">
        <v>2758</v>
      </c>
      <c r="F547" s="83" t="s">
        <v>3043</v>
      </c>
      <c r="G547" s="3081" t="s">
        <v>3044</v>
      </c>
      <c r="H547" s="3081" t="s">
        <v>3045</v>
      </c>
      <c r="I547" s="3081" t="s">
        <v>3046</v>
      </c>
      <c r="J547" s="3081" t="s">
        <v>745</v>
      </c>
      <c r="K547" s="401"/>
      <c r="L547" s="401"/>
      <c r="M547" s="401"/>
      <c r="N547" s="401"/>
      <c r="O547" s="401"/>
      <c r="P547" s="401"/>
      <c r="Q547" s="401"/>
      <c r="R547" s="401"/>
      <c r="S547" s="401"/>
      <c r="T547" s="401"/>
      <c r="U547" s="401"/>
      <c r="DB547" s="72"/>
    </row>
    <row r="548" spans="2:110" hidden="1" outlineLevel="1" x14ac:dyDescent="0.25">
      <c r="D548" s="1967" t="str">
        <f>C532</f>
        <v>804650_2019_12_</v>
      </c>
      <c r="E548" s="1967" t="str">
        <f t="shared" ref="E548:E554" si="184">E532</f>
        <v>Compressed Air Nozzle (Reciprocating - On/off Control)</v>
      </c>
      <c r="F548" s="1357">
        <v>58</v>
      </c>
      <c r="G548" s="88">
        <v>0.5</v>
      </c>
      <c r="H548" s="1396">
        <v>0.18</v>
      </c>
      <c r="I548" s="1376">
        <v>0.05</v>
      </c>
      <c r="J548" s="1395">
        <v>5928</v>
      </c>
      <c r="K548" s="1965"/>
      <c r="L548" s="1965"/>
      <c r="M548" s="1965"/>
      <c r="N548" s="1965"/>
      <c r="O548" s="1965"/>
      <c r="P548" s="1965"/>
      <c r="Q548" s="1965"/>
      <c r="R548" s="1965"/>
      <c r="S548" s="1965"/>
      <c r="T548" s="1965"/>
      <c r="U548" s="1965"/>
      <c r="V548" s="1931"/>
      <c r="W548" s="1931"/>
      <c r="X548" s="1931"/>
      <c r="Y548" s="1931"/>
      <c r="Z548" s="1931"/>
      <c r="AA548" s="1931"/>
      <c r="AB548" s="1931"/>
      <c r="AC548" s="1931"/>
      <c r="AD548" s="1931"/>
      <c r="AE548" s="1931"/>
      <c r="AF548" s="1931"/>
      <c r="AG548" s="1931"/>
      <c r="AH548" s="1931"/>
      <c r="AI548" s="1931"/>
      <c r="AJ548" s="1931"/>
      <c r="AK548" s="1931"/>
      <c r="AL548" s="1931"/>
      <c r="AM548" s="1931"/>
      <c r="AN548" s="1931"/>
      <c r="AO548" s="1931"/>
      <c r="AP548" s="1931"/>
      <c r="AQ548" s="1931"/>
      <c r="AR548" s="1931"/>
      <c r="AS548" s="1931"/>
      <c r="AT548" s="1931"/>
      <c r="AU548" s="1931"/>
      <c r="AV548" s="1931"/>
      <c r="AW548" s="1931"/>
      <c r="AX548" s="1931"/>
      <c r="AY548" s="1931"/>
      <c r="AZ548" s="1931"/>
      <c r="BA548" s="1931"/>
      <c r="BB548" s="1931"/>
      <c r="BC548" s="1931"/>
      <c r="BD548" s="1931"/>
      <c r="BE548" s="1931"/>
      <c r="BF548" s="1931"/>
      <c r="BG548" s="1931"/>
      <c r="BH548" s="1931"/>
      <c r="BI548" s="1931"/>
      <c r="BJ548" s="1931"/>
      <c r="BK548" s="1931"/>
      <c r="BL548" s="1931"/>
      <c r="BM548" s="1931"/>
      <c r="BN548" s="1931"/>
      <c r="BO548" s="1931"/>
      <c r="BP548" s="1931"/>
      <c r="BQ548" s="1931"/>
      <c r="BR548" s="1931"/>
      <c r="BS548" s="1931"/>
      <c r="BT548" s="1931"/>
      <c r="BU548" s="1931"/>
      <c r="BV548" s="1931"/>
      <c r="BW548" s="1931"/>
      <c r="BX548" s="1931"/>
      <c r="BY548" s="1931"/>
      <c r="BZ548" s="1931"/>
      <c r="CA548" s="1931"/>
      <c r="CB548" s="1931"/>
      <c r="CC548" s="1931"/>
      <c r="CD548" s="1931"/>
      <c r="CE548" s="1930"/>
      <c r="CF548" s="1930"/>
      <c r="CG548" s="1930"/>
      <c r="CH548" s="1930"/>
      <c r="CI548" s="1931"/>
      <c r="CJ548" s="1931"/>
      <c r="CK548" s="1931"/>
      <c r="CL548" s="1931"/>
      <c r="CM548" s="1931"/>
      <c r="CN548" s="1931"/>
      <c r="CO548" s="1931"/>
      <c r="CP548" s="1931"/>
      <c r="CQ548" s="1931"/>
      <c r="CR548" s="1931"/>
      <c r="CS548" s="1931"/>
      <c r="CT548" s="1930"/>
      <c r="CU548" s="1930"/>
      <c r="CV548" s="1930"/>
      <c r="CW548" s="1930"/>
      <c r="CX548" s="1931"/>
      <c r="CY548" s="1931"/>
      <c r="CZ548" s="1931"/>
      <c r="DA548" s="1931"/>
      <c r="DB548" s="1932"/>
    </row>
    <row r="549" spans="2:110" hidden="1" outlineLevel="1" x14ac:dyDescent="0.25">
      <c r="D549" s="1967" t="str">
        <f t="shared" ref="D549:D554" si="185">C533</f>
        <v>804700_2019_12_</v>
      </c>
      <c r="E549" s="1967" t="str">
        <f t="shared" si="184"/>
        <v>Compressed Air Nozzle (Reciprocating - Load/Unload)</v>
      </c>
      <c r="F549" s="1357">
        <v>58</v>
      </c>
      <c r="G549" s="88">
        <v>0.5</v>
      </c>
      <c r="H549" s="1396">
        <v>0.14000000000000001</v>
      </c>
      <c r="I549" s="1376">
        <v>0.05</v>
      </c>
      <c r="J549" s="1395">
        <v>5928</v>
      </c>
      <c r="K549" s="1965"/>
      <c r="L549" s="1965"/>
      <c r="M549" s="1965"/>
      <c r="N549" s="1965"/>
      <c r="O549" s="1965"/>
      <c r="P549" s="1965"/>
      <c r="Q549" s="1965"/>
      <c r="R549" s="1965"/>
      <c r="S549" s="1965"/>
      <c r="T549" s="1965"/>
      <c r="U549" s="1965"/>
      <c r="V549" s="1931"/>
      <c r="W549" s="1931"/>
      <c r="X549" s="1931"/>
      <c r="Y549" s="1931"/>
      <c r="Z549" s="1931"/>
      <c r="AA549" s="1931"/>
      <c r="AB549" s="1931"/>
      <c r="AC549" s="1931"/>
      <c r="AD549" s="1931"/>
      <c r="AE549" s="1931"/>
      <c r="AF549" s="1931"/>
      <c r="AG549" s="1931"/>
      <c r="AH549" s="1931"/>
      <c r="AI549" s="1931"/>
      <c r="AJ549" s="1931"/>
      <c r="AK549" s="1931"/>
      <c r="AL549" s="1931"/>
      <c r="AM549" s="1931"/>
      <c r="AN549" s="1931"/>
      <c r="AO549" s="1931"/>
      <c r="AP549" s="1931"/>
      <c r="AQ549" s="1931"/>
      <c r="AR549" s="1931"/>
      <c r="AS549" s="1931"/>
      <c r="AT549" s="1931"/>
      <c r="AU549" s="1931"/>
      <c r="AV549" s="1931"/>
      <c r="AW549" s="1931"/>
      <c r="AX549" s="1931"/>
      <c r="AY549" s="1931"/>
      <c r="AZ549" s="1931"/>
      <c r="BA549" s="1931"/>
      <c r="BB549" s="1931"/>
      <c r="BC549" s="1931"/>
      <c r="BD549" s="1931"/>
      <c r="BE549" s="1931"/>
      <c r="BF549" s="1931"/>
      <c r="BG549" s="1931"/>
      <c r="BH549" s="1931"/>
      <c r="BI549" s="1931"/>
      <c r="BJ549" s="1931"/>
      <c r="BK549" s="1931"/>
      <c r="BL549" s="1931"/>
      <c r="BM549" s="1931"/>
      <c r="BN549" s="1931"/>
      <c r="BO549" s="1931"/>
      <c r="BP549" s="1931"/>
      <c r="BQ549" s="1931"/>
      <c r="BR549" s="1931"/>
      <c r="BS549" s="1931"/>
      <c r="BT549" s="1931"/>
      <c r="BU549" s="1931"/>
      <c r="BV549" s="1931"/>
      <c r="BW549" s="1931"/>
      <c r="BX549" s="1931"/>
      <c r="BY549" s="1931"/>
      <c r="BZ549" s="1931"/>
      <c r="CA549" s="1931"/>
      <c r="CB549" s="1931"/>
      <c r="CC549" s="1931"/>
      <c r="CD549" s="1931"/>
      <c r="CE549" s="1930"/>
      <c r="CF549" s="1930"/>
      <c r="CG549" s="1930"/>
      <c r="CH549" s="1930"/>
      <c r="CI549" s="1931"/>
      <c r="CJ549" s="1931"/>
      <c r="CK549" s="1931"/>
      <c r="CL549" s="1931"/>
      <c r="CM549" s="1931"/>
      <c r="CN549" s="1931"/>
      <c r="CO549" s="1931"/>
      <c r="CP549" s="1931"/>
      <c r="CQ549" s="1931"/>
      <c r="CR549" s="1931"/>
      <c r="CS549" s="1931"/>
      <c r="CT549" s="1930"/>
      <c r="CU549" s="1930"/>
      <c r="CV549" s="1930"/>
      <c r="CW549" s="1930"/>
      <c r="CX549" s="1931"/>
      <c r="CY549" s="1931"/>
      <c r="CZ549" s="1931"/>
      <c r="DA549" s="1931"/>
      <c r="DB549" s="1932"/>
    </row>
    <row r="550" spans="2:110" hidden="1" outlineLevel="1" x14ac:dyDescent="0.25">
      <c r="D550" s="1967" t="str">
        <f t="shared" si="185"/>
        <v>804750_2019_12_</v>
      </c>
      <c r="E550" s="1967" t="str">
        <f t="shared" si="184"/>
        <v>Compressed Air Nozzle (Screw - Load/Unload)</v>
      </c>
      <c r="F550" s="1357">
        <v>58</v>
      </c>
      <c r="G550" s="88">
        <v>0.5</v>
      </c>
      <c r="H550" s="1396">
        <v>0.15</v>
      </c>
      <c r="I550" s="1376">
        <v>0.05</v>
      </c>
      <c r="J550" s="1395">
        <v>5928</v>
      </c>
      <c r="K550" s="1965"/>
      <c r="L550" s="1965"/>
      <c r="M550" s="1965"/>
      <c r="N550" s="1965"/>
      <c r="O550" s="1965"/>
      <c r="P550" s="1965"/>
      <c r="Q550" s="1965"/>
      <c r="R550" s="1965"/>
      <c r="S550" s="1965"/>
      <c r="T550" s="1965"/>
      <c r="U550" s="1965"/>
      <c r="V550" s="1931"/>
      <c r="W550" s="1931"/>
      <c r="X550" s="1931"/>
      <c r="Y550" s="1931"/>
      <c r="Z550" s="1931"/>
      <c r="AA550" s="1931"/>
      <c r="AB550" s="1931"/>
      <c r="AC550" s="1931"/>
      <c r="AD550" s="1931"/>
      <c r="AE550" s="1931"/>
      <c r="AF550" s="1931"/>
      <c r="AG550" s="1931"/>
      <c r="AH550" s="1931"/>
      <c r="AI550" s="1931"/>
      <c r="AJ550" s="1931"/>
      <c r="AK550" s="1931"/>
      <c r="AL550" s="1931"/>
      <c r="AM550" s="1931"/>
      <c r="AN550" s="1931"/>
      <c r="AO550" s="1931"/>
      <c r="AP550" s="1931"/>
      <c r="AQ550" s="1931"/>
      <c r="AR550" s="1931"/>
      <c r="AS550" s="1931"/>
      <c r="AT550" s="1931"/>
      <c r="AU550" s="1931"/>
      <c r="AV550" s="1931"/>
      <c r="AW550" s="1931"/>
      <c r="AX550" s="1931"/>
      <c r="AY550" s="1931"/>
      <c r="AZ550" s="1931"/>
      <c r="BA550" s="1931"/>
      <c r="BB550" s="1931"/>
      <c r="BC550" s="1931"/>
      <c r="BD550" s="1931"/>
      <c r="BE550" s="1931"/>
      <c r="BF550" s="1931"/>
      <c r="BG550" s="1931"/>
      <c r="BH550" s="1931"/>
      <c r="BI550" s="1931"/>
      <c r="BJ550" s="1931"/>
      <c r="BK550" s="1931"/>
      <c r="BL550" s="1931"/>
      <c r="BM550" s="1931"/>
      <c r="BN550" s="1931"/>
      <c r="BO550" s="1931"/>
      <c r="BP550" s="1931"/>
      <c r="BQ550" s="1931"/>
      <c r="BR550" s="1931"/>
      <c r="BS550" s="1931"/>
      <c r="BT550" s="1931"/>
      <c r="BU550" s="1931"/>
      <c r="BV550" s="1931"/>
      <c r="BW550" s="1931"/>
      <c r="BX550" s="1931"/>
      <c r="BY550" s="1931"/>
      <c r="BZ550" s="1931"/>
      <c r="CA550" s="1931"/>
      <c r="CB550" s="1931"/>
      <c r="CC550" s="1931"/>
      <c r="CD550" s="1931"/>
      <c r="CE550" s="1930"/>
      <c r="CF550" s="1930"/>
      <c r="CG550" s="1930"/>
      <c r="CH550" s="1930"/>
      <c r="CI550" s="1931"/>
      <c r="CJ550" s="1931"/>
      <c r="CK550" s="1931"/>
      <c r="CL550" s="1931"/>
      <c r="CM550" s="1931"/>
      <c r="CN550" s="1931"/>
      <c r="CO550" s="1931"/>
      <c r="CP550" s="1931"/>
      <c r="CQ550" s="1931"/>
      <c r="CR550" s="1931"/>
      <c r="CS550" s="1931"/>
      <c r="CT550" s="1930"/>
      <c r="CU550" s="1930"/>
      <c r="CV550" s="1930"/>
      <c r="CW550" s="1930"/>
      <c r="CX550" s="1931"/>
      <c r="CY550" s="1931"/>
      <c r="CZ550" s="1931"/>
      <c r="DA550" s="1931"/>
      <c r="DB550" s="1932"/>
    </row>
    <row r="551" spans="2:110" hidden="1" outlineLevel="1" x14ac:dyDescent="0.25">
      <c r="D551" s="1967" t="str">
        <f t="shared" si="185"/>
        <v>804800_2019_12_</v>
      </c>
      <c r="E551" s="1967" t="str">
        <f t="shared" si="184"/>
        <v>Compressed Air Nozzle (Screw - Inlet Modulation)</v>
      </c>
      <c r="F551" s="1357">
        <v>58</v>
      </c>
      <c r="G551" s="88">
        <v>0.5</v>
      </c>
      <c r="H551" s="1396">
        <v>0.06</v>
      </c>
      <c r="I551" s="1376">
        <v>0.05</v>
      </c>
      <c r="J551" s="1395">
        <v>5928</v>
      </c>
      <c r="K551" s="1965"/>
      <c r="L551" s="1965"/>
      <c r="M551" s="1965"/>
      <c r="N551" s="1965"/>
      <c r="O551" s="1965"/>
      <c r="P551" s="1965"/>
      <c r="Q551" s="1965"/>
      <c r="R551" s="1965"/>
      <c r="S551" s="1965"/>
      <c r="T551" s="1965"/>
      <c r="U551" s="1965"/>
      <c r="V551" s="1931"/>
      <c r="W551" s="1931"/>
      <c r="X551" s="1931"/>
      <c r="Y551" s="1931"/>
      <c r="Z551" s="1931"/>
      <c r="AA551" s="1931"/>
      <c r="AB551" s="1931"/>
      <c r="AC551" s="1931"/>
      <c r="AD551" s="1931"/>
      <c r="AE551" s="1931"/>
      <c r="AF551" s="1931"/>
      <c r="AG551" s="1931"/>
      <c r="AH551" s="1931"/>
      <c r="AI551" s="1931"/>
      <c r="AJ551" s="1931"/>
      <c r="AK551" s="1931"/>
      <c r="AL551" s="1931"/>
      <c r="AM551" s="1931"/>
      <c r="AN551" s="1931"/>
      <c r="AO551" s="1931"/>
      <c r="AP551" s="1931"/>
      <c r="AQ551" s="1931"/>
      <c r="AR551" s="1931"/>
      <c r="AS551" s="1931"/>
      <c r="AT551" s="1931"/>
      <c r="AU551" s="1931"/>
      <c r="AV551" s="1931"/>
      <c r="AW551" s="1931"/>
      <c r="AX551" s="1931"/>
      <c r="AY551" s="1931"/>
      <c r="AZ551" s="1931"/>
      <c r="BA551" s="1931"/>
      <c r="BB551" s="1931"/>
      <c r="BC551" s="1931"/>
      <c r="BD551" s="1931"/>
      <c r="BE551" s="1931"/>
      <c r="BF551" s="1931"/>
      <c r="BG551" s="1931"/>
      <c r="BH551" s="1931"/>
      <c r="BI551" s="1931"/>
      <c r="BJ551" s="1931"/>
      <c r="BK551" s="1931"/>
      <c r="BL551" s="1931"/>
      <c r="BM551" s="1931"/>
      <c r="BN551" s="1931"/>
      <c r="BO551" s="1931"/>
      <c r="BP551" s="1931"/>
      <c r="BQ551" s="1931"/>
      <c r="BR551" s="1931"/>
      <c r="BS551" s="1931"/>
      <c r="BT551" s="1931"/>
      <c r="BU551" s="1931"/>
      <c r="BV551" s="1931"/>
      <c r="BW551" s="1931"/>
      <c r="BX551" s="1931"/>
      <c r="BY551" s="1931"/>
      <c r="BZ551" s="1931"/>
      <c r="CA551" s="1931"/>
      <c r="CB551" s="1931"/>
      <c r="CC551" s="1931"/>
      <c r="CD551" s="1931"/>
      <c r="CE551" s="1930"/>
      <c r="CF551" s="1930"/>
      <c r="CG551" s="1930"/>
      <c r="CH551" s="1930"/>
      <c r="CI551" s="1931"/>
      <c r="CJ551" s="1931"/>
      <c r="CK551" s="1931"/>
      <c r="CL551" s="1931"/>
      <c r="CM551" s="1931"/>
      <c r="CN551" s="1931"/>
      <c r="CO551" s="1931"/>
      <c r="CP551" s="1931"/>
      <c r="CQ551" s="1931"/>
      <c r="CR551" s="1931"/>
      <c r="CS551" s="1931"/>
      <c r="CT551" s="1930"/>
      <c r="CU551" s="1930"/>
      <c r="CV551" s="1930"/>
      <c r="CW551" s="1930"/>
      <c r="CX551" s="1931"/>
      <c r="CY551" s="1931"/>
      <c r="CZ551" s="1931"/>
      <c r="DA551" s="1931"/>
      <c r="DB551" s="1932"/>
    </row>
    <row r="552" spans="2:110" hidden="1" outlineLevel="1" x14ac:dyDescent="0.25">
      <c r="D552" s="1967" t="str">
        <f t="shared" si="185"/>
        <v>804850_2019_12_</v>
      </c>
      <c r="E552" s="1967" t="str">
        <f t="shared" si="184"/>
        <v>Compressed Air Nozzle (Screw - Inlet Modulation w/ Unloading)</v>
      </c>
      <c r="F552" s="1357">
        <v>58</v>
      </c>
      <c r="G552" s="88">
        <v>0.5</v>
      </c>
      <c r="H552" s="1396">
        <v>0.06</v>
      </c>
      <c r="I552" s="1376">
        <v>0.05</v>
      </c>
      <c r="J552" s="1395">
        <v>5928</v>
      </c>
      <c r="K552" s="1965"/>
      <c r="L552" s="1965"/>
      <c r="M552" s="1965"/>
      <c r="N552" s="1965"/>
      <c r="O552" s="1965"/>
      <c r="P552" s="1965"/>
      <c r="Q552" s="1965"/>
      <c r="R552" s="1965"/>
      <c r="S552" s="1965"/>
      <c r="T552" s="1965"/>
      <c r="U552" s="1965"/>
      <c r="V552" s="1931"/>
      <c r="W552" s="1931"/>
      <c r="X552" s="1931"/>
      <c r="Y552" s="1931"/>
      <c r="Z552" s="1931"/>
      <c r="AA552" s="1931"/>
      <c r="AB552" s="1931"/>
      <c r="AC552" s="1931"/>
      <c r="AD552" s="1931"/>
      <c r="AE552" s="1931"/>
      <c r="AF552" s="1931"/>
      <c r="AG552" s="1931"/>
      <c r="AH552" s="1931"/>
      <c r="AI552" s="1931"/>
      <c r="AJ552" s="1931"/>
      <c r="AK552" s="1931"/>
      <c r="AL552" s="1931"/>
      <c r="AM552" s="1931"/>
      <c r="AN552" s="1931"/>
      <c r="AO552" s="1931"/>
      <c r="AP552" s="1931"/>
      <c r="AQ552" s="1931"/>
      <c r="AR552" s="1931"/>
      <c r="AS552" s="1931"/>
      <c r="AT552" s="1931"/>
      <c r="AU552" s="1931"/>
      <c r="AV552" s="1931"/>
      <c r="AW552" s="1931"/>
      <c r="AX552" s="1931"/>
      <c r="AY552" s="1931"/>
      <c r="AZ552" s="1931"/>
      <c r="BA552" s="1931"/>
      <c r="BB552" s="1931"/>
      <c r="BC552" s="1931"/>
      <c r="BD552" s="1931"/>
      <c r="BE552" s="1931"/>
      <c r="BF552" s="1931"/>
      <c r="BG552" s="1931"/>
      <c r="BH552" s="1931"/>
      <c r="BI552" s="1931"/>
      <c r="BJ552" s="1931"/>
      <c r="BK552" s="1931"/>
      <c r="BL552" s="1931"/>
      <c r="BM552" s="1931"/>
      <c r="BN552" s="1931"/>
      <c r="BO552" s="1931"/>
      <c r="BP552" s="1931"/>
      <c r="BQ552" s="1931"/>
      <c r="BR552" s="1931"/>
      <c r="BS552" s="1931"/>
      <c r="BT552" s="1931"/>
      <c r="BU552" s="1931"/>
      <c r="BV552" s="1931"/>
      <c r="BW552" s="1931"/>
      <c r="BX552" s="1931"/>
      <c r="BY552" s="1931"/>
      <c r="BZ552" s="1931"/>
      <c r="CA552" s="1931"/>
      <c r="CB552" s="1931"/>
      <c r="CC552" s="1931"/>
      <c r="CD552" s="1931"/>
      <c r="CE552" s="1930"/>
      <c r="CF552" s="1930"/>
      <c r="CG552" s="1930"/>
      <c r="CH552" s="1930"/>
      <c r="CI552" s="1931"/>
      <c r="CJ552" s="1931"/>
      <c r="CK552" s="1931"/>
      <c r="CL552" s="1931"/>
      <c r="CM552" s="1931"/>
      <c r="CN552" s="1931"/>
      <c r="CO552" s="1931"/>
      <c r="CP552" s="1931"/>
      <c r="CQ552" s="1931"/>
      <c r="CR552" s="1931"/>
      <c r="CS552" s="1931"/>
      <c r="CT552" s="1930"/>
      <c r="CU552" s="1930"/>
      <c r="CV552" s="1930"/>
      <c r="CW552" s="1930"/>
      <c r="CX552" s="1931"/>
      <c r="CY552" s="1931"/>
      <c r="CZ552" s="1931"/>
      <c r="DA552" s="1931"/>
      <c r="DB552" s="1932"/>
    </row>
    <row r="553" spans="2:110" hidden="1" outlineLevel="1" x14ac:dyDescent="0.25">
      <c r="D553" s="1967" t="str">
        <f t="shared" si="185"/>
        <v>804900_2019_12_</v>
      </c>
      <c r="E553" s="1967" t="str">
        <f t="shared" si="184"/>
        <v>Compressed Air Nozzle (Screw - Variable Displacement)</v>
      </c>
      <c r="F553" s="1357">
        <v>58</v>
      </c>
      <c r="G553" s="88">
        <v>0.5</v>
      </c>
      <c r="H553" s="1396">
        <v>0.15</v>
      </c>
      <c r="I553" s="1376">
        <v>0.05</v>
      </c>
      <c r="J553" s="1395">
        <v>5928</v>
      </c>
      <c r="K553" s="1965"/>
      <c r="L553" s="1965"/>
      <c r="M553" s="1965"/>
      <c r="N553" s="1965"/>
      <c r="O553" s="1965"/>
      <c r="P553" s="1965"/>
      <c r="Q553" s="1965"/>
      <c r="R553" s="1965"/>
      <c r="S553" s="1965"/>
      <c r="T553" s="1965"/>
      <c r="U553" s="1965"/>
      <c r="V553" s="1931"/>
      <c r="W553" s="1931"/>
      <c r="X553" s="1931"/>
      <c r="Y553" s="1931"/>
      <c r="Z553" s="1931"/>
      <c r="AA553" s="1931"/>
      <c r="AB553" s="1931"/>
      <c r="AC553" s="1931"/>
      <c r="AD553" s="1931"/>
      <c r="AE553" s="1931"/>
      <c r="AF553" s="1931"/>
      <c r="AG553" s="1931"/>
      <c r="AH553" s="1931"/>
      <c r="AI553" s="1931"/>
      <c r="AJ553" s="1931"/>
      <c r="AK553" s="1931"/>
      <c r="AL553" s="1931"/>
      <c r="AM553" s="1931"/>
      <c r="AN553" s="1931"/>
      <c r="AO553" s="1931"/>
      <c r="AP553" s="1931"/>
      <c r="AQ553" s="1931"/>
      <c r="AR553" s="1931"/>
      <c r="AS553" s="1931"/>
      <c r="AT553" s="1931"/>
      <c r="AU553" s="1931"/>
      <c r="AV553" s="1931"/>
      <c r="AW553" s="1931"/>
      <c r="AX553" s="1931"/>
      <c r="AY553" s="1931"/>
      <c r="AZ553" s="1931"/>
      <c r="BA553" s="1931"/>
      <c r="BB553" s="1931"/>
      <c r="BC553" s="1931"/>
      <c r="BD553" s="1931"/>
      <c r="BE553" s="1931"/>
      <c r="BF553" s="1931"/>
      <c r="BG553" s="1931"/>
      <c r="BH553" s="1931"/>
      <c r="BI553" s="1931"/>
      <c r="BJ553" s="1931"/>
      <c r="BK553" s="1931"/>
      <c r="BL553" s="1931"/>
      <c r="BM553" s="1931"/>
      <c r="BN553" s="1931"/>
      <c r="BO553" s="1931"/>
      <c r="BP553" s="1931"/>
      <c r="BQ553" s="1931"/>
      <c r="BR553" s="1931"/>
      <c r="BS553" s="1931"/>
      <c r="BT553" s="1931"/>
      <c r="BU553" s="1931"/>
      <c r="BV553" s="1931"/>
      <c r="BW553" s="1931"/>
      <c r="BX553" s="1931"/>
      <c r="BY553" s="1931"/>
      <c r="BZ553" s="1931"/>
      <c r="CA553" s="1931"/>
      <c r="CB553" s="1931"/>
      <c r="CC553" s="1931"/>
      <c r="CD553" s="1931"/>
      <c r="CE553" s="1930"/>
      <c r="CF553" s="1930"/>
      <c r="CG553" s="1930"/>
      <c r="CH553" s="1930"/>
      <c r="CI553" s="1931"/>
      <c r="CJ553" s="1931"/>
      <c r="CK553" s="1931"/>
      <c r="CL553" s="1931"/>
      <c r="CM553" s="1931"/>
      <c r="CN553" s="1931"/>
      <c r="CO553" s="1931"/>
      <c r="CP553" s="1931"/>
      <c r="CQ553" s="1931"/>
      <c r="CR553" s="1931"/>
      <c r="CS553" s="1931"/>
      <c r="CT553" s="1930"/>
      <c r="CU553" s="1930"/>
      <c r="CV553" s="1930"/>
      <c r="CW553" s="1930"/>
      <c r="CX553" s="1931"/>
      <c r="CY553" s="1931"/>
      <c r="CZ553" s="1931"/>
      <c r="DA553" s="1931"/>
      <c r="DB553" s="1932"/>
    </row>
    <row r="554" spans="2:110" hidden="1" outlineLevel="1" x14ac:dyDescent="0.25">
      <c r="D554" s="1967" t="str">
        <f t="shared" si="185"/>
        <v>804950_2019_12_</v>
      </c>
      <c r="E554" s="1967" t="str">
        <f t="shared" si="184"/>
        <v>Compressed Air Nozzle (Screw - VFD)</v>
      </c>
      <c r="F554" s="1357">
        <v>58</v>
      </c>
      <c r="G554" s="88">
        <v>0.5</v>
      </c>
      <c r="H554" s="1396">
        <v>0.18</v>
      </c>
      <c r="I554" s="1376">
        <v>0.05</v>
      </c>
      <c r="J554" s="1395">
        <v>5928</v>
      </c>
      <c r="K554" s="1965"/>
      <c r="L554" s="1965"/>
      <c r="M554" s="1965"/>
      <c r="N554" s="1965"/>
      <c r="O554" s="1965"/>
      <c r="P554" s="1965"/>
      <c r="Q554" s="1965"/>
      <c r="R554" s="1965"/>
      <c r="S554" s="1965"/>
      <c r="T554" s="1965"/>
      <c r="U554" s="1965"/>
      <c r="V554" s="1931"/>
      <c r="W554" s="1931"/>
      <c r="X554" s="1931"/>
      <c r="Y554" s="1931"/>
      <c r="Z554" s="1931"/>
      <c r="AA554" s="1931"/>
      <c r="AB554" s="1931"/>
      <c r="AC554" s="1931"/>
      <c r="AD554" s="1931"/>
      <c r="AE554" s="1931"/>
      <c r="AF554" s="1931"/>
      <c r="AG554" s="1931"/>
      <c r="AH554" s="1931"/>
      <c r="AI554" s="1931"/>
      <c r="AJ554" s="1931"/>
      <c r="AK554" s="1931"/>
      <c r="AL554" s="1931"/>
      <c r="AM554" s="1931"/>
      <c r="AN554" s="1931"/>
      <c r="AO554" s="1931"/>
      <c r="AP554" s="1931"/>
      <c r="AQ554" s="1931"/>
      <c r="AR554" s="1931"/>
      <c r="AS554" s="1931"/>
      <c r="AT554" s="1931"/>
      <c r="AU554" s="1931"/>
      <c r="AV554" s="1931"/>
      <c r="AW554" s="1931"/>
      <c r="AX554" s="1931"/>
      <c r="AY554" s="1931"/>
      <c r="AZ554" s="1931"/>
      <c r="BA554" s="1931"/>
      <c r="BB554" s="1931"/>
      <c r="BC554" s="1931"/>
      <c r="BD554" s="1931"/>
      <c r="BE554" s="1931"/>
      <c r="BF554" s="1931"/>
      <c r="BG554" s="1931"/>
      <c r="BH554" s="1931"/>
      <c r="BI554" s="1931"/>
      <c r="BJ554" s="1931"/>
      <c r="BK554" s="1931"/>
      <c r="BL554" s="1931"/>
      <c r="BM554" s="1931"/>
      <c r="BN554" s="1931"/>
      <c r="BO554" s="1931"/>
      <c r="BP554" s="1931"/>
      <c r="BQ554" s="1931"/>
      <c r="BR554" s="1931"/>
      <c r="BS554" s="1931"/>
      <c r="BT554" s="1931"/>
      <c r="BU554" s="1931"/>
      <c r="BV554" s="1931"/>
      <c r="BW554" s="1931"/>
      <c r="BX554" s="1931"/>
      <c r="BY554" s="1931"/>
      <c r="BZ554" s="1931"/>
      <c r="CA554" s="1931"/>
      <c r="CB554" s="1931"/>
      <c r="CC554" s="1931"/>
      <c r="CD554" s="1931"/>
      <c r="CE554" s="1930"/>
      <c r="CF554" s="1930"/>
      <c r="CG554" s="1930"/>
      <c r="CH554" s="1930"/>
      <c r="CI554" s="1931"/>
      <c r="CJ554" s="1931"/>
      <c r="CK554" s="1931"/>
      <c r="CL554" s="1931"/>
      <c r="CM554" s="1931"/>
      <c r="CN554" s="1931"/>
      <c r="CO554" s="1931"/>
      <c r="CP554" s="1931"/>
      <c r="CQ554" s="1931"/>
      <c r="CR554" s="1931"/>
      <c r="CS554" s="1931"/>
      <c r="CT554" s="1930"/>
      <c r="CU554" s="1930"/>
      <c r="CV554" s="1930"/>
      <c r="CW554" s="1930"/>
      <c r="CX554" s="1931"/>
      <c r="CY554" s="1931"/>
      <c r="CZ554" s="1931"/>
      <c r="DA554" s="1931"/>
      <c r="DB554" s="1932"/>
    </row>
    <row r="555" spans="2:110" collapsed="1" x14ac:dyDescent="0.25">
      <c r="D555" s="1966"/>
      <c r="E555" s="1965"/>
      <c r="F555" s="1965"/>
      <c r="G555" s="1968"/>
      <c r="H555" s="1969"/>
      <c r="I555" s="1965"/>
      <c r="J555" s="1965"/>
      <c r="K555" s="1965"/>
      <c r="L555" s="1965"/>
      <c r="M555" s="1965"/>
      <c r="N555" s="1965"/>
      <c r="O555" s="1965"/>
      <c r="P555" s="1965"/>
      <c r="Q555" s="1965"/>
      <c r="R555" s="1965"/>
      <c r="S555" s="1965"/>
      <c r="T555" s="1965"/>
      <c r="U555" s="1965"/>
      <c r="V555" s="1931"/>
      <c r="W555" s="1931"/>
      <c r="X555" s="1931"/>
      <c r="Y555" s="1931"/>
      <c r="Z555" s="1931"/>
      <c r="AA555" s="1931"/>
      <c r="AB555" s="1931"/>
      <c r="AC555" s="1931"/>
      <c r="AD555" s="1931"/>
      <c r="AE555" s="1931"/>
      <c r="AF555" s="1931"/>
      <c r="AG555" s="1931"/>
      <c r="AH555" s="1931"/>
      <c r="AI555" s="1931"/>
      <c r="AJ555" s="1931"/>
      <c r="AK555" s="1931"/>
      <c r="AL555" s="1931"/>
      <c r="AM555" s="1931"/>
      <c r="AN555" s="1931"/>
      <c r="AO555" s="1931"/>
      <c r="AP555" s="1931"/>
      <c r="AQ555" s="1931"/>
      <c r="AR555" s="1931"/>
      <c r="AS555" s="1931"/>
      <c r="AT555" s="1931"/>
      <c r="AU555" s="1931"/>
      <c r="AV555" s="1931"/>
      <c r="AW555" s="1931"/>
      <c r="AX555" s="1931"/>
      <c r="AY555" s="1931"/>
      <c r="AZ555" s="1931"/>
      <c r="BA555" s="1931"/>
      <c r="BB555" s="1931"/>
      <c r="BC555" s="1931"/>
      <c r="BD555" s="1931"/>
      <c r="BE555" s="1931"/>
      <c r="BF555" s="1931"/>
      <c r="BG555" s="1931"/>
      <c r="BH555" s="1931"/>
      <c r="BI555" s="1931"/>
      <c r="BJ555" s="1931"/>
      <c r="BK555" s="1931"/>
      <c r="BL555" s="1931"/>
      <c r="BM555" s="1931"/>
      <c r="BN555" s="1931"/>
      <c r="BO555" s="1931"/>
      <c r="BP555" s="1931"/>
      <c r="BQ555" s="1931"/>
      <c r="BR555" s="1931"/>
      <c r="BS555" s="1931"/>
      <c r="BT555" s="1931"/>
      <c r="BU555" s="1931"/>
      <c r="BV555" s="1931"/>
      <c r="BW555" s="1931"/>
      <c r="BX555" s="1931"/>
      <c r="BY555" s="1931"/>
      <c r="BZ555" s="1931"/>
      <c r="CA555" s="1931"/>
      <c r="CB555" s="1931"/>
      <c r="CC555" s="1931"/>
      <c r="CD555" s="1931"/>
      <c r="CE555" s="1930"/>
      <c r="CF555" s="1930"/>
      <c r="CG555" s="1930"/>
      <c r="CH555" s="1930"/>
      <c r="CI555" s="1931"/>
      <c r="CJ555" s="1931"/>
      <c r="CK555" s="1931"/>
      <c r="CL555" s="1931"/>
      <c r="CM555" s="1931"/>
      <c r="CN555" s="1931"/>
      <c r="CO555" s="1931"/>
      <c r="CP555" s="1931"/>
      <c r="CQ555" s="1931"/>
      <c r="CR555" s="1931"/>
      <c r="CS555" s="1931"/>
      <c r="CT555" s="1930"/>
      <c r="CU555" s="1930"/>
      <c r="CV555" s="1930"/>
      <c r="CW555" s="1930"/>
      <c r="CX555" s="1931"/>
      <c r="CY555" s="1931"/>
      <c r="CZ555" s="1931"/>
      <c r="DA555" s="1931"/>
      <c r="DB555" s="1932"/>
    </row>
    <row r="557" spans="2:110" s="44" customFormat="1" ht="30" x14ac:dyDescent="0.25">
      <c r="B557" s="45"/>
      <c r="C557" s="46" t="s">
        <v>28</v>
      </c>
      <c r="D557" s="46" t="s">
        <v>29</v>
      </c>
      <c r="E557" s="3196" t="s">
        <v>30</v>
      </c>
      <c r="F557" s="3196" t="s">
        <v>2832</v>
      </c>
      <c r="G557" s="3196" t="s">
        <v>176</v>
      </c>
      <c r="H557" s="47" t="s">
        <v>177</v>
      </c>
      <c r="I557" s="3196" t="s">
        <v>32</v>
      </c>
      <c r="J557" s="3196" t="s">
        <v>181</v>
      </c>
      <c r="K557" s="46" t="s">
        <v>170</v>
      </c>
      <c r="L557" s="46" t="s">
        <v>44</v>
      </c>
      <c r="M557" s="1965"/>
      <c r="N557" s="1392"/>
      <c r="O557" s="1367"/>
      <c r="P557" s="1368"/>
      <c r="Q557" s="1288"/>
      <c r="R557" s="1288"/>
      <c r="S557" s="1288"/>
      <c r="T557" s="1288"/>
      <c r="U557" s="1288"/>
      <c r="V557" s="1936" t="s">
        <v>45</v>
      </c>
      <c r="W557" s="1937">
        <f>$W$8</f>
        <v>43252</v>
      </c>
      <c r="X557" s="1937">
        <f>$X$8</f>
        <v>43465</v>
      </c>
      <c r="Y557" s="1937">
        <f>$Y$8</f>
        <v>43800</v>
      </c>
      <c r="Z557" s="1937">
        <f>$Z$8</f>
        <v>43862</v>
      </c>
      <c r="AA557" s="1937">
        <f>$AA$8</f>
        <v>44013</v>
      </c>
      <c r="AB557" s="1937">
        <v>44166</v>
      </c>
      <c r="AC557" s="1937">
        <f>$AC$8</f>
        <v>44531</v>
      </c>
      <c r="AD557" s="1937" t="str">
        <f>$AD$8</f>
        <v>-</v>
      </c>
      <c r="AE557" s="1937" t="str">
        <f>$AE$8</f>
        <v>-</v>
      </c>
      <c r="AF557" s="1937" t="str">
        <f>$AF$8</f>
        <v>-</v>
      </c>
      <c r="AG557" s="1937" t="str">
        <f>$AG$8</f>
        <v>-</v>
      </c>
      <c r="AH557" s="1930"/>
      <c r="AI557" s="1936" t="s">
        <v>45</v>
      </c>
      <c r="AJ557" s="1937">
        <v>43252</v>
      </c>
      <c r="AK557" s="1937">
        <f>$X$8</f>
        <v>43465</v>
      </c>
      <c r="AL557" s="1937">
        <f>$Y$8</f>
        <v>43800</v>
      </c>
      <c r="AM557" s="1937">
        <f>$Z$8</f>
        <v>43862</v>
      </c>
      <c r="AN557" s="1937">
        <f>$AA$8</f>
        <v>44013</v>
      </c>
      <c r="AO557" s="1937">
        <f>$AB$8</f>
        <v>44166</v>
      </c>
      <c r="AP557" s="1937">
        <f>$AC$8</f>
        <v>44531</v>
      </c>
      <c r="AQ557" s="1937" t="str">
        <f>$AD$8</f>
        <v>-</v>
      </c>
      <c r="AR557" s="1937" t="str">
        <f>$AE$8</f>
        <v>-</v>
      </c>
      <c r="AS557" s="1937" t="str">
        <f>$AF$8</f>
        <v>-</v>
      </c>
      <c r="AT557" s="1933"/>
      <c r="AU557" s="1936" t="s">
        <v>45</v>
      </c>
      <c r="AV557" s="1937">
        <v>43252</v>
      </c>
      <c r="AW557" s="1937">
        <f>$X$8</f>
        <v>43465</v>
      </c>
      <c r="AX557" s="1937">
        <f>$Y$8</f>
        <v>43800</v>
      </c>
      <c r="AY557" s="1937">
        <f>$Z$8</f>
        <v>43862</v>
      </c>
      <c r="AZ557" s="1937">
        <f>$AA$8</f>
        <v>44013</v>
      </c>
      <c r="BA557" s="1937">
        <v>44166</v>
      </c>
      <c r="BB557" s="1937">
        <f>$AC$8</f>
        <v>44531</v>
      </c>
      <c r="BC557" s="1937" t="str">
        <f>$AD$8</f>
        <v>-</v>
      </c>
      <c r="BD557" s="1937" t="str">
        <f>$AE$8</f>
        <v>-</v>
      </c>
      <c r="BE557" s="1937" t="str">
        <f>$AF$8</f>
        <v>-</v>
      </c>
      <c r="DB557" s="1938" t="str">
        <f>$DB$8</f>
        <v>TRC (2020)</v>
      </c>
      <c r="DC557" s="1953" t="str">
        <f>$DC$8</f>
        <v>Benefit Lookup</v>
      </c>
      <c r="DD557" s="1953" t="str">
        <f>$DD$8</f>
        <v>Benefits (2019 $)</v>
      </c>
      <c r="DE557" s="1953" t="str">
        <f>$DE$8</f>
        <v>Incremental Cost (2019 $)</v>
      </c>
    </row>
    <row r="558" spans="2:110" x14ac:dyDescent="0.25">
      <c r="B558" s="1931"/>
      <c r="C558" s="2462" t="s">
        <v>3047</v>
      </c>
      <c r="D558" s="89" t="s">
        <v>2646</v>
      </c>
      <c r="E558" s="1308" t="s">
        <v>3048</v>
      </c>
      <c r="F558" s="64">
        <f>ROUND(0.9*F568*G568*(H568-I568),2)</f>
        <v>987.01</v>
      </c>
      <c r="G558" s="1290" t="s">
        <v>3014</v>
      </c>
      <c r="H558" s="1291">
        <f>VLOOKUP(G558,'CP FACTORS'!$A$26:$B$38,2,FALSE)</f>
        <v>1.379439E-4</v>
      </c>
      <c r="I558" s="1309">
        <f>ROUND(H558*F558,6)</f>
        <v>0.136152</v>
      </c>
      <c r="J558" s="1354">
        <v>10</v>
      </c>
      <c r="K558" s="1988" t="s">
        <v>3049</v>
      </c>
      <c r="L558" s="1374" t="s">
        <v>3050</v>
      </c>
      <c r="M558" s="1965"/>
      <c r="N558" s="1965"/>
      <c r="O558" s="1965"/>
      <c r="P558" s="1965"/>
      <c r="Q558" s="1965"/>
      <c r="R558" s="1965"/>
      <c r="S558" s="1965"/>
      <c r="T558" s="1965"/>
      <c r="U558" s="1965"/>
      <c r="V558" s="3226" t="str">
        <f>F557</f>
        <v>kWh Annual Savings (per HP)</v>
      </c>
      <c r="W558" s="1947">
        <v>987.01200000000028</v>
      </c>
      <c r="X558" s="1947">
        <v>3272.2560000000003</v>
      </c>
      <c r="Y558" s="1947">
        <v>3272.2560000000003</v>
      </c>
      <c r="Z558" s="1947">
        <v>3272.2560000000003</v>
      </c>
      <c r="AA558" s="1947">
        <v>3272.2560000000003</v>
      </c>
      <c r="AB558" s="1825">
        <v>987.01</v>
      </c>
      <c r="AC558" s="3364">
        <v>987.01</v>
      </c>
      <c r="AD558" s="1941"/>
      <c r="AE558" s="1941"/>
      <c r="AF558" s="1941"/>
      <c r="AG558" s="1941"/>
      <c r="AH558" s="1942"/>
      <c r="AI558" s="3226" t="s">
        <v>181</v>
      </c>
      <c r="AJ558" s="1943">
        <v>10</v>
      </c>
      <c r="AK558" s="1943">
        <v>10</v>
      </c>
      <c r="AL558" s="1943">
        <v>10</v>
      </c>
      <c r="AM558" s="1943">
        <v>10</v>
      </c>
      <c r="AN558" s="1943">
        <v>10</v>
      </c>
      <c r="AO558" s="1939">
        <v>10</v>
      </c>
      <c r="AP558" s="2101">
        <v>10</v>
      </c>
      <c r="AQ558" s="1941"/>
      <c r="AR558" s="1941"/>
      <c r="AS558" s="1941"/>
      <c r="AT558" s="1933"/>
      <c r="AU558" s="3226" t="str">
        <f>K557</f>
        <v>Inc. Cost</v>
      </c>
      <c r="AV558" s="1944">
        <v>1573</v>
      </c>
      <c r="AW558" s="1944">
        <v>1573</v>
      </c>
      <c r="AX558" s="1944">
        <v>1573</v>
      </c>
      <c r="AY558" s="1944">
        <v>1573</v>
      </c>
      <c r="AZ558" s="2391" t="s">
        <v>3049</v>
      </c>
      <c r="BA558" s="1998" t="s">
        <v>3049</v>
      </c>
      <c r="BB558" s="1998" t="s">
        <v>3049</v>
      </c>
      <c r="BC558" s="1941"/>
      <c r="BD558" s="1941"/>
      <c r="BE558" s="1941"/>
      <c r="BF558" s="1931"/>
      <c r="BG558" s="1931"/>
      <c r="BH558" s="1931"/>
      <c r="BI558" s="1931"/>
      <c r="BJ558" s="1931"/>
      <c r="BK558" s="1931"/>
      <c r="BL558" s="1931"/>
      <c r="BM558" s="1931"/>
      <c r="BN558" s="1931"/>
      <c r="BO558" s="1931"/>
      <c r="BP558" s="1931"/>
      <c r="BQ558" s="1931"/>
      <c r="BR558" s="1931"/>
      <c r="BS558" s="1931"/>
      <c r="BT558" s="1931"/>
      <c r="BU558" s="1931"/>
      <c r="BV558" s="1931"/>
      <c r="BW558" s="1931"/>
      <c r="BX558" s="1931"/>
      <c r="BY558" s="1931"/>
      <c r="BZ558" s="1931"/>
      <c r="CA558" s="1931"/>
      <c r="CB558" s="1931"/>
      <c r="CC558" s="1931"/>
      <c r="CD558" s="1931"/>
      <c r="CE558" s="1930"/>
      <c r="CF558" s="1930"/>
      <c r="CG558" s="1930"/>
      <c r="CH558" s="1930"/>
      <c r="CI558" s="1931"/>
      <c r="CJ558" s="1931"/>
      <c r="CK558" s="1931"/>
      <c r="CL558" s="1931"/>
      <c r="CM558" s="1931"/>
      <c r="CN558" s="1931"/>
      <c r="CO558" s="1931"/>
      <c r="CP558" s="1931"/>
      <c r="CQ558" s="1931"/>
      <c r="CR558" s="1931"/>
      <c r="CS558" s="1931"/>
      <c r="CT558" s="1930"/>
      <c r="CU558" s="1930"/>
      <c r="CV558" s="1930"/>
      <c r="CW558" s="1930"/>
      <c r="CX558" s="1931"/>
      <c r="CY558" s="1931"/>
      <c r="CZ558" s="1931"/>
      <c r="DA558" s="1931"/>
      <c r="DB558" s="1954">
        <f>(DD558)/(DE558)</f>
        <v>1.0381828809157441</v>
      </c>
      <c r="DC558" s="3166" t="str">
        <f>CONCATENATE(G558," ",J558," Year EUL")</f>
        <v>Air Comp BUS 10 Year EUL</v>
      </c>
      <c r="DD558" s="2654">
        <f>(INDEX('Avoided Cost Benefits'!$C$4:$C$857,MATCH(DC558,'Avoided Cost Benefits'!$A$4:$A$857,0)))*F558*DE568</f>
        <v>2163.5750835884496</v>
      </c>
      <c r="DE558" s="1956">
        <f>(127*DE568+1446)/(1.0595^(2020-2019))</f>
        <v>2084.001887682869</v>
      </c>
      <c r="DF558" s="1931"/>
    </row>
    <row r="559" spans="2:110" hidden="1" outlineLevel="1" x14ac:dyDescent="0.25">
      <c r="B559" s="1931"/>
      <c r="D559" s="1966"/>
      <c r="E559" s="1966"/>
      <c r="F559" s="1966"/>
      <c r="G559" s="1966"/>
      <c r="H559" s="1299"/>
      <c r="I559" s="1966"/>
      <c r="J559" s="1966"/>
      <c r="K559" s="1966"/>
      <c r="L559" s="1965"/>
      <c r="M559" s="1965"/>
      <c r="N559" s="1965"/>
      <c r="O559" s="1965"/>
      <c r="P559" s="1965"/>
      <c r="Q559" s="1965"/>
      <c r="R559" s="1965"/>
      <c r="S559" s="1965"/>
      <c r="T559" s="1965"/>
      <c r="U559" s="1965"/>
      <c r="V559" s="1931"/>
      <c r="W559" s="1931"/>
      <c r="X559" s="1931"/>
      <c r="Y559" s="1931"/>
      <c r="Z559" s="1931"/>
      <c r="AA559" s="1931"/>
      <c r="AB559" s="1931"/>
      <c r="AC559" s="1931"/>
      <c r="AD559" s="1931"/>
      <c r="AE559" s="1931"/>
      <c r="AF559" s="1931"/>
      <c r="AG559" s="1931"/>
      <c r="AH559" s="1931"/>
      <c r="AI559" s="1931"/>
      <c r="AJ559" s="1931"/>
      <c r="AK559" s="1931"/>
      <c r="AL559" s="1931"/>
      <c r="AM559" s="1931"/>
      <c r="AN559" s="1931"/>
      <c r="AO559" s="1931"/>
      <c r="AP559" s="1931"/>
      <c r="AQ559" s="1931"/>
      <c r="AR559" s="1931"/>
      <c r="AS559" s="1931"/>
      <c r="AT559" s="1931"/>
      <c r="AU559" s="1931"/>
      <c r="AV559" s="1931"/>
      <c r="AW559" s="1931"/>
      <c r="AX559" s="1931"/>
      <c r="AY559" s="1931"/>
      <c r="AZ559" s="1931"/>
      <c r="BA559" s="1931"/>
      <c r="BB559" s="1931"/>
      <c r="BC559" s="1931"/>
      <c r="BD559" s="1931"/>
      <c r="BE559" s="1931"/>
      <c r="BF559" s="1931"/>
      <c r="BG559" s="1931"/>
      <c r="BH559" s="1931"/>
      <c r="BI559" s="1931"/>
      <c r="BJ559" s="1931"/>
      <c r="BK559" s="1931"/>
      <c r="BL559" s="1931"/>
      <c r="BM559" s="1931"/>
      <c r="BN559" s="1931"/>
      <c r="BO559" s="1931"/>
      <c r="BP559" s="1931"/>
      <c r="BQ559" s="1931"/>
      <c r="BR559" s="1931"/>
      <c r="BS559" s="1931"/>
      <c r="BT559" s="1931"/>
      <c r="BU559" s="1931"/>
      <c r="BV559" s="1931"/>
      <c r="BW559" s="1931"/>
      <c r="BX559" s="1931"/>
      <c r="BY559" s="1931"/>
      <c r="BZ559" s="1931"/>
      <c r="CA559" s="1931"/>
      <c r="CB559" s="1931"/>
      <c r="CC559" s="1931"/>
      <c r="CD559" s="1931"/>
      <c r="CE559" s="1930"/>
      <c r="CF559" s="1930"/>
      <c r="CG559" s="1930"/>
      <c r="CH559" s="1930"/>
      <c r="CI559" s="1931"/>
      <c r="CJ559" s="1931"/>
      <c r="CK559" s="1931"/>
      <c r="CL559" s="1931"/>
      <c r="CM559" s="1931"/>
      <c r="CN559" s="1931"/>
      <c r="CO559" s="1931"/>
      <c r="CP559" s="1931"/>
      <c r="CQ559" s="1931"/>
      <c r="CR559" s="1931"/>
      <c r="CS559" s="1931"/>
      <c r="CT559" s="1930"/>
      <c r="CU559" s="1930"/>
      <c r="CV559" s="1930"/>
      <c r="CW559" s="1930"/>
      <c r="CX559" s="1931"/>
      <c r="CY559" s="1931"/>
      <c r="CZ559" s="1931"/>
      <c r="DA559" s="1931"/>
      <c r="DB559" s="1932"/>
      <c r="DC559" s="1931"/>
      <c r="DD559" s="1931"/>
      <c r="DE559" s="1931"/>
      <c r="DF559" s="1931"/>
    </row>
    <row r="560" spans="2:110" hidden="1" outlineLevel="1" x14ac:dyDescent="0.25">
      <c r="B560" s="1931"/>
      <c r="D560" s="1966" t="s">
        <v>2689</v>
      </c>
      <c r="E560" s="1966"/>
      <c r="F560" s="1966"/>
      <c r="G560" s="1966"/>
      <c r="H560" s="1299"/>
      <c r="I560" s="1966"/>
      <c r="J560" s="1966"/>
      <c r="K560" s="1966"/>
      <c r="L560" s="1965"/>
      <c r="M560" s="1965"/>
      <c r="N560" s="1965"/>
      <c r="O560" s="1965"/>
      <c r="P560" s="1965"/>
      <c r="Q560" s="1965"/>
      <c r="R560" s="1965"/>
      <c r="S560" s="1965"/>
      <c r="T560" s="1965"/>
      <c r="U560" s="1965"/>
      <c r="V560" s="1931"/>
      <c r="W560" s="1931"/>
      <c r="X560" s="1931"/>
      <c r="Y560" s="1931"/>
      <c r="Z560" s="1931"/>
      <c r="AA560" s="1931"/>
      <c r="AB560" s="1931"/>
      <c r="AC560" s="1931"/>
      <c r="AD560" s="1931"/>
      <c r="AE560" s="1931"/>
      <c r="AF560" s="1931"/>
      <c r="AG560" s="1931"/>
      <c r="AH560" s="1931"/>
      <c r="AI560" s="1931"/>
      <c r="AJ560" s="1931"/>
      <c r="AK560" s="1931"/>
      <c r="AL560" s="1931"/>
      <c r="AM560" s="1931"/>
      <c r="AN560" s="1931"/>
      <c r="AO560" s="1931"/>
      <c r="AP560" s="1931"/>
      <c r="AQ560" s="1931"/>
      <c r="AR560" s="1931"/>
      <c r="AS560" s="1931"/>
      <c r="AT560" s="1931"/>
      <c r="AU560" s="1931"/>
      <c r="AV560" s="1931"/>
      <c r="AW560" s="1931"/>
      <c r="AX560" s="1931"/>
      <c r="AY560" s="1931"/>
      <c r="AZ560" s="1931"/>
      <c r="BA560" s="1931"/>
      <c r="BB560" s="1931"/>
      <c r="BC560" s="1931"/>
      <c r="BD560" s="1931"/>
      <c r="BE560" s="1931"/>
      <c r="BF560" s="1931"/>
      <c r="BG560" s="1931"/>
      <c r="BH560" s="1931"/>
      <c r="BI560" s="1931"/>
      <c r="BJ560" s="1931"/>
      <c r="BK560" s="1931"/>
      <c r="BL560" s="1931"/>
      <c r="BM560" s="1931"/>
      <c r="BN560" s="1931"/>
      <c r="BO560" s="1931"/>
      <c r="BP560" s="1931"/>
      <c r="BQ560" s="1931"/>
      <c r="BR560" s="1931"/>
      <c r="BS560" s="1931"/>
      <c r="BT560" s="1931"/>
      <c r="BU560" s="1931"/>
      <c r="BV560" s="1931"/>
      <c r="BW560" s="1931"/>
      <c r="BX560" s="1931"/>
      <c r="BY560" s="1931"/>
      <c r="BZ560" s="1931"/>
      <c r="CA560" s="1931"/>
      <c r="CB560" s="1931"/>
      <c r="CC560" s="1931"/>
      <c r="CD560" s="1931"/>
      <c r="CE560" s="1930"/>
      <c r="CF560" s="1930"/>
      <c r="CG560" s="1930"/>
      <c r="CH560" s="1930"/>
      <c r="CI560" s="1931"/>
      <c r="CJ560" s="1931"/>
      <c r="CK560" s="1931"/>
      <c r="CL560" s="1931"/>
      <c r="CM560" s="1931"/>
      <c r="CN560" s="1931"/>
      <c r="CO560" s="1931"/>
      <c r="CP560" s="1931"/>
      <c r="CQ560" s="1931"/>
      <c r="CR560" s="1931"/>
      <c r="CS560" s="1931"/>
      <c r="CT560" s="1930"/>
      <c r="CU560" s="1930"/>
      <c r="CV560" s="1930"/>
      <c r="CW560" s="1930"/>
      <c r="CX560" s="1931"/>
      <c r="CY560" s="1931"/>
      <c r="CZ560" s="1931"/>
      <c r="DA560" s="1931"/>
      <c r="DB560" s="1932"/>
      <c r="DC560" s="1931"/>
      <c r="DD560" s="1931"/>
      <c r="DE560" s="1931"/>
      <c r="DF560" s="1931"/>
    </row>
    <row r="561" spans="2:112" hidden="1" outlineLevel="1" x14ac:dyDescent="0.25">
      <c r="B561" s="1931"/>
      <c r="D561" s="1300"/>
      <c r="E561" s="1965"/>
      <c r="F561" s="1965"/>
      <c r="G561" s="1321"/>
      <c r="H561" s="1322"/>
      <c r="I561" s="1965"/>
      <c r="J561" s="1965"/>
      <c r="K561" s="1965"/>
      <c r="L561" s="1965"/>
      <c r="M561" s="1965"/>
      <c r="N561" s="1965"/>
      <c r="O561" s="1965"/>
      <c r="P561" s="1965"/>
      <c r="Q561" s="1965"/>
      <c r="R561" s="1965"/>
      <c r="S561" s="1965"/>
      <c r="T561" s="1965"/>
      <c r="U561" s="1965"/>
      <c r="V561" s="1931"/>
      <c r="W561" s="1931"/>
      <c r="X561" s="1931"/>
      <c r="Y561" s="1931"/>
      <c r="Z561" s="1931"/>
      <c r="AA561" s="1931"/>
      <c r="AB561" s="1931"/>
      <c r="AC561" s="1931"/>
      <c r="AD561" s="1931"/>
      <c r="AE561" s="1931"/>
      <c r="AF561" s="1931"/>
      <c r="AG561" s="1931"/>
      <c r="AH561" s="1931"/>
      <c r="AI561" s="1931"/>
      <c r="AJ561" s="1931"/>
      <c r="AK561" s="1931"/>
      <c r="AL561" s="1931"/>
      <c r="AM561" s="1931"/>
      <c r="AN561" s="1931"/>
      <c r="AO561" s="1931"/>
      <c r="AP561" s="1931"/>
      <c r="AQ561" s="1931"/>
      <c r="AR561" s="1931"/>
      <c r="AS561" s="1931"/>
      <c r="AT561" s="1931"/>
      <c r="AU561" s="1931"/>
      <c r="AV561" s="1931"/>
      <c r="AW561" s="1931"/>
      <c r="AX561" s="1931"/>
      <c r="AY561" s="1931"/>
      <c r="AZ561" s="1931"/>
      <c r="BA561" s="1931"/>
      <c r="BB561" s="1931"/>
      <c r="BC561" s="1931"/>
      <c r="BD561" s="1931"/>
      <c r="BE561" s="1931"/>
      <c r="BF561" s="1931"/>
      <c r="BG561" s="1931"/>
      <c r="BH561" s="1931"/>
      <c r="BI561" s="1931"/>
      <c r="BJ561" s="1931"/>
      <c r="BK561" s="1931"/>
      <c r="BL561" s="1931"/>
      <c r="BM561" s="1931"/>
      <c r="BN561" s="1931"/>
      <c r="BO561" s="1931"/>
      <c r="BP561" s="1931"/>
      <c r="BQ561" s="1931"/>
      <c r="BR561" s="1931"/>
      <c r="BS561" s="1931"/>
      <c r="BT561" s="1931"/>
      <c r="BU561" s="1931"/>
      <c r="BV561" s="1931"/>
      <c r="BW561" s="1931"/>
      <c r="BX561" s="1931"/>
      <c r="BY561" s="1931"/>
      <c r="BZ561" s="1931"/>
      <c r="CA561" s="1931"/>
      <c r="CB561" s="1931"/>
      <c r="CC561" s="1931"/>
      <c r="CD561" s="1931"/>
      <c r="CE561" s="1930"/>
      <c r="CF561" s="1930"/>
      <c r="CG561" s="1930"/>
      <c r="CH561" s="1930"/>
      <c r="CI561" s="1931"/>
      <c r="CJ561" s="1931"/>
      <c r="CK561" s="1931"/>
      <c r="CL561" s="1931"/>
      <c r="CM561" s="1931"/>
      <c r="CN561" s="1931"/>
      <c r="CO561" s="1931"/>
      <c r="CP561" s="1931"/>
      <c r="CQ561" s="1931"/>
      <c r="CR561" s="1931"/>
      <c r="CS561" s="1931"/>
      <c r="CT561" s="1930"/>
      <c r="CU561" s="1930"/>
      <c r="CV561" s="1930"/>
      <c r="CW561" s="1930"/>
      <c r="CX561" s="1931"/>
      <c r="CY561" s="1931"/>
      <c r="CZ561" s="1931"/>
      <c r="DA561" s="1931"/>
      <c r="DB561" s="1932"/>
      <c r="DC561" s="1931"/>
      <c r="DD561" s="1931"/>
      <c r="DE561" s="1931"/>
      <c r="DF561" s="1931"/>
    </row>
    <row r="562" spans="2:112" hidden="1" outlineLevel="1" x14ac:dyDescent="0.25">
      <c r="B562" s="1931"/>
      <c r="D562" s="1355"/>
      <c r="E562" s="874"/>
      <c r="F562" s="1965"/>
      <c r="G562" s="1321"/>
      <c r="H562" s="1322"/>
      <c r="I562" s="1965"/>
      <c r="J562" s="1965"/>
      <c r="K562" s="1965"/>
      <c r="L562" s="1965"/>
      <c r="M562" s="1965"/>
      <c r="N562" s="1965"/>
      <c r="O562" s="1965"/>
      <c r="P562" s="1965"/>
      <c r="Q562" s="1965"/>
      <c r="R562" s="1965"/>
      <c r="S562" s="1965"/>
      <c r="T562" s="1965"/>
      <c r="U562" s="1965"/>
      <c r="V562" s="1931"/>
      <c r="W562" s="1931"/>
      <c r="X562" s="1931"/>
      <c r="Y562" s="1931"/>
      <c r="Z562" s="1931"/>
      <c r="AA562" s="1931"/>
      <c r="AB562" s="1931"/>
      <c r="AC562" s="1931"/>
      <c r="AD562" s="1931"/>
      <c r="AE562" s="1931"/>
      <c r="AF562" s="1931"/>
      <c r="AG562" s="1931"/>
      <c r="AH562" s="1931"/>
      <c r="AI562" s="1931"/>
      <c r="AJ562" s="1931"/>
      <c r="AK562" s="1931"/>
      <c r="AL562" s="1931"/>
      <c r="AM562" s="1931"/>
      <c r="AN562" s="1931"/>
      <c r="AO562" s="1931"/>
      <c r="AP562" s="1931"/>
      <c r="AQ562" s="1931"/>
      <c r="AR562" s="1931"/>
      <c r="AS562" s="1931"/>
      <c r="AT562" s="1931"/>
      <c r="AU562" s="1931"/>
      <c r="AV562" s="1931"/>
      <c r="AW562" s="1931"/>
      <c r="AX562" s="1931"/>
      <c r="AY562" s="1931"/>
      <c r="AZ562" s="1931"/>
      <c r="BA562" s="1931"/>
      <c r="BB562" s="1931"/>
      <c r="BC562" s="1931"/>
      <c r="BD562" s="1931"/>
      <c r="BE562" s="1931"/>
      <c r="BF562" s="1931"/>
      <c r="BG562" s="1931"/>
      <c r="BH562" s="1931"/>
      <c r="BI562" s="1931"/>
      <c r="BJ562" s="1931"/>
      <c r="BK562" s="1931"/>
      <c r="BL562" s="1931"/>
      <c r="BM562" s="1931"/>
      <c r="BN562" s="1931"/>
      <c r="BO562" s="1931"/>
      <c r="BP562" s="1931"/>
      <c r="BQ562" s="1931"/>
      <c r="BR562" s="1931"/>
      <c r="BS562" s="1931"/>
      <c r="BT562" s="1931"/>
      <c r="BU562" s="1931"/>
      <c r="BV562" s="1931"/>
      <c r="BW562" s="1931"/>
      <c r="BX562" s="1931"/>
      <c r="BY562" s="1931"/>
      <c r="BZ562" s="1931"/>
      <c r="CA562" s="1931"/>
      <c r="CB562" s="1931"/>
      <c r="CC562" s="1931"/>
      <c r="CD562" s="1931"/>
      <c r="CE562" s="1930"/>
      <c r="CF562" s="1930"/>
      <c r="CG562" s="1930"/>
      <c r="CH562" s="1930"/>
      <c r="CI562" s="1931"/>
      <c r="CJ562" s="1931"/>
      <c r="CK562" s="1931"/>
      <c r="CL562" s="1931"/>
      <c r="CM562" s="1931"/>
      <c r="CN562" s="1931"/>
      <c r="CO562" s="1931"/>
      <c r="CP562" s="1931"/>
      <c r="CQ562" s="1931"/>
      <c r="CR562" s="1931"/>
      <c r="CS562" s="1931"/>
      <c r="CT562" s="1930"/>
      <c r="CU562" s="1930"/>
      <c r="CV562" s="1930"/>
      <c r="CW562" s="1930"/>
      <c r="CX562" s="1931"/>
      <c r="CY562" s="1931"/>
      <c r="CZ562" s="1931"/>
      <c r="DA562" s="1931"/>
      <c r="DB562" s="1932"/>
      <c r="DC562" s="1931"/>
      <c r="DD562" s="1931"/>
      <c r="DE562" s="1931"/>
      <c r="DF562" s="1931"/>
    </row>
    <row r="563" spans="2:112" hidden="1" outlineLevel="1" x14ac:dyDescent="0.25">
      <c r="B563" s="1931"/>
      <c r="D563" s="1355"/>
      <c r="E563" s="874"/>
      <c r="F563" s="1965"/>
      <c r="G563" s="1965"/>
      <c r="H563" s="1301"/>
      <c r="I563" s="1965"/>
      <c r="J563" s="1965"/>
      <c r="K563" s="1965"/>
      <c r="L563" s="1965"/>
      <c r="M563" s="1966"/>
      <c r="N563" s="1965"/>
      <c r="O563" s="1965"/>
      <c r="P563" s="1965"/>
      <c r="Q563" s="1965"/>
      <c r="R563" s="1965"/>
      <c r="S563" s="1965"/>
      <c r="T563" s="1965"/>
      <c r="U563" s="1965"/>
      <c r="V563" s="1931"/>
      <c r="W563" s="1931"/>
      <c r="X563" s="1931"/>
      <c r="Y563" s="1931"/>
      <c r="Z563" s="1931"/>
      <c r="AA563" s="1931"/>
      <c r="AB563" s="1931"/>
      <c r="AC563" s="1931"/>
      <c r="AD563" s="1931"/>
      <c r="AE563" s="1931"/>
      <c r="AF563" s="1931"/>
      <c r="AG563" s="1931"/>
      <c r="AH563" s="1931"/>
      <c r="AI563" s="1931"/>
      <c r="AJ563" s="1931"/>
      <c r="AK563" s="1931"/>
      <c r="AL563" s="1931"/>
      <c r="AM563" s="1931"/>
      <c r="AN563" s="1931"/>
      <c r="AO563" s="1931"/>
      <c r="AP563" s="1931"/>
      <c r="AQ563" s="1931"/>
      <c r="AR563" s="1931"/>
      <c r="AS563" s="1931"/>
      <c r="AT563" s="1931"/>
      <c r="AU563" s="1931"/>
      <c r="AV563" s="1931"/>
      <c r="AW563" s="1931"/>
      <c r="AX563" s="1931"/>
      <c r="AY563" s="1931"/>
      <c r="AZ563" s="1931"/>
      <c r="BA563" s="1931"/>
      <c r="BB563" s="1931"/>
      <c r="BC563" s="1931"/>
      <c r="BD563" s="1931"/>
      <c r="BE563" s="1931"/>
      <c r="BF563" s="1931"/>
      <c r="BG563" s="1931"/>
      <c r="BH563" s="1931"/>
      <c r="BI563" s="1931"/>
      <c r="BJ563" s="1931"/>
      <c r="BK563" s="1931"/>
      <c r="BL563" s="1931"/>
      <c r="BM563" s="1931"/>
      <c r="BN563" s="1931"/>
      <c r="BO563" s="1931"/>
      <c r="BP563" s="1931"/>
      <c r="BQ563" s="1931"/>
      <c r="BR563" s="1931"/>
      <c r="BS563" s="1931"/>
      <c r="BT563" s="1931"/>
      <c r="BU563" s="1931"/>
      <c r="BV563" s="1931"/>
      <c r="BW563" s="1931"/>
      <c r="BX563" s="1931"/>
      <c r="BY563" s="1931"/>
      <c r="BZ563" s="1931"/>
      <c r="CA563" s="1931"/>
      <c r="CB563" s="1931"/>
      <c r="CC563" s="1931"/>
      <c r="CD563" s="1931"/>
      <c r="CE563" s="1930"/>
      <c r="CF563" s="1930"/>
      <c r="CG563" s="1930"/>
      <c r="CH563" s="1930"/>
      <c r="CI563" s="1931"/>
      <c r="CJ563" s="1931"/>
      <c r="CK563" s="1931"/>
      <c r="CL563" s="1931"/>
      <c r="CM563" s="1931"/>
      <c r="CN563" s="1931"/>
      <c r="CO563" s="1931"/>
      <c r="CP563" s="1931"/>
      <c r="CQ563" s="1931"/>
      <c r="CR563" s="1931"/>
      <c r="CS563" s="1931"/>
      <c r="CT563" s="1930"/>
      <c r="CU563" s="1930"/>
      <c r="CV563" s="1930"/>
      <c r="CW563" s="1930"/>
      <c r="CX563" s="1931"/>
      <c r="CY563" s="1931"/>
      <c r="CZ563" s="1931"/>
      <c r="DA563" s="1931"/>
      <c r="DB563" s="1932"/>
      <c r="DC563" s="1931"/>
      <c r="DD563" s="1931"/>
      <c r="DE563" s="1931"/>
      <c r="DF563" s="1931"/>
    </row>
    <row r="564" spans="2:112" hidden="1" outlineLevel="1" x14ac:dyDescent="0.25">
      <c r="B564" s="1931"/>
      <c r="D564" s="1300"/>
      <c r="E564" s="1965"/>
      <c r="F564" s="1965"/>
      <c r="G564" s="1965"/>
      <c r="H564" s="1301"/>
      <c r="I564" s="1965"/>
      <c r="J564" s="1965"/>
      <c r="K564" s="1965"/>
      <c r="L564" s="1965"/>
      <c r="M564" s="1966"/>
      <c r="N564" s="1965"/>
      <c r="O564" s="1965"/>
      <c r="P564" s="1965"/>
      <c r="Q564" s="1965"/>
      <c r="R564" s="1965"/>
      <c r="S564" s="1965"/>
      <c r="T564" s="1965"/>
      <c r="U564" s="1965"/>
      <c r="V564" s="1931"/>
      <c r="W564" s="1931"/>
      <c r="X564" s="1931"/>
      <c r="Y564" s="1931"/>
      <c r="Z564" s="1931"/>
      <c r="AA564" s="1931"/>
      <c r="AB564" s="1931"/>
      <c r="AC564" s="1931"/>
      <c r="AD564" s="1931"/>
      <c r="AE564" s="1931"/>
      <c r="AF564" s="1931"/>
      <c r="AG564" s="1931"/>
      <c r="AH564" s="1931"/>
      <c r="AI564" s="1931"/>
      <c r="AJ564" s="1931"/>
      <c r="AK564" s="1931"/>
      <c r="AL564" s="1931"/>
      <c r="AM564" s="1931"/>
      <c r="AN564" s="1931"/>
      <c r="AO564" s="1931"/>
      <c r="AP564" s="1931"/>
      <c r="AQ564" s="1931"/>
      <c r="AR564" s="1931"/>
      <c r="AS564" s="1931"/>
      <c r="AT564" s="1931"/>
      <c r="AU564" s="1931"/>
      <c r="AV564" s="1931"/>
      <c r="AW564" s="1931"/>
      <c r="AX564" s="1931"/>
      <c r="AY564" s="1931"/>
      <c r="AZ564" s="1931"/>
      <c r="BA564" s="1931"/>
      <c r="BB564" s="1931"/>
      <c r="BC564" s="1931"/>
      <c r="BD564" s="1931"/>
      <c r="BE564" s="1931"/>
      <c r="BF564" s="1931"/>
      <c r="BG564" s="1931"/>
      <c r="BH564" s="1931"/>
      <c r="BI564" s="1931"/>
      <c r="BJ564" s="1931"/>
      <c r="BK564" s="1931"/>
      <c r="BL564" s="1931"/>
      <c r="BM564" s="1931"/>
      <c r="BN564" s="1931"/>
      <c r="BO564" s="1931"/>
      <c r="BP564" s="1931"/>
      <c r="BQ564" s="1931"/>
      <c r="BR564" s="1931"/>
      <c r="BS564" s="1931"/>
      <c r="BT564" s="1931"/>
      <c r="BU564" s="1931"/>
      <c r="BV564" s="1931"/>
      <c r="BW564" s="1931"/>
      <c r="BX564" s="1931"/>
      <c r="BY564" s="1931"/>
      <c r="BZ564" s="1931"/>
      <c r="CA564" s="1931"/>
      <c r="CB564" s="1931"/>
      <c r="CC564" s="1931"/>
      <c r="CD564" s="1931"/>
      <c r="CE564" s="1930"/>
      <c r="CF564" s="1930"/>
      <c r="CG564" s="1930"/>
      <c r="CH564" s="1930"/>
      <c r="CI564" s="1931"/>
      <c r="CJ564" s="1931"/>
      <c r="CK564" s="1931"/>
      <c r="CL564" s="1931"/>
      <c r="CM564" s="1931"/>
      <c r="CN564" s="1931"/>
      <c r="CO564" s="1931"/>
      <c r="CP564" s="1931"/>
      <c r="CQ564" s="1931"/>
      <c r="CR564" s="1931"/>
      <c r="CS564" s="1931"/>
      <c r="CT564" s="1930"/>
      <c r="CU564" s="1930"/>
      <c r="CV564" s="1930"/>
      <c r="CW564" s="1930"/>
      <c r="CX564" s="1931"/>
      <c r="CY564" s="1931"/>
      <c r="CZ564" s="1931"/>
      <c r="DA564" s="1931"/>
      <c r="DB564" s="1932"/>
      <c r="DC564" s="1931"/>
      <c r="DD564" s="1931"/>
      <c r="DE564" s="1931"/>
      <c r="DF564" s="1931"/>
    </row>
    <row r="565" spans="2:112" hidden="1" outlineLevel="1" x14ac:dyDescent="0.25">
      <c r="B565" s="1931"/>
      <c r="D565" s="1300"/>
      <c r="E565" s="1965"/>
      <c r="F565" s="1965"/>
      <c r="G565" s="1965"/>
      <c r="H565" s="1301"/>
      <c r="I565" s="1965"/>
      <c r="J565" s="1965"/>
      <c r="K565" s="1965"/>
      <c r="L565" s="1965"/>
      <c r="M565" s="1966"/>
      <c r="N565" s="1965"/>
      <c r="O565" s="1965"/>
      <c r="P565" s="1965"/>
      <c r="Q565" s="1965"/>
      <c r="R565" s="1965"/>
      <c r="S565" s="1965"/>
      <c r="T565" s="1965"/>
      <c r="U565" s="1965"/>
      <c r="V565" s="1931"/>
      <c r="W565" s="1931"/>
      <c r="X565" s="1931"/>
      <c r="Y565" s="1931"/>
      <c r="Z565" s="1931"/>
      <c r="AA565" s="1931"/>
      <c r="AB565" s="1931"/>
      <c r="AC565" s="1931"/>
      <c r="AD565" s="1931"/>
      <c r="AE565" s="1931"/>
      <c r="AF565" s="1931"/>
      <c r="AG565" s="1931"/>
      <c r="AH565" s="1931"/>
      <c r="AI565" s="1931"/>
      <c r="AJ565" s="1931"/>
      <c r="AK565" s="1931"/>
      <c r="AL565" s="1931"/>
      <c r="AM565" s="1931"/>
      <c r="AN565" s="1931"/>
      <c r="AO565" s="1931"/>
      <c r="AP565" s="1931"/>
      <c r="AQ565" s="1931"/>
      <c r="AR565" s="1931"/>
      <c r="AS565" s="1931"/>
      <c r="AT565" s="1931"/>
      <c r="AU565" s="1931"/>
      <c r="AV565" s="1931"/>
      <c r="AW565" s="1931"/>
      <c r="AX565" s="1931"/>
      <c r="AY565" s="1931"/>
      <c r="AZ565" s="1931"/>
      <c r="BA565" s="1931"/>
      <c r="BB565" s="1931"/>
      <c r="BC565" s="1931"/>
      <c r="BD565" s="1931"/>
      <c r="BE565" s="1931"/>
      <c r="BF565" s="1931"/>
      <c r="BG565" s="1931"/>
      <c r="BH565" s="1931"/>
      <c r="BI565" s="1931"/>
      <c r="BJ565" s="1931"/>
      <c r="BK565" s="1931"/>
      <c r="BL565" s="1931"/>
      <c r="BM565" s="1931"/>
      <c r="BN565" s="1931"/>
      <c r="BO565" s="1931"/>
      <c r="BP565" s="1931"/>
      <c r="BQ565" s="1931"/>
      <c r="BR565" s="1931"/>
      <c r="BS565" s="1931"/>
      <c r="BT565" s="1931"/>
      <c r="BU565" s="1931"/>
      <c r="BV565" s="1931"/>
      <c r="BW565" s="1931"/>
      <c r="BX565" s="1931"/>
      <c r="BY565" s="1931"/>
      <c r="BZ565" s="1931"/>
      <c r="CA565" s="1931"/>
      <c r="CB565" s="1931"/>
      <c r="CC565" s="1931"/>
      <c r="CD565" s="1931"/>
      <c r="CE565" s="1930"/>
      <c r="CF565" s="1930"/>
      <c r="CG565" s="1930"/>
      <c r="CH565" s="1930"/>
      <c r="CI565" s="1931"/>
      <c r="CJ565" s="1931"/>
      <c r="CK565" s="1931"/>
      <c r="CL565" s="1931"/>
      <c r="CM565" s="1931"/>
      <c r="CN565" s="1931"/>
      <c r="CO565" s="1931"/>
      <c r="CP565" s="1931"/>
      <c r="CQ565" s="1931"/>
      <c r="CR565" s="1931"/>
      <c r="CS565" s="1931"/>
      <c r="CT565" s="1930"/>
      <c r="CU565" s="1930"/>
      <c r="CV565" s="1930"/>
      <c r="CW565" s="1930"/>
      <c r="CX565" s="1931"/>
      <c r="CY565" s="1931"/>
      <c r="CZ565" s="1931"/>
      <c r="DA565" s="1931"/>
      <c r="DB565" s="1932"/>
      <c r="DC565" s="1931"/>
      <c r="DD565" s="1931"/>
      <c r="DE565" s="1931"/>
      <c r="DF565" s="1931"/>
    </row>
    <row r="566" spans="2:112" hidden="1" outlineLevel="1" x14ac:dyDescent="0.25">
      <c r="B566" s="1931"/>
      <c r="D566" s="1300"/>
      <c r="E566" s="1965"/>
      <c r="F566" s="1965"/>
      <c r="G566" s="1965"/>
      <c r="H566" s="1301"/>
      <c r="I566" s="1965"/>
      <c r="J566" s="1965"/>
      <c r="K566" s="1965"/>
      <c r="L566" s="1965"/>
      <c r="M566" s="1965"/>
      <c r="N566" s="1965"/>
      <c r="O566" s="1965"/>
      <c r="P566" s="1965"/>
      <c r="Q566" s="1965"/>
      <c r="R566" s="1965"/>
      <c r="S566" s="1965"/>
      <c r="T566" s="1965"/>
      <c r="U566" s="1965"/>
      <c r="V566" s="1931"/>
      <c r="W566" s="1931"/>
      <c r="X566" s="1931"/>
      <c r="Y566" s="1931"/>
      <c r="Z566" s="1931"/>
      <c r="AA566" s="1931"/>
      <c r="AB566" s="1931"/>
      <c r="AC566" s="1931"/>
      <c r="AD566" s="1931"/>
      <c r="AE566" s="1931"/>
      <c r="AF566" s="1931"/>
      <c r="AG566" s="1931"/>
      <c r="AH566" s="1931"/>
      <c r="AI566" s="1931"/>
      <c r="AJ566" s="1931"/>
      <c r="AK566" s="1931"/>
      <c r="AL566" s="1931"/>
      <c r="AM566" s="1931"/>
      <c r="AN566" s="1931"/>
      <c r="AO566" s="1931"/>
      <c r="AP566" s="1931"/>
      <c r="AQ566" s="1931"/>
      <c r="AR566" s="1931"/>
      <c r="AS566" s="1931"/>
      <c r="AT566" s="1931"/>
      <c r="AU566" s="1931"/>
      <c r="AV566" s="1931"/>
      <c r="AW566" s="1931"/>
      <c r="AX566" s="1931"/>
      <c r="AY566" s="1931"/>
      <c r="AZ566" s="1931"/>
      <c r="BA566" s="1931"/>
      <c r="BB566" s="1931"/>
      <c r="BC566" s="1931"/>
      <c r="BD566" s="1931"/>
      <c r="BE566" s="1931"/>
      <c r="BF566" s="1931"/>
      <c r="BG566" s="1931"/>
      <c r="BH566" s="1931"/>
      <c r="BI566" s="1931"/>
      <c r="BJ566" s="1931"/>
      <c r="BK566" s="1931"/>
      <c r="BL566" s="1931"/>
      <c r="BM566" s="1931"/>
      <c r="BN566" s="1931"/>
      <c r="BO566" s="1931"/>
      <c r="BP566" s="1931"/>
      <c r="BQ566" s="1931"/>
      <c r="BR566" s="1931"/>
      <c r="BS566" s="1931"/>
      <c r="BT566" s="1931"/>
      <c r="BU566" s="1931"/>
      <c r="BV566" s="1931"/>
      <c r="BW566" s="1931"/>
      <c r="BX566" s="1931"/>
      <c r="BY566" s="1931"/>
      <c r="BZ566" s="1931"/>
      <c r="CA566" s="1931"/>
      <c r="CB566" s="1931"/>
      <c r="CC566" s="1931"/>
      <c r="CD566" s="1931"/>
      <c r="CE566" s="1930"/>
      <c r="CF566" s="1930"/>
      <c r="CG566" s="1930"/>
      <c r="CH566" s="1930"/>
      <c r="CI566" s="1931"/>
      <c r="CJ566" s="1931"/>
      <c r="CK566" s="1931"/>
      <c r="CL566" s="1931"/>
      <c r="CM566" s="1931"/>
      <c r="CN566" s="1931"/>
      <c r="CO566" s="1931"/>
      <c r="CP566" s="1931"/>
      <c r="CQ566" s="1931"/>
      <c r="CR566" s="1931"/>
      <c r="CS566" s="1931"/>
      <c r="CT566" s="1930"/>
      <c r="CU566" s="1930"/>
      <c r="CV566" s="1930"/>
      <c r="CW566" s="1930"/>
      <c r="CX566" s="1931"/>
      <c r="CY566" s="1931"/>
      <c r="CZ566" s="1931"/>
      <c r="DA566" s="1931"/>
      <c r="DB566" s="1932"/>
      <c r="DC566" s="1931"/>
      <c r="DD566" s="1931"/>
      <c r="DE566" s="1931"/>
      <c r="DF566" s="1931"/>
    </row>
    <row r="567" spans="2:112" s="55" customFormat="1" hidden="1" outlineLevel="1" x14ac:dyDescent="0.25">
      <c r="C567" s="151"/>
      <c r="D567" s="3081" t="s">
        <v>28</v>
      </c>
      <c r="E567" s="3081" t="s">
        <v>2758</v>
      </c>
      <c r="F567" s="83" t="s">
        <v>3051</v>
      </c>
      <c r="G567" s="3081" t="s">
        <v>745</v>
      </c>
      <c r="H567" s="3081" t="s">
        <v>3052</v>
      </c>
      <c r="I567" s="3081" t="s">
        <v>3053</v>
      </c>
      <c r="J567" s="401"/>
      <c r="K567" s="401"/>
      <c r="L567" s="401"/>
      <c r="M567" s="401"/>
      <c r="N567" s="401"/>
      <c r="O567" s="401"/>
      <c r="P567" s="401"/>
      <c r="Q567" s="401"/>
      <c r="R567" s="401"/>
      <c r="S567" s="401"/>
      <c r="T567" s="401"/>
      <c r="U567" s="401"/>
      <c r="DB567" s="72"/>
    </row>
    <row r="568" spans="2:112" hidden="1" outlineLevel="1" x14ac:dyDescent="0.25">
      <c r="B568" s="1931"/>
      <c r="D568" s="1967" t="str">
        <f>C558</f>
        <v>805000_2020_07_</v>
      </c>
      <c r="E568" s="1967" t="str">
        <f>E558</f>
        <v>VSD Air Compressor 5-40 HP</v>
      </c>
      <c r="F568" s="1357">
        <v>1</v>
      </c>
      <c r="G568" s="90">
        <v>5928</v>
      </c>
      <c r="H568" s="1397">
        <v>0.89</v>
      </c>
      <c r="I568" s="1398">
        <v>0.70499999999999996</v>
      </c>
      <c r="J568" s="1965"/>
      <c r="K568" s="1965"/>
      <c r="L568" s="1965"/>
      <c r="M568" s="1965"/>
      <c r="N568" s="1965"/>
      <c r="O568" s="1965"/>
      <c r="P568" s="1965"/>
      <c r="Q568" s="1965"/>
      <c r="R568" s="1965"/>
      <c r="S568" s="1965"/>
      <c r="T568" s="1965"/>
      <c r="U568" s="1965"/>
      <c r="V568" s="1931"/>
      <c r="W568" s="1931"/>
      <c r="X568" s="1931"/>
      <c r="Y568" s="1931"/>
      <c r="Z568" s="1931"/>
      <c r="AA568" s="1931"/>
      <c r="AB568" s="1931"/>
      <c r="AC568" s="1931"/>
      <c r="AD568" s="1931"/>
      <c r="AE568" s="1931"/>
      <c r="AF568" s="1931"/>
      <c r="AG568" s="1931"/>
      <c r="AH568" s="1931"/>
      <c r="AI568" s="1931"/>
      <c r="AJ568" s="1931"/>
      <c r="AK568" s="1931"/>
      <c r="AL568" s="1931"/>
      <c r="AM568" s="1931"/>
      <c r="AN568" s="1931"/>
      <c r="AO568" s="1931"/>
      <c r="AP568" s="1931"/>
      <c r="AQ568" s="1931"/>
      <c r="AR568" s="1931"/>
      <c r="AS568" s="1931"/>
      <c r="AT568" s="1931"/>
      <c r="AU568" s="1931"/>
      <c r="AV568" s="1931"/>
      <c r="AW568" s="1931"/>
      <c r="AX568" s="1931"/>
      <c r="AY568" s="1931"/>
      <c r="AZ568" s="1931"/>
      <c r="BA568" s="1931"/>
      <c r="BB568" s="1931"/>
      <c r="BC568" s="1931"/>
      <c r="BD568" s="1931"/>
      <c r="BE568" s="1931"/>
      <c r="BF568" s="1931"/>
      <c r="BG568" s="1931"/>
      <c r="BH568" s="1931"/>
      <c r="BI568" s="1931"/>
      <c r="BJ568" s="1931"/>
      <c r="BK568" s="1931"/>
      <c r="BL568" s="1931"/>
      <c r="BM568" s="1931"/>
      <c r="BN568" s="1931"/>
      <c r="BO568" s="1931"/>
      <c r="BP568" s="1931"/>
      <c r="BQ568" s="1931"/>
      <c r="BR568" s="1931"/>
      <c r="BS568" s="1931"/>
      <c r="BT568" s="1931"/>
      <c r="BU568" s="1931"/>
      <c r="BV568" s="1931"/>
      <c r="BW568" s="1931"/>
      <c r="BX568" s="1931"/>
      <c r="BY568" s="1931"/>
      <c r="BZ568" s="1931"/>
      <c r="CA568" s="1931"/>
      <c r="CB568" s="1931"/>
      <c r="CC568" s="1931"/>
      <c r="CD568" s="1931"/>
      <c r="CE568" s="1930"/>
      <c r="CF568" s="1930"/>
      <c r="CG568" s="1930"/>
      <c r="CH568" s="1930"/>
      <c r="CI568" s="1931"/>
      <c r="CJ568" s="1931"/>
      <c r="CK568" s="1931"/>
      <c r="CL568" s="1931"/>
      <c r="CM568" s="1931"/>
      <c r="CN568" s="1931"/>
      <c r="CO568" s="1931"/>
      <c r="CP568" s="1931"/>
      <c r="CQ568" s="1931"/>
      <c r="CR568" s="1931"/>
      <c r="CS568" s="1931"/>
      <c r="CT568" s="1930"/>
      <c r="CU568" s="1930"/>
      <c r="CV568" s="1930"/>
      <c r="CW568" s="1930"/>
      <c r="CX568" s="1931"/>
      <c r="CY568" s="1931"/>
      <c r="CZ568" s="1931"/>
      <c r="DA568" s="1931"/>
      <c r="DB568" s="1932"/>
      <c r="DC568" s="1931"/>
      <c r="DD568" s="1931"/>
      <c r="DE568" s="1978">
        <v>6</v>
      </c>
      <c r="DF568" s="1978" t="s">
        <v>2918</v>
      </c>
      <c r="DG568" s="1978"/>
      <c r="DH568" s="1978"/>
    </row>
    <row r="569" spans="2:112" collapsed="1" x14ac:dyDescent="0.25">
      <c r="B569" s="1931"/>
      <c r="D569" s="1966"/>
      <c r="E569" s="1965"/>
      <c r="F569" s="1965"/>
      <c r="G569" s="1968"/>
      <c r="H569" s="1969"/>
      <c r="I569" s="1965"/>
      <c r="J569" s="1965"/>
      <c r="K569" s="1965"/>
      <c r="L569" s="1965"/>
      <c r="M569" s="1965"/>
      <c r="N569" s="1965"/>
      <c r="O569" s="1965"/>
      <c r="P569" s="1965"/>
      <c r="Q569" s="1965"/>
      <c r="R569" s="1965"/>
      <c r="S569" s="1965"/>
      <c r="T569" s="1965"/>
      <c r="U569" s="1965"/>
      <c r="V569" s="1931"/>
      <c r="W569" s="1931"/>
      <c r="X569" s="1931"/>
      <c r="Y569" s="1931"/>
      <c r="Z569" s="1931"/>
      <c r="AA569" s="1931"/>
      <c r="AB569" s="1931"/>
      <c r="AC569" s="1931"/>
      <c r="AD569" s="1931"/>
      <c r="AE569" s="1931"/>
      <c r="AF569" s="1931"/>
      <c r="AG569" s="1931"/>
      <c r="AH569" s="1931"/>
      <c r="AI569" s="1931"/>
      <c r="AJ569" s="1931"/>
      <c r="AK569" s="1931"/>
      <c r="AL569" s="1931"/>
      <c r="AM569" s="1931"/>
      <c r="AN569" s="1931"/>
      <c r="AO569" s="1931"/>
      <c r="AP569" s="1931"/>
      <c r="AQ569" s="1931"/>
      <c r="AR569" s="1931"/>
      <c r="AS569" s="1931"/>
      <c r="AT569" s="1931"/>
      <c r="AU569" s="1931"/>
      <c r="AV569" s="1931"/>
      <c r="AW569" s="1931"/>
      <c r="AX569" s="1931"/>
      <c r="AY569" s="1931"/>
      <c r="AZ569" s="1931"/>
      <c r="BA569" s="1931"/>
      <c r="BB569" s="1931"/>
      <c r="BC569" s="1931"/>
      <c r="BD569" s="1931"/>
      <c r="BE569" s="1931"/>
      <c r="BF569" s="1931"/>
      <c r="BG569" s="1931"/>
      <c r="BH569" s="1931"/>
      <c r="BI569" s="1931"/>
      <c r="BJ569" s="1931"/>
      <c r="BK569" s="1931"/>
      <c r="BL569" s="1931"/>
      <c r="BM569" s="1931"/>
      <c r="BN569" s="1931"/>
      <c r="BO569" s="1931"/>
      <c r="BP569" s="1931"/>
      <c r="BQ569" s="1931"/>
      <c r="BR569" s="1931"/>
      <c r="BS569" s="1931"/>
      <c r="BT569" s="1931"/>
      <c r="BU569" s="1931"/>
      <c r="BV569" s="1931"/>
      <c r="BW569" s="1931"/>
      <c r="BX569" s="1931"/>
      <c r="BY569" s="1931"/>
      <c r="BZ569" s="1931"/>
      <c r="CA569" s="1931"/>
      <c r="CB569" s="1931"/>
      <c r="CC569" s="1931"/>
      <c r="CD569" s="1931"/>
      <c r="CE569" s="1930"/>
      <c r="CF569" s="1930"/>
      <c r="CG569" s="1930"/>
      <c r="CH569" s="1930"/>
      <c r="CI569" s="1931"/>
      <c r="CJ569" s="1931"/>
      <c r="CK569" s="1931"/>
      <c r="CL569" s="1931"/>
      <c r="CM569" s="1931"/>
      <c r="CN569" s="1931"/>
      <c r="CO569" s="1931"/>
      <c r="CP569" s="1931"/>
      <c r="CQ569" s="1931"/>
      <c r="CR569" s="1931"/>
      <c r="CS569" s="1931"/>
      <c r="CT569" s="1930"/>
      <c r="CU569" s="1930"/>
      <c r="CV569" s="1930"/>
      <c r="CW569" s="1930"/>
      <c r="CX569" s="1931"/>
      <c r="CY569" s="1931"/>
      <c r="CZ569" s="1931"/>
      <c r="DA569" s="1931"/>
      <c r="DB569" s="1932"/>
      <c r="DC569" s="1931"/>
      <c r="DD569" s="1931"/>
      <c r="DE569" s="1931"/>
      <c r="DF569" s="1931"/>
    </row>
    <row r="571" spans="2:112" s="43" customFormat="1" x14ac:dyDescent="0.25">
      <c r="B571" s="4484" t="s">
        <v>3054</v>
      </c>
      <c r="C571" s="4485"/>
      <c r="D571" s="4485"/>
      <c r="E571" s="4485"/>
      <c r="F571" s="4485"/>
      <c r="G571" s="4485"/>
      <c r="H571" s="4485"/>
      <c r="I571" s="4486"/>
      <c r="J571" s="4486"/>
      <c r="K571" s="4486"/>
      <c r="L571" s="4486"/>
      <c r="M571" s="3752"/>
      <c r="N571" s="3752"/>
      <c r="O571" s="3753"/>
      <c r="P571" s="1935"/>
      <c r="Q571" s="1935"/>
      <c r="R571" s="1935"/>
      <c r="S571" s="1935"/>
      <c r="T571" s="1935"/>
      <c r="U571" s="1935"/>
      <c r="V571" s="3077" t="str">
        <f>B571</f>
        <v>Combination Oven</v>
      </c>
      <c r="W571" s="3078"/>
      <c r="X571" s="3078"/>
      <c r="Y571" s="3078"/>
      <c r="Z571" s="3078"/>
      <c r="AA571" s="3078"/>
      <c r="AB571" s="3078"/>
      <c r="AC571" s="3078"/>
      <c r="AD571" s="3078"/>
      <c r="AE571" s="3078"/>
      <c r="AF571" s="3078"/>
      <c r="AG571" s="3078"/>
      <c r="AH571" s="3078"/>
      <c r="AI571" s="3170"/>
      <c r="AJ571" s="1931"/>
      <c r="AK571" s="1931"/>
      <c r="AL571" s="1931"/>
      <c r="AM571" s="1931"/>
      <c r="AN571" s="1931"/>
      <c r="AO571" s="1931"/>
      <c r="AP571" s="1931"/>
      <c r="AQ571" s="1931"/>
      <c r="AR571" s="1931"/>
      <c r="AS571" s="1931"/>
      <c r="AT571" s="1931"/>
      <c r="AU571" s="1931"/>
      <c r="AV571" s="1935"/>
      <c r="AW571" s="1935"/>
      <c r="AX571" s="1935"/>
      <c r="AY571" s="1935"/>
      <c r="AZ571" s="1935"/>
      <c r="BA571" s="1935"/>
      <c r="BB571" s="1935"/>
      <c r="BC571" s="1935"/>
      <c r="BD571" s="1935"/>
      <c r="BE571" s="1935"/>
      <c r="BF571" s="1935"/>
      <c r="BG571" s="1935"/>
      <c r="BH571" s="1935"/>
      <c r="BI571" s="1935"/>
      <c r="BJ571" s="1935"/>
      <c r="BK571" s="1935"/>
      <c r="BL571" s="1935"/>
      <c r="BM571" s="1935"/>
      <c r="BN571" s="1935"/>
      <c r="BO571" s="1935"/>
      <c r="BP571" s="1935"/>
      <c r="BQ571" s="1935"/>
      <c r="BR571" s="1935"/>
      <c r="BS571" s="1935"/>
      <c r="BT571" s="1935"/>
      <c r="BU571" s="1935"/>
      <c r="BV571" s="1935"/>
      <c r="BW571" s="1935"/>
      <c r="BX571" s="1935"/>
      <c r="BY571" s="1935"/>
      <c r="BZ571" s="1935"/>
      <c r="CA571" s="1935"/>
      <c r="CB571" s="1935"/>
      <c r="CC571" s="1935"/>
      <c r="CD571" s="1935"/>
      <c r="CE571" s="1935"/>
      <c r="CF571" s="1935"/>
      <c r="CG571" s="1935"/>
      <c r="CH571" s="1935"/>
      <c r="CI571" s="1935"/>
      <c r="CJ571" s="1935"/>
      <c r="CK571" s="1935"/>
      <c r="CL571" s="1935"/>
      <c r="CM571" s="1935"/>
      <c r="CN571" s="1935"/>
      <c r="CO571" s="1935"/>
      <c r="CP571" s="1935"/>
      <c r="CQ571" s="1935"/>
      <c r="CR571" s="1935"/>
      <c r="CS571" s="1935"/>
      <c r="CT571" s="1935"/>
      <c r="CU571" s="1935"/>
      <c r="CV571" s="1935"/>
      <c r="CW571" s="1935"/>
      <c r="CX571" s="1935"/>
      <c r="CY571" s="1935"/>
      <c r="CZ571" s="1935"/>
      <c r="DA571" s="1935"/>
      <c r="DB571" s="73"/>
      <c r="DC571" s="1935"/>
      <c r="DD571" s="1935"/>
      <c r="DE571" s="1935"/>
      <c r="DF571" s="1935"/>
      <c r="DG571" s="1935"/>
      <c r="DH571" s="1935"/>
    </row>
    <row r="572" spans="2:112" x14ac:dyDescent="0.25">
      <c r="B572" s="1931"/>
      <c r="D572" s="1286"/>
      <c r="E572" s="1966"/>
      <c r="F572" s="1966"/>
      <c r="G572" s="1966"/>
      <c r="H572" s="1287"/>
      <c r="I572" s="1966"/>
      <c r="J572" s="1966"/>
      <c r="K572" s="1966"/>
      <c r="L572" s="1966"/>
      <c r="M572" s="1965"/>
      <c r="N572" s="1965"/>
      <c r="O572" s="1965"/>
      <c r="P572" s="1966"/>
      <c r="Q572" s="1966"/>
      <c r="R572" s="1966"/>
      <c r="S572" s="1966"/>
      <c r="T572" s="1966"/>
      <c r="U572" s="1966"/>
      <c r="V572" s="1930"/>
      <c r="W572" s="1930"/>
      <c r="X572" s="1930"/>
      <c r="Y572" s="1930"/>
      <c r="Z572" s="1930"/>
      <c r="AA572" s="1930"/>
      <c r="AB572" s="1930"/>
      <c r="AC572" s="1930"/>
      <c r="AD572" s="1930"/>
      <c r="AE572" s="1930"/>
      <c r="AF572" s="1930"/>
      <c r="AG572" s="1930"/>
      <c r="AH572" s="1930"/>
      <c r="AI572" s="1930"/>
      <c r="AJ572" s="1934"/>
      <c r="AK572" s="1934"/>
      <c r="AL572" s="1934"/>
      <c r="AM572" s="1934"/>
      <c r="AN572" s="1934"/>
      <c r="AO572" s="1934"/>
      <c r="AP572" s="1934"/>
      <c r="AQ572" s="1934"/>
      <c r="AR572" s="1934"/>
      <c r="AS572" s="1934"/>
      <c r="AT572" s="1934"/>
      <c r="AU572" s="1934"/>
      <c r="AV572" s="1931"/>
      <c r="AW572" s="1931"/>
      <c r="AX572" s="1931"/>
      <c r="AY572" s="1931"/>
      <c r="AZ572" s="1931"/>
      <c r="BA572" s="1931"/>
      <c r="BB572" s="1931"/>
      <c r="BC572" s="1931"/>
      <c r="BD572" s="1931"/>
      <c r="BE572" s="1931"/>
      <c r="BF572" s="1931"/>
      <c r="BG572" s="1931"/>
      <c r="BH572" s="1931"/>
      <c r="BI572" s="1931"/>
      <c r="BJ572" s="1931"/>
      <c r="BK572" s="1931"/>
      <c r="BL572" s="1931"/>
      <c r="BM572" s="1931"/>
      <c r="BN572" s="1931"/>
      <c r="BO572" s="1931"/>
      <c r="BP572" s="1931"/>
      <c r="BQ572" s="1931"/>
      <c r="BR572" s="1931"/>
      <c r="BS572" s="1931"/>
      <c r="BT572" s="1931"/>
      <c r="BU572" s="1931"/>
      <c r="BV572" s="1931"/>
      <c r="BW572" s="1931"/>
      <c r="BX572" s="1931"/>
      <c r="BY572" s="1931"/>
      <c r="BZ572" s="1931"/>
      <c r="CA572" s="1931"/>
      <c r="CB572" s="1931"/>
      <c r="CC572" s="1931"/>
      <c r="CD572" s="1931"/>
      <c r="CE572" s="1930"/>
      <c r="CF572" s="1930"/>
      <c r="CG572" s="1930"/>
      <c r="CH572" s="1930"/>
      <c r="CI572" s="1931"/>
      <c r="CJ572" s="1931"/>
      <c r="CK572" s="1931"/>
      <c r="CL572" s="1931"/>
      <c r="CM572" s="1931"/>
      <c r="CN572" s="1931"/>
      <c r="CO572" s="1931"/>
      <c r="CP572" s="1931"/>
      <c r="CQ572" s="1931"/>
      <c r="CR572" s="1931"/>
      <c r="CS572" s="1931"/>
      <c r="CT572" s="1930"/>
      <c r="CU572" s="1930"/>
      <c r="CV572" s="1930"/>
      <c r="CW572" s="1930"/>
      <c r="CX572" s="1931"/>
      <c r="CY572" s="1931"/>
      <c r="CZ572" s="1931"/>
      <c r="DA572" s="1931"/>
      <c r="DB572" s="1932"/>
      <c r="DC572" s="1931"/>
      <c r="DD572" s="1931"/>
      <c r="DE572" s="1931"/>
    </row>
    <row r="573" spans="2:112" s="44" customFormat="1" ht="30" x14ac:dyDescent="0.25">
      <c r="B573" s="45"/>
      <c r="C573" s="46" t="s">
        <v>28</v>
      </c>
      <c r="D573" s="46" t="s">
        <v>29</v>
      </c>
      <c r="E573" s="3196" t="s">
        <v>30</v>
      </c>
      <c r="F573" s="3196" t="s">
        <v>31</v>
      </c>
      <c r="G573" s="3196" t="s">
        <v>176</v>
      </c>
      <c r="H573" s="47" t="s">
        <v>177</v>
      </c>
      <c r="I573" s="3196" t="s">
        <v>32</v>
      </c>
      <c r="J573" s="3196" t="s">
        <v>181</v>
      </c>
      <c r="K573" s="46" t="s">
        <v>170</v>
      </c>
      <c r="L573" s="46" t="s">
        <v>44</v>
      </c>
      <c r="M573" s="1965"/>
      <c r="N573" s="1965"/>
      <c r="O573" s="1965"/>
      <c r="P573" s="1288"/>
      <c r="Q573" s="1288"/>
      <c r="R573" s="1288"/>
      <c r="S573" s="1288"/>
      <c r="T573" s="1288"/>
      <c r="U573" s="1288"/>
      <c r="V573" s="1936" t="s">
        <v>45</v>
      </c>
      <c r="W573" s="1937">
        <f>$W$8</f>
        <v>43252</v>
      </c>
      <c r="X573" s="1937">
        <f>$X$8</f>
        <v>43465</v>
      </c>
      <c r="Y573" s="1937">
        <f>$Y$8</f>
        <v>43800</v>
      </c>
      <c r="Z573" s="1937">
        <f>$Z$8</f>
        <v>43862</v>
      </c>
      <c r="AA573" s="1937">
        <f>$AA$8</f>
        <v>44013</v>
      </c>
      <c r="AB573" s="1937">
        <v>44166</v>
      </c>
      <c r="AC573" s="1937">
        <f>$AC$8</f>
        <v>44531</v>
      </c>
      <c r="AD573" s="1937" t="str">
        <f>$AD$8</f>
        <v>-</v>
      </c>
      <c r="AE573" s="1937" t="str">
        <f>$AE$8</f>
        <v>-</v>
      </c>
      <c r="AF573" s="1937" t="str">
        <f>$AF$8</f>
        <v>-</v>
      </c>
      <c r="AG573" s="1937" t="str">
        <f>$AG$8</f>
        <v>-</v>
      </c>
      <c r="AH573" s="1930"/>
      <c r="AI573" s="1936" t="s">
        <v>45</v>
      </c>
      <c r="AJ573" s="1937">
        <v>43252</v>
      </c>
      <c r="AK573" s="1937">
        <f>$X$8</f>
        <v>43465</v>
      </c>
      <c r="AL573" s="1937">
        <f>$Y$8</f>
        <v>43800</v>
      </c>
      <c r="AM573" s="1937">
        <f>$Z$8</f>
        <v>43862</v>
      </c>
      <c r="AN573" s="1937">
        <f>$AA$8</f>
        <v>44013</v>
      </c>
      <c r="AO573" s="1937">
        <f>$AB$8</f>
        <v>44166</v>
      </c>
      <c r="AP573" s="1937">
        <f>$AC$8</f>
        <v>44531</v>
      </c>
      <c r="AQ573" s="1937" t="str">
        <f>$AD$8</f>
        <v>-</v>
      </c>
      <c r="AR573" s="1937" t="str">
        <f>$AE$8</f>
        <v>-</v>
      </c>
      <c r="AS573" s="1937" t="str">
        <f>$AF$8</f>
        <v>-</v>
      </c>
      <c r="AT573" s="1933"/>
      <c r="AU573" s="1936" t="s">
        <v>45</v>
      </c>
      <c r="AV573" s="1937">
        <v>43252</v>
      </c>
      <c r="AW573" s="1937">
        <f>$X$8</f>
        <v>43465</v>
      </c>
      <c r="AX573" s="1937">
        <f>$Y$8</f>
        <v>43800</v>
      </c>
      <c r="AY573" s="1937">
        <f>$Z$8</f>
        <v>43862</v>
      </c>
      <c r="AZ573" s="1937">
        <f>$AA$8</f>
        <v>44013</v>
      </c>
      <c r="BA573" s="1937">
        <v>44166</v>
      </c>
      <c r="BB573" s="1937">
        <f>$AC$8</f>
        <v>44531</v>
      </c>
      <c r="BC573" s="1937" t="str">
        <f>$AD$8</f>
        <v>-</v>
      </c>
      <c r="BD573" s="1937" t="str">
        <f>$AE$8</f>
        <v>-</v>
      </c>
      <c r="BE573" s="1937" t="str">
        <f>$AF$8</f>
        <v>-</v>
      </c>
      <c r="DB573" s="1938" t="str">
        <f>$DB$8</f>
        <v>TRC (2020)</v>
      </c>
      <c r="DC573" s="1953" t="str">
        <f>$DC$8</f>
        <v>Benefit Lookup</v>
      </c>
      <c r="DD573" s="1953" t="str">
        <f>$DD$8</f>
        <v>Benefits (2019 $)</v>
      </c>
      <c r="DE573" s="1953" t="str">
        <f>$DE$8</f>
        <v>Incremental Cost (2019 $)</v>
      </c>
    </row>
    <row r="574" spans="2:112" x14ac:dyDescent="0.25">
      <c r="B574" s="1931"/>
      <c r="C574" s="2462" t="s">
        <v>3055</v>
      </c>
      <c r="D574" s="1363" t="s">
        <v>2646</v>
      </c>
      <c r="E574" s="1308" t="s">
        <v>3056</v>
      </c>
      <c r="F574" s="1959">
        <f>ROUND(((F587*(G587/H587-G587/I587)*J587)+(F587*(K587/L587-K587/M587)*N587)+((O587*((F591-F587/G591)*J587))-(I591*((F591-F587/K591)*J587)))+((P587*((F591-F587/H591)*N587))-(M591*((F591-F587/L591)*N587))))*N591/1000,2)</f>
        <v>6372.3</v>
      </c>
      <c r="G574" s="1290" t="s">
        <v>2844</v>
      </c>
      <c r="H574" s="1291">
        <f>VLOOKUP(G574,'CP FACTORS'!$A$26:$B$38,2,FALSE)</f>
        <v>1.998949E-4</v>
      </c>
      <c r="I574" s="1309">
        <f>ROUND(H574*F574,6)</f>
        <v>1.27379</v>
      </c>
      <c r="J574" s="1399">
        <v>12</v>
      </c>
      <c r="K574" s="1310">
        <v>4300</v>
      </c>
      <c r="L574" s="1374" t="s">
        <v>185</v>
      </c>
      <c r="M574" s="1965"/>
      <c r="N574" s="1965"/>
      <c r="O574" s="1965"/>
      <c r="P574" s="1965"/>
      <c r="Q574" s="1965"/>
      <c r="R574" s="1965"/>
      <c r="S574" s="1965"/>
      <c r="T574" s="1965"/>
      <c r="U574" s="1965"/>
      <c r="V574" s="3227" t="s">
        <v>31</v>
      </c>
      <c r="W574" s="129">
        <v>6372.3047989987854</v>
      </c>
      <c r="X574" s="129">
        <v>6372.3047989987854</v>
      </c>
      <c r="Y574" s="129">
        <v>6372.3047989987854</v>
      </c>
      <c r="Z574" s="129">
        <v>6372.3047989987854</v>
      </c>
      <c r="AA574" s="129">
        <v>6372.3047989987854</v>
      </c>
      <c r="AB574" s="1825">
        <v>6372.3</v>
      </c>
      <c r="AC574" s="3364">
        <v>6372.3</v>
      </c>
      <c r="AD574" s="2099"/>
      <c r="AE574" s="2099"/>
      <c r="AF574" s="2099"/>
      <c r="AG574" s="2099"/>
      <c r="AH574" s="2100"/>
      <c r="AI574" s="3227" t="s">
        <v>181</v>
      </c>
      <c r="AJ574" s="64">
        <v>12</v>
      </c>
      <c r="AK574" s="64">
        <v>12</v>
      </c>
      <c r="AL574" s="64">
        <v>12</v>
      </c>
      <c r="AM574" s="64">
        <v>12</v>
      </c>
      <c r="AN574" s="64">
        <v>12</v>
      </c>
      <c r="AO574" s="2101">
        <v>12</v>
      </c>
      <c r="AP574" s="2101">
        <v>12</v>
      </c>
      <c r="AQ574" s="2099"/>
      <c r="AR574" s="2099"/>
      <c r="AS574" s="2099"/>
      <c r="AT574" s="1933"/>
      <c r="AU574" s="3227" t="s">
        <v>170</v>
      </c>
      <c r="AV574" s="2102">
        <v>4300</v>
      </c>
      <c r="AW574" s="2102">
        <v>4300</v>
      </c>
      <c r="AX574" s="2102">
        <v>4300</v>
      </c>
      <c r="AY574" s="2102">
        <v>4300</v>
      </c>
      <c r="AZ574" s="2102">
        <v>4300</v>
      </c>
      <c r="BA574" s="2103">
        <v>4300</v>
      </c>
      <c r="BB574" s="2103">
        <v>4300</v>
      </c>
      <c r="BC574" s="2099"/>
      <c r="BD574" s="2099"/>
      <c r="BE574" s="2099"/>
      <c r="BF574" s="1933"/>
      <c r="BG574" s="1933"/>
      <c r="BH574" s="1933"/>
      <c r="BI574" s="1933"/>
      <c r="BJ574" s="1933"/>
      <c r="BK574" s="1933"/>
      <c r="BL574" s="1931"/>
      <c r="BM574" s="1931"/>
      <c r="BN574" s="1931"/>
      <c r="BO574" s="1931"/>
      <c r="BP574" s="1931"/>
      <c r="BQ574" s="1931"/>
      <c r="BR574" s="1931"/>
      <c r="BS574" s="1931"/>
      <c r="BT574" s="1931"/>
      <c r="BU574" s="1931"/>
      <c r="BV574" s="1931"/>
      <c r="BW574" s="1931"/>
      <c r="BX574" s="1931"/>
      <c r="BY574" s="1931"/>
      <c r="BZ574" s="1931"/>
      <c r="CA574" s="1931"/>
      <c r="CB574" s="1931"/>
      <c r="CC574" s="1931"/>
      <c r="CD574" s="1931"/>
      <c r="CE574" s="1930"/>
      <c r="CF574" s="1930"/>
      <c r="CG574" s="1930"/>
      <c r="CH574" s="1930"/>
      <c r="CI574" s="1931"/>
      <c r="CJ574" s="1931"/>
      <c r="CK574" s="1931"/>
      <c r="CL574" s="1931"/>
      <c r="CM574" s="1931"/>
      <c r="CN574" s="1931"/>
      <c r="CO574" s="1931"/>
      <c r="CP574" s="1931"/>
      <c r="CQ574" s="1931"/>
      <c r="CR574" s="1931"/>
      <c r="CS574" s="1931"/>
      <c r="CT574" s="1930"/>
      <c r="CU574" s="1930"/>
      <c r="CV574" s="1930"/>
      <c r="CW574" s="1930"/>
      <c r="CX574" s="1931"/>
      <c r="CY574" s="1931"/>
      <c r="CZ574" s="1931"/>
      <c r="DA574" s="1931"/>
      <c r="DB574" s="1945">
        <f>(DD574)/(DE574)</f>
        <v>0.79635009510895882</v>
      </c>
      <c r="DC574" s="3166" t="str">
        <f>CONCATENATE(G574," ",J574," Year EUL")</f>
        <v>Cooking BUS 12 Year EUL</v>
      </c>
      <c r="DD574" s="69">
        <f>(INDEX('Avoided Cost Benefits'!$C$4:$C$857,MATCH(DC574,'Avoided Cost Benefits'!$A$4:$A$857,0)))*F574</f>
        <v>3232.0013298428717</v>
      </c>
      <c r="DE574" s="1946">
        <f>K574/(1.0595^(2020-2019))</f>
        <v>4058.5181689476162</v>
      </c>
    </row>
    <row r="575" spans="2:112" x14ac:dyDescent="0.25">
      <c r="B575" s="1931"/>
      <c r="C575" s="1997" t="s">
        <v>3057</v>
      </c>
      <c r="D575" s="1363" t="s">
        <v>2646</v>
      </c>
      <c r="E575" s="1308" t="s">
        <v>3058</v>
      </c>
      <c r="F575" s="1959">
        <f>ROUND(((F588*(G588/H588-G588/I588)*J588)+(F588*(K588/L588-K588/M588)*N588)+((O588*((F592-F588/G592)*J588))-(I592*((F592-F588/K592)*J588)))+((P588*((F592-F588/H592)*N588))-(M592*((F592-F588/L592)*N588))))*N592/1000,2)</f>
        <v>11743.62</v>
      </c>
      <c r="G575" s="1290" t="s">
        <v>2844</v>
      </c>
      <c r="H575" s="1291">
        <f>VLOOKUP(G575,'CP FACTORS'!$A$26:$B$38,2,FALSE)</f>
        <v>1.998949E-4</v>
      </c>
      <c r="I575" s="1309">
        <f>ROUND(H575*F575,6)</f>
        <v>2.3474900000000001</v>
      </c>
      <c r="J575" s="325">
        <v>12</v>
      </c>
      <c r="K575" s="1310">
        <v>4300</v>
      </c>
      <c r="L575" s="1374" t="s">
        <v>185</v>
      </c>
      <c r="M575" s="1965"/>
      <c r="N575" s="1965"/>
      <c r="O575" s="1965"/>
      <c r="P575" s="1965"/>
      <c r="Q575" s="1965"/>
      <c r="R575" s="1965"/>
      <c r="S575" s="1965"/>
      <c r="T575" s="1965"/>
      <c r="U575" s="1965"/>
      <c r="V575" s="3227" t="s">
        <v>31</v>
      </c>
      <c r="W575" s="129">
        <v>11743.624493752814</v>
      </c>
      <c r="X575" s="129">
        <v>11743.624493752814</v>
      </c>
      <c r="Y575" s="129">
        <v>11743.624493752814</v>
      </c>
      <c r="Z575" s="129">
        <v>11743.624493752814</v>
      </c>
      <c r="AA575" s="129">
        <v>11743.624493752814</v>
      </c>
      <c r="AB575" s="1825">
        <v>11743.62</v>
      </c>
      <c r="AC575" s="3364">
        <v>11743.62</v>
      </c>
      <c r="AD575" s="2099"/>
      <c r="AE575" s="2099"/>
      <c r="AF575" s="2099"/>
      <c r="AG575" s="2099"/>
      <c r="AH575" s="2100"/>
      <c r="AI575" s="3227" t="s">
        <v>181</v>
      </c>
      <c r="AJ575" s="64">
        <v>12</v>
      </c>
      <c r="AK575" s="64">
        <v>12</v>
      </c>
      <c r="AL575" s="64">
        <v>12</v>
      </c>
      <c r="AM575" s="64">
        <v>12</v>
      </c>
      <c r="AN575" s="64">
        <v>12</v>
      </c>
      <c r="AO575" s="2101">
        <v>12</v>
      </c>
      <c r="AP575" s="2101">
        <v>12</v>
      </c>
      <c r="AQ575" s="2099"/>
      <c r="AR575" s="2099"/>
      <c r="AS575" s="2099"/>
      <c r="AT575" s="1933"/>
      <c r="AU575" s="3227" t="s">
        <v>170</v>
      </c>
      <c r="AV575" s="2102">
        <v>4300</v>
      </c>
      <c r="AW575" s="2102">
        <v>4300</v>
      </c>
      <c r="AX575" s="2102">
        <v>4300</v>
      </c>
      <c r="AY575" s="2102">
        <v>4300</v>
      </c>
      <c r="AZ575" s="2102">
        <v>4300</v>
      </c>
      <c r="BA575" s="2103">
        <v>4300</v>
      </c>
      <c r="BB575" s="2103">
        <v>4300</v>
      </c>
      <c r="BC575" s="2099"/>
      <c r="BD575" s="2099"/>
      <c r="BE575" s="2099"/>
      <c r="BF575" s="1933"/>
      <c r="BG575" s="1933"/>
      <c r="BH575" s="1933"/>
      <c r="BI575" s="1933"/>
      <c r="BJ575" s="1933"/>
      <c r="BK575" s="1933"/>
      <c r="BL575" s="1931"/>
      <c r="BM575" s="1931"/>
      <c r="BN575" s="1931"/>
      <c r="BO575" s="1931"/>
      <c r="BP575" s="1931"/>
      <c r="BQ575" s="1931"/>
      <c r="BR575" s="1931"/>
      <c r="BS575" s="1931"/>
      <c r="BT575" s="1931"/>
      <c r="BU575" s="1931"/>
      <c r="BV575" s="1931"/>
      <c r="BW575" s="1931"/>
      <c r="BX575" s="1931"/>
      <c r="BY575" s="1931"/>
      <c r="BZ575" s="1931"/>
      <c r="CA575" s="1931"/>
      <c r="CB575" s="1931"/>
      <c r="CC575" s="1931"/>
      <c r="CD575" s="1931"/>
      <c r="CE575" s="1930"/>
      <c r="CF575" s="1930"/>
      <c r="CG575" s="1930"/>
      <c r="CH575" s="1930"/>
      <c r="CI575" s="1931"/>
      <c r="CJ575" s="1931"/>
      <c r="CK575" s="1931"/>
      <c r="CL575" s="1931"/>
      <c r="CM575" s="1931"/>
      <c r="CN575" s="1931"/>
      <c r="CO575" s="1931"/>
      <c r="CP575" s="1931"/>
      <c r="CQ575" s="1931"/>
      <c r="CR575" s="1931"/>
      <c r="CS575" s="1931"/>
      <c r="CT575" s="1930"/>
      <c r="CU575" s="1930"/>
      <c r="CV575" s="1930"/>
      <c r="CW575" s="1930"/>
      <c r="CX575" s="1931"/>
      <c r="CY575" s="1931"/>
      <c r="CZ575" s="1931"/>
      <c r="DA575" s="1931"/>
      <c r="DB575" s="53">
        <f>(DD575)/(DE575)</f>
        <v>1.4676071283403906</v>
      </c>
      <c r="DC575" s="1948" t="str">
        <f>CONCATENATE(G575," ",J575," Year EUL")</f>
        <v>Cooking BUS 12 Year EUL</v>
      </c>
      <c r="DD575" s="71">
        <f>(INDEX('Avoided Cost Benefits'!$C$4:$C$857,MATCH(DC575,'Avoided Cost Benefits'!$A$4:$A$857,0)))*F575</f>
        <v>5956.3101952465113</v>
      </c>
      <c r="DE575" s="1950">
        <f>K575/(1.0595^(2020-2019))</f>
        <v>4058.5181689476162</v>
      </c>
    </row>
    <row r="576" spans="2:112" hidden="1" outlineLevel="1" x14ac:dyDescent="0.25">
      <c r="B576" s="1931"/>
      <c r="D576" s="1966"/>
      <c r="E576" s="1966"/>
      <c r="F576" s="1966"/>
      <c r="G576" s="1966"/>
      <c r="H576" s="1299"/>
      <c r="I576" s="1966"/>
      <c r="J576" s="1966"/>
      <c r="K576" s="1966"/>
      <c r="L576" s="1965"/>
      <c r="M576" s="1965"/>
      <c r="N576" s="1965"/>
      <c r="O576" s="1965"/>
      <c r="P576" s="1965"/>
      <c r="Q576" s="1965"/>
      <c r="R576" s="1965"/>
      <c r="S576" s="1965"/>
      <c r="T576" s="1965"/>
      <c r="U576" s="1965"/>
      <c r="V576" s="1933"/>
      <c r="W576" s="1933"/>
      <c r="X576" s="1933"/>
      <c r="Y576" s="1933"/>
      <c r="Z576" s="1933"/>
      <c r="AA576" s="1933"/>
      <c r="AB576" s="1933"/>
      <c r="AC576" s="1933"/>
      <c r="AD576" s="1933"/>
      <c r="AE576" s="1933"/>
      <c r="AF576" s="1933"/>
      <c r="AG576" s="1933"/>
      <c r="AH576" s="1933"/>
      <c r="AI576" s="1933"/>
      <c r="AJ576" s="1933"/>
      <c r="AK576" s="1933"/>
      <c r="AL576" s="1933"/>
      <c r="AM576" s="1933"/>
      <c r="AN576" s="1933"/>
      <c r="AO576" s="1933"/>
      <c r="AP576" s="1933"/>
      <c r="AQ576" s="1933"/>
      <c r="AR576" s="1933"/>
      <c r="AS576" s="1933"/>
      <c r="AT576" s="1933"/>
      <c r="AU576" s="1933"/>
      <c r="AV576" s="1933"/>
      <c r="AW576" s="1933"/>
      <c r="AX576" s="1933"/>
      <c r="AY576" s="1933"/>
      <c r="AZ576" s="1933"/>
      <c r="BA576" s="1933"/>
      <c r="BB576" s="1933"/>
      <c r="BC576" s="1933"/>
      <c r="BD576" s="1933"/>
      <c r="BE576" s="1933"/>
      <c r="BF576" s="1933"/>
      <c r="BG576" s="1933"/>
      <c r="BH576" s="1933"/>
      <c r="BI576" s="1933"/>
      <c r="BJ576" s="1933"/>
      <c r="BK576" s="1933"/>
      <c r="BL576" s="1931"/>
      <c r="BM576" s="1931"/>
      <c r="BN576" s="1931"/>
      <c r="BO576" s="1931"/>
      <c r="BP576" s="1931"/>
      <c r="BQ576" s="1931"/>
      <c r="BR576" s="1931"/>
      <c r="BS576" s="1931"/>
      <c r="BT576" s="1931"/>
      <c r="BU576" s="1931"/>
      <c r="BV576" s="1931"/>
      <c r="BW576" s="1931"/>
      <c r="BX576" s="1931"/>
      <c r="BY576" s="1931"/>
      <c r="BZ576" s="1931"/>
      <c r="CA576" s="1931"/>
      <c r="CB576" s="1931"/>
      <c r="CC576" s="1931"/>
      <c r="CD576" s="1931"/>
      <c r="CE576" s="1930"/>
      <c r="CF576" s="1930"/>
      <c r="CG576" s="1930"/>
      <c r="CH576" s="1930"/>
      <c r="CI576" s="1931"/>
      <c r="CJ576" s="1931"/>
      <c r="CK576" s="1931"/>
      <c r="CL576" s="1931"/>
      <c r="CM576" s="1931"/>
      <c r="CN576" s="1931"/>
      <c r="CO576" s="1931"/>
      <c r="CP576" s="1931"/>
      <c r="CQ576" s="1931"/>
      <c r="CR576" s="1931"/>
      <c r="CS576" s="1931"/>
      <c r="CT576" s="1930"/>
      <c r="CU576" s="1930"/>
      <c r="CV576" s="1930"/>
      <c r="CW576" s="1930"/>
      <c r="CX576" s="1931"/>
      <c r="CY576" s="1931"/>
      <c r="CZ576" s="1931"/>
      <c r="DA576" s="1931"/>
      <c r="DB576" s="1932"/>
      <c r="DC576" s="1931"/>
      <c r="DD576" s="1931"/>
      <c r="DE576" s="1931"/>
    </row>
    <row r="577" spans="2:110" hidden="1" outlineLevel="1" x14ac:dyDescent="0.25">
      <c r="B577" s="1931"/>
      <c r="D577" s="1966" t="s">
        <v>2689</v>
      </c>
      <c r="E577" s="151"/>
      <c r="F577" s="1966"/>
      <c r="G577" s="1966"/>
      <c r="H577" s="1299"/>
      <c r="I577" s="1966"/>
      <c r="J577" s="1966"/>
      <c r="K577" s="151"/>
      <c r="L577" s="1965"/>
      <c r="M577" s="1965"/>
      <c r="N577" s="1965"/>
      <c r="O577" s="1965"/>
      <c r="P577" s="1965"/>
      <c r="Q577" s="1965"/>
      <c r="R577" s="1965"/>
      <c r="S577" s="1965"/>
      <c r="T577" s="1965"/>
      <c r="U577" s="1965"/>
      <c r="V577" s="1933"/>
      <c r="W577" s="1933"/>
      <c r="X577" s="1933"/>
      <c r="Y577" s="1933"/>
      <c r="Z577" s="1933"/>
      <c r="AA577" s="1933"/>
      <c r="AB577" s="1933"/>
      <c r="AC577" s="1933"/>
      <c r="AD577" s="1933"/>
      <c r="AE577" s="1933"/>
      <c r="AF577" s="1933"/>
      <c r="AG577" s="1933"/>
      <c r="AH577" s="1933"/>
      <c r="AI577" s="1933"/>
      <c r="AJ577" s="1933"/>
      <c r="AK577" s="1933"/>
      <c r="AL577" s="1933"/>
      <c r="AM577" s="1933"/>
      <c r="AN577" s="1933"/>
      <c r="AO577" s="1933"/>
      <c r="AP577" s="1933"/>
      <c r="AQ577" s="1933"/>
      <c r="AR577" s="1933"/>
      <c r="AS577" s="1933"/>
      <c r="AT577" s="1933"/>
      <c r="AU577" s="1933"/>
      <c r="AV577" s="1933"/>
      <c r="AW577" s="1933"/>
      <c r="AX577" s="1933"/>
      <c r="AY577" s="1933"/>
      <c r="AZ577" s="1933"/>
      <c r="BA577" s="1933"/>
      <c r="BB577" s="1933"/>
      <c r="BC577" s="1933"/>
      <c r="BD577" s="1933"/>
      <c r="BE577" s="1933"/>
      <c r="BF577" s="1933"/>
      <c r="BG577" s="1933"/>
      <c r="BH577" s="1933"/>
      <c r="BI577" s="1933"/>
      <c r="BJ577" s="1933"/>
      <c r="BK577" s="1933"/>
      <c r="BL577" s="1931"/>
      <c r="BM577" s="1931"/>
      <c r="BN577" s="1931"/>
      <c r="BO577" s="1931"/>
      <c r="BP577" s="1931"/>
      <c r="BQ577" s="1931"/>
      <c r="BR577" s="1931"/>
      <c r="BS577" s="1931"/>
      <c r="BT577" s="1931"/>
      <c r="BU577" s="1931"/>
      <c r="BV577" s="1931"/>
      <c r="BW577" s="1931"/>
      <c r="BX577" s="1931"/>
      <c r="BY577" s="1931"/>
      <c r="BZ577" s="1931"/>
      <c r="CA577" s="1931"/>
      <c r="CB577" s="1931"/>
      <c r="CC577" s="1931"/>
      <c r="CD577" s="1931"/>
      <c r="CE577" s="1930"/>
      <c r="CF577" s="1930"/>
      <c r="CG577" s="1930"/>
      <c r="CH577" s="1930"/>
      <c r="CI577" s="1931"/>
      <c r="CJ577" s="1931"/>
      <c r="CK577" s="1931"/>
      <c r="CL577" s="1931"/>
      <c r="CM577" s="1931"/>
      <c r="CN577" s="1931"/>
      <c r="CO577" s="1931"/>
      <c r="CP577" s="1931"/>
      <c r="CQ577" s="1931"/>
      <c r="CR577" s="1931"/>
      <c r="CS577" s="1931"/>
      <c r="CT577" s="1930"/>
      <c r="CU577" s="1930"/>
      <c r="CV577" s="1930"/>
      <c r="CW577" s="1930"/>
      <c r="CX577" s="1931"/>
      <c r="CY577" s="1931"/>
      <c r="CZ577" s="1931"/>
      <c r="DA577" s="1931"/>
      <c r="DB577" s="1932"/>
      <c r="DC577" s="1931"/>
      <c r="DD577" s="1931"/>
      <c r="DE577" s="1931"/>
    </row>
    <row r="578" spans="2:110" hidden="1" outlineLevel="1" x14ac:dyDescent="0.25">
      <c r="B578" s="1931"/>
      <c r="D578" s="1300"/>
      <c r="E578" s="151"/>
      <c r="F578" s="151"/>
      <c r="G578" s="1321"/>
      <c r="H578" s="1322"/>
      <c r="I578" s="1965"/>
      <c r="J578" s="1965"/>
      <c r="K578" s="1965"/>
      <c r="L578" s="1965"/>
      <c r="M578" s="1965"/>
      <c r="N578" s="1965"/>
      <c r="O578" s="1965"/>
      <c r="P578" s="1965"/>
      <c r="Q578" s="1965"/>
      <c r="R578" s="1965"/>
      <c r="S578" s="1965"/>
      <c r="T578" s="1965"/>
      <c r="U578" s="1965"/>
      <c r="V578" s="1933"/>
      <c r="W578" s="1933"/>
      <c r="X578" s="1933"/>
      <c r="Y578" s="1933"/>
      <c r="Z578" s="1933"/>
      <c r="AA578" s="1933"/>
      <c r="AB578" s="1933"/>
      <c r="AC578" s="1933"/>
      <c r="AD578" s="1933"/>
      <c r="AE578" s="1933"/>
      <c r="AF578" s="1933"/>
      <c r="AG578" s="1933"/>
      <c r="AH578" s="1933"/>
      <c r="AI578" s="1933"/>
      <c r="AJ578" s="1933"/>
      <c r="AK578" s="1933"/>
      <c r="AL578" s="1933"/>
      <c r="AM578" s="1933"/>
      <c r="AN578" s="1933"/>
      <c r="AO578" s="1933"/>
      <c r="AP578" s="1933"/>
      <c r="AQ578" s="1933"/>
      <c r="AR578" s="1933"/>
      <c r="AS578" s="1933"/>
      <c r="AT578" s="1933"/>
      <c r="AU578" s="1933"/>
      <c r="AV578" s="1933"/>
      <c r="AW578" s="1933"/>
      <c r="AX578" s="1933"/>
      <c r="AY578" s="1933"/>
      <c r="AZ578" s="1933"/>
      <c r="BA578" s="1933"/>
      <c r="BB578" s="1933"/>
      <c r="BC578" s="1933"/>
      <c r="BD578" s="1933"/>
      <c r="BE578" s="1933"/>
      <c r="BF578" s="1933"/>
      <c r="BG578" s="1933"/>
      <c r="BH578" s="1933"/>
      <c r="BI578" s="1933"/>
      <c r="BJ578" s="1933"/>
      <c r="BK578" s="1933"/>
      <c r="BL578" s="1931"/>
      <c r="BM578" s="1931"/>
      <c r="BN578" s="1931"/>
      <c r="BO578" s="1931"/>
      <c r="BP578" s="1931"/>
      <c r="BQ578" s="1931"/>
      <c r="BR578" s="1931"/>
      <c r="BS578" s="1931"/>
      <c r="BT578" s="1931"/>
      <c r="BU578" s="1931"/>
      <c r="BV578" s="1931"/>
      <c r="BW578" s="1931"/>
      <c r="BX578" s="1931"/>
      <c r="BY578" s="1931"/>
      <c r="BZ578" s="1931"/>
      <c r="CA578" s="1931"/>
      <c r="CB578" s="1931"/>
      <c r="CC578" s="1931"/>
      <c r="CD578" s="1931"/>
      <c r="CE578" s="1930"/>
      <c r="CF578" s="1930"/>
      <c r="CG578" s="1930"/>
      <c r="CH578" s="1930"/>
      <c r="CI578" s="1931"/>
      <c r="CJ578" s="1931"/>
      <c r="CK578" s="1931"/>
      <c r="CL578" s="1931"/>
      <c r="CM578" s="1931"/>
      <c r="CN578" s="1931"/>
      <c r="CO578" s="1931"/>
      <c r="CP578" s="1931"/>
      <c r="CQ578" s="1931"/>
      <c r="CR578" s="1931"/>
      <c r="CS578" s="1931"/>
      <c r="CT578" s="1930"/>
      <c r="CU578" s="1930"/>
      <c r="CV578" s="1930"/>
      <c r="CW578" s="1930"/>
      <c r="CX578" s="1931"/>
      <c r="CY578" s="1931"/>
      <c r="CZ578" s="1931"/>
      <c r="DA578" s="1931"/>
      <c r="DB578" s="1932"/>
      <c r="DC578" s="1931"/>
      <c r="DD578" s="1931"/>
      <c r="DE578" s="1931"/>
    </row>
    <row r="579" spans="2:110" hidden="1" outlineLevel="1" x14ac:dyDescent="0.25">
      <c r="B579" s="1931"/>
      <c r="D579" s="1300"/>
      <c r="E579" s="151"/>
      <c r="F579" s="151"/>
      <c r="G579" s="1321"/>
      <c r="H579" s="1322"/>
      <c r="I579" s="1965"/>
      <c r="J579" s="1965"/>
      <c r="K579" s="1965"/>
      <c r="L579" s="1965"/>
      <c r="M579" s="1965"/>
      <c r="N579" s="1965"/>
      <c r="O579" s="1965"/>
      <c r="P579" s="1965"/>
      <c r="Q579" s="1965"/>
      <c r="R579" s="1965"/>
      <c r="S579" s="1965"/>
      <c r="T579" s="1965"/>
      <c r="U579" s="1965"/>
      <c r="V579" s="1933"/>
      <c r="W579" s="1933"/>
      <c r="X579" s="1933"/>
      <c r="Y579" s="1933"/>
      <c r="Z579" s="1933"/>
      <c r="AA579" s="1933"/>
      <c r="AB579" s="1933"/>
      <c r="AC579" s="1933"/>
      <c r="AD579" s="1933"/>
      <c r="AE579" s="1933"/>
      <c r="AF579" s="1933"/>
      <c r="AG579" s="1933"/>
      <c r="AH579" s="1933"/>
      <c r="AI579" s="1933"/>
      <c r="AJ579" s="1933"/>
      <c r="AK579" s="1933"/>
      <c r="AL579" s="1933"/>
      <c r="AM579" s="1933"/>
      <c r="AN579" s="1933"/>
      <c r="AO579" s="1933"/>
      <c r="AP579" s="1933"/>
      <c r="AQ579" s="1933"/>
      <c r="AR579" s="1933"/>
      <c r="AS579" s="1933"/>
      <c r="AT579" s="1933"/>
      <c r="AU579" s="1933"/>
      <c r="AV579" s="1933"/>
      <c r="AW579" s="1933"/>
      <c r="AX579" s="1933"/>
      <c r="AY579" s="1933"/>
      <c r="AZ579" s="1933"/>
      <c r="BA579" s="1933"/>
      <c r="BB579" s="1933"/>
      <c r="BC579" s="1933"/>
      <c r="BD579" s="1933"/>
      <c r="BE579" s="1933"/>
      <c r="BF579" s="1933"/>
      <c r="BG579" s="1933"/>
      <c r="BH579" s="1933"/>
      <c r="BI579" s="1933"/>
      <c r="BJ579" s="1933"/>
      <c r="BK579" s="1933"/>
      <c r="BL579" s="1931"/>
      <c r="BM579" s="1931"/>
      <c r="BN579" s="1931"/>
      <c r="BO579" s="1931"/>
      <c r="BP579" s="1931"/>
      <c r="BQ579" s="1931"/>
      <c r="BR579" s="1931"/>
      <c r="BS579" s="1931"/>
      <c r="BT579" s="1931"/>
      <c r="BU579" s="1931"/>
      <c r="BV579" s="1931"/>
      <c r="BW579" s="1931"/>
      <c r="BX579" s="1931"/>
      <c r="BY579" s="1931"/>
      <c r="BZ579" s="1931"/>
      <c r="CA579" s="1931"/>
      <c r="CB579" s="1931"/>
      <c r="CC579" s="1931"/>
      <c r="CD579" s="1931"/>
      <c r="CE579" s="1930"/>
      <c r="CF579" s="1930"/>
      <c r="CG579" s="1930"/>
      <c r="CH579" s="1930"/>
      <c r="CI579" s="1931"/>
      <c r="CJ579" s="1931"/>
      <c r="CK579" s="1931"/>
      <c r="CL579" s="1931"/>
      <c r="CM579" s="1931"/>
      <c r="CN579" s="1931"/>
      <c r="CO579" s="1931"/>
      <c r="CP579" s="1931"/>
      <c r="CQ579" s="1931"/>
      <c r="CR579" s="1931"/>
      <c r="CS579" s="1931"/>
      <c r="CT579" s="1930"/>
      <c r="CU579" s="1930"/>
      <c r="CV579" s="1930"/>
      <c r="CW579" s="1930"/>
      <c r="CX579" s="1931"/>
      <c r="CY579" s="1931"/>
      <c r="CZ579" s="1931"/>
      <c r="DA579" s="1931"/>
      <c r="DB579" s="1932"/>
      <c r="DC579" s="1931"/>
      <c r="DD579" s="1931"/>
      <c r="DE579" s="1931"/>
    </row>
    <row r="580" spans="2:110" hidden="1" outlineLevel="1" x14ac:dyDescent="0.25">
      <c r="B580" s="1931"/>
      <c r="D580" s="1300"/>
      <c r="E580" s="151"/>
      <c r="F580" s="151"/>
      <c r="G580" s="1321"/>
      <c r="H580" s="1322"/>
      <c r="I580" s="1965"/>
      <c r="J580" s="1965"/>
      <c r="K580" s="1965"/>
      <c r="L580" s="1965"/>
      <c r="M580" s="1965"/>
      <c r="N580" s="1965"/>
      <c r="O580" s="1965"/>
      <c r="P580" s="1965"/>
      <c r="Q580" s="1965"/>
      <c r="R580" s="1965"/>
      <c r="S580" s="1965"/>
      <c r="T580" s="1965"/>
      <c r="U580" s="1965"/>
      <c r="V580" s="1931"/>
      <c r="W580" s="1931"/>
      <c r="X580" s="1931"/>
      <c r="Y580" s="1931"/>
      <c r="Z580" s="1931"/>
      <c r="AA580" s="1931"/>
      <c r="AB580" s="1931"/>
      <c r="AC580" s="1931"/>
      <c r="AD580" s="1931"/>
      <c r="AE580" s="1931"/>
      <c r="AF580" s="1931"/>
      <c r="AG580" s="1931"/>
      <c r="AH580" s="1931"/>
      <c r="AI580" s="1931"/>
      <c r="AJ580" s="1931"/>
      <c r="AK580" s="1931"/>
      <c r="AL580" s="1931"/>
      <c r="AM580" s="1931"/>
      <c r="AN580" s="1931"/>
      <c r="AO580" s="1931"/>
      <c r="AP580" s="1931"/>
      <c r="AQ580" s="1931"/>
      <c r="AR580" s="1931"/>
      <c r="AS580" s="1931"/>
      <c r="AT580" s="1931"/>
      <c r="AU580" s="1931"/>
      <c r="AV580" s="1931"/>
      <c r="AW580" s="1931"/>
      <c r="AX580" s="1931"/>
      <c r="AY580" s="1931"/>
      <c r="AZ580" s="1931"/>
      <c r="BA580" s="1931"/>
      <c r="BB580" s="1931"/>
      <c r="BC580" s="1931"/>
      <c r="BD580" s="1931"/>
      <c r="BE580" s="1931"/>
      <c r="BF580" s="1931"/>
      <c r="BG580" s="1931"/>
      <c r="BH580" s="1931"/>
      <c r="BI580" s="1931"/>
      <c r="BJ580" s="1931"/>
      <c r="BK580" s="1931"/>
      <c r="BL580" s="1931"/>
      <c r="BM580" s="1931"/>
      <c r="BN580" s="1931"/>
      <c r="BO580" s="1931"/>
      <c r="BP580" s="1931"/>
      <c r="BQ580" s="1931"/>
      <c r="BR580" s="1931"/>
      <c r="BS580" s="1931"/>
      <c r="BT580" s="1931"/>
      <c r="BU580" s="1931"/>
      <c r="BV580" s="1931"/>
      <c r="BW580" s="1931"/>
      <c r="BX580" s="1931"/>
      <c r="BY580" s="1931"/>
      <c r="BZ580" s="1931"/>
      <c r="CA580" s="1931"/>
      <c r="CB580" s="1931"/>
      <c r="CC580" s="1931"/>
      <c r="CD580" s="1931"/>
      <c r="CE580" s="1930"/>
      <c r="CF580" s="1930"/>
      <c r="CG580" s="1930"/>
      <c r="CH580" s="1930"/>
      <c r="CI580" s="1931"/>
      <c r="CJ580" s="1931"/>
      <c r="CK580" s="1931"/>
      <c r="CL580" s="1931"/>
      <c r="CM580" s="1931"/>
      <c r="CN580" s="1931"/>
      <c r="CO580" s="1931"/>
      <c r="CP580" s="1931"/>
      <c r="CQ580" s="1931"/>
      <c r="CR580" s="1931"/>
      <c r="CS580" s="1931"/>
      <c r="CT580" s="1930"/>
      <c r="CU580" s="1930"/>
      <c r="CV580" s="1930"/>
      <c r="CW580" s="1930"/>
      <c r="CX580" s="1931"/>
      <c r="CY580" s="1931"/>
      <c r="CZ580" s="1931"/>
      <c r="DA580" s="1931"/>
      <c r="DB580" s="1932"/>
      <c r="DC580" s="1931"/>
      <c r="DD580" s="1931"/>
      <c r="DE580" s="1931"/>
    </row>
    <row r="581" spans="2:110" hidden="1" outlineLevel="1" x14ac:dyDescent="0.25">
      <c r="B581" s="1931"/>
      <c r="D581" s="1300"/>
      <c r="E581" s="1965"/>
      <c r="F581" s="1965"/>
      <c r="G581" s="1321"/>
      <c r="H581" s="1322"/>
      <c r="I581" s="1965"/>
      <c r="J581" s="1965"/>
      <c r="K581" s="1965"/>
      <c r="L581" s="1965"/>
      <c r="M581" s="1965"/>
      <c r="N581" s="1965"/>
      <c r="O581" s="1965"/>
      <c r="P581" s="4483"/>
      <c r="Q581" s="4483"/>
      <c r="R581" s="1965"/>
      <c r="S581" s="1965"/>
      <c r="T581" s="1965"/>
      <c r="U581" s="1965"/>
      <c r="V581" s="1931"/>
      <c r="W581" s="1931"/>
      <c r="X581" s="1931"/>
      <c r="Y581" s="1931"/>
      <c r="Z581" s="1931"/>
      <c r="AA581" s="1931"/>
      <c r="AB581" s="1931"/>
      <c r="AC581" s="1931"/>
      <c r="AD581" s="1931"/>
      <c r="AE581" s="1931"/>
      <c r="AF581" s="1931"/>
      <c r="AG581" s="1931"/>
      <c r="AH581" s="1931"/>
      <c r="AI581" s="1931"/>
      <c r="AJ581" s="1931"/>
      <c r="AK581" s="1931"/>
      <c r="AL581" s="1931"/>
      <c r="AM581" s="1931"/>
      <c r="AN581" s="1931"/>
      <c r="AO581" s="1931"/>
      <c r="AP581" s="1931"/>
      <c r="AQ581" s="1931"/>
      <c r="AR581" s="1931"/>
      <c r="AS581" s="1931"/>
      <c r="AT581" s="1931"/>
      <c r="AU581" s="1931"/>
      <c r="AV581" s="1931"/>
      <c r="AW581" s="1931"/>
      <c r="AX581" s="1931"/>
      <c r="AY581" s="1931"/>
      <c r="AZ581" s="1931"/>
      <c r="BA581" s="1931"/>
      <c r="BB581" s="1931"/>
      <c r="BC581" s="1931"/>
      <c r="BD581" s="1931"/>
      <c r="BE581" s="1931"/>
      <c r="BF581" s="1931"/>
      <c r="BG581" s="1931"/>
      <c r="BH581" s="1931"/>
      <c r="BI581" s="1931"/>
      <c r="BJ581" s="1931"/>
      <c r="BK581" s="1931"/>
      <c r="BL581" s="1931"/>
      <c r="BM581" s="1931"/>
      <c r="BN581" s="1931"/>
      <c r="BO581" s="1931"/>
      <c r="BP581" s="1931"/>
      <c r="BQ581" s="1931"/>
      <c r="BR581" s="1931"/>
      <c r="BS581" s="1931"/>
      <c r="BT581" s="1931"/>
      <c r="BU581" s="1931"/>
      <c r="BV581" s="1931"/>
      <c r="BW581" s="1931"/>
      <c r="BX581" s="1931"/>
      <c r="BY581" s="1931"/>
      <c r="BZ581" s="1931"/>
      <c r="CA581" s="1931"/>
      <c r="CB581" s="1931"/>
      <c r="CC581" s="1931"/>
      <c r="CD581" s="1931"/>
      <c r="CE581" s="1930"/>
      <c r="CF581" s="1930"/>
      <c r="CG581" s="1930"/>
      <c r="CH581" s="1930"/>
      <c r="CI581" s="1931"/>
      <c r="CJ581" s="1931"/>
      <c r="CK581" s="1931"/>
      <c r="CL581" s="1931"/>
      <c r="CM581" s="1931"/>
      <c r="CN581" s="1931"/>
      <c r="CO581" s="1931"/>
      <c r="CP581" s="1931"/>
      <c r="CQ581" s="1931"/>
      <c r="CR581" s="1931"/>
      <c r="CS581" s="1931"/>
      <c r="CT581" s="1930"/>
      <c r="CU581" s="1930"/>
      <c r="CV581" s="1930"/>
      <c r="CW581" s="1930"/>
      <c r="CX581" s="1931"/>
      <c r="CY581" s="1931"/>
      <c r="CZ581" s="1931"/>
      <c r="DA581" s="1931"/>
      <c r="DB581" s="1932"/>
      <c r="DC581" s="1931"/>
      <c r="DD581" s="1931"/>
      <c r="DE581" s="1931"/>
    </row>
    <row r="582" spans="2:110" hidden="1" outlineLevel="1" x14ac:dyDescent="0.25">
      <c r="B582" s="1931"/>
      <c r="D582" s="1300"/>
      <c r="E582" s="1965"/>
      <c r="F582" s="1965"/>
      <c r="G582" s="1965"/>
      <c r="H582" s="1301"/>
      <c r="I582" s="1965"/>
      <c r="J582" s="1965"/>
      <c r="K582" s="1965"/>
      <c r="L582" s="1965"/>
      <c r="M582" s="1966"/>
      <c r="N582" s="1965"/>
      <c r="O582" s="1965"/>
      <c r="P582" s="4483"/>
      <c r="Q582" s="4483"/>
      <c r="R582" s="1965"/>
      <c r="S582" s="1965"/>
      <c r="T582" s="1965"/>
      <c r="U582" s="1965"/>
      <c r="V582" s="1931"/>
      <c r="W582" s="1931"/>
      <c r="X582" s="1931"/>
      <c r="Y582" s="1931"/>
      <c r="Z582" s="1931"/>
      <c r="AA582" s="1931"/>
      <c r="AB582" s="1931"/>
      <c r="AC582" s="1931"/>
      <c r="AD582" s="1931"/>
      <c r="AE582" s="1931"/>
      <c r="AF582" s="1931"/>
      <c r="AG582" s="1931"/>
      <c r="AH582" s="1931"/>
      <c r="AI582" s="1931"/>
      <c r="AJ582" s="1931"/>
      <c r="AK582" s="1931"/>
      <c r="AL582" s="1931"/>
      <c r="AM582" s="1931"/>
      <c r="AN582" s="1931"/>
      <c r="AO582" s="1931"/>
      <c r="AP582" s="1931"/>
      <c r="AQ582" s="1931"/>
      <c r="AR582" s="1931"/>
      <c r="AS582" s="1931"/>
      <c r="AT582" s="1931"/>
      <c r="AU582" s="1931"/>
      <c r="AV582" s="1931"/>
      <c r="AW582" s="1931"/>
      <c r="AX582" s="1931"/>
      <c r="AY582" s="1931"/>
      <c r="AZ582" s="1931"/>
      <c r="BA582" s="1931"/>
      <c r="BB582" s="1931"/>
      <c r="BC582" s="1931"/>
      <c r="BD582" s="1931"/>
      <c r="BE582" s="1931"/>
      <c r="BF582" s="1931"/>
      <c r="BG582" s="1931"/>
      <c r="BH582" s="1931"/>
      <c r="BI582" s="1931"/>
      <c r="BJ582" s="1931"/>
      <c r="BK582" s="1931"/>
      <c r="BL582" s="1931"/>
      <c r="BM582" s="1931"/>
      <c r="BN582" s="1931"/>
      <c r="BO582" s="1931"/>
      <c r="BP582" s="1931"/>
      <c r="BQ582" s="1931"/>
      <c r="BR582" s="1931"/>
      <c r="BS582" s="1931"/>
      <c r="BT582" s="1931"/>
      <c r="BU582" s="1931"/>
      <c r="BV582" s="1931"/>
      <c r="BW582" s="1931"/>
      <c r="BX582" s="1931"/>
      <c r="BY582" s="1931"/>
      <c r="BZ582" s="1931"/>
      <c r="CA582" s="1931"/>
      <c r="CB582" s="1931"/>
      <c r="CC582" s="1931"/>
      <c r="CD582" s="1931"/>
      <c r="CE582" s="1930"/>
      <c r="CF582" s="1930"/>
      <c r="CG582" s="1930"/>
      <c r="CH582" s="1930"/>
      <c r="CI582" s="1931"/>
      <c r="CJ582" s="1931"/>
      <c r="CK582" s="1931"/>
      <c r="CL582" s="1931"/>
      <c r="CM582" s="1931"/>
      <c r="CN582" s="1931"/>
      <c r="CO582" s="1931"/>
      <c r="CP582" s="1931"/>
      <c r="CQ582" s="1931"/>
      <c r="CR582" s="1931"/>
      <c r="CS582" s="1931"/>
      <c r="CT582" s="1930"/>
      <c r="CU582" s="1930"/>
      <c r="CV582" s="1930"/>
      <c r="CW582" s="1930"/>
      <c r="CX582" s="1931"/>
      <c r="CY582" s="1931"/>
      <c r="CZ582" s="1931"/>
      <c r="DA582" s="1931"/>
      <c r="DB582" s="1932"/>
      <c r="DC582" s="1931"/>
      <c r="DD582" s="1931"/>
      <c r="DE582" s="1931"/>
    </row>
    <row r="583" spans="2:110" hidden="1" outlineLevel="1" x14ac:dyDescent="0.25">
      <c r="B583" s="1931"/>
      <c r="D583" s="1300"/>
      <c r="E583" s="1965"/>
      <c r="F583" s="1965"/>
      <c r="G583" s="1965"/>
      <c r="H583" s="1301"/>
      <c r="I583" s="1965"/>
      <c r="J583" s="1965"/>
      <c r="K583" s="1965"/>
      <c r="L583" s="1965"/>
      <c r="M583" s="1966"/>
      <c r="N583" s="1965"/>
      <c r="O583" s="1965"/>
      <c r="P583" s="4483"/>
      <c r="Q583" s="4483"/>
      <c r="R583" s="1965"/>
      <c r="S583" s="1965"/>
      <c r="T583" s="1965"/>
      <c r="U583" s="1965"/>
      <c r="V583" s="1931"/>
      <c r="W583" s="1931"/>
      <c r="X583" s="1931"/>
      <c r="Y583" s="1931"/>
      <c r="Z583" s="1931"/>
      <c r="AA583" s="1931"/>
      <c r="AB583" s="1931"/>
      <c r="AC583" s="1931"/>
      <c r="AD583" s="1931"/>
      <c r="AE583" s="1931"/>
      <c r="AF583" s="1931"/>
      <c r="AG583" s="1931"/>
      <c r="AH583" s="1931"/>
      <c r="AI583" s="1931"/>
      <c r="AJ583" s="1931"/>
      <c r="AK583" s="1931"/>
      <c r="AL583" s="1931"/>
      <c r="AM583" s="1931"/>
      <c r="AN583" s="1931"/>
      <c r="AO583" s="1931"/>
      <c r="AP583" s="1931"/>
      <c r="AQ583" s="1931"/>
      <c r="AR583" s="1931"/>
      <c r="AS583" s="1931"/>
      <c r="AT583" s="1931"/>
      <c r="AU583" s="1931"/>
      <c r="AV583" s="1931"/>
      <c r="AW583" s="1931"/>
      <c r="AX583" s="1931"/>
      <c r="AY583" s="1931"/>
      <c r="AZ583" s="1931"/>
      <c r="BA583" s="1931"/>
      <c r="BB583" s="1931"/>
      <c r="BC583" s="1931"/>
      <c r="BD583" s="1931"/>
      <c r="BE583" s="1931"/>
      <c r="BF583" s="1931"/>
      <c r="BG583" s="1931"/>
      <c r="BH583" s="1931"/>
      <c r="BI583" s="1931"/>
      <c r="BJ583" s="1931"/>
      <c r="BK583" s="1931"/>
      <c r="BL583" s="1931"/>
      <c r="BM583" s="1931"/>
      <c r="BN583" s="1931"/>
      <c r="BO583" s="1931"/>
      <c r="BP583" s="1931"/>
      <c r="BQ583" s="1931"/>
      <c r="BR583" s="1931"/>
      <c r="BS583" s="1931"/>
      <c r="BT583" s="1931"/>
      <c r="BU583" s="1931"/>
      <c r="BV583" s="1931"/>
      <c r="BW583" s="1931"/>
      <c r="BX583" s="1931"/>
      <c r="BY583" s="1931"/>
      <c r="BZ583" s="1931"/>
      <c r="CA583" s="1931"/>
      <c r="CB583" s="1931"/>
      <c r="CC583" s="1931"/>
      <c r="CD583" s="1931"/>
      <c r="CE583" s="1930"/>
      <c r="CF583" s="1930"/>
      <c r="CG583" s="1930"/>
      <c r="CH583" s="1930"/>
      <c r="CI583" s="1931"/>
      <c r="CJ583" s="1931"/>
      <c r="CK583" s="1931"/>
      <c r="CL583" s="1931"/>
      <c r="CM583" s="1931"/>
      <c r="CN583" s="1931"/>
      <c r="CO583" s="1931"/>
      <c r="CP583" s="1931"/>
      <c r="CQ583" s="1931"/>
      <c r="CR583" s="1931"/>
      <c r="CS583" s="1931"/>
      <c r="CT583" s="1930"/>
      <c r="CU583" s="1930"/>
      <c r="CV583" s="1930"/>
      <c r="CW583" s="1930"/>
      <c r="CX583" s="1931"/>
      <c r="CY583" s="1931"/>
      <c r="CZ583" s="1931"/>
      <c r="DA583" s="1931"/>
      <c r="DB583" s="1932"/>
      <c r="DC583" s="1931"/>
      <c r="DD583" s="1931"/>
      <c r="DE583" s="1931"/>
    </row>
    <row r="584" spans="2:110" hidden="1" outlineLevel="1" x14ac:dyDescent="0.25">
      <c r="B584" s="1931"/>
      <c r="D584" s="1300"/>
      <c r="E584" s="1965"/>
      <c r="F584" s="1965"/>
      <c r="G584" s="1965"/>
      <c r="H584" s="1301"/>
      <c r="I584" s="1965"/>
      <c r="J584" s="1965"/>
      <c r="K584" s="1965"/>
      <c r="L584" s="1965"/>
      <c r="M584" s="1966"/>
      <c r="N584" s="1965"/>
      <c r="O584" s="1965"/>
      <c r="P584" s="1965"/>
      <c r="Q584" s="1965"/>
      <c r="R584" s="1965"/>
      <c r="S584" s="1965"/>
      <c r="T584" s="1965"/>
      <c r="U584" s="1965"/>
      <c r="V584" s="1931"/>
      <c r="W584" s="1931"/>
      <c r="X584" s="1931"/>
      <c r="Y584" s="1931"/>
      <c r="Z584" s="1931"/>
      <c r="AA584" s="1931"/>
      <c r="AB584" s="1931"/>
      <c r="AC584" s="1931"/>
      <c r="AD584" s="1931"/>
      <c r="AE584" s="1931"/>
      <c r="AF584" s="1931"/>
      <c r="AG584" s="1931"/>
      <c r="AH584" s="1931"/>
      <c r="AI584" s="1931"/>
      <c r="AJ584" s="1931"/>
      <c r="AK584" s="1931"/>
      <c r="AL584" s="1931"/>
      <c r="AM584" s="1931"/>
      <c r="AN584" s="1931"/>
      <c r="AO584" s="1931"/>
      <c r="AP584" s="1931"/>
      <c r="AQ584" s="1931"/>
      <c r="AR584" s="1931"/>
      <c r="AS584" s="1931"/>
      <c r="AT584" s="1931"/>
      <c r="AU584" s="1931"/>
      <c r="AV584" s="1931"/>
      <c r="AW584" s="1931"/>
      <c r="AX584" s="1931"/>
      <c r="AY584" s="1931"/>
      <c r="AZ584" s="1931"/>
      <c r="BA584" s="1931"/>
      <c r="BB584" s="1931"/>
      <c r="BC584" s="1931"/>
      <c r="BD584" s="1931"/>
      <c r="BE584" s="1931"/>
      <c r="BF584" s="1931"/>
      <c r="BG584" s="1931"/>
      <c r="BH584" s="1931"/>
      <c r="BI584" s="1931"/>
      <c r="BJ584" s="1931"/>
      <c r="BK584" s="1931"/>
      <c r="BL584" s="1931"/>
      <c r="BM584" s="1931"/>
      <c r="BN584" s="1931"/>
      <c r="BO584" s="1931"/>
      <c r="BP584" s="1931"/>
      <c r="BQ584" s="1931"/>
      <c r="BR584" s="1931"/>
      <c r="BS584" s="1931"/>
      <c r="BT584" s="1931"/>
      <c r="BU584" s="1931"/>
      <c r="BV584" s="1931"/>
      <c r="BW584" s="1931"/>
      <c r="BX584" s="1931"/>
      <c r="BY584" s="1931"/>
      <c r="BZ584" s="1931"/>
      <c r="CA584" s="1931"/>
      <c r="CB584" s="1931"/>
      <c r="CC584" s="1931"/>
      <c r="CD584" s="1931"/>
      <c r="CE584" s="1930"/>
      <c r="CF584" s="1930"/>
      <c r="CG584" s="1930"/>
      <c r="CH584" s="1930"/>
      <c r="CI584" s="1931"/>
      <c r="CJ584" s="1931"/>
      <c r="CK584" s="1931"/>
      <c r="CL584" s="1931"/>
      <c r="CM584" s="1931"/>
      <c r="CN584" s="1931"/>
      <c r="CO584" s="1931"/>
      <c r="CP584" s="1931"/>
      <c r="CQ584" s="1931"/>
      <c r="CR584" s="1931"/>
      <c r="CS584" s="1931"/>
      <c r="CT584" s="1930"/>
      <c r="CU584" s="1930"/>
      <c r="CV584" s="1930"/>
      <c r="CW584" s="1930"/>
      <c r="CX584" s="1931"/>
      <c r="CY584" s="1931"/>
      <c r="CZ584" s="1931"/>
      <c r="DA584" s="1931"/>
      <c r="DB584" s="1932"/>
      <c r="DC584" s="1931"/>
      <c r="DD584" s="1931"/>
      <c r="DE584" s="1931"/>
    </row>
    <row r="585" spans="2:110" hidden="1" outlineLevel="1" x14ac:dyDescent="0.25">
      <c r="B585" s="1931"/>
      <c r="D585" s="1300"/>
      <c r="E585" s="1965"/>
      <c r="F585" s="1965"/>
      <c r="G585" s="1965"/>
      <c r="H585" s="1301"/>
      <c r="I585" s="1965"/>
      <c r="J585" s="1965"/>
      <c r="K585" s="1965"/>
      <c r="L585" s="1965"/>
      <c r="M585" s="1965"/>
      <c r="N585" s="1965"/>
      <c r="O585" s="1965"/>
      <c r="P585" s="1965"/>
      <c r="Q585" s="1965"/>
      <c r="R585" s="1965"/>
      <c r="S585" s="1965"/>
      <c r="T585" s="1965"/>
      <c r="U585" s="1965"/>
      <c r="V585" s="1931"/>
      <c r="W585" s="1931"/>
      <c r="X585" s="1931"/>
      <c r="Y585" s="1931"/>
      <c r="Z585" s="1931"/>
      <c r="AA585" s="1931"/>
      <c r="AB585" s="1931"/>
      <c r="AC585" s="1931"/>
      <c r="AD585" s="1931"/>
      <c r="AE585" s="1931"/>
      <c r="AF585" s="1931"/>
      <c r="AG585" s="1931"/>
      <c r="AH585" s="1931"/>
      <c r="AI585" s="1931"/>
      <c r="AJ585" s="1931"/>
      <c r="AK585" s="1931"/>
      <c r="AL585" s="1931"/>
      <c r="AM585" s="1931"/>
      <c r="AN585" s="1931"/>
      <c r="AO585" s="1931"/>
      <c r="AP585" s="1931"/>
      <c r="AQ585" s="1931"/>
      <c r="AR585" s="1931"/>
      <c r="AS585" s="1931"/>
      <c r="AT585" s="1931"/>
      <c r="AU585" s="1931"/>
      <c r="AV585" s="1931"/>
      <c r="AW585" s="1931"/>
      <c r="AX585" s="1931"/>
      <c r="AY585" s="1931"/>
      <c r="AZ585" s="1931"/>
      <c r="BA585" s="1931"/>
      <c r="BB585" s="1931"/>
      <c r="BC585" s="1931"/>
      <c r="BD585" s="1931"/>
      <c r="BE585" s="1931"/>
      <c r="BF585" s="1931"/>
      <c r="BG585" s="1931"/>
      <c r="BH585" s="1931"/>
      <c r="BI585" s="1931"/>
      <c r="BJ585" s="1931"/>
      <c r="BK585" s="1931"/>
      <c r="BL585" s="1931"/>
      <c r="BM585" s="1931"/>
      <c r="BN585" s="1931"/>
      <c r="BO585" s="1931"/>
      <c r="BP585" s="1931"/>
      <c r="BQ585" s="1931"/>
      <c r="BR585" s="1931"/>
      <c r="BS585" s="1931"/>
      <c r="BT585" s="1931"/>
      <c r="BU585" s="1931"/>
      <c r="BV585" s="1931"/>
      <c r="BW585" s="1931"/>
      <c r="BX585" s="1931"/>
      <c r="BY585" s="1931"/>
      <c r="BZ585" s="1931"/>
      <c r="CA585" s="1931"/>
      <c r="CB585" s="1931"/>
      <c r="CC585" s="1931"/>
      <c r="CD585" s="1931"/>
      <c r="CE585" s="1930"/>
      <c r="CF585" s="1930"/>
      <c r="CG585" s="1930"/>
      <c r="CH585" s="1930"/>
      <c r="CI585" s="1931"/>
      <c r="CJ585" s="1931"/>
      <c r="CK585" s="1931"/>
      <c r="CL585" s="1931"/>
      <c r="CM585" s="1931"/>
      <c r="CN585" s="1931"/>
      <c r="CO585" s="1931"/>
      <c r="CP585" s="1931"/>
      <c r="CQ585" s="1931"/>
      <c r="CR585" s="1931"/>
      <c r="CS585" s="1931"/>
      <c r="CT585" s="1930"/>
      <c r="CU585" s="1930"/>
      <c r="CV585" s="1930"/>
      <c r="CW585" s="1930"/>
      <c r="CX585" s="1931"/>
      <c r="CY585" s="1931"/>
      <c r="CZ585" s="1931"/>
      <c r="DA585" s="1931"/>
      <c r="DB585" s="1932"/>
      <c r="DC585" s="1931"/>
      <c r="DD585" s="1931"/>
      <c r="DE585" s="1931"/>
    </row>
    <row r="586" spans="2:110" s="55" customFormat="1" ht="30" hidden="1" outlineLevel="1" x14ac:dyDescent="0.25">
      <c r="C586" s="151"/>
      <c r="D586" s="3081" t="s">
        <v>28</v>
      </c>
      <c r="E586" s="3081" t="s">
        <v>2758</v>
      </c>
      <c r="F586" s="81" t="s">
        <v>3059</v>
      </c>
      <c r="G586" s="3081" t="s">
        <v>3060</v>
      </c>
      <c r="H586" s="3081" t="s">
        <v>3061</v>
      </c>
      <c r="I586" s="3081" t="s">
        <v>3062</v>
      </c>
      <c r="J586" s="3081" t="s">
        <v>3063</v>
      </c>
      <c r="K586" s="3081" t="s">
        <v>3064</v>
      </c>
      <c r="L586" s="3081" t="s">
        <v>3065</v>
      </c>
      <c r="M586" s="3081" t="s">
        <v>3066</v>
      </c>
      <c r="N586" s="3249" t="s">
        <v>3067</v>
      </c>
      <c r="O586" s="3249" t="s">
        <v>3068</v>
      </c>
      <c r="P586" s="3249" t="s">
        <v>3069</v>
      </c>
      <c r="Q586" s="401"/>
      <c r="R586" s="401"/>
      <c r="S586" s="401"/>
      <c r="T586" s="401"/>
      <c r="U586" s="401"/>
      <c r="DB586" s="72"/>
    </row>
    <row r="587" spans="2:110" hidden="1" outlineLevel="1" x14ac:dyDescent="0.25">
      <c r="B587" s="1931"/>
      <c r="D587" s="1967" t="str">
        <f>C574</f>
        <v>805050_2019_12_</v>
      </c>
      <c r="E587" s="1967" t="str">
        <f>E574</f>
        <v>Combination Oven (Pan Capacity &lt; 15)</v>
      </c>
      <c r="F587" s="1390">
        <v>200</v>
      </c>
      <c r="G587" s="1400">
        <v>73.2</v>
      </c>
      <c r="H587" s="1376">
        <v>0.72</v>
      </c>
      <c r="I587" s="1376">
        <v>0.76</v>
      </c>
      <c r="J587" s="1376">
        <v>0.5</v>
      </c>
      <c r="K587" s="1401">
        <v>30.8</v>
      </c>
      <c r="L587" s="1376">
        <v>0.49</v>
      </c>
      <c r="M587" s="1376">
        <v>0.55000000000000004</v>
      </c>
      <c r="N587" s="1402">
        <f>1-J587</f>
        <v>0.5</v>
      </c>
      <c r="O587" s="1341">
        <v>1320</v>
      </c>
      <c r="P587" s="1341">
        <v>5260</v>
      </c>
      <c r="Q587" s="1965"/>
      <c r="R587" s="1965"/>
      <c r="S587" s="1965"/>
      <c r="T587" s="1965"/>
      <c r="U587" s="1965"/>
      <c r="V587" s="1931"/>
      <c r="W587" s="1931"/>
      <c r="X587" s="1931"/>
      <c r="Y587" s="1931"/>
      <c r="Z587" s="1931"/>
      <c r="AA587" s="1931"/>
      <c r="AB587" s="1931"/>
      <c r="AC587" s="1931"/>
      <c r="AD587" s="1931"/>
      <c r="AE587" s="1931"/>
      <c r="AF587" s="1931"/>
      <c r="AG587" s="1931"/>
      <c r="AH587" s="1931"/>
      <c r="AI587" s="1931"/>
      <c r="AJ587" s="1931"/>
      <c r="AK587" s="1931"/>
      <c r="AL587" s="1931"/>
      <c r="AM587" s="1931"/>
      <c r="AN587" s="1931"/>
      <c r="AO587" s="1931"/>
      <c r="AP587" s="1931"/>
      <c r="AQ587" s="1931"/>
      <c r="AR587" s="1931"/>
      <c r="AS587" s="1931"/>
      <c r="AT587" s="1931"/>
      <c r="AU587" s="1931"/>
      <c r="AV587" s="1931"/>
      <c r="AW587" s="1931"/>
      <c r="AX587" s="1931"/>
      <c r="AY587" s="1931"/>
      <c r="AZ587" s="1931"/>
      <c r="BA587" s="1931"/>
      <c r="BB587" s="1931"/>
      <c r="BC587" s="1931"/>
      <c r="BD587" s="1931"/>
      <c r="BE587" s="1931"/>
      <c r="BF587" s="1931"/>
      <c r="BG587" s="1931"/>
      <c r="BH587" s="1931"/>
      <c r="BI587" s="1931"/>
      <c r="BJ587" s="1931"/>
      <c r="BK587" s="1931"/>
      <c r="BL587" s="1931"/>
      <c r="BM587" s="1931"/>
      <c r="BN587" s="1931"/>
      <c r="BO587" s="1931"/>
      <c r="BP587" s="1931"/>
      <c r="BQ587" s="1931"/>
      <c r="BR587" s="1931"/>
      <c r="BS587" s="1931"/>
      <c r="BT587" s="1931"/>
      <c r="BU587" s="1931"/>
      <c r="BV587" s="1931"/>
      <c r="BW587" s="1931"/>
      <c r="BX587" s="1931"/>
      <c r="BY587" s="1931"/>
      <c r="BZ587" s="1931"/>
      <c r="CA587" s="1931"/>
      <c r="CB587" s="1931"/>
      <c r="CC587" s="1931"/>
      <c r="CD587" s="1931"/>
      <c r="CE587" s="1930"/>
      <c r="CF587" s="1930"/>
      <c r="CG587" s="1930"/>
      <c r="CH587" s="1930"/>
      <c r="CI587" s="1931"/>
      <c r="CJ587" s="1931"/>
      <c r="CK587" s="1931"/>
      <c r="CL587" s="1931"/>
      <c r="CM587" s="1931"/>
      <c r="CN587" s="1931"/>
      <c r="CO587" s="1931"/>
      <c r="CP587" s="1931"/>
      <c r="CQ587" s="1931"/>
      <c r="CR587" s="1931"/>
      <c r="CS587" s="1931"/>
      <c r="CT587" s="1930"/>
      <c r="CU587" s="1930"/>
      <c r="CV587" s="1930"/>
      <c r="CW587" s="1930"/>
      <c r="CX587" s="1931"/>
      <c r="CY587" s="1931"/>
      <c r="CZ587" s="1931"/>
      <c r="DA587" s="1931"/>
      <c r="DB587" s="1932"/>
      <c r="DC587" s="1931"/>
      <c r="DD587" s="1931"/>
      <c r="DE587" s="1931"/>
    </row>
    <row r="588" spans="2:110" hidden="1" outlineLevel="1" x14ac:dyDescent="0.25">
      <c r="B588" s="1931"/>
      <c r="D588" s="1967" t="str">
        <f>C575</f>
        <v>805100_2019_12_</v>
      </c>
      <c r="E588" s="1967" t="str">
        <f>E575</f>
        <v>Combination Oven (Pan Capacity ≥ 15)</v>
      </c>
      <c r="F588" s="1390">
        <v>250</v>
      </c>
      <c r="G588" s="1400">
        <v>73.2</v>
      </c>
      <c r="H588" s="1376">
        <v>0.72</v>
      </c>
      <c r="I588" s="1376">
        <v>0.76</v>
      </c>
      <c r="J588" s="1376">
        <v>0.5</v>
      </c>
      <c r="K588" s="1401">
        <v>30.8</v>
      </c>
      <c r="L588" s="1376">
        <v>0.49</v>
      </c>
      <c r="M588" s="1376">
        <v>0.55000000000000004</v>
      </c>
      <c r="N588" s="1402">
        <f>1-J588</f>
        <v>0.5</v>
      </c>
      <c r="O588" s="1341">
        <v>2280</v>
      </c>
      <c r="P588" s="1341">
        <v>8710</v>
      </c>
      <c r="Q588" s="1965"/>
      <c r="R588" s="1965"/>
      <c r="S588" s="1965"/>
      <c r="T588" s="1965"/>
      <c r="U588" s="1965"/>
      <c r="V588" s="1931"/>
      <c r="W588" s="1931"/>
      <c r="X588" s="1931"/>
      <c r="Y588" s="1931"/>
      <c r="Z588" s="1931"/>
      <c r="AA588" s="1931"/>
      <c r="AB588" s="1931"/>
      <c r="AC588" s="1931"/>
      <c r="AD588" s="1931"/>
      <c r="AE588" s="1931"/>
      <c r="AF588" s="1931"/>
      <c r="AG588" s="1931"/>
      <c r="AH588" s="1931"/>
      <c r="AI588" s="1931"/>
      <c r="AJ588" s="1931"/>
      <c r="AK588" s="1931"/>
      <c r="AL588" s="1931"/>
      <c r="AM588" s="1931"/>
      <c r="AN588" s="1931"/>
      <c r="AO588" s="1931"/>
      <c r="AP588" s="1931"/>
      <c r="AQ588" s="1931"/>
      <c r="AR588" s="1931"/>
      <c r="AS588" s="1931"/>
      <c r="AT588" s="1931"/>
      <c r="AU588" s="1931"/>
      <c r="AV588" s="1931"/>
      <c r="AW588" s="1931"/>
      <c r="AX588" s="1931"/>
      <c r="AY588" s="1931"/>
      <c r="AZ588" s="1931"/>
      <c r="BA588" s="1931"/>
      <c r="BB588" s="1931"/>
      <c r="BC588" s="1931"/>
      <c r="BD588" s="1931"/>
      <c r="BE588" s="1931"/>
      <c r="BF588" s="1931"/>
      <c r="BG588" s="1931"/>
      <c r="BH588" s="1931"/>
      <c r="BI588" s="1931"/>
      <c r="BJ588" s="1931"/>
      <c r="BK588" s="1931"/>
      <c r="BL588" s="1931"/>
      <c r="BM588" s="1931"/>
      <c r="BN588" s="1931"/>
      <c r="BO588" s="1931"/>
      <c r="BP588" s="1931"/>
      <c r="BQ588" s="1931"/>
      <c r="BR588" s="1931"/>
      <c r="BS588" s="1931"/>
      <c r="BT588" s="1931"/>
      <c r="BU588" s="1931"/>
      <c r="BV588" s="1931"/>
      <c r="BW588" s="1931"/>
      <c r="BX588" s="1931"/>
      <c r="BY588" s="1931"/>
      <c r="BZ588" s="1931"/>
      <c r="CA588" s="1931"/>
      <c r="CB588" s="1931"/>
      <c r="CC588" s="1931"/>
      <c r="CD588" s="1931"/>
      <c r="CE588" s="1930"/>
      <c r="CF588" s="1930"/>
      <c r="CG588" s="1930"/>
      <c r="CH588" s="1930"/>
      <c r="CI588" s="1931"/>
      <c r="CJ588" s="1931"/>
      <c r="CK588" s="1931"/>
      <c r="CL588" s="1931"/>
      <c r="CM588" s="1931"/>
      <c r="CN588" s="1931"/>
      <c r="CO588" s="1931"/>
      <c r="CP588" s="1931"/>
      <c r="CQ588" s="1931"/>
      <c r="CR588" s="1931"/>
      <c r="CS588" s="1931"/>
      <c r="CT588" s="1930"/>
      <c r="CU588" s="1930"/>
      <c r="CV588" s="1930"/>
      <c r="CW588" s="1930"/>
      <c r="CX588" s="1931"/>
      <c r="CY588" s="1931"/>
      <c r="CZ588" s="1931"/>
      <c r="DA588" s="1931"/>
      <c r="DB588" s="1932"/>
      <c r="DC588" s="1931"/>
      <c r="DD588" s="1931"/>
      <c r="DE588" s="1931"/>
      <c r="DF588" s="1931"/>
    </row>
    <row r="589" spans="2:110" hidden="1" outlineLevel="1" x14ac:dyDescent="0.25">
      <c r="B589" s="1931"/>
      <c r="D589" s="1403"/>
      <c r="E589" s="1403"/>
      <c r="F589" s="1403"/>
      <c r="G589" s="1404"/>
      <c r="H589" s="1405"/>
      <c r="I589" s="1405"/>
      <c r="J589" s="1405"/>
      <c r="K589" s="1406"/>
      <c r="L589" s="1405"/>
      <c r="M589" s="1405"/>
      <c r="N589" s="1407"/>
      <c r="O589" s="1408"/>
      <c r="P589" s="1408"/>
      <c r="Q589" s="1408"/>
      <c r="R589" s="1409"/>
      <c r="S589" s="1409"/>
      <c r="T589" s="1410"/>
      <c r="U589" s="1409"/>
      <c r="V589" s="92"/>
      <c r="W589" s="92"/>
      <c r="X589" s="92"/>
      <c r="Y589" s="93"/>
      <c r="Z589" s="1931"/>
      <c r="AA589" s="1931"/>
      <c r="AB589" s="1931"/>
      <c r="AC589" s="1931"/>
      <c r="AD589" s="1931"/>
      <c r="AE589" s="1931"/>
      <c r="AF589" s="1931"/>
      <c r="AG589" s="1931"/>
      <c r="AH589" s="1931"/>
      <c r="AI589" s="1931"/>
      <c r="AJ589" s="1931"/>
      <c r="AK589" s="1931"/>
      <c r="AL589" s="1931"/>
      <c r="AM589" s="1931"/>
      <c r="AN589" s="1931"/>
      <c r="AO589" s="1931"/>
      <c r="AP589" s="1931"/>
      <c r="AQ589" s="1931"/>
      <c r="AR589" s="1931"/>
      <c r="AS589" s="1931"/>
      <c r="AT589" s="1931"/>
      <c r="AU589" s="1931"/>
      <c r="AV589" s="1931"/>
      <c r="AW589" s="1931"/>
      <c r="AX589" s="1931"/>
      <c r="AY589" s="1931"/>
      <c r="AZ589" s="1931"/>
      <c r="BA589" s="1931"/>
      <c r="BB589" s="1931"/>
      <c r="BC589" s="1931"/>
      <c r="BD589" s="1931"/>
      <c r="BE589" s="1931"/>
      <c r="BF589" s="1931"/>
      <c r="BG589" s="1931"/>
      <c r="BH589" s="1931"/>
      <c r="BI589" s="1931"/>
      <c r="BJ589" s="1931"/>
      <c r="BK589" s="1931"/>
      <c r="BL589" s="1931"/>
      <c r="BM589" s="1931"/>
      <c r="BN589" s="1931"/>
      <c r="BO589" s="1931"/>
      <c r="BP589" s="1931"/>
      <c r="BQ589" s="1931"/>
      <c r="BR589" s="1931"/>
      <c r="BS589" s="1931"/>
      <c r="BT589" s="1931"/>
      <c r="BU589" s="1931"/>
      <c r="BV589" s="1931"/>
      <c r="BW589" s="1931"/>
      <c r="BX589" s="1931"/>
      <c r="BY589" s="1931"/>
      <c r="BZ589" s="1931"/>
      <c r="CA589" s="1931"/>
      <c r="CB589" s="1931"/>
      <c r="CC589" s="1931"/>
      <c r="CD589" s="1931"/>
      <c r="CE589" s="1931"/>
      <c r="CF589" s="1931"/>
      <c r="CG589" s="1931"/>
      <c r="CH589" s="1931"/>
      <c r="CI589" s="1931"/>
      <c r="CJ589" s="1931"/>
      <c r="CK589" s="1931"/>
      <c r="CL589" s="1931"/>
      <c r="CM589" s="1931"/>
      <c r="CN589" s="1931"/>
      <c r="CO589" s="1931"/>
      <c r="CP589" s="1931"/>
      <c r="CQ589" s="1931"/>
      <c r="CR589" s="1931"/>
      <c r="CS589" s="1931"/>
      <c r="CT589" s="1931"/>
      <c r="CU589" s="1931"/>
      <c r="CV589" s="1931"/>
      <c r="CW589" s="1931"/>
      <c r="CX589" s="1931"/>
      <c r="CY589" s="1931"/>
      <c r="CZ589" s="1931"/>
      <c r="DA589" s="1931"/>
      <c r="DB589" s="1932"/>
      <c r="DC589" s="1931"/>
      <c r="DD589" s="1931"/>
      <c r="DE589" s="1931"/>
      <c r="DF589" s="1931"/>
    </row>
    <row r="590" spans="2:110" ht="30" hidden="1" outlineLevel="1" x14ac:dyDescent="0.25">
      <c r="B590" s="1931"/>
      <c r="D590" s="3081" t="s">
        <v>28</v>
      </c>
      <c r="E590" s="3081" t="s">
        <v>2758</v>
      </c>
      <c r="F590" s="3249" t="s">
        <v>3070</v>
      </c>
      <c r="G590" s="3249" t="s">
        <v>3071</v>
      </c>
      <c r="H590" s="3249" t="s">
        <v>3072</v>
      </c>
      <c r="I590" s="3249" t="s">
        <v>3073</v>
      </c>
      <c r="J590" s="3196" t="s">
        <v>3074</v>
      </c>
      <c r="K590" s="3196" t="s">
        <v>3075</v>
      </c>
      <c r="L590" s="3196" t="s">
        <v>3076</v>
      </c>
      <c r="M590" s="3196" t="s">
        <v>3077</v>
      </c>
      <c r="N590" s="3196" t="s">
        <v>586</v>
      </c>
      <c r="O590" s="1408"/>
      <c r="P590" s="1408"/>
      <c r="Q590" s="1408"/>
      <c r="R590" s="1409"/>
      <c r="S590" s="1409"/>
      <c r="T590" s="1410"/>
      <c r="U590" s="1409"/>
      <c r="V590" s="92"/>
      <c r="W590" s="92"/>
      <c r="X590" s="92"/>
      <c r="Y590" s="93"/>
      <c r="Z590" s="1931"/>
      <c r="AA590" s="1931"/>
      <c r="AB590" s="1931"/>
      <c r="AC590" s="1931"/>
      <c r="AD590" s="1931"/>
      <c r="AE590" s="1931"/>
      <c r="AF590" s="1931"/>
      <c r="AG590" s="1931"/>
      <c r="AH590" s="1931"/>
      <c r="AI590" s="1931"/>
      <c r="AJ590" s="1931"/>
      <c r="AK590" s="1931"/>
      <c r="AL590" s="1931"/>
      <c r="AM590" s="1931"/>
      <c r="AN590" s="1931"/>
      <c r="AO590" s="1931"/>
      <c r="AP590" s="1931"/>
      <c r="AQ590" s="1931"/>
      <c r="AR590" s="1931"/>
      <c r="AS590" s="1931"/>
      <c r="AT590" s="1931"/>
      <c r="AU590" s="1931"/>
      <c r="AV590" s="1931"/>
      <c r="AW590" s="1931"/>
      <c r="AX590" s="1931"/>
      <c r="AY590" s="1931"/>
      <c r="AZ590" s="1931"/>
      <c r="BA590" s="1931"/>
      <c r="BB590" s="1931"/>
      <c r="BC590" s="1931"/>
      <c r="BD590" s="1931"/>
      <c r="BE590" s="1931"/>
      <c r="BF590" s="1931"/>
      <c r="BG590" s="1931"/>
      <c r="BH590" s="1931"/>
      <c r="BI590" s="1931"/>
      <c r="BJ590" s="1931"/>
      <c r="BK590" s="1931"/>
      <c r="BL590" s="1931"/>
      <c r="BM590" s="1931"/>
      <c r="BN590" s="1931"/>
      <c r="BO590" s="1931"/>
      <c r="BP590" s="1931"/>
      <c r="BQ590" s="1931"/>
      <c r="BR590" s="1931"/>
      <c r="BS590" s="1931"/>
      <c r="BT590" s="1931"/>
      <c r="BU590" s="1931"/>
      <c r="BV590" s="1931"/>
      <c r="BW590" s="1931"/>
      <c r="BX590" s="1931"/>
      <c r="BY590" s="1931"/>
      <c r="BZ590" s="1931"/>
      <c r="CA590" s="1931"/>
      <c r="CB590" s="1931"/>
      <c r="CC590" s="1931"/>
      <c r="CD590" s="1931"/>
      <c r="CE590" s="1931"/>
      <c r="CF590" s="1931"/>
      <c r="CG590" s="1931"/>
      <c r="CH590" s="1931"/>
      <c r="CI590" s="1931"/>
      <c r="CJ590" s="1931"/>
      <c r="CK590" s="1931"/>
      <c r="CL590" s="1931"/>
      <c r="CM590" s="1931"/>
      <c r="CN590" s="1931"/>
      <c r="CO590" s="1931"/>
      <c r="CP590" s="1931"/>
      <c r="CQ590" s="1931"/>
      <c r="CR590" s="1931"/>
      <c r="CS590" s="1931"/>
      <c r="CT590" s="1931"/>
      <c r="CU590" s="1931"/>
      <c r="CV590" s="1931"/>
      <c r="CW590" s="1931"/>
      <c r="CX590" s="1931"/>
      <c r="CY590" s="1931"/>
      <c r="CZ590" s="1931"/>
      <c r="DA590" s="1931"/>
      <c r="DB590" s="1932"/>
      <c r="DC590" s="1931"/>
      <c r="DD590" s="1931"/>
      <c r="DE590" s="1931"/>
      <c r="DF590" s="1931"/>
    </row>
    <row r="591" spans="2:110" hidden="1" outlineLevel="1" x14ac:dyDescent="0.25">
      <c r="B591" s="1931"/>
      <c r="D591" s="1967" t="str">
        <f>C574</f>
        <v>805050_2019_12_</v>
      </c>
      <c r="E591" s="1967" t="str">
        <f>E574</f>
        <v>Combination Oven (Pan Capacity &lt; 15)</v>
      </c>
      <c r="F591" s="1341">
        <v>12</v>
      </c>
      <c r="G591" s="1340">
        <v>79</v>
      </c>
      <c r="H591" s="1340">
        <v>126</v>
      </c>
      <c r="I591" s="1411">
        <f>(0.08*J591+0.4989)*1000</f>
        <v>1298.9000000000001</v>
      </c>
      <c r="J591" s="1340">
        <v>10</v>
      </c>
      <c r="K591" s="1340">
        <v>119</v>
      </c>
      <c r="L591" s="1340">
        <v>177</v>
      </c>
      <c r="M591" s="1364">
        <f>(0.133*J591+0.64)*1000</f>
        <v>1970.0000000000002</v>
      </c>
      <c r="N591" s="1970">
        <v>365.25</v>
      </c>
      <c r="O591" s="1408"/>
      <c r="P591" s="1408"/>
      <c r="Q591" s="1408"/>
      <c r="R591" s="1409"/>
      <c r="S591" s="1409"/>
      <c r="T591" s="1410"/>
      <c r="U591" s="1409"/>
      <c r="V591" s="92"/>
      <c r="W591" s="92"/>
      <c r="X591" s="92"/>
      <c r="Y591" s="93"/>
      <c r="Z591" s="1931"/>
      <c r="AA591" s="1931"/>
      <c r="AB591" s="1931"/>
      <c r="AC591" s="1931"/>
      <c r="AD591" s="1931"/>
      <c r="AE591" s="1931"/>
      <c r="AF591" s="1931"/>
      <c r="AG591" s="1931"/>
      <c r="AH591" s="1931"/>
      <c r="AI591" s="1931"/>
      <c r="AJ591" s="1931"/>
      <c r="AK591" s="1931"/>
      <c r="AL591" s="1931"/>
      <c r="AM591" s="1931"/>
      <c r="AN591" s="1931"/>
      <c r="AO591" s="1931"/>
      <c r="AP591" s="1931"/>
      <c r="AQ591" s="1931"/>
      <c r="AR591" s="1931"/>
      <c r="AS591" s="1931"/>
      <c r="AT591" s="1931"/>
      <c r="AU591" s="1931"/>
      <c r="AV591" s="1931"/>
      <c r="AW591" s="1931"/>
      <c r="AX591" s="1931"/>
      <c r="AY591" s="1931"/>
      <c r="AZ591" s="1931"/>
      <c r="BA591" s="1931"/>
      <c r="BB591" s="1931"/>
      <c r="BC591" s="1931"/>
      <c r="BD591" s="1931"/>
      <c r="BE591" s="1931"/>
      <c r="BF591" s="1931"/>
      <c r="BG591" s="1931"/>
      <c r="BH591" s="1931"/>
      <c r="BI591" s="1931"/>
      <c r="BJ591" s="1931"/>
      <c r="BK591" s="1931"/>
      <c r="BL591" s="1931"/>
      <c r="BM591" s="1931"/>
      <c r="BN591" s="1931"/>
      <c r="BO591" s="1931"/>
      <c r="BP591" s="1931"/>
      <c r="BQ591" s="1931"/>
      <c r="BR591" s="1931"/>
      <c r="BS591" s="1931"/>
      <c r="BT591" s="1931"/>
      <c r="BU591" s="1931"/>
      <c r="BV591" s="1931"/>
      <c r="BW591" s="1931"/>
      <c r="BX591" s="1931"/>
      <c r="BY591" s="1931"/>
      <c r="BZ591" s="1931"/>
      <c r="CA591" s="1931"/>
      <c r="CB591" s="1931"/>
      <c r="CC591" s="1931"/>
      <c r="CD591" s="1931"/>
      <c r="CE591" s="1931"/>
      <c r="CF591" s="1931"/>
      <c r="CG591" s="1931"/>
      <c r="CH591" s="1931"/>
      <c r="CI591" s="1931"/>
      <c r="CJ591" s="1931"/>
      <c r="CK591" s="1931"/>
      <c r="CL591" s="1931"/>
      <c r="CM591" s="1931"/>
      <c r="CN591" s="1931"/>
      <c r="CO591" s="1931"/>
      <c r="CP591" s="1931"/>
      <c r="CQ591" s="1931"/>
      <c r="CR591" s="1931"/>
      <c r="CS591" s="1931"/>
      <c r="CT591" s="1931"/>
      <c r="CU591" s="1931"/>
      <c r="CV591" s="1931"/>
      <c r="CW591" s="1931"/>
      <c r="CX591" s="1931"/>
      <c r="CY591" s="1931"/>
      <c r="CZ591" s="1931"/>
      <c r="DA591" s="1931"/>
      <c r="DB591" s="1932"/>
      <c r="DC591" s="1931"/>
      <c r="DD591" s="1931"/>
      <c r="DE591" s="1931"/>
      <c r="DF591" s="1931"/>
    </row>
    <row r="592" spans="2:110" hidden="1" outlineLevel="1" x14ac:dyDescent="0.25">
      <c r="B592" s="1931"/>
      <c r="D592" s="1967" t="str">
        <f>C575</f>
        <v>805100_2019_12_</v>
      </c>
      <c r="E592" s="1967" t="str">
        <f>E575</f>
        <v>Combination Oven (Pan Capacity ≥ 15)</v>
      </c>
      <c r="F592" s="1341">
        <v>12</v>
      </c>
      <c r="G592" s="1340">
        <v>166</v>
      </c>
      <c r="H592" s="1340">
        <v>295</v>
      </c>
      <c r="I592" s="1411">
        <f>(0.08*J592+0.4989)*1000</f>
        <v>2098.9</v>
      </c>
      <c r="J592" s="1340">
        <v>20</v>
      </c>
      <c r="K592" s="1340">
        <v>201</v>
      </c>
      <c r="L592" s="1340">
        <v>349</v>
      </c>
      <c r="M592" s="1364">
        <f>(0.133*J592+0.64)*1000</f>
        <v>3300.0000000000005</v>
      </c>
      <c r="N592" s="1970">
        <v>365.25</v>
      </c>
      <c r="O592" s="1965"/>
      <c r="P592" s="1965"/>
      <c r="Q592" s="1965"/>
      <c r="R592" s="1965"/>
      <c r="S592" s="1965"/>
      <c r="T592" s="1965"/>
      <c r="U592" s="1965"/>
      <c r="V592" s="1931"/>
      <c r="W592" s="1931"/>
      <c r="X592" s="1931"/>
      <c r="Y592" s="1931"/>
      <c r="Z592" s="1931"/>
      <c r="AA592" s="1931"/>
      <c r="AB592" s="1931"/>
      <c r="AC592" s="1931"/>
      <c r="AD592" s="1931"/>
      <c r="AE592" s="1931"/>
      <c r="AF592" s="1931"/>
      <c r="AG592" s="1931"/>
      <c r="AH592" s="1931"/>
      <c r="AI592" s="1931"/>
      <c r="AJ592" s="1931"/>
      <c r="AK592" s="1931"/>
      <c r="AL592" s="1931"/>
      <c r="AM592" s="1931"/>
      <c r="AN592" s="1931"/>
      <c r="AO592" s="1931"/>
      <c r="AP592" s="1931"/>
      <c r="AQ592" s="1931"/>
      <c r="AR592" s="1931"/>
      <c r="AS592" s="1931"/>
      <c r="AT592" s="1931"/>
      <c r="AU592" s="1931"/>
      <c r="AV592" s="1931"/>
      <c r="AW592" s="1931"/>
      <c r="AX592" s="1931"/>
      <c r="AY592" s="1931"/>
      <c r="AZ592" s="1931"/>
      <c r="BA592" s="1931"/>
      <c r="BB592" s="1931"/>
      <c r="BC592" s="1931"/>
      <c r="BD592" s="1931"/>
      <c r="BE592" s="1931"/>
      <c r="BF592" s="1931"/>
      <c r="BG592" s="1931"/>
      <c r="BH592" s="1931"/>
      <c r="BI592" s="1931"/>
      <c r="BJ592" s="1931"/>
      <c r="BK592" s="1931"/>
      <c r="BL592" s="1931"/>
      <c r="BM592" s="1931"/>
      <c r="BN592" s="1931"/>
      <c r="BO592" s="1931"/>
      <c r="BP592" s="1931"/>
      <c r="BQ592" s="1931"/>
      <c r="BR592" s="1931"/>
      <c r="BS592" s="1931"/>
      <c r="BT592" s="1931"/>
      <c r="BU592" s="1931"/>
      <c r="BV592" s="1931"/>
      <c r="BW592" s="1931"/>
      <c r="BX592" s="1931"/>
      <c r="BY592" s="1931"/>
      <c r="BZ592" s="1931"/>
      <c r="CA592" s="1931"/>
      <c r="CB592" s="1931"/>
      <c r="CC592" s="1931"/>
      <c r="CD592" s="1931"/>
      <c r="CE592" s="1930"/>
      <c r="CF592" s="1930"/>
      <c r="CG592" s="1930"/>
      <c r="CH592" s="1930"/>
      <c r="CI592" s="1931"/>
      <c r="CJ592" s="1931"/>
      <c r="CK592" s="1931"/>
      <c r="CL592" s="1931"/>
      <c r="CM592" s="1931"/>
      <c r="CN592" s="1931"/>
      <c r="CO592" s="1931"/>
      <c r="CP592" s="1931"/>
      <c r="CQ592" s="1931"/>
      <c r="CR592" s="1931"/>
      <c r="CS592" s="1931"/>
      <c r="CT592" s="1930"/>
      <c r="CU592" s="1930"/>
      <c r="CV592" s="1930"/>
      <c r="CW592" s="1930"/>
      <c r="CX592" s="1931"/>
      <c r="CY592" s="1931"/>
      <c r="CZ592" s="1931"/>
      <c r="DA592" s="1931"/>
      <c r="DB592" s="1932"/>
      <c r="DC592" s="1931"/>
      <c r="DD592" s="1931"/>
      <c r="DE592" s="1931"/>
      <c r="DF592" s="1931"/>
    </row>
    <row r="593" spans="2:112" collapsed="1" x14ac:dyDescent="0.25">
      <c r="B593" s="1931"/>
      <c r="D593" s="1966"/>
      <c r="E593" s="1965"/>
      <c r="F593" s="1965"/>
      <c r="G593" s="1968"/>
      <c r="H593" s="1969"/>
      <c r="I593" s="1965"/>
      <c r="J593" s="1965"/>
      <c r="K593" s="1965"/>
      <c r="L593" s="1965"/>
      <c r="M593" s="1965"/>
      <c r="N593" s="1965"/>
      <c r="O593" s="1965"/>
      <c r="P593" s="1965"/>
      <c r="Q593" s="1965"/>
      <c r="R593" s="1965"/>
      <c r="S593" s="1965"/>
      <c r="T593" s="1965"/>
      <c r="U593" s="1965"/>
      <c r="V593" s="1931"/>
      <c r="W593" s="1931"/>
      <c r="X593" s="1931"/>
      <c r="Y593" s="1931"/>
      <c r="Z593" s="1931"/>
      <c r="AA593" s="1931"/>
      <c r="AB593" s="1931"/>
      <c r="AC593" s="1931"/>
      <c r="AD593" s="1931"/>
      <c r="AE593" s="1931"/>
      <c r="AF593" s="1931"/>
      <c r="AG593" s="1931"/>
      <c r="AH593" s="1931"/>
      <c r="AI593" s="1931"/>
      <c r="AJ593" s="1931"/>
      <c r="AK593" s="1931"/>
      <c r="AL593" s="1931"/>
      <c r="AM593" s="1931"/>
      <c r="AN593" s="1931"/>
      <c r="AO593" s="1931"/>
      <c r="AP593" s="1931"/>
      <c r="AQ593" s="1931"/>
      <c r="AR593" s="1931"/>
      <c r="AS593" s="1931"/>
      <c r="AT593" s="1931"/>
      <c r="AU593" s="1931"/>
      <c r="AV593" s="1931"/>
      <c r="AW593" s="1931"/>
      <c r="AX593" s="1931"/>
      <c r="AY593" s="1931"/>
      <c r="AZ593" s="1931"/>
      <c r="BA593" s="1931"/>
      <c r="BB593" s="1931"/>
      <c r="BC593" s="1931"/>
      <c r="BD593" s="1931"/>
      <c r="BE593" s="1931"/>
      <c r="BF593" s="1931"/>
      <c r="BG593" s="1931"/>
      <c r="BH593" s="1931"/>
      <c r="BI593" s="1931"/>
      <c r="BJ593" s="1931"/>
      <c r="BK593" s="1931"/>
      <c r="BL593" s="1931"/>
      <c r="BM593" s="1931"/>
      <c r="BN593" s="1931"/>
      <c r="BO593" s="1931"/>
      <c r="BP593" s="1931"/>
      <c r="BQ593" s="1931"/>
      <c r="BR593" s="1931"/>
      <c r="BS593" s="1931"/>
      <c r="BT593" s="1931"/>
      <c r="BU593" s="1931"/>
      <c r="BV593" s="1931"/>
      <c r="BW593" s="1931"/>
      <c r="BX593" s="1931"/>
      <c r="BY593" s="1931"/>
      <c r="BZ593" s="1931"/>
      <c r="CA593" s="1931"/>
      <c r="CB593" s="1931"/>
      <c r="CC593" s="1931"/>
      <c r="CD593" s="1931"/>
      <c r="CE593" s="1930"/>
      <c r="CF593" s="1930"/>
      <c r="CG593" s="1930"/>
      <c r="CH593" s="1930"/>
      <c r="CI593" s="1931"/>
      <c r="CJ593" s="1931"/>
      <c r="CK593" s="1931"/>
      <c r="CL593" s="1931"/>
      <c r="CM593" s="1931"/>
      <c r="CN593" s="1931"/>
      <c r="CO593" s="1931"/>
      <c r="CP593" s="1931"/>
      <c r="CQ593" s="1931"/>
      <c r="CR593" s="1931"/>
      <c r="CS593" s="1931"/>
      <c r="CT593" s="1930"/>
      <c r="CU593" s="1930"/>
      <c r="CV593" s="1930"/>
      <c r="CW593" s="1930"/>
      <c r="CX593" s="1931"/>
      <c r="CY593" s="1931"/>
      <c r="CZ593" s="1931"/>
      <c r="DA593" s="1931"/>
      <c r="DB593" s="1932"/>
      <c r="DC593" s="1931"/>
      <c r="DD593" s="1931"/>
      <c r="DE593" s="1931"/>
      <c r="DF593" s="1931"/>
    </row>
    <row r="594" spans="2:112" s="43" customFormat="1" x14ac:dyDescent="0.25">
      <c r="B594" s="4484" t="s">
        <v>3078</v>
      </c>
      <c r="C594" s="4485"/>
      <c r="D594" s="4485"/>
      <c r="E594" s="4485"/>
      <c r="F594" s="4485"/>
      <c r="G594" s="4485"/>
      <c r="H594" s="4485"/>
      <c r="I594" s="4486"/>
      <c r="J594" s="4486"/>
      <c r="K594" s="4486"/>
      <c r="L594" s="4486"/>
      <c r="M594" s="3752"/>
      <c r="N594" s="3752"/>
      <c r="O594" s="3753"/>
      <c r="P594" s="1935"/>
      <c r="Q594" s="1935"/>
      <c r="R594" s="1935"/>
      <c r="S594" s="1935"/>
      <c r="T594" s="1935"/>
      <c r="U594" s="1935"/>
      <c r="V594" s="3077" t="str">
        <f>B594</f>
        <v>Fryer</v>
      </c>
      <c r="W594" s="3078"/>
      <c r="X594" s="3078"/>
      <c r="Y594" s="3078"/>
      <c r="Z594" s="3078"/>
      <c r="AA594" s="3078"/>
      <c r="AB594" s="3078"/>
      <c r="AC594" s="3078"/>
      <c r="AD594" s="3078"/>
      <c r="AE594" s="3078"/>
      <c r="AF594" s="3078"/>
      <c r="AG594" s="3078"/>
      <c r="AH594" s="3078"/>
      <c r="AI594" s="3170"/>
      <c r="AJ594" s="1931"/>
      <c r="AK594" s="1931"/>
      <c r="AL594" s="1931"/>
      <c r="AM594" s="1931"/>
      <c r="AN594" s="1931"/>
      <c r="AO594" s="1931"/>
      <c r="AP594" s="1931"/>
      <c r="AQ594" s="1931"/>
      <c r="AR594" s="1931"/>
      <c r="AS594" s="1931"/>
      <c r="AT594" s="1931"/>
      <c r="AU594" s="1931"/>
      <c r="AV594" s="1935"/>
      <c r="AW594" s="1935"/>
      <c r="AX594" s="1935"/>
      <c r="AY594" s="1935"/>
      <c r="AZ594" s="1935"/>
      <c r="BA594" s="1935"/>
      <c r="BB594" s="1935"/>
      <c r="BC594" s="1935"/>
      <c r="BD594" s="1935"/>
      <c r="BE594" s="1935"/>
      <c r="BF594" s="1935"/>
      <c r="BG594" s="1935"/>
      <c r="BH594" s="1935"/>
      <c r="BI594" s="1935"/>
      <c r="BJ594" s="1935"/>
      <c r="BK594" s="1935"/>
      <c r="BL594" s="1935"/>
      <c r="BM594" s="1935"/>
      <c r="BN594" s="1935"/>
      <c r="BO594" s="1935"/>
      <c r="BP594" s="1935"/>
      <c r="BQ594" s="1935"/>
      <c r="BR594" s="1935"/>
      <c r="BS594" s="1935"/>
      <c r="BT594" s="1935"/>
      <c r="BU594" s="1935"/>
      <c r="BV594" s="1935"/>
      <c r="BW594" s="1935"/>
      <c r="BX594" s="1935"/>
      <c r="BY594" s="1935"/>
      <c r="BZ594" s="1935"/>
      <c r="CA594" s="1935"/>
      <c r="CB594" s="1935"/>
      <c r="CC594" s="1935"/>
      <c r="CD594" s="1935"/>
      <c r="CE594" s="1935"/>
      <c r="CF594" s="1935"/>
      <c r="CG594" s="1935"/>
      <c r="CH594" s="1935"/>
      <c r="CI594" s="1935"/>
      <c r="CJ594" s="1935"/>
      <c r="CK594" s="1935"/>
      <c r="CL594" s="1935"/>
      <c r="CM594" s="1935"/>
      <c r="CN594" s="1935"/>
      <c r="CO594" s="1935"/>
      <c r="CP594" s="1935"/>
      <c r="CQ594" s="1935"/>
      <c r="CR594" s="1935"/>
      <c r="CS594" s="1935"/>
      <c r="CT594" s="1935"/>
      <c r="CU594" s="1935"/>
      <c r="CV594" s="1935"/>
      <c r="CW594" s="1935"/>
      <c r="CX594" s="1935"/>
      <c r="CY594" s="1935"/>
      <c r="CZ594" s="1935"/>
      <c r="DA594" s="1935"/>
      <c r="DB594" s="73"/>
      <c r="DC594" s="1935"/>
      <c r="DD594" s="1935"/>
      <c r="DE594" s="1935"/>
      <c r="DF594" s="1935"/>
      <c r="DG594" s="1935"/>
      <c r="DH594" s="1935"/>
    </row>
    <row r="595" spans="2:112" x14ac:dyDescent="0.25">
      <c r="B595" s="1931"/>
      <c r="D595" s="1286"/>
      <c r="E595" s="1966"/>
      <c r="F595" s="1966"/>
      <c r="G595" s="1966"/>
      <c r="H595" s="1287"/>
      <c r="I595" s="1966"/>
      <c r="J595" s="1966"/>
      <c r="K595" s="1966"/>
      <c r="L595" s="1966"/>
      <c r="M595" s="1965"/>
      <c r="N595" s="1965"/>
      <c r="O595" s="1965"/>
      <c r="P595" s="1966"/>
      <c r="Q595" s="1966"/>
      <c r="R595" s="1966"/>
      <c r="S595" s="1966"/>
      <c r="T595" s="1966"/>
      <c r="U595" s="1966"/>
      <c r="V595" s="1930"/>
      <c r="W595" s="1930"/>
      <c r="X595" s="1930"/>
      <c r="Y595" s="1930"/>
      <c r="Z595" s="1930"/>
      <c r="AA595" s="1930"/>
      <c r="AB595" s="1930"/>
      <c r="AC595" s="1930"/>
      <c r="AD595" s="1930"/>
      <c r="AE595" s="1930"/>
      <c r="AF595" s="1930"/>
      <c r="AG595" s="1930"/>
      <c r="AH595" s="1930"/>
      <c r="AI595" s="1930"/>
      <c r="AJ595" s="1934"/>
      <c r="AK595" s="1934"/>
      <c r="AL595" s="1934"/>
      <c r="AM595" s="1934"/>
      <c r="AN595" s="1934"/>
      <c r="AO595" s="1934"/>
      <c r="AP595" s="1934"/>
      <c r="AQ595" s="1934"/>
      <c r="AR595" s="1934"/>
      <c r="AS595" s="1934"/>
      <c r="AT595" s="1934"/>
      <c r="AU595" s="1934"/>
      <c r="AV595" s="1931"/>
      <c r="AW595" s="1931"/>
      <c r="AX595" s="1931"/>
      <c r="AY595" s="1931"/>
      <c r="AZ595" s="1931"/>
      <c r="BA595" s="1931"/>
      <c r="BB595" s="1931"/>
      <c r="BC595" s="1931"/>
      <c r="BD595" s="1931"/>
      <c r="BE595" s="1931"/>
      <c r="BF595" s="1931"/>
      <c r="BG595" s="1931"/>
      <c r="BH595" s="1931"/>
      <c r="BI595" s="1931"/>
      <c r="BJ595" s="1931"/>
      <c r="BK595" s="1931"/>
      <c r="BL595" s="1931"/>
      <c r="BM595" s="1931"/>
      <c r="BN595" s="1931"/>
      <c r="BO595" s="1931"/>
      <c r="BP595" s="1931"/>
      <c r="BQ595" s="1931"/>
      <c r="BR595" s="1931"/>
      <c r="BS595" s="1931"/>
      <c r="BT595" s="1931"/>
      <c r="BU595" s="1931"/>
      <c r="BV595" s="1931"/>
      <c r="BW595" s="1931"/>
      <c r="BX595" s="1931"/>
      <c r="BY595" s="1931"/>
      <c r="BZ595" s="1931"/>
      <c r="CA595" s="1931"/>
      <c r="CB595" s="1931"/>
      <c r="CC595" s="1931"/>
      <c r="CD595" s="1931"/>
      <c r="CE595" s="1930"/>
      <c r="CF595" s="1930"/>
      <c r="CG595" s="1930"/>
      <c r="CH595" s="1930"/>
      <c r="CI595" s="1931"/>
      <c r="CJ595" s="1931"/>
      <c r="CK595" s="1931"/>
      <c r="CL595" s="1931"/>
      <c r="CM595" s="1931"/>
      <c r="CN595" s="1931"/>
      <c r="CO595" s="1931"/>
      <c r="CP595" s="1931"/>
      <c r="CQ595" s="1931"/>
      <c r="CR595" s="1931"/>
      <c r="CS595" s="1931"/>
      <c r="CT595" s="1930"/>
      <c r="CU595" s="1930"/>
      <c r="CV595" s="1930"/>
      <c r="CW595" s="1930"/>
      <c r="CX595" s="1931"/>
      <c r="CY595" s="1931"/>
      <c r="CZ595" s="1931"/>
      <c r="DA595" s="1931"/>
      <c r="DB595" s="1932"/>
      <c r="DC595" s="1931"/>
      <c r="DD595" s="1931"/>
      <c r="DE595" s="1931"/>
      <c r="DF595" s="1931"/>
    </row>
    <row r="596" spans="2:112" s="44" customFormat="1" ht="30" x14ac:dyDescent="0.25">
      <c r="B596" s="45"/>
      <c r="C596" s="46" t="s">
        <v>28</v>
      </c>
      <c r="D596" s="46" t="s">
        <v>29</v>
      </c>
      <c r="E596" s="3196" t="s">
        <v>30</v>
      </c>
      <c r="F596" s="3196" t="s">
        <v>31</v>
      </c>
      <c r="G596" s="3196" t="s">
        <v>176</v>
      </c>
      <c r="H596" s="47" t="s">
        <v>177</v>
      </c>
      <c r="I596" s="3196" t="s">
        <v>32</v>
      </c>
      <c r="J596" s="3196" t="s">
        <v>181</v>
      </c>
      <c r="K596" s="46" t="s">
        <v>170</v>
      </c>
      <c r="L596" s="46" t="s">
        <v>44</v>
      </c>
      <c r="M596" s="1965"/>
      <c r="N596" s="1965"/>
      <c r="O596" s="1965"/>
      <c r="P596" s="1288"/>
      <c r="Q596" s="1288"/>
      <c r="R596" s="1288"/>
      <c r="S596" s="1288"/>
      <c r="T596" s="1288"/>
      <c r="U596" s="1288"/>
      <c r="V596" s="1936" t="s">
        <v>45</v>
      </c>
      <c r="W596" s="1937">
        <f>$W$8</f>
        <v>43252</v>
      </c>
      <c r="X596" s="1937">
        <f>$X$8</f>
        <v>43465</v>
      </c>
      <c r="Y596" s="1937">
        <f>$Y$8</f>
        <v>43800</v>
      </c>
      <c r="Z596" s="1937">
        <f>$Z$8</f>
        <v>43862</v>
      </c>
      <c r="AA596" s="1937">
        <f>$AA$8</f>
        <v>44013</v>
      </c>
      <c r="AB596" s="1937">
        <v>44166</v>
      </c>
      <c r="AC596" s="1937">
        <f>$AC$8</f>
        <v>44531</v>
      </c>
      <c r="AD596" s="1937" t="str">
        <f>$AD$8</f>
        <v>-</v>
      </c>
      <c r="AE596" s="1937" t="str">
        <f>$AE$8</f>
        <v>-</v>
      </c>
      <c r="AF596" s="1937" t="str">
        <f>$AF$8</f>
        <v>-</v>
      </c>
      <c r="AG596" s="1937" t="str">
        <f>$AG$8</f>
        <v>-</v>
      </c>
      <c r="AH596" s="1930"/>
      <c r="AI596" s="1936" t="s">
        <v>45</v>
      </c>
      <c r="AJ596" s="1937">
        <v>43252</v>
      </c>
      <c r="AK596" s="1937">
        <f>$X$8</f>
        <v>43465</v>
      </c>
      <c r="AL596" s="1937">
        <f>$Y$8</f>
        <v>43800</v>
      </c>
      <c r="AM596" s="1937">
        <f>$Z$8</f>
        <v>43862</v>
      </c>
      <c r="AN596" s="1937">
        <f>$AA$8</f>
        <v>44013</v>
      </c>
      <c r="AO596" s="1937">
        <f>$AB$8</f>
        <v>44166</v>
      </c>
      <c r="AP596" s="1937">
        <f>$AC$8</f>
        <v>44531</v>
      </c>
      <c r="AQ596" s="1937" t="str">
        <f>$AD$8</f>
        <v>-</v>
      </c>
      <c r="AR596" s="1937" t="str">
        <f>$AE$8</f>
        <v>-</v>
      </c>
      <c r="AS596" s="1937" t="str">
        <f>$AF$8</f>
        <v>-</v>
      </c>
      <c r="AT596" s="1933"/>
      <c r="AU596" s="1936" t="s">
        <v>45</v>
      </c>
      <c r="AV596" s="1937">
        <v>43252</v>
      </c>
      <c r="AW596" s="1937">
        <f>$X$8</f>
        <v>43465</v>
      </c>
      <c r="AX596" s="1937">
        <f>$Y$8</f>
        <v>43800</v>
      </c>
      <c r="AY596" s="1937">
        <f>$Z$8</f>
        <v>43862</v>
      </c>
      <c r="AZ596" s="1937">
        <f>$AA$8</f>
        <v>44013</v>
      </c>
      <c r="BA596" s="1937">
        <v>44166</v>
      </c>
      <c r="BB596" s="1937">
        <f>$AC$8</f>
        <v>44531</v>
      </c>
      <c r="BC596" s="1937" t="str">
        <f>$AD$8</f>
        <v>-</v>
      </c>
      <c r="BD596" s="1937" t="str">
        <f>$AE$8</f>
        <v>-</v>
      </c>
      <c r="BE596" s="1937" t="str">
        <f>$AF$8</f>
        <v>-</v>
      </c>
      <c r="DB596" s="1938" t="str">
        <f>$DB$8</f>
        <v>TRC (2020)</v>
      </c>
      <c r="DC596" s="1953" t="str">
        <f>$DC$8</f>
        <v>Benefit Lookup</v>
      </c>
      <c r="DD596" s="1953" t="str">
        <f>$DD$8</f>
        <v>Benefits (2019 $)</v>
      </c>
      <c r="DE596" s="1953" t="str">
        <f>$DE$8</f>
        <v>Incremental Cost (2019 $)</v>
      </c>
    </row>
    <row r="597" spans="2:112" x14ac:dyDescent="0.25">
      <c r="B597" s="1931"/>
      <c r="C597" s="1997" t="s">
        <v>3079</v>
      </c>
      <c r="D597" s="1363" t="s">
        <v>2646</v>
      </c>
      <c r="E597" s="1308" t="s">
        <v>3080</v>
      </c>
      <c r="F597" s="1959">
        <f>ROUND((((G608*(I608-J608/K608))-(H608*(I608-J608/L608)))+((J608*M608/N608)-(J608*M608/O608)))*F608/1000,2)</f>
        <v>952.31</v>
      </c>
      <c r="G597" s="1290" t="s">
        <v>2844</v>
      </c>
      <c r="H597" s="1291">
        <f>VLOOKUP(G597,'CP FACTORS'!$A$26:$B$38,2,FALSE)</f>
        <v>1.998949E-4</v>
      </c>
      <c r="I597" s="1309">
        <f>ROUND(H597*F597,6)</f>
        <v>0.190362</v>
      </c>
      <c r="J597" s="1399">
        <v>12</v>
      </c>
      <c r="K597" s="1310">
        <v>210</v>
      </c>
      <c r="L597" s="1374" t="s">
        <v>185</v>
      </c>
      <c r="M597" s="1965"/>
      <c r="N597" s="1965"/>
      <c r="O597" s="1965"/>
      <c r="P597" s="1965"/>
      <c r="Q597" s="1965"/>
      <c r="R597" s="1965"/>
      <c r="S597" s="1965"/>
      <c r="T597" s="1965"/>
      <c r="U597" s="1965"/>
      <c r="V597" s="3227" t="s">
        <v>31</v>
      </c>
      <c r="W597" s="129">
        <v>952.30910027472578</v>
      </c>
      <c r="X597" s="129">
        <v>952.30910027472578</v>
      </c>
      <c r="Y597" s="129">
        <v>952.30910027472578</v>
      </c>
      <c r="Z597" s="129">
        <v>952.30910027472578</v>
      </c>
      <c r="AA597" s="129">
        <v>952.30910027472578</v>
      </c>
      <c r="AB597" s="1825">
        <v>952.31</v>
      </c>
      <c r="AC597" s="3364">
        <v>952.31</v>
      </c>
      <c r="AD597" s="2099"/>
      <c r="AE597" s="2099"/>
      <c r="AF597" s="2099"/>
      <c r="AG597" s="2099"/>
      <c r="AH597" s="2100"/>
      <c r="AI597" s="3227" t="s">
        <v>181</v>
      </c>
      <c r="AJ597" s="64">
        <v>12</v>
      </c>
      <c r="AK597" s="64">
        <v>12</v>
      </c>
      <c r="AL597" s="64">
        <v>12</v>
      </c>
      <c r="AM597" s="64">
        <v>12</v>
      </c>
      <c r="AN597" s="64">
        <v>12</v>
      </c>
      <c r="AO597" s="2101">
        <v>12</v>
      </c>
      <c r="AP597" s="2101">
        <v>12</v>
      </c>
      <c r="AQ597" s="2099"/>
      <c r="AR597" s="2099"/>
      <c r="AS597" s="2099"/>
      <c r="AT597" s="1933"/>
      <c r="AU597" s="3227" t="s">
        <v>170</v>
      </c>
      <c r="AV597" s="2102">
        <v>210</v>
      </c>
      <c r="AW597" s="2102">
        <v>210</v>
      </c>
      <c r="AX597" s="2102">
        <v>210</v>
      </c>
      <c r="AY597" s="2102">
        <v>210</v>
      </c>
      <c r="AZ597" s="2102">
        <v>210</v>
      </c>
      <c r="BA597" s="2103">
        <v>210</v>
      </c>
      <c r="BB597" s="2103">
        <v>210</v>
      </c>
      <c r="BC597" s="2099"/>
      <c r="BD597" s="2099"/>
      <c r="BE597" s="2099"/>
      <c r="BF597" s="1933"/>
      <c r="BG597" s="1933"/>
      <c r="BH597" s="1933"/>
      <c r="BI597" s="1933"/>
      <c r="BJ597" s="1933"/>
      <c r="BK597" s="1931"/>
      <c r="BL597" s="1931"/>
      <c r="BM597" s="1931"/>
      <c r="BN597" s="1931"/>
      <c r="BO597" s="1931"/>
      <c r="BP597" s="1931"/>
      <c r="BQ597" s="1931"/>
      <c r="BR597" s="1931"/>
      <c r="BS597" s="1931"/>
      <c r="BT597" s="1931"/>
      <c r="BU597" s="1931"/>
      <c r="BV597" s="1931"/>
      <c r="BW597" s="1931"/>
      <c r="BX597" s="1931"/>
      <c r="BY597" s="1931"/>
      <c r="BZ597" s="1931"/>
      <c r="CA597" s="1931"/>
      <c r="CB597" s="1931"/>
      <c r="CC597" s="1931"/>
      <c r="CD597" s="1931"/>
      <c r="CE597" s="1930"/>
      <c r="CF597" s="1930"/>
      <c r="CG597" s="1930"/>
      <c r="CH597" s="1930"/>
      <c r="CI597" s="1931"/>
      <c r="CJ597" s="1931"/>
      <c r="CK597" s="1931"/>
      <c r="CL597" s="1931"/>
      <c r="CM597" s="1931"/>
      <c r="CN597" s="1931"/>
      <c r="CO597" s="1931"/>
      <c r="CP597" s="1931"/>
      <c r="CQ597" s="1931"/>
      <c r="CR597" s="1931"/>
      <c r="CS597" s="1931"/>
      <c r="CT597" s="1930"/>
      <c r="CU597" s="1930"/>
      <c r="CV597" s="1930"/>
      <c r="CW597" s="1930"/>
      <c r="CX597" s="1931"/>
      <c r="CY597" s="1931"/>
      <c r="CZ597" s="1931"/>
      <c r="DA597" s="1931"/>
      <c r="DB597" s="1945">
        <f>(DD597)/(DE597)</f>
        <v>2.4368866470541128</v>
      </c>
      <c r="DC597" s="3166" t="str">
        <f>CONCATENATE(G597," ",J597," Year EUL")</f>
        <v>Cooking BUS 12 Year EUL</v>
      </c>
      <c r="DD597" s="69">
        <f>(INDEX('Avoided Cost Benefits'!$C$4:$C$857,MATCH(DC597,'Avoided Cost Benefits'!$A$4:$A$857,0)))*F597</f>
        <v>483.00726369170707</v>
      </c>
      <c r="DE597" s="1946">
        <f>K597/(1.0595^(2020-2019))</f>
        <v>198.20670127418592</v>
      </c>
      <c r="DF597" s="1931"/>
    </row>
    <row r="598" spans="2:112" x14ac:dyDescent="0.25">
      <c r="B598" s="1931"/>
      <c r="C598" s="1997" t="s">
        <v>3081</v>
      </c>
      <c r="D598" s="1363" t="s">
        <v>2646</v>
      </c>
      <c r="E598" s="1308" t="s">
        <v>3082</v>
      </c>
      <c r="F598" s="1959">
        <f>ROUND((((G609*(I609-J609/K609))-(H609*(I609-J609/L609)))+((J609*M609/N609)-(J609*M609/O609)))*F609/1000,2)</f>
        <v>2537.84</v>
      </c>
      <c r="G598" s="1290" t="s">
        <v>2844</v>
      </c>
      <c r="H598" s="1291">
        <f>VLOOKUP(G598,'CP FACTORS'!$A$26:$B$38,2,FALSE)</f>
        <v>1.998949E-4</v>
      </c>
      <c r="I598" s="1309">
        <f>ROUND(H598*F598,6)</f>
        <v>0.507301</v>
      </c>
      <c r="J598" s="325">
        <v>12</v>
      </c>
      <c r="K598" s="1310">
        <v>0</v>
      </c>
      <c r="L598" s="1374" t="s">
        <v>185</v>
      </c>
      <c r="M598" s="1965"/>
      <c r="N598" s="1965"/>
      <c r="O598" s="1965"/>
      <c r="P598" s="1965"/>
      <c r="Q598" s="1965"/>
      <c r="R598" s="1965"/>
      <c r="S598" s="1965"/>
      <c r="T598" s="1965"/>
      <c r="U598" s="1965"/>
      <c r="V598" s="3227" t="s">
        <v>31</v>
      </c>
      <c r="W598" s="129">
        <v>2537.8352678571446</v>
      </c>
      <c r="X598" s="129">
        <v>2537.8352678571446</v>
      </c>
      <c r="Y598" s="129">
        <v>2537.8352678571446</v>
      </c>
      <c r="Z598" s="129">
        <v>2537.8352678571446</v>
      </c>
      <c r="AA598" s="129">
        <v>2537.8352678571446</v>
      </c>
      <c r="AB598" s="1825">
        <v>2537.84</v>
      </c>
      <c r="AC598" s="3364">
        <v>2537.84</v>
      </c>
      <c r="AD598" s="2099"/>
      <c r="AE598" s="2099"/>
      <c r="AF598" s="2099"/>
      <c r="AG598" s="2099"/>
      <c r="AH598" s="2100"/>
      <c r="AI598" s="3227" t="s">
        <v>181</v>
      </c>
      <c r="AJ598" s="64">
        <v>12</v>
      </c>
      <c r="AK598" s="64">
        <v>12</v>
      </c>
      <c r="AL598" s="64">
        <v>12</v>
      </c>
      <c r="AM598" s="64">
        <v>12</v>
      </c>
      <c r="AN598" s="64">
        <v>12</v>
      </c>
      <c r="AO598" s="2101">
        <v>12</v>
      </c>
      <c r="AP598" s="2101">
        <v>12</v>
      </c>
      <c r="AQ598" s="2099"/>
      <c r="AR598" s="2099"/>
      <c r="AS598" s="2099"/>
      <c r="AT598" s="1933"/>
      <c r="AU598" s="3227" t="s">
        <v>170</v>
      </c>
      <c r="AV598" s="2102">
        <v>0</v>
      </c>
      <c r="AW598" s="2102">
        <v>0</v>
      </c>
      <c r="AX598" s="2102">
        <v>0</v>
      </c>
      <c r="AY598" s="2102">
        <v>0</v>
      </c>
      <c r="AZ598" s="2102">
        <v>0</v>
      </c>
      <c r="BA598" s="2103">
        <v>0</v>
      </c>
      <c r="BB598" s="2103">
        <v>0</v>
      </c>
      <c r="BC598" s="2099"/>
      <c r="BD598" s="2099"/>
      <c r="BE598" s="2099"/>
      <c r="BF598" s="1933"/>
      <c r="BG598" s="1933"/>
      <c r="BH598" s="1933"/>
      <c r="BI598" s="1933"/>
      <c r="BJ598" s="1933"/>
      <c r="BK598" s="1931"/>
      <c r="BL598" s="1931"/>
      <c r="BM598" s="1931"/>
      <c r="BN598" s="1931"/>
      <c r="BO598" s="1931"/>
      <c r="BP598" s="1931"/>
      <c r="BQ598" s="1931"/>
      <c r="BR598" s="1931"/>
      <c r="BS598" s="1931"/>
      <c r="BT598" s="1931"/>
      <c r="BU598" s="1931"/>
      <c r="BV598" s="1931"/>
      <c r="BW598" s="1931"/>
      <c r="BX598" s="1931"/>
      <c r="BY598" s="1931"/>
      <c r="BZ598" s="1931"/>
      <c r="CA598" s="1931"/>
      <c r="CB598" s="1931"/>
      <c r="CC598" s="1931"/>
      <c r="CD598" s="1931"/>
      <c r="CE598" s="1930"/>
      <c r="CF598" s="1930"/>
      <c r="CG598" s="1930"/>
      <c r="CH598" s="1930"/>
      <c r="CI598" s="1931"/>
      <c r="CJ598" s="1931"/>
      <c r="CK598" s="1931"/>
      <c r="CL598" s="1931"/>
      <c r="CM598" s="1931"/>
      <c r="CN598" s="1931"/>
      <c r="CO598" s="1931"/>
      <c r="CP598" s="1931"/>
      <c r="CQ598" s="1931"/>
      <c r="CR598" s="1931"/>
      <c r="CS598" s="1931"/>
      <c r="CT598" s="1930"/>
      <c r="CU598" s="1930"/>
      <c r="CV598" s="1930"/>
      <c r="CW598" s="1930"/>
      <c r="CX598" s="1931"/>
      <c r="CY598" s="1931"/>
      <c r="CZ598" s="1931"/>
      <c r="DA598" s="1931"/>
      <c r="DB598" s="2655" t="e">
        <f>(DD598)/(DE598)</f>
        <v>#DIV/0!</v>
      </c>
      <c r="DC598" s="1948" t="str">
        <f>CONCATENATE(G598," ",J598," Year EUL")</f>
        <v>Cooking BUS 12 Year EUL</v>
      </c>
      <c r="DD598" s="71">
        <f>(INDEX('Avoided Cost Benefits'!$C$4:$C$857,MATCH(DC598,'Avoided Cost Benefits'!$A$4:$A$857,0)))*F598</f>
        <v>1287.1808067618338</v>
      </c>
      <c r="DE598" s="1950">
        <f>K598/(1.0595^(2020-2019))</f>
        <v>0</v>
      </c>
      <c r="DF598" s="1931"/>
    </row>
    <row r="599" spans="2:112" hidden="1" outlineLevel="1" x14ac:dyDescent="0.25">
      <c r="B599" s="1931"/>
      <c r="D599" s="1966"/>
      <c r="E599" s="1966"/>
      <c r="F599" s="1966"/>
      <c r="G599" s="1966"/>
      <c r="H599" s="1299"/>
      <c r="I599" s="1966"/>
      <c r="J599" s="1966"/>
      <c r="K599" s="1966"/>
      <c r="L599" s="1965"/>
      <c r="M599" s="1965"/>
      <c r="N599" s="1965"/>
      <c r="O599" s="1965"/>
      <c r="P599" s="1965"/>
      <c r="Q599" s="1965"/>
      <c r="R599" s="1965"/>
      <c r="S599" s="1965"/>
      <c r="T599" s="1965"/>
      <c r="U599" s="1965"/>
      <c r="V599" s="1933"/>
      <c r="W599" s="1933"/>
      <c r="X599" s="1933"/>
      <c r="Y599" s="1933"/>
      <c r="Z599" s="1933"/>
      <c r="AA599" s="1933"/>
      <c r="AB599" s="1933"/>
      <c r="AC599" s="1933"/>
      <c r="AD599" s="1933"/>
      <c r="AE599" s="1933"/>
      <c r="AF599" s="1933"/>
      <c r="AG599" s="1933"/>
      <c r="AH599" s="1933"/>
      <c r="AI599" s="1933"/>
      <c r="AJ599" s="1933"/>
      <c r="AK599" s="1933"/>
      <c r="AL599" s="1933"/>
      <c r="AM599" s="1933"/>
      <c r="AN599" s="1933"/>
      <c r="AO599" s="1933"/>
      <c r="AP599" s="1933"/>
      <c r="AQ599" s="1933"/>
      <c r="AR599" s="1933"/>
      <c r="AS599" s="1933"/>
      <c r="AT599" s="1933"/>
      <c r="AU599" s="1933"/>
      <c r="AV599" s="1933"/>
      <c r="AW599" s="1933"/>
      <c r="AX599" s="1933"/>
      <c r="AY599" s="1933"/>
      <c r="AZ599" s="1933"/>
      <c r="BA599" s="1933"/>
      <c r="BB599" s="1933"/>
      <c r="BC599" s="1933"/>
      <c r="BD599" s="1933"/>
      <c r="BE599" s="1933"/>
      <c r="BF599" s="1933"/>
      <c r="BG599" s="1933"/>
      <c r="BH599" s="1933"/>
      <c r="BI599" s="1933"/>
      <c r="BJ599" s="1933"/>
      <c r="BK599" s="1931"/>
      <c r="BL599" s="1931"/>
      <c r="BM599" s="1931"/>
      <c r="BN599" s="1931"/>
      <c r="BO599" s="1931"/>
      <c r="BP599" s="1931"/>
      <c r="BQ599" s="1931"/>
      <c r="BR599" s="1931"/>
      <c r="BS599" s="1931"/>
      <c r="BT599" s="1931"/>
      <c r="BU599" s="1931"/>
      <c r="BV599" s="1931"/>
      <c r="BW599" s="1931"/>
      <c r="BX599" s="1931"/>
      <c r="BY599" s="1931"/>
      <c r="BZ599" s="1931"/>
      <c r="CA599" s="1931"/>
      <c r="CB599" s="1931"/>
      <c r="CC599" s="1931"/>
      <c r="CD599" s="1931"/>
      <c r="CE599" s="1930"/>
      <c r="CF599" s="1930"/>
      <c r="CG599" s="1930"/>
      <c r="CH599" s="1930"/>
      <c r="CI599" s="1931"/>
      <c r="CJ599" s="1931"/>
      <c r="CK599" s="1931"/>
      <c r="CL599" s="1931"/>
      <c r="CM599" s="1931"/>
      <c r="CN599" s="1931"/>
      <c r="CO599" s="1931"/>
      <c r="CP599" s="1931"/>
      <c r="CQ599" s="1931"/>
      <c r="CR599" s="1931"/>
      <c r="CS599" s="1931"/>
      <c r="CT599" s="1930"/>
      <c r="CU599" s="1930"/>
      <c r="CV599" s="1930"/>
      <c r="CW599" s="1930"/>
      <c r="CX599" s="1931"/>
      <c r="CY599" s="1931"/>
      <c r="CZ599" s="1931"/>
      <c r="DA599" s="1931"/>
      <c r="DB599" s="1932"/>
      <c r="DC599" s="1931"/>
      <c r="DD599" s="1931"/>
      <c r="DE599" s="1931"/>
      <c r="DF599" s="1931"/>
    </row>
    <row r="600" spans="2:112" hidden="1" outlineLevel="1" x14ac:dyDescent="0.25">
      <c r="B600" s="1931"/>
      <c r="D600" s="1966" t="s">
        <v>2689</v>
      </c>
      <c r="E600" s="151"/>
      <c r="F600" s="1966"/>
      <c r="G600" s="1966"/>
      <c r="H600" s="1299"/>
      <c r="I600" s="1966"/>
      <c r="J600" s="1966"/>
      <c r="K600" s="151"/>
      <c r="L600" s="1965"/>
      <c r="M600" s="1965"/>
      <c r="N600" s="1965"/>
      <c r="O600" s="1965"/>
      <c r="P600" s="1965"/>
      <c r="Q600" s="1965"/>
      <c r="R600" s="1965"/>
      <c r="S600" s="1965"/>
      <c r="T600" s="1965"/>
      <c r="U600" s="1965"/>
      <c r="V600" s="1933"/>
      <c r="W600" s="1933"/>
      <c r="X600" s="1933"/>
      <c r="Y600" s="1933"/>
      <c r="Z600" s="1933"/>
      <c r="AA600" s="1933"/>
      <c r="AB600" s="1933"/>
      <c r="AC600" s="1933"/>
      <c r="AD600" s="1933"/>
      <c r="AE600" s="1933"/>
      <c r="AF600" s="1933"/>
      <c r="AG600" s="1933"/>
      <c r="AH600" s="1933"/>
      <c r="AI600" s="1933"/>
      <c r="AJ600" s="1933"/>
      <c r="AK600" s="1933"/>
      <c r="AL600" s="1933"/>
      <c r="AM600" s="1933"/>
      <c r="AN600" s="1933"/>
      <c r="AO600" s="1933"/>
      <c r="AP600" s="1933"/>
      <c r="AQ600" s="1933"/>
      <c r="AR600" s="1933"/>
      <c r="AS600" s="1933"/>
      <c r="AT600" s="1933"/>
      <c r="AU600" s="1933"/>
      <c r="AV600" s="1933"/>
      <c r="AW600" s="1933"/>
      <c r="AX600" s="1933"/>
      <c r="AY600" s="1933"/>
      <c r="AZ600" s="1933"/>
      <c r="BA600" s="1933"/>
      <c r="BB600" s="1933"/>
      <c r="BC600" s="1933"/>
      <c r="BD600" s="1933"/>
      <c r="BE600" s="1933"/>
      <c r="BF600" s="1933"/>
      <c r="BG600" s="1933"/>
      <c r="BH600" s="1933"/>
      <c r="BI600" s="1933"/>
      <c r="BJ600" s="1933"/>
      <c r="BK600" s="1931"/>
      <c r="BL600" s="1931"/>
      <c r="BM600" s="1931"/>
      <c r="BN600" s="1931"/>
      <c r="BO600" s="1931"/>
      <c r="BP600" s="1931"/>
      <c r="BQ600" s="1931"/>
      <c r="BR600" s="1931"/>
      <c r="BS600" s="1931"/>
      <c r="BT600" s="1931"/>
      <c r="BU600" s="1931"/>
      <c r="BV600" s="1931"/>
      <c r="BW600" s="1931"/>
      <c r="BX600" s="1931"/>
      <c r="BY600" s="1931"/>
      <c r="BZ600" s="1931"/>
      <c r="CA600" s="1931"/>
      <c r="CB600" s="1931"/>
      <c r="CC600" s="1931"/>
      <c r="CD600" s="1931"/>
      <c r="CE600" s="1930"/>
      <c r="CF600" s="1930"/>
      <c r="CG600" s="1930"/>
      <c r="CH600" s="1930"/>
      <c r="CI600" s="1931"/>
      <c r="CJ600" s="1931"/>
      <c r="CK600" s="1931"/>
      <c r="CL600" s="1931"/>
      <c r="CM600" s="1931"/>
      <c r="CN600" s="1931"/>
      <c r="CO600" s="1931"/>
      <c r="CP600" s="1931"/>
      <c r="CQ600" s="1931"/>
      <c r="CR600" s="1931"/>
      <c r="CS600" s="1931"/>
      <c r="CT600" s="1930"/>
      <c r="CU600" s="1930"/>
      <c r="CV600" s="1930"/>
      <c r="CW600" s="1930"/>
      <c r="CX600" s="1931"/>
      <c r="CY600" s="1931"/>
      <c r="CZ600" s="1931"/>
      <c r="DA600" s="1931"/>
      <c r="DB600" s="1932"/>
      <c r="DC600" s="1931"/>
      <c r="DD600" s="1931"/>
      <c r="DE600" s="1931"/>
      <c r="DF600" s="1931"/>
    </row>
    <row r="601" spans="2:112" hidden="1" outlineLevel="1" x14ac:dyDescent="0.25">
      <c r="B601" s="1931"/>
      <c r="D601" s="1300"/>
      <c r="E601" s="151"/>
      <c r="F601" s="151"/>
      <c r="G601" s="1321"/>
      <c r="H601" s="1322"/>
      <c r="I601" s="1965"/>
      <c r="J601" s="1965"/>
      <c r="K601" s="1965"/>
      <c r="L601" s="1965"/>
      <c r="M601" s="1965"/>
      <c r="N601" s="1965"/>
      <c r="O601" s="1965"/>
      <c r="P601" s="1965"/>
      <c r="Q601" s="1965"/>
      <c r="R601" s="1965"/>
      <c r="S601" s="1965"/>
      <c r="T601" s="1965"/>
      <c r="U601" s="1965"/>
      <c r="V601" s="1933"/>
      <c r="W601" s="1933"/>
      <c r="X601" s="1933"/>
      <c r="Y601" s="1933"/>
      <c r="Z601" s="1933"/>
      <c r="AA601" s="1933"/>
      <c r="AB601" s="1933"/>
      <c r="AC601" s="1933"/>
      <c r="AD601" s="1933"/>
      <c r="AE601" s="1933"/>
      <c r="AF601" s="1933"/>
      <c r="AG601" s="1933"/>
      <c r="AH601" s="1933"/>
      <c r="AI601" s="1933"/>
      <c r="AJ601" s="1933"/>
      <c r="AK601" s="1933"/>
      <c r="AL601" s="1933"/>
      <c r="AM601" s="1933"/>
      <c r="AN601" s="1933"/>
      <c r="AO601" s="1933"/>
      <c r="AP601" s="1933"/>
      <c r="AQ601" s="1933"/>
      <c r="AR601" s="1933"/>
      <c r="AS601" s="1933"/>
      <c r="AT601" s="1933"/>
      <c r="AU601" s="1933"/>
      <c r="AV601" s="1933"/>
      <c r="AW601" s="1933"/>
      <c r="AX601" s="1933"/>
      <c r="AY601" s="1933"/>
      <c r="AZ601" s="1933"/>
      <c r="BA601" s="1933"/>
      <c r="BB601" s="1933"/>
      <c r="BC601" s="1933"/>
      <c r="BD601" s="1933"/>
      <c r="BE601" s="1933"/>
      <c r="BF601" s="1933"/>
      <c r="BG601" s="1933"/>
      <c r="BH601" s="1933"/>
      <c r="BI601" s="1933"/>
      <c r="BJ601" s="1933"/>
      <c r="BK601" s="1931"/>
      <c r="BL601" s="1931"/>
      <c r="BM601" s="1931"/>
      <c r="BN601" s="1931"/>
      <c r="BO601" s="1931"/>
      <c r="BP601" s="1931"/>
      <c r="BQ601" s="1931"/>
      <c r="BR601" s="1931"/>
      <c r="BS601" s="1931"/>
      <c r="BT601" s="1931"/>
      <c r="BU601" s="1931"/>
      <c r="BV601" s="1931"/>
      <c r="BW601" s="1931"/>
      <c r="BX601" s="1931"/>
      <c r="BY601" s="1931"/>
      <c r="BZ601" s="1931"/>
      <c r="CA601" s="1931"/>
      <c r="CB601" s="1931"/>
      <c r="CC601" s="1931"/>
      <c r="CD601" s="1931"/>
      <c r="CE601" s="1930"/>
      <c r="CF601" s="1930"/>
      <c r="CG601" s="1930"/>
      <c r="CH601" s="1930"/>
      <c r="CI601" s="1931"/>
      <c r="CJ601" s="1931"/>
      <c r="CK601" s="1931"/>
      <c r="CL601" s="1931"/>
      <c r="CM601" s="1931"/>
      <c r="CN601" s="1931"/>
      <c r="CO601" s="1931"/>
      <c r="CP601" s="1931"/>
      <c r="CQ601" s="1931"/>
      <c r="CR601" s="1931"/>
      <c r="CS601" s="1931"/>
      <c r="CT601" s="1930"/>
      <c r="CU601" s="1930"/>
      <c r="CV601" s="1930"/>
      <c r="CW601" s="1930"/>
      <c r="CX601" s="1931"/>
      <c r="CY601" s="1931"/>
      <c r="CZ601" s="1931"/>
      <c r="DA601" s="1931"/>
      <c r="DB601" s="1932"/>
      <c r="DC601" s="1931"/>
      <c r="DD601" s="1931"/>
      <c r="DE601" s="1931"/>
      <c r="DF601" s="1931"/>
    </row>
    <row r="602" spans="2:112" hidden="1" outlineLevel="1" x14ac:dyDescent="0.25">
      <c r="B602" s="1931"/>
      <c r="D602" s="1300"/>
      <c r="E602" s="1965"/>
      <c r="F602" s="1965"/>
      <c r="G602" s="1321"/>
      <c r="H602" s="1322"/>
      <c r="I602" s="1965"/>
      <c r="J602" s="1965"/>
      <c r="K602" s="1965"/>
      <c r="L602" s="1965"/>
      <c r="M602" s="1965"/>
      <c r="N602" s="1965"/>
      <c r="O602" s="1965"/>
      <c r="P602" s="4483"/>
      <c r="Q602" s="4483"/>
      <c r="R602" s="1965"/>
      <c r="S602" s="1965"/>
      <c r="T602" s="1965"/>
      <c r="U602" s="1965"/>
      <c r="V602" s="1933"/>
      <c r="W602" s="1933"/>
      <c r="X602" s="1933"/>
      <c r="Y602" s="1933"/>
      <c r="Z602" s="1933"/>
      <c r="AA602" s="1933"/>
      <c r="AB602" s="1933"/>
      <c r="AC602" s="1933"/>
      <c r="AD602" s="1933"/>
      <c r="AE602" s="1933"/>
      <c r="AF602" s="1933"/>
      <c r="AG602" s="1933"/>
      <c r="AH602" s="1933"/>
      <c r="AI602" s="1933"/>
      <c r="AJ602" s="1933"/>
      <c r="AK602" s="1933"/>
      <c r="AL602" s="1933"/>
      <c r="AM602" s="1933"/>
      <c r="AN602" s="1933"/>
      <c r="AO602" s="1933"/>
      <c r="AP602" s="1933"/>
      <c r="AQ602" s="1933"/>
      <c r="AR602" s="1933"/>
      <c r="AS602" s="1933"/>
      <c r="AT602" s="1933"/>
      <c r="AU602" s="1933"/>
      <c r="AV602" s="1933"/>
      <c r="AW602" s="1933"/>
      <c r="AX602" s="1933"/>
      <c r="AY602" s="1933"/>
      <c r="AZ602" s="1933"/>
      <c r="BA602" s="1933"/>
      <c r="BB602" s="1933"/>
      <c r="BC602" s="1933"/>
      <c r="BD602" s="1933"/>
      <c r="BE602" s="1933"/>
      <c r="BF602" s="1933"/>
      <c r="BG602" s="1933"/>
      <c r="BH602" s="1933"/>
      <c r="BI602" s="1933"/>
      <c r="BJ602" s="1933"/>
      <c r="BK602" s="1931"/>
      <c r="BL602" s="1931"/>
      <c r="BM602" s="1931"/>
      <c r="BN602" s="1931"/>
      <c r="BO602" s="1931"/>
      <c r="BP602" s="1931"/>
      <c r="BQ602" s="1931"/>
      <c r="BR602" s="1931"/>
      <c r="BS602" s="1931"/>
      <c r="BT602" s="1931"/>
      <c r="BU602" s="1931"/>
      <c r="BV602" s="1931"/>
      <c r="BW602" s="1931"/>
      <c r="BX602" s="1931"/>
      <c r="BY602" s="1931"/>
      <c r="BZ602" s="1931"/>
      <c r="CA602" s="1931"/>
      <c r="CB602" s="1931"/>
      <c r="CC602" s="1931"/>
      <c r="CD602" s="1931"/>
      <c r="CE602" s="1930"/>
      <c r="CF602" s="1930"/>
      <c r="CG602" s="1930"/>
      <c r="CH602" s="1930"/>
      <c r="CI602" s="1931"/>
      <c r="CJ602" s="1931"/>
      <c r="CK602" s="1931"/>
      <c r="CL602" s="1931"/>
      <c r="CM602" s="1931"/>
      <c r="CN602" s="1931"/>
      <c r="CO602" s="1931"/>
      <c r="CP602" s="1931"/>
      <c r="CQ602" s="1931"/>
      <c r="CR602" s="1931"/>
      <c r="CS602" s="1931"/>
      <c r="CT602" s="1930"/>
      <c r="CU602" s="1930"/>
      <c r="CV602" s="1930"/>
      <c r="CW602" s="1930"/>
      <c r="CX602" s="1931"/>
      <c r="CY602" s="1931"/>
      <c r="CZ602" s="1931"/>
      <c r="DA602" s="1931"/>
      <c r="DB602" s="1932"/>
      <c r="DC602" s="1931"/>
      <c r="DD602" s="1931"/>
      <c r="DE602" s="1931"/>
      <c r="DF602" s="1931"/>
    </row>
    <row r="603" spans="2:112" hidden="1" outlineLevel="1" x14ac:dyDescent="0.25">
      <c r="B603" s="1931"/>
      <c r="D603" s="1300"/>
      <c r="E603" s="1965"/>
      <c r="F603" s="1965"/>
      <c r="G603" s="1965"/>
      <c r="H603" s="1301"/>
      <c r="I603" s="1965"/>
      <c r="J603" s="1965"/>
      <c r="K603" s="1965"/>
      <c r="L603" s="1965"/>
      <c r="M603" s="1966"/>
      <c r="N603" s="1965"/>
      <c r="O603" s="1965"/>
      <c r="P603" s="4483"/>
      <c r="Q603" s="4483"/>
      <c r="R603" s="1965"/>
      <c r="S603" s="1965"/>
      <c r="T603" s="1965"/>
      <c r="U603" s="1965"/>
      <c r="V603" s="1933"/>
      <c r="W603" s="1933"/>
      <c r="X603" s="1933"/>
      <c r="Y603" s="1933"/>
      <c r="Z603" s="1933"/>
      <c r="AA603" s="1933"/>
      <c r="AB603" s="1933"/>
      <c r="AC603" s="1933"/>
      <c r="AD603" s="1933"/>
      <c r="AE603" s="1933"/>
      <c r="AF603" s="1933"/>
      <c r="AG603" s="1933"/>
      <c r="AH603" s="1933"/>
      <c r="AI603" s="1933"/>
      <c r="AJ603" s="1933"/>
      <c r="AK603" s="1933"/>
      <c r="AL603" s="1933"/>
      <c r="AM603" s="1933"/>
      <c r="AN603" s="1933"/>
      <c r="AO603" s="1933"/>
      <c r="AP603" s="1933"/>
      <c r="AQ603" s="1933"/>
      <c r="AR603" s="1933"/>
      <c r="AS603" s="1933"/>
      <c r="AT603" s="1933"/>
      <c r="AU603" s="1933"/>
      <c r="AV603" s="1933"/>
      <c r="AW603" s="1933"/>
      <c r="AX603" s="1933"/>
      <c r="AY603" s="1933"/>
      <c r="AZ603" s="1933"/>
      <c r="BA603" s="1933"/>
      <c r="BB603" s="1933"/>
      <c r="BC603" s="1933"/>
      <c r="BD603" s="1933"/>
      <c r="BE603" s="1933"/>
      <c r="BF603" s="1933"/>
      <c r="BG603" s="1933"/>
      <c r="BH603" s="1933"/>
      <c r="BI603" s="1933"/>
      <c r="BJ603" s="1933"/>
      <c r="BK603" s="1931"/>
      <c r="BL603" s="1931"/>
      <c r="BM603" s="1931"/>
      <c r="BN603" s="1931"/>
      <c r="BO603" s="1931"/>
      <c r="BP603" s="1931"/>
      <c r="BQ603" s="1931"/>
      <c r="BR603" s="1931"/>
      <c r="BS603" s="1931"/>
      <c r="BT603" s="1931"/>
      <c r="BU603" s="1931"/>
      <c r="BV603" s="1931"/>
      <c r="BW603" s="1931"/>
      <c r="BX603" s="1931"/>
      <c r="BY603" s="1931"/>
      <c r="BZ603" s="1931"/>
      <c r="CA603" s="1931"/>
      <c r="CB603" s="1931"/>
      <c r="CC603" s="1931"/>
      <c r="CD603" s="1931"/>
      <c r="CE603" s="1930"/>
      <c r="CF603" s="1930"/>
      <c r="CG603" s="1930"/>
      <c r="CH603" s="1930"/>
      <c r="CI603" s="1931"/>
      <c r="CJ603" s="1931"/>
      <c r="CK603" s="1931"/>
      <c r="CL603" s="1931"/>
      <c r="CM603" s="1931"/>
      <c r="CN603" s="1931"/>
      <c r="CO603" s="1931"/>
      <c r="CP603" s="1931"/>
      <c r="CQ603" s="1931"/>
      <c r="CR603" s="1931"/>
      <c r="CS603" s="1931"/>
      <c r="CT603" s="1930"/>
      <c r="CU603" s="1930"/>
      <c r="CV603" s="1930"/>
      <c r="CW603" s="1930"/>
      <c r="CX603" s="1931"/>
      <c r="CY603" s="1931"/>
      <c r="CZ603" s="1931"/>
      <c r="DA603" s="1931"/>
      <c r="DB603" s="1932"/>
      <c r="DC603" s="1931"/>
      <c r="DD603" s="1931"/>
      <c r="DE603" s="1931"/>
      <c r="DF603" s="1931"/>
    </row>
    <row r="604" spans="2:112" hidden="1" outlineLevel="1" x14ac:dyDescent="0.25">
      <c r="B604" s="1931"/>
      <c r="D604" s="1300"/>
      <c r="E604" s="1965"/>
      <c r="F604" s="1965"/>
      <c r="G604" s="1965"/>
      <c r="H604" s="1301"/>
      <c r="I604" s="1965"/>
      <c r="J604" s="1965"/>
      <c r="K604" s="1965"/>
      <c r="L604" s="1965"/>
      <c r="M604" s="1966"/>
      <c r="N604" s="1965"/>
      <c r="O604" s="1965"/>
      <c r="P604" s="4483"/>
      <c r="Q604" s="4483"/>
      <c r="R604" s="1965"/>
      <c r="S604" s="1965"/>
      <c r="T604" s="1965"/>
      <c r="U604" s="1965"/>
      <c r="V604" s="1931"/>
      <c r="W604" s="1931"/>
      <c r="X604" s="1931"/>
      <c r="Y604" s="1931"/>
      <c r="Z604" s="1931"/>
      <c r="AA604" s="1931"/>
      <c r="AB604" s="1931"/>
      <c r="AC604" s="1931"/>
      <c r="AD604" s="1931"/>
      <c r="AE604" s="1931"/>
      <c r="AF604" s="1931"/>
      <c r="AG604" s="1931"/>
      <c r="AH604" s="1931"/>
      <c r="AI604" s="1931"/>
      <c r="AJ604" s="1931"/>
      <c r="AK604" s="1931"/>
      <c r="AL604" s="1931"/>
      <c r="AM604" s="1931"/>
      <c r="AN604" s="1931"/>
      <c r="AO604" s="1931"/>
      <c r="AP604" s="1931"/>
      <c r="AQ604" s="1931"/>
      <c r="AR604" s="1931"/>
      <c r="AS604" s="1931"/>
      <c r="AT604" s="1931"/>
      <c r="AU604" s="1931"/>
      <c r="AV604" s="1931"/>
      <c r="AW604" s="1931"/>
      <c r="AX604" s="1931"/>
      <c r="AY604" s="1931"/>
      <c r="AZ604" s="1931"/>
      <c r="BA604" s="1931"/>
      <c r="BB604" s="1931"/>
      <c r="BC604" s="1931"/>
      <c r="BD604" s="1931"/>
      <c r="BE604" s="1931"/>
      <c r="BF604" s="1931"/>
      <c r="BG604" s="1931"/>
      <c r="BH604" s="1931"/>
      <c r="BI604" s="1931"/>
      <c r="BJ604" s="1931"/>
      <c r="BK604" s="1931"/>
      <c r="BL604" s="1931"/>
      <c r="BM604" s="1931"/>
      <c r="BN604" s="1931"/>
      <c r="BO604" s="1931"/>
      <c r="BP604" s="1931"/>
      <c r="BQ604" s="1931"/>
      <c r="BR604" s="1931"/>
      <c r="BS604" s="1931"/>
      <c r="BT604" s="1931"/>
      <c r="BU604" s="1931"/>
      <c r="BV604" s="1931"/>
      <c r="BW604" s="1931"/>
      <c r="BX604" s="1931"/>
      <c r="BY604" s="1931"/>
      <c r="BZ604" s="1931"/>
      <c r="CA604" s="1931"/>
      <c r="CB604" s="1931"/>
      <c r="CC604" s="1931"/>
      <c r="CD604" s="1931"/>
      <c r="CE604" s="1930"/>
      <c r="CF604" s="1930"/>
      <c r="CG604" s="1930"/>
      <c r="CH604" s="1930"/>
      <c r="CI604" s="1931"/>
      <c r="CJ604" s="1931"/>
      <c r="CK604" s="1931"/>
      <c r="CL604" s="1931"/>
      <c r="CM604" s="1931"/>
      <c r="CN604" s="1931"/>
      <c r="CO604" s="1931"/>
      <c r="CP604" s="1931"/>
      <c r="CQ604" s="1931"/>
      <c r="CR604" s="1931"/>
      <c r="CS604" s="1931"/>
      <c r="CT604" s="1930"/>
      <c r="CU604" s="1930"/>
      <c r="CV604" s="1930"/>
      <c r="CW604" s="1930"/>
      <c r="CX604" s="1931"/>
      <c r="CY604" s="1931"/>
      <c r="CZ604" s="1931"/>
      <c r="DA604" s="1931"/>
      <c r="DB604" s="1932"/>
      <c r="DC604" s="1931"/>
      <c r="DD604" s="1931"/>
      <c r="DE604" s="1931"/>
      <c r="DF604" s="1931"/>
    </row>
    <row r="605" spans="2:112" hidden="1" outlineLevel="1" x14ac:dyDescent="0.25">
      <c r="B605" s="1931"/>
      <c r="D605" s="1300"/>
      <c r="E605" s="1965"/>
      <c r="F605" s="1965"/>
      <c r="G605" s="1965"/>
      <c r="H605" s="1301"/>
      <c r="I605" s="1965"/>
      <c r="J605" s="1965"/>
      <c r="K605" s="1965"/>
      <c r="L605" s="1965"/>
      <c r="M605" s="1966"/>
      <c r="N605" s="1965"/>
      <c r="O605" s="1965"/>
      <c r="P605" s="1965"/>
      <c r="Q605" s="1965"/>
      <c r="R605" s="1965"/>
      <c r="S605" s="1965"/>
      <c r="T605" s="1965"/>
      <c r="U605" s="1965"/>
      <c r="V605" s="1931"/>
      <c r="W605" s="1931"/>
      <c r="X605" s="1931"/>
      <c r="Y605" s="1931"/>
      <c r="Z605" s="1931"/>
      <c r="AA605" s="1931"/>
      <c r="AB605" s="1931"/>
      <c r="AC605" s="1931"/>
      <c r="AD605" s="1931"/>
      <c r="AE605" s="1931"/>
      <c r="AF605" s="1931"/>
      <c r="AG605" s="1931"/>
      <c r="AH605" s="1931"/>
      <c r="AI605" s="1931"/>
      <c r="AJ605" s="1931"/>
      <c r="AK605" s="1931"/>
      <c r="AL605" s="1931"/>
      <c r="AM605" s="1931"/>
      <c r="AN605" s="1931"/>
      <c r="AO605" s="1931"/>
      <c r="AP605" s="1931"/>
      <c r="AQ605" s="1931"/>
      <c r="AR605" s="1931"/>
      <c r="AS605" s="1931"/>
      <c r="AT605" s="1931"/>
      <c r="AU605" s="1931"/>
      <c r="AV605" s="1931"/>
      <c r="AW605" s="1931"/>
      <c r="AX605" s="1931"/>
      <c r="AY605" s="1931"/>
      <c r="AZ605" s="1931"/>
      <c r="BA605" s="1931"/>
      <c r="BB605" s="1931"/>
      <c r="BC605" s="1931"/>
      <c r="BD605" s="1931"/>
      <c r="BE605" s="1931"/>
      <c r="BF605" s="1931"/>
      <c r="BG605" s="1931"/>
      <c r="BH605" s="1931"/>
      <c r="BI605" s="1931"/>
      <c r="BJ605" s="1931"/>
      <c r="BK605" s="1931"/>
      <c r="BL605" s="1931"/>
      <c r="BM605" s="1931"/>
      <c r="BN605" s="1931"/>
      <c r="BO605" s="1931"/>
      <c r="BP605" s="1931"/>
      <c r="BQ605" s="1931"/>
      <c r="BR605" s="1931"/>
      <c r="BS605" s="1931"/>
      <c r="BT605" s="1931"/>
      <c r="BU605" s="1931"/>
      <c r="BV605" s="1931"/>
      <c r="BW605" s="1931"/>
      <c r="BX605" s="1931"/>
      <c r="BY605" s="1931"/>
      <c r="BZ605" s="1931"/>
      <c r="CA605" s="1931"/>
      <c r="CB605" s="1931"/>
      <c r="CC605" s="1931"/>
      <c r="CD605" s="1931"/>
      <c r="CE605" s="1930"/>
      <c r="CF605" s="1930"/>
      <c r="CG605" s="1930"/>
      <c r="CH605" s="1930"/>
      <c r="CI605" s="1931"/>
      <c r="CJ605" s="1931"/>
      <c r="CK605" s="1931"/>
      <c r="CL605" s="1931"/>
      <c r="CM605" s="1931"/>
      <c r="CN605" s="1931"/>
      <c r="CO605" s="1931"/>
      <c r="CP605" s="1931"/>
      <c r="CQ605" s="1931"/>
      <c r="CR605" s="1931"/>
      <c r="CS605" s="1931"/>
      <c r="CT605" s="1930"/>
      <c r="CU605" s="1930"/>
      <c r="CV605" s="1930"/>
      <c r="CW605" s="1930"/>
      <c r="CX605" s="1931"/>
      <c r="CY605" s="1931"/>
      <c r="CZ605" s="1931"/>
      <c r="DA605" s="1931"/>
      <c r="DB605" s="1932"/>
      <c r="DC605" s="1931"/>
      <c r="DD605" s="1931"/>
      <c r="DE605" s="1931"/>
      <c r="DF605" s="1931"/>
    </row>
    <row r="606" spans="2:112" hidden="1" outlineLevel="1" x14ac:dyDescent="0.25">
      <c r="B606" s="1931"/>
      <c r="D606" s="1300"/>
      <c r="E606" s="1965"/>
      <c r="F606" s="1965"/>
      <c r="G606" s="1965"/>
      <c r="H606" s="1301"/>
      <c r="I606" s="1965"/>
      <c r="J606" s="1965"/>
      <c r="K606" s="1965"/>
      <c r="L606" s="1965"/>
      <c r="M606" s="1965"/>
      <c r="N606" s="1965"/>
      <c r="O606" s="1965"/>
      <c r="P606" s="1965"/>
      <c r="Q606" s="1965"/>
      <c r="R606" s="1965"/>
      <c r="S606" s="1965"/>
      <c r="T606" s="1965"/>
      <c r="U606" s="1965"/>
      <c r="V606" s="1931"/>
      <c r="W606" s="1931"/>
      <c r="X606" s="1931"/>
      <c r="Y606" s="1931"/>
      <c r="Z606" s="1931"/>
      <c r="AA606" s="1931"/>
      <c r="AB606" s="1931"/>
      <c r="AC606" s="1931"/>
      <c r="AD606" s="1931"/>
      <c r="AE606" s="1931"/>
      <c r="AF606" s="1931"/>
      <c r="AG606" s="1931"/>
      <c r="AH606" s="1931"/>
      <c r="AI606" s="1931"/>
      <c r="AJ606" s="1931"/>
      <c r="AK606" s="1931"/>
      <c r="AL606" s="1931"/>
      <c r="AM606" s="1931"/>
      <c r="AN606" s="1931"/>
      <c r="AO606" s="1931"/>
      <c r="AP606" s="1931"/>
      <c r="AQ606" s="1931"/>
      <c r="AR606" s="1931"/>
      <c r="AS606" s="1931"/>
      <c r="AT606" s="1931"/>
      <c r="AU606" s="1931"/>
      <c r="AV606" s="1931"/>
      <c r="AW606" s="1931"/>
      <c r="AX606" s="1931"/>
      <c r="AY606" s="1931"/>
      <c r="AZ606" s="1931"/>
      <c r="BA606" s="1931"/>
      <c r="BB606" s="1931"/>
      <c r="BC606" s="1931"/>
      <c r="BD606" s="1931"/>
      <c r="BE606" s="1931"/>
      <c r="BF606" s="1931"/>
      <c r="BG606" s="1931"/>
      <c r="BH606" s="1931"/>
      <c r="BI606" s="1931"/>
      <c r="BJ606" s="1931"/>
      <c r="BK606" s="1931"/>
      <c r="BL606" s="1931"/>
      <c r="BM606" s="1931"/>
      <c r="BN606" s="1931"/>
      <c r="BO606" s="1931"/>
      <c r="BP606" s="1931"/>
      <c r="BQ606" s="1931"/>
      <c r="BR606" s="1931"/>
      <c r="BS606" s="1931"/>
      <c r="BT606" s="1931"/>
      <c r="BU606" s="1931"/>
      <c r="BV606" s="1931"/>
      <c r="BW606" s="1931"/>
      <c r="BX606" s="1931"/>
      <c r="BY606" s="1931"/>
      <c r="BZ606" s="1931"/>
      <c r="CA606" s="1931"/>
      <c r="CB606" s="1931"/>
      <c r="CC606" s="1931"/>
      <c r="CD606" s="1931"/>
      <c r="CE606" s="1930"/>
      <c r="CF606" s="1930"/>
      <c r="CG606" s="1930"/>
      <c r="CH606" s="1930"/>
      <c r="CI606" s="1931"/>
      <c r="CJ606" s="1931"/>
      <c r="CK606" s="1931"/>
      <c r="CL606" s="1931"/>
      <c r="CM606" s="1931"/>
      <c r="CN606" s="1931"/>
      <c r="CO606" s="1931"/>
      <c r="CP606" s="1931"/>
      <c r="CQ606" s="1931"/>
      <c r="CR606" s="1931"/>
      <c r="CS606" s="1931"/>
      <c r="CT606" s="1930"/>
      <c r="CU606" s="1930"/>
      <c r="CV606" s="1930"/>
      <c r="CW606" s="1930"/>
      <c r="CX606" s="1931"/>
      <c r="CY606" s="1931"/>
      <c r="CZ606" s="1931"/>
      <c r="DA606" s="1931"/>
      <c r="DB606" s="1932"/>
      <c r="DC606" s="1931"/>
      <c r="DD606" s="1931"/>
      <c r="DE606" s="1931"/>
      <c r="DF606" s="1931"/>
    </row>
    <row r="607" spans="2:112" s="55" customFormat="1" ht="30" hidden="1" outlineLevel="1" x14ac:dyDescent="0.25">
      <c r="C607" s="151"/>
      <c r="D607" s="3081" t="s">
        <v>28</v>
      </c>
      <c r="E607" s="3081" t="s">
        <v>2758</v>
      </c>
      <c r="F607" s="81" t="s">
        <v>586</v>
      </c>
      <c r="G607" s="3081" t="s">
        <v>3083</v>
      </c>
      <c r="H607" s="3081" t="s">
        <v>3084</v>
      </c>
      <c r="I607" s="3081" t="s">
        <v>3070</v>
      </c>
      <c r="J607" s="3081" t="s">
        <v>3085</v>
      </c>
      <c r="K607" s="3081" t="s">
        <v>3086</v>
      </c>
      <c r="L607" s="3081" t="s">
        <v>3087</v>
      </c>
      <c r="M607" s="3081" t="s">
        <v>3088</v>
      </c>
      <c r="N607" s="3249" t="s">
        <v>3089</v>
      </c>
      <c r="O607" s="3249" t="s">
        <v>3090</v>
      </c>
      <c r="P607" s="401"/>
      <c r="Q607" s="401"/>
      <c r="R607" s="401"/>
      <c r="S607" s="401"/>
      <c r="T607" s="401"/>
      <c r="U607" s="401"/>
      <c r="DB607" s="72"/>
    </row>
    <row r="608" spans="2:112" hidden="1" outlineLevel="1" x14ac:dyDescent="0.25">
      <c r="B608" s="1931"/>
      <c r="D608" s="1967" t="str">
        <f>C597</f>
        <v>805150_2019_12_</v>
      </c>
      <c r="E608" s="1967" t="str">
        <f>E597</f>
        <v>Standard Open Deep-Fat Fryer</v>
      </c>
      <c r="F608" s="1353">
        <v>365.25</v>
      </c>
      <c r="G608" s="1361">
        <v>1050</v>
      </c>
      <c r="H608" s="90">
        <v>1000</v>
      </c>
      <c r="I608" s="90">
        <v>16</v>
      </c>
      <c r="J608" s="90">
        <v>150</v>
      </c>
      <c r="K608" s="1412">
        <v>65</v>
      </c>
      <c r="L608" s="90">
        <v>70</v>
      </c>
      <c r="M608" s="1412">
        <v>167</v>
      </c>
      <c r="N608" s="473">
        <v>0.75</v>
      </c>
      <c r="O608" s="1312">
        <v>0.8</v>
      </c>
      <c r="P608" s="1965"/>
      <c r="Q608" s="1965"/>
      <c r="R608" s="1965"/>
      <c r="S608" s="1965"/>
      <c r="T608" s="1965"/>
      <c r="U608" s="1965"/>
      <c r="V608" s="1931"/>
      <c r="W608" s="1931"/>
      <c r="X608" s="1931"/>
      <c r="Y608" s="1931"/>
      <c r="Z608" s="1931"/>
      <c r="AA608" s="1931"/>
      <c r="AB608" s="1931"/>
      <c r="AC608" s="1931"/>
      <c r="AD608" s="1931"/>
      <c r="AE608" s="1931"/>
      <c r="AF608" s="1931"/>
      <c r="AG608" s="1931"/>
      <c r="AH608" s="1931"/>
      <c r="AI608" s="1931"/>
      <c r="AJ608" s="1931"/>
      <c r="AK608" s="1931"/>
      <c r="AL608" s="1931"/>
      <c r="AM608" s="1931"/>
      <c r="AN608" s="1931"/>
      <c r="AO608" s="1931"/>
      <c r="AP608" s="1931"/>
      <c r="AQ608" s="1931"/>
      <c r="AR608" s="1931"/>
      <c r="AS608" s="1931"/>
      <c r="AT608" s="1931"/>
      <c r="AU608" s="1931"/>
      <c r="AV608" s="1931"/>
      <c r="AW608" s="1931"/>
      <c r="AX608" s="1931"/>
      <c r="AY608" s="1931"/>
      <c r="AZ608" s="1931"/>
      <c r="BA608" s="1931"/>
      <c r="BB608" s="1931"/>
      <c r="BC608" s="1931"/>
      <c r="BD608" s="1931"/>
      <c r="BE608" s="1931"/>
      <c r="BF608" s="1931"/>
      <c r="BG608" s="1931"/>
      <c r="BH608" s="1931"/>
      <c r="BI608" s="1931"/>
      <c r="BJ608" s="1931"/>
      <c r="BK608" s="1931"/>
      <c r="BL608" s="1931"/>
      <c r="BM608" s="1931"/>
      <c r="BN608" s="1931"/>
      <c r="BO608" s="1931"/>
      <c r="BP608" s="1931"/>
      <c r="BQ608" s="1931"/>
      <c r="BR608" s="1931"/>
      <c r="BS608" s="1931"/>
      <c r="BT608" s="1931"/>
      <c r="BU608" s="1931"/>
      <c r="BV608" s="1931"/>
      <c r="BW608" s="1931"/>
      <c r="BX608" s="1931"/>
      <c r="BY608" s="1931"/>
      <c r="BZ608" s="1931"/>
      <c r="CA608" s="1931"/>
      <c r="CB608" s="1931"/>
      <c r="CC608" s="1931"/>
      <c r="CD608" s="1931"/>
      <c r="CE608" s="1930"/>
      <c r="CF608" s="1930"/>
      <c r="CG608" s="1930"/>
      <c r="CH608" s="1930"/>
      <c r="CI608" s="1931"/>
      <c r="CJ608" s="1931"/>
      <c r="CK608" s="1931"/>
      <c r="CL608" s="1931"/>
      <c r="CM608" s="1931"/>
      <c r="CN608" s="1931"/>
      <c r="CO608" s="1931"/>
      <c r="CP608" s="1931"/>
      <c r="CQ608" s="1931"/>
      <c r="CR608" s="1931"/>
      <c r="CS608" s="1931"/>
      <c r="CT608" s="1930"/>
      <c r="CU608" s="1930"/>
      <c r="CV608" s="1930"/>
      <c r="CW608" s="1930"/>
      <c r="CX608" s="1931"/>
      <c r="CY608" s="1931"/>
      <c r="CZ608" s="1931"/>
      <c r="DA608" s="1931"/>
      <c r="DB608" s="1932"/>
      <c r="DC608" s="1931"/>
      <c r="DD608" s="1931"/>
      <c r="DE608" s="1931"/>
      <c r="DF608" s="1931"/>
    </row>
    <row r="609" spans="2:112" hidden="1" outlineLevel="1" x14ac:dyDescent="0.25">
      <c r="B609" s="1931"/>
      <c r="D609" s="1967" t="str">
        <f>C598</f>
        <v>805200_2019_12_</v>
      </c>
      <c r="E609" s="1967" t="str">
        <f>E598</f>
        <v>Large Vat Open Deep-Fat Fryer</v>
      </c>
      <c r="F609" s="1353">
        <v>365.25</v>
      </c>
      <c r="G609" s="1361">
        <v>1350</v>
      </c>
      <c r="H609" s="90">
        <v>1100</v>
      </c>
      <c r="I609" s="90">
        <v>12</v>
      </c>
      <c r="J609" s="90">
        <v>150</v>
      </c>
      <c r="K609" s="1412">
        <v>100</v>
      </c>
      <c r="L609" s="90">
        <v>110</v>
      </c>
      <c r="M609" s="1412">
        <v>167</v>
      </c>
      <c r="N609" s="473">
        <v>0.7</v>
      </c>
      <c r="O609" s="1312">
        <v>0.8</v>
      </c>
      <c r="P609" s="1965"/>
      <c r="Q609" s="1965"/>
      <c r="R609" s="1965"/>
      <c r="S609" s="1965"/>
      <c r="T609" s="1965"/>
      <c r="U609" s="1965"/>
      <c r="V609" s="1931"/>
      <c r="W609" s="1931"/>
      <c r="X609" s="1931"/>
      <c r="Y609" s="1931"/>
      <c r="Z609" s="1931"/>
      <c r="AA609" s="1931"/>
      <c r="AB609" s="1931"/>
      <c r="AC609" s="1931"/>
      <c r="AD609" s="1931"/>
      <c r="AE609" s="1931"/>
      <c r="AF609" s="1931"/>
      <c r="AG609" s="1931"/>
      <c r="AH609" s="1931"/>
      <c r="AI609" s="1931"/>
      <c r="AJ609" s="1931"/>
      <c r="AK609" s="1931"/>
      <c r="AL609" s="1931"/>
      <c r="AM609" s="1931"/>
      <c r="AN609" s="1931"/>
      <c r="AO609" s="1931"/>
      <c r="AP609" s="1931"/>
      <c r="AQ609" s="1931"/>
      <c r="AR609" s="1931"/>
      <c r="AS609" s="1931"/>
      <c r="AT609" s="1931"/>
      <c r="AU609" s="1931"/>
      <c r="AV609" s="1931"/>
      <c r="AW609" s="1931"/>
      <c r="AX609" s="1931"/>
      <c r="AY609" s="1931"/>
      <c r="AZ609" s="1931"/>
      <c r="BA609" s="1931"/>
      <c r="BB609" s="1931"/>
      <c r="BC609" s="1931"/>
      <c r="BD609" s="1931"/>
      <c r="BE609" s="1931"/>
      <c r="BF609" s="1931"/>
      <c r="BG609" s="1931"/>
      <c r="BH609" s="1931"/>
      <c r="BI609" s="1931"/>
      <c r="BJ609" s="1931"/>
      <c r="BK609" s="1931"/>
      <c r="BL609" s="1931"/>
      <c r="BM609" s="1931"/>
      <c r="BN609" s="1931"/>
      <c r="BO609" s="1931"/>
      <c r="BP609" s="1931"/>
      <c r="BQ609" s="1931"/>
      <c r="BR609" s="1931"/>
      <c r="BS609" s="1931"/>
      <c r="BT609" s="1931"/>
      <c r="BU609" s="1931"/>
      <c r="BV609" s="1931"/>
      <c r="BW609" s="1931"/>
      <c r="BX609" s="1931"/>
      <c r="BY609" s="1931"/>
      <c r="BZ609" s="1931"/>
      <c r="CA609" s="1931"/>
      <c r="CB609" s="1931"/>
      <c r="CC609" s="1931"/>
      <c r="CD609" s="1931"/>
      <c r="CE609" s="1930"/>
      <c r="CF609" s="1930"/>
      <c r="CG609" s="1930"/>
      <c r="CH609" s="1930"/>
      <c r="CI609" s="1931"/>
      <c r="CJ609" s="1931"/>
      <c r="CK609" s="1931"/>
      <c r="CL609" s="1931"/>
      <c r="CM609" s="1931"/>
      <c r="CN609" s="1931"/>
      <c r="CO609" s="1931"/>
      <c r="CP609" s="1931"/>
      <c r="CQ609" s="1931"/>
      <c r="CR609" s="1931"/>
      <c r="CS609" s="1931"/>
      <c r="CT609" s="1930"/>
      <c r="CU609" s="1930"/>
      <c r="CV609" s="1930"/>
      <c r="CW609" s="1930"/>
      <c r="CX609" s="1931"/>
      <c r="CY609" s="1931"/>
      <c r="CZ609" s="1931"/>
      <c r="DA609" s="1931"/>
      <c r="DB609" s="1932"/>
      <c r="DC609" s="1931"/>
      <c r="DD609" s="1931"/>
      <c r="DE609" s="1931"/>
      <c r="DF609" s="1931"/>
    </row>
    <row r="610" spans="2:112" collapsed="1" x14ac:dyDescent="0.25">
      <c r="B610" s="1931"/>
      <c r="D610" s="1966"/>
      <c r="E610" s="1965"/>
      <c r="F610" s="1965"/>
      <c r="G610" s="1968"/>
      <c r="H610" s="1969"/>
      <c r="I610" s="1965"/>
      <c r="J610" s="1965"/>
      <c r="K610" s="1965"/>
      <c r="L610" s="1965"/>
      <c r="M610" s="1965"/>
      <c r="N610" s="1965"/>
      <c r="O610" s="1965"/>
      <c r="P610" s="1965"/>
      <c r="Q610" s="1965"/>
      <c r="R610" s="1965"/>
      <c r="S610" s="1965"/>
      <c r="T610" s="1965"/>
      <c r="U610" s="1965"/>
      <c r="V610" s="1931"/>
      <c r="W610" s="1931"/>
      <c r="X610" s="1931"/>
      <c r="Y610" s="1931"/>
      <c r="Z610" s="1931"/>
      <c r="AA610" s="1931"/>
      <c r="AB610" s="1931"/>
      <c r="AC610" s="1931"/>
      <c r="AD610" s="1931"/>
      <c r="AE610" s="1931"/>
      <c r="AF610" s="1931"/>
      <c r="AG610" s="1931"/>
      <c r="AH610" s="1931"/>
      <c r="AI610" s="1931"/>
      <c r="AJ610" s="1931"/>
      <c r="AK610" s="1931"/>
      <c r="AL610" s="1931"/>
      <c r="AM610" s="1931"/>
      <c r="AN610" s="1931"/>
      <c r="AO610" s="1931"/>
      <c r="AP610" s="1931"/>
      <c r="AQ610" s="1931"/>
      <c r="AR610" s="1931"/>
      <c r="AS610" s="1931"/>
      <c r="AT610" s="1931"/>
      <c r="AU610" s="1931"/>
      <c r="AV610" s="1931"/>
      <c r="AW610" s="1931"/>
      <c r="AX610" s="1931"/>
      <c r="AY610" s="1931"/>
      <c r="AZ610" s="1931"/>
      <c r="BA610" s="1931"/>
      <c r="BB610" s="1931"/>
      <c r="BC610" s="1931"/>
      <c r="BD610" s="1931"/>
      <c r="BE610" s="1931"/>
      <c r="BF610" s="1931"/>
      <c r="BG610" s="1931"/>
      <c r="BH610" s="1931"/>
      <c r="BI610" s="1931"/>
      <c r="BJ610" s="1931"/>
      <c r="BK610" s="1931"/>
      <c r="BL610" s="1931"/>
      <c r="BM610" s="1931"/>
      <c r="BN610" s="1931"/>
      <c r="BO610" s="1931"/>
      <c r="BP610" s="1931"/>
      <c r="BQ610" s="1931"/>
      <c r="BR610" s="1931"/>
      <c r="BS610" s="1931"/>
      <c r="BT610" s="1931"/>
      <c r="BU610" s="1931"/>
      <c r="BV610" s="1931"/>
      <c r="BW610" s="1931"/>
      <c r="BX610" s="1931"/>
      <c r="BY610" s="1931"/>
      <c r="BZ610" s="1931"/>
      <c r="CA610" s="1931"/>
      <c r="CB610" s="1931"/>
      <c r="CC610" s="1931"/>
      <c r="CD610" s="1931"/>
      <c r="CE610" s="1930"/>
      <c r="CF610" s="1930"/>
      <c r="CG610" s="1930"/>
      <c r="CH610" s="1930"/>
      <c r="CI610" s="1931"/>
      <c r="CJ610" s="1931"/>
      <c r="CK610" s="1931"/>
      <c r="CL610" s="1931"/>
      <c r="CM610" s="1931"/>
      <c r="CN610" s="1931"/>
      <c r="CO610" s="1931"/>
      <c r="CP610" s="1931"/>
      <c r="CQ610" s="1931"/>
      <c r="CR610" s="1931"/>
      <c r="CS610" s="1931"/>
      <c r="CT610" s="1930"/>
      <c r="CU610" s="1930"/>
      <c r="CV610" s="1930"/>
      <c r="CW610" s="1930"/>
      <c r="CX610" s="1931"/>
      <c r="CY610" s="1931"/>
      <c r="CZ610" s="1931"/>
      <c r="DA610" s="1931"/>
      <c r="DB610" s="1932"/>
      <c r="DC610" s="1931"/>
      <c r="DD610" s="1931"/>
      <c r="DE610" s="1931"/>
      <c r="DF610" s="1931"/>
    </row>
    <row r="612" spans="2:112" s="43" customFormat="1" x14ac:dyDescent="0.25">
      <c r="B612" s="4484" t="s">
        <v>3091</v>
      </c>
      <c r="C612" s="4485"/>
      <c r="D612" s="4485"/>
      <c r="E612" s="4485"/>
      <c r="F612" s="4485"/>
      <c r="G612" s="4485"/>
      <c r="H612" s="4485"/>
      <c r="I612" s="4486"/>
      <c r="J612" s="4486"/>
      <c r="K612" s="4486"/>
      <c r="L612" s="4486"/>
      <c r="M612" s="3752"/>
      <c r="N612" s="3752"/>
      <c r="O612" s="3753"/>
      <c r="P612" s="1935"/>
      <c r="Q612" s="1935"/>
      <c r="R612" s="1935"/>
      <c r="S612" s="1935"/>
      <c r="T612" s="1935"/>
      <c r="U612" s="1935"/>
      <c r="V612" s="3077" t="str">
        <f>B612</f>
        <v>Convection Oven</v>
      </c>
      <c r="W612" s="3078"/>
      <c r="X612" s="3078"/>
      <c r="Y612" s="3078"/>
      <c r="Z612" s="3078"/>
      <c r="AA612" s="3078"/>
      <c r="AB612" s="3078"/>
      <c r="AC612" s="3078"/>
      <c r="AD612" s="3078"/>
      <c r="AE612" s="3078"/>
      <c r="AF612" s="3078"/>
      <c r="AG612" s="3078"/>
      <c r="AH612" s="3078"/>
      <c r="AI612" s="3170"/>
      <c r="AJ612" s="1931"/>
      <c r="AK612" s="1931"/>
      <c r="AL612" s="1931"/>
      <c r="AM612" s="1931"/>
      <c r="AN612" s="1931"/>
      <c r="AO612" s="1931"/>
      <c r="AP612" s="1931"/>
      <c r="AQ612" s="1931"/>
      <c r="AR612" s="1931"/>
      <c r="AS612" s="1931"/>
      <c r="AT612" s="1931"/>
      <c r="AU612" s="1931"/>
      <c r="AV612" s="1935"/>
      <c r="AW612" s="1935"/>
      <c r="AX612" s="1935"/>
      <c r="AY612" s="1935"/>
      <c r="AZ612" s="1935"/>
      <c r="BA612" s="1935"/>
      <c r="BB612" s="1935"/>
      <c r="BC612" s="1935"/>
      <c r="BD612" s="1935"/>
      <c r="BE612" s="1935"/>
      <c r="BF612" s="1935"/>
      <c r="BG612" s="1935"/>
      <c r="BH612" s="1935"/>
      <c r="BI612" s="1935"/>
      <c r="BJ612" s="1935"/>
      <c r="BK612" s="1935"/>
      <c r="BL612" s="1935"/>
      <c r="BM612" s="1935"/>
      <c r="BN612" s="1935"/>
      <c r="BO612" s="1935"/>
      <c r="BP612" s="1935"/>
      <c r="BQ612" s="1935"/>
      <c r="BR612" s="1935"/>
      <c r="BS612" s="1935"/>
      <c r="BT612" s="1935"/>
      <c r="BU612" s="1935"/>
      <c r="BV612" s="1935"/>
      <c r="BW612" s="1935"/>
      <c r="BX612" s="1935"/>
      <c r="BY612" s="1935"/>
      <c r="BZ612" s="1935"/>
      <c r="CA612" s="1935"/>
      <c r="CB612" s="1935"/>
      <c r="CC612" s="1935"/>
      <c r="CD612" s="1935"/>
      <c r="CE612" s="1935"/>
      <c r="CF612" s="1935"/>
      <c r="CG612" s="1935"/>
      <c r="CH612" s="1935"/>
      <c r="CI612" s="1935"/>
      <c r="CJ612" s="1935"/>
      <c r="CK612" s="1935"/>
      <c r="CL612" s="1935"/>
      <c r="CM612" s="1935"/>
      <c r="CN612" s="1935"/>
      <c r="CO612" s="1935"/>
      <c r="CP612" s="1935"/>
      <c r="CQ612" s="1935"/>
      <c r="CR612" s="1935"/>
      <c r="CS612" s="1935"/>
      <c r="CT612" s="1935"/>
      <c r="CU612" s="1935"/>
      <c r="CV612" s="1935"/>
      <c r="CW612" s="1935"/>
      <c r="CX612" s="1935"/>
      <c r="CY612" s="1935"/>
      <c r="CZ612" s="1935"/>
      <c r="DA612" s="1935"/>
      <c r="DB612" s="73"/>
      <c r="DC612" s="1935"/>
      <c r="DD612" s="1935"/>
      <c r="DE612" s="1935"/>
      <c r="DF612" s="1935"/>
      <c r="DG612" s="1935"/>
      <c r="DH612" s="1935"/>
    </row>
    <row r="613" spans="2:112" x14ac:dyDescent="0.25">
      <c r="B613" s="1931"/>
      <c r="D613" s="1286"/>
      <c r="E613" s="1966"/>
      <c r="F613" s="1966"/>
      <c r="G613" s="1966"/>
      <c r="H613" s="1287"/>
      <c r="I613" s="1966"/>
      <c r="J613" s="1966"/>
      <c r="K613" s="1966"/>
      <c r="L613" s="1966"/>
      <c r="M613" s="1965"/>
      <c r="N613" s="1965"/>
      <c r="O613" s="1965"/>
      <c r="P613" s="1966"/>
      <c r="Q613" s="1966"/>
      <c r="R613" s="1966"/>
      <c r="S613" s="1966"/>
      <c r="T613" s="1966"/>
      <c r="U613" s="1966"/>
      <c r="V613" s="1930"/>
      <c r="W613" s="1930"/>
      <c r="X613" s="1930"/>
      <c r="Y613" s="1930"/>
      <c r="Z613" s="1930"/>
      <c r="AA613" s="1930"/>
      <c r="AB613" s="1930"/>
      <c r="AC613" s="1930"/>
      <c r="AD613" s="1930"/>
      <c r="AE613" s="1930"/>
      <c r="AF613" s="1930"/>
      <c r="AG613" s="1930"/>
      <c r="AH613" s="1930"/>
      <c r="AI613" s="1930"/>
      <c r="AJ613" s="1934"/>
      <c r="AK613" s="1934"/>
      <c r="AL613" s="1934"/>
      <c r="AM613" s="1934"/>
      <c r="AN613" s="1934"/>
      <c r="AO613" s="1934"/>
      <c r="AP613" s="1934"/>
      <c r="AQ613" s="1934"/>
      <c r="AR613" s="1934"/>
      <c r="AS613" s="1934"/>
      <c r="AT613" s="1934"/>
      <c r="AU613" s="1934"/>
      <c r="AV613" s="1931"/>
      <c r="AW613" s="1931"/>
      <c r="AX613" s="1931"/>
      <c r="AY613" s="1931"/>
      <c r="AZ613" s="1931"/>
      <c r="BA613" s="1931"/>
      <c r="BB613" s="1931"/>
      <c r="BC613" s="1931"/>
      <c r="BD613" s="1931"/>
      <c r="BE613" s="1931"/>
      <c r="BF613" s="1931"/>
      <c r="BG613" s="1931"/>
      <c r="BH613" s="1931"/>
      <c r="BI613" s="1931"/>
      <c r="BJ613" s="1931"/>
      <c r="BK613" s="1931"/>
      <c r="BL613" s="1931"/>
      <c r="BM613" s="1931"/>
      <c r="BN613" s="1931"/>
      <c r="BO613" s="1931"/>
      <c r="BP613" s="1931"/>
      <c r="BQ613" s="1931"/>
      <c r="BR613" s="1931"/>
      <c r="BS613" s="1931"/>
      <c r="BT613" s="1931"/>
      <c r="BU613" s="1931"/>
      <c r="BV613" s="1931"/>
      <c r="BW613" s="1931"/>
      <c r="BX613" s="1931"/>
      <c r="BY613" s="1931"/>
      <c r="BZ613" s="1931"/>
      <c r="CA613" s="1931"/>
      <c r="CB613" s="1931"/>
      <c r="CC613" s="1931"/>
      <c r="CD613" s="1931"/>
      <c r="CE613" s="1930"/>
      <c r="CF613" s="1930"/>
      <c r="CG613" s="1930"/>
      <c r="CH613" s="1930"/>
      <c r="CI613" s="1931"/>
      <c r="CJ613" s="1931"/>
      <c r="CK613" s="1931"/>
      <c r="CL613" s="1931"/>
      <c r="CM613" s="1931"/>
      <c r="CN613" s="1931"/>
      <c r="CO613" s="1931"/>
      <c r="CP613" s="1931"/>
      <c r="CQ613" s="1931"/>
      <c r="CR613" s="1931"/>
      <c r="CS613" s="1931"/>
      <c r="CT613" s="1930"/>
      <c r="CU613" s="1930"/>
      <c r="CV613" s="1930"/>
      <c r="CW613" s="1930"/>
      <c r="CX613" s="1931"/>
      <c r="CY613" s="1931"/>
      <c r="CZ613" s="1931"/>
      <c r="DA613" s="1931"/>
      <c r="DB613" s="1932"/>
      <c r="DC613" s="1931"/>
      <c r="DD613" s="1931"/>
      <c r="DE613" s="1931"/>
      <c r="DF613" s="1931"/>
    </row>
    <row r="614" spans="2:112" s="44" customFormat="1" ht="30" x14ac:dyDescent="0.25">
      <c r="B614" s="45"/>
      <c r="C614" s="46" t="s">
        <v>28</v>
      </c>
      <c r="D614" s="46" t="s">
        <v>29</v>
      </c>
      <c r="E614" s="3196" t="s">
        <v>30</v>
      </c>
      <c r="F614" s="3196" t="s">
        <v>31</v>
      </c>
      <c r="G614" s="3196" t="s">
        <v>176</v>
      </c>
      <c r="H614" s="47" t="s">
        <v>177</v>
      </c>
      <c r="I614" s="3196" t="s">
        <v>32</v>
      </c>
      <c r="J614" s="3196" t="s">
        <v>181</v>
      </c>
      <c r="K614" s="46" t="s">
        <v>170</v>
      </c>
      <c r="L614" s="46" t="s">
        <v>44</v>
      </c>
      <c r="M614" s="1965"/>
      <c r="N614" s="1965"/>
      <c r="O614" s="1965"/>
      <c r="P614" s="1288"/>
      <c r="Q614" s="1288"/>
      <c r="R614" s="1288"/>
      <c r="S614" s="1288"/>
      <c r="T614" s="1288"/>
      <c r="U614" s="1288"/>
      <c r="V614" s="1936" t="s">
        <v>45</v>
      </c>
      <c r="W614" s="1937">
        <f>$W$8</f>
        <v>43252</v>
      </c>
      <c r="X614" s="1937">
        <f>$X$8</f>
        <v>43465</v>
      </c>
      <c r="Y614" s="1937">
        <f>$Y$8</f>
        <v>43800</v>
      </c>
      <c r="Z614" s="1937">
        <f>$Z$8</f>
        <v>43862</v>
      </c>
      <c r="AA614" s="1937">
        <f>$AA$8</f>
        <v>44013</v>
      </c>
      <c r="AB614" s="1937">
        <v>44166</v>
      </c>
      <c r="AC614" s="1937">
        <f>$AC$8</f>
        <v>44531</v>
      </c>
      <c r="AD614" s="1937" t="str">
        <f>$AD$8</f>
        <v>-</v>
      </c>
      <c r="AE614" s="1937" t="str">
        <f>$AE$8</f>
        <v>-</v>
      </c>
      <c r="AF614" s="1937" t="str">
        <f>$AF$8</f>
        <v>-</v>
      </c>
      <c r="AG614" s="1937" t="str">
        <f>$AG$8</f>
        <v>-</v>
      </c>
      <c r="AH614" s="1930"/>
      <c r="AI614" s="1936" t="s">
        <v>45</v>
      </c>
      <c r="AJ614" s="1937">
        <v>43252</v>
      </c>
      <c r="AK614" s="1937">
        <f>$X$8</f>
        <v>43465</v>
      </c>
      <c r="AL614" s="1937">
        <f>$Y$8</f>
        <v>43800</v>
      </c>
      <c r="AM614" s="1937">
        <f>$Z$8</f>
        <v>43862</v>
      </c>
      <c r="AN614" s="1937">
        <f>$AA$8</f>
        <v>44013</v>
      </c>
      <c r="AO614" s="1937">
        <f>$AB$8</f>
        <v>44166</v>
      </c>
      <c r="AP614" s="1937">
        <f>$AC$8</f>
        <v>44531</v>
      </c>
      <c r="AQ614" s="1937" t="str">
        <f>$AD$8</f>
        <v>-</v>
      </c>
      <c r="AR614" s="1937" t="str">
        <f>$AE$8</f>
        <v>-</v>
      </c>
      <c r="AS614" s="1937" t="str">
        <f>$AF$8</f>
        <v>-</v>
      </c>
      <c r="AT614" s="1933"/>
      <c r="AU614" s="1936" t="s">
        <v>45</v>
      </c>
      <c r="AV614" s="1937">
        <v>43252</v>
      </c>
      <c r="AW614" s="1937">
        <f>$X$8</f>
        <v>43465</v>
      </c>
      <c r="AX614" s="1937">
        <f>$Y$8</f>
        <v>43800</v>
      </c>
      <c r="AY614" s="1937">
        <f>$Z$8</f>
        <v>43862</v>
      </c>
      <c r="AZ614" s="1937">
        <f>$AA$8</f>
        <v>44013</v>
      </c>
      <c r="BA614" s="1937">
        <v>44166</v>
      </c>
      <c r="BB614" s="1937">
        <f>$AC$8</f>
        <v>44531</v>
      </c>
      <c r="BC614" s="1937" t="str">
        <f>$AD$8</f>
        <v>-</v>
      </c>
      <c r="BD614" s="1937" t="str">
        <f>$AE$8</f>
        <v>-</v>
      </c>
      <c r="BE614" s="1937" t="str">
        <f>$AF$8</f>
        <v>-</v>
      </c>
      <c r="DB614" s="1938" t="str">
        <f>$DB$8</f>
        <v>TRC (2020)</v>
      </c>
      <c r="DC614" s="1953" t="str">
        <f>$DC$8</f>
        <v>Benefit Lookup</v>
      </c>
      <c r="DD614" s="1953" t="str">
        <f>$DD$8</f>
        <v>Benefits (2019 $)</v>
      </c>
      <c r="DE614" s="1953" t="str">
        <f>$DE$8</f>
        <v>Incremental Cost (2019 $)</v>
      </c>
    </row>
    <row r="615" spans="2:112" x14ac:dyDescent="0.25">
      <c r="B615" s="1931"/>
      <c r="C615" s="1997" t="s">
        <v>3092</v>
      </c>
      <c r="D615" s="1363" t="s">
        <v>2646</v>
      </c>
      <c r="E615" s="1308" t="s">
        <v>3093</v>
      </c>
      <c r="F615" s="1959">
        <f>ROUND((((G626*(I626-J626/K626))-(H626*(I626-J626/L626)))+((J626*M626/N626)-(J626*M626/O626)))*F626/1000,2)</f>
        <v>1938.47</v>
      </c>
      <c r="G615" s="1290" t="s">
        <v>2844</v>
      </c>
      <c r="H615" s="1291">
        <f>VLOOKUP(G615,'CP FACTORS'!$A$26:$B$38,2,FALSE)</f>
        <v>1.998949E-4</v>
      </c>
      <c r="I615" s="1309">
        <f>ROUND(H615*F615,6)</f>
        <v>0.38749</v>
      </c>
      <c r="J615" s="1399">
        <v>12</v>
      </c>
      <c r="K615" s="1310">
        <v>0</v>
      </c>
      <c r="L615" s="1374" t="s">
        <v>185</v>
      </c>
      <c r="M615" s="1965"/>
      <c r="N615" s="1965"/>
      <c r="O615" s="1965"/>
      <c r="P615" s="1965"/>
      <c r="Q615" s="1965"/>
      <c r="R615" s="1965"/>
      <c r="S615" s="1965"/>
      <c r="T615" s="1965"/>
      <c r="U615" s="1965"/>
      <c r="V615" s="3227" t="s">
        <v>31</v>
      </c>
      <c r="W615" s="129">
        <v>1938.467533405561</v>
      </c>
      <c r="X615" s="129">
        <v>1938.467533405561</v>
      </c>
      <c r="Y615" s="129">
        <v>1938.467533405561</v>
      </c>
      <c r="Z615" s="129">
        <v>1938.467533405561</v>
      </c>
      <c r="AA615" s="129">
        <v>1938.467533405561</v>
      </c>
      <c r="AB615" s="1825">
        <v>1938.47</v>
      </c>
      <c r="AC615" s="3364">
        <v>1938.47</v>
      </c>
      <c r="AD615" s="2099"/>
      <c r="AE615" s="2099"/>
      <c r="AF615" s="2099"/>
      <c r="AG615" s="2099"/>
      <c r="AH615" s="2100"/>
      <c r="AI615" s="3227" t="s">
        <v>181</v>
      </c>
      <c r="AJ615" s="64">
        <v>12</v>
      </c>
      <c r="AK615" s="64">
        <v>12</v>
      </c>
      <c r="AL615" s="64">
        <v>12</v>
      </c>
      <c r="AM615" s="64">
        <v>12</v>
      </c>
      <c r="AN615" s="64">
        <v>12</v>
      </c>
      <c r="AO615" s="2101">
        <v>12</v>
      </c>
      <c r="AP615" s="2101">
        <v>12</v>
      </c>
      <c r="AQ615" s="2099"/>
      <c r="AR615" s="2099"/>
      <c r="AS615" s="2099"/>
      <c r="AT615" s="1933"/>
      <c r="AU615" s="3227" t="s">
        <v>170</v>
      </c>
      <c r="AV615" s="2102">
        <v>0</v>
      </c>
      <c r="AW615" s="2102">
        <v>0</v>
      </c>
      <c r="AX615" s="2102">
        <v>0</v>
      </c>
      <c r="AY615" s="2102">
        <v>0</v>
      </c>
      <c r="AZ615" s="2102">
        <v>0</v>
      </c>
      <c r="BA615" s="2103">
        <v>0</v>
      </c>
      <c r="BB615" s="2103">
        <v>0</v>
      </c>
      <c r="BC615" s="2099"/>
      <c r="BD615" s="2099"/>
      <c r="BE615" s="2099"/>
      <c r="BF615" s="1933"/>
      <c r="BG615" s="1933"/>
      <c r="BH615" s="1933"/>
      <c r="BI615" s="1933"/>
      <c r="BJ615" s="1931"/>
      <c r="BK615" s="1931"/>
      <c r="BL615" s="1931"/>
      <c r="BM615" s="1931"/>
      <c r="BN615" s="1931"/>
      <c r="BO615" s="1931"/>
      <c r="BP615" s="1931"/>
      <c r="BQ615" s="1931"/>
      <c r="BR615" s="1931"/>
      <c r="BS615" s="1931"/>
      <c r="BT615" s="1931"/>
      <c r="BU615" s="1931"/>
      <c r="BV615" s="1931"/>
      <c r="BW615" s="1931"/>
      <c r="BX615" s="1931"/>
      <c r="BY615" s="1931"/>
      <c r="BZ615" s="1931"/>
      <c r="CA615" s="1931"/>
      <c r="CB615" s="1931"/>
      <c r="CC615" s="1931"/>
      <c r="CD615" s="1931"/>
      <c r="CE615" s="1930"/>
      <c r="CF615" s="1930"/>
      <c r="CG615" s="1930"/>
      <c r="CH615" s="1930"/>
      <c r="CI615" s="1931"/>
      <c r="CJ615" s="1931"/>
      <c r="CK615" s="1931"/>
      <c r="CL615" s="1931"/>
      <c r="CM615" s="1931"/>
      <c r="CN615" s="1931"/>
      <c r="CO615" s="1931"/>
      <c r="CP615" s="1931"/>
      <c r="CQ615" s="1931"/>
      <c r="CR615" s="1931"/>
      <c r="CS615" s="1931"/>
      <c r="CT615" s="1930"/>
      <c r="CU615" s="1930"/>
      <c r="CV615" s="1930"/>
      <c r="CW615" s="1930"/>
      <c r="CX615" s="1931"/>
      <c r="CY615" s="1931"/>
      <c r="CZ615" s="1931"/>
      <c r="DA615" s="1931"/>
      <c r="DB615" s="2656" t="e">
        <f>(DD615)/(DE615)</f>
        <v>#DIV/0!</v>
      </c>
      <c r="DC615" s="3166" t="str">
        <f>CONCATENATE(G615," ",J615," Year EUL")</f>
        <v>Cooking BUS 12 Year EUL</v>
      </c>
      <c r="DD615" s="69">
        <f>(INDEX('Avoided Cost Benefits'!$C$4:$C$857,MATCH(DC615,'Avoided Cost Benefits'!$A$4:$A$857,0)))*F615</f>
        <v>983.18309211124892</v>
      </c>
      <c r="DE615" s="1946">
        <f>K615/(1.0595^(2020-2019))</f>
        <v>0</v>
      </c>
      <c r="DF615" s="1931"/>
    </row>
    <row r="616" spans="2:112" x14ac:dyDescent="0.25">
      <c r="B616" s="1931"/>
      <c r="C616" s="1997" t="s">
        <v>3094</v>
      </c>
      <c r="D616" s="1363" t="s">
        <v>2646</v>
      </c>
      <c r="E616" s="1308" t="s">
        <v>3095</v>
      </c>
      <c r="F616" s="1959">
        <f>ROUND((((G627*(I627-J627/K627))-(H627*(I627-J627/L627)))+((J627*M627/N627)-(J627*M627/O627)))*F627/1000,2)</f>
        <v>192.11</v>
      </c>
      <c r="G616" s="1290" t="s">
        <v>2844</v>
      </c>
      <c r="H616" s="1291">
        <f>VLOOKUP(G616,'CP FACTORS'!$A$26:$B$38,2,FALSE)</f>
        <v>1.998949E-4</v>
      </c>
      <c r="I616" s="1309">
        <f>ROUND(H616*F616,6)</f>
        <v>3.8401999999999999E-2</v>
      </c>
      <c r="J616" s="325">
        <v>12</v>
      </c>
      <c r="K616" s="1310">
        <v>0</v>
      </c>
      <c r="L616" s="1374" t="s">
        <v>185</v>
      </c>
      <c r="M616" s="1965"/>
      <c r="N616" s="1965"/>
      <c r="O616" s="1965"/>
      <c r="P616" s="1965"/>
      <c r="Q616" s="1965"/>
      <c r="R616" s="1965"/>
      <c r="S616" s="1965"/>
      <c r="T616" s="1965"/>
      <c r="U616" s="1965"/>
      <c r="V616" s="3227" t="s">
        <v>31</v>
      </c>
      <c r="W616" s="129">
        <v>192.1061005247166</v>
      </c>
      <c r="X616" s="129">
        <v>192.1061005247166</v>
      </c>
      <c r="Y616" s="129">
        <v>192.1061005247166</v>
      </c>
      <c r="Z616" s="129">
        <v>192.1061005247166</v>
      </c>
      <c r="AA616" s="129">
        <v>192.1061005247166</v>
      </c>
      <c r="AB616" s="1825">
        <v>192.11</v>
      </c>
      <c r="AC616" s="3364">
        <v>192.11</v>
      </c>
      <c r="AD616" s="2099"/>
      <c r="AE616" s="2099"/>
      <c r="AF616" s="2099"/>
      <c r="AG616" s="2099"/>
      <c r="AH616" s="2100"/>
      <c r="AI616" s="3227" t="s">
        <v>181</v>
      </c>
      <c r="AJ616" s="64">
        <v>12</v>
      </c>
      <c r="AK616" s="64">
        <v>12</v>
      </c>
      <c r="AL616" s="64">
        <v>12</v>
      </c>
      <c r="AM616" s="64">
        <v>12</v>
      </c>
      <c r="AN616" s="64">
        <v>12</v>
      </c>
      <c r="AO616" s="2101">
        <v>12</v>
      </c>
      <c r="AP616" s="2101">
        <v>12</v>
      </c>
      <c r="AQ616" s="2099"/>
      <c r="AR616" s="2099"/>
      <c r="AS616" s="2099"/>
      <c r="AT616" s="1933"/>
      <c r="AU616" s="3227" t="s">
        <v>170</v>
      </c>
      <c r="AV616" s="2102">
        <v>0</v>
      </c>
      <c r="AW616" s="2102">
        <v>0</v>
      </c>
      <c r="AX616" s="2102">
        <v>0</v>
      </c>
      <c r="AY616" s="2102">
        <v>0</v>
      </c>
      <c r="AZ616" s="2102">
        <v>0</v>
      </c>
      <c r="BA616" s="2103">
        <v>0</v>
      </c>
      <c r="BB616" s="2103">
        <v>0</v>
      </c>
      <c r="BC616" s="2099"/>
      <c r="BD616" s="2099"/>
      <c r="BE616" s="2099"/>
      <c r="BF616" s="1933"/>
      <c r="BG616" s="1933"/>
      <c r="BH616" s="1933"/>
      <c r="BI616" s="1933"/>
      <c r="BJ616" s="1931"/>
      <c r="BK616" s="1931"/>
      <c r="BL616" s="1931"/>
      <c r="BM616" s="1931"/>
      <c r="BN616" s="1931"/>
      <c r="BO616" s="1931"/>
      <c r="BP616" s="1931"/>
      <c r="BQ616" s="1931"/>
      <c r="BR616" s="1931"/>
      <c r="BS616" s="1931"/>
      <c r="BT616" s="1931"/>
      <c r="BU616" s="1931"/>
      <c r="BV616" s="1931"/>
      <c r="BW616" s="1931"/>
      <c r="BX616" s="1931"/>
      <c r="BY616" s="1931"/>
      <c r="BZ616" s="1931"/>
      <c r="CA616" s="1931"/>
      <c r="CB616" s="1931"/>
      <c r="CC616" s="1931"/>
      <c r="CD616" s="1931"/>
      <c r="CE616" s="1930"/>
      <c r="CF616" s="1930"/>
      <c r="CG616" s="1930"/>
      <c r="CH616" s="1930"/>
      <c r="CI616" s="1931"/>
      <c r="CJ616" s="1931"/>
      <c r="CK616" s="1931"/>
      <c r="CL616" s="1931"/>
      <c r="CM616" s="1931"/>
      <c r="CN616" s="1931"/>
      <c r="CO616" s="1931"/>
      <c r="CP616" s="1931"/>
      <c r="CQ616" s="1931"/>
      <c r="CR616" s="1931"/>
      <c r="CS616" s="1931"/>
      <c r="CT616" s="1930"/>
      <c r="CU616" s="1930"/>
      <c r="CV616" s="1930"/>
      <c r="CW616" s="1930"/>
      <c r="CX616" s="1931"/>
      <c r="CY616" s="1931"/>
      <c r="CZ616" s="1931"/>
      <c r="DA616" s="1931"/>
      <c r="DB616" s="2655" t="e">
        <f>(DD616)/(DE616)</f>
        <v>#DIV/0!</v>
      </c>
      <c r="DC616" s="1948" t="str">
        <f>CONCATENATE(G616," ",J616," Year EUL")</f>
        <v>Cooking BUS 12 Year EUL</v>
      </c>
      <c r="DD616" s="71">
        <f>(INDEX('Avoided Cost Benefits'!$C$4:$C$857,MATCH(DC616,'Avoided Cost Benefits'!$A$4:$A$857,0)))*F616</f>
        <v>97.437310778857565</v>
      </c>
      <c r="DE616" s="1950">
        <f>K616/(1.0595^(2020-2019))</f>
        <v>0</v>
      </c>
      <c r="DF616" s="1931"/>
    </row>
    <row r="617" spans="2:112" hidden="1" outlineLevel="1" x14ac:dyDescent="0.25">
      <c r="B617" s="1931"/>
      <c r="D617" s="1966"/>
      <c r="E617" s="1966"/>
      <c r="F617" s="1966"/>
      <c r="G617" s="1966"/>
      <c r="H617" s="1299"/>
      <c r="I617" s="1966"/>
      <c r="J617" s="1966"/>
      <c r="K617" s="1966"/>
      <c r="L617" s="1965"/>
      <c r="M617" s="1965"/>
      <c r="N617" s="1965"/>
      <c r="O617" s="1965"/>
      <c r="P617" s="1965"/>
      <c r="Q617" s="1965"/>
      <c r="R617" s="1965"/>
      <c r="S617" s="1965"/>
      <c r="T617" s="1965"/>
      <c r="U617" s="1965"/>
      <c r="V617" s="1933"/>
      <c r="W617" s="1933"/>
      <c r="X617" s="1933"/>
      <c r="Y617" s="1933"/>
      <c r="Z617" s="1933"/>
      <c r="AA617" s="1933"/>
      <c r="AB617" s="1933"/>
      <c r="AC617" s="1933"/>
      <c r="AD617" s="1933"/>
      <c r="AE617" s="1933"/>
      <c r="AF617" s="1933"/>
      <c r="AG617" s="1933"/>
      <c r="AH617" s="1933"/>
      <c r="AI617" s="1933"/>
      <c r="AJ617" s="1933"/>
      <c r="AK617" s="1933"/>
      <c r="AL617" s="1933"/>
      <c r="AM617" s="1933"/>
      <c r="AN617" s="1933"/>
      <c r="AO617" s="1933"/>
      <c r="AP617" s="1933"/>
      <c r="AQ617" s="1933"/>
      <c r="AR617" s="1933"/>
      <c r="AS617" s="1933"/>
      <c r="AT617" s="1933"/>
      <c r="AU617" s="1933"/>
      <c r="AV617" s="1933"/>
      <c r="AW617" s="1933"/>
      <c r="AX617" s="1933"/>
      <c r="AY617" s="1933"/>
      <c r="AZ617" s="1933"/>
      <c r="BA617" s="1933"/>
      <c r="BB617" s="1933"/>
      <c r="BC617" s="1933"/>
      <c r="BD617" s="1933"/>
      <c r="BE617" s="1933"/>
      <c r="BF617" s="1933"/>
      <c r="BG617" s="1933"/>
      <c r="BH617" s="1933"/>
      <c r="BI617" s="1933"/>
      <c r="BJ617" s="1931"/>
      <c r="BK617" s="1931"/>
      <c r="BL617" s="1931"/>
      <c r="BM617" s="1931"/>
      <c r="BN617" s="1931"/>
      <c r="BO617" s="1931"/>
      <c r="BP617" s="1931"/>
      <c r="BQ617" s="1931"/>
      <c r="BR617" s="1931"/>
      <c r="BS617" s="1931"/>
      <c r="BT617" s="1931"/>
      <c r="BU617" s="1931"/>
      <c r="BV617" s="1931"/>
      <c r="BW617" s="1931"/>
      <c r="BX617" s="1931"/>
      <c r="BY617" s="1931"/>
      <c r="BZ617" s="1931"/>
      <c r="CA617" s="1931"/>
      <c r="CB617" s="1931"/>
      <c r="CC617" s="1931"/>
      <c r="CD617" s="1931"/>
      <c r="CE617" s="1930"/>
      <c r="CF617" s="1930"/>
      <c r="CG617" s="1930"/>
      <c r="CH617" s="1930"/>
      <c r="CI617" s="1931"/>
      <c r="CJ617" s="1931"/>
      <c r="CK617" s="1931"/>
      <c r="CL617" s="1931"/>
      <c r="CM617" s="1931"/>
      <c r="CN617" s="1931"/>
      <c r="CO617" s="1931"/>
      <c r="CP617" s="1931"/>
      <c r="CQ617" s="1931"/>
      <c r="CR617" s="1931"/>
      <c r="CS617" s="1931"/>
      <c r="CT617" s="1930"/>
      <c r="CU617" s="1930"/>
      <c r="CV617" s="1930"/>
      <c r="CW617" s="1930"/>
      <c r="CX617" s="1931"/>
      <c r="CY617" s="1931"/>
      <c r="CZ617" s="1931"/>
      <c r="DA617" s="1931"/>
      <c r="DB617" s="1932"/>
      <c r="DC617" s="1931"/>
      <c r="DD617" s="1931"/>
      <c r="DE617" s="1931"/>
      <c r="DF617" s="1931"/>
    </row>
    <row r="618" spans="2:112" hidden="1" outlineLevel="1" x14ac:dyDescent="0.25">
      <c r="B618" s="1931"/>
      <c r="D618" s="1966" t="s">
        <v>2689</v>
      </c>
      <c r="E618" s="151"/>
      <c r="F618" s="1966"/>
      <c r="G618" s="1966"/>
      <c r="H618" s="1299"/>
      <c r="I618" s="1966"/>
      <c r="J618" s="1966"/>
      <c r="K618" s="151"/>
      <c r="L618" s="1965"/>
      <c r="M618" s="1965"/>
      <c r="N618" s="1965"/>
      <c r="O618" s="1965"/>
      <c r="P618" s="1965"/>
      <c r="Q618" s="1965"/>
      <c r="R618" s="1965"/>
      <c r="S618" s="1965"/>
      <c r="T618" s="1965"/>
      <c r="U618" s="1965"/>
      <c r="V618" s="1933"/>
      <c r="W618" s="1933"/>
      <c r="X618" s="1933"/>
      <c r="Y618" s="1933"/>
      <c r="Z618" s="1933"/>
      <c r="AA618" s="1933"/>
      <c r="AB618" s="1933"/>
      <c r="AC618" s="1933"/>
      <c r="AD618" s="1933"/>
      <c r="AE618" s="1933"/>
      <c r="AF618" s="1933"/>
      <c r="AG618" s="1933"/>
      <c r="AH618" s="1933"/>
      <c r="AI618" s="1933"/>
      <c r="AJ618" s="1933"/>
      <c r="AK618" s="1933"/>
      <c r="AL618" s="1933"/>
      <c r="AM618" s="1933"/>
      <c r="AN618" s="1933"/>
      <c r="AO618" s="1933"/>
      <c r="AP618" s="1933"/>
      <c r="AQ618" s="1933"/>
      <c r="AR618" s="1933"/>
      <c r="AS618" s="1933"/>
      <c r="AT618" s="1933"/>
      <c r="AU618" s="1933"/>
      <c r="AV618" s="1933"/>
      <c r="AW618" s="1933"/>
      <c r="AX618" s="1933"/>
      <c r="AY618" s="1933"/>
      <c r="AZ618" s="1933"/>
      <c r="BA618" s="1933"/>
      <c r="BB618" s="1933"/>
      <c r="BC618" s="1933"/>
      <c r="BD618" s="1933"/>
      <c r="BE618" s="1933"/>
      <c r="BF618" s="1933"/>
      <c r="BG618" s="1933"/>
      <c r="BH618" s="1933"/>
      <c r="BI618" s="1933"/>
      <c r="BJ618" s="1931"/>
      <c r="BK618" s="1931"/>
      <c r="BL618" s="1931"/>
      <c r="BM618" s="1931"/>
      <c r="BN618" s="1931"/>
      <c r="BO618" s="1931"/>
      <c r="BP618" s="1931"/>
      <c r="BQ618" s="1931"/>
      <c r="BR618" s="1931"/>
      <c r="BS618" s="1931"/>
      <c r="BT618" s="1931"/>
      <c r="BU618" s="1931"/>
      <c r="BV618" s="1931"/>
      <c r="BW618" s="1931"/>
      <c r="BX618" s="1931"/>
      <c r="BY618" s="1931"/>
      <c r="BZ618" s="1931"/>
      <c r="CA618" s="1931"/>
      <c r="CB618" s="1931"/>
      <c r="CC618" s="1931"/>
      <c r="CD618" s="1931"/>
      <c r="CE618" s="1930"/>
      <c r="CF618" s="1930"/>
      <c r="CG618" s="1930"/>
      <c r="CH618" s="1930"/>
      <c r="CI618" s="1931"/>
      <c r="CJ618" s="1931"/>
      <c r="CK618" s="1931"/>
      <c r="CL618" s="1931"/>
      <c r="CM618" s="1931"/>
      <c r="CN618" s="1931"/>
      <c r="CO618" s="1931"/>
      <c r="CP618" s="1931"/>
      <c r="CQ618" s="1931"/>
      <c r="CR618" s="1931"/>
      <c r="CS618" s="1931"/>
      <c r="CT618" s="1930"/>
      <c r="CU618" s="1930"/>
      <c r="CV618" s="1930"/>
      <c r="CW618" s="1930"/>
      <c r="CX618" s="1931"/>
      <c r="CY618" s="1931"/>
      <c r="CZ618" s="1931"/>
      <c r="DA618" s="1931"/>
      <c r="DB618" s="1932"/>
      <c r="DC618" s="1931"/>
      <c r="DD618" s="1931"/>
      <c r="DE618" s="1931"/>
      <c r="DF618" s="1931"/>
    </row>
    <row r="619" spans="2:112" hidden="1" outlineLevel="1" x14ac:dyDescent="0.25">
      <c r="B619" s="1931"/>
      <c r="D619" s="1300"/>
      <c r="E619" s="151"/>
      <c r="F619" s="151"/>
      <c r="G619" s="1321"/>
      <c r="H619" s="1322"/>
      <c r="I619" s="1965"/>
      <c r="J619" s="1965"/>
      <c r="K619" s="1965"/>
      <c r="L619" s="1965"/>
      <c r="M619" s="1965"/>
      <c r="N619" s="1965"/>
      <c r="O619" s="1965"/>
      <c r="P619" s="1965"/>
      <c r="Q619" s="1965"/>
      <c r="R619" s="1965"/>
      <c r="S619" s="1965"/>
      <c r="T619" s="1965"/>
      <c r="U619" s="1965"/>
      <c r="V619" s="1933"/>
      <c r="W619" s="1933"/>
      <c r="X619" s="1933"/>
      <c r="Y619" s="1933"/>
      <c r="Z619" s="1933"/>
      <c r="AA619" s="1933"/>
      <c r="AB619" s="1933"/>
      <c r="AC619" s="1933"/>
      <c r="AD619" s="1933"/>
      <c r="AE619" s="1933"/>
      <c r="AF619" s="1933"/>
      <c r="AG619" s="1933"/>
      <c r="AH619" s="1933"/>
      <c r="AI619" s="1933"/>
      <c r="AJ619" s="1933"/>
      <c r="AK619" s="1933"/>
      <c r="AL619" s="1933"/>
      <c r="AM619" s="1933"/>
      <c r="AN619" s="1933"/>
      <c r="AO619" s="1933"/>
      <c r="AP619" s="1933"/>
      <c r="AQ619" s="1933"/>
      <c r="AR619" s="1933"/>
      <c r="AS619" s="1933"/>
      <c r="AT619" s="1933"/>
      <c r="AU619" s="1933"/>
      <c r="AV619" s="1933"/>
      <c r="AW619" s="1933"/>
      <c r="AX619" s="1933"/>
      <c r="AY619" s="1933"/>
      <c r="AZ619" s="1933"/>
      <c r="BA619" s="1933"/>
      <c r="BB619" s="1933"/>
      <c r="BC619" s="1933"/>
      <c r="BD619" s="1933"/>
      <c r="BE619" s="1933"/>
      <c r="BF619" s="1933"/>
      <c r="BG619" s="1933"/>
      <c r="BH619" s="1933"/>
      <c r="BI619" s="1933"/>
      <c r="BJ619" s="1931"/>
      <c r="BK619" s="1931"/>
      <c r="BL619" s="1931"/>
      <c r="BM619" s="1931"/>
      <c r="BN619" s="1931"/>
      <c r="BO619" s="1931"/>
      <c r="BP619" s="1931"/>
      <c r="BQ619" s="1931"/>
      <c r="BR619" s="1931"/>
      <c r="BS619" s="1931"/>
      <c r="BT619" s="1931"/>
      <c r="BU619" s="1931"/>
      <c r="BV619" s="1931"/>
      <c r="BW619" s="1931"/>
      <c r="BX619" s="1931"/>
      <c r="BY619" s="1931"/>
      <c r="BZ619" s="1931"/>
      <c r="CA619" s="1931"/>
      <c r="CB619" s="1931"/>
      <c r="CC619" s="1931"/>
      <c r="CD619" s="1931"/>
      <c r="CE619" s="1930"/>
      <c r="CF619" s="1930"/>
      <c r="CG619" s="1930"/>
      <c r="CH619" s="1930"/>
      <c r="CI619" s="1931"/>
      <c r="CJ619" s="1931"/>
      <c r="CK619" s="1931"/>
      <c r="CL619" s="1931"/>
      <c r="CM619" s="1931"/>
      <c r="CN619" s="1931"/>
      <c r="CO619" s="1931"/>
      <c r="CP619" s="1931"/>
      <c r="CQ619" s="1931"/>
      <c r="CR619" s="1931"/>
      <c r="CS619" s="1931"/>
      <c r="CT619" s="1930"/>
      <c r="CU619" s="1930"/>
      <c r="CV619" s="1930"/>
      <c r="CW619" s="1930"/>
      <c r="CX619" s="1931"/>
      <c r="CY619" s="1931"/>
      <c r="CZ619" s="1931"/>
      <c r="DA619" s="1931"/>
      <c r="DB619" s="1932"/>
      <c r="DC619" s="1931"/>
      <c r="DD619" s="1931"/>
      <c r="DE619" s="1931"/>
      <c r="DF619" s="1931"/>
    </row>
    <row r="620" spans="2:112" hidden="1" outlineLevel="1" x14ac:dyDescent="0.25">
      <c r="B620" s="1931"/>
      <c r="D620" s="1300"/>
      <c r="E620" s="1965"/>
      <c r="F620" s="1965"/>
      <c r="G620" s="1321"/>
      <c r="H620" s="1322"/>
      <c r="I620" s="1965"/>
      <c r="J620" s="1965"/>
      <c r="K620" s="1965"/>
      <c r="L620" s="1965"/>
      <c r="M620" s="1965"/>
      <c r="N620" s="1965"/>
      <c r="O620" s="1965"/>
      <c r="P620" s="4483"/>
      <c r="Q620" s="4483"/>
      <c r="R620" s="1965"/>
      <c r="S620" s="1965"/>
      <c r="T620" s="1965"/>
      <c r="U620" s="1965"/>
      <c r="V620" s="1931"/>
      <c r="W620" s="1931"/>
      <c r="X620" s="1931"/>
      <c r="Y620" s="1931"/>
      <c r="Z620" s="1931"/>
      <c r="AA620" s="1931"/>
      <c r="AB620" s="1931"/>
      <c r="AC620" s="1931"/>
      <c r="AD620" s="1931"/>
      <c r="AE620" s="1931"/>
      <c r="AF620" s="1931"/>
      <c r="AG620" s="1931"/>
      <c r="AH620" s="1931"/>
      <c r="AI620" s="1931"/>
      <c r="AJ620" s="1931"/>
      <c r="AK620" s="1931"/>
      <c r="AL620" s="1931"/>
      <c r="AM620" s="1931"/>
      <c r="AN620" s="1931"/>
      <c r="AO620" s="1931"/>
      <c r="AP620" s="1931"/>
      <c r="AQ620" s="1931"/>
      <c r="AR620" s="1931"/>
      <c r="AS620" s="1931"/>
      <c r="AT620" s="1931"/>
      <c r="AU620" s="1931"/>
      <c r="AV620" s="1931"/>
      <c r="AW620" s="1931"/>
      <c r="AX620" s="1931"/>
      <c r="AY620" s="1931"/>
      <c r="AZ620" s="1931"/>
      <c r="BA620" s="1931"/>
      <c r="BB620" s="1931"/>
      <c r="BC620" s="1931"/>
      <c r="BD620" s="1931"/>
      <c r="BE620" s="1931"/>
      <c r="BF620" s="1931"/>
      <c r="BG620" s="1931"/>
      <c r="BH620" s="1931"/>
      <c r="BI620" s="1931"/>
      <c r="BJ620" s="1931"/>
      <c r="BK620" s="1931"/>
      <c r="BL620" s="1931"/>
      <c r="BM620" s="1931"/>
      <c r="BN620" s="1931"/>
      <c r="BO620" s="1931"/>
      <c r="BP620" s="1931"/>
      <c r="BQ620" s="1931"/>
      <c r="BR620" s="1931"/>
      <c r="BS620" s="1931"/>
      <c r="BT620" s="1931"/>
      <c r="BU620" s="1931"/>
      <c r="BV620" s="1931"/>
      <c r="BW620" s="1931"/>
      <c r="BX620" s="1931"/>
      <c r="BY620" s="1931"/>
      <c r="BZ620" s="1931"/>
      <c r="CA620" s="1931"/>
      <c r="CB620" s="1931"/>
      <c r="CC620" s="1931"/>
      <c r="CD620" s="1931"/>
      <c r="CE620" s="1930"/>
      <c r="CF620" s="1930"/>
      <c r="CG620" s="1930"/>
      <c r="CH620" s="1930"/>
      <c r="CI620" s="1931"/>
      <c r="CJ620" s="1931"/>
      <c r="CK620" s="1931"/>
      <c r="CL620" s="1931"/>
      <c r="CM620" s="1931"/>
      <c r="CN620" s="1931"/>
      <c r="CO620" s="1931"/>
      <c r="CP620" s="1931"/>
      <c r="CQ620" s="1931"/>
      <c r="CR620" s="1931"/>
      <c r="CS620" s="1931"/>
      <c r="CT620" s="1930"/>
      <c r="CU620" s="1930"/>
      <c r="CV620" s="1930"/>
      <c r="CW620" s="1930"/>
      <c r="CX620" s="1931"/>
      <c r="CY620" s="1931"/>
      <c r="CZ620" s="1931"/>
      <c r="DA620" s="1931"/>
      <c r="DB620" s="1932"/>
      <c r="DC620" s="1931"/>
      <c r="DD620" s="1931"/>
      <c r="DE620" s="1931"/>
      <c r="DF620" s="1931"/>
    </row>
    <row r="621" spans="2:112" hidden="1" outlineLevel="1" x14ac:dyDescent="0.25">
      <c r="B621" s="1931"/>
      <c r="D621" s="1300"/>
      <c r="E621" s="1965"/>
      <c r="F621" s="1965"/>
      <c r="G621" s="1965"/>
      <c r="H621" s="1301"/>
      <c r="I621" s="1965"/>
      <c r="J621" s="1965"/>
      <c r="K621" s="1965"/>
      <c r="L621" s="1965"/>
      <c r="M621" s="1966"/>
      <c r="N621" s="1965"/>
      <c r="O621" s="1965"/>
      <c r="P621" s="4483"/>
      <c r="Q621" s="4483"/>
      <c r="R621" s="1965"/>
      <c r="S621" s="1965"/>
      <c r="T621" s="1965"/>
      <c r="U621" s="1965"/>
      <c r="V621" s="1931"/>
      <c r="W621" s="1931"/>
      <c r="X621" s="1931"/>
      <c r="Y621" s="1931"/>
      <c r="Z621" s="1931"/>
      <c r="AA621" s="1931"/>
      <c r="AB621" s="1931"/>
      <c r="AC621" s="1931"/>
      <c r="AD621" s="1931"/>
      <c r="AE621" s="1931"/>
      <c r="AF621" s="1931"/>
      <c r="AG621" s="1931"/>
      <c r="AH621" s="1931"/>
      <c r="AI621" s="1931"/>
      <c r="AJ621" s="1931"/>
      <c r="AK621" s="1931"/>
      <c r="AL621" s="1931"/>
      <c r="AM621" s="1931"/>
      <c r="AN621" s="1931"/>
      <c r="AO621" s="1931"/>
      <c r="AP621" s="1931"/>
      <c r="AQ621" s="1931"/>
      <c r="AR621" s="1931"/>
      <c r="AS621" s="1931"/>
      <c r="AT621" s="1931"/>
      <c r="AU621" s="1931"/>
      <c r="AV621" s="1931"/>
      <c r="AW621" s="1931"/>
      <c r="AX621" s="1931"/>
      <c r="AY621" s="1931"/>
      <c r="AZ621" s="1931"/>
      <c r="BA621" s="1931"/>
      <c r="BB621" s="1931"/>
      <c r="BC621" s="1931"/>
      <c r="BD621" s="1931"/>
      <c r="BE621" s="1931"/>
      <c r="BF621" s="1931"/>
      <c r="BG621" s="1931"/>
      <c r="BH621" s="1931"/>
      <c r="BI621" s="1931"/>
      <c r="BJ621" s="1931"/>
      <c r="BK621" s="1931"/>
      <c r="BL621" s="1931"/>
      <c r="BM621" s="1931"/>
      <c r="BN621" s="1931"/>
      <c r="BO621" s="1931"/>
      <c r="BP621" s="1931"/>
      <c r="BQ621" s="1931"/>
      <c r="BR621" s="1931"/>
      <c r="BS621" s="1931"/>
      <c r="BT621" s="1931"/>
      <c r="BU621" s="1931"/>
      <c r="BV621" s="1931"/>
      <c r="BW621" s="1931"/>
      <c r="BX621" s="1931"/>
      <c r="BY621" s="1931"/>
      <c r="BZ621" s="1931"/>
      <c r="CA621" s="1931"/>
      <c r="CB621" s="1931"/>
      <c r="CC621" s="1931"/>
      <c r="CD621" s="1931"/>
      <c r="CE621" s="1930"/>
      <c r="CF621" s="1930"/>
      <c r="CG621" s="1930"/>
      <c r="CH621" s="1930"/>
      <c r="CI621" s="1931"/>
      <c r="CJ621" s="1931"/>
      <c r="CK621" s="1931"/>
      <c r="CL621" s="1931"/>
      <c r="CM621" s="1931"/>
      <c r="CN621" s="1931"/>
      <c r="CO621" s="1931"/>
      <c r="CP621" s="1931"/>
      <c r="CQ621" s="1931"/>
      <c r="CR621" s="1931"/>
      <c r="CS621" s="1931"/>
      <c r="CT621" s="1930"/>
      <c r="CU621" s="1930"/>
      <c r="CV621" s="1930"/>
      <c r="CW621" s="1930"/>
      <c r="CX621" s="1931"/>
      <c r="CY621" s="1931"/>
      <c r="CZ621" s="1931"/>
      <c r="DA621" s="1931"/>
      <c r="DB621" s="1932"/>
      <c r="DC621" s="1931"/>
      <c r="DD621" s="1931"/>
      <c r="DE621" s="1931"/>
      <c r="DF621" s="1931"/>
    </row>
    <row r="622" spans="2:112" hidden="1" outlineLevel="1" x14ac:dyDescent="0.25">
      <c r="B622" s="1931"/>
      <c r="D622" s="1300"/>
      <c r="E622" s="1965"/>
      <c r="F622" s="1965"/>
      <c r="G622" s="1965"/>
      <c r="H622" s="1301"/>
      <c r="I622" s="1965"/>
      <c r="J622" s="1965"/>
      <c r="K622" s="1965"/>
      <c r="L622" s="1965"/>
      <c r="M622" s="1966"/>
      <c r="N622" s="1965"/>
      <c r="O622" s="1965"/>
      <c r="P622" s="4483"/>
      <c r="Q622" s="4483"/>
      <c r="R622" s="1965"/>
      <c r="S622" s="1965"/>
      <c r="T622" s="1965"/>
      <c r="U622" s="1965"/>
      <c r="V622" s="1931"/>
      <c r="W622" s="1931"/>
      <c r="X622" s="1931"/>
      <c r="Y622" s="1931"/>
      <c r="Z622" s="1931"/>
      <c r="AA622" s="1931"/>
      <c r="AB622" s="1931"/>
      <c r="AC622" s="1931"/>
      <c r="AD622" s="1931"/>
      <c r="AE622" s="1931"/>
      <c r="AF622" s="1931"/>
      <c r="AG622" s="1931"/>
      <c r="AH622" s="1931"/>
      <c r="AI622" s="1931"/>
      <c r="AJ622" s="1931"/>
      <c r="AK622" s="1931"/>
      <c r="AL622" s="1931"/>
      <c r="AM622" s="1931"/>
      <c r="AN622" s="1931"/>
      <c r="AO622" s="1931"/>
      <c r="AP622" s="1931"/>
      <c r="AQ622" s="1931"/>
      <c r="AR622" s="1931"/>
      <c r="AS622" s="1931"/>
      <c r="AT622" s="1931"/>
      <c r="AU622" s="1931"/>
      <c r="AV622" s="1931"/>
      <c r="AW622" s="1931"/>
      <c r="AX622" s="1931"/>
      <c r="AY622" s="1931"/>
      <c r="AZ622" s="1931"/>
      <c r="BA622" s="1931"/>
      <c r="BB622" s="1931"/>
      <c r="BC622" s="1931"/>
      <c r="BD622" s="1931"/>
      <c r="BE622" s="1931"/>
      <c r="BF622" s="1931"/>
      <c r="BG622" s="1931"/>
      <c r="BH622" s="1931"/>
      <c r="BI622" s="1931"/>
      <c r="BJ622" s="1931"/>
      <c r="BK622" s="1931"/>
      <c r="BL622" s="1931"/>
      <c r="BM622" s="1931"/>
      <c r="BN622" s="1931"/>
      <c r="BO622" s="1931"/>
      <c r="BP622" s="1931"/>
      <c r="BQ622" s="1931"/>
      <c r="BR622" s="1931"/>
      <c r="BS622" s="1931"/>
      <c r="BT622" s="1931"/>
      <c r="BU622" s="1931"/>
      <c r="BV622" s="1931"/>
      <c r="BW622" s="1931"/>
      <c r="BX622" s="1931"/>
      <c r="BY622" s="1931"/>
      <c r="BZ622" s="1931"/>
      <c r="CA622" s="1931"/>
      <c r="CB622" s="1931"/>
      <c r="CC622" s="1931"/>
      <c r="CD622" s="1931"/>
      <c r="CE622" s="1930"/>
      <c r="CF622" s="1930"/>
      <c r="CG622" s="1930"/>
      <c r="CH622" s="1930"/>
      <c r="CI622" s="1931"/>
      <c r="CJ622" s="1931"/>
      <c r="CK622" s="1931"/>
      <c r="CL622" s="1931"/>
      <c r="CM622" s="1931"/>
      <c r="CN622" s="1931"/>
      <c r="CO622" s="1931"/>
      <c r="CP622" s="1931"/>
      <c r="CQ622" s="1931"/>
      <c r="CR622" s="1931"/>
      <c r="CS622" s="1931"/>
      <c r="CT622" s="1930"/>
      <c r="CU622" s="1930"/>
      <c r="CV622" s="1930"/>
      <c r="CW622" s="1930"/>
      <c r="CX622" s="1931"/>
      <c r="CY622" s="1931"/>
      <c r="CZ622" s="1931"/>
      <c r="DA622" s="1931"/>
      <c r="DB622" s="1932"/>
      <c r="DC622" s="1931"/>
      <c r="DD622" s="1931"/>
      <c r="DE622" s="1931"/>
      <c r="DF622" s="1931"/>
    </row>
    <row r="623" spans="2:112" hidden="1" outlineLevel="1" x14ac:dyDescent="0.25">
      <c r="B623" s="1931"/>
      <c r="D623" s="1300"/>
      <c r="E623" s="1965"/>
      <c r="F623" s="1965"/>
      <c r="G623" s="1965"/>
      <c r="H623" s="1301"/>
      <c r="I623" s="1965"/>
      <c r="J623" s="1965"/>
      <c r="K623" s="1965"/>
      <c r="L623" s="1965"/>
      <c r="M623" s="1966"/>
      <c r="N623" s="1965"/>
      <c r="O623" s="1965"/>
      <c r="P623" s="1965"/>
      <c r="Q623" s="1965"/>
      <c r="R623" s="1965"/>
      <c r="S623" s="1965"/>
      <c r="T623" s="1965"/>
      <c r="U623" s="1965"/>
      <c r="V623" s="1931"/>
      <c r="W623" s="1931"/>
      <c r="X623" s="1931"/>
      <c r="Y623" s="1931"/>
      <c r="Z623" s="1931"/>
      <c r="AA623" s="1931"/>
      <c r="AB623" s="1931"/>
      <c r="AC623" s="1931"/>
      <c r="AD623" s="1931"/>
      <c r="AE623" s="1931"/>
      <c r="AF623" s="1931"/>
      <c r="AG623" s="1931"/>
      <c r="AH623" s="1931"/>
      <c r="AI623" s="1931"/>
      <c r="AJ623" s="1931"/>
      <c r="AK623" s="1931"/>
      <c r="AL623" s="1931"/>
      <c r="AM623" s="1931"/>
      <c r="AN623" s="1931"/>
      <c r="AO623" s="1931"/>
      <c r="AP623" s="1931"/>
      <c r="AQ623" s="1931"/>
      <c r="AR623" s="1931"/>
      <c r="AS623" s="1931"/>
      <c r="AT623" s="1931"/>
      <c r="AU623" s="1931"/>
      <c r="AV623" s="1931"/>
      <c r="AW623" s="1931"/>
      <c r="AX623" s="1931"/>
      <c r="AY623" s="1931"/>
      <c r="AZ623" s="1931"/>
      <c r="BA623" s="1931"/>
      <c r="BB623" s="1931"/>
      <c r="BC623" s="1931"/>
      <c r="BD623" s="1931"/>
      <c r="BE623" s="1931"/>
      <c r="BF623" s="1931"/>
      <c r="BG623" s="1931"/>
      <c r="BH623" s="1931"/>
      <c r="BI623" s="1931"/>
      <c r="BJ623" s="1931"/>
      <c r="BK623" s="1931"/>
      <c r="BL623" s="1931"/>
      <c r="BM623" s="1931"/>
      <c r="BN623" s="1931"/>
      <c r="BO623" s="1931"/>
      <c r="BP623" s="1931"/>
      <c r="BQ623" s="1931"/>
      <c r="BR623" s="1931"/>
      <c r="BS623" s="1931"/>
      <c r="BT623" s="1931"/>
      <c r="BU623" s="1931"/>
      <c r="BV623" s="1931"/>
      <c r="BW623" s="1931"/>
      <c r="BX623" s="1931"/>
      <c r="BY623" s="1931"/>
      <c r="BZ623" s="1931"/>
      <c r="CA623" s="1931"/>
      <c r="CB623" s="1931"/>
      <c r="CC623" s="1931"/>
      <c r="CD623" s="1931"/>
      <c r="CE623" s="1930"/>
      <c r="CF623" s="1930"/>
      <c r="CG623" s="1930"/>
      <c r="CH623" s="1930"/>
      <c r="CI623" s="1931"/>
      <c r="CJ623" s="1931"/>
      <c r="CK623" s="1931"/>
      <c r="CL623" s="1931"/>
      <c r="CM623" s="1931"/>
      <c r="CN623" s="1931"/>
      <c r="CO623" s="1931"/>
      <c r="CP623" s="1931"/>
      <c r="CQ623" s="1931"/>
      <c r="CR623" s="1931"/>
      <c r="CS623" s="1931"/>
      <c r="CT623" s="1930"/>
      <c r="CU623" s="1930"/>
      <c r="CV623" s="1930"/>
      <c r="CW623" s="1930"/>
      <c r="CX623" s="1931"/>
      <c r="CY623" s="1931"/>
      <c r="CZ623" s="1931"/>
      <c r="DA623" s="1931"/>
      <c r="DB623" s="1932"/>
      <c r="DC623" s="1931"/>
      <c r="DD623" s="1931"/>
      <c r="DE623" s="1931"/>
      <c r="DF623" s="1931"/>
    </row>
    <row r="624" spans="2:112" hidden="1" outlineLevel="1" x14ac:dyDescent="0.25">
      <c r="B624" s="1931"/>
      <c r="D624" s="1300"/>
      <c r="E624" s="1965"/>
      <c r="F624" s="1965"/>
      <c r="G624" s="1965"/>
      <c r="H624" s="1301"/>
      <c r="I624" s="1965"/>
      <c r="J624" s="1965"/>
      <c r="K624" s="1965"/>
      <c r="L624" s="1965"/>
      <c r="M624" s="1965"/>
      <c r="N624" s="1965"/>
      <c r="O624" s="1965"/>
      <c r="P624" s="1965"/>
      <c r="Q624" s="1965"/>
      <c r="R624" s="1965"/>
      <c r="S624" s="1965"/>
      <c r="T624" s="1965"/>
      <c r="U624" s="1965"/>
      <c r="V624" s="1931"/>
      <c r="W624" s="1931"/>
      <c r="X624" s="1931"/>
      <c r="Y624" s="1931"/>
      <c r="Z624" s="1931"/>
      <c r="AA624" s="1931"/>
      <c r="AB624" s="1931"/>
      <c r="AC624" s="1931"/>
      <c r="AD624" s="1931"/>
      <c r="AE624" s="1931"/>
      <c r="AF624" s="1931"/>
      <c r="AG624" s="1931"/>
      <c r="AH624" s="1931"/>
      <c r="AI624" s="1931"/>
      <c r="AJ624" s="1931"/>
      <c r="AK624" s="1931"/>
      <c r="AL624" s="1931"/>
      <c r="AM624" s="1931"/>
      <c r="AN624" s="1931"/>
      <c r="AO624" s="1931"/>
      <c r="AP624" s="1931"/>
      <c r="AQ624" s="1931"/>
      <c r="AR624" s="1931"/>
      <c r="AS624" s="1931"/>
      <c r="AT624" s="1931"/>
      <c r="AU624" s="1931"/>
      <c r="AV624" s="1931"/>
      <c r="AW624" s="1931"/>
      <c r="AX624" s="1931"/>
      <c r="AY624" s="1931"/>
      <c r="AZ624" s="1931"/>
      <c r="BA624" s="1931"/>
      <c r="BB624" s="1931"/>
      <c r="BC624" s="1931"/>
      <c r="BD624" s="1931"/>
      <c r="BE624" s="1931"/>
      <c r="BF624" s="1931"/>
      <c r="BG624" s="1931"/>
      <c r="BH624" s="1931"/>
      <c r="BI624" s="1931"/>
      <c r="BJ624" s="1931"/>
      <c r="BK624" s="1931"/>
      <c r="BL624" s="1931"/>
      <c r="BM624" s="1931"/>
      <c r="BN624" s="1931"/>
      <c r="BO624" s="1931"/>
      <c r="BP624" s="1931"/>
      <c r="BQ624" s="1931"/>
      <c r="BR624" s="1931"/>
      <c r="BS624" s="1931"/>
      <c r="BT624" s="1931"/>
      <c r="BU624" s="1931"/>
      <c r="BV624" s="1931"/>
      <c r="BW624" s="1931"/>
      <c r="BX624" s="1931"/>
      <c r="BY624" s="1931"/>
      <c r="BZ624" s="1931"/>
      <c r="CA624" s="1931"/>
      <c r="CB624" s="1931"/>
      <c r="CC624" s="1931"/>
      <c r="CD624" s="1931"/>
      <c r="CE624" s="1930"/>
      <c r="CF624" s="1930"/>
      <c r="CG624" s="1930"/>
      <c r="CH624" s="1930"/>
      <c r="CI624" s="1931"/>
      <c r="CJ624" s="1931"/>
      <c r="CK624" s="1931"/>
      <c r="CL624" s="1931"/>
      <c r="CM624" s="1931"/>
      <c r="CN624" s="1931"/>
      <c r="CO624" s="1931"/>
      <c r="CP624" s="1931"/>
      <c r="CQ624" s="1931"/>
      <c r="CR624" s="1931"/>
      <c r="CS624" s="1931"/>
      <c r="CT624" s="1930"/>
      <c r="CU624" s="1930"/>
      <c r="CV624" s="1930"/>
      <c r="CW624" s="1930"/>
      <c r="CX624" s="1931"/>
      <c r="CY624" s="1931"/>
      <c r="CZ624" s="1931"/>
      <c r="DA624" s="1931"/>
      <c r="DB624" s="1932"/>
      <c r="DC624" s="1931"/>
      <c r="DD624" s="1931"/>
      <c r="DE624" s="1931"/>
      <c r="DF624" s="1931"/>
    </row>
    <row r="625" spans="2:112" s="55" customFormat="1" ht="30" hidden="1" outlineLevel="1" x14ac:dyDescent="0.25">
      <c r="C625" s="151"/>
      <c r="D625" s="3081" t="s">
        <v>28</v>
      </c>
      <c r="E625" s="3081" t="s">
        <v>2758</v>
      </c>
      <c r="F625" s="81" t="s">
        <v>586</v>
      </c>
      <c r="G625" s="3081" t="s">
        <v>3083</v>
      </c>
      <c r="H625" s="3081" t="s">
        <v>3084</v>
      </c>
      <c r="I625" s="3081" t="s">
        <v>3070</v>
      </c>
      <c r="J625" s="3081" t="s">
        <v>3085</v>
      </c>
      <c r="K625" s="3081" t="s">
        <v>3086</v>
      </c>
      <c r="L625" s="3081" t="s">
        <v>3087</v>
      </c>
      <c r="M625" s="3081" t="s">
        <v>3088</v>
      </c>
      <c r="N625" s="3249" t="s">
        <v>3089</v>
      </c>
      <c r="O625" s="3249" t="s">
        <v>3090</v>
      </c>
      <c r="P625" s="401"/>
      <c r="Q625" s="401"/>
      <c r="R625" s="401"/>
      <c r="S625" s="401"/>
      <c r="T625" s="401"/>
      <c r="U625" s="401"/>
      <c r="DB625" s="72"/>
    </row>
    <row r="626" spans="2:112" hidden="1" outlineLevel="1" x14ac:dyDescent="0.25">
      <c r="B626" s="1931"/>
      <c r="D626" s="1967" t="str">
        <f>C615</f>
        <v>805250_2019_12_</v>
      </c>
      <c r="E626" s="1967" t="str">
        <f>E615</f>
        <v>Convection Oven (Full Size)</v>
      </c>
      <c r="F626" s="1353">
        <v>365.25</v>
      </c>
      <c r="G626" s="1361">
        <v>2000</v>
      </c>
      <c r="H626" s="90">
        <v>1600</v>
      </c>
      <c r="I626" s="90">
        <v>12</v>
      </c>
      <c r="J626" s="90">
        <v>100</v>
      </c>
      <c r="K626" s="1412">
        <v>90</v>
      </c>
      <c r="L626" s="90">
        <v>90</v>
      </c>
      <c r="M626" s="1401">
        <v>73.2</v>
      </c>
      <c r="N626" s="473">
        <v>0.65</v>
      </c>
      <c r="O626" s="1312">
        <v>0.71</v>
      </c>
      <c r="P626" s="1965"/>
      <c r="Q626" s="1965"/>
      <c r="R626" s="1965"/>
      <c r="S626" s="1965"/>
      <c r="T626" s="1965"/>
      <c r="U626" s="1965"/>
      <c r="V626" s="1931"/>
      <c r="W626" s="1931"/>
      <c r="X626" s="1931"/>
      <c r="Y626" s="1931"/>
      <c r="Z626" s="1931"/>
      <c r="AA626" s="1931"/>
      <c r="AB626" s="1931"/>
      <c r="AC626" s="1931"/>
      <c r="AD626" s="1931"/>
      <c r="AE626" s="1931"/>
      <c r="AF626" s="1931"/>
      <c r="AG626" s="1931"/>
      <c r="AH626" s="1931"/>
      <c r="AI626" s="1931"/>
      <c r="AJ626" s="1931"/>
      <c r="AK626" s="1931"/>
      <c r="AL626" s="1931"/>
      <c r="AM626" s="1931"/>
      <c r="AN626" s="1931"/>
      <c r="AO626" s="1931"/>
      <c r="AP626" s="1931"/>
      <c r="AQ626" s="1931"/>
      <c r="AR626" s="1931"/>
      <c r="AS626" s="1931"/>
      <c r="AT626" s="1931"/>
      <c r="AU626" s="1931"/>
      <c r="AV626" s="1931"/>
      <c r="AW626" s="1931"/>
      <c r="AX626" s="1931"/>
      <c r="AY626" s="1931"/>
      <c r="AZ626" s="1931"/>
      <c r="BA626" s="1931"/>
      <c r="BB626" s="1931"/>
      <c r="BC626" s="1931"/>
      <c r="BD626" s="1931"/>
      <c r="BE626" s="1931"/>
      <c r="BF626" s="1931"/>
      <c r="BG626" s="1931"/>
      <c r="BH626" s="1931"/>
      <c r="BI626" s="1931"/>
      <c r="BJ626" s="1931"/>
      <c r="BK626" s="1931"/>
      <c r="BL626" s="1931"/>
      <c r="BM626" s="1931"/>
      <c r="BN626" s="1931"/>
      <c r="BO626" s="1931"/>
      <c r="BP626" s="1931"/>
      <c r="BQ626" s="1931"/>
      <c r="BR626" s="1931"/>
      <c r="BS626" s="1931"/>
      <c r="BT626" s="1931"/>
      <c r="BU626" s="1931"/>
      <c r="BV626" s="1931"/>
      <c r="BW626" s="1931"/>
      <c r="BX626" s="1931"/>
      <c r="BY626" s="1931"/>
      <c r="BZ626" s="1931"/>
      <c r="CA626" s="1931"/>
      <c r="CB626" s="1931"/>
      <c r="CC626" s="1931"/>
      <c r="CD626" s="1931"/>
      <c r="CE626" s="1930"/>
      <c r="CF626" s="1930"/>
      <c r="CG626" s="1930"/>
      <c r="CH626" s="1930"/>
      <c r="CI626" s="1931"/>
      <c r="CJ626" s="1931"/>
      <c r="CK626" s="1931"/>
      <c r="CL626" s="1931"/>
      <c r="CM626" s="1931"/>
      <c r="CN626" s="1931"/>
      <c r="CO626" s="1931"/>
      <c r="CP626" s="1931"/>
      <c r="CQ626" s="1931"/>
      <c r="CR626" s="1931"/>
      <c r="CS626" s="1931"/>
      <c r="CT626" s="1930"/>
      <c r="CU626" s="1930"/>
      <c r="CV626" s="1930"/>
      <c r="CW626" s="1930"/>
      <c r="CX626" s="1931"/>
      <c r="CY626" s="1931"/>
      <c r="CZ626" s="1931"/>
      <c r="DA626" s="1931"/>
      <c r="DB626" s="1932"/>
      <c r="DC626" s="1931"/>
      <c r="DD626" s="1931"/>
      <c r="DE626" s="1931"/>
      <c r="DF626" s="1931"/>
    </row>
    <row r="627" spans="2:112" hidden="1" outlineLevel="1" x14ac:dyDescent="0.25">
      <c r="B627" s="1931"/>
      <c r="D627" s="1967" t="str">
        <f>C616</f>
        <v>805300_2019_12_</v>
      </c>
      <c r="E627" s="1967" t="str">
        <f>E616</f>
        <v>Convection Oven (Half Size)</v>
      </c>
      <c r="F627" s="1353">
        <v>365.25</v>
      </c>
      <c r="G627" s="1361">
        <v>1030</v>
      </c>
      <c r="H627" s="90">
        <v>1000</v>
      </c>
      <c r="I627" s="90">
        <v>12</v>
      </c>
      <c r="J627" s="90">
        <v>100</v>
      </c>
      <c r="K627" s="1412">
        <v>45</v>
      </c>
      <c r="L627" s="90">
        <v>50</v>
      </c>
      <c r="M627" s="1401">
        <v>73.2</v>
      </c>
      <c r="N627" s="473">
        <v>0.68</v>
      </c>
      <c r="O627" s="1312">
        <v>0.71</v>
      </c>
      <c r="P627" s="1965"/>
      <c r="Q627" s="1965"/>
      <c r="R627" s="1965"/>
      <c r="S627" s="1965"/>
      <c r="T627" s="1965"/>
      <c r="U627" s="1965"/>
      <c r="V627" s="1931"/>
      <c r="W627" s="1931"/>
      <c r="X627" s="1931"/>
      <c r="Y627" s="1931"/>
      <c r="Z627" s="1931"/>
      <c r="AA627" s="1931"/>
      <c r="AB627" s="1931"/>
      <c r="AC627" s="1931"/>
      <c r="AD627" s="1931"/>
      <c r="AE627" s="1931"/>
      <c r="AF627" s="1931"/>
      <c r="AG627" s="1931"/>
      <c r="AH627" s="1931"/>
      <c r="AI627" s="1931"/>
      <c r="AJ627" s="1931"/>
      <c r="AK627" s="1931"/>
      <c r="AL627" s="1931"/>
      <c r="AM627" s="1931"/>
      <c r="AN627" s="1931"/>
      <c r="AO627" s="1931"/>
      <c r="AP627" s="1931"/>
      <c r="AQ627" s="1931"/>
      <c r="AR627" s="1931"/>
      <c r="AS627" s="1931"/>
      <c r="AT627" s="1931"/>
      <c r="AU627" s="1931"/>
      <c r="AV627" s="1931"/>
      <c r="AW627" s="1931"/>
      <c r="AX627" s="1931"/>
      <c r="AY627" s="1931"/>
      <c r="AZ627" s="1931"/>
      <c r="BA627" s="1931"/>
      <c r="BB627" s="1931"/>
      <c r="BC627" s="1931"/>
      <c r="BD627" s="1931"/>
      <c r="BE627" s="1931"/>
      <c r="BF627" s="1931"/>
      <c r="BG627" s="1931"/>
      <c r="BH627" s="1931"/>
      <c r="BI627" s="1931"/>
      <c r="BJ627" s="1931"/>
      <c r="BK627" s="1931"/>
      <c r="BL627" s="1931"/>
      <c r="BM627" s="1931"/>
      <c r="BN627" s="1931"/>
      <c r="BO627" s="1931"/>
      <c r="BP627" s="1931"/>
      <c r="BQ627" s="1931"/>
      <c r="BR627" s="1931"/>
      <c r="BS627" s="1931"/>
      <c r="BT627" s="1931"/>
      <c r="BU627" s="1931"/>
      <c r="BV627" s="1931"/>
      <c r="BW627" s="1931"/>
      <c r="BX627" s="1931"/>
      <c r="BY627" s="1931"/>
      <c r="BZ627" s="1931"/>
      <c r="CA627" s="1931"/>
      <c r="CB627" s="1931"/>
      <c r="CC627" s="1931"/>
      <c r="CD627" s="1931"/>
      <c r="CE627" s="1930"/>
      <c r="CF627" s="1930"/>
      <c r="CG627" s="1930"/>
      <c r="CH627" s="1930"/>
      <c r="CI627" s="1931"/>
      <c r="CJ627" s="1931"/>
      <c r="CK627" s="1931"/>
      <c r="CL627" s="1931"/>
      <c r="CM627" s="1931"/>
      <c r="CN627" s="1931"/>
      <c r="CO627" s="1931"/>
      <c r="CP627" s="1931"/>
      <c r="CQ627" s="1931"/>
      <c r="CR627" s="1931"/>
      <c r="CS627" s="1931"/>
      <c r="CT627" s="1930"/>
      <c r="CU627" s="1930"/>
      <c r="CV627" s="1930"/>
      <c r="CW627" s="1930"/>
      <c r="CX627" s="1931"/>
      <c r="CY627" s="1931"/>
      <c r="CZ627" s="1931"/>
      <c r="DA627" s="1931"/>
      <c r="DB627" s="1932"/>
      <c r="DC627" s="1931"/>
      <c r="DD627" s="1931"/>
      <c r="DE627" s="1931"/>
      <c r="DF627" s="1931"/>
    </row>
    <row r="628" spans="2:112" collapsed="1" x14ac:dyDescent="0.25">
      <c r="B628" s="1931"/>
      <c r="D628" s="1966"/>
      <c r="E628" s="1965"/>
      <c r="F628" s="1965"/>
      <c r="G628" s="1968"/>
      <c r="H628" s="1969"/>
      <c r="I628" s="1965"/>
      <c r="J628" s="1965"/>
      <c r="K628" s="1965"/>
      <c r="L628" s="1965"/>
      <c r="M628" s="1965"/>
      <c r="N628" s="1965"/>
      <c r="O628" s="1965"/>
      <c r="P628" s="1965"/>
      <c r="Q628" s="1965"/>
      <c r="R628" s="1965"/>
      <c r="S628" s="1965"/>
      <c r="T628" s="1965"/>
      <c r="U628" s="1965"/>
      <c r="V628" s="1931"/>
      <c r="W628" s="1931"/>
      <c r="X628" s="1931"/>
      <c r="Y628" s="1931"/>
      <c r="Z628" s="1931"/>
      <c r="AA628" s="1931"/>
      <c r="AB628" s="1931"/>
      <c r="AC628" s="1931"/>
      <c r="AD628" s="1931"/>
      <c r="AE628" s="1931"/>
      <c r="AF628" s="1931"/>
      <c r="AG628" s="1931"/>
      <c r="AH628" s="1931"/>
      <c r="AI628" s="1931"/>
      <c r="AJ628" s="1931"/>
      <c r="AK628" s="1931"/>
      <c r="AL628" s="1931"/>
      <c r="AM628" s="1931"/>
      <c r="AN628" s="1931"/>
      <c r="AO628" s="1931"/>
      <c r="AP628" s="1931"/>
      <c r="AQ628" s="1931"/>
      <c r="AR628" s="1931"/>
      <c r="AS628" s="1931"/>
      <c r="AT628" s="1931"/>
      <c r="AU628" s="1931"/>
      <c r="AV628" s="1931"/>
      <c r="AW628" s="1931"/>
      <c r="AX628" s="1931"/>
      <c r="AY628" s="1931"/>
      <c r="AZ628" s="1931"/>
      <c r="BA628" s="1931"/>
      <c r="BB628" s="1931"/>
      <c r="BC628" s="1931"/>
      <c r="BD628" s="1931"/>
      <c r="BE628" s="1931"/>
      <c r="BF628" s="1931"/>
      <c r="BG628" s="1931"/>
      <c r="BH628" s="1931"/>
      <c r="BI628" s="1931"/>
      <c r="BJ628" s="1931"/>
      <c r="BK628" s="1931"/>
      <c r="BL628" s="1931"/>
      <c r="BM628" s="1931"/>
      <c r="BN628" s="1931"/>
      <c r="BO628" s="1931"/>
      <c r="BP628" s="1931"/>
      <c r="BQ628" s="1931"/>
      <c r="BR628" s="1931"/>
      <c r="BS628" s="1931"/>
      <c r="BT628" s="1931"/>
      <c r="BU628" s="1931"/>
      <c r="BV628" s="1931"/>
      <c r="BW628" s="1931"/>
      <c r="BX628" s="1931"/>
      <c r="BY628" s="1931"/>
      <c r="BZ628" s="1931"/>
      <c r="CA628" s="1931"/>
      <c r="CB628" s="1931"/>
      <c r="CC628" s="1931"/>
      <c r="CD628" s="1931"/>
      <c r="CE628" s="1930"/>
      <c r="CF628" s="1930"/>
      <c r="CG628" s="1930"/>
      <c r="CH628" s="1930"/>
      <c r="CI628" s="1931"/>
      <c r="CJ628" s="1931"/>
      <c r="CK628" s="1931"/>
      <c r="CL628" s="1931"/>
      <c r="CM628" s="1931"/>
      <c r="CN628" s="1931"/>
      <c r="CO628" s="1931"/>
      <c r="CP628" s="1931"/>
      <c r="CQ628" s="1931"/>
      <c r="CR628" s="1931"/>
      <c r="CS628" s="1931"/>
      <c r="CT628" s="1930"/>
      <c r="CU628" s="1930"/>
      <c r="CV628" s="1930"/>
      <c r="CW628" s="1930"/>
      <c r="CX628" s="1931"/>
      <c r="CY628" s="1931"/>
      <c r="CZ628" s="1931"/>
      <c r="DA628" s="1931"/>
      <c r="DB628" s="1932"/>
      <c r="DC628" s="1931"/>
      <c r="DD628" s="1931"/>
      <c r="DE628" s="1931"/>
      <c r="DF628" s="1931"/>
    </row>
    <row r="630" spans="2:112" s="43" customFormat="1" x14ac:dyDescent="0.25">
      <c r="B630" s="4484" t="s">
        <v>3096</v>
      </c>
      <c r="C630" s="4485"/>
      <c r="D630" s="4485"/>
      <c r="E630" s="4485"/>
      <c r="F630" s="4485"/>
      <c r="G630" s="4485"/>
      <c r="H630" s="4485"/>
      <c r="I630" s="4486"/>
      <c r="J630" s="4486"/>
      <c r="K630" s="4486"/>
      <c r="L630" s="4486"/>
      <c r="M630" s="3752"/>
      <c r="N630" s="3752"/>
      <c r="O630" s="3753"/>
      <c r="P630" s="1935"/>
      <c r="Q630" s="1935"/>
      <c r="R630" s="1935"/>
      <c r="S630" s="1935"/>
      <c r="T630" s="1935"/>
      <c r="U630" s="1935"/>
      <c r="V630" s="3077" t="str">
        <f>B630</f>
        <v>Griddle</v>
      </c>
      <c r="W630" s="3078"/>
      <c r="X630" s="3078"/>
      <c r="Y630" s="3078"/>
      <c r="Z630" s="3078"/>
      <c r="AA630" s="3078"/>
      <c r="AB630" s="3078"/>
      <c r="AC630" s="3078"/>
      <c r="AD630" s="3078"/>
      <c r="AE630" s="3078"/>
      <c r="AF630" s="3078"/>
      <c r="AG630" s="3078"/>
      <c r="AH630" s="3078"/>
      <c r="AI630" s="3170"/>
      <c r="AJ630" s="1931"/>
      <c r="AK630" s="1931"/>
      <c r="AL630" s="1931"/>
      <c r="AM630" s="1931"/>
      <c r="AN630" s="1931"/>
      <c r="AO630" s="1931"/>
      <c r="AP630" s="1931"/>
      <c r="AQ630" s="1931"/>
      <c r="AR630" s="1931"/>
      <c r="AS630" s="1931"/>
      <c r="AT630" s="1931"/>
      <c r="AU630" s="1931"/>
      <c r="AV630" s="1935"/>
      <c r="AW630" s="1935"/>
      <c r="AX630" s="1935"/>
      <c r="AY630" s="1935"/>
      <c r="AZ630" s="1935"/>
      <c r="BA630" s="1935"/>
      <c r="BB630" s="1935"/>
      <c r="BC630" s="1935"/>
      <c r="BD630" s="1935"/>
      <c r="BE630" s="1935"/>
      <c r="BF630" s="1935"/>
      <c r="BG630" s="1935"/>
      <c r="BH630" s="1935"/>
      <c r="BI630" s="1935"/>
      <c r="BJ630" s="1935"/>
      <c r="BK630" s="1935"/>
      <c r="BL630" s="1935"/>
      <c r="BM630" s="1935"/>
      <c r="BN630" s="1935"/>
      <c r="BO630" s="1935"/>
      <c r="BP630" s="1935"/>
      <c r="BQ630" s="1935"/>
      <c r="BR630" s="1935"/>
      <c r="BS630" s="1935"/>
      <c r="BT630" s="1935"/>
      <c r="BU630" s="1935"/>
      <c r="BV630" s="1935"/>
      <c r="BW630" s="1935"/>
      <c r="BX630" s="1935"/>
      <c r="BY630" s="1935"/>
      <c r="BZ630" s="1935"/>
      <c r="CA630" s="1935"/>
      <c r="CB630" s="1935"/>
      <c r="CC630" s="1935"/>
      <c r="CD630" s="1935"/>
      <c r="CE630" s="1935"/>
      <c r="CF630" s="1935"/>
      <c r="CG630" s="1935"/>
      <c r="CH630" s="1935"/>
      <c r="CI630" s="1935"/>
      <c r="CJ630" s="1935"/>
      <c r="CK630" s="1935"/>
      <c r="CL630" s="1935"/>
      <c r="CM630" s="1935"/>
      <c r="CN630" s="1935"/>
      <c r="CO630" s="1935"/>
      <c r="CP630" s="1935"/>
      <c r="CQ630" s="1935"/>
      <c r="CR630" s="1935"/>
      <c r="CS630" s="1935"/>
      <c r="CT630" s="1935"/>
      <c r="CU630" s="1935"/>
      <c r="CV630" s="1935"/>
      <c r="CW630" s="1935"/>
      <c r="CX630" s="1935"/>
      <c r="CY630" s="1935"/>
      <c r="CZ630" s="1935"/>
      <c r="DA630" s="1935"/>
      <c r="DB630" s="73"/>
      <c r="DC630" s="1935"/>
      <c r="DD630" s="1935"/>
      <c r="DE630" s="1935"/>
      <c r="DF630" s="1935"/>
      <c r="DG630" s="1935"/>
      <c r="DH630" s="1935"/>
    </row>
    <row r="631" spans="2:112" x14ac:dyDescent="0.25">
      <c r="B631" s="1931"/>
      <c r="D631" s="1286"/>
      <c r="E631" s="1966"/>
      <c r="F631" s="1966"/>
      <c r="G631" s="1966"/>
      <c r="H631" s="1287"/>
      <c r="I631" s="1966"/>
      <c r="J631" s="1966"/>
      <c r="K631" s="1966"/>
      <c r="L631" s="1966"/>
      <c r="M631" s="1965"/>
      <c r="N631" s="1965"/>
      <c r="O631" s="1965"/>
      <c r="P631" s="1966"/>
      <c r="Q631" s="1966"/>
      <c r="R631" s="1966"/>
      <c r="S631" s="1966"/>
      <c r="T631" s="1966"/>
      <c r="U631" s="1966"/>
      <c r="V631" s="1930"/>
      <c r="W631" s="1930"/>
      <c r="X631" s="1930"/>
      <c r="Y631" s="1930"/>
      <c r="Z631" s="1930"/>
      <c r="AA631" s="1930"/>
      <c r="AB631" s="1930"/>
      <c r="AC631" s="1930"/>
      <c r="AD631" s="1930"/>
      <c r="AE631" s="1930"/>
      <c r="AF631" s="1930"/>
      <c r="AG631" s="1930"/>
      <c r="AH631" s="1930"/>
      <c r="AI631" s="1930"/>
      <c r="AJ631" s="1934"/>
      <c r="AK631" s="1934"/>
      <c r="AL631" s="1934"/>
      <c r="AM631" s="1934"/>
      <c r="AN631" s="1934"/>
      <c r="AO631" s="1934"/>
      <c r="AP631" s="1934"/>
      <c r="AQ631" s="1934"/>
      <c r="AR631" s="1934"/>
      <c r="AS631" s="1934"/>
      <c r="AT631" s="1934"/>
      <c r="AU631" s="1934"/>
      <c r="AV631" s="1931"/>
      <c r="AW631" s="1931"/>
      <c r="AX631" s="1931"/>
      <c r="AY631" s="1931"/>
      <c r="AZ631" s="1931"/>
      <c r="BA631" s="1931"/>
      <c r="BB631" s="1931"/>
      <c r="BC631" s="1931"/>
      <c r="BD631" s="1931"/>
      <c r="BE631" s="1931"/>
      <c r="BF631" s="1931"/>
      <c r="BG631" s="1931"/>
      <c r="BH631" s="1931"/>
      <c r="BI631" s="1931"/>
      <c r="BJ631" s="1931"/>
      <c r="BK631" s="1931"/>
      <c r="BL631" s="1931"/>
      <c r="BM631" s="1931"/>
      <c r="BN631" s="1931"/>
      <c r="BO631" s="1931"/>
      <c r="BP631" s="1931"/>
      <c r="BQ631" s="1931"/>
      <c r="BR631" s="1931"/>
      <c r="BS631" s="1931"/>
      <c r="BT631" s="1931"/>
      <c r="BU631" s="1931"/>
      <c r="BV631" s="1931"/>
      <c r="BW631" s="1931"/>
      <c r="BX631" s="1931"/>
      <c r="BY631" s="1931"/>
      <c r="BZ631" s="1931"/>
      <c r="CA631" s="1931"/>
      <c r="CB631" s="1931"/>
      <c r="CC631" s="1931"/>
      <c r="CD631" s="1931"/>
      <c r="CE631" s="1930"/>
      <c r="CF631" s="1930"/>
      <c r="CG631" s="1930"/>
      <c r="CH631" s="1930"/>
      <c r="CI631" s="1931"/>
      <c r="CJ631" s="1931"/>
      <c r="CK631" s="1931"/>
      <c r="CL631" s="1931"/>
      <c r="CM631" s="1931"/>
      <c r="CN631" s="1931"/>
      <c r="CO631" s="1931"/>
      <c r="CP631" s="1931"/>
      <c r="CQ631" s="1931"/>
      <c r="CR631" s="1931"/>
      <c r="CS631" s="1931"/>
      <c r="CT631" s="1930"/>
      <c r="CU631" s="1930"/>
      <c r="CV631" s="1930"/>
      <c r="CW631" s="1930"/>
      <c r="CX631" s="1931"/>
      <c r="CY631" s="1931"/>
      <c r="CZ631" s="1931"/>
      <c r="DA631" s="1931"/>
      <c r="DB631" s="1932"/>
      <c r="DC631" s="1931"/>
      <c r="DD631" s="1931"/>
      <c r="DE631" s="1931"/>
      <c r="DF631" s="1931"/>
    </row>
    <row r="632" spans="2:112" s="44" customFormat="1" ht="30" x14ac:dyDescent="0.25">
      <c r="B632" s="45"/>
      <c r="C632" s="46" t="s">
        <v>28</v>
      </c>
      <c r="D632" s="46" t="s">
        <v>29</v>
      </c>
      <c r="E632" s="3196" t="s">
        <v>30</v>
      </c>
      <c r="F632" s="3196" t="s">
        <v>31</v>
      </c>
      <c r="G632" s="3196" t="s">
        <v>176</v>
      </c>
      <c r="H632" s="47" t="s">
        <v>177</v>
      </c>
      <c r="I632" s="3196" t="s">
        <v>32</v>
      </c>
      <c r="J632" s="3196" t="s">
        <v>181</v>
      </c>
      <c r="K632" s="46" t="s">
        <v>170</v>
      </c>
      <c r="L632" s="46" t="s">
        <v>44</v>
      </c>
      <c r="M632" s="1965"/>
      <c r="N632" s="1965"/>
      <c r="O632" s="1965"/>
      <c r="P632" s="1288"/>
      <c r="Q632" s="1288"/>
      <c r="R632" s="1288"/>
      <c r="S632" s="1288"/>
      <c r="T632" s="1288"/>
      <c r="U632" s="1288"/>
      <c r="V632" s="1936" t="s">
        <v>45</v>
      </c>
      <c r="W632" s="1937">
        <f>$W$8</f>
        <v>43252</v>
      </c>
      <c r="X632" s="1937">
        <f>$X$8</f>
        <v>43465</v>
      </c>
      <c r="Y632" s="1937">
        <f>$Y$8</f>
        <v>43800</v>
      </c>
      <c r="Z632" s="1937">
        <f>$Z$8</f>
        <v>43862</v>
      </c>
      <c r="AA632" s="1937">
        <f>$AA$8</f>
        <v>44013</v>
      </c>
      <c r="AB632" s="1937">
        <v>44166</v>
      </c>
      <c r="AC632" s="1937">
        <f>$AC$8</f>
        <v>44531</v>
      </c>
      <c r="AD632" s="1937" t="str">
        <f>$AD$8</f>
        <v>-</v>
      </c>
      <c r="AE632" s="1937" t="str">
        <f>$AE$8</f>
        <v>-</v>
      </c>
      <c r="AF632" s="1937" t="str">
        <f>$AF$8</f>
        <v>-</v>
      </c>
      <c r="AG632" s="1937" t="str">
        <f>$AG$8</f>
        <v>-</v>
      </c>
      <c r="AH632" s="1930"/>
      <c r="AI632" s="1936" t="s">
        <v>45</v>
      </c>
      <c r="AJ632" s="1937">
        <v>43252</v>
      </c>
      <c r="AK632" s="1937">
        <f>$X$8</f>
        <v>43465</v>
      </c>
      <c r="AL632" s="1937">
        <f>$Y$8</f>
        <v>43800</v>
      </c>
      <c r="AM632" s="1937">
        <f>$Z$8</f>
        <v>43862</v>
      </c>
      <c r="AN632" s="1937">
        <f>$AA$8</f>
        <v>44013</v>
      </c>
      <c r="AO632" s="1937">
        <f>$AB$8</f>
        <v>44166</v>
      </c>
      <c r="AP632" s="1937">
        <f>$AC$8</f>
        <v>44531</v>
      </c>
      <c r="AQ632" s="1937" t="str">
        <f>$AD$8</f>
        <v>-</v>
      </c>
      <c r="AR632" s="1937" t="str">
        <f>$AE$8</f>
        <v>-</v>
      </c>
      <c r="AS632" s="1937" t="str">
        <f>$AF$8</f>
        <v>-</v>
      </c>
      <c r="AT632" s="1933"/>
      <c r="AU632" s="1936" t="s">
        <v>45</v>
      </c>
      <c r="AV632" s="1937">
        <v>43252</v>
      </c>
      <c r="AW632" s="1937">
        <f>$X$8</f>
        <v>43465</v>
      </c>
      <c r="AX632" s="1937">
        <f>$Y$8</f>
        <v>43800</v>
      </c>
      <c r="AY632" s="1937">
        <f>$Z$8</f>
        <v>43862</v>
      </c>
      <c r="AZ632" s="1937">
        <f>$AA$8</f>
        <v>44013</v>
      </c>
      <c r="BA632" s="1937">
        <v>44166</v>
      </c>
      <c r="BB632" s="1937">
        <f>$AC$8</f>
        <v>44531</v>
      </c>
      <c r="BC632" s="1937" t="str">
        <f>$AD$8</f>
        <v>-</v>
      </c>
      <c r="BD632" s="1937" t="str">
        <f>$AE$8</f>
        <v>-</v>
      </c>
      <c r="BE632" s="1937" t="str">
        <f>$AF$8</f>
        <v>-</v>
      </c>
      <c r="DB632" s="1938" t="str">
        <f>$DB$8</f>
        <v>TRC (2020)</v>
      </c>
      <c r="DC632" s="1953" t="str">
        <f>$DC$8</f>
        <v>Benefit Lookup</v>
      </c>
      <c r="DD632" s="1953" t="str">
        <f>$DD$8</f>
        <v>Benefits (2019 $)</v>
      </c>
      <c r="DE632" s="1953" t="str">
        <f>$DE$8</f>
        <v>Incremental Cost (2019 $)</v>
      </c>
    </row>
    <row r="633" spans="2:112" x14ac:dyDescent="0.25">
      <c r="B633" s="1931"/>
      <c r="C633" s="1997" t="s">
        <v>3097</v>
      </c>
      <c r="D633" s="1363" t="s">
        <v>2646</v>
      </c>
      <c r="E633" s="1308" t="s">
        <v>3096</v>
      </c>
      <c r="F633" s="1959">
        <f>ROUND(((((G643*I643*J643)*(K643-L643/M643))-((H643*I643*J643)*(K643-L643/N643)))+((L643*O643/P643)-(L643*O643/Q643)))*F643/1000,2)</f>
        <v>1910.38</v>
      </c>
      <c r="G633" s="1290" t="s">
        <v>2844</v>
      </c>
      <c r="H633" s="1291">
        <f>VLOOKUP(G633,'CP FACTORS'!$A$26:$B$38,2,FALSE)</f>
        <v>1.998949E-4</v>
      </c>
      <c r="I633" s="1309">
        <f>ROUND(H633*F633,6)</f>
        <v>0.38187500000000002</v>
      </c>
      <c r="J633" s="325">
        <v>12</v>
      </c>
      <c r="K633" s="1310">
        <v>0</v>
      </c>
      <c r="L633" s="1374" t="s">
        <v>185</v>
      </c>
      <c r="M633" s="1965"/>
      <c r="N633" s="1965"/>
      <c r="O633" s="1965"/>
      <c r="P633" s="1965"/>
      <c r="Q633" s="1965"/>
      <c r="R633" s="1965"/>
      <c r="S633" s="1965"/>
      <c r="T633" s="1965"/>
      <c r="U633" s="1965"/>
      <c r="V633" s="3227" t="s">
        <v>31</v>
      </c>
      <c r="W633" s="129">
        <v>1910.3779120879103</v>
      </c>
      <c r="X633" s="129">
        <v>1910.3779120879103</v>
      </c>
      <c r="Y633" s="129">
        <v>1910.3779120879103</v>
      </c>
      <c r="Z633" s="129">
        <v>1910.3779120879103</v>
      </c>
      <c r="AA633" s="129">
        <v>1910.3779120879103</v>
      </c>
      <c r="AB633" s="1825">
        <v>1910.38</v>
      </c>
      <c r="AC633" s="3364">
        <v>1910.38</v>
      </c>
      <c r="AD633" s="2099"/>
      <c r="AE633" s="2099"/>
      <c r="AF633" s="2099"/>
      <c r="AG633" s="2099"/>
      <c r="AH633" s="2100"/>
      <c r="AI633" s="3227" t="s">
        <v>181</v>
      </c>
      <c r="AJ633" s="64">
        <v>12</v>
      </c>
      <c r="AK633" s="64">
        <v>12</v>
      </c>
      <c r="AL633" s="64">
        <v>12</v>
      </c>
      <c r="AM633" s="64">
        <v>12</v>
      </c>
      <c r="AN633" s="64">
        <v>12</v>
      </c>
      <c r="AO633" s="2101">
        <v>12</v>
      </c>
      <c r="AP633" s="2101">
        <v>12</v>
      </c>
      <c r="AQ633" s="2099"/>
      <c r="AR633" s="2099"/>
      <c r="AS633" s="2099"/>
      <c r="AT633" s="1933"/>
      <c r="AU633" s="3227" t="s">
        <v>170</v>
      </c>
      <c r="AV633" s="2102">
        <v>0</v>
      </c>
      <c r="AW633" s="2102">
        <v>0</v>
      </c>
      <c r="AX633" s="2102">
        <v>0</v>
      </c>
      <c r="AY633" s="2102">
        <v>0</v>
      </c>
      <c r="AZ633" s="2102">
        <v>0</v>
      </c>
      <c r="BA633" s="2103">
        <v>0</v>
      </c>
      <c r="BB633" s="2103">
        <v>0</v>
      </c>
      <c r="BC633" s="2099"/>
      <c r="BD633" s="2099"/>
      <c r="BE633" s="2099"/>
      <c r="BF633" s="1933"/>
      <c r="BG633" s="1933"/>
      <c r="BH633" s="1933"/>
      <c r="BI633" s="1933"/>
      <c r="BJ633" s="1933"/>
      <c r="BK633" s="1933"/>
      <c r="BL633" s="1933"/>
      <c r="BM633" s="1933"/>
      <c r="BN633" s="1933"/>
      <c r="BO633" s="1933"/>
      <c r="BP633" s="1933"/>
      <c r="BQ633" s="1931"/>
      <c r="BR633" s="1931"/>
      <c r="BS633" s="1931"/>
      <c r="BT633" s="1931"/>
      <c r="BU633" s="1931"/>
      <c r="BV633" s="1931"/>
      <c r="BW633" s="1931"/>
      <c r="BX633" s="1931"/>
      <c r="BY633" s="1931"/>
      <c r="BZ633" s="1931"/>
      <c r="CA633" s="1931"/>
      <c r="CB633" s="1931"/>
      <c r="CC633" s="1931"/>
      <c r="CD633" s="1931"/>
      <c r="CE633" s="1930"/>
      <c r="CF633" s="1930"/>
      <c r="CG633" s="1930"/>
      <c r="CH633" s="1930"/>
      <c r="CI633" s="1931"/>
      <c r="CJ633" s="1931"/>
      <c r="CK633" s="1931"/>
      <c r="CL633" s="1931"/>
      <c r="CM633" s="1931"/>
      <c r="CN633" s="1931"/>
      <c r="CO633" s="1931"/>
      <c r="CP633" s="1931"/>
      <c r="CQ633" s="1931"/>
      <c r="CR633" s="1931"/>
      <c r="CS633" s="1931"/>
      <c r="CT633" s="1930"/>
      <c r="CU633" s="1930"/>
      <c r="CV633" s="1930"/>
      <c r="CW633" s="1930"/>
      <c r="CX633" s="1931"/>
      <c r="CY633" s="1931"/>
      <c r="CZ633" s="1931"/>
      <c r="DA633" s="1931"/>
      <c r="DB633" s="1954" t="e">
        <f>(DD633)/(DE633)</f>
        <v>#DIV/0!</v>
      </c>
      <c r="DC633" s="3166" t="str">
        <f>CONCATENATE(G633," ",J633," Year EUL")</f>
        <v>Cooking BUS 12 Year EUL</v>
      </c>
      <c r="DD633" s="1955">
        <f>(INDEX('Avoided Cost Benefits'!$C$4:$C$857,MATCH(DC633,'Avoided Cost Benefits'!$A$4:$A$857,0)))*F633</f>
        <v>968.93597296191729</v>
      </c>
      <c r="DE633" s="1956">
        <f>K633/(1.0595^(2020-2019))</f>
        <v>0</v>
      </c>
      <c r="DF633" s="1931"/>
    </row>
    <row r="634" spans="2:112" hidden="1" outlineLevel="1" x14ac:dyDescent="0.25">
      <c r="B634" s="1931"/>
      <c r="D634" s="1966"/>
      <c r="E634" s="1966"/>
      <c r="F634" s="1966"/>
      <c r="G634" s="1966"/>
      <c r="H634" s="1299"/>
      <c r="I634" s="1966"/>
      <c r="J634" s="1966"/>
      <c r="K634" s="1965"/>
      <c r="L634" s="1965"/>
      <c r="M634" s="1965"/>
      <c r="N634" s="1965"/>
      <c r="O634" s="1965"/>
      <c r="P634" s="1965"/>
      <c r="Q634" s="1965"/>
      <c r="R634" s="1965"/>
      <c r="S634" s="1965"/>
      <c r="T634" s="1965"/>
      <c r="U634" s="1965"/>
      <c r="V634" s="1933"/>
      <c r="W634" s="1933"/>
      <c r="X634" s="1933"/>
      <c r="Y634" s="1933"/>
      <c r="Z634" s="1933"/>
      <c r="AA634" s="1933"/>
      <c r="AB634" s="1933"/>
      <c r="AC634" s="1933"/>
      <c r="AD634" s="1933"/>
      <c r="AE634" s="1933"/>
      <c r="AF634" s="1933"/>
      <c r="AG634" s="1933"/>
      <c r="AH634" s="1933"/>
      <c r="AI634" s="1933"/>
      <c r="AJ634" s="1933"/>
      <c r="AK634" s="1933"/>
      <c r="AL634" s="1933"/>
      <c r="AM634" s="1933"/>
      <c r="AN634" s="1933"/>
      <c r="AO634" s="1933"/>
      <c r="AP634" s="1933"/>
      <c r="AQ634" s="1933"/>
      <c r="AR634" s="1933"/>
      <c r="AS634" s="1933"/>
      <c r="AT634" s="1933"/>
      <c r="AU634" s="1933"/>
      <c r="AV634" s="1933"/>
      <c r="AW634" s="1933"/>
      <c r="AX634" s="1933"/>
      <c r="AY634" s="1933"/>
      <c r="AZ634" s="1933"/>
      <c r="BA634" s="1933"/>
      <c r="BB634" s="1933"/>
      <c r="BC634" s="1933"/>
      <c r="BD634" s="1933"/>
      <c r="BE634" s="1933"/>
      <c r="BF634" s="1933"/>
      <c r="BG634" s="1933"/>
      <c r="BH634" s="1933"/>
      <c r="BI634" s="1933"/>
      <c r="BJ634" s="1933"/>
      <c r="BK634" s="1933"/>
      <c r="BL634" s="1933"/>
      <c r="BM634" s="1933"/>
      <c r="BN634" s="1933"/>
      <c r="BO634" s="1933"/>
      <c r="BP634" s="1933"/>
      <c r="BQ634" s="1931"/>
      <c r="BR634" s="1931"/>
      <c r="BS634" s="1931"/>
      <c r="BT634" s="1931"/>
      <c r="BU634" s="1931"/>
      <c r="BV634" s="1931"/>
      <c r="BW634" s="1931"/>
      <c r="BX634" s="1931"/>
      <c r="BY634" s="1931"/>
      <c r="BZ634" s="1931"/>
      <c r="CA634" s="1931"/>
      <c r="CB634" s="1931"/>
      <c r="CC634" s="1931"/>
      <c r="CD634" s="1931"/>
      <c r="CE634" s="1930"/>
      <c r="CF634" s="1930"/>
      <c r="CG634" s="1930"/>
      <c r="CH634" s="1930"/>
      <c r="CI634" s="1931"/>
      <c r="CJ634" s="1931"/>
      <c r="CK634" s="1931"/>
      <c r="CL634" s="1931"/>
      <c r="CM634" s="1931"/>
      <c r="CN634" s="1931"/>
      <c r="CO634" s="1931"/>
      <c r="CP634" s="1931"/>
      <c r="CQ634" s="1931"/>
      <c r="CR634" s="1931"/>
      <c r="CS634" s="1931"/>
      <c r="CT634" s="1930"/>
      <c r="CU634" s="1930"/>
      <c r="CV634" s="1930"/>
      <c r="CW634" s="1930"/>
      <c r="CX634" s="1931"/>
      <c r="CY634" s="1931"/>
      <c r="CZ634" s="1931"/>
      <c r="DA634" s="1931"/>
      <c r="DB634" s="1932"/>
      <c r="DC634" s="1931"/>
      <c r="DD634" s="1931"/>
      <c r="DE634" s="1931"/>
      <c r="DF634" s="1931"/>
    </row>
    <row r="635" spans="2:112" hidden="1" outlineLevel="1" x14ac:dyDescent="0.25">
      <c r="B635" s="1931"/>
      <c r="D635" s="1966" t="s">
        <v>2689</v>
      </c>
      <c r="E635" s="151"/>
      <c r="F635" s="1966"/>
      <c r="G635" s="1966"/>
      <c r="H635" s="1299"/>
      <c r="I635" s="1966"/>
      <c r="J635" s="1966"/>
      <c r="K635" s="151"/>
      <c r="L635" s="1965"/>
      <c r="M635" s="1965"/>
      <c r="N635" s="1965"/>
      <c r="O635" s="1965"/>
      <c r="P635" s="1965"/>
      <c r="Q635" s="1965"/>
      <c r="R635" s="1965"/>
      <c r="S635" s="1965"/>
      <c r="T635" s="1965"/>
      <c r="U635" s="1965"/>
      <c r="V635" s="1933"/>
      <c r="W635" s="1933"/>
      <c r="X635" s="1933"/>
      <c r="Y635" s="1933"/>
      <c r="Z635" s="1933"/>
      <c r="AA635" s="1933"/>
      <c r="AB635" s="1933"/>
      <c r="AC635" s="1933"/>
      <c r="AD635" s="1933"/>
      <c r="AE635" s="1933"/>
      <c r="AF635" s="1933"/>
      <c r="AG635" s="1933"/>
      <c r="AH635" s="1933"/>
      <c r="AI635" s="1933"/>
      <c r="AJ635" s="1933"/>
      <c r="AK635" s="1933"/>
      <c r="AL635" s="1933"/>
      <c r="AM635" s="1933"/>
      <c r="AN635" s="1933"/>
      <c r="AO635" s="1933"/>
      <c r="AP635" s="1933"/>
      <c r="AQ635" s="1933"/>
      <c r="AR635" s="1933"/>
      <c r="AS635" s="1933"/>
      <c r="AT635" s="1933"/>
      <c r="AU635" s="1933"/>
      <c r="AV635" s="1933"/>
      <c r="AW635" s="1933"/>
      <c r="AX635" s="1933"/>
      <c r="AY635" s="1933"/>
      <c r="AZ635" s="1933"/>
      <c r="BA635" s="1933"/>
      <c r="BB635" s="1933"/>
      <c r="BC635" s="1933"/>
      <c r="BD635" s="1933"/>
      <c r="BE635" s="1933"/>
      <c r="BF635" s="1933"/>
      <c r="BG635" s="1933"/>
      <c r="BH635" s="1933"/>
      <c r="BI635" s="1933"/>
      <c r="BJ635" s="1933"/>
      <c r="BK635" s="1933"/>
      <c r="BL635" s="1933"/>
      <c r="BM635" s="1933"/>
      <c r="BN635" s="1933"/>
      <c r="BO635" s="1933"/>
      <c r="BP635" s="1933"/>
      <c r="BQ635" s="1931"/>
      <c r="BR635" s="1931"/>
      <c r="BS635" s="1931"/>
      <c r="BT635" s="1931"/>
      <c r="BU635" s="1931"/>
      <c r="BV635" s="1931"/>
      <c r="BW635" s="1931"/>
      <c r="BX635" s="1931"/>
      <c r="BY635" s="1931"/>
      <c r="BZ635" s="1931"/>
      <c r="CA635" s="1931"/>
      <c r="CB635" s="1931"/>
      <c r="CC635" s="1931"/>
      <c r="CD635" s="1931"/>
      <c r="CE635" s="1930"/>
      <c r="CF635" s="1930"/>
      <c r="CG635" s="1930"/>
      <c r="CH635" s="1930"/>
      <c r="CI635" s="1931"/>
      <c r="CJ635" s="1931"/>
      <c r="CK635" s="1931"/>
      <c r="CL635" s="1931"/>
      <c r="CM635" s="1931"/>
      <c r="CN635" s="1931"/>
      <c r="CO635" s="1931"/>
      <c r="CP635" s="1931"/>
      <c r="CQ635" s="1931"/>
      <c r="CR635" s="1931"/>
      <c r="CS635" s="1931"/>
      <c r="CT635" s="1930"/>
      <c r="CU635" s="1930"/>
      <c r="CV635" s="1930"/>
      <c r="CW635" s="1930"/>
      <c r="CX635" s="1931"/>
      <c r="CY635" s="1931"/>
      <c r="CZ635" s="1931"/>
      <c r="DA635" s="1931"/>
      <c r="DB635" s="1932"/>
      <c r="DC635" s="1931"/>
      <c r="DD635" s="1931"/>
      <c r="DE635" s="1931"/>
      <c r="DF635" s="1931"/>
    </row>
    <row r="636" spans="2:112" hidden="1" outlineLevel="1" x14ac:dyDescent="0.25">
      <c r="B636" s="1931"/>
      <c r="D636" s="1300"/>
      <c r="E636" s="151"/>
      <c r="F636" s="151"/>
      <c r="G636" s="1321"/>
      <c r="H636" s="1322"/>
      <c r="I636" s="1965"/>
      <c r="J636" s="1965"/>
      <c r="K636" s="1965"/>
      <c r="L636" s="1965"/>
      <c r="M636" s="1965"/>
      <c r="N636" s="1965"/>
      <c r="O636" s="1965"/>
      <c r="P636" s="1965"/>
      <c r="Q636" s="1965"/>
      <c r="R636" s="1965"/>
      <c r="S636" s="1965"/>
      <c r="T636" s="1965"/>
      <c r="U636" s="1965"/>
      <c r="V636" s="1933"/>
      <c r="W636" s="1933"/>
      <c r="X636" s="1933"/>
      <c r="Y636" s="1933"/>
      <c r="Z636" s="1933"/>
      <c r="AA636" s="1933"/>
      <c r="AB636" s="1933"/>
      <c r="AC636" s="1933"/>
      <c r="AD636" s="1933"/>
      <c r="AE636" s="1933"/>
      <c r="AF636" s="1933"/>
      <c r="AG636" s="1933"/>
      <c r="AH636" s="1933"/>
      <c r="AI636" s="1933"/>
      <c r="AJ636" s="1933"/>
      <c r="AK636" s="1933"/>
      <c r="AL636" s="1933"/>
      <c r="AM636" s="1933"/>
      <c r="AN636" s="1933"/>
      <c r="AO636" s="1933"/>
      <c r="AP636" s="1933"/>
      <c r="AQ636" s="1933"/>
      <c r="AR636" s="1933"/>
      <c r="AS636" s="1933"/>
      <c r="AT636" s="1933"/>
      <c r="AU636" s="1933"/>
      <c r="AV636" s="1933"/>
      <c r="AW636" s="1933"/>
      <c r="AX636" s="1933"/>
      <c r="AY636" s="1933"/>
      <c r="AZ636" s="1933"/>
      <c r="BA636" s="1933"/>
      <c r="BB636" s="1933"/>
      <c r="BC636" s="1933"/>
      <c r="BD636" s="1933"/>
      <c r="BE636" s="1933"/>
      <c r="BF636" s="1933"/>
      <c r="BG636" s="1933"/>
      <c r="BH636" s="1933"/>
      <c r="BI636" s="1933"/>
      <c r="BJ636" s="1933"/>
      <c r="BK636" s="1933"/>
      <c r="BL636" s="1933"/>
      <c r="BM636" s="1933"/>
      <c r="BN636" s="1933"/>
      <c r="BO636" s="1933"/>
      <c r="BP636" s="1933"/>
      <c r="BQ636" s="1931"/>
      <c r="BR636" s="1931"/>
      <c r="BS636" s="1931"/>
      <c r="BT636" s="1931"/>
      <c r="BU636" s="1931"/>
      <c r="BV636" s="1931"/>
      <c r="BW636" s="1931"/>
      <c r="BX636" s="1931"/>
      <c r="BY636" s="1931"/>
      <c r="BZ636" s="1931"/>
      <c r="CA636" s="1931"/>
      <c r="CB636" s="1931"/>
      <c r="CC636" s="1931"/>
      <c r="CD636" s="1931"/>
      <c r="CE636" s="1930"/>
      <c r="CF636" s="1930"/>
      <c r="CG636" s="1930"/>
      <c r="CH636" s="1930"/>
      <c r="CI636" s="1931"/>
      <c r="CJ636" s="1931"/>
      <c r="CK636" s="1931"/>
      <c r="CL636" s="1931"/>
      <c r="CM636" s="1931"/>
      <c r="CN636" s="1931"/>
      <c r="CO636" s="1931"/>
      <c r="CP636" s="1931"/>
      <c r="CQ636" s="1931"/>
      <c r="CR636" s="1931"/>
      <c r="CS636" s="1931"/>
      <c r="CT636" s="1930"/>
      <c r="CU636" s="1930"/>
      <c r="CV636" s="1930"/>
      <c r="CW636" s="1930"/>
      <c r="CX636" s="1931"/>
      <c r="CY636" s="1931"/>
      <c r="CZ636" s="1931"/>
      <c r="DA636" s="1931"/>
      <c r="DB636" s="1932"/>
      <c r="DC636" s="1931"/>
      <c r="DD636" s="1931"/>
      <c r="DE636" s="1931"/>
      <c r="DF636" s="1931"/>
    </row>
    <row r="637" spans="2:112" hidden="1" outlineLevel="1" x14ac:dyDescent="0.25">
      <c r="B637" s="1931"/>
      <c r="D637" s="1300"/>
      <c r="E637" s="1965"/>
      <c r="F637" s="1965"/>
      <c r="G637" s="1321"/>
      <c r="H637" s="1322"/>
      <c r="I637" s="1965"/>
      <c r="J637" s="1965"/>
      <c r="K637" s="1965"/>
      <c r="L637" s="1965"/>
      <c r="M637" s="1965"/>
      <c r="N637" s="1965"/>
      <c r="O637" s="1965"/>
      <c r="P637" s="4483"/>
      <c r="Q637" s="4483"/>
      <c r="R637" s="1965"/>
      <c r="S637" s="1965"/>
      <c r="T637" s="1965"/>
      <c r="U637" s="1965"/>
      <c r="V637" s="1933"/>
      <c r="W637" s="1933"/>
      <c r="X637" s="1933"/>
      <c r="Y637" s="1933"/>
      <c r="Z637" s="1933"/>
      <c r="AA637" s="1933"/>
      <c r="AB637" s="1933"/>
      <c r="AC637" s="1933"/>
      <c r="AD637" s="1933"/>
      <c r="AE637" s="1933"/>
      <c r="AF637" s="1933"/>
      <c r="AG637" s="1933"/>
      <c r="AH637" s="1933"/>
      <c r="AI637" s="1933"/>
      <c r="AJ637" s="1933"/>
      <c r="AK637" s="1933"/>
      <c r="AL637" s="1933"/>
      <c r="AM637" s="1933"/>
      <c r="AN637" s="1933"/>
      <c r="AO637" s="1933"/>
      <c r="AP637" s="1933"/>
      <c r="AQ637" s="1933"/>
      <c r="AR637" s="1933"/>
      <c r="AS637" s="1933"/>
      <c r="AT637" s="1933"/>
      <c r="AU637" s="1933"/>
      <c r="AV637" s="1933"/>
      <c r="AW637" s="1933"/>
      <c r="AX637" s="1933"/>
      <c r="AY637" s="1933"/>
      <c r="AZ637" s="1933"/>
      <c r="BA637" s="1933"/>
      <c r="BB637" s="1933"/>
      <c r="BC637" s="1933"/>
      <c r="BD637" s="1933"/>
      <c r="BE637" s="1933"/>
      <c r="BF637" s="1933"/>
      <c r="BG637" s="1933"/>
      <c r="BH637" s="1933"/>
      <c r="BI637" s="1933"/>
      <c r="BJ637" s="1933"/>
      <c r="BK637" s="1933"/>
      <c r="BL637" s="1933"/>
      <c r="BM637" s="1933"/>
      <c r="BN637" s="1933"/>
      <c r="BO637" s="1933"/>
      <c r="BP637" s="1933"/>
      <c r="BQ637" s="1931"/>
      <c r="BR637" s="1931"/>
      <c r="BS637" s="1931"/>
      <c r="BT637" s="1931"/>
      <c r="BU637" s="1931"/>
      <c r="BV637" s="1931"/>
      <c r="BW637" s="1931"/>
      <c r="BX637" s="1931"/>
      <c r="BY637" s="1931"/>
      <c r="BZ637" s="1931"/>
      <c r="CA637" s="1931"/>
      <c r="CB637" s="1931"/>
      <c r="CC637" s="1931"/>
      <c r="CD637" s="1931"/>
      <c r="CE637" s="1930"/>
      <c r="CF637" s="1930"/>
      <c r="CG637" s="1930"/>
      <c r="CH637" s="1930"/>
      <c r="CI637" s="1931"/>
      <c r="CJ637" s="1931"/>
      <c r="CK637" s="1931"/>
      <c r="CL637" s="1931"/>
      <c r="CM637" s="1931"/>
      <c r="CN637" s="1931"/>
      <c r="CO637" s="1931"/>
      <c r="CP637" s="1931"/>
      <c r="CQ637" s="1931"/>
      <c r="CR637" s="1931"/>
      <c r="CS637" s="1931"/>
      <c r="CT637" s="1930"/>
      <c r="CU637" s="1930"/>
      <c r="CV637" s="1930"/>
      <c r="CW637" s="1930"/>
      <c r="CX637" s="1931"/>
      <c r="CY637" s="1931"/>
      <c r="CZ637" s="1931"/>
      <c r="DA637" s="1931"/>
      <c r="DB637" s="1932"/>
      <c r="DC637" s="1931"/>
      <c r="DD637" s="1931"/>
      <c r="DE637" s="1931"/>
      <c r="DF637" s="1931"/>
    </row>
    <row r="638" spans="2:112" hidden="1" outlineLevel="1" x14ac:dyDescent="0.25">
      <c r="B638" s="1931"/>
      <c r="D638" s="1300"/>
      <c r="E638" s="1965"/>
      <c r="F638" s="1965"/>
      <c r="G638" s="1965"/>
      <c r="H638" s="1301"/>
      <c r="I638" s="1965"/>
      <c r="J638" s="1965"/>
      <c r="K638" s="1965"/>
      <c r="L638" s="1965"/>
      <c r="M638" s="1966"/>
      <c r="N638" s="1965"/>
      <c r="O638" s="1965"/>
      <c r="P638" s="4483"/>
      <c r="Q638" s="4483"/>
      <c r="R638" s="1965"/>
      <c r="S638" s="1965"/>
      <c r="T638" s="1965"/>
      <c r="U638" s="1965"/>
      <c r="V638" s="1933"/>
      <c r="W638" s="1933"/>
      <c r="X638" s="1933"/>
      <c r="Y638" s="1933"/>
      <c r="Z638" s="1933"/>
      <c r="AA638" s="1933"/>
      <c r="AB638" s="1933"/>
      <c r="AC638" s="1933"/>
      <c r="AD638" s="1933"/>
      <c r="AE638" s="1933"/>
      <c r="AF638" s="1933"/>
      <c r="AG638" s="1933"/>
      <c r="AH638" s="1933"/>
      <c r="AI638" s="1933"/>
      <c r="AJ638" s="1933"/>
      <c r="AK638" s="1933"/>
      <c r="AL638" s="1933"/>
      <c r="AM638" s="1933"/>
      <c r="AN638" s="1933"/>
      <c r="AO638" s="1933"/>
      <c r="AP638" s="1933"/>
      <c r="AQ638" s="1933"/>
      <c r="AR638" s="1933"/>
      <c r="AS638" s="1933"/>
      <c r="AT638" s="1933"/>
      <c r="AU638" s="1933"/>
      <c r="AV638" s="1933"/>
      <c r="AW638" s="1933"/>
      <c r="AX638" s="1933"/>
      <c r="AY638" s="1933"/>
      <c r="AZ638" s="1933"/>
      <c r="BA638" s="1933"/>
      <c r="BB638" s="1933"/>
      <c r="BC638" s="1933"/>
      <c r="BD638" s="1933"/>
      <c r="BE638" s="1933"/>
      <c r="BF638" s="1933"/>
      <c r="BG638" s="1933"/>
      <c r="BH638" s="1933"/>
      <c r="BI638" s="1933"/>
      <c r="BJ638" s="1933"/>
      <c r="BK638" s="1933"/>
      <c r="BL638" s="1933"/>
      <c r="BM638" s="1933"/>
      <c r="BN638" s="1933"/>
      <c r="BO638" s="1933"/>
      <c r="BP638" s="1933"/>
      <c r="BQ638" s="1931"/>
      <c r="BR638" s="1931"/>
      <c r="BS638" s="1931"/>
      <c r="BT638" s="1931"/>
      <c r="BU638" s="1931"/>
      <c r="BV638" s="1931"/>
      <c r="BW638" s="1931"/>
      <c r="BX638" s="1931"/>
      <c r="BY638" s="1931"/>
      <c r="BZ638" s="1931"/>
      <c r="CA638" s="1931"/>
      <c r="CB638" s="1931"/>
      <c r="CC638" s="1931"/>
      <c r="CD638" s="1931"/>
      <c r="CE638" s="1930"/>
      <c r="CF638" s="1930"/>
      <c r="CG638" s="1930"/>
      <c r="CH638" s="1930"/>
      <c r="CI638" s="1931"/>
      <c r="CJ638" s="1931"/>
      <c r="CK638" s="1931"/>
      <c r="CL638" s="1931"/>
      <c r="CM638" s="1931"/>
      <c r="CN638" s="1931"/>
      <c r="CO638" s="1931"/>
      <c r="CP638" s="1931"/>
      <c r="CQ638" s="1931"/>
      <c r="CR638" s="1931"/>
      <c r="CS638" s="1931"/>
      <c r="CT638" s="1930"/>
      <c r="CU638" s="1930"/>
      <c r="CV638" s="1930"/>
      <c r="CW638" s="1930"/>
      <c r="CX638" s="1931"/>
      <c r="CY638" s="1931"/>
      <c r="CZ638" s="1931"/>
      <c r="DA638" s="1931"/>
      <c r="DB638" s="1932"/>
      <c r="DC638" s="1931"/>
      <c r="DD638" s="1931"/>
      <c r="DE638" s="1931"/>
      <c r="DF638" s="1931"/>
    </row>
    <row r="639" spans="2:112" hidden="1" outlineLevel="1" x14ac:dyDescent="0.25">
      <c r="B639" s="1931"/>
      <c r="D639" s="1300"/>
      <c r="E639" s="1965"/>
      <c r="F639" s="1965"/>
      <c r="G639" s="1965"/>
      <c r="H639" s="1301"/>
      <c r="I639" s="1965"/>
      <c r="J639" s="1965"/>
      <c r="K639" s="1965"/>
      <c r="L639" s="1965"/>
      <c r="M639" s="1966"/>
      <c r="N639" s="1965"/>
      <c r="O639" s="1965"/>
      <c r="P639" s="4483"/>
      <c r="Q639" s="4483"/>
      <c r="R639" s="1965"/>
      <c r="S639" s="1965"/>
      <c r="T639" s="1965"/>
      <c r="U639" s="1965"/>
      <c r="V639" s="1931"/>
      <c r="W639" s="1931"/>
      <c r="X639" s="1931"/>
      <c r="Y639" s="1931"/>
      <c r="Z639" s="1931"/>
      <c r="AA639" s="1931"/>
      <c r="AB639" s="1931"/>
      <c r="AC639" s="1931"/>
      <c r="AD639" s="1931"/>
      <c r="AE639" s="1931"/>
      <c r="AF639" s="1931"/>
      <c r="AG639" s="1931"/>
      <c r="AH639" s="1931"/>
      <c r="AI639" s="1931"/>
      <c r="AJ639" s="1931"/>
      <c r="AK639" s="1931"/>
      <c r="AL639" s="1931"/>
      <c r="AM639" s="1931"/>
      <c r="AN639" s="1931"/>
      <c r="AO639" s="1931"/>
      <c r="AP639" s="1931"/>
      <c r="AQ639" s="1931"/>
      <c r="AR639" s="1931"/>
      <c r="AS639" s="1931"/>
      <c r="AT639" s="1931"/>
      <c r="AU639" s="1931"/>
      <c r="AV639" s="1931"/>
      <c r="AW639" s="1931"/>
      <c r="AX639" s="1931"/>
      <c r="AY639" s="1931"/>
      <c r="AZ639" s="1931"/>
      <c r="BA639" s="1931"/>
      <c r="BB639" s="1931"/>
      <c r="BC639" s="1931"/>
      <c r="BD639" s="1931"/>
      <c r="BE639" s="1931"/>
      <c r="BF639" s="1931"/>
      <c r="BG639" s="1931"/>
      <c r="BH639" s="1931"/>
      <c r="BI639" s="1931"/>
      <c r="BJ639" s="1931"/>
      <c r="BK639" s="1931"/>
      <c r="BL639" s="1931"/>
      <c r="BM639" s="1931"/>
      <c r="BN639" s="1931"/>
      <c r="BO639" s="1931"/>
      <c r="BP639" s="1931"/>
      <c r="BQ639" s="1931"/>
      <c r="BR639" s="1931"/>
      <c r="BS639" s="1931"/>
      <c r="BT639" s="1931"/>
      <c r="BU639" s="1931"/>
      <c r="BV639" s="1931"/>
      <c r="BW639" s="1931"/>
      <c r="BX639" s="1931"/>
      <c r="BY639" s="1931"/>
      <c r="BZ639" s="1931"/>
      <c r="CA639" s="1931"/>
      <c r="CB639" s="1931"/>
      <c r="CC639" s="1931"/>
      <c r="CD639" s="1931"/>
      <c r="CE639" s="1930"/>
      <c r="CF639" s="1930"/>
      <c r="CG639" s="1930"/>
      <c r="CH639" s="1930"/>
      <c r="CI639" s="1931"/>
      <c r="CJ639" s="1931"/>
      <c r="CK639" s="1931"/>
      <c r="CL639" s="1931"/>
      <c r="CM639" s="1931"/>
      <c r="CN639" s="1931"/>
      <c r="CO639" s="1931"/>
      <c r="CP639" s="1931"/>
      <c r="CQ639" s="1931"/>
      <c r="CR639" s="1931"/>
      <c r="CS639" s="1931"/>
      <c r="CT639" s="1930"/>
      <c r="CU639" s="1930"/>
      <c r="CV639" s="1930"/>
      <c r="CW639" s="1930"/>
      <c r="CX639" s="1931"/>
      <c r="CY639" s="1931"/>
      <c r="CZ639" s="1931"/>
      <c r="DA639" s="1931"/>
      <c r="DB639" s="1932"/>
      <c r="DC639" s="1931"/>
      <c r="DD639" s="1931"/>
      <c r="DE639" s="1931"/>
      <c r="DF639" s="1931"/>
    </row>
    <row r="640" spans="2:112" hidden="1" outlineLevel="1" x14ac:dyDescent="0.25">
      <c r="B640" s="1931"/>
      <c r="D640" s="1300"/>
      <c r="E640" s="1965"/>
      <c r="F640" s="1965"/>
      <c r="G640" s="1965"/>
      <c r="H640" s="1301"/>
      <c r="I640" s="1965"/>
      <c r="J640" s="1965"/>
      <c r="K640" s="1965"/>
      <c r="L640" s="1965"/>
      <c r="M640" s="1966"/>
      <c r="N640" s="1965"/>
      <c r="O640" s="1965"/>
      <c r="P640" s="1965"/>
      <c r="Q640" s="1965"/>
      <c r="R640" s="1965"/>
      <c r="S640" s="1965"/>
      <c r="T640" s="1965"/>
      <c r="U640" s="1965"/>
      <c r="V640" s="1931"/>
      <c r="W640" s="1931"/>
      <c r="X640" s="1931"/>
      <c r="Y640" s="1931"/>
      <c r="Z640" s="1931"/>
      <c r="AA640" s="1931"/>
      <c r="AB640" s="1931"/>
      <c r="AC640" s="1931"/>
      <c r="AD640" s="1931"/>
      <c r="AE640" s="1931"/>
      <c r="AF640" s="1931"/>
      <c r="AG640" s="1931"/>
      <c r="AH640" s="1931"/>
      <c r="AI640" s="1931"/>
      <c r="AJ640" s="1931"/>
      <c r="AK640" s="1931"/>
      <c r="AL640" s="1931"/>
      <c r="AM640" s="1931"/>
      <c r="AN640" s="1931"/>
      <c r="AO640" s="1931"/>
      <c r="AP640" s="1931"/>
      <c r="AQ640" s="1931"/>
      <c r="AR640" s="1931"/>
      <c r="AS640" s="1931"/>
      <c r="AT640" s="1931"/>
      <c r="AU640" s="1931"/>
      <c r="AV640" s="1931"/>
      <c r="AW640" s="1931"/>
      <c r="AX640" s="1931"/>
      <c r="AY640" s="1931"/>
      <c r="AZ640" s="1931"/>
      <c r="BA640" s="1931"/>
      <c r="BB640" s="1931"/>
      <c r="BC640" s="1931"/>
      <c r="BD640" s="1931"/>
      <c r="BE640" s="1931"/>
      <c r="BF640" s="1931"/>
      <c r="BG640" s="1931"/>
      <c r="BH640" s="1931"/>
      <c r="BI640" s="1931"/>
      <c r="BJ640" s="1931"/>
      <c r="BK640" s="1931"/>
      <c r="BL640" s="1931"/>
      <c r="BM640" s="1931"/>
      <c r="BN640" s="1931"/>
      <c r="BO640" s="1931"/>
      <c r="BP640" s="1931"/>
      <c r="BQ640" s="1931"/>
      <c r="BR640" s="1931"/>
      <c r="BS640" s="1931"/>
      <c r="BT640" s="1931"/>
      <c r="BU640" s="1931"/>
      <c r="BV640" s="1931"/>
      <c r="BW640" s="1931"/>
      <c r="BX640" s="1931"/>
      <c r="BY640" s="1931"/>
      <c r="BZ640" s="1931"/>
      <c r="CA640" s="1931"/>
      <c r="CB640" s="1931"/>
      <c r="CC640" s="1931"/>
      <c r="CD640" s="1931"/>
      <c r="CE640" s="1930"/>
      <c r="CF640" s="1930"/>
      <c r="CG640" s="1930"/>
      <c r="CH640" s="1930"/>
      <c r="CI640" s="1931"/>
      <c r="CJ640" s="1931"/>
      <c r="CK640" s="1931"/>
      <c r="CL640" s="1931"/>
      <c r="CM640" s="1931"/>
      <c r="CN640" s="1931"/>
      <c r="CO640" s="1931"/>
      <c r="CP640" s="1931"/>
      <c r="CQ640" s="1931"/>
      <c r="CR640" s="1931"/>
      <c r="CS640" s="1931"/>
      <c r="CT640" s="1930"/>
      <c r="CU640" s="1930"/>
      <c r="CV640" s="1930"/>
      <c r="CW640" s="1930"/>
      <c r="CX640" s="1931"/>
      <c r="CY640" s="1931"/>
      <c r="CZ640" s="1931"/>
      <c r="DA640" s="1931"/>
      <c r="DB640" s="1932"/>
      <c r="DC640" s="1931"/>
      <c r="DD640" s="1931"/>
      <c r="DE640" s="1931"/>
      <c r="DF640" s="1931"/>
    </row>
    <row r="641" spans="2:112" hidden="1" outlineLevel="1" x14ac:dyDescent="0.25">
      <c r="B641" s="1931"/>
      <c r="D641" s="1300"/>
      <c r="E641" s="1965"/>
      <c r="F641" s="1965"/>
      <c r="G641" s="1965"/>
      <c r="H641" s="1301"/>
      <c r="I641" s="1965"/>
      <c r="J641" s="1965"/>
      <c r="K641" s="1965"/>
      <c r="L641" s="1965"/>
      <c r="M641" s="1965"/>
      <c r="N641" s="1965"/>
      <c r="O641" s="1965"/>
      <c r="P641" s="1965"/>
      <c r="Q641" s="1965"/>
      <c r="R641" s="1965"/>
      <c r="S641" s="1965"/>
      <c r="T641" s="1965"/>
      <c r="U641" s="1965"/>
      <c r="V641" s="1931"/>
      <c r="W641" s="1931"/>
      <c r="X641" s="1931"/>
      <c r="Y641" s="1931"/>
      <c r="Z641" s="1931"/>
      <c r="AA641" s="1931"/>
      <c r="AB641" s="1931"/>
      <c r="AC641" s="1931"/>
      <c r="AD641" s="1931"/>
      <c r="AE641" s="1931"/>
      <c r="AF641" s="1931"/>
      <c r="AG641" s="1931"/>
      <c r="AH641" s="1931"/>
      <c r="AI641" s="1931"/>
      <c r="AJ641" s="1931"/>
      <c r="AK641" s="1931"/>
      <c r="AL641" s="1931"/>
      <c r="AM641" s="1931"/>
      <c r="AN641" s="1931"/>
      <c r="AO641" s="1931"/>
      <c r="AP641" s="1931"/>
      <c r="AQ641" s="1931"/>
      <c r="AR641" s="1931"/>
      <c r="AS641" s="1931"/>
      <c r="AT641" s="1931"/>
      <c r="AU641" s="1931"/>
      <c r="AV641" s="1931"/>
      <c r="AW641" s="1931"/>
      <c r="AX641" s="1931"/>
      <c r="AY641" s="1931"/>
      <c r="AZ641" s="1931"/>
      <c r="BA641" s="1931"/>
      <c r="BB641" s="1931"/>
      <c r="BC641" s="1931"/>
      <c r="BD641" s="1931"/>
      <c r="BE641" s="1931"/>
      <c r="BF641" s="1931"/>
      <c r="BG641" s="1931"/>
      <c r="BH641" s="1931"/>
      <c r="BI641" s="1931"/>
      <c r="BJ641" s="1931"/>
      <c r="BK641" s="1931"/>
      <c r="BL641" s="1931"/>
      <c r="BM641" s="1931"/>
      <c r="BN641" s="1931"/>
      <c r="BO641" s="1931"/>
      <c r="BP641" s="1931"/>
      <c r="BQ641" s="1931"/>
      <c r="BR641" s="1931"/>
      <c r="BS641" s="1931"/>
      <c r="BT641" s="1931"/>
      <c r="BU641" s="1931"/>
      <c r="BV641" s="1931"/>
      <c r="BW641" s="1931"/>
      <c r="BX641" s="1931"/>
      <c r="BY641" s="1931"/>
      <c r="BZ641" s="1931"/>
      <c r="CA641" s="1931"/>
      <c r="CB641" s="1931"/>
      <c r="CC641" s="1931"/>
      <c r="CD641" s="1931"/>
      <c r="CE641" s="1930"/>
      <c r="CF641" s="1930"/>
      <c r="CG641" s="1930"/>
      <c r="CH641" s="1930"/>
      <c r="CI641" s="1931"/>
      <c r="CJ641" s="1931"/>
      <c r="CK641" s="1931"/>
      <c r="CL641" s="1931"/>
      <c r="CM641" s="1931"/>
      <c r="CN641" s="1931"/>
      <c r="CO641" s="1931"/>
      <c r="CP641" s="1931"/>
      <c r="CQ641" s="1931"/>
      <c r="CR641" s="1931"/>
      <c r="CS641" s="1931"/>
      <c r="CT641" s="1930"/>
      <c r="CU641" s="1930"/>
      <c r="CV641" s="1930"/>
      <c r="CW641" s="1930"/>
      <c r="CX641" s="1931"/>
      <c r="CY641" s="1931"/>
      <c r="CZ641" s="1931"/>
      <c r="DA641" s="1931"/>
      <c r="DB641" s="1932"/>
      <c r="DC641" s="1931"/>
      <c r="DD641" s="1931"/>
      <c r="DE641" s="1931"/>
      <c r="DF641" s="1931"/>
    </row>
    <row r="642" spans="2:112" s="55" customFormat="1" ht="30" hidden="1" outlineLevel="1" x14ac:dyDescent="0.25">
      <c r="C642" s="151"/>
      <c r="D642" s="3081" t="s">
        <v>28</v>
      </c>
      <c r="E642" s="3081" t="s">
        <v>2758</v>
      </c>
      <c r="F642" s="81" t="s">
        <v>586</v>
      </c>
      <c r="G642" s="3081" t="s">
        <v>3098</v>
      </c>
      <c r="H642" s="3081" t="s">
        <v>3099</v>
      </c>
      <c r="I642" s="3081" t="s">
        <v>3100</v>
      </c>
      <c r="J642" s="3081" t="s">
        <v>3101</v>
      </c>
      <c r="K642" s="3081" t="s">
        <v>3070</v>
      </c>
      <c r="L642" s="3081" t="s">
        <v>3102</v>
      </c>
      <c r="M642" s="3081" t="s">
        <v>3086</v>
      </c>
      <c r="N642" s="3249" t="s">
        <v>3087</v>
      </c>
      <c r="O642" s="3249" t="s">
        <v>3088</v>
      </c>
      <c r="P642" s="3249" t="s">
        <v>3089</v>
      </c>
      <c r="Q642" s="3196" t="s">
        <v>3090</v>
      </c>
      <c r="R642" s="401"/>
      <c r="S642" s="401"/>
      <c r="T642" s="401"/>
      <c r="U642" s="401"/>
      <c r="DB642" s="72"/>
    </row>
    <row r="643" spans="2:112" hidden="1" outlineLevel="1" x14ac:dyDescent="0.25">
      <c r="B643" s="1931"/>
      <c r="D643" s="1967" t="str">
        <f>C633</f>
        <v>805350_2019_12_</v>
      </c>
      <c r="E643" s="1967" t="str">
        <f>E633</f>
        <v>Griddle</v>
      </c>
      <c r="F643" s="1353">
        <v>365.25</v>
      </c>
      <c r="G643" s="1361">
        <v>400</v>
      </c>
      <c r="H643" s="90">
        <v>320</v>
      </c>
      <c r="I643" s="90">
        <v>3</v>
      </c>
      <c r="J643" s="90">
        <v>2</v>
      </c>
      <c r="K643" s="90">
        <v>12</v>
      </c>
      <c r="L643" s="90">
        <v>100</v>
      </c>
      <c r="M643" s="1401">
        <v>35</v>
      </c>
      <c r="N643" s="1311">
        <v>40</v>
      </c>
      <c r="O643" s="983">
        <v>139</v>
      </c>
      <c r="P643" s="1413">
        <v>0.65</v>
      </c>
      <c r="Q643" s="1414">
        <v>0.7</v>
      </c>
      <c r="R643" s="1965"/>
      <c r="S643" s="1965"/>
      <c r="T643" s="1965"/>
      <c r="U643" s="1965"/>
      <c r="V643" s="1931"/>
      <c r="W643" s="1931"/>
      <c r="X643" s="1931"/>
      <c r="Y643" s="1931"/>
      <c r="Z643" s="1931"/>
      <c r="AA643" s="1931"/>
      <c r="AB643" s="1931"/>
      <c r="AC643" s="1931"/>
      <c r="AD643" s="1931"/>
      <c r="AE643" s="1931"/>
      <c r="AF643" s="1931"/>
      <c r="AG643" s="1931"/>
      <c r="AH643" s="1931"/>
      <c r="AI643" s="1931"/>
      <c r="AJ643" s="1931"/>
      <c r="AK643" s="1931"/>
      <c r="AL643" s="1931"/>
      <c r="AM643" s="1931"/>
      <c r="AN643" s="1931"/>
      <c r="AO643" s="1931"/>
      <c r="AP643" s="1931"/>
      <c r="AQ643" s="1931"/>
      <c r="AR643" s="1931"/>
      <c r="AS643" s="1931"/>
      <c r="AT643" s="1931"/>
      <c r="AU643" s="1931"/>
      <c r="AV643" s="1931"/>
      <c r="AW643" s="1931"/>
      <c r="AX643" s="1931"/>
      <c r="AY643" s="1931"/>
      <c r="AZ643" s="1931"/>
      <c r="BA643" s="1931"/>
      <c r="BB643" s="1931"/>
      <c r="BC643" s="1931"/>
      <c r="BD643" s="1931"/>
      <c r="BE643" s="1931"/>
      <c r="BF643" s="1931"/>
      <c r="BG643" s="1931"/>
      <c r="BH643" s="1931"/>
      <c r="BI643" s="1931"/>
      <c r="BJ643" s="1931"/>
      <c r="BK643" s="1931"/>
      <c r="BL643" s="1931"/>
      <c r="BM643" s="1931"/>
      <c r="BN643" s="1931"/>
      <c r="BO643" s="1931"/>
      <c r="BP643" s="1931"/>
      <c r="BQ643" s="1931"/>
      <c r="BR643" s="1931"/>
      <c r="BS643" s="1931"/>
      <c r="BT643" s="1931"/>
      <c r="BU643" s="1931"/>
      <c r="BV643" s="1931"/>
      <c r="BW643" s="1931"/>
      <c r="BX643" s="1931"/>
      <c r="BY643" s="1931"/>
      <c r="BZ643" s="1931"/>
      <c r="CA643" s="1931"/>
      <c r="CB643" s="1931"/>
      <c r="CC643" s="1931"/>
      <c r="CD643" s="1931"/>
      <c r="CE643" s="1930"/>
      <c r="CF643" s="1930"/>
      <c r="CG643" s="1930"/>
      <c r="CH643" s="1930"/>
      <c r="CI643" s="1931"/>
      <c r="CJ643" s="1931"/>
      <c r="CK643" s="1931"/>
      <c r="CL643" s="1931"/>
      <c r="CM643" s="1931"/>
      <c r="CN643" s="1931"/>
      <c r="CO643" s="1931"/>
      <c r="CP643" s="1931"/>
      <c r="CQ643" s="1931"/>
      <c r="CR643" s="1931"/>
      <c r="CS643" s="1931"/>
      <c r="CT643" s="1930"/>
      <c r="CU643" s="1930"/>
      <c r="CV643" s="1930"/>
      <c r="CW643" s="1930"/>
      <c r="CX643" s="1931"/>
      <c r="CY643" s="1931"/>
      <c r="CZ643" s="1931"/>
      <c r="DA643" s="1931"/>
      <c r="DB643" s="1932"/>
      <c r="DC643" s="1931"/>
      <c r="DD643" s="1931"/>
      <c r="DE643" s="1931"/>
      <c r="DF643" s="1931"/>
    </row>
    <row r="644" spans="2:112" collapsed="1" x14ac:dyDescent="0.25">
      <c r="B644" s="1931"/>
      <c r="D644" s="1966"/>
      <c r="E644" s="1965"/>
      <c r="F644" s="1965"/>
      <c r="G644" s="1968"/>
      <c r="H644" s="1969"/>
      <c r="I644" s="1965"/>
      <c r="J644" s="1965"/>
      <c r="K644" s="1965"/>
      <c r="L644" s="1965"/>
      <c r="M644" s="1965"/>
      <c r="N644" s="1965"/>
      <c r="O644" s="1965"/>
      <c r="P644" s="1965"/>
      <c r="Q644" s="1965"/>
      <c r="R644" s="1965"/>
      <c r="S644" s="1965"/>
      <c r="T644" s="1965"/>
      <c r="U644" s="1965"/>
      <c r="V644" s="1931"/>
      <c r="W644" s="1931"/>
      <c r="X644" s="1931"/>
      <c r="Y644" s="1931"/>
      <c r="Z644" s="1931"/>
      <c r="AA644" s="1931"/>
      <c r="AB644" s="1931"/>
      <c r="AC644" s="1931"/>
      <c r="AD644" s="1931"/>
      <c r="AE644" s="1931"/>
      <c r="AF644" s="1931"/>
      <c r="AG644" s="1931"/>
      <c r="AH644" s="1931"/>
      <c r="AI644" s="1931"/>
      <c r="AJ644" s="1931"/>
      <c r="AK644" s="1931"/>
      <c r="AL644" s="1931"/>
      <c r="AM644" s="1931"/>
      <c r="AN644" s="1931"/>
      <c r="AO644" s="1931"/>
      <c r="AP644" s="1931"/>
      <c r="AQ644" s="1931"/>
      <c r="AR644" s="1931"/>
      <c r="AS644" s="1931"/>
      <c r="AT644" s="1931"/>
      <c r="AU644" s="1931"/>
      <c r="AV644" s="1931"/>
      <c r="AW644" s="1931"/>
      <c r="AX644" s="1931"/>
      <c r="AY644" s="1931"/>
      <c r="AZ644" s="1931"/>
      <c r="BA644" s="1931"/>
      <c r="BB644" s="1931"/>
      <c r="BC644" s="1931"/>
      <c r="BD644" s="1931"/>
      <c r="BE644" s="1931"/>
      <c r="BF644" s="1931"/>
      <c r="BG644" s="1931"/>
      <c r="BH644" s="1931"/>
      <c r="BI644" s="1931"/>
      <c r="BJ644" s="1931"/>
      <c r="BK644" s="1931"/>
      <c r="BL644" s="1931"/>
      <c r="BM644" s="1931"/>
      <c r="BN644" s="1931"/>
      <c r="BO644" s="1931"/>
      <c r="BP644" s="1931"/>
      <c r="BQ644" s="1931"/>
      <c r="BR644" s="1931"/>
      <c r="BS644" s="1931"/>
      <c r="BT644" s="1931"/>
      <c r="BU644" s="1931"/>
      <c r="BV644" s="1931"/>
      <c r="BW644" s="1931"/>
      <c r="BX644" s="1931"/>
      <c r="BY644" s="1931"/>
      <c r="BZ644" s="1931"/>
      <c r="CA644" s="1931"/>
      <c r="CB644" s="1931"/>
      <c r="CC644" s="1931"/>
      <c r="CD644" s="1931"/>
      <c r="CE644" s="1930"/>
      <c r="CF644" s="1930"/>
      <c r="CG644" s="1930"/>
      <c r="CH644" s="1930"/>
      <c r="CI644" s="1931"/>
      <c r="CJ644" s="1931"/>
      <c r="CK644" s="1931"/>
      <c r="CL644" s="1931"/>
      <c r="CM644" s="1931"/>
      <c r="CN644" s="1931"/>
      <c r="CO644" s="1931"/>
      <c r="CP644" s="1931"/>
      <c r="CQ644" s="1931"/>
      <c r="CR644" s="1931"/>
      <c r="CS644" s="1931"/>
      <c r="CT644" s="1930"/>
      <c r="CU644" s="1930"/>
      <c r="CV644" s="1930"/>
      <c r="CW644" s="1930"/>
      <c r="CX644" s="1931"/>
      <c r="CY644" s="1931"/>
      <c r="CZ644" s="1931"/>
      <c r="DA644" s="1931"/>
      <c r="DB644" s="1932"/>
      <c r="DC644" s="1931"/>
      <c r="DD644" s="1931"/>
      <c r="DE644" s="1931"/>
      <c r="DF644" s="1931"/>
    </row>
    <row r="646" spans="2:112" s="43" customFormat="1" x14ac:dyDescent="0.25">
      <c r="B646" s="4484" t="s">
        <v>3103</v>
      </c>
      <c r="C646" s="4485"/>
      <c r="D646" s="4485"/>
      <c r="E646" s="4485"/>
      <c r="F646" s="4485"/>
      <c r="G646" s="4485"/>
      <c r="H646" s="4485"/>
      <c r="I646" s="4486"/>
      <c r="J646" s="4486"/>
      <c r="K646" s="4486"/>
      <c r="L646" s="4486"/>
      <c r="M646" s="3752"/>
      <c r="N646" s="3752"/>
      <c r="O646" s="3753"/>
      <c r="P646" s="1935"/>
      <c r="Q646" s="1935"/>
      <c r="R646" s="1935"/>
      <c r="S646" s="1935"/>
      <c r="T646" s="1935"/>
      <c r="U646" s="1935"/>
      <c r="V646" s="3077" t="str">
        <f>B646</f>
        <v>Kitchen Demand Ventilation Controls</v>
      </c>
      <c r="W646" s="3078"/>
      <c r="X646" s="3078"/>
      <c r="Y646" s="3078"/>
      <c r="Z646" s="3078"/>
      <c r="AA646" s="3078"/>
      <c r="AB646" s="3078"/>
      <c r="AC646" s="3078"/>
      <c r="AD646" s="3078"/>
      <c r="AE646" s="3078"/>
      <c r="AF646" s="3078"/>
      <c r="AG646" s="3078"/>
      <c r="AH646" s="3078"/>
      <c r="AI646" s="3170"/>
      <c r="AJ646" s="1931"/>
      <c r="AK646" s="1931"/>
      <c r="AL646" s="1931"/>
      <c r="AM646" s="1931"/>
      <c r="AN646" s="1931"/>
      <c r="AO646" s="1931"/>
      <c r="AP646" s="1931"/>
      <c r="AQ646" s="1931"/>
      <c r="AR646" s="1931"/>
      <c r="AS646" s="1931"/>
      <c r="AT646" s="1931"/>
      <c r="AU646" s="1931"/>
      <c r="AV646" s="1935"/>
      <c r="AW646" s="1935"/>
      <c r="AX646" s="1935"/>
      <c r="AY646" s="1935"/>
      <c r="AZ646" s="1935"/>
      <c r="BA646" s="1935"/>
      <c r="BB646" s="1935"/>
      <c r="BC646" s="1935"/>
      <c r="BD646" s="1935"/>
      <c r="BE646" s="1935"/>
      <c r="BF646" s="1935"/>
      <c r="BG646" s="1935"/>
      <c r="BH646" s="1935"/>
      <c r="BI646" s="1935"/>
      <c r="BJ646" s="1935"/>
      <c r="BK646" s="1935"/>
      <c r="BL646" s="1935"/>
      <c r="BM646" s="1935"/>
      <c r="BN646" s="1935"/>
      <c r="BO646" s="1935"/>
      <c r="BP646" s="1935"/>
      <c r="BQ646" s="1935"/>
      <c r="BR646" s="1935"/>
      <c r="BS646" s="1935"/>
      <c r="BT646" s="1935"/>
      <c r="BU646" s="1935"/>
      <c r="BV646" s="1935"/>
      <c r="BW646" s="1935"/>
      <c r="BX646" s="1935"/>
      <c r="BY646" s="1935"/>
      <c r="BZ646" s="1935"/>
      <c r="CA646" s="1935"/>
      <c r="CB646" s="1935"/>
      <c r="CC646" s="1935"/>
      <c r="CD646" s="1935"/>
      <c r="CE646" s="1935"/>
      <c r="CF646" s="1935"/>
      <c r="CG646" s="1935"/>
      <c r="CH646" s="1935"/>
      <c r="CI646" s="1935"/>
      <c r="CJ646" s="1935"/>
      <c r="CK646" s="1935"/>
      <c r="CL646" s="1935"/>
      <c r="CM646" s="1935"/>
      <c r="CN646" s="1935"/>
      <c r="CO646" s="1935"/>
      <c r="CP646" s="1935"/>
      <c r="CQ646" s="1935"/>
      <c r="CR646" s="1935"/>
      <c r="CS646" s="1935"/>
      <c r="CT646" s="1935"/>
      <c r="CU646" s="1935"/>
      <c r="CV646" s="1935"/>
      <c r="CW646" s="1935"/>
      <c r="CX646" s="1935"/>
      <c r="CY646" s="1935"/>
      <c r="CZ646" s="1935"/>
      <c r="DA646" s="1935"/>
      <c r="DB646" s="73"/>
      <c r="DC646" s="1935"/>
      <c r="DD646" s="1935"/>
      <c r="DE646" s="1935"/>
      <c r="DF646" s="1935"/>
      <c r="DG646" s="1935"/>
      <c r="DH646" s="1935"/>
    </row>
    <row r="647" spans="2:112" x14ac:dyDescent="0.25">
      <c r="B647" s="1931"/>
      <c r="D647" s="1286"/>
      <c r="E647" s="1966"/>
      <c r="F647" s="1966"/>
      <c r="G647" s="1966"/>
      <c r="H647" s="1287"/>
      <c r="I647" s="1966"/>
      <c r="J647" s="1966"/>
      <c r="K647" s="1966"/>
      <c r="L647" s="1966"/>
      <c r="M647" s="1965"/>
      <c r="N647" s="1965"/>
      <c r="O647" s="1965"/>
      <c r="P647" s="1966"/>
      <c r="Q647" s="1966"/>
      <c r="R647" s="1966"/>
      <c r="S647" s="1966"/>
      <c r="T647" s="1966"/>
      <c r="U647" s="1966"/>
      <c r="V647" s="1930"/>
      <c r="W647" s="1930"/>
      <c r="X647" s="1930"/>
      <c r="Y647" s="1930"/>
      <c r="Z647" s="1930"/>
      <c r="AA647" s="1930"/>
      <c r="AB647" s="1930"/>
      <c r="AC647" s="1930"/>
      <c r="AD647" s="1930"/>
      <c r="AE647" s="1930"/>
      <c r="AF647" s="1930"/>
      <c r="AG647" s="1930"/>
      <c r="AH647" s="1930"/>
      <c r="AI647" s="1930"/>
      <c r="AJ647" s="1934"/>
      <c r="AK647" s="1934"/>
      <c r="AL647" s="1934"/>
      <c r="AM647" s="1934"/>
      <c r="AN647" s="1934"/>
      <c r="AO647" s="1934"/>
      <c r="AP647" s="1934"/>
      <c r="AQ647" s="1934"/>
      <c r="AR647" s="1934"/>
      <c r="AS647" s="1934"/>
      <c r="AT647" s="1934"/>
      <c r="AU647" s="1934"/>
      <c r="AV647" s="1931"/>
      <c r="AW647" s="1931"/>
      <c r="AX647" s="1931"/>
      <c r="AY647" s="1931"/>
      <c r="AZ647" s="1931"/>
      <c r="BA647" s="1931"/>
      <c r="BB647" s="1931"/>
      <c r="BC647" s="1931"/>
      <c r="BD647" s="1931"/>
      <c r="BE647" s="1931"/>
      <c r="BF647" s="1931"/>
      <c r="BG647" s="1931"/>
      <c r="BH647" s="1931"/>
      <c r="BI647" s="1931"/>
      <c r="BJ647" s="1931"/>
      <c r="BK647" s="1931"/>
      <c r="BL647" s="1931"/>
      <c r="BM647" s="1931"/>
      <c r="BN647" s="1931"/>
      <c r="BO647" s="1931"/>
      <c r="BP647" s="1931"/>
      <c r="BQ647" s="1931"/>
      <c r="BR647" s="1931"/>
      <c r="BS647" s="1931"/>
      <c r="BT647" s="1931"/>
      <c r="BU647" s="1931"/>
      <c r="BV647" s="1931"/>
      <c r="BW647" s="1931"/>
      <c r="BX647" s="1931"/>
      <c r="BY647" s="1931"/>
      <c r="BZ647" s="1931"/>
      <c r="CA647" s="1931"/>
      <c r="CB647" s="1931"/>
      <c r="CC647" s="1931"/>
      <c r="CD647" s="1931"/>
      <c r="CE647" s="1930"/>
      <c r="CF647" s="1930"/>
      <c r="CG647" s="1930"/>
      <c r="CH647" s="1930"/>
      <c r="CI647" s="1931"/>
      <c r="CJ647" s="1931"/>
      <c r="CK647" s="1931"/>
      <c r="CL647" s="1931"/>
      <c r="CM647" s="1931"/>
      <c r="CN647" s="1931"/>
      <c r="CO647" s="1931"/>
      <c r="CP647" s="1931"/>
      <c r="CQ647" s="1931"/>
      <c r="CR647" s="1931"/>
      <c r="CS647" s="1931"/>
      <c r="CT647" s="1930"/>
      <c r="CU647" s="1930"/>
      <c r="CV647" s="1930"/>
      <c r="CW647" s="1930"/>
      <c r="CX647" s="1931"/>
      <c r="CY647" s="1931"/>
      <c r="CZ647" s="1931"/>
      <c r="DA647" s="1931"/>
      <c r="DB647" s="1932"/>
      <c r="DC647" s="1931"/>
      <c r="DD647" s="1931"/>
      <c r="DE647" s="1931"/>
      <c r="DF647" s="1931"/>
    </row>
    <row r="648" spans="2:112" s="44" customFormat="1" ht="30" x14ac:dyDescent="0.25">
      <c r="B648" s="45"/>
      <c r="C648" s="46" t="s">
        <v>28</v>
      </c>
      <c r="D648" s="46" t="s">
        <v>29</v>
      </c>
      <c r="E648" s="3196" t="s">
        <v>30</v>
      </c>
      <c r="F648" s="3196" t="s">
        <v>2832</v>
      </c>
      <c r="G648" s="3196" t="s">
        <v>176</v>
      </c>
      <c r="H648" s="47" t="s">
        <v>177</v>
      </c>
      <c r="I648" s="3196" t="s">
        <v>32</v>
      </c>
      <c r="J648" s="3196" t="s">
        <v>181</v>
      </c>
      <c r="K648" s="46" t="s">
        <v>3104</v>
      </c>
      <c r="L648" s="46" t="s">
        <v>44</v>
      </c>
      <c r="M648" s="1965"/>
      <c r="N648" s="1965"/>
      <c r="O648" s="1965"/>
      <c r="P648" s="1288"/>
      <c r="Q648" s="1288"/>
      <c r="R648" s="1288"/>
      <c r="S648" s="1288"/>
      <c r="T648" s="1288"/>
      <c r="U648" s="1288"/>
      <c r="V648" s="1936" t="s">
        <v>45</v>
      </c>
      <c r="W648" s="1937">
        <f>$W$8</f>
        <v>43252</v>
      </c>
      <c r="X648" s="1937">
        <f>$X$8</f>
        <v>43465</v>
      </c>
      <c r="Y648" s="1937">
        <f>$Y$8</f>
        <v>43800</v>
      </c>
      <c r="Z648" s="1937">
        <f>$Z$8</f>
        <v>43862</v>
      </c>
      <c r="AA648" s="1937">
        <f>$AA$8</f>
        <v>44013</v>
      </c>
      <c r="AB648" s="1937">
        <v>44166</v>
      </c>
      <c r="AC648" s="1937">
        <f>$AC$8</f>
        <v>44531</v>
      </c>
      <c r="AD648" s="1937" t="str">
        <f>$AD$8</f>
        <v>-</v>
      </c>
      <c r="AE648" s="1937" t="str">
        <f>$AE$8</f>
        <v>-</v>
      </c>
      <c r="AF648" s="1937" t="str">
        <f>$AF$8</f>
        <v>-</v>
      </c>
      <c r="AG648" s="1937" t="str">
        <f>$AG$8</f>
        <v>-</v>
      </c>
      <c r="AH648" s="1930"/>
      <c r="AI648" s="1936" t="s">
        <v>45</v>
      </c>
      <c r="AJ648" s="1937">
        <v>43252</v>
      </c>
      <c r="AK648" s="1937">
        <f>$X$8</f>
        <v>43465</v>
      </c>
      <c r="AL648" s="1937">
        <f>$Y$8</f>
        <v>43800</v>
      </c>
      <c r="AM648" s="1937">
        <f>$Z$8</f>
        <v>43862</v>
      </c>
      <c r="AN648" s="1937">
        <f>$AA$8</f>
        <v>44013</v>
      </c>
      <c r="AO648" s="1937">
        <f>$AB$8</f>
        <v>44166</v>
      </c>
      <c r="AP648" s="1937">
        <f>$AC$8</f>
        <v>44531</v>
      </c>
      <c r="AQ648" s="1937" t="str">
        <f>$AD$8</f>
        <v>-</v>
      </c>
      <c r="AR648" s="1937" t="str">
        <f>$AE$8</f>
        <v>-</v>
      </c>
      <c r="AS648" s="1937" t="str">
        <f>$AF$8</f>
        <v>-</v>
      </c>
      <c r="AT648" s="1933"/>
      <c r="AU648" s="1936" t="s">
        <v>45</v>
      </c>
      <c r="AV648" s="1937">
        <v>43252</v>
      </c>
      <c r="AW648" s="1937">
        <f>$X$8</f>
        <v>43465</v>
      </c>
      <c r="AX648" s="1937">
        <f>$Y$8</f>
        <v>43800</v>
      </c>
      <c r="AY648" s="1937">
        <f>$Z$8</f>
        <v>43862</v>
      </c>
      <c r="AZ648" s="1937">
        <f>$AA$8</f>
        <v>44013</v>
      </c>
      <c r="BA648" s="1937">
        <v>44166</v>
      </c>
      <c r="BB648" s="1937">
        <f>$AC$8</f>
        <v>44531</v>
      </c>
      <c r="BC648" s="1937" t="str">
        <f>$AD$8</f>
        <v>-</v>
      </c>
      <c r="BD648" s="1937" t="str">
        <f>$AE$8</f>
        <v>-</v>
      </c>
      <c r="BE648" s="1937" t="str">
        <f>$AF$8</f>
        <v>-</v>
      </c>
      <c r="DB648" s="1938" t="str">
        <f>$DB$8</f>
        <v>TRC (2020)</v>
      </c>
      <c r="DC648" s="1953" t="str">
        <f>$DC$8</f>
        <v>Benefit Lookup</v>
      </c>
      <c r="DD648" s="1953" t="str">
        <f>$DD$8</f>
        <v>Benefits (2019 $)</v>
      </c>
      <c r="DE648" s="1953" t="str">
        <f>$DE$8</f>
        <v>Incremental Cost (2019 $)</v>
      </c>
    </row>
    <row r="649" spans="2:112" s="1931" customFormat="1" x14ac:dyDescent="0.25">
      <c r="C649" s="1997" t="s">
        <v>3105</v>
      </c>
      <c r="D649" s="1989" t="s">
        <v>2646</v>
      </c>
      <c r="E649" s="1990" t="s">
        <v>3106</v>
      </c>
      <c r="F649" s="1137">
        <f>ROUND(F660*G660,2)</f>
        <v>4197</v>
      </c>
      <c r="G649" s="1290" t="s">
        <v>2844</v>
      </c>
      <c r="H649" s="1291">
        <f>VLOOKUP(G649,'CP FACTORS'!$A$26:$B$38,2,FALSE)</f>
        <v>1.998949E-4</v>
      </c>
      <c r="I649" s="1991">
        <f>F649*H649</f>
        <v>0.83895889530000001</v>
      </c>
      <c r="J649" s="1992">
        <v>15</v>
      </c>
      <c r="K649" s="1310">
        <v>1991</v>
      </c>
      <c r="L649" s="1374" t="s">
        <v>3050</v>
      </c>
      <c r="M649" s="1965"/>
      <c r="N649" s="1965"/>
      <c r="O649" s="1965"/>
      <c r="P649" s="1965"/>
      <c r="Q649" s="1965"/>
      <c r="R649" s="1965"/>
      <c r="S649" s="1965"/>
      <c r="T649" s="1965"/>
      <c r="U649" s="1965"/>
      <c r="V649" s="3226" t="s">
        <v>31</v>
      </c>
      <c r="W649" s="1947"/>
      <c r="X649" s="1947"/>
      <c r="Y649" s="1947"/>
      <c r="Z649" s="1947"/>
      <c r="AA649" s="1981">
        <v>4486</v>
      </c>
      <c r="AB649" s="1825">
        <v>4197</v>
      </c>
      <c r="AC649" s="3364">
        <v>4197</v>
      </c>
      <c r="AD649" s="1941"/>
      <c r="AE649" s="1941"/>
      <c r="AF649" s="1941"/>
      <c r="AG649" s="1941"/>
      <c r="AH649" s="1942"/>
      <c r="AI649" s="3226" t="s">
        <v>181</v>
      </c>
      <c r="AJ649" s="1943"/>
      <c r="AK649" s="1943"/>
      <c r="AL649" s="1943"/>
      <c r="AM649" s="1941"/>
      <c r="AN649" s="1958">
        <v>15</v>
      </c>
      <c r="AO649" s="2386">
        <v>15</v>
      </c>
      <c r="AP649" s="2386">
        <v>15</v>
      </c>
      <c r="AQ649" s="1941"/>
      <c r="AR649" s="1941"/>
      <c r="AS649" s="1941"/>
      <c r="AT649" s="1933"/>
      <c r="AU649" s="3226" t="s">
        <v>170</v>
      </c>
      <c r="AV649" s="1944"/>
      <c r="AW649" s="1944"/>
      <c r="AX649" s="1944"/>
      <c r="AY649" s="1944"/>
      <c r="AZ649" s="102">
        <v>1991</v>
      </c>
      <c r="BA649" s="2103">
        <v>1991</v>
      </c>
      <c r="BB649" s="2103">
        <v>1991</v>
      </c>
      <c r="BC649" s="1944"/>
      <c r="BD649" s="1944"/>
      <c r="BE649" s="1944"/>
      <c r="CE649" s="1930"/>
      <c r="CF649" s="1930"/>
      <c r="CG649" s="1930"/>
      <c r="CH649" s="1930"/>
      <c r="CT649" s="1930"/>
      <c r="CU649" s="1930"/>
      <c r="CV649" s="1930"/>
      <c r="CW649" s="1930"/>
      <c r="DB649" s="1954">
        <f>(DD649)/(DE649)</f>
        <v>1.3891185390100806</v>
      </c>
      <c r="DC649" s="3166" t="str">
        <f>CONCATENATE(G649," ",J649," Year EUL")</f>
        <v>Cooking BUS 15 Year EUL</v>
      </c>
      <c r="DD649" s="1955">
        <f>(INDEX('Avoided Cost Benefits'!$C$4:$C$857,MATCH(DC649,'Avoided Cost Benefits'!$A$4:$A$857,0)))*F649</f>
        <v>2610.4153007730724</v>
      </c>
      <c r="DE649" s="1956">
        <f>K649/(1.0595^(2020-2019))</f>
        <v>1879.1882963662104</v>
      </c>
    </row>
    <row r="650" spans="2:112" s="1931" customFormat="1" x14ac:dyDescent="0.25">
      <c r="C650" s="1997" t="s">
        <v>3107</v>
      </c>
      <c r="D650" s="1363" t="s">
        <v>2646</v>
      </c>
      <c r="E650" s="1308" t="s">
        <v>3108</v>
      </c>
      <c r="F650" s="1137">
        <f>ROUND(F661*G661,2)</f>
        <v>4197</v>
      </c>
      <c r="G650" s="1290" t="s">
        <v>2844</v>
      </c>
      <c r="H650" s="1291">
        <f>VLOOKUP(G650,'CP FACTORS'!$A$26:$B$38,2,FALSE)</f>
        <v>1.998949E-4</v>
      </c>
      <c r="I650" s="1991">
        <f>F650*H650</f>
        <v>0.83895889530000001</v>
      </c>
      <c r="J650" s="1992">
        <v>15</v>
      </c>
      <c r="K650" s="1310">
        <v>1991</v>
      </c>
      <c r="L650" s="1374" t="s">
        <v>3050</v>
      </c>
      <c r="M650" s="1965"/>
      <c r="N650" s="1965"/>
      <c r="O650" s="1965"/>
      <c r="P650" s="1965"/>
      <c r="Q650" s="1965"/>
      <c r="R650" s="1965"/>
      <c r="S650" s="1965"/>
      <c r="T650" s="1965"/>
      <c r="U650" s="1965"/>
      <c r="V650" s="3226" t="str">
        <f>V649</f>
        <v>kWh Annual Savings</v>
      </c>
      <c r="W650" s="1947"/>
      <c r="X650" s="1947"/>
      <c r="Y650" s="1947"/>
      <c r="Z650" s="1941"/>
      <c r="AA650" s="1981">
        <v>4486</v>
      </c>
      <c r="AB650" s="1825">
        <v>4197</v>
      </c>
      <c r="AC650" s="3364">
        <v>4197</v>
      </c>
      <c r="AD650" s="1941"/>
      <c r="AE650" s="1941"/>
      <c r="AF650" s="1941"/>
      <c r="AG650" s="1941"/>
      <c r="AH650" s="1942"/>
      <c r="AI650" s="3226" t="s">
        <v>181</v>
      </c>
      <c r="AJ650" s="1943"/>
      <c r="AK650" s="1943"/>
      <c r="AL650" s="1943"/>
      <c r="AM650" s="1941"/>
      <c r="AN650" s="1958">
        <v>15</v>
      </c>
      <c r="AO650" s="2386">
        <v>15</v>
      </c>
      <c r="AP650" s="2386">
        <v>15</v>
      </c>
      <c r="AQ650" s="1941"/>
      <c r="AR650" s="1941"/>
      <c r="AS650" s="1941"/>
      <c r="AT650" s="1933"/>
      <c r="AU650" s="3226" t="s">
        <v>170</v>
      </c>
      <c r="AV650" s="1944"/>
      <c r="AW650" s="1944"/>
      <c r="AX650" s="1944"/>
      <c r="AY650" s="1944"/>
      <c r="AZ650" s="102">
        <v>1991</v>
      </c>
      <c r="BA650" s="2103">
        <v>1991</v>
      </c>
      <c r="BB650" s="2103">
        <v>1991</v>
      </c>
      <c r="BC650" s="1944"/>
      <c r="BD650" s="1944"/>
      <c r="BE650" s="1944"/>
      <c r="CE650" s="1930"/>
      <c r="CF650" s="1930"/>
      <c r="CG650" s="1930"/>
      <c r="CH650" s="1930"/>
      <c r="CT650" s="1930"/>
      <c r="CU650" s="1930"/>
      <c r="CV650" s="1930"/>
      <c r="CW650" s="1930"/>
      <c r="DB650" s="1954">
        <f>(DD650)/(DE650)</f>
        <v>1.3891185390100806</v>
      </c>
      <c r="DC650" s="3166" t="str">
        <f>CONCATENATE(G650," ",J650," Year EUL")</f>
        <v>Cooking BUS 15 Year EUL</v>
      </c>
      <c r="DD650" s="1955">
        <f>(INDEX('Avoided Cost Benefits'!$C$4:$C$857,MATCH(DC650,'Avoided Cost Benefits'!$A$4:$A$857,0)))*F650</f>
        <v>2610.4153007730724</v>
      </c>
      <c r="DE650" s="1956">
        <f>K650/(1.0595^(2020-2019))</f>
        <v>1879.1882963662104</v>
      </c>
    </row>
    <row r="651" spans="2:112" hidden="1" outlineLevel="1" x14ac:dyDescent="0.25">
      <c r="B651" s="1931"/>
      <c r="D651" s="1966"/>
      <c r="E651" s="1966"/>
      <c r="F651" s="1966"/>
      <c r="G651" s="1966"/>
      <c r="H651" s="1299"/>
      <c r="I651" s="1966"/>
      <c r="J651" s="1966"/>
      <c r="K651" s="1965"/>
      <c r="L651" s="1965"/>
      <c r="M651" s="1965"/>
      <c r="N651" s="1965"/>
      <c r="O651" s="1965"/>
      <c r="P651" s="1965"/>
      <c r="Q651" s="1965"/>
      <c r="R651" s="1965"/>
      <c r="S651" s="1965"/>
      <c r="T651" s="1965"/>
      <c r="U651" s="1965"/>
      <c r="V651" s="1931"/>
      <c r="W651" s="1931"/>
      <c r="X651" s="1931"/>
      <c r="Y651" s="1931"/>
      <c r="Z651" s="1931"/>
      <c r="AA651" s="1931"/>
      <c r="AB651" s="1931"/>
      <c r="AC651" s="1931"/>
      <c r="AD651" s="1931"/>
      <c r="AE651" s="1931"/>
      <c r="AF651" s="1931"/>
      <c r="AG651" s="1931"/>
      <c r="AH651" s="1931"/>
      <c r="AI651" s="1931"/>
      <c r="AJ651" s="1931"/>
      <c r="AK651" s="1931"/>
      <c r="AL651" s="1931"/>
      <c r="AM651" s="1931"/>
      <c r="AN651" s="1931"/>
      <c r="AO651" s="1931"/>
      <c r="AP651" s="1931"/>
      <c r="AQ651" s="1931"/>
      <c r="AR651" s="1931"/>
      <c r="AS651" s="1931"/>
      <c r="AT651" s="1931"/>
      <c r="AU651" s="1931"/>
      <c r="AV651" s="1931"/>
      <c r="AW651" s="1931"/>
      <c r="AX651" s="1931"/>
      <c r="AY651" s="1931"/>
      <c r="AZ651" s="1931"/>
      <c r="BA651" s="1931"/>
      <c r="BB651" s="1931"/>
      <c r="BC651" s="1931"/>
      <c r="BD651" s="1931"/>
      <c r="BE651" s="1931"/>
      <c r="BF651" s="1931"/>
      <c r="BG651" s="1931"/>
      <c r="BH651" s="1931"/>
      <c r="BI651" s="1931"/>
      <c r="BJ651" s="1931"/>
      <c r="BK651" s="1931"/>
      <c r="BL651" s="1931"/>
      <c r="BM651" s="1931"/>
      <c r="BN651" s="1931"/>
      <c r="BO651" s="1931"/>
      <c r="BP651" s="1931"/>
      <c r="BQ651" s="1931"/>
      <c r="BR651" s="1931"/>
      <c r="BS651" s="1931"/>
      <c r="BT651" s="1931"/>
      <c r="BU651" s="1931"/>
      <c r="BV651" s="1931"/>
      <c r="BW651" s="1931"/>
      <c r="BX651" s="1931"/>
      <c r="BY651" s="1931"/>
      <c r="BZ651" s="1931"/>
      <c r="CA651" s="1931"/>
      <c r="CB651" s="1931"/>
      <c r="CC651" s="1931"/>
      <c r="CD651" s="1931"/>
      <c r="CE651" s="1930"/>
      <c r="CF651" s="1930"/>
      <c r="CG651" s="1930"/>
      <c r="CH651" s="1930"/>
      <c r="CI651" s="1931"/>
      <c r="CJ651" s="1931"/>
      <c r="CK651" s="1931"/>
      <c r="CL651" s="1931"/>
      <c r="CM651" s="1931"/>
      <c r="CN651" s="1931"/>
      <c r="CO651" s="1931"/>
      <c r="CP651" s="1931"/>
      <c r="CQ651" s="1931"/>
      <c r="CR651" s="1931"/>
      <c r="CS651" s="1931"/>
      <c r="CT651" s="1930"/>
      <c r="CU651" s="1930"/>
      <c r="CV651" s="1930"/>
      <c r="CW651" s="1930"/>
      <c r="CX651" s="1931"/>
      <c r="CY651" s="1931"/>
      <c r="CZ651" s="1931"/>
      <c r="DA651" s="1931"/>
      <c r="DB651" s="1932"/>
      <c r="DC651" s="1931"/>
      <c r="DD651" s="1931"/>
      <c r="DE651" s="1931"/>
      <c r="DF651" s="1931"/>
    </row>
    <row r="652" spans="2:112" hidden="1" outlineLevel="1" x14ac:dyDescent="0.25">
      <c r="B652" s="1931"/>
      <c r="D652" s="1966" t="s">
        <v>2689</v>
      </c>
      <c r="E652" s="151"/>
      <c r="F652" s="1966"/>
      <c r="G652" s="1966"/>
      <c r="H652" s="1299"/>
      <c r="I652" s="1966"/>
      <c r="J652" s="1966"/>
      <c r="K652" s="151"/>
      <c r="L652" s="1965"/>
      <c r="M652" s="1965"/>
      <c r="N652" s="1965"/>
      <c r="O652" s="1965"/>
      <c r="P652" s="1965"/>
      <c r="Q652" s="1965"/>
      <c r="R652" s="1965"/>
      <c r="S652" s="1965"/>
      <c r="T652" s="1965"/>
      <c r="U652" s="1965"/>
      <c r="V652" s="1931"/>
      <c r="W652" s="1931"/>
      <c r="X652" s="1931"/>
      <c r="Y652" s="1931"/>
      <c r="Z652" s="1931"/>
      <c r="AA652" s="1931"/>
      <c r="AB652" s="1931"/>
      <c r="AC652" s="1931"/>
      <c r="AD652" s="1931"/>
      <c r="AE652" s="1931"/>
      <c r="AF652" s="1931"/>
      <c r="AG652" s="1931"/>
      <c r="AH652" s="1931"/>
      <c r="AI652" s="1931"/>
      <c r="AJ652" s="1931"/>
      <c r="AK652" s="1931"/>
      <c r="AL652" s="1931"/>
      <c r="AM652" s="1931"/>
      <c r="AN652" s="1931"/>
      <c r="AO652" s="1931"/>
      <c r="AP652" s="1931"/>
      <c r="AQ652" s="1931"/>
      <c r="AR652" s="1931"/>
      <c r="AS652" s="1931"/>
      <c r="AT652" s="1931"/>
      <c r="AU652" s="1931"/>
      <c r="AV652" s="1931"/>
      <c r="AW652" s="1931"/>
      <c r="AX652" s="1931"/>
      <c r="AY652" s="1931"/>
      <c r="AZ652" s="1931"/>
      <c r="BA652" s="1931"/>
      <c r="BB652" s="1931"/>
      <c r="BC652" s="1931"/>
      <c r="BD652" s="1931"/>
      <c r="BE652" s="1931"/>
      <c r="BF652" s="1931"/>
      <c r="BG652" s="1931"/>
      <c r="BH652" s="1931"/>
      <c r="BI652" s="1931"/>
      <c r="BJ652" s="1931"/>
      <c r="BK652" s="1931"/>
      <c r="BL652" s="1931"/>
      <c r="BM652" s="1931"/>
      <c r="BN652" s="1931"/>
      <c r="BO652" s="1931"/>
      <c r="BP652" s="1931"/>
      <c r="BQ652" s="1931"/>
      <c r="BR652" s="1931"/>
      <c r="BS652" s="1931"/>
      <c r="BT652" s="1931"/>
      <c r="BU652" s="1931"/>
      <c r="BV652" s="1931"/>
      <c r="BW652" s="1931"/>
      <c r="BX652" s="1931"/>
      <c r="BY652" s="1931"/>
      <c r="BZ652" s="1931"/>
      <c r="CA652" s="1931"/>
      <c r="CB652" s="1931"/>
      <c r="CC652" s="1931"/>
      <c r="CD652" s="1931"/>
      <c r="CE652" s="1930"/>
      <c r="CF652" s="1930"/>
      <c r="CG652" s="1930"/>
      <c r="CH652" s="1930"/>
      <c r="CI652" s="1931"/>
      <c r="CJ652" s="1931"/>
      <c r="CK652" s="1931"/>
      <c r="CL652" s="1931"/>
      <c r="CM652" s="1931"/>
      <c r="CN652" s="1931"/>
      <c r="CO652" s="1931"/>
      <c r="CP652" s="1931"/>
      <c r="CQ652" s="1931"/>
      <c r="CR652" s="1931"/>
      <c r="CS652" s="1931"/>
      <c r="CT652" s="1930"/>
      <c r="CU652" s="1930"/>
      <c r="CV652" s="1930"/>
      <c r="CW652" s="1930"/>
      <c r="CX652" s="1931"/>
      <c r="CY652" s="1931"/>
      <c r="CZ652" s="1931"/>
      <c r="DA652" s="1931"/>
      <c r="DB652" s="1932"/>
      <c r="DC652" s="1931"/>
      <c r="DD652" s="1931"/>
      <c r="DE652" s="1931"/>
      <c r="DF652" s="1931"/>
    </row>
    <row r="653" spans="2:112" hidden="1" outlineLevel="1" x14ac:dyDescent="0.25">
      <c r="B653" s="1931"/>
      <c r="D653" s="1300"/>
      <c r="E653" s="151"/>
      <c r="F653" s="151"/>
      <c r="G653" s="1321"/>
      <c r="H653" s="1322"/>
      <c r="I653" s="1965"/>
      <c r="J653" s="1965"/>
      <c r="K653" s="1965"/>
      <c r="L653" s="1965"/>
      <c r="M653" s="1965"/>
      <c r="N653" s="1965"/>
      <c r="O653" s="1965"/>
      <c r="P653" s="1965"/>
      <c r="Q653" s="1965"/>
      <c r="R653" s="1965"/>
      <c r="S653" s="1965"/>
      <c r="T653" s="1965"/>
      <c r="U653" s="1965"/>
      <c r="V653" s="1931"/>
      <c r="W653" s="1931"/>
      <c r="X653" s="1931"/>
      <c r="Y653" s="1931"/>
      <c r="Z653" s="1931"/>
      <c r="AA653" s="1931"/>
      <c r="AB653" s="1931"/>
      <c r="AC653" s="1931"/>
      <c r="AD653" s="1931"/>
      <c r="AE653" s="1931"/>
      <c r="AF653" s="1931"/>
      <c r="AG653" s="1931"/>
      <c r="AH653" s="1931"/>
      <c r="AI653" s="1931"/>
      <c r="AJ653" s="1931"/>
      <c r="AK653" s="1931"/>
      <c r="AL653" s="1931"/>
      <c r="AM653" s="1931"/>
      <c r="AN653" s="1931"/>
      <c r="AO653" s="1931"/>
      <c r="AP653" s="1931"/>
      <c r="AQ653" s="1931"/>
      <c r="AR653" s="1931"/>
      <c r="AS653" s="1931"/>
      <c r="AT653" s="1931"/>
      <c r="AU653" s="1931"/>
      <c r="AV653" s="1931"/>
      <c r="AW653" s="1931"/>
      <c r="AX653" s="1931"/>
      <c r="AY653" s="1931"/>
      <c r="AZ653" s="1931"/>
      <c r="BA653" s="1931"/>
      <c r="BB653" s="1931"/>
      <c r="BC653" s="1931"/>
      <c r="BD653" s="1931"/>
      <c r="BE653" s="1931"/>
      <c r="BF653" s="1931"/>
      <c r="BG653" s="1931"/>
      <c r="BH653" s="1931"/>
      <c r="BI653" s="1931"/>
      <c r="BJ653" s="1931"/>
      <c r="BK653" s="1931"/>
      <c r="BL653" s="1931"/>
      <c r="BM653" s="1931"/>
      <c r="BN653" s="1931"/>
      <c r="BO653" s="1931"/>
      <c r="BP653" s="1931"/>
      <c r="BQ653" s="1931"/>
      <c r="BR653" s="1931"/>
      <c r="BS653" s="1931"/>
      <c r="BT653" s="1931"/>
      <c r="BU653" s="1931"/>
      <c r="BV653" s="1931"/>
      <c r="BW653" s="1931"/>
      <c r="BX653" s="1931"/>
      <c r="BY653" s="1931"/>
      <c r="BZ653" s="1931"/>
      <c r="CA653" s="1931"/>
      <c r="CB653" s="1931"/>
      <c r="CC653" s="1931"/>
      <c r="CD653" s="1931"/>
      <c r="CE653" s="1930"/>
      <c r="CF653" s="1930"/>
      <c r="CG653" s="1930"/>
      <c r="CH653" s="1930"/>
      <c r="CI653" s="1931"/>
      <c r="CJ653" s="1931"/>
      <c r="CK653" s="1931"/>
      <c r="CL653" s="1931"/>
      <c r="CM653" s="1931"/>
      <c r="CN653" s="1931"/>
      <c r="CO653" s="1931"/>
      <c r="CP653" s="1931"/>
      <c r="CQ653" s="1931"/>
      <c r="CR653" s="1931"/>
      <c r="CS653" s="1931"/>
      <c r="CT653" s="1930"/>
      <c r="CU653" s="1930"/>
      <c r="CV653" s="1930"/>
      <c r="CW653" s="1930"/>
      <c r="CX653" s="1931"/>
      <c r="CY653" s="1931"/>
      <c r="CZ653" s="1931"/>
      <c r="DA653" s="1931"/>
      <c r="DB653" s="1932"/>
      <c r="DC653" s="1931"/>
      <c r="DD653" s="1931"/>
      <c r="DE653" s="1931"/>
      <c r="DF653" s="1931"/>
    </row>
    <row r="654" spans="2:112" hidden="1" outlineLevel="1" x14ac:dyDescent="0.25">
      <c r="B654" s="1931"/>
      <c r="D654" s="1300"/>
      <c r="E654" s="1965"/>
      <c r="F654" s="1965"/>
      <c r="G654" s="1321"/>
      <c r="H654" s="1322"/>
      <c r="I654" s="1965"/>
      <c r="J654" s="1965"/>
      <c r="K654" s="1965"/>
      <c r="L654" s="1965"/>
      <c r="M654" s="1965"/>
      <c r="N654" s="1965"/>
      <c r="O654" s="1965"/>
      <c r="P654" s="4483"/>
      <c r="Q654" s="4483"/>
      <c r="R654" s="1965"/>
      <c r="S654" s="1965"/>
      <c r="T654" s="1965"/>
      <c r="U654" s="1965"/>
      <c r="V654" s="1931"/>
      <c r="W654" s="1931"/>
      <c r="X654" s="1931"/>
      <c r="Y654" s="1931"/>
      <c r="Z654" s="1931"/>
      <c r="AA654" s="1931"/>
      <c r="AB654" s="1931"/>
      <c r="AC654" s="1931"/>
      <c r="AD654" s="1931"/>
      <c r="AE654" s="1931"/>
      <c r="AF654" s="1931"/>
      <c r="AG654" s="1931"/>
      <c r="AH654" s="1931"/>
      <c r="AI654" s="1931"/>
      <c r="AJ654" s="1931"/>
      <c r="AK654" s="1931"/>
      <c r="AL654" s="1931"/>
      <c r="AM654" s="1931"/>
      <c r="AN654" s="1931"/>
      <c r="AO654" s="1931"/>
      <c r="AP654" s="1931"/>
      <c r="AQ654" s="1931"/>
      <c r="AR654" s="1931"/>
      <c r="AS654" s="1931"/>
      <c r="AT654" s="1931"/>
      <c r="AU654" s="1931"/>
      <c r="AV654" s="1931"/>
      <c r="AW654" s="1931"/>
      <c r="AX654" s="1931"/>
      <c r="AY654" s="1931"/>
      <c r="AZ654" s="1931"/>
      <c r="BA654" s="1931"/>
      <c r="BB654" s="1931"/>
      <c r="BC654" s="1931"/>
      <c r="BD654" s="1931"/>
      <c r="BE654" s="1931"/>
      <c r="BF654" s="1931"/>
      <c r="BG654" s="1931"/>
      <c r="BH654" s="1931"/>
      <c r="BI654" s="1931"/>
      <c r="BJ654" s="1931"/>
      <c r="BK654" s="1931"/>
      <c r="BL654" s="1931"/>
      <c r="BM654" s="1931"/>
      <c r="BN654" s="1931"/>
      <c r="BO654" s="1931"/>
      <c r="BP654" s="1931"/>
      <c r="BQ654" s="1931"/>
      <c r="BR654" s="1931"/>
      <c r="BS654" s="1931"/>
      <c r="BT654" s="1931"/>
      <c r="BU654" s="1931"/>
      <c r="BV654" s="1931"/>
      <c r="BW654" s="1931"/>
      <c r="BX654" s="1931"/>
      <c r="BY654" s="1931"/>
      <c r="BZ654" s="1931"/>
      <c r="CA654" s="1931"/>
      <c r="CB654" s="1931"/>
      <c r="CC654" s="1931"/>
      <c r="CD654" s="1931"/>
      <c r="CE654" s="1930"/>
      <c r="CF654" s="1930"/>
      <c r="CG654" s="1930"/>
      <c r="CH654" s="1930"/>
      <c r="CI654" s="1931"/>
      <c r="CJ654" s="1931"/>
      <c r="CK654" s="1931"/>
      <c r="CL654" s="1931"/>
      <c r="CM654" s="1931"/>
      <c r="CN654" s="1931"/>
      <c r="CO654" s="1931"/>
      <c r="CP654" s="1931"/>
      <c r="CQ654" s="1931"/>
      <c r="CR654" s="1931"/>
      <c r="CS654" s="1931"/>
      <c r="CT654" s="1930"/>
      <c r="CU654" s="1930"/>
      <c r="CV654" s="1930"/>
      <c r="CW654" s="1930"/>
      <c r="CX654" s="1931"/>
      <c r="CY654" s="1931"/>
      <c r="CZ654" s="1931"/>
      <c r="DA654" s="1931"/>
      <c r="DB654" s="1932"/>
      <c r="DC654" s="1931"/>
      <c r="DD654" s="1931"/>
      <c r="DE654" s="1931"/>
      <c r="DF654" s="1931"/>
    </row>
    <row r="655" spans="2:112" hidden="1" outlineLevel="1" x14ac:dyDescent="0.25">
      <c r="B655" s="1931"/>
      <c r="D655" s="1300"/>
      <c r="E655" s="1965"/>
      <c r="F655" s="1965"/>
      <c r="G655" s="1965"/>
      <c r="H655" s="1301"/>
      <c r="I655" s="1965"/>
      <c r="J655" s="1965"/>
      <c r="K655" s="1965"/>
      <c r="L655" s="1965"/>
      <c r="M655" s="1966"/>
      <c r="N655" s="1965"/>
      <c r="O655" s="1965"/>
      <c r="P655" s="4483"/>
      <c r="Q655" s="4483"/>
      <c r="R655" s="1965"/>
      <c r="S655" s="1965"/>
      <c r="T655" s="1965"/>
      <c r="U655" s="1965"/>
      <c r="V655" s="1931"/>
      <c r="W655" s="1931"/>
      <c r="X655" s="1931"/>
      <c r="Y655" s="1931"/>
      <c r="Z655" s="1931"/>
      <c r="AA655" s="1931"/>
      <c r="AB655" s="1931"/>
      <c r="AC655" s="1931"/>
      <c r="AD655" s="1931"/>
      <c r="AE655" s="1931"/>
      <c r="AF655" s="1931"/>
      <c r="AG655" s="1931"/>
      <c r="AH655" s="1931"/>
      <c r="AI655" s="1931"/>
      <c r="AJ655" s="1931"/>
      <c r="AK655" s="1931"/>
      <c r="AL655" s="1931"/>
      <c r="AM655" s="1931"/>
      <c r="AN655" s="1931"/>
      <c r="AO655" s="1931"/>
      <c r="AP655" s="1931"/>
      <c r="AQ655" s="1931"/>
      <c r="AR655" s="1931"/>
      <c r="AS655" s="1931"/>
      <c r="AT655" s="1931"/>
      <c r="AU655" s="1931"/>
      <c r="AV655" s="1931"/>
      <c r="AW655" s="1931"/>
      <c r="AX655" s="1931"/>
      <c r="AY655" s="1931"/>
      <c r="AZ655" s="1931"/>
      <c r="BA655" s="1931"/>
      <c r="BB655" s="1931"/>
      <c r="BC655" s="1931"/>
      <c r="BD655" s="1931"/>
      <c r="BE655" s="1931"/>
      <c r="BF655" s="1931"/>
      <c r="BG655" s="1931"/>
      <c r="BH655" s="1931"/>
      <c r="BI655" s="1931"/>
      <c r="BJ655" s="1931"/>
      <c r="BK655" s="1931"/>
      <c r="BL655" s="1931"/>
      <c r="BM655" s="1931"/>
      <c r="BN655" s="1931"/>
      <c r="BO655" s="1931"/>
      <c r="BP655" s="1931"/>
      <c r="BQ655" s="1931"/>
      <c r="BR655" s="1931"/>
      <c r="BS655" s="1931"/>
      <c r="BT655" s="1931"/>
      <c r="BU655" s="1931"/>
      <c r="BV655" s="1931"/>
      <c r="BW655" s="1931"/>
      <c r="BX655" s="1931"/>
      <c r="BY655" s="1931"/>
      <c r="BZ655" s="1931"/>
      <c r="CA655" s="1931"/>
      <c r="CB655" s="1931"/>
      <c r="CC655" s="1931"/>
      <c r="CD655" s="1931"/>
      <c r="CE655" s="1930"/>
      <c r="CF655" s="1930"/>
      <c r="CG655" s="1930"/>
      <c r="CH655" s="1930"/>
      <c r="CI655" s="1931"/>
      <c r="CJ655" s="1931"/>
      <c r="CK655" s="1931"/>
      <c r="CL655" s="1931"/>
      <c r="CM655" s="1931"/>
      <c r="CN655" s="1931"/>
      <c r="CO655" s="1931"/>
      <c r="CP655" s="1931"/>
      <c r="CQ655" s="1931"/>
      <c r="CR655" s="1931"/>
      <c r="CS655" s="1931"/>
      <c r="CT655" s="1930"/>
      <c r="CU655" s="1930"/>
      <c r="CV655" s="1930"/>
      <c r="CW655" s="1930"/>
      <c r="CX655" s="1931"/>
      <c r="CY655" s="1931"/>
      <c r="CZ655" s="1931"/>
      <c r="DA655" s="1931"/>
      <c r="DB655" s="1932"/>
      <c r="DC655" s="1931"/>
      <c r="DD655" s="1931"/>
      <c r="DE655" s="1931"/>
      <c r="DF655" s="1931"/>
    </row>
    <row r="656" spans="2:112" hidden="1" outlineLevel="1" x14ac:dyDescent="0.25">
      <c r="B656" s="1931"/>
      <c r="D656" s="1300"/>
      <c r="E656" s="1965"/>
      <c r="F656" s="1965"/>
      <c r="G656" s="1965"/>
      <c r="H656" s="1301"/>
      <c r="I656" s="1965"/>
      <c r="J656" s="1965"/>
      <c r="K656" s="1965"/>
      <c r="L656" s="1965"/>
      <c r="M656" s="1966"/>
      <c r="N656" s="1965"/>
      <c r="O656" s="1965"/>
      <c r="P656" s="4483"/>
      <c r="Q656" s="4483"/>
      <c r="R656" s="1965"/>
      <c r="S656" s="1965"/>
      <c r="T656" s="1965"/>
      <c r="U656" s="1965"/>
      <c r="V656" s="1931"/>
      <c r="W656" s="1931"/>
      <c r="X656" s="1931"/>
      <c r="Y656" s="1931"/>
      <c r="Z656" s="1931"/>
      <c r="AA656" s="1931"/>
      <c r="AB656" s="1931"/>
      <c r="AC656" s="1931"/>
      <c r="AD656" s="1931"/>
      <c r="AE656" s="1931"/>
      <c r="AF656" s="1931"/>
      <c r="AG656" s="1931"/>
      <c r="AH656" s="1931"/>
      <c r="AI656" s="1931"/>
      <c r="AJ656" s="1931"/>
      <c r="AK656" s="1931"/>
      <c r="AL656" s="1931"/>
      <c r="AM656" s="1931"/>
      <c r="AN656" s="1931"/>
      <c r="AO656" s="1931"/>
      <c r="AP656" s="1931"/>
      <c r="AQ656" s="1931"/>
      <c r="AR656" s="1931"/>
      <c r="AS656" s="1931"/>
      <c r="AT656" s="1931"/>
      <c r="AU656" s="1931"/>
      <c r="AV656" s="1931"/>
      <c r="AW656" s="1931"/>
      <c r="AX656" s="1931"/>
      <c r="AY656" s="1931"/>
      <c r="AZ656" s="1931"/>
      <c r="BA656" s="1931"/>
      <c r="BB656" s="1931"/>
      <c r="BC656" s="1931"/>
      <c r="BD656" s="1931"/>
      <c r="BE656" s="1931"/>
      <c r="BF656" s="1931"/>
      <c r="BG656" s="1931"/>
      <c r="BH656" s="1931"/>
      <c r="BI656" s="1931"/>
      <c r="BJ656" s="1931"/>
      <c r="BK656" s="1931"/>
      <c r="BL656" s="1931"/>
      <c r="BM656" s="1931"/>
      <c r="BN656" s="1931"/>
      <c r="BO656" s="1931"/>
      <c r="BP656" s="1931"/>
      <c r="BQ656" s="1931"/>
      <c r="BR656" s="1931"/>
      <c r="BS656" s="1931"/>
      <c r="BT656" s="1931"/>
      <c r="BU656" s="1931"/>
      <c r="BV656" s="1931"/>
      <c r="BW656" s="1931"/>
      <c r="BX656" s="1931"/>
      <c r="BY656" s="1931"/>
      <c r="BZ656" s="1931"/>
      <c r="CA656" s="1931"/>
      <c r="CB656" s="1931"/>
      <c r="CC656" s="1931"/>
      <c r="CD656" s="1931"/>
      <c r="CE656" s="1930"/>
      <c r="CF656" s="1930"/>
      <c r="CG656" s="1930"/>
      <c r="CH656" s="1930"/>
      <c r="CI656" s="1931"/>
      <c r="CJ656" s="1931"/>
      <c r="CK656" s="1931"/>
      <c r="CL656" s="1931"/>
      <c r="CM656" s="1931"/>
      <c r="CN656" s="1931"/>
      <c r="CO656" s="1931"/>
      <c r="CP656" s="1931"/>
      <c r="CQ656" s="1931"/>
      <c r="CR656" s="1931"/>
      <c r="CS656" s="1931"/>
      <c r="CT656" s="1930"/>
      <c r="CU656" s="1930"/>
      <c r="CV656" s="1930"/>
      <c r="CW656" s="1930"/>
      <c r="CX656" s="1931"/>
      <c r="CY656" s="1931"/>
      <c r="CZ656" s="1931"/>
      <c r="DA656" s="1931"/>
      <c r="DB656" s="1932"/>
      <c r="DC656" s="1931"/>
      <c r="DD656" s="1931"/>
      <c r="DE656" s="1931"/>
      <c r="DF656" s="1931"/>
    </row>
    <row r="657" spans="2:112" hidden="1" outlineLevel="1" x14ac:dyDescent="0.25">
      <c r="B657" s="1931"/>
      <c r="D657" s="1300"/>
      <c r="E657" s="1965"/>
      <c r="F657" s="1965"/>
      <c r="G657" s="1965"/>
      <c r="H657" s="1301"/>
      <c r="I657" s="1965"/>
      <c r="J657" s="1965"/>
      <c r="K657" s="1965"/>
      <c r="L657" s="1965"/>
      <c r="M657" s="1966"/>
      <c r="N657" s="1965"/>
      <c r="O657" s="1965"/>
      <c r="P657" s="1965"/>
      <c r="Q657" s="1965"/>
      <c r="R657" s="1965"/>
      <c r="S657" s="1965"/>
      <c r="T657" s="1965"/>
      <c r="U657" s="1965"/>
      <c r="V657" s="1931"/>
      <c r="W657" s="1931"/>
      <c r="X657" s="1931"/>
      <c r="Y657" s="1931"/>
      <c r="Z657" s="1931"/>
      <c r="AA657" s="1931"/>
      <c r="AB657" s="1931"/>
      <c r="AC657" s="1931"/>
      <c r="AD657" s="1931"/>
      <c r="AE657" s="1931"/>
      <c r="AF657" s="1931"/>
      <c r="AG657" s="1931"/>
      <c r="AH657" s="1931"/>
      <c r="AI657" s="1931"/>
      <c r="AJ657" s="1931"/>
      <c r="AK657" s="1931"/>
      <c r="AL657" s="1931"/>
      <c r="AM657" s="1931"/>
      <c r="AN657" s="1931"/>
      <c r="AO657" s="1931"/>
      <c r="AP657" s="1931"/>
      <c r="AQ657" s="1931"/>
      <c r="AR657" s="1931"/>
      <c r="AS657" s="1931"/>
      <c r="AT657" s="1931"/>
      <c r="AU657" s="1931"/>
      <c r="AV657" s="1931"/>
      <c r="AW657" s="1931"/>
      <c r="AX657" s="1931"/>
      <c r="AY657" s="1931"/>
      <c r="AZ657" s="1931"/>
      <c r="BA657" s="1931"/>
      <c r="BB657" s="1931"/>
      <c r="BC657" s="1931"/>
      <c r="BD657" s="1931"/>
      <c r="BE657" s="1931"/>
      <c r="BF657" s="1931"/>
      <c r="BG657" s="1931"/>
      <c r="BH657" s="1931"/>
      <c r="BI657" s="1931"/>
      <c r="BJ657" s="1931"/>
      <c r="BK657" s="1931"/>
      <c r="BL657" s="1931"/>
      <c r="BM657" s="1931"/>
      <c r="BN657" s="1931"/>
      <c r="BO657" s="1931"/>
      <c r="BP657" s="1931"/>
      <c r="BQ657" s="1931"/>
      <c r="BR657" s="1931"/>
      <c r="BS657" s="1931"/>
      <c r="BT657" s="1931"/>
      <c r="BU657" s="1931"/>
      <c r="BV657" s="1931"/>
      <c r="BW657" s="1931"/>
      <c r="BX657" s="1931"/>
      <c r="BY657" s="1931"/>
      <c r="BZ657" s="1931"/>
      <c r="CA657" s="1931"/>
      <c r="CB657" s="1931"/>
      <c r="CC657" s="1931"/>
      <c r="CD657" s="1931"/>
      <c r="CE657" s="1930"/>
      <c r="CF657" s="1930"/>
      <c r="CG657" s="1930"/>
      <c r="CH657" s="1930"/>
      <c r="CI657" s="1931"/>
      <c r="CJ657" s="1931"/>
      <c r="CK657" s="1931"/>
      <c r="CL657" s="1931"/>
      <c r="CM657" s="1931"/>
      <c r="CN657" s="1931"/>
      <c r="CO657" s="1931"/>
      <c r="CP657" s="1931"/>
      <c r="CQ657" s="1931"/>
      <c r="CR657" s="1931"/>
      <c r="CS657" s="1931"/>
      <c r="CT657" s="1930"/>
      <c r="CU657" s="1930"/>
      <c r="CV657" s="1930"/>
      <c r="CW657" s="1930"/>
      <c r="CX657" s="1931"/>
      <c r="CY657" s="1931"/>
      <c r="CZ657" s="1931"/>
      <c r="DA657" s="1931"/>
      <c r="DB657" s="1932"/>
      <c r="DC657" s="1931"/>
      <c r="DD657" s="1931"/>
      <c r="DE657" s="1931"/>
      <c r="DF657" s="1931"/>
    </row>
    <row r="658" spans="2:112" hidden="1" outlineLevel="1" x14ac:dyDescent="0.25">
      <c r="B658" s="1931"/>
      <c r="D658" s="1300"/>
      <c r="E658" s="1965"/>
      <c r="F658" s="1965"/>
      <c r="G658" s="1965"/>
      <c r="H658" s="1301"/>
      <c r="I658" s="1965"/>
      <c r="J658" s="1965"/>
      <c r="K658" s="1965"/>
      <c r="L658" s="1965"/>
      <c r="M658" s="1965"/>
      <c r="N658" s="1965"/>
      <c r="O658" s="1965"/>
      <c r="P658" s="1965"/>
      <c r="Q658" s="1965"/>
      <c r="R658" s="1965"/>
      <c r="S658" s="1965"/>
      <c r="T658" s="1965"/>
      <c r="U658" s="1965"/>
      <c r="V658" s="1931"/>
      <c r="W658" s="1931"/>
      <c r="X658" s="1931"/>
      <c r="Y658" s="1931"/>
      <c r="Z658" s="1931"/>
      <c r="AA658" s="1931"/>
      <c r="AB658" s="1931"/>
      <c r="AC658" s="1931"/>
      <c r="AD658" s="1931"/>
      <c r="AE658" s="1931"/>
      <c r="AF658" s="1931"/>
      <c r="AG658" s="1931"/>
      <c r="AH658" s="1931"/>
      <c r="AI658" s="1931"/>
      <c r="AJ658" s="1931"/>
      <c r="AK658" s="1931"/>
      <c r="AL658" s="1931"/>
      <c r="AM658" s="1931"/>
      <c r="AN658" s="1931"/>
      <c r="AO658" s="1931"/>
      <c r="AP658" s="1931"/>
      <c r="AQ658" s="1931"/>
      <c r="AR658" s="1931"/>
      <c r="AS658" s="1931"/>
      <c r="AT658" s="1931"/>
      <c r="AU658" s="1931"/>
      <c r="AV658" s="1931"/>
      <c r="AW658" s="1931"/>
      <c r="AX658" s="1931"/>
      <c r="AY658" s="1931"/>
      <c r="AZ658" s="1931"/>
      <c r="BA658" s="1931"/>
      <c r="BB658" s="1931"/>
      <c r="BC658" s="1931"/>
      <c r="BD658" s="1931"/>
      <c r="BE658" s="1931"/>
      <c r="BF658" s="1931"/>
      <c r="BG658" s="1931"/>
      <c r="BH658" s="1931"/>
      <c r="BI658" s="1931"/>
      <c r="BJ658" s="1931"/>
      <c r="BK658" s="1931"/>
      <c r="BL658" s="1931"/>
      <c r="BM658" s="1931"/>
      <c r="BN658" s="1931"/>
      <c r="BO658" s="1931"/>
      <c r="BP658" s="1931"/>
      <c r="BQ658" s="1931"/>
      <c r="BR658" s="1931"/>
      <c r="BS658" s="1931"/>
      <c r="BT658" s="1931"/>
      <c r="BU658" s="1931"/>
      <c r="BV658" s="1931"/>
      <c r="BW658" s="1931"/>
      <c r="BX658" s="1931"/>
      <c r="BY658" s="1931"/>
      <c r="BZ658" s="1931"/>
      <c r="CA658" s="1931"/>
      <c r="CB658" s="1931"/>
      <c r="CC658" s="1931"/>
      <c r="CD658" s="1931"/>
      <c r="CE658" s="1930"/>
      <c r="CF658" s="1930"/>
      <c r="CG658" s="1930"/>
      <c r="CH658" s="1930"/>
      <c r="CI658" s="1931"/>
      <c r="CJ658" s="1931"/>
      <c r="CK658" s="1931"/>
      <c r="CL658" s="1931"/>
      <c r="CM658" s="1931"/>
      <c r="CN658" s="1931"/>
      <c r="CO658" s="1931"/>
      <c r="CP658" s="1931"/>
      <c r="CQ658" s="1931"/>
      <c r="CR658" s="1931"/>
      <c r="CS658" s="1931"/>
      <c r="CT658" s="1930"/>
      <c r="CU658" s="1930"/>
      <c r="CV658" s="1930"/>
      <c r="CW658" s="1930"/>
      <c r="CX658" s="1931"/>
      <c r="CY658" s="1931"/>
      <c r="CZ658" s="1931"/>
      <c r="DA658" s="1931"/>
      <c r="DB658" s="1932"/>
      <c r="DC658" s="1931"/>
      <c r="DD658" s="1931"/>
      <c r="DE658" s="1931"/>
      <c r="DF658" s="1931"/>
    </row>
    <row r="659" spans="2:112" s="55" customFormat="1" ht="30" hidden="1" outlineLevel="1" x14ac:dyDescent="0.25">
      <c r="C659" s="151"/>
      <c r="D659" s="3081" t="s">
        <v>28</v>
      </c>
      <c r="E659" s="3081" t="s">
        <v>2758</v>
      </c>
      <c r="F659" s="81" t="s">
        <v>3109</v>
      </c>
      <c r="G659" s="3081" t="s">
        <v>2918</v>
      </c>
      <c r="H659" s="1301"/>
      <c r="I659" s="1965"/>
      <c r="L659" s="401"/>
      <c r="M659" s="401"/>
      <c r="N659" s="401"/>
      <c r="O659" s="401"/>
      <c r="P659" s="401"/>
      <c r="Q659" s="401"/>
      <c r="R659" s="401"/>
      <c r="S659" s="401"/>
      <c r="T659" s="401"/>
      <c r="U659" s="401"/>
      <c r="DB659" s="72"/>
    </row>
    <row r="660" spans="2:112" s="1931" customFormat="1" hidden="1" outlineLevel="1" x14ac:dyDescent="0.25">
      <c r="C660" s="1966"/>
      <c r="D660" s="1967" t="str">
        <f>C649</f>
        <v>805405_2020_07_</v>
      </c>
      <c r="E660" s="1967" t="str">
        <f>E649</f>
        <v>Kitchen Demand Ventilation Controls, Retrofit</v>
      </c>
      <c r="F660" s="1993">
        <v>4197</v>
      </c>
      <c r="G660" s="1361">
        <v>1</v>
      </c>
      <c r="H660" s="1301"/>
      <c r="I660" s="1965"/>
      <c r="L660" s="1965"/>
      <c r="M660" s="1965"/>
      <c r="N660" s="1965"/>
      <c r="O660" s="1965"/>
      <c r="P660" s="1965"/>
      <c r="Q660" s="1965"/>
      <c r="R660" s="1965"/>
      <c r="S660" s="1965"/>
      <c r="T660" s="1965"/>
      <c r="U660" s="1965"/>
      <c r="CE660" s="1930"/>
      <c r="CF660" s="1930"/>
      <c r="CG660" s="1930"/>
      <c r="CH660" s="1930"/>
      <c r="CT660" s="1930"/>
      <c r="CU660" s="1930"/>
      <c r="CV660" s="1930"/>
      <c r="CW660" s="1930"/>
      <c r="DB660" s="1932"/>
    </row>
    <row r="661" spans="2:112" s="1931" customFormat="1" hidden="1" outlineLevel="1" x14ac:dyDescent="0.25">
      <c r="C661" s="1966"/>
      <c r="D661" s="1967" t="str">
        <f>C650</f>
        <v>805410_2020_07_</v>
      </c>
      <c r="E661" s="1967" t="str">
        <f>E650</f>
        <v>Kitchen Demand Ventilation Controls, New</v>
      </c>
      <c r="F661" s="1993">
        <v>4197</v>
      </c>
      <c r="G661" s="1361">
        <v>1</v>
      </c>
      <c r="H661" s="1301"/>
      <c r="I661" s="1965"/>
      <c r="L661" s="1965"/>
      <c r="M661" s="1965"/>
      <c r="N661" s="1965"/>
      <c r="O661" s="1965"/>
      <c r="P661" s="1965"/>
      <c r="Q661" s="1965"/>
      <c r="R661" s="1965"/>
      <c r="S661" s="1965"/>
      <c r="T661" s="1965"/>
      <c r="U661" s="1965"/>
      <c r="CE661" s="1930"/>
      <c r="CF661" s="1930"/>
      <c r="CG661" s="1930"/>
      <c r="CH661" s="1930"/>
      <c r="CT661" s="1930"/>
      <c r="CU661" s="1930"/>
      <c r="CV661" s="1930"/>
      <c r="CW661" s="1930"/>
      <c r="DB661" s="1932"/>
    </row>
    <row r="662" spans="2:112" collapsed="1" x14ac:dyDescent="0.25">
      <c r="B662" s="1931"/>
      <c r="D662" s="1966"/>
      <c r="E662" s="1965"/>
      <c r="F662" s="1965"/>
      <c r="G662" s="1968"/>
      <c r="H662" s="1969"/>
      <c r="I662" s="1965"/>
      <c r="J662" s="1965"/>
      <c r="K662" s="1965"/>
      <c r="L662" s="1965"/>
      <c r="M662" s="1965"/>
      <c r="N662" s="1965"/>
      <c r="O662" s="1965"/>
      <c r="P662" s="1965"/>
      <c r="Q662" s="1965"/>
      <c r="R662" s="1965"/>
      <c r="S662" s="1965"/>
      <c r="T662" s="1965"/>
      <c r="U662" s="1965"/>
      <c r="V662" s="1931"/>
      <c r="W662" s="1931"/>
      <c r="X662" s="1931"/>
      <c r="Y662" s="1931"/>
      <c r="Z662" s="1931"/>
      <c r="AA662" s="1931"/>
      <c r="AB662" s="1931"/>
      <c r="AC662" s="1931"/>
      <c r="AD662" s="1931"/>
      <c r="AE662" s="1931"/>
      <c r="AF662" s="1931"/>
      <c r="AG662" s="1931"/>
      <c r="AH662" s="1931"/>
      <c r="AI662" s="1931"/>
      <c r="AJ662" s="1931"/>
      <c r="AK662" s="1931"/>
      <c r="AL662" s="1931"/>
      <c r="AM662" s="1931"/>
      <c r="AN662" s="1931"/>
      <c r="AO662" s="1931"/>
      <c r="AP662" s="1931"/>
      <c r="AQ662" s="1931"/>
      <c r="AR662" s="1931"/>
      <c r="AS662" s="1931"/>
      <c r="AT662" s="1931"/>
      <c r="AU662" s="1931"/>
      <c r="AV662" s="1931"/>
      <c r="AW662" s="1931"/>
      <c r="AX662" s="1931"/>
      <c r="AY662" s="1931"/>
      <c r="AZ662" s="1931"/>
      <c r="BA662" s="1931"/>
      <c r="BB662" s="1931"/>
      <c r="BC662" s="1931"/>
      <c r="BD662" s="1931"/>
      <c r="BE662" s="1931"/>
      <c r="BF662" s="1931"/>
      <c r="BG662" s="1931"/>
      <c r="BH662" s="1931"/>
      <c r="BI662" s="1931"/>
      <c r="BJ662" s="1931"/>
      <c r="BK662" s="1931"/>
      <c r="BL662" s="1931"/>
      <c r="BM662" s="1931"/>
      <c r="BN662" s="1931"/>
      <c r="BO662" s="1931"/>
      <c r="BP662" s="1931"/>
      <c r="BQ662" s="1931"/>
      <c r="BR662" s="1931"/>
      <c r="BS662" s="1931"/>
      <c r="BT662" s="1931"/>
      <c r="BU662" s="1931"/>
      <c r="BV662" s="1931"/>
      <c r="BW662" s="1931"/>
      <c r="BX662" s="1931"/>
      <c r="BY662" s="1931"/>
      <c r="BZ662" s="1931"/>
      <c r="CA662" s="1931"/>
      <c r="CB662" s="1931"/>
      <c r="CC662" s="1931"/>
      <c r="CD662" s="1931"/>
      <c r="CE662" s="1930"/>
      <c r="CF662" s="1930"/>
      <c r="CG662" s="1930"/>
      <c r="CH662" s="1930"/>
      <c r="CI662" s="1931"/>
      <c r="CJ662" s="1931"/>
      <c r="CK662" s="1931"/>
      <c r="CL662" s="1931"/>
      <c r="CM662" s="1931"/>
      <c r="CN662" s="1931"/>
      <c r="CO662" s="1931"/>
      <c r="CP662" s="1931"/>
      <c r="CQ662" s="1931"/>
      <c r="CR662" s="1931"/>
      <c r="CS662" s="1931"/>
      <c r="CT662" s="1930"/>
      <c r="CU662" s="1930"/>
      <c r="CV662" s="1930"/>
      <c r="CW662" s="1930"/>
      <c r="CX662" s="1931"/>
      <c r="CY662" s="1931"/>
      <c r="CZ662" s="1931"/>
      <c r="DA662" s="1931"/>
      <c r="DB662" s="1932"/>
      <c r="DC662" s="1931"/>
      <c r="DD662" s="1931"/>
      <c r="DE662" s="1931"/>
      <c r="DF662" s="1931"/>
    </row>
    <row r="664" spans="2:112" s="43" customFormat="1" x14ac:dyDescent="0.25">
      <c r="B664" s="4484" t="s">
        <v>3110</v>
      </c>
      <c r="C664" s="4485"/>
      <c r="D664" s="4485"/>
      <c r="E664" s="4485"/>
      <c r="F664" s="4485"/>
      <c r="G664" s="4485"/>
      <c r="H664" s="4485"/>
      <c r="I664" s="4486"/>
      <c r="J664" s="4486"/>
      <c r="K664" s="4486"/>
      <c r="L664" s="4486"/>
      <c r="M664" s="3752"/>
      <c r="N664" s="3752"/>
      <c r="O664" s="3753"/>
      <c r="P664" s="1935"/>
      <c r="Q664" s="1935"/>
      <c r="R664" s="1935"/>
      <c r="S664" s="1935"/>
      <c r="T664" s="1935"/>
      <c r="U664" s="1935"/>
      <c r="V664" s="3077" t="str">
        <f>B664</f>
        <v>Pre-Rinse Spray Valve</v>
      </c>
      <c r="W664" s="3078"/>
      <c r="X664" s="3078"/>
      <c r="Y664" s="3078"/>
      <c r="Z664" s="3078"/>
      <c r="AA664" s="3078"/>
      <c r="AB664" s="3078"/>
      <c r="AC664" s="3078"/>
      <c r="AD664" s="3078"/>
      <c r="AE664" s="3078"/>
      <c r="AF664" s="3078"/>
      <c r="AG664" s="3078"/>
      <c r="AH664" s="3078"/>
      <c r="AI664" s="3170"/>
      <c r="AJ664" s="1931"/>
      <c r="AK664" s="1931"/>
      <c r="AL664" s="1931"/>
      <c r="AM664" s="1931"/>
      <c r="AN664" s="1931"/>
      <c r="AO664" s="1931"/>
      <c r="AP664" s="1931"/>
      <c r="AQ664" s="1931"/>
      <c r="AR664" s="1931"/>
      <c r="AS664" s="1931"/>
      <c r="AT664" s="1931"/>
      <c r="AU664" s="1931"/>
      <c r="AV664" s="1935"/>
      <c r="AW664" s="1935"/>
      <c r="AX664" s="1935"/>
      <c r="AY664" s="1935"/>
      <c r="AZ664" s="1935"/>
      <c r="BA664" s="1935"/>
      <c r="BB664" s="1935"/>
      <c r="BC664" s="1935"/>
      <c r="BD664" s="1935"/>
      <c r="BE664" s="1935"/>
      <c r="BF664" s="1935"/>
      <c r="BG664" s="1935"/>
      <c r="BH664" s="1935"/>
      <c r="BI664" s="1935"/>
      <c r="BJ664" s="1935"/>
      <c r="BK664" s="1935"/>
      <c r="BL664" s="1935"/>
      <c r="BM664" s="1935"/>
      <c r="BN664" s="1935"/>
      <c r="BO664" s="1935"/>
      <c r="BP664" s="1935"/>
      <c r="BQ664" s="1935"/>
      <c r="BR664" s="1935"/>
      <c r="BS664" s="1935"/>
      <c r="BT664" s="1935"/>
      <c r="BU664" s="1935"/>
      <c r="BV664" s="1935"/>
      <c r="BW664" s="1935"/>
      <c r="BX664" s="1935"/>
      <c r="BY664" s="1935"/>
      <c r="BZ664" s="1935"/>
      <c r="CA664" s="1935"/>
      <c r="CB664" s="1935"/>
      <c r="CC664" s="1935"/>
      <c r="CD664" s="1935"/>
      <c r="CE664" s="1935"/>
      <c r="CF664" s="1935"/>
      <c r="CG664" s="1935"/>
      <c r="CH664" s="1935"/>
      <c r="CI664" s="1935"/>
      <c r="CJ664" s="1935"/>
      <c r="CK664" s="1935"/>
      <c r="CL664" s="1935"/>
      <c r="CM664" s="1935"/>
      <c r="CN664" s="1935"/>
      <c r="CO664" s="1935"/>
      <c r="CP664" s="1935"/>
      <c r="CQ664" s="1935"/>
      <c r="CR664" s="1935"/>
      <c r="CS664" s="1935"/>
      <c r="CT664" s="1935"/>
      <c r="CU664" s="1935"/>
      <c r="CV664" s="1935"/>
      <c r="CW664" s="1935"/>
      <c r="CX664" s="1935"/>
      <c r="CY664" s="1935"/>
      <c r="CZ664" s="1935"/>
      <c r="DA664" s="1935"/>
      <c r="DB664" s="73"/>
      <c r="DC664" s="1935"/>
      <c r="DD664" s="1935"/>
      <c r="DE664" s="1935"/>
      <c r="DF664" s="1935"/>
      <c r="DG664" s="1935"/>
      <c r="DH664" s="1935"/>
    </row>
    <row r="665" spans="2:112" x14ac:dyDescent="0.25">
      <c r="B665" s="1931"/>
      <c r="D665" s="1286"/>
      <c r="E665" s="1966"/>
      <c r="F665" s="1966"/>
      <c r="G665" s="1966"/>
      <c r="H665" s="1287"/>
      <c r="I665" s="1966"/>
      <c r="J665" s="1966"/>
      <c r="K665" s="1966"/>
      <c r="L665" s="1966"/>
      <c r="M665" s="1965"/>
      <c r="N665" s="1965"/>
      <c r="O665" s="1965"/>
      <c r="P665" s="1966"/>
      <c r="Q665" s="1966"/>
      <c r="R665" s="1966"/>
      <c r="S665" s="1966"/>
      <c r="T665" s="1966"/>
      <c r="U665" s="1966"/>
      <c r="V665" s="1930"/>
      <c r="W665" s="1930"/>
      <c r="X665" s="1930"/>
      <c r="Y665" s="1930"/>
      <c r="Z665" s="1930"/>
      <c r="AA665" s="1930"/>
      <c r="AB665" s="1930"/>
      <c r="AC665" s="1930"/>
      <c r="AD665" s="1930"/>
      <c r="AE665" s="1930"/>
      <c r="AF665" s="1930"/>
      <c r="AG665" s="1930"/>
      <c r="AH665" s="1930"/>
      <c r="AI665" s="1930"/>
      <c r="AJ665" s="1934"/>
      <c r="AK665" s="1934"/>
      <c r="AL665" s="1934"/>
      <c r="AM665" s="1934"/>
      <c r="AN665" s="1934"/>
      <c r="AO665" s="1934"/>
      <c r="AP665" s="1934"/>
      <c r="AQ665" s="1934"/>
      <c r="AR665" s="1934"/>
      <c r="AS665" s="1934"/>
      <c r="AT665" s="1934"/>
      <c r="AU665" s="1934"/>
      <c r="AV665" s="1931"/>
      <c r="AW665" s="1931"/>
      <c r="AX665" s="1931"/>
      <c r="AY665" s="1931"/>
      <c r="AZ665" s="1931"/>
      <c r="BA665" s="1931"/>
      <c r="BB665" s="1931"/>
      <c r="BC665" s="1931"/>
      <c r="BD665" s="1931"/>
      <c r="BE665" s="1931"/>
      <c r="BF665" s="1931"/>
      <c r="BG665" s="1931"/>
      <c r="BH665" s="1931"/>
      <c r="BI665" s="1931"/>
      <c r="BJ665" s="1931"/>
      <c r="BK665" s="1931"/>
      <c r="BL665" s="1931"/>
      <c r="BM665" s="1931"/>
      <c r="BN665" s="1931"/>
      <c r="BO665" s="1931"/>
      <c r="BP665" s="1931"/>
      <c r="BQ665" s="1931"/>
      <c r="BR665" s="1931"/>
      <c r="BS665" s="1931"/>
      <c r="BT665" s="1931"/>
      <c r="BU665" s="1931"/>
      <c r="BV665" s="1931"/>
      <c r="BW665" s="1931"/>
      <c r="BX665" s="1931"/>
      <c r="BY665" s="1931"/>
      <c r="BZ665" s="1931"/>
      <c r="CA665" s="1931"/>
      <c r="CB665" s="1931"/>
      <c r="CC665" s="1931"/>
      <c r="CD665" s="1931"/>
      <c r="CE665" s="1930"/>
      <c r="CF665" s="1930"/>
      <c r="CG665" s="1930"/>
      <c r="CH665" s="1930"/>
      <c r="CI665" s="1931"/>
      <c r="CJ665" s="1931"/>
      <c r="CK665" s="1931"/>
      <c r="CL665" s="1931"/>
      <c r="CM665" s="1931"/>
      <c r="CN665" s="1931"/>
      <c r="CO665" s="1931"/>
      <c r="CP665" s="1931"/>
      <c r="CQ665" s="1931"/>
      <c r="CR665" s="1931"/>
      <c r="CS665" s="1931"/>
      <c r="CT665" s="1930"/>
      <c r="CU665" s="1930"/>
      <c r="CV665" s="1930"/>
      <c r="CW665" s="1930"/>
      <c r="CX665" s="1931"/>
      <c r="CY665" s="1931"/>
      <c r="CZ665" s="1931"/>
      <c r="DA665" s="1931"/>
      <c r="DB665" s="1932"/>
      <c r="DC665" s="1931"/>
      <c r="DD665" s="1931"/>
      <c r="DE665" s="1931"/>
      <c r="DF665" s="1931"/>
    </row>
    <row r="666" spans="2:112" s="44" customFormat="1" ht="30" x14ac:dyDescent="0.25">
      <c r="B666" s="45"/>
      <c r="C666" s="46" t="s">
        <v>28</v>
      </c>
      <c r="D666" s="46" t="s">
        <v>29</v>
      </c>
      <c r="E666" s="3196" t="s">
        <v>30</v>
      </c>
      <c r="F666" s="3196" t="s">
        <v>3111</v>
      </c>
      <c r="G666" s="3196" t="s">
        <v>176</v>
      </c>
      <c r="H666" s="47" t="s">
        <v>177</v>
      </c>
      <c r="I666" s="3196" t="s">
        <v>32</v>
      </c>
      <c r="J666" s="3196" t="s">
        <v>181</v>
      </c>
      <c r="K666" s="46" t="s">
        <v>170</v>
      </c>
      <c r="L666" s="46" t="s">
        <v>44</v>
      </c>
      <c r="M666" s="1965"/>
      <c r="N666" s="1965"/>
      <c r="O666" s="1965"/>
      <c r="P666" s="1288"/>
      <c r="Q666" s="1288"/>
      <c r="R666" s="1288"/>
      <c r="S666" s="1288"/>
      <c r="T666" s="1288"/>
      <c r="U666" s="1288"/>
      <c r="V666" s="1936" t="s">
        <v>45</v>
      </c>
      <c r="W666" s="1937">
        <f>$W$8</f>
        <v>43252</v>
      </c>
      <c r="X666" s="1937">
        <f>$X$8</f>
        <v>43465</v>
      </c>
      <c r="Y666" s="1937">
        <f>$Y$8</f>
        <v>43800</v>
      </c>
      <c r="Z666" s="1937">
        <f>$Z$8</f>
        <v>43862</v>
      </c>
      <c r="AA666" s="1937">
        <f>$AA$8</f>
        <v>44013</v>
      </c>
      <c r="AB666" s="1937">
        <v>44166</v>
      </c>
      <c r="AC666" s="1937">
        <f>$AC$8</f>
        <v>44531</v>
      </c>
      <c r="AD666" s="1937" t="str">
        <f>$AD$8</f>
        <v>-</v>
      </c>
      <c r="AE666" s="1937" t="str">
        <f>$AE$8</f>
        <v>-</v>
      </c>
      <c r="AF666" s="1937" t="str">
        <f>$AF$8</f>
        <v>-</v>
      </c>
      <c r="AG666" s="1937" t="str">
        <f>$AG$8</f>
        <v>-</v>
      </c>
      <c r="AH666" s="1930"/>
      <c r="AI666" s="1936" t="s">
        <v>45</v>
      </c>
      <c r="AJ666" s="1937">
        <v>43252</v>
      </c>
      <c r="AK666" s="1937">
        <f>$X$8</f>
        <v>43465</v>
      </c>
      <c r="AL666" s="1937">
        <f>$Y$8</f>
        <v>43800</v>
      </c>
      <c r="AM666" s="1937">
        <f>$Z$8</f>
        <v>43862</v>
      </c>
      <c r="AN666" s="1937">
        <f>$AA$8</f>
        <v>44013</v>
      </c>
      <c r="AO666" s="1937">
        <f>$AB$8</f>
        <v>44166</v>
      </c>
      <c r="AP666" s="1937">
        <f>$AC$8</f>
        <v>44531</v>
      </c>
      <c r="AQ666" s="1937" t="str">
        <f>$AD$8</f>
        <v>-</v>
      </c>
      <c r="AR666" s="1937" t="str">
        <f>$AE$8</f>
        <v>-</v>
      </c>
      <c r="AS666" s="1937" t="str">
        <f>$AF$8</f>
        <v>-</v>
      </c>
      <c r="AT666" s="1933"/>
      <c r="AU666" s="1936" t="s">
        <v>45</v>
      </c>
      <c r="AV666" s="1937">
        <v>43252</v>
      </c>
      <c r="AW666" s="1937">
        <f>$X$8</f>
        <v>43465</v>
      </c>
      <c r="AX666" s="1937">
        <f>$Y$8</f>
        <v>43800</v>
      </c>
      <c r="AY666" s="1937">
        <f>$Z$8</f>
        <v>43862</v>
      </c>
      <c r="AZ666" s="1937">
        <f>$AA$8</f>
        <v>44013</v>
      </c>
      <c r="BA666" s="1937">
        <v>44166</v>
      </c>
      <c r="BB666" s="1937">
        <f>$AC$8</f>
        <v>44531</v>
      </c>
      <c r="BC666" s="1937" t="str">
        <f>$AD$8</f>
        <v>-</v>
      </c>
      <c r="BD666" s="1937" t="str">
        <f>$AE$8</f>
        <v>-</v>
      </c>
      <c r="BE666" s="1937" t="str">
        <f>$AF$8</f>
        <v>-</v>
      </c>
      <c r="DB666" s="1938" t="str">
        <f>$DB$8</f>
        <v>TRC (2020)</v>
      </c>
      <c r="DC666" s="1953" t="str">
        <f>$DC$8</f>
        <v>Benefit Lookup</v>
      </c>
      <c r="DD666" s="1953" t="str">
        <f>$DD$8</f>
        <v>Benefits (2019 $)</v>
      </c>
      <c r="DE666" s="1953" t="str">
        <f>$DE$8</f>
        <v>Incremental Cost (2019 $)</v>
      </c>
    </row>
    <row r="667" spans="2:112" x14ac:dyDescent="0.25">
      <c r="B667" s="1931"/>
      <c r="C667" s="1997" t="s">
        <v>3112</v>
      </c>
      <c r="D667" s="1363" t="s">
        <v>2646</v>
      </c>
      <c r="E667" s="1308" t="s">
        <v>3110</v>
      </c>
      <c r="F667" s="1959">
        <f>ROUND(F677*8.33*1*(K677-L677)*((1/M677)/3413),2)</f>
        <v>5786.53</v>
      </c>
      <c r="G667" s="1290" t="s">
        <v>2844</v>
      </c>
      <c r="H667" s="1291">
        <f>VLOOKUP(G667,'CP FACTORS'!$A$26:$B$38,2,FALSE)</f>
        <v>1.998949E-4</v>
      </c>
      <c r="I667" s="1309">
        <f>ROUND(H667*F667,6)</f>
        <v>1.156698</v>
      </c>
      <c r="J667" s="325">
        <v>5</v>
      </c>
      <c r="K667" s="1329">
        <v>92.9</v>
      </c>
      <c r="L667" s="1374" t="s">
        <v>185</v>
      </c>
      <c r="M667" s="1965"/>
      <c r="N667" s="1965"/>
      <c r="O667" s="1965"/>
      <c r="P667" s="1965"/>
      <c r="Q667" s="1965"/>
      <c r="R667" s="1965"/>
      <c r="S667" s="1965"/>
      <c r="T667" s="1965"/>
      <c r="U667" s="1965"/>
      <c r="V667" s="3227" t="s">
        <v>31</v>
      </c>
      <c r="W667" s="79">
        <v>5786.527002576564</v>
      </c>
      <c r="X667" s="79">
        <v>5786.527002576564</v>
      </c>
      <c r="Y667" s="79">
        <v>5786.527002576564</v>
      </c>
      <c r="Z667" s="79">
        <v>5786.527002576564</v>
      </c>
      <c r="AA667" s="79">
        <v>5786.527002576564</v>
      </c>
      <c r="AB667" s="1825">
        <v>5786.53</v>
      </c>
      <c r="AC667" s="3364">
        <v>5786.53</v>
      </c>
      <c r="AD667" s="2099"/>
      <c r="AE667" s="2099"/>
      <c r="AF667" s="2099"/>
      <c r="AG667" s="2099"/>
      <c r="AH667" s="2100"/>
      <c r="AI667" s="3227" t="s">
        <v>181</v>
      </c>
      <c r="AJ667" s="64">
        <v>5</v>
      </c>
      <c r="AK667" s="64">
        <v>5</v>
      </c>
      <c r="AL667" s="64">
        <v>5</v>
      </c>
      <c r="AM667" s="64">
        <v>5</v>
      </c>
      <c r="AN667" s="64">
        <v>5</v>
      </c>
      <c r="AO667" s="2101">
        <v>5</v>
      </c>
      <c r="AP667" s="2101">
        <v>5</v>
      </c>
      <c r="AQ667" s="2099"/>
      <c r="AR667" s="2099"/>
      <c r="AS667" s="2099"/>
      <c r="AT667" s="1933"/>
      <c r="AU667" s="3227" t="s">
        <v>170</v>
      </c>
      <c r="AV667" s="2102">
        <v>92.9</v>
      </c>
      <c r="AW667" s="2102">
        <v>92.9</v>
      </c>
      <c r="AX667" s="2102">
        <v>92.9</v>
      </c>
      <c r="AY667" s="2102">
        <v>92.9</v>
      </c>
      <c r="AZ667" s="2102">
        <v>92.9</v>
      </c>
      <c r="BA667" s="2103">
        <v>92.9</v>
      </c>
      <c r="BB667" s="2103">
        <v>92.9</v>
      </c>
      <c r="BC667" s="1941"/>
      <c r="BD667" s="1941"/>
      <c r="BE667" s="1941"/>
      <c r="BF667" s="1931"/>
      <c r="BG667" s="1931"/>
      <c r="BH667" s="1931"/>
      <c r="BI667" s="1931"/>
      <c r="BJ667" s="1931"/>
      <c r="BK667" s="1931"/>
      <c r="BL667" s="1931"/>
      <c r="BM667" s="1931"/>
      <c r="BN667" s="1931"/>
      <c r="BO667" s="1931"/>
      <c r="BP667" s="1931"/>
      <c r="BQ667" s="1931"/>
      <c r="BR667" s="1931"/>
      <c r="BS667" s="1931"/>
      <c r="BT667" s="1931"/>
      <c r="BU667" s="1931"/>
      <c r="BV667" s="1931"/>
      <c r="BW667" s="1931"/>
      <c r="BX667" s="1931"/>
      <c r="BY667" s="1931"/>
      <c r="BZ667" s="1931"/>
      <c r="CA667" s="1931"/>
      <c r="CB667" s="1931"/>
      <c r="CC667" s="1931"/>
      <c r="CD667" s="1931"/>
      <c r="CE667" s="1930"/>
      <c r="CF667" s="1930"/>
      <c r="CG667" s="1930"/>
      <c r="CH667" s="1930"/>
      <c r="CI667" s="1931"/>
      <c r="CJ667" s="1931"/>
      <c r="CK667" s="1931"/>
      <c r="CL667" s="1931"/>
      <c r="CM667" s="1931"/>
      <c r="CN667" s="1931"/>
      <c r="CO667" s="1931"/>
      <c r="CP667" s="1931"/>
      <c r="CQ667" s="1931"/>
      <c r="CR667" s="1931"/>
      <c r="CS667" s="1931"/>
      <c r="CT667" s="1930"/>
      <c r="CU667" s="1930"/>
      <c r="CV667" s="1930"/>
      <c r="CW667" s="1930"/>
      <c r="CX667" s="1931"/>
      <c r="CY667" s="1931"/>
      <c r="CZ667" s="1931"/>
      <c r="DA667" s="1931"/>
      <c r="DB667" s="1954">
        <f>(DD667)/(DE667)</f>
        <v>13.620824362026044</v>
      </c>
      <c r="DC667" s="3166" t="str">
        <f>CONCATENATE(G667," ",J667," Year EUL")</f>
        <v>Cooking BUS 5 Year EUL</v>
      </c>
      <c r="DD667" s="1955">
        <f>(INDEX('Avoided Cost Benefits'!$C$4:$C$857,MATCH(DC667,'Avoided Cost Benefits'!$A$4:$A$857,0)))*F667</f>
        <v>1194.3129619936003</v>
      </c>
      <c r="DE667" s="1956">
        <f>K667/(1.0595^(2020-2019))</f>
        <v>87.682869277961302</v>
      </c>
      <c r="DF667" s="1931"/>
    </row>
    <row r="668" spans="2:112" hidden="1" outlineLevel="1" x14ac:dyDescent="0.25">
      <c r="B668" s="1931"/>
      <c r="D668" s="1966"/>
      <c r="E668" s="1966"/>
      <c r="F668" s="1966"/>
      <c r="G668" s="1966"/>
      <c r="H668" s="1299"/>
      <c r="I668" s="1966"/>
      <c r="J668" s="1966"/>
      <c r="K668" s="1966"/>
      <c r="L668" s="1965"/>
      <c r="M668" s="1965"/>
      <c r="N668" s="1965"/>
      <c r="O668" s="1965"/>
      <c r="P668" s="1965"/>
      <c r="Q668" s="1965"/>
      <c r="R668" s="1965"/>
      <c r="S668" s="1965"/>
      <c r="T668" s="1965"/>
      <c r="U668" s="1965"/>
      <c r="V668" s="1933"/>
      <c r="W668" s="1933"/>
      <c r="X668" s="1933"/>
      <c r="Y668" s="1933"/>
      <c r="Z668" s="1933"/>
      <c r="AA668" s="1933"/>
      <c r="AB668" s="1933"/>
      <c r="AC668" s="1933"/>
      <c r="AD668" s="1933"/>
      <c r="AE668" s="1933"/>
      <c r="AF668" s="1933"/>
      <c r="AG668" s="1933"/>
      <c r="AH668" s="1933"/>
      <c r="AI668" s="1933"/>
      <c r="AJ668" s="1933"/>
      <c r="AK668" s="1933"/>
      <c r="AL668" s="1933"/>
      <c r="AM668" s="1933"/>
      <c r="AN668" s="1933"/>
      <c r="AO668" s="1933"/>
      <c r="AP668" s="1933"/>
      <c r="AQ668" s="1933"/>
      <c r="AR668" s="1933"/>
      <c r="AS668" s="1933"/>
      <c r="AT668" s="1933"/>
      <c r="AU668" s="1933"/>
      <c r="AV668" s="1933"/>
      <c r="AW668" s="1933"/>
      <c r="AX668" s="1933"/>
      <c r="AY668" s="1933"/>
      <c r="AZ668" s="1933"/>
      <c r="BA668" s="1933"/>
      <c r="BB668" s="1933"/>
      <c r="BC668" s="1931"/>
      <c r="BD668" s="1931"/>
      <c r="BE668" s="1931"/>
      <c r="BF668" s="1931"/>
      <c r="BG668" s="1931"/>
      <c r="BH668" s="1931"/>
      <c r="BI668" s="1931"/>
      <c r="BJ668" s="1931"/>
      <c r="BK668" s="1931"/>
      <c r="BL668" s="1931"/>
      <c r="BM668" s="1931"/>
      <c r="BN668" s="1931"/>
      <c r="BO668" s="1931"/>
      <c r="BP668" s="1931"/>
      <c r="BQ668" s="1931"/>
      <c r="BR668" s="1931"/>
      <c r="BS668" s="1931"/>
      <c r="BT668" s="1931"/>
      <c r="BU668" s="1931"/>
      <c r="BV668" s="1931"/>
      <c r="BW668" s="1931"/>
      <c r="BX668" s="1931"/>
      <c r="BY668" s="1931"/>
      <c r="BZ668" s="1931"/>
      <c r="CA668" s="1931"/>
      <c r="CB668" s="1931"/>
      <c r="CC668" s="1931"/>
      <c r="CD668" s="1931"/>
      <c r="CE668" s="1930"/>
      <c r="CF668" s="1930"/>
      <c r="CG668" s="1930"/>
      <c r="CH668" s="1930"/>
      <c r="CI668" s="1931"/>
      <c r="CJ668" s="1931"/>
      <c r="CK668" s="1931"/>
      <c r="CL668" s="1931"/>
      <c r="CM668" s="1931"/>
      <c r="CN668" s="1931"/>
      <c r="CO668" s="1931"/>
      <c r="CP668" s="1931"/>
      <c r="CQ668" s="1931"/>
      <c r="CR668" s="1931"/>
      <c r="CS668" s="1931"/>
      <c r="CT668" s="1930"/>
      <c r="CU668" s="1930"/>
      <c r="CV668" s="1930"/>
      <c r="CW668" s="1930"/>
      <c r="CX668" s="1931"/>
      <c r="CY668" s="1931"/>
      <c r="CZ668" s="1931"/>
      <c r="DA668" s="1931"/>
      <c r="DB668" s="1932"/>
      <c r="DC668" s="1931"/>
      <c r="DD668" s="1931"/>
      <c r="DE668" s="1931"/>
      <c r="DF668" s="1931"/>
    </row>
    <row r="669" spans="2:112" hidden="1" outlineLevel="1" x14ac:dyDescent="0.25">
      <c r="B669" s="1931"/>
      <c r="D669" s="1966" t="s">
        <v>2689</v>
      </c>
      <c r="E669" s="151"/>
      <c r="F669" s="1966"/>
      <c r="G669" s="1966"/>
      <c r="H669" s="1299"/>
      <c r="I669" s="1966"/>
      <c r="J669" s="1966"/>
      <c r="K669" s="151"/>
      <c r="L669" s="1965"/>
      <c r="M669" s="1965"/>
      <c r="N669" s="1965"/>
      <c r="O669" s="1965"/>
      <c r="P669" s="1965"/>
      <c r="Q669" s="1965"/>
      <c r="R669" s="1965"/>
      <c r="S669" s="1965"/>
      <c r="T669" s="1965"/>
      <c r="U669" s="1965"/>
      <c r="V669" s="1933"/>
      <c r="W669" s="1933"/>
      <c r="X669" s="1933"/>
      <c r="Y669" s="1933"/>
      <c r="Z669" s="1933"/>
      <c r="AA669" s="1933"/>
      <c r="AB669" s="1933"/>
      <c r="AC669" s="1933"/>
      <c r="AD669" s="1933"/>
      <c r="AE669" s="1933"/>
      <c r="AF669" s="1933"/>
      <c r="AG669" s="1933"/>
      <c r="AH669" s="1933"/>
      <c r="AI669" s="1933"/>
      <c r="AJ669" s="1933"/>
      <c r="AK669" s="1933"/>
      <c r="AL669" s="1933"/>
      <c r="AM669" s="1933"/>
      <c r="AN669" s="1933"/>
      <c r="AO669" s="1933"/>
      <c r="AP669" s="1933"/>
      <c r="AQ669" s="1933"/>
      <c r="AR669" s="1933"/>
      <c r="AS669" s="1933"/>
      <c r="AT669" s="1933"/>
      <c r="AU669" s="1933"/>
      <c r="AV669" s="1933"/>
      <c r="AW669" s="1933"/>
      <c r="AX669" s="1933"/>
      <c r="AY669" s="1933"/>
      <c r="AZ669" s="1933"/>
      <c r="BA669" s="1933"/>
      <c r="BB669" s="1933"/>
      <c r="BC669" s="1931"/>
      <c r="BD669" s="1931"/>
      <c r="BE669" s="1931"/>
      <c r="BF669" s="1931"/>
      <c r="BG669" s="1931"/>
      <c r="BH669" s="1931"/>
      <c r="BI669" s="1931"/>
      <c r="BJ669" s="1931"/>
      <c r="BK669" s="1931"/>
      <c r="BL669" s="1931"/>
      <c r="BM669" s="1931"/>
      <c r="BN669" s="1931"/>
      <c r="BO669" s="1931"/>
      <c r="BP669" s="1931"/>
      <c r="BQ669" s="1931"/>
      <c r="BR669" s="1931"/>
      <c r="BS669" s="1931"/>
      <c r="BT669" s="1931"/>
      <c r="BU669" s="1931"/>
      <c r="BV669" s="1931"/>
      <c r="BW669" s="1931"/>
      <c r="BX669" s="1931"/>
      <c r="BY669" s="1931"/>
      <c r="BZ669" s="1931"/>
      <c r="CA669" s="1931"/>
      <c r="CB669" s="1931"/>
      <c r="CC669" s="1931"/>
      <c r="CD669" s="1931"/>
      <c r="CE669" s="1930"/>
      <c r="CF669" s="1930"/>
      <c r="CG669" s="1930"/>
      <c r="CH669" s="1930"/>
      <c r="CI669" s="1931"/>
      <c r="CJ669" s="1931"/>
      <c r="CK669" s="1931"/>
      <c r="CL669" s="1931"/>
      <c r="CM669" s="1931"/>
      <c r="CN669" s="1931"/>
      <c r="CO669" s="1931"/>
      <c r="CP669" s="1931"/>
      <c r="CQ669" s="1931"/>
      <c r="CR669" s="1931"/>
      <c r="CS669" s="1931"/>
      <c r="CT669" s="1930"/>
      <c r="CU669" s="1930"/>
      <c r="CV669" s="1930"/>
      <c r="CW669" s="1930"/>
      <c r="CX669" s="1931"/>
      <c r="CY669" s="1931"/>
      <c r="CZ669" s="1931"/>
      <c r="DA669" s="1931"/>
      <c r="DB669" s="1932"/>
      <c r="DC669" s="1931"/>
      <c r="DD669" s="1931"/>
      <c r="DE669" s="1931"/>
      <c r="DF669" s="1931"/>
    </row>
    <row r="670" spans="2:112" hidden="1" outlineLevel="1" x14ac:dyDescent="0.25">
      <c r="B670" s="1931"/>
      <c r="D670" s="1300"/>
      <c r="E670" s="151"/>
      <c r="F670" s="151"/>
      <c r="G670" s="1321"/>
      <c r="H670" s="1322"/>
      <c r="I670" s="1965"/>
      <c r="J670" s="1965"/>
      <c r="K670" s="1965"/>
      <c r="L670" s="1965"/>
      <c r="M670" s="1965"/>
      <c r="N670" s="1965"/>
      <c r="O670" s="1965"/>
      <c r="P670" s="1965"/>
      <c r="Q670" s="1965"/>
      <c r="R670" s="1965"/>
      <c r="S670" s="1965"/>
      <c r="T670" s="1965"/>
      <c r="U670" s="1965"/>
      <c r="V670" s="1933"/>
      <c r="W670" s="1933"/>
      <c r="X670" s="1933"/>
      <c r="Y670" s="1933"/>
      <c r="Z670" s="1933"/>
      <c r="AA670" s="1933"/>
      <c r="AB670" s="1933"/>
      <c r="AC670" s="1933"/>
      <c r="AD670" s="1933"/>
      <c r="AE670" s="1933"/>
      <c r="AF670" s="1933"/>
      <c r="AG670" s="1933"/>
      <c r="AH670" s="1933"/>
      <c r="AI670" s="1933"/>
      <c r="AJ670" s="1933"/>
      <c r="AK670" s="1933"/>
      <c r="AL670" s="1933"/>
      <c r="AM670" s="1933"/>
      <c r="AN670" s="1933"/>
      <c r="AO670" s="1933"/>
      <c r="AP670" s="1933"/>
      <c r="AQ670" s="1933"/>
      <c r="AR670" s="1933"/>
      <c r="AS670" s="1933"/>
      <c r="AT670" s="1933"/>
      <c r="AU670" s="1933"/>
      <c r="AV670" s="1933"/>
      <c r="AW670" s="1933"/>
      <c r="AX670" s="1933"/>
      <c r="AY670" s="1933"/>
      <c r="AZ670" s="1933"/>
      <c r="BA670" s="1933"/>
      <c r="BB670" s="1933"/>
      <c r="BC670" s="1931"/>
      <c r="BD670" s="1931"/>
      <c r="BE670" s="1931"/>
      <c r="BF670" s="1931"/>
      <c r="BG670" s="1931"/>
      <c r="BH670" s="1931"/>
      <c r="BI670" s="1931"/>
      <c r="BJ670" s="1931"/>
      <c r="BK670" s="1931"/>
      <c r="BL670" s="1931"/>
      <c r="BM670" s="1931"/>
      <c r="BN670" s="1931"/>
      <c r="BO670" s="1931"/>
      <c r="BP670" s="1931"/>
      <c r="BQ670" s="1931"/>
      <c r="BR670" s="1931"/>
      <c r="BS670" s="1931"/>
      <c r="BT670" s="1931"/>
      <c r="BU670" s="1931"/>
      <c r="BV670" s="1931"/>
      <c r="BW670" s="1931"/>
      <c r="BX670" s="1931"/>
      <c r="BY670" s="1931"/>
      <c r="BZ670" s="1931"/>
      <c r="CA670" s="1931"/>
      <c r="CB670" s="1931"/>
      <c r="CC670" s="1931"/>
      <c r="CD670" s="1931"/>
      <c r="CE670" s="1930"/>
      <c r="CF670" s="1930"/>
      <c r="CG670" s="1930"/>
      <c r="CH670" s="1930"/>
      <c r="CI670" s="1931"/>
      <c r="CJ670" s="1931"/>
      <c r="CK670" s="1931"/>
      <c r="CL670" s="1931"/>
      <c r="CM670" s="1931"/>
      <c r="CN670" s="1931"/>
      <c r="CO670" s="1931"/>
      <c r="CP670" s="1931"/>
      <c r="CQ670" s="1931"/>
      <c r="CR670" s="1931"/>
      <c r="CS670" s="1931"/>
      <c r="CT670" s="1930"/>
      <c r="CU670" s="1930"/>
      <c r="CV670" s="1930"/>
      <c r="CW670" s="1930"/>
      <c r="CX670" s="1931"/>
      <c r="CY670" s="1931"/>
      <c r="CZ670" s="1931"/>
      <c r="DA670" s="1931"/>
      <c r="DB670" s="1932"/>
      <c r="DC670" s="1931"/>
      <c r="DD670" s="1931"/>
      <c r="DE670" s="1931"/>
      <c r="DF670" s="1931"/>
    </row>
    <row r="671" spans="2:112" ht="15" hidden="1" customHeight="1" outlineLevel="1" x14ac:dyDescent="0.35">
      <c r="B671" s="1931"/>
      <c r="D671" s="1300"/>
      <c r="E671" s="1965"/>
      <c r="F671" s="1965"/>
      <c r="G671" s="1321"/>
      <c r="H671" s="1322"/>
      <c r="I671" s="1965"/>
      <c r="J671" s="1965"/>
      <c r="K671" s="1965"/>
      <c r="L671" s="1965"/>
      <c r="M671" s="1965"/>
      <c r="N671" s="1965"/>
      <c r="O671" s="1965"/>
      <c r="P671" s="3475"/>
      <c r="Q671" s="3475"/>
      <c r="R671" s="1965"/>
      <c r="S671" s="1965"/>
      <c r="T671" s="1965"/>
      <c r="U671" s="1965"/>
      <c r="V671" s="1933"/>
      <c r="W671" s="1933"/>
      <c r="X671" s="1933"/>
      <c r="Y671" s="1933"/>
      <c r="Z671" s="1933"/>
      <c r="AA671" s="1933"/>
      <c r="AB671" s="1933"/>
      <c r="AC671" s="1933"/>
      <c r="AD671" s="1933"/>
      <c r="AE671" s="1933"/>
      <c r="AF671" s="1933"/>
      <c r="AG671" s="1933"/>
      <c r="AH671" s="1933"/>
      <c r="AI671" s="1933"/>
      <c r="AJ671" s="1933"/>
      <c r="AK671" s="1933"/>
      <c r="AL671" s="1933"/>
      <c r="AM671" s="1933"/>
      <c r="AN671" s="1933"/>
      <c r="AO671" s="1933"/>
      <c r="AP671" s="1933"/>
      <c r="AQ671" s="1933"/>
      <c r="AR671" s="1933"/>
      <c r="AS671" s="1933"/>
      <c r="AT671" s="1933"/>
      <c r="AU671" s="1933"/>
      <c r="AV671" s="1933"/>
      <c r="AW671" s="1933"/>
      <c r="AX671" s="1933"/>
      <c r="AY671" s="1933"/>
      <c r="AZ671" s="1933"/>
      <c r="BA671" s="1933"/>
      <c r="BB671" s="1933"/>
      <c r="BC671" s="1931"/>
      <c r="BD671" s="1931"/>
      <c r="BE671" s="1931"/>
      <c r="BF671" s="1931"/>
      <c r="BG671" s="1931"/>
      <c r="BH671" s="1931"/>
      <c r="BI671" s="1931"/>
      <c r="BJ671" s="1931"/>
      <c r="BK671" s="1931"/>
      <c r="BL671" s="1931"/>
      <c r="BM671" s="1931"/>
      <c r="BN671" s="1931"/>
      <c r="BO671" s="1931"/>
      <c r="BP671" s="1931"/>
      <c r="BQ671" s="1931"/>
      <c r="BR671" s="1931"/>
      <c r="BS671" s="1931"/>
      <c r="BT671" s="1931"/>
      <c r="BU671" s="1931"/>
      <c r="BV671" s="1931"/>
      <c r="BW671" s="1931"/>
      <c r="BX671" s="1931"/>
      <c r="BY671" s="1931"/>
      <c r="BZ671" s="1931"/>
      <c r="CA671" s="1931"/>
      <c r="CB671" s="1931"/>
      <c r="CC671" s="1931"/>
      <c r="CD671" s="1931"/>
      <c r="CE671" s="1930"/>
      <c r="CF671" s="1930"/>
      <c r="CG671" s="1930"/>
      <c r="CH671" s="1930"/>
      <c r="CI671" s="1931"/>
      <c r="CJ671" s="1931"/>
      <c r="CK671" s="1931"/>
      <c r="CL671" s="1931"/>
      <c r="CM671" s="1931"/>
      <c r="CN671" s="1931"/>
      <c r="CO671" s="1931"/>
      <c r="CP671" s="1931"/>
      <c r="CQ671" s="1931"/>
      <c r="CR671" s="1931"/>
      <c r="CS671" s="1931"/>
      <c r="CT671" s="1930"/>
      <c r="CU671" s="1930"/>
      <c r="CV671" s="1930"/>
      <c r="CW671" s="1930"/>
      <c r="CX671" s="1931"/>
      <c r="CY671" s="1931"/>
      <c r="CZ671" s="1931"/>
      <c r="DA671" s="1931"/>
      <c r="DB671" s="1932"/>
      <c r="DC671" s="1931"/>
      <c r="DD671" s="1931"/>
      <c r="DE671" s="1931"/>
      <c r="DF671" s="1931"/>
    </row>
    <row r="672" spans="2:112" ht="15" hidden="1" customHeight="1" outlineLevel="1" x14ac:dyDescent="0.35">
      <c r="B672" s="1931"/>
      <c r="D672" s="1300"/>
      <c r="E672" s="1965"/>
      <c r="F672" s="1965"/>
      <c r="G672" s="1965"/>
      <c r="H672" s="1301"/>
      <c r="I672" s="1965"/>
      <c r="J672" s="1965"/>
      <c r="K672" s="1965"/>
      <c r="L672" s="1965"/>
      <c r="M672" s="1966"/>
      <c r="N672" s="1965"/>
      <c r="O672" s="1965"/>
      <c r="P672" s="3475"/>
      <c r="Q672" s="3475"/>
      <c r="R672" s="1965"/>
      <c r="S672" s="1965"/>
      <c r="T672" s="1965"/>
      <c r="U672" s="1965"/>
      <c r="V672" s="1931"/>
      <c r="W672" s="1931"/>
      <c r="X672" s="1931"/>
      <c r="Y672" s="1931"/>
      <c r="Z672" s="1931"/>
      <c r="AA672" s="1931"/>
      <c r="AB672" s="1931"/>
      <c r="AC672" s="1931"/>
      <c r="AD672" s="1931"/>
      <c r="AE672" s="1931"/>
      <c r="AF672" s="1931"/>
      <c r="AG672" s="1931"/>
      <c r="AH672" s="1931"/>
      <c r="AI672" s="1931"/>
      <c r="AJ672" s="1931"/>
      <c r="AK672" s="1931"/>
      <c r="AL672" s="1931"/>
      <c r="AM672" s="1931"/>
      <c r="AN672" s="1931"/>
      <c r="AO672" s="1931"/>
      <c r="AP672" s="1931"/>
      <c r="AQ672" s="1931"/>
      <c r="AR672" s="1931"/>
      <c r="AS672" s="1931"/>
      <c r="AT672" s="1931"/>
      <c r="AU672" s="1931"/>
      <c r="AV672" s="1931"/>
      <c r="AW672" s="1931"/>
      <c r="AX672" s="1931"/>
      <c r="AY672" s="1931"/>
      <c r="AZ672" s="1931"/>
      <c r="BA672" s="1931"/>
      <c r="BB672" s="1931"/>
      <c r="BC672" s="1931"/>
      <c r="BD672" s="1931"/>
      <c r="BE672" s="1931"/>
      <c r="BF672" s="1931"/>
      <c r="BG672" s="1931"/>
      <c r="BH672" s="1931"/>
      <c r="BI672" s="1931"/>
      <c r="BJ672" s="1931"/>
      <c r="BK672" s="1931"/>
      <c r="BL672" s="1931"/>
      <c r="BM672" s="1931"/>
      <c r="BN672" s="1931"/>
      <c r="BO672" s="1931"/>
      <c r="BP672" s="1931"/>
      <c r="BQ672" s="1931"/>
      <c r="BR672" s="1931"/>
      <c r="BS672" s="1931"/>
      <c r="BT672" s="1931"/>
      <c r="BU672" s="1931"/>
      <c r="BV672" s="1931"/>
      <c r="BW672" s="1931"/>
      <c r="BX672" s="1931"/>
      <c r="BY672" s="1931"/>
      <c r="BZ672" s="1931"/>
      <c r="CA672" s="1931"/>
      <c r="CB672" s="1931"/>
      <c r="CC672" s="1931"/>
      <c r="CD672" s="1931"/>
      <c r="CE672" s="1930"/>
      <c r="CF672" s="1930"/>
      <c r="CG672" s="1930"/>
      <c r="CH672" s="1930"/>
      <c r="CI672" s="1931"/>
      <c r="CJ672" s="1931"/>
      <c r="CK672" s="1931"/>
      <c r="CL672" s="1931"/>
      <c r="CM672" s="1931"/>
      <c r="CN672" s="1931"/>
      <c r="CO672" s="1931"/>
      <c r="CP672" s="1931"/>
      <c r="CQ672" s="1931"/>
      <c r="CR672" s="1931"/>
      <c r="CS672" s="1931"/>
      <c r="CT672" s="1930"/>
      <c r="CU672" s="1930"/>
      <c r="CV672" s="1930"/>
      <c r="CW672" s="1930"/>
      <c r="CX672" s="1931"/>
      <c r="CY672" s="1931"/>
      <c r="CZ672" s="1931"/>
      <c r="DA672" s="1931"/>
      <c r="DB672" s="1932"/>
      <c r="DC672" s="1931"/>
      <c r="DD672" s="1931"/>
      <c r="DE672" s="1931"/>
      <c r="DF672" s="1931"/>
    </row>
    <row r="673" spans="2:112" ht="15" hidden="1" customHeight="1" outlineLevel="1" x14ac:dyDescent="0.35">
      <c r="B673" s="1931"/>
      <c r="D673" s="1300"/>
      <c r="E673" s="1965"/>
      <c r="F673" s="1965"/>
      <c r="G673" s="1965"/>
      <c r="H673" s="1301"/>
      <c r="I673" s="1965"/>
      <c r="J673" s="1965"/>
      <c r="K673" s="1965"/>
      <c r="L673" s="1965"/>
      <c r="M673" s="1966"/>
      <c r="N673" s="1965"/>
      <c r="O673" s="1965"/>
      <c r="P673" s="3475"/>
      <c r="Q673" s="3475"/>
      <c r="R673" s="1965"/>
      <c r="S673" s="1965"/>
      <c r="T673" s="1965"/>
      <c r="U673" s="1965"/>
      <c r="V673" s="1931"/>
      <c r="W673" s="1931"/>
      <c r="X673" s="1931"/>
      <c r="Y673" s="1931"/>
      <c r="Z673" s="1931"/>
      <c r="AA673" s="1931"/>
      <c r="AB673" s="1931"/>
      <c r="AC673" s="1931"/>
      <c r="AD673" s="1931"/>
      <c r="AE673" s="1931"/>
      <c r="AF673" s="1931"/>
      <c r="AG673" s="1931"/>
      <c r="AH673" s="1931"/>
      <c r="AI673" s="1931"/>
      <c r="AJ673" s="1931"/>
      <c r="AK673" s="1931"/>
      <c r="AL673" s="1931"/>
      <c r="AM673" s="1931"/>
      <c r="AN673" s="1931"/>
      <c r="AO673" s="1931"/>
      <c r="AP673" s="1931"/>
      <c r="AQ673" s="1931"/>
      <c r="AR673" s="1931"/>
      <c r="AS673" s="1931"/>
      <c r="AT673" s="1931"/>
      <c r="AU673" s="1931"/>
      <c r="AV673" s="1931"/>
      <c r="AW673" s="1931"/>
      <c r="AX673" s="1931"/>
      <c r="AY673" s="1931"/>
      <c r="AZ673" s="1931"/>
      <c r="BA673" s="1931"/>
      <c r="BB673" s="1931"/>
      <c r="BC673" s="1931"/>
      <c r="BD673" s="1931"/>
      <c r="BE673" s="1931"/>
      <c r="BF673" s="1931"/>
      <c r="BG673" s="1931"/>
      <c r="BH673" s="1931"/>
      <c r="BI673" s="1931"/>
      <c r="BJ673" s="1931"/>
      <c r="BK673" s="1931"/>
      <c r="BL673" s="1931"/>
      <c r="BM673" s="1931"/>
      <c r="BN673" s="1931"/>
      <c r="BO673" s="1931"/>
      <c r="BP673" s="1931"/>
      <c r="BQ673" s="1931"/>
      <c r="BR673" s="1931"/>
      <c r="BS673" s="1931"/>
      <c r="BT673" s="1931"/>
      <c r="BU673" s="1931"/>
      <c r="BV673" s="1931"/>
      <c r="BW673" s="1931"/>
      <c r="BX673" s="1931"/>
      <c r="BY673" s="1931"/>
      <c r="BZ673" s="1931"/>
      <c r="CA673" s="1931"/>
      <c r="CB673" s="1931"/>
      <c r="CC673" s="1931"/>
      <c r="CD673" s="1931"/>
      <c r="CE673" s="1930"/>
      <c r="CF673" s="1930"/>
      <c r="CG673" s="1930"/>
      <c r="CH673" s="1930"/>
      <c r="CI673" s="1931"/>
      <c r="CJ673" s="1931"/>
      <c r="CK673" s="1931"/>
      <c r="CL673" s="1931"/>
      <c r="CM673" s="1931"/>
      <c r="CN673" s="1931"/>
      <c r="CO673" s="1931"/>
      <c r="CP673" s="1931"/>
      <c r="CQ673" s="1931"/>
      <c r="CR673" s="1931"/>
      <c r="CS673" s="1931"/>
      <c r="CT673" s="1930"/>
      <c r="CU673" s="1930"/>
      <c r="CV673" s="1930"/>
      <c r="CW673" s="1930"/>
      <c r="CX673" s="1931"/>
      <c r="CY673" s="1931"/>
      <c r="CZ673" s="1931"/>
      <c r="DA673" s="1931"/>
      <c r="DB673" s="1932"/>
      <c r="DC673" s="1931"/>
      <c r="DD673" s="1931"/>
      <c r="DE673" s="1931"/>
      <c r="DF673" s="1931"/>
    </row>
    <row r="674" spans="2:112" hidden="1" outlineLevel="1" x14ac:dyDescent="0.25">
      <c r="B674" s="1931"/>
      <c r="D674" s="1300"/>
      <c r="E674" s="1965"/>
      <c r="F674" s="1965"/>
      <c r="G674" s="1965"/>
      <c r="H674" s="1301"/>
      <c r="I674" s="1965"/>
      <c r="J674" s="1965"/>
      <c r="K674" s="1965"/>
      <c r="L674" s="1965"/>
      <c r="M674" s="1966"/>
      <c r="N674" s="1965"/>
      <c r="O674" s="1965"/>
      <c r="P674" s="1965"/>
      <c r="Q674" s="1965"/>
      <c r="R674" s="1965"/>
      <c r="S674" s="1965"/>
      <c r="T674" s="1965"/>
      <c r="U674" s="1965"/>
      <c r="V674" s="1931"/>
      <c r="W674" s="1931"/>
      <c r="X674" s="1931"/>
      <c r="Y674" s="1931"/>
      <c r="Z674" s="1931"/>
      <c r="AA674" s="1931"/>
      <c r="AB674" s="1931"/>
      <c r="AC674" s="1931"/>
      <c r="AD674" s="1931"/>
      <c r="AE674" s="1931"/>
      <c r="AF674" s="1931"/>
      <c r="AG674" s="1931"/>
      <c r="AH674" s="1931"/>
      <c r="AI674" s="1931"/>
      <c r="AJ674" s="1931"/>
      <c r="AK674" s="1931"/>
      <c r="AL674" s="1931"/>
      <c r="AM674" s="1931"/>
      <c r="AN674" s="1931"/>
      <c r="AO674" s="1931"/>
      <c r="AP674" s="1931"/>
      <c r="AQ674" s="1931"/>
      <c r="AR674" s="1931"/>
      <c r="AS674" s="1931"/>
      <c r="AT674" s="1931"/>
      <c r="AU674" s="1931"/>
      <c r="AV674" s="1931"/>
      <c r="AW674" s="1931"/>
      <c r="AX674" s="1931"/>
      <c r="AY674" s="1931"/>
      <c r="AZ674" s="1931"/>
      <c r="BA674" s="1931"/>
      <c r="BB674" s="1931"/>
      <c r="BC674" s="1931"/>
      <c r="BD674" s="1931"/>
      <c r="BE674" s="1931"/>
      <c r="BF674" s="1931"/>
      <c r="BG674" s="1931"/>
      <c r="BH674" s="1931"/>
      <c r="BI674" s="1931"/>
      <c r="BJ674" s="1931"/>
      <c r="BK674" s="1931"/>
      <c r="BL674" s="1931"/>
      <c r="BM674" s="1931"/>
      <c r="BN674" s="1931"/>
      <c r="BO674" s="1931"/>
      <c r="BP674" s="1931"/>
      <c r="BQ674" s="1931"/>
      <c r="BR674" s="1931"/>
      <c r="BS674" s="1931"/>
      <c r="BT674" s="1931"/>
      <c r="BU674" s="1931"/>
      <c r="BV674" s="1931"/>
      <c r="BW674" s="1931"/>
      <c r="BX674" s="1931"/>
      <c r="BY674" s="1931"/>
      <c r="BZ674" s="1931"/>
      <c r="CA674" s="1931"/>
      <c r="CB674" s="1931"/>
      <c r="CC674" s="1931"/>
      <c r="CD674" s="1931"/>
      <c r="CE674" s="1930"/>
      <c r="CF674" s="1930"/>
      <c r="CG674" s="1930"/>
      <c r="CH674" s="1930"/>
      <c r="CI674" s="1931"/>
      <c r="CJ674" s="1931"/>
      <c r="CK674" s="1931"/>
      <c r="CL674" s="1931"/>
      <c r="CM674" s="1931"/>
      <c r="CN674" s="1931"/>
      <c r="CO674" s="1931"/>
      <c r="CP674" s="1931"/>
      <c r="CQ674" s="1931"/>
      <c r="CR674" s="1931"/>
      <c r="CS674" s="1931"/>
      <c r="CT674" s="1930"/>
      <c r="CU674" s="1930"/>
      <c r="CV674" s="1930"/>
      <c r="CW674" s="1930"/>
      <c r="CX674" s="1931"/>
      <c r="CY674" s="1931"/>
      <c r="CZ674" s="1931"/>
      <c r="DA674" s="1931"/>
      <c r="DB674" s="1932"/>
      <c r="DC674" s="1931"/>
      <c r="DD674" s="1931"/>
      <c r="DE674" s="1931"/>
      <c r="DF674" s="1931"/>
    </row>
    <row r="675" spans="2:112" hidden="1" outlineLevel="1" x14ac:dyDescent="0.25">
      <c r="B675" s="1931"/>
      <c r="D675" s="1300"/>
      <c r="E675" s="1965"/>
      <c r="F675" s="1965"/>
      <c r="G675" s="1965"/>
      <c r="H675" s="1301"/>
      <c r="I675" s="1965"/>
      <c r="J675" s="1965"/>
      <c r="K675" s="1965"/>
      <c r="L675" s="1965"/>
      <c r="M675" s="1965"/>
      <c r="N675" s="1965"/>
      <c r="O675" s="1965"/>
      <c r="P675" s="1965"/>
      <c r="Q675" s="1965"/>
      <c r="R675" s="1965"/>
      <c r="S675" s="1965"/>
      <c r="T675" s="1965"/>
      <c r="U675" s="1965"/>
      <c r="V675" s="1931"/>
      <c r="W675" s="1931"/>
      <c r="X675" s="1931"/>
      <c r="Y675" s="1931"/>
      <c r="Z675" s="1931"/>
      <c r="AA675" s="1931"/>
      <c r="AB675" s="1931"/>
      <c r="AC675" s="1931"/>
      <c r="AD675" s="1931"/>
      <c r="AE675" s="1931"/>
      <c r="AF675" s="1931"/>
      <c r="AG675" s="1931"/>
      <c r="AH675" s="1931"/>
      <c r="AI675" s="1931"/>
      <c r="AJ675" s="1931"/>
      <c r="AK675" s="1931"/>
      <c r="AL675" s="1931"/>
      <c r="AM675" s="1931"/>
      <c r="AN675" s="1931"/>
      <c r="AO675" s="1931"/>
      <c r="AP675" s="1931"/>
      <c r="AQ675" s="1931"/>
      <c r="AR675" s="1931"/>
      <c r="AS675" s="1931"/>
      <c r="AT675" s="1931"/>
      <c r="AU675" s="1931"/>
      <c r="AV675" s="1931"/>
      <c r="AW675" s="1931"/>
      <c r="AX675" s="1931"/>
      <c r="AY675" s="1931"/>
      <c r="AZ675" s="1931"/>
      <c r="BA675" s="1931"/>
      <c r="BB675" s="1931"/>
      <c r="BC675" s="1931"/>
      <c r="BD675" s="1931"/>
      <c r="BE675" s="1931"/>
      <c r="BF675" s="1931"/>
      <c r="BG675" s="1931"/>
      <c r="BH675" s="1931"/>
      <c r="BI675" s="1931"/>
      <c r="BJ675" s="1931"/>
      <c r="BK675" s="1931"/>
      <c r="BL675" s="1931"/>
      <c r="BM675" s="1931"/>
      <c r="BN675" s="1931"/>
      <c r="BO675" s="1931"/>
      <c r="BP675" s="1931"/>
      <c r="BQ675" s="1931"/>
      <c r="BR675" s="1931"/>
      <c r="BS675" s="1931"/>
      <c r="BT675" s="1931"/>
      <c r="BU675" s="1931"/>
      <c r="BV675" s="1931"/>
      <c r="BW675" s="1931"/>
      <c r="BX675" s="1931"/>
      <c r="BY675" s="1931"/>
      <c r="BZ675" s="1931"/>
      <c r="CA675" s="1931"/>
      <c r="CB675" s="1931"/>
      <c r="CC675" s="1931"/>
      <c r="CD675" s="1931"/>
      <c r="CE675" s="1930"/>
      <c r="CF675" s="1930"/>
      <c r="CG675" s="1930"/>
      <c r="CH675" s="1930"/>
      <c r="CI675" s="1931"/>
      <c r="CJ675" s="1931"/>
      <c r="CK675" s="1931"/>
      <c r="CL675" s="1931"/>
      <c r="CM675" s="1931"/>
      <c r="CN675" s="1931"/>
      <c r="CO675" s="1931"/>
      <c r="CP675" s="1931"/>
      <c r="CQ675" s="1931"/>
      <c r="CR675" s="1931"/>
      <c r="CS675" s="1931"/>
      <c r="CT675" s="1930"/>
      <c r="CU675" s="1930"/>
      <c r="CV675" s="1930"/>
      <c r="CW675" s="1930"/>
      <c r="CX675" s="1931"/>
      <c r="CY675" s="1931"/>
      <c r="CZ675" s="1931"/>
      <c r="DA675" s="1931"/>
      <c r="DB675" s="1932"/>
      <c r="DC675" s="1931"/>
      <c r="DD675" s="1931"/>
      <c r="DE675" s="1931"/>
      <c r="DF675" s="1931"/>
    </row>
    <row r="676" spans="2:112" s="55" customFormat="1" hidden="1" outlineLevel="1" x14ac:dyDescent="0.25">
      <c r="C676" s="151"/>
      <c r="D676" s="3081" t="s">
        <v>28</v>
      </c>
      <c r="E676" s="3081" t="s">
        <v>2758</v>
      </c>
      <c r="F676" s="81" t="s">
        <v>3113</v>
      </c>
      <c r="G676" s="3081" t="s">
        <v>3114</v>
      </c>
      <c r="H676" s="3081" t="s">
        <v>3115</v>
      </c>
      <c r="I676" s="3081" t="s">
        <v>3116</v>
      </c>
      <c r="J676" s="3081" t="s">
        <v>3117</v>
      </c>
      <c r="K676" s="3081" t="s">
        <v>2812</v>
      </c>
      <c r="L676" s="3081" t="s">
        <v>3118</v>
      </c>
      <c r="M676" s="3081" t="s">
        <v>3119</v>
      </c>
      <c r="N676" s="401"/>
      <c r="O676" s="401"/>
      <c r="P676" s="401"/>
      <c r="Q676" s="401"/>
      <c r="R676" s="401"/>
      <c r="S676" s="401"/>
      <c r="T676" s="401"/>
      <c r="U676" s="401"/>
      <c r="DB676" s="72"/>
    </row>
    <row r="677" spans="2:112" hidden="1" outlineLevel="1" x14ac:dyDescent="0.25">
      <c r="B677" s="1931"/>
      <c r="D677" s="1967" t="str">
        <f>C667</f>
        <v>805450_2019_12_</v>
      </c>
      <c r="E677" s="1967" t="str">
        <f>E667</f>
        <v>Pre-Rinse Spray Valve</v>
      </c>
      <c r="F677" s="1350">
        <f>(G677-H677)*60*I677*J677</f>
        <v>32853.599999999991</v>
      </c>
      <c r="G677" s="1970">
        <v>2.23</v>
      </c>
      <c r="H677" s="1415">
        <v>1.06</v>
      </c>
      <c r="I677" s="1415">
        <v>1.5</v>
      </c>
      <c r="J677" s="1415">
        <v>312</v>
      </c>
      <c r="K677" s="1415">
        <f>L677+70</f>
        <v>127.9</v>
      </c>
      <c r="L677" s="1415">
        <v>57.9</v>
      </c>
      <c r="M677" s="1376">
        <v>0.97</v>
      </c>
      <c r="N677" s="1965"/>
      <c r="O677" s="1965"/>
      <c r="P677" s="1965"/>
      <c r="Q677" s="1965"/>
      <c r="R677" s="1965"/>
      <c r="S677" s="1965"/>
      <c r="T677" s="1965"/>
      <c r="U677" s="1965"/>
      <c r="V677" s="1931"/>
      <c r="W677" s="1931"/>
      <c r="X677" s="1931"/>
      <c r="Y677" s="1931"/>
      <c r="Z677" s="1931"/>
      <c r="AA677" s="1931"/>
      <c r="AB677" s="1931"/>
      <c r="AC677" s="1931"/>
      <c r="AD677" s="1931"/>
      <c r="AE677" s="1931"/>
      <c r="AF677" s="1931"/>
      <c r="AG677" s="1931"/>
      <c r="AH677" s="1931"/>
      <c r="AI677" s="1931"/>
      <c r="AJ677" s="1931"/>
      <c r="AK677" s="1931"/>
      <c r="AL677" s="1931"/>
      <c r="AM677" s="1931"/>
      <c r="AN677" s="1931"/>
      <c r="AO677" s="1931"/>
      <c r="AP677" s="1931"/>
      <c r="AQ677" s="1931"/>
      <c r="AR677" s="1931"/>
      <c r="AS677" s="1931"/>
      <c r="AT677" s="1931"/>
      <c r="AU677" s="1931"/>
      <c r="AV677" s="1931"/>
      <c r="AW677" s="1931"/>
      <c r="AX677" s="1931"/>
      <c r="AY677" s="1931"/>
      <c r="AZ677" s="1931"/>
      <c r="BA677" s="1931"/>
      <c r="BB677" s="1931"/>
      <c r="BC677" s="1931"/>
      <c r="BD677" s="1931"/>
      <c r="BE677" s="1931"/>
      <c r="BF677" s="1931"/>
      <c r="BG677" s="1931"/>
      <c r="BH677" s="1931"/>
      <c r="BI677" s="1931"/>
      <c r="BJ677" s="1931"/>
      <c r="BK677" s="1931"/>
      <c r="BL677" s="1931"/>
      <c r="BM677" s="1931"/>
      <c r="BN677" s="1931"/>
      <c r="BO677" s="1931"/>
      <c r="BP677" s="1931"/>
      <c r="BQ677" s="1931"/>
      <c r="BR677" s="1931"/>
      <c r="BS677" s="1931"/>
      <c r="BT677" s="1931"/>
      <c r="BU677" s="1931"/>
      <c r="BV677" s="1931"/>
      <c r="BW677" s="1931"/>
      <c r="BX677" s="1931"/>
      <c r="BY677" s="1931"/>
      <c r="BZ677" s="1931"/>
      <c r="CA677" s="1931"/>
      <c r="CB677" s="1931"/>
      <c r="CC677" s="1931"/>
      <c r="CD677" s="1931"/>
      <c r="CE677" s="1930"/>
      <c r="CF677" s="1930"/>
      <c r="CG677" s="1930"/>
      <c r="CH677" s="1930"/>
      <c r="CI677" s="1931"/>
      <c r="CJ677" s="1931"/>
      <c r="CK677" s="1931"/>
      <c r="CL677" s="1931"/>
      <c r="CM677" s="1931"/>
      <c r="CN677" s="1931"/>
      <c r="CO677" s="1931"/>
      <c r="CP677" s="1931"/>
      <c r="CQ677" s="1931"/>
      <c r="CR677" s="1931"/>
      <c r="CS677" s="1931"/>
      <c r="CT677" s="1930"/>
      <c r="CU677" s="1930"/>
      <c r="CV677" s="1930"/>
      <c r="CW677" s="1930"/>
      <c r="CX677" s="1931"/>
      <c r="CY677" s="1931"/>
      <c r="CZ677" s="1931"/>
      <c r="DA677" s="1931"/>
      <c r="DB677" s="1932"/>
      <c r="DC677" s="1931"/>
      <c r="DD677" s="1931"/>
      <c r="DE677" s="1931"/>
      <c r="DF677" s="1931"/>
    </row>
    <row r="678" spans="2:112" collapsed="1" x14ac:dyDescent="0.25">
      <c r="B678" s="1931"/>
      <c r="D678" s="1966"/>
      <c r="E678" s="1965"/>
      <c r="F678" s="1965"/>
      <c r="G678" s="1968"/>
      <c r="H678" s="1969"/>
      <c r="I678" s="1965"/>
      <c r="J678" s="1965"/>
      <c r="K678" s="1965"/>
      <c r="L678" s="1965"/>
      <c r="M678" s="1965"/>
      <c r="N678" s="1965"/>
      <c r="O678" s="1965"/>
      <c r="P678" s="1965"/>
      <c r="Q678" s="1965"/>
      <c r="R678" s="1965"/>
      <c r="S678" s="1965"/>
      <c r="T678" s="1965"/>
      <c r="U678" s="1965"/>
      <c r="V678" s="1931"/>
      <c r="W678" s="1931"/>
      <c r="X678" s="1931"/>
      <c r="Y678" s="1931"/>
      <c r="Z678" s="1931"/>
      <c r="AA678" s="1931"/>
      <c r="AB678" s="1931"/>
      <c r="AC678" s="1931"/>
      <c r="AD678" s="1931"/>
      <c r="AE678" s="1931"/>
      <c r="AF678" s="1931"/>
      <c r="AG678" s="1931"/>
      <c r="AH678" s="1931"/>
      <c r="AI678" s="1931"/>
      <c r="AJ678" s="1931"/>
      <c r="AK678" s="1931"/>
      <c r="AL678" s="1931"/>
      <c r="AM678" s="1931"/>
      <c r="AN678" s="1931"/>
      <c r="AO678" s="1931"/>
      <c r="AP678" s="1931"/>
      <c r="AQ678" s="1931"/>
      <c r="AR678" s="1931"/>
      <c r="AS678" s="1931"/>
      <c r="AT678" s="1931"/>
      <c r="AU678" s="1931"/>
      <c r="AV678" s="1931"/>
      <c r="AW678" s="1931"/>
      <c r="AX678" s="1931"/>
      <c r="AY678" s="1931"/>
      <c r="AZ678" s="1931"/>
      <c r="BA678" s="1931"/>
      <c r="BB678" s="1931"/>
      <c r="BC678" s="1931"/>
      <c r="BD678" s="1931"/>
      <c r="BE678" s="1931"/>
      <c r="BF678" s="1931"/>
      <c r="BG678" s="1931"/>
      <c r="BH678" s="1931"/>
      <c r="BI678" s="1931"/>
      <c r="BJ678" s="1931"/>
      <c r="BK678" s="1931"/>
      <c r="BL678" s="1931"/>
      <c r="BM678" s="1931"/>
      <c r="BN678" s="1931"/>
      <c r="BO678" s="1931"/>
      <c r="BP678" s="1931"/>
      <c r="BQ678" s="1931"/>
      <c r="BR678" s="1931"/>
      <c r="BS678" s="1931"/>
      <c r="BT678" s="1931"/>
      <c r="BU678" s="1931"/>
      <c r="BV678" s="1931"/>
      <c r="BW678" s="1931"/>
      <c r="BX678" s="1931"/>
      <c r="BY678" s="1931"/>
      <c r="BZ678" s="1931"/>
      <c r="CA678" s="1931"/>
      <c r="CB678" s="1931"/>
      <c r="CC678" s="1931"/>
      <c r="CD678" s="1931"/>
      <c r="CE678" s="1930"/>
      <c r="CF678" s="1930"/>
      <c r="CG678" s="1930"/>
      <c r="CH678" s="1930"/>
      <c r="CI678" s="1931"/>
      <c r="CJ678" s="1931"/>
      <c r="CK678" s="1931"/>
      <c r="CL678" s="1931"/>
      <c r="CM678" s="1931"/>
      <c r="CN678" s="1931"/>
      <c r="CO678" s="1931"/>
      <c r="CP678" s="1931"/>
      <c r="CQ678" s="1931"/>
      <c r="CR678" s="1931"/>
      <c r="CS678" s="1931"/>
      <c r="CT678" s="1930"/>
      <c r="CU678" s="1930"/>
      <c r="CV678" s="1930"/>
      <c r="CW678" s="1930"/>
      <c r="CX678" s="1931"/>
      <c r="CY678" s="1931"/>
      <c r="CZ678" s="1931"/>
      <c r="DA678" s="1931"/>
      <c r="DB678" s="1932"/>
      <c r="DC678" s="1931"/>
      <c r="DD678" s="1931"/>
      <c r="DE678" s="1931"/>
      <c r="DF678" s="1931"/>
    </row>
    <row r="680" spans="2:112" s="43" customFormat="1" x14ac:dyDescent="0.25">
      <c r="B680" s="4484" t="s">
        <v>3120</v>
      </c>
      <c r="C680" s="4485"/>
      <c r="D680" s="4485"/>
      <c r="E680" s="4485"/>
      <c r="F680" s="4485"/>
      <c r="G680" s="4485"/>
      <c r="H680" s="4485"/>
      <c r="I680" s="4486"/>
      <c r="J680" s="4486"/>
      <c r="K680" s="4486"/>
      <c r="L680" s="4486"/>
      <c r="M680" s="3752"/>
      <c r="N680" s="3752"/>
      <c r="O680" s="3753"/>
      <c r="P680" s="1935"/>
      <c r="Q680" s="1935"/>
      <c r="R680" s="1935"/>
      <c r="S680" s="1935"/>
      <c r="T680" s="1935"/>
      <c r="U680" s="1935"/>
      <c r="V680" s="3077" t="str">
        <f>B680</f>
        <v>Low Flow Faucet Aerator</v>
      </c>
      <c r="W680" s="3078"/>
      <c r="X680" s="3078"/>
      <c r="Y680" s="3078"/>
      <c r="Z680" s="3078"/>
      <c r="AA680" s="3078"/>
      <c r="AB680" s="3078"/>
      <c r="AC680" s="3078"/>
      <c r="AD680" s="3078"/>
      <c r="AE680" s="3078"/>
      <c r="AF680" s="3078"/>
      <c r="AG680" s="3078"/>
      <c r="AH680" s="3078"/>
      <c r="AI680" s="3170"/>
      <c r="AJ680" s="1931"/>
      <c r="AK680" s="1931"/>
      <c r="AL680" s="1931"/>
      <c r="AM680" s="1931"/>
      <c r="AN680" s="1931"/>
      <c r="AO680" s="1931"/>
      <c r="AP680" s="1931"/>
      <c r="AQ680" s="1931"/>
      <c r="AR680" s="1931"/>
      <c r="AS680" s="1931"/>
      <c r="AT680" s="1931"/>
      <c r="AU680" s="1931"/>
      <c r="AV680" s="1935"/>
      <c r="AW680" s="1935"/>
      <c r="AX680" s="1935"/>
      <c r="AY680" s="1935"/>
      <c r="AZ680" s="1935"/>
      <c r="BA680" s="1935"/>
      <c r="BB680" s="1935"/>
      <c r="BC680" s="1935"/>
      <c r="BD680" s="1935"/>
      <c r="BE680" s="1935"/>
      <c r="BF680" s="1935"/>
      <c r="BG680" s="1935"/>
      <c r="BH680" s="1935"/>
      <c r="BI680" s="1935"/>
      <c r="BJ680" s="1935"/>
      <c r="BK680" s="1935"/>
      <c r="BL680" s="1935"/>
      <c r="BM680" s="1935"/>
      <c r="BN680" s="1935"/>
      <c r="BO680" s="1935"/>
      <c r="BP680" s="1935"/>
      <c r="BQ680" s="1935"/>
      <c r="BR680" s="1935"/>
      <c r="BS680" s="1935"/>
      <c r="BT680" s="1935"/>
      <c r="BU680" s="1935"/>
      <c r="BV680" s="1935"/>
      <c r="BW680" s="1935"/>
      <c r="BX680" s="1935"/>
      <c r="BY680" s="1935"/>
      <c r="BZ680" s="1935"/>
      <c r="CA680" s="1935"/>
      <c r="CB680" s="1935"/>
      <c r="CC680" s="1935"/>
      <c r="CD680" s="1935"/>
      <c r="CE680" s="1935"/>
      <c r="CF680" s="1935"/>
      <c r="CG680" s="1935"/>
      <c r="CH680" s="1935"/>
      <c r="CI680" s="1935"/>
      <c r="CJ680" s="1935"/>
      <c r="CK680" s="1935"/>
      <c r="CL680" s="1935"/>
      <c r="CM680" s="1935"/>
      <c r="CN680" s="1935"/>
      <c r="CO680" s="1935"/>
      <c r="CP680" s="1935"/>
      <c r="CQ680" s="1935"/>
      <c r="CR680" s="1935"/>
      <c r="CS680" s="1935"/>
      <c r="CT680" s="1935"/>
      <c r="CU680" s="1935"/>
      <c r="CV680" s="1935"/>
      <c r="CW680" s="1935"/>
      <c r="CX680" s="1935"/>
      <c r="CY680" s="1935"/>
      <c r="CZ680" s="1935"/>
      <c r="DA680" s="1935"/>
      <c r="DB680" s="73"/>
      <c r="DC680" s="1935"/>
      <c r="DD680" s="1935"/>
      <c r="DE680" s="1935"/>
      <c r="DF680" s="1935"/>
      <c r="DG680" s="1935"/>
      <c r="DH680" s="1935"/>
    </row>
    <row r="681" spans="2:112" x14ac:dyDescent="0.25">
      <c r="B681" s="1931"/>
      <c r="D681" s="1286"/>
      <c r="E681" s="1966"/>
      <c r="F681" s="1966"/>
      <c r="G681" s="1966"/>
      <c r="H681" s="1287"/>
      <c r="I681" s="1966"/>
      <c r="J681" s="1966"/>
      <c r="K681" s="1966"/>
      <c r="L681" s="1966"/>
      <c r="M681" s="1965"/>
      <c r="N681" s="1965"/>
      <c r="O681" s="1965"/>
      <c r="P681" s="1966"/>
      <c r="Q681" s="1966"/>
      <c r="R681" s="1966"/>
      <c r="S681" s="1966"/>
      <c r="T681" s="1966"/>
      <c r="U681" s="1966"/>
      <c r="V681" s="1930"/>
      <c r="W681" s="1930"/>
      <c r="X681" s="1930"/>
      <c r="Y681" s="1930"/>
      <c r="Z681" s="1930"/>
      <c r="AA681" s="1930"/>
      <c r="AB681" s="1930"/>
      <c r="AC681" s="1930"/>
      <c r="AD681" s="1930"/>
      <c r="AE681" s="1930"/>
      <c r="AF681" s="1930"/>
      <c r="AG681" s="1930"/>
      <c r="AH681" s="1930"/>
      <c r="AI681" s="1930"/>
      <c r="AJ681" s="1934"/>
      <c r="AK681" s="1934"/>
      <c r="AL681" s="1934"/>
      <c r="AM681" s="1934"/>
      <c r="AN681" s="1934"/>
      <c r="AO681" s="1934"/>
      <c r="AP681" s="1934"/>
      <c r="AQ681" s="1934"/>
      <c r="AR681" s="1934"/>
      <c r="AS681" s="1934"/>
      <c r="AT681" s="1934"/>
      <c r="AU681" s="1934"/>
      <c r="AV681" s="1931"/>
      <c r="AW681" s="1931"/>
      <c r="AX681" s="1931"/>
      <c r="AY681" s="1931"/>
      <c r="AZ681" s="1931"/>
      <c r="BA681" s="1931"/>
      <c r="BB681" s="1931"/>
      <c r="BC681" s="1931"/>
      <c r="BD681" s="1931"/>
      <c r="BE681" s="1931"/>
      <c r="BF681" s="1931"/>
      <c r="BG681" s="1931"/>
      <c r="BH681" s="1931"/>
      <c r="BI681" s="1931"/>
      <c r="BJ681" s="1931"/>
      <c r="BK681" s="1931"/>
      <c r="BL681" s="1931"/>
      <c r="BM681" s="1931"/>
      <c r="BN681" s="1931"/>
      <c r="BO681" s="1931"/>
      <c r="BP681" s="1931"/>
      <c r="BQ681" s="1931"/>
      <c r="BR681" s="1931"/>
      <c r="BS681" s="1931"/>
      <c r="BT681" s="1931"/>
      <c r="BU681" s="1931"/>
      <c r="BV681" s="1931"/>
      <c r="BW681" s="1931"/>
      <c r="BX681" s="1931"/>
      <c r="BY681" s="1931"/>
      <c r="BZ681" s="1931"/>
      <c r="CA681" s="1931"/>
      <c r="CB681" s="1931"/>
      <c r="CC681" s="1931"/>
      <c r="CD681" s="1931"/>
      <c r="CE681" s="1930"/>
      <c r="CF681" s="1930"/>
      <c r="CG681" s="1930"/>
      <c r="CH681" s="1930"/>
      <c r="CI681" s="1931"/>
      <c r="CJ681" s="1931"/>
      <c r="CK681" s="1931"/>
      <c r="CL681" s="1931"/>
      <c r="CM681" s="1931"/>
      <c r="CN681" s="1931"/>
      <c r="CO681" s="1931"/>
      <c r="CP681" s="1931"/>
      <c r="CQ681" s="1931"/>
      <c r="CR681" s="1931"/>
      <c r="CS681" s="1931"/>
      <c r="CT681" s="1930"/>
      <c r="CU681" s="1930"/>
      <c r="CV681" s="1930"/>
      <c r="CW681" s="1930"/>
      <c r="CX681" s="1931"/>
      <c r="CY681" s="1931"/>
      <c r="CZ681" s="1931"/>
      <c r="DA681" s="1931"/>
      <c r="DB681" s="1932"/>
      <c r="DC681" s="1931"/>
      <c r="DD681" s="1931"/>
      <c r="DE681" s="1931"/>
      <c r="DF681" s="1931"/>
    </row>
    <row r="682" spans="2:112" s="44" customFormat="1" ht="30" x14ac:dyDescent="0.25">
      <c r="B682" s="45"/>
      <c r="C682" s="46" t="s">
        <v>28</v>
      </c>
      <c r="D682" s="46" t="s">
        <v>29</v>
      </c>
      <c r="E682" s="3196" t="s">
        <v>30</v>
      </c>
      <c r="F682" s="3196" t="s">
        <v>3111</v>
      </c>
      <c r="G682" s="3196" t="s">
        <v>176</v>
      </c>
      <c r="H682" s="47" t="s">
        <v>177</v>
      </c>
      <c r="I682" s="3196" t="s">
        <v>32</v>
      </c>
      <c r="J682" s="3196" t="s">
        <v>181</v>
      </c>
      <c r="K682" s="46" t="s">
        <v>170</v>
      </c>
      <c r="L682" s="46" t="s">
        <v>44</v>
      </c>
      <c r="M682" s="1965"/>
      <c r="N682" s="1965"/>
      <c r="O682" s="1965"/>
      <c r="P682" s="1288"/>
      <c r="Q682" s="1288"/>
      <c r="R682" s="1288"/>
      <c r="S682" s="1288"/>
      <c r="T682" s="1288"/>
      <c r="U682" s="1288"/>
      <c r="V682" s="1936" t="s">
        <v>45</v>
      </c>
      <c r="W682" s="1937">
        <f>$W$8</f>
        <v>43252</v>
      </c>
      <c r="X682" s="1937">
        <f>$X$8</f>
        <v>43465</v>
      </c>
      <c r="Y682" s="1937">
        <f>$Y$8</f>
        <v>43800</v>
      </c>
      <c r="Z682" s="1937">
        <f>$Z$8</f>
        <v>43862</v>
      </c>
      <c r="AA682" s="1937">
        <f>$AA$8</f>
        <v>44013</v>
      </c>
      <c r="AB682" s="1937">
        <v>44166</v>
      </c>
      <c r="AC682" s="1937">
        <f>$AC$8</f>
        <v>44531</v>
      </c>
      <c r="AD682" s="1937" t="str">
        <f>$AD$8</f>
        <v>-</v>
      </c>
      <c r="AE682" s="1937" t="str">
        <f>$AE$8</f>
        <v>-</v>
      </c>
      <c r="AF682" s="1937" t="str">
        <f>$AF$8</f>
        <v>-</v>
      </c>
      <c r="AG682" s="1937" t="str">
        <f>$AG$8</f>
        <v>-</v>
      </c>
      <c r="AH682" s="1930"/>
      <c r="AI682" s="1936" t="s">
        <v>45</v>
      </c>
      <c r="AJ682" s="1937">
        <v>43252</v>
      </c>
      <c r="AK682" s="1937">
        <f>$X$8</f>
        <v>43465</v>
      </c>
      <c r="AL682" s="1937">
        <f>$Y$8</f>
        <v>43800</v>
      </c>
      <c r="AM682" s="1937">
        <f>$Z$8</f>
        <v>43862</v>
      </c>
      <c r="AN682" s="1937">
        <f>$AA$8</f>
        <v>44013</v>
      </c>
      <c r="AO682" s="1937">
        <f>$AB$8</f>
        <v>44166</v>
      </c>
      <c r="AP682" s="1937">
        <f>$AC$8</f>
        <v>44531</v>
      </c>
      <c r="AQ682" s="1937" t="str">
        <f>$AD$8</f>
        <v>-</v>
      </c>
      <c r="AR682" s="1937" t="str">
        <f>$AE$8</f>
        <v>-</v>
      </c>
      <c r="AS682" s="1937" t="str">
        <f>$AF$8</f>
        <v>-</v>
      </c>
      <c r="AT682" s="1933"/>
      <c r="AU682" s="1936" t="s">
        <v>45</v>
      </c>
      <c r="AV682" s="1937">
        <v>43252</v>
      </c>
      <c r="AW682" s="1937">
        <f>$X$8</f>
        <v>43465</v>
      </c>
      <c r="AX682" s="1937">
        <f>$Y$8</f>
        <v>43800</v>
      </c>
      <c r="AY682" s="1937">
        <f>$Z$8</f>
        <v>43862</v>
      </c>
      <c r="AZ682" s="1937">
        <f>$AA$8</f>
        <v>44013</v>
      </c>
      <c r="BA682" s="1937">
        <v>44166</v>
      </c>
      <c r="BB682" s="1937">
        <f>$AC$8</f>
        <v>44531</v>
      </c>
      <c r="BC682" s="1937" t="str">
        <f>$AD$8</f>
        <v>-</v>
      </c>
      <c r="BD682" s="1937" t="str">
        <f>$AE$8</f>
        <v>-</v>
      </c>
      <c r="BE682" s="1937" t="str">
        <f>$AF$8</f>
        <v>-</v>
      </c>
      <c r="DB682" s="1938" t="str">
        <f>$DB$8</f>
        <v>TRC (2020)</v>
      </c>
      <c r="DC682" s="1953" t="str">
        <f>$DC$8</f>
        <v>Benefit Lookup</v>
      </c>
      <c r="DD682" s="1953" t="str">
        <f>$DD$8</f>
        <v>Benefits (2019 $)</v>
      </c>
      <c r="DE682" s="1953" t="str">
        <f>$DE$8</f>
        <v>Incremental Cost (2019 $)</v>
      </c>
    </row>
    <row r="683" spans="2:112" x14ac:dyDescent="0.25">
      <c r="B683" s="1931"/>
      <c r="C683" s="1997" t="s">
        <v>3121</v>
      </c>
      <c r="D683" s="1363" t="s">
        <v>2646</v>
      </c>
      <c r="E683" s="1308" t="s">
        <v>3120</v>
      </c>
      <c r="F683" s="1959">
        <f>ROUND(F693*((G693-H693)/G693)*I693*J693*N693,2)</f>
        <v>86.63</v>
      </c>
      <c r="G683" s="1290" t="s">
        <v>2798</v>
      </c>
      <c r="H683" s="1291">
        <f>VLOOKUP(G683,'CP FACTORS'!$A$26:$B$38,2,FALSE)</f>
        <v>1.811545E-4</v>
      </c>
      <c r="I683" s="1309">
        <f>ROUND(H683*F683,6)</f>
        <v>1.5692999999999999E-2</v>
      </c>
      <c r="J683" s="325">
        <v>9</v>
      </c>
      <c r="K683" s="1329">
        <v>8</v>
      </c>
      <c r="L683" s="1374" t="s">
        <v>185</v>
      </c>
      <c r="M683" s="1965"/>
      <c r="N683" s="1965"/>
      <c r="O683" s="1965"/>
      <c r="P683" s="1965"/>
      <c r="Q683" s="1965"/>
      <c r="R683" s="1965"/>
      <c r="S683" s="1965"/>
      <c r="T683" s="1965"/>
      <c r="U683" s="1965"/>
      <c r="V683" s="3226" t="s">
        <v>31</v>
      </c>
      <c r="W683" s="1947">
        <v>86.631740914419709</v>
      </c>
      <c r="X683" s="1947">
        <v>86.631740914419709</v>
      </c>
      <c r="Y683" s="1947">
        <v>86.631740914419709</v>
      </c>
      <c r="Z683" s="129">
        <v>86.631740914419709</v>
      </c>
      <c r="AA683" s="129">
        <v>86.631740914419709</v>
      </c>
      <c r="AB683" s="1825">
        <v>86.63</v>
      </c>
      <c r="AC683" s="3364">
        <v>86.63</v>
      </c>
      <c r="AD683" s="2099"/>
      <c r="AE683" s="2099"/>
      <c r="AF683" s="2099"/>
      <c r="AG683" s="2099"/>
      <c r="AH683" s="2100"/>
      <c r="AI683" s="3227" t="s">
        <v>181</v>
      </c>
      <c r="AJ683" s="64">
        <v>9</v>
      </c>
      <c r="AK683" s="64">
        <v>9</v>
      </c>
      <c r="AL683" s="64">
        <v>9</v>
      </c>
      <c r="AM683" s="64">
        <v>9</v>
      </c>
      <c r="AN683" s="64">
        <v>9</v>
      </c>
      <c r="AO683" s="2101">
        <v>9</v>
      </c>
      <c r="AP683" s="2101">
        <v>9</v>
      </c>
      <c r="AQ683" s="2099"/>
      <c r="AR683" s="2099"/>
      <c r="AS683" s="2099"/>
      <c r="AT683" s="1933"/>
      <c r="AU683" s="3227" t="s">
        <v>170</v>
      </c>
      <c r="AV683" s="2102">
        <v>8</v>
      </c>
      <c r="AW683" s="2102">
        <v>8</v>
      </c>
      <c r="AX683" s="2102">
        <v>8</v>
      </c>
      <c r="AY683" s="2102">
        <v>8</v>
      </c>
      <c r="AZ683" s="2102">
        <v>8</v>
      </c>
      <c r="BA683" s="2103">
        <v>8</v>
      </c>
      <c r="BB683" s="2103">
        <v>8</v>
      </c>
      <c r="BC683" s="2099"/>
      <c r="BD683" s="2099"/>
      <c r="BE683" s="2099"/>
      <c r="BF683" s="1933"/>
      <c r="BG683" s="1933"/>
      <c r="BH683" s="1933"/>
      <c r="BI683" s="1933"/>
      <c r="BJ683" s="1933"/>
      <c r="BK683" s="1933"/>
      <c r="BL683" s="1931"/>
      <c r="BM683" s="1931"/>
      <c r="BN683" s="1931"/>
      <c r="BO683" s="1931"/>
      <c r="BP683" s="1931"/>
      <c r="BQ683" s="1931"/>
      <c r="BR683" s="1931"/>
      <c r="BS683" s="1931"/>
      <c r="BT683" s="1931"/>
      <c r="BU683" s="1931"/>
      <c r="BV683" s="1931"/>
      <c r="BW683" s="1931"/>
      <c r="BX683" s="1931"/>
      <c r="BY683" s="1931"/>
      <c r="BZ683" s="1931"/>
      <c r="CA683" s="1931"/>
      <c r="CB683" s="1931"/>
      <c r="CC683" s="1931"/>
      <c r="CD683" s="1931"/>
      <c r="CE683" s="1930"/>
      <c r="CF683" s="1930"/>
      <c r="CG683" s="1930"/>
      <c r="CH683" s="1930"/>
      <c r="CI683" s="1931"/>
      <c r="CJ683" s="1931"/>
      <c r="CK683" s="1931"/>
      <c r="CL683" s="1931"/>
      <c r="CM683" s="1931"/>
      <c r="CN683" s="1931"/>
      <c r="CO683" s="1931"/>
      <c r="CP683" s="1931"/>
      <c r="CQ683" s="1931"/>
      <c r="CR683" s="1931"/>
      <c r="CS683" s="1931"/>
      <c r="CT683" s="1930"/>
      <c r="CU683" s="1930"/>
      <c r="CV683" s="1930"/>
      <c r="CW683" s="1930"/>
      <c r="CX683" s="1931"/>
      <c r="CY683" s="1931"/>
      <c r="CZ683" s="1931"/>
      <c r="DA683" s="1931"/>
      <c r="DB683" s="1954">
        <f>(DD683)/(DE683)</f>
        <v>4.4408857087525675</v>
      </c>
      <c r="DC683" s="3166" t="str">
        <f>CONCATENATE(G683," ",J683," Year EUL")</f>
        <v>Water Heating BUS 9 Year EUL</v>
      </c>
      <c r="DD683" s="1955">
        <f>(INDEX('Avoided Cost Benefits'!$C$4:$C$857,MATCH(DC683,'Avoided Cost Benefits'!$A$4:$A$857,0)))*F683</f>
        <v>33.531935507334154</v>
      </c>
      <c r="DE683" s="1956">
        <f>K683/(1.0595^(2020-2019))</f>
        <v>7.5507314771118441</v>
      </c>
      <c r="DF683" s="1931"/>
    </row>
    <row r="684" spans="2:112" hidden="1" outlineLevel="1" x14ac:dyDescent="0.25">
      <c r="B684" s="1931"/>
      <c r="D684" s="1966"/>
      <c r="E684" s="1966"/>
      <c r="F684" s="1966"/>
      <c r="G684" s="1966"/>
      <c r="H684" s="1299"/>
      <c r="I684" s="1966"/>
      <c r="J684" s="1966"/>
      <c r="K684" s="1966"/>
      <c r="L684" s="1965"/>
      <c r="M684" s="1965"/>
      <c r="N684" s="1965"/>
      <c r="O684" s="1965"/>
      <c r="P684" s="1965"/>
      <c r="Q684" s="1965"/>
      <c r="R684" s="1965"/>
      <c r="S684" s="1965"/>
      <c r="T684" s="1965"/>
      <c r="U684" s="1965"/>
      <c r="V684" s="1931"/>
      <c r="W684" s="1931"/>
      <c r="X684" s="1931"/>
      <c r="Y684" s="1931"/>
      <c r="Z684" s="1931"/>
      <c r="AA684" s="1931"/>
      <c r="AB684" s="1931"/>
      <c r="AC684" s="1931"/>
      <c r="AD684" s="1931"/>
      <c r="AE684" s="1931"/>
      <c r="AF684" s="1931"/>
      <c r="AG684" s="1931"/>
      <c r="AH684" s="1931"/>
      <c r="AI684" s="1931"/>
      <c r="AJ684" s="1931"/>
      <c r="AK684" s="1931"/>
      <c r="AL684" s="1931"/>
      <c r="AM684" s="1931"/>
      <c r="AN684" s="1931"/>
      <c r="AO684" s="1931"/>
      <c r="AP684" s="1931"/>
      <c r="AQ684" s="1931"/>
      <c r="AR684" s="1931"/>
      <c r="AS684" s="1931"/>
      <c r="AT684" s="1931"/>
      <c r="AU684" s="1931"/>
      <c r="AV684" s="1931"/>
      <c r="AW684" s="1931"/>
      <c r="AX684" s="1931"/>
      <c r="AY684" s="1931"/>
      <c r="AZ684" s="1931"/>
      <c r="BA684" s="1931"/>
      <c r="BB684" s="1931"/>
      <c r="BC684" s="1931"/>
      <c r="BD684" s="1931"/>
      <c r="BE684" s="1931"/>
      <c r="BF684" s="1931"/>
      <c r="BG684" s="1931"/>
      <c r="BH684" s="1931"/>
      <c r="BI684" s="1931"/>
      <c r="BJ684" s="1931"/>
      <c r="BK684" s="1931"/>
      <c r="BL684" s="1931"/>
      <c r="BM684" s="1931"/>
      <c r="BN684" s="1931"/>
      <c r="BO684" s="1931"/>
      <c r="BP684" s="1931"/>
      <c r="BQ684" s="1931"/>
      <c r="BR684" s="1931"/>
      <c r="BS684" s="1931"/>
      <c r="BT684" s="1931"/>
      <c r="BU684" s="1931"/>
      <c r="BV684" s="1931"/>
      <c r="BW684" s="1931"/>
      <c r="BX684" s="1931"/>
      <c r="BY684" s="1931"/>
      <c r="BZ684" s="1931"/>
      <c r="CA684" s="1931"/>
      <c r="CB684" s="1931"/>
      <c r="CC684" s="1931"/>
      <c r="CD684" s="1931"/>
      <c r="CE684" s="1930"/>
      <c r="CF684" s="1930"/>
      <c r="CG684" s="1930"/>
      <c r="CH684" s="1930"/>
      <c r="CI684" s="1931"/>
      <c r="CJ684" s="1931"/>
      <c r="CK684" s="1931"/>
      <c r="CL684" s="1931"/>
      <c r="CM684" s="1931"/>
      <c r="CN684" s="1931"/>
      <c r="CO684" s="1931"/>
      <c r="CP684" s="1931"/>
      <c r="CQ684" s="1931"/>
      <c r="CR684" s="1931"/>
      <c r="CS684" s="1931"/>
      <c r="CT684" s="1930"/>
      <c r="CU684" s="1930"/>
      <c r="CV684" s="1930"/>
      <c r="CW684" s="1930"/>
      <c r="CX684" s="1931"/>
      <c r="CY684" s="1931"/>
      <c r="CZ684" s="1931"/>
      <c r="DA684" s="1931"/>
      <c r="DB684" s="1932"/>
      <c r="DC684" s="1931"/>
      <c r="DD684" s="1931"/>
      <c r="DE684" s="1931"/>
      <c r="DF684" s="1931"/>
    </row>
    <row r="685" spans="2:112" hidden="1" outlineLevel="1" x14ac:dyDescent="0.25">
      <c r="B685" s="1931"/>
      <c r="D685" s="1966" t="s">
        <v>2689</v>
      </c>
      <c r="E685" s="151"/>
      <c r="F685" s="1966"/>
      <c r="G685" s="1966"/>
      <c r="H685" s="1299"/>
      <c r="I685" s="1966"/>
      <c r="J685" s="1966"/>
      <c r="K685" s="151"/>
      <c r="L685" s="1965"/>
      <c r="M685" s="1965"/>
      <c r="N685" s="1965"/>
      <c r="O685" s="1965"/>
      <c r="P685" s="1965"/>
      <c r="Q685" s="1965"/>
      <c r="R685" s="1965"/>
      <c r="S685" s="1965"/>
      <c r="T685" s="1965"/>
      <c r="U685" s="1965"/>
      <c r="V685" s="1931"/>
      <c r="W685" s="1931"/>
      <c r="X685" s="1931"/>
      <c r="Y685" s="1931"/>
      <c r="Z685" s="1931"/>
      <c r="AA685" s="1931"/>
      <c r="AB685" s="1931"/>
      <c r="AC685" s="1931"/>
      <c r="AD685" s="1931"/>
      <c r="AE685" s="1931"/>
      <c r="AF685" s="1931"/>
      <c r="AG685" s="1931"/>
      <c r="AH685" s="1931"/>
      <c r="AI685" s="1931"/>
      <c r="AJ685" s="1931"/>
      <c r="AK685" s="1931"/>
      <c r="AL685" s="1931"/>
      <c r="AM685" s="1931"/>
      <c r="AN685" s="1931"/>
      <c r="AO685" s="1931"/>
      <c r="AP685" s="1931"/>
      <c r="AQ685" s="1931"/>
      <c r="AR685" s="1931"/>
      <c r="AS685" s="1931"/>
      <c r="AT685" s="1931"/>
      <c r="AU685" s="1931"/>
      <c r="AV685" s="1931"/>
      <c r="AW685" s="1931"/>
      <c r="AX685" s="1931"/>
      <c r="AY685" s="1931"/>
      <c r="AZ685" s="1931"/>
      <c r="BA685" s="1931"/>
      <c r="BB685" s="1931"/>
      <c r="BC685" s="1931"/>
      <c r="BD685" s="1931"/>
      <c r="BE685" s="1931"/>
      <c r="BF685" s="1931"/>
      <c r="BG685" s="1931"/>
      <c r="BH685" s="1931"/>
      <c r="BI685" s="1931"/>
      <c r="BJ685" s="1931"/>
      <c r="BK685" s="1931"/>
      <c r="BL685" s="1931"/>
      <c r="BM685" s="1931"/>
      <c r="BN685" s="1931"/>
      <c r="BO685" s="1931"/>
      <c r="BP685" s="1931"/>
      <c r="BQ685" s="1931"/>
      <c r="BR685" s="1931"/>
      <c r="BS685" s="1931"/>
      <c r="BT685" s="1931"/>
      <c r="BU685" s="1931"/>
      <c r="BV685" s="1931"/>
      <c r="BW685" s="1931"/>
      <c r="BX685" s="1931"/>
      <c r="BY685" s="1931"/>
      <c r="BZ685" s="1931"/>
      <c r="CA685" s="1931"/>
      <c r="CB685" s="1931"/>
      <c r="CC685" s="1931"/>
      <c r="CD685" s="1931"/>
      <c r="CE685" s="1930"/>
      <c r="CF685" s="1930"/>
      <c r="CG685" s="1930"/>
      <c r="CH685" s="1930"/>
      <c r="CI685" s="1931"/>
      <c r="CJ685" s="1931"/>
      <c r="CK685" s="1931"/>
      <c r="CL685" s="1931"/>
      <c r="CM685" s="1931"/>
      <c r="CN685" s="1931"/>
      <c r="CO685" s="1931"/>
      <c r="CP685" s="1931"/>
      <c r="CQ685" s="1931"/>
      <c r="CR685" s="1931"/>
      <c r="CS685" s="1931"/>
      <c r="CT685" s="1930"/>
      <c r="CU685" s="1930"/>
      <c r="CV685" s="1930"/>
      <c r="CW685" s="1930"/>
      <c r="CX685" s="1931"/>
      <c r="CY685" s="1931"/>
      <c r="CZ685" s="1931"/>
      <c r="DA685" s="1931"/>
      <c r="DB685" s="1932"/>
      <c r="DC685" s="1931"/>
      <c r="DD685" s="1931"/>
      <c r="DE685" s="1931"/>
      <c r="DF685" s="1931"/>
    </row>
    <row r="686" spans="2:112" hidden="1" outlineLevel="1" x14ac:dyDescent="0.25">
      <c r="B686" s="1931"/>
      <c r="D686" s="1300"/>
      <c r="E686" s="151"/>
      <c r="F686" s="151"/>
      <c r="G686" s="1321"/>
      <c r="H686" s="1322"/>
      <c r="I686" s="1965"/>
      <c r="J686" s="1965"/>
      <c r="K686" s="1965"/>
      <c r="L686" s="1965"/>
      <c r="M686" s="1965"/>
      <c r="N686" s="1965"/>
      <c r="O686" s="1965"/>
      <c r="P686" s="1965"/>
      <c r="Q686" s="1965"/>
      <c r="R686" s="1965"/>
      <c r="S686" s="1965"/>
      <c r="T686" s="1965"/>
      <c r="U686" s="1965"/>
      <c r="V686" s="1931"/>
      <c r="W686" s="1931"/>
      <c r="X686" s="1931"/>
      <c r="Y686" s="1931"/>
      <c r="Z686" s="1931"/>
      <c r="AA686" s="1931"/>
      <c r="AB686" s="1931"/>
      <c r="AC686" s="1931"/>
      <c r="AD686" s="1931"/>
      <c r="AE686" s="1931"/>
      <c r="AF686" s="1931"/>
      <c r="AG686" s="1931"/>
      <c r="AH686" s="1931"/>
      <c r="AI686" s="1931"/>
      <c r="AJ686" s="1931"/>
      <c r="AK686" s="1931"/>
      <c r="AL686" s="1931"/>
      <c r="AM686" s="1931"/>
      <c r="AN686" s="1931"/>
      <c r="AO686" s="1931"/>
      <c r="AP686" s="1931"/>
      <c r="AQ686" s="1931"/>
      <c r="AR686" s="1931"/>
      <c r="AS686" s="1931"/>
      <c r="AT686" s="1931"/>
      <c r="AU686" s="1931"/>
      <c r="AV686" s="1931"/>
      <c r="AW686" s="1931"/>
      <c r="AX686" s="1931"/>
      <c r="AY686" s="1931"/>
      <c r="AZ686" s="1931"/>
      <c r="BA686" s="1931"/>
      <c r="BB686" s="1931"/>
      <c r="BC686" s="1931"/>
      <c r="BD686" s="1931"/>
      <c r="BE686" s="1931"/>
      <c r="BF686" s="1931"/>
      <c r="BG686" s="1931"/>
      <c r="BH686" s="1931"/>
      <c r="BI686" s="1931"/>
      <c r="BJ686" s="1931"/>
      <c r="BK686" s="1931"/>
      <c r="BL686" s="1931"/>
      <c r="BM686" s="1931"/>
      <c r="BN686" s="1931"/>
      <c r="BO686" s="1931"/>
      <c r="BP686" s="1931"/>
      <c r="BQ686" s="1931"/>
      <c r="BR686" s="1931"/>
      <c r="BS686" s="1931"/>
      <c r="BT686" s="1931"/>
      <c r="BU686" s="1931"/>
      <c r="BV686" s="1931"/>
      <c r="BW686" s="1931"/>
      <c r="BX686" s="1931"/>
      <c r="BY686" s="1931"/>
      <c r="BZ686" s="1931"/>
      <c r="CA686" s="1931"/>
      <c r="CB686" s="1931"/>
      <c r="CC686" s="1931"/>
      <c r="CD686" s="1931"/>
      <c r="CE686" s="1930"/>
      <c r="CF686" s="1930"/>
      <c r="CG686" s="1930"/>
      <c r="CH686" s="1930"/>
      <c r="CI686" s="1931"/>
      <c r="CJ686" s="1931"/>
      <c r="CK686" s="1931"/>
      <c r="CL686" s="1931"/>
      <c r="CM686" s="1931"/>
      <c r="CN686" s="1931"/>
      <c r="CO686" s="1931"/>
      <c r="CP686" s="1931"/>
      <c r="CQ686" s="1931"/>
      <c r="CR686" s="1931"/>
      <c r="CS686" s="1931"/>
      <c r="CT686" s="1930"/>
      <c r="CU686" s="1930"/>
      <c r="CV686" s="1930"/>
      <c r="CW686" s="1930"/>
      <c r="CX686" s="1931"/>
      <c r="CY686" s="1931"/>
      <c r="CZ686" s="1931"/>
      <c r="DA686" s="1931"/>
      <c r="DB686" s="1932"/>
      <c r="DC686" s="1931"/>
      <c r="DD686" s="1931"/>
      <c r="DE686" s="1931"/>
      <c r="DF686" s="1931"/>
    </row>
    <row r="687" spans="2:112" hidden="1" outlineLevel="1" x14ac:dyDescent="0.25">
      <c r="B687" s="1931"/>
      <c r="D687" s="1300"/>
      <c r="E687" s="1965"/>
      <c r="F687" s="1965"/>
      <c r="G687" s="1321"/>
      <c r="H687" s="1322"/>
      <c r="I687" s="1965"/>
      <c r="J687" s="1965"/>
      <c r="K687" s="1965"/>
      <c r="L687" s="1965"/>
      <c r="M687" s="1965"/>
      <c r="N687" s="1965"/>
      <c r="O687" s="1965"/>
      <c r="P687" s="4483"/>
      <c r="Q687" s="4483"/>
      <c r="R687" s="1965"/>
      <c r="S687" s="1965"/>
      <c r="T687" s="1965"/>
      <c r="U687" s="1965"/>
      <c r="V687" s="1931"/>
      <c r="W687" s="1931"/>
      <c r="X687" s="1931"/>
      <c r="Y687" s="1931"/>
      <c r="Z687" s="1931"/>
      <c r="AA687" s="1931"/>
      <c r="AB687" s="1931"/>
      <c r="AC687" s="1931"/>
      <c r="AD687" s="1931"/>
      <c r="AE687" s="1931"/>
      <c r="AF687" s="1931"/>
      <c r="AG687" s="1931"/>
      <c r="AH687" s="1931"/>
      <c r="AI687" s="1931"/>
      <c r="AJ687" s="1931"/>
      <c r="AK687" s="1931"/>
      <c r="AL687" s="1931"/>
      <c r="AM687" s="1931"/>
      <c r="AN687" s="1931"/>
      <c r="AO687" s="1931"/>
      <c r="AP687" s="1931"/>
      <c r="AQ687" s="1931"/>
      <c r="AR687" s="1931"/>
      <c r="AS687" s="1931"/>
      <c r="AT687" s="1931"/>
      <c r="AU687" s="1931"/>
      <c r="AV687" s="1931"/>
      <c r="AW687" s="1931"/>
      <c r="AX687" s="1931"/>
      <c r="AY687" s="1931"/>
      <c r="AZ687" s="1931"/>
      <c r="BA687" s="1931"/>
      <c r="BB687" s="1931"/>
      <c r="BC687" s="1931"/>
      <c r="BD687" s="1931"/>
      <c r="BE687" s="1931"/>
      <c r="BF687" s="1931"/>
      <c r="BG687" s="1931"/>
      <c r="BH687" s="1931"/>
      <c r="BI687" s="1931"/>
      <c r="BJ687" s="1931"/>
      <c r="BK687" s="1931"/>
      <c r="BL687" s="1931"/>
      <c r="BM687" s="1931"/>
      <c r="BN687" s="1931"/>
      <c r="BO687" s="1931"/>
      <c r="BP687" s="1931"/>
      <c r="BQ687" s="1931"/>
      <c r="BR687" s="1931"/>
      <c r="BS687" s="1931"/>
      <c r="BT687" s="1931"/>
      <c r="BU687" s="1931"/>
      <c r="BV687" s="1931"/>
      <c r="BW687" s="1931"/>
      <c r="BX687" s="1931"/>
      <c r="BY687" s="1931"/>
      <c r="BZ687" s="1931"/>
      <c r="CA687" s="1931"/>
      <c r="CB687" s="1931"/>
      <c r="CC687" s="1931"/>
      <c r="CD687" s="1931"/>
      <c r="CE687" s="1930"/>
      <c r="CF687" s="1930"/>
      <c r="CG687" s="1930"/>
      <c r="CH687" s="1930"/>
      <c r="CI687" s="1931"/>
      <c r="CJ687" s="1931"/>
      <c r="CK687" s="1931"/>
      <c r="CL687" s="1931"/>
      <c r="CM687" s="1931"/>
      <c r="CN687" s="1931"/>
      <c r="CO687" s="1931"/>
      <c r="CP687" s="1931"/>
      <c r="CQ687" s="1931"/>
      <c r="CR687" s="1931"/>
      <c r="CS687" s="1931"/>
      <c r="CT687" s="1930"/>
      <c r="CU687" s="1930"/>
      <c r="CV687" s="1930"/>
      <c r="CW687" s="1930"/>
      <c r="CX687" s="1931"/>
      <c r="CY687" s="1931"/>
      <c r="CZ687" s="1931"/>
      <c r="DA687" s="1931"/>
      <c r="DB687" s="1932"/>
      <c r="DC687" s="1931"/>
      <c r="DD687" s="1931"/>
      <c r="DE687" s="1931"/>
      <c r="DF687" s="1931"/>
    </row>
    <row r="688" spans="2:112" hidden="1" outlineLevel="1" x14ac:dyDescent="0.25">
      <c r="B688" s="1931"/>
      <c r="D688" s="1300"/>
      <c r="E688" s="1965"/>
      <c r="F688" s="1965"/>
      <c r="G688" s="1965"/>
      <c r="H688" s="1301"/>
      <c r="I688" s="1965"/>
      <c r="J688" s="1965"/>
      <c r="K688" s="1965"/>
      <c r="L688" s="1965"/>
      <c r="M688" s="1966"/>
      <c r="N688" s="1965"/>
      <c r="O688" s="1965"/>
      <c r="P688" s="4483"/>
      <c r="Q688" s="4483"/>
      <c r="R688" s="1965"/>
      <c r="S688" s="1965"/>
      <c r="T688" s="1965"/>
      <c r="U688" s="1965"/>
      <c r="V688" s="1931"/>
      <c r="W688" s="1931"/>
      <c r="X688" s="1931"/>
      <c r="Y688" s="1931"/>
      <c r="Z688" s="1931"/>
      <c r="AA688" s="1931"/>
      <c r="AB688" s="1931"/>
      <c r="AC688" s="1931"/>
      <c r="AD688" s="1931"/>
      <c r="AE688" s="1931"/>
      <c r="AF688" s="1931"/>
      <c r="AG688" s="1931"/>
      <c r="AH688" s="1931"/>
      <c r="AI688" s="1931"/>
      <c r="AJ688" s="1931"/>
      <c r="AK688" s="1931"/>
      <c r="AL688" s="1931"/>
      <c r="AM688" s="1931"/>
      <c r="AN688" s="1931"/>
      <c r="AO688" s="1931"/>
      <c r="AP688" s="1931"/>
      <c r="AQ688" s="1931"/>
      <c r="AR688" s="1931"/>
      <c r="AS688" s="1931"/>
      <c r="AT688" s="1931"/>
      <c r="AU688" s="1931"/>
      <c r="AV688" s="1931"/>
      <c r="AW688" s="1931"/>
      <c r="AX688" s="1931"/>
      <c r="AY688" s="1931"/>
      <c r="AZ688" s="1931"/>
      <c r="BA688" s="1931"/>
      <c r="BB688" s="1931"/>
      <c r="BC688" s="1931"/>
      <c r="BD688" s="1931"/>
      <c r="BE688" s="1931"/>
      <c r="BF688" s="1931"/>
      <c r="BG688" s="1931"/>
      <c r="BH688" s="1931"/>
      <c r="BI688" s="1931"/>
      <c r="BJ688" s="1931"/>
      <c r="BK688" s="1931"/>
      <c r="BL688" s="1931"/>
      <c r="BM688" s="1931"/>
      <c r="BN688" s="1931"/>
      <c r="BO688" s="1931"/>
      <c r="BP688" s="1931"/>
      <c r="BQ688" s="1931"/>
      <c r="BR688" s="1931"/>
      <c r="BS688" s="1931"/>
      <c r="BT688" s="1931"/>
      <c r="BU688" s="1931"/>
      <c r="BV688" s="1931"/>
      <c r="BW688" s="1931"/>
      <c r="BX688" s="1931"/>
      <c r="BY688" s="1931"/>
      <c r="BZ688" s="1931"/>
      <c r="CA688" s="1931"/>
      <c r="CB688" s="1931"/>
      <c r="CC688" s="1931"/>
      <c r="CD688" s="1931"/>
      <c r="CE688" s="1930"/>
      <c r="CF688" s="1930"/>
      <c r="CG688" s="1930"/>
      <c r="CH688" s="1930"/>
      <c r="CI688" s="1931"/>
      <c r="CJ688" s="1931"/>
      <c r="CK688" s="1931"/>
      <c r="CL688" s="1931"/>
      <c r="CM688" s="1931"/>
      <c r="CN688" s="1931"/>
      <c r="CO688" s="1931"/>
      <c r="CP688" s="1931"/>
      <c r="CQ688" s="1931"/>
      <c r="CR688" s="1931"/>
      <c r="CS688" s="1931"/>
      <c r="CT688" s="1930"/>
      <c r="CU688" s="1930"/>
      <c r="CV688" s="1930"/>
      <c r="CW688" s="1930"/>
      <c r="CX688" s="1931"/>
      <c r="CY688" s="1931"/>
      <c r="CZ688" s="1931"/>
      <c r="DA688" s="1931"/>
      <c r="DB688" s="1932"/>
      <c r="DC688" s="1931"/>
      <c r="DD688" s="1931"/>
      <c r="DE688" s="1931"/>
      <c r="DF688" s="1931"/>
    </row>
    <row r="689" spans="2:112" hidden="1" outlineLevel="1" x14ac:dyDescent="0.25">
      <c r="B689" s="1931"/>
      <c r="D689" s="1300"/>
      <c r="E689" s="1965"/>
      <c r="F689" s="1965"/>
      <c r="G689" s="1965"/>
      <c r="H689" s="1301"/>
      <c r="I689" s="1965"/>
      <c r="J689" s="1965"/>
      <c r="K689" s="1965"/>
      <c r="L689" s="1965"/>
      <c r="M689" s="1966"/>
      <c r="N689" s="1965"/>
      <c r="O689" s="1965"/>
      <c r="P689" s="4483"/>
      <c r="Q689" s="4483"/>
      <c r="R689" s="1965"/>
      <c r="S689" s="1965"/>
      <c r="T689" s="1965"/>
      <c r="U689" s="1965"/>
      <c r="V689" s="1931"/>
      <c r="W689" s="1931"/>
      <c r="X689" s="1931"/>
      <c r="Y689" s="1931"/>
      <c r="Z689" s="1931"/>
      <c r="AA689" s="1931"/>
      <c r="AB689" s="1931"/>
      <c r="AC689" s="1931"/>
      <c r="AD689" s="1931"/>
      <c r="AE689" s="1931"/>
      <c r="AF689" s="1931"/>
      <c r="AG689" s="1931"/>
      <c r="AH689" s="1931"/>
      <c r="AI689" s="1931"/>
      <c r="AJ689" s="1931"/>
      <c r="AK689" s="1931"/>
      <c r="AL689" s="1931"/>
      <c r="AM689" s="1931"/>
      <c r="AN689" s="1931"/>
      <c r="AO689" s="1931"/>
      <c r="AP689" s="1931"/>
      <c r="AQ689" s="1931"/>
      <c r="AR689" s="1931"/>
      <c r="AS689" s="1931"/>
      <c r="AT689" s="1931"/>
      <c r="AU689" s="1931"/>
      <c r="AV689" s="1931"/>
      <c r="AW689" s="1931"/>
      <c r="AX689" s="1931"/>
      <c r="AY689" s="1931"/>
      <c r="AZ689" s="1931"/>
      <c r="BA689" s="1931"/>
      <c r="BB689" s="1931"/>
      <c r="BC689" s="1931"/>
      <c r="BD689" s="1931"/>
      <c r="BE689" s="1931"/>
      <c r="BF689" s="1931"/>
      <c r="BG689" s="1931"/>
      <c r="BH689" s="1931"/>
      <c r="BI689" s="1931"/>
      <c r="BJ689" s="1931"/>
      <c r="BK689" s="1931"/>
      <c r="BL689" s="1931"/>
      <c r="BM689" s="1931"/>
      <c r="BN689" s="1931"/>
      <c r="BO689" s="1931"/>
      <c r="BP689" s="1931"/>
      <c r="BQ689" s="1931"/>
      <c r="BR689" s="1931"/>
      <c r="BS689" s="1931"/>
      <c r="BT689" s="1931"/>
      <c r="BU689" s="1931"/>
      <c r="BV689" s="1931"/>
      <c r="BW689" s="1931"/>
      <c r="BX689" s="1931"/>
      <c r="BY689" s="1931"/>
      <c r="BZ689" s="1931"/>
      <c r="CA689" s="1931"/>
      <c r="CB689" s="1931"/>
      <c r="CC689" s="1931"/>
      <c r="CD689" s="1931"/>
      <c r="CE689" s="1930"/>
      <c r="CF689" s="1930"/>
      <c r="CG689" s="1930"/>
      <c r="CH689" s="1930"/>
      <c r="CI689" s="1931"/>
      <c r="CJ689" s="1931"/>
      <c r="CK689" s="1931"/>
      <c r="CL689" s="1931"/>
      <c r="CM689" s="1931"/>
      <c r="CN689" s="1931"/>
      <c r="CO689" s="1931"/>
      <c r="CP689" s="1931"/>
      <c r="CQ689" s="1931"/>
      <c r="CR689" s="1931"/>
      <c r="CS689" s="1931"/>
      <c r="CT689" s="1930"/>
      <c r="CU689" s="1930"/>
      <c r="CV689" s="1930"/>
      <c r="CW689" s="1930"/>
      <c r="CX689" s="1931"/>
      <c r="CY689" s="1931"/>
      <c r="CZ689" s="1931"/>
      <c r="DA689" s="1931"/>
      <c r="DB689" s="1932"/>
      <c r="DC689" s="1931"/>
      <c r="DD689" s="1931"/>
      <c r="DE689" s="1931"/>
      <c r="DF689" s="1931"/>
    </row>
    <row r="690" spans="2:112" hidden="1" outlineLevel="1" x14ac:dyDescent="0.25">
      <c r="B690" s="1931"/>
      <c r="D690" s="1300"/>
      <c r="E690" s="1965"/>
      <c r="F690" s="1965"/>
      <c r="G690" s="1965"/>
      <c r="H690" s="1301"/>
      <c r="I690" s="1965"/>
      <c r="J690" s="1965"/>
      <c r="K690" s="1965"/>
      <c r="L690" s="1965"/>
      <c r="M690" s="1966"/>
      <c r="N690" s="1965"/>
      <c r="O690" s="1965"/>
      <c r="P690" s="1965"/>
      <c r="Q690" s="1965"/>
      <c r="R690" s="1965"/>
      <c r="S690" s="1965"/>
      <c r="T690" s="1965"/>
      <c r="U690" s="1965"/>
      <c r="V690" s="1931"/>
      <c r="W690" s="1931"/>
      <c r="X690" s="1931"/>
      <c r="Y690" s="1931"/>
      <c r="Z690" s="1931"/>
      <c r="AA690" s="1931"/>
      <c r="AB690" s="1931"/>
      <c r="AC690" s="1931"/>
      <c r="AD690" s="1931"/>
      <c r="AE690" s="1931"/>
      <c r="AF690" s="1931"/>
      <c r="AG690" s="1931"/>
      <c r="AH690" s="1931"/>
      <c r="AI690" s="1931"/>
      <c r="AJ690" s="1931"/>
      <c r="AK690" s="1931"/>
      <c r="AL690" s="1931"/>
      <c r="AM690" s="1931"/>
      <c r="AN690" s="1931"/>
      <c r="AO690" s="1931"/>
      <c r="AP690" s="1931"/>
      <c r="AQ690" s="1931"/>
      <c r="AR690" s="1931"/>
      <c r="AS690" s="1931"/>
      <c r="AT690" s="1931"/>
      <c r="AU690" s="1931"/>
      <c r="AV690" s="1931"/>
      <c r="AW690" s="1931"/>
      <c r="AX690" s="1931"/>
      <c r="AY690" s="1931"/>
      <c r="AZ690" s="1931"/>
      <c r="BA690" s="1931"/>
      <c r="BB690" s="1931"/>
      <c r="BC690" s="1931"/>
      <c r="BD690" s="1931"/>
      <c r="BE690" s="1931"/>
      <c r="BF690" s="1931"/>
      <c r="BG690" s="1931"/>
      <c r="BH690" s="1931"/>
      <c r="BI690" s="1931"/>
      <c r="BJ690" s="1931"/>
      <c r="BK690" s="1931"/>
      <c r="BL690" s="1931"/>
      <c r="BM690" s="1931"/>
      <c r="BN690" s="1931"/>
      <c r="BO690" s="1931"/>
      <c r="BP690" s="1931"/>
      <c r="BQ690" s="1931"/>
      <c r="BR690" s="1931"/>
      <c r="BS690" s="1931"/>
      <c r="BT690" s="1931"/>
      <c r="BU690" s="1931"/>
      <c r="BV690" s="1931"/>
      <c r="BW690" s="1931"/>
      <c r="BX690" s="1931"/>
      <c r="BY690" s="1931"/>
      <c r="BZ690" s="1931"/>
      <c r="CA690" s="1931"/>
      <c r="CB690" s="1931"/>
      <c r="CC690" s="1931"/>
      <c r="CD690" s="1931"/>
      <c r="CE690" s="1930"/>
      <c r="CF690" s="1930"/>
      <c r="CG690" s="1930"/>
      <c r="CH690" s="1930"/>
      <c r="CI690" s="1931"/>
      <c r="CJ690" s="1931"/>
      <c r="CK690" s="1931"/>
      <c r="CL690" s="1931"/>
      <c r="CM690" s="1931"/>
      <c r="CN690" s="1931"/>
      <c r="CO690" s="1931"/>
      <c r="CP690" s="1931"/>
      <c r="CQ690" s="1931"/>
      <c r="CR690" s="1931"/>
      <c r="CS690" s="1931"/>
      <c r="CT690" s="1930"/>
      <c r="CU690" s="1930"/>
      <c r="CV690" s="1930"/>
      <c r="CW690" s="1930"/>
      <c r="CX690" s="1931"/>
      <c r="CY690" s="1931"/>
      <c r="CZ690" s="1931"/>
      <c r="DA690" s="1931"/>
      <c r="DB690" s="1932"/>
      <c r="DC690" s="1931"/>
      <c r="DD690" s="1931"/>
      <c r="DE690" s="1931"/>
      <c r="DF690" s="1931"/>
    </row>
    <row r="691" spans="2:112" hidden="1" outlineLevel="1" x14ac:dyDescent="0.25">
      <c r="B691" s="1931"/>
      <c r="D691" s="1300"/>
      <c r="E691" s="1965"/>
      <c r="F691" s="1965"/>
      <c r="G691" s="1965"/>
      <c r="H691" s="1301"/>
      <c r="I691" s="1965"/>
      <c r="J691" s="1965"/>
      <c r="K691" s="1965"/>
      <c r="L691" s="1965"/>
      <c r="M691" s="1965"/>
      <c r="N691" s="1965"/>
      <c r="O691" s="1965"/>
      <c r="P691" s="1965"/>
      <c r="Q691" s="1965"/>
      <c r="R691" s="1965"/>
      <c r="S691" s="1965"/>
      <c r="T691" s="1965"/>
      <c r="U691" s="1965"/>
      <c r="V691" s="1931"/>
      <c r="W691" s="1931"/>
      <c r="X691" s="1931"/>
      <c r="Y691" s="1931"/>
      <c r="Z691" s="1931"/>
      <c r="AA691" s="1931"/>
      <c r="AB691" s="1931"/>
      <c r="AC691" s="1931"/>
      <c r="AD691" s="1931"/>
      <c r="AE691" s="1931"/>
      <c r="AF691" s="1931"/>
      <c r="AG691" s="1931"/>
      <c r="AH691" s="1931"/>
      <c r="AI691" s="1931"/>
      <c r="AJ691" s="1931"/>
      <c r="AK691" s="1931"/>
      <c r="AL691" s="1931"/>
      <c r="AM691" s="1931"/>
      <c r="AN691" s="1931"/>
      <c r="AO691" s="1931"/>
      <c r="AP691" s="1931"/>
      <c r="AQ691" s="1931"/>
      <c r="AR691" s="1931"/>
      <c r="AS691" s="1931"/>
      <c r="AT691" s="1931"/>
      <c r="AU691" s="1931"/>
      <c r="AV691" s="1931"/>
      <c r="AW691" s="1931"/>
      <c r="AX691" s="1931"/>
      <c r="AY691" s="1931"/>
      <c r="AZ691" s="1931"/>
      <c r="BA691" s="1931"/>
      <c r="BB691" s="1931"/>
      <c r="BC691" s="1931"/>
      <c r="BD691" s="1931"/>
      <c r="BE691" s="1931"/>
      <c r="BF691" s="1931"/>
      <c r="BG691" s="1931"/>
      <c r="BH691" s="1931"/>
      <c r="BI691" s="1931"/>
      <c r="BJ691" s="1931"/>
      <c r="BK691" s="1931"/>
      <c r="BL691" s="1931"/>
      <c r="BM691" s="1931"/>
      <c r="BN691" s="1931"/>
      <c r="BO691" s="1931"/>
      <c r="BP691" s="1931"/>
      <c r="BQ691" s="1931"/>
      <c r="BR691" s="1931"/>
      <c r="BS691" s="1931"/>
      <c r="BT691" s="1931"/>
      <c r="BU691" s="1931"/>
      <c r="BV691" s="1931"/>
      <c r="BW691" s="1931"/>
      <c r="BX691" s="1931"/>
      <c r="BY691" s="1931"/>
      <c r="BZ691" s="1931"/>
      <c r="CA691" s="1931"/>
      <c r="CB691" s="1931"/>
      <c r="CC691" s="1931"/>
      <c r="CD691" s="1931"/>
      <c r="CE691" s="1930"/>
      <c r="CF691" s="1930"/>
      <c r="CG691" s="1930"/>
      <c r="CH691" s="1930"/>
      <c r="CI691" s="1931"/>
      <c r="CJ691" s="1931"/>
      <c r="CK691" s="1931"/>
      <c r="CL691" s="1931"/>
      <c r="CM691" s="1931"/>
      <c r="CN691" s="1931"/>
      <c r="CO691" s="1931"/>
      <c r="CP691" s="1931"/>
      <c r="CQ691" s="1931"/>
      <c r="CR691" s="1931"/>
      <c r="CS691" s="1931"/>
      <c r="CT691" s="1930"/>
      <c r="CU691" s="1930"/>
      <c r="CV691" s="1930"/>
      <c r="CW691" s="1930"/>
      <c r="CX691" s="1931"/>
      <c r="CY691" s="1931"/>
      <c r="CZ691" s="1931"/>
      <c r="DA691" s="1931"/>
      <c r="DB691" s="1932"/>
      <c r="DC691" s="1931"/>
      <c r="DD691" s="1931"/>
      <c r="DE691" s="1931"/>
      <c r="DF691" s="1931"/>
    </row>
    <row r="692" spans="2:112" s="55" customFormat="1" hidden="1" outlineLevel="1" x14ac:dyDescent="0.25">
      <c r="C692" s="151"/>
      <c r="D692" s="3081" t="s">
        <v>28</v>
      </c>
      <c r="E692" s="3081" t="s">
        <v>2758</v>
      </c>
      <c r="F692" s="81" t="s">
        <v>2995</v>
      </c>
      <c r="G692" s="3081" t="s">
        <v>3122</v>
      </c>
      <c r="H692" s="3081" t="s">
        <v>3123</v>
      </c>
      <c r="I692" s="3081" t="s">
        <v>3124</v>
      </c>
      <c r="J692" s="3081" t="s">
        <v>3125</v>
      </c>
      <c r="K692" s="3081" t="s">
        <v>3126</v>
      </c>
      <c r="L692" s="3081" t="s">
        <v>3127</v>
      </c>
      <c r="M692" s="3081" t="s">
        <v>3128</v>
      </c>
      <c r="N692" s="3081" t="s">
        <v>133</v>
      </c>
      <c r="O692" s="401"/>
      <c r="P692" s="401"/>
      <c r="Q692" s="401"/>
      <c r="R692" s="401"/>
      <c r="S692" s="401"/>
      <c r="T692" s="401"/>
      <c r="U692" s="401"/>
      <c r="DB692" s="72"/>
    </row>
    <row r="693" spans="2:112" hidden="1" outlineLevel="1" x14ac:dyDescent="0.25">
      <c r="B693" s="1931"/>
      <c r="D693" s="1967" t="str">
        <f>C683</f>
        <v>805500_2019_12_</v>
      </c>
      <c r="E693" s="1967" t="str">
        <f>E683</f>
        <v>Low Flow Faucet Aerator</v>
      </c>
      <c r="F693" s="1416">
        <v>1</v>
      </c>
      <c r="G693" s="1970">
        <v>1.2</v>
      </c>
      <c r="H693" s="1415">
        <v>0.94</v>
      </c>
      <c r="I693" s="90">
        <v>5000</v>
      </c>
      <c r="J693" s="1417">
        <f>(8.33*1*(K693-L693))/(M693*3412)</f>
        <v>7.9967760844079736E-2</v>
      </c>
      <c r="K693" s="1412">
        <v>90</v>
      </c>
      <c r="L693" s="1401">
        <v>57.9</v>
      </c>
      <c r="M693" s="88">
        <v>0.98</v>
      </c>
      <c r="N693" s="1412">
        <v>1</v>
      </c>
      <c r="O693" s="1965"/>
      <c r="P693" s="1965"/>
      <c r="Q693" s="1965"/>
      <c r="R693" s="1965"/>
      <c r="S693" s="1965"/>
      <c r="T693" s="1965"/>
      <c r="U693" s="1965"/>
      <c r="V693" s="1931"/>
      <c r="W693" s="1931"/>
      <c r="X693" s="1931"/>
      <c r="Y693" s="1931"/>
      <c r="Z693" s="1931"/>
      <c r="AA693" s="1931"/>
      <c r="AB693" s="1931"/>
      <c r="AC693" s="1931"/>
      <c r="AD693" s="1931"/>
      <c r="AE693" s="1931"/>
      <c r="AF693" s="1931"/>
      <c r="AG693" s="1931"/>
      <c r="AH693" s="1931"/>
      <c r="AI693" s="1931"/>
      <c r="AJ693" s="1931"/>
      <c r="AK693" s="1931"/>
      <c r="AL693" s="1931"/>
      <c r="AM693" s="1931"/>
      <c r="AN693" s="1931"/>
      <c r="AO693" s="1931"/>
      <c r="AP693" s="1931"/>
      <c r="AQ693" s="1931"/>
      <c r="AR693" s="1931"/>
      <c r="AS693" s="1931"/>
      <c r="AT693" s="1931"/>
      <c r="AU693" s="1931"/>
      <c r="AV693" s="1931"/>
      <c r="AW693" s="1931"/>
      <c r="AX693" s="1931"/>
      <c r="AY693" s="1931"/>
      <c r="AZ693" s="1931"/>
      <c r="BA693" s="1931"/>
      <c r="BB693" s="1931"/>
      <c r="BC693" s="1931"/>
      <c r="BD693" s="1931"/>
      <c r="BE693" s="1931"/>
      <c r="BF693" s="1931"/>
      <c r="BG693" s="1931"/>
      <c r="BH693" s="1931"/>
      <c r="BI693" s="1931"/>
      <c r="BJ693" s="1931"/>
      <c r="BK693" s="1931"/>
      <c r="BL693" s="1931"/>
      <c r="BM693" s="1931"/>
      <c r="BN693" s="1931"/>
      <c r="BO693" s="1931"/>
      <c r="BP693" s="1931"/>
      <c r="BQ693" s="1931"/>
      <c r="BR693" s="1931"/>
      <c r="BS693" s="1931"/>
      <c r="BT693" s="1931"/>
      <c r="BU693" s="1931"/>
      <c r="BV693" s="1931"/>
      <c r="BW693" s="1931"/>
      <c r="BX693" s="1931"/>
      <c r="BY693" s="1931"/>
      <c r="BZ693" s="1931"/>
      <c r="CA693" s="1931"/>
      <c r="CB693" s="1931"/>
      <c r="CC693" s="1931"/>
      <c r="CD693" s="1931"/>
      <c r="CE693" s="1930"/>
      <c r="CF693" s="1930"/>
      <c r="CG693" s="1930"/>
      <c r="CH693" s="1930"/>
      <c r="CI693" s="1931"/>
      <c r="CJ693" s="1931"/>
      <c r="CK693" s="1931"/>
      <c r="CL693" s="1931"/>
      <c r="CM693" s="1931"/>
      <c r="CN693" s="1931"/>
      <c r="CO693" s="1931"/>
      <c r="CP693" s="1931"/>
      <c r="CQ693" s="1931"/>
      <c r="CR693" s="1931"/>
      <c r="CS693" s="1931"/>
      <c r="CT693" s="1930"/>
      <c r="CU693" s="1930"/>
      <c r="CV693" s="1930"/>
      <c r="CW693" s="1930"/>
      <c r="CX693" s="1931"/>
      <c r="CY693" s="1931"/>
      <c r="CZ693" s="1931"/>
      <c r="DA693" s="1931"/>
      <c r="DB693" s="1932"/>
      <c r="DC693" s="1931"/>
      <c r="DD693" s="1931"/>
      <c r="DE693" s="1931"/>
      <c r="DF693" s="1931"/>
    </row>
    <row r="694" spans="2:112" collapsed="1" x14ac:dyDescent="0.25">
      <c r="B694" s="1931"/>
      <c r="D694" s="1966"/>
      <c r="E694" s="1965"/>
      <c r="F694" s="1965"/>
      <c r="G694" s="1968"/>
      <c r="H694" s="1969"/>
      <c r="I694" s="1965"/>
      <c r="J694" s="1965"/>
      <c r="K694" s="1965"/>
      <c r="L694" s="1965"/>
      <c r="M694" s="1965"/>
      <c r="N694" s="1965"/>
      <c r="O694" s="1965"/>
      <c r="P694" s="1965"/>
      <c r="Q694" s="1965"/>
      <c r="R694" s="1965"/>
      <c r="S694" s="1965"/>
      <c r="T694" s="1965"/>
      <c r="U694" s="1965"/>
      <c r="V694" s="1931"/>
      <c r="W694" s="1931"/>
      <c r="X694" s="1931"/>
      <c r="Y694" s="1931"/>
      <c r="Z694" s="1931"/>
      <c r="AA694" s="1931"/>
      <c r="AB694" s="1931"/>
      <c r="AC694" s="1931"/>
      <c r="AD694" s="1931"/>
      <c r="AE694" s="1931"/>
      <c r="AF694" s="1931"/>
      <c r="AG694" s="1931"/>
      <c r="AH694" s="1931"/>
      <c r="AI694" s="1931"/>
      <c r="AJ694" s="1931"/>
      <c r="AK694" s="1931"/>
      <c r="AL694" s="1931"/>
      <c r="AM694" s="1931"/>
      <c r="AN694" s="1931"/>
      <c r="AO694" s="1931"/>
      <c r="AP694" s="1931"/>
      <c r="AQ694" s="1931"/>
      <c r="AR694" s="1931"/>
      <c r="AS694" s="1931"/>
      <c r="AT694" s="1931"/>
      <c r="AU694" s="1931"/>
      <c r="AV694" s="1931"/>
      <c r="AW694" s="1931"/>
      <c r="AX694" s="1931"/>
      <c r="AY694" s="1931"/>
      <c r="AZ694" s="1931"/>
      <c r="BA694" s="1931"/>
      <c r="BB694" s="1931"/>
      <c r="BC694" s="1931"/>
      <c r="BD694" s="1931"/>
      <c r="BE694" s="1931"/>
      <c r="BF694" s="1931"/>
      <c r="BG694" s="1931"/>
      <c r="BH694" s="1931"/>
      <c r="BI694" s="1931"/>
      <c r="BJ694" s="1931"/>
      <c r="BK694" s="1931"/>
      <c r="BL694" s="1931"/>
      <c r="BM694" s="1931"/>
      <c r="BN694" s="1931"/>
      <c r="BO694" s="1931"/>
      <c r="BP694" s="1931"/>
      <c r="BQ694" s="1931"/>
      <c r="BR694" s="1931"/>
      <c r="BS694" s="1931"/>
      <c r="BT694" s="1931"/>
      <c r="BU694" s="1931"/>
      <c r="BV694" s="1931"/>
      <c r="BW694" s="1931"/>
      <c r="BX694" s="1931"/>
      <c r="BY694" s="1931"/>
      <c r="BZ694" s="1931"/>
      <c r="CA694" s="1931"/>
      <c r="CB694" s="1931"/>
      <c r="CC694" s="1931"/>
      <c r="CD694" s="1931"/>
      <c r="CE694" s="1930"/>
      <c r="CF694" s="1930"/>
      <c r="CG694" s="1930"/>
      <c r="CH694" s="1930"/>
      <c r="CI694" s="1931"/>
      <c r="CJ694" s="1931"/>
      <c r="CK694" s="1931"/>
      <c r="CL694" s="1931"/>
      <c r="CM694" s="1931"/>
      <c r="CN694" s="1931"/>
      <c r="CO694" s="1931"/>
      <c r="CP694" s="1931"/>
      <c r="CQ694" s="1931"/>
      <c r="CR694" s="1931"/>
      <c r="CS694" s="1931"/>
      <c r="CT694" s="1930"/>
      <c r="CU694" s="1930"/>
      <c r="CV694" s="1930"/>
      <c r="CW694" s="1930"/>
      <c r="CX694" s="1931"/>
      <c r="CY694" s="1931"/>
      <c r="CZ694" s="1931"/>
      <c r="DA694" s="1931"/>
      <c r="DB694" s="1932"/>
      <c r="DC694" s="1931"/>
      <c r="DD694" s="1931"/>
      <c r="DE694" s="1931"/>
      <c r="DF694" s="1931"/>
    </row>
    <row r="696" spans="2:112" s="43" customFormat="1" x14ac:dyDescent="0.25">
      <c r="B696" s="4484" t="s">
        <v>3129</v>
      </c>
      <c r="C696" s="4485"/>
      <c r="D696" s="4485"/>
      <c r="E696" s="4485"/>
      <c r="F696" s="4485"/>
      <c r="G696" s="4485"/>
      <c r="H696" s="4485"/>
      <c r="I696" s="4486"/>
      <c r="J696" s="4486"/>
      <c r="K696" s="4486"/>
      <c r="L696" s="4486"/>
      <c r="M696" s="3752"/>
      <c r="N696" s="3752"/>
      <c r="O696" s="3753"/>
      <c r="P696" s="1935"/>
      <c r="Q696" s="1935"/>
      <c r="R696" s="1935"/>
      <c r="S696" s="1935"/>
      <c r="T696" s="1935"/>
      <c r="U696" s="1935"/>
      <c r="V696" s="3077" t="str">
        <f>B696</f>
        <v>Circulator Pump</v>
      </c>
      <c r="W696" s="3078"/>
      <c r="X696" s="3078"/>
      <c r="Y696" s="3078"/>
      <c r="Z696" s="3078"/>
      <c r="AA696" s="3078"/>
      <c r="AB696" s="3078"/>
      <c r="AC696" s="3078"/>
      <c r="AD696" s="3078"/>
      <c r="AE696" s="3078"/>
      <c r="AF696" s="3078"/>
      <c r="AG696" s="3078"/>
      <c r="AH696" s="3078"/>
      <c r="AI696" s="3170"/>
      <c r="AJ696" s="1931"/>
      <c r="AK696" s="1931"/>
      <c r="AL696" s="1931"/>
      <c r="AM696" s="1931"/>
      <c r="AN696" s="1931"/>
      <c r="AO696" s="1931"/>
      <c r="AP696" s="1931"/>
      <c r="AQ696" s="1931"/>
      <c r="AR696" s="1931"/>
      <c r="AS696" s="1931"/>
      <c r="AT696" s="1931"/>
      <c r="AU696" s="1931"/>
      <c r="AV696" s="1935"/>
      <c r="AW696" s="1935"/>
      <c r="AX696" s="1935"/>
      <c r="AY696" s="1935"/>
      <c r="AZ696" s="1935"/>
      <c r="BA696" s="1935"/>
      <c r="BB696" s="1935"/>
      <c r="BC696" s="1935"/>
      <c r="BD696" s="1935"/>
      <c r="BE696" s="1935"/>
      <c r="BF696" s="1935"/>
      <c r="BG696" s="1935"/>
      <c r="BH696" s="1935"/>
      <c r="BI696" s="1935"/>
      <c r="BJ696" s="1935"/>
      <c r="BK696" s="1935"/>
      <c r="BL696" s="1935"/>
      <c r="BM696" s="1935"/>
      <c r="BN696" s="1935"/>
      <c r="BO696" s="1935"/>
      <c r="BP696" s="1935"/>
      <c r="BQ696" s="1935"/>
      <c r="BR696" s="1935"/>
      <c r="BS696" s="1935"/>
      <c r="BT696" s="1935"/>
      <c r="BU696" s="1935"/>
      <c r="BV696" s="1935"/>
      <c r="BW696" s="1935"/>
      <c r="BX696" s="1935"/>
      <c r="BY696" s="1935"/>
      <c r="BZ696" s="1935"/>
      <c r="CA696" s="1935"/>
      <c r="CB696" s="1935"/>
      <c r="CC696" s="1935"/>
      <c r="CD696" s="1935"/>
      <c r="CE696" s="1935"/>
      <c r="CF696" s="1935"/>
      <c r="CG696" s="1935"/>
      <c r="CH696" s="1935"/>
      <c r="CI696" s="1935"/>
      <c r="CJ696" s="1935"/>
      <c r="CK696" s="1935"/>
      <c r="CL696" s="1935"/>
      <c r="CM696" s="1935"/>
      <c r="CN696" s="1935"/>
      <c r="CO696" s="1935"/>
      <c r="CP696" s="1935"/>
      <c r="CQ696" s="1935"/>
      <c r="CR696" s="1935"/>
      <c r="CS696" s="1935"/>
      <c r="CT696" s="1935"/>
      <c r="CU696" s="1935"/>
      <c r="CV696" s="1935"/>
      <c r="CW696" s="1935"/>
      <c r="CX696" s="1935"/>
      <c r="CY696" s="1935"/>
      <c r="CZ696" s="1935"/>
      <c r="DA696" s="1935"/>
      <c r="DB696" s="73"/>
      <c r="DC696" s="1935"/>
      <c r="DD696" s="1935"/>
      <c r="DE696" s="1935"/>
      <c r="DF696" s="1935"/>
      <c r="DG696" s="1935"/>
      <c r="DH696" s="1935"/>
    </row>
    <row r="697" spans="2:112" x14ac:dyDescent="0.25">
      <c r="B697" s="1931"/>
      <c r="D697" s="1286"/>
      <c r="E697" s="1966"/>
      <c r="F697" s="1966"/>
      <c r="G697" s="1966"/>
      <c r="H697" s="1287"/>
      <c r="I697" s="1966"/>
      <c r="J697" s="1966"/>
      <c r="K697" s="1966"/>
      <c r="L697" s="1966"/>
      <c r="M697" s="1965"/>
      <c r="N697" s="1965"/>
      <c r="O697" s="1965"/>
      <c r="P697" s="1966"/>
      <c r="Q697" s="1966"/>
      <c r="R697" s="1966"/>
      <c r="S697" s="1966"/>
      <c r="T697" s="1966"/>
      <c r="U697" s="1966"/>
      <c r="V697" s="1930"/>
      <c r="W697" s="1930"/>
      <c r="X697" s="1930"/>
      <c r="Y697" s="1930"/>
      <c r="Z697" s="1930"/>
      <c r="AA697" s="1930"/>
      <c r="AB697" s="1930"/>
      <c r="AC697" s="1930"/>
      <c r="AD697" s="1930"/>
      <c r="AE697" s="1930"/>
      <c r="AF697" s="1930"/>
      <c r="AG697" s="1930"/>
      <c r="AH697" s="1930"/>
      <c r="AI697" s="1930"/>
      <c r="AJ697" s="1934"/>
      <c r="AK697" s="1934"/>
      <c r="AL697" s="1934"/>
      <c r="AM697" s="1934"/>
      <c r="AN697" s="1934"/>
      <c r="AO697" s="1934"/>
      <c r="AP697" s="1934"/>
      <c r="AQ697" s="1934"/>
      <c r="AR697" s="1934"/>
      <c r="AS697" s="1934"/>
      <c r="AT697" s="1934"/>
      <c r="AU697" s="1934"/>
      <c r="AV697" s="1931"/>
      <c r="AW697" s="1931"/>
      <c r="AX697" s="1931"/>
      <c r="AY697" s="1931"/>
      <c r="AZ697" s="1931"/>
      <c r="BA697" s="1931"/>
      <c r="BB697" s="1931"/>
      <c r="BC697" s="1931"/>
      <c r="BD697" s="1931"/>
      <c r="BE697" s="1931"/>
      <c r="BF697" s="1931"/>
      <c r="BG697" s="1931"/>
      <c r="BH697" s="1931"/>
      <c r="BI697" s="1931"/>
      <c r="BJ697" s="1931"/>
      <c r="BK697" s="1931"/>
      <c r="BL697" s="1931"/>
      <c r="BM697" s="1931"/>
      <c r="BN697" s="1931"/>
      <c r="BO697" s="1931"/>
      <c r="BP697" s="1931"/>
      <c r="BQ697" s="1931"/>
      <c r="BR697" s="1931"/>
      <c r="BS697" s="1931"/>
      <c r="BT697" s="1931"/>
      <c r="BU697" s="1931"/>
      <c r="BV697" s="1931"/>
      <c r="BW697" s="1931"/>
      <c r="BX697" s="1931"/>
      <c r="BY697" s="1931"/>
      <c r="BZ697" s="1931"/>
      <c r="CA697" s="1931"/>
      <c r="CB697" s="1931"/>
      <c r="CC697" s="1931"/>
      <c r="CD697" s="1931"/>
      <c r="CE697" s="1930"/>
      <c r="CF697" s="1930"/>
      <c r="CG697" s="1930"/>
      <c r="CH697" s="1930"/>
      <c r="CI697" s="1931"/>
      <c r="CJ697" s="1931"/>
      <c r="CK697" s="1931"/>
      <c r="CL697" s="1931"/>
      <c r="CM697" s="1931"/>
      <c r="CN697" s="1931"/>
      <c r="CO697" s="1931"/>
      <c r="CP697" s="1931"/>
      <c r="CQ697" s="1931"/>
      <c r="CR697" s="1931"/>
      <c r="CS697" s="1931"/>
      <c r="CT697" s="1930"/>
      <c r="CU697" s="1930"/>
      <c r="CV697" s="1930"/>
      <c r="CW697" s="1930"/>
      <c r="CX697" s="1931"/>
      <c r="CY697" s="1931"/>
      <c r="CZ697" s="1931"/>
      <c r="DA697" s="1931"/>
      <c r="DB697" s="1932"/>
      <c r="DC697" s="1931"/>
      <c r="DD697" s="1931"/>
      <c r="DE697" s="1931"/>
      <c r="DF697" s="1931"/>
    </row>
    <row r="698" spans="2:112" s="44" customFormat="1" ht="30" x14ac:dyDescent="0.25">
      <c r="B698" s="45"/>
      <c r="C698" s="46" t="s">
        <v>28</v>
      </c>
      <c r="D698" s="46" t="s">
        <v>29</v>
      </c>
      <c r="E698" s="3196" t="s">
        <v>30</v>
      </c>
      <c r="F698" s="3196" t="s">
        <v>3111</v>
      </c>
      <c r="G698" s="3196" t="s">
        <v>176</v>
      </c>
      <c r="H698" s="47" t="s">
        <v>177</v>
      </c>
      <c r="I698" s="3196" t="s">
        <v>32</v>
      </c>
      <c r="J698" s="3196" t="s">
        <v>181</v>
      </c>
      <c r="K698" s="46" t="s">
        <v>170</v>
      </c>
      <c r="L698" s="46" t="s">
        <v>44</v>
      </c>
      <c r="M698" s="1965"/>
      <c r="N698" s="1965"/>
      <c r="O698" s="1965"/>
      <c r="P698" s="1288"/>
      <c r="Q698" s="1288"/>
      <c r="R698" s="1288"/>
      <c r="S698" s="1288"/>
      <c r="T698" s="1288"/>
      <c r="U698" s="1288"/>
      <c r="V698" s="1936" t="s">
        <v>45</v>
      </c>
      <c r="W698" s="1937">
        <f>$W$8</f>
        <v>43252</v>
      </c>
      <c r="X698" s="1937">
        <f>$X$8</f>
        <v>43465</v>
      </c>
      <c r="Y698" s="1937">
        <f>$Y$8</f>
        <v>43800</v>
      </c>
      <c r="Z698" s="1937">
        <f>$Z$8</f>
        <v>43862</v>
      </c>
      <c r="AA698" s="1937">
        <f>$AA$8</f>
        <v>44013</v>
      </c>
      <c r="AB698" s="1937">
        <v>44166</v>
      </c>
      <c r="AC698" s="1937">
        <f>$AC$8</f>
        <v>44531</v>
      </c>
      <c r="AD698" s="1937" t="str">
        <f>$AD$8</f>
        <v>-</v>
      </c>
      <c r="AE698" s="1937" t="str">
        <f>$AE$8</f>
        <v>-</v>
      </c>
      <c r="AF698" s="1937" t="str">
        <f>$AF$8</f>
        <v>-</v>
      </c>
      <c r="AG698" s="1937" t="str">
        <f>$AG$8</f>
        <v>-</v>
      </c>
      <c r="AH698" s="1930"/>
      <c r="AI698" s="1936" t="s">
        <v>45</v>
      </c>
      <c r="AJ698" s="1937">
        <v>43252</v>
      </c>
      <c r="AK698" s="1937">
        <f>$X$8</f>
        <v>43465</v>
      </c>
      <c r="AL698" s="1937">
        <f>$Y$8</f>
        <v>43800</v>
      </c>
      <c r="AM698" s="1937">
        <f>$Z$8</f>
        <v>43862</v>
      </c>
      <c r="AN698" s="1937">
        <f>$AA$8</f>
        <v>44013</v>
      </c>
      <c r="AO698" s="1937">
        <f>$AB$8</f>
        <v>44166</v>
      </c>
      <c r="AP698" s="1937">
        <f>$AC$8</f>
        <v>44531</v>
      </c>
      <c r="AQ698" s="1937" t="str">
        <f>$AD$8</f>
        <v>-</v>
      </c>
      <c r="AR698" s="1937" t="str">
        <f>$AE$8</f>
        <v>-</v>
      </c>
      <c r="AS698" s="1937" t="str">
        <f>$AF$8</f>
        <v>-</v>
      </c>
      <c r="AT698" s="1933"/>
      <c r="AU698" s="1936" t="s">
        <v>45</v>
      </c>
      <c r="AV698" s="1937">
        <v>43252</v>
      </c>
      <c r="AW698" s="1937">
        <f>$X$8</f>
        <v>43465</v>
      </c>
      <c r="AX698" s="1937">
        <f>$Y$8</f>
        <v>43800</v>
      </c>
      <c r="AY698" s="1937">
        <f>$Z$8</f>
        <v>43862</v>
      </c>
      <c r="AZ698" s="1937">
        <f>$AA$8</f>
        <v>44013</v>
      </c>
      <c r="BA698" s="1937">
        <v>44166</v>
      </c>
      <c r="BB698" s="1937">
        <f>$AC$8</f>
        <v>44531</v>
      </c>
      <c r="BC698" s="1937" t="str">
        <f>$AD$8</f>
        <v>-</v>
      </c>
      <c r="BD698" s="1937" t="str">
        <f>$AE$8</f>
        <v>-</v>
      </c>
      <c r="BE698" s="1937" t="str">
        <f>$AF$8</f>
        <v>-</v>
      </c>
      <c r="DB698" s="1938" t="str">
        <f>$DB$8</f>
        <v>TRC (2020)</v>
      </c>
      <c r="DC698" s="1953" t="str">
        <f>$DC$8</f>
        <v>Benefit Lookup</v>
      </c>
      <c r="DD698" s="1953" t="str">
        <f>$DD$8</f>
        <v>Benefits (2019 $)</v>
      </c>
      <c r="DE698" s="1953" t="str">
        <f>$DE$8</f>
        <v>Incremental Cost (2019 $)</v>
      </c>
    </row>
    <row r="699" spans="2:112" x14ac:dyDescent="0.25">
      <c r="B699" s="1931"/>
      <c r="C699" s="1997" t="s">
        <v>3130</v>
      </c>
      <c r="D699" s="1363" t="s">
        <v>2646</v>
      </c>
      <c r="E699" s="1308" t="s">
        <v>3129</v>
      </c>
      <c r="F699" s="1959">
        <f>ROUND(651,2)</f>
        <v>651</v>
      </c>
      <c r="G699" s="1290" t="s">
        <v>2671</v>
      </c>
      <c r="H699" s="1291">
        <f>VLOOKUP(G699,'CP FACTORS'!$A$26:$B$38,2,FALSE)</f>
        <v>1.379439E-4</v>
      </c>
      <c r="I699" s="1309">
        <f>ROUND(H699*F699,6)</f>
        <v>8.9801000000000006E-2</v>
      </c>
      <c r="J699" s="325">
        <v>15</v>
      </c>
      <c r="K699" s="1310">
        <v>1200</v>
      </c>
      <c r="L699" s="1374" t="s">
        <v>185</v>
      </c>
      <c r="M699" s="1965"/>
      <c r="N699" s="1965"/>
      <c r="O699" s="1965"/>
      <c r="P699" s="1965"/>
      <c r="Q699" s="1965"/>
      <c r="R699" s="1965"/>
      <c r="S699" s="1965"/>
      <c r="T699" s="1965"/>
      <c r="U699" s="1965"/>
      <c r="V699" s="3226" t="s">
        <v>31</v>
      </c>
      <c r="W699" s="1947">
        <v>651</v>
      </c>
      <c r="X699" s="1947">
        <v>651</v>
      </c>
      <c r="Y699" s="1947">
        <v>651</v>
      </c>
      <c r="Z699" s="129">
        <v>651</v>
      </c>
      <c r="AA699" s="129">
        <v>651</v>
      </c>
      <c r="AB699" s="1825">
        <v>651</v>
      </c>
      <c r="AC699" s="3364">
        <v>651</v>
      </c>
      <c r="AD699" s="2099"/>
      <c r="AE699" s="2099"/>
      <c r="AF699" s="2099"/>
      <c r="AG699" s="2099"/>
      <c r="AH699" s="2100"/>
      <c r="AI699" s="3227" t="s">
        <v>181</v>
      </c>
      <c r="AJ699" s="64">
        <v>15</v>
      </c>
      <c r="AK699" s="64">
        <v>15</v>
      </c>
      <c r="AL699" s="64">
        <v>15</v>
      </c>
      <c r="AM699" s="64">
        <v>15</v>
      </c>
      <c r="AN699" s="64">
        <v>15</v>
      </c>
      <c r="AO699" s="2101">
        <v>15</v>
      </c>
      <c r="AP699" s="2101">
        <v>15</v>
      </c>
      <c r="AQ699" s="2099"/>
      <c r="AR699" s="2099"/>
      <c r="AS699" s="2099"/>
      <c r="AT699" s="1933"/>
      <c r="AU699" s="3227" t="s">
        <v>170</v>
      </c>
      <c r="AV699" s="2102">
        <v>1200</v>
      </c>
      <c r="AW699" s="2102">
        <v>1200</v>
      </c>
      <c r="AX699" s="2102">
        <v>1200</v>
      </c>
      <c r="AY699" s="2102">
        <v>1200</v>
      </c>
      <c r="AZ699" s="2102">
        <v>1200</v>
      </c>
      <c r="BA699" s="2103">
        <v>1200</v>
      </c>
      <c r="BB699" s="2103">
        <v>1200</v>
      </c>
      <c r="BC699" s="2099"/>
      <c r="BD699" s="2099"/>
      <c r="BE699" s="2099"/>
      <c r="BF699" s="1931"/>
      <c r="BG699" s="1931"/>
      <c r="BH699" s="1931"/>
      <c r="BI699" s="1931"/>
      <c r="BJ699" s="1931"/>
      <c r="BK699" s="1931"/>
      <c r="BL699" s="1931"/>
      <c r="BM699" s="1931"/>
      <c r="BN699" s="1931"/>
      <c r="BO699" s="1931"/>
      <c r="BP699" s="1931"/>
      <c r="BQ699" s="1931"/>
      <c r="BR699" s="1931"/>
      <c r="BS699" s="1931"/>
      <c r="BT699" s="1931"/>
      <c r="BU699" s="1931"/>
      <c r="BV699" s="1931"/>
      <c r="BW699" s="1931"/>
      <c r="BX699" s="1931"/>
      <c r="BY699" s="1931"/>
      <c r="BZ699" s="1931"/>
      <c r="CA699" s="1931"/>
      <c r="CB699" s="1931"/>
      <c r="CC699" s="1931"/>
      <c r="CD699" s="1931"/>
      <c r="CE699" s="1930"/>
      <c r="CF699" s="1930"/>
      <c r="CG699" s="1930"/>
      <c r="CH699" s="1930"/>
      <c r="CI699" s="1931"/>
      <c r="CJ699" s="1931"/>
      <c r="CK699" s="1931"/>
      <c r="CL699" s="1931"/>
      <c r="CM699" s="1931"/>
      <c r="CN699" s="1931"/>
      <c r="CO699" s="1931"/>
      <c r="CP699" s="1931"/>
      <c r="CQ699" s="1931"/>
      <c r="CR699" s="1931"/>
      <c r="CS699" s="1931"/>
      <c r="CT699" s="1930"/>
      <c r="CU699" s="1930"/>
      <c r="CV699" s="1930"/>
      <c r="CW699" s="1930"/>
      <c r="CX699" s="1931"/>
      <c r="CY699" s="1931"/>
      <c r="CZ699" s="1931"/>
      <c r="DA699" s="1931"/>
      <c r="DB699" s="1954">
        <f>(DD699)/(DE699)</f>
        <v>0.30815053912703838</v>
      </c>
      <c r="DC699" s="3166" t="str">
        <f>CONCATENATE(G699," ",J699," Year EUL")</f>
        <v>Miscellaneous BUS 15 Year EUL</v>
      </c>
      <c r="DD699" s="1955">
        <f>(INDEX('Avoided Cost Benefits'!$C$4:$C$857,MATCH(DC699,'Avoided Cost Benefits'!$A$4:$A$857,0)))*F699</f>
        <v>349.01429632132704</v>
      </c>
      <c r="DE699" s="1956">
        <f>K699/(1.0595^(2020-2019))</f>
        <v>1132.6097215667767</v>
      </c>
      <c r="DF699" s="1931"/>
    </row>
    <row r="700" spans="2:112" hidden="1" outlineLevel="1" x14ac:dyDescent="0.25">
      <c r="B700" s="1931"/>
      <c r="D700" s="1966"/>
      <c r="E700" s="1966"/>
      <c r="F700" s="1966"/>
      <c r="G700" s="1966"/>
      <c r="H700" s="1299"/>
      <c r="I700" s="1966"/>
      <c r="J700" s="1966"/>
      <c r="K700" s="1965"/>
      <c r="L700" s="1965"/>
      <c r="M700" s="1965"/>
      <c r="N700" s="1965"/>
      <c r="O700" s="1965"/>
      <c r="P700" s="1965"/>
      <c r="Q700" s="1965"/>
      <c r="R700" s="1965"/>
      <c r="S700" s="1965"/>
      <c r="T700" s="1965"/>
      <c r="U700" s="1965"/>
      <c r="V700" s="1931"/>
      <c r="W700" s="1931"/>
      <c r="X700" s="1931"/>
      <c r="Y700" s="1931"/>
      <c r="Z700" s="1933"/>
      <c r="AA700" s="1933"/>
      <c r="AB700" s="1933"/>
      <c r="AC700" s="1933"/>
      <c r="AD700" s="1933"/>
      <c r="AE700" s="1933"/>
      <c r="AF700" s="1933"/>
      <c r="AG700" s="1933"/>
      <c r="AH700" s="1933"/>
      <c r="AI700" s="1933"/>
      <c r="AJ700" s="1933"/>
      <c r="AK700" s="1933"/>
      <c r="AL700" s="1933"/>
      <c r="AM700" s="1933"/>
      <c r="AN700" s="1933"/>
      <c r="AO700" s="1933"/>
      <c r="AP700" s="1933"/>
      <c r="AQ700" s="1933"/>
      <c r="AR700" s="1933"/>
      <c r="AS700" s="1933"/>
      <c r="AT700" s="1933"/>
      <c r="AU700" s="1933"/>
      <c r="AV700" s="1933"/>
      <c r="AW700" s="1933"/>
      <c r="AX700" s="1933"/>
      <c r="AY700" s="1933"/>
      <c r="AZ700" s="1933"/>
      <c r="BA700" s="1933"/>
      <c r="BB700" s="1933"/>
      <c r="BC700" s="1933"/>
      <c r="BD700" s="1933"/>
      <c r="BE700" s="1933"/>
      <c r="BF700" s="1931"/>
      <c r="BG700" s="1931"/>
      <c r="BH700" s="1931"/>
      <c r="BI700" s="1931"/>
      <c r="BJ700" s="1931"/>
      <c r="BK700" s="1931"/>
      <c r="BL700" s="1931"/>
      <c r="BM700" s="1931"/>
      <c r="BN700" s="1931"/>
      <c r="BO700" s="1931"/>
      <c r="BP700" s="1931"/>
      <c r="BQ700" s="1931"/>
      <c r="BR700" s="1931"/>
      <c r="BS700" s="1931"/>
      <c r="BT700" s="1931"/>
      <c r="BU700" s="1931"/>
      <c r="BV700" s="1931"/>
      <c r="BW700" s="1931"/>
      <c r="BX700" s="1931"/>
      <c r="BY700" s="1931"/>
      <c r="BZ700" s="1931"/>
      <c r="CA700" s="1931"/>
      <c r="CB700" s="1931"/>
      <c r="CC700" s="1931"/>
      <c r="CD700" s="1931"/>
      <c r="CE700" s="1930"/>
      <c r="CF700" s="1930"/>
      <c r="CG700" s="1930"/>
      <c r="CH700" s="1930"/>
      <c r="CI700" s="1931"/>
      <c r="CJ700" s="1931"/>
      <c r="CK700" s="1931"/>
      <c r="CL700" s="1931"/>
      <c r="CM700" s="1931"/>
      <c r="CN700" s="1931"/>
      <c r="CO700" s="1931"/>
      <c r="CP700" s="1931"/>
      <c r="CQ700" s="1931"/>
      <c r="CR700" s="1931"/>
      <c r="CS700" s="1931"/>
      <c r="CT700" s="1930"/>
      <c r="CU700" s="1930"/>
      <c r="CV700" s="1930"/>
      <c r="CW700" s="1930"/>
      <c r="CX700" s="1931"/>
      <c r="CY700" s="1931"/>
      <c r="CZ700" s="1931"/>
      <c r="DA700" s="1931"/>
      <c r="DB700" s="1932"/>
      <c r="DC700" s="1931"/>
      <c r="DD700" s="1931"/>
      <c r="DE700" s="1931"/>
      <c r="DF700" s="1931"/>
    </row>
    <row r="701" spans="2:112" hidden="1" outlineLevel="1" x14ac:dyDescent="0.25">
      <c r="B701" s="1931"/>
      <c r="D701" s="1966" t="s">
        <v>2689</v>
      </c>
      <c r="E701" s="151"/>
      <c r="F701" s="1966"/>
      <c r="G701" s="1966"/>
      <c r="H701" s="1299"/>
      <c r="I701" s="1966"/>
      <c r="J701" s="1966"/>
      <c r="K701" s="151"/>
      <c r="L701" s="1965"/>
      <c r="M701" s="1965"/>
      <c r="N701" s="1965"/>
      <c r="O701" s="1965"/>
      <c r="P701" s="1965"/>
      <c r="Q701" s="1965"/>
      <c r="R701" s="1965"/>
      <c r="S701" s="1965"/>
      <c r="T701" s="1965"/>
      <c r="U701" s="1965"/>
      <c r="V701" s="1931"/>
      <c r="W701" s="1931"/>
      <c r="X701" s="1931"/>
      <c r="Y701" s="1931"/>
      <c r="Z701" s="1933"/>
      <c r="AA701" s="1933"/>
      <c r="AB701" s="1933"/>
      <c r="AC701" s="1933"/>
      <c r="AD701" s="1933"/>
      <c r="AE701" s="1933"/>
      <c r="AF701" s="1933"/>
      <c r="AG701" s="1933"/>
      <c r="AH701" s="1933"/>
      <c r="AI701" s="1933"/>
      <c r="AJ701" s="1933"/>
      <c r="AK701" s="1933"/>
      <c r="AL701" s="1933"/>
      <c r="AM701" s="1933"/>
      <c r="AN701" s="1933"/>
      <c r="AO701" s="1933"/>
      <c r="AP701" s="1933"/>
      <c r="AQ701" s="1933"/>
      <c r="AR701" s="1933"/>
      <c r="AS701" s="1933"/>
      <c r="AT701" s="1933"/>
      <c r="AU701" s="1933"/>
      <c r="AV701" s="1933"/>
      <c r="AW701" s="1933"/>
      <c r="AX701" s="1933"/>
      <c r="AY701" s="1933"/>
      <c r="AZ701" s="1933"/>
      <c r="BA701" s="1933"/>
      <c r="BB701" s="1933"/>
      <c r="BC701" s="1933"/>
      <c r="BD701" s="1933"/>
      <c r="BE701" s="1933"/>
      <c r="BF701" s="1931"/>
      <c r="BG701" s="1931"/>
      <c r="BH701" s="1931"/>
      <c r="BI701" s="1931"/>
      <c r="BJ701" s="1931"/>
      <c r="BK701" s="1931"/>
      <c r="BL701" s="1931"/>
      <c r="BM701" s="1931"/>
      <c r="BN701" s="1931"/>
      <c r="BO701" s="1931"/>
      <c r="BP701" s="1931"/>
      <c r="BQ701" s="1931"/>
      <c r="BR701" s="1931"/>
      <c r="BS701" s="1931"/>
      <c r="BT701" s="1931"/>
      <c r="BU701" s="1931"/>
      <c r="BV701" s="1931"/>
      <c r="BW701" s="1931"/>
      <c r="BX701" s="1931"/>
      <c r="BY701" s="1931"/>
      <c r="BZ701" s="1931"/>
      <c r="CA701" s="1931"/>
      <c r="CB701" s="1931"/>
      <c r="CC701" s="1931"/>
      <c r="CD701" s="1931"/>
      <c r="CE701" s="1930"/>
      <c r="CF701" s="1930"/>
      <c r="CG701" s="1930"/>
      <c r="CH701" s="1930"/>
      <c r="CI701" s="1931"/>
      <c r="CJ701" s="1931"/>
      <c r="CK701" s="1931"/>
      <c r="CL701" s="1931"/>
      <c r="CM701" s="1931"/>
      <c r="CN701" s="1931"/>
      <c r="CO701" s="1931"/>
      <c r="CP701" s="1931"/>
      <c r="CQ701" s="1931"/>
      <c r="CR701" s="1931"/>
      <c r="CS701" s="1931"/>
      <c r="CT701" s="1930"/>
      <c r="CU701" s="1930"/>
      <c r="CV701" s="1930"/>
      <c r="CW701" s="1930"/>
      <c r="CX701" s="1931"/>
      <c r="CY701" s="1931"/>
      <c r="CZ701" s="1931"/>
      <c r="DA701" s="1931"/>
      <c r="DB701" s="1932"/>
      <c r="DC701" s="1931"/>
      <c r="DD701" s="1931"/>
      <c r="DE701" s="1931"/>
      <c r="DF701" s="1931"/>
    </row>
    <row r="702" spans="2:112" hidden="1" outlineLevel="1" x14ac:dyDescent="0.25">
      <c r="B702" s="1931"/>
      <c r="D702" s="1300"/>
      <c r="E702" s="151"/>
      <c r="F702" s="151"/>
      <c r="G702" s="1321"/>
      <c r="H702" s="1322"/>
      <c r="I702" s="1965"/>
      <c r="J702" s="1965"/>
      <c r="K702" s="1965"/>
      <c r="L702" s="1965"/>
      <c r="M702" s="1965"/>
      <c r="N702" s="1965"/>
      <c r="O702" s="1965"/>
      <c r="P702" s="1965"/>
      <c r="Q702" s="1965"/>
      <c r="R702" s="1965"/>
      <c r="S702" s="1965"/>
      <c r="T702" s="1965"/>
      <c r="U702" s="1965"/>
      <c r="V702" s="1931"/>
      <c r="W702" s="1931"/>
      <c r="X702" s="1931"/>
      <c r="Y702" s="1931"/>
      <c r="Z702" s="1933"/>
      <c r="AA702" s="1933"/>
      <c r="AB702" s="1933"/>
      <c r="AC702" s="1933"/>
      <c r="AD702" s="1933"/>
      <c r="AE702" s="1933"/>
      <c r="AF702" s="1933"/>
      <c r="AG702" s="1933"/>
      <c r="AH702" s="1933"/>
      <c r="AI702" s="1933"/>
      <c r="AJ702" s="1933"/>
      <c r="AK702" s="1933"/>
      <c r="AL702" s="1933"/>
      <c r="AM702" s="1933"/>
      <c r="AN702" s="1933"/>
      <c r="AO702" s="1933"/>
      <c r="AP702" s="1933"/>
      <c r="AQ702" s="1933"/>
      <c r="AR702" s="1933"/>
      <c r="AS702" s="1933"/>
      <c r="AT702" s="1933"/>
      <c r="AU702" s="1933"/>
      <c r="AV702" s="1933"/>
      <c r="AW702" s="1933"/>
      <c r="AX702" s="1933"/>
      <c r="AY702" s="1933"/>
      <c r="AZ702" s="1933"/>
      <c r="BA702" s="1933"/>
      <c r="BB702" s="1933"/>
      <c r="BC702" s="1933"/>
      <c r="BD702" s="1933"/>
      <c r="BE702" s="1933"/>
      <c r="BF702" s="1931"/>
      <c r="BG702" s="1931"/>
      <c r="BH702" s="1931"/>
      <c r="BI702" s="1931"/>
      <c r="BJ702" s="1931"/>
      <c r="BK702" s="1931"/>
      <c r="BL702" s="1931"/>
      <c r="BM702" s="1931"/>
      <c r="BN702" s="1931"/>
      <c r="BO702" s="1931"/>
      <c r="BP702" s="1931"/>
      <c r="BQ702" s="1931"/>
      <c r="BR702" s="1931"/>
      <c r="BS702" s="1931"/>
      <c r="BT702" s="1931"/>
      <c r="BU702" s="1931"/>
      <c r="BV702" s="1931"/>
      <c r="BW702" s="1931"/>
      <c r="BX702" s="1931"/>
      <c r="BY702" s="1931"/>
      <c r="BZ702" s="1931"/>
      <c r="CA702" s="1931"/>
      <c r="CB702" s="1931"/>
      <c r="CC702" s="1931"/>
      <c r="CD702" s="1931"/>
      <c r="CE702" s="1930"/>
      <c r="CF702" s="1930"/>
      <c r="CG702" s="1930"/>
      <c r="CH702" s="1930"/>
      <c r="CI702" s="1931"/>
      <c r="CJ702" s="1931"/>
      <c r="CK702" s="1931"/>
      <c r="CL702" s="1931"/>
      <c r="CM702" s="1931"/>
      <c r="CN702" s="1931"/>
      <c r="CO702" s="1931"/>
      <c r="CP702" s="1931"/>
      <c r="CQ702" s="1931"/>
      <c r="CR702" s="1931"/>
      <c r="CS702" s="1931"/>
      <c r="CT702" s="1930"/>
      <c r="CU702" s="1930"/>
      <c r="CV702" s="1930"/>
      <c r="CW702" s="1930"/>
      <c r="CX702" s="1931"/>
      <c r="CY702" s="1931"/>
      <c r="CZ702" s="1931"/>
      <c r="DA702" s="1931"/>
      <c r="DB702" s="1932"/>
      <c r="DC702" s="1931"/>
      <c r="DD702" s="1931"/>
      <c r="DE702" s="1931"/>
      <c r="DF702" s="1931"/>
    </row>
    <row r="703" spans="2:112" hidden="1" outlineLevel="1" x14ac:dyDescent="0.25">
      <c r="B703" s="1931"/>
      <c r="D703" s="1300"/>
      <c r="E703" s="1965"/>
      <c r="F703" s="1965"/>
      <c r="G703" s="1321"/>
      <c r="H703" s="1322"/>
      <c r="I703" s="1965"/>
      <c r="J703" s="1965"/>
      <c r="K703" s="1965"/>
      <c r="L703" s="1965"/>
      <c r="M703" s="1965"/>
      <c r="N703" s="1965"/>
      <c r="O703" s="1965"/>
      <c r="P703" s="4483"/>
      <c r="Q703" s="4483"/>
      <c r="R703" s="1965"/>
      <c r="S703" s="1965"/>
      <c r="T703" s="1965"/>
      <c r="U703" s="1965"/>
      <c r="V703" s="1931"/>
      <c r="W703" s="1931"/>
      <c r="X703" s="1931"/>
      <c r="Y703" s="1931"/>
      <c r="Z703" s="1933"/>
      <c r="AA703" s="1933"/>
      <c r="AB703" s="1933"/>
      <c r="AC703" s="1933"/>
      <c r="AD703" s="1933"/>
      <c r="AE703" s="1933"/>
      <c r="AF703" s="1933"/>
      <c r="AG703" s="1933"/>
      <c r="AH703" s="1933"/>
      <c r="AI703" s="1933"/>
      <c r="AJ703" s="1933"/>
      <c r="AK703" s="1933"/>
      <c r="AL703" s="1933"/>
      <c r="AM703" s="1933"/>
      <c r="AN703" s="1933"/>
      <c r="AO703" s="1933"/>
      <c r="AP703" s="1933"/>
      <c r="AQ703" s="1933"/>
      <c r="AR703" s="1933"/>
      <c r="AS703" s="1933"/>
      <c r="AT703" s="1933"/>
      <c r="AU703" s="1933"/>
      <c r="AV703" s="1933"/>
      <c r="AW703" s="1933"/>
      <c r="AX703" s="1933"/>
      <c r="AY703" s="1933"/>
      <c r="AZ703" s="1933"/>
      <c r="BA703" s="1933"/>
      <c r="BB703" s="1933"/>
      <c r="BC703" s="1933"/>
      <c r="BD703" s="1933"/>
      <c r="BE703" s="1933"/>
      <c r="BF703" s="1931"/>
      <c r="BG703" s="1931"/>
      <c r="BH703" s="1931"/>
      <c r="BI703" s="1931"/>
      <c r="BJ703" s="1931"/>
      <c r="BK703" s="1931"/>
      <c r="BL703" s="1931"/>
      <c r="BM703" s="1931"/>
      <c r="BN703" s="1931"/>
      <c r="BO703" s="1931"/>
      <c r="BP703" s="1931"/>
      <c r="BQ703" s="1931"/>
      <c r="BR703" s="1931"/>
      <c r="BS703" s="1931"/>
      <c r="BT703" s="1931"/>
      <c r="BU703" s="1931"/>
      <c r="BV703" s="1931"/>
      <c r="BW703" s="1931"/>
      <c r="BX703" s="1931"/>
      <c r="BY703" s="1931"/>
      <c r="BZ703" s="1931"/>
      <c r="CA703" s="1931"/>
      <c r="CB703" s="1931"/>
      <c r="CC703" s="1931"/>
      <c r="CD703" s="1931"/>
      <c r="CE703" s="1930"/>
      <c r="CF703" s="1930"/>
      <c r="CG703" s="1930"/>
      <c r="CH703" s="1930"/>
      <c r="CI703" s="1931"/>
      <c r="CJ703" s="1931"/>
      <c r="CK703" s="1931"/>
      <c r="CL703" s="1931"/>
      <c r="CM703" s="1931"/>
      <c r="CN703" s="1931"/>
      <c r="CO703" s="1931"/>
      <c r="CP703" s="1931"/>
      <c r="CQ703" s="1931"/>
      <c r="CR703" s="1931"/>
      <c r="CS703" s="1931"/>
      <c r="CT703" s="1930"/>
      <c r="CU703" s="1930"/>
      <c r="CV703" s="1930"/>
      <c r="CW703" s="1930"/>
      <c r="CX703" s="1931"/>
      <c r="CY703" s="1931"/>
      <c r="CZ703" s="1931"/>
      <c r="DA703" s="1931"/>
      <c r="DB703" s="1932"/>
      <c r="DC703" s="1931"/>
      <c r="DD703" s="1931"/>
      <c r="DE703" s="1931"/>
      <c r="DF703" s="1931"/>
    </row>
    <row r="704" spans="2:112" hidden="1" outlineLevel="1" x14ac:dyDescent="0.25">
      <c r="B704" s="1931"/>
      <c r="D704" s="1300"/>
      <c r="E704" s="1965"/>
      <c r="F704" s="1965"/>
      <c r="G704" s="1965"/>
      <c r="H704" s="1301"/>
      <c r="I704" s="1965"/>
      <c r="J704" s="1965"/>
      <c r="K704" s="1965"/>
      <c r="L704" s="1965"/>
      <c r="M704" s="1966"/>
      <c r="N704" s="1965"/>
      <c r="O704" s="1965"/>
      <c r="P704" s="4483"/>
      <c r="Q704" s="4483"/>
      <c r="R704" s="1965"/>
      <c r="S704" s="1965"/>
      <c r="T704" s="1965"/>
      <c r="U704" s="1965"/>
      <c r="V704" s="1931"/>
      <c r="W704" s="1931"/>
      <c r="X704" s="1931"/>
      <c r="Y704" s="1931"/>
      <c r="Z704" s="1931"/>
      <c r="AA704" s="1931"/>
      <c r="AB704" s="1931"/>
      <c r="AC704" s="1931"/>
      <c r="AD704" s="1931"/>
      <c r="AE704" s="1931"/>
      <c r="AF704" s="1931"/>
      <c r="AG704" s="1931"/>
      <c r="AH704" s="1931"/>
      <c r="AI704" s="1931"/>
      <c r="AJ704" s="1931"/>
      <c r="AK704" s="1931"/>
      <c r="AL704" s="1931"/>
      <c r="AM704" s="1931"/>
      <c r="AN704" s="1931"/>
      <c r="AO704" s="1931"/>
      <c r="AP704" s="1931"/>
      <c r="AQ704" s="1931"/>
      <c r="AR704" s="1931"/>
      <c r="AS704" s="1931"/>
      <c r="AT704" s="1931"/>
      <c r="AU704" s="1931"/>
      <c r="AV704" s="1931"/>
      <c r="AW704" s="1931"/>
      <c r="AX704" s="1931"/>
      <c r="AY704" s="1931"/>
      <c r="AZ704" s="1931"/>
      <c r="BA704" s="1931"/>
      <c r="BB704" s="1931"/>
      <c r="BC704" s="1931"/>
      <c r="BD704" s="1931"/>
      <c r="BE704" s="1931"/>
      <c r="BF704" s="1931"/>
      <c r="BG704" s="1931"/>
      <c r="BH704" s="1931"/>
      <c r="BI704" s="1931"/>
      <c r="BJ704" s="1931"/>
      <c r="BK704" s="1931"/>
      <c r="BL704" s="1931"/>
      <c r="BM704" s="1931"/>
      <c r="BN704" s="1931"/>
      <c r="BO704" s="1931"/>
      <c r="BP704" s="1931"/>
      <c r="BQ704" s="1931"/>
      <c r="BR704" s="1931"/>
      <c r="BS704" s="1931"/>
      <c r="BT704" s="1931"/>
      <c r="BU704" s="1931"/>
      <c r="BV704" s="1931"/>
      <c r="BW704" s="1931"/>
      <c r="BX704" s="1931"/>
      <c r="BY704" s="1931"/>
      <c r="BZ704" s="1931"/>
      <c r="CA704" s="1931"/>
      <c r="CB704" s="1931"/>
      <c r="CC704" s="1931"/>
      <c r="CD704" s="1931"/>
      <c r="CE704" s="1930"/>
      <c r="CF704" s="1930"/>
      <c r="CG704" s="1930"/>
      <c r="CH704" s="1930"/>
      <c r="CI704" s="1931"/>
      <c r="CJ704" s="1931"/>
      <c r="CK704" s="1931"/>
      <c r="CL704" s="1931"/>
      <c r="CM704" s="1931"/>
      <c r="CN704" s="1931"/>
      <c r="CO704" s="1931"/>
      <c r="CP704" s="1931"/>
      <c r="CQ704" s="1931"/>
      <c r="CR704" s="1931"/>
      <c r="CS704" s="1931"/>
      <c r="CT704" s="1930"/>
      <c r="CU704" s="1930"/>
      <c r="CV704" s="1930"/>
      <c r="CW704" s="1930"/>
      <c r="CX704" s="1931"/>
      <c r="CY704" s="1931"/>
      <c r="CZ704" s="1931"/>
      <c r="DA704" s="1931"/>
      <c r="DB704" s="1932"/>
      <c r="DC704" s="1931"/>
      <c r="DD704" s="1931"/>
      <c r="DE704" s="1931"/>
      <c r="DF704" s="1931"/>
    </row>
    <row r="705" spans="2:112" hidden="1" outlineLevel="1" x14ac:dyDescent="0.25">
      <c r="B705" s="1931"/>
      <c r="D705" s="1300"/>
      <c r="E705" s="1965"/>
      <c r="F705" s="1965"/>
      <c r="G705" s="1965"/>
      <c r="H705" s="1301"/>
      <c r="I705" s="1965"/>
      <c r="J705" s="1965"/>
      <c r="K705" s="1965"/>
      <c r="L705" s="1965"/>
      <c r="M705" s="1966"/>
      <c r="N705" s="1965"/>
      <c r="O705" s="1965"/>
      <c r="P705" s="4483"/>
      <c r="Q705" s="4483"/>
      <c r="R705" s="1965"/>
      <c r="S705" s="1965"/>
      <c r="T705" s="1965"/>
      <c r="U705" s="1965"/>
      <c r="V705" s="1931"/>
      <c r="W705" s="1931"/>
      <c r="X705" s="1931"/>
      <c r="Y705" s="1931"/>
      <c r="Z705" s="1931"/>
      <c r="AA705" s="1931"/>
      <c r="AB705" s="1931"/>
      <c r="AC705" s="1931"/>
      <c r="AD705" s="1931"/>
      <c r="AE705" s="1931"/>
      <c r="AF705" s="1931"/>
      <c r="AG705" s="1931"/>
      <c r="AH705" s="1931"/>
      <c r="AI705" s="1931"/>
      <c r="AJ705" s="1931"/>
      <c r="AK705" s="1931"/>
      <c r="AL705" s="1931"/>
      <c r="AM705" s="1931"/>
      <c r="AN705" s="1931"/>
      <c r="AO705" s="1931"/>
      <c r="AP705" s="1931"/>
      <c r="AQ705" s="1931"/>
      <c r="AR705" s="1931"/>
      <c r="AS705" s="1931"/>
      <c r="AT705" s="1931"/>
      <c r="AU705" s="1931"/>
      <c r="AV705" s="1931"/>
      <c r="AW705" s="1931"/>
      <c r="AX705" s="1931"/>
      <c r="AY705" s="1931"/>
      <c r="AZ705" s="1931"/>
      <c r="BA705" s="1931"/>
      <c r="BB705" s="1931"/>
      <c r="BC705" s="1931"/>
      <c r="BD705" s="1931"/>
      <c r="BE705" s="1931"/>
      <c r="BF705" s="1931"/>
      <c r="BG705" s="1931"/>
      <c r="BH705" s="1931"/>
      <c r="BI705" s="1931"/>
      <c r="BJ705" s="1931"/>
      <c r="BK705" s="1931"/>
      <c r="BL705" s="1931"/>
      <c r="BM705" s="1931"/>
      <c r="BN705" s="1931"/>
      <c r="BO705" s="1931"/>
      <c r="BP705" s="1931"/>
      <c r="BQ705" s="1931"/>
      <c r="BR705" s="1931"/>
      <c r="BS705" s="1931"/>
      <c r="BT705" s="1931"/>
      <c r="BU705" s="1931"/>
      <c r="BV705" s="1931"/>
      <c r="BW705" s="1931"/>
      <c r="BX705" s="1931"/>
      <c r="BY705" s="1931"/>
      <c r="BZ705" s="1931"/>
      <c r="CA705" s="1931"/>
      <c r="CB705" s="1931"/>
      <c r="CC705" s="1931"/>
      <c r="CD705" s="1931"/>
      <c r="CE705" s="1930"/>
      <c r="CF705" s="1930"/>
      <c r="CG705" s="1930"/>
      <c r="CH705" s="1930"/>
      <c r="CI705" s="1931"/>
      <c r="CJ705" s="1931"/>
      <c r="CK705" s="1931"/>
      <c r="CL705" s="1931"/>
      <c r="CM705" s="1931"/>
      <c r="CN705" s="1931"/>
      <c r="CO705" s="1931"/>
      <c r="CP705" s="1931"/>
      <c r="CQ705" s="1931"/>
      <c r="CR705" s="1931"/>
      <c r="CS705" s="1931"/>
      <c r="CT705" s="1930"/>
      <c r="CU705" s="1930"/>
      <c r="CV705" s="1930"/>
      <c r="CW705" s="1930"/>
      <c r="CX705" s="1931"/>
      <c r="CY705" s="1931"/>
      <c r="CZ705" s="1931"/>
      <c r="DA705" s="1931"/>
      <c r="DB705" s="1932"/>
      <c r="DC705" s="1931"/>
      <c r="DD705" s="1931"/>
      <c r="DE705" s="1931"/>
      <c r="DF705" s="1931"/>
    </row>
    <row r="706" spans="2:112" hidden="1" outlineLevel="1" x14ac:dyDescent="0.25">
      <c r="B706" s="1931"/>
      <c r="D706" s="1300"/>
      <c r="E706" s="1965"/>
      <c r="F706" s="1965"/>
      <c r="G706" s="1965"/>
      <c r="H706" s="1301"/>
      <c r="I706" s="1965"/>
      <c r="J706" s="1965"/>
      <c r="K706" s="1965"/>
      <c r="L706" s="1965"/>
      <c r="M706" s="1966"/>
      <c r="N706" s="1965"/>
      <c r="O706" s="1965"/>
      <c r="P706" s="1965"/>
      <c r="Q706" s="1965"/>
      <c r="R706" s="1965"/>
      <c r="S706" s="1965"/>
      <c r="T706" s="1965"/>
      <c r="U706" s="1965"/>
      <c r="V706" s="1931"/>
      <c r="W706" s="1931"/>
      <c r="X706" s="1931"/>
      <c r="Y706" s="1931"/>
      <c r="Z706" s="1931"/>
      <c r="AA706" s="1931"/>
      <c r="AB706" s="1931"/>
      <c r="AC706" s="1931"/>
      <c r="AD706" s="1931"/>
      <c r="AE706" s="1931"/>
      <c r="AF706" s="1931"/>
      <c r="AG706" s="1931"/>
      <c r="AH706" s="1931"/>
      <c r="AI706" s="1931"/>
      <c r="AJ706" s="1931"/>
      <c r="AK706" s="1931"/>
      <c r="AL706" s="1931"/>
      <c r="AM706" s="1931"/>
      <c r="AN706" s="1931"/>
      <c r="AO706" s="1931"/>
      <c r="AP706" s="1931"/>
      <c r="AQ706" s="1931"/>
      <c r="AR706" s="1931"/>
      <c r="AS706" s="1931"/>
      <c r="AT706" s="1931"/>
      <c r="AU706" s="1931"/>
      <c r="AV706" s="1931"/>
      <c r="AW706" s="1931"/>
      <c r="AX706" s="1931"/>
      <c r="AY706" s="1931"/>
      <c r="AZ706" s="1931"/>
      <c r="BA706" s="1931"/>
      <c r="BB706" s="1931"/>
      <c r="BC706" s="1931"/>
      <c r="BD706" s="1931"/>
      <c r="BE706" s="1931"/>
      <c r="BF706" s="1931"/>
      <c r="BG706" s="1931"/>
      <c r="BH706" s="1931"/>
      <c r="BI706" s="1931"/>
      <c r="BJ706" s="1931"/>
      <c r="BK706" s="1931"/>
      <c r="BL706" s="1931"/>
      <c r="BM706" s="1931"/>
      <c r="BN706" s="1931"/>
      <c r="BO706" s="1931"/>
      <c r="BP706" s="1931"/>
      <c r="BQ706" s="1931"/>
      <c r="BR706" s="1931"/>
      <c r="BS706" s="1931"/>
      <c r="BT706" s="1931"/>
      <c r="BU706" s="1931"/>
      <c r="BV706" s="1931"/>
      <c r="BW706" s="1931"/>
      <c r="BX706" s="1931"/>
      <c r="BY706" s="1931"/>
      <c r="BZ706" s="1931"/>
      <c r="CA706" s="1931"/>
      <c r="CB706" s="1931"/>
      <c r="CC706" s="1931"/>
      <c r="CD706" s="1931"/>
      <c r="CE706" s="1930"/>
      <c r="CF706" s="1930"/>
      <c r="CG706" s="1930"/>
      <c r="CH706" s="1930"/>
      <c r="CI706" s="1931"/>
      <c r="CJ706" s="1931"/>
      <c r="CK706" s="1931"/>
      <c r="CL706" s="1931"/>
      <c r="CM706" s="1931"/>
      <c r="CN706" s="1931"/>
      <c r="CO706" s="1931"/>
      <c r="CP706" s="1931"/>
      <c r="CQ706" s="1931"/>
      <c r="CR706" s="1931"/>
      <c r="CS706" s="1931"/>
      <c r="CT706" s="1930"/>
      <c r="CU706" s="1930"/>
      <c r="CV706" s="1930"/>
      <c r="CW706" s="1930"/>
      <c r="CX706" s="1931"/>
      <c r="CY706" s="1931"/>
      <c r="CZ706" s="1931"/>
      <c r="DA706" s="1931"/>
      <c r="DB706" s="1932"/>
      <c r="DC706" s="1931"/>
      <c r="DD706" s="1931"/>
      <c r="DE706" s="1931"/>
      <c r="DF706" s="1931"/>
    </row>
    <row r="707" spans="2:112" hidden="1" outlineLevel="1" x14ac:dyDescent="0.25">
      <c r="B707" s="1931"/>
      <c r="D707" s="1300"/>
      <c r="E707" s="1965"/>
      <c r="F707" s="1965"/>
      <c r="G707" s="1965"/>
      <c r="H707" s="1301"/>
      <c r="I707" s="1965"/>
      <c r="J707" s="1965"/>
      <c r="K707" s="1965"/>
      <c r="L707" s="1965"/>
      <c r="M707" s="1965"/>
      <c r="N707" s="1965"/>
      <c r="O707" s="1965"/>
      <c r="P707" s="1965"/>
      <c r="Q707" s="1965"/>
      <c r="R707" s="1965"/>
      <c r="S707" s="1965"/>
      <c r="T707" s="1965"/>
      <c r="U707" s="1965"/>
      <c r="V707" s="1931"/>
      <c r="W707" s="1931"/>
      <c r="X707" s="1931"/>
      <c r="Y707" s="1931"/>
      <c r="Z707" s="1931"/>
      <c r="AA707" s="1931"/>
      <c r="AB707" s="1931"/>
      <c r="AC707" s="1931"/>
      <c r="AD707" s="1931"/>
      <c r="AE707" s="1931"/>
      <c r="AF707" s="1931"/>
      <c r="AG707" s="1931"/>
      <c r="AH707" s="1931"/>
      <c r="AI707" s="1931"/>
      <c r="AJ707" s="1931"/>
      <c r="AK707" s="1931"/>
      <c r="AL707" s="1931"/>
      <c r="AM707" s="1931"/>
      <c r="AN707" s="1931"/>
      <c r="AO707" s="1931"/>
      <c r="AP707" s="1931"/>
      <c r="AQ707" s="1931"/>
      <c r="AR707" s="1931"/>
      <c r="AS707" s="1931"/>
      <c r="AT707" s="1931"/>
      <c r="AU707" s="1931"/>
      <c r="AV707" s="1931"/>
      <c r="AW707" s="1931"/>
      <c r="AX707" s="1931"/>
      <c r="AY707" s="1931"/>
      <c r="AZ707" s="1931"/>
      <c r="BA707" s="1931"/>
      <c r="BB707" s="1931"/>
      <c r="BC707" s="1931"/>
      <c r="BD707" s="1931"/>
      <c r="BE707" s="1931"/>
      <c r="BF707" s="1931"/>
      <c r="BG707" s="1931"/>
      <c r="BH707" s="1931"/>
      <c r="BI707" s="1931"/>
      <c r="BJ707" s="1931"/>
      <c r="BK707" s="1931"/>
      <c r="BL707" s="1931"/>
      <c r="BM707" s="1931"/>
      <c r="BN707" s="1931"/>
      <c r="BO707" s="1931"/>
      <c r="BP707" s="1931"/>
      <c r="BQ707" s="1931"/>
      <c r="BR707" s="1931"/>
      <c r="BS707" s="1931"/>
      <c r="BT707" s="1931"/>
      <c r="BU707" s="1931"/>
      <c r="BV707" s="1931"/>
      <c r="BW707" s="1931"/>
      <c r="BX707" s="1931"/>
      <c r="BY707" s="1931"/>
      <c r="BZ707" s="1931"/>
      <c r="CA707" s="1931"/>
      <c r="CB707" s="1931"/>
      <c r="CC707" s="1931"/>
      <c r="CD707" s="1931"/>
      <c r="CE707" s="1930"/>
      <c r="CF707" s="1930"/>
      <c r="CG707" s="1930"/>
      <c r="CH707" s="1930"/>
      <c r="CI707" s="1931"/>
      <c r="CJ707" s="1931"/>
      <c r="CK707" s="1931"/>
      <c r="CL707" s="1931"/>
      <c r="CM707" s="1931"/>
      <c r="CN707" s="1931"/>
      <c r="CO707" s="1931"/>
      <c r="CP707" s="1931"/>
      <c r="CQ707" s="1931"/>
      <c r="CR707" s="1931"/>
      <c r="CS707" s="1931"/>
      <c r="CT707" s="1930"/>
      <c r="CU707" s="1930"/>
      <c r="CV707" s="1930"/>
      <c r="CW707" s="1930"/>
      <c r="CX707" s="1931"/>
      <c r="CY707" s="1931"/>
      <c r="CZ707" s="1931"/>
      <c r="DA707" s="1931"/>
      <c r="DB707" s="1932"/>
      <c r="DC707" s="1931"/>
      <c r="DD707" s="1931"/>
      <c r="DE707" s="1931"/>
      <c r="DF707" s="1931"/>
    </row>
    <row r="708" spans="2:112" s="55" customFormat="1" hidden="1" outlineLevel="1" x14ac:dyDescent="0.25">
      <c r="C708" s="151"/>
      <c r="D708" s="3081" t="s">
        <v>28</v>
      </c>
      <c r="E708" s="3081" t="s">
        <v>2758</v>
      </c>
      <c r="F708" s="401"/>
      <c r="G708" s="401"/>
      <c r="H708" s="401"/>
      <c r="I708" s="401"/>
      <c r="J708" s="401"/>
      <c r="K708" s="401"/>
      <c r="L708" s="401"/>
      <c r="M708" s="401"/>
      <c r="N708" s="401"/>
      <c r="O708" s="401"/>
      <c r="P708" s="401"/>
      <c r="Q708" s="401"/>
      <c r="R708" s="401"/>
      <c r="S708" s="401"/>
      <c r="T708" s="401"/>
      <c r="U708" s="401"/>
      <c r="DB708" s="72"/>
    </row>
    <row r="709" spans="2:112" hidden="1" outlineLevel="1" x14ac:dyDescent="0.25">
      <c r="B709" s="1931"/>
      <c r="D709" s="1967" t="str">
        <f>C699</f>
        <v>805550_2019_12_</v>
      </c>
      <c r="E709" s="1967" t="str">
        <f>E699</f>
        <v>Circulator Pump</v>
      </c>
      <c r="F709" s="1965"/>
      <c r="G709" s="1965"/>
      <c r="H709" s="1965"/>
      <c r="I709" s="1965"/>
      <c r="J709" s="1965"/>
      <c r="K709" s="1965"/>
      <c r="L709" s="1965"/>
      <c r="M709" s="1965"/>
      <c r="N709" s="1965"/>
      <c r="O709" s="1965"/>
      <c r="P709" s="1965"/>
      <c r="Q709" s="1965"/>
      <c r="R709" s="1965"/>
      <c r="S709" s="1965"/>
      <c r="T709" s="1965"/>
      <c r="U709" s="1965"/>
      <c r="V709" s="1931"/>
      <c r="W709" s="1931"/>
      <c r="X709" s="1931"/>
      <c r="Y709" s="1931"/>
      <c r="Z709" s="1931"/>
      <c r="AA709" s="1931"/>
      <c r="AB709" s="1931"/>
      <c r="AC709" s="1931"/>
      <c r="AD709" s="1931"/>
      <c r="AE709" s="1931"/>
      <c r="AF709" s="1931"/>
      <c r="AG709" s="1931"/>
      <c r="AH709" s="1931"/>
      <c r="AI709" s="1931"/>
      <c r="AJ709" s="1931"/>
      <c r="AK709" s="1931"/>
      <c r="AL709" s="1931"/>
      <c r="AM709" s="1931"/>
      <c r="AN709" s="1931"/>
      <c r="AO709" s="1931"/>
      <c r="AP709" s="1931"/>
      <c r="AQ709" s="1931"/>
      <c r="AR709" s="1931"/>
      <c r="AS709" s="1931"/>
      <c r="AT709" s="1931"/>
      <c r="AU709" s="1931"/>
      <c r="AV709" s="1931"/>
      <c r="AW709" s="1931"/>
      <c r="AX709" s="1931"/>
      <c r="AY709" s="1931"/>
      <c r="AZ709" s="1931"/>
      <c r="BA709" s="1931"/>
      <c r="BB709" s="1931"/>
      <c r="BC709" s="1931"/>
      <c r="BD709" s="1931"/>
      <c r="BE709" s="1931"/>
      <c r="BF709" s="1931"/>
      <c r="BG709" s="1931"/>
      <c r="BH709" s="1931"/>
      <c r="BI709" s="1931"/>
      <c r="BJ709" s="1931"/>
      <c r="BK709" s="1931"/>
      <c r="BL709" s="1931"/>
      <c r="BM709" s="1931"/>
      <c r="BN709" s="1931"/>
      <c r="BO709" s="1931"/>
      <c r="BP709" s="1931"/>
      <c r="BQ709" s="1931"/>
      <c r="BR709" s="1931"/>
      <c r="BS709" s="1931"/>
      <c r="BT709" s="1931"/>
      <c r="BU709" s="1931"/>
      <c r="BV709" s="1931"/>
      <c r="BW709" s="1931"/>
      <c r="BX709" s="1931"/>
      <c r="BY709" s="1931"/>
      <c r="BZ709" s="1931"/>
      <c r="CA709" s="1931"/>
      <c r="CB709" s="1931"/>
      <c r="CC709" s="1931"/>
      <c r="CD709" s="1931"/>
      <c r="CE709" s="1930"/>
      <c r="CF709" s="1930"/>
      <c r="CG709" s="1930"/>
      <c r="CH709" s="1930"/>
      <c r="CI709" s="1931"/>
      <c r="CJ709" s="1931"/>
      <c r="CK709" s="1931"/>
      <c r="CL709" s="1931"/>
      <c r="CM709" s="1931"/>
      <c r="CN709" s="1931"/>
      <c r="CO709" s="1931"/>
      <c r="CP709" s="1931"/>
      <c r="CQ709" s="1931"/>
      <c r="CR709" s="1931"/>
      <c r="CS709" s="1931"/>
      <c r="CT709" s="1930"/>
      <c r="CU709" s="1930"/>
      <c r="CV709" s="1930"/>
      <c r="CW709" s="1930"/>
      <c r="CX709" s="1931"/>
      <c r="CY709" s="1931"/>
      <c r="CZ709" s="1931"/>
      <c r="DA709" s="1931"/>
      <c r="DB709" s="1932"/>
      <c r="DC709" s="1931"/>
      <c r="DD709" s="1931"/>
      <c r="DE709" s="1931"/>
      <c r="DF709" s="1931"/>
    </row>
    <row r="710" spans="2:112" collapsed="1" x14ac:dyDescent="0.25">
      <c r="B710" s="1931"/>
      <c r="D710" s="1966"/>
      <c r="E710" s="1965"/>
      <c r="F710" s="1965"/>
      <c r="G710" s="1968"/>
      <c r="H710" s="1969"/>
      <c r="I710" s="1965"/>
      <c r="J710" s="1965"/>
      <c r="K710" s="1965"/>
      <c r="L710" s="1965"/>
      <c r="M710" s="1965"/>
      <c r="N710" s="1965"/>
      <c r="O710" s="1965"/>
      <c r="P710" s="1965"/>
      <c r="Q710" s="1965"/>
      <c r="R710" s="1965"/>
      <c r="S710" s="1965"/>
      <c r="T710" s="1965"/>
      <c r="U710" s="1965"/>
      <c r="V710" s="1931"/>
      <c r="W710" s="1931"/>
      <c r="X710" s="1931"/>
      <c r="Y710" s="1931"/>
      <c r="Z710" s="1931"/>
      <c r="AA710" s="1931"/>
      <c r="AB710" s="1931"/>
      <c r="AC710" s="1931"/>
      <c r="AD710" s="1931"/>
      <c r="AE710" s="1931"/>
      <c r="AF710" s="1931"/>
      <c r="AG710" s="1931"/>
      <c r="AH710" s="1931"/>
      <c r="AI710" s="1931"/>
      <c r="AJ710" s="1931"/>
      <c r="AK710" s="1931"/>
      <c r="AL710" s="1931"/>
      <c r="AM710" s="1931"/>
      <c r="AN710" s="1931"/>
      <c r="AO710" s="1931"/>
      <c r="AP710" s="1931"/>
      <c r="AQ710" s="1931"/>
      <c r="AR710" s="1931"/>
      <c r="AS710" s="1931"/>
      <c r="AT710" s="1931"/>
      <c r="AU710" s="1931"/>
      <c r="AV710" s="1931"/>
      <c r="AW710" s="1931"/>
      <c r="AX710" s="1931"/>
      <c r="AY710" s="1931"/>
      <c r="AZ710" s="1931"/>
      <c r="BA710" s="1931"/>
      <c r="BB710" s="1931"/>
      <c r="BC710" s="1931"/>
      <c r="BD710" s="1931"/>
      <c r="BE710" s="1931"/>
      <c r="BF710" s="1931"/>
      <c r="BG710" s="1931"/>
      <c r="BH710" s="1931"/>
      <c r="BI710" s="1931"/>
      <c r="BJ710" s="1931"/>
      <c r="BK710" s="1931"/>
      <c r="BL710" s="1931"/>
      <c r="BM710" s="1931"/>
      <c r="BN710" s="1931"/>
      <c r="BO710" s="1931"/>
      <c r="BP710" s="1931"/>
      <c r="BQ710" s="1931"/>
      <c r="BR710" s="1931"/>
      <c r="BS710" s="1931"/>
      <c r="BT710" s="1931"/>
      <c r="BU710" s="1931"/>
      <c r="BV710" s="1931"/>
      <c r="BW710" s="1931"/>
      <c r="BX710" s="1931"/>
      <c r="BY710" s="1931"/>
      <c r="BZ710" s="1931"/>
      <c r="CA710" s="1931"/>
      <c r="CB710" s="1931"/>
      <c r="CC710" s="1931"/>
      <c r="CD710" s="1931"/>
      <c r="CE710" s="1930"/>
      <c r="CF710" s="1930"/>
      <c r="CG710" s="1930"/>
      <c r="CH710" s="1930"/>
      <c r="CI710" s="1931"/>
      <c r="CJ710" s="1931"/>
      <c r="CK710" s="1931"/>
      <c r="CL710" s="1931"/>
      <c r="CM710" s="1931"/>
      <c r="CN710" s="1931"/>
      <c r="CO710" s="1931"/>
      <c r="CP710" s="1931"/>
      <c r="CQ710" s="1931"/>
      <c r="CR710" s="1931"/>
      <c r="CS710" s="1931"/>
      <c r="CT710" s="1930"/>
      <c r="CU710" s="1930"/>
      <c r="CV710" s="1930"/>
      <c r="CW710" s="1930"/>
      <c r="CX710" s="1931"/>
      <c r="CY710" s="1931"/>
      <c r="CZ710" s="1931"/>
      <c r="DA710" s="1931"/>
      <c r="DB710" s="1932"/>
      <c r="DC710" s="1931"/>
      <c r="DD710" s="1931"/>
      <c r="DE710" s="1931"/>
      <c r="DF710" s="1931"/>
    </row>
    <row r="712" spans="2:112" s="43" customFormat="1" x14ac:dyDescent="0.25">
      <c r="B712" s="4484" t="s">
        <v>3131</v>
      </c>
      <c r="C712" s="4485"/>
      <c r="D712" s="4485"/>
      <c r="E712" s="4485"/>
      <c r="F712" s="4485"/>
      <c r="G712" s="4485"/>
      <c r="H712" s="4485"/>
      <c r="I712" s="4486"/>
      <c r="J712" s="4486"/>
      <c r="K712" s="4486"/>
      <c r="L712" s="4486"/>
      <c r="M712" s="3752"/>
      <c r="N712" s="3752"/>
      <c r="O712" s="3753"/>
      <c r="P712" s="1935"/>
      <c r="Q712" s="1935"/>
      <c r="R712" s="1935"/>
      <c r="S712" s="1935"/>
      <c r="T712" s="1935"/>
      <c r="U712" s="1935"/>
      <c r="V712" s="3077" t="str">
        <f>B712</f>
        <v>Small Commercial Programmable Thermostats</v>
      </c>
      <c r="W712" s="3078"/>
      <c r="X712" s="3078"/>
      <c r="Y712" s="3078"/>
      <c r="Z712" s="3078"/>
      <c r="AA712" s="3078"/>
      <c r="AB712" s="3078"/>
      <c r="AC712" s="3078"/>
      <c r="AD712" s="3078"/>
      <c r="AE712" s="3078"/>
      <c r="AF712" s="3078"/>
      <c r="AG712" s="3078"/>
      <c r="AH712" s="3078"/>
      <c r="AI712" s="3170"/>
      <c r="AJ712" s="1931"/>
      <c r="AK712" s="1931"/>
      <c r="AL712" s="1931"/>
      <c r="AM712" s="1931"/>
      <c r="AN712" s="1931"/>
      <c r="AO712" s="1931"/>
      <c r="AP712" s="1931"/>
      <c r="AQ712" s="1931"/>
      <c r="AR712" s="1931"/>
      <c r="AS712" s="1931"/>
      <c r="AT712" s="1931"/>
      <c r="AU712" s="1931"/>
      <c r="AV712" s="1935"/>
      <c r="AW712" s="1935"/>
      <c r="AX712" s="1935"/>
      <c r="AY712" s="1935"/>
      <c r="AZ712" s="1935"/>
      <c r="BA712" s="1935"/>
      <c r="BB712" s="1935"/>
      <c r="BC712" s="1935"/>
      <c r="BD712" s="1935"/>
      <c r="BE712" s="1935"/>
      <c r="BF712" s="1935"/>
      <c r="BG712" s="1935"/>
      <c r="BH712" s="1935"/>
      <c r="BI712" s="1935"/>
      <c r="BJ712" s="1935"/>
      <c r="BK712" s="1935"/>
      <c r="BL712" s="1935"/>
      <c r="BM712" s="1935"/>
      <c r="BN712" s="1935"/>
      <c r="BO712" s="1935"/>
      <c r="BP712" s="1935"/>
      <c r="BQ712" s="1935"/>
      <c r="BR712" s="1935"/>
      <c r="BS712" s="1935"/>
      <c r="BT712" s="1935"/>
      <c r="BU712" s="1935"/>
      <c r="BV712" s="1935"/>
      <c r="BW712" s="1935"/>
      <c r="BX712" s="1935"/>
      <c r="BY712" s="1935"/>
      <c r="BZ712" s="1935"/>
      <c r="CA712" s="1935"/>
      <c r="CB712" s="1935"/>
      <c r="CC712" s="1935"/>
      <c r="CD712" s="1935"/>
      <c r="CE712" s="1935"/>
      <c r="CF712" s="1935"/>
      <c r="CG712" s="1935"/>
      <c r="CH712" s="1935"/>
      <c r="CI712" s="1935"/>
      <c r="CJ712" s="1935"/>
      <c r="CK712" s="1935"/>
      <c r="CL712" s="1935"/>
      <c r="CM712" s="1935"/>
      <c r="CN712" s="1935"/>
      <c r="CO712" s="1935"/>
      <c r="CP712" s="1935"/>
      <c r="CQ712" s="1935"/>
      <c r="CR712" s="1935"/>
      <c r="CS712" s="1935"/>
      <c r="CT712" s="1935"/>
      <c r="CU712" s="1935"/>
      <c r="CV712" s="1935"/>
      <c r="CW712" s="1935"/>
      <c r="CX712" s="1935"/>
      <c r="CY712" s="1935"/>
      <c r="CZ712" s="1935"/>
      <c r="DA712" s="1935"/>
      <c r="DB712" s="73"/>
      <c r="DC712" s="1935"/>
      <c r="DD712" s="1935"/>
      <c r="DE712" s="1935"/>
      <c r="DF712" s="1935"/>
      <c r="DG712" s="1935"/>
      <c r="DH712" s="1935"/>
    </row>
    <row r="713" spans="2:112" x14ac:dyDescent="0.25">
      <c r="B713" s="1931"/>
      <c r="D713" s="1286"/>
      <c r="E713" s="1966"/>
      <c r="F713" s="1966"/>
      <c r="G713" s="1966"/>
      <c r="H713" s="1287"/>
      <c r="I713" s="1966"/>
      <c r="J713" s="1966"/>
      <c r="K713" s="1966"/>
      <c r="L713" s="1966"/>
      <c r="M713" s="1965"/>
      <c r="N713" s="1965"/>
      <c r="O713" s="1965"/>
      <c r="P713" s="1966"/>
      <c r="Q713" s="1966"/>
      <c r="R713" s="1966"/>
      <c r="S713" s="1966"/>
      <c r="T713" s="1966"/>
      <c r="U713" s="1966"/>
      <c r="V713" s="1930"/>
      <c r="W713" s="1930"/>
      <c r="X713" s="1930"/>
      <c r="Y713" s="1930"/>
      <c r="Z713" s="1930"/>
      <c r="AA713" s="1930"/>
      <c r="AB713" s="1930"/>
      <c r="AC713" s="1930"/>
      <c r="AD713" s="1930"/>
      <c r="AE713" s="1930"/>
      <c r="AF713" s="1930"/>
      <c r="AG713" s="1930"/>
      <c r="AH713" s="1930"/>
      <c r="AI713" s="1930"/>
      <c r="AJ713" s="1934"/>
      <c r="AK713" s="1934"/>
      <c r="AL713" s="1934"/>
      <c r="AM713" s="1934"/>
      <c r="AN713" s="1934"/>
      <c r="AO713" s="1934"/>
      <c r="AP713" s="1934"/>
      <c r="AQ713" s="1934"/>
      <c r="AR713" s="1934"/>
      <c r="AS713" s="1934"/>
      <c r="AT713" s="1934"/>
      <c r="AU713" s="1934"/>
      <c r="AV713" s="1931"/>
      <c r="AW713" s="1931"/>
      <c r="AX713" s="1931"/>
      <c r="AY713" s="1931"/>
      <c r="AZ713" s="1931"/>
      <c r="BA713" s="1931"/>
      <c r="BB713" s="1931"/>
      <c r="BC713" s="1931"/>
      <c r="BD713" s="1931"/>
      <c r="BE713" s="1931"/>
      <c r="BF713" s="1931"/>
      <c r="BG713" s="1931"/>
      <c r="BH713" s="1931"/>
      <c r="BI713" s="1931"/>
      <c r="BJ713" s="1931"/>
      <c r="BK713" s="1931"/>
      <c r="BL713" s="1931"/>
      <c r="BM713" s="1931"/>
      <c r="BN713" s="1931"/>
      <c r="BO713" s="1931"/>
      <c r="BP713" s="1931"/>
      <c r="BQ713" s="1931"/>
      <c r="BR713" s="1931"/>
      <c r="BS713" s="1931"/>
      <c r="BT713" s="1931"/>
      <c r="BU713" s="1931"/>
      <c r="BV713" s="1931"/>
      <c r="BW713" s="1931"/>
      <c r="BX713" s="1931"/>
      <c r="BY713" s="1931"/>
      <c r="BZ713" s="1931"/>
      <c r="CA713" s="1931"/>
      <c r="CB713" s="1931"/>
      <c r="CC713" s="1931"/>
      <c r="CD713" s="1931"/>
      <c r="CE713" s="1930"/>
      <c r="CF713" s="1930"/>
      <c r="CG713" s="1930"/>
      <c r="CH713" s="1930"/>
      <c r="CI713" s="1931"/>
      <c r="CJ713" s="1931"/>
      <c r="CK713" s="1931"/>
      <c r="CL713" s="1931"/>
      <c r="CM713" s="1931"/>
      <c r="CN713" s="1931"/>
      <c r="CO713" s="1931"/>
      <c r="CP713" s="1931"/>
      <c r="CQ713" s="1931"/>
      <c r="CR713" s="1931"/>
      <c r="CS713" s="1931"/>
      <c r="CT713" s="1930"/>
      <c r="CU713" s="1930"/>
      <c r="CV713" s="1930"/>
      <c r="CW713" s="1930"/>
      <c r="CX713" s="1931"/>
      <c r="CY713" s="1931"/>
      <c r="CZ713" s="1931"/>
      <c r="DA713" s="1931"/>
      <c r="DB713" s="1932"/>
      <c r="DC713" s="1931"/>
      <c r="DD713" s="1931"/>
      <c r="DE713" s="1931"/>
      <c r="DF713" s="1931"/>
    </row>
    <row r="714" spans="2:112" s="44" customFormat="1" ht="30" x14ac:dyDescent="0.25">
      <c r="B714" s="45"/>
      <c r="C714" s="46" t="s">
        <v>28</v>
      </c>
      <c r="D714" s="46" t="s">
        <v>29</v>
      </c>
      <c r="E714" s="3196" t="s">
        <v>30</v>
      </c>
      <c r="F714" s="3196" t="s">
        <v>3132</v>
      </c>
      <c r="G714" s="3196" t="s">
        <v>176</v>
      </c>
      <c r="H714" s="47" t="s">
        <v>177</v>
      </c>
      <c r="I714" s="3196" t="s">
        <v>32</v>
      </c>
      <c r="J714" s="3196" t="s">
        <v>181</v>
      </c>
      <c r="K714" s="46" t="s">
        <v>2820</v>
      </c>
      <c r="L714" s="46" t="s">
        <v>44</v>
      </c>
      <c r="M714" s="1965"/>
      <c r="N714" s="1965"/>
      <c r="O714" s="1965"/>
      <c r="P714" s="1288"/>
      <c r="Q714" s="1288"/>
      <c r="R714" s="1288"/>
      <c r="S714" s="1288"/>
      <c r="T714" s="1288"/>
      <c r="U714" s="1288"/>
      <c r="V714" s="1936" t="s">
        <v>45</v>
      </c>
      <c r="W714" s="1937">
        <f>$W$8</f>
        <v>43252</v>
      </c>
      <c r="X714" s="1937">
        <f>$X$8</f>
        <v>43465</v>
      </c>
      <c r="Y714" s="1937">
        <f>$Y$8</f>
        <v>43800</v>
      </c>
      <c r="Z714" s="1937">
        <f>$Z$8</f>
        <v>43862</v>
      </c>
      <c r="AA714" s="1937">
        <f>$AA$8</f>
        <v>44013</v>
      </c>
      <c r="AB714" s="1937">
        <v>44166</v>
      </c>
      <c r="AC714" s="1937">
        <f>$AC$8</f>
        <v>44531</v>
      </c>
      <c r="AD714" s="1937" t="str">
        <f>$AD$8</f>
        <v>-</v>
      </c>
      <c r="AE714" s="1937" t="str">
        <f>$AE$8</f>
        <v>-</v>
      </c>
      <c r="AF714" s="1937" t="str">
        <f>$AF$8</f>
        <v>-</v>
      </c>
      <c r="AG714" s="1937" t="str">
        <f>$AG$8</f>
        <v>-</v>
      </c>
      <c r="AH714" s="1930"/>
      <c r="AI714" s="1936" t="s">
        <v>45</v>
      </c>
      <c r="AJ714" s="1937">
        <v>43252</v>
      </c>
      <c r="AK714" s="1937">
        <f>$X$8</f>
        <v>43465</v>
      </c>
      <c r="AL714" s="1937">
        <f>$Y$8</f>
        <v>43800</v>
      </c>
      <c r="AM714" s="1937">
        <f>$Z$8</f>
        <v>43862</v>
      </c>
      <c r="AN714" s="1937">
        <f>$AA$8</f>
        <v>44013</v>
      </c>
      <c r="AO714" s="1937">
        <f>$AB$8</f>
        <v>44166</v>
      </c>
      <c r="AP714" s="1937">
        <f>$AC$8</f>
        <v>44531</v>
      </c>
      <c r="AQ714" s="1937" t="str">
        <f>$AD$8</f>
        <v>-</v>
      </c>
      <c r="AR714" s="1937" t="str">
        <f>$AE$8</f>
        <v>-</v>
      </c>
      <c r="AS714" s="1937" t="str">
        <f>$AF$8</f>
        <v>-</v>
      </c>
      <c r="AT714" s="1933"/>
      <c r="AU714" s="1936" t="s">
        <v>45</v>
      </c>
      <c r="AV714" s="1937">
        <v>43252</v>
      </c>
      <c r="AW714" s="1937">
        <f>$X$8</f>
        <v>43465</v>
      </c>
      <c r="AX714" s="1937">
        <f>$Y$8</f>
        <v>43800</v>
      </c>
      <c r="AY714" s="1937">
        <f>$Z$8</f>
        <v>43862</v>
      </c>
      <c r="AZ714" s="1937">
        <f>$AA$8</f>
        <v>44013</v>
      </c>
      <c r="BA714" s="1937">
        <v>44166</v>
      </c>
      <c r="BB714" s="1937">
        <f>$AC$8</f>
        <v>44531</v>
      </c>
      <c r="BC714" s="1937" t="str">
        <f>$AD$8</f>
        <v>-</v>
      </c>
      <c r="BD714" s="1937" t="str">
        <f>$AE$8</f>
        <v>-</v>
      </c>
      <c r="BE714" s="1937" t="str">
        <f>$AF$8</f>
        <v>-</v>
      </c>
      <c r="DB714" s="1938" t="str">
        <f>$DB$8</f>
        <v>TRC (2020)</v>
      </c>
      <c r="DC714" s="1953" t="str">
        <f>$DC$8</f>
        <v>Benefit Lookup</v>
      </c>
      <c r="DD714" s="1953" t="str">
        <f>$DD$8</f>
        <v>Benefits (2019 $)</v>
      </c>
      <c r="DE714" s="1953" t="str">
        <f>$DE$8</f>
        <v>Incremental Cost (2019 $)</v>
      </c>
    </row>
    <row r="715" spans="2:112" x14ac:dyDescent="0.25">
      <c r="B715" s="1931"/>
      <c r="C715" s="1997" t="s">
        <v>3133</v>
      </c>
      <c r="D715" s="1363" t="s">
        <v>2646</v>
      </c>
      <c r="E715" s="1308" t="s">
        <v>3131</v>
      </c>
      <c r="F715" s="1959">
        <f>ROUND((F725*H725*I725)/G725,2)</f>
        <v>0.03</v>
      </c>
      <c r="G715" s="1290" t="s">
        <v>2881</v>
      </c>
      <c r="H715" s="1291">
        <f>VLOOKUP(G715,'CP FACTORS'!$A$26:$B$38,2,FALSE)</f>
        <v>9.1068400000000004E-4</v>
      </c>
      <c r="I715" s="1309">
        <f>ROUND(H715*F715,6)</f>
        <v>2.6999999999999999E-5</v>
      </c>
      <c r="J715" s="325">
        <v>8</v>
      </c>
      <c r="K715" s="1329">
        <v>181</v>
      </c>
      <c r="L715" s="1374" t="s">
        <v>185</v>
      </c>
      <c r="M715" s="1965"/>
      <c r="N715" s="1965"/>
      <c r="O715" s="1965"/>
      <c r="P715" s="1965"/>
      <c r="Q715" s="1965"/>
      <c r="R715" s="1965"/>
      <c r="S715" s="1965"/>
      <c r="T715" s="1965"/>
      <c r="U715" s="1965"/>
      <c r="V715" s="3226" t="str">
        <f>F714</f>
        <v>kWh Annual Savings (per sqft)</v>
      </c>
      <c r="W715" s="1947">
        <v>2.8899999999999999E-2</v>
      </c>
      <c r="X715" s="129">
        <v>2.8899999999999999E-2</v>
      </c>
      <c r="Y715" s="129">
        <v>2.8899999999999999E-2</v>
      </c>
      <c r="Z715" s="129">
        <v>2.8899999999999999E-2</v>
      </c>
      <c r="AA715" s="129">
        <v>2.8899999999999999E-2</v>
      </c>
      <c r="AB715" s="1825">
        <v>0.03</v>
      </c>
      <c r="AC715" s="3364">
        <v>0.03</v>
      </c>
      <c r="AD715" s="2099"/>
      <c r="AE715" s="2099"/>
      <c r="AF715" s="2099"/>
      <c r="AG715" s="2099"/>
      <c r="AH715" s="2100"/>
      <c r="AI715" s="3227" t="s">
        <v>181</v>
      </c>
      <c r="AJ715" s="64">
        <v>8</v>
      </c>
      <c r="AK715" s="64">
        <v>8</v>
      </c>
      <c r="AL715" s="64">
        <v>8</v>
      </c>
      <c r="AM715" s="64">
        <v>8</v>
      </c>
      <c r="AN715" s="64">
        <v>8</v>
      </c>
      <c r="AO715" s="2101">
        <v>8</v>
      </c>
      <c r="AP715" s="2101">
        <v>8</v>
      </c>
      <c r="AQ715" s="2099"/>
      <c r="AR715" s="2099"/>
      <c r="AS715" s="2099"/>
      <c r="AT715" s="1933"/>
      <c r="AU715" s="3227" t="s">
        <v>170</v>
      </c>
      <c r="AV715" s="2102">
        <v>181</v>
      </c>
      <c r="AW715" s="2102">
        <v>181</v>
      </c>
      <c r="AX715" s="2102">
        <v>181</v>
      </c>
      <c r="AY715" s="2102">
        <v>181</v>
      </c>
      <c r="AZ715" s="2102">
        <v>181</v>
      </c>
      <c r="BA715" s="2103">
        <v>181</v>
      </c>
      <c r="BB715" s="2103">
        <v>181</v>
      </c>
      <c r="BC715" s="2099"/>
      <c r="BD715" s="2099"/>
      <c r="BE715" s="2099"/>
      <c r="BF715" s="1933"/>
      <c r="BG715" s="1933"/>
      <c r="BH715" s="1933"/>
      <c r="BI715" s="1933"/>
      <c r="BJ715" s="1933"/>
      <c r="BK715" s="1933"/>
      <c r="BL715" s="1933"/>
      <c r="BM715" s="1933"/>
      <c r="BN715" s="1933"/>
      <c r="BO715" s="1933"/>
      <c r="BP715" s="1931"/>
      <c r="BQ715" s="1931"/>
      <c r="BR715" s="1931"/>
      <c r="BS715" s="1931"/>
      <c r="BT715" s="1931"/>
      <c r="BU715" s="1931"/>
      <c r="BV715" s="1931"/>
      <c r="BW715" s="1931"/>
      <c r="BX715" s="1931"/>
      <c r="BY715" s="1931"/>
      <c r="BZ715" s="1931"/>
      <c r="CA715" s="1931"/>
      <c r="CB715" s="1931"/>
      <c r="CC715" s="1931"/>
      <c r="CD715" s="1931"/>
      <c r="CE715" s="1930"/>
      <c r="CF715" s="1930"/>
      <c r="CG715" s="1930"/>
      <c r="CH715" s="1930"/>
      <c r="CI715" s="1931"/>
      <c r="CJ715" s="1931"/>
      <c r="CK715" s="1931"/>
      <c r="CL715" s="1931"/>
      <c r="CM715" s="1931"/>
      <c r="CN715" s="1931"/>
      <c r="CO715" s="1931"/>
      <c r="CP715" s="1931"/>
      <c r="CQ715" s="1931"/>
      <c r="CR715" s="1931"/>
      <c r="CS715" s="1931"/>
      <c r="CT715" s="1930"/>
      <c r="CU715" s="1930"/>
      <c r="CV715" s="1930"/>
      <c r="CW715" s="1930"/>
      <c r="CX715" s="1931"/>
      <c r="CY715" s="1931"/>
      <c r="CZ715" s="1931"/>
      <c r="DA715" s="1931"/>
      <c r="DB715" s="1954">
        <f>(DD715)/(DE715)</f>
        <v>1.3267360914294256E-4</v>
      </c>
      <c r="DC715" s="3166" t="str">
        <f>CONCATENATE(G715," ",J715," Year EUL")</f>
        <v>Cooling BUS 8 Year EUL</v>
      </c>
      <c r="DD715" s="1955">
        <f>(INDEX('Avoided Cost Benefits'!$C$4:$C$857,MATCH(DC715,'Avoided Cost Benefits'!$A$4:$A$857,0)))*F715</f>
        <v>2.2665335776189333E-2</v>
      </c>
      <c r="DE715" s="1956">
        <f>K715/(1.0595^(2020-2019))</f>
        <v>170.83529966965548</v>
      </c>
      <c r="DF715" s="1931"/>
    </row>
    <row r="716" spans="2:112" hidden="1" outlineLevel="1" x14ac:dyDescent="0.25">
      <c r="B716" s="1931"/>
      <c r="D716" s="1966"/>
      <c r="E716" s="1966"/>
      <c r="F716" s="1966"/>
      <c r="G716" s="1966"/>
      <c r="H716" s="1299"/>
      <c r="I716" s="1966"/>
      <c r="J716" s="1966"/>
      <c r="K716" s="1966"/>
      <c r="L716" s="1965"/>
      <c r="M716" s="1965"/>
      <c r="N716" s="1965"/>
      <c r="O716" s="1965"/>
      <c r="P716" s="1965"/>
      <c r="Q716" s="1965"/>
      <c r="R716" s="1965"/>
      <c r="S716" s="1965"/>
      <c r="T716" s="1965"/>
      <c r="U716" s="1965"/>
      <c r="V716" s="1931"/>
      <c r="W716" s="1931"/>
      <c r="X716" s="1933"/>
      <c r="Y716" s="1933"/>
      <c r="Z716" s="1933"/>
      <c r="AA716" s="1933"/>
      <c r="AB716" s="1933"/>
      <c r="AC716" s="1933"/>
      <c r="AD716" s="1933"/>
      <c r="AE716" s="1933"/>
      <c r="AF716" s="1933"/>
      <c r="AG716" s="1933"/>
      <c r="AH716" s="1933"/>
      <c r="AI716" s="1933"/>
      <c r="AJ716" s="1933"/>
      <c r="AK716" s="1933"/>
      <c r="AL716" s="1933"/>
      <c r="AM716" s="1933"/>
      <c r="AN716" s="1933"/>
      <c r="AO716" s="1933"/>
      <c r="AP716" s="1933"/>
      <c r="AQ716" s="1933"/>
      <c r="AR716" s="1933"/>
      <c r="AS716" s="1933"/>
      <c r="AT716" s="1933"/>
      <c r="AU716" s="1933"/>
      <c r="AV716" s="1933"/>
      <c r="AW716" s="1933"/>
      <c r="AX716" s="1933"/>
      <c r="AY716" s="1933"/>
      <c r="AZ716" s="1933"/>
      <c r="BA716" s="1933"/>
      <c r="BB716" s="1933"/>
      <c r="BC716" s="1933"/>
      <c r="BD716" s="1933"/>
      <c r="BE716" s="1933"/>
      <c r="BF716" s="1933"/>
      <c r="BG716" s="1933"/>
      <c r="BH716" s="1933"/>
      <c r="BI716" s="1933"/>
      <c r="BJ716" s="1933"/>
      <c r="BK716" s="1933"/>
      <c r="BL716" s="1933"/>
      <c r="BM716" s="1933"/>
      <c r="BN716" s="1933"/>
      <c r="BO716" s="1933"/>
      <c r="BP716" s="1931"/>
      <c r="BQ716" s="1931"/>
      <c r="BR716" s="1931"/>
      <c r="BS716" s="1931"/>
      <c r="BT716" s="1931"/>
      <c r="BU716" s="1931"/>
      <c r="BV716" s="1931"/>
      <c r="BW716" s="1931"/>
      <c r="BX716" s="1931"/>
      <c r="BY716" s="1931"/>
      <c r="BZ716" s="1931"/>
      <c r="CA716" s="1931"/>
      <c r="CB716" s="1931"/>
      <c r="CC716" s="1931"/>
      <c r="CD716" s="1931"/>
      <c r="CE716" s="1930"/>
      <c r="CF716" s="1930"/>
      <c r="CG716" s="1930"/>
      <c r="CH716" s="1930"/>
      <c r="CI716" s="1931"/>
      <c r="CJ716" s="1931"/>
      <c r="CK716" s="1931"/>
      <c r="CL716" s="1931"/>
      <c r="CM716" s="1931"/>
      <c r="CN716" s="1931"/>
      <c r="CO716" s="1931"/>
      <c r="CP716" s="1931"/>
      <c r="CQ716" s="1931"/>
      <c r="CR716" s="1931"/>
      <c r="CS716" s="1931"/>
      <c r="CT716" s="1930"/>
      <c r="CU716" s="1930"/>
      <c r="CV716" s="1930"/>
      <c r="CW716" s="1930"/>
      <c r="CX716" s="1931"/>
      <c r="CY716" s="1931"/>
      <c r="CZ716" s="1931"/>
      <c r="DA716" s="1931"/>
      <c r="DB716" s="1932"/>
      <c r="DC716" s="1931"/>
      <c r="DD716" s="1931"/>
      <c r="DE716" s="1931"/>
      <c r="DF716" s="1931"/>
    </row>
    <row r="717" spans="2:112" hidden="1" outlineLevel="1" x14ac:dyDescent="0.25">
      <c r="B717" s="1931"/>
      <c r="D717" s="1966" t="s">
        <v>2689</v>
      </c>
      <c r="E717" s="151"/>
      <c r="F717" s="1966"/>
      <c r="G717" s="1966"/>
      <c r="H717" s="1299"/>
      <c r="I717" s="1966"/>
      <c r="J717" s="1966"/>
      <c r="K717" s="151"/>
      <c r="L717" s="1965"/>
      <c r="M717" s="1965"/>
      <c r="N717" s="1965"/>
      <c r="O717" s="1965"/>
      <c r="P717" s="1965"/>
      <c r="Q717" s="1965"/>
      <c r="R717" s="1965"/>
      <c r="S717" s="1965"/>
      <c r="T717" s="1965"/>
      <c r="U717" s="1965"/>
      <c r="V717" s="1931"/>
      <c r="W717" s="1931"/>
      <c r="X717" s="1933"/>
      <c r="Y717" s="1933"/>
      <c r="Z717" s="1933"/>
      <c r="AA717" s="1933"/>
      <c r="AB717" s="1933"/>
      <c r="AC717" s="1933"/>
      <c r="AD717" s="1933"/>
      <c r="AE717" s="1933"/>
      <c r="AF717" s="1933"/>
      <c r="AG717" s="1933"/>
      <c r="AH717" s="1933"/>
      <c r="AI717" s="1933"/>
      <c r="AJ717" s="1933"/>
      <c r="AK717" s="1933"/>
      <c r="AL717" s="1933"/>
      <c r="AM717" s="1933"/>
      <c r="AN717" s="1933"/>
      <c r="AO717" s="1933"/>
      <c r="AP717" s="1933"/>
      <c r="AQ717" s="1933"/>
      <c r="AR717" s="1933"/>
      <c r="AS717" s="1933"/>
      <c r="AT717" s="1933"/>
      <c r="AU717" s="1933"/>
      <c r="AV717" s="1933"/>
      <c r="AW717" s="1933"/>
      <c r="AX717" s="1933"/>
      <c r="AY717" s="1933"/>
      <c r="AZ717" s="1933"/>
      <c r="BA717" s="1933"/>
      <c r="BB717" s="1933"/>
      <c r="BC717" s="1933"/>
      <c r="BD717" s="1933"/>
      <c r="BE717" s="1933"/>
      <c r="BF717" s="1933"/>
      <c r="BG717" s="1933"/>
      <c r="BH717" s="1933"/>
      <c r="BI717" s="1933"/>
      <c r="BJ717" s="1933"/>
      <c r="BK717" s="1933"/>
      <c r="BL717" s="1933"/>
      <c r="BM717" s="1933"/>
      <c r="BN717" s="1933"/>
      <c r="BO717" s="1933"/>
      <c r="BP717" s="1931"/>
      <c r="BQ717" s="1931"/>
      <c r="BR717" s="1931"/>
      <c r="BS717" s="1931"/>
      <c r="BT717" s="1931"/>
      <c r="BU717" s="1931"/>
      <c r="BV717" s="1931"/>
      <c r="BW717" s="1931"/>
      <c r="BX717" s="1931"/>
      <c r="BY717" s="1931"/>
      <c r="BZ717" s="1931"/>
      <c r="CA717" s="1931"/>
      <c r="CB717" s="1931"/>
      <c r="CC717" s="1931"/>
      <c r="CD717" s="1931"/>
      <c r="CE717" s="1930"/>
      <c r="CF717" s="1930"/>
      <c r="CG717" s="1930"/>
      <c r="CH717" s="1930"/>
      <c r="CI717" s="1931"/>
      <c r="CJ717" s="1931"/>
      <c r="CK717" s="1931"/>
      <c r="CL717" s="1931"/>
      <c r="CM717" s="1931"/>
      <c r="CN717" s="1931"/>
      <c r="CO717" s="1931"/>
      <c r="CP717" s="1931"/>
      <c r="CQ717" s="1931"/>
      <c r="CR717" s="1931"/>
      <c r="CS717" s="1931"/>
      <c r="CT717" s="1930"/>
      <c r="CU717" s="1930"/>
      <c r="CV717" s="1930"/>
      <c r="CW717" s="1930"/>
      <c r="CX717" s="1931"/>
      <c r="CY717" s="1931"/>
      <c r="CZ717" s="1931"/>
      <c r="DA717" s="1931"/>
      <c r="DB717" s="1932"/>
      <c r="DC717" s="1931"/>
      <c r="DD717" s="1931"/>
      <c r="DE717" s="1931"/>
      <c r="DF717" s="1931"/>
    </row>
    <row r="718" spans="2:112" hidden="1" outlineLevel="1" x14ac:dyDescent="0.25">
      <c r="B718" s="1931"/>
      <c r="D718" s="1300"/>
      <c r="E718" s="151"/>
      <c r="F718" s="151"/>
      <c r="G718" s="1321"/>
      <c r="H718" s="1322"/>
      <c r="I718" s="1965"/>
      <c r="J718" s="1965"/>
      <c r="K718" s="1965"/>
      <c r="L718" s="1965"/>
      <c r="M718" s="1965"/>
      <c r="N718" s="1965"/>
      <c r="O718" s="1965"/>
      <c r="P718" s="1965"/>
      <c r="Q718" s="1965"/>
      <c r="R718" s="1965"/>
      <c r="S718" s="1965"/>
      <c r="T718" s="1965"/>
      <c r="U718" s="1965"/>
      <c r="V718" s="1931"/>
      <c r="W718" s="1931"/>
      <c r="X718" s="1933"/>
      <c r="Y718" s="1933"/>
      <c r="Z718" s="1933"/>
      <c r="AA718" s="1933"/>
      <c r="AB718" s="1933"/>
      <c r="AC718" s="1933"/>
      <c r="AD718" s="1933"/>
      <c r="AE718" s="1933"/>
      <c r="AF718" s="1933"/>
      <c r="AG718" s="1933"/>
      <c r="AH718" s="1933"/>
      <c r="AI718" s="1933"/>
      <c r="AJ718" s="1933"/>
      <c r="AK718" s="1933"/>
      <c r="AL718" s="1933"/>
      <c r="AM718" s="1933"/>
      <c r="AN718" s="1933"/>
      <c r="AO718" s="1933"/>
      <c r="AP718" s="1933"/>
      <c r="AQ718" s="1933"/>
      <c r="AR718" s="1933"/>
      <c r="AS718" s="1933"/>
      <c r="AT718" s="1933"/>
      <c r="AU718" s="1933"/>
      <c r="AV718" s="1933"/>
      <c r="AW718" s="1933"/>
      <c r="AX718" s="1933"/>
      <c r="AY718" s="1933"/>
      <c r="AZ718" s="1933"/>
      <c r="BA718" s="1933"/>
      <c r="BB718" s="1933"/>
      <c r="BC718" s="1933"/>
      <c r="BD718" s="1933"/>
      <c r="BE718" s="1933"/>
      <c r="BF718" s="1933"/>
      <c r="BG718" s="1933"/>
      <c r="BH718" s="1933"/>
      <c r="BI718" s="1933"/>
      <c r="BJ718" s="1933"/>
      <c r="BK718" s="1933"/>
      <c r="BL718" s="1933"/>
      <c r="BM718" s="1933"/>
      <c r="BN718" s="1933"/>
      <c r="BO718" s="1933"/>
      <c r="BP718" s="1931"/>
      <c r="BQ718" s="1931"/>
      <c r="BR718" s="1931"/>
      <c r="BS718" s="1931"/>
      <c r="BT718" s="1931"/>
      <c r="BU718" s="1931"/>
      <c r="BV718" s="1931"/>
      <c r="BW718" s="1931"/>
      <c r="BX718" s="1931"/>
      <c r="BY718" s="1931"/>
      <c r="BZ718" s="1931"/>
      <c r="CA718" s="1931"/>
      <c r="CB718" s="1931"/>
      <c r="CC718" s="1931"/>
      <c r="CD718" s="1931"/>
      <c r="CE718" s="1930"/>
      <c r="CF718" s="1930"/>
      <c r="CG718" s="1930"/>
      <c r="CH718" s="1930"/>
      <c r="CI718" s="1931"/>
      <c r="CJ718" s="1931"/>
      <c r="CK718" s="1931"/>
      <c r="CL718" s="1931"/>
      <c r="CM718" s="1931"/>
      <c r="CN718" s="1931"/>
      <c r="CO718" s="1931"/>
      <c r="CP718" s="1931"/>
      <c r="CQ718" s="1931"/>
      <c r="CR718" s="1931"/>
      <c r="CS718" s="1931"/>
      <c r="CT718" s="1930"/>
      <c r="CU718" s="1930"/>
      <c r="CV718" s="1930"/>
      <c r="CW718" s="1930"/>
      <c r="CX718" s="1931"/>
      <c r="CY718" s="1931"/>
      <c r="CZ718" s="1931"/>
      <c r="DA718" s="1931"/>
      <c r="DB718" s="1932"/>
      <c r="DC718" s="1931"/>
      <c r="DD718" s="1931"/>
      <c r="DE718" s="1931"/>
      <c r="DF718" s="1931"/>
    </row>
    <row r="719" spans="2:112" hidden="1" outlineLevel="1" x14ac:dyDescent="0.25">
      <c r="B719" s="1931"/>
      <c r="D719" s="1300"/>
      <c r="E719" s="1965"/>
      <c r="F719" s="1965"/>
      <c r="G719" s="1321"/>
      <c r="H719" s="1322"/>
      <c r="I719" s="1965"/>
      <c r="J719" s="1965"/>
      <c r="K719" s="1965"/>
      <c r="L719" s="1965"/>
      <c r="M719" s="1965"/>
      <c r="N719" s="1965"/>
      <c r="O719" s="1965"/>
      <c r="P719" s="4483"/>
      <c r="Q719" s="4483"/>
      <c r="R719" s="1965"/>
      <c r="S719" s="1965"/>
      <c r="T719" s="1965"/>
      <c r="U719" s="1965"/>
      <c r="V719" s="1931"/>
      <c r="W719" s="1931"/>
      <c r="X719" s="1933"/>
      <c r="Y719" s="1933"/>
      <c r="Z719" s="1933"/>
      <c r="AA719" s="1933"/>
      <c r="AB719" s="1933"/>
      <c r="AC719" s="1933"/>
      <c r="AD719" s="1933"/>
      <c r="AE719" s="1933"/>
      <c r="AF719" s="1933"/>
      <c r="AG719" s="1933"/>
      <c r="AH719" s="1933"/>
      <c r="AI719" s="1933"/>
      <c r="AJ719" s="1933"/>
      <c r="AK719" s="1933"/>
      <c r="AL719" s="1933"/>
      <c r="AM719" s="1933"/>
      <c r="AN719" s="1933"/>
      <c r="AO719" s="1933"/>
      <c r="AP719" s="1933"/>
      <c r="AQ719" s="1933"/>
      <c r="AR719" s="1933"/>
      <c r="AS719" s="1933"/>
      <c r="AT719" s="1933"/>
      <c r="AU719" s="1933"/>
      <c r="AV719" s="1933"/>
      <c r="AW719" s="1933"/>
      <c r="AX719" s="1933"/>
      <c r="AY719" s="1933"/>
      <c r="AZ719" s="1933"/>
      <c r="BA719" s="1933"/>
      <c r="BB719" s="1933"/>
      <c r="BC719" s="1933"/>
      <c r="BD719" s="1933"/>
      <c r="BE719" s="1933"/>
      <c r="BF719" s="1933"/>
      <c r="BG719" s="1933"/>
      <c r="BH719" s="1933"/>
      <c r="BI719" s="1933"/>
      <c r="BJ719" s="1933"/>
      <c r="BK719" s="1933"/>
      <c r="BL719" s="1933"/>
      <c r="BM719" s="1933"/>
      <c r="BN719" s="1933"/>
      <c r="BO719" s="1933"/>
      <c r="BP719" s="1931"/>
      <c r="BQ719" s="1931"/>
      <c r="BR719" s="1931"/>
      <c r="BS719" s="1931"/>
      <c r="BT719" s="1931"/>
      <c r="BU719" s="1931"/>
      <c r="BV719" s="1931"/>
      <c r="BW719" s="1931"/>
      <c r="BX719" s="1931"/>
      <c r="BY719" s="1931"/>
      <c r="BZ719" s="1931"/>
      <c r="CA719" s="1931"/>
      <c r="CB719" s="1931"/>
      <c r="CC719" s="1931"/>
      <c r="CD719" s="1931"/>
      <c r="CE719" s="1930"/>
      <c r="CF719" s="1930"/>
      <c r="CG719" s="1930"/>
      <c r="CH719" s="1930"/>
      <c r="CI719" s="1931"/>
      <c r="CJ719" s="1931"/>
      <c r="CK719" s="1931"/>
      <c r="CL719" s="1931"/>
      <c r="CM719" s="1931"/>
      <c r="CN719" s="1931"/>
      <c r="CO719" s="1931"/>
      <c r="CP719" s="1931"/>
      <c r="CQ719" s="1931"/>
      <c r="CR719" s="1931"/>
      <c r="CS719" s="1931"/>
      <c r="CT719" s="1930"/>
      <c r="CU719" s="1930"/>
      <c r="CV719" s="1930"/>
      <c r="CW719" s="1930"/>
      <c r="CX719" s="1931"/>
      <c r="CY719" s="1931"/>
      <c r="CZ719" s="1931"/>
      <c r="DA719" s="1931"/>
      <c r="DB719" s="1932"/>
      <c r="DC719" s="1931"/>
      <c r="DD719" s="1931"/>
      <c r="DE719" s="1931"/>
      <c r="DF719" s="1931"/>
    </row>
    <row r="720" spans="2:112" hidden="1" outlineLevel="1" x14ac:dyDescent="0.25">
      <c r="B720" s="1931"/>
      <c r="D720" s="1300"/>
      <c r="E720" s="1965"/>
      <c r="F720" s="1965"/>
      <c r="G720" s="1965"/>
      <c r="H720" s="1301"/>
      <c r="I720" s="1965"/>
      <c r="J720" s="1965"/>
      <c r="K720" s="1965"/>
      <c r="L720" s="1965"/>
      <c r="M720" s="1966"/>
      <c r="N720" s="1965"/>
      <c r="O720" s="1965"/>
      <c r="P720" s="4483"/>
      <c r="Q720" s="4483"/>
      <c r="R720" s="1965"/>
      <c r="S720" s="1965"/>
      <c r="T720" s="1965"/>
      <c r="U720" s="1965"/>
      <c r="V720" s="1931"/>
      <c r="W720" s="1931"/>
      <c r="X720" s="1931"/>
      <c r="Y720" s="1931"/>
      <c r="Z720" s="1931"/>
      <c r="AA720" s="1931"/>
      <c r="AB720" s="1931"/>
      <c r="AC720" s="1931"/>
      <c r="AD720" s="1931"/>
      <c r="AE720" s="1931"/>
      <c r="AF720" s="1931"/>
      <c r="AG720" s="1931"/>
      <c r="AH720" s="1931"/>
      <c r="AI720" s="1931"/>
      <c r="AJ720" s="1931"/>
      <c r="AK720" s="1931"/>
      <c r="AL720" s="1931"/>
      <c r="AM720" s="1931"/>
      <c r="AN720" s="1931"/>
      <c r="AO720" s="1931"/>
      <c r="AP720" s="1931"/>
      <c r="AQ720" s="1931"/>
      <c r="AR720" s="1931"/>
      <c r="AS720" s="1931"/>
      <c r="AT720" s="1931"/>
      <c r="AU720" s="1931"/>
      <c r="AV720" s="1931"/>
      <c r="AW720" s="1931"/>
      <c r="AX720" s="1931"/>
      <c r="AY720" s="1931"/>
      <c r="AZ720" s="1931"/>
      <c r="BA720" s="1931"/>
      <c r="BB720" s="1931"/>
      <c r="BC720" s="1931"/>
      <c r="BD720" s="1931"/>
      <c r="BE720" s="1931"/>
      <c r="BF720" s="1931"/>
      <c r="BG720" s="1931"/>
      <c r="BH720" s="1931"/>
      <c r="BI720" s="1931"/>
      <c r="BJ720" s="1931"/>
      <c r="BK720" s="1931"/>
      <c r="BL720" s="1931"/>
      <c r="BM720" s="1931"/>
      <c r="BN720" s="1931"/>
      <c r="BO720" s="1931"/>
      <c r="BP720" s="1931"/>
      <c r="BQ720" s="1931"/>
      <c r="BR720" s="1931"/>
      <c r="BS720" s="1931"/>
      <c r="BT720" s="1931"/>
      <c r="BU720" s="1931"/>
      <c r="BV720" s="1931"/>
      <c r="BW720" s="1931"/>
      <c r="BX720" s="1931"/>
      <c r="BY720" s="1931"/>
      <c r="BZ720" s="1931"/>
      <c r="CA720" s="1931"/>
      <c r="CB720" s="1931"/>
      <c r="CC720" s="1931"/>
      <c r="CD720" s="1931"/>
      <c r="CE720" s="1930"/>
      <c r="CF720" s="1930"/>
      <c r="CG720" s="1930"/>
      <c r="CH720" s="1930"/>
      <c r="CI720" s="1931"/>
      <c r="CJ720" s="1931"/>
      <c r="CK720" s="1931"/>
      <c r="CL720" s="1931"/>
      <c r="CM720" s="1931"/>
      <c r="CN720" s="1931"/>
      <c r="CO720" s="1931"/>
      <c r="CP720" s="1931"/>
      <c r="CQ720" s="1931"/>
      <c r="CR720" s="1931"/>
      <c r="CS720" s="1931"/>
      <c r="CT720" s="1930"/>
      <c r="CU720" s="1930"/>
      <c r="CV720" s="1930"/>
      <c r="CW720" s="1930"/>
      <c r="CX720" s="1931"/>
      <c r="CY720" s="1931"/>
      <c r="CZ720" s="1931"/>
      <c r="DA720" s="1931"/>
      <c r="DB720" s="1932"/>
      <c r="DC720" s="1931"/>
      <c r="DD720" s="1931"/>
      <c r="DE720" s="1931"/>
      <c r="DF720" s="1931"/>
    </row>
    <row r="721" spans="2:112" hidden="1" outlineLevel="1" x14ac:dyDescent="0.25">
      <c r="B721" s="1931"/>
      <c r="D721" s="1300"/>
      <c r="E721" s="1965"/>
      <c r="F721" s="1965"/>
      <c r="G721" s="1965"/>
      <c r="H721" s="1301"/>
      <c r="I721" s="1965"/>
      <c r="J721" s="1965"/>
      <c r="K721" s="1965"/>
      <c r="L721" s="1965"/>
      <c r="M721" s="1966"/>
      <c r="N721" s="1965"/>
      <c r="O721" s="1965"/>
      <c r="P721" s="4483"/>
      <c r="Q721" s="4483"/>
      <c r="R721" s="1965"/>
      <c r="S721" s="1965"/>
      <c r="T721" s="1965"/>
      <c r="U721" s="1965"/>
      <c r="V721" s="1931"/>
      <c r="W721" s="1931"/>
      <c r="X721" s="1931"/>
      <c r="Y721" s="1931"/>
      <c r="Z721" s="1931"/>
      <c r="AA721" s="1931"/>
      <c r="AB721" s="1931"/>
      <c r="AC721" s="1931"/>
      <c r="AD721" s="1931"/>
      <c r="AE721" s="1931"/>
      <c r="AF721" s="1931"/>
      <c r="AG721" s="1931"/>
      <c r="AH721" s="1931"/>
      <c r="AI721" s="1931"/>
      <c r="AJ721" s="1931"/>
      <c r="AK721" s="1931"/>
      <c r="AL721" s="1931"/>
      <c r="AM721" s="1931"/>
      <c r="AN721" s="1931"/>
      <c r="AO721" s="1931"/>
      <c r="AP721" s="1931"/>
      <c r="AQ721" s="1931"/>
      <c r="AR721" s="1931"/>
      <c r="AS721" s="1931"/>
      <c r="AT721" s="1931"/>
      <c r="AU721" s="1931"/>
      <c r="AV721" s="1931"/>
      <c r="AW721" s="1931"/>
      <c r="AX721" s="1931"/>
      <c r="AY721" s="1931"/>
      <c r="AZ721" s="1931"/>
      <c r="BA721" s="1931"/>
      <c r="BB721" s="1931"/>
      <c r="BC721" s="1931"/>
      <c r="BD721" s="1931"/>
      <c r="BE721" s="1931"/>
      <c r="BF721" s="1931"/>
      <c r="BG721" s="1931"/>
      <c r="BH721" s="1931"/>
      <c r="BI721" s="1931"/>
      <c r="BJ721" s="1931"/>
      <c r="BK721" s="1931"/>
      <c r="BL721" s="1931"/>
      <c r="BM721" s="1931"/>
      <c r="BN721" s="1931"/>
      <c r="BO721" s="1931"/>
      <c r="BP721" s="1931"/>
      <c r="BQ721" s="1931"/>
      <c r="BR721" s="1931"/>
      <c r="BS721" s="1931"/>
      <c r="BT721" s="1931"/>
      <c r="BU721" s="1931"/>
      <c r="BV721" s="1931"/>
      <c r="BW721" s="1931"/>
      <c r="BX721" s="1931"/>
      <c r="BY721" s="1931"/>
      <c r="BZ721" s="1931"/>
      <c r="CA721" s="1931"/>
      <c r="CB721" s="1931"/>
      <c r="CC721" s="1931"/>
      <c r="CD721" s="1931"/>
      <c r="CE721" s="1930"/>
      <c r="CF721" s="1930"/>
      <c r="CG721" s="1930"/>
      <c r="CH721" s="1930"/>
      <c r="CI721" s="1931"/>
      <c r="CJ721" s="1931"/>
      <c r="CK721" s="1931"/>
      <c r="CL721" s="1931"/>
      <c r="CM721" s="1931"/>
      <c r="CN721" s="1931"/>
      <c r="CO721" s="1931"/>
      <c r="CP721" s="1931"/>
      <c r="CQ721" s="1931"/>
      <c r="CR721" s="1931"/>
      <c r="CS721" s="1931"/>
      <c r="CT721" s="1930"/>
      <c r="CU721" s="1930"/>
      <c r="CV721" s="1930"/>
      <c r="CW721" s="1930"/>
      <c r="CX721" s="1931"/>
      <c r="CY721" s="1931"/>
      <c r="CZ721" s="1931"/>
      <c r="DA721" s="1931"/>
      <c r="DB721" s="1932"/>
      <c r="DC721" s="1931"/>
      <c r="DD721" s="1931"/>
      <c r="DE721" s="1931"/>
      <c r="DF721" s="1931"/>
    </row>
    <row r="722" spans="2:112" hidden="1" outlineLevel="1" x14ac:dyDescent="0.25">
      <c r="B722" s="1931"/>
      <c r="D722" s="1300"/>
      <c r="E722" s="1965"/>
      <c r="F722" s="1965"/>
      <c r="G722" s="1965"/>
      <c r="H722" s="1301"/>
      <c r="I722" s="1965"/>
      <c r="J722" s="1965"/>
      <c r="K722" s="1965"/>
      <c r="L722" s="1965"/>
      <c r="M722" s="1966"/>
      <c r="N722" s="1965"/>
      <c r="O722" s="1965"/>
      <c r="P722" s="1965"/>
      <c r="Q722" s="1965"/>
      <c r="R722" s="1965"/>
      <c r="S722" s="1965"/>
      <c r="T722" s="1965"/>
      <c r="U722" s="1965"/>
      <c r="V722" s="1931"/>
      <c r="W722" s="1931"/>
      <c r="X722" s="1931"/>
      <c r="Y722" s="1931"/>
      <c r="Z722" s="1931"/>
      <c r="AA722" s="1931"/>
      <c r="AB722" s="1931"/>
      <c r="AC722" s="1931"/>
      <c r="AD722" s="1931"/>
      <c r="AE722" s="1931"/>
      <c r="AF722" s="1931"/>
      <c r="AG722" s="1931"/>
      <c r="AH722" s="1931"/>
      <c r="AI722" s="1931"/>
      <c r="AJ722" s="1931"/>
      <c r="AK722" s="1931"/>
      <c r="AL722" s="1931"/>
      <c r="AM722" s="1931"/>
      <c r="AN722" s="1931"/>
      <c r="AO722" s="1931"/>
      <c r="AP722" s="1931"/>
      <c r="AQ722" s="1931"/>
      <c r="AR722" s="1931"/>
      <c r="AS722" s="1931"/>
      <c r="AT722" s="1931"/>
      <c r="AU722" s="1931"/>
      <c r="AV722" s="1931"/>
      <c r="AW722" s="1931"/>
      <c r="AX722" s="1931"/>
      <c r="AY722" s="1931"/>
      <c r="AZ722" s="1931"/>
      <c r="BA722" s="1931"/>
      <c r="BB722" s="1931"/>
      <c r="BC722" s="1931"/>
      <c r="BD722" s="1931"/>
      <c r="BE722" s="1931"/>
      <c r="BF722" s="1931"/>
      <c r="BG722" s="1931"/>
      <c r="BH722" s="1931"/>
      <c r="BI722" s="1931"/>
      <c r="BJ722" s="1931"/>
      <c r="BK722" s="1931"/>
      <c r="BL722" s="1931"/>
      <c r="BM722" s="1931"/>
      <c r="BN722" s="1931"/>
      <c r="BO722" s="1931"/>
      <c r="BP722" s="1931"/>
      <c r="BQ722" s="1931"/>
      <c r="BR722" s="1931"/>
      <c r="BS722" s="1931"/>
      <c r="BT722" s="1931"/>
      <c r="BU722" s="1931"/>
      <c r="BV722" s="1931"/>
      <c r="BW722" s="1931"/>
      <c r="BX722" s="1931"/>
      <c r="BY722" s="1931"/>
      <c r="BZ722" s="1931"/>
      <c r="CA722" s="1931"/>
      <c r="CB722" s="1931"/>
      <c r="CC722" s="1931"/>
      <c r="CD722" s="1931"/>
      <c r="CE722" s="1930"/>
      <c r="CF722" s="1930"/>
      <c r="CG722" s="1930"/>
      <c r="CH722" s="1930"/>
      <c r="CI722" s="1931"/>
      <c r="CJ722" s="1931"/>
      <c r="CK722" s="1931"/>
      <c r="CL722" s="1931"/>
      <c r="CM722" s="1931"/>
      <c r="CN722" s="1931"/>
      <c r="CO722" s="1931"/>
      <c r="CP722" s="1931"/>
      <c r="CQ722" s="1931"/>
      <c r="CR722" s="1931"/>
      <c r="CS722" s="1931"/>
      <c r="CT722" s="1930"/>
      <c r="CU722" s="1930"/>
      <c r="CV722" s="1930"/>
      <c r="CW722" s="1930"/>
      <c r="CX722" s="1931"/>
      <c r="CY722" s="1931"/>
      <c r="CZ722" s="1931"/>
      <c r="DA722" s="1931"/>
      <c r="DB722" s="1932"/>
      <c r="DC722" s="1931"/>
      <c r="DD722" s="1931"/>
      <c r="DE722" s="1931"/>
      <c r="DF722" s="1931"/>
    </row>
    <row r="723" spans="2:112" hidden="1" outlineLevel="1" x14ac:dyDescent="0.25">
      <c r="B723" s="1931"/>
      <c r="D723" s="1300"/>
      <c r="E723" s="1965"/>
      <c r="F723" s="1965"/>
      <c r="G723" s="1965"/>
      <c r="H723" s="1301"/>
      <c r="I723" s="1965"/>
      <c r="J723" s="1965"/>
      <c r="K723" s="1965"/>
      <c r="L723" s="1965"/>
      <c r="M723" s="1965"/>
      <c r="N723" s="1965"/>
      <c r="O723" s="1965"/>
      <c r="P723" s="1965"/>
      <c r="Q723" s="1965"/>
      <c r="R723" s="1965"/>
      <c r="S723" s="1965"/>
      <c r="T723" s="1965"/>
      <c r="U723" s="1965"/>
      <c r="V723" s="1931"/>
      <c r="W723" s="1931"/>
      <c r="X723" s="1931"/>
      <c r="Y723" s="1931"/>
      <c r="Z723" s="1931"/>
      <c r="AA723" s="1931"/>
      <c r="AB723" s="1931"/>
      <c r="AC723" s="1931"/>
      <c r="AD723" s="1931"/>
      <c r="AE723" s="1931"/>
      <c r="AF723" s="1931"/>
      <c r="AG723" s="1931"/>
      <c r="AH723" s="1931"/>
      <c r="AI723" s="1931"/>
      <c r="AJ723" s="1931"/>
      <c r="AK723" s="1931"/>
      <c r="AL723" s="1931"/>
      <c r="AM723" s="1931"/>
      <c r="AN723" s="1931"/>
      <c r="AO723" s="1931"/>
      <c r="AP723" s="1931"/>
      <c r="AQ723" s="1931"/>
      <c r="AR723" s="1931"/>
      <c r="AS723" s="1931"/>
      <c r="AT723" s="1931"/>
      <c r="AU723" s="1931"/>
      <c r="AV723" s="1931"/>
      <c r="AW723" s="1931"/>
      <c r="AX723" s="1931"/>
      <c r="AY723" s="1931"/>
      <c r="AZ723" s="1931"/>
      <c r="BA723" s="1931"/>
      <c r="BB723" s="1931"/>
      <c r="BC723" s="1931"/>
      <c r="BD723" s="1931"/>
      <c r="BE723" s="1931"/>
      <c r="BF723" s="1931"/>
      <c r="BG723" s="1931"/>
      <c r="BH723" s="1931"/>
      <c r="BI723" s="1931"/>
      <c r="BJ723" s="1931"/>
      <c r="BK723" s="1931"/>
      <c r="BL723" s="1931"/>
      <c r="BM723" s="1931"/>
      <c r="BN723" s="1931"/>
      <c r="BO723" s="1931"/>
      <c r="BP723" s="1931"/>
      <c r="BQ723" s="1931"/>
      <c r="BR723" s="1931"/>
      <c r="BS723" s="1931"/>
      <c r="BT723" s="1931"/>
      <c r="BU723" s="1931"/>
      <c r="BV723" s="1931"/>
      <c r="BW723" s="1931"/>
      <c r="BX723" s="1931"/>
      <c r="BY723" s="1931"/>
      <c r="BZ723" s="1931"/>
      <c r="CA723" s="1931"/>
      <c r="CB723" s="1931"/>
      <c r="CC723" s="1931"/>
      <c r="CD723" s="1931"/>
      <c r="CE723" s="1930"/>
      <c r="CF723" s="1930"/>
      <c r="CG723" s="1930"/>
      <c r="CH723" s="1930"/>
      <c r="CI723" s="1931"/>
      <c r="CJ723" s="1931"/>
      <c r="CK723" s="1931"/>
      <c r="CL723" s="1931"/>
      <c r="CM723" s="1931"/>
      <c r="CN723" s="1931"/>
      <c r="CO723" s="1931"/>
      <c r="CP723" s="1931"/>
      <c r="CQ723" s="1931"/>
      <c r="CR723" s="1931"/>
      <c r="CS723" s="1931"/>
      <c r="CT723" s="1930"/>
      <c r="CU723" s="1930"/>
      <c r="CV723" s="1930"/>
      <c r="CW723" s="1930"/>
      <c r="CX723" s="1931"/>
      <c r="CY723" s="1931"/>
      <c r="CZ723" s="1931"/>
      <c r="DA723" s="1931"/>
      <c r="DB723" s="1932"/>
      <c r="DC723" s="1931"/>
      <c r="DD723" s="1931"/>
      <c r="DE723" s="1931"/>
      <c r="DF723" s="1931"/>
    </row>
    <row r="724" spans="2:112" s="55" customFormat="1" ht="30" hidden="1" outlineLevel="1" x14ac:dyDescent="0.25">
      <c r="C724" s="151"/>
      <c r="D724" s="3081" t="s">
        <v>28</v>
      </c>
      <c r="E724" s="3081" t="s">
        <v>2758</v>
      </c>
      <c r="F724" s="81" t="s">
        <v>3134</v>
      </c>
      <c r="G724" s="3081" t="s">
        <v>2603</v>
      </c>
      <c r="H724" s="3081" t="s">
        <v>3135</v>
      </c>
      <c r="I724" s="3081" t="s">
        <v>3136</v>
      </c>
      <c r="J724" s="401"/>
      <c r="K724" s="401"/>
      <c r="L724" s="401"/>
      <c r="M724" s="401"/>
      <c r="N724" s="401"/>
      <c r="O724" s="401"/>
      <c r="P724" s="401"/>
      <c r="Q724" s="401"/>
      <c r="R724" s="401"/>
      <c r="S724" s="401"/>
      <c r="T724" s="401"/>
      <c r="U724" s="401"/>
      <c r="DB724" s="72"/>
    </row>
    <row r="725" spans="2:112" hidden="1" outlineLevel="1" x14ac:dyDescent="0.25">
      <c r="B725" s="1931"/>
      <c r="D725" s="1967" t="str">
        <f>C715</f>
        <v>805600_2019_12_</v>
      </c>
      <c r="E725" s="1967" t="str">
        <f>E715</f>
        <v>Small Commercial Programmable Thermostats</v>
      </c>
      <c r="F725" s="1357">
        <v>1</v>
      </c>
      <c r="G725" s="1970">
        <v>10</v>
      </c>
      <c r="H725" s="1398">
        <v>0.57799999999999996</v>
      </c>
      <c r="I725" s="1418">
        <v>0.5</v>
      </c>
      <c r="J725" s="1965"/>
      <c r="K725" s="1965"/>
      <c r="L725" s="1965"/>
      <c r="M725" s="1965"/>
      <c r="N725" s="1965"/>
      <c r="O725" s="1965"/>
      <c r="P725" s="1965"/>
      <c r="Q725" s="1965"/>
      <c r="R725" s="1965"/>
      <c r="S725" s="1965"/>
      <c r="T725" s="1965"/>
      <c r="U725" s="1965"/>
      <c r="V725" s="1931"/>
      <c r="W725" s="1931"/>
      <c r="X725" s="1931"/>
      <c r="Y725" s="1931"/>
      <c r="Z725" s="1931"/>
      <c r="AA725" s="1931"/>
      <c r="AB725" s="1931"/>
      <c r="AC725" s="1931"/>
      <c r="AD725" s="1931"/>
      <c r="AE725" s="1931"/>
      <c r="AF725" s="1931"/>
      <c r="AG725" s="1931"/>
      <c r="AH725" s="1931"/>
      <c r="AI725" s="1931"/>
      <c r="AJ725" s="1931"/>
      <c r="AK725" s="1931"/>
      <c r="AL725" s="1931"/>
      <c r="AM725" s="1931"/>
      <c r="AN725" s="1931"/>
      <c r="AO725" s="1931"/>
      <c r="AP725" s="1931"/>
      <c r="AQ725" s="1931"/>
      <c r="AR725" s="1931"/>
      <c r="AS725" s="1931"/>
      <c r="AT725" s="1931"/>
      <c r="AU725" s="1931"/>
      <c r="AV725" s="1931"/>
      <c r="AW725" s="1931"/>
      <c r="AX725" s="1931"/>
      <c r="AY725" s="1931"/>
      <c r="AZ725" s="1931"/>
      <c r="BA725" s="1931"/>
      <c r="BB725" s="1931"/>
      <c r="BC725" s="1931"/>
      <c r="BD725" s="1931"/>
      <c r="BE725" s="1931"/>
      <c r="BF725" s="1931"/>
      <c r="BG725" s="1931"/>
      <c r="BH725" s="1931"/>
      <c r="BI725" s="1931"/>
      <c r="BJ725" s="1931"/>
      <c r="BK725" s="1931"/>
      <c r="BL725" s="1931"/>
      <c r="BM725" s="1931"/>
      <c r="BN725" s="1931"/>
      <c r="BO725" s="1931"/>
      <c r="BP725" s="1931"/>
      <c r="BQ725" s="1931"/>
      <c r="BR725" s="1931"/>
      <c r="BS725" s="1931"/>
      <c r="BT725" s="1931"/>
      <c r="BU725" s="1931"/>
      <c r="BV725" s="1931"/>
      <c r="BW725" s="1931"/>
      <c r="BX725" s="1931"/>
      <c r="BY725" s="1931"/>
      <c r="BZ725" s="1931"/>
      <c r="CA725" s="1931"/>
      <c r="CB725" s="1931"/>
      <c r="CC725" s="1931"/>
      <c r="CD725" s="1931"/>
      <c r="CE725" s="1930"/>
      <c r="CF725" s="1930"/>
      <c r="CG725" s="1930"/>
      <c r="CH725" s="1930"/>
      <c r="CI725" s="1931"/>
      <c r="CJ725" s="1931"/>
      <c r="CK725" s="1931"/>
      <c r="CL725" s="1931"/>
      <c r="CM725" s="1931"/>
      <c r="CN725" s="1931"/>
      <c r="CO725" s="1931"/>
      <c r="CP725" s="1931"/>
      <c r="CQ725" s="1931"/>
      <c r="CR725" s="1931"/>
      <c r="CS725" s="1931"/>
      <c r="CT725" s="1930"/>
      <c r="CU725" s="1930"/>
      <c r="CV725" s="1930"/>
      <c r="CW725" s="1930"/>
      <c r="CX725" s="1931"/>
      <c r="CY725" s="1931"/>
      <c r="CZ725" s="1931"/>
      <c r="DA725" s="1931"/>
      <c r="DB725" s="1932"/>
      <c r="DC725" s="1931"/>
      <c r="DD725" s="1931"/>
      <c r="DE725" s="1931"/>
      <c r="DF725" s="1931"/>
    </row>
    <row r="726" spans="2:112" collapsed="1" x14ac:dyDescent="0.25">
      <c r="B726" s="1931"/>
      <c r="D726" s="1966"/>
      <c r="E726" s="1965"/>
      <c r="F726" s="1965"/>
      <c r="G726" s="1968"/>
      <c r="H726" s="1969"/>
      <c r="I726" s="1965"/>
      <c r="J726" s="1965"/>
      <c r="K726" s="1965"/>
      <c r="L726" s="1965"/>
      <c r="M726" s="1965"/>
      <c r="N726" s="1965"/>
      <c r="O726" s="1965"/>
      <c r="P726" s="1965"/>
      <c r="Q726" s="1965"/>
      <c r="R726" s="1965"/>
      <c r="S726" s="1965"/>
      <c r="T726" s="1965"/>
      <c r="U726" s="1965"/>
      <c r="V726" s="1931"/>
      <c r="W726" s="1931"/>
      <c r="X726" s="1931"/>
      <c r="Y726" s="1931"/>
      <c r="Z726" s="1931"/>
      <c r="AA726" s="1931"/>
      <c r="AB726" s="1931"/>
      <c r="AC726" s="1931"/>
      <c r="AD726" s="1931"/>
      <c r="AE726" s="1931"/>
      <c r="AF726" s="1931"/>
      <c r="AG726" s="1931"/>
      <c r="AH726" s="1931"/>
      <c r="AI726" s="1931"/>
      <c r="AJ726" s="1931"/>
      <c r="AK726" s="1931"/>
      <c r="AL726" s="1931"/>
      <c r="AM726" s="1931"/>
      <c r="AN726" s="1931"/>
      <c r="AO726" s="1931"/>
      <c r="AP726" s="1931"/>
      <c r="AQ726" s="1931"/>
      <c r="AR726" s="1931"/>
      <c r="AS726" s="1931"/>
      <c r="AT726" s="1931"/>
      <c r="AU726" s="1931"/>
      <c r="AV726" s="1931"/>
      <c r="AW726" s="1931"/>
      <c r="AX726" s="1931"/>
      <c r="AY726" s="1931"/>
      <c r="AZ726" s="1931"/>
      <c r="BA726" s="1931"/>
      <c r="BB726" s="1931"/>
      <c r="BC726" s="1931"/>
      <c r="BD726" s="1931"/>
      <c r="BE726" s="1931"/>
      <c r="BF726" s="1931"/>
      <c r="BG726" s="1931"/>
      <c r="BH726" s="1931"/>
      <c r="BI726" s="1931"/>
      <c r="BJ726" s="1931"/>
      <c r="BK726" s="1931"/>
      <c r="BL726" s="1931"/>
      <c r="BM726" s="1931"/>
      <c r="BN726" s="1931"/>
      <c r="BO726" s="1931"/>
      <c r="BP726" s="1931"/>
      <c r="BQ726" s="1931"/>
      <c r="BR726" s="1931"/>
      <c r="BS726" s="1931"/>
      <c r="BT726" s="1931"/>
      <c r="BU726" s="1931"/>
      <c r="BV726" s="1931"/>
      <c r="BW726" s="1931"/>
      <c r="BX726" s="1931"/>
      <c r="BY726" s="1931"/>
      <c r="BZ726" s="1931"/>
      <c r="CA726" s="1931"/>
      <c r="CB726" s="1931"/>
      <c r="CC726" s="1931"/>
      <c r="CD726" s="1931"/>
      <c r="CE726" s="1930"/>
      <c r="CF726" s="1930"/>
      <c r="CG726" s="1930"/>
      <c r="CH726" s="1930"/>
      <c r="CI726" s="1931"/>
      <c r="CJ726" s="1931"/>
      <c r="CK726" s="1931"/>
      <c r="CL726" s="1931"/>
      <c r="CM726" s="1931"/>
      <c r="CN726" s="1931"/>
      <c r="CO726" s="1931"/>
      <c r="CP726" s="1931"/>
      <c r="CQ726" s="1931"/>
      <c r="CR726" s="1931"/>
      <c r="CS726" s="1931"/>
      <c r="CT726" s="1930"/>
      <c r="CU726" s="1930"/>
      <c r="CV726" s="1930"/>
      <c r="CW726" s="1930"/>
      <c r="CX726" s="1931"/>
      <c r="CY726" s="1931"/>
      <c r="CZ726" s="1931"/>
      <c r="DA726" s="1931"/>
      <c r="DB726" s="1932"/>
      <c r="DC726" s="1931"/>
      <c r="DD726" s="1931"/>
      <c r="DE726" s="1931"/>
      <c r="DF726" s="1931"/>
    </row>
    <row r="728" spans="2:112" s="43" customFormat="1" x14ac:dyDescent="0.25">
      <c r="B728" s="4484" t="s">
        <v>4359</v>
      </c>
      <c r="C728" s="4485"/>
      <c r="D728" s="4485"/>
      <c r="E728" s="4485"/>
      <c r="F728" s="4485"/>
      <c r="G728" s="4485"/>
      <c r="H728" s="4485"/>
      <c r="I728" s="4490"/>
      <c r="J728" s="4490"/>
      <c r="K728" s="4490"/>
      <c r="L728" s="4490"/>
      <c r="M728" s="3744"/>
      <c r="N728" s="3744"/>
      <c r="O728" s="3745"/>
      <c r="P728" s="1935"/>
      <c r="Q728" s="1935"/>
      <c r="R728" s="1935"/>
      <c r="S728" s="1935"/>
      <c r="T728" s="1935"/>
      <c r="U728" s="1935"/>
      <c r="V728" s="3077" t="str">
        <f>B728</f>
        <v>Demand Controlled Ventilation</v>
      </c>
      <c r="W728" s="3078"/>
      <c r="X728" s="3078"/>
      <c r="Y728" s="3078"/>
      <c r="Z728" s="3078"/>
      <c r="AA728" s="3078"/>
      <c r="AB728" s="3078"/>
      <c r="AC728" s="3078"/>
      <c r="AD728" s="3078"/>
      <c r="AE728" s="3078"/>
      <c r="AF728" s="3078"/>
      <c r="AG728" s="3078"/>
      <c r="AH728" s="3078"/>
      <c r="AI728" s="3170"/>
      <c r="AJ728" s="1931"/>
      <c r="AK728" s="1931"/>
      <c r="AL728" s="1931"/>
      <c r="AM728" s="1931"/>
      <c r="AN728" s="1931"/>
      <c r="AO728" s="1931"/>
      <c r="AP728" s="1931"/>
      <c r="AQ728" s="1931"/>
      <c r="AR728" s="1931"/>
      <c r="AS728" s="1931"/>
      <c r="AT728" s="1931"/>
      <c r="AU728" s="1931"/>
      <c r="AV728" s="1935"/>
      <c r="AW728" s="1935"/>
      <c r="AX728" s="1935"/>
      <c r="AY728" s="1935"/>
      <c r="AZ728" s="1935"/>
      <c r="BA728" s="1935"/>
      <c r="BB728" s="1935"/>
      <c r="BC728" s="1935"/>
      <c r="BD728" s="1935"/>
      <c r="BE728" s="1935"/>
      <c r="BF728" s="1935"/>
      <c r="BG728" s="1935"/>
      <c r="BH728" s="1935"/>
      <c r="BI728" s="1935"/>
      <c r="BJ728" s="1935"/>
      <c r="BK728" s="1935"/>
      <c r="BL728" s="1935"/>
      <c r="BM728" s="1935"/>
      <c r="BN728" s="1935"/>
      <c r="BO728" s="1935"/>
      <c r="BP728" s="1935"/>
      <c r="BQ728" s="1935"/>
      <c r="BR728" s="1935"/>
      <c r="BS728" s="1935"/>
      <c r="BT728" s="1935"/>
      <c r="BU728" s="1935"/>
      <c r="BV728" s="1935"/>
      <c r="BW728" s="1935"/>
      <c r="BX728" s="1935"/>
      <c r="BY728" s="1935"/>
      <c r="BZ728" s="1935"/>
      <c r="CA728" s="1935"/>
      <c r="CB728" s="1935"/>
      <c r="CC728" s="1935"/>
      <c r="CD728" s="1935"/>
      <c r="CE728" s="1935"/>
      <c r="CF728" s="1935"/>
      <c r="CG728" s="1935"/>
      <c r="CH728" s="1935"/>
      <c r="CI728" s="1935"/>
      <c r="CJ728" s="1935"/>
      <c r="CK728" s="1935"/>
      <c r="CL728" s="1935"/>
      <c r="CM728" s="1935"/>
      <c r="CN728" s="1935"/>
      <c r="CO728" s="1935"/>
      <c r="CP728" s="1935"/>
      <c r="CQ728" s="1935"/>
      <c r="CR728" s="1935"/>
      <c r="CS728" s="1935"/>
      <c r="CT728" s="1935"/>
      <c r="CU728" s="1935"/>
      <c r="CV728" s="1935"/>
      <c r="CW728" s="1935"/>
      <c r="CX728" s="1935"/>
      <c r="CY728" s="1935"/>
      <c r="CZ728" s="1935"/>
      <c r="DA728" s="1935"/>
      <c r="DB728" s="73"/>
      <c r="DC728" s="1935"/>
      <c r="DD728" s="1935"/>
      <c r="DE728" s="1935"/>
      <c r="DF728" s="1935"/>
      <c r="DG728" s="1935"/>
      <c r="DH728" s="1935"/>
    </row>
    <row r="729" spans="2:112" x14ac:dyDescent="0.25">
      <c r="B729" s="1931"/>
      <c r="D729" s="1286"/>
      <c r="E729" s="1966"/>
      <c r="F729" s="1966"/>
      <c r="G729" s="1966"/>
      <c r="H729" s="1287"/>
      <c r="I729" s="1966"/>
      <c r="J729" s="1966"/>
      <c r="K729" s="1966"/>
      <c r="L729" s="1966"/>
      <c r="M729" s="1965"/>
      <c r="N729" s="1965"/>
      <c r="O729" s="1965"/>
      <c r="P729" s="1966"/>
      <c r="Q729" s="1966"/>
      <c r="R729" s="1966"/>
      <c r="S729" s="1966"/>
      <c r="T729" s="1966"/>
      <c r="U729" s="1966"/>
      <c r="V729" s="1930"/>
      <c r="W729" s="1930"/>
      <c r="X729" s="1930"/>
      <c r="Y729" s="1930"/>
      <c r="Z729" s="1930"/>
      <c r="AA729" s="1930"/>
      <c r="AB729" s="1930"/>
      <c r="AC729" s="1930"/>
      <c r="AD729" s="1930"/>
      <c r="AE729" s="1930"/>
      <c r="AF729" s="1930"/>
      <c r="AG729" s="1930"/>
      <c r="AH729" s="1930"/>
      <c r="AI729" s="1930"/>
      <c r="AJ729" s="1934"/>
      <c r="AK729" s="1934"/>
      <c r="AL729" s="1934"/>
      <c r="AM729" s="1934"/>
      <c r="AN729" s="1934"/>
      <c r="AO729" s="1934"/>
      <c r="AP729" s="1934"/>
      <c r="AQ729" s="1934"/>
      <c r="AR729" s="1934"/>
      <c r="AS729" s="1934"/>
      <c r="AT729" s="1934"/>
      <c r="AU729" s="1934"/>
      <c r="AV729" s="1931"/>
      <c r="AW729" s="1931"/>
      <c r="AX729" s="1931"/>
      <c r="AY729" s="1931"/>
      <c r="AZ729" s="1931"/>
      <c r="BA729" s="1931"/>
      <c r="BB729" s="1931"/>
      <c r="BC729" s="1931"/>
      <c r="BD729" s="1931"/>
      <c r="BE729" s="1931"/>
      <c r="BF729" s="1931"/>
      <c r="BG729" s="1931"/>
      <c r="BH729" s="1931"/>
      <c r="BI729" s="1931"/>
      <c r="BJ729" s="1931"/>
      <c r="BK729" s="1931"/>
      <c r="BL729" s="1931"/>
      <c r="BM729" s="1931"/>
      <c r="BN729" s="1931"/>
      <c r="BO729" s="1931"/>
      <c r="BP729" s="1931"/>
      <c r="BQ729" s="1931"/>
      <c r="BR729" s="1931"/>
      <c r="BS729" s="1931"/>
      <c r="BT729" s="1931"/>
      <c r="BU729" s="1931"/>
      <c r="BV729" s="1931"/>
      <c r="BW729" s="1931"/>
      <c r="BX729" s="1931"/>
      <c r="BY729" s="1931"/>
      <c r="BZ729" s="1931"/>
      <c r="CA729" s="1931"/>
      <c r="CB729" s="1931"/>
      <c r="CC729" s="1931"/>
      <c r="CD729" s="1931"/>
      <c r="CE729" s="1930"/>
      <c r="CF729" s="1930"/>
      <c r="CG729" s="1930"/>
      <c r="CH729" s="1930"/>
      <c r="CI729" s="1931"/>
      <c r="CJ729" s="1931"/>
      <c r="CK729" s="1931"/>
      <c r="CL729" s="1931"/>
      <c r="CM729" s="1931"/>
      <c r="CN729" s="1931"/>
      <c r="CO729" s="1931"/>
      <c r="CP729" s="1931"/>
      <c r="CQ729" s="1931"/>
      <c r="CR729" s="1931"/>
      <c r="CS729" s="1931"/>
      <c r="CT729" s="1930"/>
      <c r="CU729" s="1930"/>
      <c r="CV729" s="1930"/>
      <c r="CW729" s="1930"/>
      <c r="CX729" s="1931"/>
      <c r="CY729" s="1931"/>
      <c r="CZ729" s="1931"/>
      <c r="DA729" s="1931"/>
      <c r="DB729" s="1932"/>
      <c r="DC729" s="1931"/>
      <c r="DD729" s="1931"/>
      <c r="DE729" s="1931"/>
      <c r="DF729" s="1931"/>
    </row>
    <row r="730" spans="2:112" s="44" customFormat="1" ht="30" x14ac:dyDescent="0.25">
      <c r="B730" s="45"/>
      <c r="C730" s="46" t="s">
        <v>28</v>
      </c>
      <c r="D730" s="46" t="s">
        <v>29</v>
      </c>
      <c r="E730" s="3196" t="s">
        <v>30</v>
      </c>
      <c r="F730" s="3196" t="s">
        <v>3132</v>
      </c>
      <c r="G730" s="3196" t="s">
        <v>176</v>
      </c>
      <c r="H730" s="47" t="s">
        <v>177</v>
      </c>
      <c r="I730" s="3196" t="s">
        <v>32</v>
      </c>
      <c r="J730" s="3196" t="s">
        <v>181</v>
      </c>
      <c r="K730" s="46" t="s">
        <v>170</v>
      </c>
      <c r="L730" s="46" t="s">
        <v>44</v>
      </c>
      <c r="M730" s="1965"/>
      <c r="N730" s="1392"/>
      <c r="O730" s="1367"/>
      <c r="P730" s="1368"/>
      <c r="Q730" s="1288"/>
      <c r="R730" s="1288"/>
      <c r="S730" s="1288"/>
      <c r="T730" s="1288"/>
      <c r="U730" s="1288"/>
      <c r="V730" s="1936" t="s">
        <v>45</v>
      </c>
      <c r="W730" s="1937">
        <f>$W$8</f>
        <v>43252</v>
      </c>
      <c r="X730" s="1937">
        <f>$X$8</f>
        <v>43465</v>
      </c>
      <c r="Y730" s="1937">
        <f>$Y$8</f>
        <v>43800</v>
      </c>
      <c r="Z730" s="1937">
        <f>$Z$8</f>
        <v>43862</v>
      </c>
      <c r="AA730" s="1937">
        <f>$AA$8</f>
        <v>44013</v>
      </c>
      <c r="AB730" s="1937">
        <v>44166</v>
      </c>
      <c r="AC730" s="1937">
        <f>$AC$8</f>
        <v>44531</v>
      </c>
      <c r="AD730" s="1937" t="str">
        <f>$AD$8</f>
        <v>-</v>
      </c>
      <c r="AE730" s="1937" t="str">
        <f>$AE$8</f>
        <v>-</v>
      </c>
      <c r="AF730" s="1937" t="str">
        <f>$AF$8</f>
        <v>-</v>
      </c>
      <c r="AG730" s="1937" t="str">
        <f>$AG$8</f>
        <v>-</v>
      </c>
      <c r="AH730" s="1930"/>
      <c r="AI730" s="1936" t="s">
        <v>45</v>
      </c>
      <c r="AJ730" s="1937">
        <v>43252</v>
      </c>
      <c r="AK730" s="1937">
        <f>$X$8</f>
        <v>43465</v>
      </c>
      <c r="AL730" s="1937">
        <f>$Y$8</f>
        <v>43800</v>
      </c>
      <c r="AM730" s="1937">
        <f>$Z$8</f>
        <v>43862</v>
      </c>
      <c r="AN730" s="1937">
        <f>$AA$8</f>
        <v>44013</v>
      </c>
      <c r="AO730" s="1937">
        <f>$AB$8</f>
        <v>44166</v>
      </c>
      <c r="AP730" s="1937">
        <f>$AC$8</f>
        <v>44531</v>
      </c>
      <c r="AQ730" s="1937" t="str">
        <f>$AD$8</f>
        <v>-</v>
      </c>
      <c r="AR730" s="1937" t="str">
        <f>$AE$8</f>
        <v>-</v>
      </c>
      <c r="AS730" s="1937" t="str">
        <f>$AF$8</f>
        <v>-</v>
      </c>
      <c r="AT730" s="1933"/>
      <c r="AU730" s="1936" t="s">
        <v>45</v>
      </c>
      <c r="AV730" s="1937">
        <v>43252</v>
      </c>
      <c r="AW730" s="1937">
        <f>$X$8</f>
        <v>43465</v>
      </c>
      <c r="AX730" s="1937">
        <f>$Y$8</f>
        <v>43800</v>
      </c>
      <c r="AY730" s="1937">
        <f>$Z$8</f>
        <v>43862</v>
      </c>
      <c r="AZ730" s="1937">
        <f>$AA$8</f>
        <v>44013</v>
      </c>
      <c r="BA730" s="1937">
        <v>44166</v>
      </c>
      <c r="BB730" s="1937">
        <f>$AC$8</f>
        <v>44531</v>
      </c>
      <c r="BC730" s="1937" t="str">
        <f>$AD$8</f>
        <v>-</v>
      </c>
      <c r="BD730" s="1937" t="str">
        <f>$AE$8</f>
        <v>-</v>
      </c>
      <c r="BE730" s="1937" t="str">
        <f>$AF$8</f>
        <v>-</v>
      </c>
      <c r="DB730" s="1938" t="str">
        <f>$DB$8</f>
        <v>TRC (2020)</v>
      </c>
      <c r="DC730" s="1953" t="str">
        <f>$DC$8</f>
        <v>Benefit Lookup</v>
      </c>
      <c r="DD730" s="1953" t="str">
        <f>$DD$8</f>
        <v>Benefits (2019 $)</v>
      </c>
      <c r="DE730" s="1953" t="str">
        <f>$DE$8</f>
        <v>Incremental Cost (2019 $)</v>
      </c>
    </row>
    <row r="731" spans="2:112" x14ac:dyDescent="0.25">
      <c r="B731" s="1931"/>
      <c r="C731" s="2462" t="s">
        <v>3137</v>
      </c>
      <c r="D731" s="1363" t="s">
        <v>2646</v>
      </c>
      <c r="E731" s="1308" t="s">
        <v>3138</v>
      </c>
      <c r="F731" s="1959">
        <f>ROUND((F743/1000)*G743+(F743/1000)*H743,2)</f>
        <v>0.67</v>
      </c>
      <c r="G731" s="1290" t="s">
        <v>2881</v>
      </c>
      <c r="H731" s="1291">
        <f>VLOOKUP(G731,'CP FACTORS'!$A$26:$B$38,2,FALSE)</f>
        <v>9.1068400000000004E-4</v>
      </c>
      <c r="I731" s="1309">
        <f>ROUND(H731*F731,6)</f>
        <v>6.0999999999999997E-4</v>
      </c>
      <c r="J731" s="1354">
        <v>10</v>
      </c>
      <c r="K731" s="1310" t="s">
        <v>631</v>
      </c>
      <c r="L731" s="1374" t="s">
        <v>3139</v>
      </c>
      <c r="M731" s="1965"/>
      <c r="N731" s="1965"/>
      <c r="O731" s="1965"/>
      <c r="P731" s="1965"/>
      <c r="Q731" s="1965"/>
      <c r="R731" s="1965"/>
      <c r="S731" s="1965"/>
      <c r="T731" s="1965"/>
      <c r="U731" s="1965"/>
      <c r="V731" s="3226" t="str">
        <f>F730</f>
        <v>kWh Annual Savings (per sqft)</v>
      </c>
      <c r="W731" s="1947">
        <v>0.66500000000000004</v>
      </c>
      <c r="X731" s="129">
        <v>0.66500000000000004</v>
      </c>
      <c r="Y731" s="129">
        <v>0.66500000000000004</v>
      </c>
      <c r="Z731" s="129">
        <v>0.66500000000000004</v>
      </c>
      <c r="AA731" s="129">
        <v>0.66500000000000004</v>
      </c>
      <c r="AB731" s="1825">
        <v>0.67</v>
      </c>
      <c r="AC731" s="3364">
        <v>0.67</v>
      </c>
      <c r="AD731" s="2099"/>
      <c r="AE731" s="2099"/>
      <c r="AF731" s="2099"/>
      <c r="AG731" s="2099"/>
      <c r="AH731" s="2100"/>
      <c r="AI731" s="3227" t="s">
        <v>181</v>
      </c>
      <c r="AJ731" s="64">
        <v>10</v>
      </c>
      <c r="AK731" s="64">
        <v>10</v>
      </c>
      <c r="AL731" s="64">
        <v>10</v>
      </c>
      <c r="AM731" s="64">
        <v>10</v>
      </c>
      <c r="AN731" s="64">
        <v>10</v>
      </c>
      <c r="AO731" s="2002">
        <v>10</v>
      </c>
      <c r="AP731" s="2002">
        <v>10</v>
      </c>
      <c r="AQ731" s="2099"/>
      <c r="AR731" s="2099"/>
      <c r="AS731" s="2099"/>
      <c r="AT731" s="1933"/>
      <c r="AU731" s="3227" t="s">
        <v>170</v>
      </c>
      <c r="AV731" s="2102" t="s">
        <v>631</v>
      </c>
      <c r="AW731" s="2102" t="s">
        <v>631</v>
      </c>
      <c r="AX731" s="2102" t="s">
        <v>631</v>
      </c>
      <c r="AY731" s="2102" t="s">
        <v>631</v>
      </c>
      <c r="AZ731" s="2102" t="s">
        <v>631</v>
      </c>
      <c r="BA731" s="2103" t="s">
        <v>631</v>
      </c>
      <c r="BB731" s="2103" t="s">
        <v>631</v>
      </c>
      <c r="BC731" s="2099"/>
      <c r="BD731" s="2099"/>
      <c r="BE731" s="2099"/>
      <c r="BF731" s="1933"/>
      <c r="BG731" s="1933"/>
      <c r="BH731" s="1933"/>
      <c r="BI731" s="1933"/>
      <c r="BJ731" s="1933"/>
      <c r="BK731" s="1933"/>
      <c r="BL731" s="1933"/>
      <c r="BM731" s="1933"/>
      <c r="BN731" s="1933"/>
      <c r="BO731" s="1931"/>
      <c r="BP731" s="1931"/>
      <c r="BQ731" s="1931"/>
      <c r="BR731" s="1931"/>
      <c r="BS731" s="1931"/>
      <c r="BT731" s="1931"/>
      <c r="BU731" s="1931"/>
      <c r="BV731" s="1931"/>
      <c r="BW731" s="1931"/>
      <c r="BX731" s="1931"/>
      <c r="BY731" s="1931"/>
      <c r="BZ731" s="1931"/>
      <c r="CA731" s="1931"/>
      <c r="CB731" s="1931"/>
      <c r="CC731" s="1931"/>
      <c r="CD731" s="1931"/>
      <c r="CE731" s="1930"/>
      <c r="CF731" s="1930"/>
      <c r="CG731" s="1930"/>
      <c r="CH731" s="1930"/>
      <c r="CI731" s="1931"/>
      <c r="CJ731" s="1931"/>
      <c r="CK731" s="1931"/>
      <c r="CL731" s="1931"/>
      <c r="CM731" s="1931"/>
      <c r="CN731" s="1931"/>
      <c r="CO731" s="1931"/>
      <c r="CP731" s="1931"/>
      <c r="CQ731" s="1931"/>
      <c r="CR731" s="1931"/>
      <c r="CS731" s="1931"/>
      <c r="CT731" s="1930"/>
      <c r="CU731" s="1930"/>
      <c r="CV731" s="1930"/>
      <c r="CW731" s="1930"/>
      <c r="CX731" s="1931"/>
      <c r="CY731" s="1931"/>
      <c r="CZ731" s="1931"/>
      <c r="DA731" s="1931"/>
      <c r="DB731" s="2656" t="e">
        <f>(DD731)/(DE731)</f>
        <v>#VALUE!</v>
      </c>
      <c r="DC731" s="3166" t="str">
        <f>CONCATENATE(G731," ",J731," Year EUL")</f>
        <v>Cooling BUS 10 Year EUL</v>
      </c>
      <c r="DD731" s="69">
        <f>(INDEX('Avoided Cost Benefits'!$C$4:$C$857,MATCH(DC731,'Avoided Cost Benefits'!$A$4:$A$857,0)))*F731</f>
        <v>0.64473631483919813</v>
      </c>
      <c r="DE731" s="1946" t="e">
        <f>K731/(1.0595^(2020-2019))</f>
        <v>#VALUE!</v>
      </c>
      <c r="DF731" s="1931"/>
    </row>
    <row r="732" spans="2:112" x14ac:dyDescent="0.25">
      <c r="C732" s="2462" t="s">
        <v>3140</v>
      </c>
      <c r="D732" s="1363" t="s">
        <v>2646</v>
      </c>
      <c r="E732" s="1308" t="s">
        <v>3141</v>
      </c>
      <c r="F732" s="1959">
        <f>ROUND((F744/1000)*G744+(F744/1000)*H744,2)</f>
        <v>1.9</v>
      </c>
      <c r="G732" s="1290" t="s">
        <v>2881</v>
      </c>
      <c r="H732" s="1291">
        <f>VLOOKUP(G732,'CP FACTORS'!$A$26:$B$38,2,FALSE)</f>
        <v>9.1068400000000004E-4</v>
      </c>
      <c r="I732" s="1309">
        <f>ROUND(H732*F732,6)</f>
        <v>1.73E-3</v>
      </c>
      <c r="J732" s="1354">
        <v>10</v>
      </c>
      <c r="K732" s="1310" t="s">
        <v>631</v>
      </c>
      <c r="L732" s="1374" t="s">
        <v>3139</v>
      </c>
      <c r="M732" s="1965"/>
      <c r="N732" s="1965"/>
      <c r="O732" s="1965"/>
      <c r="P732" s="1965"/>
      <c r="Q732" s="1965"/>
      <c r="R732" s="1965"/>
      <c r="S732" s="1965"/>
      <c r="T732" s="1965"/>
      <c r="U732" s="1965"/>
      <c r="V732" s="3226" t="str">
        <f>V731</f>
        <v>kWh Annual Savings (per sqft)</v>
      </c>
      <c r="W732" s="1947">
        <v>1.895</v>
      </c>
      <c r="X732" s="129">
        <v>1.895</v>
      </c>
      <c r="Y732" s="129">
        <v>1.895</v>
      </c>
      <c r="Z732" s="129">
        <v>1.895</v>
      </c>
      <c r="AA732" s="129">
        <v>1.895</v>
      </c>
      <c r="AB732" s="1825">
        <v>1.9</v>
      </c>
      <c r="AC732" s="3364">
        <v>1.9</v>
      </c>
      <c r="AD732" s="2099"/>
      <c r="AE732" s="2099"/>
      <c r="AF732" s="2099"/>
      <c r="AG732" s="2099"/>
      <c r="AH732" s="2100"/>
      <c r="AI732" s="3227" t="s">
        <v>181</v>
      </c>
      <c r="AJ732" s="64">
        <v>10</v>
      </c>
      <c r="AK732" s="64">
        <v>10</v>
      </c>
      <c r="AL732" s="64">
        <v>10</v>
      </c>
      <c r="AM732" s="64">
        <v>10</v>
      </c>
      <c r="AN732" s="64">
        <v>10</v>
      </c>
      <c r="AO732" s="2002">
        <v>10</v>
      </c>
      <c r="AP732" s="2002">
        <v>10</v>
      </c>
      <c r="AQ732" s="2099"/>
      <c r="AR732" s="2099"/>
      <c r="AS732" s="2099"/>
      <c r="AT732" s="1933"/>
      <c r="AU732" s="3227" t="s">
        <v>170</v>
      </c>
      <c r="AV732" s="2102" t="s">
        <v>631</v>
      </c>
      <c r="AW732" s="2102" t="s">
        <v>631</v>
      </c>
      <c r="AX732" s="2102" t="s">
        <v>631</v>
      </c>
      <c r="AY732" s="2102" t="s">
        <v>631</v>
      </c>
      <c r="AZ732" s="2102" t="s">
        <v>631</v>
      </c>
      <c r="BA732" s="2103" t="s">
        <v>631</v>
      </c>
      <c r="BB732" s="2103" t="s">
        <v>631</v>
      </c>
      <c r="BC732" s="2099"/>
      <c r="BD732" s="2099"/>
      <c r="BE732" s="2099"/>
      <c r="BF732" s="1933"/>
      <c r="BG732" s="1933"/>
      <c r="BH732" s="1933"/>
      <c r="BI732" s="1933"/>
      <c r="BJ732" s="1933"/>
      <c r="BK732" s="1933"/>
      <c r="BL732" s="1933"/>
      <c r="BM732" s="1933"/>
      <c r="BN732" s="1933"/>
      <c r="BO732" s="1931"/>
      <c r="BP732" s="1931"/>
      <c r="BQ732" s="1931"/>
      <c r="BR732" s="1931"/>
      <c r="BS732" s="1931"/>
      <c r="BT732" s="1931"/>
      <c r="BU732" s="1931"/>
      <c r="BV732" s="1931"/>
      <c r="BW732" s="1931"/>
      <c r="BX732" s="1931"/>
      <c r="BY732" s="1931"/>
      <c r="BZ732" s="1931"/>
      <c r="CA732" s="1931"/>
      <c r="CB732" s="1931"/>
      <c r="CC732" s="1931"/>
      <c r="CD732" s="1931"/>
      <c r="CE732" s="1930"/>
      <c r="CF732" s="1930"/>
      <c r="CG732" s="1930"/>
      <c r="CH732" s="1930"/>
      <c r="CI732" s="1931"/>
      <c r="CJ732" s="1931"/>
      <c r="CK732" s="1931"/>
      <c r="CL732" s="1931"/>
      <c r="CM732" s="1931"/>
      <c r="CN732" s="1931"/>
      <c r="CO732" s="1931"/>
      <c r="CP732" s="1931"/>
      <c r="CQ732" s="1931"/>
      <c r="CR732" s="1931"/>
      <c r="CS732" s="1931"/>
      <c r="CT732" s="1930"/>
      <c r="CU732" s="1930"/>
      <c r="CV732" s="1930"/>
      <c r="CW732" s="1930"/>
      <c r="CX732" s="1931"/>
      <c r="CY732" s="1931"/>
      <c r="CZ732" s="1931"/>
      <c r="DA732" s="1931"/>
      <c r="DB732" s="2657" t="e">
        <f>(DD732)/(DE732)</f>
        <v>#VALUE!</v>
      </c>
      <c r="DC732" s="1948" t="str">
        <f>CONCATENATE(G732," ",J732," Year EUL")</f>
        <v>Cooling BUS 10 Year EUL</v>
      </c>
      <c r="DD732" s="70">
        <f>(INDEX('Avoided Cost Benefits'!$C$4:$C$857,MATCH(DC732,'Avoided Cost Benefits'!$A$4:$A$857,0)))*F732</f>
        <v>1.8283567137230989</v>
      </c>
      <c r="DE732" s="1949" t="e">
        <f>K732/(1.0595^(2020-2019))</f>
        <v>#VALUE!</v>
      </c>
    </row>
    <row r="733" spans="2:112" x14ac:dyDescent="0.25">
      <c r="C733" s="2462" t="s">
        <v>3142</v>
      </c>
      <c r="D733" s="1363" t="s">
        <v>2646</v>
      </c>
      <c r="E733" s="1308" t="s">
        <v>3143</v>
      </c>
      <c r="F733" s="1959">
        <f>ROUND((F745/1000)*G745+(F745/1000)*H745,2)</f>
        <v>1.08</v>
      </c>
      <c r="G733" s="1290" t="s">
        <v>2881</v>
      </c>
      <c r="H733" s="1291">
        <f>VLOOKUP(G733,'CP FACTORS'!$A$26:$B$38,2,FALSE)</f>
        <v>9.1068400000000004E-4</v>
      </c>
      <c r="I733" s="1309">
        <f>ROUND(H733*F733,6)</f>
        <v>9.8400000000000007E-4</v>
      </c>
      <c r="J733" s="1354">
        <v>10</v>
      </c>
      <c r="K733" s="1310" t="s">
        <v>631</v>
      </c>
      <c r="L733" s="1374" t="s">
        <v>3139</v>
      </c>
      <c r="M733" s="1965"/>
      <c r="N733" s="1965"/>
      <c r="O733" s="1965"/>
      <c r="P733" s="1965"/>
      <c r="Q733" s="1965"/>
      <c r="R733" s="1965"/>
      <c r="S733" s="1965"/>
      <c r="T733" s="1965"/>
      <c r="U733" s="1965"/>
      <c r="V733" s="3226" t="str">
        <f>V732</f>
        <v>kWh Annual Savings (per sqft)</v>
      </c>
      <c r="W733" s="1947">
        <v>1.0750000000000002</v>
      </c>
      <c r="X733" s="129">
        <v>1.0750000000000002</v>
      </c>
      <c r="Y733" s="129">
        <v>1.0750000000000002</v>
      </c>
      <c r="Z733" s="129">
        <v>1.0750000000000002</v>
      </c>
      <c r="AA733" s="129">
        <v>1.0750000000000002</v>
      </c>
      <c r="AB733" s="1825">
        <v>1.08</v>
      </c>
      <c r="AC733" s="3364">
        <v>1.08</v>
      </c>
      <c r="AD733" s="2099"/>
      <c r="AE733" s="2099"/>
      <c r="AF733" s="2099"/>
      <c r="AG733" s="2099"/>
      <c r="AH733" s="2100"/>
      <c r="AI733" s="3227" t="s">
        <v>181</v>
      </c>
      <c r="AJ733" s="64">
        <v>10</v>
      </c>
      <c r="AK733" s="64">
        <v>10</v>
      </c>
      <c r="AL733" s="64">
        <v>10</v>
      </c>
      <c r="AM733" s="64">
        <v>10</v>
      </c>
      <c r="AN733" s="64">
        <v>10</v>
      </c>
      <c r="AO733" s="2002">
        <v>10</v>
      </c>
      <c r="AP733" s="2002">
        <v>10</v>
      </c>
      <c r="AQ733" s="2099"/>
      <c r="AR733" s="2099"/>
      <c r="AS733" s="2099"/>
      <c r="AT733" s="1933"/>
      <c r="AU733" s="3227" t="s">
        <v>170</v>
      </c>
      <c r="AV733" s="2102" t="s">
        <v>631</v>
      </c>
      <c r="AW733" s="2102" t="s">
        <v>631</v>
      </c>
      <c r="AX733" s="2102" t="s">
        <v>631</v>
      </c>
      <c r="AY733" s="2102" t="s">
        <v>631</v>
      </c>
      <c r="AZ733" s="2102" t="s">
        <v>631</v>
      </c>
      <c r="BA733" s="2103" t="s">
        <v>631</v>
      </c>
      <c r="BB733" s="2103" t="s">
        <v>631</v>
      </c>
      <c r="BC733" s="2099"/>
      <c r="BD733" s="2099"/>
      <c r="BE733" s="2099"/>
      <c r="BF733" s="1933"/>
      <c r="BG733" s="1933"/>
      <c r="BH733" s="1933"/>
      <c r="BI733" s="1933"/>
      <c r="BJ733" s="1933"/>
      <c r="BK733" s="1933"/>
      <c r="BL733" s="1933"/>
      <c r="BM733" s="1933"/>
      <c r="BN733" s="1933"/>
      <c r="BO733" s="1931"/>
      <c r="BP733" s="1931"/>
      <c r="BQ733" s="1931"/>
      <c r="BR733" s="1931"/>
      <c r="BS733" s="1931"/>
      <c r="BT733" s="1931"/>
      <c r="BU733" s="1931"/>
      <c r="BV733" s="1931"/>
      <c r="BW733" s="1931"/>
      <c r="BX733" s="1931"/>
      <c r="BY733" s="1931"/>
      <c r="BZ733" s="1931"/>
      <c r="CA733" s="1931"/>
      <c r="CB733" s="1931"/>
      <c r="CC733" s="1931"/>
      <c r="CD733" s="1931"/>
      <c r="CE733" s="1930"/>
      <c r="CF733" s="1930"/>
      <c r="CG733" s="1930"/>
      <c r="CH733" s="1930"/>
      <c r="CI733" s="1931"/>
      <c r="CJ733" s="1931"/>
      <c r="CK733" s="1931"/>
      <c r="CL733" s="1931"/>
      <c r="CM733" s="1931"/>
      <c r="CN733" s="1931"/>
      <c r="CO733" s="1931"/>
      <c r="CP733" s="1931"/>
      <c r="CQ733" s="1931"/>
      <c r="CR733" s="1931"/>
      <c r="CS733" s="1931"/>
      <c r="CT733" s="1930"/>
      <c r="CU733" s="1930"/>
      <c r="CV733" s="1930"/>
      <c r="CW733" s="1930"/>
      <c r="CX733" s="1931"/>
      <c r="CY733" s="1931"/>
      <c r="CZ733" s="1931"/>
      <c r="DA733" s="1931"/>
      <c r="DB733" s="2655" t="e">
        <f>(DD733)/(DE733)</f>
        <v>#VALUE!</v>
      </c>
      <c r="DC733" s="1948" t="str">
        <f>CONCATENATE(G733," ",J733," Year EUL")</f>
        <v>Cooling BUS 10 Year EUL</v>
      </c>
      <c r="DD733" s="71">
        <f>(INDEX('Avoided Cost Benefits'!$C$4:$C$857,MATCH(DC733,'Avoided Cost Benefits'!$A$4:$A$857,0)))*F733</f>
        <v>1.0392764478004985</v>
      </c>
      <c r="DE733" s="1950" t="e">
        <f>K733/(1.0595^(2020-2019))</f>
        <v>#VALUE!</v>
      </c>
    </row>
    <row r="734" spans="2:112" hidden="1" outlineLevel="1" x14ac:dyDescent="0.25">
      <c r="D734" s="1966"/>
      <c r="E734" s="1966"/>
      <c r="F734" s="1966"/>
      <c r="G734" s="1966"/>
      <c r="H734" s="1299"/>
      <c r="I734" s="1966"/>
      <c r="J734" s="1966"/>
      <c r="K734" s="1966"/>
      <c r="L734" s="1965"/>
      <c r="M734" s="1965"/>
      <c r="N734" s="1965"/>
      <c r="O734" s="1965"/>
      <c r="P734" s="1965"/>
      <c r="Q734" s="1965"/>
      <c r="R734" s="1965"/>
      <c r="S734" s="1965"/>
      <c r="T734" s="1965"/>
      <c r="U734" s="1965"/>
      <c r="V734" s="1931"/>
      <c r="W734" s="1931"/>
      <c r="X734" s="1931"/>
      <c r="Y734" s="1931"/>
      <c r="Z734" s="1931"/>
      <c r="AA734" s="1931"/>
      <c r="AB734" s="1931"/>
      <c r="AC734" s="1931"/>
      <c r="AD734" s="1931"/>
      <c r="AE734" s="1931"/>
      <c r="AF734" s="1931"/>
      <c r="AG734" s="1931"/>
      <c r="AH734" s="1931"/>
      <c r="AI734" s="1931"/>
      <c r="AJ734" s="1931"/>
      <c r="AK734" s="1931"/>
      <c r="AL734" s="1931"/>
      <c r="AM734" s="1931"/>
      <c r="AN734" s="1931"/>
      <c r="AO734" s="1931"/>
      <c r="AP734" s="1931"/>
      <c r="AQ734" s="1931"/>
      <c r="AR734" s="1931"/>
      <c r="AS734" s="1931"/>
      <c r="AT734" s="1931"/>
      <c r="AU734" s="1931"/>
      <c r="AV734" s="1931"/>
      <c r="AW734" s="1931"/>
      <c r="AX734" s="1931"/>
      <c r="AY734" s="1931"/>
      <c r="AZ734" s="1931"/>
      <c r="BA734" s="1931"/>
      <c r="BB734" s="1931"/>
      <c r="BC734" s="1931"/>
      <c r="BD734" s="1931"/>
      <c r="BE734" s="1931"/>
      <c r="BF734" s="1931"/>
      <c r="BG734" s="1931"/>
      <c r="BH734" s="1931"/>
      <c r="BI734" s="1931"/>
      <c r="BJ734" s="1931"/>
      <c r="BK734" s="1931"/>
      <c r="BL734" s="1931"/>
      <c r="BM734" s="1931"/>
      <c r="BN734" s="1931"/>
      <c r="BO734" s="1931"/>
      <c r="BP734" s="1931"/>
      <c r="BQ734" s="1931"/>
      <c r="BR734" s="1931"/>
      <c r="BS734" s="1931"/>
      <c r="BT734" s="1931"/>
      <c r="BU734" s="1931"/>
      <c r="BV734" s="1931"/>
      <c r="BW734" s="1931"/>
      <c r="BX734" s="1931"/>
      <c r="BY734" s="1931"/>
      <c r="BZ734" s="1931"/>
      <c r="CA734" s="1931"/>
      <c r="CB734" s="1931"/>
      <c r="CC734" s="1931"/>
      <c r="CD734" s="1931"/>
      <c r="CE734" s="1930"/>
      <c r="CF734" s="1930"/>
      <c r="CG734" s="1930"/>
      <c r="CH734" s="1930"/>
      <c r="CI734" s="1931"/>
      <c r="CJ734" s="1931"/>
      <c r="CK734" s="1931"/>
      <c r="CL734" s="1931"/>
      <c r="CM734" s="1931"/>
      <c r="CN734" s="1931"/>
      <c r="CO734" s="1931"/>
      <c r="CP734" s="1931"/>
      <c r="CQ734" s="1931"/>
      <c r="CR734" s="1931"/>
      <c r="CS734" s="1931"/>
      <c r="CT734" s="1930"/>
      <c r="CU734" s="1930"/>
      <c r="CV734" s="1930"/>
      <c r="CW734" s="1930"/>
      <c r="CX734" s="1931"/>
      <c r="CY734" s="1931"/>
      <c r="CZ734" s="1931"/>
      <c r="DA734" s="1931"/>
      <c r="DB734" s="1932"/>
      <c r="DC734" s="1931"/>
      <c r="DD734" s="1931"/>
      <c r="DE734" s="1931"/>
    </row>
    <row r="735" spans="2:112" hidden="1" outlineLevel="1" x14ac:dyDescent="0.25">
      <c r="D735" s="1966" t="s">
        <v>2689</v>
      </c>
      <c r="E735" s="1966"/>
      <c r="F735" s="1966"/>
      <c r="G735" s="1966"/>
      <c r="H735" s="1299"/>
      <c r="I735" s="1966"/>
      <c r="J735" s="1966"/>
      <c r="K735" s="1966"/>
      <c r="L735" s="1965"/>
      <c r="M735" s="1965"/>
      <c r="N735" s="1965"/>
      <c r="O735" s="1965"/>
      <c r="P735" s="1965"/>
      <c r="Q735" s="1965"/>
      <c r="R735" s="1965"/>
      <c r="S735" s="1965"/>
      <c r="T735" s="1965"/>
      <c r="U735" s="1965"/>
      <c r="V735" s="1931"/>
      <c r="W735" s="1931"/>
      <c r="X735" s="1931"/>
      <c r="Y735" s="1931"/>
      <c r="Z735" s="1931"/>
      <c r="AA735" s="1931"/>
      <c r="AB735" s="1931"/>
      <c r="AC735" s="1931"/>
      <c r="AD735" s="1931"/>
      <c r="AE735" s="1931"/>
      <c r="AF735" s="1931"/>
      <c r="AG735" s="1931"/>
      <c r="AH735" s="1931"/>
      <c r="AI735" s="1931"/>
      <c r="AJ735" s="1931"/>
      <c r="AK735" s="1931"/>
      <c r="AL735" s="1931"/>
      <c r="AM735" s="1931"/>
      <c r="AN735" s="1931"/>
      <c r="AO735" s="1931"/>
      <c r="AP735" s="1931"/>
      <c r="AQ735" s="1931"/>
      <c r="AR735" s="1931"/>
      <c r="AS735" s="1931"/>
      <c r="AT735" s="1931"/>
      <c r="AU735" s="1931"/>
      <c r="AV735" s="1931"/>
      <c r="AW735" s="1931"/>
      <c r="AX735" s="1931"/>
      <c r="AY735" s="1931"/>
      <c r="AZ735" s="1931"/>
      <c r="BA735" s="1931"/>
      <c r="BB735" s="1931"/>
      <c r="BC735" s="1931"/>
      <c r="BD735" s="1931"/>
      <c r="BE735" s="1931"/>
      <c r="BF735" s="1931"/>
      <c r="BG735" s="1931"/>
      <c r="BH735" s="1931"/>
      <c r="BI735" s="1931"/>
      <c r="BJ735" s="1931"/>
      <c r="BK735" s="1931"/>
      <c r="BL735" s="1931"/>
      <c r="BM735" s="1931"/>
      <c r="BN735" s="1931"/>
      <c r="BO735" s="1931"/>
      <c r="BP735" s="1931"/>
      <c r="BQ735" s="1931"/>
      <c r="BR735" s="1931"/>
      <c r="BS735" s="1931"/>
      <c r="BT735" s="1931"/>
      <c r="BU735" s="1931"/>
      <c r="BV735" s="1931"/>
      <c r="BW735" s="1931"/>
      <c r="BX735" s="1931"/>
      <c r="BY735" s="1931"/>
      <c r="BZ735" s="1931"/>
      <c r="CA735" s="1931"/>
      <c r="CB735" s="1931"/>
      <c r="CC735" s="1931"/>
      <c r="CD735" s="1931"/>
      <c r="CE735" s="1930"/>
      <c r="CF735" s="1930"/>
      <c r="CG735" s="1930"/>
      <c r="CH735" s="1930"/>
      <c r="CI735" s="1931"/>
      <c r="CJ735" s="1931"/>
      <c r="CK735" s="1931"/>
      <c r="CL735" s="1931"/>
      <c r="CM735" s="1931"/>
      <c r="CN735" s="1931"/>
      <c r="CO735" s="1931"/>
      <c r="CP735" s="1931"/>
      <c r="CQ735" s="1931"/>
      <c r="CR735" s="1931"/>
      <c r="CS735" s="1931"/>
      <c r="CT735" s="1930"/>
      <c r="CU735" s="1930"/>
      <c r="CV735" s="1930"/>
      <c r="CW735" s="1930"/>
      <c r="CX735" s="1931"/>
      <c r="CY735" s="1931"/>
      <c r="CZ735" s="1931"/>
      <c r="DA735" s="1931"/>
      <c r="DB735" s="1932"/>
      <c r="DC735" s="1931"/>
      <c r="DD735" s="1931"/>
      <c r="DE735" s="1931"/>
    </row>
    <row r="736" spans="2:112" hidden="1" outlineLevel="1" x14ac:dyDescent="0.25">
      <c r="D736" s="1419"/>
      <c r="E736" s="1965"/>
      <c r="F736" s="1965"/>
      <c r="G736" s="1321"/>
      <c r="H736" s="1322"/>
      <c r="I736" s="1965"/>
      <c r="J736" s="1965"/>
      <c r="K736" s="1965"/>
      <c r="L736" s="1965"/>
      <c r="M736" s="1965"/>
      <c r="N736" s="1965"/>
      <c r="O736" s="1965"/>
      <c r="P736" s="1965"/>
      <c r="Q736" s="1965"/>
      <c r="R736" s="1965"/>
      <c r="S736" s="1965"/>
      <c r="T736" s="1965"/>
      <c r="U736" s="1965"/>
      <c r="V736" s="1931"/>
      <c r="W736" s="1931"/>
      <c r="X736" s="1931"/>
      <c r="Y736" s="1931"/>
      <c r="Z736" s="1931"/>
      <c r="AA736" s="1931"/>
      <c r="AB736" s="1931"/>
      <c r="AC736" s="1931"/>
      <c r="AD736" s="1931"/>
      <c r="AE736" s="1931"/>
      <c r="AF736" s="1931"/>
      <c r="AG736" s="1931"/>
      <c r="AH736" s="1931"/>
      <c r="AI736" s="1931"/>
      <c r="AJ736" s="1931"/>
      <c r="AK736" s="1931"/>
      <c r="AL736" s="1931"/>
      <c r="AM736" s="1931"/>
      <c r="AN736" s="1931"/>
      <c r="AO736" s="1931"/>
      <c r="AP736" s="1931"/>
      <c r="AQ736" s="1931"/>
      <c r="AR736" s="1931"/>
      <c r="AS736" s="1931"/>
      <c r="AT736" s="1931"/>
      <c r="AU736" s="1931"/>
      <c r="AV736" s="1931"/>
      <c r="AW736" s="1931"/>
      <c r="AX736" s="1931"/>
      <c r="AY736" s="1931"/>
      <c r="AZ736" s="1931"/>
      <c r="BA736" s="1931"/>
      <c r="BB736" s="1931"/>
      <c r="BC736" s="1931"/>
      <c r="BD736" s="1931"/>
      <c r="BE736" s="1931"/>
      <c r="BF736" s="1931"/>
      <c r="BG736" s="1931"/>
      <c r="BH736" s="1931"/>
      <c r="BI736" s="1931"/>
      <c r="BJ736" s="1931"/>
      <c r="BK736" s="1931"/>
      <c r="BL736" s="1931"/>
      <c r="BM736" s="1931"/>
      <c r="BN736" s="1931"/>
      <c r="BO736" s="1931"/>
      <c r="BP736" s="1931"/>
      <c r="BQ736" s="1931"/>
      <c r="BR736" s="1931"/>
      <c r="BS736" s="1931"/>
      <c r="BT736" s="1931"/>
      <c r="BU736" s="1931"/>
      <c r="BV736" s="1931"/>
      <c r="BW736" s="1931"/>
      <c r="BX736" s="1931"/>
      <c r="BY736" s="1931"/>
      <c r="BZ736" s="1931"/>
      <c r="CA736" s="1931"/>
      <c r="CB736" s="1931"/>
      <c r="CC736" s="1931"/>
      <c r="CD736" s="1931"/>
      <c r="CE736" s="1930"/>
      <c r="CF736" s="1930"/>
      <c r="CG736" s="1930"/>
      <c r="CH736" s="1930"/>
      <c r="CI736" s="1931"/>
      <c r="CJ736" s="1931"/>
      <c r="CK736" s="1931"/>
      <c r="CL736" s="1931"/>
      <c r="CM736" s="1931"/>
      <c r="CN736" s="1931"/>
      <c r="CO736" s="1931"/>
      <c r="CP736" s="1931"/>
      <c r="CQ736" s="1931"/>
      <c r="CR736" s="1931"/>
      <c r="CS736" s="1931"/>
      <c r="CT736" s="1930"/>
      <c r="CU736" s="1930"/>
      <c r="CV736" s="1930"/>
      <c r="CW736" s="1930"/>
      <c r="CX736" s="1931"/>
      <c r="CY736" s="1931"/>
      <c r="CZ736" s="1931"/>
      <c r="DA736" s="1931"/>
      <c r="DB736" s="1932"/>
      <c r="DC736" s="1931"/>
      <c r="DD736" s="1931"/>
      <c r="DE736" s="1931"/>
    </row>
    <row r="737" spans="2:112" hidden="1" outlineLevel="1" x14ac:dyDescent="0.25">
      <c r="D737" s="1419"/>
      <c r="E737" s="874"/>
      <c r="F737" s="1965"/>
      <c r="G737" s="1321"/>
      <c r="H737" s="1322"/>
      <c r="I737" s="1965"/>
      <c r="J737" s="1965"/>
      <c r="K737" s="1965"/>
      <c r="L737" s="1965"/>
      <c r="M737" s="1965"/>
      <c r="N737" s="1965"/>
      <c r="O737" s="1965"/>
      <c r="P737" s="1965"/>
      <c r="Q737" s="1965"/>
      <c r="R737" s="1965"/>
      <c r="S737" s="1965"/>
      <c r="T737" s="1965"/>
      <c r="U737" s="1965"/>
      <c r="V737" s="1931"/>
      <c r="W737" s="1931"/>
      <c r="X737" s="1931"/>
      <c r="Y737" s="1931"/>
      <c r="Z737" s="1931"/>
      <c r="AA737" s="1931"/>
      <c r="AB737" s="1931"/>
      <c r="AC737" s="1931"/>
      <c r="AD737" s="1931"/>
      <c r="AE737" s="1931"/>
      <c r="AF737" s="1931"/>
      <c r="AG737" s="1931"/>
      <c r="AH737" s="1931"/>
      <c r="AI737" s="1931"/>
      <c r="AJ737" s="1931"/>
      <c r="AK737" s="1931"/>
      <c r="AL737" s="1931"/>
      <c r="AM737" s="1931"/>
      <c r="AN737" s="1931"/>
      <c r="AO737" s="1931"/>
      <c r="AP737" s="1931"/>
      <c r="AQ737" s="1931"/>
      <c r="AR737" s="1931"/>
      <c r="AS737" s="1931"/>
      <c r="AT737" s="1931"/>
      <c r="AU737" s="1931"/>
      <c r="AV737" s="1931"/>
      <c r="AW737" s="1931"/>
      <c r="AX737" s="1931"/>
      <c r="AY737" s="1931"/>
      <c r="AZ737" s="1931"/>
      <c r="BA737" s="1931"/>
      <c r="BB737" s="1931"/>
      <c r="BC737" s="1931"/>
      <c r="BD737" s="1931"/>
      <c r="BE737" s="1931"/>
      <c r="BF737" s="1931"/>
      <c r="BG737" s="1931"/>
      <c r="BH737" s="1931"/>
      <c r="BI737" s="1931"/>
      <c r="BJ737" s="1931"/>
      <c r="BK737" s="1931"/>
      <c r="BL737" s="1931"/>
      <c r="BM737" s="1931"/>
      <c r="BN737" s="1931"/>
      <c r="BO737" s="1931"/>
      <c r="BP737" s="1931"/>
      <c r="BQ737" s="1931"/>
      <c r="BR737" s="1931"/>
      <c r="BS737" s="1931"/>
      <c r="BT737" s="1931"/>
      <c r="BU737" s="1931"/>
      <c r="BV737" s="1931"/>
      <c r="BW737" s="1931"/>
      <c r="BX737" s="1931"/>
      <c r="BY737" s="1931"/>
      <c r="BZ737" s="1931"/>
      <c r="CA737" s="1931"/>
      <c r="CB737" s="1931"/>
      <c r="CC737" s="1931"/>
      <c r="CD737" s="1931"/>
      <c r="CE737" s="1930"/>
      <c r="CF737" s="1930"/>
      <c r="CG737" s="1930"/>
      <c r="CH737" s="1930"/>
      <c r="CI737" s="1931"/>
      <c r="CJ737" s="1931"/>
      <c r="CK737" s="1931"/>
      <c r="CL737" s="1931"/>
      <c r="CM737" s="1931"/>
      <c r="CN737" s="1931"/>
      <c r="CO737" s="1931"/>
      <c r="CP737" s="1931"/>
      <c r="CQ737" s="1931"/>
      <c r="CR737" s="1931"/>
      <c r="CS737" s="1931"/>
      <c r="CT737" s="1930"/>
      <c r="CU737" s="1930"/>
      <c r="CV737" s="1930"/>
      <c r="CW737" s="1930"/>
      <c r="CX737" s="1931"/>
      <c r="CY737" s="1931"/>
      <c r="CZ737" s="1931"/>
      <c r="DA737" s="1931"/>
      <c r="DB737" s="1932"/>
      <c r="DC737" s="1931"/>
      <c r="DD737" s="1931"/>
      <c r="DE737" s="1931"/>
    </row>
    <row r="738" spans="2:112" hidden="1" outlineLevel="1" x14ac:dyDescent="0.25">
      <c r="D738" s="1419"/>
      <c r="E738" s="874"/>
      <c r="F738" s="1965"/>
      <c r="G738" s="1965"/>
      <c r="H738" s="1301"/>
      <c r="I738" s="1965"/>
      <c r="J738" s="1965"/>
      <c r="K738" s="1965"/>
      <c r="L738" s="1965"/>
      <c r="M738" s="1966"/>
      <c r="N738" s="1965"/>
      <c r="O738" s="1965"/>
      <c r="P738" s="1965"/>
      <c r="Q738" s="1965"/>
      <c r="R738" s="1965"/>
      <c r="S738" s="1965"/>
      <c r="T738" s="1965"/>
      <c r="U738" s="1965"/>
      <c r="V738" s="1931"/>
      <c r="W738" s="1931"/>
      <c r="X738" s="1931"/>
      <c r="Y738" s="1931"/>
      <c r="Z738" s="1931"/>
      <c r="AA738" s="1931"/>
      <c r="AB738" s="1931"/>
      <c r="AC738" s="1931"/>
      <c r="AD738" s="1931"/>
      <c r="AE738" s="1931"/>
      <c r="AF738" s="1931"/>
      <c r="AG738" s="1931"/>
      <c r="AH738" s="1931"/>
      <c r="AI738" s="1931"/>
      <c r="AJ738" s="1931"/>
      <c r="AK738" s="1931"/>
      <c r="AL738" s="1931"/>
      <c r="AM738" s="1931"/>
      <c r="AN738" s="1931"/>
      <c r="AO738" s="1931"/>
      <c r="AP738" s="1931"/>
      <c r="AQ738" s="1931"/>
      <c r="AR738" s="1931"/>
      <c r="AS738" s="1931"/>
      <c r="AT738" s="1931"/>
      <c r="AU738" s="1931"/>
      <c r="AV738" s="1931"/>
      <c r="AW738" s="1931"/>
      <c r="AX738" s="1931"/>
      <c r="AY738" s="1931"/>
      <c r="AZ738" s="1931"/>
      <c r="BA738" s="1931"/>
      <c r="BB738" s="1931"/>
      <c r="BC738" s="1931"/>
      <c r="BD738" s="1931"/>
      <c r="BE738" s="1931"/>
      <c r="BF738" s="1931"/>
      <c r="BG738" s="1931"/>
      <c r="BH738" s="1931"/>
      <c r="BI738" s="1931"/>
      <c r="BJ738" s="1931"/>
      <c r="BK738" s="1931"/>
      <c r="BL738" s="1931"/>
      <c r="BM738" s="1931"/>
      <c r="BN738" s="1931"/>
      <c r="BO738" s="1931"/>
      <c r="BP738" s="1931"/>
      <c r="BQ738" s="1931"/>
      <c r="BR738" s="1931"/>
      <c r="BS738" s="1931"/>
      <c r="BT738" s="1931"/>
      <c r="BU738" s="1931"/>
      <c r="BV738" s="1931"/>
      <c r="BW738" s="1931"/>
      <c r="BX738" s="1931"/>
      <c r="BY738" s="1931"/>
      <c r="BZ738" s="1931"/>
      <c r="CA738" s="1931"/>
      <c r="CB738" s="1931"/>
      <c r="CC738" s="1931"/>
      <c r="CD738" s="1931"/>
      <c r="CE738" s="1930"/>
      <c r="CF738" s="1930"/>
      <c r="CG738" s="1930"/>
      <c r="CH738" s="1930"/>
      <c r="CI738" s="1931"/>
      <c r="CJ738" s="1931"/>
      <c r="CK738" s="1931"/>
      <c r="CL738" s="1931"/>
      <c r="CM738" s="1931"/>
      <c r="CN738" s="1931"/>
      <c r="CO738" s="1931"/>
      <c r="CP738" s="1931"/>
      <c r="CQ738" s="1931"/>
      <c r="CR738" s="1931"/>
      <c r="CS738" s="1931"/>
      <c r="CT738" s="1930"/>
      <c r="CU738" s="1930"/>
      <c r="CV738" s="1930"/>
      <c r="CW738" s="1930"/>
      <c r="CX738" s="1931"/>
      <c r="CY738" s="1931"/>
      <c r="CZ738" s="1931"/>
      <c r="DA738" s="1931"/>
      <c r="DB738" s="1932"/>
      <c r="DC738" s="1931"/>
      <c r="DD738" s="1931"/>
      <c r="DE738" s="1931"/>
    </row>
    <row r="739" spans="2:112" hidden="1" outlineLevel="1" x14ac:dyDescent="0.25">
      <c r="D739" s="1419"/>
      <c r="E739" s="1965"/>
      <c r="F739" s="1965"/>
      <c r="G739" s="1965"/>
      <c r="H739" s="1301"/>
      <c r="I739" s="1965"/>
      <c r="J739" s="1965"/>
      <c r="K739" s="1965"/>
      <c r="L739" s="1965"/>
      <c r="M739" s="1966"/>
      <c r="N739" s="1965"/>
      <c r="O739" s="1965"/>
      <c r="P739" s="1965"/>
      <c r="Q739" s="1965"/>
      <c r="R739" s="1965"/>
      <c r="S739" s="1965"/>
      <c r="T739" s="1965"/>
      <c r="U739" s="1965"/>
      <c r="V739" s="1931"/>
      <c r="W739" s="1931"/>
      <c r="X739" s="1931"/>
      <c r="Y739" s="1931"/>
      <c r="Z739" s="1931"/>
      <c r="AA739" s="1931"/>
      <c r="AB739" s="1931"/>
      <c r="AC739" s="1931"/>
      <c r="AD739" s="1931"/>
      <c r="AE739" s="1931"/>
      <c r="AF739" s="1931"/>
      <c r="AG739" s="1931"/>
      <c r="AH739" s="1931"/>
      <c r="AI739" s="1931"/>
      <c r="AJ739" s="1931"/>
      <c r="AK739" s="1931"/>
      <c r="AL739" s="1931"/>
      <c r="AM739" s="1931"/>
      <c r="AN739" s="1931"/>
      <c r="AO739" s="1931"/>
      <c r="AP739" s="1931"/>
      <c r="AQ739" s="1931"/>
      <c r="AR739" s="1931"/>
      <c r="AS739" s="1931"/>
      <c r="AT739" s="1931"/>
      <c r="AU739" s="1931"/>
      <c r="AV739" s="1931"/>
      <c r="AW739" s="1931"/>
      <c r="AX739" s="1931"/>
      <c r="AY739" s="1931"/>
      <c r="AZ739" s="1931"/>
      <c r="BA739" s="1931"/>
      <c r="BB739" s="1931"/>
      <c r="BC739" s="1931"/>
      <c r="BD739" s="1931"/>
      <c r="BE739" s="1931"/>
      <c r="BF739" s="1931"/>
      <c r="BG739" s="1931"/>
      <c r="BH739" s="1931"/>
      <c r="BI739" s="1931"/>
      <c r="BJ739" s="1931"/>
      <c r="BK739" s="1931"/>
      <c r="BL739" s="1931"/>
      <c r="BM739" s="1931"/>
      <c r="BN739" s="1931"/>
      <c r="BO739" s="1931"/>
      <c r="BP739" s="1931"/>
      <c r="BQ739" s="1931"/>
      <c r="BR739" s="1931"/>
      <c r="BS739" s="1931"/>
      <c r="BT739" s="1931"/>
      <c r="BU739" s="1931"/>
      <c r="BV739" s="1931"/>
      <c r="BW739" s="1931"/>
      <c r="BX739" s="1931"/>
      <c r="BY739" s="1931"/>
      <c r="BZ739" s="1931"/>
      <c r="CA739" s="1931"/>
      <c r="CB739" s="1931"/>
      <c r="CC739" s="1931"/>
      <c r="CD739" s="1931"/>
      <c r="CE739" s="1930"/>
      <c r="CF739" s="1930"/>
      <c r="CG739" s="1930"/>
      <c r="CH739" s="1930"/>
      <c r="CI739" s="1931"/>
      <c r="CJ739" s="1931"/>
      <c r="CK739" s="1931"/>
      <c r="CL739" s="1931"/>
      <c r="CM739" s="1931"/>
      <c r="CN739" s="1931"/>
      <c r="CO739" s="1931"/>
      <c r="CP739" s="1931"/>
      <c r="CQ739" s="1931"/>
      <c r="CR739" s="1931"/>
      <c r="CS739" s="1931"/>
      <c r="CT739" s="1930"/>
      <c r="CU739" s="1930"/>
      <c r="CV739" s="1930"/>
      <c r="CW739" s="1930"/>
      <c r="CX739" s="1931"/>
      <c r="CY739" s="1931"/>
      <c r="CZ739" s="1931"/>
      <c r="DA739" s="1931"/>
      <c r="DB739" s="1932"/>
      <c r="DC739" s="1931"/>
      <c r="DD739" s="1931"/>
      <c r="DE739" s="1931"/>
    </row>
    <row r="740" spans="2:112" hidden="1" outlineLevel="1" x14ac:dyDescent="0.25">
      <c r="D740" s="1300"/>
      <c r="E740" s="1965"/>
      <c r="F740" s="1965"/>
      <c r="G740" s="1965"/>
      <c r="H740" s="1301"/>
      <c r="I740" s="1965"/>
      <c r="J740" s="1965"/>
      <c r="K740" s="1965"/>
      <c r="L740" s="1965"/>
      <c r="M740" s="1966"/>
      <c r="N740" s="1965"/>
      <c r="O740" s="1965"/>
      <c r="P740" s="1965"/>
      <c r="Q740" s="1965"/>
      <c r="R740" s="1965"/>
      <c r="S740" s="1965"/>
      <c r="T740" s="1965"/>
      <c r="U740" s="1965"/>
      <c r="V740" s="1931"/>
      <c r="W740" s="1931"/>
      <c r="X740" s="1931"/>
      <c r="Y740" s="1931"/>
      <c r="Z740" s="1931"/>
      <c r="AA740" s="1931"/>
      <c r="AB740" s="1931"/>
      <c r="AC740" s="1931"/>
      <c r="AD740" s="1931"/>
      <c r="AE740" s="1931"/>
      <c r="AF740" s="1931"/>
      <c r="AG740" s="1931"/>
      <c r="AH740" s="1931"/>
      <c r="AI740" s="1931"/>
      <c r="AJ740" s="1931"/>
      <c r="AK740" s="1931"/>
      <c r="AL740" s="1931"/>
      <c r="AM740" s="1931"/>
      <c r="AN740" s="1931"/>
      <c r="AO740" s="1931"/>
      <c r="AP740" s="1931"/>
      <c r="AQ740" s="1931"/>
      <c r="AR740" s="1931"/>
      <c r="AS740" s="1931"/>
      <c r="AT740" s="1931"/>
      <c r="AU740" s="1931"/>
      <c r="AV740" s="1931"/>
      <c r="AW740" s="1931"/>
      <c r="AX740" s="1931"/>
      <c r="AY740" s="1931"/>
      <c r="AZ740" s="1931"/>
      <c r="BA740" s="1931"/>
      <c r="BB740" s="1931"/>
      <c r="BC740" s="1931"/>
      <c r="BD740" s="1931"/>
      <c r="BE740" s="1931"/>
      <c r="BF740" s="1931"/>
      <c r="BG740" s="1931"/>
      <c r="BH740" s="1931"/>
      <c r="BI740" s="1931"/>
      <c r="BJ740" s="1931"/>
      <c r="BK740" s="1931"/>
      <c r="BL740" s="1931"/>
      <c r="BM740" s="1931"/>
      <c r="BN740" s="1931"/>
      <c r="BO740" s="1931"/>
      <c r="BP740" s="1931"/>
      <c r="BQ740" s="1931"/>
      <c r="BR740" s="1931"/>
      <c r="BS740" s="1931"/>
      <c r="BT740" s="1931"/>
      <c r="BU740" s="1931"/>
      <c r="BV740" s="1931"/>
      <c r="BW740" s="1931"/>
      <c r="BX740" s="1931"/>
      <c r="BY740" s="1931"/>
      <c r="BZ740" s="1931"/>
      <c r="CA740" s="1931"/>
      <c r="CB740" s="1931"/>
      <c r="CC740" s="1931"/>
      <c r="CD740" s="1931"/>
      <c r="CE740" s="1930"/>
      <c r="CF740" s="1930"/>
      <c r="CG740" s="1930"/>
      <c r="CH740" s="1930"/>
      <c r="CI740" s="1931"/>
      <c r="CJ740" s="1931"/>
      <c r="CK740" s="1931"/>
      <c r="CL740" s="1931"/>
      <c r="CM740" s="1931"/>
      <c r="CN740" s="1931"/>
      <c r="CO740" s="1931"/>
      <c r="CP740" s="1931"/>
      <c r="CQ740" s="1931"/>
      <c r="CR740" s="1931"/>
      <c r="CS740" s="1931"/>
      <c r="CT740" s="1930"/>
      <c r="CU740" s="1930"/>
      <c r="CV740" s="1930"/>
      <c r="CW740" s="1930"/>
      <c r="CX740" s="1931"/>
      <c r="CY740" s="1931"/>
      <c r="CZ740" s="1931"/>
      <c r="DA740" s="1931"/>
      <c r="DB740" s="1932"/>
      <c r="DC740" s="1931"/>
      <c r="DD740" s="1931"/>
      <c r="DE740" s="1931"/>
    </row>
    <row r="741" spans="2:112" hidden="1" outlineLevel="1" x14ac:dyDescent="0.25">
      <c r="D741" s="1300"/>
      <c r="E741" s="1965"/>
      <c r="F741" s="1965"/>
      <c r="G741" s="1965"/>
      <c r="H741" s="1301"/>
      <c r="I741" s="1965"/>
      <c r="J741" s="1965"/>
      <c r="K741" s="1965"/>
      <c r="L741" s="1965"/>
      <c r="M741" s="1965"/>
      <c r="N741" s="1965"/>
      <c r="O741" s="1965"/>
      <c r="P741" s="1965"/>
      <c r="Q741" s="1965"/>
      <c r="R741" s="1965"/>
      <c r="S741" s="1965"/>
      <c r="T741" s="1965"/>
      <c r="U741" s="1965"/>
      <c r="V741" s="1931"/>
      <c r="W741" s="1931"/>
      <c r="X741" s="1931"/>
      <c r="Y741" s="1931"/>
      <c r="Z741" s="1931"/>
      <c r="AA741" s="1931"/>
      <c r="AB741" s="1931"/>
      <c r="AC741" s="1931"/>
      <c r="AD741" s="1931"/>
      <c r="AE741" s="1931"/>
      <c r="AF741" s="1931"/>
      <c r="AG741" s="1931"/>
      <c r="AH741" s="1931"/>
      <c r="AI741" s="1931"/>
      <c r="AJ741" s="1931"/>
      <c r="AK741" s="1931"/>
      <c r="AL741" s="1931"/>
      <c r="AM741" s="1931"/>
      <c r="AN741" s="1931"/>
      <c r="AO741" s="1931"/>
      <c r="AP741" s="1931"/>
      <c r="AQ741" s="1931"/>
      <c r="AR741" s="1931"/>
      <c r="AS741" s="1931"/>
      <c r="AT741" s="1931"/>
      <c r="AU741" s="1931"/>
      <c r="AV741" s="1931"/>
      <c r="AW741" s="1931"/>
      <c r="AX741" s="1931"/>
      <c r="AY741" s="1931"/>
      <c r="AZ741" s="1931"/>
      <c r="BA741" s="1931"/>
      <c r="BB741" s="1931"/>
      <c r="BC741" s="1931"/>
      <c r="BD741" s="1931"/>
      <c r="BE741" s="1931"/>
      <c r="BF741" s="1931"/>
      <c r="BG741" s="1931"/>
      <c r="BH741" s="1931"/>
      <c r="BI741" s="1931"/>
      <c r="BJ741" s="1931"/>
      <c r="BK741" s="1931"/>
      <c r="BL741" s="1931"/>
      <c r="BM741" s="1931"/>
      <c r="BN741" s="1931"/>
      <c r="BO741" s="1931"/>
      <c r="BP741" s="1931"/>
      <c r="BQ741" s="1931"/>
      <c r="BR741" s="1931"/>
      <c r="BS741" s="1931"/>
      <c r="BT741" s="1931"/>
      <c r="BU741" s="1931"/>
      <c r="BV741" s="1931"/>
      <c r="BW741" s="1931"/>
      <c r="BX741" s="1931"/>
      <c r="BY741" s="1931"/>
      <c r="BZ741" s="1931"/>
      <c r="CA741" s="1931"/>
      <c r="CB741" s="1931"/>
      <c r="CC741" s="1931"/>
      <c r="CD741" s="1931"/>
      <c r="CE741" s="1930"/>
      <c r="CF741" s="1930"/>
      <c r="CG741" s="1930"/>
      <c r="CH741" s="1930"/>
      <c r="CI741" s="1931"/>
      <c r="CJ741" s="1931"/>
      <c r="CK741" s="1931"/>
      <c r="CL741" s="1931"/>
      <c r="CM741" s="1931"/>
      <c r="CN741" s="1931"/>
      <c r="CO741" s="1931"/>
      <c r="CP741" s="1931"/>
      <c r="CQ741" s="1931"/>
      <c r="CR741" s="1931"/>
      <c r="CS741" s="1931"/>
      <c r="CT741" s="1930"/>
      <c r="CU741" s="1930"/>
      <c r="CV741" s="1930"/>
      <c r="CW741" s="1930"/>
      <c r="CX741" s="1931"/>
      <c r="CY741" s="1931"/>
      <c r="CZ741" s="1931"/>
      <c r="DA741" s="1931"/>
      <c r="DB741" s="1932"/>
      <c r="DC741" s="1931"/>
      <c r="DD741" s="1931"/>
      <c r="DE741" s="1931"/>
    </row>
    <row r="742" spans="2:112" s="55" customFormat="1" hidden="1" outlineLevel="1" x14ac:dyDescent="0.25">
      <c r="C742" s="151"/>
      <c r="D742" s="3081" t="s">
        <v>28</v>
      </c>
      <c r="E742" s="3081" t="s">
        <v>2758</v>
      </c>
      <c r="F742" s="83" t="s">
        <v>3144</v>
      </c>
      <c r="G742" s="3081" t="s">
        <v>3145</v>
      </c>
      <c r="H742" s="3081" t="s">
        <v>3146</v>
      </c>
      <c r="I742" s="401"/>
      <c r="J742" s="401"/>
      <c r="K742" s="401"/>
      <c r="L742" s="401"/>
      <c r="M742" s="401"/>
      <c r="N742" s="401"/>
      <c r="O742" s="401"/>
      <c r="P742" s="401"/>
      <c r="Q742" s="401"/>
      <c r="R742" s="401"/>
      <c r="S742" s="401"/>
      <c r="T742" s="401"/>
      <c r="U742" s="401"/>
      <c r="DB742" s="72"/>
    </row>
    <row r="743" spans="2:112" hidden="1" outlineLevel="1" x14ac:dyDescent="0.25">
      <c r="D743" s="1967" t="str">
        <f>C731</f>
        <v>805650_2019_12_</v>
      </c>
      <c r="E743" s="1967" t="str">
        <f>E731</f>
        <v>Demand Controlled Ventillation (Gas Heat)</v>
      </c>
      <c r="F743" s="1357">
        <v>1</v>
      </c>
      <c r="G743" s="86">
        <v>665</v>
      </c>
      <c r="H743" s="1394">
        <v>0</v>
      </c>
      <c r="I743" s="1965"/>
      <c r="J743" s="1965"/>
      <c r="K743" s="1965"/>
      <c r="L743" s="1965"/>
      <c r="M743" s="1965"/>
      <c r="N743" s="1965"/>
      <c r="O743" s="1965"/>
      <c r="P743" s="1965"/>
      <c r="Q743" s="1965"/>
      <c r="R743" s="1965"/>
      <c r="S743" s="1965"/>
      <c r="T743" s="1965"/>
      <c r="U743" s="1965"/>
      <c r="V743" s="1931"/>
      <c r="W743" s="1931"/>
      <c r="X743" s="1931"/>
      <c r="Y743" s="1931"/>
      <c r="Z743" s="1931"/>
      <c r="AA743" s="1931"/>
      <c r="AB743" s="1931"/>
      <c r="AC743" s="1931"/>
      <c r="AD743" s="1931"/>
      <c r="AE743" s="1931"/>
      <c r="AF743" s="1931"/>
      <c r="AG743" s="1931"/>
      <c r="AH743" s="1931"/>
      <c r="AI743" s="1931"/>
      <c r="AJ743" s="1931"/>
      <c r="AK743" s="1931"/>
      <c r="AL743" s="1931"/>
      <c r="AM743" s="1931"/>
      <c r="AN743" s="1931"/>
      <c r="AO743" s="1931"/>
      <c r="AP743" s="1931"/>
      <c r="AQ743" s="1931"/>
      <c r="AR743" s="1931"/>
      <c r="AS743" s="1931"/>
      <c r="AT743" s="1931"/>
      <c r="AU743" s="1931"/>
      <c r="AV743" s="1931"/>
      <c r="AW743" s="1931"/>
      <c r="AX743" s="1931"/>
      <c r="AY743" s="1931"/>
      <c r="AZ743" s="1931"/>
      <c r="BA743" s="1931"/>
      <c r="BB743" s="1931"/>
      <c r="BC743" s="1931"/>
      <c r="BD743" s="1931"/>
      <c r="BE743" s="1931"/>
      <c r="BF743" s="1931"/>
      <c r="BG743" s="1931"/>
      <c r="BH743" s="1931"/>
      <c r="BI743" s="1931"/>
      <c r="BJ743" s="1931"/>
      <c r="BK743" s="1931"/>
      <c r="BL743" s="1931"/>
      <c r="BM743" s="1931"/>
      <c r="BN743" s="1931"/>
      <c r="BO743" s="1931"/>
      <c r="BP743" s="1931"/>
      <c r="BQ743" s="1931"/>
      <c r="BR743" s="1931"/>
      <c r="BS743" s="1931"/>
      <c r="BT743" s="1931"/>
      <c r="BU743" s="1931"/>
      <c r="BV743" s="1931"/>
      <c r="BW743" s="1931"/>
      <c r="BX743" s="1931"/>
      <c r="BY743" s="1931"/>
      <c r="BZ743" s="1931"/>
      <c r="CA743" s="1931"/>
      <c r="CB743" s="1931"/>
      <c r="CC743" s="1931"/>
      <c r="CD743" s="1931"/>
      <c r="CE743" s="1930"/>
      <c r="CF743" s="1930"/>
      <c r="CG743" s="1930"/>
      <c r="CH743" s="1930"/>
      <c r="CI743" s="1931"/>
      <c r="CJ743" s="1931"/>
      <c r="CK743" s="1931"/>
      <c r="CL743" s="1931"/>
      <c r="CM743" s="1931"/>
      <c r="CN743" s="1931"/>
      <c r="CO743" s="1931"/>
      <c r="CP743" s="1931"/>
      <c r="CQ743" s="1931"/>
      <c r="CR743" s="1931"/>
      <c r="CS743" s="1931"/>
      <c r="CT743" s="1930"/>
      <c r="CU743" s="1930"/>
      <c r="CV743" s="1930"/>
      <c r="CW743" s="1930"/>
      <c r="CX743" s="1931"/>
      <c r="CY743" s="1931"/>
      <c r="CZ743" s="1931"/>
      <c r="DA743" s="1931"/>
      <c r="DB743" s="1932"/>
      <c r="DC743" s="1931"/>
      <c r="DD743" s="1931"/>
      <c r="DE743" s="1931"/>
    </row>
    <row r="744" spans="2:112" hidden="1" outlineLevel="1" x14ac:dyDescent="0.25">
      <c r="D744" s="1967" t="str">
        <f>C732</f>
        <v>805700_2019_12_</v>
      </c>
      <c r="E744" s="1967" t="str">
        <f>E732</f>
        <v>Demand Controlled Ventillation (Electric Heat)</v>
      </c>
      <c r="F744" s="1357">
        <v>1</v>
      </c>
      <c r="G744" s="86">
        <v>665</v>
      </c>
      <c r="H744" s="1394">
        <v>1230</v>
      </c>
      <c r="I744" s="1965"/>
      <c r="J744" s="1965"/>
      <c r="K744" s="1965"/>
      <c r="L744" s="1965"/>
      <c r="M744" s="1965"/>
      <c r="N744" s="1965"/>
      <c r="O744" s="1965"/>
      <c r="P744" s="1965"/>
      <c r="Q744" s="1965"/>
      <c r="R744" s="1965"/>
      <c r="S744" s="1965"/>
      <c r="T744" s="1965"/>
      <c r="U744" s="1965"/>
      <c r="V744" s="1931"/>
      <c r="W744" s="1931"/>
      <c r="X744" s="1931"/>
      <c r="Y744" s="1931"/>
      <c r="Z744" s="1931"/>
      <c r="AA744" s="1931"/>
      <c r="AB744" s="1931"/>
      <c r="AC744" s="1931"/>
      <c r="AD744" s="1931"/>
      <c r="AE744" s="1931"/>
      <c r="AF744" s="1931"/>
      <c r="AG744" s="1931"/>
      <c r="AH744" s="1931"/>
      <c r="AI744" s="1931"/>
      <c r="AJ744" s="1931"/>
      <c r="AK744" s="1931"/>
      <c r="AL744" s="1931"/>
      <c r="AM744" s="1931"/>
      <c r="AN744" s="1931"/>
      <c r="AO744" s="1931"/>
      <c r="AP744" s="1931"/>
      <c r="AQ744" s="1931"/>
      <c r="AR744" s="1931"/>
      <c r="AS744" s="1931"/>
      <c r="AT744" s="1931"/>
      <c r="AU744" s="1931"/>
      <c r="AV744" s="1931"/>
      <c r="AW744" s="1931"/>
      <c r="AX744" s="1931"/>
      <c r="AY744" s="1931"/>
      <c r="AZ744" s="1931"/>
      <c r="BA744" s="1931"/>
      <c r="BB744" s="1931"/>
      <c r="BC744" s="1931"/>
      <c r="BD744" s="1931"/>
      <c r="BE744" s="1931"/>
      <c r="BF744" s="1931"/>
      <c r="BG744" s="1931"/>
      <c r="BH744" s="1931"/>
      <c r="BI744" s="1931"/>
      <c r="BJ744" s="1931"/>
      <c r="BK744" s="1931"/>
      <c r="BL744" s="1931"/>
      <c r="BM744" s="1931"/>
      <c r="BN744" s="1931"/>
      <c r="BO744" s="1931"/>
      <c r="BP744" s="1931"/>
      <c r="BQ744" s="1931"/>
      <c r="BR744" s="1931"/>
      <c r="BS744" s="1931"/>
      <c r="BT744" s="1931"/>
      <c r="BU744" s="1931"/>
      <c r="BV744" s="1931"/>
      <c r="BW744" s="1931"/>
      <c r="BX744" s="1931"/>
      <c r="BY744" s="1931"/>
      <c r="BZ744" s="1931"/>
      <c r="CA744" s="1931"/>
      <c r="CB744" s="1931"/>
      <c r="CC744" s="1931"/>
      <c r="CD744" s="1931"/>
      <c r="CE744" s="1930"/>
      <c r="CF744" s="1930"/>
      <c r="CG744" s="1930"/>
      <c r="CH744" s="1930"/>
      <c r="CI744" s="1931"/>
      <c r="CJ744" s="1931"/>
      <c r="CK744" s="1931"/>
      <c r="CL744" s="1931"/>
      <c r="CM744" s="1931"/>
      <c r="CN744" s="1931"/>
      <c r="CO744" s="1931"/>
      <c r="CP744" s="1931"/>
      <c r="CQ744" s="1931"/>
      <c r="CR744" s="1931"/>
      <c r="CS744" s="1931"/>
      <c r="CT744" s="1930"/>
      <c r="CU744" s="1930"/>
      <c r="CV744" s="1930"/>
      <c r="CW744" s="1930"/>
      <c r="CX744" s="1931"/>
      <c r="CY744" s="1931"/>
      <c r="CZ744" s="1931"/>
      <c r="DA744" s="1931"/>
      <c r="DB744" s="1932"/>
      <c r="DC744" s="1931"/>
      <c r="DD744" s="1931"/>
      <c r="DE744" s="1931"/>
    </row>
    <row r="745" spans="2:112" hidden="1" outlineLevel="1" x14ac:dyDescent="0.25">
      <c r="D745" s="1967" t="str">
        <f>C733</f>
        <v>805750_2019_12_</v>
      </c>
      <c r="E745" s="1967" t="str">
        <f>E733</f>
        <v>Demand Controlled Ventillation (Heat Pump)</v>
      </c>
      <c r="F745" s="1357">
        <v>1</v>
      </c>
      <c r="G745" s="86">
        <v>665</v>
      </c>
      <c r="H745" s="1394">
        <v>410</v>
      </c>
      <c r="I745" s="1965"/>
      <c r="J745" s="1965"/>
      <c r="K745" s="1965"/>
      <c r="L745" s="1965"/>
      <c r="M745" s="1965"/>
      <c r="N745" s="1965"/>
      <c r="O745" s="1965"/>
      <c r="P745" s="1965"/>
      <c r="Q745" s="1965"/>
      <c r="R745" s="1965"/>
      <c r="S745" s="1965"/>
      <c r="T745" s="1965"/>
      <c r="U745" s="1965"/>
      <c r="V745" s="1931"/>
      <c r="W745" s="1931"/>
      <c r="X745" s="1931"/>
      <c r="Y745" s="1931"/>
      <c r="Z745" s="1931"/>
      <c r="AA745" s="1931"/>
      <c r="AB745" s="1931"/>
      <c r="AC745" s="1931"/>
      <c r="AD745" s="1931"/>
      <c r="AE745" s="1931"/>
      <c r="AF745" s="1931"/>
      <c r="AG745" s="1931"/>
      <c r="AH745" s="1931"/>
      <c r="AI745" s="1931"/>
      <c r="AJ745" s="1931"/>
      <c r="AK745" s="1931"/>
      <c r="AL745" s="1931"/>
      <c r="AM745" s="1931"/>
      <c r="AN745" s="1931"/>
      <c r="AO745" s="1931"/>
      <c r="AP745" s="1931"/>
      <c r="AQ745" s="1931"/>
      <c r="AR745" s="1931"/>
      <c r="AS745" s="1931"/>
      <c r="AT745" s="1931"/>
      <c r="AU745" s="1931"/>
      <c r="AV745" s="1931"/>
      <c r="AW745" s="1931"/>
      <c r="AX745" s="1931"/>
      <c r="AY745" s="1931"/>
      <c r="AZ745" s="1931"/>
      <c r="BA745" s="1931"/>
      <c r="BB745" s="1931"/>
      <c r="BC745" s="1931"/>
      <c r="BD745" s="1931"/>
      <c r="BE745" s="1931"/>
      <c r="BF745" s="1931"/>
      <c r="BG745" s="1931"/>
      <c r="BH745" s="1931"/>
      <c r="BI745" s="1931"/>
      <c r="BJ745" s="1931"/>
      <c r="BK745" s="1931"/>
      <c r="BL745" s="1931"/>
      <c r="BM745" s="1931"/>
      <c r="BN745" s="1931"/>
      <c r="BO745" s="1931"/>
      <c r="BP745" s="1931"/>
      <c r="BQ745" s="1931"/>
      <c r="BR745" s="1931"/>
      <c r="BS745" s="1931"/>
      <c r="BT745" s="1931"/>
      <c r="BU745" s="1931"/>
      <c r="BV745" s="1931"/>
      <c r="BW745" s="1931"/>
      <c r="BX745" s="1931"/>
      <c r="BY745" s="1931"/>
      <c r="BZ745" s="1931"/>
      <c r="CA745" s="1931"/>
      <c r="CB745" s="1931"/>
      <c r="CC745" s="1931"/>
      <c r="CD745" s="1931"/>
      <c r="CE745" s="1930"/>
      <c r="CF745" s="1930"/>
      <c r="CG745" s="1930"/>
      <c r="CH745" s="1930"/>
      <c r="CI745" s="1931"/>
      <c r="CJ745" s="1931"/>
      <c r="CK745" s="1931"/>
      <c r="CL745" s="1931"/>
      <c r="CM745" s="1931"/>
      <c r="CN745" s="1931"/>
      <c r="CO745" s="1931"/>
      <c r="CP745" s="1931"/>
      <c r="CQ745" s="1931"/>
      <c r="CR745" s="1931"/>
      <c r="CS745" s="1931"/>
      <c r="CT745" s="1930"/>
      <c r="CU745" s="1930"/>
      <c r="CV745" s="1930"/>
      <c r="CW745" s="1930"/>
      <c r="CX745" s="1931"/>
      <c r="CY745" s="1931"/>
      <c r="CZ745" s="1931"/>
      <c r="DA745" s="1931"/>
      <c r="DB745" s="1932"/>
      <c r="DC745" s="1931"/>
      <c r="DD745" s="1931"/>
      <c r="DE745" s="1931"/>
    </row>
    <row r="746" spans="2:112" collapsed="1" x14ac:dyDescent="0.25">
      <c r="D746" s="1966"/>
      <c r="E746" s="1965"/>
      <c r="F746" s="1965"/>
      <c r="G746" s="1968"/>
      <c r="H746" s="1969"/>
      <c r="I746" s="1965"/>
      <c r="J746" s="1965"/>
      <c r="K746" s="1965"/>
      <c r="L746" s="1965"/>
      <c r="M746" s="1965"/>
      <c r="N746" s="1965"/>
      <c r="O746" s="1965"/>
      <c r="P746" s="1965"/>
      <c r="Q746" s="1965"/>
      <c r="R746" s="1965"/>
      <c r="S746" s="1965"/>
      <c r="T746" s="1965"/>
      <c r="U746" s="1965"/>
      <c r="V746" s="1931"/>
      <c r="W746" s="1931"/>
      <c r="X746" s="1931"/>
      <c r="Y746" s="1931"/>
      <c r="Z746" s="1931"/>
      <c r="AA746" s="1931"/>
      <c r="AB746" s="1931"/>
      <c r="AC746" s="1931"/>
      <c r="AD746" s="1931"/>
      <c r="AE746" s="1931"/>
      <c r="AF746" s="1931"/>
      <c r="AG746" s="1931"/>
      <c r="AH746" s="1931"/>
      <c r="AI746" s="1931"/>
      <c r="AJ746" s="1931"/>
      <c r="AK746" s="1931"/>
      <c r="AL746" s="1931"/>
      <c r="AM746" s="1931"/>
      <c r="AN746" s="1931"/>
      <c r="AO746" s="1931"/>
      <c r="AP746" s="1931"/>
      <c r="AQ746" s="1931"/>
      <c r="AR746" s="1931"/>
      <c r="AS746" s="1931"/>
      <c r="AT746" s="1931"/>
      <c r="AU746" s="1931"/>
      <c r="AV746" s="1931"/>
      <c r="AW746" s="1931"/>
      <c r="AX746" s="1931"/>
      <c r="AY746" s="1931"/>
      <c r="AZ746" s="1931"/>
      <c r="BA746" s="1931"/>
      <c r="BB746" s="1931"/>
      <c r="BC746" s="1931"/>
      <c r="BD746" s="1931"/>
      <c r="BE746" s="1931"/>
      <c r="BF746" s="1931"/>
      <c r="BG746" s="1931"/>
      <c r="BH746" s="1931"/>
      <c r="BI746" s="1931"/>
      <c r="BJ746" s="1931"/>
      <c r="BK746" s="1931"/>
      <c r="BL746" s="1931"/>
      <c r="BM746" s="1931"/>
      <c r="BN746" s="1931"/>
      <c r="BO746" s="1931"/>
      <c r="BP746" s="1931"/>
      <c r="BQ746" s="1931"/>
      <c r="BR746" s="1931"/>
      <c r="BS746" s="1931"/>
      <c r="BT746" s="1931"/>
      <c r="BU746" s="1931"/>
      <c r="BV746" s="1931"/>
      <c r="BW746" s="1931"/>
      <c r="BX746" s="1931"/>
      <c r="BY746" s="1931"/>
      <c r="BZ746" s="1931"/>
      <c r="CA746" s="1931"/>
      <c r="CB746" s="1931"/>
      <c r="CC746" s="1931"/>
      <c r="CD746" s="1931"/>
      <c r="CE746" s="1930"/>
      <c r="CF746" s="1930"/>
      <c r="CG746" s="1930"/>
      <c r="CH746" s="1930"/>
      <c r="CI746" s="1931"/>
      <c r="CJ746" s="1931"/>
      <c r="CK746" s="1931"/>
      <c r="CL746" s="1931"/>
      <c r="CM746" s="1931"/>
      <c r="CN746" s="1931"/>
      <c r="CO746" s="1931"/>
      <c r="CP746" s="1931"/>
      <c r="CQ746" s="1931"/>
      <c r="CR746" s="1931"/>
      <c r="CS746" s="1931"/>
      <c r="CT746" s="1930"/>
      <c r="CU746" s="1930"/>
      <c r="CV746" s="1930"/>
      <c r="CW746" s="1930"/>
      <c r="CX746" s="1931"/>
      <c r="CY746" s="1931"/>
      <c r="CZ746" s="1931"/>
      <c r="DA746" s="1931"/>
      <c r="DB746" s="1932"/>
      <c r="DC746" s="1931"/>
      <c r="DD746" s="1931"/>
      <c r="DE746" s="1931"/>
    </row>
    <row r="748" spans="2:112" s="43" customFormat="1" x14ac:dyDescent="0.25">
      <c r="B748" s="4484" t="s">
        <v>3147</v>
      </c>
      <c r="C748" s="4485"/>
      <c r="D748" s="4485"/>
      <c r="E748" s="4485"/>
      <c r="F748" s="4485"/>
      <c r="G748" s="4485"/>
      <c r="H748" s="4485"/>
      <c r="I748" s="4486"/>
      <c r="J748" s="4486"/>
      <c r="K748" s="4486"/>
      <c r="L748" s="4486"/>
      <c r="M748" s="3752"/>
      <c r="N748" s="3752"/>
      <c r="O748" s="3753"/>
      <c r="P748" s="1935"/>
      <c r="Q748" s="1935"/>
      <c r="R748" s="1935"/>
      <c r="S748" s="1935"/>
      <c r="T748" s="1935"/>
      <c r="U748" s="1935"/>
      <c r="V748" s="3077" t="str">
        <f>B748</f>
        <v>Advanced RTU Controls</v>
      </c>
      <c r="W748" s="3078"/>
      <c r="X748" s="3078"/>
      <c r="Y748" s="3078"/>
      <c r="Z748" s="3078"/>
      <c r="AA748" s="3078"/>
      <c r="AB748" s="3078"/>
      <c r="AC748" s="3078"/>
      <c r="AD748" s="3078"/>
      <c r="AE748" s="3078"/>
      <c r="AF748" s="3078"/>
      <c r="AG748" s="3078"/>
      <c r="AH748" s="3078"/>
      <c r="AI748" s="3170"/>
      <c r="AJ748" s="1931"/>
      <c r="AK748" s="1931"/>
      <c r="AL748" s="1931"/>
      <c r="AM748" s="1931"/>
      <c r="AN748" s="1931"/>
      <c r="AO748" s="1931"/>
      <c r="AP748" s="1931"/>
      <c r="AQ748" s="1931"/>
      <c r="AR748" s="1931"/>
      <c r="AS748" s="1931"/>
      <c r="AT748" s="1931"/>
      <c r="AU748" s="1931"/>
      <c r="AV748" s="1935"/>
      <c r="AW748" s="1935"/>
      <c r="AX748" s="1935"/>
      <c r="AY748" s="1935"/>
      <c r="AZ748" s="1935"/>
      <c r="BA748" s="1935"/>
      <c r="BB748" s="1935"/>
      <c r="BC748" s="1935"/>
      <c r="BD748" s="1935"/>
      <c r="BE748" s="1935"/>
      <c r="BF748" s="1935"/>
      <c r="BG748" s="1935"/>
      <c r="BH748" s="1935"/>
      <c r="BI748" s="1935"/>
      <c r="BJ748" s="1935"/>
      <c r="BK748" s="1935"/>
      <c r="BL748" s="1935"/>
      <c r="BM748" s="1935"/>
      <c r="BN748" s="1935"/>
      <c r="BO748" s="1935"/>
      <c r="BP748" s="1935"/>
      <c r="BQ748" s="1935"/>
      <c r="BR748" s="1935"/>
      <c r="BS748" s="1935"/>
      <c r="BT748" s="1935"/>
      <c r="BU748" s="1935"/>
      <c r="BV748" s="1935"/>
      <c r="BW748" s="1935"/>
      <c r="BX748" s="1935"/>
      <c r="BY748" s="1935"/>
      <c r="BZ748" s="1935"/>
      <c r="CA748" s="1935"/>
      <c r="CB748" s="1935"/>
      <c r="CC748" s="1935"/>
      <c r="CD748" s="1935"/>
      <c r="CE748" s="1935"/>
      <c r="CF748" s="1935"/>
      <c r="CG748" s="1935"/>
      <c r="CH748" s="1935"/>
      <c r="CI748" s="1935"/>
      <c r="CJ748" s="1935"/>
      <c r="CK748" s="1935"/>
      <c r="CL748" s="1935"/>
      <c r="CM748" s="1935"/>
      <c r="CN748" s="1935"/>
      <c r="CO748" s="1935"/>
      <c r="CP748" s="1935"/>
      <c r="CQ748" s="1935"/>
      <c r="CR748" s="1935"/>
      <c r="CS748" s="1935"/>
      <c r="CT748" s="1935"/>
      <c r="CU748" s="1935"/>
      <c r="CV748" s="1935"/>
      <c r="CW748" s="1935"/>
      <c r="CX748" s="1935"/>
      <c r="CY748" s="1935"/>
      <c r="CZ748" s="1935"/>
      <c r="DA748" s="1935"/>
      <c r="DB748" s="73"/>
      <c r="DC748" s="1935"/>
      <c r="DD748" s="1935"/>
      <c r="DE748" s="1935"/>
      <c r="DF748" s="1935"/>
      <c r="DG748" s="1935"/>
      <c r="DH748" s="1935"/>
    </row>
    <row r="749" spans="2:112" x14ac:dyDescent="0.25">
      <c r="B749" s="1931"/>
      <c r="D749" s="1286"/>
      <c r="E749" s="1966"/>
      <c r="F749" s="1966"/>
      <c r="G749" s="1966"/>
      <c r="H749" s="1287"/>
      <c r="I749" s="1966"/>
      <c r="J749" s="1966"/>
      <c r="K749" s="1966"/>
      <c r="L749" s="1966"/>
      <c r="M749" s="1965"/>
      <c r="N749" s="1965"/>
      <c r="O749" s="1965"/>
      <c r="P749" s="1966"/>
      <c r="Q749" s="1966"/>
      <c r="R749" s="1966"/>
      <c r="S749" s="1966"/>
      <c r="T749" s="1966"/>
      <c r="U749" s="1966"/>
      <c r="V749" s="1930"/>
      <c r="W749" s="1930"/>
      <c r="X749" s="1930"/>
      <c r="Y749" s="1930"/>
      <c r="Z749" s="1930"/>
      <c r="AA749" s="1930"/>
      <c r="AB749" s="1930"/>
      <c r="AC749" s="1930"/>
      <c r="AD749" s="1930"/>
      <c r="AE749" s="1930"/>
      <c r="AF749" s="1930"/>
      <c r="AG749" s="1930"/>
      <c r="AH749" s="1930"/>
      <c r="AI749" s="1930"/>
      <c r="AJ749" s="1934"/>
      <c r="AK749" s="1934"/>
      <c r="AL749" s="1934"/>
      <c r="AM749" s="1934"/>
      <c r="AN749" s="1934"/>
      <c r="AO749" s="1934"/>
      <c r="AP749" s="1934"/>
      <c r="AQ749" s="1934"/>
      <c r="AR749" s="1934"/>
      <c r="AS749" s="1934"/>
      <c r="AT749" s="1934"/>
      <c r="AU749" s="1934"/>
      <c r="AV749" s="1931"/>
      <c r="AW749" s="1931"/>
      <c r="AX749" s="1931"/>
      <c r="AY749" s="1931"/>
      <c r="AZ749" s="1931"/>
      <c r="BA749" s="1931"/>
      <c r="BB749" s="1931"/>
      <c r="BC749" s="1931"/>
      <c r="BD749" s="1931"/>
      <c r="BE749" s="1931"/>
      <c r="BF749" s="1931"/>
      <c r="BG749" s="1931"/>
      <c r="BH749" s="1931"/>
      <c r="BI749" s="1931"/>
      <c r="BJ749" s="1931"/>
      <c r="BK749" s="1931"/>
      <c r="BL749" s="1931"/>
      <c r="BM749" s="1931"/>
      <c r="BN749" s="1931"/>
      <c r="BO749" s="1931"/>
      <c r="BP749" s="1931"/>
      <c r="BQ749" s="1931"/>
      <c r="BR749" s="1931"/>
      <c r="BS749" s="1931"/>
      <c r="BT749" s="1931"/>
      <c r="BU749" s="1931"/>
      <c r="BV749" s="1931"/>
      <c r="BW749" s="1931"/>
      <c r="BX749" s="1931"/>
      <c r="BY749" s="1931"/>
      <c r="BZ749" s="1931"/>
      <c r="CA749" s="1931"/>
      <c r="CB749" s="1931"/>
      <c r="CC749" s="1931"/>
      <c r="CD749" s="1931"/>
      <c r="CE749" s="1930"/>
      <c r="CF749" s="1930"/>
      <c r="CG749" s="1930"/>
      <c r="CH749" s="1930"/>
      <c r="CI749" s="1931"/>
      <c r="CJ749" s="1931"/>
      <c r="CK749" s="1931"/>
      <c r="CL749" s="1931"/>
      <c r="CM749" s="1931"/>
      <c r="CN749" s="1931"/>
      <c r="CO749" s="1931"/>
      <c r="CP749" s="1931"/>
      <c r="CQ749" s="1931"/>
      <c r="CR749" s="1931"/>
      <c r="CS749" s="1931"/>
      <c r="CT749" s="1930"/>
      <c r="CU749" s="1930"/>
      <c r="CV749" s="1930"/>
      <c r="CW749" s="1930"/>
      <c r="CX749" s="1931"/>
      <c r="CY749" s="1931"/>
      <c r="CZ749" s="1931"/>
      <c r="DA749" s="1931"/>
      <c r="DB749" s="1932"/>
      <c r="DC749" s="1931"/>
      <c r="DD749" s="1931"/>
      <c r="DE749" s="1931"/>
      <c r="DF749" s="1931"/>
    </row>
    <row r="750" spans="2:112" s="44" customFormat="1" ht="30" x14ac:dyDescent="0.25">
      <c r="B750" s="45"/>
      <c r="C750" s="46" t="s">
        <v>28</v>
      </c>
      <c r="D750" s="46" t="s">
        <v>29</v>
      </c>
      <c r="E750" s="3196" t="s">
        <v>30</v>
      </c>
      <c r="F750" s="3196" t="s">
        <v>2832</v>
      </c>
      <c r="G750" s="3196" t="s">
        <v>176</v>
      </c>
      <c r="H750" s="47" t="s">
        <v>177</v>
      </c>
      <c r="I750" s="3196" t="s">
        <v>32</v>
      </c>
      <c r="J750" s="3196" t="s">
        <v>181</v>
      </c>
      <c r="K750" s="46" t="s">
        <v>2820</v>
      </c>
      <c r="L750" s="46" t="s">
        <v>44</v>
      </c>
      <c r="M750" s="1965"/>
      <c r="N750" s="1965"/>
      <c r="O750" s="1965"/>
      <c r="P750" s="1288"/>
      <c r="Q750" s="1288"/>
      <c r="R750" s="1288"/>
      <c r="S750" s="1288"/>
      <c r="T750" s="1288"/>
      <c r="U750" s="1288"/>
      <c r="V750" s="1936" t="s">
        <v>45</v>
      </c>
      <c r="W750" s="1937">
        <f>$W$8</f>
        <v>43252</v>
      </c>
      <c r="X750" s="1937">
        <f>$X$8</f>
        <v>43465</v>
      </c>
      <c r="Y750" s="1937">
        <f>$Y$8</f>
        <v>43800</v>
      </c>
      <c r="Z750" s="1937">
        <f>$Z$8</f>
        <v>43862</v>
      </c>
      <c r="AA750" s="1937">
        <f>$AA$8</f>
        <v>44013</v>
      </c>
      <c r="AB750" s="1937">
        <v>44166</v>
      </c>
      <c r="AC750" s="1937">
        <f>$AC$8</f>
        <v>44531</v>
      </c>
      <c r="AD750" s="1937" t="str">
        <f>$AD$8</f>
        <v>-</v>
      </c>
      <c r="AE750" s="1937" t="str">
        <f>$AE$8</f>
        <v>-</v>
      </c>
      <c r="AF750" s="1937" t="str">
        <f>$AF$8</f>
        <v>-</v>
      </c>
      <c r="AG750" s="1937" t="str">
        <f>$AG$8</f>
        <v>-</v>
      </c>
      <c r="AH750" s="1930"/>
      <c r="AI750" s="1936" t="s">
        <v>45</v>
      </c>
      <c r="AJ750" s="1937">
        <v>43252</v>
      </c>
      <c r="AK750" s="1937">
        <f>$X$8</f>
        <v>43465</v>
      </c>
      <c r="AL750" s="1937">
        <f>$Y$8</f>
        <v>43800</v>
      </c>
      <c r="AM750" s="1937">
        <f>$Z$8</f>
        <v>43862</v>
      </c>
      <c r="AN750" s="1937">
        <f>$AA$8</f>
        <v>44013</v>
      </c>
      <c r="AO750" s="1937">
        <f>$AB$8</f>
        <v>44166</v>
      </c>
      <c r="AP750" s="1937">
        <f>$AC$8</f>
        <v>44531</v>
      </c>
      <c r="AQ750" s="1937" t="str">
        <f>$AD$8</f>
        <v>-</v>
      </c>
      <c r="AR750" s="1937" t="str">
        <f>$AE$8</f>
        <v>-</v>
      </c>
      <c r="AS750" s="1937" t="str">
        <f>$AF$8</f>
        <v>-</v>
      </c>
      <c r="AT750" s="1933"/>
      <c r="AU750" s="1936" t="s">
        <v>45</v>
      </c>
      <c r="AV750" s="1937">
        <v>43252</v>
      </c>
      <c r="AW750" s="1937">
        <f>$X$8</f>
        <v>43465</v>
      </c>
      <c r="AX750" s="1937">
        <f>$Y$8</f>
        <v>43800</v>
      </c>
      <c r="AY750" s="1937">
        <f>$Z$8</f>
        <v>43862</v>
      </c>
      <c r="AZ750" s="1937">
        <f>$AA$8</f>
        <v>44013</v>
      </c>
      <c r="BA750" s="1937">
        <v>44166</v>
      </c>
      <c r="BB750" s="1937">
        <f>$AC$8</f>
        <v>44531</v>
      </c>
      <c r="BC750" s="1937" t="str">
        <f>$AD$8</f>
        <v>-</v>
      </c>
      <c r="BD750" s="1937" t="str">
        <f>$AE$8</f>
        <v>-</v>
      </c>
      <c r="BE750" s="1937" t="str">
        <f>$AF$8</f>
        <v>-</v>
      </c>
      <c r="DB750" s="1938" t="str">
        <f>$DB$8</f>
        <v>TRC (2020)</v>
      </c>
      <c r="DC750" s="1953" t="str">
        <f>$DC$8</f>
        <v>Benefit Lookup</v>
      </c>
      <c r="DD750" s="1953" t="str">
        <f>$DD$8</f>
        <v>Benefits (2019 $)</v>
      </c>
      <c r="DE750" s="1953" t="str">
        <f>$DE$8</f>
        <v>Incremental Cost (2019 $)</v>
      </c>
    </row>
    <row r="751" spans="2:112" x14ac:dyDescent="0.25">
      <c r="B751" s="1931"/>
      <c r="C751" s="1997" t="s">
        <v>3148</v>
      </c>
      <c r="D751" s="1363" t="s">
        <v>2646</v>
      </c>
      <c r="E751" s="1308" t="s">
        <v>3147</v>
      </c>
      <c r="F751" s="1959">
        <f>ROUND(F761*G761*H761,2)</f>
        <v>3779.33</v>
      </c>
      <c r="G751" s="1290" t="s">
        <v>2897</v>
      </c>
      <c r="H751" s="1291">
        <f>VLOOKUP(G751,'CP FACTORS'!$A$26:$B$38,2,FALSE)</f>
        <v>4.4398300000000001E-4</v>
      </c>
      <c r="I751" s="1309">
        <f>ROUND(H751*F751,6)</f>
        <v>1.6779580000000001</v>
      </c>
      <c r="J751" s="325">
        <v>15</v>
      </c>
      <c r="K751" s="1329">
        <v>4038</v>
      </c>
      <c r="L751" s="1374" t="s">
        <v>185</v>
      </c>
      <c r="M751" s="1965"/>
      <c r="N751" s="1965"/>
      <c r="O751" s="1965"/>
      <c r="P751" s="1965"/>
      <c r="Q751" s="1965"/>
      <c r="R751" s="1965"/>
      <c r="S751" s="1965"/>
      <c r="T751" s="1965"/>
      <c r="U751" s="1965"/>
      <c r="V751" s="3226" t="str">
        <f>F750</f>
        <v>kWh Annual Savings (per HP)</v>
      </c>
      <c r="W751" s="1947">
        <v>3779.3340000000003</v>
      </c>
      <c r="X751" s="1947">
        <v>3779.3340000000003</v>
      </c>
      <c r="Y751" s="129">
        <v>3779.3340000000003</v>
      </c>
      <c r="Z751" s="129">
        <v>3779.3340000000003</v>
      </c>
      <c r="AA751" s="129">
        <v>3779.3340000000003</v>
      </c>
      <c r="AB751" s="1825">
        <v>3779.33</v>
      </c>
      <c r="AC751" s="3364">
        <v>3779.33</v>
      </c>
      <c r="AD751" s="2099"/>
      <c r="AE751" s="2099"/>
      <c r="AF751" s="2099"/>
      <c r="AG751" s="2099"/>
      <c r="AH751" s="2100"/>
      <c r="AI751" s="3227" t="s">
        <v>181</v>
      </c>
      <c r="AJ751" s="64">
        <v>15</v>
      </c>
      <c r="AK751" s="64">
        <v>15</v>
      </c>
      <c r="AL751" s="64">
        <v>15</v>
      </c>
      <c r="AM751" s="64">
        <v>15</v>
      </c>
      <c r="AN751" s="64">
        <v>15</v>
      </c>
      <c r="AO751" s="1939">
        <v>15</v>
      </c>
      <c r="AP751" s="2101">
        <v>15</v>
      </c>
      <c r="AQ751" s="2099"/>
      <c r="AR751" s="2099"/>
      <c r="AS751" s="2099"/>
      <c r="AT751" s="1933"/>
      <c r="AU751" s="3227" t="s">
        <v>170</v>
      </c>
      <c r="AV751" s="2102">
        <v>4038</v>
      </c>
      <c r="AW751" s="2102">
        <v>4038</v>
      </c>
      <c r="AX751" s="2102">
        <v>4038</v>
      </c>
      <c r="AY751" s="2102">
        <v>4038</v>
      </c>
      <c r="AZ751" s="2102">
        <v>4038</v>
      </c>
      <c r="BA751" s="2103">
        <v>4038</v>
      </c>
      <c r="BB751" s="2103">
        <v>4038</v>
      </c>
      <c r="BC751" s="2099"/>
      <c r="BD751" s="2099"/>
      <c r="BE751" s="2099"/>
      <c r="BF751" s="1933"/>
      <c r="BG751" s="1933"/>
      <c r="BH751" s="1933"/>
      <c r="BI751" s="1933"/>
      <c r="BJ751" s="1931"/>
      <c r="BK751" s="1931"/>
      <c r="BL751" s="1931"/>
      <c r="BM751" s="1931"/>
      <c r="BN751" s="1931"/>
      <c r="BO751" s="1931"/>
      <c r="BP751" s="1931"/>
      <c r="BQ751" s="1931"/>
      <c r="BR751" s="1931"/>
      <c r="BS751" s="1931"/>
      <c r="BT751" s="1931"/>
      <c r="BU751" s="1931"/>
      <c r="BV751" s="1931"/>
      <c r="BW751" s="1931"/>
      <c r="BX751" s="1931"/>
      <c r="BY751" s="1931"/>
      <c r="BZ751" s="1931"/>
      <c r="CA751" s="1931"/>
      <c r="CB751" s="1931"/>
      <c r="CC751" s="1931"/>
      <c r="CD751" s="1931"/>
      <c r="CE751" s="1930"/>
      <c r="CF751" s="1930"/>
      <c r="CG751" s="1930"/>
      <c r="CH751" s="1930"/>
      <c r="CI751" s="1931"/>
      <c r="CJ751" s="1931"/>
      <c r="CK751" s="1931"/>
      <c r="CL751" s="1931"/>
      <c r="CM751" s="1931"/>
      <c r="CN751" s="1931"/>
      <c r="CO751" s="1931"/>
      <c r="CP751" s="1931"/>
      <c r="CQ751" s="1931"/>
      <c r="CR751" s="1931"/>
      <c r="CS751" s="1931"/>
      <c r="CT751" s="1930"/>
      <c r="CU751" s="1930"/>
      <c r="CV751" s="1930"/>
      <c r="CW751" s="1930"/>
      <c r="CX751" s="1931"/>
      <c r="CY751" s="1931"/>
      <c r="CZ751" s="1931"/>
      <c r="DA751" s="1931"/>
      <c r="DB751" s="1954">
        <f>(DD751)/(DE751)</f>
        <v>0.89697006475682783</v>
      </c>
      <c r="DC751" s="3166" t="str">
        <f>CONCATENATE(G751," ",J751," Year EUL")</f>
        <v>HVAC BUS 15 Year EUL</v>
      </c>
      <c r="DD751" s="1955">
        <f>(INDEX('Avoided Cost Benefits'!$C$4:$C$857,MATCH(DC751,'Avoided Cost Benefits'!$A$4:$A$857,0)))*F751</f>
        <v>3418.5607564776501</v>
      </c>
      <c r="DE751" s="1956">
        <f>K751/(1.0595^(2020-2019))</f>
        <v>3811.2317130722035</v>
      </c>
      <c r="DF751" s="1931"/>
    </row>
    <row r="752" spans="2:112" hidden="1" outlineLevel="1" x14ac:dyDescent="0.25">
      <c r="B752" s="1931"/>
      <c r="D752" s="1966"/>
      <c r="E752" s="1966"/>
      <c r="F752" s="1966"/>
      <c r="G752" s="1966"/>
      <c r="H752" s="1299"/>
      <c r="I752" s="1966"/>
      <c r="J752" s="1966"/>
      <c r="K752" s="1966"/>
      <c r="L752" s="1965"/>
      <c r="M752" s="1965"/>
      <c r="N752" s="1965"/>
      <c r="O752" s="1965"/>
      <c r="P752" s="1965"/>
      <c r="Q752" s="1965"/>
      <c r="R752" s="1965"/>
      <c r="S752" s="1965"/>
      <c r="T752" s="1965"/>
      <c r="U752" s="1965"/>
      <c r="V752" s="3226" t="str">
        <f>V751</f>
        <v>kWh Annual Savings (per HP)</v>
      </c>
      <c r="W752" s="1947">
        <v>3779.3340000000003</v>
      </c>
      <c r="X752" s="1947">
        <v>3779.3340000000003</v>
      </c>
      <c r="Y752" s="129">
        <v>3779.3340000000003</v>
      </c>
      <c r="Z752" s="129">
        <v>3779.3340000000003</v>
      </c>
      <c r="AA752" s="129">
        <v>3779.3340000000003</v>
      </c>
      <c r="AB752" s="1825">
        <v>0</v>
      </c>
      <c r="AC752" s="2099"/>
      <c r="AD752" s="2099"/>
      <c r="AE752" s="2099"/>
      <c r="AF752" s="2099"/>
      <c r="AG752" s="2099"/>
      <c r="AH752" s="2100"/>
      <c r="AI752" s="2100"/>
      <c r="AJ752" s="2100"/>
      <c r="AK752" s="2100"/>
      <c r="AL752" s="2100"/>
      <c r="AM752" s="2100"/>
      <c r="AN752" s="2100"/>
      <c r="AO752" s="2100"/>
      <c r="AP752" s="2100"/>
      <c r="AQ752" s="2100"/>
      <c r="AR752" s="2100"/>
      <c r="AS752" s="2100"/>
      <c r="AT752" s="2100"/>
      <c r="AU752" s="2100"/>
      <c r="AV752" s="2100"/>
      <c r="AW752" s="2100"/>
      <c r="AX752" s="2100"/>
      <c r="AY752" s="2100"/>
      <c r="AZ752" s="2100"/>
      <c r="BA752" s="2100"/>
      <c r="BB752" s="2100"/>
      <c r="BC752" s="2100"/>
      <c r="BD752" s="2100"/>
      <c r="BE752" s="2100"/>
      <c r="BF752" s="2100"/>
      <c r="BG752" s="2100"/>
      <c r="BH752" s="2100"/>
      <c r="BI752" s="2100"/>
      <c r="BJ752" s="2100"/>
      <c r="BK752" s="2100"/>
      <c r="BL752" s="1931"/>
      <c r="BM752" s="1931"/>
      <c r="BN752" s="1931"/>
      <c r="BO752" s="1931"/>
      <c r="BP752" s="1931"/>
      <c r="BQ752" s="1931"/>
      <c r="BR752" s="1931"/>
      <c r="BS752" s="1931"/>
      <c r="BT752" s="1931"/>
      <c r="BU752" s="1931"/>
      <c r="BV752" s="1931"/>
      <c r="BW752" s="1931"/>
      <c r="BX752" s="1931"/>
      <c r="BY752" s="1931"/>
      <c r="BZ752" s="1931"/>
      <c r="CA752" s="1931"/>
      <c r="CB752" s="1931"/>
      <c r="CC752" s="1931"/>
      <c r="CD752" s="1931"/>
      <c r="CE752" s="1930"/>
      <c r="CF752" s="1930"/>
      <c r="CG752" s="1930"/>
      <c r="CH752" s="1930"/>
      <c r="CI752" s="1931"/>
      <c r="CJ752" s="1931"/>
      <c r="CK752" s="1931"/>
      <c r="CL752" s="1931"/>
      <c r="CM752" s="1931"/>
      <c r="CN752" s="1931"/>
      <c r="CO752" s="1931"/>
      <c r="CP752" s="1931"/>
      <c r="CQ752" s="1931"/>
      <c r="CR752" s="1931"/>
      <c r="CS752" s="1931"/>
      <c r="CT752" s="1930"/>
      <c r="CU752" s="1930"/>
      <c r="CV752" s="1930"/>
      <c r="CW752" s="1930"/>
      <c r="CX752" s="1931"/>
      <c r="CY752" s="1931"/>
      <c r="CZ752" s="1931"/>
      <c r="DA752" s="1931"/>
      <c r="DB752" s="1932"/>
      <c r="DC752" s="1931"/>
      <c r="DD752" s="1931"/>
      <c r="DE752" s="1931"/>
      <c r="DF752" s="1931"/>
    </row>
    <row r="753" spans="2:112" hidden="1" outlineLevel="1" x14ac:dyDescent="0.25">
      <c r="B753" s="1931"/>
      <c r="D753" s="1966" t="s">
        <v>2689</v>
      </c>
      <c r="E753" s="151"/>
      <c r="F753" s="1966"/>
      <c r="G753" s="1966"/>
      <c r="H753" s="1299"/>
      <c r="I753" s="1966"/>
      <c r="J753" s="1966"/>
      <c r="K753" s="151"/>
      <c r="L753" s="1965"/>
      <c r="M753" s="1965"/>
      <c r="N753" s="1965"/>
      <c r="O753" s="1965"/>
      <c r="P753" s="1965"/>
      <c r="Q753" s="1965"/>
      <c r="R753" s="1965"/>
      <c r="S753" s="1965"/>
      <c r="T753" s="1965"/>
      <c r="U753" s="1965"/>
      <c r="V753" s="1931"/>
      <c r="W753" s="1931"/>
      <c r="X753" s="1931"/>
      <c r="Y753" s="1933"/>
      <c r="Z753" s="1933"/>
      <c r="AA753" s="1933"/>
      <c r="AB753" s="1933"/>
      <c r="AC753" s="1933"/>
      <c r="AD753" s="1933"/>
      <c r="AE753" s="1933"/>
      <c r="AF753" s="1933"/>
      <c r="AG753" s="1933"/>
      <c r="AH753" s="1933"/>
      <c r="AI753" s="1933"/>
      <c r="AJ753" s="1933"/>
      <c r="AK753" s="1933"/>
      <c r="AL753" s="1933"/>
      <c r="AM753" s="1933"/>
      <c r="AN753" s="1933"/>
      <c r="AO753" s="1933"/>
      <c r="AP753" s="1933"/>
      <c r="AQ753" s="1933"/>
      <c r="AR753" s="1933"/>
      <c r="AS753" s="1933"/>
      <c r="AT753" s="1933"/>
      <c r="AU753" s="1933"/>
      <c r="AV753" s="1933"/>
      <c r="AW753" s="1933"/>
      <c r="AX753" s="1933"/>
      <c r="AY753" s="1933"/>
      <c r="AZ753" s="1933"/>
      <c r="BA753" s="1933"/>
      <c r="BB753" s="1933"/>
      <c r="BC753" s="1933"/>
      <c r="BD753" s="1933"/>
      <c r="BE753" s="1933"/>
      <c r="BF753" s="1933"/>
      <c r="BG753" s="1933"/>
      <c r="BH753" s="1933"/>
      <c r="BI753" s="1933"/>
      <c r="BJ753" s="1931"/>
      <c r="BK753" s="1931"/>
      <c r="BL753" s="1931"/>
      <c r="BM753" s="1931"/>
      <c r="BN753" s="1931"/>
      <c r="BO753" s="1931"/>
      <c r="BP753" s="1931"/>
      <c r="BQ753" s="1931"/>
      <c r="BR753" s="1931"/>
      <c r="BS753" s="1931"/>
      <c r="BT753" s="1931"/>
      <c r="BU753" s="1931"/>
      <c r="BV753" s="1931"/>
      <c r="BW753" s="1931"/>
      <c r="BX753" s="1931"/>
      <c r="BY753" s="1931"/>
      <c r="BZ753" s="1931"/>
      <c r="CA753" s="1931"/>
      <c r="CB753" s="1931"/>
      <c r="CC753" s="1931"/>
      <c r="CD753" s="1931"/>
      <c r="CE753" s="1930"/>
      <c r="CF753" s="1930"/>
      <c r="CG753" s="1930"/>
      <c r="CH753" s="1930"/>
      <c r="CI753" s="1931"/>
      <c r="CJ753" s="1931"/>
      <c r="CK753" s="1931"/>
      <c r="CL753" s="1931"/>
      <c r="CM753" s="1931"/>
      <c r="CN753" s="1931"/>
      <c r="CO753" s="1931"/>
      <c r="CP753" s="1931"/>
      <c r="CQ753" s="1931"/>
      <c r="CR753" s="1931"/>
      <c r="CS753" s="1931"/>
      <c r="CT753" s="1930"/>
      <c r="CU753" s="1930"/>
      <c r="CV753" s="1930"/>
      <c r="CW753" s="1930"/>
      <c r="CX753" s="1931"/>
      <c r="CY753" s="1931"/>
      <c r="CZ753" s="1931"/>
      <c r="DA753" s="1931"/>
      <c r="DB753" s="1932"/>
      <c r="DC753" s="1931"/>
      <c r="DD753" s="1931"/>
      <c r="DE753" s="1931"/>
      <c r="DF753" s="1931"/>
    </row>
    <row r="754" spans="2:112" ht="18" hidden="1" customHeight="1" outlineLevel="1" x14ac:dyDescent="0.25">
      <c r="B754" s="1931"/>
      <c r="D754" s="1300"/>
      <c r="E754" s="151"/>
      <c r="F754" s="151"/>
      <c r="G754" s="1321"/>
      <c r="H754" s="1322"/>
      <c r="I754" s="1965"/>
      <c r="J754" s="1965"/>
      <c r="K754" s="1965"/>
      <c r="L754" s="1965"/>
      <c r="M754" s="1965"/>
      <c r="N754" s="1965"/>
      <c r="O754" s="1965"/>
      <c r="P754" s="1965"/>
      <c r="Q754" s="1965"/>
      <c r="R754" s="1965"/>
      <c r="S754" s="1965"/>
      <c r="T754" s="1965"/>
      <c r="U754" s="1965"/>
      <c r="V754" s="1931"/>
      <c r="W754" s="1931"/>
      <c r="X754" s="1931"/>
      <c r="Y754" s="1933"/>
      <c r="Z754" s="1933"/>
      <c r="AA754" s="1933"/>
      <c r="AB754" s="1933"/>
      <c r="AC754" s="1933"/>
      <c r="AD754" s="1933"/>
      <c r="AE754" s="1933"/>
      <c r="AF754" s="1933"/>
      <c r="AG754" s="1933"/>
      <c r="AH754" s="1933"/>
      <c r="AI754" s="1933"/>
      <c r="AJ754" s="1933"/>
      <c r="AK754" s="1933"/>
      <c r="AL754" s="1933"/>
      <c r="AM754" s="1933"/>
      <c r="AN754" s="1933"/>
      <c r="AO754" s="1933"/>
      <c r="AP754" s="1933"/>
      <c r="AQ754" s="1933"/>
      <c r="AR754" s="1933"/>
      <c r="AS754" s="1933"/>
      <c r="AT754" s="1933"/>
      <c r="AU754" s="1933"/>
      <c r="AV754" s="1933"/>
      <c r="AW754" s="1933"/>
      <c r="AX754" s="1933"/>
      <c r="AY754" s="1933"/>
      <c r="AZ754" s="1933"/>
      <c r="BA754" s="1933"/>
      <c r="BB754" s="1933"/>
      <c r="BC754" s="1933"/>
      <c r="BD754" s="1933"/>
      <c r="BE754" s="1933"/>
      <c r="BF754" s="1933"/>
      <c r="BG754" s="1933"/>
      <c r="BH754" s="1933"/>
      <c r="BI754" s="1933"/>
      <c r="BJ754" s="1931"/>
      <c r="BK754" s="1931"/>
      <c r="BL754" s="1931"/>
      <c r="BM754" s="1931"/>
      <c r="BN754" s="1931"/>
      <c r="BO754" s="1931"/>
      <c r="BP754" s="1931"/>
      <c r="BQ754" s="1931"/>
      <c r="BR754" s="1931"/>
      <c r="BS754" s="1931"/>
      <c r="BT754" s="1931"/>
      <c r="BU754" s="1931"/>
      <c r="BV754" s="1931"/>
      <c r="BW754" s="1931"/>
      <c r="BX754" s="1931"/>
      <c r="BY754" s="1931"/>
      <c r="BZ754" s="1931"/>
      <c r="CA754" s="1931"/>
      <c r="CB754" s="1931"/>
      <c r="CC754" s="1931"/>
      <c r="CD754" s="1931"/>
      <c r="CE754" s="1930"/>
      <c r="CF754" s="1930"/>
      <c r="CG754" s="1930"/>
      <c r="CH754" s="1930"/>
      <c r="CI754" s="1931"/>
      <c r="CJ754" s="1931"/>
      <c r="CK754" s="1931"/>
      <c r="CL754" s="1931"/>
      <c r="CM754" s="1931"/>
      <c r="CN754" s="1931"/>
      <c r="CO754" s="1931"/>
      <c r="CP754" s="1931"/>
      <c r="CQ754" s="1931"/>
      <c r="CR754" s="1931"/>
      <c r="CS754" s="1931"/>
      <c r="CT754" s="1930"/>
      <c r="CU754" s="1930"/>
      <c r="CV754" s="1930"/>
      <c r="CW754" s="1930"/>
      <c r="CX754" s="1931"/>
      <c r="CY754" s="1931"/>
      <c r="CZ754" s="1931"/>
      <c r="DA754" s="1931"/>
      <c r="DB754" s="1932"/>
      <c r="DC754" s="1931"/>
      <c r="DD754" s="1931"/>
      <c r="DE754" s="1931"/>
      <c r="DF754" s="1931"/>
    </row>
    <row r="755" spans="2:112" hidden="1" outlineLevel="1" x14ac:dyDescent="0.25">
      <c r="B755" s="1931"/>
      <c r="D755" s="1300"/>
      <c r="E755" s="1965"/>
      <c r="F755" s="1965"/>
      <c r="G755" s="1321"/>
      <c r="H755" s="1322"/>
      <c r="I755" s="1965"/>
      <c r="J755" s="1965"/>
      <c r="K755" s="1965"/>
      <c r="L755" s="1965"/>
      <c r="M755" s="1965"/>
      <c r="N755" s="1965"/>
      <c r="O755" s="1965"/>
      <c r="P755" s="4483"/>
      <c r="Q755" s="4483"/>
      <c r="R755" s="1965"/>
      <c r="S755" s="1965"/>
      <c r="T755" s="1965"/>
      <c r="U755" s="1965"/>
      <c r="V755" s="1931"/>
      <c r="W755" s="1931"/>
      <c r="X755" s="1931"/>
      <c r="Y755" s="1933"/>
      <c r="Z755" s="1933"/>
      <c r="AA755" s="1933"/>
      <c r="AB755" s="1933"/>
      <c r="AC755" s="1933"/>
      <c r="AD755" s="1933"/>
      <c r="AE755" s="1933"/>
      <c r="AF755" s="1933"/>
      <c r="AG755" s="1933"/>
      <c r="AH755" s="1933"/>
      <c r="AI755" s="1933"/>
      <c r="AJ755" s="1933"/>
      <c r="AK755" s="1933"/>
      <c r="AL755" s="1933"/>
      <c r="AM755" s="1933"/>
      <c r="AN755" s="1933"/>
      <c r="AO755" s="1933"/>
      <c r="AP755" s="1933"/>
      <c r="AQ755" s="1933"/>
      <c r="AR755" s="1933"/>
      <c r="AS755" s="1933"/>
      <c r="AT755" s="1933"/>
      <c r="AU755" s="1933"/>
      <c r="AV755" s="1933"/>
      <c r="AW755" s="1933"/>
      <c r="AX755" s="1933"/>
      <c r="AY755" s="1933"/>
      <c r="AZ755" s="1933"/>
      <c r="BA755" s="1933"/>
      <c r="BB755" s="1933"/>
      <c r="BC755" s="1933"/>
      <c r="BD755" s="1933"/>
      <c r="BE755" s="1933"/>
      <c r="BF755" s="1933"/>
      <c r="BG755" s="1933"/>
      <c r="BH755" s="1933"/>
      <c r="BI755" s="1933"/>
      <c r="BJ755" s="1931"/>
      <c r="BK755" s="1931"/>
      <c r="BL755" s="1931"/>
      <c r="BM755" s="1931"/>
      <c r="BN755" s="1931"/>
      <c r="BO755" s="1931"/>
      <c r="BP755" s="1931"/>
      <c r="BQ755" s="1931"/>
      <c r="BR755" s="1931"/>
      <c r="BS755" s="1931"/>
      <c r="BT755" s="1931"/>
      <c r="BU755" s="1931"/>
      <c r="BV755" s="1931"/>
      <c r="BW755" s="1931"/>
      <c r="BX755" s="1931"/>
      <c r="BY755" s="1931"/>
      <c r="BZ755" s="1931"/>
      <c r="CA755" s="1931"/>
      <c r="CB755" s="1931"/>
      <c r="CC755" s="1931"/>
      <c r="CD755" s="1931"/>
      <c r="CE755" s="1930"/>
      <c r="CF755" s="1930"/>
      <c r="CG755" s="1930"/>
      <c r="CH755" s="1930"/>
      <c r="CI755" s="1931"/>
      <c r="CJ755" s="1931"/>
      <c r="CK755" s="1931"/>
      <c r="CL755" s="1931"/>
      <c r="CM755" s="1931"/>
      <c r="CN755" s="1931"/>
      <c r="CO755" s="1931"/>
      <c r="CP755" s="1931"/>
      <c r="CQ755" s="1931"/>
      <c r="CR755" s="1931"/>
      <c r="CS755" s="1931"/>
      <c r="CT755" s="1930"/>
      <c r="CU755" s="1930"/>
      <c r="CV755" s="1930"/>
      <c r="CW755" s="1930"/>
      <c r="CX755" s="1931"/>
      <c r="CY755" s="1931"/>
      <c r="CZ755" s="1931"/>
      <c r="DA755" s="1931"/>
      <c r="DB755" s="1932"/>
      <c r="DC755" s="1931"/>
      <c r="DD755" s="1931"/>
      <c r="DE755" s="1931"/>
      <c r="DF755" s="1931"/>
    </row>
    <row r="756" spans="2:112" hidden="1" outlineLevel="1" x14ac:dyDescent="0.25">
      <c r="B756" s="1931"/>
      <c r="D756" s="1300"/>
      <c r="E756" s="1965"/>
      <c r="F756" s="1965"/>
      <c r="G756" s="1965"/>
      <c r="H756" s="1301"/>
      <c r="I756" s="1965"/>
      <c r="J756" s="1965"/>
      <c r="K756" s="1965"/>
      <c r="L756" s="1965"/>
      <c r="M756" s="1966"/>
      <c r="N756" s="1965"/>
      <c r="O756" s="1965"/>
      <c r="P756" s="4483"/>
      <c r="Q756" s="4483"/>
      <c r="R756" s="1965"/>
      <c r="S756" s="1965"/>
      <c r="T756" s="1965"/>
      <c r="U756" s="1965"/>
      <c r="V756" s="1931"/>
      <c r="W756" s="1931"/>
      <c r="X756" s="1931"/>
      <c r="Y756" s="1933"/>
      <c r="Z756" s="1933"/>
      <c r="AA756" s="1933"/>
      <c r="AB756" s="1933"/>
      <c r="AC756" s="1933"/>
      <c r="AD756" s="1933"/>
      <c r="AE756" s="1933"/>
      <c r="AF756" s="1933"/>
      <c r="AG756" s="1933"/>
      <c r="AH756" s="1933"/>
      <c r="AI756" s="1933"/>
      <c r="AJ756" s="1933"/>
      <c r="AK756" s="1933"/>
      <c r="AL756" s="1933"/>
      <c r="AM756" s="1933"/>
      <c r="AN756" s="1933"/>
      <c r="AO756" s="1933"/>
      <c r="AP756" s="1933"/>
      <c r="AQ756" s="1933"/>
      <c r="AR756" s="1933"/>
      <c r="AS756" s="1933"/>
      <c r="AT756" s="1933"/>
      <c r="AU756" s="1933"/>
      <c r="AV756" s="1933"/>
      <c r="AW756" s="1933"/>
      <c r="AX756" s="1933"/>
      <c r="AY756" s="1933"/>
      <c r="AZ756" s="1933"/>
      <c r="BA756" s="1933"/>
      <c r="BB756" s="1933"/>
      <c r="BC756" s="1933"/>
      <c r="BD756" s="1933"/>
      <c r="BE756" s="1933"/>
      <c r="BF756" s="1933"/>
      <c r="BG756" s="1933"/>
      <c r="BH756" s="1933"/>
      <c r="BI756" s="1933"/>
      <c r="BJ756" s="1931"/>
      <c r="BK756" s="1931"/>
      <c r="BL756" s="1931"/>
      <c r="BM756" s="1931"/>
      <c r="BN756" s="1931"/>
      <c r="BO756" s="1931"/>
      <c r="BP756" s="1931"/>
      <c r="BQ756" s="1931"/>
      <c r="BR756" s="1931"/>
      <c r="BS756" s="1931"/>
      <c r="BT756" s="1931"/>
      <c r="BU756" s="1931"/>
      <c r="BV756" s="1931"/>
      <c r="BW756" s="1931"/>
      <c r="BX756" s="1931"/>
      <c r="BY756" s="1931"/>
      <c r="BZ756" s="1931"/>
      <c r="CA756" s="1931"/>
      <c r="CB756" s="1931"/>
      <c r="CC756" s="1931"/>
      <c r="CD756" s="1931"/>
      <c r="CE756" s="1930"/>
      <c r="CF756" s="1930"/>
      <c r="CG756" s="1930"/>
      <c r="CH756" s="1930"/>
      <c r="CI756" s="1931"/>
      <c r="CJ756" s="1931"/>
      <c r="CK756" s="1931"/>
      <c r="CL756" s="1931"/>
      <c r="CM756" s="1931"/>
      <c r="CN756" s="1931"/>
      <c r="CO756" s="1931"/>
      <c r="CP756" s="1931"/>
      <c r="CQ756" s="1931"/>
      <c r="CR756" s="1931"/>
      <c r="CS756" s="1931"/>
      <c r="CT756" s="1930"/>
      <c r="CU756" s="1930"/>
      <c r="CV756" s="1930"/>
      <c r="CW756" s="1930"/>
      <c r="CX756" s="1931"/>
      <c r="CY756" s="1931"/>
      <c r="CZ756" s="1931"/>
      <c r="DA756" s="1931"/>
      <c r="DB756" s="1932"/>
      <c r="DC756" s="1931"/>
      <c r="DD756" s="1931"/>
      <c r="DE756" s="1931"/>
      <c r="DF756" s="1931"/>
    </row>
    <row r="757" spans="2:112" hidden="1" outlineLevel="1" x14ac:dyDescent="0.25">
      <c r="B757" s="1931"/>
      <c r="D757" s="1300"/>
      <c r="E757" s="1965"/>
      <c r="F757" s="1965"/>
      <c r="G757" s="1965"/>
      <c r="H757" s="1301"/>
      <c r="I757" s="1965"/>
      <c r="J757" s="1965"/>
      <c r="K757" s="1965"/>
      <c r="L757" s="1965"/>
      <c r="M757" s="1966"/>
      <c r="N757" s="1965"/>
      <c r="O757" s="1965"/>
      <c r="P757" s="4483"/>
      <c r="Q757" s="4483"/>
      <c r="R757" s="1965"/>
      <c r="S757" s="1965"/>
      <c r="T757" s="1965"/>
      <c r="U757" s="1965"/>
      <c r="V757" s="1931"/>
      <c r="W757" s="1931"/>
      <c r="X757" s="1931"/>
      <c r="Y757" s="1931"/>
      <c r="Z757" s="1931"/>
      <c r="AA757" s="1931"/>
      <c r="AB757" s="1931"/>
      <c r="AC757" s="1931"/>
      <c r="AD757" s="1931"/>
      <c r="AE757" s="1931"/>
      <c r="AF757" s="1931"/>
      <c r="AG757" s="1931"/>
      <c r="AH757" s="1931"/>
      <c r="AI757" s="1931"/>
      <c r="AJ757" s="1931"/>
      <c r="AK757" s="1931"/>
      <c r="AL757" s="1931"/>
      <c r="AM757" s="1931"/>
      <c r="AN757" s="1931"/>
      <c r="AO757" s="1931"/>
      <c r="AP757" s="1931"/>
      <c r="AQ757" s="1931"/>
      <c r="AR757" s="1931"/>
      <c r="AS757" s="1931"/>
      <c r="AT757" s="1931"/>
      <c r="AU757" s="1931"/>
      <c r="AV757" s="1931"/>
      <c r="AW757" s="1931"/>
      <c r="AX757" s="1931"/>
      <c r="AY757" s="1931"/>
      <c r="AZ757" s="1931"/>
      <c r="BA757" s="1931"/>
      <c r="BB757" s="1931"/>
      <c r="BC757" s="1931"/>
      <c r="BD757" s="1931"/>
      <c r="BE757" s="1931"/>
      <c r="BF757" s="1931"/>
      <c r="BG757" s="1931"/>
      <c r="BH757" s="1931"/>
      <c r="BI757" s="1931"/>
      <c r="BJ757" s="1931"/>
      <c r="BK757" s="1931"/>
      <c r="BL757" s="1931"/>
      <c r="BM757" s="1931"/>
      <c r="BN757" s="1931"/>
      <c r="BO757" s="1931"/>
      <c r="BP757" s="1931"/>
      <c r="BQ757" s="1931"/>
      <c r="BR757" s="1931"/>
      <c r="BS757" s="1931"/>
      <c r="BT757" s="1931"/>
      <c r="BU757" s="1931"/>
      <c r="BV757" s="1931"/>
      <c r="BW757" s="1931"/>
      <c r="BX757" s="1931"/>
      <c r="BY757" s="1931"/>
      <c r="BZ757" s="1931"/>
      <c r="CA757" s="1931"/>
      <c r="CB757" s="1931"/>
      <c r="CC757" s="1931"/>
      <c r="CD757" s="1931"/>
      <c r="CE757" s="1930"/>
      <c r="CF757" s="1930"/>
      <c r="CG757" s="1930"/>
      <c r="CH757" s="1930"/>
      <c r="CI757" s="1931"/>
      <c r="CJ757" s="1931"/>
      <c r="CK757" s="1931"/>
      <c r="CL757" s="1931"/>
      <c r="CM757" s="1931"/>
      <c r="CN757" s="1931"/>
      <c r="CO757" s="1931"/>
      <c r="CP757" s="1931"/>
      <c r="CQ757" s="1931"/>
      <c r="CR757" s="1931"/>
      <c r="CS757" s="1931"/>
      <c r="CT757" s="1930"/>
      <c r="CU757" s="1930"/>
      <c r="CV757" s="1930"/>
      <c r="CW757" s="1930"/>
      <c r="CX757" s="1931"/>
      <c r="CY757" s="1931"/>
      <c r="CZ757" s="1931"/>
      <c r="DA757" s="1931"/>
      <c r="DB757" s="1932"/>
      <c r="DC757" s="1931"/>
      <c r="DD757" s="1931"/>
      <c r="DE757" s="1931"/>
      <c r="DF757" s="1931"/>
    </row>
    <row r="758" spans="2:112" hidden="1" outlineLevel="1" x14ac:dyDescent="0.25">
      <c r="B758" s="1931"/>
      <c r="D758" s="1300"/>
      <c r="E758" s="1965"/>
      <c r="F758" s="1965"/>
      <c r="G758" s="1965"/>
      <c r="H758" s="1301"/>
      <c r="I758" s="1965"/>
      <c r="J758" s="1965"/>
      <c r="K758" s="1965"/>
      <c r="L758" s="1965"/>
      <c r="M758" s="1966"/>
      <c r="N758" s="1965"/>
      <c r="O758" s="1965"/>
      <c r="P758" s="1965"/>
      <c r="Q758" s="1965"/>
      <c r="R758" s="1965"/>
      <c r="S758" s="1965"/>
      <c r="T758" s="1965"/>
      <c r="U758" s="1965"/>
      <c r="V758" s="1931"/>
      <c r="W758" s="1931"/>
      <c r="X758" s="1931"/>
      <c r="Y758" s="1931"/>
      <c r="Z758" s="1931"/>
      <c r="AA758" s="1931"/>
      <c r="AB758" s="1931"/>
      <c r="AC758" s="1931"/>
      <c r="AD758" s="1931"/>
      <c r="AE758" s="1931"/>
      <c r="AF758" s="1931"/>
      <c r="AG758" s="1931"/>
      <c r="AH758" s="1931"/>
      <c r="AI758" s="1931"/>
      <c r="AJ758" s="1931"/>
      <c r="AK758" s="1931"/>
      <c r="AL758" s="1931"/>
      <c r="AM758" s="1931"/>
      <c r="AN758" s="1931"/>
      <c r="AO758" s="1931"/>
      <c r="AP758" s="1931"/>
      <c r="AQ758" s="1931"/>
      <c r="AR758" s="1931"/>
      <c r="AS758" s="1931"/>
      <c r="AT758" s="1931"/>
      <c r="AU758" s="1931"/>
      <c r="AV758" s="1931"/>
      <c r="AW758" s="1931"/>
      <c r="AX758" s="1931"/>
      <c r="AY758" s="1931"/>
      <c r="AZ758" s="1931"/>
      <c r="BA758" s="1931"/>
      <c r="BB758" s="1931"/>
      <c r="BC758" s="1931"/>
      <c r="BD758" s="1931"/>
      <c r="BE758" s="1931"/>
      <c r="BF758" s="1931"/>
      <c r="BG758" s="1931"/>
      <c r="BH758" s="1931"/>
      <c r="BI758" s="1931"/>
      <c r="BJ758" s="1931"/>
      <c r="BK758" s="1931"/>
      <c r="BL758" s="1931"/>
      <c r="BM758" s="1931"/>
      <c r="BN758" s="1931"/>
      <c r="BO758" s="1931"/>
      <c r="BP758" s="1931"/>
      <c r="BQ758" s="1931"/>
      <c r="BR758" s="1931"/>
      <c r="BS758" s="1931"/>
      <c r="BT758" s="1931"/>
      <c r="BU758" s="1931"/>
      <c r="BV758" s="1931"/>
      <c r="BW758" s="1931"/>
      <c r="BX758" s="1931"/>
      <c r="BY758" s="1931"/>
      <c r="BZ758" s="1931"/>
      <c r="CA758" s="1931"/>
      <c r="CB758" s="1931"/>
      <c r="CC758" s="1931"/>
      <c r="CD758" s="1931"/>
      <c r="CE758" s="1930"/>
      <c r="CF758" s="1930"/>
      <c r="CG758" s="1930"/>
      <c r="CH758" s="1930"/>
      <c r="CI758" s="1931"/>
      <c r="CJ758" s="1931"/>
      <c r="CK758" s="1931"/>
      <c r="CL758" s="1931"/>
      <c r="CM758" s="1931"/>
      <c r="CN758" s="1931"/>
      <c r="CO758" s="1931"/>
      <c r="CP758" s="1931"/>
      <c r="CQ758" s="1931"/>
      <c r="CR758" s="1931"/>
      <c r="CS758" s="1931"/>
      <c r="CT758" s="1930"/>
      <c r="CU758" s="1930"/>
      <c r="CV758" s="1930"/>
      <c r="CW758" s="1930"/>
      <c r="CX758" s="1931"/>
      <c r="CY758" s="1931"/>
      <c r="CZ758" s="1931"/>
      <c r="DA758" s="1931"/>
      <c r="DB758" s="1932"/>
      <c r="DC758" s="1931"/>
      <c r="DD758" s="1931"/>
      <c r="DE758" s="1931"/>
      <c r="DF758" s="1931"/>
    </row>
    <row r="759" spans="2:112" hidden="1" outlineLevel="1" x14ac:dyDescent="0.25">
      <c r="B759" s="1931"/>
      <c r="D759" s="1300"/>
      <c r="E759" s="1965"/>
      <c r="F759" s="1965"/>
      <c r="G759" s="1965"/>
      <c r="H759" s="1301"/>
      <c r="I759" s="1965"/>
      <c r="J759" s="1965"/>
      <c r="K759" s="1965"/>
      <c r="L759" s="1965"/>
      <c r="M759" s="1965"/>
      <c r="N759" s="1965"/>
      <c r="O759" s="1965"/>
      <c r="P759" s="1965"/>
      <c r="Q759" s="1965"/>
      <c r="R759" s="1965"/>
      <c r="S759" s="1965"/>
      <c r="T759" s="1965"/>
      <c r="U759" s="1965"/>
      <c r="V759" s="1931"/>
      <c r="W759" s="1931"/>
      <c r="X759" s="1931"/>
      <c r="Y759" s="1931"/>
      <c r="Z759" s="1931"/>
      <c r="AA759" s="1931"/>
      <c r="AB759" s="1931"/>
      <c r="AC759" s="1931"/>
      <c r="AD759" s="1931"/>
      <c r="AE759" s="1931"/>
      <c r="AF759" s="1931"/>
      <c r="AG759" s="1931"/>
      <c r="AH759" s="1931"/>
      <c r="AI759" s="1931"/>
      <c r="AJ759" s="1931"/>
      <c r="AK759" s="1931"/>
      <c r="AL759" s="1931"/>
      <c r="AM759" s="1931"/>
      <c r="AN759" s="1931"/>
      <c r="AO759" s="1931"/>
      <c r="AP759" s="1931"/>
      <c r="AQ759" s="1931"/>
      <c r="AR759" s="1931"/>
      <c r="AS759" s="1931"/>
      <c r="AT759" s="1931"/>
      <c r="AU759" s="1931"/>
      <c r="AV759" s="1931"/>
      <c r="AW759" s="1931"/>
      <c r="AX759" s="1931"/>
      <c r="AY759" s="1931"/>
      <c r="AZ759" s="1931"/>
      <c r="BA759" s="1931"/>
      <c r="BB759" s="1931"/>
      <c r="BC759" s="1931"/>
      <c r="BD759" s="1931"/>
      <c r="BE759" s="1931"/>
      <c r="BF759" s="1931"/>
      <c r="BG759" s="1931"/>
      <c r="BH759" s="1931"/>
      <c r="BI759" s="1931"/>
      <c r="BJ759" s="1931"/>
      <c r="BK759" s="1931"/>
      <c r="BL759" s="1931"/>
      <c r="BM759" s="1931"/>
      <c r="BN759" s="1931"/>
      <c r="BO759" s="1931"/>
      <c r="BP759" s="1931"/>
      <c r="BQ759" s="1931"/>
      <c r="BR759" s="1931"/>
      <c r="BS759" s="1931"/>
      <c r="BT759" s="1931"/>
      <c r="BU759" s="1931"/>
      <c r="BV759" s="1931"/>
      <c r="BW759" s="1931"/>
      <c r="BX759" s="1931"/>
      <c r="BY759" s="1931"/>
      <c r="BZ759" s="1931"/>
      <c r="CA759" s="1931"/>
      <c r="CB759" s="1931"/>
      <c r="CC759" s="1931"/>
      <c r="CD759" s="1931"/>
      <c r="CE759" s="1930"/>
      <c r="CF759" s="1930"/>
      <c r="CG759" s="1930"/>
      <c r="CH759" s="1930"/>
      <c r="CI759" s="1931"/>
      <c r="CJ759" s="1931"/>
      <c r="CK759" s="1931"/>
      <c r="CL759" s="1931"/>
      <c r="CM759" s="1931"/>
      <c r="CN759" s="1931"/>
      <c r="CO759" s="1931"/>
      <c r="CP759" s="1931"/>
      <c r="CQ759" s="1931"/>
      <c r="CR759" s="1931"/>
      <c r="CS759" s="1931"/>
      <c r="CT759" s="1930"/>
      <c r="CU759" s="1930"/>
      <c r="CV759" s="1930"/>
      <c r="CW759" s="1930"/>
      <c r="CX759" s="1931"/>
      <c r="CY759" s="1931"/>
      <c r="CZ759" s="1931"/>
      <c r="DA759" s="1931"/>
      <c r="DB759" s="1932"/>
      <c r="DC759" s="1931"/>
      <c r="DD759" s="1931"/>
      <c r="DE759" s="1931"/>
      <c r="DF759" s="1931"/>
    </row>
    <row r="760" spans="2:112" s="55" customFormat="1" hidden="1" outlineLevel="1" x14ac:dyDescent="0.25">
      <c r="C760" s="151"/>
      <c r="D760" s="3081" t="s">
        <v>28</v>
      </c>
      <c r="E760" s="3081" t="s">
        <v>2758</v>
      </c>
      <c r="F760" s="81" t="s">
        <v>3149</v>
      </c>
      <c r="G760" s="3081" t="s">
        <v>3150</v>
      </c>
      <c r="H760" s="3081" t="s">
        <v>3151</v>
      </c>
      <c r="I760" s="401"/>
      <c r="J760" s="401"/>
      <c r="K760" s="401"/>
      <c r="L760" s="401"/>
      <c r="M760" s="401"/>
      <c r="N760" s="401"/>
      <c r="O760" s="401"/>
      <c r="P760" s="401"/>
      <c r="Q760" s="401"/>
      <c r="R760" s="401"/>
      <c r="S760" s="401"/>
      <c r="T760" s="401"/>
      <c r="U760" s="401"/>
      <c r="DB760" s="72"/>
    </row>
    <row r="761" spans="2:112" hidden="1" outlineLevel="1" x14ac:dyDescent="0.25">
      <c r="B761" s="1931"/>
      <c r="D761" s="1967" t="str">
        <f>C751</f>
        <v>805800_2019_12_</v>
      </c>
      <c r="E761" s="1967" t="str">
        <f>E751</f>
        <v>Advanced RTU Controls</v>
      </c>
      <c r="F761" s="1357">
        <v>1</v>
      </c>
      <c r="G761" s="1420">
        <v>0.55800000000000005</v>
      </c>
      <c r="H761" s="90">
        <v>6773</v>
      </c>
      <c r="I761" s="1965"/>
      <c r="J761" s="1965"/>
      <c r="K761" s="1965"/>
      <c r="L761" s="1965"/>
      <c r="M761" s="1965"/>
      <c r="N761" s="1965"/>
      <c r="O761" s="1965"/>
      <c r="P761" s="1965"/>
      <c r="Q761" s="1965"/>
      <c r="R761" s="1965"/>
      <c r="S761" s="1965"/>
      <c r="T761" s="1965"/>
      <c r="U761" s="1965"/>
      <c r="V761" s="1931"/>
      <c r="W761" s="1931"/>
      <c r="X761" s="1931"/>
      <c r="Y761" s="1931"/>
      <c r="Z761" s="1931"/>
      <c r="AA761" s="1931"/>
      <c r="AB761" s="1931"/>
      <c r="AC761" s="1931"/>
      <c r="AD761" s="1931"/>
      <c r="AE761" s="1931"/>
      <c r="AF761" s="1931"/>
      <c r="AG761" s="1931"/>
      <c r="AH761" s="1931"/>
      <c r="AI761" s="1931"/>
      <c r="AJ761" s="1931"/>
      <c r="AK761" s="1931"/>
      <c r="AL761" s="1931"/>
      <c r="AM761" s="1931"/>
      <c r="AN761" s="1931"/>
      <c r="AO761" s="1931"/>
      <c r="AP761" s="1931"/>
      <c r="AQ761" s="1931"/>
      <c r="AR761" s="1931"/>
      <c r="AS761" s="1931"/>
      <c r="AT761" s="1931"/>
      <c r="AU761" s="1931"/>
      <c r="AV761" s="1931"/>
      <c r="AW761" s="1931"/>
      <c r="AX761" s="1931"/>
      <c r="AY761" s="1931"/>
      <c r="AZ761" s="1931"/>
      <c r="BA761" s="1931"/>
      <c r="BB761" s="1931"/>
      <c r="BC761" s="1931"/>
      <c r="BD761" s="1931"/>
      <c r="BE761" s="1931"/>
      <c r="BF761" s="1931"/>
      <c r="BG761" s="1931"/>
      <c r="BH761" s="1931"/>
      <c r="BI761" s="1931"/>
      <c r="BJ761" s="1931"/>
      <c r="BK761" s="1931"/>
      <c r="BL761" s="1931"/>
      <c r="BM761" s="1931"/>
      <c r="BN761" s="1931"/>
      <c r="BO761" s="1931"/>
      <c r="BP761" s="1931"/>
      <c r="BQ761" s="1931"/>
      <c r="BR761" s="1931"/>
      <c r="BS761" s="1931"/>
      <c r="BT761" s="1931"/>
      <c r="BU761" s="1931"/>
      <c r="BV761" s="1931"/>
      <c r="BW761" s="1931"/>
      <c r="BX761" s="1931"/>
      <c r="BY761" s="1931"/>
      <c r="BZ761" s="1931"/>
      <c r="CA761" s="1931"/>
      <c r="CB761" s="1931"/>
      <c r="CC761" s="1931"/>
      <c r="CD761" s="1931"/>
      <c r="CE761" s="1930"/>
      <c r="CF761" s="1930"/>
      <c r="CG761" s="1930"/>
      <c r="CH761" s="1930"/>
      <c r="CI761" s="1931"/>
      <c r="CJ761" s="1931"/>
      <c r="CK761" s="1931"/>
      <c r="CL761" s="1931"/>
      <c r="CM761" s="1931"/>
      <c r="CN761" s="1931"/>
      <c r="CO761" s="1931"/>
      <c r="CP761" s="1931"/>
      <c r="CQ761" s="1931"/>
      <c r="CR761" s="1931"/>
      <c r="CS761" s="1931"/>
      <c r="CT761" s="1930"/>
      <c r="CU761" s="1930"/>
      <c r="CV761" s="1930"/>
      <c r="CW761" s="1930"/>
      <c r="CX761" s="1931"/>
      <c r="CY761" s="1931"/>
      <c r="CZ761" s="1931"/>
      <c r="DA761" s="1931"/>
      <c r="DB761" s="1932"/>
      <c r="DC761" s="1931"/>
      <c r="DD761" s="1931"/>
      <c r="DE761" s="1931"/>
      <c r="DF761" s="1931"/>
    </row>
    <row r="762" spans="2:112" collapsed="1" x14ac:dyDescent="0.25">
      <c r="B762" s="1931"/>
      <c r="D762" s="1966"/>
      <c r="E762" s="1965"/>
      <c r="F762" s="1965"/>
      <c r="G762" s="1968"/>
      <c r="H762" s="1969"/>
      <c r="I762" s="1965"/>
      <c r="J762" s="1965"/>
      <c r="K762" s="1965"/>
      <c r="L762" s="1965"/>
      <c r="M762" s="1965"/>
      <c r="N762" s="1965"/>
      <c r="O762" s="1965"/>
      <c r="P762" s="1965"/>
      <c r="Q762" s="1965"/>
      <c r="R762" s="1965"/>
      <c r="S762" s="1965"/>
      <c r="T762" s="1965"/>
      <c r="U762" s="1965"/>
      <c r="V762" s="1931"/>
      <c r="W762" s="1931"/>
      <c r="X762" s="1931"/>
      <c r="Y762" s="1931"/>
      <c r="Z762" s="1931"/>
      <c r="AA762" s="1931"/>
      <c r="AB762" s="1931"/>
      <c r="AC762" s="1931"/>
      <c r="AD762" s="1931"/>
      <c r="AE762" s="1931"/>
      <c r="AF762" s="1931"/>
      <c r="AG762" s="1931"/>
      <c r="AH762" s="1931"/>
      <c r="AI762" s="1931"/>
      <c r="AJ762" s="1931"/>
      <c r="AK762" s="1931"/>
      <c r="AL762" s="1931"/>
      <c r="AM762" s="1931"/>
      <c r="AN762" s="1931"/>
      <c r="AO762" s="1931"/>
      <c r="AP762" s="1931"/>
      <c r="AQ762" s="1931"/>
      <c r="AR762" s="1931"/>
      <c r="AS762" s="1931"/>
      <c r="AT762" s="1931"/>
      <c r="AU762" s="1931"/>
      <c r="AV762" s="1931"/>
      <c r="AW762" s="1931"/>
      <c r="AX762" s="1931"/>
      <c r="AY762" s="1931"/>
      <c r="AZ762" s="1931"/>
      <c r="BA762" s="1931"/>
      <c r="BB762" s="1931"/>
      <c r="BC762" s="1931"/>
      <c r="BD762" s="1931"/>
      <c r="BE762" s="1931"/>
      <c r="BF762" s="1931"/>
      <c r="BG762" s="1931"/>
      <c r="BH762" s="1931"/>
      <c r="BI762" s="1931"/>
      <c r="BJ762" s="1931"/>
      <c r="BK762" s="1931"/>
      <c r="BL762" s="1931"/>
      <c r="BM762" s="1931"/>
      <c r="BN762" s="1931"/>
      <c r="BO762" s="1931"/>
      <c r="BP762" s="1931"/>
      <c r="BQ762" s="1931"/>
      <c r="BR762" s="1931"/>
      <c r="BS762" s="1931"/>
      <c r="BT762" s="1931"/>
      <c r="BU762" s="1931"/>
      <c r="BV762" s="1931"/>
      <c r="BW762" s="1931"/>
      <c r="BX762" s="1931"/>
      <c r="BY762" s="1931"/>
      <c r="BZ762" s="1931"/>
      <c r="CA762" s="1931"/>
      <c r="CB762" s="1931"/>
      <c r="CC762" s="1931"/>
      <c r="CD762" s="1931"/>
      <c r="CE762" s="1930"/>
      <c r="CF762" s="1930"/>
      <c r="CG762" s="1930"/>
      <c r="CH762" s="1930"/>
      <c r="CI762" s="1931"/>
      <c r="CJ762" s="1931"/>
      <c r="CK762" s="1931"/>
      <c r="CL762" s="1931"/>
      <c r="CM762" s="1931"/>
      <c r="CN762" s="1931"/>
      <c r="CO762" s="1931"/>
      <c r="CP762" s="1931"/>
      <c r="CQ762" s="1931"/>
      <c r="CR762" s="1931"/>
      <c r="CS762" s="1931"/>
      <c r="CT762" s="1930"/>
      <c r="CU762" s="1930"/>
      <c r="CV762" s="1930"/>
      <c r="CW762" s="1930"/>
      <c r="CX762" s="1931"/>
      <c r="CY762" s="1931"/>
      <c r="CZ762" s="1931"/>
      <c r="DA762" s="1931"/>
      <c r="DB762" s="1932"/>
      <c r="DC762" s="1931"/>
      <c r="DD762" s="1931"/>
      <c r="DE762" s="1931"/>
      <c r="DF762" s="1931"/>
    </row>
    <row r="764" spans="2:112" s="43" customFormat="1" x14ac:dyDescent="0.25">
      <c r="B764" s="4484" t="s">
        <v>3152</v>
      </c>
      <c r="C764" s="4485"/>
      <c r="D764" s="4485"/>
      <c r="E764" s="4485"/>
      <c r="F764" s="4485"/>
      <c r="G764" s="4485"/>
      <c r="H764" s="4485"/>
      <c r="I764" s="4486"/>
      <c r="J764" s="4486"/>
      <c r="K764" s="4486"/>
      <c r="L764" s="4486"/>
      <c r="M764" s="3752"/>
      <c r="N764" s="3752"/>
      <c r="O764" s="3753"/>
      <c r="P764" s="1935"/>
      <c r="Q764" s="1935"/>
      <c r="R764" s="1935"/>
      <c r="S764" s="1935"/>
      <c r="T764" s="1935"/>
      <c r="U764" s="1935"/>
      <c r="V764" s="3077" t="str">
        <f>B764</f>
        <v>PTAC &amp; PTHP</v>
      </c>
      <c r="W764" s="3078"/>
      <c r="X764" s="3078"/>
      <c r="Y764" s="3078"/>
      <c r="Z764" s="3078"/>
      <c r="AA764" s="3078"/>
      <c r="AB764" s="3078"/>
      <c r="AC764" s="3078"/>
      <c r="AD764" s="3078"/>
      <c r="AE764" s="3078"/>
      <c r="AF764" s="3078"/>
      <c r="AG764" s="3078"/>
      <c r="AH764" s="3078"/>
      <c r="AI764" s="3170"/>
      <c r="AJ764" s="1931"/>
      <c r="AK764" s="1931"/>
      <c r="AL764" s="1931"/>
      <c r="AM764" s="1931"/>
      <c r="AN764" s="1931"/>
      <c r="AO764" s="1931"/>
      <c r="AP764" s="1931"/>
      <c r="AQ764" s="1931"/>
      <c r="AR764" s="1931"/>
      <c r="AS764" s="1931"/>
      <c r="AT764" s="1931"/>
      <c r="AU764" s="1931"/>
      <c r="AV764" s="1935"/>
      <c r="AW764" s="1935"/>
      <c r="AX764" s="1935"/>
      <c r="AY764" s="1935"/>
      <c r="AZ764" s="1935"/>
      <c r="BA764" s="1935"/>
      <c r="BB764" s="1935"/>
      <c r="BC764" s="1935"/>
      <c r="BD764" s="1935"/>
      <c r="BE764" s="1935"/>
      <c r="BF764" s="1935"/>
      <c r="BG764" s="1935"/>
      <c r="BH764" s="1935"/>
      <c r="BI764" s="1935"/>
      <c r="BJ764" s="1935"/>
      <c r="BK764" s="1935"/>
      <c r="BL764" s="1935"/>
      <c r="BM764" s="1935"/>
      <c r="BN764" s="1935"/>
      <c r="BO764" s="1935"/>
      <c r="BP764" s="1935"/>
      <c r="BQ764" s="1935"/>
      <c r="BR764" s="1935"/>
      <c r="BS764" s="1935"/>
      <c r="BT764" s="1935"/>
      <c r="BU764" s="1935"/>
      <c r="BV764" s="1935"/>
      <c r="BW764" s="1935"/>
      <c r="BX764" s="1935"/>
      <c r="BY764" s="1935"/>
      <c r="BZ764" s="1935"/>
      <c r="CA764" s="1935"/>
      <c r="CB764" s="1935"/>
      <c r="CC764" s="1935"/>
      <c r="CD764" s="1935"/>
      <c r="CE764" s="1935"/>
      <c r="CF764" s="1935"/>
      <c r="CG764" s="1935"/>
      <c r="CH764" s="1935"/>
      <c r="CI764" s="1935"/>
      <c r="CJ764" s="1935"/>
      <c r="CK764" s="1935"/>
      <c r="CL764" s="1935"/>
      <c r="CM764" s="1935"/>
      <c r="CN764" s="1935"/>
      <c r="CO764" s="1935"/>
      <c r="CP764" s="1935"/>
      <c r="CQ764" s="1935"/>
      <c r="CR764" s="1935"/>
      <c r="CS764" s="1935"/>
      <c r="CT764" s="1935"/>
      <c r="CU764" s="1935"/>
      <c r="CV764" s="1935"/>
      <c r="CW764" s="1935"/>
      <c r="CX764" s="1935"/>
      <c r="CY764" s="1935"/>
      <c r="CZ764" s="1935"/>
      <c r="DA764" s="1935"/>
      <c r="DB764" s="73"/>
      <c r="DC764" s="1935"/>
      <c r="DD764" s="1935"/>
      <c r="DE764" s="1935"/>
      <c r="DF764" s="1935"/>
      <c r="DG764" s="1935"/>
      <c r="DH764" s="1935"/>
    </row>
    <row r="765" spans="2:112" x14ac:dyDescent="0.25">
      <c r="B765" s="1931"/>
      <c r="D765" s="1286"/>
      <c r="E765" s="1966"/>
      <c r="F765" s="1966"/>
      <c r="G765" s="1966"/>
      <c r="H765" s="1287"/>
      <c r="I765" s="1966"/>
      <c r="J765" s="1966"/>
      <c r="K765" s="1966"/>
      <c r="L765" s="1966"/>
      <c r="M765" s="1965"/>
      <c r="N765" s="1965"/>
      <c r="O765" s="1965"/>
      <c r="P765" s="1966"/>
      <c r="Q765" s="1966"/>
      <c r="R765" s="1966"/>
      <c r="S765" s="1966"/>
      <c r="T765" s="1966"/>
      <c r="U765" s="1966"/>
      <c r="V765" s="1930"/>
      <c r="W765" s="1930"/>
      <c r="X765" s="1930"/>
      <c r="Y765" s="1930"/>
      <c r="Z765" s="1930"/>
      <c r="AA765" s="1930"/>
      <c r="AB765" s="1930"/>
      <c r="AC765" s="1930"/>
      <c r="AD765" s="1930"/>
      <c r="AE765" s="1930"/>
      <c r="AF765" s="1930"/>
      <c r="AG765" s="1930"/>
      <c r="AH765" s="1930"/>
      <c r="AI765" s="1930"/>
      <c r="AJ765" s="1934"/>
      <c r="AK765" s="1934"/>
      <c r="AL765" s="1934"/>
      <c r="AM765" s="1934"/>
      <c r="AN765" s="1934"/>
      <c r="AO765" s="1934"/>
      <c r="AP765" s="1934"/>
      <c r="AQ765" s="1934"/>
      <c r="AR765" s="1934"/>
      <c r="AS765" s="1934"/>
      <c r="AT765" s="1934"/>
      <c r="AU765" s="1934"/>
      <c r="AV765" s="1931"/>
      <c r="AW765" s="1931"/>
      <c r="AX765" s="1931"/>
      <c r="AY765" s="1931"/>
      <c r="AZ765" s="1931"/>
      <c r="BA765" s="1931"/>
      <c r="BB765" s="1931"/>
      <c r="BC765" s="1931"/>
      <c r="BD765" s="1931"/>
      <c r="BE765" s="1931"/>
      <c r="BF765" s="1931"/>
      <c r="BG765" s="1931"/>
      <c r="BH765" s="1931"/>
      <c r="BI765" s="1931"/>
      <c r="BJ765" s="1931"/>
      <c r="BK765" s="1931"/>
      <c r="BL765" s="1931"/>
      <c r="BM765" s="1931"/>
      <c r="BN765" s="1931"/>
      <c r="BO765" s="1931"/>
      <c r="BP765" s="1931"/>
      <c r="BQ765" s="1931"/>
      <c r="BR765" s="1931"/>
      <c r="BS765" s="1931"/>
      <c r="BT765" s="1931"/>
      <c r="BU765" s="1931"/>
      <c r="BV765" s="1931"/>
      <c r="BW765" s="1931"/>
      <c r="BX765" s="1931"/>
      <c r="BY765" s="1931"/>
      <c r="BZ765" s="1931"/>
      <c r="CA765" s="1931"/>
      <c r="CB765" s="1931"/>
      <c r="CC765" s="1931"/>
      <c r="CD765" s="1931"/>
      <c r="CE765" s="1930"/>
      <c r="CF765" s="1930"/>
      <c r="CG765" s="1930"/>
      <c r="CH765" s="1930"/>
      <c r="CI765" s="1931"/>
      <c r="CJ765" s="1931"/>
      <c r="CK765" s="1931"/>
      <c r="CL765" s="1931"/>
      <c r="CM765" s="1931"/>
      <c r="CN765" s="1931"/>
      <c r="CO765" s="1931"/>
      <c r="CP765" s="1931"/>
      <c r="CQ765" s="1931"/>
      <c r="CR765" s="1931"/>
      <c r="CS765" s="1931"/>
      <c r="CT765" s="1930"/>
      <c r="CU765" s="1930"/>
      <c r="CV765" s="1930"/>
      <c r="CW765" s="1930"/>
      <c r="CX765" s="1931"/>
      <c r="CY765" s="1931"/>
      <c r="CZ765" s="1931"/>
      <c r="DA765" s="1931"/>
      <c r="DB765" s="1932"/>
      <c r="DC765" s="1931"/>
      <c r="DD765" s="1931"/>
      <c r="DE765" s="1931"/>
      <c r="DF765" s="1931"/>
    </row>
    <row r="766" spans="2:112" s="44" customFormat="1" ht="45" x14ac:dyDescent="0.25">
      <c r="B766" s="45"/>
      <c r="C766" s="46" t="s">
        <v>28</v>
      </c>
      <c r="D766" s="46" t="s">
        <v>29</v>
      </c>
      <c r="E766" s="3196" t="s">
        <v>30</v>
      </c>
      <c r="F766" s="3196" t="s">
        <v>3153</v>
      </c>
      <c r="G766" s="3196" t="s">
        <v>3154</v>
      </c>
      <c r="H766" s="3196" t="s">
        <v>176</v>
      </c>
      <c r="I766" s="47" t="s">
        <v>177</v>
      </c>
      <c r="J766" s="3196" t="s">
        <v>3155</v>
      </c>
      <c r="K766" s="3196" t="s">
        <v>3156</v>
      </c>
      <c r="L766" s="3196" t="s">
        <v>181</v>
      </c>
      <c r="M766" s="46" t="s">
        <v>2970</v>
      </c>
      <c r="N766" s="46" t="s">
        <v>44</v>
      </c>
      <c r="O766" s="1965"/>
      <c r="P766" s="1965"/>
      <c r="Q766" s="1965"/>
      <c r="R766" s="1288"/>
      <c r="S766" s="1288"/>
      <c r="T766" s="1288"/>
      <c r="U766" s="1288"/>
      <c r="V766" s="1936" t="s">
        <v>45</v>
      </c>
      <c r="W766" s="1937">
        <f>$W$8</f>
        <v>43252</v>
      </c>
      <c r="X766" s="1937">
        <f>$X$8</f>
        <v>43465</v>
      </c>
      <c r="Y766" s="1937">
        <f>$Y$8</f>
        <v>43800</v>
      </c>
      <c r="Z766" s="1937">
        <f>$Z$8</f>
        <v>43862</v>
      </c>
      <c r="AA766" s="1937">
        <f>$AA$8</f>
        <v>44013</v>
      </c>
      <c r="AB766" s="1937">
        <v>44166</v>
      </c>
      <c r="AC766" s="1937">
        <f>$AC$8</f>
        <v>44531</v>
      </c>
      <c r="AD766" s="1937" t="str">
        <f>$AD$8</f>
        <v>-</v>
      </c>
      <c r="AE766" s="1937" t="str">
        <f>$AE$8</f>
        <v>-</v>
      </c>
      <c r="AF766" s="1937" t="str">
        <f>$AF$8</f>
        <v>-</v>
      </c>
      <c r="AG766" s="1937" t="str">
        <f>$AG$8</f>
        <v>-</v>
      </c>
      <c r="AH766" s="1930"/>
      <c r="AI766" s="1936" t="s">
        <v>45</v>
      </c>
      <c r="AJ766" s="1937">
        <v>43252</v>
      </c>
      <c r="AK766" s="1937">
        <f>$X$8</f>
        <v>43465</v>
      </c>
      <c r="AL766" s="1937">
        <f>$Y$8</f>
        <v>43800</v>
      </c>
      <c r="AM766" s="1937">
        <f>$Z$8</f>
        <v>43862</v>
      </c>
      <c r="AN766" s="1937">
        <f>$AA$8</f>
        <v>44013</v>
      </c>
      <c r="AO766" s="1937">
        <f>$AB$8</f>
        <v>44166</v>
      </c>
      <c r="AP766" s="1937">
        <f>$AC$8</f>
        <v>44531</v>
      </c>
      <c r="AQ766" s="1937" t="str">
        <f>$AD$8</f>
        <v>-</v>
      </c>
      <c r="AR766" s="1937" t="str">
        <f>$AE$8</f>
        <v>-</v>
      </c>
      <c r="AS766" s="1937" t="str">
        <f>$AF$8</f>
        <v>-</v>
      </c>
      <c r="AT766" s="1930"/>
      <c r="AU766" s="1936" t="s">
        <v>45</v>
      </c>
      <c r="AV766" s="1937">
        <v>43252</v>
      </c>
      <c r="AW766" s="1937">
        <f>$X$8</f>
        <v>43465</v>
      </c>
      <c r="AX766" s="1937">
        <f>$Y$8</f>
        <v>43800</v>
      </c>
      <c r="AY766" s="1937">
        <f>$Z$8</f>
        <v>43862</v>
      </c>
      <c r="AZ766" s="1937">
        <f>$AA$8</f>
        <v>44013</v>
      </c>
      <c r="BA766" s="1937">
        <v>44166</v>
      </c>
      <c r="BB766" s="1937">
        <f>$AC$8</f>
        <v>44531</v>
      </c>
      <c r="BC766" s="1937" t="str">
        <f>$AD$8</f>
        <v>-</v>
      </c>
      <c r="BD766" s="1937" t="str">
        <f>$AE$8</f>
        <v>-</v>
      </c>
      <c r="BE766" s="1937" t="str">
        <f>$AF$8</f>
        <v>-</v>
      </c>
      <c r="BF766" s="1933"/>
      <c r="BG766" s="1936" t="s">
        <v>45</v>
      </c>
      <c r="BH766" s="1937">
        <v>43252</v>
      </c>
      <c r="BI766" s="1937">
        <f>$X$8</f>
        <v>43465</v>
      </c>
      <c r="BJ766" s="1937">
        <f>$Y$8</f>
        <v>43800</v>
      </c>
      <c r="BK766" s="1937">
        <f>$Z$8</f>
        <v>43862</v>
      </c>
      <c r="BL766" s="1937">
        <f>$AA$8</f>
        <v>44013</v>
      </c>
      <c r="BM766" s="1937">
        <v>44166</v>
      </c>
      <c r="BN766" s="1937">
        <f>$AC$8</f>
        <v>44531</v>
      </c>
      <c r="BO766" s="1937" t="str">
        <f>$AD$8</f>
        <v>-</v>
      </c>
      <c r="BP766" s="1937" t="str">
        <f>$AE$8</f>
        <v>-</v>
      </c>
      <c r="BQ766" s="1937" t="str">
        <f>$AF$8</f>
        <v>-</v>
      </c>
      <c r="DB766" s="1938" t="str">
        <f>$DB$8</f>
        <v>TRC (2020)</v>
      </c>
      <c r="DC766" s="1953" t="str">
        <f>$DC$8</f>
        <v>Benefit Lookup</v>
      </c>
      <c r="DD766" s="1953" t="str">
        <f>$DD$8</f>
        <v>Benefits (2019 $)</v>
      </c>
      <c r="DE766" s="1953" t="str">
        <f>$DE$8</f>
        <v>Incremental Cost (2019 $)</v>
      </c>
    </row>
    <row r="767" spans="2:112" x14ac:dyDescent="0.25">
      <c r="B767" s="1931"/>
      <c r="C767" s="1997" t="s">
        <v>3157</v>
      </c>
      <c r="D767" s="1363" t="s">
        <v>2646</v>
      </c>
      <c r="E767" s="1308" t="s">
        <v>3158</v>
      </c>
      <c r="F767" s="1959">
        <f>ROUND((F778*(1/I778-1/K778)*G778)+((L778/3.412)*(1/M778-1/O778)*H778),2)</f>
        <v>411.27</v>
      </c>
      <c r="G767" s="64">
        <f>(F778*(1/J778-1/K778)*G778)+((L778/3.412)*(1/N778-1/O778)*H778)</f>
        <v>10.53878231859869</v>
      </c>
      <c r="H767" s="1290" t="s">
        <v>2881</v>
      </c>
      <c r="I767" s="1291">
        <v>9.1068395835808389E-4</v>
      </c>
      <c r="J767" s="1421">
        <f>ROUND(I767*(F767-((L778/3.412)*(1/M778-1/O778)*H778)),6)</f>
        <v>0.37453700000000001</v>
      </c>
      <c r="K767" s="1422">
        <f>ROUND(I767*(G767-((L778/3.412)*(1/N778-1/O778)*H778)),6)</f>
        <v>9.5969999999999996E-3</v>
      </c>
      <c r="L767" s="1399">
        <v>15</v>
      </c>
      <c r="M767" s="1310">
        <v>1047</v>
      </c>
      <c r="N767" s="1374" t="s">
        <v>2927</v>
      </c>
      <c r="O767" s="1965"/>
      <c r="P767" s="1965"/>
      <c r="Q767" s="1965"/>
      <c r="R767" s="1965"/>
      <c r="S767" s="1965"/>
      <c r="T767" s="1965"/>
      <c r="U767" s="1965"/>
      <c r="V767" s="3226" t="str">
        <f>F766</f>
        <v>kWh Annual Savings (per ton) first 5 years</v>
      </c>
      <c r="W767" s="1947">
        <v>411.27272727272731</v>
      </c>
      <c r="X767" s="1947">
        <v>411.27272727272731</v>
      </c>
      <c r="Y767" s="129">
        <v>411.27272727272731</v>
      </c>
      <c r="Z767" s="129">
        <v>411.27272727272731</v>
      </c>
      <c r="AA767" s="129">
        <v>411.27272727272731</v>
      </c>
      <c r="AB767" s="1825">
        <v>411.27</v>
      </c>
      <c r="AC767" s="3364">
        <v>411.27</v>
      </c>
      <c r="AD767" s="2099"/>
      <c r="AE767" s="2099"/>
      <c r="AF767" s="2099"/>
      <c r="AG767" s="2099"/>
      <c r="AH767" s="2100"/>
      <c r="AI767" s="3227" t="str">
        <f>G766</f>
        <v>kWh Annual Savings (per ton) next ten years</v>
      </c>
      <c r="AJ767" s="129">
        <v>10.53878231859869</v>
      </c>
      <c r="AK767" s="129">
        <v>10.53878231859869</v>
      </c>
      <c r="AL767" s="129">
        <v>10.53878231859869</v>
      </c>
      <c r="AM767" s="129">
        <v>10.53878231859869</v>
      </c>
      <c r="AN767" s="129">
        <v>10.53878231859869</v>
      </c>
      <c r="AO767" s="1939">
        <v>10.53878231859869</v>
      </c>
      <c r="AP767" s="3352">
        <v>10.53878231859869</v>
      </c>
      <c r="AQ767" s="2099"/>
      <c r="AR767" s="2099"/>
      <c r="AS767" s="2099"/>
      <c r="AT767" s="2100"/>
      <c r="AU767" s="3227" t="s">
        <v>181</v>
      </c>
      <c r="AV767" s="91">
        <v>15</v>
      </c>
      <c r="AW767" s="91">
        <v>15</v>
      </c>
      <c r="AX767" s="91">
        <v>15</v>
      </c>
      <c r="AY767" s="91">
        <v>15</v>
      </c>
      <c r="AZ767" s="91">
        <v>15</v>
      </c>
      <c r="BA767" s="91">
        <v>15</v>
      </c>
      <c r="BB767" s="91">
        <v>15</v>
      </c>
      <c r="BC767" s="2099"/>
      <c r="BD767" s="2099"/>
      <c r="BE767" s="2099"/>
      <c r="BF767" s="1933"/>
      <c r="BG767" s="3227" t="s">
        <v>170</v>
      </c>
      <c r="BH767" s="2106">
        <v>1047</v>
      </c>
      <c r="BI767" s="2106">
        <v>1047</v>
      </c>
      <c r="BJ767" s="2106">
        <v>1047</v>
      </c>
      <c r="BK767" s="2106">
        <v>1047</v>
      </c>
      <c r="BL767" s="2106">
        <v>1047</v>
      </c>
      <c r="BM767" s="2106">
        <v>1047</v>
      </c>
      <c r="BN767" s="2106">
        <v>1047</v>
      </c>
      <c r="BO767" s="2106"/>
      <c r="BP767" s="2106"/>
      <c r="BQ767" s="2106"/>
      <c r="BR767" s="1933"/>
      <c r="BS767" s="1933"/>
      <c r="BT767" s="1933"/>
      <c r="BU767" s="1933"/>
      <c r="BV767" s="1931"/>
      <c r="BW767" s="1931"/>
      <c r="BX767" s="1931"/>
      <c r="BY767" s="1931"/>
      <c r="BZ767" s="1931"/>
      <c r="CA767" s="1931"/>
      <c r="CB767" s="1931"/>
      <c r="CC767" s="1931"/>
      <c r="CD767" s="1931"/>
      <c r="CE767" s="1930"/>
      <c r="CF767" s="1930"/>
      <c r="CG767" s="1930"/>
      <c r="CH767" s="1930"/>
      <c r="CI767" s="1931"/>
      <c r="CJ767" s="1931"/>
      <c r="CK767" s="1931"/>
      <c r="CL767" s="1931"/>
      <c r="CM767" s="1931"/>
      <c r="CN767" s="1931"/>
      <c r="CO767" s="1931"/>
      <c r="CP767" s="1931"/>
      <c r="CQ767" s="1931"/>
      <c r="CR767" s="1931"/>
      <c r="CS767" s="1931"/>
      <c r="CT767" s="1930"/>
      <c r="CU767" s="1930"/>
      <c r="CV767" s="1930"/>
      <c r="CW767" s="1930"/>
      <c r="CX767" s="1931"/>
      <c r="CY767" s="1931"/>
      <c r="CZ767" s="1931"/>
      <c r="DA767" s="1931"/>
      <c r="DB767" s="1945">
        <f>(DD767)/(DE767)</f>
        <v>0.59328732895135117</v>
      </c>
      <c r="DC767" s="3166" t="str">
        <f>CONCATENATE(H767," ",L767," Year EUL")</f>
        <v>Cooling BUS 15 Year EUL</v>
      </c>
      <c r="DD767" s="69">
        <f>(INDEX('Avoided Cost Benefits'!$C$4:$C$857,MATCH(DC767,'Avoided Cost Benefits'!$A$4:$A$857,0)))*F767</f>
        <v>586.28771440496894</v>
      </c>
      <c r="DE767" s="1946">
        <f>M767/(1.0595^(2020-2019))</f>
        <v>988.20198206701264</v>
      </c>
      <c r="DF767" s="1931"/>
    </row>
    <row r="768" spans="2:112" x14ac:dyDescent="0.25">
      <c r="B768" s="1931"/>
      <c r="C768" s="1997" t="s">
        <v>3159</v>
      </c>
      <c r="D768" s="1363" t="s">
        <v>2646</v>
      </c>
      <c r="E768" s="1308" t="s">
        <v>3160</v>
      </c>
      <c r="F768" s="1959">
        <f>ROUND((F779*(1/I779-1/K779)*G779)+((L779/3.412)*(1/M779-1/O779)*H779),2)</f>
        <v>715.42</v>
      </c>
      <c r="G768" s="64">
        <f>(F779*(1/J779-1/K779)*G779)+((L779/3.412)*(1/N779-1/O779)*H779)</f>
        <v>177.09378296037951</v>
      </c>
      <c r="H768" s="1290" t="s">
        <v>2881</v>
      </c>
      <c r="I768" s="1291">
        <v>9.1068395835808389E-4</v>
      </c>
      <c r="J768" s="1421">
        <f>ROUND(I768*(F768-((L779/3.412)*(1/M779-1/O779)*H779)),6)</f>
        <v>0.37453599999999998</v>
      </c>
      <c r="K768" s="1422">
        <f>ROUND(I768*(G768-((L779/3.412)*(1/N779-1/O779)*H779)),6)</f>
        <v>1.9373000000000001E-2</v>
      </c>
      <c r="L768" s="325">
        <v>15</v>
      </c>
      <c r="M768" s="1310">
        <v>1047</v>
      </c>
      <c r="N768" s="1374" t="s">
        <v>2927</v>
      </c>
      <c r="O768" s="1965"/>
      <c r="P768" s="1965"/>
      <c r="Q768" s="1965"/>
      <c r="R768" s="1965"/>
      <c r="S768" s="1965"/>
      <c r="T768" s="1965"/>
      <c r="U768" s="1965"/>
      <c r="V768" s="3226" t="str">
        <f>F766</f>
        <v>kWh Annual Savings (per ton) first 5 years</v>
      </c>
      <c r="W768" s="1947">
        <v>715.42344173997162</v>
      </c>
      <c r="X768" s="1947">
        <v>715.42344173997162</v>
      </c>
      <c r="Y768" s="129">
        <v>715.42344173997162</v>
      </c>
      <c r="Z768" s="129">
        <v>715.42344173997162</v>
      </c>
      <c r="AA768" s="129">
        <v>715.42344173997162</v>
      </c>
      <c r="AB768" s="1825">
        <v>715.42</v>
      </c>
      <c r="AC768" s="3364">
        <v>715.42</v>
      </c>
      <c r="AD768" s="2099"/>
      <c r="AE768" s="2099"/>
      <c r="AF768" s="2099"/>
      <c r="AG768" s="2099"/>
      <c r="AH768" s="2100"/>
      <c r="AI768" s="3227" t="str">
        <f>AI767</f>
        <v>kWh Annual Savings (per ton) next ten years</v>
      </c>
      <c r="AJ768" s="129">
        <v>177.09378296037951</v>
      </c>
      <c r="AK768" s="129">
        <v>177.09378296037951</v>
      </c>
      <c r="AL768" s="129">
        <v>177.09378296037951</v>
      </c>
      <c r="AM768" s="129">
        <v>177.09378296037951</v>
      </c>
      <c r="AN768" s="129">
        <v>177.09378296037951</v>
      </c>
      <c r="AO768" s="1939">
        <v>177.09378296037951</v>
      </c>
      <c r="AP768" s="3352">
        <v>177.09378296037951</v>
      </c>
      <c r="AQ768" s="2099"/>
      <c r="AR768" s="2099"/>
      <c r="AS768" s="2099"/>
      <c r="AT768" s="2100"/>
      <c r="AU768" s="3227" t="s">
        <v>181</v>
      </c>
      <c r="AV768" s="85">
        <v>15</v>
      </c>
      <c r="AW768" s="85">
        <v>15</v>
      </c>
      <c r="AX768" s="85">
        <v>15</v>
      </c>
      <c r="AY768" s="85">
        <v>15</v>
      </c>
      <c r="AZ768" s="85">
        <v>15</v>
      </c>
      <c r="BA768" s="85">
        <v>15</v>
      </c>
      <c r="BB768" s="85">
        <v>15</v>
      </c>
      <c r="BC768" s="2099"/>
      <c r="BD768" s="2099"/>
      <c r="BE768" s="2099"/>
      <c r="BF768" s="1933"/>
      <c r="BG768" s="3227" t="s">
        <v>170</v>
      </c>
      <c r="BH768" s="2106">
        <v>1047</v>
      </c>
      <c r="BI768" s="2106">
        <v>1047</v>
      </c>
      <c r="BJ768" s="2106">
        <v>1047</v>
      </c>
      <c r="BK768" s="2106">
        <v>1047</v>
      </c>
      <c r="BL768" s="2106">
        <v>1047</v>
      </c>
      <c r="BM768" s="2106">
        <v>1047</v>
      </c>
      <c r="BN768" s="2106">
        <v>1047</v>
      </c>
      <c r="BO768" s="2106"/>
      <c r="BP768" s="2106"/>
      <c r="BQ768" s="2106"/>
      <c r="BR768" s="1933"/>
      <c r="BS768" s="1933"/>
      <c r="BT768" s="1933"/>
      <c r="BU768" s="1933"/>
      <c r="BV768" s="1931"/>
      <c r="BW768" s="1931"/>
      <c r="BX768" s="1931"/>
      <c r="BY768" s="1931"/>
      <c r="BZ768" s="1931"/>
      <c r="CA768" s="1931"/>
      <c r="CB768" s="1931"/>
      <c r="CC768" s="1931"/>
      <c r="CD768" s="1931"/>
      <c r="CE768" s="1930"/>
      <c r="CF768" s="1930"/>
      <c r="CG768" s="1930"/>
      <c r="CH768" s="1930"/>
      <c r="CI768" s="1931"/>
      <c r="CJ768" s="1931"/>
      <c r="CK768" s="1931"/>
      <c r="CL768" s="1931"/>
      <c r="CM768" s="1931"/>
      <c r="CN768" s="1931"/>
      <c r="CO768" s="1931"/>
      <c r="CP768" s="1931"/>
      <c r="CQ768" s="1931"/>
      <c r="CR768" s="1931"/>
      <c r="CS768" s="1931"/>
      <c r="CT768" s="1930"/>
      <c r="CU768" s="1930"/>
      <c r="CV768" s="1930"/>
      <c r="CW768" s="1930"/>
      <c r="CX768" s="1931"/>
      <c r="CY768" s="1931"/>
      <c r="CZ768" s="1931"/>
      <c r="DA768" s="1931"/>
      <c r="DB768" s="53">
        <f>(DD768)/(DE768)</f>
        <v>1.032046151867084</v>
      </c>
      <c r="DC768" s="1948" t="str">
        <f>CONCATENATE(H768," ",L768," Year EUL")</f>
        <v>Cooling BUS 15 Year EUL</v>
      </c>
      <c r="DD768" s="71">
        <f>(INDEX('Avoided Cost Benefits'!$C$4:$C$857,MATCH(DC768,'Avoided Cost Benefits'!$A$4:$A$857,0)))*F768</f>
        <v>1019.8700528596855</v>
      </c>
      <c r="DE768" s="1950">
        <f>M768/(1.0595^(2020-2019))</f>
        <v>988.20198206701264</v>
      </c>
      <c r="DF768" s="1931"/>
    </row>
    <row r="769" spans="2:112" hidden="1" outlineLevel="1" x14ac:dyDescent="0.25">
      <c r="B769" s="1931"/>
      <c r="D769" s="1966"/>
      <c r="E769" s="1966"/>
      <c r="F769" s="1966"/>
      <c r="G769" s="1966"/>
      <c r="H769" s="1299"/>
      <c r="I769" s="1966"/>
      <c r="J769" s="1966"/>
      <c r="K769" s="1966"/>
      <c r="L769" s="1965"/>
      <c r="M769" s="1965"/>
      <c r="N769" s="1965"/>
      <c r="O769" s="1965"/>
      <c r="P769" s="1965"/>
      <c r="Q769" s="1965"/>
      <c r="R769" s="1965"/>
      <c r="S769" s="1965"/>
      <c r="T769" s="1965"/>
      <c r="U769" s="1965"/>
      <c r="V769" s="1931"/>
      <c r="W769" s="1931"/>
      <c r="X769" s="1931"/>
      <c r="Y769" s="1931"/>
      <c r="Z769" s="1931"/>
      <c r="AA769" s="1931"/>
      <c r="AB769" s="1931"/>
      <c r="AC769" s="1931"/>
      <c r="AD769" s="1931"/>
      <c r="AE769" s="1931"/>
      <c r="AF769" s="1931"/>
      <c r="AG769" s="1931"/>
      <c r="AH769" s="1931"/>
      <c r="AI769" s="1931"/>
      <c r="AJ769" s="1931"/>
      <c r="AK769" s="1931"/>
      <c r="AL769" s="1931"/>
      <c r="AM769" s="1931"/>
      <c r="AN769" s="1931"/>
      <c r="AO769" s="1931"/>
      <c r="AP769" s="1931"/>
      <c r="AQ769" s="1931"/>
      <c r="AR769" s="1931"/>
      <c r="AS769" s="1931"/>
      <c r="AT769" s="1931"/>
      <c r="AU769" s="1931"/>
      <c r="AV769" s="1931"/>
      <c r="AW769" s="1931"/>
      <c r="AX769" s="1931"/>
      <c r="AY769" s="1931"/>
      <c r="AZ769" s="1931"/>
      <c r="BA769" s="1931"/>
      <c r="BB769" s="1931"/>
      <c r="BC769" s="1931"/>
      <c r="BD769" s="1931"/>
      <c r="BE769" s="1931"/>
      <c r="BF769" s="1931"/>
      <c r="BG769" s="1931"/>
      <c r="BH769" s="1931"/>
      <c r="BI769" s="1931"/>
      <c r="BJ769" s="1931"/>
      <c r="BK769" s="1931"/>
      <c r="BL769" s="1931"/>
      <c r="BM769" s="1931"/>
      <c r="BN769" s="1931"/>
      <c r="BO769" s="1931"/>
      <c r="BP769" s="1931"/>
      <c r="BQ769" s="1931"/>
      <c r="BR769" s="1931"/>
      <c r="BS769" s="1931"/>
      <c r="BT769" s="1931"/>
      <c r="BU769" s="1931"/>
      <c r="BV769" s="1931"/>
      <c r="BW769" s="1931"/>
      <c r="BX769" s="1931"/>
      <c r="BY769" s="1931"/>
      <c r="BZ769" s="1931"/>
      <c r="CA769" s="1931"/>
      <c r="CB769" s="1931"/>
      <c r="CC769" s="1931"/>
      <c r="CD769" s="1931"/>
      <c r="CE769" s="1930"/>
      <c r="CF769" s="1930"/>
      <c r="CG769" s="1930"/>
      <c r="CH769" s="1930"/>
      <c r="CI769" s="1931"/>
      <c r="CJ769" s="1931"/>
      <c r="CK769" s="1931"/>
      <c r="CL769" s="1931"/>
      <c r="CM769" s="1931"/>
      <c r="CN769" s="1931"/>
      <c r="CO769" s="1931"/>
      <c r="CP769" s="1931"/>
      <c r="CQ769" s="1931"/>
      <c r="CR769" s="1931"/>
      <c r="CS769" s="1931"/>
      <c r="CT769" s="1930"/>
      <c r="CU769" s="1930"/>
      <c r="CV769" s="1930"/>
      <c r="CW769" s="1930"/>
      <c r="CX769" s="1931"/>
      <c r="CY769" s="1931"/>
      <c r="CZ769" s="1931"/>
      <c r="DA769" s="1931"/>
      <c r="DB769" s="1932"/>
      <c r="DC769" s="1931"/>
      <c r="DD769" s="1931"/>
      <c r="DE769" s="1931"/>
      <c r="DF769" s="1931"/>
    </row>
    <row r="770" spans="2:112" hidden="1" outlineLevel="1" x14ac:dyDescent="0.25">
      <c r="B770" s="1931"/>
      <c r="D770" s="1966" t="s">
        <v>2689</v>
      </c>
      <c r="E770" s="151"/>
      <c r="F770" s="1966"/>
      <c r="G770" s="1966"/>
      <c r="H770" s="1299"/>
      <c r="I770" s="1966"/>
      <c r="J770" s="1966"/>
      <c r="K770" s="151"/>
      <c r="L770" s="1965"/>
      <c r="M770" s="1965"/>
      <c r="N770" s="1965"/>
      <c r="O770" s="1965"/>
      <c r="P770" s="1965"/>
      <c r="Q770" s="1965"/>
      <c r="R770" s="1965"/>
      <c r="S770" s="1965"/>
      <c r="T770" s="1965"/>
      <c r="U770" s="1965"/>
      <c r="V770" s="1931"/>
      <c r="W770" s="1931"/>
      <c r="X770" s="1931"/>
      <c r="Y770" s="1931"/>
      <c r="Z770" s="1931"/>
      <c r="AA770" s="1931"/>
      <c r="AB770" s="1931"/>
      <c r="AC770" s="1931"/>
      <c r="AD770" s="1931"/>
      <c r="AE770" s="1931"/>
      <c r="AF770" s="1931"/>
      <c r="AG770" s="1931"/>
      <c r="AH770" s="1931"/>
      <c r="AI770" s="1931"/>
      <c r="AJ770" s="1931"/>
      <c r="AK770" s="1931"/>
      <c r="AL770" s="1931"/>
      <c r="AM770" s="1931"/>
      <c r="AN770" s="1931"/>
      <c r="AO770" s="1931"/>
      <c r="AP770" s="1931"/>
      <c r="AQ770" s="1931"/>
      <c r="AR770" s="1931"/>
      <c r="AS770" s="1931"/>
      <c r="AT770" s="1931"/>
      <c r="AU770" s="1931"/>
      <c r="AV770" s="1931"/>
      <c r="AW770" s="1931"/>
      <c r="AX770" s="1931"/>
      <c r="AY770" s="1931"/>
      <c r="AZ770" s="1931"/>
      <c r="BA770" s="1931"/>
      <c r="BB770" s="1931"/>
      <c r="BC770" s="1931"/>
      <c r="BD770" s="1931"/>
      <c r="BE770" s="1931"/>
      <c r="BF770" s="1931"/>
      <c r="BG770" s="1931"/>
      <c r="BH770" s="1931"/>
      <c r="BI770" s="1931"/>
      <c r="BJ770" s="1931"/>
      <c r="BK770" s="1931"/>
      <c r="BL770" s="1931"/>
      <c r="BM770" s="1931"/>
      <c r="BN770" s="1931"/>
      <c r="BO770" s="1931"/>
      <c r="BP770" s="1931"/>
      <c r="BQ770" s="1931"/>
      <c r="BR770" s="1931"/>
      <c r="BS770" s="1931"/>
      <c r="BT770" s="1931"/>
      <c r="BU770" s="1931"/>
      <c r="BV770" s="1931"/>
      <c r="BW770" s="1931"/>
      <c r="BX770" s="1931"/>
      <c r="BY770" s="1931"/>
      <c r="BZ770" s="1931"/>
      <c r="CA770" s="1931"/>
      <c r="CB770" s="1931"/>
      <c r="CC770" s="1931"/>
      <c r="CD770" s="1931"/>
      <c r="CE770" s="1930"/>
      <c r="CF770" s="1930"/>
      <c r="CG770" s="1930"/>
      <c r="CH770" s="1930"/>
      <c r="CI770" s="1931"/>
      <c r="CJ770" s="1931"/>
      <c r="CK770" s="1931"/>
      <c r="CL770" s="1931"/>
      <c r="CM770" s="1931"/>
      <c r="CN770" s="1931"/>
      <c r="CO770" s="1931"/>
      <c r="CP770" s="1931"/>
      <c r="CQ770" s="1931"/>
      <c r="CR770" s="1931"/>
      <c r="CS770" s="1931"/>
      <c r="CT770" s="1930"/>
      <c r="CU770" s="1930"/>
      <c r="CV770" s="1930"/>
      <c r="CW770" s="1930"/>
      <c r="CX770" s="1931"/>
      <c r="CY770" s="1931"/>
      <c r="CZ770" s="1931"/>
      <c r="DA770" s="1931"/>
      <c r="DB770" s="1932"/>
      <c r="DC770" s="1931"/>
      <c r="DD770" s="1931"/>
      <c r="DE770" s="1931"/>
      <c r="DF770" s="1931"/>
    </row>
    <row r="771" spans="2:112" hidden="1" outlineLevel="1" x14ac:dyDescent="0.25">
      <c r="B771" s="1931"/>
      <c r="D771" s="1300"/>
      <c r="E771" s="151"/>
      <c r="F771" s="151"/>
      <c r="G771" s="1321"/>
      <c r="H771" s="1322"/>
      <c r="I771" s="1965"/>
      <c r="J771" s="1965"/>
      <c r="K771" s="1965"/>
      <c r="L771" s="1965"/>
      <c r="M771" s="1965"/>
      <c r="N771" s="1965"/>
      <c r="O771" s="1965"/>
      <c r="P771" s="1965"/>
      <c r="Q771" s="1965"/>
      <c r="R771" s="1965"/>
      <c r="S771" s="1965"/>
      <c r="T771" s="1965"/>
      <c r="U771" s="1965"/>
      <c r="V771" s="1931"/>
      <c r="W771" s="1931"/>
      <c r="X771" s="1931"/>
      <c r="Y771" s="1931"/>
      <c r="Z771" s="1931"/>
      <c r="AA771" s="1931"/>
      <c r="AB771" s="1931"/>
      <c r="AC771" s="1931"/>
      <c r="AD771" s="1931"/>
      <c r="AE771" s="1931"/>
      <c r="AF771" s="1931"/>
      <c r="AG771" s="1931"/>
      <c r="AH771" s="1931"/>
      <c r="AI771" s="1931"/>
      <c r="AJ771" s="1931"/>
      <c r="AK771" s="1931"/>
      <c r="AL771" s="1931"/>
      <c r="AM771" s="1931"/>
      <c r="AN771" s="1931"/>
      <c r="AO771" s="1931"/>
      <c r="AP771" s="1931"/>
      <c r="AQ771" s="1931"/>
      <c r="AR771" s="1931"/>
      <c r="AS771" s="1931"/>
      <c r="AT771" s="1931"/>
      <c r="AU771" s="1931"/>
      <c r="AV771" s="1931"/>
      <c r="AW771" s="1931"/>
      <c r="AX771" s="1931"/>
      <c r="AY771" s="1931"/>
      <c r="AZ771" s="1931"/>
      <c r="BA771" s="1931"/>
      <c r="BB771" s="1931"/>
      <c r="BC771" s="1931"/>
      <c r="BD771" s="1931"/>
      <c r="BE771" s="1931"/>
      <c r="BF771" s="1931"/>
      <c r="BG771" s="1931"/>
      <c r="BH771" s="1931"/>
      <c r="BI771" s="1931"/>
      <c r="BJ771" s="1931"/>
      <c r="BK771" s="1931"/>
      <c r="BL771" s="1931"/>
      <c r="BM771" s="1931"/>
      <c r="BN771" s="1931"/>
      <c r="BO771" s="1931"/>
      <c r="BP771" s="1931"/>
      <c r="BQ771" s="1931"/>
      <c r="BR771" s="1931"/>
      <c r="BS771" s="1931"/>
      <c r="BT771" s="1931"/>
      <c r="BU771" s="1931"/>
      <c r="BV771" s="1931"/>
      <c r="BW771" s="1931"/>
      <c r="BX771" s="1931"/>
      <c r="BY771" s="1931"/>
      <c r="BZ771" s="1931"/>
      <c r="CA771" s="1931"/>
      <c r="CB771" s="1931"/>
      <c r="CC771" s="1931"/>
      <c r="CD771" s="1931"/>
      <c r="CE771" s="1930"/>
      <c r="CF771" s="1930"/>
      <c r="CG771" s="1930"/>
      <c r="CH771" s="1930"/>
      <c r="CI771" s="1931"/>
      <c r="CJ771" s="1931"/>
      <c r="CK771" s="1931"/>
      <c r="CL771" s="1931"/>
      <c r="CM771" s="1931"/>
      <c r="CN771" s="1931"/>
      <c r="CO771" s="1931"/>
      <c r="CP771" s="1931"/>
      <c r="CQ771" s="1931"/>
      <c r="CR771" s="1931"/>
      <c r="CS771" s="1931"/>
      <c r="CT771" s="1930"/>
      <c r="CU771" s="1930"/>
      <c r="CV771" s="1930"/>
      <c r="CW771" s="1930"/>
      <c r="CX771" s="1931"/>
      <c r="CY771" s="1931"/>
      <c r="CZ771" s="1931"/>
      <c r="DA771" s="1931"/>
      <c r="DB771" s="1932"/>
      <c r="DC771" s="1931"/>
      <c r="DD771" s="1931"/>
      <c r="DE771" s="1931"/>
      <c r="DF771" s="1931"/>
    </row>
    <row r="772" spans="2:112" hidden="1" outlineLevel="1" x14ac:dyDescent="0.25">
      <c r="B772" s="1931"/>
      <c r="D772" s="1300"/>
      <c r="E772" s="1965"/>
      <c r="F772" s="1965"/>
      <c r="G772" s="1321"/>
      <c r="H772" s="1322"/>
      <c r="I772" s="1965"/>
      <c r="J772" s="1965"/>
      <c r="K772" s="1965"/>
      <c r="L772" s="1965"/>
      <c r="M772" s="1965"/>
      <c r="N772" s="1965"/>
      <c r="O772" s="1965"/>
      <c r="P772" s="4483"/>
      <c r="Q772" s="4483"/>
      <c r="R772" s="1965"/>
      <c r="S772" s="1965"/>
      <c r="T772" s="1965"/>
      <c r="U772" s="1965"/>
      <c r="V772" s="1931"/>
      <c r="W772" s="1931"/>
      <c r="X772" s="1931"/>
      <c r="Y772" s="1931"/>
      <c r="Z772" s="1931"/>
      <c r="AA772" s="1931"/>
      <c r="AB772" s="1931"/>
      <c r="AC772" s="1931"/>
      <c r="AD772" s="1931"/>
      <c r="AE772" s="1931"/>
      <c r="AF772" s="1931"/>
      <c r="AG772" s="1931"/>
      <c r="AH772" s="1931"/>
      <c r="AI772" s="1931"/>
      <c r="AJ772" s="1931"/>
      <c r="AK772" s="1931"/>
      <c r="AL772" s="1931"/>
      <c r="AM772" s="1931"/>
      <c r="AN772" s="1931"/>
      <c r="AO772" s="1931"/>
      <c r="AP772" s="1931"/>
      <c r="AQ772" s="1931"/>
      <c r="AR772" s="1931"/>
      <c r="AS772" s="1931"/>
      <c r="AT772" s="1931"/>
      <c r="AU772" s="1931"/>
      <c r="AV772" s="1931"/>
      <c r="AW772" s="1931"/>
      <c r="AX772" s="1931"/>
      <c r="AY772" s="1931"/>
      <c r="AZ772" s="1931"/>
      <c r="BA772" s="1931"/>
      <c r="BB772" s="1931"/>
      <c r="BC772" s="1931"/>
      <c r="BD772" s="1931"/>
      <c r="BE772" s="1931"/>
      <c r="BF772" s="1931"/>
      <c r="BG772" s="1931"/>
      <c r="BH772" s="1931"/>
      <c r="BI772" s="1931"/>
      <c r="BJ772" s="1931"/>
      <c r="BK772" s="1931"/>
      <c r="BL772" s="1931"/>
      <c r="BM772" s="1931"/>
      <c r="BN772" s="1931"/>
      <c r="BO772" s="1931"/>
      <c r="BP772" s="1931"/>
      <c r="BQ772" s="1931"/>
      <c r="BR772" s="1931"/>
      <c r="BS772" s="1931"/>
      <c r="BT772" s="1931"/>
      <c r="BU772" s="1931"/>
      <c r="BV772" s="1931"/>
      <c r="BW772" s="1931"/>
      <c r="BX772" s="1931"/>
      <c r="BY772" s="1931"/>
      <c r="BZ772" s="1931"/>
      <c r="CA772" s="1931"/>
      <c r="CB772" s="1931"/>
      <c r="CC772" s="1931"/>
      <c r="CD772" s="1931"/>
      <c r="CE772" s="1930"/>
      <c r="CF772" s="1930"/>
      <c r="CG772" s="1930"/>
      <c r="CH772" s="1930"/>
      <c r="CI772" s="1931"/>
      <c r="CJ772" s="1931"/>
      <c r="CK772" s="1931"/>
      <c r="CL772" s="1931"/>
      <c r="CM772" s="1931"/>
      <c r="CN772" s="1931"/>
      <c r="CO772" s="1931"/>
      <c r="CP772" s="1931"/>
      <c r="CQ772" s="1931"/>
      <c r="CR772" s="1931"/>
      <c r="CS772" s="1931"/>
      <c r="CT772" s="1930"/>
      <c r="CU772" s="1930"/>
      <c r="CV772" s="1930"/>
      <c r="CW772" s="1930"/>
      <c r="CX772" s="1931"/>
      <c r="CY772" s="1931"/>
      <c r="CZ772" s="1931"/>
      <c r="DA772" s="1931"/>
      <c r="DB772" s="1932"/>
      <c r="DC772" s="1931"/>
      <c r="DD772" s="1931"/>
      <c r="DE772" s="1931"/>
      <c r="DF772" s="1931"/>
    </row>
    <row r="773" spans="2:112" hidden="1" outlineLevel="1" x14ac:dyDescent="0.25">
      <c r="B773" s="1931"/>
      <c r="D773" s="1300"/>
      <c r="E773" s="1965"/>
      <c r="F773" s="1965"/>
      <c r="G773" s="1965"/>
      <c r="H773" s="1301"/>
      <c r="I773" s="1965"/>
      <c r="J773" s="1965"/>
      <c r="K773" s="1965"/>
      <c r="L773" s="1965"/>
      <c r="M773" s="1966"/>
      <c r="N773" s="1965"/>
      <c r="O773" s="1965"/>
      <c r="P773" s="4483"/>
      <c r="Q773" s="4483"/>
      <c r="R773" s="1965"/>
      <c r="S773" s="1965"/>
      <c r="T773" s="1965"/>
      <c r="U773" s="1965"/>
      <c r="V773" s="1931"/>
      <c r="W773" s="1931"/>
      <c r="X773" s="1931"/>
      <c r="Y773" s="1931"/>
      <c r="Z773" s="1931"/>
      <c r="AA773" s="1931"/>
      <c r="AB773" s="1931"/>
      <c r="AC773" s="1931"/>
      <c r="AD773" s="1931"/>
      <c r="AE773" s="1931"/>
      <c r="AF773" s="1931"/>
      <c r="AG773" s="1931"/>
      <c r="AH773" s="1931"/>
      <c r="AI773" s="1931"/>
      <c r="AJ773" s="1931"/>
      <c r="AK773" s="1931"/>
      <c r="AL773" s="1931"/>
      <c r="AM773" s="1931"/>
      <c r="AN773" s="1931"/>
      <c r="AO773" s="1931"/>
      <c r="AP773" s="1931"/>
      <c r="AQ773" s="1931"/>
      <c r="AR773" s="1931"/>
      <c r="AS773" s="1931"/>
      <c r="AT773" s="1931"/>
      <c r="AU773" s="1931"/>
      <c r="AV773" s="1931"/>
      <c r="AW773" s="1931"/>
      <c r="AX773" s="1931"/>
      <c r="AY773" s="1931"/>
      <c r="AZ773" s="1931"/>
      <c r="BA773" s="1931"/>
      <c r="BB773" s="1931"/>
      <c r="BC773" s="1931"/>
      <c r="BD773" s="1931"/>
      <c r="BE773" s="1931"/>
      <c r="BF773" s="1931"/>
      <c r="BG773" s="1931"/>
      <c r="BH773" s="1931"/>
      <c r="BI773" s="1931"/>
      <c r="BJ773" s="1931"/>
      <c r="BK773" s="1931"/>
      <c r="BL773" s="1931"/>
      <c r="BM773" s="1931"/>
      <c r="BN773" s="1931"/>
      <c r="BO773" s="1931"/>
      <c r="BP773" s="1931"/>
      <c r="BQ773" s="1931"/>
      <c r="BR773" s="1931"/>
      <c r="BS773" s="1931"/>
      <c r="BT773" s="1931"/>
      <c r="BU773" s="1931"/>
      <c r="BV773" s="1931"/>
      <c r="BW773" s="1931"/>
      <c r="BX773" s="1931"/>
      <c r="BY773" s="1931"/>
      <c r="BZ773" s="1931"/>
      <c r="CA773" s="1931"/>
      <c r="CB773" s="1931"/>
      <c r="CC773" s="1931"/>
      <c r="CD773" s="1931"/>
      <c r="CE773" s="1930"/>
      <c r="CF773" s="1930"/>
      <c r="CG773" s="1930"/>
      <c r="CH773" s="1930"/>
      <c r="CI773" s="1931"/>
      <c r="CJ773" s="1931"/>
      <c r="CK773" s="1931"/>
      <c r="CL773" s="1931"/>
      <c r="CM773" s="1931"/>
      <c r="CN773" s="1931"/>
      <c r="CO773" s="1931"/>
      <c r="CP773" s="1931"/>
      <c r="CQ773" s="1931"/>
      <c r="CR773" s="1931"/>
      <c r="CS773" s="1931"/>
      <c r="CT773" s="1930"/>
      <c r="CU773" s="1930"/>
      <c r="CV773" s="1930"/>
      <c r="CW773" s="1930"/>
      <c r="CX773" s="1931"/>
      <c r="CY773" s="1931"/>
      <c r="CZ773" s="1931"/>
      <c r="DA773" s="1931"/>
      <c r="DB773" s="1932"/>
      <c r="DC773" s="1931"/>
      <c r="DD773" s="1931"/>
      <c r="DE773" s="1931"/>
      <c r="DF773" s="1931"/>
    </row>
    <row r="774" spans="2:112" hidden="1" outlineLevel="1" x14ac:dyDescent="0.25">
      <c r="B774" s="1931"/>
      <c r="D774" s="1300"/>
      <c r="E774" s="1965"/>
      <c r="F774" s="1965"/>
      <c r="G774" s="1965"/>
      <c r="H774" s="1301"/>
      <c r="I774" s="1965"/>
      <c r="J774" s="1965"/>
      <c r="K774" s="1965"/>
      <c r="L774" s="1965"/>
      <c r="M774" s="1966"/>
      <c r="N774" s="1965"/>
      <c r="O774" s="1965"/>
      <c r="P774" s="4483"/>
      <c r="Q774" s="4483"/>
      <c r="R774" s="1965"/>
      <c r="S774" s="1965"/>
      <c r="T774" s="1965"/>
      <c r="U774" s="1965"/>
      <c r="V774" s="1931"/>
      <c r="W774" s="1931"/>
      <c r="X774" s="1931"/>
      <c r="Y774" s="1931"/>
      <c r="Z774" s="1931"/>
      <c r="AA774" s="1931"/>
      <c r="AB774" s="1931"/>
      <c r="AC774" s="1931"/>
      <c r="AD774" s="1931"/>
      <c r="AE774" s="1931"/>
      <c r="AF774" s="1931"/>
      <c r="AG774" s="1931"/>
      <c r="AH774" s="1931"/>
      <c r="AI774" s="1931"/>
      <c r="AJ774" s="1931"/>
      <c r="AK774" s="1931"/>
      <c r="AL774" s="1931"/>
      <c r="AM774" s="1931"/>
      <c r="AN774" s="1931"/>
      <c r="AO774" s="1931"/>
      <c r="AP774" s="1931"/>
      <c r="AQ774" s="1931"/>
      <c r="AR774" s="1931"/>
      <c r="AS774" s="1931"/>
      <c r="AT774" s="1931"/>
      <c r="AU774" s="1931"/>
      <c r="AV774" s="1931"/>
      <c r="AW774" s="1931"/>
      <c r="AX774" s="1931"/>
      <c r="AY774" s="1931"/>
      <c r="AZ774" s="1931"/>
      <c r="BA774" s="1931"/>
      <c r="BB774" s="1931"/>
      <c r="BC774" s="1931"/>
      <c r="BD774" s="1931"/>
      <c r="BE774" s="1931"/>
      <c r="BF774" s="1931"/>
      <c r="BG774" s="1931"/>
      <c r="BH774" s="1931"/>
      <c r="BI774" s="1931"/>
      <c r="BJ774" s="1931"/>
      <c r="BK774" s="1931"/>
      <c r="BL774" s="1931"/>
      <c r="BM774" s="1931"/>
      <c r="BN774" s="1931"/>
      <c r="BO774" s="1931"/>
      <c r="BP774" s="1931"/>
      <c r="BQ774" s="1931"/>
      <c r="BR774" s="1931"/>
      <c r="BS774" s="1931"/>
      <c r="BT774" s="1931"/>
      <c r="BU774" s="1931"/>
      <c r="BV774" s="1931"/>
      <c r="BW774" s="1931"/>
      <c r="BX774" s="1931"/>
      <c r="BY774" s="1931"/>
      <c r="BZ774" s="1931"/>
      <c r="CA774" s="1931"/>
      <c r="CB774" s="1931"/>
      <c r="CC774" s="1931"/>
      <c r="CD774" s="1931"/>
      <c r="CE774" s="1930"/>
      <c r="CF774" s="1930"/>
      <c r="CG774" s="1930"/>
      <c r="CH774" s="1930"/>
      <c r="CI774" s="1931"/>
      <c r="CJ774" s="1931"/>
      <c r="CK774" s="1931"/>
      <c r="CL774" s="1931"/>
      <c r="CM774" s="1931"/>
      <c r="CN774" s="1931"/>
      <c r="CO774" s="1931"/>
      <c r="CP774" s="1931"/>
      <c r="CQ774" s="1931"/>
      <c r="CR774" s="1931"/>
      <c r="CS774" s="1931"/>
      <c r="CT774" s="1930"/>
      <c r="CU774" s="1930"/>
      <c r="CV774" s="1930"/>
      <c r="CW774" s="1930"/>
      <c r="CX774" s="1931"/>
      <c r="CY774" s="1931"/>
      <c r="CZ774" s="1931"/>
      <c r="DA774" s="1931"/>
      <c r="DB774" s="1932"/>
      <c r="DC774" s="1931"/>
      <c r="DD774" s="1931"/>
      <c r="DE774" s="1931"/>
      <c r="DF774" s="1931"/>
    </row>
    <row r="775" spans="2:112" hidden="1" outlineLevel="1" x14ac:dyDescent="0.25">
      <c r="B775" s="1931"/>
      <c r="D775" s="1300"/>
      <c r="E775" s="1965"/>
      <c r="F775" s="1965"/>
      <c r="G775" s="1965"/>
      <c r="H775" s="1301"/>
      <c r="I775" s="1965"/>
      <c r="J775" s="1965"/>
      <c r="K775" s="1965"/>
      <c r="L775" s="1965"/>
      <c r="M775" s="1966"/>
      <c r="N775" s="1965"/>
      <c r="O775" s="1965"/>
      <c r="P775" s="1965"/>
      <c r="Q775" s="1965"/>
      <c r="R775" s="1965"/>
      <c r="S775" s="1965"/>
      <c r="T775" s="1965"/>
      <c r="U775" s="1965"/>
      <c r="V775" s="1931"/>
      <c r="W775" s="1931"/>
      <c r="X775" s="1931"/>
      <c r="Y775" s="1931"/>
      <c r="Z775" s="1931"/>
      <c r="AA775" s="1931"/>
      <c r="AB775" s="1931"/>
      <c r="AC775" s="1931"/>
      <c r="AD775" s="1931"/>
      <c r="AE775" s="1931"/>
      <c r="AF775" s="1931"/>
      <c r="AG775" s="1931"/>
      <c r="AH775" s="1931"/>
      <c r="AI775" s="1931"/>
      <c r="AJ775" s="1931"/>
      <c r="AK775" s="1931"/>
      <c r="AL775" s="1931"/>
      <c r="AM775" s="1931"/>
      <c r="AN775" s="1931"/>
      <c r="AO775" s="1931"/>
      <c r="AP775" s="1931"/>
      <c r="AQ775" s="1931"/>
      <c r="AR775" s="1931"/>
      <c r="AS775" s="1931"/>
      <c r="AT775" s="1931"/>
      <c r="AU775" s="1931"/>
      <c r="AV775" s="1931"/>
      <c r="AW775" s="1931"/>
      <c r="AX775" s="1931"/>
      <c r="AY775" s="1931"/>
      <c r="AZ775" s="1931"/>
      <c r="BA775" s="1931"/>
      <c r="BB775" s="1931"/>
      <c r="BC775" s="1931"/>
      <c r="BD775" s="1931"/>
      <c r="BE775" s="1931"/>
      <c r="BF775" s="1931"/>
      <c r="BG775" s="1931"/>
      <c r="BH775" s="1931"/>
      <c r="BI775" s="1931"/>
      <c r="BJ775" s="1931"/>
      <c r="BK775" s="1931"/>
      <c r="BL775" s="1931"/>
      <c r="BM775" s="1931"/>
      <c r="BN775" s="1931"/>
      <c r="BO775" s="1931"/>
      <c r="BP775" s="1931"/>
      <c r="BQ775" s="1931"/>
      <c r="BR775" s="1931"/>
      <c r="BS775" s="1931"/>
      <c r="BT775" s="1931"/>
      <c r="BU775" s="1931"/>
      <c r="BV775" s="1931"/>
      <c r="BW775" s="1931"/>
      <c r="BX775" s="1931"/>
      <c r="BY775" s="1931"/>
      <c r="BZ775" s="1931"/>
      <c r="CA775" s="1931"/>
      <c r="CB775" s="1931"/>
      <c r="CC775" s="1931"/>
      <c r="CD775" s="1931"/>
      <c r="CE775" s="1930"/>
      <c r="CF775" s="1930"/>
      <c r="CG775" s="1930"/>
      <c r="CH775" s="1930"/>
      <c r="CI775" s="1931"/>
      <c r="CJ775" s="1931"/>
      <c r="CK775" s="1931"/>
      <c r="CL775" s="1931"/>
      <c r="CM775" s="1931"/>
      <c r="CN775" s="1931"/>
      <c r="CO775" s="1931"/>
      <c r="CP775" s="1931"/>
      <c r="CQ775" s="1931"/>
      <c r="CR775" s="1931"/>
      <c r="CS775" s="1931"/>
      <c r="CT775" s="1930"/>
      <c r="CU775" s="1930"/>
      <c r="CV775" s="1930"/>
      <c r="CW775" s="1930"/>
      <c r="CX775" s="1931"/>
      <c r="CY775" s="1931"/>
      <c r="CZ775" s="1931"/>
      <c r="DA775" s="1931"/>
      <c r="DB775" s="1932"/>
      <c r="DC775" s="1931"/>
      <c r="DD775" s="1931"/>
      <c r="DE775" s="1931"/>
      <c r="DF775" s="1931"/>
    </row>
    <row r="776" spans="2:112" hidden="1" outlineLevel="1" x14ac:dyDescent="0.25">
      <c r="B776" s="1931"/>
      <c r="D776" s="1300"/>
      <c r="E776" s="1965"/>
      <c r="F776" s="1965"/>
      <c r="G776" s="1965"/>
      <c r="H776" s="1301"/>
      <c r="I776" s="1965"/>
      <c r="J776" s="1965"/>
      <c r="K776" s="1965"/>
      <c r="L776" s="1965"/>
      <c r="M776" s="1965"/>
      <c r="N776" s="1965"/>
      <c r="O776" s="1965"/>
      <c r="P776" s="1965"/>
      <c r="Q776" s="1965"/>
      <c r="R776" s="1965"/>
      <c r="S776" s="1965"/>
      <c r="T776" s="1965"/>
      <c r="U776" s="1965"/>
      <c r="V776" s="1931"/>
      <c r="W776" s="1931"/>
      <c r="X776" s="1931"/>
      <c r="Y776" s="1931"/>
      <c r="Z776" s="1931"/>
      <c r="AA776" s="1931"/>
      <c r="AB776" s="1931"/>
      <c r="AC776" s="1931"/>
      <c r="AD776" s="1931"/>
      <c r="AE776" s="1931"/>
      <c r="AF776" s="1931"/>
      <c r="AG776" s="1931"/>
      <c r="AH776" s="1931"/>
      <c r="AI776" s="1931"/>
      <c r="AJ776" s="1931"/>
      <c r="AK776" s="1931"/>
      <c r="AL776" s="1931"/>
      <c r="AM776" s="1931"/>
      <c r="AN776" s="1931"/>
      <c r="AO776" s="1931"/>
      <c r="AP776" s="1931"/>
      <c r="AQ776" s="1931"/>
      <c r="AR776" s="1931"/>
      <c r="AS776" s="1931"/>
      <c r="AT776" s="1931"/>
      <c r="AU776" s="1931"/>
      <c r="AV776" s="1931"/>
      <c r="AW776" s="1931"/>
      <c r="AX776" s="1931"/>
      <c r="AY776" s="1931"/>
      <c r="AZ776" s="1931"/>
      <c r="BA776" s="1931"/>
      <c r="BB776" s="1931"/>
      <c r="BC776" s="1931"/>
      <c r="BD776" s="1931"/>
      <c r="BE776" s="1931"/>
      <c r="BF776" s="1931"/>
      <c r="BG776" s="1931"/>
      <c r="BH776" s="1931"/>
      <c r="BI776" s="1931"/>
      <c r="BJ776" s="1931"/>
      <c r="BK776" s="1931"/>
      <c r="BL776" s="1931"/>
      <c r="BM776" s="1931"/>
      <c r="BN776" s="1931"/>
      <c r="BO776" s="1931"/>
      <c r="BP776" s="1931"/>
      <c r="BQ776" s="1931"/>
      <c r="BR776" s="1931"/>
      <c r="BS776" s="1931"/>
      <c r="BT776" s="1931"/>
      <c r="BU776" s="1931"/>
      <c r="BV776" s="1931"/>
      <c r="BW776" s="1931"/>
      <c r="BX776" s="1931"/>
      <c r="BY776" s="1931"/>
      <c r="BZ776" s="1931"/>
      <c r="CA776" s="1931"/>
      <c r="CB776" s="1931"/>
      <c r="CC776" s="1931"/>
      <c r="CD776" s="1931"/>
      <c r="CE776" s="1930"/>
      <c r="CF776" s="1930"/>
      <c r="CG776" s="1930"/>
      <c r="CH776" s="1930"/>
      <c r="CI776" s="1931"/>
      <c r="CJ776" s="1931"/>
      <c r="CK776" s="1931"/>
      <c r="CL776" s="1931"/>
      <c r="CM776" s="1931"/>
      <c r="CN776" s="1931"/>
      <c r="CO776" s="1931"/>
      <c r="CP776" s="1931"/>
      <c r="CQ776" s="1931"/>
      <c r="CR776" s="1931"/>
      <c r="CS776" s="1931"/>
      <c r="CT776" s="1930"/>
      <c r="CU776" s="1930"/>
      <c r="CV776" s="1930"/>
      <c r="CW776" s="1930"/>
      <c r="CX776" s="1931"/>
      <c r="CY776" s="1931"/>
      <c r="CZ776" s="1931"/>
      <c r="DA776" s="1931"/>
      <c r="DB776" s="1932"/>
      <c r="DC776" s="1931"/>
      <c r="DD776" s="1931"/>
      <c r="DE776" s="1931"/>
      <c r="DF776" s="1931"/>
    </row>
    <row r="777" spans="2:112" s="55" customFormat="1" hidden="1" outlineLevel="1" x14ac:dyDescent="0.25">
      <c r="C777" s="151"/>
      <c r="D777" s="3081" t="s">
        <v>28</v>
      </c>
      <c r="E777" s="3081" t="s">
        <v>2758</v>
      </c>
      <c r="F777" s="81" t="s">
        <v>3161</v>
      </c>
      <c r="G777" s="3081" t="s">
        <v>1119</v>
      </c>
      <c r="H777" s="3081" t="s">
        <v>1104</v>
      </c>
      <c r="I777" s="3081" t="s">
        <v>2603</v>
      </c>
      <c r="J777" s="3081" t="s">
        <v>3162</v>
      </c>
      <c r="K777" s="3081" t="s">
        <v>2960</v>
      </c>
      <c r="L777" s="3081" t="s">
        <v>3163</v>
      </c>
      <c r="M777" s="3081" t="s">
        <v>3164</v>
      </c>
      <c r="N777" s="3249" t="s">
        <v>2962</v>
      </c>
      <c r="O777" s="3249" t="s">
        <v>2963</v>
      </c>
      <c r="P777" s="401"/>
      <c r="Q777" s="401"/>
      <c r="R777" s="401"/>
      <c r="S777" s="401"/>
      <c r="T777" s="401"/>
      <c r="U777" s="401"/>
      <c r="DB777" s="72"/>
    </row>
    <row r="778" spans="2:112" hidden="1" outlineLevel="1" x14ac:dyDescent="0.25">
      <c r="B778" s="1931"/>
      <c r="D778" s="1967" t="str">
        <f>C767</f>
        <v>805850_2019_12_</v>
      </c>
      <c r="E778" s="1967" t="str">
        <f>E767</f>
        <v>PTAC</v>
      </c>
      <c r="F778" s="1357">
        <v>12</v>
      </c>
      <c r="G778" s="1361">
        <v>1053</v>
      </c>
      <c r="H778" s="1412">
        <v>0</v>
      </c>
      <c r="I778" s="1423">
        <v>8.1</v>
      </c>
      <c r="J778" s="1401">
        <v>10.9</v>
      </c>
      <c r="K778" s="90">
        <v>11</v>
      </c>
      <c r="L778" s="90">
        <v>12</v>
      </c>
      <c r="M778" s="1423">
        <v>2.6</v>
      </c>
      <c r="N778" s="985">
        <v>2.9</v>
      </c>
      <c r="O778" s="1424">
        <v>3.3</v>
      </c>
      <c r="P778" s="1965"/>
      <c r="Q778" s="1965"/>
      <c r="R778" s="1965"/>
      <c r="S778" s="1965"/>
      <c r="T778" s="1965"/>
      <c r="U778" s="1965"/>
      <c r="V778" s="1931"/>
      <c r="W778" s="1931"/>
      <c r="X778" s="1931"/>
      <c r="Y778" s="1931"/>
      <c r="Z778" s="1931"/>
      <c r="AA778" s="1931"/>
      <c r="AB778" s="1931"/>
      <c r="AC778" s="1931"/>
      <c r="AD778" s="1931"/>
      <c r="AE778" s="1931"/>
      <c r="AF778" s="1931"/>
      <c r="AG778" s="1931"/>
      <c r="AH778" s="1931"/>
      <c r="AI778" s="1931"/>
      <c r="AJ778" s="1931"/>
      <c r="AK778" s="1931"/>
      <c r="AL778" s="1931"/>
      <c r="AM778" s="1931"/>
      <c r="AN778" s="1931"/>
      <c r="AO778" s="1931"/>
      <c r="AP778" s="1931"/>
      <c r="AQ778" s="1931"/>
      <c r="AR778" s="1931"/>
      <c r="AS778" s="1931"/>
      <c r="AT778" s="1931"/>
      <c r="AU778" s="1931"/>
      <c r="AV778" s="1931"/>
      <c r="AW778" s="1931"/>
      <c r="AX778" s="1931"/>
      <c r="AY778" s="1931"/>
      <c r="AZ778" s="1931"/>
      <c r="BA778" s="1931"/>
      <c r="BB778" s="1931"/>
      <c r="BC778" s="1931"/>
      <c r="BD778" s="1931"/>
      <c r="BE778" s="1931"/>
      <c r="BF778" s="1931"/>
      <c r="BG778" s="1931"/>
      <c r="BH778" s="1931"/>
      <c r="BI778" s="1931"/>
      <c r="BJ778" s="1931"/>
      <c r="BK778" s="1931"/>
      <c r="BL778" s="1931"/>
      <c r="BM778" s="1931"/>
      <c r="BN778" s="1931"/>
      <c r="BO778" s="1931"/>
      <c r="BP778" s="1931"/>
      <c r="BQ778" s="1931"/>
      <c r="BR778" s="1931"/>
      <c r="BS778" s="1931"/>
      <c r="BT778" s="1931"/>
      <c r="BU778" s="1931"/>
      <c r="BV778" s="1931"/>
      <c r="BW778" s="1931"/>
      <c r="BX778" s="1931"/>
      <c r="BY778" s="1931"/>
      <c r="BZ778" s="1931"/>
      <c r="CA778" s="1931"/>
      <c r="CB778" s="1931"/>
      <c r="CC778" s="1931"/>
      <c r="CD778" s="1931"/>
      <c r="CE778" s="1930"/>
      <c r="CF778" s="1930"/>
      <c r="CG778" s="1930"/>
      <c r="CH778" s="1930"/>
      <c r="CI778" s="1931"/>
      <c r="CJ778" s="1931"/>
      <c r="CK778" s="1931"/>
      <c r="CL778" s="1931"/>
      <c r="CM778" s="1931"/>
      <c r="CN778" s="1931"/>
      <c r="CO778" s="1931"/>
      <c r="CP778" s="1931"/>
      <c r="CQ778" s="1931"/>
      <c r="CR778" s="1931"/>
      <c r="CS778" s="1931"/>
      <c r="CT778" s="1930"/>
      <c r="CU778" s="1930"/>
      <c r="CV778" s="1930"/>
      <c r="CW778" s="1930"/>
      <c r="CX778" s="1931"/>
      <c r="CY778" s="1931"/>
      <c r="CZ778" s="1931"/>
      <c r="DA778" s="1931"/>
      <c r="DB778" s="1932"/>
      <c r="DC778" s="1931"/>
      <c r="DD778" s="1931"/>
      <c r="DE778" s="1931"/>
      <c r="DF778" s="1931"/>
    </row>
    <row r="779" spans="2:112" hidden="1" outlineLevel="1" x14ac:dyDescent="0.25">
      <c r="B779" s="1931"/>
      <c r="D779" s="1967" t="str">
        <f>C768</f>
        <v>805900_2019_12_</v>
      </c>
      <c r="E779" s="1967" t="str">
        <f>E768</f>
        <v>PTHP</v>
      </c>
      <c r="F779" s="1357">
        <v>12</v>
      </c>
      <c r="G779" s="1361">
        <v>1053</v>
      </c>
      <c r="H779" s="1412">
        <v>1060</v>
      </c>
      <c r="I779" s="1423">
        <v>8.1</v>
      </c>
      <c r="J779" s="1412">
        <v>10.8</v>
      </c>
      <c r="K779" s="90">
        <v>11</v>
      </c>
      <c r="L779" s="90">
        <v>12</v>
      </c>
      <c r="M779" s="1423">
        <v>2.6</v>
      </c>
      <c r="N779" s="985">
        <v>2.9</v>
      </c>
      <c r="O779" s="1424">
        <v>3.3</v>
      </c>
      <c r="P779" s="1965"/>
      <c r="Q779" s="1965"/>
      <c r="R779" s="1965"/>
      <c r="S779" s="1965"/>
      <c r="T779" s="1965"/>
      <c r="U779" s="1965"/>
      <c r="V779" s="1931"/>
      <c r="W779" s="1931"/>
      <c r="X779" s="1931"/>
      <c r="Y779" s="1931"/>
      <c r="Z779" s="1931"/>
      <c r="AA779" s="1931"/>
      <c r="AB779" s="1931"/>
      <c r="AC779" s="1931"/>
      <c r="AD779" s="1931"/>
      <c r="AE779" s="1931"/>
      <c r="AF779" s="1931"/>
      <c r="AG779" s="1931"/>
      <c r="AH779" s="1931"/>
      <c r="AI779" s="1931"/>
      <c r="AJ779" s="1931"/>
      <c r="AK779" s="1931"/>
      <c r="AL779" s="1931"/>
      <c r="AM779" s="1931"/>
      <c r="AN779" s="1931"/>
      <c r="AO779" s="1931"/>
      <c r="AP779" s="1931"/>
      <c r="AQ779" s="1931"/>
      <c r="AR779" s="1931"/>
      <c r="AS779" s="1931"/>
      <c r="AT779" s="1931"/>
      <c r="AU779" s="1931"/>
      <c r="AV779" s="1931"/>
      <c r="AW779" s="1931"/>
      <c r="AX779" s="1931"/>
      <c r="AY779" s="1931"/>
      <c r="AZ779" s="1931"/>
      <c r="BA779" s="1931"/>
      <c r="BB779" s="1931"/>
      <c r="BC779" s="1931"/>
      <c r="BD779" s="1931"/>
      <c r="BE779" s="1931"/>
      <c r="BF779" s="1931"/>
      <c r="BG779" s="1931"/>
      <c r="BH779" s="1931"/>
      <c r="BI779" s="1931"/>
      <c r="BJ779" s="1931"/>
      <c r="BK779" s="1931"/>
      <c r="BL779" s="1931"/>
      <c r="BM779" s="1931"/>
      <c r="BN779" s="1931"/>
      <c r="BO779" s="1931"/>
      <c r="BP779" s="1931"/>
      <c r="BQ779" s="1931"/>
      <c r="BR779" s="1931"/>
      <c r="BS779" s="1931"/>
      <c r="BT779" s="1931"/>
      <c r="BU779" s="1931"/>
      <c r="BV779" s="1931"/>
      <c r="BW779" s="1931"/>
      <c r="BX779" s="1931"/>
      <c r="BY779" s="1931"/>
      <c r="BZ779" s="1931"/>
      <c r="CA779" s="1931"/>
      <c r="CB779" s="1931"/>
      <c r="CC779" s="1931"/>
      <c r="CD779" s="1931"/>
      <c r="CE779" s="1930"/>
      <c r="CF779" s="1930"/>
      <c r="CG779" s="1930"/>
      <c r="CH779" s="1930"/>
      <c r="CI779" s="1931"/>
      <c r="CJ779" s="1931"/>
      <c r="CK779" s="1931"/>
      <c r="CL779" s="1931"/>
      <c r="CM779" s="1931"/>
      <c r="CN779" s="1931"/>
      <c r="CO779" s="1931"/>
      <c r="CP779" s="1931"/>
      <c r="CQ779" s="1931"/>
      <c r="CR779" s="1931"/>
      <c r="CS779" s="1931"/>
      <c r="CT779" s="1930"/>
      <c r="CU779" s="1930"/>
      <c r="CV779" s="1930"/>
      <c r="CW779" s="1930"/>
      <c r="CX779" s="1931"/>
      <c r="CY779" s="1931"/>
      <c r="CZ779" s="1931"/>
      <c r="DA779" s="1931"/>
      <c r="DB779" s="1932"/>
      <c r="DC779" s="1931"/>
      <c r="DD779" s="1931"/>
      <c r="DE779" s="1931"/>
      <c r="DF779" s="1931"/>
    </row>
    <row r="780" spans="2:112" collapsed="1" x14ac:dyDescent="0.25">
      <c r="B780" s="1931"/>
      <c r="D780" s="1966"/>
      <c r="E780" s="1965"/>
      <c r="F780" s="1965"/>
      <c r="G780" s="1968"/>
      <c r="H780" s="1969"/>
      <c r="I780" s="1965"/>
      <c r="J780" s="1965"/>
      <c r="K780" s="1965"/>
      <c r="L780" s="1965"/>
      <c r="M780" s="1965"/>
      <c r="N780" s="1965"/>
      <c r="O780" s="1965"/>
      <c r="P780" s="1965"/>
      <c r="Q780" s="1965"/>
      <c r="R780" s="1965"/>
      <c r="S780" s="1965"/>
      <c r="T780" s="1965"/>
      <c r="U780" s="1965"/>
      <c r="V780" s="1931"/>
      <c r="W780" s="1931"/>
      <c r="X780" s="1931"/>
      <c r="Y780" s="1931"/>
      <c r="Z780" s="1931"/>
      <c r="AA780" s="1931"/>
      <c r="AB780" s="1931"/>
      <c r="AC780" s="1931"/>
      <c r="AD780" s="1931"/>
      <c r="AE780" s="1931"/>
      <c r="AF780" s="1931"/>
      <c r="AG780" s="1931"/>
      <c r="AH780" s="1931"/>
      <c r="AI780" s="1931"/>
      <c r="AJ780" s="1931"/>
      <c r="AK780" s="1931"/>
      <c r="AL780" s="1931"/>
      <c r="AM780" s="1931"/>
      <c r="AN780" s="1931"/>
      <c r="AO780" s="1931"/>
      <c r="AP780" s="1931"/>
      <c r="AQ780" s="1931"/>
      <c r="AR780" s="1931"/>
      <c r="AS780" s="1931"/>
      <c r="AT780" s="1931"/>
      <c r="AU780" s="1931"/>
      <c r="AV780" s="1931"/>
      <c r="AW780" s="1931"/>
      <c r="AX780" s="1931"/>
      <c r="AY780" s="1931"/>
      <c r="AZ780" s="1931"/>
      <c r="BA780" s="1931"/>
      <c r="BB780" s="1931"/>
      <c r="BC780" s="1931"/>
      <c r="BD780" s="1931"/>
      <c r="BE780" s="1931"/>
      <c r="BF780" s="1931"/>
      <c r="BG780" s="1931"/>
      <c r="BH780" s="1931"/>
      <c r="BI780" s="1931"/>
      <c r="BJ780" s="1931"/>
      <c r="BK780" s="1931"/>
      <c r="BL780" s="1931"/>
      <c r="BM780" s="1931"/>
      <c r="BN780" s="1931"/>
      <c r="BO780" s="1931"/>
      <c r="BP780" s="1931"/>
      <c r="BQ780" s="1931"/>
      <c r="BR780" s="1931"/>
      <c r="BS780" s="1931"/>
      <c r="BT780" s="1931"/>
      <c r="BU780" s="1931"/>
      <c r="BV780" s="1931"/>
      <c r="BW780" s="1931"/>
      <c r="BX780" s="1931"/>
      <c r="BY780" s="1931"/>
      <c r="BZ780" s="1931"/>
      <c r="CA780" s="1931"/>
      <c r="CB780" s="1931"/>
      <c r="CC780" s="1931"/>
      <c r="CD780" s="1931"/>
      <c r="CE780" s="1930"/>
      <c r="CF780" s="1930"/>
      <c r="CG780" s="1930"/>
      <c r="CH780" s="1930"/>
      <c r="CI780" s="1931"/>
      <c r="CJ780" s="1931"/>
      <c r="CK780" s="1931"/>
      <c r="CL780" s="1931"/>
      <c r="CM780" s="1931"/>
      <c r="CN780" s="1931"/>
      <c r="CO780" s="1931"/>
      <c r="CP780" s="1931"/>
      <c r="CQ780" s="1931"/>
      <c r="CR780" s="1931"/>
      <c r="CS780" s="1931"/>
      <c r="CT780" s="1930"/>
      <c r="CU780" s="1930"/>
      <c r="CV780" s="1930"/>
      <c r="CW780" s="1930"/>
      <c r="CX780" s="1931"/>
      <c r="CY780" s="1931"/>
      <c r="CZ780" s="1931"/>
      <c r="DA780" s="1931"/>
      <c r="DB780" s="1932"/>
      <c r="DC780" s="1931"/>
      <c r="DD780" s="1931"/>
      <c r="DE780" s="1931"/>
      <c r="DF780" s="1931"/>
    </row>
    <row r="782" spans="2:112" s="43" customFormat="1" x14ac:dyDescent="0.25">
      <c r="B782" s="4484" t="s">
        <v>3165</v>
      </c>
      <c r="C782" s="4485"/>
      <c r="D782" s="4485"/>
      <c r="E782" s="4485"/>
      <c r="F782" s="4485"/>
      <c r="G782" s="4485"/>
      <c r="H782" s="4485"/>
      <c r="I782" s="4486"/>
      <c r="J782" s="4486"/>
      <c r="K782" s="4486"/>
      <c r="L782" s="4486"/>
      <c r="M782" s="3752"/>
      <c r="N782" s="3752"/>
      <c r="O782" s="3753"/>
      <c r="P782" s="1935"/>
      <c r="Q782" s="1935"/>
      <c r="R782" s="1935"/>
      <c r="S782" s="1935"/>
      <c r="T782" s="1935"/>
      <c r="U782" s="1935"/>
      <c r="V782" s="3077" t="str">
        <f>B782</f>
        <v>Refrigerated Beverage Vending Machine</v>
      </c>
      <c r="W782" s="3078"/>
      <c r="X782" s="3078"/>
      <c r="Y782" s="3078"/>
      <c r="Z782" s="3078"/>
      <c r="AA782" s="3078"/>
      <c r="AB782" s="3078"/>
      <c r="AC782" s="3078"/>
      <c r="AD782" s="3078"/>
      <c r="AE782" s="3078"/>
      <c r="AF782" s="3078"/>
      <c r="AG782" s="3078"/>
      <c r="AH782" s="3078"/>
      <c r="AI782" s="3170"/>
      <c r="AJ782" s="1931"/>
      <c r="AK782" s="1931"/>
      <c r="AL782" s="1931"/>
      <c r="AM782" s="1931"/>
      <c r="AN782" s="1931"/>
      <c r="AO782" s="1931"/>
      <c r="AP782" s="1931"/>
      <c r="AQ782" s="1931"/>
      <c r="AR782" s="1931"/>
      <c r="AS782" s="1931"/>
      <c r="AT782" s="1931"/>
      <c r="AU782" s="1931"/>
      <c r="AV782" s="1935"/>
      <c r="AW782" s="1935"/>
      <c r="AX782" s="1935"/>
      <c r="AY782" s="1935"/>
      <c r="AZ782" s="1935"/>
      <c r="BA782" s="1935"/>
      <c r="BB782" s="1935"/>
      <c r="BC782" s="1935"/>
      <c r="BD782" s="1935"/>
      <c r="BE782" s="1935"/>
      <c r="BF782" s="1935"/>
      <c r="BG782" s="1935"/>
      <c r="BH782" s="1935"/>
      <c r="BI782" s="1935"/>
      <c r="BJ782" s="1935"/>
      <c r="BK782" s="1935"/>
      <c r="BL782" s="1935"/>
      <c r="BM782" s="1935"/>
      <c r="BN782" s="1935"/>
      <c r="BO782" s="1935"/>
      <c r="BP782" s="1935"/>
      <c r="BQ782" s="1935"/>
      <c r="BR782" s="1935"/>
      <c r="BS782" s="1935"/>
      <c r="BT782" s="1935"/>
      <c r="BU782" s="1935"/>
      <c r="BV782" s="1935"/>
      <c r="BW782" s="1935"/>
      <c r="BX782" s="1935"/>
      <c r="BY782" s="1935"/>
      <c r="BZ782" s="1935"/>
      <c r="CA782" s="1935"/>
      <c r="CB782" s="1935"/>
      <c r="CC782" s="1935"/>
      <c r="CD782" s="1935"/>
      <c r="CE782" s="1935"/>
      <c r="CF782" s="1935"/>
      <c r="CG782" s="1935"/>
      <c r="CH782" s="1935"/>
      <c r="CI782" s="1935"/>
      <c r="CJ782" s="1935"/>
      <c r="CK782" s="1935"/>
      <c r="CL782" s="1935"/>
      <c r="CM782" s="1935"/>
      <c r="CN782" s="1935"/>
      <c r="CO782" s="1935"/>
      <c r="CP782" s="1935"/>
      <c r="CQ782" s="1935"/>
      <c r="CR782" s="1935"/>
      <c r="CS782" s="1935"/>
      <c r="CT782" s="1935"/>
      <c r="CU782" s="1935"/>
      <c r="CV782" s="1935"/>
      <c r="CW782" s="1935"/>
      <c r="CX782" s="1935"/>
      <c r="CY782" s="1935"/>
      <c r="CZ782" s="1935"/>
      <c r="DA782" s="1935"/>
      <c r="DB782" s="73"/>
      <c r="DC782" s="1935"/>
      <c r="DD782" s="1935"/>
      <c r="DE782" s="1935"/>
      <c r="DF782" s="1935"/>
      <c r="DG782" s="1935"/>
      <c r="DH782" s="1935"/>
    </row>
    <row r="783" spans="2:112" x14ac:dyDescent="0.25">
      <c r="B783" s="1931"/>
      <c r="D783" s="1286"/>
      <c r="E783" s="1966"/>
      <c r="F783" s="1966"/>
      <c r="G783" s="1966"/>
      <c r="H783" s="1287"/>
      <c r="I783" s="1966"/>
      <c r="J783" s="1966"/>
      <c r="K783" s="1966"/>
      <c r="L783" s="1966"/>
      <c r="M783" s="1965"/>
      <c r="N783" s="1965"/>
      <c r="O783" s="1965"/>
      <c r="P783" s="1966"/>
      <c r="Q783" s="1966"/>
      <c r="R783" s="1966"/>
      <c r="S783" s="1966"/>
      <c r="T783" s="1966"/>
      <c r="U783" s="1966"/>
      <c r="V783" s="1930"/>
      <c r="W783" s="1930"/>
      <c r="X783" s="1930"/>
      <c r="Y783" s="1930"/>
      <c r="Z783" s="1930"/>
      <c r="AA783" s="1930"/>
      <c r="AB783" s="1930"/>
      <c r="AC783" s="1930"/>
      <c r="AD783" s="1930"/>
      <c r="AE783" s="1930"/>
      <c r="AF783" s="1930"/>
      <c r="AG783" s="1930"/>
      <c r="AH783" s="1930"/>
      <c r="AI783" s="1930"/>
      <c r="AJ783" s="1934"/>
      <c r="AK783" s="1934"/>
      <c r="AL783" s="1934"/>
      <c r="AM783" s="1934"/>
      <c r="AN783" s="1934"/>
      <c r="AO783" s="1934"/>
      <c r="AP783" s="1934"/>
      <c r="AQ783" s="1934"/>
      <c r="AR783" s="1934"/>
      <c r="AS783" s="1934"/>
      <c r="AT783" s="1934"/>
      <c r="AU783" s="1934"/>
      <c r="AV783" s="1931"/>
      <c r="AW783" s="1931"/>
      <c r="AX783" s="1931"/>
      <c r="AY783" s="1931"/>
      <c r="AZ783" s="1931"/>
      <c r="BA783" s="1931"/>
      <c r="BB783" s="1931"/>
      <c r="BC783" s="1931"/>
      <c r="BD783" s="1931"/>
      <c r="BE783" s="1931"/>
      <c r="BF783" s="1931"/>
      <c r="BG783" s="1931"/>
      <c r="BH783" s="1931"/>
      <c r="BI783" s="1931"/>
      <c r="BJ783" s="1931"/>
      <c r="BK783" s="1931"/>
      <c r="BL783" s="1931"/>
      <c r="BM783" s="1931"/>
      <c r="BN783" s="1931"/>
      <c r="BO783" s="1931"/>
      <c r="BP783" s="1931"/>
      <c r="BQ783" s="1931"/>
      <c r="BR783" s="1931"/>
      <c r="BS783" s="1931"/>
      <c r="BT783" s="1931"/>
      <c r="BU783" s="1931"/>
      <c r="BV783" s="1931"/>
      <c r="BW783" s="1931"/>
      <c r="BX783" s="1931"/>
      <c r="BY783" s="1931"/>
      <c r="BZ783" s="1931"/>
      <c r="CA783" s="1931"/>
      <c r="CB783" s="1931"/>
      <c r="CC783" s="1931"/>
      <c r="CD783" s="1931"/>
      <c r="CE783" s="1930"/>
      <c r="CF783" s="1930"/>
      <c r="CG783" s="1930"/>
      <c r="CH783" s="1930"/>
      <c r="CI783" s="1931"/>
      <c r="CJ783" s="1931"/>
      <c r="CK783" s="1931"/>
      <c r="CL783" s="1931"/>
      <c r="CM783" s="1931"/>
      <c r="CN783" s="1931"/>
      <c r="CO783" s="1931"/>
      <c r="CP783" s="1931"/>
      <c r="CQ783" s="1931"/>
      <c r="CR783" s="1931"/>
      <c r="CS783" s="1931"/>
      <c r="CT783" s="1930"/>
      <c r="CU783" s="1930"/>
      <c r="CV783" s="1930"/>
      <c r="CW783" s="1930"/>
      <c r="CX783" s="1931"/>
      <c r="CY783" s="1931"/>
      <c r="CZ783" s="1931"/>
      <c r="DA783" s="1931"/>
      <c r="DB783" s="1932"/>
      <c r="DC783" s="1931"/>
      <c r="DD783" s="1931"/>
      <c r="DE783" s="1931"/>
      <c r="DF783" s="1931"/>
    </row>
    <row r="784" spans="2:112" s="44" customFormat="1" ht="30" x14ac:dyDescent="0.25">
      <c r="B784" s="45"/>
      <c r="C784" s="46" t="s">
        <v>28</v>
      </c>
      <c r="D784" s="46" t="s">
        <v>29</v>
      </c>
      <c r="E784" s="3196" t="s">
        <v>30</v>
      </c>
      <c r="F784" s="3196" t="s">
        <v>3166</v>
      </c>
      <c r="G784" s="3196" t="s">
        <v>176</v>
      </c>
      <c r="H784" s="47" t="s">
        <v>177</v>
      </c>
      <c r="I784" s="3196" t="s">
        <v>32</v>
      </c>
      <c r="J784" s="3196" t="s">
        <v>181</v>
      </c>
      <c r="K784" s="46" t="s">
        <v>170</v>
      </c>
      <c r="L784" s="46" t="s">
        <v>44</v>
      </c>
      <c r="M784" s="1965"/>
      <c r="N784" s="1965"/>
      <c r="O784" s="1965"/>
      <c r="P784" s="1288"/>
      <c r="Q784" s="1288"/>
      <c r="R784" s="1288"/>
      <c r="S784" s="1288"/>
      <c r="T784" s="1288"/>
      <c r="U784" s="1288"/>
      <c r="V784" s="1936" t="s">
        <v>45</v>
      </c>
      <c r="W784" s="1937">
        <f>$W$8</f>
        <v>43252</v>
      </c>
      <c r="X784" s="1937">
        <f>$X$8</f>
        <v>43465</v>
      </c>
      <c r="Y784" s="1937">
        <f>$Y$8</f>
        <v>43800</v>
      </c>
      <c r="Z784" s="1937">
        <f>$Z$8</f>
        <v>43862</v>
      </c>
      <c r="AA784" s="1937">
        <f>$AA$8</f>
        <v>44013</v>
      </c>
      <c r="AB784" s="1937">
        <v>44166</v>
      </c>
      <c r="AC784" s="1937">
        <f>$AC$8</f>
        <v>44531</v>
      </c>
      <c r="AD784" s="1937" t="str">
        <f>$AD$8</f>
        <v>-</v>
      </c>
      <c r="AE784" s="1937" t="str">
        <f>$AE$8</f>
        <v>-</v>
      </c>
      <c r="AF784" s="1937" t="str">
        <f>$AF$8</f>
        <v>-</v>
      </c>
      <c r="AG784" s="1937" t="str">
        <f>$AG$8</f>
        <v>-</v>
      </c>
      <c r="AH784" s="1930"/>
      <c r="AI784" s="1936" t="s">
        <v>45</v>
      </c>
      <c r="AJ784" s="1937">
        <v>43252</v>
      </c>
      <c r="AK784" s="1937">
        <f>$X$8</f>
        <v>43465</v>
      </c>
      <c r="AL784" s="1937">
        <f>$Y$8</f>
        <v>43800</v>
      </c>
      <c r="AM784" s="1937">
        <f>$Z$8</f>
        <v>43862</v>
      </c>
      <c r="AN784" s="1937">
        <f>$AA$8</f>
        <v>44013</v>
      </c>
      <c r="AO784" s="1937">
        <f>$AB$8</f>
        <v>44166</v>
      </c>
      <c r="AP784" s="1937">
        <f>$AC$8</f>
        <v>44531</v>
      </c>
      <c r="AQ784" s="1937" t="str">
        <f>$AD$8</f>
        <v>-</v>
      </c>
      <c r="AR784" s="1937" t="str">
        <f>$AE$8</f>
        <v>-</v>
      </c>
      <c r="AS784" s="1937" t="str">
        <f>$AF$8</f>
        <v>-</v>
      </c>
      <c r="AT784" s="1933"/>
      <c r="AU784" s="1936" t="s">
        <v>45</v>
      </c>
      <c r="AV784" s="1937">
        <v>43252</v>
      </c>
      <c r="AW784" s="1937">
        <f>$X$8</f>
        <v>43465</v>
      </c>
      <c r="AX784" s="1937">
        <f>$Y$8</f>
        <v>43800</v>
      </c>
      <c r="AY784" s="1937">
        <f>$Z$8</f>
        <v>43862</v>
      </c>
      <c r="AZ784" s="1937">
        <f>$AA$8</f>
        <v>44013</v>
      </c>
      <c r="BA784" s="1937">
        <v>44166</v>
      </c>
      <c r="BB784" s="1937">
        <f>$AC$8</f>
        <v>44531</v>
      </c>
      <c r="BC784" s="1937" t="str">
        <f>$AD$8</f>
        <v>-</v>
      </c>
      <c r="BD784" s="1937" t="str">
        <f>$AE$8</f>
        <v>-</v>
      </c>
      <c r="BE784" s="1937" t="str">
        <f>$AF$8</f>
        <v>-</v>
      </c>
      <c r="DB784" s="1938" t="str">
        <f>$DB$8</f>
        <v>TRC (2020)</v>
      </c>
      <c r="DC784" s="1953" t="str">
        <f>$DC$8</f>
        <v>Benefit Lookup</v>
      </c>
      <c r="DD784" s="1953" t="str">
        <f>$DD$8</f>
        <v>Benefits (2019 $)</v>
      </c>
      <c r="DE784" s="1953" t="str">
        <f>$DE$8</f>
        <v>Incremental Cost (2019 $)</v>
      </c>
    </row>
    <row r="785" spans="2:112" x14ac:dyDescent="0.25">
      <c r="B785" s="1931"/>
      <c r="C785" s="1997" t="s">
        <v>3167</v>
      </c>
      <c r="D785" s="1363" t="s">
        <v>2646</v>
      </c>
      <c r="E785" s="1308" t="s">
        <v>3168</v>
      </c>
      <c r="F785" s="1959">
        <f>ROUND((F796-G796)*H796,2)</f>
        <v>0.13</v>
      </c>
      <c r="G785" s="1290" t="s">
        <v>2722</v>
      </c>
      <c r="H785" s="1291">
        <f>VLOOKUP(G785,'CP FACTORS'!$A$26:$B$38,2,FALSE)</f>
        <v>1.3573829999999999E-4</v>
      </c>
      <c r="I785" s="1309">
        <f>ROUND(H785*F785,6)</f>
        <v>1.8E-5</v>
      </c>
      <c r="J785" s="1399">
        <v>12</v>
      </c>
      <c r="K785" s="1310">
        <v>140</v>
      </c>
      <c r="L785" s="1374" t="s">
        <v>185</v>
      </c>
      <c r="M785" s="1965"/>
      <c r="N785" s="1965"/>
      <c r="O785" s="1965"/>
      <c r="P785" s="1965"/>
      <c r="Q785" s="1965"/>
      <c r="R785" s="1965"/>
      <c r="S785" s="1965"/>
      <c r="T785" s="1965"/>
      <c r="U785" s="1965"/>
      <c r="V785" s="3226" t="s">
        <v>3166</v>
      </c>
      <c r="W785" s="1947">
        <v>0.13070000000000048</v>
      </c>
      <c r="X785" s="1947">
        <v>0.13070000000000048</v>
      </c>
      <c r="Y785" s="129">
        <v>0.13070000000000048</v>
      </c>
      <c r="Z785" s="129">
        <v>0.13070000000000048</v>
      </c>
      <c r="AA785" s="129">
        <v>0.13070000000000048</v>
      </c>
      <c r="AB785" s="1825">
        <v>0.13</v>
      </c>
      <c r="AC785" s="3364">
        <v>0.13</v>
      </c>
      <c r="AD785" s="2099"/>
      <c r="AE785" s="2099"/>
      <c r="AF785" s="2099"/>
      <c r="AG785" s="2099"/>
      <c r="AH785" s="2100"/>
      <c r="AI785" s="3227" t="s">
        <v>181</v>
      </c>
      <c r="AJ785" s="64">
        <v>12</v>
      </c>
      <c r="AK785" s="64">
        <v>12</v>
      </c>
      <c r="AL785" s="64">
        <v>12</v>
      </c>
      <c r="AM785" s="64">
        <v>12</v>
      </c>
      <c r="AN785" s="64">
        <v>12</v>
      </c>
      <c r="AO785" s="2386">
        <v>12</v>
      </c>
      <c r="AP785" s="2101">
        <v>12</v>
      </c>
      <c r="AQ785" s="2099"/>
      <c r="AR785" s="2099"/>
      <c r="AS785" s="2099"/>
      <c r="AT785" s="1933"/>
      <c r="AU785" s="3227" t="s">
        <v>170</v>
      </c>
      <c r="AV785" s="2102">
        <v>140</v>
      </c>
      <c r="AW785" s="2102">
        <v>140</v>
      </c>
      <c r="AX785" s="2102">
        <v>140</v>
      </c>
      <c r="AY785" s="2102">
        <v>140</v>
      </c>
      <c r="AZ785" s="2102">
        <v>140</v>
      </c>
      <c r="BA785" s="2103">
        <v>140</v>
      </c>
      <c r="BB785" s="2103">
        <v>140</v>
      </c>
      <c r="BC785" s="2099"/>
      <c r="BD785" s="2099"/>
      <c r="BE785" s="2099"/>
      <c r="BF785" s="1933"/>
      <c r="BG785" s="1933"/>
      <c r="BH785" s="1933"/>
      <c r="BI785" s="1933"/>
      <c r="BJ785" s="1933"/>
      <c r="BK785" s="1931"/>
      <c r="BL785" s="1931"/>
      <c r="BM785" s="1931"/>
      <c r="BN785" s="1931"/>
      <c r="BO785" s="1931"/>
      <c r="BP785" s="1931"/>
      <c r="BQ785" s="1931"/>
      <c r="BR785" s="1931"/>
      <c r="BS785" s="1931"/>
      <c r="BT785" s="1931"/>
      <c r="BU785" s="1931"/>
      <c r="BV785" s="1931"/>
      <c r="BW785" s="1931"/>
      <c r="BX785" s="1931"/>
      <c r="BY785" s="1931"/>
      <c r="BZ785" s="1931"/>
      <c r="CA785" s="1931"/>
      <c r="CB785" s="1931"/>
      <c r="CC785" s="1931"/>
      <c r="CD785" s="1931"/>
      <c r="CE785" s="1930"/>
      <c r="CF785" s="1930"/>
      <c r="CG785" s="1930"/>
      <c r="CH785" s="1930"/>
      <c r="CI785" s="1931"/>
      <c r="CJ785" s="1931"/>
      <c r="CK785" s="1931"/>
      <c r="CL785" s="1931"/>
      <c r="CM785" s="1931"/>
      <c r="CN785" s="1931"/>
      <c r="CO785" s="1931"/>
      <c r="CP785" s="1931"/>
      <c r="CQ785" s="1931"/>
      <c r="CR785" s="1931"/>
      <c r="CS785" s="1931"/>
      <c r="CT785" s="1930"/>
      <c r="CU785" s="1930"/>
      <c r="CV785" s="1930"/>
      <c r="CW785" s="1930"/>
      <c r="CX785" s="1931"/>
      <c r="CY785" s="1931"/>
      <c r="CZ785" s="1931"/>
      <c r="DA785" s="1931"/>
      <c r="DB785" s="1945">
        <f>(DD785)/(DE785)</f>
        <v>4.2764848841657214E-4</v>
      </c>
      <c r="DC785" s="3166" t="str">
        <f>CONCATENATE(G785," ",J785," Year EUL")</f>
        <v>Refrigeration BUS 12 Year EUL</v>
      </c>
      <c r="DD785" s="69">
        <f>(INDEX('Avoided Cost Benefits'!$C$4:$C$857,MATCH(DC785,'Avoided Cost Benefits'!$A$4:$A$857,0)))*F785</f>
        <v>5.6508530795960445E-2</v>
      </c>
      <c r="DE785" s="1946">
        <f>K785/(1.0595^(2020-2019))</f>
        <v>132.13780084945728</v>
      </c>
      <c r="DF785" s="1931"/>
    </row>
    <row r="786" spans="2:112" x14ac:dyDescent="0.25">
      <c r="B786" s="1931"/>
      <c r="C786" s="1997" t="s">
        <v>3169</v>
      </c>
      <c r="D786" s="1363" t="s">
        <v>2646</v>
      </c>
      <c r="E786" s="1308" t="s">
        <v>3170</v>
      </c>
      <c r="F786" s="1959">
        <f>ROUND((F797-G797)*H797,2)</f>
        <v>0.32</v>
      </c>
      <c r="G786" s="1290" t="s">
        <v>2722</v>
      </c>
      <c r="H786" s="1291">
        <f>VLOOKUP(G786,'CP FACTORS'!$A$26:$B$38,2,FALSE)</f>
        <v>1.3573829999999999E-4</v>
      </c>
      <c r="I786" s="1309">
        <f>ROUND(H786*F786,6)</f>
        <v>4.3000000000000002E-5</v>
      </c>
      <c r="J786" s="325">
        <v>12</v>
      </c>
      <c r="K786" s="1310">
        <v>140</v>
      </c>
      <c r="L786" s="1374" t="s">
        <v>185</v>
      </c>
      <c r="M786" s="1965"/>
      <c r="N786" s="1965"/>
      <c r="O786" s="1965"/>
      <c r="P786" s="1965"/>
      <c r="Q786" s="1965"/>
      <c r="R786" s="1965"/>
      <c r="S786" s="1965"/>
      <c r="T786" s="1965"/>
      <c r="U786" s="1965"/>
      <c r="V786" s="3226" t="s">
        <v>3166</v>
      </c>
      <c r="W786" s="1947">
        <v>0.32330000000000014</v>
      </c>
      <c r="X786" s="1947">
        <v>0.32330000000000014</v>
      </c>
      <c r="Y786" s="129">
        <v>0.32330000000000014</v>
      </c>
      <c r="Z786" s="129">
        <v>0.32330000000000014</v>
      </c>
      <c r="AA786" s="129">
        <v>0.32330000000000014</v>
      </c>
      <c r="AB786" s="1825">
        <v>0.32</v>
      </c>
      <c r="AC786" s="3364">
        <v>0.32</v>
      </c>
      <c r="AD786" s="2099"/>
      <c r="AE786" s="2099"/>
      <c r="AF786" s="2099"/>
      <c r="AG786" s="2099"/>
      <c r="AH786" s="2100"/>
      <c r="AI786" s="3227" t="s">
        <v>181</v>
      </c>
      <c r="AJ786" s="64">
        <v>12</v>
      </c>
      <c r="AK786" s="64">
        <v>12</v>
      </c>
      <c r="AL786" s="64">
        <v>12</v>
      </c>
      <c r="AM786" s="64">
        <v>12</v>
      </c>
      <c r="AN786" s="64">
        <v>12</v>
      </c>
      <c r="AO786" s="2386">
        <v>12</v>
      </c>
      <c r="AP786" s="2101">
        <v>12</v>
      </c>
      <c r="AQ786" s="2099"/>
      <c r="AR786" s="2099"/>
      <c r="AS786" s="2099"/>
      <c r="AT786" s="1933"/>
      <c r="AU786" s="3227" t="s">
        <v>170</v>
      </c>
      <c r="AV786" s="2102">
        <v>140</v>
      </c>
      <c r="AW786" s="2102">
        <v>140</v>
      </c>
      <c r="AX786" s="2102">
        <v>140</v>
      </c>
      <c r="AY786" s="2102">
        <v>140</v>
      </c>
      <c r="AZ786" s="2102">
        <v>140</v>
      </c>
      <c r="BA786" s="2103">
        <v>140</v>
      </c>
      <c r="BB786" s="2103">
        <v>140</v>
      </c>
      <c r="BC786" s="2099"/>
      <c r="BD786" s="2099"/>
      <c r="BE786" s="2099"/>
      <c r="BF786" s="1933"/>
      <c r="BG786" s="1933"/>
      <c r="BH786" s="1933"/>
      <c r="BI786" s="1933"/>
      <c r="BJ786" s="1933"/>
      <c r="BK786" s="1931"/>
      <c r="BL786" s="1931"/>
      <c r="BM786" s="1931"/>
      <c r="BN786" s="1931"/>
      <c r="BO786" s="1931"/>
      <c r="BP786" s="1931"/>
      <c r="BQ786" s="1931"/>
      <c r="BR786" s="1931"/>
      <c r="BS786" s="1931"/>
      <c r="BT786" s="1931"/>
      <c r="BU786" s="1931"/>
      <c r="BV786" s="1931"/>
      <c r="BW786" s="1931"/>
      <c r="BX786" s="1931"/>
      <c r="BY786" s="1931"/>
      <c r="BZ786" s="1931"/>
      <c r="CA786" s="1931"/>
      <c r="CB786" s="1931"/>
      <c r="CC786" s="1931"/>
      <c r="CD786" s="1931"/>
      <c r="CE786" s="1930"/>
      <c r="CF786" s="1930"/>
      <c r="CG786" s="1930"/>
      <c r="CH786" s="1930"/>
      <c r="CI786" s="1931"/>
      <c r="CJ786" s="1931"/>
      <c r="CK786" s="1931"/>
      <c r="CL786" s="1931"/>
      <c r="CM786" s="1931"/>
      <c r="CN786" s="1931"/>
      <c r="CO786" s="1931"/>
      <c r="CP786" s="1931"/>
      <c r="CQ786" s="1931"/>
      <c r="CR786" s="1931"/>
      <c r="CS786" s="1931"/>
      <c r="CT786" s="1930"/>
      <c r="CU786" s="1930"/>
      <c r="CV786" s="1930"/>
      <c r="CW786" s="1930"/>
      <c r="CX786" s="1931"/>
      <c r="CY786" s="1931"/>
      <c r="CZ786" s="1931"/>
      <c r="DA786" s="1931"/>
      <c r="DB786" s="53">
        <f>(DD786)/(DE786)</f>
        <v>1.0526732022561776E-3</v>
      </c>
      <c r="DC786" s="1948" t="str">
        <f>CONCATENATE(G786," ",J786," Year EUL")</f>
        <v>Refrigeration BUS 12 Year EUL</v>
      </c>
      <c r="DD786" s="71">
        <f>(INDEX('Avoided Cost Benefits'!$C$4:$C$857,MATCH(DC786,'Avoided Cost Benefits'!$A$4:$A$857,0)))*F786</f>
        <v>0.13909792195928725</v>
      </c>
      <c r="DE786" s="1950">
        <f>K786/(1.0595^(2020-2019))</f>
        <v>132.13780084945728</v>
      </c>
      <c r="DF786" s="1931"/>
    </row>
    <row r="787" spans="2:112" hidden="1" outlineLevel="1" x14ac:dyDescent="0.25">
      <c r="B787" s="1933"/>
      <c r="C787" s="1425"/>
      <c r="D787" s="1425"/>
      <c r="E787" s="1425"/>
      <c r="F787" s="1966"/>
      <c r="G787" s="1966"/>
      <c r="H787" s="1299"/>
      <c r="I787" s="1966"/>
      <c r="J787" s="1966"/>
      <c r="K787" s="1966"/>
      <c r="L787" s="1965"/>
      <c r="M787" s="1965"/>
      <c r="N787" s="1965"/>
      <c r="O787" s="1965"/>
      <c r="P787" s="1965"/>
      <c r="Q787" s="1965"/>
      <c r="R787" s="1965"/>
      <c r="S787" s="1965"/>
      <c r="T787" s="1965"/>
      <c r="U787" s="1965"/>
      <c r="V787" s="1931"/>
      <c r="W787" s="1931"/>
      <c r="X787" s="1931"/>
      <c r="Y787" s="1933"/>
      <c r="Z787" s="1933"/>
      <c r="AA787" s="1933"/>
      <c r="AB787" s="1933"/>
      <c r="AC787" s="1933"/>
      <c r="AD787" s="1933"/>
      <c r="AE787" s="1933"/>
      <c r="AF787" s="1933"/>
      <c r="AG787" s="1933"/>
      <c r="AH787" s="1933"/>
      <c r="AI787" s="1933"/>
      <c r="AJ787" s="1933"/>
      <c r="AK787" s="1933"/>
      <c r="AL787" s="1933"/>
      <c r="AM787" s="1933"/>
      <c r="AN787" s="1933"/>
      <c r="AO787" s="1933"/>
      <c r="AP787" s="1933"/>
      <c r="AQ787" s="1933"/>
      <c r="AR787" s="1933"/>
      <c r="AS787" s="1933"/>
      <c r="AT787" s="1933"/>
      <c r="AU787" s="1933"/>
      <c r="AV787" s="1933"/>
      <c r="AW787" s="1933"/>
      <c r="AX787" s="1933"/>
      <c r="AY787" s="1933"/>
      <c r="AZ787" s="1933"/>
      <c r="BA787" s="1933"/>
      <c r="BB787" s="1933"/>
      <c r="BC787" s="1933"/>
      <c r="BD787" s="1933"/>
      <c r="BE787" s="1933"/>
      <c r="BF787" s="1933"/>
      <c r="BG787" s="1933"/>
      <c r="BH787" s="1933"/>
      <c r="BI787" s="1933"/>
      <c r="BJ787" s="1933"/>
      <c r="BK787" s="1931"/>
      <c r="BL787" s="1931"/>
      <c r="BM787" s="1931"/>
      <c r="BN787" s="1931"/>
      <c r="BO787" s="1931"/>
      <c r="BP787" s="1931"/>
      <c r="BQ787" s="1931"/>
      <c r="BR787" s="1931"/>
      <c r="BS787" s="1931"/>
      <c r="BT787" s="1931"/>
      <c r="BU787" s="1931"/>
      <c r="BV787" s="1931"/>
      <c r="BW787" s="1931"/>
      <c r="BX787" s="1931"/>
      <c r="BY787" s="1931"/>
      <c r="BZ787" s="1931"/>
      <c r="CA787" s="1931"/>
      <c r="CB787" s="1931"/>
      <c r="CC787" s="1931"/>
      <c r="CD787" s="1931"/>
      <c r="CE787" s="1930"/>
      <c r="CF787" s="1930"/>
      <c r="CG787" s="1930"/>
      <c r="CH787" s="1930"/>
      <c r="CI787" s="1931"/>
      <c r="CJ787" s="1931"/>
      <c r="CK787" s="1931"/>
      <c r="CL787" s="1931"/>
      <c r="CM787" s="1931"/>
      <c r="CN787" s="1931"/>
      <c r="CO787" s="1931"/>
      <c r="CP787" s="1931"/>
      <c r="CQ787" s="1931"/>
      <c r="CR787" s="1931"/>
      <c r="CS787" s="1931"/>
      <c r="CT787" s="1930"/>
      <c r="CU787" s="1930"/>
      <c r="CV787" s="1930"/>
      <c r="CW787" s="1930"/>
      <c r="CX787" s="1931"/>
      <c r="CY787" s="1931"/>
      <c r="CZ787" s="1931"/>
      <c r="DA787" s="1931"/>
      <c r="DB787" s="1932"/>
      <c r="DC787" s="1931"/>
      <c r="DD787" s="1931"/>
      <c r="DE787" s="1931"/>
      <c r="DF787" s="1931"/>
    </row>
    <row r="788" spans="2:112" hidden="1" outlineLevel="1" x14ac:dyDescent="0.25">
      <c r="B788" s="1933"/>
      <c r="C788" s="1425"/>
      <c r="D788" s="1425" t="s">
        <v>2689</v>
      </c>
      <c r="E788" s="223"/>
      <c r="F788" s="1966"/>
      <c r="G788" s="1966"/>
      <c r="H788" s="1299"/>
      <c r="I788" s="1966"/>
      <c r="J788" s="1966"/>
      <c r="K788" s="151"/>
      <c r="L788" s="1965"/>
      <c r="M788" s="1965"/>
      <c r="N788" s="1965"/>
      <c r="O788" s="1965"/>
      <c r="P788" s="1965"/>
      <c r="Q788" s="1965"/>
      <c r="R788" s="1965"/>
      <c r="S788" s="1965"/>
      <c r="T788" s="1965"/>
      <c r="U788" s="1965"/>
      <c r="V788" s="1931"/>
      <c r="W788" s="1931"/>
      <c r="X788" s="1931"/>
      <c r="Y788" s="1933"/>
      <c r="Z788" s="1933"/>
      <c r="AA788" s="1933"/>
      <c r="AB788" s="1933"/>
      <c r="AC788" s="1933"/>
      <c r="AD788" s="1933"/>
      <c r="AE788" s="1933"/>
      <c r="AF788" s="1933"/>
      <c r="AG788" s="1933"/>
      <c r="AH788" s="1933"/>
      <c r="AI788" s="1933"/>
      <c r="AJ788" s="1933"/>
      <c r="AK788" s="1933"/>
      <c r="AL788" s="1933"/>
      <c r="AM788" s="1933"/>
      <c r="AN788" s="1933"/>
      <c r="AO788" s="1933"/>
      <c r="AP788" s="1933"/>
      <c r="AQ788" s="1933"/>
      <c r="AR788" s="1933"/>
      <c r="AS788" s="1933"/>
      <c r="AT788" s="1933"/>
      <c r="AU788" s="1933"/>
      <c r="AV788" s="1933"/>
      <c r="AW788" s="1933"/>
      <c r="AX788" s="1933"/>
      <c r="AY788" s="1933"/>
      <c r="AZ788" s="1933"/>
      <c r="BA788" s="1933"/>
      <c r="BB788" s="1933"/>
      <c r="BC788" s="1933"/>
      <c r="BD788" s="1933"/>
      <c r="BE788" s="1933"/>
      <c r="BF788" s="1933"/>
      <c r="BG788" s="1933"/>
      <c r="BH788" s="1933"/>
      <c r="BI788" s="1933"/>
      <c r="BJ788" s="1933"/>
      <c r="BK788" s="1931"/>
      <c r="BL788" s="1931"/>
      <c r="BM788" s="1931"/>
      <c r="BN788" s="1931"/>
      <c r="BO788" s="1931"/>
      <c r="BP788" s="1931"/>
      <c r="BQ788" s="1931"/>
      <c r="BR788" s="1931"/>
      <c r="BS788" s="1931"/>
      <c r="BT788" s="1931"/>
      <c r="BU788" s="1931"/>
      <c r="BV788" s="1931"/>
      <c r="BW788" s="1931"/>
      <c r="BX788" s="1931"/>
      <c r="BY788" s="1931"/>
      <c r="BZ788" s="1931"/>
      <c r="CA788" s="1931"/>
      <c r="CB788" s="1931"/>
      <c r="CC788" s="1931"/>
      <c r="CD788" s="1931"/>
      <c r="CE788" s="1930"/>
      <c r="CF788" s="1930"/>
      <c r="CG788" s="1930"/>
      <c r="CH788" s="1930"/>
      <c r="CI788" s="1931"/>
      <c r="CJ788" s="1931"/>
      <c r="CK788" s="1931"/>
      <c r="CL788" s="1931"/>
      <c r="CM788" s="1931"/>
      <c r="CN788" s="1931"/>
      <c r="CO788" s="1931"/>
      <c r="CP788" s="1931"/>
      <c r="CQ788" s="1931"/>
      <c r="CR788" s="1931"/>
      <c r="CS788" s="1931"/>
      <c r="CT788" s="1930"/>
      <c r="CU788" s="1930"/>
      <c r="CV788" s="1930"/>
      <c r="CW788" s="1930"/>
      <c r="CX788" s="1931"/>
      <c r="CY788" s="1931"/>
      <c r="CZ788" s="1931"/>
      <c r="DA788" s="1931"/>
      <c r="DB788" s="1932"/>
      <c r="DC788" s="1931"/>
      <c r="DD788" s="1931"/>
      <c r="DE788" s="1931"/>
      <c r="DF788" s="1931"/>
    </row>
    <row r="789" spans="2:112" hidden="1" outlineLevel="1" x14ac:dyDescent="0.25">
      <c r="B789" s="1933"/>
      <c r="C789" s="1425"/>
      <c r="D789" s="1355"/>
      <c r="E789" s="223"/>
      <c r="F789" s="151"/>
      <c r="G789" s="1321"/>
      <c r="H789" s="1322"/>
      <c r="I789" s="1965"/>
      <c r="J789" s="1965"/>
      <c r="K789" s="1965"/>
      <c r="L789" s="1965"/>
      <c r="M789" s="1965"/>
      <c r="N789" s="1965"/>
      <c r="O789" s="1965"/>
      <c r="P789" s="1965"/>
      <c r="Q789" s="1965"/>
      <c r="R789" s="1965"/>
      <c r="S789" s="1965"/>
      <c r="T789" s="1965"/>
      <c r="U789" s="1965"/>
      <c r="V789" s="1931"/>
      <c r="W789" s="1931"/>
      <c r="X789" s="1931"/>
      <c r="Y789" s="1933"/>
      <c r="Z789" s="1933"/>
      <c r="AA789" s="1933"/>
      <c r="AB789" s="1933"/>
      <c r="AC789" s="1933"/>
      <c r="AD789" s="1933"/>
      <c r="AE789" s="1933"/>
      <c r="AF789" s="1933"/>
      <c r="AG789" s="1933"/>
      <c r="AH789" s="1933"/>
      <c r="AI789" s="1933"/>
      <c r="AJ789" s="1933"/>
      <c r="AK789" s="1933"/>
      <c r="AL789" s="1933"/>
      <c r="AM789" s="1933"/>
      <c r="AN789" s="1933"/>
      <c r="AO789" s="1933"/>
      <c r="AP789" s="1933"/>
      <c r="AQ789" s="1933"/>
      <c r="AR789" s="1933"/>
      <c r="AS789" s="1933"/>
      <c r="AT789" s="1933"/>
      <c r="AU789" s="1933"/>
      <c r="AV789" s="1933"/>
      <c r="AW789" s="1933"/>
      <c r="AX789" s="1933"/>
      <c r="AY789" s="1933"/>
      <c r="AZ789" s="1933"/>
      <c r="BA789" s="1933"/>
      <c r="BB789" s="1933"/>
      <c r="BC789" s="1933"/>
      <c r="BD789" s="1933"/>
      <c r="BE789" s="1933"/>
      <c r="BF789" s="1933"/>
      <c r="BG789" s="1933"/>
      <c r="BH789" s="1933"/>
      <c r="BI789" s="1933"/>
      <c r="BJ789" s="1933"/>
      <c r="BK789" s="1931"/>
      <c r="BL789" s="1931"/>
      <c r="BM789" s="1931"/>
      <c r="BN789" s="1931"/>
      <c r="BO789" s="1931"/>
      <c r="BP789" s="1931"/>
      <c r="BQ789" s="1931"/>
      <c r="BR789" s="1931"/>
      <c r="BS789" s="1931"/>
      <c r="BT789" s="1931"/>
      <c r="BU789" s="1931"/>
      <c r="BV789" s="1931"/>
      <c r="BW789" s="1931"/>
      <c r="BX789" s="1931"/>
      <c r="BY789" s="1931"/>
      <c r="BZ789" s="1931"/>
      <c r="CA789" s="1931"/>
      <c r="CB789" s="1931"/>
      <c r="CC789" s="1931"/>
      <c r="CD789" s="1931"/>
      <c r="CE789" s="1930"/>
      <c r="CF789" s="1930"/>
      <c r="CG789" s="1930"/>
      <c r="CH789" s="1930"/>
      <c r="CI789" s="1931"/>
      <c r="CJ789" s="1931"/>
      <c r="CK789" s="1931"/>
      <c r="CL789" s="1931"/>
      <c r="CM789" s="1931"/>
      <c r="CN789" s="1931"/>
      <c r="CO789" s="1931"/>
      <c r="CP789" s="1931"/>
      <c r="CQ789" s="1931"/>
      <c r="CR789" s="1931"/>
      <c r="CS789" s="1931"/>
      <c r="CT789" s="1930"/>
      <c r="CU789" s="1930"/>
      <c r="CV789" s="1930"/>
      <c r="CW789" s="1930"/>
      <c r="CX789" s="1931"/>
      <c r="CY789" s="1931"/>
      <c r="CZ789" s="1931"/>
      <c r="DA789" s="1931"/>
      <c r="DB789" s="1932"/>
      <c r="DC789" s="1931"/>
      <c r="DD789" s="1931"/>
      <c r="DE789" s="1931"/>
      <c r="DF789" s="1931"/>
    </row>
    <row r="790" spans="2:112" hidden="1" outlineLevel="1" x14ac:dyDescent="0.25">
      <c r="B790" s="1933"/>
      <c r="C790" s="1425"/>
      <c r="D790" s="1355"/>
      <c r="E790" s="874"/>
      <c r="F790" s="1965"/>
      <c r="G790" s="1321"/>
      <c r="H790" s="1322"/>
      <c r="I790" s="1965"/>
      <c r="J790" s="1965"/>
      <c r="K790" s="1965"/>
      <c r="L790" s="1965"/>
      <c r="M790" s="1965"/>
      <c r="N790" s="1965"/>
      <c r="O790" s="1965"/>
      <c r="P790" s="4483"/>
      <c r="Q790" s="4483"/>
      <c r="R790" s="1965"/>
      <c r="S790" s="1965"/>
      <c r="T790" s="1965"/>
      <c r="U790" s="1965"/>
      <c r="V790" s="1931"/>
      <c r="W790" s="1931"/>
      <c r="X790" s="1931"/>
      <c r="Y790" s="1931"/>
      <c r="Z790" s="1931"/>
      <c r="AA790" s="1931"/>
      <c r="AB790" s="1931"/>
      <c r="AC790" s="1931"/>
      <c r="AD790" s="1931"/>
      <c r="AE790" s="1931"/>
      <c r="AF790" s="1931"/>
      <c r="AG790" s="1931"/>
      <c r="AH790" s="1931"/>
      <c r="AI790" s="1931"/>
      <c r="AJ790" s="1931"/>
      <c r="AK790" s="1931"/>
      <c r="AL790" s="1931"/>
      <c r="AM790" s="1931"/>
      <c r="AN790" s="1931"/>
      <c r="AO790" s="1931"/>
      <c r="AP790" s="1931"/>
      <c r="AQ790" s="1931"/>
      <c r="AR790" s="1931"/>
      <c r="AS790" s="1931"/>
      <c r="AT790" s="1931"/>
      <c r="AU790" s="1931"/>
      <c r="AV790" s="1931"/>
      <c r="AW790" s="1931"/>
      <c r="AX790" s="1931"/>
      <c r="AY790" s="1931"/>
      <c r="AZ790" s="1931"/>
      <c r="BA790" s="1931"/>
      <c r="BB790" s="1931"/>
      <c r="BC790" s="1931"/>
      <c r="BD790" s="1931"/>
      <c r="BE790" s="1931"/>
      <c r="BF790" s="1931"/>
      <c r="BG790" s="1931"/>
      <c r="BH790" s="1931"/>
      <c r="BI790" s="1931"/>
      <c r="BJ790" s="1931"/>
      <c r="BK790" s="1931"/>
      <c r="BL790" s="1931"/>
      <c r="BM790" s="1931"/>
      <c r="BN790" s="1931"/>
      <c r="BO790" s="1931"/>
      <c r="BP790" s="1931"/>
      <c r="BQ790" s="1931"/>
      <c r="BR790" s="1931"/>
      <c r="BS790" s="1931"/>
      <c r="BT790" s="1931"/>
      <c r="BU790" s="1931"/>
      <c r="BV790" s="1931"/>
      <c r="BW790" s="1931"/>
      <c r="BX790" s="1931"/>
      <c r="BY790" s="1931"/>
      <c r="BZ790" s="1931"/>
      <c r="CA790" s="1931"/>
      <c r="CB790" s="1931"/>
      <c r="CC790" s="1931"/>
      <c r="CD790" s="1931"/>
      <c r="CE790" s="1930"/>
      <c r="CF790" s="1930"/>
      <c r="CG790" s="1930"/>
      <c r="CH790" s="1930"/>
      <c r="CI790" s="1931"/>
      <c r="CJ790" s="1931"/>
      <c r="CK790" s="1931"/>
      <c r="CL790" s="1931"/>
      <c r="CM790" s="1931"/>
      <c r="CN790" s="1931"/>
      <c r="CO790" s="1931"/>
      <c r="CP790" s="1931"/>
      <c r="CQ790" s="1931"/>
      <c r="CR790" s="1931"/>
      <c r="CS790" s="1931"/>
      <c r="CT790" s="1930"/>
      <c r="CU790" s="1930"/>
      <c r="CV790" s="1930"/>
      <c r="CW790" s="1930"/>
      <c r="CX790" s="1931"/>
      <c r="CY790" s="1931"/>
      <c r="CZ790" s="1931"/>
      <c r="DA790" s="1931"/>
      <c r="DB790" s="1932"/>
      <c r="DC790" s="1931"/>
      <c r="DD790" s="1931"/>
      <c r="DE790" s="1931"/>
      <c r="DF790" s="1931"/>
    </row>
    <row r="791" spans="2:112" hidden="1" outlineLevel="1" x14ac:dyDescent="0.25">
      <c r="B791" s="1933"/>
      <c r="C791" s="1425"/>
      <c r="D791" s="1355"/>
      <c r="E791" s="874"/>
      <c r="F791" s="1965"/>
      <c r="G791" s="1965"/>
      <c r="H791" s="1301"/>
      <c r="I791" s="1965"/>
      <c r="J791" s="1965"/>
      <c r="K791" s="1965"/>
      <c r="L791" s="1965"/>
      <c r="M791" s="1966"/>
      <c r="N791" s="1965"/>
      <c r="O791" s="1965"/>
      <c r="P791" s="4483"/>
      <c r="Q791" s="4483"/>
      <c r="R791" s="1965"/>
      <c r="S791" s="1965"/>
      <c r="T791" s="1965"/>
      <c r="U791" s="1965"/>
      <c r="V791" s="1931"/>
      <c r="W791" s="1931"/>
      <c r="X791" s="1931"/>
      <c r="Y791" s="1931"/>
      <c r="Z791" s="1931"/>
      <c r="AA791" s="1931"/>
      <c r="AB791" s="1931"/>
      <c r="AC791" s="1931"/>
      <c r="AD791" s="1931"/>
      <c r="AE791" s="1931"/>
      <c r="AF791" s="1931"/>
      <c r="AG791" s="1931"/>
      <c r="AH791" s="1931"/>
      <c r="AI791" s="1931"/>
      <c r="AJ791" s="1931"/>
      <c r="AK791" s="1931"/>
      <c r="AL791" s="1931"/>
      <c r="AM791" s="1931"/>
      <c r="AN791" s="1931"/>
      <c r="AO791" s="1931"/>
      <c r="AP791" s="1931"/>
      <c r="AQ791" s="1931"/>
      <c r="AR791" s="1931"/>
      <c r="AS791" s="1931"/>
      <c r="AT791" s="1931"/>
      <c r="AU791" s="1931"/>
      <c r="AV791" s="1931"/>
      <c r="AW791" s="1931"/>
      <c r="AX791" s="1931"/>
      <c r="AY791" s="1931"/>
      <c r="AZ791" s="1931"/>
      <c r="BA791" s="1931"/>
      <c r="BB791" s="1931"/>
      <c r="BC791" s="1931"/>
      <c r="BD791" s="1931"/>
      <c r="BE791" s="1931"/>
      <c r="BF791" s="1931"/>
      <c r="BG791" s="1931"/>
      <c r="BH791" s="1931"/>
      <c r="BI791" s="1931"/>
      <c r="BJ791" s="1931"/>
      <c r="BK791" s="1931"/>
      <c r="BL791" s="1931"/>
      <c r="BM791" s="1931"/>
      <c r="BN791" s="1931"/>
      <c r="BO791" s="1931"/>
      <c r="BP791" s="1931"/>
      <c r="BQ791" s="1931"/>
      <c r="BR791" s="1931"/>
      <c r="BS791" s="1931"/>
      <c r="BT791" s="1931"/>
      <c r="BU791" s="1931"/>
      <c r="BV791" s="1931"/>
      <c r="BW791" s="1931"/>
      <c r="BX791" s="1931"/>
      <c r="BY791" s="1931"/>
      <c r="BZ791" s="1931"/>
      <c r="CA791" s="1931"/>
      <c r="CB791" s="1931"/>
      <c r="CC791" s="1931"/>
      <c r="CD791" s="1931"/>
      <c r="CE791" s="1930"/>
      <c r="CF791" s="1930"/>
      <c r="CG791" s="1930"/>
      <c r="CH791" s="1930"/>
      <c r="CI791" s="1931"/>
      <c r="CJ791" s="1931"/>
      <c r="CK791" s="1931"/>
      <c r="CL791" s="1931"/>
      <c r="CM791" s="1931"/>
      <c r="CN791" s="1931"/>
      <c r="CO791" s="1931"/>
      <c r="CP791" s="1931"/>
      <c r="CQ791" s="1931"/>
      <c r="CR791" s="1931"/>
      <c r="CS791" s="1931"/>
      <c r="CT791" s="1930"/>
      <c r="CU791" s="1930"/>
      <c r="CV791" s="1930"/>
      <c r="CW791" s="1930"/>
      <c r="CX791" s="1931"/>
      <c r="CY791" s="1931"/>
      <c r="CZ791" s="1931"/>
      <c r="DA791" s="1931"/>
      <c r="DB791" s="1932"/>
      <c r="DC791" s="1931"/>
      <c r="DD791" s="1931"/>
      <c r="DE791" s="1931"/>
      <c r="DF791" s="1931"/>
    </row>
    <row r="792" spans="2:112" hidden="1" outlineLevel="1" x14ac:dyDescent="0.25">
      <c r="B792" s="1933"/>
      <c r="C792" s="1425"/>
      <c r="D792" s="1355"/>
      <c r="E792" s="874"/>
      <c r="F792" s="1965"/>
      <c r="G792" s="1965"/>
      <c r="H792" s="1301"/>
      <c r="I792" s="1965"/>
      <c r="J792" s="1965"/>
      <c r="K792" s="1965"/>
      <c r="L792" s="1965"/>
      <c r="M792" s="1966"/>
      <c r="N792" s="1965"/>
      <c r="O792" s="1965"/>
      <c r="P792" s="4483"/>
      <c r="Q792" s="4483"/>
      <c r="R792" s="1965"/>
      <c r="S792" s="1965"/>
      <c r="T792" s="1965"/>
      <c r="U792" s="1965"/>
      <c r="V792" s="1931"/>
      <c r="W792" s="1931"/>
      <c r="X792" s="1931"/>
      <c r="Y792" s="1931"/>
      <c r="Z792" s="1931"/>
      <c r="AA792" s="1931"/>
      <c r="AB792" s="1931"/>
      <c r="AC792" s="1931"/>
      <c r="AD792" s="1931"/>
      <c r="AE792" s="1931"/>
      <c r="AF792" s="1931"/>
      <c r="AG792" s="1931"/>
      <c r="AH792" s="1931"/>
      <c r="AI792" s="1931"/>
      <c r="AJ792" s="1931"/>
      <c r="AK792" s="1931"/>
      <c r="AL792" s="1931"/>
      <c r="AM792" s="1931"/>
      <c r="AN792" s="1931"/>
      <c r="AO792" s="1931"/>
      <c r="AP792" s="1931"/>
      <c r="AQ792" s="1931"/>
      <c r="AR792" s="1931"/>
      <c r="AS792" s="1931"/>
      <c r="AT792" s="1931"/>
      <c r="AU792" s="1931"/>
      <c r="AV792" s="1931"/>
      <c r="AW792" s="1931"/>
      <c r="AX792" s="1931"/>
      <c r="AY792" s="1931"/>
      <c r="AZ792" s="1931"/>
      <c r="BA792" s="1931"/>
      <c r="BB792" s="1931"/>
      <c r="BC792" s="1931"/>
      <c r="BD792" s="1931"/>
      <c r="BE792" s="1931"/>
      <c r="BF792" s="1931"/>
      <c r="BG792" s="1931"/>
      <c r="BH792" s="1931"/>
      <c r="BI792" s="1931"/>
      <c r="BJ792" s="1931"/>
      <c r="BK792" s="1931"/>
      <c r="BL792" s="1931"/>
      <c r="BM792" s="1931"/>
      <c r="BN792" s="1931"/>
      <c r="BO792" s="1931"/>
      <c r="BP792" s="1931"/>
      <c r="BQ792" s="1931"/>
      <c r="BR792" s="1931"/>
      <c r="BS792" s="1931"/>
      <c r="BT792" s="1931"/>
      <c r="BU792" s="1931"/>
      <c r="BV792" s="1931"/>
      <c r="BW792" s="1931"/>
      <c r="BX792" s="1931"/>
      <c r="BY792" s="1931"/>
      <c r="BZ792" s="1931"/>
      <c r="CA792" s="1931"/>
      <c r="CB792" s="1931"/>
      <c r="CC792" s="1931"/>
      <c r="CD792" s="1931"/>
      <c r="CE792" s="1930"/>
      <c r="CF792" s="1930"/>
      <c r="CG792" s="1930"/>
      <c r="CH792" s="1930"/>
      <c r="CI792" s="1931"/>
      <c r="CJ792" s="1931"/>
      <c r="CK792" s="1931"/>
      <c r="CL792" s="1931"/>
      <c r="CM792" s="1931"/>
      <c r="CN792" s="1931"/>
      <c r="CO792" s="1931"/>
      <c r="CP792" s="1931"/>
      <c r="CQ792" s="1931"/>
      <c r="CR792" s="1931"/>
      <c r="CS792" s="1931"/>
      <c r="CT792" s="1930"/>
      <c r="CU792" s="1930"/>
      <c r="CV792" s="1930"/>
      <c r="CW792" s="1930"/>
      <c r="CX792" s="1931"/>
      <c r="CY792" s="1931"/>
      <c r="CZ792" s="1931"/>
      <c r="DA792" s="1931"/>
      <c r="DB792" s="1932"/>
      <c r="DC792" s="1931"/>
      <c r="DD792" s="1931"/>
      <c r="DE792" s="1931"/>
      <c r="DF792" s="1931"/>
    </row>
    <row r="793" spans="2:112" hidden="1" outlineLevel="1" x14ac:dyDescent="0.25">
      <c r="B793" s="1933"/>
      <c r="C793" s="1425"/>
      <c r="D793" s="1355"/>
      <c r="E793" s="874"/>
      <c r="F793" s="1965"/>
      <c r="G793" s="1965"/>
      <c r="H793" s="1301"/>
      <c r="I793" s="1965"/>
      <c r="J793" s="1965"/>
      <c r="K793" s="1965"/>
      <c r="L793" s="1965"/>
      <c r="M793" s="1966"/>
      <c r="N793" s="1965"/>
      <c r="O793" s="1965"/>
      <c r="P793" s="1965"/>
      <c r="Q793" s="1965"/>
      <c r="R793" s="1965"/>
      <c r="S793" s="1965"/>
      <c r="T793" s="1965"/>
      <c r="U793" s="1965"/>
      <c r="V793" s="1931"/>
      <c r="W793" s="1931"/>
      <c r="X793" s="1931"/>
      <c r="Y793" s="1931"/>
      <c r="Z793" s="1931"/>
      <c r="AA793" s="1931"/>
      <c r="AB793" s="1931"/>
      <c r="AC793" s="1931"/>
      <c r="AD793" s="1931"/>
      <c r="AE793" s="1931"/>
      <c r="AF793" s="1931"/>
      <c r="AG793" s="1931"/>
      <c r="AH793" s="1931"/>
      <c r="AI793" s="1931"/>
      <c r="AJ793" s="1931"/>
      <c r="AK793" s="1931"/>
      <c r="AL793" s="1931"/>
      <c r="AM793" s="1931"/>
      <c r="AN793" s="1931"/>
      <c r="AO793" s="1931"/>
      <c r="AP793" s="1931"/>
      <c r="AQ793" s="1931"/>
      <c r="AR793" s="1931"/>
      <c r="AS793" s="1931"/>
      <c r="AT793" s="1931"/>
      <c r="AU793" s="1931"/>
      <c r="AV793" s="1931"/>
      <c r="AW793" s="1931"/>
      <c r="AX793" s="1931"/>
      <c r="AY793" s="1931"/>
      <c r="AZ793" s="1931"/>
      <c r="BA793" s="1931"/>
      <c r="BB793" s="1931"/>
      <c r="BC793" s="1931"/>
      <c r="BD793" s="1931"/>
      <c r="BE793" s="1931"/>
      <c r="BF793" s="1931"/>
      <c r="BG793" s="1931"/>
      <c r="BH793" s="1931"/>
      <c r="BI793" s="1931"/>
      <c r="BJ793" s="1931"/>
      <c r="BK793" s="1931"/>
      <c r="BL793" s="1931"/>
      <c r="BM793" s="1931"/>
      <c r="BN793" s="1931"/>
      <c r="BO793" s="1931"/>
      <c r="BP793" s="1931"/>
      <c r="BQ793" s="1931"/>
      <c r="BR793" s="1931"/>
      <c r="BS793" s="1931"/>
      <c r="BT793" s="1931"/>
      <c r="BU793" s="1931"/>
      <c r="BV793" s="1931"/>
      <c r="BW793" s="1931"/>
      <c r="BX793" s="1931"/>
      <c r="BY793" s="1931"/>
      <c r="BZ793" s="1931"/>
      <c r="CA793" s="1931"/>
      <c r="CB793" s="1931"/>
      <c r="CC793" s="1931"/>
      <c r="CD793" s="1931"/>
      <c r="CE793" s="1930"/>
      <c r="CF793" s="1930"/>
      <c r="CG793" s="1930"/>
      <c r="CH793" s="1930"/>
      <c r="CI793" s="1931"/>
      <c r="CJ793" s="1931"/>
      <c r="CK793" s="1931"/>
      <c r="CL793" s="1931"/>
      <c r="CM793" s="1931"/>
      <c r="CN793" s="1931"/>
      <c r="CO793" s="1931"/>
      <c r="CP793" s="1931"/>
      <c r="CQ793" s="1931"/>
      <c r="CR793" s="1931"/>
      <c r="CS793" s="1931"/>
      <c r="CT793" s="1930"/>
      <c r="CU793" s="1930"/>
      <c r="CV793" s="1930"/>
      <c r="CW793" s="1930"/>
      <c r="CX793" s="1931"/>
      <c r="CY793" s="1931"/>
      <c r="CZ793" s="1931"/>
      <c r="DA793" s="1931"/>
      <c r="DB793" s="1932"/>
      <c r="DC793" s="1931"/>
      <c r="DD793" s="1931"/>
      <c r="DE793" s="1931"/>
      <c r="DF793" s="1931"/>
    </row>
    <row r="794" spans="2:112" hidden="1" outlineLevel="1" x14ac:dyDescent="0.25">
      <c r="B794" s="1933"/>
      <c r="C794" s="1425"/>
      <c r="D794" s="1355"/>
      <c r="E794" s="874"/>
      <c r="F794" s="1965"/>
      <c r="G794" s="1965"/>
      <c r="H794" s="1301"/>
      <c r="I794" s="1965"/>
      <c r="J794" s="1965"/>
      <c r="K794" s="1965"/>
      <c r="L794" s="1965"/>
      <c r="M794" s="1965"/>
      <c r="N794" s="1965"/>
      <c r="O794" s="1965"/>
      <c r="P794" s="1965"/>
      <c r="Q794" s="1965"/>
      <c r="R794" s="1965"/>
      <c r="S794" s="1965"/>
      <c r="T794" s="1965"/>
      <c r="U794" s="1965"/>
      <c r="V794" s="1931"/>
      <c r="W794" s="1931"/>
      <c r="X794" s="1931"/>
      <c r="Y794" s="1931"/>
      <c r="Z794" s="1931"/>
      <c r="AA794" s="1931"/>
      <c r="AB794" s="1931"/>
      <c r="AC794" s="1931"/>
      <c r="AD794" s="1931"/>
      <c r="AE794" s="1931"/>
      <c r="AF794" s="1931"/>
      <c r="AG794" s="1931"/>
      <c r="AH794" s="1931"/>
      <c r="AI794" s="1931"/>
      <c r="AJ794" s="1931"/>
      <c r="AK794" s="1931"/>
      <c r="AL794" s="1931"/>
      <c r="AM794" s="1931"/>
      <c r="AN794" s="1931"/>
      <c r="AO794" s="1931"/>
      <c r="AP794" s="1931"/>
      <c r="AQ794" s="1931"/>
      <c r="AR794" s="1931"/>
      <c r="AS794" s="1931"/>
      <c r="AT794" s="1931"/>
      <c r="AU794" s="1931"/>
      <c r="AV794" s="1931"/>
      <c r="AW794" s="1931"/>
      <c r="AX794" s="1931"/>
      <c r="AY794" s="1931"/>
      <c r="AZ794" s="1931"/>
      <c r="BA794" s="1931"/>
      <c r="BB794" s="1931"/>
      <c r="BC794" s="1931"/>
      <c r="BD794" s="1931"/>
      <c r="BE794" s="1931"/>
      <c r="BF794" s="1931"/>
      <c r="BG794" s="1931"/>
      <c r="BH794" s="1931"/>
      <c r="BI794" s="1931"/>
      <c r="BJ794" s="1931"/>
      <c r="BK794" s="1931"/>
      <c r="BL794" s="1931"/>
      <c r="BM794" s="1931"/>
      <c r="BN794" s="1931"/>
      <c r="BO794" s="1931"/>
      <c r="BP794" s="1931"/>
      <c r="BQ794" s="1931"/>
      <c r="BR794" s="1931"/>
      <c r="BS794" s="1931"/>
      <c r="BT794" s="1931"/>
      <c r="BU794" s="1931"/>
      <c r="BV794" s="1931"/>
      <c r="BW794" s="1931"/>
      <c r="BX794" s="1931"/>
      <c r="BY794" s="1931"/>
      <c r="BZ794" s="1931"/>
      <c r="CA794" s="1931"/>
      <c r="CB794" s="1931"/>
      <c r="CC794" s="1931"/>
      <c r="CD794" s="1931"/>
      <c r="CE794" s="1930"/>
      <c r="CF794" s="1930"/>
      <c r="CG794" s="1930"/>
      <c r="CH794" s="1930"/>
      <c r="CI794" s="1931"/>
      <c r="CJ794" s="1931"/>
      <c r="CK794" s="1931"/>
      <c r="CL794" s="1931"/>
      <c r="CM794" s="1931"/>
      <c r="CN794" s="1931"/>
      <c r="CO794" s="1931"/>
      <c r="CP794" s="1931"/>
      <c r="CQ794" s="1931"/>
      <c r="CR794" s="1931"/>
      <c r="CS794" s="1931"/>
      <c r="CT794" s="1930"/>
      <c r="CU794" s="1930"/>
      <c r="CV794" s="1930"/>
      <c r="CW794" s="1930"/>
      <c r="CX794" s="1931"/>
      <c r="CY794" s="1931"/>
      <c r="CZ794" s="1931"/>
      <c r="DA794" s="1931"/>
      <c r="DB794" s="1932"/>
      <c r="DC794" s="1931"/>
      <c r="DD794" s="1931"/>
      <c r="DE794" s="1931"/>
      <c r="DF794" s="1931"/>
    </row>
    <row r="795" spans="2:112" s="55" customFormat="1" hidden="1" outlineLevel="1" x14ac:dyDescent="0.25">
      <c r="C795" s="151"/>
      <c r="D795" s="3081" t="s">
        <v>28</v>
      </c>
      <c r="E795" s="3081" t="s">
        <v>2758</v>
      </c>
      <c r="F795" s="81" t="s">
        <v>2768</v>
      </c>
      <c r="G795" s="3081" t="s">
        <v>2773</v>
      </c>
      <c r="H795" s="3081" t="s">
        <v>2764</v>
      </c>
      <c r="I795" s="3081" t="s">
        <v>586</v>
      </c>
      <c r="J795" s="401"/>
      <c r="K795" s="401"/>
      <c r="L795" s="401"/>
      <c r="M795" s="401"/>
      <c r="N795" s="401"/>
      <c r="O795" s="401"/>
      <c r="P795" s="401"/>
      <c r="Q795" s="401"/>
      <c r="R795" s="401"/>
      <c r="S795" s="401"/>
      <c r="T795" s="401"/>
      <c r="U795" s="401"/>
      <c r="DB795" s="72"/>
    </row>
    <row r="796" spans="2:112" hidden="1" outlineLevel="1" x14ac:dyDescent="0.25">
      <c r="B796" s="1931"/>
      <c r="D796" s="1967" t="str">
        <f>C785</f>
        <v>805950_2019_12_</v>
      </c>
      <c r="E796" s="1967" t="str">
        <f>E785</f>
        <v>Refrigerated Beverage Vending Machine (Class A)</v>
      </c>
      <c r="F796" s="1350">
        <f>0.055*H796+2.56</f>
        <v>2.6150000000000002</v>
      </c>
      <c r="G796" s="1426">
        <f>0.0523*H796+2.432</f>
        <v>2.4842999999999997</v>
      </c>
      <c r="H796" s="90">
        <v>1</v>
      </c>
      <c r="I796" s="1401">
        <v>365.25</v>
      </c>
      <c r="J796" s="1965"/>
      <c r="K796" s="1965"/>
      <c r="L796" s="1965"/>
      <c r="M796" s="1965"/>
      <c r="N796" s="1965"/>
      <c r="O796" s="1965"/>
      <c r="P796" s="1965"/>
      <c r="Q796" s="1965"/>
      <c r="R796" s="1965"/>
      <c r="S796" s="1965"/>
      <c r="T796" s="1965"/>
      <c r="U796" s="1965"/>
      <c r="V796" s="1931"/>
      <c r="W796" s="1931"/>
      <c r="X796" s="1931"/>
      <c r="Y796" s="1931"/>
      <c r="Z796" s="1931"/>
      <c r="AA796" s="1931"/>
      <c r="AB796" s="1931"/>
      <c r="AC796" s="1931"/>
      <c r="AD796" s="1931"/>
      <c r="AE796" s="1931"/>
      <c r="AF796" s="1931"/>
      <c r="AG796" s="1931"/>
      <c r="AH796" s="1931"/>
      <c r="AI796" s="1931"/>
      <c r="AJ796" s="1931"/>
      <c r="AK796" s="1931"/>
      <c r="AL796" s="1931"/>
      <c r="AM796" s="1931"/>
      <c r="AN796" s="1931"/>
      <c r="AO796" s="1931"/>
      <c r="AP796" s="1931"/>
      <c r="AQ796" s="1931"/>
      <c r="AR796" s="1931"/>
      <c r="AS796" s="1931"/>
      <c r="AT796" s="1931"/>
      <c r="AU796" s="1931"/>
      <c r="AV796" s="1931"/>
      <c r="AW796" s="1931"/>
      <c r="AX796" s="1931"/>
      <c r="AY796" s="1931"/>
      <c r="AZ796" s="1931"/>
      <c r="BA796" s="1931"/>
      <c r="BB796" s="1931"/>
      <c r="BC796" s="1931"/>
      <c r="BD796" s="1931"/>
      <c r="BE796" s="1931"/>
      <c r="BF796" s="1931"/>
      <c r="BG796" s="1931"/>
      <c r="BH796" s="1931"/>
      <c r="BI796" s="1931"/>
      <c r="BJ796" s="1931"/>
      <c r="BK796" s="1931"/>
      <c r="BL796" s="1931"/>
      <c r="BM796" s="1931"/>
      <c r="BN796" s="1931"/>
      <c r="BO796" s="1931"/>
      <c r="BP796" s="1931"/>
      <c r="BQ796" s="1931"/>
      <c r="BR796" s="1931"/>
      <c r="BS796" s="1931"/>
      <c r="BT796" s="1931"/>
      <c r="BU796" s="1931"/>
      <c r="BV796" s="1931"/>
      <c r="BW796" s="1931"/>
      <c r="BX796" s="1931"/>
      <c r="BY796" s="1931"/>
      <c r="BZ796" s="1931"/>
      <c r="CA796" s="1931"/>
      <c r="CB796" s="1931"/>
      <c r="CC796" s="1931"/>
      <c r="CD796" s="1931"/>
      <c r="CE796" s="1930"/>
      <c r="CF796" s="1930"/>
      <c r="CG796" s="1930"/>
      <c r="CH796" s="1930"/>
      <c r="CI796" s="1931"/>
      <c r="CJ796" s="1931"/>
      <c r="CK796" s="1931"/>
      <c r="CL796" s="1931"/>
      <c r="CM796" s="1931"/>
      <c r="CN796" s="1931"/>
      <c r="CO796" s="1931"/>
      <c r="CP796" s="1931"/>
      <c r="CQ796" s="1931"/>
      <c r="CR796" s="1931"/>
      <c r="CS796" s="1931"/>
      <c r="CT796" s="1930"/>
      <c r="CU796" s="1930"/>
      <c r="CV796" s="1930"/>
      <c r="CW796" s="1930"/>
      <c r="CX796" s="1931"/>
      <c r="CY796" s="1931"/>
      <c r="CZ796" s="1931"/>
      <c r="DA796" s="1931"/>
      <c r="DB796" s="1932"/>
      <c r="DC796" s="1931"/>
      <c r="DD796" s="1931"/>
      <c r="DE796" s="1931"/>
      <c r="DF796" s="1931"/>
    </row>
    <row r="797" spans="2:112" hidden="1" outlineLevel="1" x14ac:dyDescent="0.25">
      <c r="B797" s="1931"/>
      <c r="D797" s="1967" t="str">
        <f>C786</f>
        <v>806000_2019_12_</v>
      </c>
      <c r="E797" s="1967" t="str">
        <f>E786</f>
        <v>Refrigerated Beverage Vending Machine (Class B)</v>
      </c>
      <c r="F797" s="1350">
        <f>0.073*H797+3.16</f>
        <v>3.2330000000000001</v>
      </c>
      <c r="G797" s="1426">
        <f>0.0657*H797+2.844</f>
        <v>2.9097</v>
      </c>
      <c r="H797" s="90">
        <v>1</v>
      </c>
      <c r="I797" s="1401">
        <v>365.25</v>
      </c>
      <c r="J797" s="1965"/>
      <c r="K797" s="1965"/>
      <c r="L797" s="1965"/>
      <c r="M797" s="1965"/>
      <c r="N797" s="1965"/>
      <c r="O797" s="1965"/>
      <c r="P797" s="1965"/>
      <c r="Q797" s="1965"/>
      <c r="R797" s="1965"/>
      <c r="S797" s="1965"/>
      <c r="T797" s="1965"/>
      <c r="U797" s="1965"/>
      <c r="V797" s="1931"/>
      <c r="W797" s="1931"/>
      <c r="X797" s="1931"/>
      <c r="Y797" s="1931"/>
      <c r="Z797" s="1931"/>
      <c r="AA797" s="1931"/>
      <c r="AB797" s="1931"/>
      <c r="AC797" s="1931"/>
      <c r="AD797" s="1931"/>
      <c r="AE797" s="1931"/>
      <c r="AF797" s="1931"/>
      <c r="AG797" s="1931"/>
      <c r="AH797" s="1931"/>
      <c r="AI797" s="1931"/>
      <c r="AJ797" s="1931"/>
      <c r="AK797" s="1931"/>
      <c r="AL797" s="1931"/>
      <c r="AM797" s="1931"/>
      <c r="AN797" s="1931"/>
      <c r="AO797" s="1931"/>
      <c r="AP797" s="1931"/>
      <c r="AQ797" s="1931"/>
      <c r="AR797" s="1931"/>
      <c r="AS797" s="1931"/>
      <c r="AT797" s="1931"/>
      <c r="AU797" s="1931"/>
      <c r="AV797" s="1931"/>
      <c r="AW797" s="1931"/>
      <c r="AX797" s="1931"/>
      <c r="AY797" s="1931"/>
      <c r="AZ797" s="1931"/>
      <c r="BA797" s="1931"/>
      <c r="BB797" s="1931"/>
      <c r="BC797" s="1931"/>
      <c r="BD797" s="1931"/>
      <c r="BE797" s="1931"/>
      <c r="BF797" s="1931"/>
      <c r="BG797" s="1931"/>
      <c r="BH797" s="1931"/>
      <c r="BI797" s="1931"/>
      <c r="BJ797" s="1931"/>
      <c r="BK797" s="1931"/>
      <c r="BL797" s="1931"/>
      <c r="BM797" s="1931"/>
      <c r="BN797" s="1931"/>
      <c r="BO797" s="1931"/>
      <c r="BP797" s="1931"/>
      <c r="BQ797" s="1931"/>
      <c r="BR797" s="1931"/>
      <c r="BS797" s="1931"/>
      <c r="BT797" s="1931"/>
      <c r="BU797" s="1931"/>
      <c r="BV797" s="1931"/>
      <c r="BW797" s="1931"/>
      <c r="BX797" s="1931"/>
      <c r="BY797" s="1931"/>
      <c r="BZ797" s="1931"/>
      <c r="CA797" s="1931"/>
      <c r="CB797" s="1931"/>
      <c r="CC797" s="1931"/>
      <c r="CD797" s="1931"/>
      <c r="CE797" s="1930"/>
      <c r="CF797" s="1930"/>
      <c r="CG797" s="1930"/>
      <c r="CH797" s="1930"/>
      <c r="CI797" s="1931"/>
      <c r="CJ797" s="1931"/>
      <c r="CK797" s="1931"/>
      <c r="CL797" s="1931"/>
      <c r="CM797" s="1931"/>
      <c r="CN797" s="1931"/>
      <c r="CO797" s="1931"/>
      <c r="CP797" s="1931"/>
      <c r="CQ797" s="1931"/>
      <c r="CR797" s="1931"/>
      <c r="CS797" s="1931"/>
      <c r="CT797" s="1930"/>
      <c r="CU797" s="1930"/>
      <c r="CV797" s="1930"/>
      <c r="CW797" s="1930"/>
      <c r="CX797" s="1931"/>
      <c r="CY797" s="1931"/>
      <c r="CZ797" s="1931"/>
      <c r="DA797" s="1931"/>
      <c r="DB797" s="1932"/>
      <c r="DC797" s="1931"/>
      <c r="DD797" s="1931"/>
      <c r="DE797" s="1931"/>
      <c r="DF797" s="1931"/>
    </row>
    <row r="798" spans="2:112" collapsed="1" x14ac:dyDescent="0.25">
      <c r="B798" s="1931"/>
      <c r="D798" s="1966"/>
      <c r="E798" s="1965"/>
      <c r="F798" s="1965"/>
      <c r="G798" s="1968"/>
      <c r="H798" s="1969"/>
      <c r="I798" s="1965"/>
      <c r="J798" s="1965"/>
      <c r="K798" s="1965"/>
      <c r="L798" s="1965"/>
      <c r="M798" s="1965"/>
      <c r="N798" s="1965"/>
      <c r="O798" s="1965"/>
      <c r="P798" s="1965"/>
      <c r="Q798" s="1965"/>
      <c r="R798" s="1965"/>
      <c r="S798" s="1965"/>
      <c r="T798" s="1965"/>
      <c r="U798" s="1965"/>
      <c r="V798" s="1931"/>
      <c r="W798" s="1931"/>
      <c r="X798" s="1931"/>
      <c r="Y798" s="1931"/>
      <c r="Z798" s="1931"/>
      <c r="AA798" s="1931"/>
      <c r="AB798" s="1931"/>
      <c r="AC798" s="1931"/>
      <c r="AD798" s="1931"/>
      <c r="AE798" s="1931"/>
      <c r="AF798" s="1931"/>
      <c r="AG798" s="1931"/>
      <c r="AH798" s="1931"/>
      <c r="AI798" s="1931"/>
      <c r="AJ798" s="1931"/>
      <c r="AK798" s="1931"/>
      <c r="AL798" s="1931"/>
      <c r="AM798" s="1931"/>
      <c r="AN798" s="1931"/>
      <c r="AO798" s="1931"/>
      <c r="AP798" s="1931"/>
      <c r="AQ798" s="1931"/>
      <c r="AR798" s="1931"/>
      <c r="AS798" s="1931"/>
      <c r="AT798" s="1931"/>
      <c r="AU798" s="1931"/>
      <c r="AV798" s="1931"/>
      <c r="AW798" s="1931"/>
      <c r="AX798" s="1931"/>
      <c r="AY798" s="1931"/>
      <c r="AZ798" s="1931"/>
      <c r="BA798" s="1931"/>
      <c r="BB798" s="1931"/>
      <c r="BC798" s="1931"/>
      <c r="BD798" s="1931"/>
      <c r="BE798" s="1931"/>
      <c r="BF798" s="1931"/>
      <c r="BG798" s="1931"/>
      <c r="BH798" s="1931"/>
      <c r="BI798" s="1931"/>
      <c r="BJ798" s="1931"/>
      <c r="BK798" s="1931"/>
      <c r="BL798" s="1931"/>
      <c r="BM798" s="1931"/>
      <c r="BN798" s="1931"/>
      <c r="BO798" s="1931"/>
      <c r="BP798" s="1931"/>
      <c r="BQ798" s="1931"/>
      <c r="BR798" s="1931"/>
      <c r="BS798" s="1931"/>
      <c r="BT798" s="1931"/>
      <c r="BU798" s="1931"/>
      <c r="BV798" s="1931"/>
      <c r="BW798" s="1931"/>
      <c r="BX798" s="1931"/>
      <c r="BY798" s="1931"/>
      <c r="BZ798" s="1931"/>
      <c r="CA798" s="1931"/>
      <c r="CB798" s="1931"/>
      <c r="CC798" s="1931"/>
      <c r="CD798" s="1931"/>
      <c r="CE798" s="1930"/>
      <c r="CF798" s="1930"/>
      <c r="CG798" s="1930"/>
      <c r="CH798" s="1930"/>
      <c r="CI798" s="1931"/>
      <c r="CJ798" s="1931"/>
      <c r="CK798" s="1931"/>
      <c r="CL798" s="1931"/>
      <c r="CM798" s="1931"/>
      <c r="CN798" s="1931"/>
      <c r="CO798" s="1931"/>
      <c r="CP798" s="1931"/>
      <c r="CQ798" s="1931"/>
      <c r="CR798" s="1931"/>
      <c r="CS798" s="1931"/>
      <c r="CT798" s="1930"/>
      <c r="CU798" s="1930"/>
      <c r="CV798" s="1930"/>
      <c r="CW798" s="1930"/>
      <c r="CX798" s="1931"/>
      <c r="CY798" s="1931"/>
      <c r="CZ798" s="1931"/>
      <c r="DA798" s="1931"/>
      <c r="DB798" s="1932"/>
      <c r="DC798" s="1931"/>
      <c r="DD798" s="1931"/>
      <c r="DE798" s="1931"/>
      <c r="DF798" s="1931"/>
    </row>
    <row r="800" spans="2:112" s="43" customFormat="1" x14ac:dyDescent="0.25">
      <c r="B800" s="4484" t="s">
        <v>3171</v>
      </c>
      <c r="C800" s="4485"/>
      <c r="D800" s="4485"/>
      <c r="E800" s="4485"/>
      <c r="F800" s="4485"/>
      <c r="G800" s="4485"/>
      <c r="H800" s="4485"/>
      <c r="I800" s="4486"/>
      <c r="J800" s="4486"/>
      <c r="K800" s="4486"/>
      <c r="L800" s="4486"/>
      <c r="M800" s="3752"/>
      <c r="N800" s="3752"/>
      <c r="O800" s="3753"/>
      <c r="P800" s="1935"/>
      <c r="Q800" s="1935"/>
      <c r="R800" s="1935"/>
      <c r="S800" s="1935"/>
      <c r="T800" s="1935"/>
      <c r="U800" s="1935"/>
      <c r="V800" s="3077" t="str">
        <f>B800</f>
        <v>ECM for Walk-in &amp; Reach-in Coolers/Freezers</v>
      </c>
      <c r="W800" s="3078"/>
      <c r="X800" s="3078"/>
      <c r="Y800" s="3078"/>
      <c r="Z800" s="3078"/>
      <c r="AA800" s="3078"/>
      <c r="AB800" s="3078"/>
      <c r="AC800" s="3078"/>
      <c r="AD800" s="3078"/>
      <c r="AE800" s="3078"/>
      <c r="AF800" s="3078"/>
      <c r="AG800" s="3078"/>
      <c r="AH800" s="3078"/>
      <c r="AI800" s="3170"/>
      <c r="AJ800" s="1931"/>
      <c r="AK800" s="1931"/>
      <c r="AL800" s="1931"/>
      <c r="AM800" s="1931"/>
      <c r="AN800" s="1931"/>
      <c r="AO800" s="1931"/>
      <c r="AP800" s="1931"/>
      <c r="AQ800" s="1931"/>
      <c r="AR800" s="1931"/>
      <c r="AS800" s="1931"/>
      <c r="AT800" s="1931"/>
      <c r="AU800" s="1931"/>
      <c r="AV800" s="1935"/>
      <c r="AW800" s="1935"/>
      <c r="AX800" s="1935"/>
      <c r="AY800" s="1935"/>
      <c r="AZ800" s="1935"/>
      <c r="BA800" s="1935"/>
      <c r="BB800" s="1935"/>
      <c r="BC800" s="1935"/>
      <c r="BD800" s="1935"/>
      <c r="BE800" s="1935"/>
      <c r="BF800" s="1935"/>
      <c r="BG800" s="1935"/>
      <c r="BH800" s="1935"/>
      <c r="BI800" s="1935"/>
      <c r="BJ800" s="1935"/>
      <c r="BK800" s="1935"/>
      <c r="BL800" s="1935"/>
      <c r="BM800" s="1935"/>
      <c r="BN800" s="1935"/>
      <c r="BO800" s="1935"/>
      <c r="BP800" s="1935"/>
      <c r="BQ800" s="1935"/>
      <c r="BR800" s="1935"/>
      <c r="BS800" s="1935"/>
      <c r="BT800" s="1935"/>
      <c r="BU800" s="1935"/>
      <c r="BV800" s="1935"/>
      <c r="BW800" s="1935"/>
      <c r="BX800" s="1935"/>
      <c r="BY800" s="1935"/>
      <c r="BZ800" s="1935"/>
      <c r="CA800" s="1935"/>
      <c r="CB800" s="1935"/>
      <c r="CC800" s="1935"/>
      <c r="CD800" s="1935"/>
      <c r="CE800" s="1935"/>
      <c r="CF800" s="1935"/>
      <c r="CG800" s="1935"/>
      <c r="CH800" s="1935"/>
      <c r="CI800" s="1935"/>
      <c r="CJ800" s="1935"/>
      <c r="CK800" s="1935"/>
      <c r="CL800" s="1935"/>
      <c r="CM800" s="1935"/>
      <c r="CN800" s="1935"/>
      <c r="CO800" s="1935"/>
      <c r="CP800" s="1935"/>
      <c r="CQ800" s="1935"/>
      <c r="CR800" s="1935"/>
      <c r="CS800" s="1935"/>
      <c r="CT800" s="1935"/>
      <c r="CU800" s="1935"/>
      <c r="CV800" s="1935"/>
      <c r="CW800" s="1935"/>
      <c r="CX800" s="1935"/>
      <c r="CY800" s="1935"/>
      <c r="CZ800" s="1935"/>
      <c r="DA800" s="1935"/>
      <c r="DB800" s="73"/>
      <c r="DC800" s="1935"/>
      <c r="DD800" s="1935"/>
      <c r="DE800" s="1935"/>
      <c r="DF800" s="1935"/>
      <c r="DG800" s="1935"/>
      <c r="DH800" s="1935"/>
    </row>
    <row r="801" spans="2:110" x14ac:dyDescent="0.25">
      <c r="B801" s="1931"/>
      <c r="D801" s="1286"/>
      <c r="E801" s="1966"/>
      <c r="F801" s="1966"/>
      <c r="G801" s="1966"/>
      <c r="H801" s="1287"/>
      <c r="I801" s="1966"/>
      <c r="J801" s="1966"/>
      <c r="K801" s="1966"/>
      <c r="L801" s="1966"/>
      <c r="M801" s="1965"/>
      <c r="N801" s="1965"/>
      <c r="O801" s="1965"/>
      <c r="P801" s="1966"/>
      <c r="Q801" s="1966"/>
      <c r="R801" s="1966"/>
      <c r="S801" s="1966"/>
      <c r="T801" s="1966"/>
      <c r="U801" s="1966"/>
      <c r="V801" s="1930"/>
      <c r="W801" s="1930"/>
      <c r="X801" s="1930"/>
      <c r="Y801" s="1930"/>
      <c r="Z801" s="1930"/>
      <c r="AA801" s="1930"/>
      <c r="AB801" s="1930"/>
      <c r="AC801" s="1930"/>
      <c r="AD801" s="1930"/>
      <c r="AE801" s="1930"/>
      <c r="AF801" s="1930"/>
      <c r="AG801" s="1930"/>
      <c r="AH801" s="1930"/>
      <c r="AI801" s="1930"/>
      <c r="AJ801" s="1934"/>
      <c r="AK801" s="1934"/>
      <c r="AL801" s="1934"/>
      <c r="AM801" s="1934"/>
      <c r="AN801" s="1934"/>
      <c r="AO801" s="1934"/>
      <c r="AP801" s="1934"/>
      <c r="AQ801" s="1934"/>
      <c r="AR801" s="1934"/>
      <c r="AS801" s="1934"/>
      <c r="AT801" s="1934"/>
      <c r="AU801" s="1934"/>
      <c r="AV801" s="1931"/>
      <c r="AW801" s="1931"/>
      <c r="AX801" s="1931"/>
      <c r="AY801" s="1931"/>
      <c r="AZ801" s="1931"/>
      <c r="BA801" s="1931"/>
      <c r="BB801" s="1931"/>
      <c r="BC801" s="1931"/>
      <c r="BD801" s="1931"/>
      <c r="BE801" s="1931"/>
      <c r="BF801" s="1931"/>
      <c r="BG801" s="1931"/>
      <c r="BH801" s="1931"/>
      <c r="BI801" s="1931"/>
      <c r="BJ801" s="1931"/>
      <c r="BK801" s="1931"/>
      <c r="BL801" s="1931"/>
      <c r="BM801" s="1931"/>
      <c r="BN801" s="1931"/>
      <c r="BO801" s="1931"/>
      <c r="BP801" s="1931"/>
      <c r="BQ801" s="1931"/>
      <c r="BR801" s="1931"/>
      <c r="BS801" s="1931"/>
      <c r="BT801" s="1931"/>
      <c r="BU801" s="1931"/>
      <c r="BV801" s="1931"/>
      <c r="BW801" s="1931"/>
      <c r="BX801" s="1931"/>
      <c r="BY801" s="1931"/>
      <c r="BZ801" s="1931"/>
      <c r="CA801" s="1931"/>
      <c r="CB801" s="1931"/>
      <c r="CC801" s="1931"/>
      <c r="CD801" s="1931"/>
      <c r="CE801" s="1930"/>
      <c r="CF801" s="1930"/>
      <c r="CG801" s="1930"/>
      <c r="CH801" s="1930"/>
      <c r="CI801" s="1931"/>
      <c r="CJ801" s="1931"/>
      <c r="CK801" s="1931"/>
      <c r="CL801" s="1931"/>
      <c r="CM801" s="1931"/>
      <c r="CN801" s="1931"/>
      <c r="CO801" s="1931"/>
      <c r="CP801" s="1931"/>
      <c r="CQ801" s="1931"/>
      <c r="CR801" s="1931"/>
      <c r="CS801" s="1931"/>
      <c r="CT801" s="1930"/>
      <c r="CU801" s="1930"/>
      <c r="CV801" s="1930"/>
      <c r="CW801" s="1930"/>
      <c r="CX801" s="1931"/>
      <c r="CY801" s="1931"/>
      <c r="CZ801" s="1931"/>
      <c r="DA801" s="1931"/>
      <c r="DB801" s="1932"/>
      <c r="DC801" s="1931"/>
      <c r="DD801" s="1931"/>
      <c r="DE801" s="1931"/>
      <c r="DF801" s="1931"/>
    </row>
    <row r="802" spans="2:110" s="44" customFormat="1" ht="30" x14ac:dyDescent="0.25">
      <c r="B802" s="45"/>
      <c r="C802" s="46" t="s">
        <v>28</v>
      </c>
      <c r="D802" s="46" t="s">
        <v>29</v>
      </c>
      <c r="E802" s="3196" t="s">
        <v>30</v>
      </c>
      <c r="F802" s="3196" t="s">
        <v>3172</v>
      </c>
      <c r="G802" s="3196" t="s">
        <v>176</v>
      </c>
      <c r="H802" s="47" t="s">
        <v>177</v>
      </c>
      <c r="I802" s="3196" t="s">
        <v>32</v>
      </c>
      <c r="J802" s="3196" t="s">
        <v>181</v>
      </c>
      <c r="K802" s="46" t="s">
        <v>3173</v>
      </c>
      <c r="L802" s="46" t="s">
        <v>44</v>
      </c>
      <c r="M802" s="1965"/>
      <c r="N802" s="1965"/>
      <c r="O802" s="1965"/>
      <c r="P802" s="1288"/>
      <c r="Q802" s="1288"/>
      <c r="R802" s="1288"/>
      <c r="S802" s="1288"/>
      <c r="T802" s="1288"/>
      <c r="U802" s="1288"/>
      <c r="V802" s="1936" t="s">
        <v>45</v>
      </c>
      <c r="W802" s="1937">
        <f>$W$8</f>
        <v>43252</v>
      </c>
      <c r="X802" s="1937">
        <f>$X$8</f>
        <v>43465</v>
      </c>
      <c r="Y802" s="1937">
        <f>$Y$8</f>
        <v>43800</v>
      </c>
      <c r="Z802" s="1937">
        <f>$Z$8</f>
        <v>43862</v>
      </c>
      <c r="AA802" s="1937">
        <f>$AA$8</f>
        <v>44013</v>
      </c>
      <c r="AB802" s="1937">
        <v>44166</v>
      </c>
      <c r="AC802" s="1937">
        <f>$AC$8</f>
        <v>44531</v>
      </c>
      <c r="AD802" s="1937" t="str">
        <f>$AD$8</f>
        <v>-</v>
      </c>
      <c r="AE802" s="1937" t="str">
        <f>$AE$8</f>
        <v>-</v>
      </c>
      <c r="AF802" s="1937" t="str">
        <f>$AF$8</f>
        <v>-</v>
      </c>
      <c r="AG802" s="1937" t="str">
        <f>$AG$8</f>
        <v>-</v>
      </c>
      <c r="AH802" s="1930"/>
      <c r="AI802" s="1936" t="s">
        <v>45</v>
      </c>
      <c r="AJ802" s="1937">
        <v>43252</v>
      </c>
      <c r="AK802" s="1937">
        <f>$X$8</f>
        <v>43465</v>
      </c>
      <c r="AL802" s="1937">
        <f>$Y$8</f>
        <v>43800</v>
      </c>
      <c r="AM802" s="1937">
        <f>$Z$8</f>
        <v>43862</v>
      </c>
      <c r="AN802" s="1937">
        <f>$AA$8</f>
        <v>44013</v>
      </c>
      <c r="AO802" s="1937">
        <f>$AB$8</f>
        <v>44166</v>
      </c>
      <c r="AP802" s="1937">
        <f>$AC$8</f>
        <v>44531</v>
      </c>
      <c r="AQ802" s="1937" t="str">
        <f>$AD$8</f>
        <v>-</v>
      </c>
      <c r="AR802" s="1937" t="str">
        <f>$AE$8</f>
        <v>-</v>
      </c>
      <c r="AS802" s="1937" t="str">
        <f>$AF$8</f>
        <v>-</v>
      </c>
      <c r="AT802" s="1933"/>
      <c r="AU802" s="1936" t="s">
        <v>45</v>
      </c>
      <c r="AV802" s="1937">
        <v>43252</v>
      </c>
      <c r="AW802" s="1937">
        <f>$X$8</f>
        <v>43465</v>
      </c>
      <c r="AX802" s="1937">
        <f>$Y$8</f>
        <v>43800</v>
      </c>
      <c r="AY802" s="1937">
        <f>$Z$8</f>
        <v>43862</v>
      </c>
      <c r="AZ802" s="1937">
        <f>$AA$8</f>
        <v>44013</v>
      </c>
      <c r="BA802" s="1937">
        <v>44166</v>
      </c>
      <c r="BB802" s="1937">
        <f>$AC$8</f>
        <v>44531</v>
      </c>
      <c r="BC802" s="1937" t="str">
        <f>$AD$8</f>
        <v>-</v>
      </c>
      <c r="BD802" s="1937" t="str">
        <f>$AE$8</f>
        <v>-</v>
      </c>
      <c r="BE802" s="1937" t="str">
        <f>$AF$8</f>
        <v>-</v>
      </c>
      <c r="DB802" s="1938" t="str">
        <f>$DB$8</f>
        <v>TRC (2020)</v>
      </c>
      <c r="DC802" s="1953" t="str">
        <f>$DC$8</f>
        <v>Benefit Lookup</v>
      </c>
      <c r="DD802" s="1953" t="str">
        <f>$DD$8</f>
        <v>Benefits (2019 $)</v>
      </c>
      <c r="DE802" s="1953" t="str">
        <f>$DE$8</f>
        <v>Incremental Cost (2019 $)</v>
      </c>
    </row>
    <row r="803" spans="2:110" x14ac:dyDescent="0.25">
      <c r="B803" s="1931"/>
      <c r="C803" s="1997" t="s">
        <v>3174</v>
      </c>
      <c r="D803" s="1363" t="s">
        <v>2646</v>
      </c>
      <c r="E803" s="1308" t="s">
        <v>3171</v>
      </c>
      <c r="F803" s="1959">
        <f>ROUND(F813*G813,2)</f>
        <v>1409</v>
      </c>
      <c r="G803" s="1290" t="s">
        <v>2671</v>
      </c>
      <c r="H803" s="1291">
        <f>VLOOKUP(G803,'CP FACTORS'!$A$26:$B$38,2,FALSE)</f>
        <v>1.379439E-4</v>
      </c>
      <c r="I803" s="1309">
        <f>ROUND(H803*F803,6)</f>
        <v>0.19436300000000001</v>
      </c>
      <c r="J803" s="325">
        <v>15</v>
      </c>
      <c r="K803" s="1310">
        <v>177</v>
      </c>
      <c r="L803" s="1374" t="s">
        <v>3175</v>
      </c>
      <c r="M803" s="1965"/>
      <c r="N803" s="1965"/>
      <c r="O803" s="1965"/>
      <c r="P803" s="1965"/>
      <c r="Q803" s="1965"/>
      <c r="R803" s="1965"/>
      <c r="S803" s="1965"/>
      <c r="T803" s="1965"/>
      <c r="U803" s="1965"/>
      <c r="V803" s="3226" t="s">
        <v>31</v>
      </c>
      <c r="W803" s="1947">
        <v>1409</v>
      </c>
      <c r="X803" s="1947">
        <v>1409</v>
      </c>
      <c r="Y803" s="129">
        <v>1409</v>
      </c>
      <c r="Z803" s="129">
        <v>1409</v>
      </c>
      <c r="AA803" s="129">
        <v>1409</v>
      </c>
      <c r="AB803" s="1825">
        <v>1409</v>
      </c>
      <c r="AC803" s="3364">
        <v>1409</v>
      </c>
      <c r="AD803" s="2099"/>
      <c r="AE803" s="2099"/>
      <c r="AF803" s="2099"/>
      <c r="AG803" s="2099"/>
      <c r="AH803" s="2100"/>
      <c r="AI803" s="3227" t="s">
        <v>181</v>
      </c>
      <c r="AJ803" s="64">
        <v>15</v>
      </c>
      <c r="AK803" s="64">
        <v>15</v>
      </c>
      <c r="AL803" s="64">
        <v>15</v>
      </c>
      <c r="AM803" s="64">
        <v>15</v>
      </c>
      <c r="AN803" s="64">
        <v>15</v>
      </c>
      <c r="AO803" s="2386">
        <v>15</v>
      </c>
      <c r="AP803" s="2101">
        <v>15</v>
      </c>
      <c r="AQ803" s="2099"/>
      <c r="AR803" s="2099"/>
      <c r="AS803" s="2099"/>
      <c r="AT803" s="1933"/>
      <c r="AU803" s="3227" t="s">
        <v>170</v>
      </c>
      <c r="AV803" s="2102">
        <v>177</v>
      </c>
      <c r="AW803" s="2102">
        <v>177</v>
      </c>
      <c r="AX803" s="2102">
        <v>177</v>
      </c>
      <c r="AY803" s="2102">
        <v>177</v>
      </c>
      <c r="AZ803" s="2102">
        <v>177</v>
      </c>
      <c r="BA803" s="2103">
        <v>177</v>
      </c>
      <c r="BB803" s="2103">
        <v>177</v>
      </c>
      <c r="BC803" s="2099"/>
      <c r="BD803" s="2099"/>
      <c r="BE803" s="2099"/>
      <c r="BF803" s="1933"/>
      <c r="BG803" s="1933"/>
      <c r="BH803" s="1933"/>
      <c r="BI803" s="1933"/>
      <c r="BJ803" s="1933"/>
      <c r="BK803" s="1933"/>
      <c r="BL803" s="1933"/>
      <c r="BM803" s="1933"/>
      <c r="BN803" s="1933"/>
      <c r="BO803" s="1933"/>
      <c r="BP803" s="1933"/>
      <c r="BQ803" s="1931"/>
      <c r="BR803" s="1931"/>
      <c r="BS803" s="1931"/>
      <c r="BT803" s="1931"/>
      <c r="BU803" s="1931"/>
      <c r="BV803" s="1931"/>
      <c r="BW803" s="1931"/>
      <c r="BX803" s="1931"/>
      <c r="BY803" s="1931"/>
      <c r="BZ803" s="1931"/>
      <c r="CA803" s="1931"/>
      <c r="CB803" s="1931"/>
      <c r="CC803" s="1931"/>
      <c r="CD803" s="1931"/>
      <c r="CE803" s="1930"/>
      <c r="CF803" s="1930"/>
      <c r="CG803" s="1930"/>
      <c r="CH803" s="1930"/>
      <c r="CI803" s="1931"/>
      <c r="CJ803" s="1931"/>
      <c r="CK803" s="1931"/>
      <c r="CL803" s="1931"/>
      <c r="CM803" s="1931"/>
      <c r="CN803" s="1931"/>
      <c r="CO803" s="1931"/>
      <c r="CP803" s="1931"/>
      <c r="CQ803" s="1931"/>
      <c r="CR803" s="1931"/>
      <c r="CS803" s="1931"/>
      <c r="CT803" s="1930"/>
      <c r="CU803" s="1930"/>
      <c r="CV803" s="1930"/>
      <c r="CW803" s="1930"/>
      <c r="CX803" s="1931"/>
      <c r="CY803" s="1931"/>
      <c r="CZ803" s="1931"/>
      <c r="DA803" s="1931"/>
      <c r="DB803" s="1954">
        <f>(DD803)/(DE803)</f>
        <v>4.5216913705641595</v>
      </c>
      <c r="DC803" s="3166" t="str">
        <f>CONCATENATE(G803," ",J803," Year EUL")</f>
        <v>Miscellaneous BUS 15 Year EUL</v>
      </c>
      <c r="DD803" s="1955">
        <f>(INDEX('Avoided Cost Benefits'!$C$4:$C$857,MATCH(DC803,'Avoided Cost Benefits'!$A$4:$A$857,0)))*F803</f>
        <v>755.39346162327149</v>
      </c>
      <c r="DE803" s="1956">
        <f>K803/(1.0595^(2020-2019))</f>
        <v>167.05993393109955</v>
      </c>
      <c r="DF803" s="1931"/>
    </row>
    <row r="804" spans="2:110" hidden="1" outlineLevel="1" x14ac:dyDescent="0.25">
      <c r="B804" s="1931"/>
      <c r="D804" s="1966"/>
      <c r="E804" s="1966"/>
      <c r="F804" s="1966"/>
      <c r="G804" s="1966"/>
      <c r="H804" s="1299"/>
      <c r="I804" s="1966"/>
      <c r="J804" s="1966"/>
      <c r="K804" s="1965"/>
      <c r="L804" s="1965"/>
      <c r="M804" s="1965"/>
      <c r="N804" s="1965"/>
      <c r="O804" s="1965"/>
      <c r="P804" s="1965"/>
      <c r="Q804" s="1965"/>
      <c r="R804" s="1965"/>
      <c r="S804" s="1965"/>
      <c r="T804" s="1965"/>
      <c r="U804" s="1965"/>
      <c r="V804" s="1931"/>
      <c r="W804" s="1931"/>
      <c r="X804" s="1931"/>
      <c r="Y804" s="1933"/>
      <c r="Z804" s="1933"/>
      <c r="AA804" s="1933"/>
      <c r="AB804" s="1933"/>
      <c r="AC804" s="1933"/>
      <c r="AD804" s="1933"/>
      <c r="AE804" s="1933"/>
      <c r="AF804" s="1933"/>
      <c r="AG804" s="1933"/>
      <c r="AH804" s="1933"/>
      <c r="AI804" s="1933"/>
      <c r="AJ804" s="1933"/>
      <c r="AK804" s="1933"/>
      <c r="AL804" s="1933"/>
      <c r="AM804" s="1933"/>
      <c r="AN804" s="1933"/>
      <c r="AO804" s="1933"/>
      <c r="AP804" s="1933"/>
      <c r="AQ804" s="1933"/>
      <c r="AR804" s="1933"/>
      <c r="AS804" s="1933"/>
      <c r="AT804" s="1933"/>
      <c r="AU804" s="1933"/>
      <c r="AV804" s="1933"/>
      <c r="AW804" s="1933"/>
      <c r="AX804" s="1933"/>
      <c r="AY804" s="1933"/>
      <c r="AZ804" s="1933"/>
      <c r="BA804" s="1933"/>
      <c r="BB804" s="1933"/>
      <c r="BC804" s="1933"/>
      <c r="BD804" s="1933"/>
      <c r="BE804" s="1933"/>
      <c r="BF804" s="1933"/>
      <c r="BG804" s="1933"/>
      <c r="BH804" s="1933"/>
      <c r="BI804" s="1933"/>
      <c r="BJ804" s="1933"/>
      <c r="BK804" s="1933"/>
      <c r="BL804" s="1933"/>
      <c r="BM804" s="1933"/>
      <c r="BN804" s="1933"/>
      <c r="BO804" s="1933"/>
      <c r="BP804" s="1933"/>
      <c r="BQ804" s="1931"/>
      <c r="BR804" s="1931"/>
      <c r="BS804" s="1931"/>
      <c r="BT804" s="1931"/>
      <c r="BU804" s="1931"/>
      <c r="BV804" s="1931"/>
      <c r="BW804" s="1931"/>
      <c r="BX804" s="1931"/>
      <c r="BY804" s="1931"/>
      <c r="BZ804" s="1931"/>
      <c r="CA804" s="1931"/>
      <c r="CB804" s="1931"/>
      <c r="CC804" s="1931"/>
      <c r="CD804" s="1931"/>
      <c r="CE804" s="1930"/>
      <c r="CF804" s="1930"/>
      <c r="CG804" s="1930"/>
      <c r="CH804" s="1930"/>
      <c r="CI804" s="1931"/>
      <c r="CJ804" s="1931"/>
      <c r="CK804" s="1931"/>
      <c r="CL804" s="1931"/>
      <c r="CM804" s="1931"/>
      <c r="CN804" s="1931"/>
      <c r="CO804" s="1931"/>
      <c r="CP804" s="1931"/>
      <c r="CQ804" s="1931"/>
      <c r="CR804" s="1931"/>
      <c r="CS804" s="1931"/>
      <c r="CT804" s="1930"/>
      <c r="CU804" s="1930"/>
      <c r="CV804" s="1930"/>
      <c r="CW804" s="1930"/>
      <c r="CX804" s="1931"/>
      <c r="CY804" s="1931"/>
      <c r="CZ804" s="1931"/>
      <c r="DA804" s="1931"/>
      <c r="DB804" s="1932"/>
      <c r="DC804" s="1931"/>
      <c r="DD804" s="1931"/>
      <c r="DE804" s="1931"/>
      <c r="DF804" s="1931"/>
    </row>
    <row r="805" spans="2:110" hidden="1" outlineLevel="1" x14ac:dyDescent="0.25">
      <c r="B805" s="1931"/>
      <c r="D805" s="1966" t="s">
        <v>2689</v>
      </c>
      <c r="E805" s="151"/>
      <c r="F805" s="1966"/>
      <c r="G805" s="1966"/>
      <c r="H805" s="1299"/>
      <c r="I805" s="1966"/>
      <c r="J805" s="1966"/>
      <c r="K805" s="151"/>
      <c r="L805" s="1965"/>
      <c r="M805" s="1965"/>
      <c r="N805" s="1965"/>
      <c r="O805" s="1965"/>
      <c r="P805" s="1965"/>
      <c r="Q805" s="1965"/>
      <c r="R805" s="1965"/>
      <c r="S805" s="1965"/>
      <c r="T805" s="1965"/>
      <c r="U805" s="1965"/>
      <c r="V805" s="1931"/>
      <c r="W805" s="1931"/>
      <c r="X805" s="1931"/>
      <c r="Y805" s="1933"/>
      <c r="Z805" s="1933"/>
      <c r="AA805" s="1933"/>
      <c r="AB805" s="1933"/>
      <c r="AC805" s="1933"/>
      <c r="AD805" s="1933"/>
      <c r="AE805" s="1933"/>
      <c r="AF805" s="1933"/>
      <c r="AG805" s="1933"/>
      <c r="AH805" s="1933"/>
      <c r="AI805" s="1933"/>
      <c r="AJ805" s="1933"/>
      <c r="AK805" s="1933"/>
      <c r="AL805" s="1933"/>
      <c r="AM805" s="1933"/>
      <c r="AN805" s="1933"/>
      <c r="AO805" s="1933"/>
      <c r="AP805" s="1933"/>
      <c r="AQ805" s="1933"/>
      <c r="AR805" s="1933"/>
      <c r="AS805" s="1933"/>
      <c r="AT805" s="1933"/>
      <c r="AU805" s="1933"/>
      <c r="AV805" s="1933"/>
      <c r="AW805" s="1933"/>
      <c r="AX805" s="1933"/>
      <c r="AY805" s="1933"/>
      <c r="AZ805" s="1933"/>
      <c r="BA805" s="1933"/>
      <c r="BB805" s="1933"/>
      <c r="BC805" s="1933"/>
      <c r="BD805" s="1933"/>
      <c r="BE805" s="1933"/>
      <c r="BF805" s="1933"/>
      <c r="BG805" s="1933"/>
      <c r="BH805" s="1933"/>
      <c r="BI805" s="1933"/>
      <c r="BJ805" s="1933"/>
      <c r="BK805" s="1933"/>
      <c r="BL805" s="1933"/>
      <c r="BM805" s="1933"/>
      <c r="BN805" s="1933"/>
      <c r="BO805" s="1933"/>
      <c r="BP805" s="1933"/>
      <c r="BQ805" s="1931"/>
      <c r="BR805" s="1931"/>
      <c r="BS805" s="1931"/>
      <c r="BT805" s="1931"/>
      <c r="BU805" s="1931"/>
      <c r="BV805" s="1931"/>
      <c r="BW805" s="1931"/>
      <c r="BX805" s="1931"/>
      <c r="BY805" s="1931"/>
      <c r="BZ805" s="1931"/>
      <c r="CA805" s="1931"/>
      <c r="CB805" s="1931"/>
      <c r="CC805" s="1931"/>
      <c r="CD805" s="1931"/>
      <c r="CE805" s="1930"/>
      <c r="CF805" s="1930"/>
      <c r="CG805" s="1930"/>
      <c r="CH805" s="1930"/>
      <c r="CI805" s="1931"/>
      <c r="CJ805" s="1931"/>
      <c r="CK805" s="1931"/>
      <c r="CL805" s="1931"/>
      <c r="CM805" s="1931"/>
      <c r="CN805" s="1931"/>
      <c r="CO805" s="1931"/>
      <c r="CP805" s="1931"/>
      <c r="CQ805" s="1931"/>
      <c r="CR805" s="1931"/>
      <c r="CS805" s="1931"/>
      <c r="CT805" s="1930"/>
      <c r="CU805" s="1930"/>
      <c r="CV805" s="1930"/>
      <c r="CW805" s="1930"/>
      <c r="CX805" s="1931"/>
      <c r="CY805" s="1931"/>
      <c r="CZ805" s="1931"/>
      <c r="DA805" s="1931"/>
      <c r="DB805" s="1932"/>
      <c r="DC805" s="1931"/>
      <c r="DD805" s="1931"/>
      <c r="DE805" s="1931"/>
      <c r="DF805" s="1931"/>
    </row>
    <row r="806" spans="2:110" hidden="1" outlineLevel="1" x14ac:dyDescent="0.25">
      <c r="B806" s="1931"/>
      <c r="D806" s="1300"/>
      <c r="E806" s="151"/>
      <c r="F806" s="151"/>
      <c r="G806" s="1321"/>
      <c r="H806" s="1322"/>
      <c r="I806" s="1965"/>
      <c r="J806" s="1965"/>
      <c r="K806" s="1965"/>
      <c r="L806" s="1965"/>
      <c r="M806" s="1965"/>
      <c r="N806" s="1965"/>
      <c r="O806" s="1965"/>
      <c r="P806" s="1965"/>
      <c r="Q806" s="1965"/>
      <c r="R806" s="1965"/>
      <c r="S806" s="1965"/>
      <c r="T806" s="1965"/>
      <c r="U806" s="1965"/>
      <c r="V806" s="1931"/>
      <c r="W806" s="1931"/>
      <c r="X806" s="1931"/>
      <c r="Y806" s="1933"/>
      <c r="Z806" s="1933"/>
      <c r="AA806" s="1933"/>
      <c r="AB806" s="1933"/>
      <c r="AC806" s="1933"/>
      <c r="AD806" s="1933"/>
      <c r="AE806" s="1933"/>
      <c r="AF806" s="1933"/>
      <c r="AG806" s="1933"/>
      <c r="AH806" s="1933"/>
      <c r="AI806" s="1933"/>
      <c r="AJ806" s="1933"/>
      <c r="AK806" s="1933"/>
      <c r="AL806" s="1933"/>
      <c r="AM806" s="1933"/>
      <c r="AN806" s="1933"/>
      <c r="AO806" s="1933"/>
      <c r="AP806" s="1933"/>
      <c r="AQ806" s="1933"/>
      <c r="AR806" s="1933"/>
      <c r="AS806" s="1933"/>
      <c r="AT806" s="1933"/>
      <c r="AU806" s="1933"/>
      <c r="AV806" s="1933"/>
      <c r="AW806" s="1933"/>
      <c r="AX806" s="1933"/>
      <c r="AY806" s="1933"/>
      <c r="AZ806" s="1933"/>
      <c r="BA806" s="1933"/>
      <c r="BB806" s="1933"/>
      <c r="BC806" s="1933"/>
      <c r="BD806" s="1933"/>
      <c r="BE806" s="1933"/>
      <c r="BF806" s="1933"/>
      <c r="BG806" s="1933"/>
      <c r="BH806" s="1933"/>
      <c r="BI806" s="1933"/>
      <c r="BJ806" s="1933"/>
      <c r="BK806" s="1933"/>
      <c r="BL806" s="1933"/>
      <c r="BM806" s="1933"/>
      <c r="BN806" s="1933"/>
      <c r="BO806" s="1933"/>
      <c r="BP806" s="1933"/>
      <c r="BQ806" s="1931"/>
      <c r="BR806" s="1931"/>
      <c r="BS806" s="1931"/>
      <c r="BT806" s="1931"/>
      <c r="BU806" s="1931"/>
      <c r="BV806" s="1931"/>
      <c r="BW806" s="1931"/>
      <c r="BX806" s="1931"/>
      <c r="BY806" s="1931"/>
      <c r="BZ806" s="1931"/>
      <c r="CA806" s="1931"/>
      <c r="CB806" s="1931"/>
      <c r="CC806" s="1931"/>
      <c r="CD806" s="1931"/>
      <c r="CE806" s="1930"/>
      <c r="CF806" s="1930"/>
      <c r="CG806" s="1930"/>
      <c r="CH806" s="1930"/>
      <c r="CI806" s="1931"/>
      <c r="CJ806" s="1931"/>
      <c r="CK806" s="1931"/>
      <c r="CL806" s="1931"/>
      <c r="CM806" s="1931"/>
      <c r="CN806" s="1931"/>
      <c r="CO806" s="1931"/>
      <c r="CP806" s="1931"/>
      <c r="CQ806" s="1931"/>
      <c r="CR806" s="1931"/>
      <c r="CS806" s="1931"/>
      <c r="CT806" s="1930"/>
      <c r="CU806" s="1930"/>
      <c r="CV806" s="1930"/>
      <c r="CW806" s="1930"/>
      <c r="CX806" s="1931"/>
      <c r="CY806" s="1931"/>
      <c r="CZ806" s="1931"/>
      <c r="DA806" s="1931"/>
      <c r="DB806" s="1932"/>
      <c r="DC806" s="1931"/>
      <c r="DD806" s="1931"/>
      <c r="DE806" s="1931"/>
      <c r="DF806" s="1931"/>
    </row>
    <row r="807" spans="2:110" hidden="1" outlineLevel="1" x14ac:dyDescent="0.25">
      <c r="B807" s="1931"/>
      <c r="D807" s="1300"/>
      <c r="E807" s="1965"/>
      <c r="F807" s="1965"/>
      <c r="G807" s="1321"/>
      <c r="H807" s="1322"/>
      <c r="I807" s="1965"/>
      <c r="J807" s="1965"/>
      <c r="K807" s="1965"/>
      <c r="L807" s="1965"/>
      <c r="M807" s="1965"/>
      <c r="N807" s="1965"/>
      <c r="O807" s="1965"/>
      <c r="P807" s="4483"/>
      <c r="Q807" s="4483"/>
      <c r="R807" s="1965"/>
      <c r="S807" s="1965"/>
      <c r="T807" s="1965"/>
      <c r="U807" s="1965"/>
      <c r="V807" s="1931"/>
      <c r="W807" s="1931"/>
      <c r="X807" s="1931"/>
      <c r="Y807" s="1933"/>
      <c r="Z807" s="1933"/>
      <c r="AA807" s="1933"/>
      <c r="AB807" s="1933"/>
      <c r="AC807" s="1933"/>
      <c r="AD807" s="1933"/>
      <c r="AE807" s="1933"/>
      <c r="AF807" s="1933"/>
      <c r="AG807" s="1933"/>
      <c r="AH807" s="1933"/>
      <c r="AI807" s="1933"/>
      <c r="AJ807" s="1933"/>
      <c r="AK807" s="1933"/>
      <c r="AL807" s="1933"/>
      <c r="AM807" s="1933"/>
      <c r="AN807" s="1933"/>
      <c r="AO807" s="1933"/>
      <c r="AP807" s="1933"/>
      <c r="AQ807" s="1933"/>
      <c r="AR807" s="1933"/>
      <c r="AS807" s="1933"/>
      <c r="AT807" s="1933"/>
      <c r="AU807" s="1933"/>
      <c r="AV807" s="1933"/>
      <c r="AW807" s="1933"/>
      <c r="AX807" s="1933"/>
      <c r="AY807" s="1933"/>
      <c r="AZ807" s="1933"/>
      <c r="BA807" s="1933"/>
      <c r="BB807" s="1933"/>
      <c r="BC807" s="1933"/>
      <c r="BD807" s="1933"/>
      <c r="BE807" s="1933"/>
      <c r="BF807" s="1933"/>
      <c r="BG807" s="1933"/>
      <c r="BH807" s="1933"/>
      <c r="BI807" s="1933"/>
      <c r="BJ807" s="1933"/>
      <c r="BK807" s="1933"/>
      <c r="BL807" s="1933"/>
      <c r="BM807" s="1933"/>
      <c r="BN807" s="1933"/>
      <c r="BO807" s="1933"/>
      <c r="BP807" s="1933"/>
      <c r="BQ807" s="1931"/>
      <c r="BR807" s="1931"/>
      <c r="BS807" s="1931"/>
      <c r="BT807" s="1931"/>
      <c r="BU807" s="1931"/>
      <c r="BV807" s="1931"/>
      <c r="BW807" s="1931"/>
      <c r="BX807" s="1931"/>
      <c r="BY807" s="1931"/>
      <c r="BZ807" s="1931"/>
      <c r="CA807" s="1931"/>
      <c r="CB807" s="1931"/>
      <c r="CC807" s="1931"/>
      <c r="CD807" s="1931"/>
      <c r="CE807" s="1930"/>
      <c r="CF807" s="1930"/>
      <c r="CG807" s="1930"/>
      <c r="CH807" s="1930"/>
      <c r="CI807" s="1931"/>
      <c r="CJ807" s="1931"/>
      <c r="CK807" s="1931"/>
      <c r="CL807" s="1931"/>
      <c r="CM807" s="1931"/>
      <c r="CN807" s="1931"/>
      <c r="CO807" s="1931"/>
      <c r="CP807" s="1931"/>
      <c r="CQ807" s="1931"/>
      <c r="CR807" s="1931"/>
      <c r="CS807" s="1931"/>
      <c r="CT807" s="1930"/>
      <c r="CU807" s="1930"/>
      <c r="CV807" s="1930"/>
      <c r="CW807" s="1930"/>
      <c r="CX807" s="1931"/>
      <c r="CY807" s="1931"/>
      <c r="CZ807" s="1931"/>
      <c r="DA807" s="1931"/>
      <c r="DB807" s="1932"/>
      <c r="DC807" s="1931"/>
      <c r="DD807" s="1931"/>
      <c r="DE807" s="1931"/>
      <c r="DF807" s="1931"/>
    </row>
    <row r="808" spans="2:110" hidden="1" outlineLevel="1" x14ac:dyDescent="0.25">
      <c r="B808" s="1931"/>
      <c r="D808" s="1300"/>
      <c r="E808" s="1965"/>
      <c r="F808" s="1965"/>
      <c r="G808" s="1965"/>
      <c r="H808" s="1301"/>
      <c r="I808" s="1965"/>
      <c r="J808" s="1965"/>
      <c r="K808" s="1965"/>
      <c r="L808" s="1965"/>
      <c r="M808" s="1966"/>
      <c r="N808" s="1965"/>
      <c r="O808" s="1965"/>
      <c r="P808" s="4483"/>
      <c r="Q808" s="4483"/>
      <c r="R808" s="1965"/>
      <c r="S808" s="1965"/>
      <c r="T808" s="1965"/>
      <c r="U808" s="1965"/>
      <c r="V808" s="1931"/>
      <c r="W808" s="1931"/>
      <c r="X808" s="1931"/>
      <c r="Y808" s="1933"/>
      <c r="Z808" s="1933"/>
      <c r="AA808" s="1933"/>
      <c r="AB808" s="1933"/>
      <c r="AC808" s="1933"/>
      <c r="AD808" s="1933"/>
      <c r="AE808" s="1933"/>
      <c r="AF808" s="1933"/>
      <c r="AG808" s="1933"/>
      <c r="AH808" s="1933"/>
      <c r="AI808" s="1933"/>
      <c r="AJ808" s="1933"/>
      <c r="AK808" s="1933"/>
      <c r="AL808" s="1933"/>
      <c r="AM808" s="1933"/>
      <c r="AN808" s="1933"/>
      <c r="AO808" s="1933"/>
      <c r="AP808" s="1933"/>
      <c r="AQ808" s="1933"/>
      <c r="AR808" s="1933"/>
      <c r="AS808" s="1933"/>
      <c r="AT808" s="1933"/>
      <c r="AU808" s="1933"/>
      <c r="AV808" s="1933"/>
      <c r="AW808" s="1933"/>
      <c r="AX808" s="1933"/>
      <c r="AY808" s="1933"/>
      <c r="AZ808" s="1933"/>
      <c r="BA808" s="1933"/>
      <c r="BB808" s="1933"/>
      <c r="BC808" s="1933"/>
      <c r="BD808" s="1933"/>
      <c r="BE808" s="1933"/>
      <c r="BF808" s="1933"/>
      <c r="BG808" s="1933"/>
      <c r="BH808" s="1933"/>
      <c r="BI808" s="1933"/>
      <c r="BJ808" s="1933"/>
      <c r="BK808" s="1933"/>
      <c r="BL808" s="1933"/>
      <c r="BM808" s="1933"/>
      <c r="BN808" s="1933"/>
      <c r="BO808" s="1933"/>
      <c r="BP808" s="1933"/>
      <c r="BQ808" s="1931"/>
      <c r="BR808" s="1931"/>
      <c r="BS808" s="1931"/>
      <c r="BT808" s="1931"/>
      <c r="BU808" s="1931"/>
      <c r="BV808" s="1931"/>
      <c r="BW808" s="1931"/>
      <c r="BX808" s="1931"/>
      <c r="BY808" s="1931"/>
      <c r="BZ808" s="1931"/>
      <c r="CA808" s="1931"/>
      <c r="CB808" s="1931"/>
      <c r="CC808" s="1931"/>
      <c r="CD808" s="1931"/>
      <c r="CE808" s="1930"/>
      <c r="CF808" s="1930"/>
      <c r="CG808" s="1930"/>
      <c r="CH808" s="1930"/>
      <c r="CI808" s="1931"/>
      <c r="CJ808" s="1931"/>
      <c r="CK808" s="1931"/>
      <c r="CL808" s="1931"/>
      <c r="CM808" s="1931"/>
      <c r="CN808" s="1931"/>
      <c r="CO808" s="1931"/>
      <c r="CP808" s="1931"/>
      <c r="CQ808" s="1931"/>
      <c r="CR808" s="1931"/>
      <c r="CS808" s="1931"/>
      <c r="CT808" s="1930"/>
      <c r="CU808" s="1930"/>
      <c r="CV808" s="1930"/>
      <c r="CW808" s="1930"/>
      <c r="CX808" s="1931"/>
      <c r="CY808" s="1931"/>
      <c r="CZ808" s="1931"/>
      <c r="DA808" s="1931"/>
      <c r="DB808" s="1932"/>
      <c r="DC808" s="1931"/>
      <c r="DD808" s="1931"/>
      <c r="DE808" s="1931"/>
      <c r="DF808" s="1931"/>
    </row>
    <row r="809" spans="2:110" hidden="1" outlineLevel="1" x14ac:dyDescent="0.25">
      <c r="B809" s="1931"/>
      <c r="D809" s="1300"/>
      <c r="E809" s="1965"/>
      <c r="F809" s="1965"/>
      <c r="G809" s="1965"/>
      <c r="H809" s="1301"/>
      <c r="I809" s="1965"/>
      <c r="J809" s="1965"/>
      <c r="K809" s="1965"/>
      <c r="L809" s="1965"/>
      <c r="M809" s="1966"/>
      <c r="N809" s="1965"/>
      <c r="O809" s="1965"/>
      <c r="P809" s="4483"/>
      <c r="Q809" s="4483"/>
      <c r="R809" s="1965"/>
      <c r="S809" s="1965"/>
      <c r="T809" s="1965"/>
      <c r="U809" s="1965"/>
      <c r="V809" s="1931"/>
      <c r="W809" s="1931"/>
      <c r="X809" s="1931"/>
      <c r="Y809" s="1931"/>
      <c r="Z809" s="1931"/>
      <c r="AA809" s="1931"/>
      <c r="AB809" s="1931"/>
      <c r="AC809" s="1931"/>
      <c r="AD809" s="1931"/>
      <c r="AE809" s="1931"/>
      <c r="AF809" s="1931"/>
      <c r="AG809" s="1931"/>
      <c r="AH809" s="1931"/>
      <c r="AI809" s="1931"/>
      <c r="AJ809" s="1931"/>
      <c r="AK809" s="1931"/>
      <c r="AL809" s="1931"/>
      <c r="AM809" s="1931"/>
      <c r="AN809" s="1931"/>
      <c r="AO809" s="1931"/>
      <c r="AP809" s="1931"/>
      <c r="AQ809" s="1931"/>
      <c r="AR809" s="1931"/>
      <c r="AS809" s="1931"/>
      <c r="AT809" s="1931"/>
      <c r="AU809" s="1931"/>
      <c r="AV809" s="1931"/>
      <c r="AW809" s="1931"/>
      <c r="AX809" s="1931"/>
      <c r="AY809" s="1931"/>
      <c r="AZ809" s="1931"/>
      <c r="BA809" s="1931"/>
      <c r="BB809" s="1931"/>
      <c r="BC809" s="1931"/>
      <c r="BD809" s="1931"/>
      <c r="BE809" s="1931"/>
      <c r="BF809" s="1931"/>
      <c r="BG809" s="1931"/>
      <c r="BH809" s="1931"/>
      <c r="BI809" s="1931"/>
      <c r="BJ809" s="1931"/>
      <c r="BK809" s="1931"/>
      <c r="BL809" s="1931"/>
      <c r="BM809" s="1931"/>
      <c r="BN809" s="1931"/>
      <c r="BO809" s="1931"/>
      <c r="BP809" s="1931"/>
      <c r="BQ809" s="1931"/>
      <c r="BR809" s="1931"/>
      <c r="BS809" s="1931"/>
      <c r="BT809" s="1931"/>
      <c r="BU809" s="1931"/>
      <c r="BV809" s="1931"/>
      <c r="BW809" s="1931"/>
      <c r="BX809" s="1931"/>
      <c r="BY809" s="1931"/>
      <c r="BZ809" s="1931"/>
      <c r="CA809" s="1931"/>
      <c r="CB809" s="1931"/>
      <c r="CC809" s="1931"/>
      <c r="CD809" s="1931"/>
      <c r="CE809" s="1930"/>
      <c r="CF809" s="1930"/>
      <c r="CG809" s="1930"/>
      <c r="CH809" s="1930"/>
      <c r="CI809" s="1931"/>
      <c r="CJ809" s="1931"/>
      <c r="CK809" s="1931"/>
      <c r="CL809" s="1931"/>
      <c r="CM809" s="1931"/>
      <c r="CN809" s="1931"/>
      <c r="CO809" s="1931"/>
      <c r="CP809" s="1931"/>
      <c r="CQ809" s="1931"/>
      <c r="CR809" s="1931"/>
      <c r="CS809" s="1931"/>
      <c r="CT809" s="1930"/>
      <c r="CU809" s="1930"/>
      <c r="CV809" s="1930"/>
      <c r="CW809" s="1930"/>
      <c r="CX809" s="1931"/>
      <c r="CY809" s="1931"/>
      <c r="CZ809" s="1931"/>
      <c r="DA809" s="1931"/>
      <c r="DB809" s="1932"/>
      <c r="DC809" s="1931"/>
      <c r="DD809" s="1931"/>
      <c r="DE809" s="1931"/>
      <c r="DF809" s="1931"/>
    </row>
    <row r="810" spans="2:110" hidden="1" outlineLevel="1" x14ac:dyDescent="0.25">
      <c r="B810" s="1931"/>
      <c r="D810" s="1300"/>
      <c r="E810" s="1965"/>
      <c r="F810" s="1965"/>
      <c r="G810" s="1965"/>
      <c r="H810" s="1301"/>
      <c r="I810" s="1965"/>
      <c r="J810" s="1965"/>
      <c r="K810" s="1965"/>
      <c r="L810" s="1965"/>
      <c r="M810" s="1966"/>
      <c r="N810" s="1965"/>
      <c r="O810" s="1965"/>
      <c r="P810" s="1965"/>
      <c r="Q810" s="1965"/>
      <c r="R810" s="1965"/>
      <c r="S810" s="1965"/>
      <c r="T810" s="1965"/>
      <c r="U810" s="1965"/>
      <c r="V810" s="1931"/>
      <c r="W810" s="1931"/>
      <c r="X810" s="1931"/>
      <c r="Y810" s="1931"/>
      <c r="Z810" s="1931"/>
      <c r="AA810" s="1931"/>
      <c r="AB810" s="1931"/>
      <c r="AC810" s="1931"/>
      <c r="AD810" s="1931"/>
      <c r="AE810" s="1931"/>
      <c r="AF810" s="1931"/>
      <c r="AG810" s="1931"/>
      <c r="AH810" s="1931"/>
      <c r="AI810" s="1931"/>
      <c r="AJ810" s="1931"/>
      <c r="AK810" s="1931"/>
      <c r="AL810" s="1931"/>
      <c r="AM810" s="1931"/>
      <c r="AN810" s="1931"/>
      <c r="AO810" s="1931"/>
      <c r="AP810" s="1931"/>
      <c r="AQ810" s="1931"/>
      <c r="AR810" s="1931"/>
      <c r="AS810" s="1931"/>
      <c r="AT810" s="1931"/>
      <c r="AU810" s="1931"/>
      <c r="AV810" s="1931"/>
      <c r="AW810" s="1931"/>
      <c r="AX810" s="1931"/>
      <c r="AY810" s="1931"/>
      <c r="AZ810" s="1931"/>
      <c r="BA810" s="1931"/>
      <c r="BB810" s="1931"/>
      <c r="BC810" s="1931"/>
      <c r="BD810" s="1931"/>
      <c r="BE810" s="1931"/>
      <c r="BF810" s="1931"/>
      <c r="BG810" s="1931"/>
      <c r="BH810" s="1931"/>
      <c r="BI810" s="1931"/>
      <c r="BJ810" s="1931"/>
      <c r="BK810" s="1931"/>
      <c r="BL810" s="1931"/>
      <c r="BM810" s="1931"/>
      <c r="BN810" s="1931"/>
      <c r="BO810" s="1931"/>
      <c r="BP810" s="1931"/>
      <c r="BQ810" s="1931"/>
      <c r="BR810" s="1931"/>
      <c r="BS810" s="1931"/>
      <c r="BT810" s="1931"/>
      <c r="BU810" s="1931"/>
      <c r="BV810" s="1931"/>
      <c r="BW810" s="1931"/>
      <c r="BX810" s="1931"/>
      <c r="BY810" s="1931"/>
      <c r="BZ810" s="1931"/>
      <c r="CA810" s="1931"/>
      <c r="CB810" s="1931"/>
      <c r="CC810" s="1931"/>
      <c r="CD810" s="1931"/>
      <c r="CE810" s="1930"/>
      <c r="CF810" s="1930"/>
      <c r="CG810" s="1930"/>
      <c r="CH810" s="1930"/>
      <c r="CI810" s="1931"/>
      <c r="CJ810" s="1931"/>
      <c r="CK810" s="1931"/>
      <c r="CL810" s="1931"/>
      <c r="CM810" s="1931"/>
      <c r="CN810" s="1931"/>
      <c r="CO810" s="1931"/>
      <c r="CP810" s="1931"/>
      <c r="CQ810" s="1931"/>
      <c r="CR810" s="1931"/>
      <c r="CS810" s="1931"/>
      <c r="CT810" s="1930"/>
      <c r="CU810" s="1930"/>
      <c r="CV810" s="1930"/>
      <c r="CW810" s="1930"/>
      <c r="CX810" s="1931"/>
      <c r="CY810" s="1931"/>
      <c r="CZ810" s="1931"/>
      <c r="DA810" s="1931"/>
      <c r="DB810" s="1932"/>
      <c r="DC810" s="1931"/>
      <c r="DD810" s="1931"/>
      <c r="DE810" s="1931"/>
      <c r="DF810" s="1931"/>
    </row>
    <row r="811" spans="2:110" hidden="1" outlineLevel="1" x14ac:dyDescent="0.25">
      <c r="B811" s="1931"/>
      <c r="D811" s="1300"/>
      <c r="E811" s="1965"/>
      <c r="F811" s="1965"/>
      <c r="G811" s="1965"/>
      <c r="H811" s="1301"/>
      <c r="I811" s="1965"/>
      <c r="J811" s="1965"/>
      <c r="K811" s="1965"/>
      <c r="L811" s="1965"/>
      <c r="M811" s="1965"/>
      <c r="N811" s="1965"/>
      <c r="O811" s="1965"/>
      <c r="P811" s="1965"/>
      <c r="Q811" s="1965"/>
      <c r="R811" s="1965"/>
      <c r="S811" s="1965"/>
      <c r="T811" s="1965"/>
      <c r="U811" s="1965"/>
      <c r="V811" s="1931"/>
      <c r="W811" s="1931"/>
      <c r="X811" s="1931"/>
      <c r="Y811" s="1931"/>
      <c r="Z811" s="1931"/>
      <c r="AA811" s="1931"/>
      <c r="AB811" s="1931"/>
      <c r="AC811" s="1931"/>
      <c r="AD811" s="1931"/>
      <c r="AE811" s="1931"/>
      <c r="AF811" s="1931"/>
      <c r="AG811" s="1931"/>
      <c r="AH811" s="1931"/>
      <c r="AI811" s="1931"/>
      <c r="AJ811" s="1931"/>
      <c r="AK811" s="1931"/>
      <c r="AL811" s="1931"/>
      <c r="AM811" s="1931"/>
      <c r="AN811" s="1931"/>
      <c r="AO811" s="1931"/>
      <c r="AP811" s="1931"/>
      <c r="AQ811" s="1931"/>
      <c r="AR811" s="1931"/>
      <c r="AS811" s="1931"/>
      <c r="AT811" s="1931"/>
      <c r="AU811" s="1931"/>
      <c r="AV811" s="1931"/>
      <c r="AW811" s="1931"/>
      <c r="AX811" s="1931"/>
      <c r="AY811" s="1931"/>
      <c r="AZ811" s="1931"/>
      <c r="BA811" s="1931"/>
      <c r="BB811" s="1931"/>
      <c r="BC811" s="1931"/>
      <c r="BD811" s="1931"/>
      <c r="BE811" s="1931"/>
      <c r="BF811" s="1931"/>
      <c r="BG811" s="1931"/>
      <c r="BH811" s="1931"/>
      <c r="BI811" s="1931"/>
      <c r="BJ811" s="1931"/>
      <c r="BK811" s="1931"/>
      <c r="BL811" s="1931"/>
      <c r="BM811" s="1931"/>
      <c r="BN811" s="1931"/>
      <c r="BO811" s="1931"/>
      <c r="BP811" s="1931"/>
      <c r="BQ811" s="1931"/>
      <c r="BR811" s="1931"/>
      <c r="BS811" s="1931"/>
      <c r="BT811" s="1931"/>
      <c r="BU811" s="1931"/>
      <c r="BV811" s="1931"/>
      <c r="BW811" s="1931"/>
      <c r="BX811" s="1931"/>
      <c r="BY811" s="1931"/>
      <c r="BZ811" s="1931"/>
      <c r="CA811" s="1931"/>
      <c r="CB811" s="1931"/>
      <c r="CC811" s="1931"/>
      <c r="CD811" s="1931"/>
      <c r="CE811" s="1930"/>
      <c r="CF811" s="1930"/>
      <c r="CG811" s="1930"/>
      <c r="CH811" s="1930"/>
      <c r="CI811" s="1931"/>
      <c r="CJ811" s="1931"/>
      <c r="CK811" s="1931"/>
      <c r="CL811" s="1931"/>
      <c r="CM811" s="1931"/>
      <c r="CN811" s="1931"/>
      <c r="CO811" s="1931"/>
      <c r="CP811" s="1931"/>
      <c r="CQ811" s="1931"/>
      <c r="CR811" s="1931"/>
      <c r="CS811" s="1931"/>
      <c r="CT811" s="1930"/>
      <c r="CU811" s="1930"/>
      <c r="CV811" s="1930"/>
      <c r="CW811" s="1930"/>
      <c r="CX811" s="1931"/>
      <c r="CY811" s="1931"/>
      <c r="CZ811" s="1931"/>
      <c r="DA811" s="1931"/>
      <c r="DB811" s="1932"/>
      <c r="DC811" s="1931"/>
      <c r="DD811" s="1931"/>
      <c r="DE811" s="1931"/>
      <c r="DF811" s="1931"/>
    </row>
    <row r="812" spans="2:110" s="55" customFormat="1" ht="30" hidden="1" outlineLevel="1" x14ac:dyDescent="0.25">
      <c r="C812" s="151"/>
      <c r="D812" s="3081" t="s">
        <v>28</v>
      </c>
      <c r="E812" s="3081" t="s">
        <v>2758</v>
      </c>
      <c r="F812" s="81" t="s">
        <v>3176</v>
      </c>
      <c r="G812" s="3081" t="s">
        <v>3177</v>
      </c>
      <c r="H812" s="401"/>
      <c r="I812" s="401"/>
      <c r="J812" s="401"/>
      <c r="K812" s="401"/>
      <c r="L812" s="401"/>
      <c r="M812" s="401"/>
      <c r="N812" s="401"/>
      <c r="O812" s="401"/>
      <c r="P812" s="401"/>
      <c r="Q812" s="401"/>
      <c r="R812" s="401"/>
      <c r="S812" s="401"/>
      <c r="T812" s="401"/>
      <c r="U812" s="401"/>
      <c r="DB812" s="72"/>
    </row>
    <row r="813" spans="2:110" hidden="1" outlineLevel="1" x14ac:dyDescent="0.25">
      <c r="B813" s="1931"/>
      <c r="D813" s="1967" t="str">
        <f>C803</f>
        <v>806050_2019_12_</v>
      </c>
      <c r="E813" s="1967" t="str">
        <f>E803</f>
        <v>ECM for Walk-in &amp; Reach-in Coolers/Freezers</v>
      </c>
      <c r="F813" s="1357">
        <v>1409</v>
      </c>
      <c r="G813" s="1361">
        <v>1</v>
      </c>
      <c r="H813" s="1965"/>
      <c r="I813" s="1965"/>
      <c r="J813" s="1965"/>
      <c r="K813" s="1965"/>
      <c r="L813" s="1965"/>
      <c r="M813" s="1965"/>
      <c r="N813" s="1965"/>
      <c r="O813" s="1965"/>
      <c r="P813" s="1965"/>
      <c r="Q813" s="1965"/>
      <c r="R813" s="1965"/>
      <c r="S813" s="1965"/>
      <c r="T813" s="1965"/>
      <c r="U813" s="1965"/>
      <c r="V813" s="1931"/>
      <c r="W813" s="1931"/>
      <c r="X813" s="1931"/>
      <c r="Y813" s="1931"/>
      <c r="Z813" s="1931"/>
      <c r="AA813" s="1931"/>
      <c r="AB813" s="1931"/>
      <c r="AC813" s="1931"/>
      <c r="AD813" s="1931"/>
      <c r="AE813" s="1931"/>
      <c r="AF813" s="1931"/>
      <c r="AG813" s="1931"/>
      <c r="AH813" s="1931"/>
      <c r="AI813" s="1931"/>
      <c r="AJ813" s="1931"/>
      <c r="AK813" s="1931"/>
      <c r="AL813" s="1931"/>
      <c r="AM813" s="1931"/>
      <c r="AN813" s="1931"/>
      <c r="AO813" s="1931"/>
      <c r="AP813" s="1931"/>
      <c r="AQ813" s="1931"/>
      <c r="AR813" s="1931"/>
      <c r="AS813" s="1931"/>
      <c r="AT813" s="1931"/>
      <c r="AU813" s="1931"/>
      <c r="AV813" s="1931"/>
      <c r="AW813" s="1931"/>
      <c r="AX813" s="1931"/>
      <c r="AY813" s="1931"/>
      <c r="AZ813" s="1931"/>
      <c r="BA813" s="1931"/>
      <c r="BB813" s="1931"/>
      <c r="BC813" s="1931"/>
      <c r="BD813" s="1931"/>
      <c r="BE813" s="1931"/>
      <c r="BF813" s="1931"/>
      <c r="BG813" s="1931"/>
      <c r="BH813" s="1931"/>
      <c r="BI813" s="1931"/>
      <c r="BJ813" s="1931"/>
      <c r="BK813" s="1931"/>
      <c r="BL813" s="1931"/>
      <c r="BM813" s="1931"/>
      <c r="BN813" s="1931"/>
      <c r="BO813" s="1931"/>
      <c r="BP813" s="1931"/>
      <c r="BQ813" s="1931"/>
      <c r="BR813" s="1931"/>
      <c r="BS813" s="1931"/>
      <c r="BT813" s="1931"/>
      <c r="BU813" s="1931"/>
      <c r="BV813" s="1931"/>
      <c r="BW813" s="1931"/>
      <c r="BX813" s="1931"/>
      <c r="BY813" s="1931"/>
      <c r="BZ813" s="1931"/>
      <c r="CA813" s="1931"/>
      <c r="CB813" s="1931"/>
      <c r="CC813" s="1931"/>
      <c r="CD813" s="1931"/>
      <c r="CE813" s="1930"/>
      <c r="CF813" s="1930"/>
      <c r="CG813" s="1930"/>
      <c r="CH813" s="1930"/>
      <c r="CI813" s="1931"/>
      <c r="CJ813" s="1931"/>
      <c r="CK813" s="1931"/>
      <c r="CL813" s="1931"/>
      <c r="CM813" s="1931"/>
      <c r="CN813" s="1931"/>
      <c r="CO813" s="1931"/>
      <c r="CP813" s="1931"/>
      <c r="CQ813" s="1931"/>
      <c r="CR813" s="1931"/>
      <c r="CS813" s="1931"/>
      <c r="CT813" s="1930"/>
      <c r="CU813" s="1930"/>
      <c r="CV813" s="1930"/>
      <c r="CW813" s="1930"/>
      <c r="CX813" s="1931"/>
      <c r="CY813" s="1931"/>
      <c r="CZ813" s="1931"/>
      <c r="DA813" s="1931"/>
      <c r="DB813" s="1932"/>
      <c r="DC813" s="1931"/>
      <c r="DD813" s="1931"/>
      <c r="DE813" s="1931"/>
    </row>
    <row r="814" spans="2:110" collapsed="1" x14ac:dyDescent="0.25">
      <c r="B814" s="1931"/>
      <c r="D814" s="1966"/>
      <c r="E814" s="1965"/>
      <c r="F814" s="1965"/>
      <c r="G814" s="1968"/>
      <c r="H814" s="1969"/>
      <c r="I814" s="1965"/>
      <c r="J814" s="1965"/>
      <c r="K814" s="1965"/>
      <c r="L814" s="1965"/>
      <c r="M814" s="1965"/>
      <c r="N814" s="1965"/>
      <c r="O814" s="1965"/>
      <c r="P814" s="1965"/>
      <c r="Q814" s="1965"/>
      <c r="R814" s="1965"/>
      <c r="S814" s="1965"/>
      <c r="T814" s="1965"/>
      <c r="U814" s="1965"/>
      <c r="V814" s="1931"/>
      <c r="W814" s="1931"/>
      <c r="X814" s="1931"/>
      <c r="Y814" s="1931"/>
      <c r="Z814" s="1931"/>
      <c r="AA814" s="1931"/>
      <c r="AB814" s="1931"/>
      <c r="AC814" s="1931"/>
      <c r="AD814" s="1931"/>
      <c r="AE814" s="1931"/>
      <c r="AF814" s="1931"/>
      <c r="AG814" s="1931"/>
      <c r="AH814" s="1931"/>
      <c r="AI814" s="1931"/>
      <c r="AJ814" s="1931"/>
      <c r="AK814" s="1931"/>
      <c r="AL814" s="1931"/>
      <c r="AM814" s="1931"/>
      <c r="AN814" s="1931"/>
      <c r="AO814" s="1931"/>
      <c r="AP814" s="1931"/>
      <c r="AQ814" s="1931"/>
      <c r="AR814" s="1931"/>
      <c r="AS814" s="1931"/>
      <c r="AT814" s="1931"/>
      <c r="AU814" s="1931"/>
      <c r="AV814" s="1931"/>
      <c r="AW814" s="1931"/>
      <c r="AX814" s="1931"/>
      <c r="AY814" s="1931"/>
      <c r="AZ814" s="1931"/>
      <c r="BA814" s="1931"/>
      <c r="BB814" s="1931"/>
      <c r="BC814" s="1931"/>
      <c r="BD814" s="1931"/>
      <c r="BE814" s="1931"/>
      <c r="BF814" s="1931"/>
      <c r="BG814" s="1931"/>
      <c r="BH814" s="1931"/>
      <c r="BI814" s="1931"/>
      <c r="BJ814" s="1931"/>
      <c r="BK814" s="1931"/>
      <c r="BL814" s="1931"/>
      <c r="BM814" s="1931"/>
      <c r="BN814" s="1931"/>
      <c r="BO814" s="1931"/>
      <c r="BP814" s="1931"/>
      <c r="BQ814" s="1931"/>
      <c r="BR814" s="1931"/>
      <c r="BS814" s="1931"/>
      <c r="BT814" s="1931"/>
      <c r="BU814" s="1931"/>
      <c r="BV814" s="1931"/>
      <c r="BW814" s="1931"/>
      <c r="BX814" s="1931"/>
      <c r="BY814" s="1931"/>
      <c r="BZ814" s="1931"/>
      <c r="CA814" s="1931"/>
      <c r="CB814" s="1931"/>
      <c r="CC814" s="1931"/>
      <c r="CD814" s="1931"/>
      <c r="CE814" s="1930"/>
      <c r="CF814" s="1930"/>
      <c r="CG814" s="1930"/>
      <c r="CH814" s="1930"/>
      <c r="CI814" s="1931"/>
      <c r="CJ814" s="1931"/>
      <c r="CK814" s="1931"/>
      <c r="CL814" s="1931"/>
      <c r="CM814" s="1931"/>
      <c r="CN814" s="1931"/>
      <c r="CO814" s="1931"/>
      <c r="CP814" s="1931"/>
      <c r="CQ814" s="1931"/>
      <c r="CR814" s="1931"/>
      <c r="CS814" s="1931"/>
      <c r="CT814" s="1930"/>
      <c r="CU814" s="1930"/>
      <c r="CV814" s="1930"/>
      <c r="CW814" s="1930"/>
      <c r="CX814" s="1931"/>
      <c r="CY814" s="1931"/>
      <c r="CZ814" s="1931"/>
      <c r="DA814" s="1931"/>
      <c r="DB814" s="1932"/>
      <c r="DC814" s="1931"/>
      <c r="DD814" s="1931"/>
      <c r="DE814" s="1931"/>
    </row>
    <row r="815" spans="2:110" s="1931" customFormat="1" x14ac:dyDescent="0.25">
      <c r="C815" s="1966"/>
      <c r="D815" s="1966"/>
      <c r="E815" s="1965"/>
      <c r="F815" s="1965"/>
      <c r="G815" s="1968"/>
      <c r="H815" s="1969"/>
      <c r="I815" s="1965"/>
      <c r="J815" s="1965"/>
      <c r="K815" s="1965"/>
      <c r="L815" s="1965"/>
      <c r="M815" s="1965"/>
      <c r="N815" s="1965"/>
      <c r="O815" s="1965"/>
      <c r="P815" s="1965"/>
      <c r="Q815" s="1965"/>
      <c r="R815" s="1965"/>
      <c r="S815" s="1965"/>
      <c r="T815" s="1965"/>
      <c r="U815" s="1965"/>
      <c r="CE815" s="1930"/>
      <c r="CF815" s="1930"/>
      <c r="CG815" s="1930"/>
      <c r="CH815" s="1930"/>
      <c r="CT815" s="1930"/>
      <c r="CU815" s="1930"/>
      <c r="CV815" s="1930"/>
      <c r="CW815" s="1930"/>
      <c r="DB815" s="1932"/>
    </row>
    <row r="816" spans="2:110" s="1931" customFormat="1" x14ac:dyDescent="0.25">
      <c r="B816" s="4487" t="s">
        <v>3178</v>
      </c>
      <c r="C816" s="4488"/>
      <c r="D816" s="4488"/>
      <c r="E816" s="4488"/>
      <c r="F816" s="4488"/>
      <c r="G816" s="4488"/>
      <c r="H816" s="4488"/>
      <c r="I816" s="4488"/>
      <c r="J816" s="4488"/>
      <c r="K816" s="4488"/>
      <c r="L816" s="4488"/>
      <c r="M816" s="4488"/>
      <c r="N816" s="4488"/>
      <c r="O816" s="4489"/>
      <c r="P816" s="1965"/>
      <c r="Q816" s="1965"/>
      <c r="R816" s="1965"/>
      <c r="S816" s="1965"/>
      <c r="T816" s="1965"/>
      <c r="U816" s="1965"/>
      <c r="V816" s="3077" t="str">
        <f>B816</f>
        <v>High Volume Low Speed Fans</v>
      </c>
      <c r="W816" s="3078"/>
      <c r="X816" s="3078"/>
      <c r="Y816" s="3078"/>
      <c r="Z816" s="3078"/>
      <c r="AA816" s="3078"/>
      <c r="AB816" s="3078"/>
      <c r="AC816" s="3078"/>
      <c r="AD816" s="3078"/>
      <c r="AE816" s="3078"/>
      <c r="AF816" s="3078"/>
      <c r="AG816" s="3078"/>
      <c r="AH816" s="3078"/>
      <c r="AI816" s="3170"/>
      <c r="AV816" s="1935"/>
      <c r="AW816" s="1935"/>
      <c r="AX816" s="1935"/>
      <c r="AY816" s="1935"/>
      <c r="AZ816" s="1935"/>
      <c r="BA816" s="1935"/>
      <c r="BB816" s="1935"/>
      <c r="BC816" s="1935"/>
      <c r="BD816" s="1935"/>
      <c r="BE816" s="1935"/>
      <c r="CE816" s="1930"/>
      <c r="CF816" s="1930"/>
      <c r="CG816" s="1930"/>
      <c r="CH816" s="1930"/>
      <c r="CT816" s="1930"/>
      <c r="CU816" s="1930"/>
      <c r="CV816" s="1930"/>
      <c r="CW816" s="1930"/>
      <c r="DB816" s="1932"/>
    </row>
    <row r="817" spans="2:112" s="1931" customFormat="1" x14ac:dyDescent="0.25">
      <c r="B817" s="1965"/>
      <c r="C817" s="1966"/>
      <c r="D817" s="1966"/>
      <c r="E817" s="1965"/>
      <c r="F817" s="1965"/>
      <c r="G817" s="1968"/>
      <c r="H817" s="1969"/>
      <c r="I817" s="1965"/>
      <c r="J817" s="1965"/>
      <c r="K817" s="1965"/>
      <c r="L817" s="1965"/>
      <c r="M817" s="1965"/>
      <c r="N817" s="1965"/>
      <c r="O817" s="1965"/>
      <c r="P817" s="1965"/>
      <c r="Q817" s="1965"/>
      <c r="R817" s="1965"/>
      <c r="S817" s="1965"/>
      <c r="T817" s="1965"/>
      <c r="U817" s="1965"/>
      <c r="V817" s="1930"/>
      <c r="W817" s="1930"/>
      <c r="X817" s="1930"/>
      <c r="Y817" s="1930"/>
      <c r="Z817" s="1930"/>
      <c r="AA817" s="1930"/>
      <c r="AB817" s="1930"/>
      <c r="AC817" s="1930"/>
      <c r="AD817" s="1930"/>
      <c r="AE817" s="1930"/>
      <c r="AF817" s="1930"/>
      <c r="AG817" s="1930"/>
      <c r="AH817" s="1930"/>
      <c r="AI817" s="1930"/>
      <c r="AJ817" s="1934"/>
      <c r="AK817" s="1934"/>
      <c r="AL817" s="1934"/>
      <c r="AM817" s="1934"/>
      <c r="AN817" s="1934"/>
      <c r="AO817" s="1934"/>
      <c r="AP817" s="1934"/>
      <c r="AQ817" s="1934"/>
      <c r="AR817" s="1934"/>
      <c r="AS817" s="1934"/>
      <c r="AT817" s="1934"/>
      <c r="AU817" s="1934"/>
      <c r="CE817" s="1930"/>
      <c r="CF817" s="1930"/>
      <c r="CG817" s="1930"/>
      <c r="CH817" s="1930"/>
      <c r="CT817" s="1930"/>
      <c r="CU817" s="1930"/>
      <c r="CV817" s="1930"/>
      <c r="CW817" s="1930"/>
      <c r="DB817" s="1932"/>
    </row>
    <row r="818" spans="2:112" s="1931" customFormat="1" ht="30" x14ac:dyDescent="0.25">
      <c r="B818" s="1965"/>
      <c r="C818" s="46" t="s">
        <v>28</v>
      </c>
      <c r="D818" s="46" t="s">
        <v>29</v>
      </c>
      <c r="E818" s="3196" t="s">
        <v>30</v>
      </c>
      <c r="F818" s="3196" t="s">
        <v>3179</v>
      </c>
      <c r="G818" s="3196" t="s">
        <v>176</v>
      </c>
      <c r="H818" s="47" t="s">
        <v>177</v>
      </c>
      <c r="I818" s="3196" t="s">
        <v>32</v>
      </c>
      <c r="J818" s="3196" t="s">
        <v>181</v>
      </c>
      <c r="K818" s="46" t="s">
        <v>170</v>
      </c>
      <c r="L818" s="46" t="s">
        <v>44</v>
      </c>
      <c r="M818" s="1965"/>
      <c r="N818" s="1965"/>
      <c r="O818" s="1965"/>
      <c r="P818" s="1965"/>
      <c r="Q818" s="1965"/>
      <c r="R818" s="1965"/>
      <c r="S818" s="1965"/>
      <c r="T818" s="1965"/>
      <c r="U818" s="1965"/>
      <c r="V818" s="1936" t="s">
        <v>45</v>
      </c>
      <c r="W818" s="1937">
        <f>$W$8</f>
        <v>43252</v>
      </c>
      <c r="X818" s="1937">
        <f>$X$8</f>
        <v>43465</v>
      </c>
      <c r="Y818" s="1937">
        <f>$Y$8</f>
        <v>43800</v>
      </c>
      <c r="Z818" s="1937">
        <f>$Z$8</f>
        <v>43862</v>
      </c>
      <c r="AA818" s="1937">
        <f>$AA$8</f>
        <v>44013</v>
      </c>
      <c r="AB818" s="1937">
        <v>44166</v>
      </c>
      <c r="AC818" s="1937">
        <f>$AC$8</f>
        <v>44531</v>
      </c>
      <c r="AD818" s="1937" t="str">
        <f>$AD$8</f>
        <v>-</v>
      </c>
      <c r="AE818" s="1937" t="str">
        <f>$AE$8</f>
        <v>-</v>
      </c>
      <c r="AF818" s="1937" t="str">
        <f>$AF$8</f>
        <v>-</v>
      </c>
      <c r="AG818" s="1937" t="str">
        <f>$AG$8</f>
        <v>-</v>
      </c>
      <c r="AH818" s="1930"/>
      <c r="AI818" s="1936" t="s">
        <v>45</v>
      </c>
      <c r="AJ818" s="1937">
        <v>43252</v>
      </c>
      <c r="AK818" s="1937">
        <f>$X$8</f>
        <v>43465</v>
      </c>
      <c r="AL818" s="1937">
        <f>$Y$8</f>
        <v>43800</v>
      </c>
      <c r="AM818" s="1937">
        <f>$Z$8</f>
        <v>43862</v>
      </c>
      <c r="AN818" s="1937">
        <f>$AA$8</f>
        <v>44013</v>
      </c>
      <c r="AO818" s="1937">
        <f>$AB$8</f>
        <v>44166</v>
      </c>
      <c r="AP818" s="1937">
        <f>$AC$8</f>
        <v>44531</v>
      </c>
      <c r="AQ818" s="1937" t="str">
        <f>$AD$8</f>
        <v>-</v>
      </c>
      <c r="AR818" s="1937" t="str">
        <f>$AE$8</f>
        <v>-</v>
      </c>
      <c r="AS818" s="1937" t="str">
        <f>$AF$8</f>
        <v>-</v>
      </c>
      <c r="AT818" s="1933"/>
      <c r="AU818" s="1936" t="s">
        <v>45</v>
      </c>
      <c r="AV818" s="1937">
        <v>43252</v>
      </c>
      <c r="AW818" s="1937">
        <f>$X$8</f>
        <v>43465</v>
      </c>
      <c r="AX818" s="1937">
        <f>$Y$8</f>
        <v>43800</v>
      </c>
      <c r="AY818" s="1937">
        <f>$Z$8</f>
        <v>43862</v>
      </c>
      <c r="AZ818" s="1937">
        <f>$AA$8</f>
        <v>44013</v>
      </c>
      <c r="BA818" s="1937">
        <v>44166</v>
      </c>
      <c r="BB818" s="1937">
        <f>$AC$8</f>
        <v>44531</v>
      </c>
      <c r="BC818" s="1937" t="str">
        <f>$AD$8</f>
        <v>-</v>
      </c>
      <c r="BD818" s="1937" t="str">
        <f>$AE$8</f>
        <v>-</v>
      </c>
      <c r="BE818" s="1937" t="str">
        <f>$AF$8</f>
        <v>-</v>
      </c>
      <c r="CE818" s="1930"/>
      <c r="CF818" s="1930"/>
      <c r="CG818" s="1930"/>
      <c r="CH818" s="1930"/>
      <c r="CT818" s="1930"/>
      <c r="CU818" s="1930"/>
      <c r="CV818" s="1930"/>
      <c r="CW818" s="1930"/>
      <c r="DB818" s="1938" t="str">
        <f>$DB$8</f>
        <v>TRC (2020)</v>
      </c>
      <c r="DC818" s="1953" t="str">
        <f>$DC$8</f>
        <v>Benefit Lookup</v>
      </c>
      <c r="DD818" s="1953" t="str">
        <f>$DD$8</f>
        <v>Benefits (2019 $)</v>
      </c>
      <c r="DE818" s="1953" t="str">
        <f>$DE$8</f>
        <v>Incremental Cost (2019 $)</v>
      </c>
    </row>
    <row r="819" spans="2:112" s="1931" customFormat="1" x14ac:dyDescent="0.25">
      <c r="B819" s="1965"/>
      <c r="C819" s="1997" t="s">
        <v>3180</v>
      </c>
      <c r="D819" s="1994" t="s">
        <v>2646</v>
      </c>
      <c r="E819" s="1308" t="s">
        <v>3181</v>
      </c>
      <c r="F819" s="1141">
        <f>F827*G827</f>
        <v>6577</v>
      </c>
      <c r="G819" s="1289" t="s">
        <v>2897</v>
      </c>
      <c r="H819" s="1291">
        <f>VLOOKUP(G819,'CP FACTORS'!$A$26:$B$38,2,FALSE)</f>
        <v>4.4398300000000001E-4</v>
      </c>
      <c r="I819" s="1995">
        <f>F819*H819</f>
        <v>2.9200761910000002</v>
      </c>
      <c r="J819" s="1992">
        <v>10</v>
      </c>
      <c r="K819" s="1310">
        <v>4150</v>
      </c>
      <c r="L819" s="1996" t="s">
        <v>185</v>
      </c>
      <c r="M819" s="1965"/>
      <c r="N819" s="1965"/>
      <c r="O819" s="1965"/>
      <c r="P819" s="1965"/>
      <c r="Q819" s="1965"/>
      <c r="R819" s="1965"/>
      <c r="S819" s="1965"/>
      <c r="T819" s="1965"/>
      <c r="U819" s="1965"/>
      <c r="V819" s="3226" t="s">
        <v>31</v>
      </c>
      <c r="W819" s="1947"/>
      <c r="X819" s="1947"/>
      <c r="Y819" s="1947"/>
      <c r="Z819" s="1941"/>
      <c r="AA819" s="1961">
        <v>6577</v>
      </c>
      <c r="AB819" s="1825">
        <v>6577</v>
      </c>
      <c r="AC819" s="3364">
        <v>6577</v>
      </c>
      <c r="AD819" s="1941"/>
      <c r="AE819" s="1941"/>
      <c r="AF819" s="1941"/>
      <c r="AG819" s="1941"/>
      <c r="AH819" s="1942"/>
      <c r="AI819" s="3226" t="s">
        <v>181</v>
      </c>
      <c r="AJ819" s="1943"/>
      <c r="AK819" s="1943"/>
      <c r="AL819" s="1943"/>
      <c r="AM819" s="1941"/>
      <c r="AN819" s="1975">
        <v>10</v>
      </c>
      <c r="AO819" s="2386">
        <v>10</v>
      </c>
      <c r="AP819" s="2386">
        <v>10</v>
      </c>
      <c r="AQ819" s="1941"/>
      <c r="AR819" s="1941"/>
      <c r="AS819" s="1941"/>
      <c r="AT819" s="1933"/>
      <c r="AU819" s="3226" t="s">
        <v>170</v>
      </c>
      <c r="AV819" s="1944"/>
      <c r="AW819" s="1944"/>
      <c r="AX819" s="1944"/>
      <c r="AY819" s="1941"/>
      <c r="AZ819" s="1982">
        <v>4150</v>
      </c>
      <c r="BA819" s="1998">
        <v>4150</v>
      </c>
      <c r="BB819" s="1998">
        <v>4150</v>
      </c>
      <c r="BC819" s="1941"/>
      <c r="BD819" s="1941"/>
      <c r="BE819" s="1941"/>
      <c r="CE819" s="1930"/>
      <c r="CF819" s="1930"/>
      <c r="CG819" s="1930"/>
      <c r="CH819" s="1930"/>
      <c r="CT819" s="1930"/>
      <c r="CU819" s="1930"/>
      <c r="CV819" s="1930"/>
      <c r="CW819" s="1930"/>
      <c r="DB819" s="1945">
        <f>(DD819)/(DE819)</f>
        <v>1.0290050862607221</v>
      </c>
      <c r="DC819" s="3166" t="str">
        <f>CONCATENATE(G819," ",J819," Year EUL")</f>
        <v>HVAC BUS 10 Year EUL</v>
      </c>
      <c r="DD819" s="1985">
        <f>(INDEX('Avoided Cost Benefits'!$C$4:$C$857,MATCH(DC819,'Avoided Cost Benefits'!$A$4:$A$857,0)))*F819</f>
        <v>4030.5531929985805</v>
      </c>
      <c r="DE819" s="1946">
        <f>K819/(1.0595^(2020-2019))</f>
        <v>3916.9419537517692</v>
      </c>
    </row>
    <row r="820" spans="2:112" s="1931" customFormat="1" x14ac:dyDescent="0.25">
      <c r="B820" s="1965"/>
      <c r="C820" s="1997" t="s">
        <v>3182</v>
      </c>
      <c r="D820" s="1994" t="s">
        <v>2646</v>
      </c>
      <c r="E820" s="1308" t="s">
        <v>3183</v>
      </c>
      <c r="F820" s="1141">
        <f t="shared" ref="F820:F821" si="186">F828*G828</f>
        <v>8543</v>
      </c>
      <c r="G820" s="1289" t="s">
        <v>2897</v>
      </c>
      <c r="H820" s="1291">
        <f>VLOOKUP(G820,'CP FACTORS'!$A$26:$B$38,2,FALSE)</f>
        <v>4.4398300000000001E-4</v>
      </c>
      <c r="I820" s="1995">
        <f>F820*H820</f>
        <v>3.7929467690000003</v>
      </c>
      <c r="J820" s="1992">
        <v>10</v>
      </c>
      <c r="K820" s="1310">
        <v>4180</v>
      </c>
      <c r="L820" s="1996" t="s">
        <v>185</v>
      </c>
      <c r="M820" s="1965"/>
      <c r="N820" s="1965"/>
      <c r="O820" s="1965"/>
      <c r="P820" s="1965"/>
      <c r="Q820" s="1965"/>
      <c r="R820" s="1965"/>
      <c r="S820" s="1965"/>
      <c r="T820" s="1965"/>
      <c r="U820" s="1965"/>
      <c r="V820" s="3226" t="s">
        <v>31</v>
      </c>
      <c r="W820" s="1947"/>
      <c r="X820" s="1947"/>
      <c r="Y820" s="1947"/>
      <c r="Z820" s="1941"/>
      <c r="AA820" s="1961">
        <v>8543</v>
      </c>
      <c r="AB820" s="1825">
        <v>8543</v>
      </c>
      <c r="AC820" s="3364">
        <v>8543</v>
      </c>
      <c r="AD820" s="1941"/>
      <c r="AE820" s="1941"/>
      <c r="AF820" s="1941"/>
      <c r="AG820" s="1941"/>
      <c r="AH820" s="1942"/>
      <c r="AI820" s="3226" t="s">
        <v>181</v>
      </c>
      <c r="AJ820" s="1943"/>
      <c r="AK820" s="1943"/>
      <c r="AL820" s="1943"/>
      <c r="AM820" s="1941"/>
      <c r="AN820" s="1975">
        <v>10</v>
      </c>
      <c r="AO820" s="2386">
        <v>10</v>
      </c>
      <c r="AP820" s="2386">
        <v>10</v>
      </c>
      <c r="AQ820" s="1941"/>
      <c r="AR820" s="1941"/>
      <c r="AS820" s="1941"/>
      <c r="AT820" s="1933"/>
      <c r="AU820" s="3226" t="s">
        <v>170</v>
      </c>
      <c r="AV820" s="1944"/>
      <c r="AW820" s="1944"/>
      <c r="AX820" s="1944"/>
      <c r="AY820" s="1941"/>
      <c r="AZ820" s="1982">
        <v>4180</v>
      </c>
      <c r="BA820" s="1998">
        <v>4180</v>
      </c>
      <c r="BB820" s="1998">
        <v>4180</v>
      </c>
      <c r="BC820" s="1941"/>
      <c r="BD820" s="1941"/>
      <c r="BE820" s="1941"/>
      <c r="CE820" s="1930"/>
      <c r="CF820" s="1930"/>
      <c r="CG820" s="1930"/>
      <c r="CH820" s="1930"/>
      <c r="CT820" s="1930"/>
      <c r="CU820" s="1930"/>
      <c r="CV820" s="1930"/>
      <c r="CW820" s="1930"/>
      <c r="DB820" s="1979">
        <f>(DD820)/(DE820)</f>
        <v>1.3270029883569243</v>
      </c>
      <c r="DC820" s="1948" t="str">
        <f>CONCATENATE(G820," ",J820," Year EUL")</f>
        <v>HVAC BUS 10 Year EUL</v>
      </c>
      <c r="DD820" s="1985">
        <f>(INDEX('Avoided Cost Benefits'!$C$4:$C$857,MATCH(DC820,'Avoided Cost Benefits'!$A$4:$A$857,0)))*F820</f>
        <v>5235.3680899782385</v>
      </c>
      <c r="DE820" s="1949">
        <f>K820/(1.0595^(2020-2019))</f>
        <v>3945.2571967909389</v>
      </c>
    </row>
    <row r="821" spans="2:112" s="1931" customFormat="1" x14ac:dyDescent="0.25">
      <c r="B821" s="1965"/>
      <c r="C821" s="1997" t="s">
        <v>3184</v>
      </c>
      <c r="D821" s="1994" t="s">
        <v>2646</v>
      </c>
      <c r="E821" s="1308" t="s">
        <v>3185</v>
      </c>
      <c r="F821" s="1141">
        <f t="shared" si="186"/>
        <v>10018</v>
      </c>
      <c r="G821" s="1289" t="s">
        <v>2897</v>
      </c>
      <c r="H821" s="1291">
        <f>VLOOKUP(G821,'CP FACTORS'!$A$26:$B$38,2,FALSE)</f>
        <v>4.4398300000000001E-4</v>
      </c>
      <c r="I821" s="1995">
        <f>F821*H821</f>
        <v>4.4478216939999999</v>
      </c>
      <c r="J821" s="1992">
        <v>10</v>
      </c>
      <c r="K821" s="1310">
        <v>4225</v>
      </c>
      <c r="L821" s="1996" t="s">
        <v>185</v>
      </c>
      <c r="M821" s="1965"/>
      <c r="N821" s="1965"/>
      <c r="O821" s="1965"/>
      <c r="P821" s="1965"/>
      <c r="Q821" s="1965"/>
      <c r="R821" s="1965"/>
      <c r="S821" s="1965"/>
      <c r="T821" s="1965"/>
      <c r="U821" s="1965"/>
      <c r="V821" s="3226" t="s">
        <v>31</v>
      </c>
      <c r="W821" s="1947"/>
      <c r="X821" s="1947"/>
      <c r="Y821" s="1947"/>
      <c r="Z821" s="1941"/>
      <c r="AA821" s="1961">
        <v>10018</v>
      </c>
      <c r="AB821" s="1825">
        <v>10018</v>
      </c>
      <c r="AC821" s="3364">
        <v>10018</v>
      </c>
      <c r="AD821" s="1941"/>
      <c r="AE821" s="1941"/>
      <c r="AF821" s="1941"/>
      <c r="AG821" s="1941"/>
      <c r="AH821" s="1942"/>
      <c r="AI821" s="3226" t="s">
        <v>181</v>
      </c>
      <c r="AJ821" s="1943"/>
      <c r="AK821" s="1943"/>
      <c r="AL821" s="1943"/>
      <c r="AM821" s="1941"/>
      <c r="AN821" s="1975">
        <v>10</v>
      </c>
      <c r="AO821" s="2386">
        <v>10</v>
      </c>
      <c r="AP821" s="2386">
        <v>10</v>
      </c>
      <c r="AQ821" s="1941"/>
      <c r="AR821" s="1941"/>
      <c r="AS821" s="1941"/>
      <c r="AT821" s="1933"/>
      <c r="AU821" s="3226" t="s">
        <v>170</v>
      </c>
      <c r="AV821" s="1944"/>
      <c r="AW821" s="1944"/>
      <c r="AX821" s="1944"/>
      <c r="AY821" s="1941"/>
      <c r="AZ821" s="1982">
        <v>4225</v>
      </c>
      <c r="BA821" s="1998">
        <v>4225</v>
      </c>
      <c r="BB821" s="1998">
        <v>4225</v>
      </c>
      <c r="BC821" s="1941"/>
      <c r="BD821" s="1941"/>
      <c r="BE821" s="1941"/>
      <c r="CE821" s="1930"/>
      <c r="CF821" s="1930"/>
      <c r="CG821" s="1930"/>
      <c r="CH821" s="1930"/>
      <c r="CT821" s="1930"/>
      <c r="CU821" s="1930"/>
      <c r="CV821" s="1930"/>
      <c r="CW821" s="1930"/>
      <c r="DB821" s="1980">
        <f>(DD821)/(DE821)</f>
        <v>1.5395439463061122</v>
      </c>
      <c r="DC821" s="1948" t="str">
        <f>CONCATENATE(G821," ",J821," Year EUL")</f>
        <v>HVAC BUS 10 Year EUL</v>
      </c>
      <c r="DD821" s="1985">
        <f>(INDEX('Avoided Cost Benefits'!$C$4:$C$857,MATCH(DC821,'Avoided Cost Benefits'!$A$4:$A$857,0)))*F821</f>
        <v>6139.2856754538207</v>
      </c>
      <c r="DE821" s="1950">
        <f>K821/(1.0595^(2020-2019))</f>
        <v>3987.7300613496927</v>
      </c>
    </row>
    <row r="822" spans="2:112" s="1931" customFormat="1" x14ac:dyDescent="0.25">
      <c r="B822" s="1965"/>
      <c r="C822" s="1966"/>
      <c r="D822" s="1966"/>
      <c r="E822" s="1965"/>
      <c r="F822" s="1965"/>
      <c r="G822" s="1968"/>
      <c r="H822" s="1969"/>
      <c r="I822" s="1965"/>
      <c r="J822" s="1965"/>
      <c r="K822" s="1965"/>
      <c r="L822" s="1965"/>
      <c r="M822" s="1965"/>
      <c r="N822" s="1965"/>
      <c r="O822" s="1965"/>
      <c r="P822" s="1965"/>
      <c r="Q822" s="1965"/>
      <c r="R822" s="1965"/>
      <c r="S822" s="1965"/>
      <c r="T822" s="1965"/>
      <c r="U822" s="1965"/>
      <c r="CE822" s="1930"/>
      <c r="CF822" s="1930"/>
      <c r="CG822" s="1930"/>
      <c r="CH822" s="1930"/>
      <c r="CT822" s="1930"/>
      <c r="CU822" s="1930"/>
      <c r="CV822" s="1930"/>
      <c r="CW822" s="1930"/>
      <c r="DB822" s="1932"/>
    </row>
    <row r="823" spans="2:112" s="1931" customFormat="1" hidden="1" outlineLevel="1" x14ac:dyDescent="0.25">
      <c r="B823" s="1965"/>
      <c r="C823" s="1966"/>
      <c r="D823" s="1966"/>
      <c r="E823" s="1965"/>
      <c r="F823" s="1965"/>
      <c r="G823" s="1968"/>
      <c r="H823" s="1969"/>
      <c r="I823" s="1965"/>
      <c r="J823" s="1965"/>
      <c r="K823" s="1965"/>
      <c r="L823" s="1965"/>
      <c r="M823" s="1965"/>
      <c r="N823" s="1965"/>
      <c r="O823" s="1965"/>
      <c r="P823" s="1965"/>
      <c r="Q823" s="1965"/>
      <c r="R823" s="1965"/>
      <c r="S823" s="1965"/>
      <c r="T823" s="1965"/>
      <c r="U823" s="1965"/>
      <c r="CE823" s="1930"/>
      <c r="CF823" s="1930"/>
      <c r="CG823" s="1930"/>
      <c r="CH823" s="1930"/>
      <c r="CT823" s="1930"/>
      <c r="CU823" s="1930"/>
      <c r="CV823" s="1930"/>
      <c r="CW823" s="1930"/>
      <c r="DB823" s="1932"/>
    </row>
    <row r="824" spans="2:112" s="1931" customFormat="1" hidden="1" outlineLevel="1" x14ac:dyDescent="0.25">
      <c r="B824" s="1965"/>
      <c r="C824" s="1966"/>
      <c r="D824" s="1966"/>
      <c r="E824" s="1965"/>
      <c r="F824" s="1965"/>
      <c r="G824" s="1968"/>
      <c r="H824" s="1969"/>
      <c r="I824" s="1965"/>
      <c r="J824" s="1965"/>
      <c r="K824" s="1965"/>
      <c r="L824" s="1965"/>
      <c r="M824" s="1965"/>
      <c r="N824" s="1965"/>
      <c r="O824" s="1965"/>
      <c r="P824" s="1965"/>
      <c r="Q824" s="1965"/>
      <c r="R824" s="1965"/>
      <c r="S824" s="1965"/>
      <c r="T824" s="1965"/>
      <c r="U824" s="1965"/>
      <c r="CE824" s="1930"/>
      <c r="CF824" s="1930"/>
      <c r="CG824" s="1930"/>
      <c r="CH824" s="1930"/>
      <c r="CT824" s="1930"/>
      <c r="CU824" s="1930"/>
      <c r="CV824" s="1930"/>
      <c r="CW824" s="1930"/>
      <c r="DB824" s="1932"/>
    </row>
    <row r="825" spans="2:112" s="1931" customFormat="1" hidden="1" outlineLevel="1" x14ac:dyDescent="0.25">
      <c r="B825" s="1965"/>
      <c r="C825" s="1966"/>
      <c r="D825" s="1966"/>
      <c r="E825" s="1965"/>
      <c r="F825" s="1965"/>
      <c r="G825" s="1968"/>
      <c r="H825" s="1969"/>
      <c r="I825" s="1965"/>
      <c r="J825" s="1965"/>
      <c r="K825" s="1965"/>
      <c r="L825" s="1965"/>
      <c r="M825" s="1965"/>
      <c r="N825" s="1965"/>
      <c r="O825" s="1965"/>
      <c r="P825" s="1965"/>
      <c r="Q825" s="1965"/>
      <c r="R825" s="1965"/>
      <c r="S825" s="1965"/>
      <c r="T825" s="1965"/>
      <c r="U825" s="1965"/>
      <c r="CE825" s="1930"/>
      <c r="CF825" s="1930"/>
      <c r="CG825" s="1930"/>
      <c r="CH825" s="1930"/>
      <c r="CT825" s="1930"/>
      <c r="CU825" s="1930"/>
      <c r="CV825" s="1930"/>
      <c r="CW825" s="1930"/>
      <c r="DB825" s="1932"/>
    </row>
    <row r="826" spans="2:112" s="1931" customFormat="1" ht="30" hidden="1" outlineLevel="1" x14ac:dyDescent="0.25">
      <c r="B826" s="1965"/>
      <c r="C826" s="1966"/>
      <c r="D826" s="3081" t="s">
        <v>28</v>
      </c>
      <c r="E826" s="3081" t="s">
        <v>2758</v>
      </c>
      <c r="F826" s="81" t="s">
        <v>3186</v>
      </c>
      <c r="G826" s="3081" t="s">
        <v>3187</v>
      </c>
      <c r="H826" s="1969"/>
      <c r="I826" s="1965"/>
      <c r="J826" s="1965"/>
      <c r="K826" s="1965"/>
      <c r="L826" s="1965"/>
      <c r="M826" s="1965"/>
      <c r="N826" s="1965"/>
      <c r="O826" s="1965"/>
      <c r="P826" s="1965"/>
      <c r="Q826" s="1965"/>
      <c r="R826" s="1965"/>
      <c r="S826" s="1965"/>
      <c r="T826" s="1965"/>
      <c r="U826" s="1965"/>
      <c r="CE826" s="1930"/>
      <c r="CF826" s="1930"/>
      <c r="CG826" s="1930"/>
      <c r="CH826" s="1930"/>
      <c r="CT826" s="1930"/>
      <c r="CU826" s="1930"/>
      <c r="CV826" s="1930"/>
      <c r="CW826" s="1930"/>
      <c r="DB826" s="1932"/>
    </row>
    <row r="827" spans="2:112" s="1931" customFormat="1" hidden="1" outlineLevel="1" x14ac:dyDescent="0.25">
      <c r="B827" s="1965"/>
      <c r="C827" s="1966"/>
      <c r="D827" s="1967" t="str">
        <f>C819</f>
        <v>806100_2020_07_</v>
      </c>
      <c r="E827" s="1308" t="s">
        <v>3181</v>
      </c>
      <c r="F827" s="1141">
        <v>6577</v>
      </c>
      <c r="G827" s="1361">
        <v>1</v>
      </c>
      <c r="H827" s="1969"/>
      <c r="I827" s="1965"/>
      <c r="J827" s="1965"/>
      <c r="K827" s="1965"/>
      <c r="L827" s="1965"/>
      <c r="M827" s="1965"/>
      <c r="N827" s="1965"/>
      <c r="O827" s="1965"/>
      <c r="P827" s="1965"/>
      <c r="Q827" s="1965"/>
      <c r="R827" s="1965"/>
      <c r="S827" s="1965"/>
      <c r="T827" s="1965"/>
      <c r="U827" s="1965"/>
      <c r="CE827" s="1930"/>
      <c r="CF827" s="1930"/>
      <c r="CG827" s="1930"/>
      <c r="CH827" s="1930"/>
      <c r="CT827" s="1930"/>
      <c r="CU827" s="1930"/>
      <c r="CV827" s="1930"/>
      <c r="CW827" s="1930"/>
      <c r="DB827" s="1932"/>
    </row>
    <row r="828" spans="2:112" s="1931" customFormat="1" hidden="1" outlineLevel="1" x14ac:dyDescent="0.25">
      <c r="B828" s="1965"/>
      <c r="C828" s="1966"/>
      <c r="D828" s="1967" t="str">
        <f t="shared" ref="D828:D829" si="187">C820</f>
        <v>806110_2020_07_</v>
      </c>
      <c r="E828" s="1308" t="s">
        <v>3183</v>
      </c>
      <c r="F828" s="1141">
        <v>8543</v>
      </c>
      <c r="G828" s="1361">
        <v>1</v>
      </c>
      <c r="H828" s="1969"/>
      <c r="I828" s="1965"/>
      <c r="J828" s="1965"/>
      <c r="K828" s="1965"/>
      <c r="L828" s="1965"/>
      <c r="M828" s="1965"/>
      <c r="N828" s="1965"/>
      <c r="O828" s="1965"/>
      <c r="P828" s="1965"/>
      <c r="Q828" s="1965"/>
      <c r="R828" s="1965"/>
      <c r="S828" s="1965"/>
      <c r="T828" s="1965"/>
      <c r="U828" s="1965"/>
      <c r="CE828" s="1930"/>
      <c r="CF828" s="1930"/>
      <c r="CG828" s="1930"/>
      <c r="CH828" s="1930"/>
      <c r="CT828" s="1930"/>
      <c r="CU828" s="1930"/>
      <c r="CV828" s="1930"/>
      <c r="CW828" s="1930"/>
      <c r="DB828" s="1932"/>
    </row>
    <row r="829" spans="2:112" s="1931" customFormat="1" hidden="1" outlineLevel="1" x14ac:dyDescent="0.25">
      <c r="B829" s="1965"/>
      <c r="C829" s="1966"/>
      <c r="D829" s="1967" t="str">
        <f t="shared" si="187"/>
        <v>806120_2020_07_</v>
      </c>
      <c r="E829" s="1308" t="s">
        <v>3185</v>
      </c>
      <c r="F829" s="1141">
        <v>10018</v>
      </c>
      <c r="G829" s="1361">
        <v>1</v>
      </c>
      <c r="H829" s="1969"/>
      <c r="I829" s="1965"/>
      <c r="J829" s="1965"/>
      <c r="K829" s="1965"/>
      <c r="L829" s="1965"/>
      <c r="M829" s="1965"/>
      <c r="N829" s="1965"/>
      <c r="O829" s="1965"/>
      <c r="P829" s="1965"/>
      <c r="Q829" s="1965"/>
      <c r="R829" s="1965"/>
      <c r="S829" s="1965"/>
      <c r="T829" s="1965"/>
      <c r="U829" s="1965"/>
      <c r="CE829" s="1930"/>
      <c r="CF829" s="1930"/>
      <c r="CG829" s="1930"/>
      <c r="CH829" s="1930"/>
      <c r="CT829" s="1930"/>
      <c r="CU829" s="1930"/>
      <c r="CV829" s="1930"/>
      <c r="CW829" s="1930"/>
      <c r="DB829" s="1932"/>
    </row>
    <row r="830" spans="2:112" s="1931" customFormat="1" collapsed="1" x14ac:dyDescent="0.25">
      <c r="B830" s="1965"/>
      <c r="C830" s="1966"/>
      <c r="D830" s="1966"/>
      <c r="E830" s="1965"/>
      <c r="F830" s="1965"/>
      <c r="G830" s="1968"/>
      <c r="H830" s="1969"/>
      <c r="I830" s="1965"/>
      <c r="J830" s="1965"/>
      <c r="K830" s="1965"/>
      <c r="L830" s="1965"/>
      <c r="M830" s="1965"/>
      <c r="N830" s="1965"/>
      <c r="O830" s="1965"/>
      <c r="P830" s="1965"/>
      <c r="Q830" s="1965"/>
      <c r="R830" s="1965"/>
      <c r="S830" s="1965"/>
      <c r="T830" s="1965"/>
      <c r="U830" s="1965"/>
      <c r="CE830" s="1930"/>
      <c r="CF830" s="1930"/>
      <c r="CG830" s="1930"/>
      <c r="CH830" s="1930"/>
      <c r="CT830" s="1930"/>
      <c r="CU830" s="1930"/>
      <c r="CV830" s="1930"/>
      <c r="CW830" s="1930"/>
      <c r="DB830" s="1932"/>
    </row>
    <row r="831" spans="2:112" s="43" customFormat="1" x14ac:dyDescent="0.25">
      <c r="B831" s="4484" t="s">
        <v>3188</v>
      </c>
      <c r="C831" s="4485"/>
      <c r="D831" s="4485"/>
      <c r="E831" s="4485"/>
      <c r="F831" s="4485"/>
      <c r="G831" s="4485"/>
      <c r="H831" s="4485"/>
      <c r="I831" s="4486"/>
      <c r="J831" s="4486"/>
      <c r="K831" s="4486"/>
      <c r="L831" s="4486"/>
      <c r="M831" s="3752"/>
      <c r="N831" s="3752"/>
      <c r="O831" s="3753"/>
      <c r="P831" s="1935"/>
      <c r="Q831" s="1935"/>
      <c r="R831" s="1935"/>
      <c r="S831" s="1935"/>
      <c r="T831" s="1935"/>
      <c r="U831" s="1935"/>
      <c r="V831" s="3077" t="str">
        <f>B831</f>
        <v>Custom Measure</v>
      </c>
      <c r="W831" s="3078"/>
      <c r="X831" s="3078"/>
      <c r="Y831" s="3078"/>
      <c r="Z831" s="3078"/>
      <c r="AA831" s="3078"/>
      <c r="AB831" s="3078"/>
      <c r="AC831" s="3078"/>
      <c r="AD831" s="3078"/>
      <c r="AE831" s="3078"/>
      <c r="AF831" s="3078"/>
      <c r="AG831" s="3078"/>
      <c r="AH831" s="3078"/>
      <c r="AI831" s="3170"/>
      <c r="AJ831" s="1931"/>
      <c r="AK831" s="1931"/>
      <c r="AL831" s="1931"/>
      <c r="AM831" s="1931"/>
      <c r="AN831" s="1931"/>
      <c r="AO831" s="1931"/>
      <c r="AP831" s="1931"/>
      <c r="AQ831" s="1931"/>
      <c r="AR831" s="1931"/>
      <c r="AS831" s="1931"/>
      <c r="AT831" s="1931"/>
      <c r="AU831" s="1931"/>
      <c r="AV831" s="1935"/>
      <c r="AW831" s="1935"/>
      <c r="AX831" s="1935"/>
      <c r="AY831" s="1935"/>
      <c r="AZ831" s="1935"/>
      <c r="BA831" s="1935"/>
      <c r="BB831" s="1935"/>
      <c r="BC831" s="1935"/>
      <c r="BD831" s="1935"/>
      <c r="BE831" s="1935"/>
      <c r="BF831" s="1935"/>
      <c r="BG831" s="1935"/>
      <c r="BH831" s="1935"/>
      <c r="BI831" s="1935"/>
      <c r="BJ831" s="1935"/>
      <c r="BK831" s="1935"/>
      <c r="BL831" s="1935"/>
      <c r="BM831" s="1935"/>
      <c r="BN831" s="1935"/>
      <c r="BO831" s="1935"/>
      <c r="BP831" s="1935"/>
      <c r="BQ831" s="1935"/>
      <c r="BR831" s="1935"/>
      <c r="BS831" s="1935"/>
      <c r="BT831" s="1935"/>
      <c r="BU831" s="1935"/>
      <c r="BV831" s="1935"/>
      <c r="BW831" s="1935"/>
      <c r="BX831" s="1935"/>
      <c r="BY831" s="1935"/>
      <c r="BZ831" s="1935"/>
      <c r="CA831" s="1935"/>
      <c r="CB831" s="1935"/>
      <c r="CC831" s="1935"/>
      <c r="CD831" s="1935"/>
      <c r="CE831" s="1935"/>
      <c r="CF831" s="1935"/>
      <c r="CG831" s="1935"/>
      <c r="CH831" s="1935"/>
      <c r="CI831" s="1935"/>
      <c r="CJ831" s="1935"/>
      <c r="CK831" s="1935"/>
      <c r="CL831" s="1935"/>
      <c r="CM831" s="1935"/>
      <c r="CN831" s="1935"/>
      <c r="CO831" s="1935"/>
      <c r="CP831" s="1935"/>
      <c r="CQ831" s="1935"/>
      <c r="CR831" s="1935"/>
      <c r="CS831" s="1935"/>
      <c r="CT831" s="1935"/>
      <c r="CU831" s="1935"/>
      <c r="CV831" s="1935"/>
      <c r="CW831" s="1935"/>
      <c r="CX831" s="1935"/>
      <c r="CY831" s="1935"/>
      <c r="CZ831" s="1935"/>
      <c r="DA831" s="1935"/>
      <c r="DB831" s="73"/>
      <c r="DC831" s="1935"/>
      <c r="DD831" s="1935"/>
      <c r="DE831" s="1935"/>
      <c r="DF831" s="1935"/>
      <c r="DG831" s="1935"/>
      <c r="DH831" s="1935"/>
    </row>
    <row r="832" spans="2:112" x14ac:dyDescent="0.25">
      <c r="B832" s="1931"/>
      <c r="D832" s="1286"/>
      <c r="E832" s="1966"/>
      <c r="F832" s="1966"/>
      <c r="G832" s="1966"/>
      <c r="H832" s="1287"/>
      <c r="I832" s="1966"/>
      <c r="J832" s="1966"/>
      <c r="K832" s="1966"/>
      <c r="L832" s="1966"/>
      <c r="M832" s="1965"/>
      <c r="N832" s="1965"/>
      <c r="O832" s="1965"/>
      <c r="P832" s="1966"/>
      <c r="Q832" s="1966"/>
      <c r="R832" s="1966"/>
      <c r="S832" s="1966"/>
      <c r="T832" s="1966"/>
      <c r="U832" s="1966"/>
      <c r="V832" s="1930"/>
      <c r="W832" s="1930"/>
      <c r="X832" s="1930"/>
      <c r="Y832" s="1930"/>
      <c r="Z832" s="1930"/>
      <c r="AA832" s="1930"/>
      <c r="AB832" s="1930"/>
      <c r="AC832" s="1930"/>
      <c r="AD832" s="1930"/>
      <c r="AE832" s="1930"/>
      <c r="AF832" s="1930"/>
      <c r="AG832" s="1930"/>
      <c r="AH832" s="1930"/>
      <c r="AI832" s="1930"/>
      <c r="AJ832" s="1934"/>
      <c r="AK832" s="1934"/>
      <c r="AL832" s="1934"/>
      <c r="AM832" s="1934"/>
      <c r="AN832" s="1934"/>
      <c r="AO832" s="1934"/>
      <c r="AP832" s="1934"/>
      <c r="AQ832" s="1934"/>
      <c r="AR832" s="1934"/>
      <c r="AS832" s="1934"/>
      <c r="AT832" s="1934"/>
      <c r="AU832" s="1934"/>
      <c r="AV832" s="1931"/>
      <c r="AW832" s="1931"/>
      <c r="AX832" s="1931"/>
      <c r="AY832" s="1931"/>
      <c r="AZ832" s="1931"/>
      <c r="BA832" s="1931"/>
      <c r="BB832" s="1931"/>
      <c r="BC832" s="1931"/>
      <c r="BD832" s="1931"/>
      <c r="BE832" s="1931"/>
      <c r="BF832" s="1931"/>
      <c r="BG832" s="1931"/>
      <c r="BH832" s="1931"/>
      <c r="BI832" s="1931"/>
      <c r="BJ832" s="1931"/>
      <c r="BK832" s="1931"/>
      <c r="BL832" s="1931"/>
      <c r="BM832" s="1931"/>
      <c r="BN832" s="1931"/>
      <c r="BO832" s="1931"/>
      <c r="BP832" s="1931"/>
      <c r="BQ832" s="1931"/>
      <c r="BR832" s="1931"/>
      <c r="BS832" s="1931"/>
      <c r="BT832" s="1931"/>
      <c r="BU832" s="1931"/>
      <c r="BV832" s="1931"/>
      <c r="BW832" s="1931"/>
      <c r="BX832" s="1931"/>
      <c r="BY832" s="1931"/>
      <c r="BZ832" s="1931"/>
      <c r="CA832" s="1931"/>
      <c r="CB832" s="1931"/>
      <c r="CC832" s="1931"/>
      <c r="CD832" s="1931"/>
      <c r="CE832" s="1930"/>
      <c r="CF832" s="1930"/>
      <c r="CG832" s="1930"/>
      <c r="CH832" s="1930"/>
      <c r="CI832" s="1931"/>
      <c r="CJ832" s="1931"/>
      <c r="CK832" s="1931"/>
      <c r="CL832" s="1931"/>
      <c r="CM832" s="1931"/>
      <c r="CN832" s="1931"/>
      <c r="CO832" s="1931"/>
      <c r="CP832" s="1931"/>
      <c r="CQ832" s="1931"/>
      <c r="CR832" s="1931"/>
      <c r="CS832" s="1931"/>
      <c r="CT832" s="1930"/>
      <c r="CU832" s="1930"/>
      <c r="CV832" s="1930"/>
      <c r="CW832" s="1930"/>
      <c r="CX832" s="1931"/>
      <c r="CY832" s="1931"/>
      <c r="CZ832" s="1931"/>
      <c r="DA832" s="1931"/>
      <c r="DB832" s="1932"/>
      <c r="DC832" s="1931"/>
      <c r="DD832" s="1931"/>
      <c r="DE832" s="1931"/>
      <c r="DF832" s="1931"/>
    </row>
    <row r="833" spans="2:110" s="44" customFormat="1" ht="30" x14ac:dyDescent="0.25">
      <c r="B833" s="45"/>
      <c r="C833" s="46" t="s">
        <v>28</v>
      </c>
      <c r="D833" s="46" t="s">
        <v>29</v>
      </c>
      <c r="E833" s="3196" t="s">
        <v>30</v>
      </c>
      <c r="F833" s="3196" t="s">
        <v>3172</v>
      </c>
      <c r="G833" s="3196" t="s">
        <v>176</v>
      </c>
      <c r="H833" s="47" t="s">
        <v>177</v>
      </c>
      <c r="I833" s="3196" t="s">
        <v>32</v>
      </c>
      <c r="J833" s="3196" t="s">
        <v>181</v>
      </c>
      <c r="K833" s="46" t="s">
        <v>3173</v>
      </c>
      <c r="L833" s="46" t="s">
        <v>44</v>
      </c>
      <c r="M833" s="1965"/>
      <c r="N833" s="1965"/>
      <c r="O833" s="1965"/>
      <c r="P833" s="1288"/>
      <c r="Q833" s="1288"/>
      <c r="R833" s="1288"/>
      <c r="S833" s="1288"/>
      <c r="T833" s="1288"/>
      <c r="U833" s="1288"/>
      <c r="V833" s="1936" t="s">
        <v>45</v>
      </c>
      <c r="W833" s="1937">
        <f>$W$8</f>
        <v>43252</v>
      </c>
      <c r="X833" s="1937">
        <f>$X$8</f>
        <v>43465</v>
      </c>
      <c r="Y833" s="1937">
        <f>$Y$8</f>
        <v>43800</v>
      </c>
      <c r="Z833" s="1937">
        <f>$Z$8</f>
        <v>43862</v>
      </c>
      <c r="AA833" s="1937">
        <f>$AA$8</f>
        <v>44013</v>
      </c>
      <c r="AB833" s="1937">
        <v>44166</v>
      </c>
      <c r="AC833" s="1937">
        <f>$AC$8</f>
        <v>44531</v>
      </c>
      <c r="AD833" s="1937" t="str">
        <f>$AD$8</f>
        <v>-</v>
      </c>
      <c r="AE833" s="1937" t="str">
        <f>$AE$8</f>
        <v>-</v>
      </c>
      <c r="AF833" s="1937" t="str">
        <f>$AF$8</f>
        <v>-</v>
      </c>
      <c r="AG833" s="1937" t="str">
        <f>$AG$8</f>
        <v>-</v>
      </c>
      <c r="AH833" s="1930"/>
      <c r="AI833" s="1936" t="s">
        <v>45</v>
      </c>
      <c r="AJ833" s="1937">
        <v>43252</v>
      </c>
      <c r="AK833" s="1937">
        <f>$X$8</f>
        <v>43465</v>
      </c>
      <c r="AL833" s="1937">
        <f>$Y$8</f>
        <v>43800</v>
      </c>
      <c r="AM833" s="1937">
        <f>$Z$8</f>
        <v>43862</v>
      </c>
      <c r="AN833" s="1937">
        <f>$AA$8</f>
        <v>44013</v>
      </c>
      <c r="AO833" s="1937">
        <f>$AB$8</f>
        <v>44166</v>
      </c>
      <c r="AP833" s="1937">
        <f>$AC$8</f>
        <v>44531</v>
      </c>
      <c r="AQ833" s="1937" t="str">
        <f>$AD$8</f>
        <v>-</v>
      </c>
      <c r="AR833" s="1937" t="str">
        <f>$AE$8</f>
        <v>-</v>
      </c>
      <c r="AS833" s="1937" t="str">
        <f>$AF$8</f>
        <v>-</v>
      </c>
      <c r="AT833" s="1933"/>
      <c r="AU833" s="1936" t="s">
        <v>45</v>
      </c>
      <c r="AV833" s="1937">
        <v>43252</v>
      </c>
      <c r="AW833" s="1937">
        <f>$X$8</f>
        <v>43465</v>
      </c>
      <c r="AX833" s="1937">
        <f>$Y$8</f>
        <v>43800</v>
      </c>
      <c r="AY833" s="1937">
        <f>$Z$8</f>
        <v>43862</v>
      </c>
      <c r="AZ833" s="1937">
        <f>$AA$8</f>
        <v>44013</v>
      </c>
      <c r="BA833" s="1937">
        <v>44166</v>
      </c>
      <c r="BB833" s="1937">
        <f>$AC$8</f>
        <v>44531</v>
      </c>
      <c r="BC833" s="1937" t="str">
        <f>$AD$8</f>
        <v>-</v>
      </c>
      <c r="BD833" s="1937" t="str">
        <f>$AE$8</f>
        <v>-</v>
      </c>
      <c r="BE833" s="1937" t="str">
        <f>$AF$8</f>
        <v>-</v>
      </c>
      <c r="DB833" s="1938" t="str">
        <f>$DB$8</f>
        <v>TRC (2020)</v>
      </c>
      <c r="DC833" s="1953" t="str">
        <f>$DC$8</f>
        <v>Benefit Lookup</v>
      </c>
      <c r="DD833" s="1953" t="str">
        <f>$DD$8</f>
        <v>Benefits (2019 $)</v>
      </c>
      <c r="DE833" s="1953" t="str">
        <f>$DE$8</f>
        <v>Incremental Cost (2019 $)</v>
      </c>
    </row>
    <row r="834" spans="2:110" x14ac:dyDescent="0.25">
      <c r="B834" s="1931"/>
      <c r="C834" s="1997" t="s">
        <v>3189</v>
      </c>
      <c r="D834" s="1363" t="s">
        <v>2646</v>
      </c>
      <c r="E834" s="1308" t="s">
        <v>3190</v>
      </c>
      <c r="F834" s="64" t="s">
        <v>3190</v>
      </c>
      <c r="G834" s="1290" t="s">
        <v>3191</v>
      </c>
      <c r="H834" s="1291" t="s">
        <v>3191</v>
      </c>
      <c r="I834" s="1421" t="s">
        <v>3190</v>
      </c>
      <c r="J834" s="325" t="s">
        <v>3190</v>
      </c>
      <c r="K834" s="1310" t="s">
        <v>3190</v>
      </c>
      <c r="L834" s="1374" t="s">
        <v>3190</v>
      </c>
      <c r="M834" s="1965"/>
      <c r="N834" s="1965"/>
      <c r="O834" s="1965"/>
      <c r="P834" s="1965"/>
      <c r="Q834" s="1965"/>
      <c r="R834" s="1965"/>
      <c r="S834" s="1965"/>
      <c r="T834" s="1965"/>
      <c r="U834" s="1965"/>
      <c r="V834" s="3455" t="s">
        <v>31</v>
      </c>
      <c r="W834" s="3355"/>
      <c r="X834" s="3355"/>
      <c r="Y834" s="2098" t="s">
        <v>3190</v>
      </c>
      <c r="Z834" s="129" t="s">
        <v>3190</v>
      </c>
      <c r="AA834" s="129" t="s">
        <v>3190</v>
      </c>
      <c r="AB834" s="1825" t="s">
        <v>3190</v>
      </c>
      <c r="AC834" s="3364" t="s">
        <v>3190</v>
      </c>
      <c r="AD834" s="2003"/>
      <c r="AE834" s="2003"/>
      <c r="AF834" s="2003"/>
      <c r="AG834" s="2003"/>
      <c r="AH834" s="1831"/>
      <c r="AI834" s="3456" t="s">
        <v>181</v>
      </c>
      <c r="AJ834" s="3355"/>
      <c r="AK834" s="3355"/>
      <c r="AL834" s="2098" t="s">
        <v>3190</v>
      </c>
      <c r="AM834" s="64" t="s">
        <v>3190</v>
      </c>
      <c r="AN834" s="64" t="s">
        <v>3190</v>
      </c>
      <c r="AO834" s="1471" t="s">
        <v>3190</v>
      </c>
      <c r="AP834" s="1471" t="s">
        <v>3190</v>
      </c>
      <c r="AQ834" s="2003"/>
      <c r="AR834" s="2003"/>
      <c r="AS834" s="2003"/>
      <c r="AT834" s="96"/>
      <c r="AU834" s="3456" t="s">
        <v>170</v>
      </c>
      <c r="AV834" s="3355"/>
      <c r="AW834" s="3355"/>
      <c r="AX834" s="2098" t="s">
        <v>3190</v>
      </c>
      <c r="AY834" s="64" t="s">
        <v>3190</v>
      </c>
      <c r="AZ834" s="64" t="s">
        <v>3190</v>
      </c>
      <c r="BA834" s="1998" t="s">
        <v>3190</v>
      </c>
      <c r="BB834" s="1998" t="s">
        <v>3190</v>
      </c>
      <c r="BC834" s="2003"/>
      <c r="BD834" s="2003"/>
      <c r="BE834" s="2003"/>
      <c r="BF834" s="1933"/>
      <c r="BG834" s="1933"/>
      <c r="BH834" s="1933"/>
      <c r="BI834" s="1933"/>
      <c r="BJ834" s="1933"/>
      <c r="BK834" s="1933"/>
      <c r="BL834" s="1933"/>
      <c r="BM834" s="1933"/>
      <c r="BN834" s="1933"/>
      <c r="BO834" s="1933"/>
      <c r="BP834" s="1933"/>
      <c r="BQ834" s="1931"/>
      <c r="BR834" s="1931"/>
      <c r="BS834" s="1931"/>
      <c r="BT834" s="1931"/>
      <c r="BU834" s="1931"/>
      <c r="BV834" s="1931"/>
      <c r="BW834" s="1931"/>
      <c r="BX834" s="1931"/>
      <c r="BY834" s="1931"/>
      <c r="BZ834" s="1931"/>
      <c r="CA834" s="1931"/>
      <c r="CB834" s="1931"/>
      <c r="CC834" s="1931"/>
      <c r="CD834" s="1931"/>
      <c r="CE834" s="1930"/>
      <c r="CF834" s="1930"/>
      <c r="CG834" s="1930"/>
      <c r="CH834" s="1930"/>
      <c r="CI834" s="1931"/>
      <c r="CJ834" s="1931"/>
      <c r="CK834" s="1931"/>
      <c r="CL834" s="1931"/>
      <c r="CM834" s="1931"/>
      <c r="CN834" s="1931"/>
      <c r="CO834" s="1931"/>
      <c r="CP834" s="1931"/>
      <c r="CQ834" s="1931"/>
      <c r="CR834" s="1931"/>
      <c r="CS834" s="1931"/>
      <c r="CT834" s="1930"/>
      <c r="CU834" s="1930"/>
      <c r="CV834" s="1930"/>
      <c r="CW834" s="1930"/>
      <c r="CX834" s="1931"/>
      <c r="CY834" s="1931"/>
      <c r="CZ834" s="1931"/>
      <c r="DA834" s="1931"/>
      <c r="DB834" s="2658" t="s">
        <v>3190</v>
      </c>
      <c r="DC834" s="981" t="str">
        <f>CONCATENATE(G834," ",J834," Year EUL")</f>
        <v>Variable Custom Year EUL</v>
      </c>
      <c r="DD834" s="1955" t="s">
        <v>3190</v>
      </c>
      <c r="DE834" s="1956" t="s">
        <v>3190</v>
      </c>
      <c r="DF834" s="1931"/>
    </row>
    <row r="835" spans="2:110" x14ac:dyDescent="0.25">
      <c r="B835" s="1931"/>
      <c r="D835" s="1966"/>
      <c r="E835" s="1965"/>
      <c r="F835" s="1965"/>
      <c r="G835" s="1968"/>
      <c r="H835" s="1969"/>
      <c r="I835" s="1965"/>
      <c r="J835" s="1965"/>
      <c r="K835" s="1965"/>
      <c r="L835" s="1965"/>
      <c r="M835" s="1965"/>
      <c r="N835" s="1965"/>
      <c r="O835" s="1965"/>
      <c r="P835" s="1965"/>
      <c r="Q835" s="1965"/>
      <c r="R835" s="1965"/>
      <c r="S835" s="1965"/>
      <c r="T835" s="1965"/>
      <c r="U835" s="1965"/>
      <c r="V835" s="1931"/>
      <c r="W835" s="1931"/>
      <c r="X835" s="1931"/>
      <c r="Y835" s="1933"/>
      <c r="Z835" s="1933"/>
      <c r="AA835" s="1933"/>
      <c r="AB835" s="1933"/>
      <c r="AC835" s="1933"/>
      <c r="AD835" s="1933"/>
      <c r="AE835" s="1933"/>
      <c r="AF835" s="1933"/>
      <c r="AG835" s="1933"/>
      <c r="AH835" s="1933"/>
      <c r="AI835" s="1933"/>
      <c r="AJ835" s="1933"/>
      <c r="AK835" s="1933"/>
      <c r="AL835" s="1933"/>
      <c r="AM835" s="1933"/>
      <c r="AN835" s="1933"/>
      <c r="AO835" s="1933"/>
      <c r="AP835" s="1933"/>
      <c r="AQ835" s="1933"/>
      <c r="AR835" s="1933"/>
      <c r="AS835" s="1933"/>
      <c r="AT835" s="1933"/>
      <c r="AU835" s="1933"/>
      <c r="AV835" s="1933"/>
      <c r="AW835" s="1933"/>
      <c r="AX835" s="1933"/>
      <c r="AY835" s="1933"/>
      <c r="AZ835" s="1933"/>
      <c r="BA835" s="1933"/>
      <c r="BB835" s="1933"/>
      <c r="BC835" s="1933"/>
      <c r="BD835" s="1933"/>
      <c r="BE835" s="1933"/>
      <c r="BF835" s="1933"/>
      <c r="BG835" s="1933"/>
      <c r="BH835" s="1933"/>
      <c r="BI835" s="1933"/>
      <c r="BJ835" s="1933"/>
      <c r="BK835" s="1933"/>
      <c r="BL835" s="1933"/>
      <c r="BM835" s="1933"/>
      <c r="BN835" s="1933"/>
      <c r="BO835" s="1933"/>
      <c r="BP835" s="1933"/>
      <c r="BQ835" s="1931"/>
      <c r="BR835" s="1931"/>
      <c r="BS835" s="1931"/>
      <c r="BT835" s="1931"/>
      <c r="BU835" s="1931"/>
      <c r="BV835" s="1931"/>
      <c r="BW835" s="1931"/>
      <c r="BX835" s="1931"/>
      <c r="BY835" s="1931"/>
      <c r="BZ835" s="1931"/>
      <c r="CA835" s="1931"/>
      <c r="CB835" s="1931"/>
      <c r="CC835" s="1931"/>
      <c r="CD835" s="1931"/>
      <c r="CE835" s="1930"/>
      <c r="CF835" s="1930"/>
      <c r="CG835" s="1930"/>
      <c r="CH835" s="1930"/>
      <c r="CI835" s="1931"/>
      <c r="CJ835" s="1931"/>
      <c r="CK835" s="1931"/>
      <c r="CL835" s="1931"/>
      <c r="CM835" s="1931"/>
      <c r="CN835" s="1931"/>
      <c r="CO835" s="1931"/>
      <c r="CP835" s="1931"/>
      <c r="CQ835" s="1931"/>
      <c r="CR835" s="1931"/>
      <c r="CS835" s="1931"/>
      <c r="CT835" s="1930"/>
      <c r="CU835" s="1930"/>
      <c r="CV835" s="1930"/>
      <c r="CW835" s="1930"/>
      <c r="CX835" s="1931"/>
      <c r="CY835" s="1931"/>
      <c r="CZ835" s="1931"/>
      <c r="DA835" s="1931"/>
      <c r="DB835" s="1932"/>
      <c r="DC835" s="1931"/>
      <c r="DD835" s="1931"/>
      <c r="DE835" s="1931"/>
      <c r="DF835" s="1931"/>
    </row>
    <row r="836" spans="2:110" x14ac:dyDescent="0.25">
      <c r="B836" s="1931"/>
      <c r="D836" s="1966"/>
      <c r="E836" s="1965"/>
      <c r="F836" s="1965"/>
      <c r="G836" s="1968"/>
      <c r="H836" s="1969"/>
      <c r="I836" s="1965"/>
      <c r="J836" s="1965"/>
      <c r="K836" s="1965"/>
      <c r="L836" s="1965"/>
      <c r="M836" s="1965"/>
      <c r="N836" s="1965"/>
      <c r="O836" s="1965"/>
      <c r="P836" s="1965"/>
      <c r="Q836" s="1965"/>
      <c r="R836" s="1965"/>
      <c r="S836" s="1965"/>
      <c r="T836" s="1965"/>
      <c r="U836" s="1965"/>
      <c r="V836" s="1931"/>
      <c r="W836" s="1931"/>
      <c r="X836" s="1931"/>
      <c r="Y836" s="1933"/>
      <c r="Z836" s="1933"/>
      <c r="AA836" s="1933"/>
      <c r="AB836" s="1933"/>
      <c r="AC836" s="1933"/>
      <c r="AD836" s="1933"/>
      <c r="AE836" s="1933"/>
      <c r="AF836" s="1933"/>
      <c r="AG836" s="1933"/>
      <c r="AH836" s="1933"/>
      <c r="AI836" s="1933"/>
      <c r="AJ836" s="1933"/>
      <c r="AK836" s="1933"/>
      <c r="AL836" s="1933"/>
      <c r="AM836" s="1933"/>
      <c r="AN836" s="1933"/>
      <c r="AO836" s="1933"/>
      <c r="AP836" s="1933"/>
      <c r="AQ836" s="1933"/>
      <c r="AR836" s="1933"/>
      <c r="AS836" s="1933"/>
      <c r="AT836" s="1933"/>
      <c r="AU836" s="1933"/>
      <c r="AV836" s="1933"/>
      <c r="AW836" s="1933"/>
      <c r="AX836" s="1933"/>
      <c r="AY836" s="1933"/>
      <c r="AZ836" s="1933"/>
      <c r="BA836" s="1933"/>
      <c r="BB836" s="1933"/>
      <c r="BC836" s="1933"/>
      <c r="BD836" s="1933"/>
      <c r="BE836" s="1933"/>
      <c r="BF836" s="1933"/>
      <c r="BG836" s="1933"/>
      <c r="BH836" s="1933"/>
      <c r="BI836" s="1933"/>
      <c r="BJ836" s="1933"/>
      <c r="BK836" s="1933"/>
      <c r="BL836" s="1933"/>
      <c r="BM836" s="1933"/>
      <c r="BN836" s="1933"/>
      <c r="BO836" s="1933"/>
      <c r="BP836" s="1933"/>
      <c r="BQ836" s="1931"/>
      <c r="BR836" s="1931"/>
      <c r="BS836" s="1931"/>
      <c r="BT836" s="1931"/>
      <c r="BU836" s="1931"/>
      <c r="BV836" s="1931"/>
      <c r="BW836" s="1931"/>
      <c r="BX836" s="1931"/>
      <c r="BY836" s="1931"/>
      <c r="BZ836" s="1931"/>
      <c r="CA836" s="1931"/>
      <c r="CB836" s="1931"/>
      <c r="CC836" s="1931"/>
      <c r="CD836" s="1931"/>
      <c r="CE836" s="1930"/>
      <c r="CF836" s="1930"/>
      <c r="CG836" s="1930"/>
      <c r="CH836" s="1930"/>
      <c r="CI836" s="1931"/>
      <c r="CJ836" s="1931"/>
      <c r="CK836" s="1931"/>
      <c r="CL836" s="1931"/>
      <c r="CM836" s="1931"/>
      <c r="CN836" s="1931"/>
      <c r="CO836" s="1931"/>
      <c r="CP836" s="1931"/>
      <c r="CQ836" s="1931"/>
      <c r="CR836" s="1931"/>
      <c r="CS836" s="1931"/>
      <c r="CT836" s="1930"/>
      <c r="CU836" s="1930"/>
      <c r="CV836" s="1930"/>
      <c r="CW836" s="1930"/>
      <c r="CX836" s="1931"/>
      <c r="CY836" s="1931"/>
      <c r="CZ836" s="1931"/>
      <c r="DA836" s="1931"/>
      <c r="DB836" s="1932"/>
      <c r="DC836" s="1931"/>
      <c r="DD836" s="1931"/>
      <c r="DE836" s="1931"/>
      <c r="DF836" s="1931"/>
    </row>
    <row r="837" spans="2:110" x14ac:dyDescent="0.25">
      <c r="B837" s="1931"/>
      <c r="D837" s="1966"/>
      <c r="E837" s="1965"/>
      <c r="F837" s="1965"/>
      <c r="G837" s="1968"/>
      <c r="H837" s="1969"/>
      <c r="I837" s="1965"/>
      <c r="J837" s="1965"/>
      <c r="K837" s="1965"/>
      <c r="L837" s="1965"/>
      <c r="M837" s="1965"/>
      <c r="N837" s="1965"/>
      <c r="O837" s="1965"/>
      <c r="P837" s="1965"/>
      <c r="Q837" s="1965"/>
      <c r="R837" s="1965"/>
      <c r="S837" s="1965"/>
      <c r="T837" s="1965"/>
      <c r="U837" s="1965"/>
      <c r="V837" s="1931"/>
      <c r="W837" s="1931"/>
      <c r="X837" s="1931"/>
      <c r="Y837" s="1933"/>
      <c r="Z837" s="1933"/>
      <c r="AA837" s="1933"/>
      <c r="AB837" s="1933"/>
      <c r="AC837" s="1933"/>
      <c r="AD837" s="1933"/>
      <c r="AE837" s="1933"/>
      <c r="AF837" s="1933"/>
      <c r="AG837" s="1933"/>
      <c r="AH837" s="1933"/>
      <c r="AI837" s="1933"/>
      <c r="AJ837" s="1933"/>
      <c r="AK837" s="1933"/>
      <c r="AL837" s="1933"/>
      <c r="AM837" s="1933"/>
      <c r="AN837" s="1933"/>
      <c r="AO837" s="1933"/>
      <c r="AP837" s="1933"/>
      <c r="AQ837" s="1933"/>
      <c r="AR837" s="1933"/>
      <c r="AS837" s="1933"/>
      <c r="AT837" s="1933"/>
      <c r="AU837" s="1933"/>
      <c r="AV837" s="1933"/>
      <c r="AW837" s="1933"/>
      <c r="AX837" s="1933"/>
      <c r="AY837" s="1933"/>
      <c r="AZ837" s="1933"/>
      <c r="BA837" s="1933"/>
      <c r="BB837" s="1933"/>
      <c r="BC837" s="1933"/>
      <c r="BD837" s="1933"/>
      <c r="BE837" s="1933"/>
      <c r="BF837" s="1933"/>
      <c r="BG837" s="1933"/>
      <c r="BH837" s="1933"/>
      <c r="BI837" s="1933"/>
      <c r="BJ837" s="1933"/>
      <c r="BK837" s="1933"/>
      <c r="BL837" s="1933"/>
      <c r="BM837" s="1933"/>
      <c r="BN837" s="1933"/>
      <c r="BO837" s="1933"/>
      <c r="BP837" s="1933"/>
      <c r="BQ837" s="1931"/>
      <c r="BR837" s="1931"/>
      <c r="BS837" s="1931"/>
      <c r="BT837" s="1931"/>
      <c r="BU837" s="1931"/>
      <c r="BV837" s="1931"/>
      <c r="BW837" s="1931"/>
      <c r="BX837" s="1931"/>
      <c r="BY837" s="1931"/>
      <c r="BZ837" s="1931"/>
      <c r="CA837" s="1931"/>
      <c r="CB837" s="1931"/>
      <c r="CC837" s="1931"/>
      <c r="CD837" s="1931"/>
      <c r="CE837" s="1930"/>
      <c r="CF837" s="1930"/>
      <c r="CG837" s="1930"/>
      <c r="CH837" s="1930"/>
      <c r="CI837" s="1931"/>
      <c r="CJ837" s="1931"/>
      <c r="CK837" s="1931"/>
      <c r="CL837" s="1931"/>
      <c r="CM837" s="1931"/>
      <c r="CN837" s="1931"/>
      <c r="CO837" s="1931"/>
      <c r="CP837" s="1931"/>
      <c r="CQ837" s="1931"/>
      <c r="CR837" s="1931"/>
      <c r="CS837" s="1931"/>
      <c r="CT837" s="1930"/>
      <c r="CU837" s="1930"/>
      <c r="CV837" s="1930"/>
      <c r="CW837" s="1930"/>
      <c r="CX837" s="1931"/>
      <c r="CY837" s="1931"/>
      <c r="CZ837" s="1931"/>
      <c r="DA837" s="1931"/>
      <c r="DB837" s="1932"/>
      <c r="DC837" s="1931"/>
      <c r="DD837" s="1931"/>
      <c r="DE837" s="1931"/>
      <c r="DF837" s="1931"/>
    </row>
    <row r="838" spans="2:110" x14ac:dyDescent="0.25">
      <c r="B838" s="1931"/>
      <c r="D838" s="1966"/>
      <c r="E838" s="1965"/>
      <c r="F838" s="1965"/>
      <c r="G838" s="1968"/>
      <c r="H838" s="1969"/>
      <c r="I838" s="1965"/>
      <c r="J838" s="1965"/>
      <c r="K838" s="1965"/>
      <c r="L838" s="1965"/>
      <c r="M838" s="1965"/>
      <c r="N838" s="1965"/>
      <c r="O838" s="1965"/>
      <c r="P838" s="1965"/>
      <c r="Q838" s="1965"/>
      <c r="R838" s="1965"/>
      <c r="S838" s="1965"/>
      <c r="T838" s="1965"/>
      <c r="U838" s="1965"/>
      <c r="V838" s="1931"/>
      <c r="W838" s="1931"/>
      <c r="X838" s="1931"/>
      <c r="Y838" s="1933"/>
      <c r="Z838" s="1933"/>
      <c r="AA838" s="1933"/>
      <c r="AB838" s="1933"/>
      <c r="AC838" s="1933"/>
      <c r="AD838" s="1933"/>
      <c r="AE838" s="1933"/>
      <c r="AF838" s="1933"/>
      <c r="AG838" s="1933"/>
      <c r="AH838" s="1933"/>
      <c r="AI838" s="1933"/>
      <c r="AJ838" s="1933"/>
      <c r="AK838" s="1933"/>
      <c r="AL838" s="1933"/>
      <c r="AM838" s="1933"/>
      <c r="AN838" s="1933"/>
      <c r="AO838" s="1933"/>
      <c r="AP838" s="1933"/>
      <c r="AQ838" s="1933"/>
      <c r="AR838" s="1933"/>
      <c r="AS838" s="1933"/>
      <c r="AT838" s="1933"/>
      <c r="AU838" s="1933"/>
      <c r="AV838" s="1933"/>
      <c r="AW838" s="1933"/>
      <c r="AX838" s="1933"/>
      <c r="AY838" s="1933"/>
      <c r="AZ838" s="1933"/>
      <c r="BA838" s="1933"/>
      <c r="BB838" s="1933"/>
      <c r="BC838" s="1933"/>
      <c r="BD838" s="1933"/>
      <c r="BE838" s="1933"/>
      <c r="BF838" s="1933"/>
      <c r="BG838" s="1933"/>
      <c r="BH838" s="1933"/>
      <c r="BI838" s="1933"/>
      <c r="BJ838" s="1933"/>
      <c r="BK838" s="1933"/>
      <c r="BL838" s="1933"/>
      <c r="BM838" s="1933"/>
      <c r="BN838" s="1933"/>
      <c r="BO838" s="1933"/>
      <c r="BP838" s="1933"/>
      <c r="BQ838" s="1931"/>
      <c r="BR838" s="1931"/>
      <c r="BS838" s="1931"/>
      <c r="BT838" s="1931"/>
      <c r="BU838" s="1931"/>
      <c r="BV838" s="1931"/>
      <c r="BW838" s="1931"/>
      <c r="BX838" s="1931"/>
      <c r="BY838" s="1931"/>
      <c r="BZ838" s="1931"/>
      <c r="CA838" s="1931"/>
      <c r="CB838" s="1931"/>
      <c r="CC838" s="1931"/>
      <c r="CD838" s="1931"/>
      <c r="CE838" s="1930"/>
      <c r="CF838" s="1930"/>
      <c r="CG838" s="1930"/>
      <c r="CH838" s="1930"/>
      <c r="CI838" s="1931"/>
      <c r="CJ838" s="1931"/>
      <c r="CK838" s="1931"/>
      <c r="CL838" s="1931"/>
      <c r="CM838" s="1931"/>
      <c r="CN838" s="1931"/>
      <c r="CO838" s="1931"/>
      <c r="CP838" s="1931"/>
      <c r="CQ838" s="1931"/>
      <c r="CR838" s="1931"/>
      <c r="CS838" s="1931"/>
      <c r="CT838" s="1930"/>
      <c r="CU838" s="1930"/>
      <c r="CV838" s="1930"/>
      <c r="CW838" s="1930"/>
      <c r="CX838" s="1931"/>
      <c r="CY838" s="1931"/>
      <c r="CZ838" s="1931"/>
      <c r="DA838" s="1931"/>
      <c r="DB838" s="1932"/>
      <c r="DC838" s="1931"/>
      <c r="DD838" s="1931"/>
      <c r="DE838" s="1931"/>
      <c r="DF838" s="1931"/>
    </row>
  </sheetData>
  <mergeCells count="59">
    <mergeCell ref="DD415:DE415"/>
    <mergeCell ref="DF415:DG415"/>
    <mergeCell ref="B116:O116"/>
    <mergeCell ref="B95:O95"/>
    <mergeCell ref="B194:O194"/>
    <mergeCell ref="B149:O149"/>
    <mergeCell ref="H178:I178"/>
    <mergeCell ref="J178:K178"/>
    <mergeCell ref="H179:I179"/>
    <mergeCell ref="J179:K179"/>
    <mergeCell ref="L188:N191"/>
    <mergeCell ref="M197:O201"/>
    <mergeCell ref="B214:O214"/>
    <mergeCell ref="B238:O238"/>
    <mergeCell ref="P296:Q298"/>
    <mergeCell ref="B308:O308"/>
    <mergeCell ref="E1:Q1"/>
    <mergeCell ref="E3:G3"/>
    <mergeCell ref="H3:J3"/>
    <mergeCell ref="D4:J4"/>
    <mergeCell ref="B6:O6"/>
    <mergeCell ref="N53:R58"/>
    <mergeCell ref="B77:O77"/>
    <mergeCell ref="B256:O256"/>
    <mergeCell ref="M273:O277"/>
    <mergeCell ref="B286:O286"/>
    <mergeCell ref="B328:O328"/>
    <mergeCell ref="P637:Q639"/>
    <mergeCell ref="M397:P401"/>
    <mergeCell ref="M442:O445"/>
    <mergeCell ref="B459:O459"/>
    <mergeCell ref="B503:O503"/>
    <mergeCell ref="B571:O571"/>
    <mergeCell ref="P581:Q583"/>
    <mergeCell ref="B594:O594"/>
    <mergeCell ref="P602:Q604"/>
    <mergeCell ref="B612:O612"/>
    <mergeCell ref="P620:Q622"/>
    <mergeCell ref="B630:O630"/>
    <mergeCell ref="B748:O748"/>
    <mergeCell ref="B646:O646"/>
    <mergeCell ref="P654:Q656"/>
    <mergeCell ref="B664:O664"/>
    <mergeCell ref="B680:O680"/>
    <mergeCell ref="P687:Q689"/>
    <mergeCell ref="B696:O696"/>
    <mergeCell ref="P703:Q705"/>
    <mergeCell ref="B712:O712"/>
    <mergeCell ref="P719:Q721"/>
    <mergeCell ref="B728:O728"/>
    <mergeCell ref="P807:Q809"/>
    <mergeCell ref="B831:O831"/>
    <mergeCell ref="P755:Q757"/>
    <mergeCell ref="B764:O764"/>
    <mergeCell ref="P772:Q774"/>
    <mergeCell ref="B782:O782"/>
    <mergeCell ref="P790:Q792"/>
    <mergeCell ref="B800:O800"/>
    <mergeCell ref="B816:O816"/>
  </mergeCells>
  <conditionalFormatting sqref="AB395:AB399 AO395:AO399 BA395:BA399 AO417:AO422 BA417:BA422 BM417:BM422 BY417:BY422 AB417:AB422 BA9:BA28 AO9:AO25 AB49:AB65 BA49:BA65 BM49:BM65 BX49:BX65 CJ49:CJ65 AB9:AB25 AB27:AB28 AB33 AB30:AB31 AO27:AO28 BA30:BA31 CJ70:CJ71 CJ67:CJ68 BX70:BX71 BX67:BX68 BM70:BM71 BM67:BM68 BA67:BA68 BA70:BA71 AB70:AB71 AB67:AB68 CJ73 BX73 AB152:AC169 AO30:AO33 BA33 AO49:AO65 AB73 AO73:AO74 AO70:AO71 AO67:AO68 BA73 BM73">
    <cfRule type="cellIs" dxfId="196" priority="111" operator="notEqual">
      <formula>AA9</formula>
    </cfRule>
  </conditionalFormatting>
  <conditionalFormatting sqref="AB98:AB99">
    <cfRule type="cellIs" dxfId="195" priority="88" operator="notEqual">
      <formula>AA98</formula>
    </cfRule>
  </conditionalFormatting>
  <conditionalFormatting sqref="AB111:AB112">
    <cfRule type="cellIs" dxfId="194" priority="87" operator="notEqual">
      <formula>AA111</formula>
    </cfRule>
  </conditionalFormatting>
  <conditionalFormatting sqref="AB442">
    <cfRule type="cellIs" dxfId="193" priority="84" operator="notEqual">
      <formula>AA442</formula>
    </cfRule>
  </conditionalFormatting>
  <conditionalFormatting sqref="AB137:AB138">
    <cfRule type="cellIs" dxfId="192" priority="80" operator="notEqual">
      <formula>AA137</formula>
    </cfRule>
  </conditionalFormatting>
  <conditionalFormatting sqref="AB119:AB120">
    <cfRule type="cellIs" dxfId="191" priority="79" operator="notEqual">
      <formula>AA119</formula>
    </cfRule>
  </conditionalFormatting>
  <conditionalFormatting sqref="AB121:AB126">
    <cfRule type="cellIs" dxfId="190" priority="78" operator="notEqual">
      <formula>AA121</formula>
    </cfRule>
  </conditionalFormatting>
  <conditionalFormatting sqref="AO29">
    <cfRule type="cellIs" dxfId="189" priority="75" operator="notEqual">
      <formula>AN29</formula>
    </cfRule>
  </conditionalFormatting>
  <conditionalFormatting sqref="AO26">
    <cfRule type="cellIs" dxfId="188" priority="74" operator="notEqual">
      <formula>AN26</formula>
    </cfRule>
  </conditionalFormatting>
  <conditionalFormatting sqref="BB9:BB34">
    <cfRule type="cellIs" dxfId="187" priority="73" operator="notEqual">
      <formula>BA9</formula>
    </cfRule>
  </conditionalFormatting>
  <conditionalFormatting sqref="CK49:CK73">
    <cfRule type="cellIs" dxfId="186" priority="72" operator="notEqual">
      <formula>CJ49</formula>
    </cfRule>
  </conditionalFormatting>
  <conditionalFormatting sqref="BY49:BY73">
    <cfRule type="cellIs" dxfId="185" priority="71" operator="notEqual">
      <formula>BX49</formula>
    </cfRule>
  </conditionalFormatting>
  <conditionalFormatting sqref="BN49:BN74">
    <cfRule type="cellIs" dxfId="184" priority="70" operator="notEqual">
      <formula>BM49</formula>
    </cfRule>
  </conditionalFormatting>
  <conditionalFormatting sqref="BB49:BB74">
    <cfRule type="cellIs" dxfId="183" priority="69" operator="notEqual">
      <formula>BA49</formula>
    </cfRule>
  </conditionalFormatting>
  <conditionalFormatting sqref="AP49:AP74">
    <cfRule type="cellIs" dxfId="182" priority="68" operator="notEqual">
      <formula>AO49</formula>
    </cfRule>
  </conditionalFormatting>
  <conditionalFormatting sqref="AC49:AC74">
    <cfRule type="cellIs" dxfId="181" priority="67" operator="notEqual">
      <formula>AB49</formula>
    </cfRule>
  </conditionalFormatting>
  <conditionalFormatting sqref="AC80">
    <cfRule type="cellIs" dxfId="180" priority="66" operator="notEqual">
      <formula>AB80</formula>
    </cfRule>
  </conditionalFormatting>
  <conditionalFormatting sqref="AC98">
    <cfRule type="cellIs" dxfId="179" priority="65" operator="notEqual">
      <formula>AB98</formula>
    </cfRule>
  </conditionalFormatting>
  <conditionalFormatting sqref="AC99">
    <cfRule type="cellIs" dxfId="178" priority="64" operator="notEqual">
      <formula>AB99</formula>
    </cfRule>
  </conditionalFormatting>
  <conditionalFormatting sqref="AC119:AC126">
    <cfRule type="cellIs" dxfId="177" priority="63" operator="notEqual">
      <formula>AB119</formula>
    </cfRule>
  </conditionalFormatting>
  <conditionalFormatting sqref="AC137:AC144">
    <cfRule type="cellIs" dxfId="176" priority="62" operator="notEqual">
      <formula>AB137</formula>
    </cfRule>
  </conditionalFormatting>
  <conditionalFormatting sqref="AC197">
    <cfRule type="cellIs" dxfId="175" priority="60" operator="notEqual">
      <formula>AB197</formula>
    </cfRule>
  </conditionalFormatting>
  <conditionalFormatting sqref="AC198">
    <cfRule type="cellIs" dxfId="174" priority="59" operator="notEqual">
      <formula>AB198</formula>
    </cfRule>
  </conditionalFormatting>
  <conditionalFormatting sqref="AC217">
    <cfRule type="cellIs" dxfId="173" priority="58" operator="notEqual">
      <formula>AB217</formula>
    </cfRule>
  </conditionalFormatting>
  <conditionalFormatting sqref="AC218">
    <cfRule type="cellIs" dxfId="172" priority="57" operator="notEqual">
      <formula>AB218</formula>
    </cfRule>
  </conditionalFormatting>
  <conditionalFormatting sqref="AC219">
    <cfRule type="cellIs" dxfId="171" priority="56" operator="notEqual">
      <formula>AB219</formula>
    </cfRule>
  </conditionalFormatting>
  <conditionalFormatting sqref="AC220">
    <cfRule type="cellIs" dxfId="170" priority="55" operator="notEqual">
      <formula>AB220</formula>
    </cfRule>
  </conditionalFormatting>
  <conditionalFormatting sqref="AC221">
    <cfRule type="cellIs" dxfId="169" priority="54" operator="notEqual">
      <formula>AB221</formula>
    </cfRule>
  </conditionalFormatting>
  <conditionalFormatting sqref="AC241">
    <cfRule type="cellIs" dxfId="168" priority="53" operator="notEqual">
      <formula>AB241</formula>
    </cfRule>
  </conditionalFormatting>
  <conditionalFormatting sqref="AC242">
    <cfRule type="cellIs" dxfId="167" priority="52" operator="notEqual">
      <formula>AB242</formula>
    </cfRule>
  </conditionalFormatting>
  <conditionalFormatting sqref="AC259">
    <cfRule type="cellIs" dxfId="166" priority="51" operator="notEqual">
      <formula>AB259</formula>
    </cfRule>
  </conditionalFormatting>
  <conditionalFormatting sqref="AC273">
    <cfRule type="cellIs" dxfId="165" priority="50" operator="notEqual">
      <formula>AB273</formula>
    </cfRule>
  </conditionalFormatting>
  <conditionalFormatting sqref="AC289:AC292">
    <cfRule type="cellIs" dxfId="164" priority="49" operator="notEqual">
      <formula>AB289</formula>
    </cfRule>
  </conditionalFormatting>
  <conditionalFormatting sqref="AC311:AC313">
    <cfRule type="cellIs" dxfId="163" priority="48" operator="notEqual">
      <formula>AB311</formula>
    </cfRule>
  </conditionalFormatting>
  <conditionalFormatting sqref="AC345:AC348">
    <cfRule type="cellIs" dxfId="162" priority="47" operator="notEqual">
      <formula>AB345</formula>
    </cfRule>
  </conditionalFormatting>
  <conditionalFormatting sqref="AC365">
    <cfRule type="cellIs" dxfId="161" priority="46" operator="notEqual">
      <formula>AB365</formula>
    </cfRule>
  </conditionalFormatting>
  <conditionalFormatting sqref="AC395:AC399">
    <cfRule type="cellIs" dxfId="160" priority="45" operator="notEqual">
      <formula>AB395</formula>
    </cfRule>
  </conditionalFormatting>
  <conditionalFormatting sqref="AC417:AC422">
    <cfRule type="cellIs" dxfId="159" priority="44" operator="notEqual">
      <formula>AB417</formula>
    </cfRule>
  </conditionalFormatting>
  <conditionalFormatting sqref="AC442:AC443">
    <cfRule type="cellIs" dxfId="158" priority="43" operator="notEqual">
      <formula>AB442</formula>
    </cfRule>
  </conditionalFormatting>
  <conditionalFormatting sqref="AC462:AC465">
    <cfRule type="cellIs" dxfId="157" priority="42" operator="notEqual">
      <formula>AB462</formula>
    </cfRule>
  </conditionalFormatting>
  <conditionalFormatting sqref="AC482:AC486">
    <cfRule type="cellIs" dxfId="156" priority="41" operator="notEqual">
      <formula>AB482</formula>
    </cfRule>
  </conditionalFormatting>
  <conditionalFormatting sqref="AC506:AC512">
    <cfRule type="cellIs" dxfId="155" priority="40" operator="notEqual">
      <formula>AB506</formula>
    </cfRule>
  </conditionalFormatting>
  <conditionalFormatting sqref="AC532:AC538">
    <cfRule type="cellIs" dxfId="154" priority="39" operator="notEqual">
      <formula>AB532</formula>
    </cfRule>
  </conditionalFormatting>
  <conditionalFormatting sqref="AC558">
    <cfRule type="cellIs" dxfId="153" priority="38" operator="notEqual">
      <formula>AB558</formula>
    </cfRule>
  </conditionalFormatting>
  <conditionalFormatting sqref="AC574">
    <cfRule type="cellIs" dxfId="152" priority="37" operator="notEqual">
      <formula>AB574</formula>
    </cfRule>
  </conditionalFormatting>
  <conditionalFormatting sqref="AC575">
    <cfRule type="cellIs" dxfId="151" priority="36" operator="notEqual">
      <formula>AB575</formula>
    </cfRule>
  </conditionalFormatting>
  <conditionalFormatting sqref="AC597">
    <cfRule type="cellIs" dxfId="150" priority="35" operator="notEqual">
      <formula>AB597</formula>
    </cfRule>
  </conditionalFormatting>
  <conditionalFormatting sqref="AC598">
    <cfRule type="cellIs" dxfId="149" priority="34" operator="notEqual">
      <formula>AB598</formula>
    </cfRule>
  </conditionalFormatting>
  <conditionalFormatting sqref="AC615">
    <cfRule type="cellIs" dxfId="148" priority="33" operator="notEqual">
      <formula>AB615</formula>
    </cfRule>
  </conditionalFormatting>
  <conditionalFormatting sqref="AC616">
    <cfRule type="cellIs" dxfId="147" priority="32" operator="notEqual">
      <formula>AB616</formula>
    </cfRule>
  </conditionalFormatting>
  <conditionalFormatting sqref="AC649">
    <cfRule type="cellIs" dxfId="146" priority="31" operator="notEqual">
      <formula>AB649</formula>
    </cfRule>
  </conditionalFormatting>
  <conditionalFormatting sqref="AC650">
    <cfRule type="cellIs" dxfId="145" priority="30" operator="notEqual">
      <formula>AB650</formula>
    </cfRule>
  </conditionalFormatting>
  <conditionalFormatting sqref="AC633">
    <cfRule type="cellIs" dxfId="144" priority="29" operator="notEqual">
      <formula>AB633</formula>
    </cfRule>
  </conditionalFormatting>
  <conditionalFormatting sqref="AC667">
    <cfRule type="cellIs" dxfId="143" priority="28" operator="notEqual">
      <formula>AB667</formula>
    </cfRule>
  </conditionalFormatting>
  <conditionalFormatting sqref="AC683">
    <cfRule type="cellIs" dxfId="142" priority="27" operator="notEqual">
      <formula>AB683</formula>
    </cfRule>
  </conditionalFormatting>
  <conditionalFormatting sqref="AC699">
    <cfRule type="cellIs" dxfId="141" priority="26" operator="notEqual">
      <formula>AB699</formula>
    </cfRule>
  </conditionalFormatting>
  <conditionalFormatting sqref="AC715">
    <cfRule type="cellIs" dxfId="140" priority="25" operator="notEqual">
      <formula>AB715</formula>
    </cfRule>
  </conditionalFormatting>
  <conditionalFormatting sqref="AC731:AC733">
    <cfRule type="cellIs" dxfId="139" priority="24" operator="notEqual">
      <formula>AB731</formula>
    </cfRule>
  </conditionalFormatting>
  <conditionalFormatting sqref="AC751">
    <cfRule type="cellIs" dxfId="138" priority="23" operator="notEqual">
      <formula>AB751</formula>
    </cfRule>
  </conditionalFormatting>
  <conditionalFormatting sqref="AC767:AC768">
    <cfRule type="cellIs" dxfId="137" priority="22" operator="notEqual">
      <formula>AB767</formula>
    </cfRule>
  </conditionalFormatting>
  <conditionalFormatting sqref="AC785:AC786">
    <cfRule type="cellIs" dxfId="136" priority="21" operator="notEqual">
      <formula>AB785</formula>
    </cfRule>
  </conditionalFormatting>
  <conditionalFormatting sqref="AC803">
    <cfRule type="cellIs" dxfId="135" priority="20" operator="notEqual">
      <formula>AB803</formula>
    </cfRule>
  </conditionalFormatting>
  <conditionalFormatting sqref="AC819">
    <cfRule type="cellIs" dxfId="134" priority="19" operator="notEqual">
      <formula>AB819</formula>
    </cfRule>
  </conditionalFormatting>
  <conditionalFormatting sqref="AC834">
    <cfRule type="cellIs" dxfId="133" priority="18" operator="notEqual">
      <formula>AB834</formula>
    </cfRule>
  </conditionalFormatting>
  <conditionalFormatting sqref="AC820">
    <cfRule type="cellIs" dxfId="132" priority="17" operator="notEqual">
      <formula>AB820</formula>
    </cfRule>
  </conditionalFormatting>
  <conditionalFormatting sqref="AC821">
    <cfRule type="cellIs" dxfId="131" priority="16" operator="notEqual">
      <formula>AB821</formula>
    </cfRule>
  </conditionalFormatting>
  <conditionalFormatting sqref="AC92">
    <cfRule type="cellIs" dxfId="130" priority="15" operator="notEqual">
      <formula>AB92</formula>
    </cfRule>
  </conditionalFormatting>
  <conditionalFormatting sqref="AC111">
    <cfRule type="cellIs" dxfId="129" priority="14" operator="notEqual">
      <formula>AB111</formula>
    </cfRule>
  </conditionalFormatting>
  <conditionalFormatting sqref="AC112">
    <cfRule type="cellIs" dxfId="128" priority="13" operator="notEqual">
      <formula>AB112</formula>
    </cfRule>
  </conditionalFormatting>
  <conditionalFormatting sqref="AP119:AP126">
    <cfRule type="cellIs" dxfId="127" priority="11" operator="notEqual">
      <formula>AO119</formula>
    </cfRule>
  </conditionalFormatting>
  <conditionalFormatting sqref="AP111:AP112">
    <cfRule type="cellIs" dxfId="126" priority="10" operator="notEqual">
      <formula>AO111</formula>
    </cfRule>
  </conditionalFormatting>
  <conditionalFormatting sqref="AP395:AP399">
    <cfRule type="cellIs" dxfId="125" priority="9" operator="notEqual">
      <formula>AO395</formula>
    </cfRule>
  </conditionalFormatting>
  <conditionalFormatting sqref="BB395:BB399">
    <cfRule type="cellIs" dxfId="124" priority="8" operator="notEqual">
      <formula>BA395</formula>
    </cfRule>
  </conditionalFormatting>
  <conditionalFormatting sqref="BN417:BN422">
    <cfRule type="cellIs" dxfId="123" priority="7" operator="notEqual">
      <formula>BM417</formula>
    </cfRule>
  </conditionalFormatting>
  <conditionalFormatting sqref="BZ417:BZ422">
    <cfRule type="cellIs" dxfId="122" priority="6" operator="notEqual">
      <formula>BY417</formula>
    </cfRule>
  </conditionalFormatting>
  <conditionalFormatting sqref="AO72">
    <cfRule type="cellIs" dxfId="121" priority="5" operator="notEqual">
      <formula>AN72</formula>
    </cfRule>
  </conditionalFormatting>
  <conditionalFormatting sqref="AO69">
    <cfRule type="cellIs" dxfId="120" priority="4" operator="notEqual">
      <formula>AN69</formula>
    </cfRule>
  </conditionalFormatting>
  <conditionalFormatting sqref="AO66">
    <cfRule type="cellIs" dxfId="119" priority="3" operator="notEqual">
      <formula>AN66</formula>
    </cfRule>
  </conditionalFormatting>
  <conditionalFormatting sqref="BY74">
    <cfRule type="cellIs" dxfId="118" priority="2" operator="notEqual">
      <formula>BX74</formula>
    </cfRule>
  </conditionalFormatting>
  <conditionalFormatting sqref="CK74">
    <cfRule type="cellIs" dxfId="117" priority="1" operator="notEqual">
      <formula>CJ74</formula>
    </cfRule>
  </conditionalFormatting>
  <pageMargins left="0.7" right="0.7" top="0.75" bottom="0.75" header="0.3" footer="0.3"/>
  <pageSetup scale="11" fitToHeight="0" orientation="portrait" r:id="rId1"/>
  <rowBreaks count="7" manualBreakCount="7">
    <brk id="177" max="110" man="1"/>
    <brk id="206" max="16383" man="1"/>
    <brk id="307" max="16383" man="1"/>
    <brk id="440" max="16383" man="1"/>
    <brk id="592" max="16383" man="1"/>
    <brk id="694" max="110" man="1"/>
    <brk id="746" max="16383" man="1"/>
  </rowBreaks>
  <colBreaks count="1" manualBreakCount="1">
    <brk id="37" max="757" man="1"/>
  </col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AV740"/>
  <sheetViews>
    <sheetView zoomScale="70" zoomScaleNormal="70" workbookViewId="0">
      <pane xSplit="1" ySplit="7" topLeftCell="B8" activePane="bottomRight" state="frozen"/>
      <selection pane="topRight" activeCell="B1" sqref="B1"/>
      <selection pane="bottomLeft" activeCell="A8" sqref="A8"/>
      <selection pane="bottomRight"/>
    </sheetView>
  </sheetViews>
  <sheetFormatPr defaultRowHeight="15" outlineLevelCol="1" x14ac:dyDescent="0.25"/>
  <cols>
    <col min="1" max="1" width="16.140625" style="103" bestFit="1" customWidth="1"/>
    <col min="2" max="2" width="23" style="123" bestFit="1" customWidth="1"/>
    <col min="3" max="3" width="19.7109375" style="123" bestFit="1" customWidth="1"/>
    <col min="4" max="4" width="22.5703125" style="123" bestFit="1" customWidth="1"/>
    <col min="5" max="5" width="17.42578125" style="123" bestFit="1" customWidth="1"/>
    <col min="6" max="6" width="17.7109375" style="123" bestFit="1" customWidth="1"/>
    <col min="7" max="7" width="76.7109375" style="123" customWidth="1"/>
    <col min="8" max="8" width="22" style="328" customWidth="1"/>
    <col min="9" max="9" width="21.5703125" style="3603" customWidth="1"/>
    <col min="10" max="10" width="14.5703125" style="3603" bestFit="1" customWidth="1"/>
    <col min="11" max="11" width="12.85546875" style="1498" bestFit="1" customWidth="1" outlineLevel="1"/>
    <col min="12" max="12" width="14.85546875" style="1498" bestFit="1" customWidth="1" outlineLevel="1"/>
    <col min="13" max="13" width="12.85546875" style="1498" bestFit="1" customWidth="1" outlineLevel="1"/>
    <col min="14" max="14" width="13.140625" style="1498" bestFit="1" customWidth="1" outlineLevel="1"/>
    <col min="15" max="15" width="24.42578125" style="1782" bestFit="1" customWidth="1"/>
    <col min="16" max="16" width="16.85546875" style="1782" bestFit="1" customWidth="1"/>
    <col min="17" max="17" width="14.28515625" style="123" bestFit="1" customWidth="1" outlineLevel="1"/>
    <col min="18" max="18" width="12.85546875" style="123" bestFit="1" customWidth="1" outlineLevel="1"/>
    <col min="19" max="19" width="12.42578125" style="123" bestFit="1" customWidth="1" outlineLevel="1"/>
    <col min="20" max="20" width="12.85546875" style="123" bestFit="1" customWidth="1" outlineLevel="1"/>
    <col min="21" max="21" width="16.28515625" bestFit="1" customWidth="1"/>
    <col min="22" max="22" width="18.7109375" bestFit="1" customWidth="1"/>
    <col min="23" max="23" width="16.7109375" bestFit="1" customWidth="1"/>
    <col min="24" max="24" width="19.42578125" style="3604" bestFit="1" customWidth="1"/>
    <col min="25" max="25" width="5.28515625" style="3604" bestFit="1" customWidth="1"/>
    <col min="26" max="26" width="10.140625" style="3604" bestFit="1" customWidth="1"/>
    <col min="27" max="27" width="20.42578125" style="328" bestFit="1" customWidth="1"/>
    <col min="28" max="28" width="22.42578125" style="3605" customWidth="1"/>
    <col min="29" max="29" width="23.85546875" style="3605" bestFit="1" customWidth="1"/>
    <col min="30" max="30" width="17.7109375" style="3606" bestFit="1" customWidth="1"/>
    <col min="31" max="31" width="20.42578125" style="328" bestFit="1" customWidth="1" outlineLevel="1"/>
    <col min="32" max="34" width="12.5703125" style="123" bestFit="1" customWidth="1" outlineLevel="1"/>
    <col min="35" max="35" width="11.140625" style="123" customWidth="1"/>
    <col min="36" max="37" width="9.5703125" customWidth="1"/>
    <col min="38" max="38" width="83.140625" customWidth="1"/>
    <col min="39" max="39" width="15.7109375" hidden="1" customWidth="1"/>
    <col min="40" max="40" width="11" hidden="1" customWidth="1"/>
    <col min="41" max="41" width="10.7109375" hidden="1" customWidth="1"/>
    <col min="42" max="42" width="0" hidden="1" customWidth="1"/>
    <col min="43" max="43" width="16" hidden="1" customWidth="1"/>
    <col min="44" max="45" width="0" hidden="1" customWidth="1"/>
    <col min="46" max="46" width="23" hidden="1" customWidth="1"/>
    <col min="47" max="50" width="0" hidden="1" customWidth="1"/>
  </cols>
  <sheetData>
    <row r="1" spans="1:47" x14ac:dyDescent="0.25">
      <c r="B1" s="4517" t="s">
        <v>4059</v>
      </c>
      <c r="C1" s="4517"/>
      <c r="D1" s="4517"/>
      <c r="E1" s="4517"/>
      <c r="F1" s="4517"/>
      <c r="G1" s="4517"/>
      <c r="H1" s="4517"/>
      <c r="I1" s="4517"/>
      <c r="J1" s="4517"/>
      <c r="K1" s="4517"/>
      <c r="L1" s="4517"/>
      <c r="M1" s="4517"/>
      <c r="N1" s="4517"/>
      <c r="O1" s="4517"/>
      <c r="P1" s="4517"/>
      <c r="Q1" s="4517"/>
      <c r="R1" s="4517"/>
      <c r="S1" s="4517"/>
      <c r="T1" s="4517"/>
      <c r="U1" s="4517"/>
      <c r="V1" s="4517"/>
      <c r="W1" s="4517"/>
      <c r="X1" s="4517"/>
      <c r="Y1" s="4517"/>
      <c r="Z1" s="4517"/>
      <c r="AA1" s="4517"/>
      <c r="AB1" s="4517"/>
      <c r="AC1" s="4517"/>
      <c r="AD1" s="4517"/>
      <c r="AE1" s="4517"/>
      <c r="AF1" s="4517"/>
      <c r="AG1" s="4517"/>
      <c r="AH1" s="4517"/>
      <c r="AJ1" s="1930"/>
      <c r="AK1" s="1930"/>
      <c r="AL1" s="1930"/>
      <c r="AM1" s="1930"/>
      <c r="AN1" s="1930"/>
      <c r="AO1" s="1930"/>
      <c r="AP1" s="1930"/>
      <c r="AQ1" s="1930"/>
      <c r="AR1" s="1930"/>
      <c r="AS1" s="1930"/>
      <c r="AT1" s="1930"/>
      <c r="AU1" s="1930"/>
    </row>
    <row r="2" spans="1:47" x14ac:dyDescent="0.25">
      <c r="B2" s="4517"/>
      <c r="C2" s="4517"/>
      <c r="D2" s="4517"/>
      <c r="E2" s="4517"/>
      <c r="F2" s="4517"/>
      <c r="G2" s="4517"/>
      <c r="H2" s="4517"/>
      <c r="I2" s="4517"/>
      <c r="J2" s="4517"/>
      <c r="K2" s="4517"/>
      <c r="L2" s="4517"/>
      <c r="M2" s="4517"/>
      <c r="N2" s="4517"/>
      <c r="O2" s="4517"/>
      <c r="P2" s="4517"/>
      <c r="Q2" s="4517"/>
      <c r="R2" s="4517"/>
      <c r="S2" s="4517"/>
      <c r="T2" s="4517"/>
      <c r="U2" s="4517"/>
      <c r="V2" s="4517"/>
      <c r="W2" s="4517"/>
      <c r="X2" s="4517"/>
      <c r="Y2" s="4517"/>
      <c r="Z2" s="4517"/>
      <c r="AA2" s="4517"/>
      <c r="AB2" s="4517"/>
      <c r="AC2" s="4517"/>
      <c r="AD2" s="4517"/>
      <c r="AE2" s="4517"/>
      <c r="AF2" s="4517"/>
      <c r="AG2" s="4517"/>
      <c r="AH2" s="4517"/>
      <c r="AJ2" s="1930"/>
      <c r="AK2" s="1930"/>
      <c r="AL2" s="1930"/>
      <c r="AM2" s="1930"/>
      <c r="AN2" s="1930"/>
      <c r="AO2" s="1930"/>
      <c r="AP2" s="1930"/>
      <c r="AQ2" s="1930"/>
      <c r="AR2" s="1930"/>
      <c r="AS2" s="1930"/>
      <c r="AT2" s="1930"/>
      <c r="AU2" s="1930"/>
    </row>
    <row r="3" spans="1:47" x14ac:dyDescent="0.25">
      <c r="B3" s="4517"/>
      <c r="C3" s="4517"/>
      <c r="D3" s="4517"/>
      <c r="E3" s="4517"/>
      <c r="F3" s="4517"/>
      <c r="G3" s="4517"/>
      <c r="H3" s="4517"/>
      <c r="I3" s="4517"/>
      <c r="J3" s="4517"/>
      <c r="K3" s="4517"/>
      <c r="L3" s="4517"/>
      <c r="M3" s="4517"/>
      <c r="N3" s="4517"/>
      <c r="O3" s="4517"/>
      <c r="P3" s="4517"/>
      <c r="Q3" s="4517"/>
      <c r="R3" s="4517"/>
      <c r="S3" s="4517"/>
      <c r="T3" s="4517"/>
      <c r="U3" s="4517"/>
      <c r="V3" s="4517"/>
      <c r="W3" s="4517"/>
      <c r="X3" s="4517"/>
      <c r="Y3" s="4517"/>
      <c r="Z3" s="4517"/>
      <c r="AA3" s="4517"/>
      <c r="AB3" s="4517"/>
      <c r="AC3" s="4517"/>
      <c r="AD3" s="4517"/>
      <c r="AE3" s="4517"/>
      <c r="AF3" s="4517"/>
      <c r="AG3" s="4517"/>
      <c r="AH3" s="4517"/>
      <c r="AJ3" s="1930"/>
      <c r="AK3" s="1930"/>
      <c r="AL3" s="1930"/>
      <c r="AM3" s="1930"/>
      <c r="AN3" s="1930"/>
      <c r="AO3" s="1930"/>
      <c r="AP3" s="1930"/>
      <c r="AQ3" s="1930"/>
      <c r="AR3" s="1930"/>
      <c r="AS3" s="1930"/>
      <c r="AT3" s="1930"/>
      <c r="AU3" s="1930"/>
    </row>
    <row r="4" spans="1:47" x14ac:dyDescent="0.25">
      <c r="C4" s="100" t="s">
        <v>4408</v>
      </c>
      <c r="I4" s="3586"/>
      <c r="J4" s="3586"/>
      <c r="K4" s="3587"/>
      <c r="L4" s="3587"/>
      <c r="M4" s="3587"/>
      <c r="N4" s="3587"/>
      <c r="O4" s="3588"/>
      <c r="P4" s="3588"/>
      <c r="Q4" s="328"/>
      <c r="R4" s="328"/>
      <c r="S4" s="328"/>
      <c r="T4" s="328"/>
      <c r="U4" s="103"/>
      <c r="V4" s="103"/>
      <c r="W4" s="103"/>
      <c r="AJ4" s="1930"/>
      <c r="AK4" s="1930"/>
      <c r="AL4" s="1930"/>
      <c r="AM4" s="1930"/>
      <c r="AN4" s="1930"/>
      <c r="AO4" s="1930"/>
      <c r="AP4" s="1930"/>
      <c r="AQ4" s="1930"/>
      <c r="AR4" s="1930"/>
      <c r="AS4" s="1930"/>
      <c r="AT4" s="1930"/>
      <c r="AU4" s="1930"/>
    </row>
    <row r="5" spans="1:47" x14ac:dyDescent="0.25">
      <c r="I5" s="3586"/>
      <c r="J5" s="3586"/>
      <c r="K5" s="3587"/>
      <c r="L5" s="3587"/>
      <c r="M5" s="3587"/>
      <c r="N5" s="3587"/>
      <c r="O5" s="3588"/>
      <c r="P5" s="3588"/>
      <c r="Q5" s="328"/>
      <c r="R5" s="328"/>
      <c r="S5" s="328"/>
      <c r="T5" s="328"/>
      <c r="U5" s="103"/>
      <c r="V5" s="103"/>
      <c r="W5" s="103"/>
      <c r="AC5" s="3607"/>
      <c r="AD5" s="3608"/>
      <c r="AE5" s="3609"/>
      <c r="AF5" s="3610"/>
      <c r="AG5" s="3610"/>
      <c r="AH5" s="3610"/>
      <c r="AJ5" s="1930"/>
      <c r="AK5" s="1930"/>
      <c r="AL5" s="1930"/>
      <c r="AM5" s="1930"/>
      <c r="AN5" s="1930"/>
      <c r="AO5" s="1930"/>
      <c r="AP5" s="1930"/>
      <c r="AQ5" s="1930"/>
      <c r="AR5" s="1930"/>
      <c r="AS5" s="1930"/>
      <c r="AT5" s="1930"/>
      <c r="AU5" s="1930"/>
    </row>
    <row r="6" spans="1:47" ht="63" customHeight="1" x14ac:dyDescent="0.35">
      <c r="B6" s="4526" t="s">
        <v>28</v>
      </c>
      <c r="C6" s="4537" t="s">
        <v>176</v>
      </c>
      <c r="D6" s="4538"/>
      <c r="E6" s="4538"/>
      <c r="F6" s="4539"/>
      <c r="G6" s="1799" t="s">
        <v>4060</v>
      </c>
      <c r="H6" s="4535" t="s">
        <v>29</v>
      </c>
      <c r="I6" s="1828" t="s">
        <v>4061</v>
      </c>
      <c r="J6" s="1828" t="s">
        <v>4062</v>
      </c>
      <c r="K6" s="4540" t="s">
        <v>4063</v>
      </c>
      <c r="L6" s="4541"/>
      <c r="M6" s="4541"/>
      <c r="N6" s="4542"/>
      <c r="O6" s="1826" t="s">
        <v>4064</v>
      </c>
      <c r="P6" s="1826" t="s">
        <v>4065</v>
      </c>
      <c r="Q6" s="4543" t="s">
        <v>4066</v>
      </c>
      <c r="R6" s="4544"/>
      <c r="S6" s="4544"/>
      <c r="T6" s="4545"/>
      <c r="U6" s="4528" t="s">
        <v>4067</v>
      </c>
      <c r="V6" s="4528" t="s">
        <v>4068</v>
      </c>
      <c r="W6" s="4528" t="s">
        <v>4069</v>
      </c>
      <c r="X6" s="4532" t="s">
        <v>181</v>
      </c>
      <c r="Y6" s="4533"/>
      <c r="Z6" s="4534"/>
      <c r="AA6" s="4530" t="s">
        <v>4070</v>
      </c>
      <c r="AB6" s="4522" t="s">
        <v>2391</v>
      </c>
      <c r="AC6" s="4522" t="s">
        <v>4071</v>
      </c>
      <c r="AD6" s="4524" t="s">
        <v>4072</v>
      </c>
      <c r="AE6" s="4518" t="s">
        <v>4073</v>
      </c>
      <c r="AF6" s="4518" t="s">
        <v>4073</v>
      </c>
      <c r="AG6" s="4520" t="s">
        <v>4074</v>
      </c>
      <c r="AH6" s="4520" t="s">
        <v>4074</v>
      </c>
      <c r="AI6" s="3611" t="s">
        <v>4075</v>
      </c>
      <c r="AJ6" s="1918"/>
      <c r="AK6" s="1918"/>
      <c r="AL6" s="1930"/>
      <c r="AM6" s="1930"/>
      <c r="AN6" s="1930"/>
      <c r="AO6" s="1930"/>
      <c r="AP6" s="1930"/>
      <c r="AQ6" s="1930"/>
      <c r="AR6" s="1930"/>
      <c r="AS6" s="1930"/>
      <c r="AT6" s="1930"/>
      <c r="AU6" s="1930"/>
    </row>
    <row r="7" spans="1:47" ht="15.75" x14ac:dyDescent="0.25">
      <c r="B7" s="4527"/>
      <c r="C7" s="1814">
        <v>1</v>
      </c>
      <c r="D7" s="1814">
        <v>2</v>
      </c>
      <c r="E7" s="1814">
        <v>3</v>
      </c>
      <c r="F7" s="1814">
        <v>4</v>
      </c>
      <c r="G7" s="1814"/>
      <c r="H7" s="4536"/>
      <c r="I7" s="3589" t="s">
        <v>4076</v>
      </c>
      <c r="J7" s="3589" t="s">
        <v>4077</v>
      </c>
      <c r="K7" s="3590" t="s">
        <v>4078</v>
      </c>
      <c r="L7" s="3590" t="s">
        <v>4079</v>
      </c>
      <c r="M7" s="3590" t="s">
        <v>4080</v>
      </c>
      <c r="N7" s="3590" t="s">
        <v>4081</v>
      </c>
      <c r="O7" s="3591" t="s">
        <v>4082</v>
      </c>
      <c r="P7" s="3591" t="s">
        <v>4083</v>
      </c>
      <c r="Q7" s="3592" t="s">
        <v>4078</v>
      </c>
      <c r="R7" s="3592" t="s">
        <v>4079</v>
      </c>
      <c r="S7" s="3592" t="s">
        <v>4080</v>
      </c>
      <c r="T7" s="3592" t="s">
        <v>4081</v>
      </c>
      <c r="U7" s="4529" t="s">
        <v>4067</v>
      </c>
      <c r="V7" s="4529" t="s">
        <v>4068</v>
      </c>
      <c r="W7" s="4529" t="s">
        <v>4069</v>
      </c>
      <c r="X7" s="3612" t="s">
        <v>4084</v>
      </c>
      <c r="Y7" s="3612" t="s">
        <v>4077</v>
      </c>
      <c r="Z7" s="3612" t="s">
        <v>4085</v>
      </c>
      <c r="AA7" s="4531"/>
      <c r="AB7" s="4523"/>
      <c r="AC7" s="4523" t="s">
        <v>49</v>
      </c>
      <c r="AD7" s="4525" t="s">
        <v>49</v>
      </c>
      <c r="AE7" s="4519"/>
      <c r="AF7" s="4519"/>
      <c r="AG7" s="4521"/>
      <c r="AH7" s="4521"/>
      <c r="AI7" s="123" t="s">
        <v>44</v>
      </c>
      <c r="AJ7" s="1930" t="s">
        <v>4086</v>
      </c>
      <c r="AK7" s="1930"/>
      <c r="AL7" s="1930"/>
      <c r="AM7" s="1930" t="s">
        <v>4087</v>
      </c>
      <c r="AN7" s="1930"/>
      <c r="AO7" s="1930"/>
      <c r="AP7" s="1930"/>
      <c r="AQ7" s="1930"/>
      <c r="AR7" s="1930"/>
      <c r="AS7" s="1930"/>
      <c r="AT7" s="1930"/>
      <c r="AU7" s="1930"/>
    </row>
    <row r="8" spans="1:47" ht="15.75" x14ac:dyDescent="0.25">
      <c r="B8" s="1815"/>
      <c r="C8" s="1800"/>
      <c r="D8" s="1800"/>
      <c r="E8" s="1800"/>
      <c r="F8" s="1800"/>
      <c r="G8" s="1800"/>
      <c r="H8" s="3593"/>
      <c r="I8" s="3594"/>
      <c r="J8" s="3594"/>
      <c r="K8" s="3595"/>
      <c r="L8" s="3595"/>
      <c r="M8" s="3595"/>
      <c r="N8" s="3595"/>
      <c r="O8" s="3596"/>
      <c r="P8" s="3596"/>
      <c r="Q8" s="3597"/>
      <c r="R8" s="3597"/>
      <c r="S8" s="3597"/>
      <c r="T8" s="3597"/>
      <c r="U8" s="1816"/>
      <c r="V8" s="1816"/>
      <c r="W8" s="1816"/>
      <c r="X8" s="3613"/>
      <c r="Y8" s="3613"/>
      <c r="Z8" s="3613"/>
      <c r="AA8" s="3614"/>
      <c r="AB8" s="3615"/>
      <c r="AC8" s="1817"/>
      <c r="AD8" s="1818"/>
      <c r="AE8" s="3614"/>
      <c r="AF8" s="1962"/>
      <c r="AG8" s="1962"/>
      <c r="AH8" s="1962"/>
      <c r="AJ8" s="1930"/>
      <c r="AK8" s="1930"/>
      <c r="AL8" s="1930"/>
      <c r="AM8" s="1930"/>
      <c r="AN8" s="1930"/>
      <c r="AO8" s="1930"/>
      <c r="AP8" s="1930"/>
      <c r="AQ8" s="1930"/>
      <c r="AR8" s="1930"/>
      <c r="AS8" s="1930"/>
      <c r="AT8" s="1930"/>
      <c r="AU8" s="1930"/>
    </row>
    <row r="9" spans="1:47" x14ac:dyDescent="0.25">
      <c r="A9" s="103" t="str">
        <f>LEFT(B9,6)</f>
        <v>200050</v>
      </c>
      <c r="B9" s="684" t="str">
        <f>'Lighting Deemed Table'!C7</f>
        <v>200050_2019_12_</v>
      </c>
      <c r="C9" s="1962" t="str">
        <f>'Lighting Deemed Table'!H7</f>
        <v>Lighting RES</v>
      </c>
      <c r="D9" s="1962"/>
      <c r="E9" s="1962"/>
      <c r="F9" s="1962"/>
      <c r="G9" s="1962" t="str">
        <f>'Lighting Deemed Table'!E7</f>
        <v>LED - 10.5W Downlight E26 (CFL baseline)</v>
      </c>
      <c r="H9" s="63" t="str">
        <f>'Lighting Deemed Table'!D7</f>
        <v>Lighting</v>
      </c>
      <c r="I9" s="2438">
        <f>'Lighting Deemed Table'!F7</f>
        <v>9.68</v>
      </c>
      <c r="J9" s="2438">
        <v>0</v>
      </c>
      <c r="K9" s="2439">
        <v>0</v>
      </c>
      <c r="L9" s="2439">
        <v>0</v>
      </c>
      <c r="M9" s="2439">
        <v>0</v>
      </c>
      <c r="N9" s="2439">
        <v>0</v>
      </c>
      <c r="O9" s="2440">
        <f>'Lighting Deemed Table'!G7</f>
        <v>1.5009999999999999E-3</v>
      </c>
      <c r="P9" s="2440">
        <v>0</v>
      </c>
      <c r="Q9" s="2441">
        <v>0</v>
      </c>
      <c r="R9" s="2441">
        <v>0</v>
      </c>
      <c r="S9" s="2441"/>
      <c r="T9" s="2441"/>
      <c r="U9" s="1819">
        <v>0</v>
      </c>
      <c r="V9" s="1819">
        <v>0</v>
      </c>
      <c r="W9" s="1819">
        <f t="shared" ref="W9:W33" si="0">O9</f>
        <v>1.5009999999999999E-3</v>
      </c>
      <c r="X9" s="68">
        <f>'Lighting Deemed Table'!P7</f>
        <v>19</v>
      </c>
      <c r="Y9" s="68"/>
      <c r="Z9" s="68">
        <f t="shared" ref="Z9:Z90" si="1">Y9+X9</f>
        <v>19</v>
      </c>
      <c r="AA9" s="3616">
        <f>'Lighting Deemed Table'!BB7</f>
        <v>22797.049945335755</v>
      </c>
      <c r="AB9" s="2620">
        <f>'Lighting Deemed Table'!R7</f>
        <v>9.9999999999999995E-7</v>
      </c>
      <c r="AC9" s="3617">
        <f>AE9+AF9</f>
        <v>5.6704634239860923</v>
      </c>
      <c r="AD9" s="3617"/>
      <c r="AE9" s="1661">
        <f>'Lighting Deemed Table'!BD7</f>
        <v>5.6704634239860923</v>
      </c>
      <c r="AF9" s="2453"/>
      <c r="AG9" s="2453"/>
      <c r="AH9" s="2453"/>
      <c r="AI9" s="684" t="str">
        <f>'Lighting Deemed Table'!S7</f>
        <v xml:space="preserve">  per bulb</v>
      </c>
      <c r="AJ9" s="1930"/>
      <c r="AK9" s="1930"/>
      <c r="AL9" s="1930"/>
      <c r="AM9" s="1972">
        <f t="shared" ref="AM9:AM40" si="2">VLOOKUP(C9,$AS$10:$AT$33,2,FALSE)</f>
        <v>1.4925290000000001E-4</v>
      </c>
      <c r="AN9" s="1930">
        <f t="shared" ref="AN9:AN35" si="3">AM9*I9</f>
        <v>1.4447680720000001E-3</v>
      </c>
      <c r="AO9" s="1802">
        <f t="shared" ref="AO9:AO90" si="4">AN9-O9</f>
        <v>-5.6231927999999881E-5</v>
      </c>
      <c r="AP9" s="1930"/>
      <c r="AQ9" s="1930"/>
      <c r="AR9" s="1930"/>
      <c r="AS9" s="1930" t="s">
        <v>2637</v>
      </c>
      <c r="AT9" s="1930"/>
      <c r="AU9" s="1930"/>
    </row>
    <row r="10" spans="1:47" x14ac:dyDescent="0.25">
      <c r="A10" s="103" t="str">
        <f t="shared" ref="A10:A73" si="5">LEFT(B10,6)</f>
        <v>200100</v>
      </c>
      <c r="B10" s="684" t="str">
        <f>'Lighting Deemed Table'!C8</f>
        <v>200100_2019_12_</v>
      </c>
      <c r="C10" s="1962" t="str">
        <f>'Lighting Deemed Table'!H8</f>
        <v>Lighting RES</v>
      </c>
      <c r="D10" s="1962"/>
      <c r="E10" s="1962"/>
      <c r="F10" s="1962"/>
      <c r="G10" s="1962" t="str">
        <f>'Lighting Deemed Table'!E8</f>
        <v>LED - 10.5W Downlight E26 (Halogen baseline)</v>
      </c>
      <c r="H10" s="63" t="str">
        <f>'Lighting Deemed Table'!D8</f>
        <v>Lighting</v>
      </c>
      <c r="I10" s="2438">
        <f>'Lighting Deemed Table'!F8</f>
        <v>39.74</v>
      </c>
      <c r="J10" s="2438">
        <v>0</v>
      </c>
      <c r="K10" s="2439">
        <v>0</v>
      </c>
      <c r="L10" s="2439">
        <v>0</v>
      </c>
      <c r="M10" s="2439">
        <v>0</v>
      </c>
      <c r="N10" s="2439">
        <v>0</v>
      </c>
      <c r="O10" s="2440">
        <f>'Lighting Deemed Table'!G8</f>
        <v>6.1640000000000002E-3</v>
      </c>
      <c r="P10" s="2440">
        <v>0</v>
      </c>
      <c r="Q10" s="2441">
        <v>0</v>
      </c>
      <c r="R10" s="2441">
        <v>0</v>
      </c>
      <c r="S10" s="2441"/>
      <c r="T10" s="2441"/>
      <c r="U10" s="1819">
        <v>0</v>
      </c>
      <c r="V10" s="1819">
        <v>0</v>
      </c>
      <c r="W10" s="1819">
        <f t="shared" si="0"/>
        <v>6.1640000000000002E-3</v>
      </c>
      <c r="X10" s="68">
        <f>'Lighting Deemed Table'!P8</f>
        <v>19</v>
      </c>
      <c r="Y10" s="68"/>
      <c r="Z10" s="68">
        <f t="shared" si="1"/>
        <v>19</v>
      </c>
      <c r="AA10" s="3616">
        <f>'Lighting Deemed Table'!BB8</f>
        <v>22789.144046179212</v>
      </c>
      <c r="AB10" s="2620">
        <f>'Lighting Deemed Table'!R8</f>
        <v>9.9999999999999995E-7</v>
      </c>
      <c r="AC10" s="3617">
        <f t="shared" ref="AC10:AC92" si="6">AE10+AF10</f>
        <v>23.279361205496624</v>
      </c>
      <c r="AD10" s="3617"/>
      <c r="AE10" s="1661">
        <f>'Lighting Deemed Table'!BD8</f>
        <v>23.279361205496624</v>
      </c>
      <c r="AF10" s="2453"/>
      <c r="AG10" s="2453"/>
      <c r="AH10" s="2453"/>
      <c r="AI10" s="684" t="str">
        <f>'Lighting Deemed Table'!S8</f>
        <v xml:space="preserve">  per bulb</v>
      </c>
      <c r="AJ10" s="1930"/>
      <c r="AK10" s="1930"/>
      <c r="AL10" s="1930"/>
      <c r="AM10" s="1972">
        <f t="shared" si="2"/>
        <v>1.4925290000000001E-4</v>
      </c>
      <c r="AN10" s="1930">
        <f t="shared" si="3"/>
        <v>5.9313102460000003E-3</v>
      </c>
      <c r="AO10" s="1802">
        <f t="shared" si="4"/>
        <v>-2.3268975399999992E-4</v>
      </c>
      <c r="AP10" s="1930"/>
      <c r="AQ10" s="1930"/>
      <c r="AR10" s="1930"/>
      <c r="AS10" s="1930" t="s">
        <v>4049</v>
      </c>
      <c r="AT10" s="1806">
        <v>1.148238E-4</v>
      </c>
      <c r="AU10" s="1930" t="s">
        <v>4049</v>
      </c>
    </row>
    <row r="11" spans="1:47" x14ac:dyDescent="0.25">
      <c r="A11" s="103" t="str">
        <f t="shared" si="5"/>
        <v>200150</v>
      </c>
      <c r="B11" s="684" t="str">
        <f>'Lighting Deemed Table'!C9</f>
        <v>200150_2019_12_</v>
      </c>
      <c r="C11" s="1962" t="str">
        <f>'Lighting Deemed Table'!H9</f>
        <v>Lighting RES</v>
      </c>
      <c r="D11" s="1962"/>
      <c r="E11" s="1962"/>
      <c r="F11" s="1962"/>
      <c r="G11" s="1962" t="str">
        <f>'Lighting Deemed Table'!E9</f>
        <v>LED - 10W (CFL baseline) (750-1049 lumens)</v>
      </c>
      <c r="H11" s="63" t="str">
        <f>'Lighting Deemed Table'!D9</f>
        <v>Lighting</v>
      </c>
      <c r="I11" s="2438">
        <f>'Lighting Deemed Table'!F9</f>
        <v>4.7</v>
      </c>
      <c r="J11" s="2438">
        <v>0</v>
      </c>
      <c r="K11" s="2439">
        <v>0</v>
      </c>
      <c r="L11" s="2439">
        <v>0</v>
      </c>
      <c r="M11" s="2439">
        <v>0</v>
      </c>
      <c r="N11" s="2439">
        <v>0</v>
      </c>
      <c r="O11" s="2440">
        <f>'Lighting Deemed Table'!G9</f>
        <v>7.2900000000000005E-4</v>
      </c>
      <c r="P11" s="2440">
        <v>0</v>
      </c>
      <c r="Q11" s="2441">
        <v>0</v>
      </c>
      <c r="R11" s="2441">
        <v>0</v>
      </c>
      <c r="S11" s="2441"/>
      <c r="T11" s="2441"/>
      <c r="U11" s="1819">
        <v>0</v>
      </c>
      <c r="V11" s="1819">
        <v>0</v>
      </c>
      <c r="W11" s="1819">
        <f t="shared" si="0"/>
        <v>7.2900000000000005E-4</v>
      </c>
      <c r="X11" s="68">
        <f>'Lighting Deemed Table'!P9</f>
        <v>19</v>
      </c>
      <c r="Y11" s="68"/>
      <c r="Z11" s="68">
        <f t="shared" si="1"/>
        <v>19</v>
      </c>
      <c r="AA11" s="3616">
        <f>'Lighting Deemed Table'!BB9</f>
        <v>22801.760079621985</v>
      </c>
      <c r="AB11" s="2620">
        <f>'Lighting Deemed Table'!R9</f>
        <v>9.9999999999999995E-7</v>
      </c>
      <c r="AC11" s="3617">
        <f t="shared" si="6"/>
        <v>2.7532208773486193</v>
      </c>
      <c r="AD11" s="3617"/>
      <c r="AE11" s="1661">
        <f>'Lighting Deemed Table'!BD9</f>
        <v>2.7532208773486193</v>
      </c>
      <c r="AF11" s="2453"/>
      <c r="AG11" s="2453"/>
      <c r="AH11" s="2453"/>
      <c r="AI11" s="684" t="str">
        <f>'Lighting Deemed Table'!S9</f>
        <v xml:space="preserve">  per bulb</v>
      </c>
      <c r="AJ11" s="1930"/>
      <c r="AK11" s="1930"/>
      <c r="AL11" s="1930"/>
      <c r="AM11" s="1972">
        <f t="shared" si="2"/>
        <v>1.4925290000000001E-4</v>
      </c>
      <c r="AN11" s="1930">
        <f t="shared" si="3"/>
        <v>7.0148863000000009E-4</v>
      </c>
      <c r="AO11" s="1802">
        <f t="shared" si="4"/>
        <v>-2.751136999999996E-5</v>
      </c>
      <c r="AP11" s="1930"/>
      <c r="AQ11" s="1930"/>
      <c r="AR11" s="1930"/>
      <c r="AS11" s="1930" t="s">
        <v>1615</v>
      </c>
      <c r="AT11" s="1806">
        <v>4.6608050000000002E-4</v>
      </c>
      <c r="AU11" s="1930" t="s">
        <v>1615</v>
      </c>
    </row>
    <row r="12" spans="1:47" x14ac:dyDescent="0.25">
      <c r="A12" s="103" t="str">
        <f t="shared" si="5"/>
        <v>200200</v>
      </c>
      <c r="B12" s="684" t="str">
        <f>'Lighting Deemed Table'!C10</f>
        <v>200200_2019_12_</v>
      </c>
      <c r="C12" s="1962" t="str">
        <f>'Lighting Deemed Table'!H10</f>
        <v>Lighting RES</v>
      </c>
      <c r="D12" s="1962"/>
      <c r="E12" s="1962"/>
      <c r="F12" s="1962"/>
      <c r="G12" s="1962" t="str">
        <f>'Lighting Deemed Table'!E10</f>
        <v>LED - 10W (Halogen baseline) (750-1049 lumens)</v>
      </c>
      <c r="H12" s="63" t="str">
        <f>'Lighting Deemed Table'!D10</f>
        <v>Lighting</v>
      </c>
      <c r="I12" s="2438">
        <f>'Lighting Deemed Table'!F10</f>
        <v>32.51</v>
      </c>
      <c r="J12" s="2438">
        <v>0</v>
      </c>
      <c r="K12" s="2439">
        <v>0</v>
      </c>
      <c r="L12" s="2439">
        <v>0</v>
      </c>
      <c r="M12" s="2439">
        <v>0</v>
      </c>
      <c r="N12" s="2439">
        <v>0</v>
      </c>
      <c r="O12" s="2440">
        <f>'Lighting Deemed Table'!G10</f>
        <v>5.0419999999999996E-3</v>
      </c>
      <c r="P12" s="2440">
        <v>0</v>
      </c>
      <c r="Q12" s="2441">
        <v>0</v>
      </c>
      <c r="R12" s="2441">
        <v>0</v>
      </c>
      <c r="S12" s="2441"/>
      <c r="T12" s="2441"/>
      <c r="U12" s="1819">
        <v>0</v>
      </c>
      <c r="V12" s="1819">
        <v>0</v>
      </c>
      <c r="W12" s="1819">
        <f t="shared" si="0"/>
        <v>5.0419999999999996E-3</v>
      </c>
      <c r="X12" s="68">
        <f>'Lighting Deemed Table'!P10</f>
        <v>19</v>
      </c>
      <c r="Y12" s="68"/>
      <c r="Z12" s="68">
        <f t="shared" si="1"/>
        <v>19</v>
      </c>
      <c r="AA12" s="3616">
        <f>'Lighting Deemed Table'!BB10</f>
        <v>22791.945031008196</v>
      </c>
      <c r="AB12" s="2620">
        <f>'Lighting Deemed Table'!R10</f>
        <v>9.9999999999999995E-7</v>
      </c>
      <c r="AC12" s="3617">
        <f t="shared" si="6"/>
        <v>19.044087387788</v>
      </c>
      <c r="AD12" s="3617"/>
      <c r="AE12" s="1661">
        <f>'Lighting Deemed Table'!BD10</f>
        <v>19.044087387788</v>
      </c>
      <c r="AF12" s="2453"/>
      <c r="AG12" s="2453"/>
      <c r="AH12" s="2453"/>
      <c r="AI12" s="684" t="str">
        <f>'Lighting Deemed Table'!S10</f>
        <v xml:space="preserve">  per bulb</v>
      </c>
      <c r="AJ12" s="1930"/>
      <c r="AK12" s="1930"/>
      <c r="AL12" s="1930"/>
      <c r="AM12" s="1972">
        <f t="shared" si="2"/>
        <v>1.4925290000000001E-4</v>
      </c>
      <c r="AN12" s="1930">
        <f t="shared" si="3"/>
        <v>4.8522117790000003E-3</v>
      </c>
      <c r="AO12" s="1802">
        <f t="shared" si="4"/>
        <v>-1.8978822099999931E-4</v>
      </c>
      <c r="AP12" s="1930"/>
      <c r="AQ12" s="1930"/>
      <c r="AR12" s="1930"/>
      <c r="AS12" s="1930" t="s">
        <v>4050</v>
      </c>
      <c r="AT12" s="1806">
        <v>1.3539039999999999E-4</v>
      </c>
      <c r="AU12" s="1930" t="s">
        <v>4050</v>
      </c>
    </row>
    <row r="13" spans="1:47" x14ac:dyDescent="0.25">
      <c r="A13" s="103" t="str">
        <f t="shared" si="5"/>
        <v>200250</v>
      </c>
      <c r="B13" s="684" t="str">
        <f>'Lighting Deemed Table'!C11</f>
        <v>200250_2019_12_</v>
      </c>
      <c r="C13" s="1962" t="str">
        <f>'Lighting Deemed Table'!H11</f>
        <v>Lighting RES</v>
      </c>
      <c r="D13" s="1962"/>
      <c r="E13" s="1962"/>
      <c r="F13" s="1962"/>
      <c r="G13" s="1962" t="str">
        <f>'Lighting Deemed Table'!E11</f>
        <v>LED - 12W Dimmable Light Bulb (Replacing CFL)</v>
      </c>
      <c r="H13" s="63" t="str">
        <f>'Lighting Deemed Table'!D11</f>
        <v>Lighting</v>
      </c>
      <c r="I13" s="2438">
        <f>'Lighting Deemed Table'!F11</f>
        <v>2.44</v>
      </c>
      <c r="J13" s="2438">
        <v>0</v>
      </c>
      <c r="K13" s="2439">
        <v>0</v>
      </c>
      <c r="L13" s="2439">
        <v>0</v>
      </c>
      <c r="M13" s="2439">
        <v>0</v>
      </c>
      <c r="N13" s="2439">
        <v>0</v>
      </c>
      <c r="O13" s="2440">
        <f>'Lighting Deemed Table'!G11</f>
        <v>3.79E-4</v>
      </c>
      <c r="P13" s="2440">
        <v>0</v>
      </c>
      <c r="Q13" s="2441">
        <v>0</v>
      </c>
      <c r="R13" s="2441">
        <v>0</v>
      </c>
      <c r="S13" s="2441"/>
      <c r="T13" s="2441"/>
      <c r="U13" s="1819">
        <v>0</v>
      </c>
      <c r="V13" s="1819">
        <v>0</v>
      </c>
      <c r="W13" s="1819">
        <f t="shared" si="0"/>
        <v>3.79E-4</v>
      </c>
      <c r="X13" s="68">
        <f>'Lighting Deemed Table'!P11</f>
        <v>19</v>
      </c>
      <c r="Y13" s="68"/>
      <c r="Z13" s="68">
        <f t="shared" si="1"/>
        <v>19</v>
      </c>
      <c r="AA13" s="3616">
        <f>'Lighting Deemed Table'!BB11</f>
        <v>22764.441323354193</v>
      </c>
      <c r="AB13" s="2620">
        <f>'Lighting Deemed Table'!R11</f>
        <v>9.9999999999999995E-7</v>
      </c>
      <c r="AC13" s="3617">
        <f t="shared" si="6"/>
        <v>1.4293316895171555</v>
      </c>
      <c r="AD13" s="3617"/>
      <c r="AE13" s="1661">
        <f>'Lighting Deemed Table'!BD11</f>
        <v>1.4293316895171555</v>
      </c>
      <c r="AF13" s="2453"/>
      <c r="AG13" s="2453"/>
      <c r="AH13" s="2453"/>
      <c r="AI13" s="684" t="str">
        <f>'Lighting Deemed Table'!S11</f>
        <v xml:space="preserve">  per bulb</v>
      </c>
      <c r="AJ13" s="1930"/>
      <c r="AK13" s="1930"/>
      <c r="AL13" s="1930"/>
      <c r="AM13" s="1972">
        <f t="shared" si="2"/>
        <v>1.4925290000000001E-4</v>
      </c>
      <c r="AN13" s="1930">
        <f t="shared" si="3"/>
        <v>3.64177076E-4</v>
      </c>
      <c r="AO13" s="1802">
        <f t="shared" si="4"/>
        <v>-1.4822923999999996E-5</v>
      </c>
      <c r="AP13" s="1930"/>
      <c r="AQ13" s="1930"/>
      <c r="AR13" s="1930"/>
      <c r="AS13" s="1930" t="s">
        <v>4051</v>
      </c>
      <c r="AT13" s="1806">
        <v>1.1954749999999999E-4</v>
      </c>
      <c r="AU13" s="1930" t="s">
        <v>4051</v>
      </c>
    </row>
    <row r="14" spans="1:47" x14ac:dyDescent="0.25">
      <c r="A14" s="103" t="str">
        <f t="shared" si="5"/>
        <v>200300</v>
      </c>
      <c r="B14" s="684" t="str">
        <f>'Lighting Deemed Table'!C12</f>
        <v>200300_2019_12_</v>
      </c>
      <c r="C14" s="1962" t="str">
        <f>'Lighting Deemed Table'!H12</f>
        <v>Lighting RES</v>
      </c>
      <c r="D14" s="1962"/>
      <c r="E14" s="1962"/>
      <c r="F14" s="1962"/>
      <c r="G14" s="1962" t="str">
        <f>'Lighting Deemed Table'!E12</f>
        <v>LED - 12W Dimmable Light Bulb (Replacing Specialty Incandescent)</v>
      </c>
      <c r="H14" s="63" t="str">
        <f>'Lighting Deemed Table'!D12</f>
        <v>Lighting</v>
      </c>
      <c r="I14" s="2438">
        <f>'Lighting Deemed Table'!F12</f>
        <v>72.16</v>
      </c>
      <c r="J14" s="2438">
        <v>0</v>
      </c>
      <c r="K14" s="2439">
        <v>0</v>
      </c>
      <c r="L14" s="2439">
        <v>0</v>
      </c>
      <c r="M14" s="2439">
        <v>0</v>
      </c>
      <c r="N14" s="2439">
        <v>0</v>
      </c>
      <c r="O14" s="2440">
        <f>'Lighting Deemed Table'!G12</f>
        <v>1.1191E-2</v>
      </c>
      <c r="P14" s="2440">
        <v>0</v>
      </c>
      <c r="Q14" s="2441">
        <v>0</v>
      </c>
      <c r="R14" s="2441">
        <v>0</v>
      </c>
      <c r="S14" s="2441"/>
      <c r="T14" s="2441"/>
      <c r="U14" s="1819">
        <v>0</v>
      </c>
      <c r="V14" s="1819">
        <v>0</v>
      </c>
      <c r="W14" s="1819">
        <f t="shared" si="0"/>
        <v>1.1191E-2</v>
      </c>
      <c r="X14" s="68">
        <f>'Lighting Deemed Table'!P12</f>
        <v>19</v>
      </c>
      <c r="Y14" s="68"/>
      <c r="Z14" s="68">
        <f t="shared" si="1"/>
        <v>19</v>
      </c>
      <c r="AA14" s="3616">
        <f>'Lighting Deemed Table'!BB12</f>
        <v>22791.652916466122</v>
      </c>
      <c r="AB14" s="2620">
        <f>'Lighting Deemed Table'!R12</f>
        <v>9.9999999999999995E-7</v>
      </c>
      <c r="AC14" s="3617">
        <f t="shared" si="6"/>
        <v>42.270727342441774</v>
      </c>
      <c r="AD14" s="3617"/>
      <c r="AE14" s="1661">
        <f>'Lighting Deemed Table'!BD12</f>
        <v>42.270727342441774</v>
      </c>
      <c r="AF14" s="2453"/>
      <c r="AG14" s="2453"/>
      <c r="AH14" s="2453"/>
      <c r="AI14" s="684" t="str">
        <f>'Lighting Deemed Table'!S12</f>
        <v xml:space="preserve">  per bulb</v>
      </c>
      <c r="AJ14" s="1930"/>
      <c r="AK14" s="1930"/>
      <c r="AL14" s="1930"/>
      <c r="AM14" s="1972">
        <f t="shared" si="2"/>
        <v>1.4925290000000001E-4</v>
      </c>
      <c r="AN14" s="1930">
        <f t="shared" si="3"/>
        <v>1.0770089264000001E-2</v>
      </c>
      <c r="AO14" s="1802">
        <f t="shared" si="4"/>
        <v>-4.2091073599999883E-4</v>
      </c>
      <c r="AP14" s="1930"/>
      <c r="AQ14" s="1930"/>
      <c r="AR14" s="1930"/>
      <c r="AS14" s="1930" t="s">
        <v>4052</v>
      </c>
      <c r="AT14" s="1806">
        <v>1.4008870000000001E-4</v>
      </c>
      <c r="AU14" s="1930" t="s">
        <v>4052</v>
      </c>
    </row>
    <row r="15" spans="1:47" x14ac:dyDescent="0.25">
      <c r="A15" s="103" t="str">
        <f t="shared" si="5"/>
        <v>200350</v>
      </c>
      <c r="B15" s="684" t="str">
        <f>'Lighting Deemed Table'!C13</f>
        <v>200350_2019_12_</v>
      </c>
      <c r="C15" s="1962" t="str">
        <f>'Lighting Deemed Table'!H13</f>
        <v>Lighting RES</v>
      </c>
      <c r="D15" s="1962"/>
      <c r="E15" s="1962"/>
      <c r="F15" s="1962"/>
      <c r="G15" s="1962" t="str">
        <f>'Lighting Deemed Table'!E13</f>
        <v>LED - 15W (Halogen baseline) (1050-1489 lumens)</v>
      </c>
      <c r="H15" s="63" t="str">
        <f>'Lighting Deemed Table'!D13</f>
        <v>Lighting</v>
      </c>
      <c r="I15" s="2438">
        <f>'Lighting Deemed Table'!F13</f>
        <v>38.43</v>
      </c>
      <c r="J15" s="2438">
        <v>0</v>
      </c>
      <c r="K15" s="2439">
        <v>0</v>
      </c>
      <c r="L15" s="2439">
        <v>0</v>
      </c>
      <c r="M15" s="2439">
        <v>0</v>
      </c>
      <c r="N15" s="2439">
        <v>0</v>
      </c>
      <c r="O15" s="2440">
        <f>'Lighting Deemed Table'!G13</f>
        <v>5.96E-3</v>
      </c>
      <c r="P15" s="2440">
        <v>0</v>
      </c>
      <c r="Q15" s="2441">
        <v>0</v>
      </c>
      <c r="R15" s="2441">
        <v>0</v>
      </c>
      <c r="S15" s="2441"/>
      <c r="T15" s="2441"/>
      <c r="U15" s="1819">
        <v>0</v>
      </c>
      <c r="V15" s="1819">
        <v>0</v>
      </c>
      <c r="W15" s="1819">
        <f t="shared" si="0"/>
        <v>5.96E-3</v>
      </c>
      <c r="X15" s="68">
        <f>'Lighting Deemed Table'!P13</f>
        <v>19</v>
      </c>
      <c r="Y15" s="68"/>
      <c r="Z15" s="68">
        <f t="shared" si="1"/>
        <v>19</v>
      </c>
      <c r="AA15" s="3616">
        <f>'Lighting Deemed Table'!BB13</f>
        <v>22792.270713725044</v>
      </c>
      <c r="AB15" s="2620">
        <f>'Lighting Deemed Table'!R13</f>
        <v>9.9999999999999995E-7</v>
      </c>
      <c r="AC15" s="3617">
        <f t="shared" si="6"/>
        <v>22.511974109895199</v>
      </c>
      <c r="AD15" s="3617"/>
      <c r="AE15" s="1661">
        <f>'Lighting Deemed Table'!BD13</f>
        <v>22.511974109895199</v>
      </c>
      <c r="AF15" s="2453"/>
      <c r="AG15" s="2453"/>
      <c r="AH15" s="2453"/>
      <c r="AI15" s="684" t="str">
        <f>'Lighting Deemed Table'!S13</f>
        <v xml:space="preserve">  per bulb</v>
      </c>
      <c r="AJ15" s="1930"/>
      <c r="AK15" s="1930"/>
      <c r="AL15" s="1930"/>
      <c r="AM15" s="1972">
        <f t="shared" si="2"/>
        <v>1.4925290000000001E-4</v>
      </c>
      <c r="AN15" s="1930">
        <f t="shared" si="3"/>
        <v>5.7357889470000005E-3</v>
      </c>
      <c r="AO15" s="1802">
        <f t="shared" si="4"/>
        <v>-2.2421105299999956E-4</v>
      </c>
      <c r="AP15" s="1930"/>
      <c r="AQ15" s="1930"/>
      <c r="AR15" s="1930"/>
      <c r="AS15" s="1930" t="s">
        <v>4053</v>
      </c>
      <c r="AT15" s="1806">
        <v>2.053256E-4</v>
      </c>
      <c r="AU15" s="1930" t="s">
        <v>4053</v>
      </c>
    </row>
    <row r="16" spans="1:47" x14ac:dyDescent="0.25">
      <c r="A16" s="103" t="str">
        <f t="shared" si="5"/>
        <v>200400</v>
      </c>
      <c r="B16" s="684" t="str">
        <f>'Lighting Deemed Table'!C14</f>
        <v>200400_2019_12_</v>
      </c>
      <c r="C16" s="1962" t="str">
        <f>'Lighting Deemed Table'!H14</f>
        <v>Lighting RES</v>
      </c>
      <c r="D16" s="1962"/>
      <c r="E16" s="1962"/>
      <c r="F16" s="1962"/>
      <c r="G16" s="1962" t="str">
        <f>'Lighting Deemed Table'!E14</f>
        <v>LED - 15W (CFL baseline) (1050-1489 lumens)</v>
      </c>
      <c r="H16" s="63" t="str">
        <f>'Lighting Deemed Table'!D14</f>
        <v>Lighting</v>
      </c>
      <c r="I16" s="2438">
        <f>'Lighting Deemed Table'!F14</f>
        <v>6.39</v>
      </c>
      <c r="J16" s="2438">
        <v>0</v>
      </c>
      <c r="K16" s="2439">
        <v>0</v>
      </c>
      <c r="L16" s="2439">
        <v>0</v>
      </c>
      <c r="M16" s="2439">
        <v>0</v>
      </c>
      <c r="N16" s="2439">
        <v>0</v>
      </c>
      <c r="O16" s="2440">
        <f>'Lighting Deemed Table'!G14</f>
        <v>9.9099999999999991E-4</v>
      </c>
      <c r="P16" s="2440">
        <v>0</v>
      </c>
      <c r="Q16" s="2441">
        <v>0</v>
      </c>
      <c r="R16" s="2441">
        <v>0</v>
      </c>
      <c r="S16" s="2441"/>
      <c r="T16" s="2441"/>
      <c r="U16" s="1819">
        <v>0</v>
      </c>
      <c r="V16" s="1819">
        <v>0</v>
      </c>
      <c r="W16" s="1819">
        <f t="shared" si="0"/>
        <v>9.9099999999999991E-4</v>
      </c>
      <c r="X16" s="68">
        <f>'Lighting Deemed Table'!P14</f>
        <v>19</v>
      </c>
      <c r="Y16" s="68"/>
      <c r="Z16" s="68">
        <f t="shared" si="1"/>
        <v>19</v>
      </c>
      <c r="AA16" s="3616">
        <f>'Lighting Deemed Table'!BB14</f>
        <v>22794.625611511965</v>
      </c>
      <c r="AB16" s="2620">
        <f>'Lighting Deemed Table'!R14</f>
        <v>9.9999999999999995E-7</v>
      </c>
      <c r="AC16" s="3617">
        <f t="shared" si="6"/>
        <v>3.7432088098420584</v>
      </c>
      <c r="AD16" s="3617"/>
      <c r="AE16" s="1661">
        <f>'Lighting Deemed Table'!BD14</f>
        <v>3.7432088098420584</v>
      </c>
      <c r="AF16" s="2453"/>
      <c r="AG16" s="2453"/>
      <c r="AH16" s="2453"/>
      <c r="AI16" s="684" t="str">
        <f>'Lighting Deemed Table'!S14</f>
        <v xml:space="preserve">  per bulb</v>
      </c>
      <c r="AJ16" s="1930"/>
      <c r="AK16" s="1930"/>
      <c r="AL16" s="1930"/>
      <c r="AM16" s="1972">
        <f t="shared" si="2"/>
        <v>1.4925290000000001E-4</v>
      </c>
      <c r="AN16" s="1930">
        <f t="shared" si="3"/>
        <v>9.5372603099999999E-4</v>
      </c>
      <c r="AO16" s="1802">
        <f t="shared" si="4"/>
        <v>-3.7273968999999916E-5</v>
      </c>
      <c r="AP16" s="1930"/>
      <c r="AQ16" s="1930"/>
      <c r="AR16" s="1930"/>
      <c r="AS16" s="1930" t="s">
        <v>258</v>
      </c>
      <c r="AT16" s="1806">
        <v>9.4741810000000004E-4</v>
      </c>
      <c r="AU16" s="1930" t="s">
        <v>258</v>
      </c>
    </row>
    <row r="17" spans="1:47" s="100" customFormat="1" x14ac:dyDescent="0.25">
      <c r="A17" s="103" t="str">
        <f t="shared" si="5"/>
        <v>200401</v>
      </c>
      <c r="B17" s="684" t="str">
        <f>'Lighting Deemed Table'!C15</f>
        <v>200401_2020_12_</v>
      </c>
      <c r="C17" s="1962" t="str">
        <f>'Lighting Deemed Table'!H15</f>
        <v>Lighting RES</v>
      </c>
      <c r="D17" s="1962"/>
      <c r="E17" s="1962"/>
      <c r="F17" s="1962"/>
      <c r="G17" s="1962" t="str">
        <f>'Lighting Deemed Table'!E15</f>
        <v>LED - 11W Flood Light BR30 Bulb (CFL baseline)</v>
      </c>
      <c r="H17" s="63" t="str">
        <f>'Lighting Deemed Table'!D15</f>
        <v>Lighting</v>
      </c>
      <c r="I17" s="2438">
        <f>'Lighting Deemed Table'!F15</f>
        <v>7.41</v>
      </c>
      <c r="J17" s="2438">
        <v>0</v>
      </c>
      <c r="K17" s="2439">
        <v>0</v>
      </c>
      <c r="L17" s="2439">
        <v>0</v>
      </c>
      <c r="M17" s="2439">
        <v>0</v>
      </c>
      <c r="N17" s="2439">
        <v>0</v>
      </c>
      <c r="O17" s="2440">
        <f>'Lighting Deemed Table'!G15</f>
        <v>1.15E-3</v>
      </c>
      <c r="P17" s="2440">
        <v>0</v>
      </c>
      <c r="Q17" s="2441">
        <v>0</v>
      </c>
      <c r="R17" s="2441">
        <v>0</v>
      </c>
      <c r="S17" s="2441"/>
      <c r="T17" s="2441"/>
      <c r="U17" s="1926">
        <v>0</v>
      </c>
      <c r="V17" s="1926">
        <v>0</v>
      </c>
      <c r="W17" s="2442">
        <f t="shared" ref="W17:W18" si="7">O17</f>
        <v>1.15E-3</v>
      </c>
      <c r="X17" s="68">
        <f>'Lighting Deemed Table'!P15</f>
        <v>19</v>
      </c>
      <c r="Y17" s="68"/>
      <c r="Z17" s="68">
        <f t="shared" ref="Z17:Z18" si="8">Y17+X17</f>
        <v>19</v>
      </c>
      <c r="AA17" s="3616">
        <f>'Lighting Deemed Table'!BB15</f>
        <v>22784.67755034447</v>
      </c>
      <c r="AB17" s="2620">
        <f>'Lighting Deemed Table'!R15</f>
        <v>9.9999999999999995E-7</v>
      </c>
      <c r="AC17" s="3617">
        <f t="shared" ref="AC17:AC18" si="9">AE17+AF17</f>
        <v>4.3407163193943124</v>
      </c>
      <c r="AD17" s="3617"/>
      <c r="AE17" s="1661">
        <f>'Lighting Deemed Table'!BD15</f>
        <v>4.3407163193943124</v>
      </c>
      <c r="AF17" s="2453"/>
      <c r="AG17" s="2453"/>
      <c r="AH17" s="2453"/>
      <c r="AI17" s="684" t="str">
        <f>'Lighting Deemed Table'!S15</f>
        <v xml:space="preserve">  per bulb</v>
      </c>
      <c r="AM17" s="2433">
        <f t="shared" si="2"/>
        <v>1.4925290000000001E-4</v>
      </c>
      <c r="AN17" s="100">
        <f t="shared" ref="AN17:AN18" si="10">AM17*I17</f>
        <v>1.1059639890000001E-3</v>
      </c>
      <c r="AO17" s="2434">
        <f t="shared" ref="AO17:AO18" si="11">AN17-O17</f>
        <v>-4.4036010999999858E-5</v>
      </c>
      <c r="AS17" s="100" t="s">
        <v>258</v>
      </c>
      <c r="AT17" s="2435">
        <v>9.4741810000000004E-4</v>
      </c>
      <c r="AU17" s="100" t="s">
        <v>258</v>
      </c>
    </row>
    <row r="18" spans="1:47" s="100" customFormat="1" x14ac:dyDescent="0.25">
      <c r="A18" s="103" t="str">
        <f t="shared" si="5"/>
        <v>200402</v>
      </c>
      <c r="B18" s="684" t="str">
        <f>'Lighting Deemed Table'!C16</f>
        <v>200402_2020_12_</v>
      </c>
      <c r="C18" s="1962" t="str">
        <f>'Lighting Deemed Table'!H16</f>
        <v>Lighting RES</v>
      </c>
      <c r="D18" s="1962"/>
      <c r="E18" s="1962"/>
      <c r="F18" s="1962"/>
      <c r="G18" s="1962" t="str">
        <f>'Lighting Deemed Table'!E16</f>
        <v xml:space="preserve">LED - 11W Flood Light BR30 Bulb (Halogen baseline) </v>
      </c>
      <c r="H18" s="63" t="str">
        <f>'Lighting Deemed Table'!D16</f>
        <v>Lighting</v>
      </c>
      <c r="I18" s="2438">
        <f>'Lighting Deemed Table'!F16</f>
        <v>50.74</v>
      </c>
      <c r="J18" s="2438">
        <v>0</v>
      </c>
      <c r="K18" s="2439">
        <v>0</v>
      </c>
      <c r="L18" s="2439">
        <v>0</v>
      </c>
      <c r="M18" s="2439">
        <v>0</v>
      </c>
      <c r="N18" s="2439">
        <v>0</v>
      </c>
      <c r="O18" s="2440">
        <f>'Lighting Deemed Table'!G16</f>
        <v>7.8689999999999993E-3</v>
      </c>
      <c r="P18" s="2440">
        <v>0</v>
      </c>
      <c r="Q18" s="2441">
        <v>0</v>
      </c>
      <c r="R18" s="2441">
        <v>0</v>
      </c>
      <c r="S18" s="2441"/>
      <c r="T18" s="2441"/>
      <c r="U18" s="1926">
        <v>0</v>
      </c>
      <c r="V18" s="1926">
        <v>0</v>
      </c>
      <c r="W18" s="2442">
        <f t="shared" si="7"/>
        <v>7.8689999999999993E-3</v>
      </c>
      <c r="X18" s="68">
        <f>'Lighting Deemed Table'!P16</f>
        <v>19</v>
      </c>
      <c r="Y18" s="68"/>
      <c r="Z18" s="68">
        <f t="shared" si="8"/>
        <v>19</v>
      </c>
      <c r="AA18" s="3616">
        <f>'Lighting Deemed Table'!BB16</f>
        <v>22792.775934594549</v>
      </c>
      <c r="AB18" s="2620">
        <f>'Lighting Deemed Table'!R16</f>
        <v>9.9999999999999995E-7</v>
      </c>
      <c r="AC18" s="3617">
        <f t="shared" si="9"/>
        <v>29.723069641844454</v>
      </c>
      <c r="AD18" s="3617"/>
      <c r="AE18" s="1661">
        <f>'Lighting Deemed Table'!BD16</f>
        <v>29.723069641844454</v>
      </c>
      <c r="AF18" s="2453"/>
      <c r="AG18" s="2453"/>
      <c r="AH18" s="2453"/>
      <c r="AI18" s="684" t="str">
        <f>'Lighting Deemed Table'!S16</f>
        <v xml:space="preserve">  per bulb</v>
      </c>
      <c r="AM18" s="2433">
        <f t="shared" si="2"/>
        <v>1.4925290000000001E-4</v>
      </c>
      <c r="AN18" s="100">
        <f t="shared" si="10"/>
        <v>7.5730921460000012E-3</v>
      </c>
      <c r="AO18" s="2434">
        <f t="shared" si="11"/>
        <v>-2.9590785399999809E-4</v>
      </c>
      <c r="AS18" s="100" t="s">
        <v>258</v>
      </c>
      <c r="AT18" s="2435">
        <v>9.4741810000000004E-4</v>
      </c>
      <c r="AU18" s="100" t="s">
        <v>258</v>
      </c>
    </row>
    <row r="19" spans="1:47" x14ac:dyDescent="0.25">
      <c r="A19" s="103" t="str">
        <f t="shared" si="5"/>
        <v>200450</v>
      </c>
      <c r="B19" s="684" t="str">
        <f>'Lighting Deemed Table'!C17</f>
        <v>200450_2019_12_</v>
      </c>
      <c r="C19" s="1962" t="str">
        <f>'Lighting Deemed Table'!H17</f>
        <v>Lighting RES</v>
      </c>
      <c r="D19" s="1962"/>
      <c r="E19" s="1962"/>
      <c r="F19" s="1962"/>
      <c r="G19" s="1962" t="str">
        <f>'Lighting Deemed Table'!E17</f>
        <v>LED - 15W Flood Light PAR30 Bulb (CFL baseline)</v>
      </c>
      <c r="H19" s="63" t="str">
        <f>'Lighting Deemed Table'!D17</f>
        <v>Lighting</v>
      </c>
      <c r="I19" s="2438">
        <f>'Lighting Deemed Table'!F17</f>
        <v>5.64</v>
      </c>
      <c r="J19" s="2438">
        <v>0</v>
      </c>
      <c r="K19" s="2439">
        <v>0</v>
      </c>
      <c r="L19" s="2439">
        <v>0</v>
      </c>
      <c r="M19" s="2439">
        <v>0</v>
      </c>
      <c r="N19" s="2439">
        <v>0</v>
      </c>
      <c r="O19" s="2440">
        <f>'Lighting Deemed Table'!G17</f>
        <v>8.7399999999999999E-4</v>
      </c>
      <c r="P19" s="2440">
        <v>0</v>
      </c>
      <c r="Q19" s="2441">
        <v>0</v>
      </c>
      <c r="R19" s="2441">
        <v>0</v>
      </c>
      <c r="S19" s="2441"/>
      <c r="T19" s="2441"/>
      <c r="U19" s="1819">
        <v>0</v>
      </c>
      <c r="V19" s="1819">
        <v>0</v>
      </c>
      <c r="W19" s="1819">
        <f t="shared" si="0"/>
        <v>8.7399999999999999E-4</v>
      </c>
      <c r="X19" s="68">
        <f>'Lighting Deemed Table'!P17</f>
        <v>19</v>
      </c>
      <c r="Y19" s="68"/>
      <c r="Z19" s="68">
        <f t="shared" si="1"/>
        <v>19</v>
      </c>
      <c r="AA19" s="3616">
        <f>'Lighting Deemed Table'!BB17</f>
        <v>22801.760079621981</v>
      </c>
      <c r="AB19" s="2620">
        <f>'Lighting Deemed Table'!R17</f>
        <v>9.9999999999999995E-7</v>
      </c>
      <c r="AC19" s="3617">
        <f t="shared" si="6"/>
        <v>3.3038650528183426</v>
      </c>
      <c r="AD19" s="3617"/>
      <c r="AE19" s="1661">
        <f>'Lighting Deemed Table'!BD17</f>
        <v>3.3038650528183426</v>
      </c>
      <c r="AF19" s="2453"/>
      <c r="AG19" s="2453"/>
      <c r="AH19" s="2453"/>
      <c r="AI19" s="684" t="str">
        <f>'Lighting Deemed Table'!S17</f>
        <v xml:space="preserve">  per bulb</v>
      </c>
      <c r="AJ19" s="1930"/>
      <c r="AK19" s="1930"/>
      <c r="AL19" s="1930"/>
      <c r="AM19" s="1972">
        <f t="shared" si="2"/>
        <v>1.4925290000000001E-4</v>
      </c>
      <c r="AN19" s="1930">
        <f t="shared" si="3"/>
        <v>8.4178635599999995E-4</v>
      </c>
      <c r="AO19" s="1802">
        <f t="shared" si="4"/>
        <v>-3.221364400000004E-5</v>
      </c>
      <c r="AP19" s="1930"/>
      <c r="AQ19" s="1930"/>
      <c r="AR19" s="1930"/>
      <c r="AS19" s="1930" t="s">
        <v>879</v>
      </c>
      <c r="AT19" s="1806">
        <v>9.4741810000000004E-4</v>
      </c>
      <c r="AU19" s="1930" t="s">
        <v>879</v>
      </c>
    </row>
    <row r="20" spans="1:47" x14ac:dyDescent="0.25">
      <c r="A20" s="103" t="str">
        <f t="shared" si="5"/>
        <v>200500</v>
      </c>
      <c r="B20" s="684" t="str">
        <f>'Lighting Deemed Table'!C18</f>
        <v>200500_2019_12_</v>
      </c>
      <c r="C20" s="1962" t="str">
        <f>'Lighting Deemed Table'!H18</f>
        <v>Lighting RES</v>
      </c>
      <c r="D20" s="1962"/>
      <c r="E20" s="1962"/>
      <c r="F20" s="1962"/>
      <c r="G20" s="1962" t="str">
        <f>'Lighting Deemed Table'!E18</f>
        <v>LED - 15W Flood Light PAR30 Bulb (Halogen baseline)</v>
      </c>
      <c r="H20" s="63" t="str">
        <f>'Lighting Deemed Table'!D18</f>
        <v>Lighting</v>
      </c>
      <c r="I20" s="2438">
        <f>'Lighting Deemed Table'!F18</f>
        <v>48.2</v>
      </c>
      <c r="J20" s="2438">
        <v>0</v>
      </c>
      <c r="K20" s="2439">
        <v>0</v>
      </c>
      <c r="L20" s="2439">
        <v>0</v>
      </c>
      <c r="M20" s="2439">
        <v>0</v>
      </c>
      <c r="N20" s="2439">
        <v>0</v>
      </c>
      <c r="O20" s="2440">
        <f>'Lighting Deemed Table'!G18</f>
        <v>7.4749999999999999E-3</v>
      </c>
      <c r="P20" s="2440">
        <v>0</v>
      </c>
      <c r="Q20" s="2441">
        <v>0</v>
      </c>
      <c r="R20" s="2441">
        <v>0</v>
      </c>
      <c r="S20" s="2441"/>
      <c r="T20" s="2441"/>
      <c r="U20" s="1819">
        <v>0</v>
      </c>
      <c r="V20" s="1819">
        <v>0</v>
      </c>
      <c r="W20" s="1819">
        <f t="shared" si="0"/>
        <v>7.4749999999999999E-3</v>
      </c>
      <c r="X20" s="68">
        <f>'Lighting Deemed Table'!P18</f>
        <v>19</v>
      </c>
      <c r="Y20" s="68"/>
      <c r="Z20" s="68">
        <f t="shared" si="1"/>
        <v>19</v>
      </c>
      <c r="AA20" s="3616">
        <f>'Lighting Deemed Table'!BB18</f>
        <v>22791.357385379692</v>
      </c>
      <c r="AB20" s="2620">
        <f>'Lighting Deemed Table'!R18</f>
        <v>9.9999999999999995E-7</v>
      </c>
      <c r="AC20" s="3617">
        <f t="shared" si="6"/>
        <v>28.235158784724138</v>
      </c>
      <c r="AD20" s="3617"/>
      <c r="AE20" s="1661">
        <f>'Lighting Deemed Table'!BD18</f>
        <v>28.235158784724138</v>
      </c>
      <c r="AF20" s="2453"/>
      <c r="AG20" s="2453"/>
      <c r="AH20" s="2453"/>
      <c r="AI20" s="684" t="str">
        <f>'Lighting Deemed Table'!S18</f>
        <v xml:space="preserve">  per bulb</v>
      </c>
      <c r="AJ20" s="1930"/>
      <c r="AK20" s="1930"/>
      <c r="AL20" s="1930"/>
      <c r="AM20" s="1972">
        <f t="shared" si="2"/>
        <v>1.4925290000000001E-4</v>
      </c>
      <c r="AN20" s="1930">
        <f t="shared" si="3"/>
        <v>7.1939897800000008E-3</v>
      </c>
      <c r="AO20" s="1802">
        <f t="shared" si="4"/>
        <v>-2.8101021999999906E-4</v>
      </c>
      <c r="AP20" s="1930"/>
      <c r="AQ20" s="1930"/>
      <c r="AR20" s="1930"/>
      <c r="AS20" s="1930" t="s">
        <v>4054</v>
      </c>
      <c r="AT20" s="1806">
        <v>8.4921199999999996E-5</v>
      </c>
      <c r="AU20" s="1930" t="s">
        <v>4054</v>
      </c>
    </row>
    <row r="21" spans="1:47" x14ac:dyDescent="0.25">
      <c r="A21" s="103" t="str">
        <f t="shared" si="5"/>
        <v>200550</v>
      </c>
      <c r="B21" s="684" t="str">
        <f>'Lighting Deemed Table'!C19</f>
        <v>200550_2019_12_</v>
      </c>
      <c r="C21" s="1962" t="str">
        <f>'Lighting Deemed Table'!H19</f>
        <v>Lighting RES</v>
      </c>
      <c r="D21" s="1962"/>
      <c r="E21" s="1962"/>
      <c r="F21" s="1962"/>
      <c r="G21" s="1962" t="str">
        <f>'Lighting Deemed Table'!E19</f>
        <v>LED - 18W Flood Light PAR30 Bulb (CFL baseline)</v>
      </c>
      <c r="H21" s="63" t="str">
        <f>'Lighting Deemed Table'!D19</f>
        <v>Lighting</v>
      </c>
      <c r="I21" s="2438">
        <f>'Lighting Deemed Table'!F19</f>
        <v>4.7</v>
      </c>
      <c r="J21" s="2438">
        <v>0</v>
      </c>
      <c r="K21" s="2439">
        <v>0</v>
      </c>
      <c r="L21" s="2439">
        <v>0</v>
      </c>
      <c r="M21" s="2439">
        <v>0</v>
      </c>
      <c r="N21" s="2439">
        <v>0</v>
      </c>
      <c r="O21" s="2440">
        <f>'Lighting Deemed Table'!G19</f>
        <v>7.2900000000000005E-4</v>
      </c>
      <c r="P21" s="2440">
        <v>0</v>
      </c>
      <c r="Q21" s="2441">
        <v>0</v>
      </c>
      <c r="R21" s="2441">
        <v>0</v>
      </c>
      <c r="S21" s="2441"/>
      <c r="T21" s="2441"/>
      <c r="U21" s="1819">
        <v>0</v>
      </c>
      <c r="V21" s="1819">
        <v>0</v>
      </c>
      <c r="W21" s="1819">
        <f t="shared" si="0"/>
        <v>7.2900000000000005E-4</v>
      </c>
      <c r="X21" s="68">
        <f>'Lighting Deemed Table'!P19</f>
        <v>19</v>
      </c>
      <c r="Y21" s="68"/>
      <c r="Z21" s="68">
        <f t="shared" si="1"/>
        <v>19</v>
      </c>
      <c r="AA21" s="3616">
        <f>'Lighting Deemed Table'!BB19</f>
        <v>22801.760079621985</v>
      </c>
      <c r="AB21" s="2620">
        <f>'Lighting Deemed Table'!R19</f>
        <v>9.9999999999999995E-7</v>
      </c>
      <c r="AC21" s="3617">
        <f t="shared" si="6"/>
        <v>2.7532208773486193</v>
      </c>
      <c r="AD21" s="3617"/>
      <c r="AE21" s="1661">
        <f>'Lighting Deemed Table'!BD19</f>
        <v>2.7532208773486193</v>
      </c>
      <c r="AF21" s="2453"/>
      <c r="AG21" s="2453"/>
      <c r="AH21" s="2453"/>
      <c r="AI21" s="684" t="str">
        <f>'Lighting Deemed Table'!S19</f>
        <v xml:space="preserve">  per bulb</v>
      </c>
      <c r="AJ21" s="1930"/>
      <c r="AK21" s="1930"/>
      <c r="AL21" s="1930"/>
      <c r="AM21" s="1972">
        <f t="shared" si="2"/>
        <v>1.4925290000000001E-4</v>
      </c>
      <c r="AN21" s="1930">
        <f t="shared" si="3"/>
        <v>7.0148863000000009E-4</v>
      </c>
      <c r="AO21" s="1802">
        <f t="shared" si="4"/>
        <v>-2.751136999999996E-5</v>
      </c>
      <c r="AP21" s="1930"/>
      <c r="AQ21" s="1930"/>
      <c r="AR21" s="1930"/>
      <c r="AS21" s="1930" t="s">
        <v>2590</v>
      </c>
      <c r="AT21" s="1806">
        <v>1.6857220000000001E-4</v>
      </c>
      <c r="AU21" s="1930" t="s">
        <v>2590</v>
      </c>
    </row>
    <row r="22" spans="1:47" x14ac:dyDescent="0.25">
      <c r="A22" s="103" t="str">
        <f t="shared" si="5"/>
        <v>200600</v>
      </c>
      <c r="B22" s="684" t="str">
        <f>'Lighting Deemed Table'!C20</f>
        <v>200600_2019_12_</v>
      </c>
      <c r="C22" s="1962" t="str">
        <f>'Lighting Deemed Table'!H20</f>
        <v>Lighting RES</v>
      </c>
      <c r="D22" s="1962"/>
      <c r="E22" s="1962"/>
      <c r="F22" s="1962"/>
      <c r="G22" s="1962" t="str">
        <f>'Lighting Deemed Table'!E20</f>
        <v>LED - 18W Flood Light PAR38 Bulb (Halogen baseline)</v>
      </c>
      <c r="H22" s="63" t="str">
        <f>'Lighting Deemed Table'!D20</f>
        <v>Lighting</v>
      </c>
      <c r="I22" s="2438">
        <f>'Lighting Deemed Table'!F20</f>
        <v>77.040000000000006</v>
      </c>
      <c r="J22" s="2438">
        <v>0</v>
      </c>
      <c r="K22" s="2439">
        <v>0</v>
      </c>
      <c r="L22" s="2439">
        <v>0</v>
      </c>
      <c r="M22" s="2439">
        <v>0</v>
      </c>
      <c r="N22" s="2439">
        <v>0</v>
      </c>
      <c r="O22" s="2440">
        <f>'Lighting Deemed Table'!G20</f>
        <v>1.1949E-2</v>
      </c>
      <c r="P22" s="2440">
        <v>0</v>
      </c>
      <c r="Q22" s="2441">
        <v>0</v>
      </c>
      <c r="R22" s="2441">
        <v>0</v>
      </c>
      <c r="S22" s="2441"/>
      <c r="T22" s="2441"/>
      <c r="U22" s="1819">
        <v>0</v>
      </c>
      <c r="V22" s="1819">
        <v>0</v>
      </c>
      <c r="W22" s="1819">
        <f t="shared" si="0"/>
        <v>1.1949E-2</v>
      </c>
      <c r="X22" s="68">
        <f>'Lighting Deemed Table'!P20</f>
        <v>19</v>
      </c>
      <c r="Y22" s="68"/>
      <c r="Z22" s="68">
        <f t="shared" si="1"/>
        <v>19</v>
      </c>
      <c r="AA22" s="3616">
        <f>'Lighting Deemed Table'!BB20</f>
        <v>22789.927303244393</v>
      </c>
      <c r="AB22" s="2620">
        <f>'Lighting Deemed Table'!R20</f>
        <v>9.9999999999999995E-7</v>
      </c>
      <c r="AC22" s="3617">
        <f t="shared" si="6"/>
        <v>45.129390721476092</v>
      </c>
      <c r="AD22" s="3617"/>
      <c r="AE22" s="1661">
        <f>'Lighting Deemed Table'!BD20</f>
        <v>45.129390721476092</v>
      </c>
      <c r="AF22" s="2453"/>
      <c r="AG22" s="2453"/>
      <c r="AH22" s="2453"/>
      <c r="AI22" s="684" t="str">
        <f>'Lighting Deemed Table'!S20</f>
        <v xml:space="preserve">  per bulb</v>
      </c>
      <c r="AJ22" s="1930"/>
      <c r="AK22" s="1930"/>
      <c r="AL22" s="1930"/>
      <c r="AM22" s="1972">
        <f t="shared" si="2"/>
        <v>1.4925290000000001E-4</v>
      </c>
      <c r="AN22" s="1930">
        <f t="shared" si="3"/>
        <v>1.1498443416000002E-2</v>
      </c>
      <c r="AO22" s="1802">
        <f t="shared" si="4"/>
        <v>-4.5055658399999719E-4</v>
      </c>
      <c r="AP22" s="1930"/>
      <c r="AQ22" s="1930"/>
      <c r="AR22" s="1930"/>
      <c r="AS22" s="1930" t="s">
        <v>4055</v>
      </c>
      <c r="AT22" s="1806">
        <v>1.6857220000000001E-4</v>
      </c>
      <c r="AU22" s="1930" t="s">
        <v>4055</v>
      </c>
    </row>
    <row r="23" spans="1:47" x14ac:dyDescent="0.25">
      <c r="A23" s="103" t="str">
        <f t="shared" si="5"/>
        <v>200650</v>
      </c>
      <c r="B23" s="684" t="str">
        <f>'Lighting Deemed Table'!C21</f>
        <v>200650_2019_12_</v>
      </c>
      <c r="C23" s="1962" t="str">
        <f>'Lighting Deemed Table'!H21</f>
        <v>Lighting RES</v>
      </c>
      <c r="D23" s="1962"/>
      <c r="E23" s="1962"/>
      <c r="F23" s="1962"/>
      <c r="G23" s="1962" t="str">
        <f>'Lighting Deemed Table'!E21</f>
        <v>LED - 20W (CFL baseline) (1490-2600 lumens)</v>
      </c>
      <c r="H23" s="63" t="str">
        <f>'Lighting Deemed Table'!D21</f>
        <v>Lighting</v>
      </c>
      <c r="I23" s="2438">
        <f>'Lighting Deemed Table'!F21</f>
        <v>9.02</v>
      </c>
      <c r="J23" s="2438">
        <v>0</v>
      </c>
      <c r="K23" s="2439">
        <v>0</v>
      </c>
      <c r="L23" s="2439">
        <v>0</v>
      </c>
      <c r="M23" s="2439">
        <v>0</v>
      </c>
      <c r="N23" s="2439">
        <v>0</v>
      </c>
      <c r="O23" s="2440">
        <f>'Lighting Deemed Table'!G21</f>
        <v>1.3990000000000001E-3</v>
      </c>
      <c r="P23" s="2440">
        <v>0</v>
      </c>
      <c r="Q23" s="2441">
        <v>0</v>
      </c>
      <c r="R23" s="2441">
        <v>0</v>
      </c>
      <c r="S23" s="2441"/>
      <c r="T23" s="2441"/>
      <c r="U23" s="1819">
        <v>0</v>
      </c>
      <c r="V23" s="1819">
        <v>0</v>
      </c>
      <c r="W23" s="1819">
        <f t="shared" si="0"/>
        <v>1.3990000000000001E-3</v>
      </c>
      <c r="X23" s="68">
        <f>'Lighting Deemed Table'!P21</f>
        <v>19</v>
      </c>
      <c r="Y23" s="68"/>
      <c r="Z23" s="68">
        <f t="shared" si="1"/>
        <v>19</v>
      </c>
      <c r="AA23" s="3616">
        <f>'Lighting Deemed Table'!BB21</f>
        <v>22791.652916466119</v>
      </c>
      <c r="AB23" s="2620">
        <f>'Lighting Deemed Table'!R21</f>
        <v>9.9999999999999995E-7</v>
      </c>
      <c r="AC23" s="3617">
        <f t="shared" si="6"/>
        <v>5.2838409178052217</v>
      </c>
      <c r="AD23" s="3617"/>
      <c r="AE23" s="1661">
        <f>'Lighting Deemed Table'!BD21</f>
        <v>5.2838409178052217</v>
      </c>
      <c r="AF23" s="2453"/>
      <c r="AG23" s="2453"/>
      <c r="AH23" s="2453"/>
      <c r="AI23" s="684" t="str">
        <f>'Lighting Deemed Table'!S21</f>
        <v xml:space="preserve">  per bulb</v>
      </c>
      <c r="AJ23" s="1930"/>
      <c r="AK23" s="1930"/>
      <c r="AL23" s="1930"/>
      <c r="AM23" s="1972">
        <f t="shared" si="2"/>
        <v>1.4925290000000001E-4</v>
      </c>
      <c r="AN23" s="1930">
        <f t="shared" si="3"/>
        <v>1.3462611580000001E-3</v>
      </c>
      <c r="AO23" s="1802">
        <f t="shared" si="4"/>
        <v>-5.2738841999999979E-5</v>
      </c>
      <c r="AP23" s="1930"/>
      <c r="AQ23" s="1930"/>
      <c r="AR23" s="1930"/>
      <c r="AS23" s="1930" t="s">
        <v>259</v>
      </c>
      <c r="AT23" s="1806">
        <v>0</v>
      </c>
      <c r="AU23" s="1930" t="s">
        <v>259</v>
      </c>
    </row>
    <row r="24" spans="1:47" x14ac:dyDescent="0.25">
      <c r="A24" s="103" t="str">
        <f t="shared" si="5"/>
        <v>200700</v>
      </c>
      <c r="B24" s="684" t="str">
        <f>'Lighting Deemed Table'!C22</f>
        <v>200700_2019_12_</v>
      </c>
      <c r="C24" s="1962" t="str">
        <f>'Lighting Deemed Table'!H22</f>
        <v>Lighting RES</v>
      </c>
      <c r="D24" s="1962"/>
      <c r="E24" s="1962"/>
      <c r="F24" s="1962"/>
      <c r="G24" s="1962" t="str">
        <f>'Lighting Deemed Table'!E22</f>
        <v>LED - 20W (Halogen baseline) (1490-2600 lumens)</v>
      </c>
      <c r="H24" s="63" t="str">
        <f>'Lighting Deemed Table'!D22</f>
        <v>Lighting</v>
      </c>
      <c r="I24" s="2438">
        <f>'Lighting Deemed Table'!F22</f>
        <v>53.37</v>
      </c>
      <c r="J24" s="2438">
        <v>0</v>
      </c>
      <c r="K24" s="2439">
        <v>0</v>
      </c>
      <c r="L24" s="2439">
        <v>0</v>
      </c>
      <c r="M24" s="2439">
        <v>0</v>
      </c>
      <c r="N24" s="2439">
        <v>0</v>
      </c>
      <c r="O24" s="2440">
        <f>'Lighting Deemed Table'!G22</f>
        <v>8.2769999999999996E-3</v>
      </c>
      <c r="P24" s="2440">
        <v>0</v>
      </c>
      <c r="Q24" s="2441">
        <v>0</v>
      </c>
      <c r="R24" s="2441">
        <v>0</v>
      </c>
      <c r="S24" s="2441"/>
      <c r="T24" s="2441"/>
      <c r="U24" s="1819">
        <v>0</v>
      </c>
      <c r="V24" s="1819">
        <v>0</v>
      </c>
      <c r="W24" s="1819">
        <f t="shared" si="0"/>
        <v>8.2769999999999996E-3</v>
      </c>
      <c r="X24" s="68">
        <f>'Lighting Deemed Table'!P22</f>
        <v>19</v>
      </c>
      <c r="Y24" s="68"/>
      <c r="Z24" s="68">
        <f t="shared" si="1"/>
        <v>19</v>
      </c>
      <c r="AA24" s="3616">
        <f>'Lighting Deemed Table'!BB22</f>
        <v>22792.364688519352</v>
      </c>
      <c r="AB24" s="2620">
        <f>'Lighting Deemed Table'!R22</f>
        <v>9.9999999999999995E-7</v>
      </c>
      <c r="AC24" s="3617">
        <f t="shared" si="6"/>
        <v>31.263701749807616</v>
      </c>
      <c r="AD24" s="3617"/>
      <c r="AE24" s="1661">
        <f>'Lighting Deemed Table'!BD22</f>
        <v>31.263701749807616</v>
      </c>
      <c r="AF24" s="2453"/>
      <c r="AG24" s="2453"/>
      <c r="AH24" s="2453"/>
      <c r="AI24" s="684" t="str">
        <f>'Lighting Deemed Table'!S22</f>
        <v xml:space="preserve">  per bulb</v>
      </c>
      <c r="AJ24" s="1930"/>
      <c r="AK24" s="1930"/>
      <c r="AL24" s="1930"/>
      <c r="AM24" s="1972">
        <f t="shared" si="2"/>
        <v>1.4925290000000001E-4</v>
      </c>
      <c r="AN24" s="1930">
        <f t="shared" si="3"/>
        <v>7.9656272730000005E-3</v>
      </c>
      <c r="AO24" s="1802">
        <f t="shared" si="4"/>
        <v>-3.1137272699999913E-4</v>
      </c>
      <c r="AP24" s="1930"/>
      <c r="AQ24" s="1930"/>
      <c r="AR24" s="1930"/>
      <c r="AS24" s="1930" t="s">
        <v>1036</v>
      </c>
      <c r="AT24" s="1806">
        <v>0</v>
      </c>
      <c r="AU24" s="1930" t="s">
        <v>1036</v>
      </c>
    </row>
    <row r="25" spans="1:47" x14ac:dyDescent="0.25">
      <c r="A25" s="103" t="str">
        <f t="shared" si="5"/>
        <v>200750</v>
      </c>
      <c r="B25" s="684" t="str">
        <f>'Lighting Deemed Table'!C23</f>
        <v>200750_2019_12_</v>
      </c>
      <c r="C25" s="1962" t="str">
        <f>'Lighting Deemed Table'!H23</f>
        <v>Lighting RES</v>
      </c>
      <c r="D25" s="1962"/>
      <c r="E25" s="1962"/>
      <c r="F25" s="1962"/>
      <c r="G25" s="1962" t="str">
        <f>'Lighting Deemed Table'!E23</f>
        <v>LED - 4W Candelabra (CFL baseline)</v>
      </c>
      <c r="H25" s="63" t="str">
        <f>'Lighting Deemed Table'!D23</f>
        <v>Lighting</v>
      </c>
      <c r="I25" s="2438">
        <f>'Lighting Deemed Table'!F23</f>
        <v>4.7</v>
      </c>
      <c r="J25" s="2438">
        <v>0</v>
      </c>
      <c r="K25" s="2439">
        <v>0</v>
      </c>
      <c r="L25" s="2439">
        <v>0</v>
      </c>
      <c r="M25" s="2439">
        <v>0</v>
      </c>
      <c r="N25" s="2439">
        <v>0</v>
      </c>
      <c r="O25" s="2440">
        <f>'Lighting Deemed Table'!G23</f>
        <v>7.2900000000000005E-4</v>
      </c>
      <c r="P25" s="2440">
        <v>0</v>
      </c>
      <c r="Q25" s="2441">
        <v>0</v>
      </c>
      <c r="R25" s="2441">
        <v>0</v>
      </c>
      <c r="S25" s="2441"/>
      <c r="T25" s="2441"/>
      <c r="U25" s="1819">
        <v>0</v>
      </c>
      <c r="V25" s="1819">
        <v>0</v>
      </c>
      <c r="W25" s="1819">
        <f t="shared" si="0"/>
        <v>7.2900000000000005E-4</v>
      </c>
      <c r="X25" s="68">
        <f>'Lighting Deemed Table'!P23</f>
        <v>19</v>
      </c>
      <c r="Y25" s="68"/>
      <c r="Z25" s="68">
        <f t="shared" si="1"/>
        <v>19</v>
      </c>
      <c r="AA25" s="3616">
        <f>'Lighting Deemed Table'!BB23</f>
        <v>22801.760079621985</v>
      </c>
      <c r="AB25" s="2620">
        <f>'Lighting Deemed Table'!R23</f>
        <v>9.9999999999999995E-7</v>
      </c>
      <c r="AC25" s="3617">
        <f t="shared" si="6"/>
        <v>2.7532208773486193</v>
      </c>
      <c r="AD25" s="3617"/>
      <c r="AE25" s="1661">
        <f>'Lighting Deemed Table'!BD23</f>
        <v>2.7532208773486193</v>
      </c>
      <c r="AF25" s="2453"/>
      <c r="AG25" s="2453"/>
      <c r="AH25" s="2453"/>
      <c r="AI25" s="684" t="str">
        <f>'Lighting Deemed Table'!S23</f>
        <v xml:space="preserve">  per bulb</v>
      </c>
      <c r="AJ25" s="1930"/>
      <c r="AK25" s="1930"/>
      <c r="AL25" s="1930"/>
      <c r="AM25" s="1972">
        <f t="shared" si="2"/>
        <v>1.4925290000000001E-4</v>
      </c>
      <c r="AN25" s="1930">
        <f t="shared" si="3"/>
        <v>7.0148863000000009E-4</v>
      </c>
      <c r="AO25" s="1802">
        <f t="shared" si="4"/>
        <v>-2.751136999999996E-5</v>
      </c>
      <c r="AP25" s="1930"/>
      <c r="AQ25" s="1930"/>
      <c r="AR25" s="1930"/>
      <c r="AS25" s="1930" t="s">
        <v>438</v>
      </c>
      <c r="AT25" s="1806">
        <v>4.6608050000000002E-4</v>
      </c>
      <c r="AU25" s="1930" t="s">
        <v>438</v>
      </c>
    </row>
    <row r="26" spans="1:47" x14ac:dyDescent="0.25">
      <c r="A26" s="103" t="str">
        <f t="shared" si="5"/>
        <v>200800</v>
      </c>
      <c r="B26" s="684" t="str">
        <f>'Lighting Deemed Table'!C24</f>
        <v>200800_2019_12_</v>
      </c>
      <c r="C26" s="1962" t="str">
        <f>'Lighting Deemed Table'!H24</f>
        <v>Lighting RES</v>
      </c>
      <c r="D26" s="1962"/>
      <c r="E26" s="1962"/>
      <c r="F26" s="1962"/>
      <c r="G26" s="1962" t="str">
        <f>'Lighting Deemed Table'!E24</f>
        <v>LED - 4W Candelabra (Replacing Specialty Incandescent)</v>
      </c>
      <c r="H26" s="63" t="str">
        <f>'Lighting Deemed Table'!D24</f>
        <v>Lighting</v>
      </c>
      <c r="I26" s="2438">
        <f>'Lighting Deemed Table'!F24</f>
        <v>32.880000000000003</v>
      </c>
      <c r="J26" s="2438">
        <v>0</v>
      </c>
      <c r="K26" s="2439">
        <v>0</v>
      </c>
      <c r="L26" s="2439">
        <v>0</v>
      </c>
      <c r="M26" s="2439">
        <v>0</v>
      </c>
      <c r="N26" s="2439">
        <v>0</v>
      </c>
      <c r="O26" s="2440">
        <f>'Lighting Deemed Table'!G24</f>
        <v>5.1000000000000004E-3</v>
      </c>
      <c r="P26" s="2440">
        <v>0</v>
      </c>
      <c r="Q26" s="2441">
        <v>0</v>
      </c>
      <c r="R26" s="2441">
        <v>0</v>
      </c>
      <c r="S26" s="2441"/>
      <c r="T26" s="2441"/>
      <c r="U26" s="1819">
        <v>0</v>
      </c>
      <c r="V26" s="1819">
        <v>0</v>
      </c>
      <c r="W26" s="1819">
        <f t="shared" si="0"/>
        <v>5.1000000000000004E-3</v>
      </c>
      <c r="X26" s="68">
        <f>'Lighting Deemed Table'!P24</f>
        <v>19</v>
      </c>
      <c r="Y26" s="68"/>
      <c r="Z26" s="68">
        <f t="shared" si="1"/>
        <v>19</v>
      </c>
      <c r="AA26" s="3616">
        <f>'Lighting Deemed Table'!BB24</f>
        <v>22787.89882729395</v>
      </c>
      <c r="AB26" s="2620">
        <f>'Lighting Deemed Table'!R24</f>
        <v>9.9999999999999995E-7</v>
      </c>
      <c r="AC26" s="3617">
        <f t="shared" si="6"/>
        <v>19.260830307919704</v>
      </c>
      <c r="AD26" s="3617"/>
      <c r="AE26" s="1661">
        <f>'Lighting Deemed Table'!BD24</f>
        <v>19.260830307919704</v>
      </c>
      <c r="AF26" s="2453"/>
      <c r="AG26" s="2453"/>
      <c r="AH26" s="2453"/>
      <c r="AI26" s="684" t="str">
        <f>'Lighting Deemed Table'!S24</f>
        <v xml:space="preserve">  per bulb</v>
      </c>
      <c r="AJ26" s="1930"/>
      <c r="AK26" s="1930"/>
      <c r="AL26" s="1930"/>
      <c r="AM26" s="1972">
        <f t="shared" si="2"/>
        <v>1.4925290000000001E-4</v>
      </c>
      <c r="AN26" s="1930">
        <f t="shared" si="3"/>
        <v>4.9074353520000003E-3</v>
      </c>
      <c r="AO26" s="1802">
        <f t="shared" si="4"/>
        <v>-1.9256464800000012E-4</v>
      </c>
      <c r="AP26" s="1930"/>
      <c r="AQ26" s="1930"/>
      <c r="AR26" s="1930"/>
      <c r="AS26" s="1930" t="s">
        <v>2473</v>
      </c>
      <c r="AT26" s="1806">
        <v>4.6608050000000002E-4</v>
      </c>
      <c r="AU26" s="1930" t="s">
        <v>2473</v>
      </c>
    </row>
    <row r="27" spans="1:47" x14ac:dyDescent="0.25">
      <c r="A27" s="103" t="str">
        <f t="shared" si="5"/>
        <v>200850</v>
      </c>
      <c r="B27" s="684" t="str">
        <f>'Lighting Deemed Table'!C25</f>
        <v>200850_2019_12_</v>
      </c>
      <c r="C27" s="1962" t="str">
        <f>'Lighting Deemed Table'!H25</f>
        <v>Lighting RES</v>
      </c>
      <c r="D27" s="1962"/>
      <c r="E27" s="1962"/>
      <c r="F27" s="1962"/>
      <c r="G27" s="1962" t="str">
        <f>'Lighting Deemed Table'!E25</f>
        <v>LED - 8W Globe Light G25 Bulb (Replacing CFL)</v>
      </c>
      <c r="H27" s="63" t="str">
        <f>'Lighting Deemed Table'!D25</f>
        <v>Lighting</v>
      </c>
      <c r="I27" s="2438">
        <f>'Lighting Deemed Table'!F25</f>
        <v>5.45</v>
      </c>
      <c r="J27" s="2438">
        <v>0</v>
      </c>
      <c r="K27" s="2439">
        <v>0</v>
      </c>
      <c r="L27" s="2439">
        <v>0</v>
      </c>
      <c r="M27" s="2439">
        <v>0</v>
      </c>
      <c r="N27" s="2439">
        <v>0</v>
      </c>
      <c r="O27" s="2440">
        <f>'Lighting Deemed Table'!G25</f>
        <v>8.4500000000000005E-4</v>
      </c>
      <c r="P27" s="2440">
        <v>0</v>
      </c>
      <c r="Q27" s="2441">
        <v>0</v>
      </c>
      <c r="R27" s="2441">
        <v>0</v>
      </c>
      <c r="S27" s="2441"/>
      <c r="T27" s="2441"/>
      <c r="U27" s="1819">
        <v>0</v>
      </c>
      <c r="V27" s="1819">
        <v>0</v>
      </c>
      <c r="W27" s="1819">
        <f t="shared" si="0"/>
        <v>8.4500000000000005E-4</v>
      </c>
      <c r="X27" s="68">
        <f>'Lighting Deemed Table'!P25</f>
        <v>19</v>
      </c>
      <c r="Y27" s="68"/>
      <c r="Z27" s="68">
        <f t="shared" si="1"/>
        <v>19</v>
      </c>
      <c r="AA27" s="3616">
        <f>'Lighting Deemed Table'!BB25</f>
        <v>22793.395530803344</v>
      </c>
      <c r="AB27" s="2620">
        <f>'Lighting Deemed Table'!R25</f>
        <v>9.9999999999999995E-7</v>
      </c>
      <c r="AC27" s="3617">
        <f t="shared" si="6"/>
        <v>3.1925646343723351</v>
      </c>
      <c r="AD27" s="3617"/>
      <c r="AE27" s="1661">
        <f>'Lighting Deemed Table'!BD25</f>
        <v>3.1925646343723351</v>
      </c>
      <c r="AF27" s="2453"/>
      <c r="AG27" s="2453"/>
      <c r="AH27" s="2453"/>
      <c r="AI27" s="684" t="str">
        <f>'Lighting Deemed Table'!S25</f>
        <v xml:space="preserve">  per bulb</v>
      </c>
      <c r="AJ27" s="1930"/>
      <c r="AK27" s="1930"/>
      <c r="AL27" s="1930"/>
      <c r="AM27" s="1972">
        <f t="shared" si="2"/>
        <v>1.4925290000000001E-4</v>
      </c>
      <c r="AN27" s="1930">
        <f t="shared" si="3"/>
        <v>8.1342830500000013E-4</v>
      </c>
      <c r="AO27" s="1802">
        <f t="shared" si="4"/>
        <v>-3.157169499999992E-5</v>
      </c>
      <c r="AP27" s="1930"/>
      <c r="AQ27" s="1930"/>
      <c r="AR27" s="1930"/>
      <c r="AS27" s="1930" t="s">
        <v>54</v>
      </c>
      <c r="AT27" s="1806">
        <v>1.4925290000000001E-4</v>
      </c>
      <c r="AU27" s="1930" t="s">
        <v>54</v>
      </c>
    </row>
    <row r="28" spans="1:47" x14ac:dyDescent="0.25">
      <c r="A28" s="103" t="str">
        <f t="shared" si="5"/>
        <v>200900</v>
      </c>
      <c r="B28" s="684" t="str">
        <f>'Lighting Deemed Table'!C26</f>
        <v>200900_2019_12_</v>
      </c>
      <c r="C28" s="1962" t="str">
        <f>'Lighting Deemed Table'!H26</f>
        <v>Lighting RES</v>
      </c>
      <c r="D28" s="1962"/>
      <c r="E28" s="1962"/>
      <c r="F28" s="1962"/>
      <c r="G28" s="1962" t="str">
        <f>'Lighting Deemed Table'!E26</f>
        <v>LED - 8W Globe Light G25 Bulb (Replacing Specialty Incandescent)</v>
      </c>
      <c r="H28" s="63" t="str">
        <f>'Lighting Deemed Table'!D26</f>
        <v>Lighting</v>
      </c>
      <c r="I28" s="2438">
        <f>'Lighting Deemed Table'!F26</f>
        <v>34.01</v>
      </c>
      <c r="J28" s="2438">
        <v>0</v>
      </c>
      <c r="K28" s="2439">
        <v>0</v>
      </c>
      <c r="L28" s="2439">
        <v>0</v>
      </c>
      <c r="M28" s="2439">
        <v>0</v>
      </c>
      <c r="N28" s="2439">
        <v>0</v>
      </c>
      <c r="O28" s="2440">
        <f>'Lighting Deemed Table'!G26</f>
        <v>5.2750000000000002E-3</v>
      </c>
      <c r="P28" s="2440">
        <v>0</v>
      </c>
      <c r="Q28" s="2441">
        <v>0</v>
      </c>
      <c r="R28" s="2441">
        <v>0</v>
      </c>
      <c r="S28" s="2441"/>
      <c r="T28" s="2441"/>
      <c r="U28" s="1819">
        <v>0</v>
      </c>
      <c r="V28" s="1819">
        <v>0</v>
      </c>
      <c r="W28" s="1819">
        <f t="shared" si="0"/>
        <v>5.2750000000000002E-3</v>
      </c>
      <c r="X28" s="68">
        <f>'Lighting Deemed Table'!P26</f>
        <v>19</v>
      </c>
      <c r="Y28" s="68"/>
      <c r="Z28" s="68">
        <f t="shared" si="1"/>
        <v>19</v>
      </c>
      <c r="AA28" s="3616">
        <f>'Lighting Deemed Table'!BB26</f>
        <v>22789.698492651452</v>
      </c>
      <c r="AB28" s="2620">
        <f>'Lighting Deemed Table'!R26</f>
        <v>9.9999999999999995E-7</v>
      </c>
      <c r="AC28" s="3617">
        <f t="shared" si="6"/>
        <v>19.922774901835432</v>
      </c>
      <c r="AD28" s="3617"/>
      <c r="AE28" s="1661">
        <f>'Lighting Deemed Table'!BD26</f>
        <v>19.922774901835432</v>
      </c>
      <c r="AF28" s="2453"/>
      <c r="AG28" s="2453"/>
      <c r="AH28" s="2453"/>
      <c r="AI28" s="684" t="str">
        <f>'Lighting Deemed Table'!S26</f>
        <v xml:space="preserve">  per bulb</v>
      </c>
      <c r="AJ28" s="1930"/>
      <c r="AK28" s="1930"/>
      <c r="AL28" s="1930"/>
      <c r="AM28" s="1972">
        <f t="shared" si="2"/>
        <v>1.4925290000000001E-4</v>
      </c>
      <c r="AN28" s="1930">
        <f t="shared" si="3"/>
        <v>5.0760911290000004E-3</v>
      </c>
      <c r="AO28" s="1802">
        <f t="shared" si="4"/>
        <v>-1.989088709999998E-4</v>
      </c>
      <c r="AP28" s="1930"/>
      <c r="AQ28" s="1930"/>
      <c r="AR28" s="1930"/>
      <c r="AS28" s="1930" t="s">
        <v>388</v>
      </c>
      <c r="AT28" s="1806">
        <v>1.148238E-4</v>
      </c>
      <c r="AU28" s="1930" t="s">
        <v>388</v>
      </c>
    </row>
    <row r="29" spans="1:47" x14ac:dyDescent="0.25">
      <c r="A29" s="103" t="str">
        <f t="shared" si="5"/>
        <v>200950</v>
      </c>
      <c r="B29" s="684" t="str">
        <f>'Lighting Deemed Table'!C27</f>
        <v>200950_2019_12_</v>
      </c>
      <c r="C29" s="1962" t="str">
        <f>'Lighting Deemed Table'!H27</f>
        <v>Lighting RES</v>
      </c>
      <c r="D29" s="1962"/>
      <c r="E29" s="1962"/>
      <c r="F29" s="1962"/>
      <c r="G29" s="1962" t="str">
        <f>'Lighting Deemed Table'!E27</f>
        <v>LED - 10W (Halogen baseline) (750-1049 lumens) - Specialty Connected Light</v>
      </c>
      <c r="H29" s="63" t="str">
        <f>'Lighting Deemed Table'!D27</f>
        <v>Lighting</v>
      </c>
      <c r="I29" s="2438">
        <f>'Lighting Deemed Table'!F27</f>
        <v>29.22</v>
      </c>
      <c r="J29" s="2438">
        <v>0</v>
      </c>
      <c r="K29" s="2439">
        <v>0</v>
      </c>
      <c r="L29" s="2439">
        <v>0</v>
      </c>
      <c r="M29" s="2439">
        <v>0</v>
      </c>
      <c r="N29" s="2439">
        <v>0</v>
      </c>
      <c r="O29" s="2440">
        <f>'Lighting Deemed Table'!G27</f>
        <v>4.5319999999999996E-3</v>
      </c>
      <c r="P29" s="2440">
        <v>0</v>
      </c>
      <c r="Q29" s="2441">
        <v>0</v>
      </c>
      <c r="R29" s="2441">
        <v>0</v>
      </c>
      <c r="S29" s="2441"/>
      <c r="T29" s="2441"/>
      <c r="U29" s="1819">
        <v>0</v>
      </c>
      <c r="V29" s="1819">
        <v>0</v>
      </c>
      <c r="W29" s="1819">
        <f t="shared" si="0"/>
        <v>4.5319999999999996E-3</v>
      </c>
      <c r="X29" s="68">
        <f>'Lighting Deemed Table'!P27</f>
        <v>19</v>
      </c>
      <c r="Y29" s="68"/>
      <c r="Z29" s="68">
        <f t="shared" si="1"/>
        <v>19</v>
      </c>
      <c r="AA29" s="3616">
        <f>'Lighting Deemed Table'!BB27</f>
        <v>22790.840443543617</v>
      </c>
      <c r="AB29" s="2620">
        <f>'Lighting Deemed Table'!R27</f>
        <v>9.9999999999999995E-7</v>
      </c>
      <c r="AC29" s="3617">
        <f t="shared" si="6"/>
        <v>17.116832773643967</v>
      </c>
      <c r="AD29" s="3617"/>
      <c r="AE29" s="1661">
        <f>'Lighting Deemed Table'!BD27</f>
        <v>17.116832773643967</v>
      </c>
      <c r="AF29" s="2453"/>
      <c r="AG29" s="2453"/>
      <c r="AH29" s="2453"/>
      <c r="AI29" s="684" t="str">
        <f>'Lighting Deemed Table'!S27</f>
        <v xml:space="preserve">  per bulb</v>
      </c>
      <c r="AJ29" s="1930"/>
      <c r="AK29" s="1930"/>
      <c r="AL29" s="1930"/>
      <c r="AM29" s="1972">
        <f t="shared" si="2"/>
        <v>1.4925290000000001E-4</v>
      </c>
      <c r="AN29" s="1930">
        <f t="shared" si="3"/>
        <v>4.3611697380000003E-3</v>
      </c>
      <c r="AO29" s="1802">
        <f t="shared" si="4"/>
        <v>-1.7083026199999924E-4</v>
      </c>
      <c r="AP29" s="1930"/>
      <c r="AQ29" s="1930"/>
      <c r="AR29" s="1930"/>
      <c r="AS29" s="1930" t="s">
        <v>338</v>
      </c>
      <c r="AT29" s="1806">
        <v>2.3544589999999999E-4</v>
      </c>
      <c r="AU29" s="1930" t="s">
        <v>338</v>
      </c>
    </row>
    <row r="30" spans="1:47" x14ac:dyDescent="0.25">
      <c r="A30" s="103" t="str">
        <f t="shared" si="5"/>
        <v>201000</v>
      </c>
      <c r="B30" s="684" t="str">
        <f>'Lighting Deemed Table'!C28</f>
        <v>201000_2019_12_</v>
      </c>
      <c r="C30" s="1962" t="str">
        <f>'Lighting Deemed Table'!H28</f>
        <v>Lighting RES</v>
      </c>
      <c r="D30" s="1962"/>
      <c r="E30" s="1962"/>
      <c r="F30" s="1962"/>
      <c r="G30" s="1962" t="str">
        <f>'Lighting Deemed Table'!E28</f>
        <v>LED - 15W (Halogen baseline) (1050-1489 lumens) - Specialty Connected Light</v>
      </c>
      <c r="H30" s="63" t="str">
        <f>'Lighting Deemed Table'!D28</f>
        <v>Lighting</v>
      </c>
      <c r="I30" s="2438">
        <f>'Lighting Deemed Table'!F28</f>
        <v>38.43</v>
      </c>
      <c r="J30" s="2438">
        <v>0</v>
      </c>
      <c r="K30" s="2439">
        <v>0</v>
      </c>
      <c r="L30" s="2439">
        <v>0</v>
      </c>
      <c r="M30" s="2439">
        <v>0</v>
      </c>
      <c r="N30" s="2439">
        <v>0</v>
      </c>
      <c r="O30" s="2440">
        <f>'Lighting Deemed Table'!G28</f>
        <v>5.96E-3</v>
      </c>
      <c r="P30" s="2440">
        <v>0</v>
      </c>
      <c r="Q30" s="2441">
        <v>0</v>
      </c>
      <c r="R30" s="2441">
        <v>0</v>
      </c>
      <c r="S30" s="2441"/>
      <c r="T30" s="2441"/>
      <c r="U30" s="1819">
        <v>0</v>
      </c>
      <c r="V30" s="1819">
        <v>0</v>
      </c>
      <c r="W30" s="1819">
        <f t="shared" si="0"/>
        <v>5.96E-3</v>
      </c>
      <c r="X30" s="68">
        <f>'Lighting Deemed Table'!P28</f>
        <v>19</v>
      </c>
      <c r="Y30" s="68"/>
      <c r="Z30" s="68">
        <f t="shared" si="1"/>
        <v>19</v>
      </c>
      <c r="AA30" s="3616">
        <f>'Lighting Deemed Table'!BB28</f>
        <v>22792.270713725044</v>
      </c>
      <c r="AB30" s="2620">
        <f>'Lighting Deemed Table'!R28</f>
        <v>9.9999999999999995E-7</v>
      </c>
      <c r="AC30" s="3617">
        <f t="shared" si="6"/>
        <v>22.511974109895199</v>
      </c>
      <c r="AD30" s="3617"/>
      <c r="AE30" s="1661">
        <f>'Lighting Deemed Table'!BD28</f>
        <v>22.511974109895199</v>
      </c>
      <c r="AF30" s="2453"/>
      <c r="AG30" s="2453"/>
      <c r="AH30" s="2453"/>
      <c r="AI30" s="684" t="str">
        <f>'Lighting Deemed Table'!S28</f>
        <v xml:space="preserve">  per bulb</v>
      </c>
      <c r="AJ30" s="1930"/>
      <c r="AK30" s="1930"/>
      <c r="AL30" s="1930"/>
      <c r="AM30" s="1972">
        <f t="shared" si="2"/>
        <v>1.4925290000000001E-4</v>
      </c>
      <c r="AN30" s="1930">
        <f t="shared" si="3"/>
        <v>5.7357889470000005E-3</v>
      </c>
      <c r="AO30" s="1802">
        <f t="shared" si="4"/>
        <v>-2.2421105299999956E-4</v>
      </c>
      <c r="AP30" s="1930"/>
      <c r="AQ30" s="1930"/>
      <c r="AR30" s="1930"/>
      <c r="AS30" s="1930" t="s">
        <v>2217</v>
      </c>
      <c r="AT30" s="1806">
        <v>1.286107E-4</v>
      </c>
      <c r="AU30" s="1930" t="s">
        <v>2217</v>
      </c>
    </row>
    <row r="31" spans="1:47" x14ac:dyDescent="0.25">
      <c r="A31" s="103" t="str">
        <f t="shared" si="5"/>
        <v>201050</v>
      </c>
      <c r="B31" s="684" t="str">
        <f>'Lighting Deemed Table'!C29</f>
        <v>201050_2019_12_</v>
      </c>
      <c r="C31" s="1962" t="str">
        <f>'Lighting Deemed Table'!H29</f>
        <v>Lighting RES</v>
      </c>
      <c r="D31" s="1962"/>
      <c r="E31" s="1962"/>
      <c r="F31" s="1962"/>
      <c r="G31" s="1962" t="str">
        <f>'Lighting Deemed Table'!E29</f>
        <v>LED - 15W Flood Light PAR30 Bulb (Halogen baseline) - Specialty Connected Light</v>
      </c>
      <c r="H31" s="63" t="str">
        <f>'Lighting Deemed Table'!D29</f>
        <v>Lighting</v>
      </c>
      <c r="I31" s="2438">
        <f>'Lighting Deemed Table'!F29</f>
        <v>46.23</v>
      </c>
      <c r="J31" s="2438">
        <v>0</v>
      </c>
      <c r="K31" s="2439">
        <v>0</v>
      </c>
      <c r="L31" s="2439">
        <v>0</v>
      </c>
      <c r="M31" s="2439">
        <v>0</v>
      </c>
      <c r="N31" s="2439">
        <v>0</v>
      </c>
      <c r="O31" s="2440">
        <f>'Lighting Deemed Table'!G29</f>
        <v>7.169E-3</v>
      </c>
      <c r="P31" s="2440">
        <v>0</v>
      </c>
      <c r="Q31" s="2441">
        <v>0</v>
      </c>
      <c r="R31" s="2441">
        <v>0</v>
      </c>
      <c r="S31" s="2441"/>
      <c r="T31" s="2441"/>
      <c r="U31" s="1819">
        <v>0</v>
      </c>
      <c r="V31" s="1819">
        <v>0</v>
      </c>
      <c r="W31" s="1819">
        <f t="shared" si="0"/>
        <v>7.169E-3</v>
      </c>
      <c r="X31" s="68">
        <f>'Lighting Deemed Table'!P29</f>
        <v>19</v>
      </c>
      <c r="Y31" s="68"/>
      <c r="Z31" s="68">
        <f t="shared" si="1"/>
        <v>19</v>
      </c>
      <c r="AA31" s="3616">
        <f>'Lighting Deemed Table'!BB29</f>
        <v>22792.885497338782</v>
      </c>
      <c r="AB31" s="2620">
        <f>'Lighting Deemed Table'!R29</f>
        <v>9.9999999999999995E-7</v>
      </c>
      <c r="AC31" s="3617">
        <f t="shared" si="6"/>
        <v>27.081149182941839</v>
      </c>
      <c r="AD31" s="3617"/>
      <c r="AE31" s="1661">
        <f>'Lighting Deemed Table'!BD29</f>
        <v>27.081149182941839</v>
      </c>
      <c r="AF31" s="2453"/>
      <c r="AG31" s="2453"/>
      <c r="AH31" s="2453"/>
      <c r="AI31" s="684" t="str">
        <f>'Lighting Deemed Table'!S29</f>
        <v xml:space="preserve">  per bulb</v>
      </c>
      <c r="AJ31" s="1930"/>
      <c r="AK31" s="1930"/>
      <c r="AL31" s="1930"/>
      <c r="AM31" s="1972">
        <f t="shared" si="2"/>
        <v>1.4925290000000001E-4</v>
      </c>
      <c r="AN31" s="1930">
        <f t="shared" si="3"/>
        <v>6.8999615670000004E-3</v>
      </c>
      <c r="AO31" s="1802">
        <f t="shared" si="4"/>
        <v>-2.6903843299999966E-4</v>
      </c>
      <c r="AP31" s="1930"/>
      <c r="AQ31" s="1930"/>
      <c r="AR31" s="1930"/>
      <c r="AS31" s="1930" t="s">
        <v>2219</v>
      </c>
      <c r="AT31" s="1806">
        <v>1.286107E-4</v>
      </c>
      <c r="AU31" s="1930" t="s">
        <v>2219</v>
      </c>
    </row>
    <row r="32" spans="1:47" s="100" customFormat="1" x14ac:dyDescent="0.25">
      <c r="A32" s="103" t="str">
        <f t="shared" si="5"/>
        <v>201099</v>
      </c>
      <c r="B32" s="1960" t="str">
        <f>'Lighting Deemed Table'!C30</f>
        <v>201099_2021_12_</v>
      </c>
      <c r="C32" s="1958" t="str">
        <f>'Lighting Deemed Table'!H30</f>
        <v>Lighting RES</v>
      </c>
      <c r="D32" s="1958"/>
      <c r="E32" s="1958"/>
      <c r="F32" s="1958"/>
      <c r="G32" s="1958" t="str">
        <f>'Lighting Deemed Table'!E30</f>
        <v>LED - 6W (CFL baseline) (310-749 lumens)</v>
      </c>
      <c r="H32" s="1975" t="str">
        <f>'Lighting Deemed Table'!D30</f>
        <v>Lighting</v>
      </c>
      <c r="I32" s="1973">
        <f>'Lighting Deemed Table'!F30</f>
        <v>5.42</v>
      </c>
      <c r="J32" s="1973">
        <v>0</v>
      </c>
      <c r="K32" s="1963">
        <v>0</v>
      </c>
      <c r="L32" s="1963">
        <v>0</v>
      </c>
      <c r="M32" s="1963">
        <v>0</v>
      </c>
      <c r="N32" s="1963">
        <v>0</v>
      </c>
      <c r="O32" s="1974">
        <f>'Lighting Deemed Table'!G30</f>
        <v>8.4000000000000003E-4</v>
      </c>
      <c r="P32" s="1974">
        <v>0</v>
      </c>
      <c r="Q32" s="1976">
        <v>0</v>
      </c>
      <c r="R32" s="1976">
        <v>0</v>
      </c>
      <c r="S32" s="1976"/>
      <c r="T32" s="1976"/>
      <c r="U32" s="1926">
        <v>0</v>
      </c>
      <c r="V32" s="1926">
        <v>0</v>
      </c>
      <c r="W32" s="1926">
        <f t="shared" ref="W32" si="12">O32</f>
        <v>8.4000000000000003E-4</v>
      </c>
      <c r="X32" s="1952">
        <f>'Lighting Deemed Table'!P30</f>
        <v>19</v>
      </c>
      <c r="Y32" s="1952"/>
      <c r="Z32" s="1952">
        <f t="shared" ref="Z32" si="13">Y32+X32</f>
        <v>19</v>
      </c>
      <c r="AA32" s="2431">
        <f>'Lighting Deemed Table'!BB30</f>
        <v>22798.955780018045</v>
      </c>
      <c r="AB32" s="2069">
        <f>'Lighting Deemed Table'!R30</f>
        <v>9.9999999999999995E-7</v>
      </c>
      <c r="AC32" s="2432">
        <f t="shared" ref="AC32" si="14">AE32+AF32</f>
        <v>3.1749908840913861</v>
      </c>
      <c r="AD32" s="2432"/>
      <c r="AE32" s="2452">
        <f>'Lighting Deemed Table'!BD30</f>
        <v>3.1749908840913861</v>
      </c>
      <c r="AF32" s="1982"/>
      <c r="AG32" s="1982"/>
      <c r="AH32" s="1982"/>
      <c r="AI32" s="1960" t="str">
        <f>'Lighting Deemed Table'!S30</f>
        <v xml:space="preserve">  per bulb</v>
      </c>
      <c r="AM32" s="2433">
        <f t="shared" si="2"/>
        <v>1.4925290000000001E-4</v>
      </c>
      <c r="AN32" s="100">
        <f t="shared" ref="AN32" si="15">AM32*I32</f>
        <v>8.0895071800000007E-4</v>
      </c>
      <c r="AO32" s="2434">
        <f t="shared" ref="AO32" si="16">AN32-O32</f>
        <v>-3.1049281999999965E-5</v>
      </c>
      <c r="AS32" s="100" t="s">
        <v>2219</v>
      </c>
      <c r="AT32" s="2435">
        <v>1.286107E-4</v>
      </c>
      <c r="AU32" s="100" t="s">
        <v>2219</v>
      </c>
    </row>
    <row r="33" spans="1:47" x14ac:dyDescent="0.25">
      <c r="A33" s="103" t="str">
        <f t="shared" si="5"/>
        <v>201100</v>
      </c>
      <c r="B33" s="684" t="str">
        <f>'Lighting Deemed Table'!C31</f>
        <v>201100_2019_12_</v>
      </c>
      <c r="C33" s="1962" t="str">
        <f>'Lighting Deemed Table'!H31</f>
        <v>Lighting RES</v>
      </c>
      <c r="D33" s="1962"/>
      <c r="E33" s="1962"/>
      <c r="F33" s="1962"/>
      <c r="G33" s="1962" t="str">
        <f>'Lighting Deemed Table'!E31</f>
        <v>LED - 6W (Halogen baseline) (310-749 lumens)</v>
      </c>
      <c r="H33" s="63" t="str">
        <f>'Lighting Deemed Table'!D31</f>
        <v>Lighting</v>
      </c>
      <c r="I33" s="2438">
        <f>'Lighting Deemed Table'!F31</f>
        <v>21.61</v>
      </c>
      <c r="J33" s="2438">
        <v>0</v>
      </c>
      <c r="K33" s="2439">
        <v>0</v>
      </c>
      <c r="L33" s="2439">
        <v>0</v>
      </c>
      <c r="M33" s="2439">
        <v>0</v>
      </c>
      <c r="N33" s="2439">
        <v>0</v>
      </c>
      <c r="O33" s="2440">
        <f>'Lighting Deemed Table'!G31</f>
        <v>3.3509999999999998E-3</v>
      </c>
      <c r="P33" s="2440">
        <v>0</v>
      </c>
      <c r="Q33" s="2441">
        <v>0</v>
      </c>
      <c r="R33" s="2441">
        <v>0</v>
      </c>
      <c r="S33" s="2441"/>
      <c r="T33" s="2441"/>
      <c r="U33" s="1819">
        <v>0</v>
      </c>
      <c r="V33" s="1819">
        <v>0</v>
      </c>
      <c r="W33" s="1819">
        <f t="shared" si="0"/>
        <v>3.3509999999999998E-3</v>
      </c>
      <c r="X33" s="68">
        <f>'Lighting Deemed Table'!P31</f>
        <v>19</v>
      </c>
      <c r="Y33" s="68"/>
      <c r="Z33" s="68">
        <f t="shared" si="1"/>
        <v>19</v>
      </c>
      <c r="AA33" s="3616">
        <f>'Lighting Deemed Table'!BB31</f>
        <v>22791.213474589786</v>
      </c>
      <c r="AB33" s="2620">
        <f>'Lighting Deemed Table'!R31</f>
        <v>9.9999999999999995E-7</v>
      </c>
      <c r="AC33" s="3617">
        <f t="shared" si="6"/>
        <v>12.658958119043332</v>
      </c>
      <c r="AD33" s="3617"/>
      <c r="AE33" s="1661">
        <f>'Lighting Deemed Table'!BD31</f>
        <v>12.658958119043332</v>
      </c>
      <c r="AF33" s="2453"/>
      <c r="AG33" s="2453"/>
      <c r="AH33" s="2453"/>
      <c r="AI33" s="684" t="str">
        <f>'Lighting Deemed Table'!S31</f>
        <v xml:space="preserve">  per bulb</v>
      </c>
      <c r="AJ33" s="1930"/>
      <c r="AK33" s="1930"/>
      <c r="AL33" s="1930"/>
      <c r="AM33" s="1972">
        <f t="shared" si="2"/>
        <v>1.4925290000000001E-4</v>
      </c>
      <c r="AN33" s="1930">
        <f t="shared" si="3"/>
        <v>3.2253551690000003E-3</v>
      </c>
      <c r="AO33" s="1802">
        <f t="shared" si="4"/>
        <v>-1.2564483099999956E-4</v>
      </c>
      <c r="AP33" s="1930"/>
      <c r="AQ33" s="1930"/>
      <c r="AR33" s="1930"/>
      <c r="AS33" s="1930" t="s">
        <v>184</v>
      </c>
      <c r="AT33" s="1806">
        <v>8.8731800000000003E-5</v>
      </c>
      <c r="AU33" s="1930" t="s">
        <v>184</v>
      </c>
    </row>
    <row r="34" spans="1:47" s="100" customFormat="1" x14ac:dyDescent="0.25">
      <c r="A34" s="103" t="str">
        <f t="shared" si="5"/>
        <v>201130</v>
      </c>
      <c r="B34" s="1960" t="str">
        <f>'Lighting Deemed Table'!C32</f>
        <v>201130_2021_12_</v>
      </c>
      <c r="C34" s="1958" t="str">
        <f>'Lighting Deemed Table'!H32</f>
        <v>Lighting RES</v>
      </c>
      <c r="D34" s="1958"/>
      <c r="E34" s="1958"/>
      <c r="F34" s="1958"/>
      <c r="G34" s="1958" t="str">
        <f>'Lighting Deemed Table'!E32</f>
        <v>LED Nightlights</v>
      </c>
      <c r="H34" s="1975" t="str">
        <f>'Lighting Deemed Table'!D32</f>
        <v>Lighting</v>
      </c>
      <c r="I34" s="1973">
        <f>'Lighting Deemed Table'!F32</f>
        <v>24.83</v>
      </c>
      <c r="J34" s="1973">
        <v>0</v>
      </c>
      <c r="K34" s="1963">
        <v>0</v>
      </c>
      <c r="L34" s="1963">
        <v>0</v>
      </c>
      <c r="M34" s="1963">
        <v>0</v>
      </c>
      <c r="N34" s="1963">
        <v>0</v>
      </c>
      <c r="O34" s="1974">
        <f>'Lighting Deemed Table'!G32</f>
        <v>3.7499999999999999E-3</v>
      </c>
      <c r="P34" s="1974">
        <v>0</v>
      </c>
      <c r="Q34" s="1976">
        <v>0</v>
      </c>
      <c r="R34" s="1976">
        <v>0</v>
      </c>
      <c r="S34" s="1976"/>
      <c r="T34" s="1976"/>
      <c r="U34" s="1926">
        <v>0</v>
      </c>
      <c r="V34" s="1926">
        <v>0</v>
      </c>
      <c r="W34" s="1926">
        <f t="shared" ref="W34" si="17">O34</f>
        <v>3.7499999999999999E-3</v>
      </c>
      <c r="X34" s="1952">
        <f>'Lighting Deemed Table'!P32</f>
        <v>19</v>
      </c>
      <c r="Y34" s="1952"/>
      <c r="Z34" s="1952">
        <f t="shared" ref="Z34" si="18">Y34+X34</f>
        <v>19</v>
      </c>
      <c r="AA34" s="2431">
        <f>'Lighting Deemed Table'!BB32</f>
        <v>74133.766551625929</v>
      </c>
      <c r="AB34" s="2069">
        <f>'Lighting Deemed Table'!R32</f>
        <v>9.9999999999999995E-7</v>
      </c>
      <c r="AC34" s="2432">
        <f t="shared" ref="AC34" si="19">AE34+AF34</f>
        <v>14.54520731586515</v>
      </c>
      <c r="AD34" s="2432"/>
      <c r="AE34" s="2452">
        <f>'Lighting Deemed Table'!BD32</f>
        <v>14.54520731586515</v>
      </c>
      <c r="AF34" s="1982"/>
      <c r="AG34" s="1982"/>
      <c r="AH34" s="1982"/>
      <c r="AI34" s="1960" t="str">
        <f>'Lighting Deemed Table'!S32</f>
        <v xml:space="preserve">  per bulb</v>
      </c>
      <c r="AM34" s="2433">
        <f t="shared" si="2"/>
        <v>1.4925290000000001E-4</v>
      </c>
      <c r="AN34" s="100">
        <f t="shared" ref="AN34" si="20">AM34*I34</f>
        <v>3.7059495069999998E-3</v>
      </c>
      <c r="AO34" s="2434">
        <f t="shared" ref="AO34" si="21">AN34-O34</f>
        <v>-4.4050493000000104E-5</v>
      </c>
      <c r="AS34" s="100" t="s">
        <v>184</v>
      </c>
      <c r="AT34" s="2435">
        <v>8.8731800000000003E-5</v>
      </c>
      <c r="AU34" s="100" t="s">
        <v>184</v>
      </c>
    </row>
    <row r="35" spans="1:47" x14ac:dyDescent="0.25">
      <c r="A35" s="103" t="str">
        <f t="shared" si="5"/>
        <v>250050</v>
      </c>
      <c r="B35" s="684" t="str">
        <f>'Efficient Products Deemed Table'!C7</f>
        <v>250050_2019_12_</v>
      </c>
      <c r="C35" s="1962" t="str">
        <f>'Efficient Products Deemed Table'!G7</f>
        <v>Water Heating RES</v>
      </c>
      <c r="D35" s="1962"/>
      <c r="E35" s="1962"/>
      <c r="F35" s="1962"/>
      <c r="G35" s="1962" t="str">
        <f>'Efficient Products Deemed Table'!E7</f>
        <v>Heat Pump Hot Water Heater</v>
      </c>
      <c r="H35" s="1962" t="str">
        <f>'Efficient Products Deemed Table'!D7</f>
        <v>Efficient Products</v>
      </c>
      <c r="I35" s="2438">
        <f>'Efficient Products Deemed Table'!F7</f>
        <v>2276.14</v>
      </c>
      <c r="J35" s="2438">
        <v>0</v>
      </c>
      <c r="K35" s="2439">
        <v>0</v>
      </c>
      <c r="L35" s="2439">
        <v>0</v>
      </c>
      <c r="M35" s="2439">
        <v>0</v>
      </c>
      <c r="N35" s="2439">
        <v>0</v>
      </c>
      <c r="O35" s="2440">
        <f>'Efficient Products Deemed Table'!L7</f>
        <v>0.20196600000000001</v>
      </c>
      <c r="P35" s="2440">
        <v>0</v>
      </c>
      <c r="Q35" s="2441">
        <v>0</v>
      </c>
      <c r="R35" s="2441">
        <v>0</v>
      </c>
      <c r="S35" s="2441"/>
      <c r="T35" s="2441"/>
      <c r="U35" s="1819">
        <v>0</v>
      </c>
      <c r="V35" s="1819">
        <f>O35</f>
        <v>0.20196600000000001</v>
      </c>
      <c r="W35" s="1819">
        <v>0</v>
      </c>
      <c r="X35" s="68">
        <f>'Efficient Products Deemed Table'!M7</f>
        <v>13</v>
      </c>
      <c r="Y35" s="68"/>
      <c r="Z35" s="68">
        <f t="shared" si="1"/>
        <v>13</v>
      </c>
      <c r="AA35" s="3616">
        <f>'Efficient Products Deemed Table'!BB7</f>
        <v>1.7840168446063165</v>
      </c>
      <c r="AB35" s="2620">
        <f>'Efficient Products Deemed Table'!N7</f>
        <v>588</v>
      </c>
      <c r="AC35" s="3618">
        <f t="shared" si="6"/>
        <v>990.09146260359978</v>
      </c>
      <c r="AD35" s="3618"/>
      <c r="AE35" s="1661">
        <f>'Efficient Products Deemed Table'!BD7</f>
        <v>990.09146260359978</v>
      </c>
      <c r="AF35" s="2453"/>
      <c r="AG35" s="2453"/>
      <c r="AH35" s="2453"/>
      <c r="AI35" s="3619" t="str">
        <f>'Efficient Products Deemed Table'!O7</f>
        <v>per measure</v>
      </c>
      <c r="AJ35" s="1930"/>
      <c r="AK35" s="1930"/>
      <c r="AL35" s="1930"/>
      <c r="AM35" s="1972">
        <f t="shared" si="2"/>
        <v>8.8731800000000003E-5</v>
      </c>
      <c r="AN35" s="1930">
        <f t="shared" si="3"/>
        <v>0.20196599925199998</v>
      </c>
      <c r="AO35" s="1971">
        <f t="shared" si="4"/>
        <v>-7.4800002303199165E-10</v>
      </c>
      <c r="AP35" s="1930"/>
      <c r="AQ35" s="1930"/>
      <c r="AR35" s="1930"/>
      <c r="AS35" s="1930"/>
      <c r="AT35" s="1930"/>
    </row>
    <row r="36" spans="1:47" x14ac:dyDescent="0.25">
      <c r="A36" s="103" t="str">
        <f t="shared" si="5"/>
        <v>250100</v>
      </c>
      <c r="B36" s="1960" t="str">
        <f>'Efficient Products Deemed Table'!C57</f>
        <v>250100_2021_12_</v>
      </c>
      <c r="C36" s="1962" t="str">
        <f>'Efficient Products Deemed Table'!G57</f>
        <v>Cooling RES</v>
      </c>
      <c r="D36" s="1962" t="str">
        <f>'Efficient Products Deemed Table'!G58</f>
        <v>Heating RES</v>
      </c>
      <c r="E36" s="1962"/>
      <c r="F36" s="1962"/>
      <c r="G36" s="1962" t="str">
        <f>'Efficient Products Deemed Table'!E57</f>
        <v>Learning Thermostat - ASHP heating/cooling SF</v>
      </c>
      <c r="H36" s="1962" t="str">
        <f>'Efficient Products Deemed Table'!D57</f>
        <v>Efficient Products</v>
      </c>
      <c r="I36" s="2438">
        <f>K36+L36</f>
        <v>740.69</v>
      </c>
      <c r="J36" s="2439">
        <f>M36+N36</f>
        <v>0</v>
      </c>
      <c r="K36" s="2439">
        <f>'Efficient Products Deemed Table'!F57</f>
        <v>190.21</v>
      </c>
      <c r="L36" s="2439">
        <f>'Efficient Products Deemed Table'!F58</f>
        <v>550.48</v>
      </c>
      <c r="M36" s="2439">
        <v>0</v>
      </c>
      <c r="N36" s="2439">
        <v>0</v>
      </c>
      <c r="O36" s="2440">
        <f>Q36+R36</f>
        <v>0.18020800000000001</v>
      </c>
      <c r="P36" s="2440">
        <f>S36+T36</f>
        <v>0</v>
      </c>
      <c r="Q36" s="2441">
        <f>'Efficient Products Deemed Table'!I57</f>
        <v>0.18020800000000001</v>
      </c>
      <c r="R36" s="2441">
        <v>0</v>
      </c>
      <c r="S36" s="2441"/>
      <c r="T36" s="2441"/>
      <c r="U36" s="1819">
        <v>0</v>
      </c>
      <c r="V36" s="1819">
        <f t="shared" ref="V36:V47" si="22">Q36</f>
        <v>0.18020800000000001</v>
      </c>
      <c r="W36" s="1819">
        <v>0</v>
      </c>
      <c r="X36" s="68">
        <f>'Efficient Products Deemed Table'!J57</f>
        <v>10</v>
      </c>
      <c r="Y36" s="68"/>
      <c r="Z36" s="68">
        <f t="shared" si="1"/>
        <v>10</v>
      </c>
      <c r="AA36" s="3616">
        <f>'Efficient Products Deemed Table'!BB57</f>
        <v>2.9196668198456934</v>
      </c>
      <c r="AB36" s="2620">
        <f>'Efficient Products Deemed Table'!K57</f>
        <v>125</v>
      </c>
      <c r="AC36" s="3618">
        <f t="shared" si="6"/>
        <v>344.46281498887367</v>
      </c>
      <c r="AD36" s="3618"/>
      <c r="AE36" s="1661">
        <f>'Efficient Products Deemed Table'!BD57</f>
        <v>194.87749883272355</v>
      </c>
      <c r="AF36" s="2453">
        <f>'Efficient Products Deemed Table'!BD58</f>
        <v>149.5853161561501</v>
      </c>
      <c r="AG36" s="2453"/>
      <c r="AH36" s="2453"/>
      <c r="AI36" s="684" t="str">
        <f>'Efficient Products Deemed Table'!L57</f>
        <v>per measure</v>
      </c>
      <c r="AJ36" s="1810"/>
      <c r="AK36" s="1810"/>
      <c r="AL36" s="1810"/>
      <c r="AM36" s="1972">
        <f t="shared" si="2"/>
        <v>9.4741810000000004E-4</v>
      </c>
      <c r="AN36" s="100">
        <f t="shared" ref="AN36:AN47" si="23">AM36*K36</f>
        <v>0.18020839680100001</v>
      </c>
      <c r="AO36" s="1971">
        <f t="shared" si="4"/>
        <v>3.9680100000216711E-7</v>
      </c>
      <c r="AP36" s="1930"/>
      <c r="AQ36" s="1930"/>
      <c r="AR36" s="1930"/>
      <c r="AS36" s="1260" t="s">
        <v>4056</v>
      </c>
      <c r="AT36" s="1261"/>
    </row>
    <row r="37" spans="1:47" x14ac:dyDescent="0.25">
      <c r="A37" s="103" t="str">
        <f t="shared" si="5"/>
        <v>250101</v>
      </c>
      <c r="B37" s="1960" t="str">
        <f>'Efficient Products Deemed Table'!C59</f>
        <v>250101_2021_12_</v>
      </c>
      <c r="C37" s="1962" t="str">
        <f>'Efficient Products Deemed Table'!G59</f>
        <v>Cooling RES</v>
      </c>
      <c r="D37" s="1962" t="str">
        <f>'Efficient Products Deemed Table'!G60</f>
        <v>Heating RES</v>
      </c>
      <c r="E37" s="1962"/>
      <c r="F37" s="1962"/>
      <c r="G37" s="1962" t="str">
        <f>'Efficient Products Deemed Table'!E59</f>
        <v>Learning Thermostat - ASHP heating/cooling MF</v>
      </c>
      <c r="H37" s="1962" t="str">
        <f>'Efficient Products Deemed Table'!D59</f>
        <v>Efficient Products</v>
      </c>
      <c r="I37" s="2438">
        <f t="shared" ref="I37:I47" si="24">K37+L37</f>
        <v>548.03</v>
      </c>
      <c r="J37" s="2439">
        <f t="shared" ref="J37:J47" si="25">M37+N37</f>
        <v>0</v>
      </c>
      <c r="K37" s="2439">
        <f>'Efficient Products Deemed Table'!F59</f>
        <v>190.21</v>
      </c>
      <c r="L37" s="2439">
        <f>'Efficient Products Deemed Table'!F60</f>
        <v>357.82</v>
      </c>
      <c r="M37" s="2439">
        <v>0</v>
      </c>
      <c r="N37" s="2439">
        <v>0</v>
      </c>
      <c r="O37" s="2440">
        <f t="shared" ref="O37:O47" si="26">Q37+R37</f>
        <v>0.18020800000000001</v>
      </c>
      <c r="P37" s="2440">
        <f t="shared" ref="P37:P47" si="27">S37+T37</f>
        <v>0</v>
      </c>
      <c r="Q37" s="2441">
        <f>'Efficient Products Deemed Table'!I59</f>
        <v>0.18020800000000001</v>
      </c>
      <c r="R37" s="2441">
        <v>0</v>
      </c>
      <c r="S37" s="2441"/>
      <c r="T37" s="2441"/>
      <c r="U37" s="1819">
        <v>0</v>
      </c>
      <c r="V37" s="1819">
        <f t="shared" si="22"/>
        <v>0.18020800000000001</v>
      </c>
      <c r="W37" s="1819">
        <v>0</v>
      </c>
      <c r="X37" s="68">
        <f>'Efficient Products Deemed Table'!J59</f>
        <v>10</v>
      </c>
      <c r="Y37" s="68"/>
      <c r="Z37" s="68">
        <f t="shared" si="1"/>
        <v>10</v>
      </c>
      <c r="AA37" s="3616">
        <f>'Efficient Products Deemed Table'!BB59</f>
        <v>2.4759254468217549</v>
      </c>
      <c r="AB37" s="2620">
        <f>'Efficient Products Deemed Table'!K59</f>
        <v>125</v>
      </c>
      <c r="AC37" s="3618">
        <f t="shared" si="6"/>
        <v>292.11012822342553</v>
      </c>
      <c r="AD37" s="3618"/>
      <c r="AE37" s="1661">
        <f>'Efficient Products Deemed Table'!BD59</f>
        <v>194.87749883272355</v>
      </c>
      <c r="AF37" s="2453">
        <f>'Efficient Products Deemed Table'!BD60</f>
        <v>97.232629390701987</v>
      </c>
      <c r="AG37" s="2453"/>
      <c r="AH37" s="2453"/>
      <c r="AI37" s="684" t="str">
        <f>'Efficient Products Deemed Table'!L59</f>
        <v>per measure</v>
      </c>
      <c r="AJ37" s="1810"/>
      <c r="AK37" s="1810"/>
      <c r="AL37" s="1810"/>
      <c r="AM37" s="1972">
        <f t="shared" si="2"/>
        <v>9.4741810000000004E-4</v>
      </c>
      <c r="AN37" s="100">
        <f t="shared" si="23"/>
        <v>0.18020839680100001</v>
      </c>
      <c r="AO37" s="1971">
        <f t="shared" si="4"/>
        <v>3.9680100000216711E-7</v>
      </c>
      <c r="AP37" s="1930"/>
      <c r="AQ37" s="1930"/>
      <c r="AR37" s="1930"/>
      <c r="AS37" s="160" t="s">
        <v>3014</v>
      </c>
      <c r="AT37" s="1262">
        <v>1.379439E-4</v>
      </c>
    </row>
    <row r="38" spans="1:47" x14ac:dyDescent="0.25">
      <c r="A38" s="103" t="str">
        <f t="shared" si="5"/>
        <v>250102</v>
      </c>
      <c r="B38" s="1960" t="str">
        <f>'Efficient Products Deemed Table'!C61</f>
        <v>250102_2021_12_</v>
      </c>
      <c r="C38" s="1962" t="str">
        <f>'Efficient Products Deemed Table'!G61</f>
        <v>Cooling RES</v>
      </c>
      <c r="D38" s="1962" t="str">
        <f>'Efficient Products Deemed Table'!G62</f>
        <v>Heating RES</v>
      </c>
      <c r="E38" s="1962"/>
      <c r="F38" s="1962"/>
      <c r="G38" s="1962" t="str">
        <f>'Efficient Products Deemed Table'!E61</f>
        <v>Learning Thermostat - ASHP heating/cooling MF_CompE</v>
      </c>
      <c r="H38" s="1962" t="str">
        <f>'Efficient Products Deemed Table'!D61</f>
        <v>Efficient Products_CompE</v>
      </c>
      <c r="I38" s="2438">
        <f t="shared" si="24"/>
        <v>260.07</v>
      </c>
      <c r="J38" s="2439">
        <f t="shared" si="25"/>
        <v>0</v>
      </c>
      <c r="K38" s="2439">
        <f>'Efficient Products Deemed Table'!F61</f>
        <v>138.33000000000001</v>
      </c>
      <c r="L38" s="2439">
        <f>'Efficient Products Deemed Table'!F62</f>
        <v>121.74</v>
      </c>
      <c r="M38" s="2439">
        <v>0</v>
      </c>
      <c r="N38" s="2439">
        <v>0</v>
      </c>
      <c r="O38" s="2440">
        <f t="shared" si="26"/>
        <v>0.13105600000000001</v>
      </c>
      <c r="P38" s="2440">
        <f t="shared" si="27"/>
        <v>0</v>
      </c>
      <c r="Q38" s="2441">
        <f>'Efficient Products Deemed Table'!I61</f>
        <v>0.13105600000000001</v>
      </c>
      <c r="R38" s="2441">
        <v>0</v>
      </c>
      <c r="S38" s="2441"/>
      <c r="T38" s="2441"/>
      <c r="U38" s="1819">
        <v>0</v>
      </c>
      <c r="V38" s="1819">
        <f t="shared" si="22"/>
        <v>0.13105600000000001</v>
      </c>
      <c r="W38" s="1819">
        <v>0</v>
      </c>
      <c r="X38" s="68">
        <f>'Efficient Products Deemed Table'!J61</f>
        <v>10</v>
      </c>
      <c r="Y38" s="68"/>
      <c r="Z38" s="68">
        <f t="shared" si="1"/>
        <v>10</v>
      </c>
      <c r="AA38" s="3616">
        <f>'Efficient Products Deemed Table'!BB61</f>
        <v>1.4816521980845028</v>
      </c>
      <c r="AB38" s="2620">
        <f>'Efficient Products Deemed Table'!K61</f>
        <v>125</v>
      </c>
      <c r="AC38" s="3618">
        <f t="shared" si="6"/>
        <v>174.80559203450952</v>
      </c>
      <c r="AD38" s="3618"/>
      <c r="AE38" s="1661">
        <f>'Efficient Products Deemed Table'!BD61</f>
        <v>141.72443306624598</v>
      </c>
      <c r="AF38" s="2453">
        <f>'Efficient Products Deemed Table'!BD62</f>
        <v>33.081158968263537</v>
      </c>
      <c r="AG38" s="2453"/>
      <c r="AH38" s="2453"/>
      <c r="AI38" s="684" t="str">
        <f>'Efficient Products Deemed Table'!L61</f>
        <v>per measure</v>
      </c>
      <c r="AJ38" s="1810"/>
      <c r="AK38" s="1810"/>
      <c r="AL38" s="1810"/>
      <c r="AM38" s="1972">
        <f t="shared" si="2"/>
        <v>9.4741810000000004E-4</v>
      </c>
      <c r="AN38" s="100">
        <f t="shared" si="23"/>
        <v>0.13105634577300002</v>
      </c>
      <c r="AO38" s="1971">
        <f t="shared" si="4"/>
        <v>3.4577300001004119E-7</v>
      </c>
      <c r="AP38" s="1930"/>
      <c r="AQ38" s="1930"/>
      <c r="AR38" s="1930"/>
      <c r="AS38" s="160" t="s">
        <v>4057</v>
      </c>
      <c r="AT38" s="1262">
        <v>4.4398300000000001E-4</v>
      </c>
    </row>
    <row r="39" spans="1:47" x14ac:dyDescent="0.25">
      <c r="A39" s="103" t="str">
        <f t="shared" si="5"/>
        <v>250150</v>
      </c>
      <c r="B39" s="1960" t="str">
        <f>'Efficient Products Deemed Table'!C63</f>
        <v>250150_2021_12_</v>
      </c>
      <c r="C39" s="1962" t="str">
        <f>'Efficient Products Deemed Table'!G63</f>
        <v>Cooling RES</v>
      </c>
      <c r="D39" s="1962" t="str">
        <f>'Efficient Products Deemed Table'!G64</f>
        <v>Heating RES</v>
      </c>
      <c r="E39" s="1962"/>
      <c r="F39" s="1962"/>
      <c r="G39" s="1962" t="str">
        <f>'Efficient Products Deemed Table'!E63</f>
        <v>Learning Thermostat - electric furnace heating / central AC MF</v>
      </c>
      <c r="H39" s="1962" t="str">
        <f>'Efficient Products Deemed Table'!D63</f>
        <v>Efficient Products</v>
      </c>
      <c r="I39" s="2438">
        <f t="shared" si="24"/>
        <v>798.43000000000006</v>
      </c>
      <c r="J39" s="2439">
        <f t="shared" si="25"/>
        <v>0</v>
      </c>
      <c r="K39" s="2439">
        <f>'Efficient Products Deemed Table'!F63</f>
        <v>190.21</v>
      </c>
      <c r="L39" s="2439">
        <f>'Efficient Products Deemed Table'!F64</f>
        <v>608.22</v>
      </c>
      <c r="M39" s="2439">
        <v>0</v>
      </c>
      <c r="N39" s="2439">
        <v>0</v>
      </c>
      <c r="O39" s="2440">
        <f t="shared" si="26"/>
        <v>0.18020800000000001</v>
      </c>
      <c r="P39" s="2440">
        <f t="shared" si="27"/>
        <v>0</v>
      </c>
      <c r="Q39" s="2441">
        <f>'Efficient Products Deemed Table'!I63</f>
        <v>0.18020800000000001</v>
      </c>
      <c r="R39" s="2441">
        <v>0</v>
      </c>
      <c r="S39" s="2441"/>
      <c r="T39" s="2441"/>
      <c r="U39" s="1819">
        <v>0</v>
      </c>
      <c r="V39" s="1819">
        <f t="shared" si="22"/>
        <v>0.18020800000000001</v>
      </c>
      <c r="W39" s="1819">
        <v>0</v>
      </c>
      <c r="X39" s="68">
        <f>'Efficient Products Deemed Table'!J63</f>
        <v>10</v>
      </c>
      <c r="Y39" s="68"/>
      <c r="Z39" s="68">
        <f t="shared" si="1"/>
        <v>10</v>
      </c>
      <c r="AA39" s="3616">
        <f>'Efficient Products Deemed Table'!BB63</f>
        <v>3.0526556440873742</v>
      </c>
      <c r="AB39" s="2620">
        <f>'Efficient Products Deemed Table'!K63</f>
        <v>125</v>
      </c>
      <c r="AC39" s="3618">
        <f t="shared" si="6"/>
        <v>360.15286032177607</v>
      </c>
      <c r="AD39" s="3618"/>
      <c r="AE39" s="1661">
        <f>'Efficient Products Deemed Table'!BD63</f>
        <v>194.87749883272355</v>
      </c>
      <c r="AF39" s="2453">
        <f>'Efficient Products Deemed Table'!BD64</f>
        <v>165.2753614890525</v>
      </c>
      <c r="AG39" s="2453"/>
      <c r="AH39" s="2453"/>
      <c r="AI39" s="684" t="str">
        <f>'Efficient Products Deemed Table'!L63</f>
        <v>per measure</v>
      </c>
      <c r="AJ39" s="1810"/>
      <c r="AK39" s="1810"/>
      <c r="AL39" s="1810"/>
      <c r="AM39" s="1972">
        <f t="shared" si="2"/>
        <v>9.4741810000000004E-4</v>
      </c>
      <c r="AN39" s="100">
        <f t="shared" si="23"/>
        <v>0.18020839680100001</v>
      </c>
      <c r="AO39" s="1971">
        <f t="shared" si="4"/>
        <v>3.9680100000216711E-7</v>
      </c>
      <c r="AP39" s="1930"/>
      <c r="AQ39" s="1930"/>
      <c r="AR39" s="1930"/>
      <c r="AS39" s="160" t="s">
        <v>2844</v>
      </c>
      <c r="AT39" s="1262">
        <v>1.998949E-4</v>
      </c>
    </row>
    <row r="40" spans="1:47" x14ac:dyDescent="0.25">
      <c r="A40" s="103" t="str">
        <f t="shared" si="5"/>
        <v>250151</v>
      </c>
      <c r="B40" s="1960" t="str">
        <f>'Efficient Products Deemed Table'!C65</f>
        <v>250151_2021_12_</v>
      </c>
      <c r="C40" s="1962" t="str">
        <f>'Efficient Products Deemed Table'!G65</f>
        <v>Cooling RES</v>
      </c>
      <c r="D40" s="1962" t="str">
        <f>'Efficient Products Deemed Table'!G66</f>
        <v>Heating RES</v>
      </c>
      <c r="E40" s="1962"/>
      <c r="F40" s="1962"/>
      <c r="G40" s="1962" t="str">
        <f>'Efficient Products Deemed Table'!E65</f>
        <v>Learning Thermostat - electric furnace heating / central AC MF_CompE</v>
      </c>
      <c r="H40" s="1962" t="str">
        <f>'Efficient Products Deemed Table'!D65</f>
        <v>Efficient Products_CompE</v>
      </c>
      <c r="I40" s="2438">
        <f t="shared" si="24"/>
        <v>345.27</v>
      </c>
      <c r="J40" s="2439">
        <f t="shared" si="25"/>
        <v>0</v>
      </c>
      <c r="K40" s="2439">
        <f>'Efficient Products Deemed Table'!F65</f>
        <v>138.33000000000001</v>
      </c>
      <c r="L40" s="2439">
        <f>'Efficient Products Deemed Table'!F66</f>
        <v>206.94</v>
      </c>
      <c r="M40" s="2439">
        <v>0</v>
      </c>
      <c r="N40" s="2439">
        <v>0</v>
      </c>
      <c r="O40" s="2440">
        <f t="shared" si="26"/>
        <v>0.13105600000000001</v>
      </c>
      <c r="P40" s="2440">
        <f t="shared" si="27"/>
        <v>0</v>
      </c>
      <c r="Q40" s="2441">
        <f>'Efficient Products Deemed Table'!I65</f>
        <v>0.13105600000000001</v>
      </c>
      <c r="R40" s="2441">
        <v>0</v>
      </c>
      <c r="S40" s="2441"/>
      <c r="T40" s="2441"/>
      <c r="U40" s="1819">
        <v>0</v>
      </c>
      <c r="V40" s="1819">
        <f t="shared" si="22"/>
        <v>0.13105600000000001</v>
      </c>
      <c r="W40" s="1819">
        <v>0</v>
      </c>
      <c r="X40" s="68">
        <f>'Efficient Products Deemed Table'!J65</f>
        <v>10</v>
      </c>
      <c r="Y40" s="68"/>
      <c r="Z40" s="68">
        <f t="shared" si="1"/>
        <v>10</v>
      </c>
      <c r="AA40" s="3616">
        <f>'Efficient Products Deemed Table'!BB65</f>
        <v>1.6778878722339867</v>
      </c>
      <c r="AB40" s="2620">
        <f>'Efficient Products Deemed Table'!K65</f>
        <v>125</v>
      </c>
      <c r="AC40" s="3618">
        <f t="shared" si="6"/>
        <v>197.95751206158405</v>
      </c>
      <c r="AD40" s="3618"/>
      <c r="AE40" s="1661">
        <f>'Efficient Products Deemed Table'!BD65</f>
        <v>141.72443306624598</v>
      </c>
      <c r="AF40" s="2453">
        <f>'Efficient Products Deemed Table'!BD66</f>
        <v>56.233078995338069</v>
      </c>
      <c r="AG40" s="2453"/>
      <c r="AH40" s="2453"/>
      <c r="AI40" s="684" t="str">
        <f>'Efficient Products Deemed Table'!L65</f>
        <v>per measure</v>
      </c>
      <c r="AJ40" s="1810"/>
      <c r="AK40" s="1810"/>
      <c r="AL40" s="1810"/>
      <c r="AM40" s="1972">
        <f t="shared" si="2"/>
        <v>9.4741810000000004E-4</v>
      </c>
      <c r="AN40" s="100">
        <f t="shared" si="23"/>
        <v>0.13105634577300002</v>
      </c>
      <c r="AO40" s="1971">
        <f t="shared" si="4"/>
        <v>3.4577300001004119E-7</v>
      </c>
      <c r="AP40" s="1930"/>
      <c r="AQ40" s="1930"/>
      <c r="AR40" s="1930"/>
      <c r="AS40" s="160" t="s">
        <v>2881</v>
      </c>
      <c r="AT40" s="1262">
        <v>9.1068400000000004E-4</v>
      </c>
    </row>
    <row r="41" spans="1:47" x14ac:dyDescent="0.25">
      <c r="A41" s="103" t="str">
        <f t="shared" si="5"/>
        <v>250250</v>
      </c>
      <c r="B41" s="1960" t="str">
        <f>'Efficient Products Deemed Table'!C67</f>
        <v>250250_2021_12_</v>
      </c>
      <c r="C41" s="1962" t="str">
        <f>'Efficient Products Deemed Table'!G67</f>
        <v>Cooling RES</v>
      </c>
      <c r="D41" s="1962" t="str">
        <f>'Efficient Products Deemed Table'!G68</f>
        <v>Heating RES</v>
      </c>
      <c r="E41" s="1962"/>
      <c r="F41" s="1962"/>
      <c r="G41" s="1962" t="str">
        <f>'Efficient Products Deemed Table'!E67</f>
        <v>Learning Thermostat - electric furnace heating / central AC SF</v>
      </c>
      <c r="H41" s="1962" t="str">
        <f>'Efficient Products Deemed Table'!D67</f>
        <v>Efficient Products</v>
      </c>
      <c r="I41" s="2438">
        <f t="shared" si="24"/>
        <v>1125.93</v>
      </c>
      <c r="J41" s="2439">
        <f t="shared" si="25"/>
        <v>0</v>
      </c>
      <c r="K41" s="2439">
        <f>'Efficient Products Deemed Table'!F67</f>
        <v>190.21</v>
      </c>
      <c r="L41" s="2439">
        <f>'Efficient Products Deemed Table'!F68</f>
        <v>935.72</v>
      </c>
      <c r="M41" s="2439">
        <v>0</v>
      </c>
      <c r="N41" s="2439">
        <v>0</v>
      </c>
      <c r="O41" s="2440">
        <f t="shared" si="26"/>
        <v>0.18020800000000001</v>
      </c>
      <c r="P41" s="2440">
        <f t="shared" si="27"/>
        <v>0</v>
      </c>
      <c r="Q41" s="2441">
        <f>'Efficient Products Deemed Table'!I67</f>
        <v>0.18020800000000001</v>
      </c>
      <c r="R41" s="2441">
        <v>0</v>
      </c>
      <c r="S41" s="2441"/>
      <c r="T41" s="2441"/>
      <c r="U41" s="1819">
        <v>0</v>
      </c>
      <c r="V41" s="1819">
        <f t="shared" si="22"/>
        <v>0.18020800000000001</v>
      </c>
      <c r="W41" s="1819">
        <v>0</v>
      </c>
      <c r="X41" s="68">
        <f>'Efficient Products Deemed Table'!J67</f>
        <v>10</v>
      </c>
      <c r="Y41" s="68"/>
      <c r="Z41" s="68">
        <f t="shared" si="1"/>
        <v>10</v>
      </c>
      <c r="AA41" s="3616">
        <f>'Efficient Products Deemed Table'!BB67</f>
        <v>3.8069653070446035</v>
      </c>
      <c r="AB41" s="2620">
        <f>'Efficient Products Deemed Table'!K67</f>
        <v>125</v>
      </c>
      <c r="AC41" s="3618">
        <f t="shared" si="6"/>
        <v>449.1464496277257</v>
      </c>
      <c r="AD41" s="3618"/>
      <c r="AE41" s="1661">
        <f>'Efficient Products Deemed Table'!BD67</f>
        <v>194.87749883272355</v>
      </c>
      <c r="AF41" s="2453">
        <f>'Efficient Products Deemed Table'!BD68</f>
        <v>254.26895079500213</v>
      </c>
      <c r="AG41" s="2453"/>
      <c r="AH41" s="2453"/>
      <c r="AI41" s="684" t="str">
        <f>'Efficient Products Deemed Table'!L67</f>
        <v>per measure</v>
      </c>
      <c r="AJ41" s="1810"/>
      <c r="AK41" s="1810"/>
      <c r="AL41" s="1810"/>
      <c r="AM41" s="1972">
        <f t="shared" ref="AM41:AM72" si="28">VLOOKUP(C41,$AS$10:$AT$33,2,FALSE)</f>
        <v>9.4741810000000004E-4</v>
      </c>
      <c r="AN41" s="100">
        <f t="shared" si="23"/>
        <v>0.18020839680100001</v>
      </c>
      <c r="AO41" s="1971">
        <f t="shared" si="4"/>
        <v>3.9680100000216711E-7</v>
      </c>
      <c r="AP41" s="1930"/>
      <c r="AQ41" s="1930"/>
      <c r="AR41" s="1930"/>
      <c r="AS41" s="160" t="s">
        <v>2664</v>
      </c>
      <c r="AT41" s="1262">
        <v>5.6160000000000001E-6</v>
      </c>
    </row>
    <row r="42" spans="1:47" x14ac:dyDescent="0.25">
      <c r="A42" s="103" t="str">
        <f t="shared" si="5"/>
        <v>250350</v>
      </c>
      <c r="B42" s="1960" t="str">
        <f>'Efficient Products Deemed Table'!C69</f>
        <v>250350_2021_12_</v>
      </c>
      <c r="C42" s="1962" t="str">
        <f>'Efficient Products Deemed Table'!G69</f>
        <v>Cooling RES</v>
      </c>
      <c r="D42" s="1962" t="str">
        <f>'Efficient Products Deemed Table'!G70</f>
        <v>Heating RES</v>
      </c>
      <c r="E42" s="1962"/>
      <c r="F42" s="1962"/>
      <c r="G42" s="1962" t="str">
        <f>'Efficient Products Deemed Table'!E69</f>
        <v>Learning Thermostat - Gas Heated / central AC SF**</v>
      </c>
      <c r="H42" s="1962" t="str">
        <f>'Efficient Products Deemed Table'!D69</f>
        <v>Efficient Products</v>
      </c>
      <c r="I42" s="2438">
        <f t="shared" si="24"/>
        <v>231.56</v>
      </c>
      <c r="J42" s="2439">
        <f t="shared" si="25"/>
        <v>0</v>
      </c>
      <c r="K42" s="2439">
        <f>'Efficient Products Deemed Table'!F69</f>
        <v>190.21</v>
      </c>
      <c r="L42" s="2439">
        <f>'Efficient Products Deemed Table'!F70</f>
        <v>41.35</v>
      </c>
      <c r="M42" s="2439">
        <v>0</v>
      </c>
      <c r="N42" s="2439">
        <v>0</v>
      </c>
      <c r="O42" s="2440">
        <f t="shared" si="26"/>
        <v>0.18020800000000001</v>
      </c>
      <c r="P42" s="2440">
        <f t="shared" si="27"/>
        <v>0</v>
      </c>
      <c r="Q42" s="2441">
        <f>'Efficient Products Deemed Table'!I69</f>
        <v>0.18020800000000001</v>
      </c>
      <c r="R42" s="2441">
        <v>0</v>
      </c>
      <c r="S42" s="2441"/>
      <c r="T42" s="2441"/>
      <c r="U42" s="1819">
        <v>0</v>
      </c>
      <c r="V42" s="1819">
        <f t="shared" si="22"/>
        <v>0.18020800000000001</v>
      </c>
      <c r="W42" s="1819">
        <v>0</v>
      </c>
      <c r="X42" s="68">
        <f>'Efficient Products Deemed Table'!J69</f>
        <v>10</v>
      </c>
      <c r="Y42" s="68"/>
      <c r="Z42" s="68">
        <f t="shared" si="1"/>
        <v>10</v>
      </c>
      <c r="AA42" s="3616">
        <f>'Efficient Products Deemed Table'!BB69</f>
        <v>1.747020472665803</v>
      </c>
      <c r="AB42" s="2620">
        <f>'Efficient Products Deemed Table'!K69</f>
        <v>125</v>
      </c>
      <c r="AC42" s="3618">
        <f t="shared" si="6"/>
        <v>206.11378865807018</v>
      </c>
      <c r="AD42" s="3618"/>
      <c r="AE42" s="1661">
        <f>'Efficient Products Deemed Table'!BD69</f>
        <v>194.87749883272355</v>
      </c>
      <c r="AF42" s="2453">
        <f>'Efficient Products Deemed Table'!BD70</f>
        <v>11.236289825346619</v>
      </c>
      <c r="AG42" s="2453"/>
      <c r="AH42" s="2453"/>
      <c r="AI42" s="684" t="str">
        <f>'Efficient Products Deemed Table'!L69</f>
        <v>per measure</v>
      </c>
      <c r="AJ42" s="1810"/>
      <c r="AK42" s="1810"/>
      <c r="AL42" s="1810"/>
      <c r="AM42" s="1972">
        <f t="shared" si="28"/>
        <v>9.4741810000000004E-4</v>
      </c>
      <c r="AN42" s="100">
        <f t="shared" si="23"/>
        <v>0.18020839680100001</v>
      </c>
      <c r="AO42" s="1971">
        <f t="shared" si="4"/>
        <v>3.9680100000216711E-7</v>
      </c>
      <c r="AP42" s="1930"/>
      <c r="AQ42" s="1930"/>
      <c r="AR42" s="1930"/>
      <c r="AS42" s="160" t="s">
        <v>2882</v>
      </c>
      <c r="AT42" s="1262">
        <v>0</v>
      </c>
    </row>
    <row r="43" spans="1:47" x14ac:dyDescent="0.25">
      <c r="A43" s="103" t="str">
        <f t="shared" si="5"/>
        <v>250351</v>
      </c>
      <c r="B43" s="1960" t="str">
        <f>'Efficient Products Deemed Table'!C71</f>
        <v>250351_2021_12_</v>
      </c>
      <c r="C43" s="1962" t="str">
        <f>'Efficient Products Deemed Table'!G71</f>
        <v>Cooling RES</v>
      </c>
      <c r="D43" s="1962" t="str">
        <f>'Efficient Products Deemed Table'!G72</f>
        <v>Heating RES</v>
      </c>
      <c r="E43" s="1962"/>
      <c r="F43" s="1962"/>
      <c r="G43" s="1962" t="str">
        <f>'Efficient Products Deemed Table'!E71</f>
        <v>Learning Thermostat - Gas Heated / central AC MF**</v>
      </c>
      <c r="H43" s="1962" t="str">
        <f>'Efficient Products Deemed Table'!D71</f>
        <v>Efficient Products</v>
      </c>
      <c r="I43" s="2438">
        <f t="shared" si="24"/>
        <v>217.09</v>
      </c>
      <c r="J43" s="2439">
        <f t="shared" si="25"/>
        <v>0</v>
      </c>
      <c r="K43" s="2439">
        <f>'Efficient Products Deemed Table'!F71</f>
        <v>190.21</v>
      </c>
      <c r="L43" s="2439">
        <f>'Efficient Products Deemed Table'!F72</f>
        <v>26.88</v>
      </c>
      <c r="M43" s="2439">
        <v>0</v>
      </c>
      <c r="N43" s="2439">
        <v>0</v>
      </c>
      <c r="O43" s="2440">
        <f t="shared" si="26"/>
        <v>0.18020800000000001</v>
      </c>
      <c r="P43" s="2440">
        <f t="shared" si="27"/>
        <v>0</v>
      </c>
      <c r="Q43" s="2441">
        <f>'Efficient Products Deemed Table'!I71</f>
        <v>0.18020800000000001</v>
      </c>
      <c r="R43" s="2441">
        <v>0</v>
      </c>
      <c r="S43" s="2441"/>
      <c r="T43" s="2441"/>
      <c r="U43" s="1819">
        <v>0</v>
      </c>
      <c r="V43" s="1819">
        <f t="shared" si="22"/>
        <v>0.18020800000000001</v>
      </c>
      <c r="W43" s="1819">
        <v>0</v>
      </c>
      <c r="X43" s="68">
        <f>'Efficient Products Deemed Table'!J71</f>
        <v>10</v>
      </c>
      <c r="Y43" s="68"/>
      <c r="Z43" s="68">
        <f t="shared" si="1"/>
        <v>10</v>
      </c>
      <c r="AA43" s="3616">
        <f>'Efficient Products Deemed Table'!BB71</f>
        <v>1.7136926533589598</v>
      </c>
      <c r="AB43" s="2620">
        <f>'Efficient Products Deemed Table'!K71</f>
        <v>125</v>
      </c>
      <c r="AC43" s="3618">
        <f t="shared" si="6"/>
        <v>202.18176655957524</v>
      </c>
      <c r="AD43" s="3618"/>
      <c r="AE43" s="1661">
        <f>'Efficient Products Deemed Table'!BD71</f>
        <v>194.87749883272355</v>
      </c>
      <c r="AF43" s="2453">
        <f>'Efficient Products Deemed Table'!BD72</f>
        <v>7.3042677268516831</v>
      </c>
      <c r="AG43" s="2453"/>
      <c r="AH43" s="2453"/>
      <c r="AI43" s="684" t="str">
        <f>'Efficient Products Deemed Table'!L71</f>
        <v>per measure</v>
      </c>
      <c r="AJ43" s="1810"/>
      <c r="AK43" s="1810"/>
      <c r="AL43" s="1810"/>
      <c r="AM43" s="1972">
        <f t="shared" si="28"/>
        <v>9.4741810000000004E-4</v>
      </c>
      <c r="AN43" s="100">
        <f t="shared" si="23"/>
        <v>0.18020839680100001</v>
      </c>
      <c r="AO43" s="1971">
        <f t="shared" si="4"/>
        <v>3.9680100000216711E-7</v>
      </c>
      <c r="AP43" s="1930"/>
      <c r="AQ43" s="1930"/>
      <c r="AR43" s="1930"/>
      <c r="AS43" s="160" t="s">
        <v>2897</v>
      </c>
      <c r="AT43" s="1262">
        <v>4.4398300000000001E-4</v>
      </c>
    </row>
    <row r="44" spans="1:47" x14ac:dyDescent="0.25">
      <c r="A44" s="103" t="str">
        <f t="shared" si="5"/>
        <v>250352</v>
      </c>
      <c r="B44" s="1960" t="str">
        <f>'Efficient Products Deemed Table'!C73</f>
        <v>250352_2021_12_</v>
      </c>
      <c r="C44" s="1962" t="str">
        <f>'Efficient Products Deemed Table'!G73</f>
        <v>Cooling RES</v>
      </c>
      <c r="D44" s="1962" t="str">
        <f>'Efficient Products Deemed Table'!G74</f>
        <v>Heating RES</v>
      </c>
      <c r="E44" s="1962"/>
      <c r="F44" s="1962"/>
      <c r="G44" s="1962" t="str">
        <f>'Efficient Products Deemed Table'!E73</f>
        <v>Learning Thermostat - Gas Heated / central AC MF_CompE**</v>
      </c>
      <c r="H44" s="1962" t="str">
        <f>'Efficient Products Deemed Table'!D73</f>
        <v>Efficient Products_CompE</v>
      </c>
      <c r="I44" s="2438">
        <f t="shared" si="24"/>
        <v>165.21</v>
      </c>
      <c r="J44" s="2439">
        <f t="shared" si="25"/>
        <v>0</v>
      </c>
      <c r="K44" s="2439">
        <f>'Efficient Products Deemed Table'!F73</f>
        <v>138.33000000000001</v>
      </c>
      <c r="L44" s="2439">
        <f>'Efficient Products Deemed Table'!F74</f>
        <v>26.88</v>
      </c>
      <c r="M44" s="2439">
        <v>0</v>
      </c>
      <c r="N44" s="2439">
        <v>0</v>
      </c>
      <c r="O44" s="2440">
        <f t="shared" si="26"/>
        <v>0.13105600000000001</v>
      </c>
      <c r="P44" s="2440">
        <f t="shared" si="27"/>
        <v>0</v>
      </c>
      <c r="Q44" s="2441">
        <f>'Efficient Products Deemed Table'!I73</f>
        <v>0.13105600000000001</v>
      </c>
      <c r="R44" s="2441">
        <v>0</v>
      </c>
      <c r="S44" s="2441"/>
      <c r="T44" s="2441"/>
      <c r="U44" s="1819">
        <v>0</v>
      </c>
      <c r="V44" s="1819">
        <f t="shared" si="22"/>
        <v>0.13105600000000001</v>
      </c>
      <c r="W44" s="1819">
        <v>0</v>
      </c>
      <c r="X44" s="68">
        <f>'Efficient Products Deemed Table'!J73</f>
        <v>10</v>
      </c>
      <c r="Y44" s="68"/>
      <c r="Z44" s="68">
        <f t="shared" si="1"/>
        <v>10</v>
      </c>
      <c r="AA44" s="3616">
        <f>'Efficient Products Deemed Table'!BB73</f>
        <v>1.2631672679222961</v>
      </c>
      <c r="AB44" s="2620">
        <f>'Efficient Products Deemed Table'!K73</f>
        <v>125</v>
      </c>
      <c r="AC44" s="3618">
        <f t="shared" si="6"/>
        <v>149.02870079309767</v>
      </c>
      <c r="AD44" s="3618"/>
      <c r="AE44" s="1661">
        <f>'Efficient Products Deemed Table'!BD73</f>
        <v>141.72443306624598</v>
      </c>
      <c r="AF44" s="2453">
        <f>'Efficient Products Deemed Table'!BD74</f>
        <v>7.3042677268516831</v>
      </c>
      <c r="AG44" s="2453"/>
      <c r="AH44" s="2453"/>
      <c r="AI44" s="684" t="str">
        <f>'Efficient Products Deemed Table'!L73</f>
        <v>per measure</v>
      </c>
      <c r="AJ44" s="1810"/>
      <c r="AK44" s="1810"/>
      <c r="AL44" s="1810"/>
      <c r="AM44" s="1972">
        <f t="shared" si="28"/>
        <v>9.4741810000000004E-4</v>
      </c>
      <c r="AN44" s="100">
        <f t="shared" si="23"/>
        <v>0.13105634577300002</v>
      </c>
      <c r="AO44" s="1971">
        <f t="shared" si="4"/>
        <v>3.4577300001004119E-7</v>
      </c>
      <c r="AP44" s="1930"/>
      <c r="AQ44" s="1930"/>
      <c r="AR44" s="1930"/>
      <c r="AS44" s="160" t="s">
        <v>55</v>
      </c>
      <c r="AT44" s="1262">
        <v>1.899635E-4</v>
      </c>
    </row>
    <row r="45" spans="1:47" x14ac:dyDescent="0.25">
      <c r="A45" s="103" t="str">
        <f t="shared" si="5"/>
        <v>250450</v>
      </c>
      <c r="B45" s="1960" t="str">
        <f>'Efficient Products Deemed Table'!C75</f>
        <v>250450_2021_12_</v>
      </c>
      <c r="C45" s="1962" t="str">
        <f>'Efficient Products Deemed Table'!G75</f>
        <v>Cooling RES</v>
      </c>
      <c r="D45" s="1962" t="str">
        <f>'Efficient Products Deemed Table'!G76</f>
        <v>Heating RES</v>
      </c>
      <c r="E45" s="1962"/>
      <c r="F45" s="1962"/>
      <c r="G45" s="1962" t="str">
        <f>'Efficient Products Deemed Table'!E75</f>
        <v>Learning Thermostat - Unknown SF**</v>
      </c>
      <c r="H45" s="1962" t="str">
        <f>'Efficient Products Deemed Table'!D75</f>
        <v>Efficient Products</v>
      </c>
      <c r="I45" s="2438">
        <f t="shared" si="24"/>
        <v>467</v>
      </c>
      <c r="J45" s="2439">
        <f t="shared" si="25"/>
        <v>0</v>
      </c>
      <c r="K45" s="2439">
        <f>'Efficient Products Deemed Table'!F75</f>
        <v>190.21</v>
      </c>
      <c r="L45" s="2439">
        <f>'Efficient Products Deemed Table'!F76</f>
        <v>276.79000000000002</v>
      </c>
      <c r="M45" s="2439">
        <v>0</v>
      </c>
      <c r="N45" s="2439">
        <v>0</v>
      </c>
      <c r="O45" s="2440">
        <f t="shared" si="26"/>
        <v>0.18020800000000001</v>
      </c>
      <c r="P45" s="2440">
        <f t="shared" si="27"/>
        <v>0</v>
      </c>
      <c r="Q45" s="2441">
        <f>'Efficient Products Deemed Table'!I75</f>
        <v>0.18020800000000001</v>
      </c>
      <c r="R45" s="2441">
        <v>0</v>
      </c>
      <c r="S45" s="2441"/>
      <c r="T45" s="2441"/>
      <c r="U45" s="1819">
        <v>0</v>
      </c>
      <c r="V45" s="1819">
        <f t="shared" si="22"/>
        <v>0.18020800000000001</v>
      </c>
      <c r="W45" s="1819">
        <v>0</v>
      </c>
      <c r="X45" s="68">
        <f>'Efficient Products Deemed Table'!J75</f>
        <v>10</v>
      </c>
      <c r="Y45" s="68"/>
      <c r="Z45" s="68">
        <f t="shared" si="1"/>
        <v>10</v>
      </c>
      <c r="AA45" s="3616">
        <f>'Efficient Products Deemed Table'!BB75</f>
        <v>2.2892942651746582</v>
      </c>
      <c r="AB45" s="2620">
        <f>'Efficient Products Deemed Table'!K75</f>
        <v>125</v>
      </c>
      <c r="AC45" s="3618">
        <f t="shared" si="6"/>
        <v>270.09134794415502</v>
      </c>
      <c r="AD45" s="3618"/>
      <c r="AE45" s="1661">
        <f>'Efficient Products Deemed Table'!BD75</f>
        <v>194.87749883272355</v>
      </c>
      <c r="AF45" s="2453">
        <f>'Efficient Products Deemed Table'!BD76</f>
        <v>75.213849111431458</v>
      </c>
      <c r="AG45" s="2453"/>
      <c r="AH45" s="2453"/>
      <c r="AI45" s="684" t="str">
        <f>'Efficient Products Deemed Table'!L75</f>
        <v>per measure</v>
      </c>
      <c r="AJ45" s="1810"/>
      <c r="AK45" s="1810"/>
      <c r="AL45" s="1810"/>
      <c r="AM45" s="1972">
        <f t="shared" si="28"/>
        <v>9.4741810000000004E-4</v>
      </c>
      <c r="AN45" s="100">
        <f t="shared" si="23"/>
        <v>0.18020839680100001</v>
      </c>
      <c r="AO45" s="1971">
        <f t="shared" si="4"/>
        <v>3.9680100000216711E-7</v>
      </c>
      <c r="AP45" s="1930"/>
      <c r="AQ45" s="1930"/>
      <c r="AR45" s="1930"/>
      <c r="AS45" s="160" t="s">
        <v>2671</v>
      </c>
      <c r="AT45" s="1262">
        <v>1.379439E-4</v>
      </c>
    </row>
    <row r="46" spans="1:47" x14ac:dyDescent="0.25">
      <c r="A46" s="103" t="str">
        <f t="shared" si="5"/>
        <v>250451</v>
      </c>
      <c r="B46" s="1960" t="str">
        <f>'Efficient Products Deemed Table'!C77</f>
        <v>250451_2021_12_</v>
      </c>
      <c r="C46" s="1962" t="str">
        <f>'Efficient Products Deemed Table'!G77</f>
        <v>Cooling RES</v>
      </c>
      <c r="D46" s="1962" t="str">
        <f>'Efficient Products Deemed Table'!G78</f>
        <v>Heating RES</v>
      </c>
      <c r="E46" s="1962"/>
      <c r="F46" s="1962"/>
      <c r="G46" s="1962" t="str">
        <f>'Efficient Products Deemed Table'!E77</f>
        <v>Learning Thermostat - Unknown MF**</v>
      </c>
      <c r="H46" s="1962" t="str">
        <f>'Efficient Products Deemed Table'!D77</f>
        <v>Efficient Products</v>
      </c>
      <c r="I46" s="2438">
        <f t="shared" si="24"/>
        <v>370.12</v>
      </c>
      <c r="J46" s="2439">
        <f t="shared" si="25"/>
        <v>0</v>
      </c>
      <c r="K46" s="2439">
        <f>'Efficient Products Deemed Table'!F77</f>
        <v>190.21</v>
      </c>
      <c r="L46" s="2439">
        <f>'Efficient Products Deemed Table'!F78</f>
        <v>179.91</v>
      </c>
      <c r="M46" s="2439">
        <v>0</v>
      </c>
      <c r="N46" s="2439">
        <v>0</v>
      </c>
      <c r="O46" s="2440">
        <f t="shared" si="26"/>
        <v>0.18020800000000001</v>
      </c>
      <c r="P46" s="2440">
        <f t="shared" si="27"/>
        <v>0</v>
      </c>
      <c r="Q46" s="2441">
        <f>'Efficient Products Deemed Table'!I77</f>
        <v>0.18020800000000001</v>
      </c>
      <c r="R46" s="2441">
        <v>0</v>
      </c>
      <c r="S46" s="2441"/>
      <c r="T46" s="2441"/>
      <c r="U46" s="1819">
        <v>0</v>
      </c>
      <c r="V46" s="1819">
        <f t="shared" si="22"/>
        <v>0.18020800000000001</v>
      </c>
      <c r="W46" s="1819">
        <v>0</v>
      </c>
      <c r="X46" s="68">
        <f>'Efficient Products Deemed Table'!J77</f>
        <v>10</v>
      </c>
      <c r="Y46" s="68"/>
      <c r="Z46" s="68">
        <f t="shared" si="1"/>
        <v>10</v>
      </c>
      <c r="AA46" s="3616">
        <f>'Efficient Products Deemed Table'!BB77</f>
        <v>2.066156799076043</v>
      </c>
      <c r="AB46" s="2620">
        <f>'Efficient Products Deemed Table'!K77</f>
        <v>125</v>
      </c>
      <c r="AC46" s="3618">
        <f t="shared" si="6"/>
        <v>243.76554967862705</v>
      </c>
      <c r="AD46" s="3618"/>
      <c r="AE46" s="1661">
        <f>'Efficient Products Deemed Table'!BD77</f>
        <v>194.87749883272355</v>
      </c>
      <c r="AF46" s="2453">
        <f>'Efficient Products Deemed Table'!BD78</f>
        <v>48.888050845903507</v>
      </c>
      <c r="AG46" s="2453"/>
      <c r="AH46" s="2453"/>
      <c r="AI46" s="684" t="str">
        <f>'Efficient Products Deemed Table'!L77</f>
        <v>per measure</v>
      </c>
      <c r="AJ46" s="1810"/>
      <c r="AK46" s="1810"/>
      <c r="AL46" s="1810"/>
      <c r="AM46" s="1972">
        <f t="shared" si="28"/>
        <v>9.4741810000000004E-4</v>
      </c>
      <c r="AN46" s="100">
        <f t="shared" si="23"/>
        <v>0.18020839680100001</v>
      </c>
      <c r="AO46" s="1971">
        <f t="shared" si="4"/>
        <v>3.9680100000216711E-7</v>
      </c>
      <c r="AP46" s="1930"/>
      <c r="AQ46" s="1930"/>
      <c r="AR46" s="1930"/>
      <c r="AS46" s="160" t="s">
        <v>2835</v>
      </c>
      <c r="AT46" s="1262">
        <v>1.379439E-4</v>
      </c>
    </row>
    <row r="47" spans="1:47" x14ac:dyDescent="0.25">
      <c r="A47" s="103" t="str">
        <f t="shared" si="5"/>
        <v>250452</v>
      </c>
      <c r="B47" s="1960" t="str">
        <f>'Efficient Products Deemed Table'!C79</f>
        <v>250452_2021_12_</v>
      </c>
      <c r="C47" s="1962" t="str">
        <f>'Efficient Products Deemed Table'!G79</f>
        <v>Cooling RES</v>
      </c>
      <c r="D47" s="1962" t="str">
        <f>'Efficient Products Deemed Table'!G80</f>
        <v>Heating RES</v>
      </c>
      <c r="E47" s="1962"/>
      <c r="F47" s="1962"/>
      <c r="G47" s="1962" t="str">
        <f>'Efficient Products Deemed Table'!E79</f>
        <v>Learning Thermostat - Unknown MF_CompE**</v>
      </c>
      <c r="H47" s="1962" t="str">
        <f>'Efficient Products Deemed Table'!D79</f>
        <v>Efficient Products_CompE</v>
      </c>
      <c r="I47" s="2438">
        <f t="shared" si="24"/>
        <v>211.42000000000002</v>
      </c>
      <c r="J47" s="2439">
        <f t="shared" si="25"/>
        <v>0</v>
      </c>
      <c r="K47" s="2439">
        <f>'Efficient Products Deemed Table'!F79</f>
        <v>138.33000000000001</v>
      </c>
      <c r="L47" s="2439">
        <f>'Efficient Products Deemed Table'!F80</f>
        <v>73.09</v>
      </c>
      <c r="M47" s="2439">
        <v>0</v>
      </c>
      <c r="N47" s="2439">
        <v>0</v>
      </c>
      <c r="O47" s="2440">
        <f t="shared" si="26"/>
        <v>0.13105600000000001</v>
      </c>
      <c r="P47" s="2440">
        <f t="shared" si="27"/>
        <v>0</v>
      </c>
      <c r="Q47" s="2441">
        <f>'Efficient Products Deemed Table'!I79</f>
        <v>0.13105600000000001</v>
      </c>
      <c r="R47" s="2441">
        <v>0</v>
      </c>
      <c r="S47" s="2441"/>
      <c r="T47" s="2441"/>
      <c r="U47" s="1819">
        <v>0</v>
      </c>
      <c r="V47" s="1819">
        <f t="shared" si="22"/>
        <v>0.13105600000000001</v>
      </c>
      <c r="W47" s="1819">
        <v>0</v>
      </c>
      <c r="X47" s="68">
        <f>'Efficient Products Deemed Table'!J79</f>
        <v>10</v>
      </c>
      <c r="Y47" s="68"/>
      <c r="Z47" s="68">
        <f t="shared" si="1"/>
        <v>10</v>
      </c>
      <c r="AA47" s="3616">
        <f>'Efficient Products Deemed Table'!BB79</f>
        <v>1.369599785556658</v>
      </c>
      <c r="AB47" s="2620">
        <f>'Efficient Products Deemed Table'!K79</f>
        <v>125</v>
      </c>
      <c r="AC47" s="3618">
        <f t="shared" si="6"/>
        <v>161.58562831012952</v>
      </c>
      <c r="AD47" s="3618"/>
      <c r="AE47" s="1661">
        <f>'Efficient Products Deemed Table'!BD79</f>
        <v>141.72443306624598</v>
      </c>
      <c r="AF47" s="2453">
        <f>'Efficient Products Deemed Table'!BD80</f>
        <v>19.86119524388354</v>
      </c>
      <c r="AG47" s="2453"/>
      <c r="AH47" s="2453"/>
      <c r="AI47" s="684" t="str">
        <f>'Efficient Products Deemed Table'!L79</f>
        <v>per measure</v>
      </c>
      <c r="AJ47" s="1810"/>
      <c r="AK47" s="1810"/>
      <c r="AL47" s="1810"/>
      <c r="AM47" s="1972">
        <f t="shared" si="28"/>
        <v>9.4741810000000004E-4</v>
      </c>
      <c r="AN47" s="100">
        <f t="shared" si="23"/>
        <v>0.13105634577300002</v>
      </c>
      <c r="AO47" s="1971">
        <f t="shared" si="4"/>
        <v>3.4577300001004119E-7</v>
      </c>
      <c r="AP47" s="1930"/>
      <c r="AQ47" s="1930"/>
      <c r="AR47" s="1930"/>
      <c r="AS47" s="160" t="s">
        <v>4058</v>
      </c>
      <c r="AT47" s="1262">
        <v>1.379439E-4</v>
      </c>
    </row>
    <row r="48" spans="1:47" x14ac:dyDescent="0.25">
      <c r="A48" s="103" t="str">
        <f t="shared" si="5"/>
        <v>250500</v>
      </c>
      <c r="B48" s="1960" t="str">
        <f>'Efficient Products Deemed Table'!C172</f>
        <v>250500_2021_12_</v>
      </c>
      <c r="C48" s="1962" t="str">
        <f>'Efficient Products Deemed Table'!G172</f>
        <v>Pool Spa RES</v>
      </c>
      <c r="D48" s="1962"/>
      <c r="E48" s="1962"/>
      <c r="F48" s="1962"/>
      <c r="G48" s="1962" t="str">
        <f>'Efficient Products Deemed Table'!E172</f>
        <v>ENERGY STAR Pool Pump and motor w auto controls - multi speed</v>
      </c>
      <c r="H48" s="1962" t="str">
        <f>'Efficient Products Deemed Table'!D172</f>
        <v>Efficient Products</v>
      </c>
      <c r="I48" s="2438">
        <f>'Efficient Products Deemed Table'!F172</f>
        <v>0</v>
      </c>
      <c r="J48" s="2438">
        <v>0</v>
      </c>
      <c r="K48" s="2439">
        <v>0</v>
      </c>
      <c r="L48" s="2439">
        <v>0</v>
      </c>
      <c r="M48" s="2439">
        <v>0</v>
      </c>
      <c r="N48" s="2439">
        <v>0</v>
      </c>
      <c r="O48" s="2440">
        <f>'Efficient Products Deemed Table'!I172</f>
        <v>0</v>
      </c>
      <c r="P48" s="2440">
        <v>0</v>
      </c>
      <c r="Q48" s="2441">
        <v>0</v>
      </c>
      <c r="R48" s="2441">
        <v>0</v>
      </c>
      <c r="S48" s="2441"/>
      <c r="T48" s="2441"/>
      <c r="U48" s="1819">
        <v>0</v>
      </c>
      <c r="V48" s="1819">
        <f t="shared" ref="V48:V59" si="29">O48</f>
        <v>0</v>
      </c>
      <c r="W48" s="1819">
        <v>0</v>
      </c>
      <c r="X48" s="68">
        <f>'Efficient Products Deemed Table'!J172</f>
        <v>10</v>
      </c>
      <c r="Y48" s="68"/>
      <c r="Z48" s="68">
        <f t="shared" si="1"/>
        <v>10</v>
      </c>
      <c r="AA48" s="3616" t="e">
        <f>'Efficient Products Deemed Table'!BB172</f>
        <v>#DIV/0!</v>
      </c>
      <c r="AB48" s="2620">
        <f>'Efficient Products Deemed Table'!K172</f>
        <v>0</v>
      </c>
      <c r="AC48" s="3618">
        <f t="shared" si="6"/>
        <v>0</v>
      </c>
      <c r="AD48" s="3618"/>
      <c r="AE48" s="1661">
        <f>'Efficient Products Deemed Table'!BD172</f>
        <v>0</v>
      </c>
      <c r="AF48" s="2453"/>
      <c r="AG48" s="2453"/>
      <c r="AH48" s="2453"/>
      <c r="AI48" s="684" t="str">
        <f>'Efficient Products Deemed Table'!L172</f>
        <v>per measure</v>
      </c>
      <c r="AJ48" s="1930"/>
      <c r="AK48" s="1930"/>
      <c r="AL48" s="1930"/>
      <c r="AM48" s="1972">
        <f t="shared" si="28"/>
        <v>2.3544589999999999E-4</v>
      </c>
      <c r="AN48" s="1930">
        <f t="shared" ref="AN48:AN97" si="30">AM48*I48</f>
        <v>0</v>
      </c>
      <c r="AO48" s="1971">
        <f t="shared" si="4"/>
        <v>0</v>
      </c>
      <c r="AP48" s="1930"/>
      <c r="AQ48" s="1930"/>
      <c r="AR48" s="1930"/>
      <c r="AS48" s="160" t="s">
        <v>2722</v>
      </c>
      <c r="AT48" s="1262">
        <v>1.3573829999999999E-4</v>
      </c>
    </row>
    <row r="49" spans="1:46" x14ac:dyDescent="0.25">
      <c r="A49" s="103" t="str">
        <f t="shared" si="5"/>
        <v>250550</v>
      </c>
      <c r="B49" s="1960" t="str">
        <f>'Efficient Products Deemed Table'!C173</f>
        <v>250550_2021_12_</v>
      </c>
      <c r="C49" s="1962" t="str">
        <f>'Efficient Products Deemed Table'!G173</f>
        <v>Pool Spa RES</v>
      </c>
      <c r="D49" s="1962"/>
      <c r="E49" s="1962"/>
      <c r="F49" s="1962"/>
      <c r="G49" s="1962" t="str">
        <f>'Efficient Products Deemed Table'!E173</f>
        <v>ENERGY STAR VFDs on Residential Swimming Pool Pumps - ROF</v>
      </c>
      <c r="H49" s="1962" t="str">
        <f>'Efficient Products Deemed Table'!D173</f>
        <v>Efficient Products</v>
      </c>
      <c r="I49" s="2438">
        <f>'Efficient Products Deemed Table'!F173</f>
        <v>315.20999999999998</v>
      </c>
      <c r="J49" s="2438">
        <v>0</v>
      </c>
      <c r="K49" s="2439">
        <v>0</v>
      </c>
      <c r="L49" s="2439">
        <v>0</v>
      </c>
      <c r="M49" s="2439">
        <v>0</v>
      </c>
      <c r="N49" s="2439">
        <v>0</v>
      </c>
      <c r="O49" s="2440">
        <f>'Efficient Products Deemed Table'!I173</f>
        <v>7.4215000000000003E-2</v>
      </c>
      <c r="P49" s="2440">
        <v>0</v>
      </c>
      <c r="Q49" s="2441">
        <v>0</v>
      </c>
      <c r="R49" s="2441">
        <v>0</v>
      </c>
      <c r="S49" s="2441"/>
      <c r="T49" s="2441"/>
      <c r="U49" s="1819">
        <v>0</v>
      </c>
      <c r="V49" s="1819">
        <f t="shared" si="29"/>
        <v>7.4215000000000003E-2</v>
      </c>
      <c r="W49" s="1819">
        <v>0</v>
      </c>
      <c r="X49" s="68">
        <f>'Efficient Products Deemed Table'!J173</f>
        <v>10</v>
      </c>
      <c r="Y49" s="68"/>
      <c r="Z49" s="68">
        <f t="shared" si="1"/>
        <v>10</v>
      </c>
      <c r="AA49" s="3616">
        <f>'Efficient Products Deemed Table'!BB173</f>
        <v>0.44392548917598218</v>
      </c>
      <c r="AB49" s="2620">
        <f>'Efficient Products Deemed Table'!K173</f>
        <v>314</v>
      </c>
      <c r="AC49" s="3618">
        <f t="shared" si="6"/>
        <v>131.56451496107445</v>
      </c>
      <c r="AD49" s="3618"/>
      <c r="AE49" s="1661">
        <f>'Efficient Products Deemed Table'!BD173</f>
        <v>131.56451496107445</v>
      </c>
      <c r="AF49" s="2453"/>
      <c r="AG49" s="2453"/>
      <c r="AH49" s="2453"/>
      <c r="AI49" s="684" t="str">
        <f>'Efficient Products Deemed Table'!L173</f>
        <v>per measure</v>
      </c>
      <c r="AJ49" s="1930"/>
      <c r="AK49" s="1930"/>
      <c r="AL49" s="1930"/>
      <c r="AM49" s="1972">
        <f t="shared" si="28"/>
        <v>2.3544589999999999E-4</v>
      </c>
      <c r="AN49" s="1930">
        <f t="shared" si="30"/>
        <v>7.4214902138999991E-2</v>
      </c>
      <c r="AO49" s="1971">
        <f t="shared" si="4"/>
        <v>-9.786100001185627E-8</v>
      </c>
      <c r="AP49" s="1930"/>
      <c r="AQ49" s="1930"/>
      <c r="AR49" s="1930"/>
      <c r="AS49" s="160" t="s">
        <v>2798</v>
      </c>
      <c r="AT49" s="1262">
        <v>1.811545E-4</v>
      </c>
    </row>
    <row r="50" spans="1:46" s="100" customFormat="1" x14ac:dyDescent="0.25">
      <c r="A50" s="103" t="str">
        <f t="shared" si="5"/>
        <v>250551</v>
      </c>
      <c r="B50" s="1960" t="str">
        <f>'Efficient Products Deemed Table'!C174</f>
        <v>250551_2021_12_</v>
      </c>
      <c r="C50" s="1958" t="str">
        <f>'Efficient Products Deemed Table'!G174</f>
        <v>Pool Spa RES</v>
      </c>
      <c r="D50" s="1958"/>
      <c r="E50" s="1958"/>
      <c r="F50" s="1958"/>
      <c r="G50" s="1958" t="str">
        <f>'Efficient Products Deemed Table'!E174</f>
        <v>ENERGY STAR VFDs on Residential Swimming Pool Pumps - ER</v>
      </c>
      <c r="H50" s="1958" t="str">
        <f>'Efficient Products Deemed Table'!D174</f>
        <v>Efficient Products</v>
      </c>
      <c r="I50" s="1973">
        <f>'Efficient Products Deemed Table'!F174</f>
        <v>1478.34</v>
      </c>
      <c r="J50" s="1973">
        <v>0</v>
      </c>
      <c r="K50" s="1963">
        <v>0</v>
      </c>
      <c r="L50" s="1963">
        <v>0</v>
      </c>
      <c r="M50" s="1963">
        <v>0</v>
      </c>
      <c r="N50" s="1963">
        <v>0</v>
      </c>
      <c r="O50" s="1974">
        <f>'Efficient Products Deemed Table'!I174</f>
        <v>0.34806900000000002</v>
      </c>
      <c r="P50" s="1974">
        <v>0</v>
      </c>
      <c r="Q50" s="1976">
        <v>0</v>
      </c>
      <c r="R50" s="1976">
        <v>0</v>
      </c>
      <c r="S50" s="1976"/>
      <c r="T50" s="1976"/>
      <c r="U50" s="1926">
        <v>0</v>
      </c>
      <c r="V50" s="1926">
        <f t="shared" ref="V50" si="31">O50</f>
        <v>0.34806900000000002</v>
      </c>
      <c r="W50" s="1926">
        <v>0</v>
      </c>
      <c r="X50" s="1952">
        <f>'Efficient Products Deemed Table'!J174</f>
        <v>10</v>
      </c>
      <c r="Y50" s="1952"/>
      <c r="Z50" s="1952">
        <f t="shared" ref="Z50" si="32">Y50+X50</f>
        <v>10</v>
      </c>
      <c r="AA50" s="2431">
        <f>'Efficient Products Deemed Table'!BB174</f>
        <v>1.1908079530400344</v>
      </c>
      <c r="AB50" s="2069">
        <f>'Efficient Products Deemed Table'!K174</f>
        <v>549</v>
      </c>
      <c r="AC50" s="2436">
        <f t="shared" ref="AC50" si="33">AE50+AF50</f>
        <v>617.03970384047079</v>
      </c>
      <c r="AD50" s="2436"/>
      <c r="AE50" s="2452">
        <f>'Efficient Products Deemed Table'!BD174</f>
        <v>617.03970384047079</v>
      </c>
      <c r="AF50" s="1982"/>
      <c r="AG50" s="1982"/>
      <c r="AH50" s="1982"/>
      <c r="AI50" s="1960" t="str">
        <f>'Efficient Products Deemed Table'!L174</f>
        <v>per measure</v>
      </c>
      <c r="AM50" s="2433">
        <f t="shared" si="28"/>
        <v>2.3544589999999999E-4</v>
      </c>
      <c r="AN50" s="100">
        <f t="shared" ref="AN50" si="34">AM50*I50</f>
        <v>0.34806909180599999</v>
      </c>
      <c r="AO50" s="2437">
        <f t="shared" ref="AO50" si="35">AN50-O50</f>
        <v>9.1805999968830321E-8</v>
      </c>
      <c r="AS50" s="1958" t="s">
        <v>2798</v>
      </c>
      <c r="AT50" s="3644">
        <v>1.811545E-4</v>
      </c>
    </row>
    <row r="51" spans="1:46" x14ac:dyDescent="0.25">
      <c r="A51" s="103" t="str">
        <f t="shared" si="5"/>
        <v>250600</v>
      </c>
      <c r="B51" s="684" t="str">
        <f>'Efficient Products Deemed Table'!C220</f>
        <v>250600_2019_12_</v>
      </c>
      <c r="C51" s="1962" t="str">
        <f>'Efficient Products Deemed Table'!G220</f>
        <v>Miscellaneous RES</v>
      </c>
      <c r="D51" s="1962"/>
      <c r="E51" s="1962"/>
      <c r="F51" s="1962"/>
      <c r="G51" s="1962" t="str">
        <f>'Efficient Products Deemed Table'!E220</f>
        <v>Advanced Tier 2 Power Strips  -  A</v>
      </c>
      <c r="H51" s="1962" t="str">
        <f>'Efficient Products Deemed Table'!D220</f>
        <v>Efficient Products</v>
      </c>
      <c r="I51" s="2438">
        <f>'Efficient Products Deemed Table'!F220</f>
        <v>237.6</v>
      </c>
      <c r="J51" s="2438">
        <v>0</v>
      </c>
      <c r="K51" s="2439">
        <v>0</v>
      </c>
      <c r="L51" s="2439">
        <v>0</v>
      </c>
      <c r="M51" s="2439">
        <v>0</v>
      </c>
      <c r="N51" s="2439">
        <v>0</v>
      </c>
      <c r="O51" s="2440">
        <f>'Efficient Products Deemed Table'!I220</f>
        <v>2.7282000000000001E-2</v>
      </c>
      <c r="P51" s="2440">
        <v>0</v>
      </c>
      <c r="Q51" s="2441">
        <v>0</v>
      </c>
      <c r="R51" s="2441">
        <v>0</v>
      </c>
      <c r="S51" s="2441"/>
      <c r="T51" s="2441"/>
      <c r="U51" s="1819">
        <v>0</v>
      </c>
      <c r="V51" s="1819">
        <f t="shared" si="29"/>
        <v>2.7282000000000001E-2</v>
      </c>
      <c r="W51" s="1819">
        <v>0</v>
      </c>
      <c r="X51" s="68">
        <f>'Efficient Products Deemed Table'!J220</f>
        <v>10</v>
      </c>
      <c r="Y51" s="68"/>
      <c r="Z51" s="68">
        <f t="shared" si="1"/>
        <v>10</v>
      </c>
      <c r="AA51" s="3616">
        <f>'Efficient Products Deemed Table'!BB220</f>
        <v>2.8935964717891705</v>
      </c>
      <c r="AB51" s="2620">
        <f>'Efficient Products Deemed Table'!K220</f>
        <v>30</v>
      </c>
      <c r="AC51" s="3618">
        <f t="shared" si="6"/>
        <v>81.932887355993486</v>
      </c>
      <c r="AD51" s="3618"/>
      <c r="AE51" s="1661">
        <f>'Efficient Products Deemed Table'!BD220</f>
        <v>81.932887355993486</v>
      </c>
      <c r="AF51" s="2453"/>
      <c r="AG51" s="2453"/>
      <c r="AH51" s="2453"/>
      <c r="AI51" s="684" t="str">
        <f>'Efficient Products Deemed Table'!L220</f>
        <v>per measure</v>
      </c>
      <c r="AJ51" s="1930"/>
      <c r="AK51" s="1930"/>
      <c r="AL51" s="1930"/>
      <c r="AM51" s="1972">
        <f t="shared" si="28"/>
        <v>1.148238E-4</v>
      </c>
      <c r="AN51" s="1930">
        <f t="shared" si="30"/>
        <v>2.728213488E-2</v>
      </c>
      <c r="AO51" s="1971">
        <f t="shared" si="4"/>
        <v>1.348799999988104E-7</v>
      </c>
      <c r="AP51" s="1930"/>
      <c r="AQ51" s="1930"/>
      <c r="AR51" s="1930"/>
      <c r="AS51" s="1930"/>
      <c r="AT51" s="1930"/>
    </row>
    <row r="52" spans="1:46" x14ac:dyDescent="0.25">
      <c r="A52" s="103" t="str">
        <f t="shared" si="5"/>
        <v>250650</v>
      </c>
      <c r="B52" s="684" t="str">
        <f>'Efficient Products Deemed Table'!C221</f>
        <v>250650_2019_12_</v>
      </c>
      <c r="C52" s="1962" t="str">
        <f>'Efficient Products Deemed Table'!G221</f>
        <v>Miscellaneous RES</v>
      </c>
      <c r="D52" s="1962"/>
      <c r="E52" s="1962"/>
      <c r="F52" s="1962"/>
      <c r="G52" s="1962" t="str">
        <f>'Efficient Products Deemed Table'!E221</f>
        <v>Advanced Tier 2 Power Strips -  B</v>
      </c>
      <c r="H52" s="1962" t="str">
        <f>'Efficient Products Deemed Table'!D221</f>
        <v>Efficient Products</v>
      </c>
      <c r="I52" s="2438">
        <f>'Efficient Products Deemed Table'!F221</f>
        <v>216</v>
      </c>
      <c r="J52" s="2438">
        <v>0</v>
      </c>
      <c r="K52" s="2439">
        <v>0</v>
      </c>
      <c r="L52" s="2439">
        <v>0</v>
      </c>
      <c r="M52" s="2439">
        <v>0</v>
      </c>
      <c r="N52" s="2439">
        <v>0</v>
      </c>
      <c r="O52" s="2440">
        <f>'Efficient Products Deemed Table'!I221</f>
        <v>2.4802000000000001E-2</v>
      </c>
      <c r="P52" s="2440">
        <v>0</v>
      </c>
      <c r="Q52" s="2441">
        <v>0</v>
      </c>
      <c r="R52" s="2441">
        <v>0</v>
      </c>
      <c r="S52" s="2441"/>
      <c r="T52" s="2441"/>
      <c r="U52" s="1819">
        <v>0</v>
      </c>
      <c r="V52" s="1819">
        <f t="shared" si="29"/>
        <v>2.4802000000000001E-2</v>
      </c>
      <c r="W52" s="1819">
        <v>0</v>
      </c>
      <c r="X52" s="68">
        <f>'Efficient Products Deemed Table'!J221</f>
        <v>10</v>
      </c>
      <c r="Y52" s="68"/>
      <c r="Z52" s="68">
        <f t="shared" si="1"/>
        <v>10</v>
      </c>
      <c r="AA52" s="3616">
        <f>'Efficient Products Deemed Table'!BB221</f>
        <v>2.6305422470810638</v>
      </c>
      <c r="AB52" s="2620">
        <f>'Efficient Products Deemed Table'!K221</f>
        <v>30</v>
      </c>
      <c r="AC52" s="3618">
        <f t="shared" si="6"/>
        <v>74.484443050903167</v>
      </c>
      <c r="AD52" s="3618"/>
      <c r="AE52" s="1661">
        <f>'Efficient Products Deemed Table'!BD221</f>
        <v>74.484443050903167</v>
      </c>
      <c r="AF52" s="2453"/>
      <c r="AG52" s="2453"/>
      <c r="AH52" s="2453"/>
      <c r="AI52" s="684" t="str">
        <f>'Efficient Products Deemed Table'!L221</f>
        <v>per measure</v>
      </c>
      <c r="AJ52" s="1930"/>
      <c r="AK52" s="1930"/>
      <c r="AL52" s="1930"/>
      <c r="AM52" s="1972">
        <f t="shared" si="28"/>
        <v>1.148238E-4</v>
      </c>
      <c r="AN52" s="1930">
        <f t="shared" si="30"/>
        <v>2.4801940799999998E-2</v>
      </c>
      <c r="AO52" s="1971">
        <f t="shared" si="4"/>
        <v>-5.9200000002840314E-8</v>
      </c>
    </row>
    <row r="53" spans="1:46" x14ac:dyDescent="0.25">
      <c r="A53" s="103" t="str">
        <f t="shared" si="5"/>
        <v>250700</v>
      </c>
      <c r="B53" s="684" t="str">
        <f>'Efficient Products Deemed Table'!C222</f>
        <v>250700_2019_12_</v>
      </c>
      <c r="C53" s="1962" t="str">
        <f>'Efficient Products Deemed Table'!G222</f>
        <v>Miscellaneous RES</v>
      </c>
      <c r="D53" s="1962"/>
      <c r="E53" s="1962"/>
      <c r="F53" s="1962"/>
      <c r="G53" s="1962" t="str">
        <f>'Efficient Products Deemed Table'!E222</f>
        <v>Advanced Tier 2 Power Strips -  C</v>
      </c>
      <c r="H53" s="1962" t="str">
        <f>'Efficient Products Deemed Table'!D222</f>
        <v>Efficient Products</v>
      </c>
      <c r="I53" s="2438">
        <f>'Efficient Products Deemed Table'!F222</f>
        <v>194.4</v>
      </c>
      <c r="J53" s="2438">
        <v>0</v>
      </c>
      <c r="K53" s="2439">
        <v>0</v>
      </c>
      <c r="L53" s="2439">
        <v>0</v>
      </c>
      <c r="M53" s="2439">
        <v>0</v>
      </c>
      <c r="N53" s="2439">
        <v>0</v>
      </c>
      <c r="O53" s="2440">
        <f>'Efficient Products Deemed Table'!I222</f>
        <v>2.2322000000000002E-2</v>
      </c>
      <c r="P53" s="2440">
        <v>0</v>
      </c>
      <c r="Q53" s="2441">
        <v>0</v>
      </c>
      <c r="R53" s="2441">
        <v>0</v>
      </c>
      <c r="S53" s="2441"/>
      <c r="T53" s="2441"/>
      <c r="U53" s="1819">
        <v>0</v>
      </c>
      <c r="V53" s="1819">
        <f t="shared" si="29"/>
        <v>2.2322000000000002E-2</v>
      </c>
      <c r="W53" s="1819">
        <v>0</v>
      </c>
      <c r="X53" s="68">
        <f>'Efficient Products Deemed Table'!J222</f>
        <v>10</v>
      </c>
      <c r="Y53" s="68"/>
      <c r="Z53" s="68">
        <f t="shared" si="1"/>
        <v>10</v>
      </c>
      <c r="AA53" s="3616">
        <f>'Efficient Products Deemed Table'!BB222</f>
        <v>2.3674880223729571</v>
      </c>
      <c r="AB53" s="2620">
        <f>'Efficient Products Deemed Table'!K222</f>
        <v>30</v>
      </c>
      <c r="AC53" s="3618">
        <f t="shared" si="6"/>
        <v>67.035998745812847</v>
      </c>
      <c r="AD53" s="3618"/>
      <c r="AE53" s="1661">
        <f>'Efficient Products Deemed Table'!BD222</f>
        <v>67.035998745812847</v>
      </c>
      <c r="AF53" s="2453"/>
      <c r="AG53" s="2453"/>
      <c r="AH53" s="2453"/>
      <c r="AI53" s="684" t="str">
        <f>'Efficient Products Deemed Table'!L222</f>
        <v>per measure</v>
      </c>
      <c r="AJ53" s="1930"/>
      <c r="AK53" s="1930"/>
      <c r="AL53" s="1930"/>
      <c r="AM53" s="1972">
        <f t="shared" si="28"/>
        <v>1.148238E-4</v>
      </c>
      <c r="AN53" s="1930">
        <f t="shared" si="30"/>
        <v>2.2321746720000001E-2</v>
      </c>
      <c r="AO53" s="1971">
        <f t="shared" si="4"/>
        <v>-2.5328000000102158E-7</v>
      </c>
    </row>
    <row r="54" spans="1:46" x14ac:dyDescent="0.25">
      <c r="A54" s="103" t="str">
        <f t="shared" si="5"/>
        <v>250750</v>
      </c>
      <c r="B54" s="684" t="str">
        <f>'Efficient Products Deemed Table'!C223</f>
        <v>250750_2019_12_</v>
      </c>
      <c r="C54" s="1962" t="str">
        <f>'Efficient Products Deemed Table'!G223</f>
        <v>Miscellaneous RES</v>
      </c>
      <c r="D54" s="1962"/>
      <c r="E54" s="1962"/>
      <c r="F54" s="1962"/>
      <c r="G54" s="1962" t="str">
        <f>'Efficient Products Deemed Table'!E223</f>
        <v>Advanced Tier 2 Power Strips -  D</v>
      </c>
      <c r="H54" s="1962" t="str">
        <f>'Efficient Products Deemed Table'!D223</f>
        <v>Efficient Products</v>
      </c>
      <c r="I54" s="2438">
        <f>'Efficient Products Deemed Table'!F223</f>
        <v>172.8</v>
      </c>
      <c r="J54" s="2438">
        <v>0</v>
      </c>
      <c r="K54" s="2439">
        <v>0</v>
      </c>
      <c r="L54" s="2439">
        <v>0</v>
      </c>
      <c r="M54" s="2439">
        <v>0</v>
      </c>
      <c r="N54" s="2439">
        <v>0</v>
      </c>
      <c r="O54" s="2440">
        <f>'Efficient Products Deemed Table'!I223</f>
        <v>1.9841999999999999E-2</v>
      </c>
      <c r="P54" s="2440">
        <v>0</v>
      </c>
      <c r="Q54" s="2441">
        <v>0</v>
      </c>
      <c r="R54" s="2441">
        <v>0</v>
      </c>
      <c r="S54" s="2441"/>
      <c r="T54" s="2441"/>
      <c r="U54" s="1819">
        <v>0</v>
      </c>
      <c r="V54" s="1819">
        <f t="shared" si="29"/>
        <v>1.9841999999999999E-2</v>
      </c>
      <c r="W54" s="1819">
        <v>0</v>
      </c>
      <c r="X54" s="68">
        <f>'Efficient Products Deemed Table'!J223</f>
        <v>10</v>
      </c>
      <c r="Y54" s="68"/>
      <c r="Z54" s="68">
        <f t="shared" si="1"/>
        <v>10</v>
      </c>
      <c r="AA54" s="3616">
        <f>'Efficient Products Deemed Table'!BB223</f>
        <v>2.1044337976648513</v>
      </c>
      <c r="AB54" s="2620">
        <f>'Efficient Products Deemed Table'!K223</f>
        <v>30</v>
      </c>
      <c r="AC54" s="3618">
        <f t="shared" si="6"/>
        <v>59.587554440722535</v>
      </c>
      <c r="AD54" s="3618"/>
      <c r="AE54" s="1661">
        <f>'Efficient Products Deemed Table'!BD223</f>
        <v>59.587554440722535</v>
      </c>
      <c r="AF54" s="2453"/>
      <c r="AG54" s="2453"/>
      <c r="AH54" s="2453"/>
      <c r="AI54" s="684" t="str">
        <f>'Efficient Products Deemed Table'!L223</f>
        <v>per measure</v>
      </c>
      <c r="AJ54" s="1930"/>
      <c r="AK54" s="1930"/>
      <c r="AL54" s="1930"/>
      <c r="AM54" s="1972">
        <f t="shared" si="28"/>
        <v>1.148238E-4</v>
      </c>
      <c r="AN54" s="1930">
        <f t="shared" si="30"/>
        <v>1.9841552639999999E-2</v>
      </c>
      <c r="AO54" s="1971">
        <f t="shared" si="4"/>
        <v>-4.4735999999920284E-7</v>
      </c>
    </row>
    <row r="55" spans="1:46" x14ac:dyDescent="0.25">
      <c r="A55" s="103" t="str">
        <f t="shared" si="5"/>
        <v>250800</v>
      </c>
      <c r="B55" s="684" t="str">
        <f>'Efficient Products Deemed Table'!C224</f>
        <v>250800_2019_12_</v>
      </c>
      <c r="C55" s="1962" t="str">
        <f>'Efficient Products Deemed Table'!G224</f>
        <v>Miscellaneous RES</v>
      </c>
      <c r="D55" s="1962"/>
      <c r="E55" s="1962"/>
      <c r="F55" s="1962"/>
      <c r="G55" s="1962" t="str">
        <f>'Efficient Products Deemed Table'!E224</f>
        <v>Advanced Tier 2 Power Strips -  E</v>
      </c>
      <c r="H55" s="1962" t="str">
        <f>'Efficient Products Deemed Table'!D224</f>
        <v>Efficient Products</v>
      </c>
      <c r="I55" s="2438">
        <f>'Efficient Products Deemed Table'!F224</f>
        <v>151.19999999999999</v>
      </c>
      <c r="J55" s="2438">
        <v>0</v>
      </c>
      <c r="K55" s="2439">
        <v>0</v>
      </c>
      <c r="L55" s="2439">
        <v>0</v>
      </c>
      <c r="M55" s="2439">
        <v>0</v>
      </c>
      <c r="N55" s="2439">
        <v>0</v>
      </c>
      <c r="O55" s="2440">
        <f>'Efficient Products Deemed Table'!I224</f>
        <v>1.7361000000000001E-2</v>
      </c>
      <c r="P55" s="2440">
        <v>0</v>
      </c>
      <c r="Q55" s="2441">
        <v>0</v>
      </c>
      <c r="R55" s="2441">
        <v>0</v>
      </c>
      <c r="S55" s="2441"/>
      <c r="T55" s="2441"/>
      <c r="U55" s="1819">
        <v>0</v>
      </c>
      <c r="V55" s="1819">
        <f t="shared" si="29"/>
        <v>1.7361000000000001E-2</v>
      </c>
      <c r="W55" s="1819">
        <v>0</v>
      </c>
      <c r="X55" s="68">
        <f>'Efficient Products Deemed Table'!J224</f>
        <v>10</v>
      </c>
      <c r="Y55" s="68"/>
      <c r="Z55" s="68">
        <f t="shared" si="1"/>
        <v>10</v>
      </c>
      <c r="AA55" s="3616">
        <f>'Efficient Products Deemed Table'!BB224</f>
        <v>1.8413795729567446</v>
      </c>
      <c r="AB55" s="2620">
        <f>'Efficient Products Deemed Table'!K224</f>
        <v>30</v>
      </c>
      <c r="AC55" s="3618">
        <f t="shared" si="6"/>
        <v>52.139110135632215</v>
      </c>
      <c r="AD55" s="3618"/>
      <c r="AE55" s="1661">
        <f>'Efficient Products Deemed Table'!BD224</f>
        <v>52.139110135632215</v>
      </c>
      <c r="AF55" s="2453"/>
      <c r="AG55" s="2453"/>
      <c r="AH55" s="2453"/>
      <c r="AI55" s="684" t="str">
        <f>'Efficient Products Deemed Table'!L224</f>
        <v>per measure</v>
      </c>
      <c r="AJ55" s="1930"/>
      <c r="AK55" s="1930"/>
      <c r="AL55" s="1930"/>
      <c r="AM55" s="1972">
        <f t="shared" si="28"/>
        <v>1.148238E-4</v>
      </c>
      <c r="AN55" s="1930">
        <f t="shared" si="30"/>
        <v>1.7361358559999998E-2</v>
      </c>
      <c r="AO55" s="1971">
        <f t="shared" si="4"/>
        <v>3.5855999999667709E-7</v>
      </c>
    </row>
    <row r="56" spans="1:46" x14ac:dyDescent="0.25">
      <c r="A56" s="103" t="str">
        <f t="shared" si="5"/>
        <v>250850</v>
      </c>
      <c r="B56" s="684" t="str">
        <f>'Efficient Products Deemed Table'!C225</f>
        <v>250850_2019_12_</v>
      </c>
      <c r="C56" s="1962" t="str">
        <f>'Efficient Products Deemed Table'!G225</f>
        <v>Miscellaneous RES</v>
      </c>
      <c r="D56" s="1962"/>
      <c r="E56" s="1962"/>
      <c r="F56" s="1962"/>
      <c r="G56" s="1962" t="str">
        <f>'Efficient Products Deemed Table'!E225</f>
        <v>Advanced Tier 2 Power Strips -  F</v>
      </c>
      <c r="H56" s="1962" t="str">
        <f>'Efficient Products Deemed Table'!D225</f>
        <v>Efficient Products</v>
      </c>
      <c r="I56" s="2438">
        <f>'Efficient Products Deemed Table'!F225</f>
        <v>129.6</v>
      </c>
      <c r="J56" s="2438">
        <v>0</v>
      </c>
      <c r="K56" s="2439">
        <v>0</v>
      </c>
      <c r="L56" s="2439">
        <v>0</v>
      </c>
      <c r="M56" s="2439">
        <v>0</v>
      </c>
      <c r="N56" s="2439">
        <v>0</v>
      </c>
      <c r="O56" s="2440">
        <f>'Efficient Products Deemed Table'!I225</f>
        <v>1.4881E-2</v>
      </c>
      <c r="P56" s="2440">
        <v>0</v>
      </c>
      <c r="Q56" s="2441">
        <v>0</v>
      </c>
      <c r="R56" s="2441">
        <v>0</v>
      </c>
      <c r="S56" s="2441"/>
      <c r="T56" s="2441"/>
      <c r="U56" s="1819">
        <v>0</v>
      </c>
      <c r="V56" s="1819">
        <f t="shared" si="29"/>
        <v>1.4881E-2</v>
      </c>
      <c r="W56" s="1819">
        <v>0</v>
      </c>
      <c r="X56" s="68">
        <f>'Efficient Products Deemed Table'!J225</f>
        <v>10</v>
      </c>
      <c r="Y56" s="68"/>
      <c r="Z56" s="68">
        <f t="shared" si="1"/>
        <v>10</v>
      </c>
      <c r="AA56" s="3616">
        <f>'Efficient Products Deemed Table'!BB225</f>
        <v>1.5783253482486381</v>
      </c>
      <c r="AB56" s="2620">
        <f>'Efficient Products Deemed Table'!K225</f>
        <v>30</v>
      </c>
      <c r="AC56" s="3618">
        <f t="shared" si="6"/>
        <v>44.690665830541896</v>
      </c>
      <c r="AD56" s="3618"/>
      <c r="AE56" s="1661">
        <f>'Efficient Products Deemed Table'!BD225</f>
        <v>44.690665830541896</v>
      </c>
      <c r="AF56" s="2453"/>
      <c r="AG56" s="2453"/>
      <c r="AH56" s="2453"/>
      <c r="AI56" s="684" t="str">
        <f>'Efficient Products Deemed Table'!L225</f>
        <v>per measure</v>
      </c>
      <c r="AJ56" s="1930"/>
      <c r="AK56" s="1930"/>
      <c r="AL56" s="1930"/>
      <c r="AM56" s="1972">
        <f t="shared" si="28"/>
        <v>1.148238E-4</v>
      </c>
      <c r="AN56" s="1930">
        <f t="shared" si="30"/>
        <v>1.4881164479999999E-2</v>
      </c>
      <c r="AO56" s="1971">
        <f t="shared" si="4"/>
        <v>1.6447999999849583E-7</v>
      </c>
    </row>
    <row r="57" spans="1:46" x14ac:dyDescent="0.25">
      <c r="A57" s="103" t="str">
        <f t="shared" si="5"/>
        <v>250900</v>
      </c>
      <c r="B57" s="684" t="str">
        <f>'Efficient Products Deemed Table'!C226</f>
        <v>250900_2019_12_</v>
      </c>
      <c r="C57" s="1962" t="str">
        <f>'Efficient Products Deemed Table'!G226</f>
        <v>Miscellaneous RES</v>
      </c>
      <c r="D57" s="1962"/>
      <c r="E57" s="1962"/>
      <c r="F57" s="1962"/>
      <c r="G57" s="1962" t="str">
        <f>'Efficient Products Deemed Table'!E226</f>
        <v>Advanced Tier 2 Power Strips -  G</v>
      </c>
      <c r="H57" s="1962" t="str">
        <f>'Efficient Products Deemed Table'!D226</f>
        <v>Efficient Products</v>
      </c>
      <c r="I57" s="2438">
        <f>'Efficient Products Deemed Table'!F226</f>
        <v>108</v>
      </c>
      <c r="J57" s="2438">
        <v>0</v>
      </c>
      <c r="K57" s="2439">
        <v>0</v>
      </c>
      <c r="L57" s="2439">
        <v>0</v>
      </c>
      <c r="M57" s="2439">
        <v>0</v>
      </c>
      <c r="N57" s="2439">
        <v>0</v>
      </c>
      <c r="O57" s="2440">
        <f>'Efficient Products Deemed Table'!I226</f>
        <v>1.2401000000000001E-2</v>
      </c>
      <c r="P57" s="2440">
        <v>0</v>
      </c>
      <c r="Q57" s="2441">
        <v>0</v>
      </c>
      <c r="R57" s="2441">
        <v>0</v>
      </c>
      <c r="S57" s="2441"/>
      <c r="T57" s="2441"/>
      <c r="U57" s="1819">
        <v>0</v>
      </c>
      <c r="V57" s="1819">
        <f t="shared" si="29"/>
        <v>1.2401000000000001E-2</v>
      </c>
      <c r="W57" s="1819">
        <v>0</v>
      </c>
      <c r="X57" s="68">
        <f>'Efficient Products Deemed Table'!J226</f>
        <v>10</v>
      </c>
      <c r="Y57" s="68"/>
      <c r="Z57" s="68">
        <f t="shared" si="1"/>
        <v>10</v>
      </c>
      <c r="AA57" s="3616">
        <f>'Efficient Products Deemed Table'!BB226</f>
        <v>1.3152711235405319</v>
      </c>
      <c r="AB57" s="2620">
        <f>'Efficient Products Deemed Table'!K226</f>
        <v>30</v>
      </c>
      <c r="AC57" s="3618">
        <f t="shared" si="6"/>
        <v>37.242221525451583</v>
      </c>
      <c r="AD57" s="3618"/>
      <c r="AE57" s="1661">
        <f>'Efficient Products Deemed Table'!BD226</f>
        <v>37.242221525451583</v>
      </c>
      <c r="AF57" s="2453"/>
      <c r="AG57" s="2453"/>
      <c r="AH57" s="2453"/>
      <c r="AI57" s="684" t="str">
        <f>'Efficient Products Deemed Table'!L226</f>
        <v>per measure</v>
      </c>
      <c r="AJ57" s="1930"/>
      <c r="AK57" s="1930"/>
      <c r="AL57" s="1930"/>
      <c r="AM57" s="1972">
        <f t="shared" si="28"/>
        <v>1.148238E-4</v>
      </c>
      <c r="AN57" s="1930">
        <f t="shared" si="30"/>
        <v>1.2400970399999999E-2</v>
      </c>
      <c r="AO57" s="1971">
        <f t="shared" si="4"/>
        <v>-2.9600000001420157E-8</v>
      </c>
    </row>
    <row r="58" spans="1:46" x14ac:dyDescent="0.25">
      <c r="A58" s="103" t="str">
        <f t="shared" si="5"/>
        <v>250950</v>
      </c>
      <c r="B58" s="684" t="str">
        <f>'Efficient Products Deemed Table'!C227</f>
        <v>250950_2019_12_</v>
      </c>
      <c r="C58" s="1962" t="str">
        <f>'Efficient Products Deemed Table'!G227</f>
        <v>Miscellaneous RES</v>
      </c>
      <c r="D58" s="1962"/>
      <c r="E58" s="1962"/>
      <c r="F58" s="1962"/>
      <c r="G58" s="1962" t="str">
        <f>'Efficient Products Deemed Table'!E227</f>
        <v>Advanced Tier 2 Power Strips -  H</v>
      </c>
      <c r="H58" s="1962" t="str">
        <f>'Efficient Products Deemed Table'!D227</f>
        <v>Efficient Products</v>
      </c>
      <c r="I58" s="2438">
        <f>'Efficient Products Deemed Table'!F227</f>
        <v>86.4</v>
      </c>
      <c r="J58" s="2438">
        <v>0</v>
      </c>
      <c r="K58" s="2439">
        <v>0</v>
      </c>
      <c r="L58" s="2439">
        <v>0</v>
      </c>
      <c r="M58" s="2439">
        <v>0</v>
      </c>
      <c r="N58" s="2439">
        <v>0</v>
      </c>
      <c r="O58" s="2440">
        <f>'Efficient Products Deemed Table'!I227</f>
        <v>9.9209999999999993E-3</v>
      </c>
      <c r="P58" s="2440">
        <v>0</v>
      </c>
      <c r="Q58" s="2441">
        <v>0</v>
      </c>
      <c r="R58" s="2441">
        <v>0</v>
      </c>
      <c r="S58" s="2441"/>
      <c r="T58" s="2441"/>
      <c r="U58" s="1819">
        <v>0</v>
      </c>
      <c r="V58" s="1819">
        <f t="shared" si="29"/>
        <v>9.9209999999999993E-3</v>
      </c>
      <c r="W58" s="1819">
        <v>0</v>
      </c>
      <c r="X58" s="68">
        <f>'Efficient Products Deemed Table'!J227</f>
        <v>10</v>
      </c>
      <c r="Y58" s="68"/>
      <c r="Z58" s="68">
        <f t="shared" si="1"/>
        <v>10</v>
      </c>
      <c r="AA58" s="3616">
        <f>'Efficient Products Deemed Table'!BB227</f>
        <v>1.0522168988324256</v>
      </c>
      <c r="AB58" s="2620">
        <f>'Efficient Products Deemed Table'!K227</f>
        <v>30</v>
      </c>
      <c r="AC58" s="3618">
        <f t="shared" si="6"/>
        <v>29.793777220361267</v>
      </c>
      <c r="AD58" s="3618"/>
      <c r="AE58" s="1661">
        <f>'Efficient Products Deemed Table'!BD227</f>
        <v>29.793777220361267</v>
      </c>
      <c r="AF58" s="2453"/>
      <c r="AG58" s="2453"/>
      <c r="AH58" s="2453"/>
      <c r="AI58" s="684" t="str">
        <f>'Efficient Products Deemed Table'!L227</f>
        <v>per measure</v>
      </c>
      <c r="AJ58" s="1930"/>
      <c r="AK58" s="1930"/>
      <c r="AL58" s="1930"/>
      <c r="AM58" s="1972">
        <f t="shared" si="28"/>
        <v>1.148238E-4</v>
      </c>
      <c r="AN58" s="1930">
        <f t="shared" si="30"/>
        <v>9.9207763199999997E-3</v>
      </c>
      <c r="AO58" s="1971">
        <f t="shared" si="4"/>
        <v>-2.2367999999960142E-7</v>
      </c>
    </row>
    <row r="59" spans="1:46" x14ac:dyDescent="0.25">
      <c r="A59" s="103" t="str">
        <f t="shared" si="5"/>
        <v>251000</v>
      </c>
      <c r="B59" s="684" t="str">
        <f>'Efficient Products Deemed Table'!C228</f>
        <v>251000_2019_12_</v>
      </c>
      <c r="C59" s="1962" t="str">
        <f>'Efficient Products Deemed Table'!G228</f>
        <v>Miscellaneous RES</v>
      </c>
      <c r="D59" s="1962"/>
      <c r="E59" s="1962"/>
      <c r="F59" s="1962"/>
      <c r="G59" s="1962" t="str">
        <f>'Efficient Products Deemed Table'!E228</f>
        <v>Advanced Tier 2 Power Strips / TOS/NC / Average</v>
      </c>
      <c r="H59" s="1962" t="str">
        <f>'Efficient Products Deemed Table'!D228</f>
        <v>Efficient Products</v>
      </c>
      <c r="I59" s="2438">
        <f>'Efficient Products Deemed Table'!F228</f>
        <v>151.96</v>
      </c>
      <c r="J59" s="2438">
        <v>0</v>
      </c>
      <c r="K59" s="2439">
        <v>0</v>
      </c>
      <c r="L59" s="2439">
        <v>0</v>
      </c>
      <c r="M59" s="2439">
        <v>0</v>
      </c>
      <c r="N59" s="2439">
        <v>0</v>
      </c>
      <c r="O59" s="2440">
        <f>'Efficient Products Deemed Table'!I228</f>
        <v>1.7448999999999999E-2</v>
      </c>
      <c r="P59" s="2440">
        <v>0</v>
      </c>
      <c r="Q59" s="2441">
        <v>0</v>
      </c>
      <c r="R59" s="2441">
        <v>0</v>
      </c>
      <c r="S59" s="2441"/>
      <c r="T59" s="2441"/>
      <c r="U59" s="1819">
        <v>0</v>
      </c>
      <c r="V59" s="1819">
        <f t="shared" si="29"/>
        <v>1.7448999999999999E-2</v>
      </c>
      <c r="W59" s="1819">
        <v>0</v>
      </c>
      <c r="X59" s="68">
        <f>'Efficient Products Deemed Table'!J228</f>
        <v>10</v>
      </c>
      <c r="Y59" s="68"/>
      <c r="Z59" s="68">
        <f t="shared" si="1"/>
        <v>10</v>
      </c>
      <c r="AA59" s="3616">
        <f>'Efficient Products Deemed Table'!BB228</f>
        <v>1.8506351845668449</v>
      </c>
      <c r="AB59" s="2620">
        <f>'Efficient Products Deemed Table'!K228</f>
        <v>30</v>
      </c>
      <c r="AC59" s="3618">
        <f t="shared" si="6"/>
        <v>52.401185027848364</v>
      </c>
      <c r="AD59" s="3618"/>
      <c r="AE59" s="1661">
        <f>'Efficient Products Deemed Table'!BD228</f>
        <v>52.401185027848364</v>
      </c>
      <c r="AF59" s="2453"/>
      <c r="AG59" s="2453"/>
      <c r="AH59" s="2453"/>
      <c r="AI59" s="684" t="str">
        <f>'Efficient Products Deemed Table'!L228</f>
        <v>per measure</v>
      </c>
      <c r="AJ59" s="1930"/>
      <c r="AK59" s="1930"/>
      <c r="AL59" s="1930"/>
      <c r="AM59" s="1972">
        <f t="shared" si="28"/>
        <v>1.148238E-4</v>
      </c>
      <c r="AN59" s="1930">
        <f t="shared" si="30"/>
        <v>1.7448624648E-2</v>
      </c>
      <c r="AO59" s="1971">
        <f t="shared" si="4"/>
        <v>-3.7535199999896851E-7</v>
      </c>
    </row>
    <row r="60" spans="1:46" s="100" customFormat="1" x14ac:dyDescent="0.25">
      <c r="A60" s="103" t="str">
        <f t="shared" si="5"/>
        <v>251001</v>
      </c>
      <c r="B60" s="684" t="str">
        <f>'Efficient Products Deemed Table'!C229</f>
        <v>251001_2020_12_</v>
      </c>
      <c r="C60" s="1962" t="str">
        <f>'Efficient Products Deemed Table'!G229</f>
        <v>Miscellaneous RES</v>
      </c>
      <c r="D60" s="1962"/>
      <c r="E60" s="1962"/>
      <c r="F60" s="1962"/>
      <c r="G60" s="1962" t="str">
        <f>'Efficient Products Deemed Table'!E229</f>
        <v>Advanced Tier 2 Power Strips / DI / Average</v>
      </c>
      <c r="H60" s="1962" t="str">
        <f>'Efficient Products Deemed Table'!D229</f>
        <v>Efficient Products</v>
      </c>
      <c r="I60" s="2438">
        <f>'Efficient Products Deemed Table'!F229</f>
        <v>153.9</v>
      </c>
      <c r="J60" s="2438">
        <v>0</v>
      </c>
      <c r="K60" s="2439">
        <v>0</v>
      </c>
      <c r="L60" s="2439">
        <v>0</v>
      </c>
      <c r="M60" s="2439">
        <v>0</v>
      </c>
      <c r="N60" s="2439">
        <v>0</v>
      </c>
      <c r="O60" s="2440">
        <f>'Efficient Products Deemed Table'!I229</f>
        <v>1.7670999999999999E-2</v>
      </c>
      <c r="P60" s="2440">
        <v>0</v>
      </c>
      <c r="Q60" s="2441">
        <v>0</v>
      </c>
      <c r="R60" s="2441">
        <v>0</v>
      </c>
      <c r="S60" s="2441"/>
      <c r="T60" s="2441"/>
      <c r="U60" s="1926">
        <v>0</v>
      </c>
      <c r="V60" s="1926">
        <f t="shared" ref="V60" si="36">O60</f>
        <v>1.7670999999999999E-2</v>
      </c>
      <c r="W60" s="1926">
        <v>0</v>
      </c>
      <c r="X60" s="68">
        <f>'Efficient Products Deemed Table'!J229</f>
        <v>10</v>
      </c>
      <c r="Y60" s="68"/>
      <c r="Z60" s="68">
        <f t="shared" ref="Z60" si="37">Y60+X60</f>
        <v>10</v>
      </c>
      <c r="AA60" s="3616">
        <f>'Efficient Products Deemed Table'!BB229</f>
        <v>0.93713067552262896</v>
      </c>
      <c r="AB60" s="2620">
        <f>'Efficient Products Deemed Table'!K229</f>
        <v>60</v>
      </c>
      <c r="AC60" s="3618">
        <f t="shared" ref="AC60" si="38">AE60+AF60</f>
        <v>53.070165673768507</v>
      </c>
      <c r="AD60" s="3618"/>
      <c r="AE60" s="1661">
        <f>'Efficient Products Deemed Table'!BD229</f>
        <v>53.070165673768507</v>
      </c>
      <c r="AF60" s="2453"/>
      <c r="AG60" s="2453"/>
      <c r="AH60" s="2453"/>
      <c r="AI60" s="684" t="str">
        <f>'Efficient Products Deemed Table'!L229</f>
        <v>per measure</v>
      </c>
      <c r="AM60" s="2433">
        <f t="shared" si="28"/>
        <v>1.148238E-4</v>
      </c>
      <c r="AN60" s="100">
        <f t="shared" ref="AN60" si="39">AM60*I60</f>
        <v>1.7671382820000001E-2</v>
      </c>
      <c r="AO60" s="2437">
        <f t="shared" ref="AO60" si="40">AN60-O60</f>
        <v>3.828200000020876E-7</v>
      </c>
    </row>
    <row r="61" spans="1:46" x14ac:dyDescent="0.25">
      <c r="A61" s="103" t="str">
        <f t="shared" si="5"/>
        <v>251050</v>
      </c>
      <c r="B61" s="684" t="str">
        <f>'Efficient Products Deemed Table'!C256</f>
        <v>251050_2019_12_</v>
      </c>
      <c r="C61" s="1962" t="str">
        <f>'Efficient Products Deemed Table'!G256</f>
        <v>HVAC RES</v>
      </c>
      <c r="D61" s="1962"/>
      <c r="E61" s="1962"/>
      <c r="F61" s="1962"/>
      <c r="G61" s="1962" t="str">
        <f>'Efficient Products Deemed Table'!E256</f>
        <v>ENERGY STAR Air Purifier/Cleaner</v>
      </c>
      <c r="H61" s="63" t="str">
        <f>'Efficient Products Deemed Table'!D256</f>
        <v>Efficient Products</v>
      </c>
      <c r="I61" s="2438">
        <f>'Efficient Products Deemed Table'!F256</f>
        <v>578.86</v>
      </c>
      <c r="J61" s="2438">
        <v>0</v>
      </c>
      <c r="K61" s="2439">
        <v>0</v>
      </c>
      <c r="L61" s="2439">
        <v>0</v>
      </c>
      <c r="M61" s="2439">
        <v>0</v>
      </c>
      <c r="N61" s="2439">
        <v>0</v>
      </c>
      <c r="O61" s="2440">
        <f>'Efficient Products Deemed Table'!I256</f>
        <v>0.26979500000000001</v>
      </c>
      <c r="P61" s="2440">
        <v>0</v>
      </c>
      <c r="Q61" s="2441">
        <v>0</v>
      </c>
      <c r="R61" s="2441">
        <v>0</v>
      </c>
      <c r="S61" s="2441"/>
      <c r="T61" s="2441"/>
      <c r="U61" s="1819">
        <f>O61</f>
        <v>0.26979500000000001</v>
      </c>
      <c r="V61" s="1819">
        <v>0</v>
      </c>
      <c r="W61" s="1819">
        <v>0</v>
      </c>
      <c r="X61" s="68">
        <f>'Efficient Products Deemed Table'!J256</f>
        <v>9</v>
      </c>
      <c r="Y61" s="68"/>
      <c r="Z61" s="68">
        <f t="shared" si="1"/>
        <v>9</v>
      </c>
      <c r="AA61" s="3616">
        <f>'Efficient Products Deemed Table'!BB256</f>
        <v>5.0190719138903406</v>
      </c>
      <c r="AB61" s="2620">
        <f>'Efficient Products Deemed Table'!K256</f>
        <v>70</v>
      </c>
      <c r="AC61" s="3618">
        <f t="shared" si="6"/>
        <v>331.60456250337313</v>
      </c>
      <c r="AD61" s="3618"/>
      <c r="AE61" s="1661">
        <f>'Efficient Products Deemed Table'!BD256</f>
        <v>331.60456250337313</v>
      </c>
      <c r="AF61" s="2453"/>
      <c r="AG61" s="2453"/>
      <c r="AH61" s="2453"/>
      <c r="AI61" s="684" t="str">
        <f>'Efficient Products Deemed Table'!L256</f>
        <v>per measure</v>
      </c>
      <c r="AJ61" s="1930"/>
      <c r="AK61" s="1930"/>
      <c r="AL61" s="1930"/>
      <c r="AM61" s="1972">
        <f t="shared" si="28"/>
        <v>4.6608050000000002E-4</v>
      </c>
      <c r="AN61" s="1930">
        <f t="shared" si="30"/>
        <v>0.26979535823</v>
      </c>
      <c r="AO61" s="1971">
        <f t="shared" si="4"/>
        <v>3.5822999999712835E-7</v>
      </c>
    </row>
    <row r="62" spans="1:46" x14ac:dyDescent="0.25">
      <c r="A62" s="103" t="str">
        <f t="shared" si="5"/>
        <v>251100</v>
      </c>
      <c r="B62" s="684" t="str">
        <f>'Efficient Products Deemed Table'!C280</f>
        <v>251100_2019_12_</v>
      </c>
      <c r="C62" s="1962" t="str">
        <f>'Efficient Products Deemed Table'!G280</f>
        <v>Cooling RES</v>
      </c>
      <c r="D62" s="1962"/>
      <c r="E62" s="1962"/>
      <c r="F62" s="1962"/>
      <c r="G62" s="1962" t="str">
        <f>'Efficient Products Deemed Table'!E280</f>
        <v>ENERGY STAR Dehumidifier</v>
      </c>
      <c r="H62" s="63" t="str">
        <f>'Efficient Products Deemed Table'!D280</f>
        <v>Efficient Products</v>
      </c>
      <c r="I62" s="2438">
        <f>'Efficient Products Deemed Table'!F280</f>
        <v>204</v>
      </c>
      <c r="J62" s="2438">
        <v>0</v>
      </c>
      <c r="K62" s="2439">
        <f>I62</f>
        <v>204</v>
      </c>
      <c r="L62" s="2439">
        <v>0</v>
      </c>
      <c r="M62" s="2439">
        <v>0</v>
      </c>
      <c r="N62" s="2439">
        <v>0</v>
      </c>
      <c r="O62" s="2440">
        <f>'Efficient Products Deemed Table'!I280</f>
        <v>0.193273</v>
      </c>
      <c r="P62" s="2440">
        <v>0</v>
      </c>
      <c r="Q62" s="2441">
        <f>O62</f>
        <v>0.193273</v>
      </c>
      <c r="R62" s="2441">
        <v>0</v>
      </c>
      <c r="S62" s="2441"/>
      <c r="T62" s="2441"/>
      <c r="U62" s="1819">
        <v>0</v>
      </c>
      <c r="V62" s="1819">
        <f>O62</f>
        <v>0.193273</v>
      </c>
      <c r="W62" s="1819">
        <v>0</v>
      </c>
      <c r="X62" s="68">
        <f>'Efficient Products Deemed Table'!J280</f>
        <v>12</v>
      </c>
      <c r="Y62" s="68"/>
      <c r="Z62" s="68">
        <f t="shared" si="1"/>
        <v>12</v>
      </c>
      <c r="AA62" s="3616">
        <f>'Efficient Products Deemed Table'!BB280</f>
        <v>53.365598107834487</v>
      </c>
      <c r="AB62" s="2620">
        <f>'Efficient Products Deemed Table'!K280</f>
        <v>5</v>
      </c>
      <c r="AC62" s="3618">
        <f t="shared" si="6"/>
        <v>251.84331339232884</v>
      </c>
      <c r="AD62" s="3618"/>
      <c r="AE62" s="1661">
        <f>'Efficient Products Deemed Table'!BD280</f>
        <v>251.84331339232884</v>
      </c>
      <c r="AF62" s="2453"/>
      <c r="AG62" s="2453"/>
      <c r="AH62" s="2453"/>
      <c r="AI62" s="684" t="str">
        <f>'Efficient Products Deemed Table'!L280</f>
        <v>per measure</v>
      </c>
      <c r="AJ62" s="1930"/>
      <c r="AK62" s="1930"/>
      <c r="AL62" s="1930"/>
      <c r="AM62" s="1972">
        <f t="shared" si="28"/>
        <v>9.4741810000000004E-4</v>
      </c>
      <c r="AN62" s="1930">
        <f t="shared" si="30"/>
        <v>0.19327329240000002</v>
      </c>
      <c r="AO62" s="1971">
        <f t="shared" si="4"/>
        <v>2.9240000001817812E-7</v>
      </c>
    </row>
    <row r="63" spans="1:46" x14ac:dyDescent="0.25">
      <c r="A63" s="103" t="str">
        <f t="shared" si="5"/>
        <v>251150</v>
      </c>
      <c r="B63" s="684" t="str">
        <f>'Efficient Products Deemed Table'!C307</f>
        <v>251150_2019_12_</v>
      </c>
      <c r="C63" s="1962" t="str">
        <f>'Efficient Products Deemed Table'!G307</f>
        <v>Cooling RES</v>
      </c>
      <c r="D63" s="1962"/>
      <c r="E63" s="1962"/>
      <c r="F63" s="1962"/>
      <c r="G63" s="1962" t="str">
        <f>'Efficient Products Deemed Table'!E307</f>
        <v>ENERGY STAR Room AC (kWh w ISR)</v>
      </c>
      <c r="H63" s="63" t="str">
        <f>'Efficient Products Deemed Table'!D307</f>
        <v>Efficient Products</v>
      </c>
      <c r="I63" s="2438">
        <f>'Efficient Products Deemed Table'!F307</f>
        <v>49.46</v>
      </c>
      <c r="J63" s="2438">
        <v>0</v>
      </c>
      <c r="K63" s="2439">
        <f>I63</f>
        <v>49.46</v>
      </c>
      <c r="L63" s="2439">
        <v>0</v>
      </c>
      <c r="M63" s="2439">
        <v>0</v>
      </c>
      <c r="N63" s="2439">
        <v>0</v>
      </c>
      <c r="O63" s="2440">
        <f>'Efficient Products Deemed Table'!I307</f>
        <v>4.6858999999999998E-2</v>
      </c>
      <c r="P63" s="2440">
        <v>0</v>
      </c>
      <c r="Q63" s="2441">
        <f>O63</f>
        <v>4.6858999999999998E-2</v>
      </c>
      <c r="R63" s="2441">
        <v>0</v>
      </c>
      <c r="S63" s="2441"/>
      <c r="T63" s="2441"/>
      <c r="U63" s="1819">
        <f>O63</f>
        <v>4.6858999999999998E-2</v>
      </c>
      <c r="V63" s="1819">
        <v>0</v>
      </c>
      <c r="W63" s="1819">
        <v>0</v>
      </c>
      <c r="X63" s="68">
        <f>'Efficient Products Deemed Table'!J307</f>
        <v>9</v>
      </c>
      <c r="Y63" s="68"/>
      <c r="Z63" s="68">
        <f t="shared" si="1"/>
        <v>9</v>
      </c>
      <c r="AA63" s="3616">
        <f>'Efficient Products Deemed Table'!BB307</f>
        <v>2.3992673568852143</v>
      </c>
      <c r="AB63" s="2620">
        <f>'Efficient Products Deemed Table'!K307</f>
        <v>20</v>
      </c>
      <c r="AC63" s="3618">
        <f t="shared" si="6"/>
        <v>45.290558884100314</v>
      </c>
      <c r="AD63" s="3618"/>
      <c r="AE63" s="1661">
        <f>'Efficient Products Deemed Table'!BD307</f>
        <v>45.290558884100314</v>
      </c>
      <c r="AF63" s="2453"/>
      <c r="AG63" s="2453"/>
      <c r="AH63" s="2453"/>
      <c r="AI63" s="684" t="str">
        <f>'Efficient Products Deemed Table'!L307</f>
        <v>per measure</v>
      </c>
      <c r="AJ63" s="1930"/>
      <c r="AK63" s="1930"/>
      <c r="AL63" s="1930"/>
      <c r="AM63" s="1972">
        <f t="shared" si="28"/>
        <v>9.4741810000000004E-4</v>
      </c>
      <c r="AN63" s="1930">
        <f t="shared" si="30"/>
        <v>4.6859299226000004E-2</v>
      </c>
      <c r="AO63" s="1971">
        <f t="shared" si="4"/>
        <v>2.9922600000564792E-7</v>
      </c>
    </row>
    <row r="64" spans="1:46" x14ac:dyDescent="0.25">
      <c r="A64" s="103" t="str">
        <f t="shared" si="5"/>
        <v>251200</v>
      </c>
      <c r="B64" s="684" t="str">
        <f>'Efficient Products Deemed Table'!C308</f>
        <v>251200_2019_12_</v>
      </c>
      <c r="C64" s="1962" t="str">
        <f>'Efficient Products Deemed Table'!G308</f>
        <v>Cooling RES</v>
      </c>
      <c r="D64" s="1962"/>
      <c r="E64" s="1962"/>
      <c r="F64" s="1962"/>
      <c r="G64" s="1962" t="str">
        <f>'Efficient Products Deemed Table'!E308</f>
        <v>ENERGY STAR Room AC (kWh w/o ISR)</v>
      </c>
      <c r="H64" s="63" t="str">
        <f>'Efficient Products Deemed Table'!D308</f>
        <v>Efficient Products</v>
      </c>
      <c r="I64" s="2438">
        <f>'Efficient Products Deemed Table'!F308</f>
        <v>50.74</v>
      </c>
      <c r="J64" s="2438">
        <v>0</v>
      </c>
      <c r="K64" s="2439">
        <f>I64</f>
        <v>50.74</v>
      </c>
      <c r="L64" s="2439">
        <v>0</v>
      </c>
      <c r="M64" s="2439">
        <v>0</v>
      </c>
      <c r="N64" s="2439">
        <v>0</v>
      </c>
      <c r="O64" s="2440">
        <f>'Efficient Products Deemed Table'!I308</f>
        <v>4.8071999999999997E-2</v>
      </c>
      <c r="P64" s="2440">
        <v>0</v>
      </c>
      <c r="Q64" s="2441">
        <f>O64</f>
        <v>4.8071999999999997E-2</v>
      </c>
      <c r="R64" s="2441">
        <v>0</v>
      </c>
      <c r="S64" s="2441"/>
      <c r="T64" s="2441"/>
      <c r="U64" s="1819">
        <f>O64</f>
        <v>4.8071999999999997E-2</v>
      </c>
      <c r="V64" s="1819">
        <v>0</v>
      </c>
      <c r="W64" s="1819">
        <v>0</v>
      </c>
      <c r="X64" s="68">
        <f>'Efficient Products Deemed Table'!J308</f>
        <v>9</v>
      </c>
      <c r="Y64" s="68"/>
      <c r="Z64" s="68">
        <f t="shared" si="1"/>
        <v>9</v>
      </c>
      <c r="AA64" s="3616">
        <f>'Efficient Products Deemed Table'!BB308</f>
        <v>2.4613591930520777</v>
      </c>
      <c r="AB64" s="2620">
        <f>'Efficient Products Deemed Table'!K308</f>
        <v>20</v>
      </c>
      <c r="AC64" s="3618">
        <f t="shared" si="6"/>
        <v>46.462655838642334</v>
      </c>
      <c r="AD64" s="3618"/>
      <c r="AE64" s="1661">
        <f>'Efficient Products Deemed Table'!BD308</f>
        <v>46.462655838642334</v>
      </c>
      <c r="AF64" s="2453"/>
      <c r="AG64" s="2453"/>
      <c r="AH64" s="2453"/>
      <c r="AI64" s="684" t="str">
        <f>'Efficient Products Deemed Table'!L308</f>
        <v>per measure</v>
      </c>
      <c r="AJ64" s="1930"/>
      <c r="AK64" s="1930"/>
      <c r="AL64" s="1930"/>
      <c r="AM64" s="1972">
        <f t="shared" si="28"/>
        <v>9.4741810000000004E-4</v>
      </c>
      <c r="AN64" s="1930">
        <f t="shared" si="30"/>
        <v>4.8071994394000006E-2</v>
      </c>
      <c r="AO64" s="1971">
        <f t="shared" si="4"/>
        <v>-5.6059999906099556E-9</v>
      </c>
    </row>
    <row r="65" spans="1:41" x14ac:dyDescent="0.25">
      <c r="A65" s="103" t="str">
        <f t="shared" si="5"/>
        <v>300050</v>
      </c>
      <c r="B65" s="684" t="str">
        <f>'Energy Effic. Kits Deemed Table'!C7</f>
        <v>300050_2019_12_</v>
      </c>
      <c r="C65" s="1962" t="str">
        <f>'Energy Effic. Kits Deemed Table'!G7</f>
        <v>HVAC RES</v>
      </c>
      <c r="D65" s="1962"/>
      <c r="E65" s="1962"/>
      <c r="F65" s="1962"/>
      <c r="G65" s="1962" t="str">
        <f>'Energy Effic. Kits Deemed Table'!E7</f>
        <v>Dirty Filter Alarm_SF</v>
      </c>
      <c r="H65" s="63" t="str">
        <f>'Energy Effic. Kits Deemed Table'!D7</f>
        <v>School</v>
      </c>
      <c r="I65" s="2438">
        <f>'Energy Effic. Kits Deemed Table'!F7</f>
        <v>53.75</v>
      </c>
      <c r="J65" s="2438">
        <v>0</v>
      </c>
      <c r="K65" s="3598">
        <v>0</v>
      </c>
      <c r="L65" s="3598">
        <v>0</v>
      </c>
      <c r="M65" s="2439">
        <v>0</v>
      </c>
      <c r="N65" s="2439">
        <v>0</v>
      </c>
      <c r="O65" s="2440">
        <f>'Energy Effic. Kits Deemed Table'!K7</f>
        <v>2.5052000000000001E-2</v>
      </c>
      <c r="P65" s="2440">
        <v>0</v>
      </c>
      <c r="Q65" s="2441">
        <v>0</v>
      </c>
      <c r="R65" s="2441">
        <v>0</v>
      </c>
      <c r="S65" s="2441"/>
      <c r="T65" s="2441"/>
      <c r="U65" s="1819">
        <v>0</v>
      </c>
      <c r="V65" s="1819">
        <f>O65</f>
        <v>2.5052000000000001E-2</v>
      </c>
      <c r="W65" s="1819">
        <v>0</v>
      </c>
      <c r="X65" s="68">
        <f>'Energy Effic. Kits Deemed Table'!L7</f>
        <v>14</v>
      </c>
      <c r="Y65" s="68"/>
      <c r="Z65" s="68">
        <f t="shared" si="1"/>
        <v>14</v>
      </c>
      <c r="AA65" s="3616">
        <f>'Energy Effic. Kits Deemed Table'!BB7</f>
        <v>10.113049054563286</v>
      </c>
      <c r="AB65" s="2620">
        <f>'Energy Effic. Kits Deemed Table'!M7</f>
        <v>5</v>
      </c>
      <c r="AC65" s="3617">
        <f t="shared" si="6"/>
        <v>47.725573641166989</v>
      </c>
      <c r="AD65" s="3617"/>
      <c r="AE65" s="1661">
        <f>'Energy Effic. Kits Deemed Table'!BD7</f>
        <v>47.725573641166989</v>
      </c>
      <c r="AF65" s="2453"/>
      <c r="AG65" s="2453"/>
      <c r="AH65" s="2453"/>
      <c r="AI65" s="3619" t="str">
        <f>'Energy Effic. Kits Deemed Table'!N7</f>
        <v>per measure</v>
      </c>
      <c r="AJ65" s="1930"/>
      <c r="AK65" s="1930"/>
      <c r="AL65" s="1930"/>
      <c r="AM65" s="1972">
        <f t="shared" si="28"/>
        <v>4.6608050000000002E-4</v>
      </c>
      <c r="AN65" s="1930">
        <f t="shared" si="30"/>
        <v>2.5051826875000002E-2</v>
      </c>
      <c r="AO65" s="1971">
        <f t="shared" si="4"/>
        <v>-1.7312499999908026E-7</v>
      </c>
    </row>
    <row r="66" spans="1:41" s="100" customFormat="1" x14ac:dyDescent="0.25">
      <c r="A66" s="103" t="str">
        <f t="shared" si="5"/>
        <v>300051</v>
      </c>
      <c r="B66" s="684" t="str">
        <f>'Energy Effic. Kits Deemed Table'!C8</f>
        <v>300051_2020_12_</v>
      </c>
      <c r="C66" s="1962" t="str">
        <f>'Energy Effic. Kits Deemed Table'!G8</f>
        <v>HVAC RES</v>
      </c>
      <c r="D66" s="1962"/>
      <c r="E66" s="1962"/>
      <c r="F66" s="1962"/>
      <c r="G66" s="1962" t="str">
        <f>'Energy Effic. Kits Deemed Table'!E8</f>
        <v>Dirty Filter Alarm_SF - IE Kits</v>
      </c>
      <c r="H66" s="63" t="str">
        <f>'Energy Effic. Kits Deemed Table'!D8</f>
        <v>LIIE</v>
      </c>
      <c r="I66" s="2438">
        <f>'Energy Effic. Kits Deemed Table'!F8</f>
        <v>98.22</v>
      </c>
      <c r="J66" s="2438">
        <v>0</v>
      </c>
      <c r="K66" s="3598">
        <v>0</v>
      </c>
      <c r="L66" s="3598">
        <v>0</v>
      </c>
      <c r="M66" s="2439">
        <v>0</v>
      </c>
      <c r="N66" s="2439">
        <v>0</v>
      </c>
      <c r="O66" s="2440">
        <f>'Energy Effic. Kits Deemed Table'!K8</f>
        <v>4.5777999999999999E-2</v>
      </c>
      <c r="P66" s="2440">
        <v>0</v>
      </c>
      <c r="Q66" s="2441">
        <v>0</v>
      </c>
      <c r="R66" s="2441">
        <v>0</v>
      </c>
      <c r="S66" s="2441"/>
      <c r="T66" s="2441"/>
      <c r="U66" s="1926">
        <v>0</v>
      </c>
      <c r="V66" s="1926">
        <f>O66</f>
        <v>4.5777999999999999E-2</v>
      </c>
      <c r="W66" s="1926">
        <v>0</v>
      </c>
      <c r="X66" s="68">
        <f>'Energy Effic. Kits Deemed Table'!L8</f>
        <v>14</v>
      </c>
      <c r="Y66" s="68"/>
      <c r="Z66" s="68">
        <f t="shared" ref="Z66" si="41">Y66+X66</f>
        <v>14</v>
      </c>
      <c r="AA66" s="3616">
        <f>'Energy Effic. Kits Deemed Table'!BB8</f>
        <v>18.480068430496853</v>
      </c>
      <c r="AB66" s="2620">
        <f>'Energy Effic. Kits Deemed Table'!M8</f>
        <v>5</v>
      </c>
      <c r="AC66" s="3617">
        <f t="shared" ref="AC66" si="42">AE66+AF66</f>
        <v>87.211271498333417</v>
      </c>
      <c r="AD66" s="3617"/>
      <c r="AE66" s="1661">
        <f>'Energy Effic. Kits Deemed Table'!BD8</f>
        <v>87.211271498333417</v>
      </c>
      <c r="AF66" s="2453"/>
      <c r="AG66" s="2453"/>
      <c r="AH66" s="2453"/>
      <c r="AI66" s="3619" t="str">
        <f>'Energy Effic. Kits Deemed Table'!N8</f>
        <v>per measure</v>
      </c>
      <c r="AM66" s="2433">
        <f t="shared" si="28"/>
        <v>4.6608050000000002E-4</v>
      </c>
      <c r="AN66" s="100">
        <f t="shared" ref="AN66" si="43">AM66*I66</f>
        <v>4.577842671E-2</v>
      </c>
      <c r="AO66" s="2437">
        <f t="shared" ref="AO66" si="44">AN66-O66</f>
        <v>4.2671000000105153E-7</v>
      </c>
    </row>
    <row r="67" spans="1:41" s="100" customFormat="1" x14ac:dyDescent="0.25">
      <c r="A67" s="103" t="str">
        <f t="shared" si="5"/>
        <v>300060</v>
      </c>
      <c r="B67" s="1960" t="str">
        <f>'Energy Effic. Kits Deemed Table'!C9</f>
        <v>300060_2021_12_</v>
      </c>
      <c r="C67" s="1962" t="str">
        <f>'Energy Effic. Kits Deemed Table'!G9</f>
        <v>HVAC RES</v>
      </c>
      <c r="D67" s="1962"/>
      <c r="E67" s="1962"/>
      <c r="F67" s="1962"/>
      <c r="G67" s="1962" t="str">
        <f>'Energy Effic. Kits Deemed Table'!E9</f>
        <v>Dirty Filter Alarm_SF - ARP Kits</v>
      </c>
      <c r="H67" s="63" t="str">
        <f>'Energy Effic. Kits Deemed Table'!D9</f>
        <v>ARP</v>
      </c>
      <c r="I67" s="2438">
        <f>'Energy Effic. Kits Deemed Table'!F9</f>
        <v>15.27</v>
      </c>
      <c r="J67" s="2438">
        <v>0</v>
      </c>
      <c r="K67" s="3598">
        <v>0</v>
      </c>
      <c r="L67" s="3598">
        <v>0</v>
      </c>
      <c r="M67" s="2439">
        <v>0</v>
      </c>
      <c r="N67" s="2439">
        <v>0</v>
      </c>
      <c r="O67" s="2440">
        <f>'Energy Effic. Kits Deemed Table'!K9</f>
        <v>7.1170000000000001E-3</v>
      </c>
      <c r="P67" s="2440">
        <v>0</v>
      </c>
      <c r="Q67" s="2441">
        <v>0</v>
      </c>
      <c r="R67" s="2441">
        <v>0</v>
      </c>
      <c r="S67" s="2441"/>
      <c r="T67" s="2441"/>
      <c r="U67" s="1926">
        <v>0</v>
      </c>
      <c r="V67" s="1926">
        <f>O67</f>
        <v>7.1170000000000001E-3</v>
      </c>
      <c r="W67" s="1926">
        <v>0</v>
      </c>
      <c r="X67" s="68">
        <f>'Energy Effic. Kits Deemed Table'!L9</f>
        <v>14</v>
      </c>
      <c r="Y67" s="68"/>
      <c r="Z67" s="68">
        <f t="shared" ref="Z67" si="45">Y67+X67</f>
        <v>14</v>
      </c>
      <c r="AA67" s="3616">
        <f>'Energy Effic. Kits Deemed Table'!BB9</f>
        <v>2.8730466802452344</v>
      </c>
      <c r="AB67" s="2620">
        <f>'Energy Effic. Kits Deemed Table'!M9</f>
        <v>5</v>
      </c>
      <c r="AC67" s="3617">
        <f t="shared" ref="AC67" si="46">AE67+AF67</f>
        <v>13.558502502337113</v>
      </c>
      <c r="AD67" s="3617"/>
      <c r="AE67" s="1661">
        <f>'Energy Effic. Kits Deemed Table'!BD9</f>
        <v>13.558502502337113</v>
      </c>
      <c r="AF67" s="2453"/>
      <c r="AG67" s="2453"/>
      <c r="AH67" s="2453"/>
      <c r="AI67" s="3619" t="str">
        <f>'Energy Effic. Kits Deemed Table'!N9</f>
        <v>per measure</v>
      </c>
      <c r="AM67" s="2433">
        <f t="shared" si="28"/>
        <v>4.6608050000000002E-4</v>
      </c>
      <c r="AN67" s="100">
        <f t="shared" ref="AN67" si="47">AM67*I67</f>
        <v>7.1170492349999998E-3</v>
      </c>
      <c r="AO67" s="2437">
        <f t="shared" ref="AO67" si="48">AN67-O67</f>
        <v>4.9234999999724083E-8</v>
      </c>
    </row>
    <row r="68" spans="1:41" x14ac:dyDescent="0.25">
      <c r="A68" s="103" t="str">
        <f t="shared" si="5"/>
        <v>300100</v>
      </c>
      <c r="B68" s="684" t="str">
        <f>'Energy Effic. Kits Deemed Table'!C10</f>
        <v>300100_2019_12_</v>
      </c>
      <c r="C68" s="1962" t="str">
        <f>'Energy Effic. Kits Deemed Table'!G10</f>
        <v>HVAC RES</v>
      </c>
      <c r="D68" s="1962"/>
      <c r="E68" s="1962"/>
      <c r="F68" s="1962"/>
      <c r="G68" s="1962" t="str">
        <f>'Energy Effic. Kits Deemed Table'!E10</f>
        <v>Dirty Filter Alarm_MF</v>
      </c>
      <c r="H68" s="63" t="str">
        <f>'Energy Effic. Kits Deemed Table'!D10</f>
        <v>School</v>
      </c>
      <c r="I68" s="2438">
        <f>'Energy Effic. Kits Deemed Table'!F10</f>
        <v>177.38</v>
      </c>
      <c r="J68" s="2438">
        <v>0</v>
      </c>
      <c r="K68" s="3598">
        <v>0</v>
      </c>
      <c r="L68" s="3598">
        <v>0</v>
      </c>
      <c r="M68" s="2439">
        <v>0</v>
      </c>
      <c r="N68" s="2439">
        <v>0</v>
      </c>
      <c r="O68" s="2440">
        <f>'Energy Effic. Kits Deemed Table'!K10</f>
        <v>8.2672999999999996E-2</v>
      </c>
      <c r="P68" s="2440">
        <v>0</v>
      </c>
      <c r="Q68" s="2441">
        <v>0</v>
      </c>
      <c r="R68" s="2441">
        <v>0</v>
      </c>
      <c r="S68" s="2441"/>
      <c r="T68" s="2441"/>
      <c r="U68" s="1819">
        <v>0</v>
      </c>
      <c r="V68" s="1819">
        <f>O68</f>
        <v>8.2672999999999996E-2</v>
      </c>
      <c r="W68" s="1819">
        <v>0</v>
      </c>
      <c r="X68" s="68">
        <f>'Energy Effic. Kits Deemed Table'!L10</f>
        <v>14</v>
      </c>
      <c r="Y68" s="68"/>
      <c r="Z68" s="68">
        <f t="shared" si="1"/>
        <v>14</v>
      </c>
      <c r="AA68" s="3616">
        <f>'Energy Effic. Kits Deemed Table'!BB10</f>
        <v>33.374002628808107</v>
      </c>
      <c r="AB68" s="2620">
        <f>'Energy Effic. Kits Deemed Table'!M10</f>
        <v>5</v>
      </c>
      <c r="AC68" s="3617">
        <f t="shared" si="6"/>
        <v>157.49883260409675</v>
      </c>
      <c r="AD68" s="3617"/>
      <c r="AE68" s="1661">
        <f>'Energy Effic. Kits Deemed Table'!BD10</f>
        <v>157.49883260409675</v>
      </c>
      <c r="AF68" s="2453"/>
      <c r="AG68" s="2453"/>
      <c r="AH68" s="2453"/>
      <c r="AI68" s="684" t="str">
        <f>'Energy Effic. Kits Deemed Table'!N10</f>
        <v>per measure</v>
      </c>
      <c r="AJ68" s="1930"/>
      <c r="AK68" s="1930"/>
      <c r="AL68" s="1930"/>
      <c r="AM68" s="1972">
        <f t="shared" si="28"/>
        <v>4.6608050000000002E-4</v>
      </c>
      <c r="AN68" s="1930">
        <f t="shared" si="30"/>
        <v>8.2673359089999995E-2</v>
      </c>
      <c r="AO68" s="1971">
        <f t="shared" si="4"/>
        <v>3.5908999999889613E-7</v>
      </c>
    </row>
    <row r="69" spans="1:41" x14ac:dyDescent="0.25">
      <c r="A69" s="103" t="str">
        <f t="shared" si="5"/>
        <v>300101</v>
      </c>
      <c r="B69" s="684" t="str">
        <f>'Energy Effic. Kits Deemed Table'!C11</f>
        <v>300101_2019_12_</v>
      </c>
      <c r="C69" s="1962" t="str">
        <f>'Energy Effic. Kits Deemed Table'!G11</f>
        <v>HVAC RES</v>
      </c>
      <c r="D69" s="1962"/>
      <c r="E69" s="1962"/>
      <c r="F69" s="1962"/>
      <c r="G69" s="1962" t="str">
        <f>'Energy Effic. Kits Deemed Table'!E11</f>
        <v>Dirty Filter Alarm_MF_CompE</v>
      </c>
      <c r="H69" s="63" t="str">
        <f>'Energy Effic. Kits Deemed Table'!D11</f>
        <v>School</v>
      </c>
      <c r="I69" s="2438">
        <f>'Energy Effic. Kits Deemed Table'!F11</f>
        <v>85.65</v>
      </c>
      <c r="J69" s="2438">
        <v>0</v>
      </c>
      <c r="K69" s="3598">
        <v>0</v>
      </c>
      <c r="L69" s="3598">
        <v>0</v>
      </c>
      <c r="M69" s="2439">
        <v>0</v>
      </c>
      <c r="N69" s="2439">
        <v>0</v>
      </c>
      <c r="O69" s="2440">
        <f>'Energy Effic. Kits Deemed Table'!K11</f>
        <v>3.9919999999999997E-2</v>
      </c>
      <c r="P69" s="2440">
        <v>0</v>
      </c>
      <c r="Q69" s="2441">
        <v>0</v>
      </c>
      <c r="R69" s="2441">
        <v>0</v>
      </c>
      <c r="S69" s="2441"/>
      <c r="T69" s="2441"/>
      <c r="U69" s="1819">
        <v>0</v>
      </c>
      <c r="V69" s="1819">
        <f>O69</f>
        <v>3.9919999999999997E-2</v>
      </c>
      <c r="W69" s="1819">
        <v>0</v>
      </c>
      <c r="X69" s="68">
        <f>'Energy Effic. Kits Deemed Table'!L11</f>
        <v>14</v>
      </c>
      <c r="Y69" s="68"/>
      <c r="Z69" s="68">
        <f t="shared" si="1"/>
        <v>14</v>
      </c>
      <c r="AA69" s="3616">
        <f>'Energy Effic. Kits Deemed Table'!BB11</f>
        <v>16.115026074852938</v>
      </c>
      <c r="AB69" s="2620">
        <f>'Energy Effic. Kits Deemed Table'!M11</f>
        <v>5</v>
      </c>
      <c r="AC69" s="3617">
        <f t="shared" si="6"/>
        <v>76.050146648668886</v>
      </c>
      <c r="AD69" s="3617"/>
      <c r="AE69" s="1661">
        <f>'Energy Effic. Kits Deemed Table'!BD11</f>
        <v>76.050146648668886</v>
      </c>
      <c r="AF69" s="2453"/>
      <c r="AG69" s="2453"/>
      <c r="AH69" s="2453"/>
      <c r="AI69" s="684" t="str">
        <f>'Energy Effic. Kits Deemed Table'!N11</f>
        <v>per measure</v>
      </c>
      <c r="AJ69" s="1930"/>
      <c r="AK69" s="1930"/>
      <c r="AL69" s="1930"/>
      <c r="AM69" s="1972">
        <f t="shared" si="28"/>
        <v>4.6608050000000002E-4</v>
      </c>
      <c r="AN69" s="1930">
        <f t="shared" si="30"/>
        <v>3.9919794825000007E-2</v>
      </c>
      <c r="AO69" s="1971">
        <f t="shared" si="4"/>
        <v>-2.0517499998984334E-7</v>
      </c>
    </row>
    <row r="70" spans="1:41" x14ac:dyDescent="0.25">
      <c r="A70" s="103" t="str">
        <f t="shared" si="5"/>
        <v>300150</v>
      </c>
      <c r="B70" s="684" t="str">
        <f>'Energy Effic. Kits Deemed Table'!C46</f>
        <v>300150_2019_12_</v>
      </c>
      <c r="C70" s="1962" t="str">
        <f>'Energy Effic. Kits Deemed Table'!G46</f>
        <v>Lighting RES</v>
      </c>
      <c r="D70" s="1962"/>
      <c r="E70" s="1962"/>
      <c r="F70" s="1962"/>
      <c r="G70" s="1962" t="str">
        <f>'Energy Effic. Kits Deemed Table'!E46</f>
        <v>LED - 10W (CFL baseline) (750-1049 lumens)</v>
      </c>
      <c r="H70" s="63" t="str">
        <f>'Energy Effic. Kits Deemed Table'!D46</f>
        <v>School</v>
      </c>
      <c r="I70" s="2438">
        <f>'Energy Effic. Kits Deemed Table'!F46</f>
        <v>2.87</v>
      </c>
      <c r="J70" s="2438">
        <v>0</v>
      </c>
      <c r="K70" s="2439">
        <v>0</v>
      </c>
      <c r="L70" s="2439">
        <v>0</v>
      </c>
      <c r="M70" s="2439">
        <v>0</v>
      </c>
      <c r="N70" s="2439">
        <v>0</v>
      </c>
      <c r="O70" s="2440">
        <f>'Energy Effic. Kits Deemed Table'!I46</f>
        <v>4.28E-4</v>
      </c>
      <c r="P70" s="2440">
        <v>0</v>
      </c>
      <c r="Q70" s="2441">
        <v>0</v>
      </c>
      <c r="R70" s="2441">
        <v>0</v>
      </c>
      <c r="S70" s="2441"/>
      <c r="T70" s="2441"/>
      <c r="U70" s="1819">
        <v>0</v>
      </c>
      <c r="V70" s="1819">
        <v>0</v>
      </c>
      <c r="W70" s="1820">
        <f t="shared" ref="W70:W77" si="49">O70</f>
        <v>4.28E-4</v>
      </c>
      <c r="X70" s="68">
        <f>'Energy Effic. Kits Deemed Table'!J46</f>
        <v>19</v>
      </c>
      <c r="Y70" s="68"/>
      <c r="Z70" s="68">
        <f t="shared" si="1"/>
        <v>19</v>
      </c>
      <c r="AA70" s="3616">
        <f>'Energy Effic. Kits Deemed Table'!BB46</f>
        <v>0.91346401321450899</v>
      </c>
      <c r="AB70" s="2620">
        <f>'Energy Effic. Kits Deemed Table'!K46</f>
        <v>1.95</v>
      </c>
      <c r="AC70" s="3617">
        <f t="shared" si="6"/>
        <v>1.6812221102107525</v>
      </c>
      <c r="AD70" s="3617"/>
      <c r="AE70" s="1661">
        <f>'Energy Effic. Kits Deemed Table'!BD46</f>
        <v>1.6812221102107525</v>
      </c>
      <c r="AF70" s="2453"/>
      <c r="AG70" s="2453"/>
      <c r="AH70" s="2453"/>
      <c r="AI70" s="684" t="str">
        <f>'Energy Effic. Kits Deemed Table'!L46</f>
        <v>per measure</v>
      </c>
      <c r="AJ70" s="1930"/>
      <c r="AK70" s="1930"/>
      <c r="AL70" s="1930"/>
      <c r="AM70" s="1972">
        <f t="shared" si="28"/>
        <v>1.4925290000000001E-4</v>
      </c>
      <c r="AN70" s="1930">
        <f t="shared" si="30"/>
        <v>4.2835582300000002E-4</v>
      </c>
      <c r="AO70" s="1971">
        <f t="shared" si="4"/>
        <v>3.5582300000002419E-7</v>
      </c>
    </row>
    <row r="71" spans="1:41" x14ac:dyDescent="0.25">
      <c r="A71" s="103" t="str">
        <f t="shared" si="5"/>
        <v>300200</v>
      </c>
      <c r="B71" s="684" t="str">
        <f>'Energy Effic. Kits Deemed Table'!C47</f>
        <v>300200_2019_12_</v>
      </c>
      <c r="C71" s="1962" t="str">
        <f>'Energy Effic. Kits Deemed Table'!G47</f>
        <v>Lighting RES</v>
      </c>
      <c r="D71" s="1962"/>
      <c r="E71" s="1962"/>
      <c r="F71" s="1962"/>
      <c r="G71" s="1962" t="str">
        <f>'Energy Effic. Kits Deemed Table'!E47</f>
        <v>LED - 10W (CFL baseline) (750-1049 lumens)</v>
      </c>
      <c r="H71" s="63" t="str">
        <f>'Energy Effic. Kits Deemed Table'!D47</f>
        <v>MF</v>
      </c>
      <c r="I71" s="2438">
        <f>'Energy Effic. Kits Deemed Table'!F47</f>
        <v>4.34</v>
      </c>
      <c r="J71" s="2438">
        <v>0</v>
      </c>
      <c r="K71" s="2439">
        <v>0</v>
      </c>
      <c r="L71" s="2439">
        <v>0</v>
      </c>
      <c r="M71" s="2439">
        <v>0</v>
      </c>
      <c r="N71" s="2439">
        <v>0</v>
      </c>
      <c r="O71" s="2440">
        <f>'Energy Effic. Kits Deemed Table'!I47</f>
        <v>6.4800000000000003E-4</v>
      </c>
      <c r="P71" s="2440">
        <v>0</v>
      </c>
      <c r="Q71" s="2441">
        <v>0</v>
      </c>
      <c r="R71" s="2441">
        <v>0</v>
      </c>
      <c r="S71" s="2441"/>
      <c r="T71" s="2441"/>
      <c r="U71" s="1819">
        <v>0</v>
      </c>
      <c r="V71" s="1819">
        <v>0</v>
      </c>
      <c r="W71" s="1820">
        <f t="shared" si="49"/>
        <v>6.4800000000000003E-4</v>
      </c>
      <c r="X71" s="68">
        <f>'Energy Effic. Kits Deemed Table'!J47</f>
        <v>19</v>
      </c>
      <c r="Y71" s="68"/>
      <c r="Z71" s="68">
        <f t="shared" si="1"/>
        <v>19</v>
      </c>
      <c r="AA71" s="3616">
        <f>'Energy Effic. Kits Deemed Table'!BB47</f>
        <v>1.3813358248609648</v>
      </c>
      <c r="AB71" s="2620">
        <f>'Energy Effic. Kits Deemed Table'!K47</f>
        <v>1.95</v>
      </c>
      <c r="AC71" s="3617">
        <f t="shared" si="6"/>
        <v>2.5423358739772355</v>
      </c>
      <c r="AD71" s="3617"/>
      <c r="AE71" s="1661">
        <f>'Energy Effic. Kits Deemed Table'!BD47</f>
        <v>2.5423358739772355</v>
      </c>
      <c r="AF71" s="2453"/>
      <c r="AG71" s="2453"/>
      <c r="AH71" s="2453"/>
      <c r="AI71" s="684" t="str">
        <f>'Energy Effic. Kits Deemed Table'!L47</f>
        <v>per measure</v>
      </c>
      <c r="AJ71" s="1930"/>
      <c r="AK71" s="1930"/>
      <c r="AL71" s="1930"/>
      <c r="AM71" s="1972">
        <f t="shared" si="28"/>
        <v>1.4925290000000001E-4</v>
      </c>
      <c r="AN71" s="1930">
        <f t="shared" si="30"/>
        <v>6.4775758600000004E-4</v>
      </c>
      <c r="AO71" s="1971">
        <f t="shared" si="4"/>
        <v>-2.4241399999998768E-7</v>
      </c>
    </row>
    <row r="72" spans="1:41" x14ac:dyDescent="0.25">
      <c r="A72" s="103" t="str">
        <f t="shared" si="5"/>
        <v>300250</v>
      </c>
      <c r="B72" s="684" t="str">
        <f>'Energy Effic. Kits Deemed Table'!C48</f>
        <v>300250_2019_12_</v>
      </c>
      <c r="C72" s="1962" t="str">
        <f>'Energy Effic. Kits Deemed Table'!G48</f>
        <v>Lighting RES</v>
      </c>
      <c r="D72" s="1962"/>
      <c r="E72" s="1962"/>
      <c r="F72" s="1962"/>
      <c r="G72" s="1962" t="str">
        <f>'Energy Effic. Kits Deemed Table'!E48</f>
        <v>LED - 10W (Halogen baseline) (750-1049 lumens)</v>
      </c>
      <c r="H72" s="63" t="str">
        <f>'Energy Effic. Kits Deemed Table'!D48</f>
        <v>School</v>
      </c>
      <c r="I72" s="2438">
        <f>'Energy Effic. Kits Deemed Table'!F48</f>
        <v>22.19</v>
      </c>
      <c r="J72" s="2438">
        <v>0</v>
      </c>
      <c r="K72" s="2439">
        <v>0</v>
      </c>
      <c r="L72" s="2439">
        <v>0</v>
      </c>
      <c r="M72" s="2439">
        <v>0</v>
      </c>
      <c r="N72" s="2439">
        <v>0</v>
      </c>
      <c r="O72" s="2440">
        <f>'Energy Effic. Kits Deemed Table'!I48</f>
        <v>3.3119999999999998E-3</v>
      </c>
      <c r="P72" s="2440">
        <v>0</v>
      </c>
      <c r="Q72" s="2441">
        <v>0</v>
      </c>
      <c r="R72" s="2441">
        <v>0</v>
      </c>
      <c r="S72" s="2441"/>
      <c r="T72" s="2441"/>
      <c r="U72" s="1819">
        <v>0</v>
      </c>
      <c r="V72" s="1819">
        <v>0</v>
      </c>
      <c r="W72" s="1820">
        <f t="shared" si="49"/>
        <v>3.3119999999999998E-3</v>
      </c>
      <c r="X72" s="68">
        <f>'Energy Effic. Kits Deemed Table'!J48</f>
        <v>19</v>
      </c>
      <c r="Y72" s="68"/>
      <c r="Z72" s="68">
        <f t="shared" si="1"/>
        <v>19</v>
      </c>
      <c r="AA72" s="3616">
        <f>'Energy Effic. Kits Deemed Table'!BB48</f>
        <v>7.0626363948536426</v>
      </c>
      <c r="AB72" s="2620">
        <f>'Energy Effic. Kits Deemed Table'!K48</f>
        <v>1.95</v>
      </c>
      <c r="AC72" s="3617">
        <f t="shared" si="6"/>
        <v>12.998717291141672</v>
      </c>
      <c r="AD72" s="3617"/>
      <c r="AE72" s="1661">
        <f>'Energy Effic. Kits Deemed Table'!BD48</f>
        <v>12.998717291141672</v>
      </c>
      <c r="AF72" s="2453"/>
      <c r="AG72" s="2453"/>
      <c r="AH72" s="2453"/>
      <c r="AI72" s="684" t="str">
        <f>'Energy Effic. Kits Deemed Table'!L48</f>
        <v>per measure</v>
      </c>
      <c r="AJ72" s="1930"/>
      <c r="AK72" s="1930"/>
      <c r="AL72" s="1930"/>
      <c r="AM72" s="1972">
        <f t="shared" si="28"/>
        <v>1.4925290000000001E-4</v>
      </c>
      <c r="AN72" s="1930">
        <f t="shared" si="30"/>
        <v>3.3119218510000003E-3</v>
      </c>
      <c r="AO72" s="1971">
        <f t="shared" si="4"/>
        <v>-7.8148999999548552E-8</v>
      </c>
    </row>
    <row r="73" spans="1:41" s="100" customFormat="1" x14ac:dyDescent="0.25">
      <c r="A73" s="103" t="str">
        <f t="shared" si="5"/>
        <v>300251</v>
      </c>
      <c r="B73" s="684" t="str">
        <f>'Energy Effic. Kits Deemed Table'!C49</f>
        <v>300251_2020_12_</v>
      </c>
      <c r="C73" s="1962" t="str">
        <f>'Energy Effic. Kits Deemed Table'!G49</f>
        <v>Lighting RES</v>
      </c>
      <c r="D73" s="1962"/>
      <c r="E73" s="1962"/>
      <c r="F73" s="1962"/>
      <c r="G73" s="1962" t="str">
        <f>'Energy Effic. Kits Deemed Table'!E49</f>
        <v>LED - 10W (Halogen baseline) (750-1049 lumens) - IE Kit</v>
      </c>
      <c r="H73" s="63" t="str">
        <f>'Energy Effic. Kits Deemed Table'!D49</f>
        <v>LIIE</v>
      </c>
      <c r="I73" s="2438">
        <f>'Energy Effic. Kits Deemed Table'!F49</f>
        <v>30.15</v>
      </c>
      <c r="J73" s="2438">
        <v>0</v>
      </c>
      <c r="K73" s="2439">
        <v>0</v>
      </c>
      <c r="L73" s="2439">
        <v>0</v>
      </c>
      <c r="M73" s="2439">
        <v>0</v>
      </c>
      <c r="N73" s="2439">
        <v>0</v>
      </c>
      <c r="O73" s="2440">
        <f>'Energy Effic. Kits Deemed Table'!I49</f>
        <v>4.4999999999999997E-3</v>
      </c>
      <c r="P73" s="2440">
        <v>0</v>
      </c>
      <c r="Q73" s="2441">
        <v>0</v>
      </c>
      <c r="R73" s="2441">
        <v>0</v>
      </c>
      <c r="S73" s="2441"/>
      <c r="T73" s="2441"/>
      <c r="U73" s="1926">
        <v>0</v>
      </c>
      <c r="V73" s="1926">
        <v>0</v>
      </c>
      <c r="W73" s="2445">
        <f t="shared" ref="W73" si="50">O73</f>
        <v>4.4999999999999997E-3</v>
      </c>
      <c r="X73" s="68">
        <f>'Energy Effic. Kits Deemed Table'!J49</f>
        <v>19</v>
      </c>
      <c r="Y73" s="68"/>
      <c r="Z73" s="68">
        <f t="shared" ref="Z73" si="51">Y73+X73</f>
        <v>19</v>
      </c>
      <c r="AA73" s="3616">
        <f>'Energy Effic. Kits Deemed Table'!BB49</f>
        <v>9.5961463409120018</v>
      </c>
      <c r="AB73" s="2620">
        <f>'Energy Effic. Kits Deemed Table'!K49</f>
        <v>1.95</v>
      </c>
      <c r="AC73" s="3617">
        <f t="shared" ref="AC73" si="52">AE73+AF73</f>
        <v>17.661619032353375</v>
      </c>
      <c r="AD73" s="3617"/>
      <c r="AE73" s="1661">
        <f>'Energy Effic. Kits Deemed Table'!BD49</f>
        <v>17.661619032353375</v>
      </c>
      <c r="AF73" s="2453"/>
      <c r="AG73" s="2453"/>
      <c r="AH73" s="2453"/>
      <c r="AI73" s="684" t="str">
        <f>'Energy Effic. Kits Deemed Table'!L49</f>
        <v>per measure</v>
      </c>
      <c r="AM73" s="2433">
        <f t="shared" ref="AM73:AM106" si="53">VLOOKUP(C73,$AS$10:$AT$33,2,FALSE)</f>
        <v>1.4925290000000001E-4</v>
      </c>
      <c r="AN73" s="100">
        <f t="shared" ref="AN73" si="54">AM73*I73</f>
        <v>4.4999749349999996E-3</v>
      </c>
      <c r="AO73" s="2437">
        <f t="shared" ref="AO73" si="55">AN73-O73</f>
        <v>-2.5065000000025484E-8</v>
      </c>
    </row>
    <row r="74" spans="1:41" s="100" customFormat="1" x14ac:dyDescent="0.25">
      <c r="A74" s="103" t="str">
        <f t="shared" ref="A74:A137" si="56">LEFT(B74,6)</f>
        <v>300260</v>
      </c>
      <c r="B74" s="684" t="str">
        <f>'Energy Effic. Kits Deemed Table'!C50</f>
        <v>300260_2020_12_</v>
      </c>
      <c r="C74" s="1962" t="str">
        <f>'Energy Effic. Kits Deemed Table'!G50</f>
        <v>Lighting RES</v>
      </c>
      <c r="D74" s="1962"/>
      <c r="E74" s="1962"/>
      <c r="F74" s="1962"/>
      <c r="G74" s="1962" t="str">
        <f>'Energy Effic. Kits Deemed Table'!E50</f>
        <v>LED - 10W (Halogen baseline) (750-1049 lumens) - ARP Kit</v>
      </c>
      <c r="H74" s="63" t="str">
        <f>'Energy Effic. Kits Deemed Table'!D50</f>
        <v>ARP</v>
      </c>
      <c r="I74" s="2438">
        <f>'Energy Effic. Kits Deemed Table'!F50</f>
        <v>29.48</v>
      </c>
      <c r="J74" s="2438">
        <v>0</v>
      </c>
      <c r="K74" s="2439">
        <v>0</v>
      </c>
      <c r="L74" s="2439">
        <v>0</v>
      </c>
      <c r="M74" s="2439">
        <v>0</v>
      </c>
      <c r="N74" s="2439">
        <v>0</v>
      </c>
      <c r="O74" s="2440">
        <f>'Energy Effic. Kits Deemed Table'!I50</f>
        <v>4.4000000000000003E-3</v>
      </c>
      <c r="P74" s="2440">
        <v>0</v>
      </c>
      <c r="Q74" s="2441">
        <v>0</v>
      </c>
      <c r="R74" s="2441">
        <v>0</v>
      </c>
      <c r="S74" s="2441"/>
      <c r="T74" s="2441"/>
      <c r="U74" s="1926">
        <v>0</v>
      </c>
      <c r="V74" s="1926">
        <v>0</v>
      </c>
      <c r="W74" s="2445">
        <f t="shared" ref="W74" si="57">O74</f>
        <v>4.4000000000000003E-3</v>
      </c>
      <c r="X74" s="68">
        <f>'Energy Effic. Kits Deemed Table'!J50</f>
        <v>19</v>
      </c>
      <c r="Y74" s="68"/>
      <c r="Z74" s="68">
        <f t="shared" ref="Z74" si="58">Y74+X74</f>
        <v>19</v>
      </c>
      <c r="AA74" s="3616">
        <f>'Energy Effic. Kits Deemed Table'!BB50</f>
        <v>9.3828986444472893</v>
      </c>
      <c r="AB74" s="2620">
        <f>'Energy Effic. Kits Deemed Table'!K50</f>
        <v>1.95</v>
      </c>
      <c r="AC74" s="3617">
        <f t="shared" ref="AC74" si="59">AE74+AF74</f>
        <v>17.269138609412188</v>
      </c>
      <c r="AD74" s="3617"/>
      <c r="AE74" s="1661">
        <f>'Energy Effic. Kits Deemed Table'!BD50</f>
        <v>17.269138609412188</v>
      </c>
      <c r="AF74" s="2453"/>
      <c r="AG74" s="2453"/>
      <c r="AH74" s="2453"/>
      <c r="AI74" s="684" t="str">
        <f>'Energy Effic. Kits Deemed Table'!L50</f>
        <v>per measure</v>
      </c>
      <c r="AM74" s="2433">
        <f t="shared" si="53"/>
        <v>1.4925290000000001E-4</v>
      </c>
      <c r="AN74" s="100">
        <f t="shared" ref="AN74" si="60">AM74*I74</f>
        <v>4.3999754920000002E-3</v>
      </c>
      <c r="AO74" s="2437">
        <f t="shared" ref="AO74" si="61">AN74-O74</f>
        <v>-2.4508000000082741E-8</v>
      </c>
    </row>
    <row r="75" spans="1:41" x14ac:dyDescent="0.25">
      <c r="A75" s="103" t="str">
        <f t="shared" si="56"/>
        <v>300300</v>
      </c>
      <c r="B75" s="684" t="str">
        <f>'Energy Effic. Kits Deemed Table'!C51</f>
        <v>300300_2019_12_</v>
      </c>
      <c r="C75" s="1962" t="str">
        <f>'Energy Effic. Kits Deemed Table'!G51</f>
        <v>Lighting RES</v>
      </c>
      <c r="D75" s="1962"/>
      <c r="E75" s="1962"/>
      <c r="F75" s="1962"/>
      <c r="G75" s="1962" t="str">
        <f>'Energy Effic. Kits Deemed Table'!E51</f>
        <v>LED - 10W (Halogen baseline) (750-1049 lumens)</v>
      </c>
      <c r="H75" s="63" t="str">
        <f>'Energy Effic. Kits Deemed Table'!D51</f>
        <v>MF</v>
      </c>
      <c r="I75" s="2438">
        <f>'Energy Effic. Kits Deemed Table'!F51</f>
        <v>33.5</v>
      </c>
      <c r="J75" s="2438">
        <v>0</v>
      </c>
      <c r="K75" s="2439">
        <v>0</v>
      </c>
      <c r="L75" s="2439">
        <v>0</v>
      </c>
      <c r="M75" s="2439">
        <v>0</v>
      </c>
      <c r="N75" s="2439">
        <v>0</v>
      </c>
      <c r="O75" s="2440">
        <f>'Energy Effic. Kits Deemed Table'!I51</f>
        <v>5.0000000000000001E-3</v>
      </c>
      <c r="P75" s="2440">
        <v>0</v>
      </c>
      <c r="Q75" s="2441">
        <v>0</v>
      </c>
      <c r="R75" s="2441">
        <v>0</v>
      </c>
      <c r="S75" s="2441"/>
      <c r="T75" s="2441"/>
      <c r="U75" s="1819">
        <v>0</v>
      </c>
      <c r="V75" s="1819">
        <v>0</v>
      </c>
      <c r="W75" s="1820">
        <f t="shared" si="49"/>
        <v>5.0000000000000001E-3</v>
      </c>
      <c r="X75" s="68">
        <f>'Energy Effic. Kits Deemed Table'!J51</f>
        <v>19</v>
      </c>
      <c r="Y75" s="68"/>
      <c r="Z75" s="68">
        <f t="shared" si="1"/>
        <v>19</v>
      </c>
      <c r="AA75" s="3616">
        <f>'Energy Effic. Kits Deemed Table'!BB51</f>
        <v>10.662384823235557</v>
      </c>
      <c r="AB75" s="2620">
        <f>'Energy Effic. Kits Deemed Table'!K51</f>
        <v>1.95</v>
      </c>
      <c r="AC75" s="3617">
        <f t="shared" si="6"/>
        <v>19.624021147059306</v>
      </c>
      <c r="AD75" s="3617"/>
      <c r="AE75" s="1661">
        <f>'Energy Effic. Kits Deemed Table'!BD51</f>
        <v>19.624021147059306</v>
      </c>
      <c r="AF75" s="2453"/>
      <c r="AG75" s="2453"/>
      <c r="AH75" s="2453"/>
      <c r="AI75" s="684" t="str">
        <f>'Energy Effic. Kits Deemed Table'!L51</f>
        <v>per measure</v>
      </c>
      <c r="AJ75" s="1930"/>
      <c r="AK75" s="1930"/>
      <c r="AL75" s="1930"/>
      <c r="AM75" s="1972">
        <f t="shared" si="53"/>
        <v>1.4925290000000001E-4</v>
      </c>
      <c r="AN75" s="1930">
        <f t="shared" si="30"/>
        <v>4.9999721500000004E-3</v>
      </c>
      <c r="AO75" s="1971">
        <f t="shared" si="4"/>
        <v>-2.7849999999739194E-8</v>
      </c>
    </row>
    <row r="76" spans="1:41" x14ac:dyDescent="0.25">
      <c r="A76" s="103" t="str">
        <f t="shared" si="56"/>
        <v>300350</v>
      </c>
      <c r="B76" s="684" t="str">
        <f>'Energy Effic. Kits Deemed Table'!C52</f>
        <v>300350_2019_12_</v>
      </c>
      <c r="C76" s="1962" t="str">
        <f>'Energy Effic. Kits Deemed Table'!G52</f>
        <v>Lighting RES</v>
      </c>
      <c r="D76" s="1962"/>
      <c r="E76" s="1962"/>
      <c r="F76" s="1962"/>
      <c r="G76" s="1962" t="str">
        <f>'Energy Effic. Kits Deemed Table'!E52</f>
        <v>LED - 10.5W Downlight E26 (CFL baseline)</v>
      </c>
      <c r="H76" s="63" t="str">
        <f>'Energy Effic. Kits Deemed Table'!D52</f>
        <v>School</v>
      </c>
      <c r="I76" s="2438">
        <f>'Energy Effic. Kits Deemed Table'!F52</f>
        <v>7.83</v>
      </c>
      <c r="J76" s="2438">
        <v>0</v>
      </c>
      <c r="K76" s="2439">
        <v>0</v>
      </c>
      <c r="L76" s="2439">
        <v>0</v>
      </c>
      <c r="M76" s="2439">
        <v>0</v>
      </c>
      <c r="N76" s="2439">
        <v>0</v>
      </c>
      <c r="O76" s="2440">
        <f>'Energy Effic. Kits Deemed Table'!I52</f>
        <v>1.1689999999999999E-3</v>
      </c>
      <c r="P76" s="2440">
        <v>0</v>
      </c>
      <c r="Q76" s="2441">
        <v>0</v>
      </c>
      <c r="R76" s="2441">
        <v>0</v>
      </c>
      <c r="S76" s="2441"/>
      <c r="T76" s="2441"/>
      <c r="U76" s="1819">
        <v>0</v>
      </c>
      <c r="V76" s="1819">
        <v>0</v>
      </c>
      <c r="W76" s="1820">
        <f t="shared" si="49"/>
        <v>1.1689999999999999E-3</v>
      </c>
      <c r="X76" s="68">
        <f>'Energy Effic. Kits Deemed Table'!J52</f>
        <v>19</v>
      </c>
      <c r="Y76" s="68"/>
      <c r="Z76" s="68">
        <f t="shared" si="1"/>
        <v>19</v>
      </c>
      <c r="AA76" s="3616">
        <f>'Energy Effic. Kits Deemed Table'!BB52</f>
        <v>2.4921335273413256</v>
      </c>
      <c r="AB76" s="2620">
        <f>'Energy Effic. Kits Deemed Table'!K52</f>
        <v>1.95</v>
      </c>
      <c r="AC76" s="3617">
        <f t="shared" si="6"/>
        <v>4.5867488233275928</v>
      </c>
      <c r="AD76" s="3617"/>
      <c r="AE76" s="1661">
        <f>'Energy Effic. Kits Deemed Table'!BD52</f>
        <v>4.5867488233275928</v>
      </c>
      <c r="AF76" s="2453"/>
      <c r="AG76" s="2453"/>
      <c r="AH76" s="2453"/>
      <c r="AI76" s="684" t="str">
        <f>'Energy Effic. Kits Deemed Table'!L52</f>
        <v>per measure</v>
      </c>
      <c r="AJ76" s="1930"/>
      <c r="AK76" s="1930"/>
      <c r="AL76" s="1930"/>
      <c r="AM76" s="1972">
        <f t="shared" si="53"/>
        <v>1.4925290000000001E-4</v>
      </c>
      <c r="AN76" s="1930">
        <f t="shared" si="30"/>
        <v>1.1686502070000001E-3</v>
      </c>
      <c r="AO76" s="1971">
        <f t="shared" si="4"/>
        <v>-3.4979299999983275E-7</v>
      </c>
    </row>
    <row r="77" spans="1:41" x14ac:dyDescent="0.25">
      <c r="A77" s="103" t="str">
        <f t="shared" si="56"/>
        <v>300400</v>
      </c>
      <c r="B77" s="684" t="str">
        <f>'Energy Effic. Kits Deemed Table'!C53</f>
        <v>300400_2019_12_</v>
      </c>
      <c r="C77" s="1962" t="str">
        <f>'Energy Effic. Kits Deemed Table'!G53</f>
        <v>Lighting RES</v>
      </c>
      <c r="D77" s="1962"/>
      <c r="E77" s="1962"/>
      <c r="F77" s="1962"/>
      <c r="G77" s="1962" t="str">
        <f>'Energy Effic. Kits Deemed Table'!E53</f>
        <v>LED - 10.5W Downlight E26 (CFL baseline)</v>
      </c>
      <c r="H77" s="63" t="str">
        <f>'Energy Effic. Kits Deemed Table'!D53</f>
        <v>MF</v>
      </c>
      <c r="I77" s="2438">
        <f>'Energy Effic. Kits Deemed Table'!F53</f>
        <v>11.82</v>
      </c>
      <c r="J77" s="2438">
        <v>0</v>
      </c>
      <c r="K77" s="2439">
        <v>0</v>
      </c>
      <c r="L77" s="2439">
        <v>0</v>
      </c>
      <c r="M77" s="2439">
        <v>0</v>
      </c>
      <c r="N77" s="2439">
        <v>0</v>
      </c>
      <c r="O77" s="2440">
        <f>'Energy Effic. Kits Deemed Table'!I53</f>
        <v>1.7639999999999999E-3</v>
      </c>
      <c r="P77" s="2440">
        <v>0</v>
      </c>
      <c r="Q77" s="2441">
        <v>0</v>
      </c>
      <c r="R77" s="2441">
        <v>0</v>
      </c>
      <c r="S77" s="2441"/>
      <c r="T77" s="2441"/>
      <c r="U77" s="1819">
        <v>0</v>
      </c>
      <c r="V77" s="1819">
        <v>0</v>
      </c>
      <c r="W77" s="1820">
        <f t="shared" si="49"/>
        <v>1.7639999999999999E-3</v>
      </c>
      <c r="X77" s="68">
        <f>'Energy Effic. Kits Deemed Table'!J53</f>
        <v>19</v>
      </c>
      <c r="Y77" s="68"/>
      <c r="Z77" s="68">
        <f t="shared" si="1"/>
        <v>19</v>
      </c>
      <c r="AA77" s="3616">
        <f>'Energy Effic. Kits Deemed Table'!BB53</f>
        <v>3.7620713018102774</v>
      </c>
      <c r="AB77" s="2620">
        <f>'Energy Effic. Kits Deemed Table'!K53</f>
        <v>1.95</v>
      </c>
      <c r="AC77" s="3617">
        <f t="shared" si="6"/>
        <v>6.9240576106937617</v>
      </c>
      <c r="AD77" s="3617"/>
      <c r="AE77" s="1661">
        <f>'Energy Effic. Kits Deemed Table'!BD53</f>
        <v>6.9240576106937617</v>
      </c>
      <c r="AF77" s="2453"/>
      <c r="AG77" s="2453"/>
      <c r="AH77" s="2453"/>
      <c r="AI77" s="684" t="str">
        <f>'Energy Effic. Kits Deemed Table'!L53</f>
        <v>per measure</v>
      </c>
      <c r="AJ77" s="1930"/>
      <c r="AK77" s="1930"/>
      <c r="AL77" s="1930"/>
      <c r="AM77" s="1972">
        <f t="shared" si="53"/>
        <v>1.4925290000000001E-4</v>
      </c>
      <c r="AN77" s="1930">
        <f t="shared" si="30"/>
        <v>1.7641692780000001E-3</v>
      </c>
      <c r="AO77" s="1971">
        <f t="shared" si="4"/>
        <v>1.6927800000014065E-7</v>
      </c>
    </row>
    <row r="78" spans="1:41" s="100" customFormat="1" x14ac:dyDescent="0.25">
      <c r="A78" s="103" t="str">
        <f t="shared" si="56"/>
        <v>300401</v>
      </c>
      <c r="B78" s="684" t="str">
        <f>'Energy Effic. Kits Deemed Table'!C54</f>
        <v>300401_2020_12_</v>
      </c>
      <c r="C78" s="1962" t="str">
        <f>'Energy Effic. Kits Deemed Table'!G54</f>
        <v>Lighting RES</v>
      </c>
      <c r="D78" s="1962"/>
      <c r="E78" s="1962"/>
      <c r="F78" s="1962"/>
      <c r="G78" s="1962" t="str">
        <f>'Energy Effic. Kits Deemed Table'!E54</f>
        <v>LED 8W Globe Light G25 Bulb (Halogen Baseline) - IE Kit</v>
      </c>
      <c r="H78" s="63" t="str">
        <f>'Energy Effic. Kits Deemed Table'!D54</f>
        <v>LIIE</v>
      </c>
      <c r="I78" s="2438">
        <f>'Energy Effic. Kits Deemed Table'!F54</f>
        <v>32.1</v>
      </c>
      <c r="J78" s="2438">
        <v>0</v>
      </c>
      <c r="K78" s="2439">
        <v>0</v>
      </c>
      <c r="L78" s="2439">
        <v>0</v>
      </c>
      <c r="M78" s="2439">
        <v>0</v>
      </c>
      <c r="N78" s="2439">
        <v>0</v>
      </c>
      <c r="O78" s="2440">
        <f>'Energy Effic. Kits Deemed Table'!I54</f>
        <v>4.7910000000000001E-3</v>
      </c>
      <c r="P78" s="2440">
        <v>0</v>
      </c>
      <c r="Q78" s="2441">
        <v>0</v>
      </c>
      <c r="R78" s="2441">
        <v>0</v>
      </c>
      <c r="S78" s="2441"/>
      <c r="T78" s="2441"/>
      <c r="U78" s="1926">
        <v>0</v>
      </c>
      <c r="V78" s="1926">
        <v>0</v>
      </c>
      <c r="W78" s="2445">
        <f t="shared" ref="W78" si="62">O78</f>
        <v>4.7910000000000001E-3</v>
      </c>
      <c r="X78" s="68">
        <f>'Energy Effic. Kits Deemed Table'!J54</f>
        <v>19</v>
      </c>
      <c r="Y78" s="68"/>
      <c r="Z78" s="68">
        <f t="shared" ref="Z78" si="63">Y78+X78</f>
        <v>19</v>
      </c>
      <c r="AA78" s="3616">
        <f>'Energy Effic. Kits Deemed Table'!BB54</f>
        <v>10.216792621667505</v>
      </c>
      <c r="AB78" s="2620">
        <f>'Energy Effic. Kits Deemed Table'!K54</f>
        <v>1.95</v>
      </c>
      <c r="AC78" s="3617">
        <f t="shared" ref="AC78" si="64">AE78+AF78</f>
        <v>18.803912800615038</v>
      </c>
      <c r="AD78" s="3617"/>
      <c r="AE78" s="1661">
        <f>'Energy Effic. Kits Deemed Table'!BD54</f>
        <v>18.803912800615038</v>
      </c>
      <c r="AF78" s="2453"/>
      <c r="AG78" s="2453"/>
      <c r="AH78" s="2453"/>
      <c r="AI78" s="684" t="str">
        <f>'Energy Effic. Kits Deemed Table'!L54</f>
        <v>per measure</v>
      </c>
      <c r="AM78" s="2433">
        <f t="shared" si="53"/>
        <v>1.4925290000000001E-4</v>
      </c>
      <c r="AN78" s="100">
        <f t="shared" ref="AN78" si="65">AM78*I78</f>
        <v>4.7910180900000007E-3</v>
      </c>
      <c r="AO78" s="2437">
        <f t="shared" ref="AO78" si="66">AN78-O78</f>
        <v>1.8090000000574313E-8</v>
      </c>
    </row>
    <row r="79" spans="1:41" s="100" customFormat="1" x14ac:dyDescent="0.25">
      <c r="A79" s="103" t="str">
        <f t="shared" si="56"/>
        <v>300402</v>
      </c>
      <c r="B79" s="684" t="str">
        <f>'Energy Effic. Kits Deemed Table'!C55</f>
        <v>300402_2020_12_</v>
      </c>
      <c r="C79" s="1962" t="str">
        <f>'Energy Effic. Kits Deemed Table'!G55</f>
        <v>Lighting RES</v>
      </c>
      <c r="D79" s="1962"/>
      <c r="E79" s="1962"/>
      <c r="F79" s="1962"/>
      <c r="G79" s="1962" t="str">
        <f>'Energy Effic. Kits Deemed Table'!E55</f>
        <v>LED 20W (Halogen baseline) (1490-2600 lumens) - IE Kit</v>
      </c>
      <c r="H79" s="63" t="str">
        <f>'Energy Effic. Kits Deemed Table'!D55</f>
        <v>LIIE</v>
      </c>
      <c r="I79" s="2438">
        <f>'Energy Effic. Kits Deemed Table'!F55</f>
        <v>50.36</v>
      </c>
      <c r="J79" s="2438">
        <v>0</v>
      </c>
      <c r="K79" s="2439">
        <v>0</v>
      </c>
      <c r="L79" s="2439">
        <v>0</v>
      </c>
      <c r="M79" s="2439">
        <v>0</v>
      </c>
      <c r="N79" s="2439">
        <v>0</v>
      </c>
      <c r="O79" s="2440">
        <f>'Energy Effic. Kits Deemed Table'!I55</f>
        <v>7.5160000000000001E-3</v>
      </c>
      <c r="P79" s="2440">
        <v>0</v>
      </c>
      <c r="Q79" s="2441">
        <v>0</v>
      </c>
      <c r="R79" s="2441">
        <v>0</v>
      </c>
      <c r="S79" s="2441"/>
      <c r="T79" s="2441"/>
      <c r="U79" s="1926">
        <v>0</v>
      </c>
      <c r="V79" s="1926">
        <v>0</v>
      </c>
      <c r="W79" s="2445">
        <f t="shared" ref="W79:W80" si="67">O79</f>
        <v>7.5160000000000001E-3</v>
      </c>
      <c r="X79" s="68">
        <f>'Energy Effic. Kits Deemed Table'!J55</f>
        <v>19</v>
      </c>
      <c r="Y79" s="68"/>
      <c r="Z79" s="68">
        <f t="shared" ref="Z79:Z80" si="68">Y79+X79</f>
        <v>19</v>
      </c>
      <c r="AA79" s="3616">
        <f>'Energy Effic. Kits Deemed Table'!BB55</f>
        <v>16.028588050690825</v>
      </c>
      <c r="AB79" s="2620">
        <f>'Energy Effic. Kits Deemed Table'!K55</f>
        <v>1.95</v>
      </c>
      <c r="AC79" s="3617">
        <f t="shared" ref="AC79:AC80" si="69">AE79+AF79</f>
        <v>29.500468804952437</v>
      </c>
      <c r="AD79" s="3617"/>
      <c r="AE79" s="1661">
        <f>'Energy Effic. Kits Deemed Table'!BD55</f>
        <v>29.500468804952437</v>
      </c>
      <c r="AF79" s="2453"/>
      <c r="AG79" s="2453"/>
      <c r="AH79" s="2453"/>
      <c r="AI79" s="684" t="str">
        <f>'Energy Effic. Kits Deemed Table'!L55</f>
        <v>per measure</v>
      </c>
      <c r="AM79" s="2433">
        <f t="shared" si="53"/>
        <v>1.4925290000000001E-4</v>
      </c>
      <c r="AN79" s="100">
        <f t="shared" ref="AN79:AN80" si="70">AM79*I79</f>
        <v>7.5163760440000007E-3</v>
      </c>
      <c r="AO79" s="2437">
        <f t="shared" ref="AO79:AO80" si="71">AN79-O79</f>
        <v>3.7604400000054022E-7</v>
      </c>
    </row>
    <row r="80" spans="1:41" s="100" customFormat="1" x14ac:dyDescent="0.25">
      <c r="A80" s="103" t="str">
        <f t="shared" si="56"/>
        <v>300403</v>
      </c>
      <c r="B80" s="684" t="str">
        <f>'Energy Effic. Kits Deemed Table'!C56</f>
        <v>300403_2020_12_</v>
      </c>
      <c r="C80" s="1962" t="str">
        <f>'Energy Effic. Kits Deemed Table'!G56</f>
        <v>Lighting RES</v>
      </c>
      <c r="D80" s="1962"/>
      <c r="E80" s="1962"/>
      <c r="F80" s="1962"/>
      <c r="G80" s="1962" t="str">
        <f>'Energy Effic. Kits Deemed Table'!E56</f>
        <v>LED 15W Flood Light PAR30 Bulb (Halogen Baseline) - IE Kit</v>
      </c>
      <c r="H80" s="63" t="str">
        <f>'Energy Effic. Kits Deemed Table'!D56</f>
        <v>LIIE</v>
      </c>
      <c r="I80" s="2438">
        <f>'Energy Effic. Kits Deemed Table'!F56</f>
        <v>45.49</v>
      </c>
      <c r="J80" s="2438">
        <v>0</v>
      </c>
      <c r="K80" s="2439">
        <v>0</v>
      </c>
      <c r="L80" s="2439">
        <v>0</v>
      </c>
      <c r="M80" s="2439">
        <v>0</v>
      </c>
      <c r="N80" s="2439">
        <v>0</v>
      </c>
      <c r="O80" s="2440">
        <f>'Energy Effic. Kits Deemed Table'!I56</f>
        <v>6.79E-3</v>
      </c>
      <c r="P80" s="2440">
        <v>0</v>
      </c>
      <c r="Q80" s="2441">
        <v>0</v>
      </c>
      <c r="R80" s="2441">
        <v>0</v>
      </c>
      <c r="S80" s="2441"/>
      <c r="T80" s="2441"/>
      <c r="U80" s="1926">
        <v>0</v>
      </c>
      <c r="V80" s="1926">
        <v>0</v>
      </c>
      <c r="W80" s="2445">
        <f t="shared" si="67"/>
        <v>6.79E-3</v>
      </c>
      <c r="X80" s="68">
        <f>'Energy Effic. Kits Deemed Table'!J56</f>
        <v>19</v>
      </c>
      <c r="Y80" s="68"/>
      <c r="Z80" s="68">
        <f t="shared" si="68"/>
        <v>19</v>
      </c>
      <c r="AA80" s="3616">
        <f>'Energy Effic. Kits Deemed Table'!BB56</f>
        <v>14.478563749521957</v>
      </c>
      <c r="AB80" s="2620">
        <f>'Energy Effic. Kits Deemed Table'!K56</f>
        <v>1.95</v>
      </c>
      <c r="AC80" s="3617">
        <f t="shared" si="69"/>
        <v>26.647663342678445</v>
      </c>
      <c r="AD80" s="3617"/>
      <c r="AE80" s="1661">
        <f>'Energy Effic. Kits Deemed Table'!BD56</f>
        <v>26.647663342678445</v>
      </c>
      <c r="AF80" s="2453"/>
      <c r="AG80" s="2453"/>
      <c r="AH80" s="2453"/>
      <c r="AI80" s="684" t="str">
        <f>'Energy Effic. Kits Deemed Table'!L56</f>
        <v>per measure</v>
      </c>
      <c r="AM80" s="2433">
        <f t="shared" si="53"/>
        <v>1.4925290000000001E-4</v>
      </c>
      <c r="AN80" s="100">
        <f t="shared" si="70"/>
        <v>6.7895144210000005E-3</v>
      </c>
      <c r="AO80" s="2437">
        <f t="shared" si="71"/>
        <v>-4.855789999995766E-7</v>
      </c>
    </row>
    <row r="81" spans="1:41" s="100" customFormat="1" x14ac:dyDescent="0.25">
      <c r="A81" s="103" t="str">
        <f t="shared" si="56"/>
        <v>300430</v>
      </c>
      <c r="B81" s="1960" t="str">
        <f>'Energy Effic. Kits Deemed Table'!C57</f>
        <v>300430_2021_12_</v>
      </c>
      <c r="C81" s="1958" t="str">
        <f>'Energy Effic. Kits Deemed Table'!G57</f>
        <v>Lighting RES</v>
      </c>
      <c r="D81" s="1958"/>
      <c r="E81" s="1958"/>
      <c r="F81" s="1958"/>
      <c r="G81" s="1958" t="str">
        <f>'Energy Effic. Kits Deemed Table'!E57</f>
        <v>LED Nightlights</v>
      </c>
      <c r="H81" s="1975" t="str">
        <f>'Energy Effic. Kits Deemed Table'!D57</f>
        <v>IE</v>
      </c>
      <c r="I81" s="1973">
        <f>'Energy Effic. Kits Deemed Table'!F57</f>
        <v>26.15</v>
      </c>
      <c r="J81" s="1973">
        <v>0</v>
      </c>
      <c r="K81" s="1963">
        <v>0</v>
      </c>
      <c r="L81" s="1963">
        <v>0</v>
      </c>
      <c r="M81" s="1963">
        <v>0</v>
      </c>
      <c r="N81" s="1963">
        <v>0</v>
      </c>
      <c r="O81" s="1974">
        <f>'Energy Effic. Kits Deemed Table'!I57</f>
        <v>3.9029999999999998E-3</v>
      </c>
      <c r="P81" s="1974">
        <v>0</v>
      </c>
      <c r="Q81" s="1976">
        <v>0</v>
      </c>
      <c r="R81" s="1976">
        <v>0</v>
      </c>
      <c r="S81" s="1976"/>
      <c r="T81" s="1976"/>
      <c r="U81" s="1926">
        <v>0</v>
      </c>
      <c r="V81" s="1926">
        <v>0</v>
      </c>
      <c r="W81" s="2445">
        <f t="shared" ref="W81" si="72">O81</f>
        <v>3.9029999999999998E-3</v>
      </c>
      <c r="X81" s="1952">
        <f>'Energy Effic. Kits Deemed Table'!J57</f>
        <v>19</v>
      </c>
      <c r="Y81" s="1952"/>
      <c r="Z81" s="1952">
        <f t="shared" ref="Z81" si="73">Y81+X81</f>
        <v>19</v>
      </c>
      <c r="AA81" s="2431">
        <f>'Energy Effic. Kits Deemed Table'!BB57</f>
        <v>8.323025765003278</v>
      </c>
      <c r="AB81" s="2069">
        <f>'Energy Effic. Kits Deemed Table'!K57</f>
        <v>1.95</v>
      </c>
      <c r="AC81" s="2432">
        <f t="shared" ref="AC81" si="74">AE81+AF81</f>
        <v>15.31845232822689</v>
      </c>
      <c r="AD81" s="2432"/>
      <c r="AE81" s="2452">
        <f>'Energy Effic. Kits Deemed Table'!BD57</f>
        <v>15.31845232822689</v>
      </c>
      <c r="AF81" s="1982"/>
      <c r="AG81" s="1982"/>
      <c r="AH81" s="1982"/>
      <c r="AI81" s="1960" t="str">
        <f>'Energy Effic. Kits Deemed Table'!L57</f>
        <v>per measure</v>
      </c>
      <c r="AM81" s="2433">
        <f t="shared" si="53"/>
        <v>1.4925290000000001E-4</v>
      </c>
      <c r="AN81" s="100">
        <f t="shared" ref="AN81" si="75">AM81*I81</f>
        <v>3.9029633350000001E-3</v>
      </c>
      <c r="AO81" s="2437">
        <f t="shared" ref="AO81" si="76">AN81-O81</f>
        <v>-3.6664999999644343E-8</v>
      </c>
    </row>
    <row r="82" spans="1:41" x14ac:dyDescent="0.25">
      <c r="A82" s="103" t="str">
        <f t="shared" si="56"/>
        <v>300450</v>
      </c>
      <c r="B82" s="684" t="str">
        <f>'Energy Effic. Kits Deemed Table'!C105</f>
        <v>300450_2019_12_</v>
      </c>
      <c r="C82" s="1962" t="str">
        <f>'Energy Effic. Kits Deemed Table'!G105</f>
        <v>Water Heating RES</v>
      </c>
      <c r="D82" s="1962"/>
      <c r="E82" s="1962"/>
      <c r="F82" s="1962"/>
      <c r="G82" s="1962" t="str">
        <f>'Energy Effic. Kits Deemed Table'!E105</f>
        <v>Kit Faucet Aerator (Kitchen)</v>
      </c>
      <c r="H82" s="63" t="str">
        <f>'Energy Effic. Kits Deemed Table'!D105</f>
        <v>School</v>
      </c>
      <c r="I82" s="2438">
        <f>'Energy Effic. Kits Deemed Table'!F105</f>
        <v>29.75</v>
      </c>
      <c r="J82" s="2438">
        <v>0</v>
      </c>
      <c r="K82" s="2439">
        <v>0</v>
      </c>
      <c r="L82" s="2439">
        <v>0</v>
      </c>
      <c r="M82" s="2439">
        <v>0</v>
      </c>
      <c r="N82" s="2439">
        <v>0</v>
      </c>
      <c r="O82" s="2440">
        <f>'Energy Effic. Kits Deemed Table'!J105</f>
        <v>2.64E-3</v>
      </c>
      <c r="P82" s="2440">
        <v>0</v>
      </c>
      <c r="Q82" s="2441">
        <v>0</v>
      </c>
      <c r="R82" s="2441">
        <v>0</v>
      </c>
      <c r="S82" s="2441"/>
      <c r="T82" s="2441"/>
      <c r="U82" s="1819">
        <v>0</v>
      </c>
      <c r="V82" s="1819">
        <f>O82</f>
        <v>2.64E-3</v>
      </c>
      <c r="W82" s="1819">
        <v>0</v>
      </c>
      <c r="X82" s="68">
        <f>'Energy Effic. Kits Deemed Table'!K105</f>
        <v>10</v>
      </c>
      <c r="Y82" s="68"/>
      <c r="Z82" s="68">
        <f t="shared" si="1"/>
        <v>10</v>
      </c>
      <c r="AA82" s="3616">
        <f>'Energy Effic. Kits Deemed Table'!BB105</f>
        <v>3.5437176082643913</v>
      </c>
      <c r="AB82" s="2620">
        <f>'Energy Effic. Kits Deemed Table'!L105</f>
        <v>3</v>
      </c>
      <c r="AC82" s="3617">
        <f t="shared" si="6"/>
        <v>10.034122534019041</v>
      </c>
      <c r="AD82" s="3617"/>
      <c r="AE82" s="1661">
        <f>'Energy Effic. Kits Deemed Table'!BD105</f>
        <v>10.034122534019041</v>
      </c>
      <c r="AF82" s="2453"/>
      <c r="AG82" s="2453"/>
      <c r="AH82" s="2453"/>
      <c r="AI82" s="3620" t="str">
        <f>'Energy Effic. Kits Deemed Table'!M105</f>
        <v>per measure</v>
      </c>
      <c r="AJ82" s="1930"/>
      <c r="AK82" s="1930"/>
      <c r="AL82" s="1930"/>
      <c r="AM82" s="1972">
        <f t="shared" si="53"/>
        <v>8.8731800000000003E-5</v>
      </c>
      <c r="AN82" s="1930">
        <f t="shared" si="30"/>
        <v>2.6397710500000002E-3</v>
      </c>
      <c r="AO82" s="1971">
        <f t="shared" si="4"/>
        <v>-2.289499999997939E-7</v>
      </c>
    </row>
    <row r="83" spans="1:41" s="100" customFormat="1" x14ac:dyDescent="0.25">
      <c r="A83" s="103" t="str">
        <f t="shared" si="56"/>
        <v>300460</v>
      </c>
      <c r="B83" s="684" t="str">
        <f>'Energy Effic. Kits Deemed Table'!C106</f>
        <v>300460_2020_12_</v>
      </c>
      <c r="C83" s="1962" t="str">
        <f>'Energy Effic. Kits Deemed Table'!G106</f>
        <v>Water Heating RES</v>
      </c>
      <c r="D83" s="1962"/>
      <c r="E83" s="1962"/>
      <c r="F83" s="1962"/>
      <c r="G83" s="1962" t="str">
        <f>'Energy Effic. Kits Deemed Table'!E106</f>
        <v>Kit Faucet Aerator (Kitchen) - ARP Kits</v>
      </c>
      <c r="H83" s="63" t="str">
        <f>'Energy Effic. Kits Deemed Table'!D106</f>
        <v>ARP</v>
      </c>
      <c r="I83" s="2438">
        <f>'Energy Effic. Kits Deemed Table'!F106</f>
        <v>12.77</v>
      </c>
      <c r="J83" s="2438">
        <v>0</v>
      </c>
      <c r="K83" s="2439">
        <v>0</v>
      </c>
      <c r="L83" s="2439">
        <v>0</v>
      </c>
      <c r="M83" s="2439">
        <v>0</v>
      </c>
      <c r="N83" s="2439">
        <v>0</v>
      </c>
      <c r="O83" s="2440">
        <f>'Energy Effic. Kits Deemed Table'!J106</f>
        <v>1.1329999999999999E-3</v>
      </c>
      <c r="P83" s="2440">
        <v>0</v>
      </c>
      <c r="Q83" s="2441">
        <v>0</v>
      </c>
      <c r="R83" s="2441">
        <v>0</v>
      </c>
      <c r="S83" s="2441"/>
      <c r="T83" s="2441"/>
      <c r="U83" s="1926">
        <v>0</v>
      </c>
      <c r="V83" s="1926">
        <f>O83</f>
        <v>1.1329999999999999E-3</v>
      </c>
      <c r="W83" s="1926">
        <v>0</v>
      </c>
      <c r="X83" s="68">
        <f>'Energy Effic. Kits Deemed Table'!K106</f>
        <v>10</v>
      </c>
      <c r="Y83" s="68"/>
      <c r="Z83" s="68">
        <f t="shared" ref="Z83" si="77">Y83+X83</f>
        <v>10</v>
      </c>
      <c r="AA83" s="3616">
        <f>'Energy Effic. Kits Deemed Table'!BB106</f>
        <v>1.521118448992816</v>
      </c>
      <c r="AB83" s="2620">
        <f>'Energy Effic. Kits Deemed Table'!L106</f>
        <v>3</v>
      </c>
      <c r="AC83" s="3617">
        <f t="shared" ref="AC83" si="78">AE83+AF83</f>
        <v>4.3070838574596015</v>
      </c>
      <c r="AD83" s="3617"/>
      <c r="AE83" s="1661">
        <f>'Energy Effic. Kits Deemed Table'!BD106</f>
        <v>4.3070838574596015</v>
      </c>
      <c r="AF83" s="2453"/>
      <c r="AG83" s="2453"/>
      <c r="AH83" s="2453"/>
      <c r="AI83" s="3620" t="str">
        <f>'Energy Effic. Kits Deemed Table'!M106</f>
        <v>per measure</v>
      </c>
      <c r="AM83" s="2433">
        <f t="shared" si="53"/>
        <v>8.8731800000000003E-5</v>
      </c>
      <c r="AN83" s="100">
        <f t="shared" ref="AN83" si="79">AM83*I83</f>
        <v>1.133105086E-3</v>
      </c>
      <c r="AO83" s="2437">
        <f t="shared" ref="AO83" si="80">AN83-O83</f>
        <v>1.0508600000011699E-7</v>
      </c>
    </row>
    <row r="84" spans="1:41" x14ac:dyDescent="0.25">
      <c r="A84" s="103" t="str">
        <f t="shared" si="56"/>
        <v>300500</v>
      </c>
      <c r="B84" s="684" t="str">
        <f>'Energy Effic. Kits Deemed Table'!C107</f>
        <v>300500_2019_12_</v>
      </c>
      <c r="C84" s="1962" t="str">
        <f>'Energy Effic. Kits Deemed Table'!G107</f>
        <v>Water Heating RES</v>
      </c>
      <c r="D84" s="1962"/>
      <c r="E84" s="1962"/>
      <c r="F84" s="1962"/>
      <c r="G84" s="1962" t="str">
        <f>'Energy Effic. Kits Deemed Table'!E107</f>
        <v>Kit Faucet Aerator (Kitchen)</v>
      </c>
      <c r="H84" s="63" t="str">
        <f>'Energy Effic. Kits Deemed Table'!D107</f>
        <v>MF</v>
      </c>
      <c r="I84" s="2438">
        <f>'Energy Effic. Kits Deemed Table'!F107</f>
        <v>99.55</v>
      </c>
      <c r="J84" s="2438">
        <v>0</v>
      </c>
      <c r="K84" s="2439">
        <v>0</v>
      </c>
      <c r="L84" s="2439">
        <v>0</v>
      </c>
      <c r="M84" s="2439">
        <v>0</v>
      </c>
      <c r="N84" s="2439">
        <v>0</v>
      </c>
      <c r="O84" s="2440">
        <f>'Energy Effic. Kits Deemed Table'!J107</f>
        <v>8.8330000000000006E-3</v>
      </c>
      <c r="P84" s="2440">
        <v>0</v>
      </c>
      <c r="Q84" s="2441">
        <v>0</v>
      </c>
      <c r="R84" s="2441">
        <v>0</v>
      </c>
      <c r="S84" s="2441"/>
      <c r="T84" s="2441"/>
      <c r="U84" s="1819">
        <v>0</v>
      </c>
      <c r="V84" s="1819">
        <f t="shared" ref="V84:V107" si="81">O84</f>
        <v>8.8330000000000006E-3</v>
      </c>
      <c r="W84" s="1819">
        <v>0</v>
      </c>
      <c r="X84" s="68">
        <f>'Energy Effic. Kits Deemed Table'!K107</f>
        <v>10</v>
      </c>
      <c r="Y84" s="68"/>
      <c r="Z84" s="68">
        <f t="shared" si="1"/>
        <v>10</v>
      </c>
      <c r="AA84" s="3616">
        <f>'Energy Effic. Kits Deemed Table'!BB107</f>
        <v>11.858053374881349</v>
      </c>
      <c r="AB84" s="2620">
        <f>'Energy Effic. Kits Deemed Table'!L107</f>
        <v>3</v>
      </c>
      <c r="AC84" s="3617">
        <f t="shared" si="6"/>
        <v>33.576366328120855</v>
      </c>
      <c r="AD84" s="3617"/>
      <c r="AE84" s="1661">
        <f>'Energy Effic. Kits Deemed Table'!BD107</f>
        <v>33.576366328120855</v>
      </c>
      <c r="AF84" s="2453"/>
      <c r="AG84" s="2453"/>
      <c r="AH84" s="2453"/>
      <c r="AI84" s="3620" t="str">
        <f>'Energy Effic. Kits Deemed Table'!M107</f>
        <v>per measure</v>
      </c>
      <c r="AJ84" s="1930"/>
      <c r="AK84" s="1930"/>
      <c r="AL84" s="1930"/>
      <c r="AM84" s="1972">
        <f t="shared" si="53"/>
        <v>8.8731800000000003E-5</v>
      </c>
      <c r="AN84" s="1930">
        <f t="shared" si="30"/>
        <v>8.8332506900000007E-3</v>
      </c>
      <c r="AO84" s="1971">
        <f t="shared" si="4"/>
        <v>2.50690000000095E-7</v>
      </c>
    </row>
    <row r="85" spans="1:41" s="100" customFormat="1" x14ac:dyDescent="0.25">
      <c r="A85" s="103" t="str">
        <f t="shared" si="56"/>
        <v>300501</v>
      </c>
      <c r="B85" s="684" t="str">
        <f>'Energy Effic. Kits Deemed Table'!C108</f>
        <v>300501_2020_12_</v>
      </c>
      <c r="C85" s="1962" t="str">
        <f>'Energy Effic. Kits Deemed Table'!G108</f>
        <v>Water Heating RES</v>
      </c>
      <c r="D85" s="1962"/>
      <c r="E85" s="1962"/>
      <c r="F85" s="1962"/>
      <c r="G85" s="1962" t="str">
        <f>'Energy Effic. Kits Deemed Table'!E108</f>
        <v>Kit Faucet Aerator (Kitchen) - SFIE Kits</v>
      </c>
      <c r="H85" s="63" t="str">
        <f>'Energy Effic. Kits Deemed Table'!D108</f>
        <v>LIIE</v>
      </c>
      <c r="I85" s="2438">
        <f>'Energy Effic. Kits Deemed Table'!F108</f>
        <v>43.69</v>
      </c>
      <c r="J85" s="2438">
        <v>0</v>
      </c>
      <c r="K85" s="2439">
        <v>0</v>
      </c>
      <c r="L85" s="2439">
        <v>0</v>
      </c>
      <c r="M85" s="2439">
        <v>0</v>
      </c>
      <c r="N85" s="2439">
        <v>0</v>
      </c>
      <c r="O85" s="2440">
        <f>'Energy Effic. Kits Deemed Table'!J108</f>
        <v>3.8769999999999998E-3</v>
      </c>
      <c r="P85" s="2440">
        <v>0</v>
      </c>
      <c r="Q85" s="2441">
        <v>0</v>
      </c>
      <c r="R85" s="2441">
        <v>0</v>
      </c>
      <c r="S85" s="2441"/>
      <c r="T85" s="2441"/>
      <c r="U85" s="1926">
        <v>0</v>
      </c>
      <c r="V85" s="1926">
        <f>O85</f>
        <v>3.8769999999999998E-3</v>
      </c>
      <c r="W85" s="1926">
        <v>0</v>
      </c>
      <c r="X85" s="68">
        <f>'Energy Effic. Kits Deemed Table'!K108</f>
        <v>10</v>
      </c>
      <c r="Y85" s="68"/>
      <c r="Z85" s="68">
        <f t="shared" si="1"/>
        <v>10</v>
      </c>
      <c r="AA85" s="3616">
        <f>'Energy Effic. Kits Deemed Table'!BB108</f>
        <v>5.2042024304225638</v>
      </c>
      <c r="AB85" s="2620">
        <f>'Energy Effic. Kits Deemed Table'!L108</f>
        <v>3</v>
      </c>
      <c r="AC85" s="3617">
        <f t="shared" si="6"/>
        <v>14.735825664245105</v>
      </c>
      <c r="AD85" s="3617"/>
      <c r="AE85" s="1661">
        <f>'Energy Effic. Kits Deemed Table'!BD108</f>
        <v>14.735825664245105</v>
      </c>
      <c r="AF85" s="2453"/>
      <c r="AG85" s="2453"/>
      <c r="AH85" s="2453"/>
      <c r="AI85" s="3620" t="str">
        <f>'Energy Effic. Kits Deemed Table'!M108</f>
        <v>per measure</v>
      </c>
      <c r="AM85" s="2433">
        <f t="shared" si="53"/>
        <v>8.8731800000000003E-5</v>
      </c>
      <c r="AN85" s="100">
        <f t="shared" si="30"/>
        <v>3.8766923420000001E-3</v>
      </c>
      <c r="AO85" s="2437">
        <f t="shared" si="4"/>
        <v>-3.0765799999971088E-7</v>
      </c>
    </row>
    <row r="86" spans="1:41" x14ac:dyDescent="0.25">
      <c r="A86" s="103" t="str">
        <f t="shared" si="56"/>
        <v>300550</v>
      </c>
      <c r="B86" s="684" t="str">
        <f>'Energy Effic. Kits Deemed Table'!C157</f>
        <v>300550_2019_12_</v>
      </c>
      <c r="C86" s="1962" t="str">
        <f>'Energy Effic. Kits Deemed Table'!G157</f>
        <v>Water Heating RES</v>
      </c>
      <c r="D86" s="1962"/>
      <c r="E86" s="1962"/>
      <c r="F86" s="1962"/>
      <c r="G86" s="1962" t="str">
        <f>'Energy Effic. Kits Deemed Table'!E157</f>
        <v>Kit Faucet Aerator (Bathroom)</v>
      </c>
      <c r="H86" s="63" t="str">
        <f>'Energy Effic. Kits Deemed Table'!D157</f>
        <v>School</v>
      </c>
      <c r="I86" s="2438">
        <f>'Energy Effic. Kits Deemed Table'!F157</f>
        <v>6.17</v>
      </c>
      <c r="J86" s="2438">
        <v>0</v>
      </c>
      <c r="K86" s="2439">
        <v>0</v>
      </c>
      <c r="L86" s="2439">
        <v>0</v>
      </c>
      <c r="M86" s="2439">
        <v>0</v>
      </c>
      <c r="N86" s="2439">
        <v>0</v>
      </c>
      <c r="O86" s="2440">
        <f>'Energy Effic. Kits Deemed Table'!J157</f>
        <v>5.4699999999999996E-4</v>
      </c>
      <c r="P86" s="2440">
        <v>0</v>
      </c>
      <c r="Q86" s="2441">
        <v>0</v>
      </c>
      <c r="R86" s="2441">
        <v>0</v>
      </c>
      <c r="S86" s="2441"/>
      <c r="T86" s="2441"/>
      <c r="U86" s="1819">
        <v>0</v>
      </c>
      <c r="V86" s="1819">
        <f t="shared" si="81"/>
        <v>5.4699999999999996E-4</v>
      </c>
      <c r="W86" s="1819">
        <v>0</v>
      </c>
      <c r="X86" s="68">
        <f>'Energy Effic. Kits Deemed Table'!K157</f>
        <v>10</v>
      </c>
      <c r="Y86" s="68"/>
      <c r="Z86" s="68">
        <f t="shared" si="1"/>
        <v>10</v>
      </c>
      <c r="AA86" s="3616">
        <f>'Energy Effic. Kits Deemed Table'!BB157</f>
        <v>0.73494916447029568</v>
      </c>
      <c r="AB86" s="2620">
        <f>'Energy Effic. Kits Deemed Table'!L157</f>
        <v>3</v>
      </c>
      <c r="AC86" s="3617">
        <f t="shared" si="6"/>
        <v>2.0810264213410918</v>
      </c>
      <c r="AD86" s="3617"/>
      <c r="AE86" s="1661">
        <f>'Energy Effic. Kits Deemed Table'!BD157</f>
        <v>2.0810264213410918</v>
      </c>
      <c r="AF86" s="2453"/>
      <c r="AG86" s="2453"/>
      <c r="AH86" s="2453"/>
      <c r="AI86" s="3620" t="str">
        <f>'Energy Effic. Kits Deemed Table'!M157</f>
        <v>per measure</v>
      </c>
      <c r="AJ86" s="1930"/>
      <c r="AK86" s="1930"/>
      <c r="AL86" s="1930"/>
      <c r="AM86" s="1972">
        <f t="shared" si="53"/>
        <v>8.8731800000000003E-5</v>
      </c>
      <c r="AN86" s="1930">
        <f t="shared" si="30"/>
        <v>5.47475206E-4</v>
      </c>
      <c r="AO86" s="1971">
        <f t="shared" si="4"/>
        <v>4.7520600000004222E-7</v>
      </c>
    </row>
    <row r="87" spans="1:41" s="100" customFormat="1" x14ac:dyDescent="0.25">
      <c r="A87" s="103" t="str">
        <f t="shared" si="56"/>
        <v>300560</v>
      </c>
      <c r="B87" s="684" t="str">
        <f>'Energy Effic. Kits Deemed Table'!C158</f>
        <v>300560_2020_12_</v>
      </c>
      <c r="C87" s="1962" t="str">
        <f>'Energy Effic. Kits Deemed Table'!G158</f>
        <v>Water Heating RES</v>
      </c>
      <c r="D87" s="1962"/>
      <c r="E87" s="1962"/>
      <c r="F87" s="1962"/>
      <c r="G87" s="1962" t="str">
        <f>'Energy Effic. Kits Deemed Table'!E158</f>
        <v>Kit Faucet Aerator (Bathroom) - ARP Kits</v>
      </c>
      <c r="H87" s="63" t="str">
        <f>'Energy Effic. Kits Deemed Table'!D158</f>
        <v>ARP</v>
      </c>
      <c r="I87" s="2438">
        <f>'Energy Effic. Kits Deemed Table'!F158</f>
        <v>2.65</v>
      </c>
      <c r="J87" s="2438">
        <v>0</v>
      </c>
      <c r="K87" s="2439">
        <v>0</v>
      </c>
      <c r="L87" s="2439">
        <v>0</v>
      </c>
      <c r="M87" s="2439">
        <v>0</v>
      </c>
      <c r="N87" s="2439">
        <v>0</v>
      </c>
      <c r="O87" s="2440">
        <f>'Energy Effic. Kits Deemed Table'!J158</f>
        <v>2.3499999999999999E-4</v>
      </c>
      <c r="P87" s="2440">
        <v>0</v>
      </c>
      <c r="Q87" s="2441">
        <v>0</v>
      </c>
      <c r="R87" s="2441">
        <v>0</v>
      </c>
      <c r="S87" s="2441"/>
      <c r="T87" s="2441"/>
      <c r="U87" s="1926">
        <v>0</v>
      </c>
      <c r="V87" s="1926">
        <f t="shared" ref="V87" si="82">O87</f>
        <v>2.3499999999999999E-4</v>
      </c>
      <c r="W87" s="1926">
        <v>0</v>
      </c>
      <c r="X87" s="68">
        <f>'Energy Effic. Kits Deemed Table'!K158</f>
        <v>10</v>
      </c>
      <c r="Y87" s="68"/>
      <c r="Z87" s="68">
        <f t="shared" ref="Z87" si="83">Y87+X87</f>
        <v>10</v>
      </c>
      <c r="AA87" s="3616">
        <f>'Energy Effic. Kits Deemed Table'!BB158</f>
        <v>0.31565887939161807</v>
      </c>
      <c r="AB87" s="2620">
        <f>'Energy Effic. Kits Deemed Table'!L158</f>
        <v>3</v>
      </c>
      <c r="AC87" s="3617">
        <f t="shared" ref="AC87" si="84">AE87+AF87</f>
        <v>0.89379578874455323</v>
      </c>
      <c r="AD87" s="3617"/>
      <c r="AE87" s="1661">
        <f>'Energy Effic. Kits Deemed Table'!BD158</f>
        <v>0.89379578874455323</v>
      </c>
      <c r="AF87" s="2453"/>
      <c r="AG87" s="2453"/>
      <c r="AH87" s="2453"/>
      <c r="AI87" s="3620" t="str">
        <f>'Energy Effic. Kits Deemed Table'!M158</f>
        <v>per measure</v>
      </c>
      <c r="AM87" s="2433">
        <f t="shared" si="53"/>
        <v>8.8731800000000003E-5</v>
      </c>
      <c r="AN87" s="100">
        <f t="shared" ref="AN87" si="85">AM87*I87</f>
        <v>2.3513926999999999E-4</v>
      </c>
      <c r="AO87" s="2437">
        <f t="shared" ref="AO87" si="86">AN87-O87</f>
        <v>1.3926999999999841E-7</v>
      </c>
    </row>
    <row r="88" spans="1:41" x14ac:dyDescent="0.25">
      <c r="A88" s="103" t="str">
        <f t="shared" si="56"/>
        <v>300600</v>
      </c>
      <c r="B88" s="684" t="str">
        <f>'Energy Effic. Kits Deemed Table'!C159</f>
        <v>300600_2019_12_</v>
      </c>
      <c r="C88" s="1962" t="str">
        <f>'Energy Effic. Kits Deemed Table'!G159</f>
        <v>Water Heating RES</v>
      </c>
      <c r="D88" s="1962"/>
      <c r="E88" s="1962"/>
      <c r="F88" s="1962"/>
      <c r="G88" s="1962" t="str">
        <f>'Energy Effic. Kits Deemed Table'!E159</f>
        <v>Kit Faucet Aerator (Bathroom)</v>
      </c>
      <c r="H88" s="63" t="str">
        <f>'Energy Effic. Kits Deemed Table'!D159</f>
        <v>MF</v>
      </c>
      <c r="I88" s="2438">
        <f>'Energy Effic. Kits Deemed Table'!F159</f>
        <v>30.1</v>
      </c>
      <c r="J88" s="2438">
        <v>0</v>
      </c>
      <c r="K88" s="2439">
        <v>0</v>
      </c>
      <c r="L88" s="2439">
        <v>0</v>
      </c>
      <c r="M88" s="2439">
        <v>0</v>
      </c>
      <c r="N88" s="2439">
        <v>0</v>
      </c>
      <c r="O88" s="2440">
        <f>'Energy Effic. Kits Deemed Table'!J159</f>
        <v>2.6710000000000002E-3</v>
      </c>
      <c r="P88" s="2440">
        <v>0</v>
      </c>
      <c r="Q88" s="2441">
        <v>0</v>
      </c>
      <c r="R88" s="2441">
        <v>0</v>
      </c>
      <c r="S88" s="2441"/>
      <c r="T88" s="2441"/>
      <c r="U88" s="1819">
        <v>0</v>
      </c>
      <c r="V88" s="1819">
        <f t="shared" si="81"/>
        <v>2.6710000000000002E-3</v>
      </c>
      <c r="W88" s="1819">
        <v>0</v>
      </c>
      <c r="X88" s="68">
        <f>'Energy Effic. Kits Deemed Table'!K159</f>
        <v>10</v>
      </c>
      <c r="Y88" s="68"/>
      <c r="Z88" s="68">
        <f t="shared" si="1"/>
        <v>10</v>
      </c>
      <c r="AA88" s="3616">
        <f>'Energy Effic. Kits Deemed Table'!BB159</f>
        <v>3.5854084036557374</v>
      </c>
      <c r="AB88" s="2620">
        <f>'Energy Effic. Kits Deemed Table'!L159</f>
        <v>3</v>
      </c>
      <c r="AC88" s="3617">
        <f t="shared" si="6"/>
        <v>10.152171034419265</v>
      </c>
      <c r="AD88" s="3617"/>
      <c r="AE88" s="1661">
        <f>'Energy Effic. Kits Deemed Table'!BD159</f>
        <v>10.152171034419265</v>
      </c>
      <c r="AF88" s="2453"/>
      <c r="AG88" s="2453"/>
      <c r="AH88" s="2453"/>
      <c r="AI88" s="3620" t="str">
        <f>'Energy Effic. Kits Deemed Table'!M159</f>
        <v>per measure</v>
      </c>
      <c r="AJ88" s="1930"/>
      <c r="AK88" s="1930"/>
      <c r="AL88" s="1930"/>
      <c r="AM88" s="1972">
        <f t="shared" si="53"/>
        <v>8.8731800000000003E-5</v>
      </c>
      <c r="AN88" s="1930">
        <f t="shared" si="30"/>
        <v>2.6708271800000003E-3</v>
      </c>
      <c r="AO88" s="1971">
        <f t="shared" si="4"/>
        <v>-1.728199999998653E-7</v>
      </c>
    </row>
    <row r="89" spans="1:41" s="100" customFormat="1" x14ac:dyDescent="0.25">
      <c r="A89" s="103" t="str">
        <f t="shared" si="56"/>
        <v>300601</v>
      </c>
      <c r="B89" s="684" t="str">
        <f>'Energy Effic. Kits Deemed Table'!C160</f>
        <v>300601_2020_12_</v>
      </c>
      <c r="C89" s="1962" t="str">
        <f>'Energy Effic. Kits Deemed Table'!G160</f>
        <v>Water Heating RES</v>
      </c>
      <c r="D89" s="1962"/>
      <c r="E89" s="1962"/>
      <c r="F89" s="1962"/>
      <c r="G89" s="1962" t="str">
        <f>'Energy Effic. Kits Deemed Table'!E160</f>
        <v>Kit Faucet Aerator (Bathroom) - SFLI Kits</v>
      </c>
      <c r="H89" s="63" t="str">
        <f>'Energy Effic. Kits Deemed Table'!D160</f>
        <v>LIIE</v>
      </c>
      <c r="I89" s="2438">
        <f>'Energy Effic. Kits Deemed Table'!F160</f>
        <v>13.84</v>
      </c>
      <c r="J89" s="2438">
        <v>0</v>
      </c>
      <c r="K89" s="2439">
        <v>0</v>
      </c>
      <c r="L89" s="2439">
        <v>0</v>
      </c>
      <c r="M89" s="2439">
        <v>0</v>
      </c>
      <c r="N89" s="2439">
        <v>0</v>
      </c>
      <c r="O89" s="2440">
        <f>'Energy Effic. Kits Deemed Table'!J160</f>
        <v>1.2279999999999999E-3</v>
      </c>
      <c r="P89" s="2440">
        <v>0</v>
      </c>
      <c r="Q89" s="2441">
        <v>0</v>
      </c>
      <c r="R89" s="2441">
        <v>0</v>
      </c>
      <c r="S89" s="2441"/>
      <c r="T89" s="2441"/>
      <c r="U89" s="1926">
        <v>0</v>
      </c>
      <c r="V89" s="1926">
        <f t="shared" si="81"/>
        <v>1.2279999999999999E-3</v>
      </c>
      <c r="W89" s="1926">
        <v>0</v>
      </c>
      <c r="X89" s="68">
        <f>'Energy Effic. Kits Deemed Table'!K160</f>
        <v>10</v>
      </c>
      <c r="Y89" s="68"/>
      <c r="Z89" s="68">
        <f t="shared" si="1"/>
        <v>10</v>
      </c>
      <c r="AA89" s="3616">
        <f>'Energy Effic. Kits Deemed Table'!BB160</f>
        <v>1.6485731663320733</v>
      </c>
      <c r="AB89" s="2620">
        <f>'Energy Effic. Kits Deemed Table'!L160</f>
        <v>3</v>
      </c>
      <c r="AC89" s="3617">
        <f t="shared" si="6"/>
        <v>4.6679749872545724</v>
      </c>
      <c r="AD89" s="3617"/>
      <c r="AE89" s="1661">
        <f>'Energy Effic. Kits Deemed Table'!BD160</f>
        <v>4.6679749872545724</v>
      </c>
      <c r="AF89" s="2453"/>
      <c r="AG89" s="2453"/>
      <c r="AH89" s="2453"/>
      <c r="AI89" s="3620" t="str">
        <f>'Energy Effic. Kits Deemed Table'!M160</f>
        <v>per measure</v>
      </c>
      <c r="AM89" s="2433">
        <f t="shared" si="53"/>
        <v>8.8731800000000003E-5</v>
      </c>
      <c r="AN89" s="100">
        <f t="shared" si="30"/>
        <v>1.228048112E-3</v>
      </c>
      <c r="AO89" s="2437">
        <f t="shared" si="4"/>
        <v>4.8112000000091401E-8</v>
      </c>
    </row>
    <row r="90" spans="1:41" x14ac:dyDescent="0.25">
      <c r="A90" s="103" t="str">
        <f t="shared" si="56"/>
        <v>300650</v>
      </c>
      <c r="B90" s="684" t="str">
        <f>'Energy Effic. Kits Deemed Table'!C209</f>
        <v>300650_2019_12_</v>
      </c>
      <c r="C90" s="1962" t="str">
        <f>'Energy Effic. Kits Deemed Table'!G209</f>
        <v>Water Heating RES</v>
      </c>
      <c r="D90" s="1962"/>
      <c r="E90" s="1962"/>
      <c r="F90" s="1962"/>
      <c r="G90" s="1962" t="str">
        <f>'Energy Effic. Kits Deemed Table'!E209</f>
        <v>Low Flow Showerheads</v>
      </c>
      <c r="H90" s="63" t="str">
        <f>'Energy Effic. Kits Deemed Table'!D209</f>
        <v>School</v>
      </c>
      <c r="I90" s="2438">
        <f>'Energy Effic. Kits Deemed Table'!F209</f>
        <v>71.66</v>
      </c>
      <c r="J90" s="2438">
        <v>0</v>
      </c>
      <c r="K90" s="2439">
        <v>0</v>
      </c>
      <c r="L90" s="2439">
        <v>0</v>
      </c>
      <c r="M90" s="2439">
        <v>0</v>
      </c>
      <c r="N90" s="2439">
        <v>0</v>
      </c>
      <c r="O90" s="2440">
        <f>'Energy Effic. Kits Deemed Table'!J209</f>
        <v>6.3590000000000001E-3</v>
      </c>
      <c r="P90" s="2440">
        <v>0</v>
      </c>
      <c r="Q90" s="2441">
        <v>0</v>
      </c>
      <c r="R90" s="2441">
        <v>0</v>
      </c>
      <c r="S90" s="2441"/>
      <c r="T90" s="2441"/>
      <c r="U90" s="1819">
        <v>0</v>
      </c>
      <c r="V90" s="1819">
        <f t="shared" si="81"/>
        <v>6.3590000000000001E-3</v>
      </c>
      <c r="W90" s="1819">
        <v>0</v>
      </c>
      <c r="X90" s="68">
        <f>'Energy Effic. Kits Deemed Table'!K209</f>
        <v>10</v>
      </c>
      <c r="Y90" s="68"/>
      <c r="Z90" s="68">
        <f t="shared" si="1"/>
        <v>10</v>
      </c>
      <c r="AA90" s="3616">
        <f>'Energy Effic. Kits Deemed Table'!BB209</f>
        <v>3.6582396707067413</v>
      </c>
      <c r="AB90" s="2620">
        <f>'Energy Effic. Kits Deemed Table'!L209</f>
        <v>7</v>
      </c>
      <c r="AC90" s="3617">
        <f t="shared" si="6"/>
        <v>24.169587253371578</v>
      </c>
      <c r="AD90" s="3617"/>
      <c r="AE90" s="1661">
        <f>'Energy Effic. Kits Deemed Table'!BD209</f>
        <v>24.169587253371578</v>
      </c>
      <c r="AF90" s="2453"/>
      <c r="AG90" s="2453"/>
      <c r="AH90" s="2453"/>
      <c r="AI90" s="3621" t="str">
        <f>'Energy Effic. Kits Deemed Table'!M209</f>
        <v>per measure</v>
      </c>
      <c r="AJ90" s="1930"/>
      <c r="AK90" s="1930"/>
      <c r="AL90" s="1930"/>
      <c r="AM90" s="1972">
        <f t="shared" si="53"/>
        <v>8.8731800000000003E-5</v>
      </c>
      <c r="AN90" s="1930">
        <f t="shared" si="30"/>
        <v>6.3585207879999998E-3</v>
      </c>
      <c r="AO90" s="1971">
        <f t="shared" si="4"/>
        <v>-4.7921200000029807E-7</v>
      </c>
    </row>
    <row r="91" spans="1:41" s="100" customFormat="1" x14ac:dyDescent="0.25">
      <c r="A91" s="103" t="str">
        <f t="shared" si="56"/>
        <v>300660</v>
      </c>
      <c r="B91" s="684" t="str">
        <f>'Energy Effic. Kits Deemed Table'!C210</f>
        <v>300660_2020_12_</v>
      </c>
      <c r="C91" s="1962" t="str">
        <f>'Energy Effic. Kits Deemed Table'!G210</f>
        <v>Water Heating RES</v>
      </c>
      <c r="D91" s="1962"/>
      <c r="E91" s="1962"/>
      <c r="F91" s="1962"/>
      <c r="G91" s="1962" t="str">
        <f>'Energy Effic. Kits Deemed Table'!E210</f>
        <v>Low Flow Showerheads - ARP Kits</v>
      </c>
      <c r="H91" s="63" t="str">
        <f>'Energy Effic. Kits Deemed Table'!D210</f>
        <v>ARP</v>
      </c>
      <c r="I91" s="2438">
        <f>'Energy Effic. Kits Deemed Table'!F210</f>
        <v>27.35</v>
      </c>
      <c r="J91" s="2438">
        <v>0</v>
      </c>
      <c r="K91" s="2439">
        <v>0</v>
      </c>
      <c r="L91" s="2439">
        <v>0</v>
      </c>
      <c r="M91" s="2439">
        <v>0</v>
      </c>
      <c r="N91" s="2439">
        <v>0</v>
      </c>
      <c r="O91" s="2440">
        <f>'Energy Effic. Kits Deemed Table'!J210</f>
        <v>2.4269999999999999E-3</v>
      </c>
      <c r="P91" s="2440">
        <v>0</v>
      </c>
      <c r="Q91" s="2441">
        <v>0</v>
      </c>
      <c r="R91" s="2441">
        <v>0</v>
      </c>
      <c r="S91" s="2441"/>
      <c r="T91" s="2441"/>
      <c r="U91" s="1926">
        <v>0</v>
      </c>
      <c r="V91" s="1926">
        <f t="shared" ref="V91" si="87">O91</f>
        <v>2.4269999999999999E-3</v>
      </c>
      <c r="W91" s="1926">
        <v>0</v>
      </c>
      <c r="X91" s="68">
        <f>'Energy Effic. Kits Deemed Table'!K210</f>
        <v>10</v>
      </c>
      <c r="Y91" s="68"/>
      <c r="Z91" s="68">
        <f t="shared" ref="Z91" si="88">Y91+X91</f>
        <v>10</v>
      </c>
      <c r="AA91" s="3616">
        <f>'Energy Effic. Kits Deemed Table'!BB210</f>
        <v>1.3962162293305802</v>
      </c>
      <c r="AB91" s="2620">
        <f>'Energy Effic. Kits Deemed Table'!L210</f>
        <v>7</v>
      </c>
      <c r="AC91" s="3617">
        <f t="shared" ref="AC91" si="89">AE91+AF91</f>
        <v>9.2246471027032193</v>
      </c>
      <c r="AD91" s="3617"/>
      <c r="AE91" s="1661">
        <f>'Energy Effic. Kits Deemed Table'!BD210</f>
        <v>9.2246471027032193</v>
      </c>
      <c r="AF91" s="2453"/>
      <c r="AG91" s="2453"/>
      <c r="AH91" s="2453"/>
      <c r="AI91" s="3621" t="str">
        <f>'Energy Effic. Kits Deemed Table'!M210</f>
        <v>per measure</v>
      </c>
      <c r="AM91" s="2433">
        <f t="shared" si="53"/>
        <v>8.8731800000000003E-5</v>
      </c>
      <c r="AN91" s="100">
        <f t="shared" ref="AN91" si="90">AM91*I91</f>
        <v>2.4268147300000003E-3</v>
      </c>
      <c r="AO91" s="2437">
        <f t="shared" ref="AO91" si="91">AN91-O91</f>
        <v>-1.8526999999955718E-7</v>
      </c>
    </row>
    <row r="92" spans="1:41" x14ac:dyDescent="0.25">
      <c r="A92" s="103" t="str">
        <f t="shared" si="56"/>
        <v>300700</v>
      </c>
      <c r="B92" s="684" t="str">
        <f>'Energy Effic. Kits Deemed Table'!C211</f>
        <v>300700_2019_12_</v>
      </c>
      <c r="C92" s="1962" t="str">
        <f>'Energy Effic. Kits Deemed Table'!G211</f>
        <v>Water Heating RES</v>
      </c>
      <c r="D92" s="1962"/>
      <c r="E92" s="1962"/>
      <c r="F92" s="1962"/>
      <c r="G92" s="1962" t="str">
        <f>'Energy Effic. Kits Deemed Table'!E211</f>
        <v>Low Flow Showerheads</v>
      </c>
      <c r="H92" s="63" t="str">
        <f>'Energy Effic. Kits Deemed Table'!D211</f>
        <v>MF</v>
      </c>
      <c r="I92" s="2438">
        <f>'Energy Effic. Kits Deemed Table'!F211</f>
        <v>291.45</v>
      </c>
      <c r="J92" s="2438">
        <v>0</v>
      </c>
      <c r="K92" s="2439">
        <v>0</v>
      </c>
      <c r="L92" s="2439">
        <v>0</v>
      </c>
      <c r="M92" s="2439">
        <v>0</v>
      </c>
      <c r="N92" s="2439">
        <v>0</v>
      </c>
      <c r="O92" s="2440">
        <f>'Energy Effic. Kits Deemed Table'!J211</f>
        <v>2.5860999999999999E-2</v>
      </c>
      <c r="P92" s="2440">
        <v>0</v>
      </c>
      <c r="Q92" s="2441">
        <v>0</v>
      </c>
      <c r="R92" s="2441">
        <v>0</v>
      </c>
      <c r="S92" s="2441"/>
      <c r="T92" s="2441"/>
      <c r="U92" s="1819">
        <v>0</v>
      </c>
      <c r="V92" s="1819">
        <f t="shared" si="81"/>
        <v>2.5860999999999999E-2</v>
      </c>
      <c r="W92" s="1819">
        <v>0</v>
      </c>
      <c r="X92" s="68">
        <f>'Energy Effic. Kits Deemed Table'!K211</f>
        <v>10</v>
      </c>
      <c r="Y92" s="68"/>
      <c r="Z92" s="68">
        <f t="shared" ref="Z92:Z110" si="92">Y92+X92</f>
        <v>10</v>
      </c>
      <c r="AA92" s="3616">
        <f>'Energy Effic. Kits Deemed Table'!BB211</f>
        <v>14.878508959356402</v>
      </c>
      <c r="AB92" s="2620">
        <f>'Energy Effic. Kits Deemed Table'!L211</f>
        <v>7</v>
      </c>
      <c r="AC92" s="3617">
        <f t="shared" si="6"/>
        <v>98.300672690415112</v>
      </c>
      <c r="AD92" s="3617"/>
      <c r="AE92" s="1661">
        <f>'Energy Effic. Kits Deemed Table'!BD211</f>
        <v>98.300672690415112</v>
      </c>
      <c r="AF92" s="2453"/>
      <c r="AG92" s="2453"/>
      <c r="AH92" s="2453"/>
      <c r="AI92" s="3621" t="str">
        <f>'Energy Effic. Kits Deemed Table'!M211</f>
        <v>per measure</v>
      </c>
      <c r="AJ92" s="1930"/>
      <c r="AK92" s="1930"/>
      <c r="AL92" s="1930"/>
      <c r="AM92" s="1972">
        <f t="shared" si="53"/>
        <v>8.8731800000000003E-5</v>
      </c>
      <c r="AN92" s="1930">
        <f t="shared" si="30"/>
        <v>2.586088311E-2</v>
      </c>
      <c r="AO92" s="1971">
        <f t="shared" ref="AO92:AO187" si="93">AN92-O92</f>
        <v>-1.1688999999870386E-7</v>
      </c>
    </row>
    <row r="93" spans="1:41" s="100" customFormat="1" x14ac:dyDescent="0.25">
      <c r="A93" s="103" t="str">
        <f t="shared" si="56"/>
        <v>300701</v>
      </c>
      <c r="B93" s="1960" t="str">
        <f>'Energy Effic. Kits Deemed Table'!C212</f>
        <v>300701_2021_12_</v>
      </c>
      <c r="C93" s="1962" t="str">
        <f>'Energy Effic. Kits Deemed Table'!G212</f>
        <v>Water Heating RES</v>
      </c>
      <c r="D93" s="1962"/>
      <c r="E93" s="1962"/>
      <c r="F93" s="1962"/>
      <c r="G93" s="1962" t="str">
        <f>'Energy Effic. Kits Deemed Table'!E212</f>
        <v>Low Flow Showerheads - SFIE Kits</v>
      </c>
      <c r="H93" s="63" t="str">
        <f>'Energy Effic. Kits Deemed Table'!D212</f>
        <v>LIIE</v>
      </c>
      <c r="I93" s="2438">
        <f>'Energy Effic. Kits Deemed Table'!F212</f>
        <v>79.489999999999995</v>
      </c>
      <c r="J93" s="2438">
        <v>0</v>
      </c>
      <c r="K93" s="2439">
        <v>0</v>
      </c>
      <c r="L93" s="2439">
        <v>0</v>
      </c>
      <c r="M93" s="2439">
        <v>0</v>
      </c>
      <c r="N93" s="2439">
        <v>0</v>
      </c>
      <c r="O93" s="2440">
        <f>'Energy Effic. Kits Deemed Table'!J212</f>
        <v>7.0530000000000002E-3</v>
      </c>
      <c r="P93" s="2440">
        <v>0</v>
      </c>
      <c r="Q93" s="2441">
        <v>0</v>
      </c>
      <c r="R93" s="2441">
        <v>0</v>
      </c>
      <c r="S93" s="2441"/>
      <c r="T93" s="2441"/>
      <c r="U93" s="1926">
        <v>0</v>
      </c>
      <c r="V93" s="1926">
        <f t="shared" si="81"/>
        <v>7.0530000000000002E-3</v>
      </c>
      <c r="W93" s="1926">
        <v>0</v>
      </c>
      <c r="X93" s="68">
        <f>'Energy Effic. Kits Deemed Table'!K212</f>
        <v>10</v>
      </c>
      <c r="Y93" s="68"/>
      <c r="Z93" s="68">
        <f t="shared" si="92"/>
        <v>10</v>
      </c>
      <c r="AA93" s="3616">
        <f>'Energy Effic. Kits Deemed Table'!BB212</f>
        <v>4.0579608069282562</v>
      </c>
      <c r="AB93" s="2620">
        <f>'Energy Effic. Kits Deemed Table'!L212</f>
        <v>7</v>
      </c>
      <c r="AC93" s="3617">
        <f t="shared" ref="AC93" si="94">AE93+AF93</f>
        <v>26.810500848039446</v>
      </c>
      <c r="AD93" s="3617"/>
      <c r="AE93" s="1661">
        <f>'Energy Effic. Kits Deemed Table'!BD212</f>
        <v>26.810500848039446</v>
      </c>
      <c r="AF93" s="2453"/>
      <c r="AG93" s="2453"/>
      <c r="AH93" s="2453"/>
      <c r="AI93" s="3621" t="str">
        <f>'Energy Effic. Kits Deemed Table'!M212</f>
        <v>per measure</v>
      </c>
      <c r="AM93" s="2433">
        <f t="shared" si="53"/>
        <v>8.8731800000000003E-5</v>
      </c>
      <c r="AN93" s="100">
        <f t="shared" si="30"/>
        <v>7.0532907819999997E-3</v>
      </c>
      <c r="AO93" s="2437">
        <f t="shared" si="93"/>
        <v>2.9078199999948984E-7</v>
      </c>
    </row>
    <row r="94" spans="1:41" x14ac:dyDescent="0.25">
      <c r="A94" s="103" t="str">
        <f t="shared" si="56"/>
        <v>300750</v>
      </c>
      <c r="B94" s="684" t="str">
        <f>'Energy Effic. Kits Deemed Table'!C260</f>
        <v>300750_2019_12_</v>
      </c>
      <c r="C94" s="1962" t="str">
        <f>'Energy Effic. Kits Deemed Table'!G260</f>
        <v>Water Heating RES</v>
      </c>
      <c r="D94" s="1962"/>
      <c r="E94" s="1962"/>
      <c r="F94" s="1962"/>
      <c r="G94" s="1962" t="str">
        <f>'Energy Effic. Kits Deemed Table'!E260</f>
        <v>Pipe Insulation</v>
      </c>
      <c r="H94" s="63" t="str">
        <f>'Energy Effic. Kits Deemed Table'!D260</f>
        <v>School</v>
      </c>
      <c r="I94" s="2438">
        <f>'Energy Effic. Kits Deemed Table'!F260</f>
        <v>3.24</v>
      </c>
      <c r="J94" s="2438">
        <v>0</v>
      </c>
      <c r="K94" s="2439">
        <v>0</v>
      </c>
      <c r="L94" s="2439">
        <v>0</v>
      </c>
      <c r="M94" s="2439">
        <v>0</v>
      </c>
      <c r="N94" s="2439">
        <v>0</v>
      </c>
      <c r="O94" s="2440">
        <f>'Energy Effic. Kits Deemed Table'!I260</f>
        <v>2.8699999999999998E-4</v>
      </c>
      <c r="P94" s="2440">
        <v>0</v>
      </c>
      <c r="Q94" s="2441">
        <v>0</v>
      </c>
      <c r="R94" s="2441">
        <v>0</v>
      </c>
      <c r="S94" s="2441"/>
      <c r="T94" s="2441"/>
      <c r="U94" s="1819">
        <v>0</v>
      </c>
      <c r="V94" s="1819">
        <f t="shared" si="81"/>
        <v>2.8699999999999998E-4</v>
      </c>
      <c r="W94" s="1819">
        <v>0</v>
      </c>
      <c r="X94" s="68">
        <f>'Energy Effic. Kits Deemed Table'!J260</f>
        <v>12</v>
      </c>
      <c r="Y94" s="68"/>
      <c r="Z94" s="68">
        <f t="shared" si="92"/>
        <v>12</v>
      </c>
      <c r="AA94" s="3616">
        <f>'Energy Effic. Kits Deemed Table'!BB260</f>
        <v>0.4824560577854296</v>
      </c>
      <c r="AB94" s="2620">
        <f>'Energy Effic. Kits Deemed Table'!K260</f>
        <v>2.87</v>
      </c>
      <c r="AC94" s="3617">
        <f t="shared" ref="AC94:AC111" si="95">AE94+AF94</f>
        <v>1.3068889908864396</v>
      </c>
      <c r="AD94" s="3617"/>
      <c r="AE94" s="1661">
        <f>'Energy Effic. Kits Deemed Table'!BD260</f>
        <v>1.3068889908864396</v>
      </c>
      <c r="AF94" s="2453"/>
      <c r="AG94" s="2453"/>
      <c r="AH94" s="2453"/>
      <c r="AI94" s="684" t="str">
        <f>'Energy Effic. Kits Deemed Table'!L260</f>
        <v>per foot</v>
      </c>
      <c r="AJ94" s="1930"/>
      <c r="AK94" s="1930"/>
      <c r="AL94" s="1930"/>
      <c r="AM94" s="1972">
        <f t="shared" si="53"/>
        <v>8.8731800000000003E-5</v>
      </c>
      <c r="AN94" s="1930">
        <f t="shared" si="30"/>
        <v>2.8749103200000005E-4</v>
      </c>
      <c r="AO94" s="1971">
        <f t="shared" si="93"/>
        <v>4.9103200000006784E-7</v>
      </c>
    </row>
    <row r="95" spans="1:41" s="100" customFormat="1" x14ac:dyDescent="0.25">
      <c r="A95" s="103" t="str">
        <f t="shared" si="56"/>
        <v>300760</v>
      </c>
      <c r="B95" s="684" t="str">
        <f>'Energy Effic. Kits Deemed Table'!C261</f>
        <v>300760_2020_12_</v>
      </c>
      <c r="C95" s="1962" t="str">
        <f>'Energy Effic. Kits Deemed Table'!G261</f>
        <v>Water Heating RES</v>
      </c>
      <c r="D95" s="1962"/>
      <c r="E95" s="1962"/>
      <c r="F95" s="1962"/>
      <c r="G95" s="1962" t="str">
        <f>'Energy Effic. Kits Deemed Table'!E261</f>
        <v>Pipe Insulation - ARP Kits</v>
      </c>
      <c r="H95" s="63" t="str">
        <f>'Energy Effic. Kits Deemed Table'!D261</f>
        <v>ARP</v>
      </c>
      <c r="I95" s="2438">
        <f>'Energy Effic. Kits Deemed Table'!F261</f>
        <v>2.59</v>
      </c>
      <c r="J95" s="2438">
        <v>0</v>
      </c>
      <c r="K95" s="2439">
        <v>0</v>
      </c>
      <c r="L95" s="2439">
        <v>0</v>
      </c>
      <c r="M95" s="2439">
        <v>0</v>
      </c>
      <c r="N95" s="2439">
        <v>0</v>
      </c>
      <c r="O95" s="2440">
        <f>'Energy Effic. Kits Deemed Table'!I261</f>
        <v>2.3000000000000001E-4</v>
      </c>
      <c r="P95" s="2440">
        <v>0</v>
      </c>
      <c r="Q95" s="2441">
        <v>0</v>
      </c>
      <c r="R95" s="2441">
        <v>0</v>
      </c>
      <c r="S95" s="2441"/>
      <c r="T95" s="2441"/>
      <c r="U95" s="1926">
        <v>0</v>
      </c>
      <c r="V95" s="1926">
        <f t="shared" ref="V95" si="96">O95</f>
        <v>2.3000000000000001E-4</v>
      </c>
      <c r="W95" s="1926">
        <v>0</v>
      </c>
      <c r="X95" s="68">
        <f>'Energy Effic. Kits Deemed Table'!J261</f>
        <v>12</v>
      </c>
      <c r="Y95" s="68"/>
      <c r="Z95" s="68">
        <f t="shared" ref="Z95" si="97">Y95+X95</f>
        <v>12</v>
      </c>
      <c r="AA95" s="3616">
        <f>'Energy Effic. Kits Deemed Table'!BB261</f>
        <v>0.38566703384699463</v>
      </c>
      <c r="AB95" s="2620">
        <f>'Energy Effic. Kits Deemed Table'!K261</f>
        <v>2.87</v>
      </c>
      <c r="AC95" s="3617">
        <f t="shared" ref="AC95" si="98">AE95+AF95</f>
        <v>1.044704471109839</v>
      </c>
      <c r="AD95" s="3617"/>
      <c r="AE95" s="1661">
        <f>'Energy Effic. Kits Deemed Table'!BD261</f>
        <v>1.044704471109839</v>
      </c>
      <c r="AF95" s="2453"/>
      <c r="AG95" s="2453"/>
      <c r="AH95" s="2453"/>
      <c r="AI95" s="684" t="str">
        <f>'Energy Effic. Kits Deemed Table'!L261</f>
        <v>per foot</v>
      </c>
      <c r="AM95" s="2433">
        <f t="shared" si="53"/>
        <v>8.8731800000000003E-5</v>
      </c>
      <c r="AN95" s="100">
        <f t="shared" ref="AN95" si="99">AM95*I95</f>
        <v>2.2981536199999998E-4</v>
      </c>
      <c r="AO95" s="2437">
        <f t="shared" ref="AO95" si="100">AN95-O95</f>
        <v>-1.8463800000002254E-7</v>
      </c>
    </row>
    <row r="96" spans="1:41" x14ac:dyDescent="0.25">
      <c r="A96" s="103" t="str">
        <f t="shared" si="56"/>
        <v>300800</v>
      </c>
      <c r="B96" s="684" t="str">
        <f>'Energy Effic. Kits Deemed Table'!C262</f>
        <v>300800_2019_12_</v>
      </c>
      <c r="C96" s="1962" t="str">
        <f>'Energy Effic. Kits Deemed Table'!G262</f>
        <v>Water Heating RES</v>
      </c>
      <c r="D96" s="1962"/>
      <c r="E96" s="1962"/>
      <c r="F96" s="1962"/>
      <c r="G96" s="1962" t="str">
        <f>'Energy Effic. Kits Deemed Table'!E262</f>
        <v>Pipe Insulation</v>
      </c>
      <c r="H96" s="63" t="str">
        <f>'Energy Effic. Kits Deemed Table'!D262</f>
        <v>MF</v>
      </c>
      <c r="I96" s="2438">
        <f>'Energy Effic. Kits Deemed Table'!F262</f>
        <v>15.01</v>
      </c>
      <c r="J96" s="2438">
        <v>0</v>
      </c>
      <c r="K96" s="2439">
        <v>0</v>
      </c>
      <c r="L96" s="2439">
        <v>0</v>
      </c>
      <c r="M96" s="2439">
        <v>0</v>
      </c>
      <c r="N96" s="2439">
        <v>0</v>
      </c>
      <c r="O96" s="2440">
        <f>'Energy Effic. Kits Deemed Table'!I262</f>
        <v>1.3320000000000001E-3</v>
      </c>
      <c r="P96" s="2440">
        <v>0</v>
      </c>
      <c r="Q96" s="2441">
        <v>0</v>
      </c>
      <c r="R96" s="2441">
        <v>0</v>
      </c>
      <c r="S96" s="2441"/>
      <c r="T96" s="2441"/>
      <c r="U96" s="1819">
        <v>0</v>
      </c>
      <c r="V96" s="1819">
        <f t="shared" si="81"/>
        <v>1.3320000000000001E-3</v>
      </c>
      <c r="W96" s="1819">
        <v>0</v>
      </c>
      <c r="X96" s="68">
        <f>'Energy Effic. Kits Deemed Table'!J262</f>
        <v>12</v>
      </c>
      <c r="Y96" s="68"/>
      <c r="Z96" s="68">
        <f t="shared" si="92"/>
        <v>12</v>
      </c>
      <c r="AA96" s="3616">
        <f>'Energy Effic. Kits Deemed Table'!BB262</f>
        <v>2.2350819220244746</v>
      </c>
      <c r="AB96" s="2620">
        <f>'Energy Effic. Kits Deemed Table'!K262</f>
        <v>2.87</v>
      </c>
      <c r="AC96" s="3617">
        <f t="shared" si="95"/>
        <v>6.0544456028411906</v>
      </c>
      <c r="AD96" s="3617"/>
      <c r="AE96" s="1661">
        <f>'Energy Effic. Kits Deemed Table'!BD262</f>
        <v>6.0544456028411906</v>
      </c>
      <c r="AF96" s="2453"/>
      <c r="AG96" s="2453"/>
      <c r="AH96" s="2453"/>
      <c r="AI96" s="684" t="str">
        <f>'Energy Effic. Kits Deemed Table'!L262</f>
        <v>per foot</v>
      </c>
      <c r="AJ96" s="1930"/>
      <c r="AK96" s="1930"/>
      <c r="AL96" s="1930"/>
      <c r="AM96" s="1972">
        <f t="shared" si="53"/>
        <v>8.8731800000000003E-5</v>
      </c>
      <c r="AN96" s="1930">
        <f t="shared" si="30"/>
        <v>1.3318643180000001E-3</v>
      </c>
      <c r="AO96" s="1971">
        <f t="shared" si="93"/>
        <v>-1.3568199999994257E-7</v>
      </c>
    </row>
    <row r="97" spans="1:41" s="100" customFormat="1" x14ac:dyDescent="0.25">
      <c r="A97" s="103" t="str">
        <f t="shared" si="56"/>
        <v>300801</v>
      </c>
      <c r="B97" s="684" t="str">
        <f>'Energy Effic. Kits Deemed Table'!C263</f>
        <v>300801_2020_12_</v>
      </c>
      <c r="C97" s="1962" t="str">
        <f>'Energy Effic. Kits Deemed Table'!G263</f>
        <v>Water Heating RES</v>
      </c>
      <c r="D97" s="1962"/>
      <c r="E97" s="1962"/>
      <c r="F97" s="1962"/>
      <c r="G97" s="1962" t="str">
        <f>'Energy Effic. Kits Deemed Table'!E263</f>
        <v>Pipe Insulation - SFIE Kits</v>
      </c>
      <c r="H97" s="63" t="str">
        <f>'Energy Effic. Kits Deemed Table'!D263</f>
        <v>LIIE</v>
      </c>
      <c r="I97" s="2438">
        <f>'Energy Effic. Kits Deemed Table'!F263</f>
        <v>3.4</v>
      </c>
      <c r="J97" s="2438">
        <v>0</v>
      </c>
      <c r="K97" s="2439">
        <v>0</v>
      </c>
      <c r="L97" s="2439">
        <v>0</v>
      </c>
      <c r="M97" s="2439">
        <v>0</v>
      </c>
      <c r="N97" s="2439">
        <v>0</v>
      </c>
      <c r="O97" s="2440">
        <f>'Energy Effic. Kits Deemed Table'!I263</f>
        <v>3.0200000000000002E-4</v>
      </c>
      <c r="P97" s="2440">
        <v>0</v>
      </c>
      <c r="Q97" s="2441">
        <v>0</v>
      </c>
      <c r="R97" s="2441">
        <v>0</v>
      </c>
      <c r="S97" s="2441"/>
      <c r="T97" s="2441"/>
      <c r="U97" s="1926">
        <v>0</v>
      </c>
      <c r="V97" s="1926">
        <f t="shared" si="81"/>
        <v>3.0200000000000002E-4</v>
      </c>
      <c r="W97" s="1926">
        <v>0</v>
      </c>
      <c r="X97" s="68">
        <f>'Energy Effic. Kits Deemed Table'!J263</f>
        <v>12</v>
      </c>
      <c r="Y97" s="68"/>
      <c r="Z97" s="68">
        <f t="shared" si="92"/>
        <v>12</v>
      </c>
      <c r="AA97" s="3616">
        <f>'Energy Effic. Kits Deemed Table'!BB263</f>
        <v>0.50628104829335197</v>
      </c>
      <c r="AB97" s="2620">
        <f>'Energy Effic. Kits Deemed Table'!K263</f>
        <v>2.87</v>
      </c>
      <c r="AC97" s="3617">
        <f t="shared" si="95"/>
        <v>1.3714267188314488</v>
      </c>
      <c r="AD97" s="3617"/>
      <c r="AE97" s="1661">
        <f>'Energy Effic. Kits Deemed Table'!BD263</f>
        <v>1.3714267188314488</v>
      </c>
      <c r="AF97" s="2453"/>
      <c r="AG97" s="2453"/>
      <c r="AH97" s="2453"/>
      <c r="AI97" s="684" t="str">
        <f>'Energy Effic. Kits Deemed Table'!L263</f>
        <v>per foot</v>
      </c>
      <c r="AM97" s="2433">
        <f t="shared" si="53"/>
        <v>8.8731800000000003E-5</v>
      </c>
      <c r="AN97" s="100">
        <f t="shared" si="30"/>
        <v>3.0168812E-4</v>
      </c>
      <c r="AO97" s="2437">
        <f t="shared" si="93"/>
        <v>-3.1188000000002521E-7</v>
      </c>
    </row>
    <row r="98" spans="1:41" x14ac:dyDescent="0.25">
      <c r="A98" s="103" t="str">
        <f t="shared" si="56"/>
        <v>300850</v>
      </c>
      <c r="B98" s="684" t="str">
        <f>'Energy Effic. Kits Deemed Table'!C301</f>
        <v>300850_2019_12_</v>
      </c>
      <c r="C98" s="1962" t="str">
        <f>'Energy Effic. Kits Deemed Table'!G301</f>
        <v>Miscellaneous RES</v>
      </c>
      <c r="D98" s="1962"/>
      <c r="E98" s="1962"/>
      <c r="F98" s="1962"/>
      <c r="G98" s="1962" t="str">
        <f>'Energy Effic. Kits Deemed Table'!E301</f>
        <v>Advanced Tier 1 Power Strips -TOS/NC - Home Office</v>
      </c>
      <c r="H98" s="63" t="str">
        <f>'Energy Effic. Kits Deemed Table'!D301</f>
        <v>Unknown</v>
      </c>
      <c r="I98" s="2438">
        <f>'Energy Effic. Kits Deemed Table'!F301</f>
        <v>29.45</v>
      </c>
      <c r="J98" s="2438">
        <v>0</v>
      </c>
      <c r="K98" s="2439">
        <v>0</v>
      </c>
      <c r="L98" s="2439">
        <v>0</v>
      </c>
      <c r="M98" s="2439">
        <v>0</v>
      </c>
      <c r="N98" s="2439">
        <v>0</v>
      </c>
      <c r="O98" s="2440">
        <f>'Energy Effic. Kits Deemed Table'!I301</f>
        <v>3.382E-3</v>
      </c>
      <c r="P98" s="2440">
        <v>0</v>
      </c>
      <c r="Q98" s="2441">
        <v>0</v>
      </c>
      <c r="R98" s="2441">
        <v>0</v>
      </c>
      <c r="S98" s="2441"/>
      <c r="T98" s="2441"/>
      <c r="U98" s="1819">
        <v>0</v>
      </c>
      <c r="V98" s="1819">
        <f t="shared" si="81"/>
        <v>3.382E-3</v>
      </c>
      <c r="W98" s="1819">
        <v>0</v>
      </c>
      <c r="X98" s="68">
        <f>'Energy Effic. Kits Deemed Table'!J301</f>
        <v>10</v>
      </c>
      <c r="Y98" s="68"/>
      <c r="Z98" s="68">
        <f t="shared" si="92"/>
        <v>10</v>
      </c>
      <c r="AA98" s="3616">
        <f>'Energy Effic. Kits Deemed Table'!BB301</f>
        <v>0.53798242483706482</v>
      </c>
      <c r="AB98" s="2620">
        <f>'Energy Effic. Kits Deemed Table'!K301</f>
        <v>20</v>
      </c>
      <c r="AC98" s="3617">
        <f t="shared" si="95"/>
        <v>10.155402073375456</v>
      </c>
      <c r="AD98" s="3617"/>
      <c r="AE98" s="1661">
        <f>'Energy Effic. Kits Deemed Table'!BD301</f>
        <v>10.155402073375456</v>
      </c>
      <c r="AF98" s="2453"/>
      <c r="AG98" s="2453"/>
      <c r="AH98" s="2453"/>
      <c r="AI98" s="684" t="str">
        <f>'Energy Effic. Kits Deemed Table'!L301</f>
        <v>per measure</v>
      </c>
      <c r="AJ98" s="1930"/>
      <c r="AK98" s="1930"/>
      <c r="AL98" s="1930"/>
      <c r="AM98" s="1972">
        <f t="shared" si="53"/>
        <v>1.148238E-4</v>
      </c>
      <c r="AN98" s="1930">
        <f t="shared" ref="AN98:AN134" si="101">AM98*I98</f>
        <v>3.3815609099999999E-3</v>
      </c>
      <c r="AO98" s="1971">
        <f t="shared" si="93"/>
        <v>-4.3909000000015574E-7</v>
      </c>
    </row>
    <row r="99" spans="1:41" s="100" customFormat="1" x14ac:dyDescent="0.25">
      <c r="A99" s="103" t="str">
        <f t="shared" si="56"/>
        <v>300851</v>
      </c>
      <c r="B99" s="684" t="str">
        <f>'Energy Effic. Kits Deemed Table'!C302</f>
        <v>300851_2020_12_</v>
      </c>
      <c r="C99" s="1962" t="str">
        <f>'Energy Effic. Kits Deemed Table'!G302</f>
        <v>Miscellaneous RES</v>
      </c>
      <c r="D99" s="1962"/>
      <c r="E99" s="1962"/>
      <c r="F99" s="1962"/>
      <c r="G99" s="1962" t="str">
        <f>'Energy Effic. Kits Deemed Table'!E302</f>
        <v>Advanced Tier 1 Power Strips -DI - Home Office</v>
      </c>
      <c r="H99" s="63" t="str">
        <f>'Energy Effic. Kits Deemed Table'!D302</f>
        <v>Unknown</v>
      </c>
      <c r="I99" s="2438">
        <f>'Energy Effic. Kits Deemed Table'!F302</f>
        <v>29.45</v>
      </c>
      <c r="J99" s="2438">
        <v>0</v>
      </c>
      <c r="K99" s="2439">
        <v>0</v>
      </c>
      <c r="L99" s="2439">
        <v>0</v>
      </c>
      <c r="M99" s="2439">
        <v>0</v>
      </c>
      <c r="N99" s="2439">
        <v>0</v>
      </c>
      <c r="O99" s="2440">
        <f>'Energy Effic. Kits Deemed Table'!I302</f>
        <v>3.382E-3</v>
      </c>
      <c r="P99" s="2440">
        <v>0</v>
      </c>
      <c r="Q99" s="2441">
        <v>0</v>
      </c>
      <c r="R99" s="2441">
        <v>0</v>
      </c>
      <c r="S99" s="2441"/>
      <c r="T99" s="2441"/>
      <c r="U99" s="1926">
        <v>0</v>
      </c>
      <c r="V99" s="1926">
        <f t="shared" ref="V99" si="102">O99</f>
        <v>3.382E-3</v>
      </c>
      <c r="W99" s="1926">
        <v>0</v>
      </c>
      <c r="X99" s="68">
        <f>'Energy Effic. Kits Deemed Table'!J302</f>
        <v>10</v>
      </c>
      <c r="Y99" s="68"/>
      <c r="Z99" s="68">
        <f t="shared" ref="Z99" si="103">Y99+X99</f>
        <v>10</v>
      </c>
      <c r="AA99" s="3616">
        <f>'Energy Effic. Kits Deemed Table'!BB302</f>
        <v>0.35865494989137653</v>
      </c>
      <c r="AB99" s="2620">
        <f>'Energy Effic. Kits Deemed Table'!K302</f>
        <v>30</v>
      </c>
      <c r="AC99" s="3617">
        <f t="shared" ref="AC99" si="104">AE99+AF99</f>
        <v>10.155402073375456</v>
      </c>
      <c r="AD99" s="3617"/>
      <c r="AE99" s="1661">
        <f>'Energy Effic. Kits Deemed Table'!BD302</f>
        <v>10.155402073375456</v>
      </c>
      <c r="AF99" s="2453"/>
      <c r="AG99" s="2453"/>
      <c r="AH99" s="2453"/>
      <c r="AI99" s="684" t="str">
        <f>'Energy Effic. Kits Deemed Table'!L302</f>
        <v>per measure</v>
      </c>
      <c r="AM99" s="2433">
        <f t="shared" si="53"/>
        <v>1.148238E-4</v>
      </c>
      <c r="AN99" s="100">
        <f t="shared" ref="AN99" si="105">AM99*I99</f>
        <v>3.3815609099999999E-3</v>
      </c>
      <c r="AO99" s="2437">
        <f t="shared" ref="AO99" si="106">AN99-O99</f>
        <v>-4.3909000000015574E-7</v>
      </c>
    </row>
    <row r="100" spans="1:41" x14ac:dyDescent="0.25">
      <c r="A100" s="103" t="str">
        <f t="shared" si="56"/>
        <v>300900</v>
      </c>
      <c r="B100" s="684" t="str">
        <f>'Energy Effic. Kits Deemed Table'!C303</f>
        <v>300900_2019_12_</v>
      </c>
      <c r="C100" s="1962" t="str">
        <f>'Energy Effic. Kits Deemed Table'!G303</f>
        <v>Miscellaneous RES</v>
      </c>
      <c r="D100" s="1962"/>
      <c r="E100" s="1962"/>
      <c r="F100" s="1962"/>
      <c r="G100" s="1962" t="str">
        <f>'Energy Effic. Kits Deemed Table'!E303</f>
        <v>Advanced Tier 1 Power Strips -Kits - Home Office</v>
      </c>
      <c r="H100" s="63" t="str">
        <f>'Energy Effic. Kits Deemed Table'!D303</f>
        <v>Unknown</v>
      </c>
      <c r="I100" s="2438">
        <f>'Energy Effic. Kits Deemed Table'!F303</f>
        <v>29.08</v>
      </c>
      <c r="J100" s="2438">
        <v>0</v>
      </c>
      <c r="K100" s="2439">
        <v>0</v>
      </c>
      <c r="L100" s="2439">
        <v>0</v>
      </c>
      <c r="M100" s="2439">
        <v>0</v>
      </c>
      <c r="N100" s="2439">
        <v>0</v>
      </c>
      <c r="O100" s="2440">
        <f>'Energy Effic. Kits Deemed Table'!I303</f>
        <v>3.339E-3</v>
      </c>
      <c r="P100" s="2440">
        <v>0</v>
      </c>
      <c r="Q100" s="2441">
        <v>0</v>
      </c>
      <c r="R100" s="2441">
        <v>0</v>
      </c>
      <c r="S100" s="2441"/>
      <c r="T100" s="2441"/>
      <c r="U100" s="1819">
        <v>0</v>
      </c>
      <c r="V100" s="1819">
        <f t="shared" si="81"/>
        <v>3.339E-3</v>
      </c>
      <c r="W100" s="1819">
        <v>0</v>
      </c>
      <c r="X100" s="68">
        <f>'Energy Effic. Kits Deemed Table'!J303</f>
        <v>10</v>
      </c>
      <c r="Y100" s="68"/>
      <c r="Z100" s="68">
        <f t="shared" si="92"/>
        <v>10</v>
      </c>
      <c r="AA100" s="3616">
        <f>'Energy Effic. Kits Deemed Table'!BB303</f>
        <v>0.53122339267442598</v>
      </c>
      <c r="AB100" s="2620">
        <f>'Energy Effic. Kits Deemed Table'!K303</f>
        <v>20</v>
      </c>
      <c r="AC100" s="3617">
        <f t="shared" si="95"/>
        <v>10.027812981112334</v>
      </c>
      <c r="AD100" s="3617"/>
      <c r="AE100" s="1661">
        <f>'Energy Effic. Kits Deemed Table'!BD303</f>
        <v>10.027812981112334</v>
      </c>
      <c r="AF100" s="2453"/>
      <c r="AG100" s="2453"/>
      <c r="AH100" s="2453"/>
      <c r="AI100" s="684" t="str">
        <f>'Energy Effic. Kits Deemed Table'!L303</f>
        <v>per measure</v>
      </c>
      <c r="AJ100" s="1930"/>
      <c r="AK100" s="1930"/>
      <c r="AL100" s="1930"/>
      <c r="AM100" s="1972">
        <f t="shared" si="53"/>
        <v>1.148238E-4</v>
      </c>
      <c r="AN100" s="1930">
        <f t="shared" si="101"/>
        <v>3.3390761039999999E-3</v>
      </c>
      <c r="AO100" s="1971">
        <f t="shared" si="93"/>
        <v>7.6103999999913713E-8</v>
      </c>
    </row>
    <row r="101" spans="1:41" x14ac:dyDescent="0.25">
      <c r="A101" s="103" t="str">
        <f t="shared" si="56"/>
        <v>300950</v>
      </c>
      <c r="B101" s="684" t="str">
        <f>'Energy Effic. Kits Deemed Table'!C304</f>
        <v>300950_2019_12_</v>
      </c>
      <c r="C101" s="1962" t="str">
        <f>'Energy Effic. Kits Deemed Table'!G304</f>
        <v>Miscellaneous RES</v>
      </c>
      <c r="D101" s="1962"/>
      <c r="E101" s="1962"/>
      <c r="F101" s="1962"/>
      <c r="G101" s="1962" t="str">
        <f>'Energy Effic. Kits Deemed Table'!E304</f>
        <v>Advanced Tier 1 Power Strips -TOS/NC - Home Entertainment</v>
      </c>
      <c r="H101" s="63" t="str">
        <f>'Energy Effic. Kits Deemed Table'!D304</f>
        <v>Unknown</v>
      </c>
      <c r="I101" s="2438">
        <f>'Energy Effic. Kits Deemed Table'!F304</f>
        <v>71.349999999999994</v>
      </c>
      <c r="J101" s="2438">
        <v>0</v>
      </c>
      <c r="K101" s="2439">
        <v>0</v>
      </c>
      <c r="L101" s="2439">
        <v>0</v>
      </c>
      <c r="M101" s="2439">
        <v>0</v>
      </c>
      <c r="N101" s="2439">
        <v>0</v>
      </c>
      <c r="O101" s="2440">
        <f>'Energy Effic. Kits Deemed Table'!I304</f>
        <v>8.1930000000000006E-3</v>
      </c>
      <c r="P101" s="2440">
        <v>0</v>
      </c>
      <c r="Q101" s="2441">
        <v>0</v>
      </c>
      <c r="R101" s="2441">
        <v>0</v>
      </c>
      <c r="S101" s="2441"/>
      <c r="T101" s="2441"/>
      <c r="U101" s="1819">
        <v>0</v>
      </c>
      <c r="V101" s="1819">
        <f t="shared" si="81"/>
        <v>8.1930000000000006E-3</v>
      </c>
      <c r="W101" s="1819">
        <v>0</v>
      </c>
      <c r="X101" s="68">
        <f>'Energy Effic. Kits Deemed Table'!J304</f>
        <v>10</v>
      </c>
      <c r="Y101" s="68"/>
      <c r="Z101" s="68">
        <f t="shared" si="92"/>
        <v>10</v>
      </c>
      <c r="AA101" s="3616">
        <f>'Energy Effic. Kits Deemed Table'!BB304</f>
        <v>1.3033971481196798</v>
      </c>
      <c r="AB101" s="2620">
        <f>'Energy Effic. Kits Deemed Table'!K304</f>
        <v>20</v>
      </c>
      <c r="AC101" s="3617">
        <f t="shared" si="95"/>
        <v>24.604004683712688</v>
      </c>
      <c r="AD101" s="3617"/>
      <c r="AE101" s="1661">
        <f>'Energy Effic. Kits Deemed Table'!BD304</f>
        <v>24.604004683712688</v>
      </c>
      <c r="AF101" s="2453"/>
      <c r="AG101" s="2453"/>
      <c r="AH101" s="2453"/>
      <c r="AI101" s="684" t="str">
        <f>'Energy Effic. Kits Deemed Table'!L304</f>
        <v>per measure</v>
      </c>
      <c r="AJ101" s="1930"/>
      <c r="AK101" s="1930"/>
      <c r="AL101" s="1930"/>
      <c r="AM101" s="1972">
        <f t="shared" si="53"/>
        <v>1.148238E-4</v>
      </c>
      <c r="AN101" s="1930">
        <f t="shared" si="101"/>
        <v>8.1926781299999987E-3</v>
      </c>
      <c r="AO101" s="1971">
        <f t="shared" si="93"/>
        <v>-3.2187000000190313E-7</v>
      </c>
    </row>
    <row r="102" spans="1:41" s="100" customFormat="1" x14ac:dyDescent="0.25">
      <c r="A102" s="103" t="str">
        <f t="shared" si="56"/>
        <v>300951</v>
      </c>
      <c r="B102" s="684" t="str">
        <f>'Energy Effic. Kits Deemed Table'!C305</f>
        <v>300951_2020_12_</v>
      </c>
      <c r="C102" s="1962" t="str">
        <f>'Energy Effic. Kits Deemed Table'!G305</f>
        <v>Miscellaneous RES</v>
      </c>
      <c r="D102" s="1962"/>
      <c r="E102" s="1962"/>
      <c r="F102" s="1962"/>
      <c r="G102" s="1962" t="str">
        <f>'Energy Effic. Kits Deemed Table'!E305</f>
        <v>Advanced Tier 1 Power Strips -DI - Home Entertainment</v>
      </c>
      <c r="H102" s="63" t="str">
        <f>'Energy Effic. Kits Deemed Table'!D305</f>
        <v>Unknown</v>
      </c>
      <c r="I102" s="2438">
        <f>'Energy Effic. Kits Deemed Table'!F305</f>
        <v>71.349999999999994</v>
      </c>
      <c r="J102" s="2438">
        <v>0</v>
      </c>
      <c r="K102" s="2439">
        <v>0</v>
      </c>
      <c r="L102" s="2439">
        <v>0</v>
      </c>
      <c r="M102" s="2439">
        <v>0</v>
      </c>
      <c r="N102" s="2439">
        <v>0</v>
      </c>
      <c r="O102" s="2440">
        <f>'Energy Effic. Kits Deemed Table'!I305</f>
        <v>8.1930000000000006E-3</v>
      </c>
      <c r="P102" s="2440">
        <v>0</v>
      </c>
      <c r="Q102" s="2441">
        <v>0</v>
      </c>
      <c r="R102" s="2441">
        <v>0</v>
      </c>
      <c r="S102" s="2441"/>
      <c r="T102" s="2441"/>
      <c r="U102" s="1926">
        <v>0</v>
      </c>
      <c r="V102" s="1926">
        <f t="shared" si="81"/>
        <v>8.1930000000000006E-3</v>
      </c>
      <c r="W102" s="1926">
        <v>0</v>
      </c>
      <c r="X102" s="68">
        <f>'Energy Effic. Kits Deemed Table'!J305</f>
        <v>10</v>
      </c>
      <c r="Y102" s="68"/>
      <c r="Z102" s="68">
        <f t="shared" si="92"/>
        <v>10</v>
      </c>
      <c r="AA102" s="3616">
        <f>'Energy Effic. Kits Deemed Table'!BB305</f>
        <v>0.86893143207978651</v>
      </c>
      <c r="AB102" s="2620">
        <f>'Energy Effic. Kits Deemed Table'!K305</f>
        <v>30</v>
      </c>
      <c r="AC102" s="3617">
        <f t="shared" si="95"/>
        <v>24.604004683712688</v>
      </c>
      <c r="AD102" s="3617"/>
      <c r="AE102" s="1661">
        <f>'Energy Effic. Kits Deemed Table'!BD305</f>
        <v>24.604004683712688</v>
      </c>
      <c r="AF102" s="2453"/>
      <c r="AG102" s="2453"/>
      <c r="AH102" s="2453"/>
      <c r="AI102" s="684" t="str">
        <f>'Energy Effic. Kits Deemed Table'!L305</f>
        <v>per measure</v>
      </c>
      <c r="AM102" s="2433">
        <f t="shared" si="53"/>
        <v>1.148238E-4</v>
      </c>
      <c r="AN102" s="100">
        <f t="shared" si="101"/>
        <v>8.1926781299999987E-3</v>
      </c>
      <c r="AO102" s="2437">
        <f t="shared" si="93"/>
        <v>-3.2187000000190313E-7</v>
      </c>
    </row>
    <row r="103" spans="1:41" x14ac:dyDescent="0.25">
      <c r="A103" s="103" t="str">
        <f t="shared" si="56"/>
        <v>301000</v>
      </c>
      <c r="B103" s="684" t="str">
        <f>'Energy Effic. Kits Deemed Table'!C306</f>
        <v>301000_2019_12_</v>
      </c>
      <c r="C103" s="1962" t="str">
        <f>'Energy Effic. Kits Deemed Table'!G306</f>
        <v>Miscellaneous RES</v>
      </c>
      <c r="D103" s="1962"/>
      <c r="E103" s="1962"/>
      <c r="F103" s="1962"/>
      <c r="G103" s="1962" t="str">
        <f>'Energy Effic. Kits Deemed Table'!E306</f>
        <v>Advanced Tier 1 Power Strips -Kits - Home Entertainment</v>
      </c>
      <c r="H103" s="63" t="str">
        <f>'Energy Effic. Kits Deemed Table'!D306</f>
        <v>Unknown</v>
      </c>
      <c r="I103" s="2438">
        <f>'Energy Effic. Kits Deemed Table'!F306</f>
        <v>70.44</v>
      </c>
      <c r="J103" s="2438">
        <v>0</v>
      </c>
      <c r="K103" s="2439">
        <v>0</v>
      </c>
      <c r="L103" s="2439">
        <v>0</v>
      </c>
      <c r="M103" s="2439">
        <v>0</v>
      </c>
      <c r="N103" s="2439">
        <v>0</v>
      </c>
      <c r="O103" s="2440">
        <f>'Energy Effic. Kits Deemed Table'!I306</f>
        <v>8.0879999999999997E-3</v>
      </c>
      <c r="P103" s="2440">
        <v>0</v>
      </c>
      <c r="Q103" s="2441">
        <v>0</v>
      </c>
      <c r="R103" s="2441">
        <v>0</v>
      </c>
      <c r="S103" s="2441"/>
      <c r="T103" s="2441"/>
      <c r="U103" s="1819">
        <v>0</v>
      </c>
      <c r="V103" s="1819">
        <f t="shared" si="81"/>
        <v>8.0879999999999997E-3</v>
      </c>
      <c r="W103" s="1819">
        <v>0</v>
      </c>
      <c r="X103" s="68">
        <f>'Energy Effic. Kits Deemed Table'!J306</f>
        <v>10</v>
      </c>
      <c r="Y103" s="68"/>
      <c r="Z103" s="68">
        <f t="shared" si="92"/>
        <v>10</v>
      </c>
      <c r="AA103" s="3616">
        <f>'Energy Effic. Kits Deemed Table'!BB306</f>
        <v>1.2867735825304871</v>
      </c>
      <c r="AB103" s="2620">
        <f>'Energy Effic. Kits Deemed Table'!K306</f>
        <v>20</v>
      </c>
      <c r="AC103" s="3617">
        <f t="shared" si="95"/>
        <v>24.290204483822311</v>
      </c>
      <c r="AD103" s="3617"/>
      <c r="AE103" s="1661">
        <f>'Energy Effic. Kits Deemed Table'!BD306</f>
        <v>24.290204483822311</v>
      </c>
      <c r="AF103" s="2453"/>
      <c r="AG103" s="2453"/>
      <c r="AH103" s="2453"/>
      <c r="AI103" s="684" t="str">
        <f>'Energy Effic. Kits Deemed Table'!L306</f>
        <v>per measure</v>
      </c>
      <c r="AJ103" s="1930"/>
      <c r="AK103" s="1930"/>
      <c r="AL103" s="1930"/>
      <c r="AM103" s="1972">
        <f t="shared" si="53"/>
        <v>1.148238E-4</v>
      </c>
      <c r="AN103" s="1930">
        <f t="shared" si="101"/>
        <v>8.0881884719999995E-3</v>
      </c>
      <c r="AO103" s="1971">
        <f t="shared" si="93"/>
        <v>1.8847199999977304E-7</v>
      </c>
    </row>
    <row r="104" spans="1:41" x14ac:dyDescent="0.25">
      <c r="A104" s="103" t="str">
        <f t="shared" si="56"/>
        <v>301050</v>
      </c>
      <c r="B104" s="684" t="str">
        <f>'Energy Effic. Kits Deemed Table'!C307</f>
        <v>301050_2019_12_</v>
      </c>
      <c r="C104" s="1962" t="str">
        <f>'Energy Effic. Kits Deemed Table'!G307</f>
        <v>Miscellaneous RES</v>
      </c>
      <c r="D104" s="1962"/>
      <c r="E104" s="1962"/>
      <c r="F104" s="1962"/>
      <c r="G104" s="1962" t="str">
        <f>'Energy Effic. Kits Deemed Table'!E307</f>
        <v>Advanced Tier 1 Power Strips -TOS/NC - Unknown Location</v>
      </c>
      <c r="H104" s="63" t="str">
        <f>'Energy Effic. Kits Deemed Table'!D307</f>
        <v>Unknown</v>
      </c>
      <c r="I104" s="2438">
        <f>'Energy Effic. Kits Deemed Table'!F307</f>
        <v>56.26</v>
      </c>
      <c r="J104" s="2438">
        <v>0</v>
      </c>
      <c r="K104" s="2439">
        <v>0</v>
      </c>
      <c r="L104" s="2439">
        <v>0</v>
      </c>
      <c r="M104" s="2439">
        <v>0</v>
      </c>
      <c r="N104" s="2439">
        <v>0</v>
      </c>
      <c r="O104" s="2440">
        <f>'Energy Effic. Kits Deemed Table'!I307</f>
        <v>6.4599999999999996E-3</v>
      </c>
      <c r="P104" s="2440">
        <v>0</v>
      </c>
      <c r="Q104" s="2441">
        <v>0</v>
      </c>
      <c r="R104" s="2441">
        <v>0</v>
      </c>
      <c r="S104" s="2441"/>
      <c r="T104" s="2441"/>
      <c r="U104" s="1819">
        <v>0</v>
      </c>
      <c r="V104" s="1819">
        <f t="shared" si="81"/>
        <v>6.4599999999999996E-3</v>
      </c>
      <c r="W104" s="1819">
        <v>0</v>
      </c>
      <c r="X104" s="68">
        <f>'Energy Effic. Kits Deemed Table'!J307</f>
        <v>10</v>
      </c>
      <c r="Y104" s="68"/>
      <c r="Z104" s="68">
        <f t="shared" si="92"/>
        <v>10</v>
      </c>
      <c r="AA104" s="3616">
        <f>'Energy Effic. Kits Deemed Table'!BB307</f>
        <v>1.0277382418109766</v>
      </c>
      <c r="AB104" s="2620">
        <f>'Energy Effic. Kits Deemed Table'!K307</f>
        <v>20</v>
      </c>
      <c r="AC104" s="3617">
        <f t="shared" si="95"/>
        <v>19.400438731684314</v>
      </c>
      <c r="AD104" s="3617"/>
      <c r="AE104" s="1661">
        <f>'Energy Effic. Kits Deemed Table'!BD307</f>
        <v>19.400438731684314</v>
      </c>
      <c r="AF104" s="2453"/>
      <c r="AG104" s="2453"/>
      <c r="AH104" s="2453"/>
      <c r="AI104" s="684" t="str">
        <f>'Energy Effic. Kits Deemed Table'!L307</f>
        <v>per measure</v>
      </c>
      <c r="AJ104" s="1930"/>
      <c r="AK104" s="1930"/>
      <c r="AL104" s="1930"/>
      <c r="AM104" s="1972">
        <f t="shared" si="53"/>
        <v>1.148238E-4</v>
      </c>
      <c r="AN104" s="1930">
        <f t="shared" si="101"/>
        <v>6.4599869879999995E-3</v>
      </c>
      <c r="AO104" s="1971">
        <f t="shared" si="93"/>
        <v>-1.3012000000048318E-8</v>
      </c>
    </row>
    <row r="105" spans="1:41" s="100" customFormat="1" x14ac:dyDescent="0.25">
      <c r="A105" s="103" t="str">
        <f t="shared" si="56"/>
        <v>301051</v>
      </c>
      <c r="B105" s="684" t="str">
        <f>'Energy Effic. Kits Deemed Table'!C308</f>
        <v>301051_2020_12_</v>
      </c>
      <c r="C105" s="1962" t="str">
        <f>'Energy Effic. Kits Deemed Table'!G308</f>
        <v>Miscellaneous RES</v>
      </c>
      <c r="D105" s="1962"/>
      <c r="E105" s="1962"/>
      <c r="F105" s="1962"/>
      <c r="G105" s="1962" t="str">
        <f>'Energy Effic. Kits Deemed Table'!E308</f>
        <v>Advanced Tier 1 Power Strips -DI - Unknown Location</v>
      </c>
      <c r="H105" s="63" t="str">
        <f>'Energy Effic. Kits Deemed Table'!D308</f>
        <v>Unknown</v>
      </c>
      <c r="I105" s="2438">
        <f>'Energy Effic. Kits Deemed Table'!F308</f>
        <v>56.26</v>
      </c>
      <c r="J105" s="2438">
        <v>0</v>
      </c>
      <c r="K105" s="2439">
        <v>0</v>
      </c>
      <c r="L105" s="2439">
        <v>0</v>
      </c>
      <c r="M105" s="2439">
        <v>0</v>
      </c>
      <c r="N105" s="2439">
        <v>0</v>
      </c>
      <c r="O105" s="2440">
        <f>'Energy Effic. Kits Deemed Table'!I308</f>
        <v>6.4599999999999996E-3</v>
      </c>
      <c r="P105" s="2440">
        <v>0</v>
      </c>
      <c r="Q105" s="2441">
        <v>0</v>
      </c>
      <c r="R105" s="2441">
        <v>0</v>
      </c>
      <c r="S105" s="2441"/>
      <c r="T105" s="2441"/>
      <c r="U105" s="1926">
        <v>0</v>
      </c>
      <c r="V105" s="1926">
        <f t="shared" si="81"/>
        <v>6.4599999999999996E-3</v>
      </c>
      <c r="W105" s="1926">
        <v>0</v>
      </c>
      <c r="X105" s="68">
        <f>'Energy Effic. Kits Deemed Table'!J308</f>
        <v>10</v>
      </c>
      <c r="Y105" s="68"/>
      <c r="Z105" s="68">
        <f t="shared" si="92"/>
        <v>10</v>
      </c>
      <c r="AA105" s="3616">
        <f>'Energy Effic. Kits Deemed Table'!BB308</f>
        <v>0.68515882787398441</v>
      </c>
      <c r="AB105" s="2620">
        <f>'Energy Effic. Kits Deemed Table'!K308</f>
        <v>30</v>
      </c>
      <c r="AC105" s="3617">
        <f t="shared" si="95"/>
        <v>19.400438731684314</v>
      </c>
      <c r="AD105" s="3617"/>
      <c r="AE105" s="1661">
        <f>'Energy Effic. Kits Deemed Table'!BD308</f>
        <v>19.400438731684314</v>
      </c>
      <c r="AF105" s="2453"/>
      <c r="AG105" s="2453"/>
      <c r="AH105" s="2453"/>
      <c r="AI105" s="684" t="str">
        <f>'Energy Effic. Kits Deemed Table'!L308</f>
        <v>per measure</v>
      </c>
      <c r="AM105" s="2433">
        <f t="shared" si="53"/>
        <v>1.148238E-4</v>
      </c>
      <c r="AN105" s="100">
        <f t="shared" si="101"/>
        <v>6.4599869879999995E-3</v>
      </c>
      <c r="AO105" s="2437">
        <f t="shared" si="93"/>
        <v>-1.3012000000048318E-8</v>
      </c>
    </row>
    <row r="106" spans="1:41" x14ac:dyDescent="0.25">
      <c r="A106" s="103" t="str">
        <f t="shared" si="56"/>
        <v>301100</v>
      </c>
      <c r="B106" s="684" t="str">
        <f>'Energy Effic. Kits Deemed Table'!C309</f>
        <v>301100_2019_12_</v>
      </c>
      <c r="C106" s="1962" t="str">
        <f>'Energy Effic. Kits Deemed Table'!G309</f>
        <v>Miscellaneous RES</v>
      </c>
      <c r="D106" s="1962"/>
      <c r="E106" s="1962"/>
      <c r="F106" s="1962"/>
      <c r="G106" s="1962" t="str">
        <f>'Energy Effic. Kits Deemed Table'!E309</f>
        <v>Advanced Tier 1 Power Strips -Kits - Unknown Location</v>
      </c>
      <c r="H106" s="63" t="str">
        <f>'Energy Effic. Kits Deemed Table'!D309</f>
        <v>Unknown</v>
      </c>
      <c r="I106" s="2438">
        <f>'Energy Effic. Kits Deemed Table'!F309</f>
        <v>50.59</v>
      </c>
      <c r="J106" s="2438">
        <v>0</v>
      </c>
      <c r="K106" s="2439">
        <v>0</v>
      </c>
      <c r="L106" s="2439">
        <v>0</v>
      </c>
      <c r="M106" s="2439">
        <v>0</v>
      </c>
      <c r="N106" s="2439">
        <v>0</v>
      </c>
      <c r="O106" s="2440">
        <f>'Energy Effic. Kits Deemed Table'!I309</f>
        <v>5.8089999999999999E-3</v>
      </c>
      <c r="P106" s="2440">
        <v>0</v>
      </c>
      <c r="Q106" s="2441">
        <v>0</v>
      </c>
      <c r="R106" s="2441">
        <v>0</v>
      </c>
      <c r="S106" s="2441"/>
      <c r="T106" s="2441"/>
      <c r="U106" s="1819">
        <v>0</v>
      </c>
      <c r="V106" s="1819">
        <f t="shared" si="81"/>
        <v>5.8089999999999999E-3</v>
      </c>
      <c r="W106" s="1819">
        <v>0</v>
      </c>
      <c r="X106" s="68">
        <f>'Energy Effic. Kits Deemed Table'!J309</f>
        <v>10</v>
      </c>
      <c r="Y106" s="68"/>
      <c r="Z106" s="68">
        <f t="shared" si="92"/>
        <v>10</v>
      </c>
      <c r="AA106" s="3616">
        <f>'Energy Effic. Kits Deemed Table'!BB309</f>
        <v>0.92416064083215987</v>
      </c>
      <c r="AB106" s="2620">
        <f>'Energy Effic. Kits Deemed Table'!K309</f>
        <v>20</v>
      </c>
      <c r="AC106" s="3617">
        <f t="shared" si="95"/>
        <v>17.445222101598109</v>
      </c>
      <c r="AD106" s="3617"/>
      <c r="AE106" s="1661">
        <f>'Energy Effic. Kits Deemed Table'!BD309</f>
        <v>17.445222101598109</v>
      </c>
      <c r="AF106" s="2453"/>
      <c r="AG106" s="2453"/>
      <c r="AH106" s="2453"/>
      <c r="AI106" s="684" t="str">
        <f>'Energy Effic. Kits Deemed Table'!L309</f>
        <v>per measure</v>
      </c>
      <c r="AJ106" s="1930"/>
      <c r="AK106" s="1930"/>
      <c r="AL106" s="1930"/>
      <c r="AM106" s="1972">
        <f t="shared" si="53"/>
        <v>1.148238E-4</v>
      </c>
      <c r="AN106" s="1930">
        <f t="shared" si="101"/>
        <v>5.8089360420000005E-3</v>
      </c>
      <c r="AO106" s="1971">
        <f t="shared" si="93"/>
        <v>-6.3957999999440796E-8</v>
      </c>
    </row>
    <row r="107" spans="1:41" s="100" customFormat="1" x14ac:dyDescent="0.25">
      <c r="A107" s="103" t="str">
        <f t="shared" si="56"/>
        <v>301149</v>
      </c>
      <c r="B107" s="1960" t="str">
        <f>'Energy Effic. Kits Deemed Table'!C337</f>
        <v>301149_2021_12_</v>
      </c>
      <c r="C107" s="1962" t="str">
        <f>'Energy Effic. Kits Deemed Table'!G337</f>
        <v>Miscellaneous RES</v>
      </c>
      <c r="D107" s="1962"/>
      <c r="E107" s="1962"/>
      <c r="F107" s="1962"/>
      <c r="G107" s="1962" t="str">
        <f>'Energy Effic. Kits Deemed Table'!E337</f>
        <v>Advanced Tier 2 Power Strips - TOS/NC/DI - Unknown Location</v>
      </c>
      <c r="H107" s="63" t="str">
        <f>'Energy Effic. Kits Deemed Table'!D337</f>
        <v>Unknown</v>
      </c>
      <c r="I107" s="2438">
        <f>'Energy Effic. Kits Deemed Table'!F337</f>
        <v>153.9</v>
      </c>
      <c r="J107" s="2438">
        <v>0</v>
      </c>
      <c r="K107" s="2439">
        <v>0</v>
      </c>
      <c r="L107" s="2439">
        <v>0</v>
      </c>
      <c r="M107" s="2439">
        <v>0</v>
      </c>
      <c r="N107" s="2439">
        <v>0</v>
      </c>
      <c r="O107" s="2440">
        <f>'Energy Effic. Kits Deemed Table'!I337</f>
        <v>1.7670999999999999E-2</v>
      </c>
      <c r="P107" s="2440">
        <v>0</v>
      </c>
      <c r="Q107" s="2441">
        <v>0</v>
      </c>
      <c r="R107" s="2441">
        <v>0</v>
      </c>
      <c r="S107" s="2441"/>
      <c r="T107" s="2441"/>
      <c r="U107" s="1926">
        <v>0</v>
      </c>
      <c r="V107" s="1926">
        <f t="shared" si="81"/>
        <v>1.7670999999999999E-2</v>
      </c>
      <c r="W107" s="1926">
        <v>0</v>
      </c>
      <c r="X107" s="68">
        <f>'Energy Effic. Kits Deemed Table'!J337</f>
        <v>10</v>
      </c>
      <c r="Y107" s="68"/>
      <c r="Z107" s="68">
        <f t="shared" si="92"/>
        <v>10</v>
      </c>
      <c r="AA107" s="3616">
        <f>'Energy Effic. Kits Deemed Table'!BB337</f>
        <v>5.6227840531357742</v>
      </c>
      <c r="AB107" s="2620">
        <f>'Energy Effic. Kits Deemed Table'!K337</f>
        <v>10</v>
      </c>
      <c r="AC107" s="3617">
        <f t="shared" si="95"/>
        <v>53.070165673768507</v>
      </c>
      <c r="AD107" s="3617"/>
      <c r="AE107" s="1661">
        <f>'Energy Effic. Kits Deemed Table'!BD337</f>
        <v>53.070165673768507</v>
      </c>
      <c r="AF107" s="2453"/>
      <c r="AG107" s="2453"/>
      <c r="AH107" s="2453"/>
      <c r="AI107" s="684" t="str">
        <f>'Energy Effic. Kits Deemed Table'!L337</f>
        <v>per measure</v>
      </c>
      <c r="AM107" s="2433">
        <f t="shared" ref="AM107" si="107">VLOOKUP(C107,$AS$10:$AT$33,2,FALSE)</f>
        <v>1.148238E-4</v>
      </c>
      <c r="AN107" s="100">
        <f t="shared" si="101"/>
        <v>1.7671382820000001E-2</v>
      </c>
      <c r="AO107" s="2437">
        <f t="shared" si="93"/>
        <v>3.828200000020876E-7</v>
      </c>
    </row>
    <row r="108" spans="1:41" s="100" customFormat="1" x14ac:dyDescent="0.25">
      <c r="A108" s="103" t="str">
        <f t="shared" si="56"/>
        <v>301150</v>
      </c>
      <c r="B108" s="1960" t="str">
        <f>'Energy Effic. Kits Deemed Table'!C338</f>
        <v>301150_2021_12_</v>
      </c>
      <c r="C108" s="1962" t="str">
        <f>'Energy Effic. Kits Deemed Table'!G338</f>
        <v>Miscellaneous RES</v>
      </c>
      <c r="D108" s="1962"/>
      <c r="E108" s="1962"/>
      <c r="F108" s="1962"/>
      <c r="G108" s="1962" t="str">
        <f>'Energy Effic. Kits Deemed Table'!E338</f>
        <v>Advanced Tier 2 Power Strips - SFIE Kits - Unknown Location</v>
      </c>
      <c r="H108" s="63" t="str">
        <f>'Energy Effic. Kits Deemed Table'!D338</f>
        <v>LIIE</v>
      </c>
      <c r="I108" s="2438">
        <f>'Energy Effic. Kits Deemed Table'!F338</f>
        <v>151.96</v>
      </c>
      <c r="J108" s="2438">
        <v>0</v>
      </c>
      <c r="K108" s="2439">
        <v>0</v>
      </c>
      <c r="L108" s="2439">
        <v>0</v>
      </c>
      <c r="M108" s="2439">
        <v>0</v>
      </c>
      <c r="N108" s="2439">
        <v>0</v>
      </c>
      <c r="O108" s="2440">
        <f>'Energy Effic. Kits Deemed Table'!I338</f>
        <v>1.7448999999999999E-2</v>
      </c>
      <c r="P108" s="2440">
        <v>0</v>
      </c>
      <c r="Q108" s="2441">
        <v>0</v>
      </c>
      <c r="R108" s="2441">
        <v>0</v>
      </c>
      <c r="S108" s="2441"/>
      <c r="T108" s="2441"/>
      <c r="U108" s="1926">
        <v>0</v>
      </c>
      <c r="V108" s="1926">
        <f t="shared" ref="V108" si="108">O108</f>
        <v>1.7448999999999999E-2</v>
      </c>
      <c r="W108" s="1926">
        <v>0</v>
      </c>
      <c r="X108" s="68">
        <f>'Energy Effic. Kits Deemed Table'!J338</f>
        <v>10</v>
      </c>
      <c r="Y108" s="68"/>
      <c r="Z108" s="68">
        <f t="shared" ref="Z108" si="109">Y108+X108</f>
        <v>10</v>
      </c>
      <c r="AA108" s="3616">
        <f>'Energy Effic. Kits Deemed Table'!BB338</f>
        <v>1.8506351845668449</v>
      </c>
      <c r="AB108" s="2620">
        <f>'Energy Effic. Kits Deemed Table'!K338</f>
        <v>30</v>
      </c>
      <c r="AC108" s="3617">
        <f t="shared" ref="AC108" si="110">AE108+AF108</f>
        <v>52.401185027848364</v>
      </c>
      <c r="AD108" s="3617"/>
      <c r="AE108" s="1661">
        <f>'Energy Effic. Kits Deemed Table'!BD338</f>
        <v>52.401185027848364</v>
      </c>
      <c r="AF108" s="2453"/>
      <c r="AG108" s="2453"/>
      <c r="AH108" s="2453"/>
      <c r="AI108" s="684" t="str">
        <f>'Energy Effic. Kits Deemed Table'!L338</f>
        <v>per measure</v>
      </c>
      <c r="AM108" s="2433">
        <f t="shared" ref="AM108:AM140" si="111">VLOOKUP(C108,$AS$10:$AT$33,2,FALSE)</f>
        <v>1.148238E-4</v>
      </c>
      <c r="AN108" s="100">
        <f t="shared" ref="AN108" si="112">AM108*I108</f>
        <v>1.7448624648E-2</v>
      </c>
      <c r="AO108" s="2437">
        <f t="shared" ref="AO108" si="113">AN108-O108</f>
        <v>-3.7535199999896851E-7</v>
      </c>
    </row>
    <row r="109" spans="1:41" x14ac:dyDescent="0.25">
      <c r="A109" s="103" t="str">
        <f t="shared" si="56"/>
        <v>350050</v>
      </c>
      <c r="B109" s="1960" t="str">
        <f>'HVAC Deemed Table'!C7</f>
        <v>350050_2021_12_</v>
      </c>
      <c r="C109" s="1962" t="str">
        <f>'HVAC Deemed Table'!G7</f>
        <v>HVAC RES</v>
      </c>
      <c r="D109" s="1962"/>
      <c r="E109" s="1962"/>
      <c r="F109" s="1962"/>
      <c r="G109" s="1962" t="str">
        <f>'HVAC Deemed Table'!E7</f>
        <v>ECM Auto Fan ROF-SF</v>
      </c>
      <c r="H109" s="63" t="str">
        <f>'HVAC Deemed Table'!D7</f>
        <v>SF</v>
      </c>
      <c r="I109" s="2438">
        <f>'HVAC Deemed Table'!F7</f>
        <v>0</v>
      </c>
      <c r="J109" s="2438">
        <v>0</v>
      </c>
      <c r="K109" s="2439">
        <v>0</v>
      </c>
      <c r="L109" s="2439">
        <v>0</v>
      </c>
      <c r="M109" s="2439">
        <v>0</v>
      </c>
      <c r="N109" s="2439">
        <v>0</v>
      </c>
      <c r="O109" s="2440">
        <f>'HVAC Deemed Table'!M7</f>
        <v>0</v>
      </c>
      <c r="P109" s="2440">
        <v>0</v>
      </c>
      <c r="Q109" s="2441">
        <v>0</v>
      </c>
      <c r="R109" s="2441">
        <v>0</v>
      </c>
      <c r="S109" s="2441"/>
      <c r="T109" s="2441"/>
      <c r="U109" s="1819">
        <v>0</v>
      </c>
      <c r="V109" s="1819"/>
      <c r="W109" s="1819">
        <f t="shared" ref="W109:W116" si="114">O109</f>
        <v>0</v>
      </c>
      <c r="X109" s="68">
        <f>'HVAC Deemed Table'!N7</f>
        <v>20</v>
      </c>
      <c r="Y109" s="68"/>
      <c r="Z109" s="68">
        <f t="shared" si="92"/>
        <v>20</v>
      </c>
      <c r="AA109" s="3622" t="str">
        <f>'HVAC Deemed Table'!BB7</f>
        <v/>
      </c>
      <c r="AB109" s="2620">
        <f>'HVAC Deemed Table'!O7</f>
        <v>0</v>
      </c>
      <c r="AC109" s="3618">
        <f t="shared" si="95"/>
        <v>0</v>
      </c>
      <c r="AD109" s="3618"/>
      <c r="AE109" s="3623">
        <f>'HVAC Deemed Table'!BD7</f>
        <v>0</v>
      </c>
      <c r="AF109" s="2453">
        <v>0</v>
      </c>
      <c r="AG109" s="2453">
        <v>0</v>
      </c>
      <c r="AH109" s="2453">
        <v>0</v>
      </c>
      <c r="AI109" s="3624" t="str">
        <f>AI106</f>
        <v>per measure</v>
      </c>
      <c r="AJ109" s="1805"/>
      <c r="AK109" s="1805"/>
      <c r="AL109" s="1805"/>
      <c r="AM109" s="1972">
        <f t="shared" si="111"/>
        <v>4.6608050000000002E-4</v>
      </c>
      <c r="AN109" s="1930">
        <f t="shared" si="101"/>
        <v>0</v>
      </c>
      <c r="AO109" s="1971">
        <f t="shared" si="93"/>
        <v>0</v>
      </c>
    </row>
    <row r="110" spans="1:41" x14ac:dyDescent="0.25">
      <c r="A110" s="103" t="str">
        <f t="shared" si="56"/>
        <v>350100</v>
      </c>
      <c r="B110" s="1960" t="str">
        <f>'HVAC Deemed Table'!C8</f>
        <v>350100_2021_12_</v>
      </c>
      <c r="C110" s="1962" t="str">
        <f>'HVAC Deemed Table'!G8</f>
        <v>HVAC RES</v>
      </c>
      <c r="D110" s="1962"/>
      <c r="E110" s="1962"/>
      <c r="F110" s="1962"/>
      <c r="G110" s="1962" t="str">
        <f>'HVAC Deemed Table'!E8</f>
        <v>ECM Auto Fan ROF-MF</v>
      </c>
      <c r="H110" s="63" t="str">
        <f>'HVAC Deemed Table'!D8</f>
        <v>MF</v>
      </c>
      <c r="I110" s="2438">
        <f>'HVAC Deemed Table'!F8</f>
        <v>0</v>
      </c>
      <c r="J110" s="2438">
        <v>0</v>
      </c>
      <c r="K110" s="2439">
        <v>0</v>
      </c>
      <c r="L110" s="2439">
        <v>0</v>
      </c>
      <c r="M110" s="2439">
        <v>0</v>
      </c>
      <c r="N110" s="2439">
        <v>0</v>
      </c>
      <c r="O110" s="2440">
        <f>'HVAC Deemed Table'!M8</f>
        <v>0</v>
      </c>
      <c r="P110" s="2440">
        <v>0</v>
      </c>
      <c r="Q110" s="2441">
        <v>0</v>
      </c>
      <c r="R110" s="2441">
        <v>0</v>
      </c>
      <c r="S110" s="2441"/>
      <c r="T110" s="2441"/>
      <c r="U110" s="1819">
        <v>0</v>
      </c>
      <c r="V110" s="1819"/>
      <c r="W110" s="1819">
        <f t="shared" si="114"/>
        <v>0</v>
      </c>
      <c r="X110" s="68">
        <f>'HVAC Deemed Table'!N8</f>
        <v>20</v>
      </c>
      <c r="Y110" s="68"/>
      <c r="Z110" s="68">
        <f t="shared" si="92"/>
        <v>20</v>
      </c>
      <c r="AA110" s="3622" t="str">
        <f>'HVAC Deemed Table'!BB8</f>
        <v/>
      </c>
      <c r="AB110" s="2620">
        <f>'HVAC Deemed Table'!O8</f>
        <v>0</v>
      </c>
      <c r="AC110" s="3618">
        <f t="shared" si="95"/>
        <v>0</v>
      </c>
      <c r="AD110" s="3618"/>
      <c r="AE110" s="3623">
        <f>'HVAC Deemed Table'!BD8</f>
        <v>0</v>
      </c>
      <c r="AF110" s="2453">
        <v>0</v>
      </c>
      <c r="AG110" s="2453">
        <v>0</v>
      </c>
      <c r="AH110" s="2453">
        <v>0</v>
      </c>
      <c r="AI110" s="3624" t="str">
        <f t="shared" ref="AI110:AI173" si="115">AI109</f>
        <v>per measure</v>
      </c>
      <c r="AJ110" s="1805"/>
      <c r="AK110" s="1805"/>
      <c r="AL110" s="1805"/>
      <c r="AM110" s="1972">
        <f t="shared" si="111"/>
        <v>4.6608050000000002E-4</v>
      </c>
      <c r="AN110" s="1930">
        <f t="shared" si="101"/>
        <v>0</v>
      </c>
      <c r="AO110" s="1971">
        <f t="shared" si="93"/>
        <v>0</v>
      </c>
    </row>
    <row r="111" spans="1:41" x14ac:dyDescent="0.25">
      <c r="A111" s="103" t="str">
        <f t="shared" si="56"/>
        <v>350150</v>
      </c>
      <c r="B111" s="1960" t="str">
        <f>'HVAC Deemed Table'!C9</f>
        <v>350150_2021_12_</v>
      </c>
      <c r="C111" s="1962" t="str">
        <f>'HVAC Deemed Table'!G9</f>
        <v>HVAC RES</v>
      </c>
      <c r="D111" s="1962" t="str">
        <f>'HVAC Deemed Table'!G10</f>
        <v>HVAC RES ER2</v>
      </c>
      <c r="E111" s="1962"/>
      <c r="F111" s="1962"/>
      <c r="G111" s="1962" t="str">
        <f>'HVAC Deemed Table'!E9</f>
        <v>ECM Auto Fan ER1 - SF</v>
      </c>
      <c r="H111" s="63" t="str">
        <f>'HVAC Deemed Table'!D9</f>
        <v>SF</v>
      </c>
      <c r="I111" s="2438">
        <f>'HVAC Deemed Table'!F9</f>
        <v>582</v>
      </c>
      <c r="J111" s="2438">
        <f>'HVAC Deemed Table'!F10</f>
        <v>0</v>
      </c>
      <c r="K111" s="2439">
        <v>0</v>
      </c>
      <c r="L111" s="2439">
        <v>0</v>
      </c>
      <c r="M111" s="2439">
        <v>0</v>
      </c>
      <c r="N111" s="2439">
        <v>0</v>
      </c>
      <c r="O111" s="2440">
        <f>'HVAC Deemed Table'!M9</f>
        <v>0.27125899999999997</v>
      </c>
      <c r="P111" s="2440">
        <f>'HVAC Deemed Table'!M10</f>
        <v>0</v>
      </c>
      <c r="Q111" s="2441">
        <v>0</v>
      </c>
      <c r="R111" s="2441">
        <v>0</v>
      </c>
      <c r="S111" s="2441"/>
      <c r="T111" s="2441"/>
      <c r="U111" s="1819">
        <v>0</v>
      </c>
      <c r="V111" s="1819"/>
      <c r="W111" s="1819">
        <f t="shared" si="114"/>
        <v>0.27125899999999997</v>
      </c>
      <c r="X111" s="68">
        <f>'HVAC Deemed Table'!N9</f>
        <v>6</v>
      </c>
      <c r="Y111" s="68">
        <f>'HVAC Deemed Table'!N10</f>
        <v>0</v>
      </c>
      <c r="Z111" s="68">
        <f>Y111+X111</f>
        <v>6</v>
      </c>
      <c r="AA111" s="3616">
        <f>'HVAC Deemed Table'!BB9</f>
        <v>3.0599660110586155</v>
      </c>
      <c r="AB111" s="2620">
        <f>'HVAC Deemed Table'!O9</f>
        <v>74.327224020150311</v>
      </c>
      <c r="AC111" s="3618">
        <f t="shared" si="95"/>
        <v>214.66614365077814</v>
      </c>
      <c r="AD111" s="3618">
        <f>AG111+AH111</f>
        <v>0</v>
      </c>
      <c r="AE111" s="3623">
        <f>'HVAC Deemed Table'!BD9</f>
        <v>214.66614365077814</v>
      </c>
      <c r="AF111" s="2453">
        <v>0</v>
      </c>
      <c r="AG111" s="3623">
        <f>'HVAC Deemed Table'!BD10</f>
        <v>0</v>
      </c>
      <c r="AH111" s="2453">
        <v>0</v>
      </c>
      <c r="AI111" s="3624" t="str">
        <f t="shared" si="115"/>
        <v>per measure</v>
      </c>
      <c r="AJ111" s="1805"/>
      <c r="AK111" s="1805"/>
      <c r="AL111" s="1805"/>
      <c r="AM111" s="1972">
        <f t="shared" si="111"/>
        <v>4.6608050000000002E-4</v>
      </c>
      <c r="AN111" s="1930">
        <f t="shared" si="101"/>
        <v>0.27125885100000002</v>
      </c>
      <c r="AO111" s="1971">
        <f t="shared" si="93"/>
        <v>-1.4899999994932855E-7</v>
      </c>
    </row>
    <row r="112" spans="1:41" x14ac:dyDescent="0.25">
      <c r="A112" s="103" t="str">
        <f t="shared" si="56"/>
        <v>350175</v>
      </c>
      <c r="B112" s="1960" t="str">
        <f>'HVAC Deemed Table'!C11</f>
        <v>350175_2021_12_</v>
      </c>
      <c r="C112" s="1962" t="str">
        <f>'HVAC Deemed Table'!G11</f>
        <v>HVAC RES</v>
      </c>
      <c r="D112" s="1962" t="str">
        <f>'HVAC Deemed Table'!G12</f>
        <v>HVAC RES ER2</v>
      </c>
      <c r="E112" s="1962"/>
      <c r="F112" s="1962"/>
      <c r="G112" s="1962" t="str">
        <f>'HVAC Deemed Table'!E11</f>
        <v>ECM Auto Fan ER1 - MF</v>
      </c>
      <c r="H112" s="63" t="str">
        <f>'HVAC Deemed Table'!D11</f>
        <v>MF</v>
      </c>
      <c r="I112" s="2438">
        <f>'HVAC Deemed Table'!F11</f>
        <v>582</v>
      </c>
      <c r="J112" s="2438">
        <f>'HVAC Deemed Table'!F12</f>
        <v>0</v>
      </c>
      <c r="K112" s="2439">
        <v>0</v>
      </c>
      <c r="L112" s="2439">
        <v>0</v>
      </c>
      <c r="M112" s="2439">
        <v>0</v>
      </c>
      <c r="N112" s="2439">
        <v>0</v>
      </c>
      <c r="O112" s="2440">
        <f>'HVAC Deemed Table'!M11</f>
        <v>0.27125899999999997</v>
      </c>
      <c r="P112" s="2440">
        <f>'HVAC Deemed Table'!M12</f>
        <v>0</v>
      </c>
      <c r="Q112" s="2441">
        <v>0</v>
      </c>
      <c r="R112" s="2441">
        <v>0</v>
      </c>
      <c r="S112" s="2441"/>
      <c r="T112" s="2441"/>
      <c r="U112" s="1819">
        <v>0</v>
      </c>
      <c r="V112" s="1819"/>
      <c r="W112" s="1819">
        <f t="shared" si="114"/>
        <v>0.27125899999999997</v>
      </c>
      <c r="X112" s="68">
        <f>'HVAC Deemed Table'!N11</f>
        <v>6</v>
      </c>
      <c r="Y112" s="68">
        <f>'HVAC Deemed Table'!N12</f>
        <v>0</v>
      </c>
      <c r="Z112" s="68">
        <f t="shared" ref="Z112:Z194" si="116">Y112+X112</f>
        <v>6</v>
      </c>
      <c r="AA112" s="3616">
        <f>'HVAC Deemed Table'!BB11</f>
        <v>3.0599660110586155</v>
      </c>
      <c r="AB112" s="2620">
        <f>'HVAC Deemed Table'!O11</f>
        <v>74.327224020150311</v>
      </c>
      <c r="AC112" s="3618">
        <f t="shared" ref="AC112:AC201" si="117">AE112+AF112</f>
        <v>214.66614365077814</v>
      </c>
      <c r="AD112" s="3618">
        <f t="shared" ref="AD112:AD201" si="118">AG112+AH112</f>
        <v>0</v>
      </c>
      <c r="AE112" s="3623">
        <f>'HVAC Deemed Table'!BD11</f>
        <v>214.66614365077814</v>
      </c>
      <c r="AF112" s="2453">
        <v>0</v>
      </c>
      <c r="AG112" s="3623">
        <f>'HVAC Deemed Table'!BD12</f>
        <v>0</v>
      </c>
      <c r="AH112" s="2453">
        <v>0</v>
      </c>
      <c r="AI112" s="3624" t="str">
        <f t="shared" si="115"/>
        <v>per measure</v>
      </c>
      <c r="AJ112" s="1805"/>
      <c r="AK112" s="1805"/>
      <c r="AL112" s="1805"/>
      <c r="AM112" s="1972">
        <f t="shared" si="111"/>
        <v>4.6608050000000002E-4</v>
      </c>
      <c r="AN112" s="1930">
        <f t="shared" si="101"/>
        <v>0.27125885100000002</v>
      </c>
      <c r="AO112" s="1971">
        <f t="shared" si="93"/>
        <v>-1.4899999994932855E-7</v>
      </c>
    </row>
    <row r="113" spans="1:41" x14ac:dyDescent="0.25">
      <c r="A113" s="103" t="str">
        <f t="shared" si="56"/>
        <v>350200</v>
      </c>
      <c r="B113" s="1960" t="str">
        <f>'HVAC Deemed Table'!C13</f>
        <v>350200_2021_12_</v>
      </c>
      <c r="C113" s="1962" t="str">
        <f>'HVAC Deemed Table'!G13</f>
        <v>HVAC RES</v>
      </c>
      <c r="D113" s="1962"/>
      <c r="E113" s="1962"/>
      <c r="F113" s="1962"/>
      <c r="G113" s="1962" t="str">
        <f>'HVAC Deemed Table'!E13</f>
        <v>ECM Continuous Fan ROF- SF</v>
      </c>
      <c r="H113" s="63" t="str">
        <f>'HVAC Deemed Table'!D13</f>
        <v>SF</v>
      </c>
      <c r="I113" s="2438">
        <f>'HVAC Deemed Table'!F13</f>
        <v>0</v>
      </c>
      <c r="J113" s="2438">
        <v>0</v>
      </c>
      <c r="K113" s="2439">
        <v>0</v>
      </c>
      <c r="L113" s="2439">
        <v>0</v>
      </c>
      <c r="M113" s="2439">
        <v>0</v>
      </c>
      <c r="N113" s="2439">
        <v>0</v>
      </c>
      <c r="O113" s="2440">
        <f>'HVAC Deemed Table'!M13</f>
        <v>0</v>
      </c>
      <c r="P113" s="2440">
        <v>0</v>
      </c>
      <c r="Q113" s="2441">
        <v>0</v>
      </c>
      <c r="R113" s="2441">
        <v>0</v>
      </c>
      <c r="S113" s="2441"/>
      <c r="T113" s="2441"/>
      <c r="U113" s="1819">
        <v>0</v>
      </c>
      <c r="V113" s="1819"/>
      <c r="W113" s="1819">
        <f t="shared" si="114"/>
        <v>0</v>
      </c>
      <c r="X113" s="68">
        <f>'HVAC Deemed Table'!N13</f>
        <v>20</v>
      </c>
      <c r="Y113" s="68"/>
      <c r="Z113" s="68">
        <f t="shared" si="116"/>
        <v>20</v>
      </c>
      <c r="AA113" s="3622" t="str">
        <f>'HVAC Deemed Table'!BB13</f>
        <v/>
      </c>
      <c r="AB113" s="2620">
        <f>'HVAC Deemed Table'!O13</f>
        <v>0</v>
      </c>
      <c r="AC113" s="3618">
        <f t="shared" si="117"/>
        <v>0</v>
      </c>
      <c r="AD113" s="3618">
        <f t="shared" si="118"/>
        <v>0</v>
      </c>
      <c r="AE113" s="3623">
        <f>'HVAC Deemed Table'!BD13</f>
        <v>0</v>
      </c>
      <c r="AF113" s="2453">
        <v>0</v>
      </c>
      <c r="AG113" s="3623">
        <v>0</v>
      </c>
      <c r="AH113" s="2453">
        <v>0</v>
      </c>
      <c r="AI113" s="3624" t="str">
        <f t="shared" si="115"/>
        <v>per measure</v>
      </c>
      <c r="AJ113" s="1805"/>
      <c r="AK113" s="1805"/>
      <c r="AL113" s="1805"/>
      <c r="AM113" s="1972">
        <f t="shared" si="111"/>
        <v>4.6608050000000002E-4</v>
      </c>
      <c r="AN113" s="1930">
        <f t="shared" si="101"/>
        <v>0</v>
      </c>
      <c r="AO113" s="1971">
        <f t="shared" si="93"/>
        <v>0</v>
      </c>
    </row>
    <row r="114" spans="1:41" x14ac:dyDescent="0.25">
      <c r="A114" s="103" t="str">
        <f t="shared" si="56"/>
        <v>350250</v>
      </c>
      <c r="B114" s="1960" t="str">
        <f>'HVAC Deemed Table'!C14</f>
        <v>350250_2021_12_</v>
      </c>
      <c r="C114" s="1962" t="str">
        <f>'HVAC Deemed Table'!G14</f>
        <v>HVAC RES</v>
      </c>
      <c r="D114" s="1962"/>
      <c r="E114" s="1962"/>
      <c r="F114" s="1962"/>
      <c r="G114" s="1962" t="str">
        <f>'HVAC Deemed Table'!E14</f>
        <v>ECM Continuous Fan ROF- MF</v>
      </c>
      <c r="H114" s="63" t="str">
        <f>'HVAC Deemed Table'!D14</f>
        <v>MF</v>
      </c>
      <c r="I114" s="2438">
        <f>'HVAC Deemed Table'!F14</f>
        <v>0</v>
      </c>
      <c r="J114" s="2438">
        <v>0</v>
      </c>
      <c r="K114" s="2439">
        <v>0</v>
      </c>
      <c r="L114" s="2439">
        <v>0</v>
      </c>
      <c r="M114" s="2439">
        <v>0</v>
      </c>
      <c r="N114" s="2439">
        <v>0</v>
      </c>
      <c r="O114" s="2440">
        <f>'HVAC Deemed Table'!M14</f>
        <v>0</v>
      </c>
      <c r="P114" s="2440">
        <v>0</v>
      </c>
      <c r="Q114" s="2441">
        <v>0</v>
      </c>
      <c r="R114" s="2441">
        <v>0</v>
      </c>
      <c r="S114" s="2441"/>
      <c r="T114" s="2441"/>
      <c r="U114" s="1819">
        <v>0</v>
      </c>
      <c r="V114" s="1819"/>
      <c r="W114" s="1819">
        <f t="shared" si="114"/>
        <v>0</v>
      </c>
      <c r="X114" s="68">
        <f>'HVAC Deemed Table'!N14</f>
        <v>20</v>
      </c>
      <c r="Y114" s="68"/>
      <c r="Z114" s="68">
        <f t="shared" si="116"/>
        <v>20</v>
      </c>
      <c r="AA114" s="3622" t="str">
        <f>'HVAC Deemed Table'!BB14</f>
        <v/>
      </c>
      <c r="AB114" s="2620">
        <f>'HVAC Deemed Table'!O14</f>
        <v>0</v>
      </c>
      <c r="AC114" s="3618">
        <f t="shared" si="117"/>
        <v>0</v>
      </c>
      <c r="AD114" s="3618">
        <f t="shared" si="118"/>
        <v>0</v>
      </c>
      <c r="AE114" s="3623">
        <f>'HVAC Deemed Table'!BD14</f>
        <v>0</v>
      </c>
      <c r="AF114" s="2453">
        <v>0</v>
      </c>
      <c r="AG114" s="3623">
        <v>0</v>
      </c>
      <c r="AH114" s="2453">
        <v>0</v>
      </c>
      <c r="AI114" s="3624" t="str">
        <f t="shared" si="115"/>
        <v>per measure</v>
      </c>
      <c r="AJ114" s="1805"/>
      <c r="AK114" s="1805"/>
      <c r="AL114" s="1805"/>
      <c r="AM114" s="1972">
        <f t="shared" si="111"/>
        <v>4.6608050000000002E-4</v>
      </c>
      <c r="AN114" s="1930">
        <f t="shared" si="101"/>
        <v>0</v>
      </c>
      <c r="AO114" s="1971">
        <f t="shared" si="93"/>
        <v>0</v>
      </c>
    </row>
    <row r="115" spans="1:41" x14ac:dyDescent="0.25">
      <c r="A115" s="103" t="str">
        <f t="shared" si="56"/>
        <v>350300</v>
      </c>
      <c r="B115" s="1960" t="str">
        <f>'HVAC Deemed Table'!C15</f>
        <v>350300_2021_12_</v>
      </c>
      <c r="C115" s="1962" t="str">
        <f>'HVAC Deemed Table'!G15</f>
        <v>HVAC RES</v>
      </c>
      <c r="D115" s="1962" t="str">
        <f>'HVAC Deemed Table'!G16</f>
        <v>HVAC RES ER2</v>
      </c>
      <c r="E115" s="1962"/>
      <c r="F115" s="1962"/>
      <c r="G115" s="1962" t="str">
        <f>'HVAC Deemed Table'!E15</f>
        <v>ECM Continuous Fan ER1 - SF</v>
      </c>
      <c r="H115" s="63" t="str">
        <f>'HVAC Deemed Table'!D15</f>
        <v>SF</v>
      </c>
      <c r="I115" s="2438">
        <f>'HVAC Deemed Table'!F15</f>
        <v>582</v>
      </c>
      <c r="J115" s="2438">
        <f>'HVAC Deemed Table'!F16</f>
        <v>0</v>
      </c>
      <c r="K115" s="2439">
        <v>0</v>
      </c>
      <c r="L115" s="2439">
        <v>0</v>
      </c>
      <c r="M115" s="2439">
        <v>0</v>
      </c>
      <c r="N115" s="2439">
        <v>0</v>
      </c>
      <c r="O115" s="2440">
        <f>'HVAC Deemed Table'!M15</f>
        <v>0.27125899999999997</v>
      </c>
      <c r="P115" s="2440">
        <f>'HVAC Deemed Table'!M16</f>
        <v>0</v>
      </c>
      <c r="Q115" s="2441">
        <v>0</v>
      </c>
      <c r="R115" s="2441">
        <v>0</v>
      </c>
      <c r="S115" s="2441"/>
      <c r="T115" s="2441"/>
      <c r="U115" s="1819">
        <v>0</v>
      </c>
      <c r="V115" s="1819"/>
      <c r="W115" s="1819">
        <f t="shared" si="114"/>
        <v>0.27125899999999997</v>
      </c>
      <c r="X115" s="68">
        <f>'HVAC Deemed Table'!N15</f>
        <v>6</v>
      </c>
      <c r="Y115" s="68">
        <f>'HVAC Deemed Table'!N16</f>
        <v>0</v>
      </c>
      <c r="Z115" s="68">
        <f t="shared" si="116"/>
        <v>6</v>
      </c>
      <c r="AA115" s="3616">
        <f>'HVAC Deemed Table'!BB15</f>
        <v>3.0599660110586155</v>
      </c>
      <c r="AB115" s="2620">
        <f>'HVAC Deemed Table'!O15</f>
        <v>74.327224020150311</v>
      </c>
      <c r="AC115" s="3618">
        <f t="shared" si="117"/>
        <v>214.66614365077814</v>
      </c>
      <c r="AD115" s="3618">
        <f t="shared" si="118"/>
        <v>0</v>
      </c>
      <c r="AE115" s="3623">
        <f>'HVAC Deemed Table'!BD15</f>
        <v>214.66614365077814</v>
      </c>
      <c r="AF115" s="2453">
        <v>0</v>
      </c>
      <c r="AG115" s="3623">
        <f>'HVAC Deemed Table'!BD16</f>
        <v>0</v>
      </c>
      <c r="AH115" s="2453">
        <v>0</v>
      </c>
      <c r="AI115" s="3624" t="str">
        <f t="shared" si="115"/>
        <v>per measure</v>
      </c>
      <c r="AJ115" s="1805"/>
      <c r="AK115" s="1805"/>
      <c r="AL115" s="1805"/>
      <c r="AM115" s="1972">
        <f t="shared" si="111"/>
        <v>4.6608050000000002E-4</v>
      </c>
      <c r="AN115" s="1930">
        <f t="shared" si="101"/>
        <v>0.27125885100000002</v>
      </c>
      <c r="AO115" s="1971">
        <f t="shared" si="93"/>
        <v>-1.4899999994932855E-7</v>
      </c>
    </row>
    <row r="116" spans="1:41" x14ac:dyDescent="0.25">
      <c r="A116" s="103" t="str">
        <f t="shared" si="56"/>
        <v>350350</v>
      </c>
      <c r="B116" s="1960" t="str">
        <f>'HVAC Deemed Table'!C17</f>
        <v>350350_2021_12_</v>
      </c>
      <c r="C116" s="1962" t="str">
        <f>'HVAC Deemed Table'!G17</f>
        <v>HVAC RES</v>
      </c>
      <c r="D116" s="1962" t="str">
        <f>'HVAC Deemed Table'!G18</f>
        <v>HVAC RES ER2</v>
      </c>
      <c r="E116" s="1962"/>
      <c r="F116" s="1962"/>
      <c r="G116" s="1962" t="str">
        <f>'HVAC Deemed Table'!E17</f>
        <v>ECM Continuous Fan ER1 - MF</v>
      </c>
      <c r="H116" s="63" t="str">
        <f>'HVAC Deemed Table'!D17</f>
        <v>MF</v>
      </c>
      <c r="I116" s="2438">
        <f>'HVAC Deemed Table'!F17</f>
        <v>582</v>
      </c>
      <c r="J116" s="2438">
        <f>'HVAC Deemed Table'!F18</f>
        <v>0</v>
      </c>
      <c r="K116" s="2439">
        <v>0</v>
      </c>
      <c r="L116" s="2439">
        <v>0</v>
      </c>
      <c r="M116" s="2439">
        <v>0</v>
      </c>
      <c r="N116" s="2439">
        <v>0</v>
      </c>
      <c r="O116" s="2440">
        <f>'HVAC Deemed Table'!M17</f>
        <v>0.27125899999999997</v>
      </c>
      <c r="P116" s="2440">
        <f>'HVAC Deemed Table'!M18</f>
        <v>0</v>
      </c>
      <c r="Q116" s="2441">
        <v>0</v>
      </c>
      <c r="R116" s="2441">
        <v>0</v>
      </c>
      <c r="S116" s="2441"/>
      <c r="T116" s="2441"/>
      <c r="U116" s="1819">
        <v>0</v>
      </c>
      <c r="V116" s="1819"/>
      <c r="W116" s="1819">
        <f t="shared" si="114"/>
        <v>0.27125899999999997</v>
      </c>
      <c r="X116" s="68">
        <f>'HVAC Deemed Table'!N17</f>
        <v>6</v>
      </c>
      <c r="Y116" s="68">
        <f>'HVAC Deemed Table'!N18</f>
        <v>0</v>
      </c>
      <c r="Z116" s="68">
        <f t="shared" si="116"/>
        <v>6</v>
      </c>
      <c r="AA116" s="3616">
        <f>'HVAC Deemed Table'!BB17</f>
        <v>3.0599660110586155</v>
      </c>
      <c r="AB116" s="2620">
        <f>'HVAC Deemed Table'!O17</f>
        <v>74.327224020150311</v>
      </c>
      <c r="AC116" s="3618">
        <f t="shared" si="117"/>
        <v>214.66614365077814</v>
      </c>
      <c r="AD116" s="3618">
        <f t="shared" si="118"/>
        <v>0</v>
      </c>
      <c r="AE116" s="3623">
        <f>'HVAC Deemed Table'!BD17</f>
        <v>214.66614365077814</v>
      </c>
      <c r="AF116" s="2453">
        <v>0</v>
      </c>
      <c r="AG116" s="3623">
        <f>'HVAC Deemed Table'!BD18</f>
        <v>0</v>
      </c>
      <c r="AH116" s="2453">
        <v>0</v>
      </c>
      <c r="AI116" s="3624" t="str">
        <f t="shared" si="115"/>
        <v>per measure</v>
      </c>
      <c r="AJ116" s="1805"/>
      <c r="AK116" s="1805"/>
      <c r="AL116" s="1805"/>
      <c r="AM116" s="1972">
        <f t="shared" si="111"/>
        <v>4.6608050000000002E-4</v>
      </c>
      <c r="AN116" s="1930">
        <f t="shared" si="101"/>
        <v>0.27125885100000002</v>
      </c>
      <c r="AO116" s="1971">
        <f t="shared" si="93"/>
        <v>-1.4899999994932855E-7</v>
      </c>
    </row>
    <row r="117" spans="1:41" x14ac:dyDescent="0.25">
      <c r="A117" s="103" t="str">
        <f t="shared" si="56"/>
        <v>350400</v>
      </c>
      <c r="B117" s="1960" t="str">
        <f>'HVAC Deemed Table'!C119</f>
        <v>350400_2021_12_</v>
      </c>
      <c r="C117" s="1962" t="str">
        <f>'HVAC Deemed Table'!G119</f>
        <v>Cooling RES</v>
      </c>
      <c r="D117" s="1962" t="str">
        <f>'HVAC Deemed Table'!G120</f>
        <v>Cooling RES ER2</v>
      </c>
      <c r="E117" s="1962"/>
      <c r="F117" s="1962"/>
      <c r="G117" s="1962" t="str">
        <f>'HVAC Deemed Table'!E119</f>
        <v>CAC-SEER14_ER1_SF</v>
      </c>
      <c r="H117" s="63" t="str">
        <f>'HVAC Deemed Table'!D119</f>
        <v>SF</v>
      </c>
      <c r="I117" s="2438">
        <f>K117+L117</f>
        <v>1529.78</v>
      </c>
      <c r="J117" s="2438">
        <f>M117+N117</f>
        <v>192.34</v>
      </c>
      <c r="K117" s="2439">
        <f>'HVAC Deemed Table'!F119</f>
        <v>1529.78</v>
      </c>
      <c r="L117" s="2439">
        <v>0</v>
      </c>
      <c r="M117" s="2439">
        <f>'HVAC Deemed Table'!F120</f>
        <v>192.34</v>
      </c>
      <c r="N117" s="2439">
        <v>0</v>
      </c>
      <c r="O117" s="2440">
        <f t="shared" ref="O117:O166" si="119">Q117+R117</f>
        <v>1.449341</v>
      </c>
      <c r="P117" s="2440">
        <f t="shared" ref="P117:P166" si="120">S117+T117</f>
        <v>0.182226</v>
      </c>
      <c r="Q117" s="2441">
        <f>'HVAC Deemed Table'!I119</f>
        <v>1.449341</v>
      </c>
      <c r="R117" s="2441"/>
      <c r="S117" s="2441">
        <f>'HVAC Deemed Table'!I120</f>
        <v>0.182226</v>
      </c>
      <c r="T117" s="2441"/>
      <c r="U117" s="1819"/>
      <c r="V117" s="1819"/>
      <c r="W117" s="1821">
        <f>P117</f>
        <v>0.182226</v>
      </c>
      <c r="X117" s="68">
        <f>'HVAC Deemed Table'!J119</f>
        <v>6</v>
      </c>
      <c r="Y117" s="68">
        <f>'HVAC Deemed Table'!J120</f>
        <v>12</v>
      </c>
      <c r="Z117" s="68">
        <f t="shared" si="116"/>
        <v>18</v>
      </c>
      <c r="AA117" s="3616">
        <f>'HVAC Deemed Table'!BB119</f>
        <v>2.6648668150750519</v>
      </c>
      <c r="AB117" s="2620">
        <f>'HVAC Deemed Table'!K119</f>
        <v>444.07830140084025</v>
      </c>
      <c r="AC117" s="3618">
        <f t="shared" si="117"/>
        <v>889.54284277471561</v>
      </c>
      <c r="AD117" s="3618">
        <f t="shared" si="118"/>
        <v>227.40810455704087</v>
      </c>
      <c r="AE117" s="2453">
        <f>'HVAC Deemed Table'!BD119</f>
        <v>889.54284277471561</v>
      </c>
      <c r="AF117" s="2453">
        <v>0</v>
      </c>
      <c r="AG117" s="2453">
        <f>'HVAC Deemed Table'!BD120</f>
        <v>227.40810455704087</v>
      </c>
      <c r="AH117" s="2453">
        <v>0</v>
      </c>
      <c r="AI117" s="3624" t="str">
        <f t="shared" si="115"/>
        <v>per measure</v>
      </c>
      <c r="AJ117" s="126">
        <f>'HVAC Deemed Table'!L119</f>
        <v>2.98</v>
      </c>
      <c r="AK117" s="1805"/>
      <c r="AL117" s="1805"/>
      <c r="AM117" s="1972">
        <f t="shared" si="111"/>
        <v>9.4741810000000004E-4</v>
      </c>
      <c r="AN117" s="1930">
        <f t="shared" si="101"/>
        <v>1.4493412610180001</v>
      </c>
      <c r="AO117" s="1971">
        <f t="shared" si="93"/>
        <v>2.610180001028084E-7</v>
      </c>
    </row>
    <row r="118" spans="1:41" x14ac:dyDescent="0.25">
      <c r="A118" s="103" t="str">
        <f t="shared" si="56"/>
        <v>350450</v>
      </c>
      <c r="B118" s="1960" t="str">
        <f>'HVAC Deemed Table'!C121</f>
        <v>350450_2021_12_</v>
      </c>
      <c r="C118" s="1962" t="str">
        <f>'HVAC Deemed Table'!G121</f>
        <v>Cooling RES</v>
      </c>
      <c r="D118" s="1962"/>
      <c r="E118" s="1962"/>
      <c r="F118" s="1962"/>
      <c r="G118" s="1962" t="str">
        <f>'HVAC Deemed Table'!E121</f>
        <v>CAC-SEER14_ROF_SF</v>
      </c>
      <c r="H118" s="63" t="str">
        <f>'HVAC Deemed Table'!D121</f>
        <v>SF</v>
      </c>
      <c r="I118" s="2438">
        <f>K118+L118</f>
        <v>191.69</v>
      </c>
      <c r="J118" s="2438">
        <f>M118+N118</f>
        <v>0</v>
      </c>
      <c r="K118" s="2439">
        <f>'HVAC Deemed Table'!F121</f>
        <v>191.69</v>
      </c>
      <c r="L118" s="2439">
        <v>0</v>
      </c>
      <c r="M118" s="2439">
        <v>0</v>
      </c>
      <c r="N118" s="2439">
        <v>0</v>
      </c>
      <c r="O118" s="2440">
        <f t="shared" si="119"/>
        <v>0.18161099999999999</v>
      </c>
      <c r="P118" s="2440">
        <f t="shared" si="120"/>
        <v>0</v>
      </c>
      <c r="Q118" s="2441">
        <f>'HVAC Deemed Table'!I121</f>
        <v>0.18161099999999999</v>
      </c>
      <c r="R118" s="2441"/>
      <c r="S118" s="2441"/>
      <c r="T118" s="2441"/>
      <c r="U118" s="1819"/>
      <c r="V118" s="1819"/>
      <c r="W118" s="1819">
        <f>Q118</f>
        <v>0.18161099999999999</v>
      </c>
      <c r="X118" s="68">
        <f>'HVAC Deemed Table'!J121</f>
        <v>18</v>
      </c>
      <c r="Y118" s="68"/>
      <c r="Z118" s="68">
        <f t="shared" si="116"/>
        <v>18</v>
      </c>
      <c r="AA118" s="3616" t="str">
        <f>'HVAC Deemed Table'!BB121</f>
        <v/>
      </c>
      <c r="AB118" s="2620">
        <f>'HVAC Deemed Table'!K121</f>
        <v>0</v>
      </c>
      <c r="AC118" s="3618">
        <f t="shared" si="117"/>
        <v>338.10429346637727</v>
      </c>
      <c r="AD118" s="3618">
        <f t="shared" si="118"/>
        <v>0</v>
      </c>
      <c r="AE118" s="2453">
        <f>'HVAC Deemed Table'!BD121</f>
        <v>338.10429346637727</v>
      </c>
      <c r="AF118" s="2453">
        <v>0</v>
      </c>
      <c r="AG118" s="2453">
        <v>0</v>
      </c>
      <c r="AH118" s="2453">
        <v>0</v>
      </c>
      <c r="AI118" s="3624" t="str">
        <f t="shared" si="115"/>
        <v>per measure</v>
      </c>
      <c r="AJ118" s="126">
        <f>'HVAC Deemed Table'!L121</f>
        <v>2.97</v>
      </c>
      <c r="AK118" s="1805"/>
      <c r="AL118" s="1805"/>
      <c r="AM118" s="1972">
        <f t="shared" si="111"/>
        <v>9.4741810000000004E-4</v>
      </c>
      <c r="AN118" s="1930">
        <f t="shared" si="101"/>
        <v>0.18161057558900001</v>
      </c>
      <c r="AO118" s="1971">
        <f t="shared" si="93"/>
        <v>-4.2441099998291598E-7</v>
      </c>
    </row>
    <row r="119" spans="1:41" x14ac:dyDescent="0.25">
      <c r="A119" s="103" t="str">
        <f t="shared" si="56"/>
        <v>350500</v>
      </c>
      <c r="B119" s="1960" t="str">
        <f>'HVAC Deemed Table'!C122</f>
        <v>350500_2021_12_</v>
      </c>
      <c r="C119" s="1962" t="str">
        <f>'HVAC Deemed Table'!G122</f>
        <v>Cooling RES</v>
      </c>
      <c r="D119" s="1962" t="str">
        <f>'HVAC Deemed Table'!G123</f>
        <v>Cooling RES ER2</v>
      </c>
      <c r="E119" s="1962"/>
      <c r="F119" s="1962"/>
      <c r="G119" s="1962" t="str">
        <f>'HVAC Deemed Table'!E122</f>
        <v>CAC-SEER14_ER1_MF</v>
      </c>
      <c r="H119" s="63" t="str">
        <f>'HVAC Deemed Table'!D122</f>
        <v>MF</v>
      </c>
      <c r="I119" s="2438">
        <f>K119+L119</f>
        <v>1011.98</v>
      </c>
      <c r="J119" s="2438">
        <f>M119+N119</f>
        <v>114.36</v>
      </c>
      <c r="K119" s="2439">
        <f>'HVAC Deemed Table'!F122</f>
        <v>1011.98</v>
      </c>
      <c r="L119" s="2439">
        <v>0</v>
      </c>
      <c r="M119" s="2439">
        <f>'HVAC Deemed Table'!F123</f>
        <v>114.36</v>
      </c>
      <c r="N119" s="2439">
        <v>0</v>
      </c>
      <c r="O119" s="2440">
        <f t="shared" si="119"/>
        <v>0.95876799999999995</v>
      </c>
      <c r="P119" s="2440">
        <f t="shared" si="120"/>
        <v>0.108347</v>
      </c>
      <c r="Q119" s="2441">
        <f>'HVAC Deemed Table'!I122</f>
        <v>0.95876799999999995</v>
      </c>
      <c r="R119" s="2441"/>
      <c r="S119" s="2441">
        <f>'HVAC Deemed Table'!I123</f>
        <v>0.108347</v>
      </c>
      <c r="T119" s="2441"/>
      <c r="U119" s="1819"/>
      <c r="V119" s="1819"/>
      <c r="W119" s="1821">
        <f>P119</f>
        <v>0.108347</v>
      </c>
      <c r="X119" s="68">
        <f>'HVAC Deemed Table'!J122</f>
        <v>6</v>
      </c>
      <c r="Y119" s="68">
        <f>'HVAC Deemed Table'!J123</f>
        <v>12</v>
      </c>
      <c r="Z119" s="68">
        <f t="shared" si="116"/>
        <v>18</v>
      </c>
      <c r="AA119" s="3616">
        <f>'HVAC Deemed Table'!BB122</f>
        <v>1.9747302226288534</v>
      </c>
      <c r="AB119" s="2620">
        <f>'HVAC Deemed Table'!K122</f>
        <v>388.26502607230418</v>
      </c>
      <c r="AC119" s="3618">
        <f t="shared" si="117"/>
        <v>588.4503432069688</v>
      </c>
      <c r="AD119" s="3618">
        <f t="shared" si="118"/>
        <v>135.21051698629091</v>
      </c>
      <c r="AE119" s="2453">
        <f>'HVAC Deemed Table'!BD122</f>
        <v>588.4503432069688</v>
      </c>
      <c r="AF119" s="2453">
        <v>0</v>
      </c>
      <c r="AG119" s="2453">
        <f>'HVAC Deemed Table'!BD123</f>
        <v>135.21051698629091</v>
      </c>
      <c r="AH119" s="2453">
        <v>0</v>
      </c>
      <c r="AI119" s="3624" t="str">
        <f t="shared" si="115"/>
        <v>per measure</v>
      </c>
      <c r="AJ119" s="126">
        <f>'HVAC Deemed Table'!L122</f>
        <v>2</v>
      </c>
      <c r="AK119" s="1805"/>
      <c r="AL119" s="1805"/>
      <c r="AM119" s="1972">
        <f t="shared" si="111"/>
        <v>9.4741810000000004E-4</v>
      </c>
      <c r="AN119" s="1930">
        <f t="shared" si="101"/>
        <v>0.95876816883800009</v>
      </c>
      <c r="AO119" s="1971">
        <f t="shared" si="93"/>
        <v>1.6883800013633987E-7</v>
      </c>
    </row>
    <row r="120" spans="1:41" x14ac:dyDescent="0.25">
      <c r="A120" s="103" t="str">
        <f t="shared" si="56"/>
        <v>350501</v>
      </c>
      <c r="B120" s="1960" t="str">
        <f>'HVAC Deemed Table'!C124</f>
        <v>350501_2021_12_</v>
      </c>
      <c r="C120" s="1962" t="str">
        <f>'HVAC Deemed Table'!G124</f>
        <v>Cooling RES</v>
      </c>
      <c r="D120" s="1962" t="str">
        <f>'HVAC Deemed Table'!G125</f>
        <v>Cooling RES ER2</v>
      </c>
      <c r="E120" s="1962"/>
      <c r="F120" s="1962"/>
      <c r="G120" s="1962" t="str">
        <f>'HVAC Deemed Table'!E124</f>
        <v>CAC-SEER14_ER1_MF_CompE</v>
      </c>
      <c r="H120" s="63" t="str">
        <f>'HVAC Deemed Table'!D124</f>
        <v>MFc</v>
      </c>
      <c r="I120" s="2438">
        <f t="shared" ref="I120:I166" si="121">K120+L120</f>
        <v>735.98</v>
      </c>
      <c r="J120" s="2438">
        <f t="shared" ref="J120:J166" si="122">M120+N120</f>
        <v>83.17</v>
      </c>
      <c r="K120" s="2439">
        <f>'HVAC Deemed Table'!F124</f>
        <v>735.98</v>
      </c>
      <c r="L120" s="2439">
        <v>0</v>
      </c>
      <c r="M120" s="2439">
        <f>'HVAC Deemed Table'!F125</f>
        <v>83.17</v>
      </c>
      <c r="N120" s="2439">
        <v>0</v>
      </c>
      <c r="O120" s="2440">
        <f t="shared" si="119"/>
        <v>0.69728100000000004</v>
      </c>
      <c r="P120" s="2440">
        <f t="shared" si="120"/>
        <v>7.8797000000000006E-2</v>
      </c>
      <c r="Q120" s="2441">
        <f>'HVAC Deemed Table'!I124</f>
        <v>0.69728100000000004</v>
      </c>
      <c r="R120" s="2441"/>
      <c r="S120" s="2441">
        <f>'HVAC Deemed Table'!I125</f>
        <v>7.8797000000000006E-2</v>
      </c>
      <c r="T120" s="2441"/>
      <c r="U120" s="1819"/>
      <c r="V120" s="1819"/>
      <c r="W120" s="1821">
        <f>P120</f>
        <v>7.8797000000000006E-2</v>
      </c>
      <c r="X120" s="68">
        <f>'HVAC Deemed Table'!J124</f>
        <v>6</v>
      </c>
      <c r="Y120" s="68">
        <f>'HVAC Deemed Table'!J125</f>
        <v>12</v>
      </c>
      <c r="Z120" s="68">
        <f t="shared" si="116"/>
        <v>18</v>
      </c>
      <c r="AA120" s="3616">
        <f>'HVAC Deemed Table'!BB124</f>
        <v>1.870925774407441</v>
      </c>
      <c r="AB120" s="2620">
        <f>'HVAC Deemed Table'!K124</f>
        <v>298.03912845693981</v>
      </c>
      <c r="AC120" s="3618">
        <f t="shared" si="117"/>
        <v>427.96071423690677</v>
      </c>
      <c r="AD120" s="3618">
        <f t="shared" si="118"/>
        <v>98.333846605017627</v>
      </c>
      <c r="AE120" s="2453">
        <f>'HVAC Deemed Table'!BD124</f>
        <v>427.96071423690677</v>
      </c>
      <c r="AF120" s="2453">
        <v>0</v>
      </c>
      <c r="AG120" s="2453">
        <f>'HVAC Deemed Table'!BD125</f>
        <v>98.333846605017627</v>
      </c>
      <c r="AH120" s="2453">
        <v>0</v>
      </c>
      <c r="AI120" s="3624" t="str">
        <f t="shared" si="115"/>
        <v>per measure</v>
      </c>
      <c r="AJ120" s="126">
        <f>'HVAC Deemed Table'!L124</f>
        <v>2</v>
      </c>
      <c r="AK120" s="1805"/>
      <c r="AL120" s="1805"/>
      <c r="AM120" s="1972">
        <f t="shared" si="111"/>
        <v>9.4741810000000004E-4</v>
      </c>
      <c r="AN120" s="1930">
        <f t="shared" si="101"/>
        <v>0.69728077323800008</v>
      </c>
      <c r="AO120" s="1971">
        <f t="shared" si="93"/>
        <v>-2.2676199995519397E-7</v>
      </c>
    </row>
    <row r="121" spans="1:41" x14ac:dyDescent="0.25">
      <c r="A121" s="103" t="str">
        <f t="shared" si="56"/>
        <v>350550</v>
      </c>
      <c r="B121" s="1960" t="str">
        <f>'HVAC Deemed Table'!C126</f>
        <v>350550_2021_12_</v>
      </c>
      <c r="C121" s="1962" t="str">
        <f>'HVAC Deemed Table'!G126</f>
        <v>Cooling RES</v>
      </c>
      <c r="D121" s="1962"/>
      <c r="E121" s="1962"/>
      <c r="F121" s="1962"/>
      <c r="G121" s="1962" t="str">
        <f>'HVAC Deemed Table'!E126</f>
        <v>CAC-SEER14_ROF_MF</v>
      </c>
      <c r="H121" s="63" t="str">
        <f>'HVAC Deemed Table'!D126</f>
        <v>MF</v>
      </c>
      <c r="I121" s="2438">
        <f t="shared" si="121"/>
        <v>114.36</v>
      </c>
      <c r="J121" s="2438">
        <f t="shared" si="122"/>
        <v>0</v>
      </c>
      <c r="K121" s="2439">
        <f>'HVAC Deemed Table'!F126</f>
        <v>114.36</v>
      </c>
      <c r="L121" s="2439">
        <v>0</v>
      </c>
      <c r="M121" s="2439">
        <v>0</v>
      </c>
      <c r="N121" s="2439">
        <v>0</v>
      </c>
      <c r="O121" s="2440">
        <f t="shared" si="119"/>
        <v>0.108347</v>
      </c>
      <c r="P121" s="2440">
        <f t="shared" si="120"/>
        <v>0</v>
      </c>
      <c r="Q121" s="2441">
        <f>'HVAC Deemed Table'!I126</f>
        <v>0.108347</v>
      </c>
      <c r="R121" s="2441"/>
      <c r="S121" s="2441"/>
      <c r="T121" s="2441"/>
      <c r="U121" s="1819"/>
      <c r="V121" s="1819"/>
      <c r="W121" s="1819">
        <f>Q121</f>
        <v>0.108347</v>
      </c>
      <c r="X121" s="68">
        <f>'HVAC Deemed Table'!J126</f>
        <v>18</v>
      </c>
      <c r="Y121" s="68"/>
      <c r="Z121" s="68">
        <f t="shared" si="116"/>
        <v>18</v>
      </c>
      <c r="AA121" s="3622" t="str">
        <f>'HVAC Deemed Table'!BB126</f>
        <v/>
      </c>
      <c r="AB121" s="2620">
        <f>'HVAC Deemed Table'!K126</f>
        <v>0</v>
      </c>
      <c r="AC121" s="3618">
        <f t="shared" si="117"/>
        <v>201.70904585953832</v>
      </c>
      <c r="AD121" s="3618">
        <f t="shared" si="118"/>
        <v>0</v>
      </c>
      <c r="AE121" s="2453">
        <f>'HVAC Deemed Table'!BD126</f>
        <v>201.70904585953832</v>
      </c>
      <c r="AF121" s="2453">
        <v>0</v>
      </c>
      <c r="AG121" s="2453">
        <v>0</v>
      </c>
      <c r="AH121" s="2453">
        <v>0</v>
      </c>
      <c r="AI121" s="3624" t="str">
        <f t="shared" si="115"/>
        <v>per measure</v>
      </c>
      <c r="AJ121" s="126">
        <f>'HVAC Deemed Table'!L126</f>
        <v>2</v>
      </c>
      <c r="AK121" s="1805"/>
      <c r="AL121" s="1805"/>
      <c r="AM121" s="1972">
        <f t="shared" si="111"/>
        <v>9.4741810000000004E-4</v>
      </c>
      <c r="AN121" s="1930">
        <f t="shared" si="101"/>
        <v>0.108346733916</v>
      </c>
      <c r="AO121" s="1971">
        <f t="shared" si="93"/>
        <v>-2.660840000001663E-7</v>
      </c>
    </row>
    <row r="122" spans="1:41" x14ac:dyDescent="0.25">
      <c r="A122" s="103" t="str">
        <f t="shared" si="56"/>
        <v>350551</v>
      </c>
      <c r="B122" s="1960" t="str">
        <f>'HVAC Deemed Table'!C127</f>
        <v>350551_2021_12_</v>
      </c>
      <c r="C122" s="1962" t="str">
        <f>'HVAC Deemed Table'!G127</f>
        <v>Cooling RES</v>
      </c>
      <c r="D122" s="1962"/>
      <c r="E122" s="1962"/>
      <c r="F122" s="1962"/>
      <c r="G122" s="1962" t="str">
        <f>'HVAC Deemed Table'!E127</f>
        <v>CAC-SEER14_ROF_MF_CompE</v>
      </c>
      <c r="H122" s="63" t="str">
        <f>'HVAC Deemed Table'!D127</f>
        <v>MFc</v>
      </c>
      <c r="I122" s="2438">
        <f t="shared" si="121"/>
        <v>83.17</v>
      </c>
      <c r="J122" s="2438">
        <f t="shared" si="122"/>
        <v>0</v>
      </c>
      <c r="K122" s="2439">
        <f>'HVAC Deemed Table'!F127</f>
        <v>83.17</v>
      </c>
      <c r="L122" s="2439">
        <v>0</v>
      </c>
      <c r="M122" s="2439">
        <v>0</v>
      </c>
      <c r="N122" s="2439">
        <v>0</v>
      </c>
      <c r="O122" s="2440">
        <f t="shared" si="119"/>
        <v>7.8797000000000006E-2</v>
      </c>
      <c r="P122" s="2440">
        <f t="shared" si="120"/>
        <v>0</v>
      </c>
      <c r="Q122" s="2441">
        <f>'HVAC Deemed Table'!I127</f>
        <v>7.8797000000000006E-2</v>
      </c>
      <c r="R122" s="2441"/>
      <c r="S122" s="2441"/>
      <c r="T122" s="2441"/>
      <c r="U122" s="1819"/>
      <c r="V122" s="1819"/>
      <c r="W122" s="1819">
        <f>Q122</f>
        <v>7.8797000000000006E-2</v>
      </c>
      <c r="X122" s="68">
        <f>'HVAC Deemed Table'!J127</f>
        <v>18</v>
      </c>
      <c r="Y122" s="68"/>
      <c r="Z122" s="68">
        <f t="shared" si="116"/>
        <v>18</v>
      </c>
      <c r="AA122" s="3622" t="str">
        <f>'HVAC Deemed Table'!BB127</f>
        <v/>
      </c>
      <c r="AB122" s="2620">
        <f>'HVAC Deemed Table'!K127</f>
        <v>0</v>
      </c>
      <c r="AC122" s="3618">
        <f t="shared" si="117"/>
        <v>146.69588443632216</v>
      </c>
      <c r="AD122" s="3618">
        <f t="shared" si="118"/>
        <v>0</v>
      </c>
      <c r="AE122" s="2453">
        <f>'HVAC Deemed Table'!BD127</f>
        <v>146.69588443632216</v>
      </c>
      <c r="AF122" s="2453">
        <v>0</v>
      </c>
      <c r="AG122" s="2453">
        <v>0</v>
      </c>
      <c r="AH122" s="2453">
        <v>0</v>
      </c>
      <c r="AI122" s="3624" t="str">
        <f t="shared" si="115"/>
        <v>per measure</v>
      </c>
      <c r="AJ122" s="126">
        <f>'HVAC Deemed Table'!L127</f>
        <v>2</v>
      </c>
      <c r="AK122" s="1805"/>
      <c r="AL122" s="1805"/>
      <c r="AM122" s="1972">
        <f t="shared" si="111"/>
        <v>9.4741810000000004E-4</v>
      </c>
      <c r="AN122" s="1930">
        <f t="shared" si="101"/>
        <v>7.8796763377000006E-2</v>
      </c>
      <c r="AO122" s="1971">
        <f t="shared" si="93"/>
        <v>-2.3662299999949177E-7</v>
      </c>
    </row>
    <row r="123" spans="1:41" x14ac:dyDescent="0.25">
      <c r="A123" s="103" t="str">
        <f t="shared" si="56"/>
        <v>350600</v>
      </c>
      <c r="B123" s="1960" t="str">
        <f>'HVAC Deemed Table'!C128</f>
        <v>350600_2021_12_</v>
      </c>
      <c r="C123" s="1962" t="str">
        <f>'HVAC Deemed Table'!G128</f>
        <v>Cooling RES</v>
      </c>
      <c r="D123" s="1962" t="str">
        <f>'HVAC Deemed Table'!G129</f>
        <v>Cooling RES ER2</v>
      </c>
      <c r="E123" s="1962"/>
      <c r="F123" s="1962"/>
      <c r="G123" s="1962" t="str">
        <f>'HVAC Deemed Table'!E128</f>
        <v>CAC-SEER15_ER1_SF</v>
      </c>
      <c r="H123" s="63" t="str">
        <f>'HVAC Deemed Table'!D128</f>
        <v>SF</v>
      </c>
      <c r="I123" s="2438">
        <f t="shared" si="121"/>
        <v>1789.74</v>
      </c>
      <c r="J123" s="2438">
        <f t="shared" si="122"/>
        <v>348.11</v>
      </c>
      <c r="K123" s="2439">
        <f>'HVAC Deemed Table'!F128</f>
        <v>1789.74</v>
      </c>
      <c r="L123" s="2439">
        <v>0</v>
      </c>
      <c r="M123" s="2439">
        <f>'HVAC Deemed Table'!F129</f>
        <v>348.11</v>
      </c>
      <c r="N123" s="2439">
        <v>0</v>
      </c>
      <c r="O123" s="2440">
        <f t="shared" si="119"/>
        <v>1.695632</v>
      </c>
      <c r="P123" s="2440">
        <f t="shared" si="120"/>
        <v>0.32980599999999999</v>
      </c>
      <c r="Q123" s="2441">
        <f>'HVAC Deemed Table'!I128</f>
        <v>1.695632</v>
      </c>
      <c r="R123" s="2441"/>
      <c r="S123" s="2441">
        <f>'HVAC Deemed Table'!I129</f>
        <v>0.32980599999999999</v>
      </c>
      <c r="T123" s="2441"/>
      <c r="U123" s="1819"/>
      <c r="V123" s="1819"/>
      <c r="W123" s="1821">
        <f>P123</f>
        <v>0.32980599999999999</v>
      </c>
      <c r="X123" s="68">
        <f>'HVAC Deemed Table'!J128</f>
        <v>6</v>
      </c>
      <c r="Y123" s="68">
        <v>12</v>
      </c>
      <c r="Z123" s="68">
        <f t="shared" si="116"/>
        <v>18</v>
      </c>
      <c r="AA123" s="3616">
        <f>'HVAC Deemed Table'!BB128</f>
        <v>2.679007518207916</v>
      </c>
      <c r="AB123" s="2620">
        <f>'HVAC Deemed Table'!K128</f>
        <v>574.35262787904776</v>
      </c>
      <c r="AC123" s="3618">
        <f t="shared" si="117"/>
        <v>1040.7054657713002</v>
      </c>
      <c r="AD123" s="3618">
        <f t="shared" si="118"/>
        <v>411.57863823100496</v>
      </c>
      <c r="AE123" s="2453">
        <f>'HVAC Deemed Table'!BD128</f>
        <v>1040.7054657713002</v>
      </c>
      <c r="AF123" s="2453">
        <v>0</v>
      </c>
      <c r="AG123" s="2453">
        <f>'HVAC Deemed Table'!BD129</f>
        <v>411.57863823100496</v>
      </c>
      <c r="AH123" s="2453">
        <v>0</v>
      </c>
      <c r="AI123" s="3624" t="str">
        <f t="shared" si="115"/>
        <v>per measure</v>
      </c>
      <c r="AJ123" s="126">
        <f>'HVAC Deemed Table'!L128</f>
        <v>3.1294724977457173</v>
      </c>
      <c r="AK123" s="1805"/>
      <c r="AL123" s="1805"/>
      <c r="AM123" s="1972">
        <f t="shared" si="111"/>
        <v>9.4741810000000004E-4</v>
      </c>
      <c r="AN123" s="1930">
        <f t="shared" si="101"/>
        <v>1.695632070294</v>
      </c>
      <c r="AO123" s="1971">
        <f t="shared" si="93"/>
        <v>7.0293999954174069E-8</v>
      </c>
    </row>
    <row r="124" spans="1:41" x14ac:dyDescent="0.25">
      <c r="A124" s="103" t="str">
        <f t="shared" si="56"/>
        <v>350650</v>
      </c>
      <c r="B124" s="1960" t="str">
        <f>'HVAC Deemed Table'!C130</f>
        <v>350650_2021_12_</v>
      </c>
      <c r="C124" s="1962" t="str">
        <f>'HVAC Deemed Table'!G130</f>
        <v>Cooling RES</v>
      </c>
      <c r="D124" s="1962"/>
      <c r="E124" s="1962"/>
      <c r="F124" s="1962"/>
      <c r="G124" s="1962" t="str">
        <f>'HVAC Deemed Table'!E130</f>
        <v>CAC-SEER15_ROF_SF</v>
      </c>
      <c r="H124" s="63" t="str">
        <f>'HVAC Deemed Table'!D130</f>
        <v>SF</v>
      </c>
      <c r="I124" s="2438">
        <f t="shared" si="121"/>
        <v>347.48</v>
      </c>
      <c r="J124" s="2438">
        <f t="shared" si="122"/>
        <v>0</v>
      </c>
      <c r="K124" s="2439">
        <f>'HVAC Deemed Table'!F130</f>
        <v>347.48</v>
      </c>
      <c r="L124" s="2439">
        <v>0</v>
      </c>
      <c r="M124" s="2439">
        <v>0</v>
      </c>
      <c r="N124" s="2439">
        <v>0</v>
      </c>
      <c r="O124" s="2440">
        <f t="shared" si="119"/>
        <v>0.32920899999999997</v>
      </c>
      <c r="P124" s="2440">
        <f t="shared" si="120"/>
        <v>0</v>
      </c>
      <c r="Q124" s="2441">
        <f>'HVAC Deemed Table'!I130</f>
        <v>0.32920899999999997</v>
      </c>
      <c r="R124" s="2441"/>
      <c r="S124" s="2441"/>
      <c r="T124" s="2441"/>
      <c r="U124" s="1819"/>
      <c r="V124" s="1819"/>
      <c r="W124" s="1819">
        <f>Q124</f>
        <v>0.32920899999999997</v>
      </c>
      <c r="X124" s="68">
        <f>'HVAC Deemed Table'!J130</f>
        <v>18</v>
      </c>
      <c r="Y124" s="68"/>
      <c r="Z124" s="68">
        <f t="shared" si="116"/>
        <v>18</v>
      </c>
      <c r="AA124" s="3616">
        <f>'HVAC Deemed Table'!BB130</f>
        <v>6.0125437119428815</v>
      </c>
      <c r="AB124" s="2620">
        <f>'HVAC Deemed Table'!K130</f>
        <v>108</v>
      </c>
      <c r="AC124" s="3618">
        <f t="shared" si="117"/>
        <v>612.88789135425304</v>
      </c>
      <c r="AD124" s="3618">
        <f t="shared" si="118"/>
        <v>0</v>
      </c>
      <c r="AE124" s="2453">
        <f>'HVAC Deemed Table'!BD130</f>
        <v>612.88789135425304</v>
      </c>
      <c r="AF124" s="2453">
        <v>0</v>
      </c>
      <c r="AG124" s="2453">
        <v>0</v>
      </c>
      <c r="AH124" s="2453">
        <v>0</v>
      </c>
      <c r="AI124" s="3624" t="str">
        <f t="shared" si="115"/>
        <v>per measure</v>
      </c>
      <c r="AJ124" s="126">
        <f>'HVAC Deemed Table'!L130</f>
        <v>3.1133333333333333</v>
      </c>
      <c r="AK124" s="1805"/>
      <c r="AL124" s="1805"/>
      <c r="AM124" s="1972">
        <f t="shared" si="111"/>
        <v>9.4741810000000004E-4</v>
      </c>
      <c r="AN124" s="1930">
        <f t="shared" si="101"/>
        <v>0.32920884138800005</v>
      </c>
      <c r="AO124" s="1971">
        <f t="shared" si="93"/>
        <v>-1.5861199992306396E-7</v>
      </c>
    </row>
    <row r="125" spans="1:41" x14ac:dyDescent="0.25">
      <c r="A125" s="103" t="str">
        <f t="shared" si="56"/>
        <v>350700</v>
      </c>
      <c r="B125" s="1960" t="str">
        <f>'HVAC Deemed Table'!C131</f>
        <v>350700_2021_12_</v>
      </c>
      <c r="C125" s="1962" t="str">
        <f>'HVAC Deemed Table'!G131</f>
        <v>Cooling RES</v>
      </c>
      <c r="D125" s="1962" t="str">
        <f>'HVAC Deemed Table'!G132</f>
        <v>Cooling RES ER2</v>
      </c>
      <c r="E125" s="1962"/>
      <c r="F125" s="1962"/>
      <c r="G125" s="1962" t="str">
        <f>'HVAC Deemed Table'!E131</f>
        <v>CAC-SEER15_ER1_MF</v>
      </c>
      <c r="H125" s="63" t="str">
        <f>'HVAC Deemed Table'!D131</f>
        <v>MF</v>
      </c>
      <c r="I125" s="2438">
        <f t="shared" si="121"/>
        <v>1478.57</v>
      </c>
      <c r="J125" s="2438">
        <f t="shared" si="122"/>
        <v>288.56</v>
      </c>
      <c r="K125" s="2439">
        <f>'HVAC Deemed Table'!F131</f>
        <v>1478.57</v>
      </c>
      <c r="L125" s="2439">
        <v>0</v>
      </c>
      <c r="M125" s="2439">
        <f>'HVAC Deemed Table'!F132</f>
        <v>288.56</v>
      </c>
      <c r="N125" s="2439">
        <v>0</v>
      </c>
      <c r="O125" s="2440">
        <f t="shared" si="119"/>
        <v>1.4008240000000001</v>
      </c>
      <c r="P125" s="2440">
        <f t="shared" si="120"/>
        <v>0.27338699999999999</v>
      </c>
      <c r="Q125" s="2441">
        <f>'HVAC Deemed Table'!I131</f>
        <v>1.4008240000000001</v>
      </c>
      <c r="R125" s="2441"/>
      <c r="S125" s="2441">
        <f>'HVAC Deemed Table'!I132</f>
        <v>0.27338699999999999</v>
      </c>
      <c r="T125" s="2441"/>
      <c r="U125" s="1819"/>
      <c r="V125" s="1819"/>
      <c r="W125" s="1821">
        <f>P125</f>
        <v>0.27338699999999999</v>
      </c>
      <c r="X125" s="68">
        <f>'HVAC Deemed Table'!J131</f>
        <v>6</v>
      </c>
      <c r="Y125" s="68">
        <f>'HVAC Deemed Table'!J132</f>
        <v>12</v>
      </c>
      <c r="Z125" s="68">
        <f t="shared" si="116"/>
        <v>18</v>
      </c>
      <c r="AA125" s="3616">
        <f>'HVAC Deemed Table'!BB131</f>
        <v>2.6575998596119068</v>
      </c>
      <c r="AB125" s="2620">
        <f>'HVAC Deemed Table'!K131</f>
        <v>478.77486813988367</v>
      </c>
      <c r="AC125" s="3618">
        <f t="shared" si="117"/>
        <v>859.76503879081383</v>
      </c>
      <c r="AD125" s="3618">
        <f t="shared" si="118"/>
        <v>341.17127301122861</v>
      </c>
      <c r="AE125" s="2453">
        <f>'HVAC Deemed Table'!BD131</f>
        <v>859.76503879081383</v>
      </c>
      <c r="AF125" s="2453">
        <v>0</v>
      </c>
      <c r="AG125" s="2453">
        <f>'HVAC Deemed Table'!BD132</f>
        <v>341.17127301122861</v>
      </c>
      <c r="AH125" s="2453">
        <v>0</v>
      </c>
      <c r="AI125" s="3624" t="str">
        <f t="shared" si="115"/>
        <v>per measure</v>
      </c>
      <c r="AJ125" s="126">
        <f>'HVAC Deemed Table'!L131</f>
        <v>2.4880952380952381</v>
      </c>
      <c r="AK125" s="1805"/>
      <c r="AL125" s="1805"/>
      <c r="AM125" s="1972">
        <f t="shared" si="111"/>
        <v>9.4741810000000004E-4</v>
      </c>
      <c r="AN125" s="1930">
        <f t="shared" si="101"/>
        <v>1.4008239801169999</v>
      </c>
      <c r="AO125" s="1971">
        <f t="shared" si="93"/>
        <v>-1.9883000135223483E-8</v>
      </c>
    </row>
    <row r="126" spans="1:41" x14ac:dyDescent="0.25">
      <c r="A126" s="103" t="str">
        <f t="shared" si="56"/>
        <v>350701</v>
      </c>
      <c r="B126" s="1960" t="str">
        <f>'HVAC Deemed Table'!C133</f>
        <v>350701_2021_12_</v>
      </c>
      <c r="C126" s="1962" t="str">
        <f>'HVAC Deemed Table'!G133</f>
        <v>Cooling RES</v>
      </c>
      <c r="D126" s="1962" t="str">
        <f>'HVAC Deemed Table'!G134</f>
        <v>Cooling RES ER2</v>
      </c>
      <c r="E126" s="1962"/>
      <c r="F126" s="1962"/>
      <c r="G126" s="1962" t="str">
        <f>'HVAC Deemed Table'!E133</f>
        <v>CAC-SEER15_ER1_MF_CompE</v>
      </c>
      <c r="H126" s="63" t="str">
        <f>'HVAC Deemed Table'!D133</f>
        <v>MFc</v>
      </c>
      <c r="I126" s="2438">
        <f t="shared" si="121"/>
        <v>1058.6099999999999</v>
      </c>
      <c r="J126" s="2438">
        <f t="shared" si="122"/>
        <v>193.15</v>
      </c>
      <c r="K126" s="2439">
        <f>'HVAC Deemed Table'!F133</f>
        <v>1058.6099999999999</v>
      </c>
      <c r="L126" s="2439">
        <v>0</v>
      </c>
      <c r="M126" s="2439">
        <f>'HVAC Deemed Table'!F134</f>
        <v>193.15</v>
      </c>
      <c r="N126" s="2439">
        <v>0</v>
      </c>
      <c r="O126" s="2440">
        <f t="shared" si="119"/>
        <v>1.0029459999999999</v>
      </c>
      <c r="P126" s="2440">
        <f t="shared" si="120"/>
        <v>0.18299399999999999</v>
      </c>
      <c r="Q126" s="2441">
        <f>'HVAC Deemed Table'!I133</f>
        <v>1.0029459999999999</v>
      </c>
      <c r="R126" s="2441"/>
      <c r="S126" s="2441">
        <f>'HVAC Deemed Table'!I134</f>
        <v>0.18299399999999999</v>
      </c>
      <c r="T126" s="2441"/>
      <c r="U126" s="1819"/>
      <c r="V126" s="1819"/>
      <c r="W126" s="1821">
        <f>P126</f>
        <v>0.18299399999999999</v>
      </c>
      <c r="X126" s="68">
        <f>'HVAC Deemed Table'!J133</f>
        <v>6</v>
      </c>
      <c r="Y126" s="68">
        <f>'HVAC Deemed Table'!J134</f>
        <v>12</v>
      </c>
      <c r="Z126" s="68">
        <f t="shared" si="116"/>
        <v>18</v>
      </c>
      <c r="AA126" s="3616">
        <f>'HVAC Deemed Table'!BB133</f>
        <v>1.8368750600370269</v>
      </c>
      <c r="AB126" s="2620">
        <f>'HVAC Deemed Table'!K133</f>
        <v>478.77486813988367</v>
      </c>
      <c r="AC126" s="3618">
        <f t="shared" si="117"/>
        <v>615.56494972462815</v>
      </c>
      <c r="AD126" s="3618">
        <f t="shared" si="118"/>
        <v>228.36578660285144</v>
      </c>
      <c r="AE126" s="2453">
        <f>'HVAC Deemed Table'!BD133</f>
        <v>615.56494972462815</v>
      </c>
      <c r="AF126" s="2453">
        <v>0</v>
      </c>
      <c r="AG126" s="2453">
        <f>'HVAC Deemed Table'!BD134</f>
        <v>228.36578660285144</v>
      </c>
      <c r="AH126" s="2453">
        <v>0</v>
      </c>
      <c r="AI126" s="3624" t="str">
        <f t="shared" si="115"/>
        <v>per measure</v>
      </c>
      <c r="AJ126" s="126">
        <f>'HVAC Deemed Table'!L133</f>
        <v>2.4880952380952381</v>
      </c>
      <c r="AK126" s="1805"/>
      <c r="AL126" s="1805"/>
      <c r="AM126" s="1972">
        <f t="shared" si="111"/>
        <v>9.4741810000000004E-4</v>
      </c>
      <c r="AN126" s="1930">
        <f t="shared" si="101"/>
        <v>1.0029462748409999</v>
      </c>
      <c r="AO126" s="1971">
        <f t="shared" si="93"/>
        <v>2.7484099995866984E-7</v>
      </c>
    </row>
    <row r="127" spans="1:41" x14ac:dyDescent="0.25">
      <c r="A127" s="103" t="str">
        <f t="shared" si="56"/>
        <v>350750</v>
      </c>
      <c r="B127" s="1960" t="str">
        <f>'HVAC Deemed Table'!C135</f>
        <v>350750_2021_12_</v>
      </c>
      <c r="C127" s="1962" t="str">
        <f>'HVAC Deemed Table'!G135</f>
        <v>Cooling RES</v>
      </c>
      <c r="D127" s="1962"/>
      <c r="E127" s="1962"/>
      <c r="F127" s="1962"/>
      <c r="G127" s="1962" t="str">
        <f>'HVAC Deemed Table'!E135</f>
        <v>CAC-SEER15_ROF_MF</v>
      </c>
      <c r="H127" s="63" t="str">
        <f>'HVAC Deemed Table'!D135</f>
        <v>MF</v>
      </c>
      <c r="I127" s="2438">
        <f t="shared" si="121"/>
        <v>309.3</v>
      </c>
      <c r="J127" s="2438">
        <f t="shared" si="122"/>
        <v>0</v>
      </c>
      <c r="K127" s="2439">
        <f>'HVAC Deemed Table'!F135</f>
        <v>309.3</v>
      </c>
      <c r="L127" s="2439">
        <v>0</v>
      </c>
      <c r="M127" s="2439">
        <v>0</v>
      </c>
      <c r="N127" s="2439">
        <v>0</v>
      </c>
      <c r="O127" s="2440">
        <f t="shared" si="119"/>
        <v>0.29303600000000002</v>
      </c>
      <c r="P127" s="2440">
        <f t="shared" si="120"/>
        <v>0</v>
      </c>
      <c r="Q127" s="2441">
        <f>'HVAC Deemed Table'!I135</f>
        <v>0.29303600000000002</v>
      </c>
      <c r="R127" s="2441"/>
      <c r="S127" s="2441"/>
      <c r="T127" s="2441"/>
      <c r="U127" s="1819"/>
      <c r="V127" s="1819"/>
      <c r="W127" s="1819">
        <f>Q127</f>
        <v>0.29303600000000002</v>
      </c>
      <c r="X127" s="68">
        <f>'HVAC Deemed Table'!J135</f>
        <v>18</v>
      </c>
      <c r="Y127" s="68"/>
      <c r="Z127" s="68">
        <f t="shared" si="116"/>
        <v>18</v>
      </c>
      <c r="AA127" s="3616">
        <f>'HVAC Deemed Table'!BB135</f>
        <v>5.3519044840103982</v>
      </c>
      <c r="AB127" s="2620">
        <f>'HVAC Deemed Table'!K135</f>
        <v>108</v>
      </c>
      <c r="AC127" s="3618">
        <f t="shared" si="117"/>
        <v>545.54571427383007</v>
      </c>
      <c r="AD127" s="3618">
        <f t="shared" si="118"/>
        <v>0</v>
      </c>
      <c r="AE127" s="2453">
        <f>'HVAC Deemed Table'!BD135</f>
        <v>545.54571427383007</v>
      </c>
      <c r="AF127" s="2453">
        <v>0</v>
      </c>
      <c r="AG127" s="2453">
        <v>0</v>
      </c>
      <c r="AH127" s="2453">
        <v>0</v>
      </c>
      <c r="AI127" s="3624" t="str">
        <f t="shared" si="115"/>
        <v>per measure</v>
      </c>
      <c r="AJ127" s="126">
        <f>'HVAC Deemed Table'!L135</f>
        <v>2.75</v>
      </c>
      <c r="AK127" s="1805"/>
      <c r="AL127" s="1805"/>
      <c r="AM127" s="1972">
        <f t="shared" si="111"/>
        <v>9.4741810000000004E-4</v>
      </c>
      <c r="AN127" s="1930">
        <f t="shared" si="101"/>
        <v>0.29303641833000005</v>
      </c>
      <c r="AO127" s="1971">
        <f t="shared" si="93"/>
        <v>4.1833000002933218E-7</v>
      </c>
    </row>
    <row r="128" spans="1:41" x14ac:dyDescent="0.25">
      <c r="A128" s="103" t="str">
        <f t="shared" si="56"/>
        <v>350751</v>
      </c>
      <c r="B128" s="1960" t="str">
        <f>'HVAC Deemed Table'!C136</f>
        <v>350751_2021_12_</v>
      </c>
      <c r="C128" s="1962" t="str">
        <f>'HVAC Deemed Table'!G136</f>
        <v>Cooling RES</v>
      </c>
      <c r="D128" s="1962"/>
      <c r="E128" s="1962"/>
      <c r="F128" s="1962"/>
      <c r="G128" s="1962" t="str">
        <f>'HVAC Deemed Table'!E136</f>
        <v>CAC-SEER15_ROF_MF_CompE</v>
      </c>
      <c r="H128" s="63" t="str">
        <f>'HVAC Deemed Table'!D136</f>
        <v>MFc</v>
      </c>
      <c r="I128" s="2438">
        <f t="shared" si="121"/>
        <v>213.48</v>
      </c>
      <c r="J128" s="2438">
        <f t="shared" si="122"/>
        <v>0</v>
      </c>
      <c r="K128" s="2439">
        <f>'HVAC Deemed Table'!F136</f>
        <v>213.48</v>
      </c>
      <c r="L128" s="2439">
        <v>0</v>
      </c>
      <c r="M128" s="2439">
        <v>0</v>
      </c>
      <c r="N128" s="2439">
        <v>0</v>
      </c>
      <c r="O128" s="2440">
        <f t="shared" si="119"/>
        <v>0.20225499999999999</v>
      </c>
      <c r="P128" s="2440">
        <f t="shared" si="120"/>
        <v>0</v>
      </c>
      <c r="Q128" s="2441">
        <f>'HVAC Deemed Table'!I136</f>
        <v>0.20225499999999999</v>
      </c>
      <c r="R128" s="2441"/>
      <c r="S128" s="2441"/>
      <c r="T128" s="2441"/>
      <c r="U128" s="1819"/>
      <c r="V128" s="1819"/>
      <c r="W128" s="1819">
        <f>Q128</f>
        <v>0.20225499999999999</v>
      </c>
      <c r="X128" s="68">
        <f>'HVAC Deemed Table'!J136</f>
        <v>18</v>
      </c>
      <c r="Y128" s="68"/>
      <c r="Z128" s="68">
        <f t="shared" si="116"/>
        <v>18</v>
      </c>
      <c r="AA128" s="3616">
        <f>'HVAC Deemed Table'!BB136</f>
        <v>3.6939042006031029</v>
      </c>
      <c r="AB128" s="2620">
        <f>'HVAC Deemed Table'!K136</f>
        <v>108</v>
      </c>
      <c r="AC128" s="3618">
        <f t="shared" si="117"/>
        <v>376.53766273254843</v>
      </c>
      <c r="AD128" s="3618">
        <f t="shared" si="118"/>
        <v>0</v>
      </c>
      <c r="AE128" s="2453">
        <f>'HVAC Deemed Table'!BD136</f>
        <v>376.53766273254843</v>
      </c>
      <c r="AF128" s="2453">
        <v>0</v>
      </c>
      <c r="AG128" s="2453">
        <v>0</v>
      </c>
      <c r="AH128" s="2453">
        <v>0</v>
      </c>
      <c r="AI128" s="3624" t="str">
        <f t="shared" si="115"/>
        <v>per measure</v>
      </c>
      <c r="AJ128" s="126">
        <f>'HVAC Deemed Table'!L136</f>
        <v>2.75</v>
      </c>
      <c r="AK128" s="1805"/>
      <c r="AL128" s="1805"/>
      <c r="AM128" s="1972">
        <f t="shared" si="111"/>
        <v>9.4741810000000004E-4</v>
      </c>
      <c r="AN128" s="1930">
        <f t="shared" si="101"/>
        <v>0.20225481598799999</v>
      </c>
      <c r="AO128" s="1971">
        <f t="shared" si="93"/>
        <v>-1.8401199999851237E-7</v>
      </c>
    </row>
    <row r="129" spans="1:41" x14ac:dyDescent="0.25">
      <c r="A129" s="103" t="str">
        <f t="shared" si="56"/>
        <v>350800</v>
      </c>
      <c r="B129" s="1960" t="str">
        <f>'HVAC Deemed Table'!C137</f>
        <v>350800_2021_12_</v>
      </c>
      <c r="C129" s="1962" t="str">
        <f>'HVAC Deemed Table'!G137</f>
        <v>Cooling RES</v>
      </c>
      <c r="D129" s="1962" t="str">
        <f>'HVAC Deemed Table'!G138</f>
        <v>Cooling RES ER2</v>
      </c>
      <c r="E129" s="1962"/>
      <c r="F129" s="1962"/>
      <c r="G129" s="1962" t="str">
        <f>'HVAC Deemed Table'!E137</f>
        <v>CAC-SEER16_ER1_SF</v>
      </c>
      <c r="H129" s="63" t="str">
        <f>'HVAC Deemed Table'!D137</f>
        <v>SF</v>
      </c>
      <c r="I129" s="2438">
        <f t="shared" si="121"/>
        <v>1809.8</v>
      </c>
      <c r="J129" s="2438">
        <f t="shared" si="122"/>
        <v>446.81</v>
      </c>
      <c r="K129" s="2439">
        <f>'HVAC Deemed Table'!F137</f>
        <v>1809.8</v>
      </c>
      <c r="L129" s="2439">
        <v>0</v>
      </c>
      <c r="M129" s="2439">
        <f>'HVAC Deemed Table'!F138</f>
        <v>446.81</v>
      </c>
      <c r="N129" s="2439">
        <v>0</v>
      </c>
      <c r="O129" s="2440">
        <f t="shared" si="119"/>
        <v>1.714637</v>
      </c>
      <c r="P129" s="2440">
        <f t="shared" si="120"/>
        <v>0.42331600000000003</v>
      </c>
      <c r="Q129" s="2441">
        <f>'HVAC Deemed Table'!I137</f>
        <v>1.714637</v>
      </c>
      <c r="R129" s="2441"/>
      <c r="S129" s="2441">
        <f>'HVAC Deemed Table'!I138</f>
        <v>0.42331600000000003</v>
      </c>
      <c r="T129" s="2441"/>
      <c r="U129" s="1819"/>
      <c r="V129" s="1819"/>
      <c r="W129" s="1821">
        <f>P129</f>
        <v>0.42331600000000003</v>
      </c>
      <c r="X129" s="68">
        <f>'HVAC Deemed Table'!J137</f>
        <v>6</v>
      </c>
      <c r="Y129" s="68">
        <f>'HVAC Deemed Table'!J138</f>
        <v>12</v>
      </c>
      <c r="Z129" s="68">
        <f t="shared" si="116"/>
        <v>18</v>
      </c>
      <c r="AA129" s="3616">
        <f>'HVAC Deemed Table'!BB137</f>
        <v>2.5324207021527885</v>
      </c>
      <c r="AB129" s="2620">
        <f>'HVAC Deemed Table'!K137</f>
        <v>661.30099318631073</v>
      </c>
      <c r="AC129" s="3618">
        <f t="shared" si="117"/>
        <v>1052.3700380797764</v>
      </c>
      <c r="AD129" s="3618">
        <f t="shared" si="118"/>
        <v>528.27396899829171</v>
      </c>
      <c r="AE129" s="2453">
        <f>'HVAC Deemed Table'!BD137</f>
        <v>1052.3700380797764</v>
      </c>
      <c r="AF129" s="2453">
        <v>0</v>
      </c>
      <c r="AG129" s="2453">
        <f>'HVAC Deemed Table'!BD138</f>
        <v>528.27396899829171</v>
      </c>
      <c r="AH129" s="2453">
        <v>0</v>
      </c>
      <c r="AI129" s="3624" t="str">
        <f t="shared" si="115"/>
        <v>per measure</v>
      </c>
      <c r="AJ129" s="126">
        <f>'HVAC Deemed Table'!L137</f>
        <v>2.9546522664048429</v>
      </c>
      <c r="AK129" s="1805"/>
      <c r="AL129" s="1805"/>
      <c r="AM129" s="1972">
        <f t="shared" si="111"/>
        <v>9.4741810000000004E-4</v>
      </c>
      <c r="AN129" s="1930">
        <f t="shared" si="101"/>
        <v>1.71463727738</v>
      </c>
      <c r="AO129" s="1971">
        <f t="shared" si="93"/>
        <v>2.773800000799298E-7</v>
      </c>
    </row>
    <row r="130" spans="1:41" x14ac:dyDescent="0.25">
      <c r="A130" s="103" t="str">
        <f t="shared" si="56"/>
        <v>350850</v>
      </c>
      <c r="B130" s="1960" t="str">
        <f>'HVAC Deemed Table'!C139</f>
        <v>350850_2021_12_</v>
      </c>
      <c r="C130" s="1962" t="str">
        <f>'HVAC Deemed Table'!G139</f>
        <v>Cooling RES</v>
      </c>
      <c r="D130" s="1962"/>
      <c r="E130" s="1962"/>
      <c r="F130" s="1962"/>
      <c r="G130" s="1962" t="str">
        <f>'HVAC Deemed Table'!E139</f>
        <v>CAC-SEER16_ROF_SF</v>
      </c>
      <c r="H130" s="63" t="str">
        <f>'HVAC Deemed Table'!D139</f>
        <v>SF</v>
      </c>
      <c r="I130" s="2438">
        <f t="shared" si="121"/>
        <v>459.15</v>
      </c>
      <c r="J130" s="2438">
        <f t="shared" si="122"/>
        <v>0</v>
      </c>
      <c r="K130" s="2439">
        <f>'HVAC Deemed Table'!F139</f>
        <v>459.15</v>
      </c>
      <c r="L130" s="2439">
        <v>0</v>
      </c>
      <c r="M130" s="2439"/>
      <c r="N130" s="2439">
        <v>0</v>
      </c>
      <c r="O130" s="2440">
        <f t="shared" si="119"/>
        <v>0.43500699999999998</v>
      </c>
      <c r="P130" s="2440">
        <f t="shared" si="120"/>
        <v>0</v>
      </c>
      <c r="Q130" s="2441">
        <f>'HVAC Deemed Table'!I139</f>
        <v>0.43500699999999998</v>
      </c>
      <c r="R130" s="2441"/>
      <c r="S130" s="2441"/>
      <c r="T130" s="2441"/>
      <c r="U130" s="1819"/>
      <c r="V130" s="1819"/>
      <c r="W130" s="1819">
        <f>Q130</f>
        <v>0.43500699999999998</v>
      </c>
      <c r="X130" s="68">
        <f>'HVAC Deemed Table'!J139</f>
        <v>18</v>
      </c>
      <c r="Y130" s="68"/>
      <c r="Z130" s="68">
        <f t="shared" si="116"/>
        <v>18</v>
      </c>
      <c r="AA130" s="3616">
        <f>'HVAC Deemed Table'!BB139</f>
        <v>3.8825271768832033</v>
      </c>
      <c r="AB130" s="2620">
        <f>'HVAC Deemed Table'!K139</f>
        <v>221</v>
      </c>
      <c r="AC130" s="3618">
        <f t="shared" si="117"/>
        <v>809.85229456459444</v>
      </c>
      <c r="AD130" s="3618">
        <f t="shared" si="118"/>
        <v>0</v>
      </c>
      <c r="AE130" s="2453">
        <f>'HVAC Deemed Table'!BD139</f>
        <v>809.85229456459444</v>
      </c>
      <c r="AF130" s="2453">
        <v>0</v>
      </c>
      <c r="AG130" s="2453"/>
      <c r="AH130" s="2453">
        <v>0</v>
      </c>
      <c r="AI130" s="3624" t="str">
        <f t="shared" si="115"/>
        <v>per measure</v>
      </c>
      <c r="AJ130" s="126">
        <f>'HVAC Deemed Table'!L139</f>
        <v>3.0332576769025361</v>
      </c>
      <c r="AK130" s="1805"/>
      <c r="AL130" s="1805"/>
      <c r="AM130" s="1972">
        <f t="shared" si="111"/>
        <v>9.4741810000000004E-4</v>
      </c>
      <c r="AN130" s="1930">
        <f t="shared" si="101"/>
        <v>0.43500702061500002</v>
      </c>
      <c r="AO130" s="1971">
        <f t="shared" si="93"/>
        <v>2.0615000040358211E-8</v>
      </c>
    </row>
    <row r="131" spans="1:41" x14ac:dyDescent="0.25">
      <c r="A131" s="103" t="str">
        <f t="shared" si="56"/>
        <v>350900</v>
      </c>
      <c r="B131" s="1960" t="str">
        <f>'HVAC Deemed Table'!C140</f>
        <v>350900_2021_12_</v>
      </c>
      <c r="C131" s="1962" t="str">
        <f>'HVAC Deemed Table'!G140</f>
        <v>Cooling RES</v>
      </c>
      <c r="D131" s="1962" t="str">
        <f>'HVAC Deemed Table'!G141</f>
        <v>Cooling RES ER2</v>
      </c>
      <c r="E131" s="1962"/>
      <c r="F131" s="1962"/>
      <c r="G131" s="1962" t="str">
        <f>'HVAC Deemed Table'!E140</f>
        <v>CAC-SEER16_ER1_MF</v>
      </c>
      <c r="H131" s="63" t="str">
        <f>'HVAC Deemed Table'!D140</f>
        <v>MF</v>
      </c>
      <c r="I131" s="2438">
        <f t="shared" si="121"/>
        <v>1518.6</v>
      </c>
      <c r="J131" s="2438">
        <f t="shared" si="122"/>
        <v>378.59</v>
      </c>
      <c r="K131" s="2439">
        <f>'HVAC Deemed Table'!F140</f>
        <v>1518.6</v>
      </c>
      <c r="L131" s="2439">
        <v>0</v>
      </c>
      <c r="M131" s="2439">
        <f>'HVAC Deemed Table'!F141</f>
        <v>378.59</v>
      </c>
      <c r="N131" s="2439">
        <v>0</v>
      </c>
      <c r="O131" s="2440">
        <f t="shared" si="119"/>
        <v>1.4387490000000001</v>
      </c>
      <c r="P131" s="2440">
        <f t="shared" si="120"/>
        <v>0.35868299999999997</v>
      </c>
      <c r="Q131" s="2441">
        <f>'HVAC Deemed Table'!I140</f>
        <v>1.4387490000000001</v>
      </c>
      <c r="R131" s="2441"/>
      <c r="S131" s="2441">
        <f>'HVAC Deemed Table'!I141</f>
        <v>0.35868299999999997</v>
      </c>
      <c r="T131" s="2441"/>
      <c r="U131" s="1819"/>
      <c r="V131" s="1819"/>
      <c r="W131" s="1821">
        <f>P131</f>
        <v>0.35868299999999997</v>
      </c>
      <c r="X131" s="68">
        <f>'HVAC Deemed Table'!J140</f>
        <v>6</v>
      </c>
      <c r="Y131" s="68">
        <f>'HVAC Deemed Table'!J141</f>
        <v>12</v>
      </c>
      <c r="Z131" s="68">
        <f t="shared" si="116"/>
        <v>18</v>
      </c>
      <c r="AA131" s="3616">
        <f>'HVAC Deemed Table'!BB140</f>
        <v>2.3645294345733636</v>
      </c>
      <c r="AB131" s="2620">
        <f>'HVAC Deemed Table'!K140</f>
        <v>596.24203522590619</v>
      </c>
      <c r="AC131" s="3618">
        <f t="shared" si="117"/>
        <v>883.04184983310211</v>
      </c>
      <c r="AD131" s="3618">
        <f t="shared" si="118"/>
        <v>447.61585891780231</v>
      </c>
      <c r="AE131" s="2453">
        <f>'HVAC Deemed Table'!BD140</f>
        <v>883.04184983310211</v>
      </c>
      <c r="AF131" s="2453">
        <v>0</v>
      </c>
      <c r="AG131" s="2453">
        <f>'HVAC Deemed Table'!BD141</f>
        <v>447.61585891780231</v>
      </c>
      <c r="AH131" s="2453">
        <v>0</v>
      </c>
      <c r="AI131" s="3624" t="str">
        <f t="shared" si="115"/>
        <v>per measure</v>
      </c>
      <c r="AJ131" s="126">
        <f>'HVAC Deemed Table'!L140</f>
        <v>2.5180722891566263</v>
      </c>
      <c r="AK131" s="1805"/>
      <c r="AL131" s="1805"/>
      <c r="AM131" s="1972">
        <f t="shared" si="111"/>
        <v>9.4741810000000004E-4</v>
      </c>
      <c r="AN131" s="1930">
        <f t="shared" si="101"/>
        <v>1.4387491266599999</v>
      </c>
      <c r="AO131" s="1971">
        <f t="shared" si="93"/>
        <v>1.2665999982175435E-7</v>
      </c>
    </row>
    <row r="132" spans="1:41" x14ac:dyDescent="0.25">
      <c r="A132" s="103" t="str">
        <f t="shared" si="56"/>
        <v>350901</v>
      </c>
      <c r="B132" s="1960" t="str">
        <f>'HVAC Deemed Table'!C142</f>
        <v>350901_2021_12_</v>
      </c>
      <c r="C132" s="1962" t="str">
        <f>'HVAC Deemed Table'!G142</f>
        <v>Cooling RES</v>
      </c>
      <c r="D132" s="1962" t="str">
        <f>'HVAC Deemed Table'!G143</f>
        <v>Cooling RES ER2</v>
      </c>
      <c r="E132" s="1962"/>
      <c r="F132" s="1962"/>
      <c r="G132" s="1962" t="str">
        <f>'HVAC Deemed Table'!E142</f>
        <v>CAC-SEER16_ER1_MF_CompE</v>
      </c>
      <c r="H132" s="63" t="str">
        <f>'HVAC Deemed Table'!D142</f>
        <v>MFc</v>
      </c>
      <c r="I132" s="2438">
        <f t="shared" si="121"/>
        <v>1103.99</v>
      </c>
      <c r="J132" s="2438">
        <f t="shared" si="122"/>
        <v>274.89</v>
      </c>
      <c r="K132" s="2439">
        <f>'HVAC Deemed Table'!F142</f>
        <v>1103.99</v>
      </c>
      <c r="L132" s="2439">
        <v>0</v>
      </c>
      <c r="M132" s="2439">
        <f>'HVAC Deemed Table'!F143</f>
        <v>274.89</v>
      </c>
      <c r="N132" s="2439">
        <v>0</v>
      </c>
      <c r="O132" s="2440">
        <f t="shared" si="119"/>
        <v>1.0459400000000001</v>
      </c>
      <c r="P132" s="2440">
        <f t="shared" si="120"/>
        <v>0.260436</v>
      </c>
      <c r="Q132" s="2441">
        <f>'HVAC Deemed Table'!I142</f>
        <v>1.0459400000000001</v>
      </c>
      <c r="R132" s="2441"/>
      <c r="S132" s="2441">
        <f>'HVAC Deemed Table'!I143</f>
        <v>0.260436</v>
      </c>
      <c r="T132" s="2441"/>
      <c r="U132" s="1819"/>
      <c r="V132" s="1819"/>
      <c r="W132" s="1821">
        <f>P132</f>
        <v>0.260436</v>
      </c>
      <c r="X132" s="68">
        <f>'HVAC Deemed Table'!J142</f>
        <v>6</v>
      </c>
      <c r="Y132" s="68">
        <f>'HVAC Deemed Table'!J143</f>
        <v>12</v>
      </c>
      <c r="Z132" s="68">
        <f t="shared" si="116"/>
        <v>18</v>
      </c>
      <c r="AA132" s="3616">
        <f>'HVAC Deemed Table'!BB142</f>
        <v>1.7182549484720095</v>
      </c>
      <c r="AB132" s="2620">
        <f>'HVAC Deemed Table'!K142</f>
        <v>596.24203522590619</v>
      </c>
      <c r="AC132" s="3618">
        <f t="shared" si="117"/>
        <v>641.95270103861878</v>
      </c>
      <c r="AD132" s="3618">
        <f t="shared" si="118"/>
        <v>325.00891058378375</v>
      </c>
      <c r="AE132" s="2453">
        <f>'HVAC Deemed Table'!BD142</f>
        <v>641.95270103861878</v>
      </c>
      <c r="AF132" s="2453">
        <v>0</v>
      </c>
      <c r="AG132" s="2453">
        <f>'HVAC Deemed Table'!BD143</f>
        <v>325.00891058378375</v>
      </c>
      <c r="AH132" s="2453">
        <v>0</v>
      </c>
      <c r="AI132" s="3624" t="str">
        <f t="shared" si="115"/>
        <v>per measure</v>
      </c>
      <c r="AJ132" s="126">
        <f>'HVAC Deemed Table'!L142</f>
        <v>2.5180722891566263</v>
      </c>
      <c r="AK132" s="1805"/>
      <c r="AL132" s="1805"/>
      <c r="AM132" s="1972">
        <f t="shared" si="111"/>
        <v>9.4741810000000004E-4</v>
      </c>
      <c r="AN132" s="1930">
        <f t="shared" si="101"/>
        <v>1.0459401082190001</v>
      </c>
      <c r="AO132" s="1971">
        <f t="shared" si="93"/>
        <v>1.0821899998347817E-7</v>
      </c>
    </row>
    <row r="133" spans="1:41" x14ac:dyDescent="0.25">
      <c r="A133" s="103" t="str">
        <f t="shared" si="56"/>
        <v>350950</v>
      </c>
      <c r="B133" s="1960" t="str">
        <f>'HVAC Deemed Table'!C144</f>
        <v>350950_2021_12_</v>
      </c>
      <c r="C133" s="1962" t="str">
        <f>'HVAC Deemed Table'!G144</f>
        <v>Cooling RES</v>
      </c>
      <c r="D133" s="1962"/>
      <c r="E133" s="1962"/>
      <c r="F133" s="1962"/>
      <c r="G133" s="1962" t="str">
        <f>'HVAC Deemed Table'!E144</f>
        <v>CAC-SEER16_ROF_MF</v>
      </c>
      <c r="H133" s="63" t="str">
        <f>'HVAC Deemed Table'!D144</f>
        <v>MF</v>
      </c>
      <c r="I133" s="2438">
        <f t="shared" si="121"/>
        <v>315.22000000000003</v>
      </c>
      <c r="J133" s="2438">
        <f t="shared" si="122"/>
        <v>0</v>
      </c>
      <c r="K133" s="2439">
        <f>'HVAC Deemed Table'!F144</f>
        <v>315.22000000000003</v>
      </c>
      <c r="L133" s="2439">
        <v>0</v>
      </c>
      <c r="M133" s="2439"/>
      <c r="N133" s="2439">
        <v>0</v>
      </c>
      <c r="O133" s="2440">
        <f t="shared" si="119"/>
        <v>0.29864499999999999</v>
      </c>
      <c r="P133" s="2440">
        <f t="shared" si="120"/>
        <v>0</v>
      </c>
      <c r="Q133" s="2441">
        <f>'HVAC Deemed Table'!I144</f>
        <v>0.29864499999999999</v>
      </c>
      <c r="R133" s="2441"/>
      <c r="S133" s="2441"/>
      <c r="T133" s="2441"/>
      <c r="U133" s="1819"/>
      <c r="V133" s="1819"/>
      <c r="W133" s="1819">
        <f>Q133</f>
        <v>0.29864499999999999</v>
      </c>
      <c r="X133" s="68">
        <f>'HVAC Deemed Table'!J144</f>
        <v>18</v>
      </c>
      <c r="Y133" s="68"/>
      <c r="Z133" s="68">
        <f t="shared" si="116"/>
        <v>18</v>
      </c>
      <c r="AA133" s="3616">
        <f>'HVAC Deemed Table'!BB144</f>
        <v>2.6654692729981999</v>
      </c>
      <c r="AB133" s="2620">
        <f>'HVAC Deemed Table'!K144</f>
        <v>221</v>
      </c>
      <c r="AC133" s="3618">
        <f t="shared" si="117"/>
        <v>555.98745571741586</v>
      </c>
      <c r="AD133" s="3618">
        <f t="shared" si="118"/>
        <v>0</v>
      </c>
      <c r="AE133" s="2453">
        <f>'HVAC Deemed Table'!BD144</f>
        <v>555.98745571741586</v>
      </c>
      <c r="AF133" s="2453">
        <v>0</v>
      </c>
      <c r="AG133" s="2453"/>
      <c r="AH133" s="2453">
        <v>0</v>
      </c>
      <c r="AI133" s="3624" t="str">
        <f t="shared" si="115"/>
        <v>per measure</v>
      </c>
      <c r="AJ133" s="126">
        <f>'HVAC Deemed Table'!L144</f>
        <v>2.1</v>
      </c>
      <c r="AK133" s="1805"/>
      <c r="AL133" s="1805"/>
      <c r="AM133" s="1972">
        <f t="shared" si="111"/>
        <v>9.4741810000000004E-4</v>
      </c>
      <c r="AN133" s="1930">
        <f t="shared" si="101"/>
        <v>0.29864513348200006</v>
      </c>
      <c r="AO133" s="1971">
        <f t="shared" si="93"/>
        <v>1.3348200006424449E-7</v>
      </c>
    </row>
    <row r="134" spans="1:41" x14ac:dyDescent="0.25">
      <c r="A134" s="103" t="str">
        <f t="shared" si="56"/>
        <v>350951</v>
      </c>
      <c r="B134" s="1960" t="str">
        <f>'HVAC Deemed Table'!C145</f>
        <v>350951_2021_12_</v>
      </c>
      <c r="C134" s="1962" t="str">
        <f>'HVAC Deemed Table'!G145</f>
        <v>Cooling RES</v>
      </c>
      <c r="D134" s="1962"/>
      <c r="E134" s="1962"/>
      <c r="F134" s="1962"/>
      <c r="G134" s="1962" t="str">
        <f>'HVAC Deemed Table'!E145</f>
        <v>CAC-SEER16_ROF_MF_CompE</v>
      </c>
      <c r="H134" s="63" t="str">
        <f>'HVAC Deemed Table'!D145</f>
        <v>MFc</v>
      </c>
      <c r="I134" s="2438">
        <f t="shared" si="121"/>
        <v>229.25</v>
      </c>
      <c r="J134" s="2438">
        <f t="shared" si="122"/>
        <v>0</v>
      </c>
      <c r="K134" s="2439">
        <f>'HVAC Deemed Table'!F145</f>
        <v>229.25</v>
      </c>
      <c r="L134" s="2439">
        <v>0</v>
      </c>
      <c r="M134" s="2439"/>
      <c r="N134" s="2439">
        <v>0</v>
      </c>
      <c r="O134" s="2440">
        <f t="shared" si="119"/>
        <v>0.217196</v>
      </c>
      <c r="P134" s="2440">
        <f t="shared" si="120"/>
        <v>0</v>
      </c>
      <c r="Q134" s="2441">
        <f>'HVAC Deemed Table'!I145</f>
        <v>0.217196</v>
      </c>
      <c r="R134" s="2441"/>
      <c r="S134" s="2441"/>
      <c r="T134" s="2441"/>
      <c r="U134" s="1819"/>
      <c r="V134" s="1819"/>
      <c r="W134" s="1819">
        <f>Q134</f>
        <v>0.217196</v>
      </c>
      <c r="X134" s="68">
        <f>'HVAC Deemed Table'!J145</f>
        <v>18</v>
      </c>
      <c r="Y134" s="68"/>
      <c r="Z134" s="68">
        <f t="shared" si="116"/>
        <v>18</v>
      </c>
      <c r="AA134" s="3616">
        <f>'HVAC Deemed Table'!BB145</f>
        <v>1.9385154204518662</v>
      </c>
      <c r="AB134" s="2620">
        <f>'HVAC Deemed Table'!K145</f>
        <v>221</v>
      </c>
      <c r="AC134" s="3618">
        <f t="shared" si="117"/>
        <v>404.35290978750578</v>
      </c>
      <c r="AD134" s="3618">
        <f t="shared" si="118"/>
        <v>0</v>
      </c>
      <c r="AE134" s="2453">
        <f>'HVAC Deemed Table'!BD145</f>
        <v>404.35290978750578</v>
      </c>
      <c r="AF134" s="2453">
        <v>0</v>
      </c>
      <c r="AG134" s="2453"/>
      <c r="AH134" s="2453">
        <v>0</v>
      </c>
      <c r="AI134" s="3624" t="str">
        <f t="shared" si="115"/>
        <v>per measure</v>
      </c>
      <c r="AJ134" s="126">
        <f>'HVAC Deemed Table'!L145</f>
        <v>2.1</v>
      </c>
      <c r="AK134" s="1805"/>
      <c r="AL134" s="1805"/>
      <c r="AM134" s="1972">
        <f t="shared" si="111"/>
        <v>9.4741810000000004E-4</v>
      </c>
      <c r="AN134" s="1930">
        <f t="shared" si="101"/>
        <v>0.217195599425</v>
      </c>
      <c r="AO134" s="1971">
        <f t="shared" si="93"/>
        <v>-4.0057500000356683E-7</v>
      </c>
    </row>
    <row r="135" spans="1:41" x14ac:dyDescent="0.25">
      <c r="A135" s="103" t="str">
        <f t="shared" si="56"/>
        <v>351000</v>
      </c>
      <c r="B135" s="1960" t="str">
        <f>'HVAC Deemed Table'!C146</f>
        <v>351000_2021_12_</v>
      </c>
      <c r="C135" s="1962" t="str">
        <f>'HVAC Deemed Table'!G146</f>
        <v>Cooling RES</v>
      </c>
      <c r="D135" s="1962" t="str">
        <f>'HVAC Deemed Table'!G147</f>
        <v>Cooling RES ER2</v>
      </c>
      <c r="E135" s="1962"/>
      <c r="F135" s="1962"/>
      <c r="G135" s="1962" t="str">
        <f>'HVAC Deemed Table'!E146</f>
        <v>CAC-SEER17_ER1_SF</v>
      </c>
      <c r="H135" s="63" t="str">
        <f>'HVAC Deemed Table'!D146</f>
        <v>SF</v>
      </c>
      <c r="I135" s="2438">
        <f t="shared" si="121"/>
        <v>1896.58</v>
      </c>
      <c r="J135" s="2438">
        <f t="shared" si="122"/>
        <v>576.42999999999995</v>
      </c>
      <c r="K135" s="2439">
        <f>'HVAC Deemed Table'!F146</f>
        <v>1896.58</v>
      </c>
      <c r="L135" s="2439">
        <v>0</v>
      </c>
      <c r="M135" s="2439">
        <f>'HVAC Deemed Table'!F147</f>
        <v>576.42999999999995</v>
      </c>
      <c r="N135" s="2439">
        <v>0</v>
      </c>
      <c r="O135" s="2440">
        <f t="shared" si="119"/>
        <v>1.796854</v>
      </c>
      <c r="P135" s="2440">
        <f t="shared" si="120"/>
        <v>0.54612000000000005</v>
      </c>
      <c r="Q135" s="2441">
        <f>'HVAC Deemed Table'!I146</f>
        <v>1.796854</v>
      </c>
      <c r="R135" s="2441"/>
      <c r="S135" s="2441">
        <f>'HVAC Deemed Table'!I147</f>
        <v>0.54612000000000005</v>
      </c>
      <c r="T135" s="2441"/>
      <c r="U135" s="1819"/>
      <c r="V135" s="1819"/>
      <c r="W135" s="1821">
        <f>P135</f>
        <v>0.54612000000000005</v>
      </c>
      <c r="X135" s="68">
        <f>'HVAC Deemed Table'!J146</f>
        <v>6</v>
      </c>
      <c r="Y135" s="68">
        <f>'HVAC Deemed Table'!J147</f>
        <v>12</v>
      </c>
      <c r="Z135" s="68">
        <f t="shared" si="116"/>
        <v>18</v>
      </c>
      <c r="AA135" s="3616">
        <f>'HVAC Deemed Table'!BB146</f>
        <v>1.7919524841874155</v>
      </c>
      <c r="AB135" s="2620">
        <f>'HVAC Deemed Table'!K146</f>
        <v>1055.0097130498366</v>
      </c>
      <c r="AC135" s="3618">
        <f t="shared" si="117"/>
        <v>1102.8312337392763</v>
      </c>
      <c r="AD135" s="3618">
        <f t="shared" si="118"/>
        <v>681.52674279824816</v>
      </c>
      <c r="AE135" s="2453">
        <f>'HVAC Deemed Table'!BD146</f>
        <v>1102.8312337392763</v>
      </c>
      <c r="AF135" s="2453">
        <v>0</v>
      </c>
      <c r="AG135" s="2453">
        <f>'HVAC Deemed Table'!BD147</f>
        <v>681.52674279824816</v>
      </c>
      <c r="AH135" s="2453">
        <v>0</v>
      </c>
      <c r="AI135" s="3624" t="str">
        <f t="shared" si="115"/>
        <v>per measure</v>
      </c>
      <c r="AJ135" s="126">
        <f>'HVAC Deemed Table'!L146</f>
        <v>2.9191449814126398</v>
      </c>
      <c r="AK135" s="1805"/>
      <c r="AL135" s="1805"/>
      <c r="AM135" s="1972">
        <f t="shared" si="111"/>
        <v>9.4741810000000004E-4</v>
      </c>
      <c r="AN135" s="1930">
        <f t="shared" ref="AN135:AN140" si="123">AM135*I135</f>
        <v>1.796854220098</v>
      </c>
      <c r="AO135" s="1971">
        <f t="shared" si="93"/>
        <v>2.2009800004774149E-7</v>
      </c>
    </row>
    <row r="136" spans="1:41" x14ac:dyDescent="0.25">
      <c r="A136" s="103" t="str">
        <f t="shared" si="56"/>
        <v>351050</v>
      </c>
      <c r="B136" s="1960" t="str">
        <f>'HVAC Deemed Table'!C148</f>
        <v>351050_2021_12_</v>
      </c>
      <c r="C136" s="1962" t="str">
        <f>'HVAC Deemed Table'!G148</f>
        <v>Cooling RES</v>
      </c>
      <c r="D136" s="1962"/>
      <c r="E136" s="1962"/>
      <c r="F136" s="1962"/>
      <c r="G136" s="1962" t="str">
        <f>'HVAC Deemed Table'!E148</f>
        <v>CAC-SEER17_ROF_SF</v>
      </c>
      <c r="H136" s="63" t="str">
        <f>'HVAC Deemed Table'!D148</f>
        <v>SF</v>
      </c>
      <c r="I136" s="2438">
        <f t="shared" si="121"/>
        <v>595.16999999999996</v>
      </c>
      <c r="J136" s="2438">
        <f t="shared" si="122"/>
        <v>0</v>
      </c>
      <c r="K136" s="2439">
        <f>'HVAC Deemed Table'!F148</f>
        <v>595.16999999999996</v>
      </c>
      <c r="L136" s="2439">
        <v>0</v>
      </c>
      <c r="M136" s="2439"/>
      <c r="N136" s="2439">
        <v>0</v>
      </c>
      <c r="O136" s="2440">
        <f t="shared" si="119"/>
        <v>0.56387500000000002</v>
      </c>
      <c r="P136" s="2440">
        <f t="shared" si="120"/>
        <v>0</v>
      </c>
      <c r="Q136" s="2441">
        <f>'HVAC Deemed Table'!I148</f>
        <v>0.56387500000000002</v>
      </c>
      <c r="R136" s="2441"/>
      <c r="S136" s="2441"/>
      <c r="T136" s="2441"/>
      <c r="U136" s="1819"/>
      <c r="V136" s="1819"/>
      <c r="W136" s="1819">
        <f>Q136</f>
        <v>0.56387500000000002</v>
      </c>
      <c r="X136" s="68">
        <f>'HVAC Deemed Table'!J148</f>
        <v>18</v>
      </c>
      <c r="Y136" s="68"/>
      <c r="Z136" s="68">
        <f t="shared" si="116"/>
        <v>18</v>
      </c>
      <c r="AA136" s="3616">
        <f>'HVAC Deemed Table'!BB148</f>
        <v>1.7939136401073945</v>
      </c>
      <c r="AB136" s="2620">
        <f>'HVAC Deemed Table'!K148</f>
        <v>620</v>
      </c>
      <c r="AC136" s="3618">
        <f t="shared" si="117"/>
        <v>1049.7654146923874</v>
      </c>
      <c r="AD136" s="3618">
        <f t="shared" si="118"/>
        <v>0</v>
      </c>
      <c r="AE136" s="2453">
        <f>'HVAC Deemed Table'!BD148</f>
        <v>1049.7654146923874</v>
      </c>
      <c r="AF136" s="2453">
        <v>0</v>
      </c>
      <c r="AG136" s="2453"/>
      <c r="AH136" s="2453">
        <v>0</v>
      </c>
      <c r="AI136" s="3624" t="str">
        <f t="shared" si="115"/>
        <v>per measure</v>
      </c>
      <c r="AJ136" s="126">
        <f>'HVAC Deemed Table'!L148</f>
        <v>3.0298913043478262</v>
      </c>
      <c r="AK136" s="1805"/>
      <c r="AL136" s="1805"/>
      <c r="AM136" s="1972">
        <f t="shared" si="111"/>
        <v>9.4741810000000004E-4</v>
      </c>
      <c r="AN136" s="1930">
        <f t="shared" si="123"/>
        <v>0.56387483057699994</v>
      </c>
      <c r="AO136" s="1971">
        <f t="shared" si="93"/>
        <v>-1.6942300007372069E-7</v>
      </c>
    </row>
    <row r="137" spans="1:41" x14ac:dyDescent="0.25">
      <c r="A137" s="103" t="str">
        <f t="shared" si="56"/>
        <v>351100</v>
      </c>
      <c r="B137" s="1960" t="str">
        <f>'HVAC Deemed Table'!C149</f>
        <v>351100_2021_12_</v>
      </c>
      <c r="C137" s="1962" t="str">
        <f>'HVAC Deemed Table'!G149</f>
        <v>Cooling RES</v>
      </c>
      <c r="D137" s="1962" t="str">
        <f>'HVAC Deemed Table'!G150</f>
        <v>Cooling RES ER2</v>
      </c>
      <c r="E137" s="1962"/>
      <c r="F137" s="1962"/>
      <c r="G137" s="1962" t="str">
        <f>'HVAC Deemed Table'!E149</f>
        <v>CAC-SEER17_ER1_MF</v>
      </c>
      <c r="H137" s="63" t="str">
        <f>'HVAC Deemed Table'!D149</f>
        <v>MF</v>
      </c>
      <c r="I137" s="2438">
        <f t="shared" si="121"/>
        <v>1604.29</v>
      </c>
      <c r="J137" s="2438">
        <f t="shared" si="122"/>
        <v>496.97</v>
      </c>
      <c r="K137" s="2439">
        <f>'HVAC Deemed Table'!F149</f>
        <v>1604.29</v>
      </c>
      <c r="L137" s="2439">
        <v>0</v>
      </c>
      <c r="M137" s="2439">
        <f>'HVAC Deemed Table'!F150</f>
        <v>496.97</v>
      </c>
      <c r="N137" s="2439">
        <v>0</v>
      </c>
      <c r="O137" s="2440">
        <f t="shared" si="119"/>
        <v>1.519933</v>
      </c>
      <c r="P137" s="2440">
        <f t="shared" si="120"/>
        <v>0.47083799999999998</v>
      </c>
      <c r="Q137" s="2441">
        <f>'HVAC Deemed Table'!I149</f>
        <v>1.519933</v>
      </c>
      <c r="R137" s="2441"/>
      <c r="S137" s="2441">
        <f>'HVAC Deemed Table'!I150</f>
        <v>0.47083799999999998</v>
      </c>
      <c r="T137" s="2441"/>
      <c r="U137" s="1819"/>
      <c r="V137" s="1819"/>
      <c r="W137" s="1821">
        <f>P137</f>
        <v>0.47083799999999998</v>
      </c>
      <c r="X137" s="68">
        <f>'HVAC Deemed Table'!J149</f>
        <v>6</v>
      </c>
      <c r="Y137" s="68">
        <f>'HVAC Deemed Table'!J150</f>
        <v>12</v>
      </c>
      <c r="Z137" s="68">
        <f t="shared" si="116"/>
        <v>18</v>
      </c>
      <c r="AA137" s="3616">
        <f>'HVAC Deemed Table'!BB149</f>
        <v>1.6079202666721666</v>
      </c>
      <c r="AB137" s="2620">
        <f>'HVAC Deemed Table'!K149</f>
        <v>1001.8626333354541</v>
      </c>
      <c r="AC137" s="3618">
        <f t="shared" si="117"/>
        <v>932.86922775500295</v>
      </c>
      <c r="AD137" s="3618">
        <f t="shared" si="118"/>
        <v>587.57931642774565</v>
      </c>
      <c r="AE137" s="2453">
        <f>'HVAC Deemed Table'!BD149</f>
        <v>932.86922775500295</v>
      </c>
      <c r="AF137" s="2453">
        <v>0</v>
      </c>
      <c r="AG137" s="2453">
        <f>'HVAC Deemed Table'!BD150</f>
        <v>587.57931642774565</v>
      </c>
      <c r="AH137" s="2453">
        <v>0</v>
      </c>
      <c r="AI137" s="3624" t="str">
        <f t="shared" si="115"/>
        <v>per measure</v>
      </c>
      <c r="AJ137" s="126">
        <f>'HVAC Deemed Table'!L149</f>
        <v>2.5625</v>
      </c>
      <c r="AK137" s="1805"/>
      <c r="AL137" s="1805"/>
      <c r="AM137" s="1972">
        <f t="shared" si="111"/>
        <v>9.4741810000000004E-4</v>
      </c>
      <c r="AN137" s="1930">
        <f t="shared" si="123"/>
        <v>1.5199333836490001</v>
      </c>
      <c r="AO137" s="1971">
        <f t="shared" si="93"/>
        <v>3.8364900012410885E-7</v>
      </c>
    </row>
    <row r="138" spans="1:41" x14ac:dyDescent="0.25">
      <c r="A138" s="103" t="str">
        <f t="shared" ref="A138:A201" si="124">LEFT(B138,6)</f>
        <v>351101</v>
      </c>
      <c r="B138" s="1960" t="str">
        <f>'HVAC Deemed Table'!C151</f>
        <v>351101_2021_12_</v>
      </c>
      <c r="C138" s="1962" t="str">
        <f>'HVAC Deemed Table'!G151</f>
        <v>Cooling RES</v>
      </c>
      <c r="D138" s="1962" t="str">
        <f>'HVAC Deemed Table'!G152</f>
        <v>Cooling RES ER2</v>
      </c>
      <c r="E138" s="1962"/>
      <c r="F138" s="1962"/>
      <c r="G138" s="1962" t="str">
        <f>'HVAC Deemed Table'!E151</f>
        <v>CAC-SEER17_ER1_MF_CompE</v>
      </c>
      <c r="H138" s="63" t="str">
        <f>'HVAC Deemed Table'!D151</f>
        <v>MFc</v>
      </c>
      <c r="I138" s="2438">
        <f t="shared" si="121"/>
        <v>1187.46</v>
      </c>
      <c r="J138" s="2438">
        <f t="shared" si="122"/>
        <v>351.04</v>
      </c>
      <c r="K138" s="2439">
        <f>'HVAC Deemed Table'!F151</f>
        <v>1187.46</v>
      </c>
      <c r="L138" s="2439">
        <v>0</v>
      </c>
      <c r="M138" s="2439">
        <f>'HVAC Deemed Table'!F152</f>
        <v>351.04</v>
      </c>
      <c r="N138" s="2439">
        <v>0</v>
      </c>
      <c r="O138" s="2440">
        <f t="shared" si="119"/>
        <v>1.125021</v>
      </c>
      <c r="P138" s="2440">
        <f t="shared" si="120"/>
        <v>0.33258199999999999</v>
      </c>
      <c r="Q138" s="2441">
        <f>'HVAC Deemed Table'!I151</f>
        <v>1.125021</v>
      </c>
      <c r="R138" s="2441"/>
      <c r="S138" s="2441">
        <f>'HVAC Deemed Table'!I152</f>
        <v>0.33258199999999999</v>
      </c>
      <c r="T138" s="2441"/>
      <c r="U138" s="1819"/>
      <c r="V138" s="1819"/>
      <c r="W138" s="1821">
        <f>P138</f>
        <v>0.33258199999999999</v>
      </c>
      <c r="X138" s="68">
        <f>'HVAC Deemed Table'!J151</f>
        <v>6</v>
      </c>
      <c r="Y138" s="68">
        <f>'HVAC Deemed Table'!J152</f>
        <v>12</v>
      </c>
      <c r="Z138" s="68">
        <f t="shared" si="116"/>
        <v>18</v>
      </c>
      <c r="AA138" s="3616">
        <f>'HVAC Deemed Table'!BB151</f>
        <v>1.1691335189773828</v>
      </c>
      <c r="AB138" s="2620">
        <f>'HVAC Deemed Table'!K151</f>
        <v>1001.8626333354541</v>
      </c>
      <c r="AC138" s="3618">
        <f t="shared" si="117"/>
        <v>690.48918411880391</v>
      </c>
      <c r="AD138" s="3618">
        <f t="shared" si="118"/>
        <v>415.04284612510986</v>
      </c>
      <c r="AE138" s="2453">
        <f>'HVAC Deemed Table'!BD151</f>
        <v>690.48918411880391</v>
      </c>
      <c r="AF138" s="2453">
        <v>0</v>
      </c>
      <c r="AG138" s="2453">
        <f>'HVAC Deemed Table'!BD152</f>
        <v>415.04284612510986</v>
      </c>
      <c r="AH138" s="2453">
        <v>0</v>
      </c>
      <c r="AI138" s="3624" t="str">
        <f t="shared" si="115"/>
        <v>per measure</v>
      </c>
      <c r="AJ138" s="126">
        <f>'HVAC Deemed Table'!L151</f>
        <v>2.5625</v>
      </c>
      <c r="AK138" s="1805"/>
      <c r="AL138" s="1805"/>
      <c r="AM138" s="1972">
        <f t="shared" si="111"/>
        <v>9.4741810000000004E-4</v>
      </c>
      <c r="AN138" s="1930">
        <f t="shared" si="123"/>
        <v>1.1250210970260002</v>
      </c>
      <c r="AO138" s="1971">
        <f t="shared" si="93"/>
        <v>9.7026000123179301E-8</v>
      </c>
    </row>
    <row r="139" spans="1:41" x14ac:dyDescent="0.25">
      <c r="A139" s="103" t="str">
        <f t="shared" si="124"/>
        <v>351150</v>
      </c>
      <c r="B139" s="1960" t="str">
        <f>'HVAC Deemed Table'!C153</f>
        <v>351150_2021_12_</v>
      </c>
      <c r="C139" s="1962" t="str">
        <f>'HVAC Deemed Table'!G153</f>
        <v>Cooling RES</v>
      </c>
      <c r="D139" s="1962"/>
      <c r="E139" s="1962"/>
      <c r="F139" s="1962"/>
      <c r="G139" s="1962" t="str">
        <f>'HVAC Deemed Table'!E153</f>
        <v>CAC-SEER17_ROF_MF</v>
      </c>
      <c r="H139" s="63" t="str">
        <f>'HVAC Deemed Table'!D153</f>
        <v>MF</v>
      </c>
      <c r="I139" s="2438">
        <f t="shared" si="121"/>
        <v>518</v>
      </c>
      <c r="J139" s="2438">
        <f t="shared" si="122"/>
        <v>0</v>
      </c>
      <c r="K139" s="2439">
        <f>'HVAC Deemed Table'!F153</f>
        <v>518</v>
      </c>
      <c r="L139" s="2439">
        <v>0</v>
      </c>
      <c r="M139" s="2439"/>
      <c r="N139" s="2439">
        <v>0</v>
      </c>
      <c r="O139" s="2440">
        <f t="shared" si="119"/>
        <v>0.490763</v>
      </c>
      <c r="P139" s="2440">
        <f t="shared" si="120"/>
        <v>0</v>
      </c>
      <c r="Q139" s="2441">
        <f>'HVAC Deemed Table'!I153</f>
        <v>0.490763</v>
      </c>
      <c r="R139" s="2441"/>
      <c r="S139" s="2441"/>
      <c r="T139" s="2441"/>
      <c r="U139" s="1819"/>
      <c r="V139" s="1819"/>
      <c r="W139" s="1819">
        <f>Q139</f>
        <v>0.490763</v>
      </c>
      <c r="X139" s="68">
        <f>'HVAC Deemed Table'!J153</f>
        <v>18</v>
      </c>
      <c r="Y139" s="68"/>
      <c r="Z139" s="68">
        <f t="shared" si="116"/>
        <v>18</v>
      </c>
      <c r="AA139" s="3616">
        <f>'HVAC Deemed Table'!BB153</f>
        <v>1.5613140204910032</v>
      </c>
      <c r="AB139" s="2620">
        <f>'HVAC Deemed Table'!K153</f>
        <v>620</v>
      </c>
      <c r="AC139" s="3618">
        <f t="shared" si="117"/>
        <v>913.65237631375351</v>
      </c>
      <c r="AD139" s="3618">
        <f t="shared" si="118"/>
        <v>0</v>
      </c>
      <c r="AE139" s="2453">
        <f>'HVAC Deemed Table'!BD153</f>
        <v>913.65237631375351</v>
      </c>
      <c r="AF139" s="2453">
        <v>0</v>
      </c>
      <c r="AG139" s="2453"/>
      <c r="AH139" s="2453">
        <v>0</v>
      </c>
      <c r="AI139" s="3624" t="str">
        <f t="shared" si="115"/>
        <v>per measure</v>
      </c>
      <c r="AJ139" s="126">
        <f>'HVAC Deemed Table'!L153</f>
        <v>2.75</v>
      </c>
      <c r="AK139" s="1805"/>
      <c r="AL139" s="1805"/>
      <c r="AM139" s="1972">
        <f t="shared" si="111"/>
        <v>9.4741810000000004E-4</v>
      </c>
      <c r="AN139" s="1930">
        <f t="shared" si="123"/>
        <v>0.49076257580000004</v>
      </c>
      <c r="AO139" s="1971">
        <f t="shared" si="93"/>
        <v>-4.2419999995990665E-7</v>
      </c>
    </row>
    <row r="140" spans="1:41" x14ac:dyDescent="0.25">
      <c r="A140" s="103" t="str">
        <f t="shared" si="124"/>
        <v>351151</v>
      </c>
      <c r="B140" s="1960" t="str">
        <f>'HVAC Deemed Table'!C154</f>
        <v>351151_2021_12_</v>
      </c>
      <c r="C140" s="1962" t="str">
        <f>'HVAC Deemed Table'!G154</f>
        <v>Cooling RES</v>
      </c>
      <c r="D140" s="1962"/>
      <c r="E140" s="1962"/>
      <c r="F140" s="1962"/>
      <c r="G140" s="1962" t="str">
        <f>'HVAC Deemed Table'!E154</f>
        <v>CAC-SEER17_ROF_MF_CompE</v>
      </c>
      <c r="H140" s="63" t="str">
        <f>'HVAC Deemed Table'!D154</f>
        <v>MFc</v>
      </c>
      <c r="I140" s="2438">
        <f t="shared" si="121"/>
        <v>376.73</v>
      </c>
      <c r="J140" s="2438">
        <f t="shared" si="122"/>
        <v>0</v>
      </c>
      <c r="K140" s="2439">
        <f>'HVAC Deemed Table'!F154</f>
        <v>376.73</v>
      </c>
      <c r="L140" s="2439">
        <v>0</v>
      </c>
      <c r="M140" s="2439"/>
      <c r="N140" s="2439">
        <v>0</v>
      </c>
      <c r="O140" s="2440">
        <f t="shared" si="119"/>
        <v>0.35692099999999999</v>
      </c>
      <c r="P140" s="2440">
        <f t="shared" si="120"/>
        <v>0</v>
      </c>
      <c r="Q140" s="2441">
        <f>'HVAC Deemed Table'!I154</f>
        <v>0.35692099999999999</v>
      </c>
      <c r="R140" s="2441"/>
      <c r="S140" s="2441"/>
      <c r="T140" s="2441"/>
      <c r="U140" s="1819"/>
      <c r="V140" s="1819"/>
      <c r="W140" s="1819">
        <f>Q140</f>
        <v>0.35692099999999999</v>
      </c>
      <c r="X140" s="68">
        <f>'HVAC Deemed Table'!J154</f>
        <v>18</v>
      </c>
      <c r="Y140" s="68"/>
      <c r="Z140" s="68">
        <f t="shared" si="116"/>
        <v>18</v>
      </c>
      <c r="AA140" s="3616">
        <f>'HVAC Deemed Table'!BB154</f>
        <v>1.135509326138177</v>
      </c>
      <c r="AB140" s="2620">
        <f>'HVAC Deemed Table'!K154</f>
        <v>620</v>
      </c>
      <c r="AC140" s="3618">
        <f t="shared" si="117"/>
        <v>664.47926588548341</v>
      </c>
      <c r="AD140" s="3618">
        <f t="shared" si="118"/>
        <v>0</v>
      </c>
      <c r="AE140" s="2453">
        <f>'HVAC Deemed Table'!BD154</f>
        <v>664.47926588548341</v>
      </c>
      <c r="AF140" s="2453">
        <v>0</v>
      </c>
      <c r="AG140" s="2453"/>
      <c r="AH140" s="2453">
        <v>0</v>
      </c>
      <c r="AI140" s="3624" t="str">
        <f t="shared" si="115"/>
        <v>per measure</v>
      </c>
      <c r="AJ140" s="126">
        <f>'HVAC Deemed Table'!L154</f>
        <v>2.75</v>
      </c>
      <c r="AK140" s="1805"/>
      <c r="AL140" s="1805"/>
      <c r="AM140" s="1972">
        <f t="shared" si="111"/>
        <v>9.4741810000000004E-4</v>
      </c>
      <c r="AN140" s="1930">
        <f t="shared" si="123"/>
        <v>0.35692082081300003</v>
      </c>
      <c r="AO140" s="1971">
        <f t="shared" si="93"/>
        <v>-1.7918699996011256E-7</v>
      </c>
    </row>
    <row r="141" spans="1:41" s="1930" customFormat="1" x14ac:dyDescent="0.25">
      <c r="A141" s="103" t="str">
        <f t="shared" si="124"/>
        <v>351160</v>
      </c>
      <c r="B141" s="1960" t="str">
        <f>'HVAC Deemed Table'!C155</f>
        <v>351160_2021_12_</v>
      </c>
      <c r="C141" s="1962" t="str">
        <f>'HVAC Deemed Table'!G155</f>
        <v>Cooling RES</v>
      </c>
      <c r="D141" s="1962" t="str">
        <f>'HVAC Deemed Table'!G156</f>
        <v>Cooling RES ER2</v>
      </c>
      <c r="E141" s="1962"/>
      <c r="F141" s="1962"/>
      <c r="G141" s="1962" t="str">
        <f>'HVAC Deemed Table'!E155</f>
        <v>CAC-SEER18_ER1_SF</v>
      </c>
      <c r="H141" s="63" t="str">
        <f>'HVAC Deemed Table'!D155</f>
        <v>SF</v>
      </c>
      <c r="I141" s="2438">
        <f t="shared" ref="I141:I164" si="125">K141+L141</f>
        <v>2213.29</v>
      </c>
      <c r="J141" s="2438">
        <f>M141+N141</f>
        <v>720.84</v>
      </c>
      <c r="K141" s="2439">
        <f>'HVAC Deemed Table'!F155</f>
        <v>2213.29</v>
      </c>
      <c r="L141" s="2439">
        <v>0</v>
      </c>
      <c r="M141" s="2439">
        <f>'HVAC Deemed Table'!F156</f>
        <v>720.84</v>
      </c>
      <c r="N141" s="2439">
        <v>0</v>
      </c>
      <c r="O141" s="2440">
        <f t="shared" ref="O141:O164" si="126">Q141+R141</f>
        <v>2.096911</v>
      </c>
      <c r="P141" s="2440">
        <f t="shared" ref="P141:P164" si="127">S141+T141</f>
        <v>0.68293700000000002</v>
      </c>
      <c r="Q141" s="2441">
        <f>'HVAC Deemed Table'!I155</f>
        <v>2.096911</v>
      </c>
      <c r="R141" s="2441">
        <v>0</v>
      </c>
      <c r="S141" s="2441">
        <f>'HVAC Deemed Table'!I156</f>
        <v>0.68293700000000002</v>
      </c>
      <c r="T141" s="2441">
        <v>0</v>
      </c>
      <c r="U141" s="1819"/>
      <c r="V141" s="1819"/>
      <c r="W141" s="1819">
        <f>P141</f>
        <v>0.68293700000000002</v>
      </c>
      <c r="X141" s="68">
        <f>'HVAC Deemed Table'!J155</f>
        <v>6</v>
      </c>
      <c r="Y141" s="68">
        <f>'HVAC Deemed Table'!J156</f>
        <v>12</v>
      </c>
      <c r="Z141" s="68">
        <f t="shared" si="116"/>
        <v>18</v>
      </c>
      <c r="AA141" s="3616">
        <f>'HVAC Deemed Table'!BB155</f>
        <v>1.730551074483675</v>
      </c>
      <c r="AB141" s="2620">
        <f>'HVAC Deemed Table'!K155</f>
        <v>1309.7244675645725</v>
      </c>
      <c r="AC141" s="3618">
        <f t="shared" ref="AC141:AC164" si="128">AE141+AF141</f>
        <v>1286.9930829824225</v>
      </c>
      <c r="AD141" s="3618">
        <f t="shared" ref="AD141:AD164" si="129">AG141+AH141</f>
        <v>852.26608136059758</v>
      </c>
      <c r="AE141" s="2453">
        <f>'HVAC Deemed Table'!BD155</f>
        <v>1286.9930829824225</v>
      </c>
      <c r="AF141" s="2453"/>
      <c r="AG141" s="2453">
        <f>'HVAC Deemed Table'!BD156</f>
        <v>852.26608136059758</v>
      </c>
      <c r="AH141" s="2453"/>
      <c r="AI141" s="3624" t="str">
        <f t="shared" si="115"/>
        <v>per measure</v>
      </c>
      <c r="AJ141" s="126">
        <f>'HVAC Deemed Table'!L155</f>
        <v>3.2415730337078652</v>
      </c>
      <c r="AK141" s="1805"/>
      <c r="AL141" s="1805"/>
      <c r="AM141" s="1972"/>
      <c r="AO141" s="1971"/>
    </row>
    <row r="142" spans="1:41" s="1930" customFormat="1" x14ac:dyDescent="0.25">
      <c r="A142" s="103" t="str">
        <f t="shared" si="124"/>
        <v>351161</v>
      </c>
      <c r="B142" s="1960" t="str">
        <f>'HVAC Deemed Table'!C157</f>
        <v>351161_2021_12_</v>
      </c>
      <c r="C142" s="1962" t="str">
        <f>'HVAC Deemed Table'!G157</f>
        <v>Cooling RES</v>
      </c>
      <c r="D142" s="1962"/>
      <c r="E142" s="1962"/>
      <c r="F142" s="1962"/>
      <c r="G142" s="1962" t="str">
        <f>'HVAC Deemed Table'!E157</f>
        <v>CAC-SEER18_ROF_SF</v>
      </c>
      <c r="H142" s="63" t="str">
        <f>'HVAC Deemed Table'!D157</f>
        <v>SF</v>
      </c>
      <c r="I142" s="2438">
        <f t="shared" si="125"/>
        <v>706.92</v>
      </c>
      <c r="J142" s="2438">
        <f t="shared" ref="J142:J164" si="130">M142+N142</f>
        <v>0</v>
      </c>
      <c r="K142" s="2439">
        <f>'HVAC Deemed Table'!F157</f>
        <v>706.92</v>
      </c>
      <c r="L142" s="2439">
        <v>0</v>
      </c>
      <c r="M142" s="2439"/>
      <c r="N142" s="2439">
        <v>0</v>
      </c>
      <c r="O142" s="2440">
        <f t="shared" si="126"/>
        <v>0.66974900000000004</v>
      </c>
      <c r="P142" s="2440">
        <f t="shared" si="127"/>
        <v>0</v>
      </c>
      <c r="Q142" s="2441">
        <f>'HVAC Deemed Table'!I157</f>
        <v>0.66974900000000004</v>
      </c>
      <c r="R142" s="2441">
        <v>0</v>
      </c>
      <c r="S142" s="2441"/>
      <c r="T142" s="2441">
        <v>0</v>
      </c>
      <c r="U142" s="1819"/>
      <c r="V142" s="1819"/>
      <c r="W142" s="1819">
        <f t="shared" ref="W142:W164" si="131">Q142</f>
        <v>0.66974900000000004</v>
      </c>
      <c r="X142" s="68">
        <f>'HVAC Deemed Table'!J157</f>
        <v>18</v>
      </c>
      <c r="Y142" s="68"/>
      <c r="Z142" s="68">
        <f t="shared" si="116"/>
        <v>18</v>
      </c>
      <c r="AA142" s="3616">
        <f>'HVAC Deemed Table'!BB157</f>
        <v>1.5980561400079625</v>
      </c>
      <c r="AB142" s="2620">
        <f>'HVAC Deemed Table'!K157</f>
        <v>826.66666666666708</v>
      </c>
      <c r="AC142" s="3618">
        <f t="shared" si="128"/>
        <v>1246.8709225168313</v>
      </c>
      <c r="AD142" s="3618">
        <f t="shared" si="129"/>
        <v>0</v>
      </c>
      <c r="AE142" s="2453">
        <f>'HVAC Deemed Table'!BD157</f>
        <v>1246.8709225168313</v>
      </c>
      <c r="AF142" s="2453"/>
      <c r="AG142" s="2453"/>
      <c r="AH142" s="2453"/>
      <c r="AI142" s="3624" t="str">
        <f t="shared" si="115"/>
        <v>per measure</v>
      </c>
      <c r="AJ142" s="126">
        <f>'HVAC Deemed Table'!L157</f>
        <v>3.1730769230769234</v>
      </c>
      <c r="AK142" s="1805"/>
      <c r="AL142" s="1805"/>
      <c r="AM142" s="1972"/>
      <c r="AO142" s="1971"/>
    </row>
    <row r="143" spans="1:41" s="1930" customFormat="1" x14ac:dyDescent="0.25">
      <c r="A143" s="103" t="str">
        <f t="shared" si="124"/>
        <v>351162</v>
      </c>
      <c r="B143" s="1960" t="str">
        <f>'HVAC Deemed Table'!C158</f>
        <v>351162_2021_12_</v>
      </c>
      <c r="C143" s="1962" t="str">
        <f>'HVAC Deemed Table'!G158</f>
        <v>Cooling RES</v>
      </c>
      <c r="D143" s="1962" t="str">
        <f>'HVAC Deemed Table'!G159</f>
        <v>Cooling RES ER2</v>
      </c>
      <c r="E143" s="1962"/>
      <c r="F143" s="1962"/>
      <c r="G143" s="1962" t="str">
        <f>'HVAC Deemed Table'!E158</f>
        <v>CAC-SEER18_ER1_MF</v>
      </c>
      <c r="H143" s="63" t="str">
        <f>'HVAC Deemed Table'!D158</f>
        <v>MF</v>
      </c>
      <c r="I143" s="2438">
        <f t="shared" si="125"/>
        <v>2910.14</v>
      </c>
      <c r="J143" s="2438">
        <f t="shared" si="130"/>
        <v>667.12</v>
      </c>
      <c r="K143" s="2439">
        <f>'HVAC Deemed Table'!F158</f>
        <v>2910.14</v>
      </c>
      <c r="L143" s="2439">
        <v>0</v>
      </c>
      <c r="M143" s="2439">
        <f>'HVAC Deemed Table'!F159</f>
        <v>667.12</v>
      </c>
      <c r="N143" s="2439">
        <v>0</v>
      </c>
      <c r="O143" s="2440">
        <f t="shared" si="126"/>
        <v>2.7571189999999999</v>
      </c>
      <c r="P143" s="2440">
        <f t="shared" si="127"/>
        <v>0.63204199999999999</v>
      </c>
      <c r="Q143" s="2441">
        <f>'HVAC Deemed Table'!I158</f>
        <v>2.7571189999999999</v>
      </c>
      <c r="R143" s="2441">
        <v>0</v>
      </c>
      <c r="S143" s="2441">
        <f>'HVAC Deemed Table'!I159</f>
        <v>0.63204199999999999</v>
      </c>
      <c r="T143" s="2441">
        <v>0</v>
      </c>
      <c r="U143" s="1819"/>
      <c r="V143" s="1819"/>
      <c r="W143" s="1819">
        <f>P143</f>
        <v>0.63204199999999999</v>
      </c>
      <c r="X143" s="68">
        <f>'HVAC Deemed Table'!J158</f>
        <v>6</v>
      </c>
      <c r="Y143" s="68">
        <f>'HVAC Deemed Table'!J159</f>
        <v>12</v>
      </c>
      <c r="Z143" s="68">
        <f t="shared" si="116"/>
        <v>18</v>
      </c>
      <c r="AA143" s="3616">
        <f>'HVAC Deemed Table'!BB158</f>
        <v>1.8654711520104992</v>
      </c>
      <c r="AB143" s="2620">
        <f>'HVAC Deemed Table'!K158</f>
        <v>1409.0642057751234</v>
      </c>
      <c r="AC143" s="3618">
        <f t="shared" si="128"/>
        <v>1692.2003219236824</v>
      </c>
      <c r="AD143" s="3618">
        <f t="shared" si="129"/>
        <v>788.75166222363055</v>
      </c>
      <c r="AE143" s="2453">
        <f>'HVAC Deemed Table'!BD158</f>
        <v>1692.2003219236824</v>
      </c>
      <c r="AF143" s="2453"/>
      <c r="AG143" s="2453">
        <f>'HVAC Deemed Table'!BD159</f>
        <v>788.75166222363055</v>
      </c>
      <c r="AH143" s="2453"/>
      <c r="AI143" s="3624" t="str">
        <f t="shared" si="115"/>
        <v>per measure</v>
      </c>
      <c r="AJ143" s="126">
        <f>'HVAC Deemed Table'!L158</f>
        <v>3</v>
      </c>
      <c r="AK143" s="1805"/>
      <c r="AL143" s="1805"/>
      <c r="AM143" s="1972"/>
      <c r="AO143" s="1971"/>
    </row>
    <row r="144" spans="1:41" s="1930" customFormat="1" x14ac:dyDescent="0.25">
      <c r="A144" s="103" t="str">
        <f t="shared" si="124"/>
        <v>351163</v>
      </c>
      <c r="B144" s="1960" t="str">
        <f>'HVAC Deemed Table'!C160</f>
        <v>351163_2021_12_</v>
      </c>
      <c r="C144" s="1962" t="str">
        <f>'HVAC Deemed Table'!G160</f>
        <v>Cooling RES</v>
      </c>
      <c r="D144" s="1962" t="str">
        <f>'HVAC Deemed Table'!G161</f>
        <v>Cooling RES ER2</v>
      </c>
      <c r="E144" s="1962"/>
      <c r="F144" s="1962"/>
      <c r="G144" s="1962" t="str">
        <f>'HVAC Deemed Table'!E160</f>
        <v>CAC-SEER18_ER1_MF_CompE</v>
      </c>
      <c r="H144" s="63" t="str">
        <f>'HVAC Deemed Table'!D160</f>
        <v>MFc</v>
      </c>
      <c r="I144" s="2438">
        <f t="shared" si="125"/>
        <v>1464.4</v>
      </c>
      <c r="J144" s="2438">
        <f t="shared" si="130"/>
        <v>485.18</v>
      </c>
      <c r="K144" s="2439">
        <f>'HVAC Deemed Table'!F160</f>
        <v>1464.4</v>
      </c>
      <c r="L144" s="2439">
        <v>0</v>
      </c>
      <c r="M144" s="2439">
        <f>'HVAC Deemed Table'!F161</f>
        <v>485.18</v>
      </c>
      <c r="N144" s="2439">
        <v>0</v>
      </c>
      <c r="O144" s="2440">
        <f t="shared" si="126"/>
        <v>1.387399</v>
      </c>
      <c r="P144" s="2440">
        <f t="shared" si="127"/>
        <v>0.45966800000000002</v>
      </c>
      <c r="Q144" s="2441">
        <f>'HVAC Deemed Table'!I160</f>
        <v>1.387399</v>
      </c>
      <c r="R144" s="2441">
        <v>0</v>
      </c>
      <c r="S144" s="2441">
        <f>'HVAC Deemed Table'!I161</f>
        <v>0.45966800000000002</v>
      </c>
      <c r="T144" s="2441">
        <v>0</v>
      </c>
      <c r="U144" s="1819"/>
      <c r="V144" s="1819"/>
      <c r="W144" s="1819">
        <f>P144</f>
        <v>0.45966800000000002</v>
      </c>
      <c r="X144" s="68">
        <f>'HVAC Deemed Table'!J160</f>
        <v>6</v>
      </c>
      <c r="Y144" s="68">
        <f>'HVAC Deemed Table'!J161</f>
        <v>12</v>
      </c>
      <c r="Z144" s="68">
        <f t="shared" si="116"/>
        <v>18</v>
      </c>
      <c r="AA144" s="3616">
        <f>'HVAC Deemed Table'!BB160</f>
        <v>1.1854694142501423</v>
      </c>
      <c r="AB144" s="2620">
        <f>'HVAC Deemed Table'!K160</f>
        <v>1273.7253593520768</v>
      </c>
      <c r="AC144" s="3618">
        <f t="shared" si="128"/>
        <v>851.52540820202489</v>
      </c>
      <c r="AD144" s="3618">
        <f t="shared" si="129"/>
        <v>573.63972220539199</v>
      </c>
      <c r="AE144" s="2453">
        <f>'HVAC Deemed Table'!BD160</f>
        <v>851.52540820202489</v>
      </c>
      <c r="AF144" s="2453"/>
      <c r="AG144" s="2453">
        <f>'HVAC Deemed Table'!BD161</f>
        <v>573.63972220539199</v>
      </c>
      <c r="AH144" s="2453"/>
      <c r="AI144" s="3624" t="str">
        <f t="shared" si="115"/>
        <v>per measure</v>
      </c>
      <c r="AJ144" s="126">
        <f>'HVAC Deemed Table'!L160</f>
        <v>3</v>
      </c>
      <c r="AK144" s="1805"/>
      <c r="AL144" s="1805"/>
      <c r="AM144" s="1972"/>
      <c r="AO144" s="1971"/>
    </row>
    <row r="145" spans="1:41" s="1930" customFormat="1" x14ac:dyDescent="0.25">
      <c r="A145" s="103" t="str">
        <f t="shared" si="124"/>
        <v>351164</v>
      </c>
      <c r="B145" s="1960" t="str">
        <f>'HVAC Deemed Table'!C162</f>
        <v>351164_2021_12_</v>
      </c>
      <c r="C145" s="1962" t="str">
        <f>'HVAC Deemed Table'!G162</f>
        <v>Cooling RES</v>
      </c>
      <c r="D145" s="1962"/>
      <c r="E145" s="1962"/>
      <c r="F145" s="1962"/>
      <c r="G145" s="1962" t="str">
        <f>'HVAC Deemed Table'!E162</f>
        <v>CAC-SEER18_ROF_MF</v>
      </c>
      <c r="H145" s="63" t="str">
        <f>'HVAC Deemed Table'!D162</f>
        <v>MF</v>
      </c>
      <c r="I145" s="2438">
        <f t="shared" si="125"/>
        <v>444.75</v>
      </c>
      <c r="J145" s="2438">
        <f t="shared" si="130"/>
        <v>0</v>
      </c>
      <c r="K145" s="2439">
        <f>'HVAC Deemed Table'!F162</f>
        <v>444.75</v>
      </c>
      <c r="L145" s="2439">
        <v>0</v>
      </c>
      <c r="M145" s="2439"/>
      <c r="N145" s="2439">
        <v>0</v>
      </c>
      <c r="O145" s="2440">
        <f t="shared" si="126"/>
        <v>0.42136400000000002</v>
      </c>
      <c r="P145" s="2440">
        <f t="shared" si="127"/>
        <v>0</v>
      </c>
      <c r="Q145" s="2441">
        <f>'HVAC Deemed Table'!I162</f>
        <v>0.42136400000000002</v>
      </c>
      <c r="R145" s="2441">
        <v>0</v>
      </c>
      <c r="S145" s="2441"/>
      <c r="T145" s="2441">
        <v>0</v>
      </c>
      <c r="U145" s="1819"/>
      <c r="V145" s="1819"/>
      <c r="W145" s="1819">
        <f t="shared" si="131"/>
        <v>0.42136400000000002</v>
      </c>
      <c r="X145" s="68">
        <f>'HVAC Deemed Table'!J162</f>
        <v>18</v>
      </c>
      <c r="Y145" s="68"/>
      <c r="Z145" s="68">
        <f t="shared" si="116"/>
        <v>18</v>
      </c>
      <c r="AA145" s="3616">
        <f>'HVAC Deemed Table'!BB162</f>
        <v>1.0053973126641507</v>
      </c>
      <c r="AB145" s="2620">
        <f>'HVAC Deemed Table'!K162</f>
        <v>826.66666666666708</v>
      </c>
      <c r="AC145" s="3618">
        <f t="shared" si="128"/>
        <v>784.45346402614268</v>
      </c>
      <c r="AD145" s="3618">
        <f t="shared" si="129"/>
        <v>0</v>
      </c>
      <c r="AE145" s="2453">
        <f>'HVAC Deemed Table'!BD162</f>
        <v>784.45346402614268</v>
      </c>
      <c r="AF145" s="2453"/>
      <c r="AG145" s="2453"/>
      <c r="AH145" s="2453"/>
      <c r="AI145" s="3624" t="str">
        <f t="shared" si="115"/>
        <v>per measure</v>
      </c>
      <c r="AJ145" s="126">
        <f>'HVAC Deemed Table'!L162</f>
        <v>2</v>
      </c>
      <c r="AK145" s="1805"/>
      <c r="AL145" s="1805"/>
      <c r="AM145" s="1972"/>
      <c r="AO145" s="1971"/>
    </row>
    <row r="146" spans="1:41" s="1930" customFormat="1" x14ac:dyDescent="0.25">
      <c r="A146" s="103" t="str">
        <f t="shared" si="124"/>
        <v>351165</v>
      </c>
      <c r="B146" s="1960" t="str">
        <f>'HVAC Deemed Table'!C163</f>
        <v>351165_2021_12_</v>
      </c>
      <c r="C146" s="1962" t="str">
        <f>'HVAC Deemed Table'!G163</f>
        <v>Cooling RES</v>
      </c>
      <c r="D146" s="1962"/>
      <c r="E146" s="1962"/>
      <c r="F146" s="1962"/>
      <c r="G146" s="1962" t="str">
        <f>'HVAC Deemed Table'!E163</f>
        <v>CAC-SEER18_ROF_MF_CompE</v>
      </c>
      <c r="H146" s="63" t="str">
        <f>'HVAC Deemed Table'!D163</f>
        <v>MFc</v>
      </c>
      <c r="I146" s="2438">
        <f t="shared" si="125"/>
        <v>323.45</v>
      </c>
      <c r="J146" s="2438">
        <f t="shared" si="130"/>
        <v>0</v>
      </c>
      <c r="K146" s="2439">
        <f>'HVAC Deemed Table'!F163</f>
        <v>323.45</v>
      </c>
      <c r="L146" s="2439">
        <v>0</v>
      </c>
      <c r="M146" s="2439"/>
      <c r="N146" s="2439">
        <v>0</v>
      </c>
      <c r="O146" s="2440">
        <f t="shared" si="126"/>
        <v>0.30644199999999999</v>
      </c>
      <c r="P146" s="2440">
        <f t="shared" si="127"/>
        <v>0</v>
      </c>
      <c r="Q146" s="2441">
        <f>'HVAC Deemed Table'!I163</f>
        <v>0.30644199999999999</v>
      </c>
      <c r="R146" s="2441">
        <v>0</v>
      </c>
      <c r="S146" s="2441"/>
      <c r="T146" s="2441">
        <v>0</v>
      </c>
      <c r="U146" s="1819"/>
      <c r="V146" s="1819"/>
      <c r="W146" s="1819">
        <f t="shared" si="131"/>
        <v>0.30644199999999999</v>
      </c>
      <c r="X146" s="68">
        <f>'HVAC Deemed Table'!J163</f>
        <v>18</v>
      </c>
      <c r="Y146" s="68"/>
      <c r="Z146" s="68">
        <f t="shared" si="116"/>
        <v>18</v>
      </c>
      <c r="AA146" s="3616">
        <f>'HVAC Deemed Table'!BB163</f>
        <v>0.73118777016575487</v>
      </c>
      <c r="AB146" s="2620">
        <f>'HVAC Deemed Table'!K163</f>
        <v>826.66666666666708</v>
      </c>
      <c r="AC146" s="3618">
        <f t="shared" si="128"/>
        <v>570.50359289321148</v>
      </c>
      <c r="AD146" s="3618">
        <f t="shared" si="129"/>
        <v>0</v>
      </c>
      <c r="AE146" s="2453">
        <f>'HVAC Deemed Table'!BD163</f>
        <v>570.50359289321148</v>
      </c>
      <c r="AF146" s="2453"/>
      <c r="AG146" s="2453"/>
      <c r="AH146" s="2453"/>
      <c r="AI146" s="3624" t="str">
        <f t="shared" si="115"/>
        <v>per measure</v>
      </c>
      <c r="AJ146" s="126">
        <f>'HVAC Deemed Table'!L163</f>
        <v>2</v>
      </c>
      <c r="AK146" s="1805"/>
      <c r="AL146" s="1805"/>
      <c r="AM146" s="1972"/>
      <c r="AO146" s="1971"/>
    </row>
    <row r="147" spans="1:41" s="1930" customFormat="1" x14ac:dyDescent="0.25">
      <c r="A147" s="103" t="str">
        <f t="shared" si="124"/>
        <v>351170</v>
      </c>
      <c r="B147" s="1960" t="str">
        <f>'HVAC Deemed Table'!C164</f>
        <v>351170_2021_12_</v>
      </c>
      <c r="C147" s="1962" t="str">
        <f>'HVAC Deemed Table'!G164</f>
        <v>Cooling RES</v>
      </c>
      <c r="D147" s="1962" t="str">
        <f>'HVAC Deemed Table'!G165</f>
        <v>Cooling RES ER2</v>
      </c>
      <c r="E147" s="1962"/>
      <c r="F147" s="1962"/>
      <c r="G147" s="1962" t="str">
        <f>'HVAC Deemed Table'!E164</f>
        <v>CAC-SEER19_ER1_SF</v>
      </c>
      <c r="H147" s="63" t="str">
        <f>'HVAC Deemed Table'!D164</f>
        <v>SF</v>
      </c>
      <c r="I147" s="2438">
        <f t="shared" si="125"/>
        <v>3099.52</v>
      </c>
      <c r="J147" s="2438">
        <f t="shared" si="130"/>
        <v>1090.6400000000001</v>
      </c>
      <c r="K147" s="2439">
        <f>'HVAC Deemed Table'!F164</f>
        <v>3099.52</v>
      </c>
      <c r="L147" s="2439">
        <v>0</v>
      </c>
      <c r="M147" s="2439">
        <f>'HVAC Deemed Table'!F165</f>
        <v>1090.6400000000001</v>
      </c>
      <c r="N147" s="2439">
        <v>0</v>
      </c>
      <c r="O147" s="2440">
        <f t="shared" si="126"/>
        <v>2.9365410000000001</v>
      </c>
      <c r="P147" s="2440">
        <f t="shared" si="127"/>
        <v>1.0332920000000001</v>
      </c>
      <c r="Q147" s="2441">
        <f>'HVAC Deemed Table'!I164</f>
        <v>2.9365410000000001</v>
      </c>
      <c r="R147" s="2441">
        <v>0</v>
      </c>
      <c r="S147" s="2441">
        <f>'HVAC Deemed Table'!I165</f>
        <v>1.0332920000000001</v>
      </c>
      <c r="T147" s="2441">
        <v>0</v>
      </c>
      <c r="U147" s="1819"/>
      <c r="V147" s="1819"/>
      <c r="W147" s="1819">
        <f>P147</f>
        <v>1.0332920000000001</v>
      </c>
      <c r="X147" s="68">
        <f>'HVAC Deemed Table'!J164</f>
        <v>6</v>
      </c>
      <c r="Y147" s="68">
        <f>'HVAC Deemed Table'!J165</f>
        <v>12</v>
      </c>
      <c r="Z147" s="68">
        <f t="shared" si="116"/>
        <v>18</v>
      </c>
      <c r="AA147" s="3616">
        <f>'HVAC Deemed Table'!BB164</f>
        <v>1.9680522907208728</v>
      </c>
      <c r="AB147" s="2620">
        <f>'HVAC Deemed Table'!K164</f>
        <v>1664.4750171244996</v>
      </c>
      <c r="AC147" s="3618">
        <f t="shared" si="128"/>
        <v>1802.3217927003141</v>
      </c>
      <c r="AD147" s="3618">
        <f t="shared" si="129"/>
        <v>1289.4893165960855</v>
      </c>
      <c r="AE147" s="2453">
        <f>'HVAC Deemed Table'!BD164</f>
        <v>1802.3217927003141</v>
      </c>
      <c r="AF147" s="2453"/>
      <c r="AG147" s="2453">
        <f>'HVAC Deemed Table'!BD165</f>
        <v>1289.4893165960855</v>
      </c>
      <c r="AH147" s="2453"/>
      <c r="AI147" s="3624" t="str">
        <f t="shared" si="115"/>
        <v>per measure</v>
      </c>
      <c r="AJ147" s="126">
        <f>'HVAC Deemed Table'!L164</f>
        <v>4.2352941176470589</v>
      </c>
      <c r="AK147" s="1805"/>
      <c r="AL147" s="1805"/>
      <c r="AM147" s="1972"/>
      <c r="AO147" s="1971"/>
    </row>
    <row r="148" spans="1:41" s="1930" customFormat="1" x14ac:dyDescent="0.25">
      <c r="A148" s="103" t="str">
        <f t="shared" si="124"/>
        <v>351171</v>
      </c>
      <c r="B148" s="1960" t="str">
        <f>'HVAC Deemed Table'!C166</f>
        <v>351171_2021_12_</v>
      </c>
      <c r="C148" s="1962" t="str">
        <f>'HVAC Deemed Table'!G166</f>
        <v>Cooling RES</v>
      </c>
      <c r="D148" s="1962"/>
      <c r="E148" s="1962"/>
      <c r="F148" s="1962"/>
      <c r="G148" s="1962" t="str">
        <f>'HVAC Deemed Table'!E166</f>
        <v>CAC-SEER19_ROF_SF</v>
      </c>
      <c r="H148" s="63" t="str">
        <f>'HVAC Deemed Table'!D166</f>
        <v>SF</v>
      </c>
      <c r="I148" s="2438">
        <f t="shared" si="125"/>
        <v>1119.32</v>
      </c>
      <c r="J148" s="2438">
        <f t="shared" si="130"/>
        <v>0</v>
      </c>
      <c r="K148" s="2439">
        <f>'HVAC Deemed Table'!F166</f>
        <v>1119.32</v>
      </c>
      <c r="L148" s="2439">
        <v>0</v>
      </c>
      <c r="M148" s="2439"/>
      <c r="N148" s="2439">
        <v>0</v>
      </c>
      <c r="O148" s="2440">
        <f t="shared" si="126"/>
        <v>1.0604640000000001</v>
      </c>
      <c r="P148" s="2440">
        <f t="shared" si="127"/>
        <v>0</v>
      </c>
      <c r="Q148" s="2441">
        <f>'HVAC Deemed Table'!I166</f>
        <v>1.0604640000000001</v>
      </c>
      <c r="R148" s="2441">
        <v>0</v>
      </c>
      <c r="S148" s="2441"/>
      <c r="T148" s="2441">
        <v>0</v>
      </c>
      <c r="U148" s="1819"/>
      <c r="V148" s="1819"/>
      <c r="W148" s="1819">
        <f t="shared" si="131"/>
        <v>1.0604640000000001</v>
      </c>
      <c r="X148" s="68">
        <f>'HVAC Deemed Table'!J166</f>
        <v>18</v>
      </c>
      <c r="Y148" s="68"/>
      <c r="Z148" s="68">
        <f t="shared" si="116"/>
        <v>18</v>
      </c>
      <c r="AA148" s="3616">
        <f>'HVAC Deemed Table'!BB166</f>
        <v>2.02425869816524</v>
      </c>
      <c r="AB148" s="2620">
        <f>'HVAC Deemed Table'!K166</f>
        <v>1033.3333333333328</v>
      </c>
      <c r="AC148" s="3618">
        <f t="shared" si="128"/>
        <v>1974.2652082152713</v>
      </c>
      <c r="AD148" s="3618">
        <f t="shared" si="129"/>
        <v>0</v>
      </c>
      <c r="AE148" s="2453">
        <f>'HVAC Deemed Table'!BD166</f>
        <v>1974.2652082152713</v>
      </c>
      <c r="AF148" s="2453"/>
      <c r="AG148" s="2453"/>
      <c r="AH148" s="2453"/>
      <c r="AI148" s="3624" t="str">
        <f t="shared" si="115"/>
        <v>per measure</v>
      </c>
      <c r="AJ148" s="126">
        <f>'HVAC Deemed Table'!L166</f>
        <v>4.3571428571428568</v>
      </c>
      <c r="AK148" s="1805"/>
      <c r="AL148" s="1805"/>
      <c r="AM148" s="1972"/>
      <c r="AO148" s="1971"/>
    </row>
    <row r="149" spans="1:41" s="1930" customFormat="1" x14ac:dyDescent="0.25">
      <c r="A149" s="103" t="str">
        <f t="shared" si="124"/>
        <v>351172</v>
      </c>
      <c r="B149" s="1960" t="str">
        <f>'HVAC Deemed Table'!C167</f>
        <v>351172_2021_12_</v>
      </c>
      <c r="C149" s="1962" t="str">
        <f>'HVAC Deemed Table'!G167</f>
        <v>Cooling RES</v>
      </c>
      <c r="D149" s="1962" t="str">
        <f>'HVAC Deemed Table'!G168</f>
        <v>Cooling RES ER2</v>
      </c>
      <c r="E149" s="1962"/>
      <c r="F149" s="1962"/>
      <c r="G149" s="1962" t="str">
        <f>'HVAC Deemed Table'!E167</f>
        <v>CAC-SEER19_ER1_MF</v>
      </c>
      <c r="H149" s="63" t="str">
        <f>'HVAC Deemed Table'!D167</f>
        <v>MF</v>
      </c>
      <c r="I149" s="2438">
        <f t="shared" si="125"/>
        <v>1403.23</v>
      </c>
      <c r="J149" s="2438">
        <f t="shared" si="130"/>
        <v>505.61</v>
      </c>
      <c r="K149" s="2439">
        <f>'HVAC Deemed Table'!F167</f>
        <v>1403.23</v>
      </c>
      <c r="L149" s="2439">
        <v>0</v>
      </c>
      <c r="M149" s="2439">
        <f>'HVAC Deemed Table'!F168</f>
        <v>505.61</v>
      </c>
      <c r="N149" s="2439">
        <v>0</v>
      </c>
      <c r="O149" s="2440">
        <f t="shared" si="126"/>
        <v>1.3294459999999999</v>
      </c>
      <c r="P149" s="2440">
        <f t="shared" si="127"/>
        <v>0.47902400000000001</v>
      </c>
      <c r="Q149" s="2441">
        <f>'HVAC Deemed Table'!I167</f>
        <v>1.3294459999999999</v>
      </c>
      <c r="R149" s="2441">
        <v>0</v>
      </c>
      <c r="S149" s="2441">
        <f>'HVAC Deemed Table'!I168</f>
        <v>0.47902400000000001</v>
      </c>
      <c r="T149" s="2441">
        <v>0</v>
      </c>
      <c r="U149" s="1819"/>
      <c r="V149" s="1819"/>
      <c r="W149" s="1819">
        <f>P149</f>
        <v>0.47902400000000001</v>
      </c>
      <c r="X149" s="68">
        <f>'HVAC Deemed Table'!J167</f>
        <v>6</v>
      </c>
      <c r="Y149" s="68">
        <f>'HVAC Deemed Table'!J168</f>
        <v>12</v>
      </c>
      <c r="Z149" s="68">
        <f t="shared" si="116"/>
        <v>18</v>
      </c>
      <c r="AA149" s="3616">
        <f>'HVAC Deemed Table'!BB167</f>
        <v>1.1250561492234286</v>
      </c>
      <c r="AB149" s="2620">
        <f>'HVAC Deemed Table'!K167</f>
        <v>1331.3724617902726</v>
      </c>
      <c r="AC149" s="3618">
        <f t="shared" si="128"/>
        <v>815.95602195529045</v>
      </c>
      <c r="AD149" s="3618">
        <f t="shared" si="129"/>
        <v>597.79459158305826</v>
      </c>
      <c r="AE149" s="2453">
        <f>'HVAC Deemed Table'!BD167</f>
        <v>815.95602195529045</v>
      </c>
      <c r="AF149" s="2453"/>
      <c r="AG149" s="2453">
        <f>'HVAC Deemed Table'!BD168</f>
        <v>597.79459158305826</v>
      </c>
      <c r="AH149" s="2453"/>
      <c r="AI149" s="3624" t="str">
        <f t="shared" si="115"/>
        <v>per measure</v>
      </c>
      <c r="AJ149" s="126">
        <f>'HVAC Deemed Table'!L167</f>
        <v>2</v>
      </c>
      <c r="AK149" s="1805"/>
      <c r="AL149" s="1805"/>
      <c r="AM149" s="1972"/>
      <c r="AO149" s="1971"/>
    </row>
    <row r="150" spans="1:41" s="1930" customFormat="1" x14ac:dyDescent="0.25">
      <c r="A150" s="103" t="str">
        <f t="shared" si="124"/>
        <v>351173</v>
      </c>
      <c r="B150" s="1960" t="str">
        <f>'HVAC Deemed Table'!C169</f>
        <v>351173_2021_12_</v>
      </c>
      <c r="C150" s="1962" t="str">
        <f>'HVAC Deemed Table'!G169</f>
        <v>Cooling RES</v>
      </c>
      <c r="D150" s="1962" t="str">
        <f>'HVAC Deemed Table'!G170</f>
        <v>Cooling RES ER2</v>
      </c>
      <c r="E150" s="1962"/>
      <c r="F150" s="1962"/>
      <c r="G150" s="1962" t="str">
        <f>'HVAC Deemed Table'!E169</f>
        <v>CAC-SEER19_ER1_MF_CompE</v>
      </c>
      <c r="H150" s="63" t="str">
        <f>'HVAC Deemed Table'!D169</f>
        <v>MFc</v>
      </c>
      <c r="I150" s="2438">
        <f t="shared" si="125"/>
        <v>1020.53</v>
      </c>
      <c r="J150" s="2438">
        <f t="shared" si="130"/>
        <v>367.72</v>
      </c>
      <c r="K150" s="2439">
        <f>'HVAC Deemed Table'!F169</f>
        <v>1020.53</v>
      </c>
      <c r="L150" s="2439">
        <v>0</v>
      </c>
      <c r="M150" s="2439">
        <f>'HVAC Deemed Table'!F170</f>
        <v>367.72</v>
      </c>
      <c r="N150" s="2439">
        <v>0</v>
      </c>
      <c r="O150" s="2440">
        <f t="shared" si="126"/>
        <v>0.96686899999999998</v>
      </c>
      <c r="P150" s="2440">
        <f t="shared" si="127"/>
        <v>0.348385</v>
      </c>
      <c r="Q150" s="2441">
        <f>'HVAC Deemed Table'!I169</f>
        <v>0.96686899999999998</v>
      </c>
      <c r="R150" s="2441">
        <v>0</v>
      </c>
      <c r="S150" s="2441">
        <f>'HVAC Deemed Table'!I170</f>
        <v>0.348385</v>
      </c>
      <c r="T150" s="2441">
        <v>0</v>
      </c>
      <c r="U150" s="1819"/>
      <c r="V150" s="1819"/>
      <c r="W150" s="1819">
        <f>P150</f>
        <v>0.348385</v>
      </c>
      <c r="X150" s="68">
        <f>'HVAC Deemed Table'!J169</f>
        <v>6</v>
      </c>
      <c r="Y150" s="68">
        <f>'HVAC Deemed Table'!J170</f>
        <v>12</v>
      </c>
      <c r="Z150" s="68">
        <f t="shared" si="116"/>
        <v>18</v>
      </c>
      <c r="AA150" s="3616">
        <f>'HVAC Deemed Table'!BB169</f>
        <v>0.81822565471502029</v>
      </c>
      <c r="AB150" s="2620">
        <f>'HVAC Deemed Table'!K169</f>
        <v>1331.3724617902726</v>
      </c>
      <c r="AC150" s="3618">
        <f t="shared" si="128"/>
        <v>593.42203280006311</v>
      </c>
      <c r="AD150" s="3618">
        <f t="shared" si="129"/>
        <v>434.76400232772733</v>
      </c>
      <c r="AE150" s="2453">
        <f>'HVAC Deemed Table'!BD169</f>
        <v>593.42203280006311</v>
      </c>
      <c r="AF150" s="2453"/>
      <c r="AG150" s="2453">
        <f>'HVAC Deemed Table'!BD170</f>
        <v>434.76400232772733</v>
      </c>
      <c r="AH150" s="2453"/>
      <c r="AI150" s="3624" t="str">
        <f t="shared" si="115"/>
        <v>per measure</v>
      </c>
      <c r="AJ150" s="126">
        <f>'HVAC Deemed Table'!L169</f>
        <v>2</v>
      </c>
      <c r="AK150" s="1805"/>
      <c r="AL150" s="1805"/>
      <c r="AM150" s="1972"/>
      <c r="AO150" s="1971"/>
    </row>
    <row r="151" spans="1:41" s="1930" customFormat="1" x14ac:dyDescent="0.25">
      <c r="A151" s="103" t="str">
        <f t="shared" si="124"/>
        <v>351174</v>
      </c>
      <c r="B151" s="1960" t="str">
        <f>'HVAC Deemed Table'!C171</f>
        <v>351174_2021_12_</v>
      </c>
      <c r="C151" s="1962" t="str">
        <f>'HVAC Deemed Table'!G171</f>
        <v>Cooling RES</v>
      </c>
      <c r="D151" s="1962"/>
      <c r="E151" s="1962"/>
      <c r="F151" s="1962"/>
      <c r="G151" s="1962" t="str">
        <f>'HVAC Deemed Table'!E171</f>
        <v>CAC-SEER19_ROF_MF</v>
      </c>
      <c r="H151" s="63" t="str">
        <f>'HVAC Deemed Table'!D171</f>
        <v>MF</v>
      </c>
      <c r="I151" s="2438">
        <f t="shared" si="125"/>
        <v>505.61</v>
      </c>
      <c r="J151" s="2438">
        <f t="shared" si="130"/>
        <v>0</v>
      </c>
      <c r="K151" s="2439">
        <f>'HVAC Deemed Table'!F171</f>
        <v>505.61</v>
      </c>
      <c r="L151" s="2439">
        <v>0</v>
      </c>
      <c r="M151" s="2439"/>
      <c r="N151" s="2439">
        <v>0</v>
      </c>
      <c r="O151" s="2440">
        <f t="shared" si="126"/>
        <v>0.47902400000000001</v>
      </c>
      <c r="P151" s="2440">
        <f t="shared" si="127"/>
        <v>0</v>
      </c>
      <c r="Q151" s="2441">
        <f>'HVAC Deemed Table'!I171</f>
        <v>0.47902400000000001</v>
      </c>
      <c r="R151" s="2441">
        <v>0</v>
      </c>
      <c r="S151" s="2441"/>
      <c r="T151" s="2441">
        <v>0</v>
      </c>
      <c r="U151" s="1819"/>
      <c r="V151" s="1819"/>
      <c r="W151" s="1819">
        <f t="shared" si="131"/>
        <v>0.47902400000000001</v>
      </c>
      <c r="X151" s="68">
        <f>'HVAC Deemed Table'!J171</f>
        <v>18</v>
      </c>
      <c r="Y151" s="68"/>
      <c r="Z151" s="68">
        <f t="shared" si="116"/>
        <v>18</v>
      </c>
      <c r="AA151" s="3616">
        <f>'HVAC Deemed Table'!BB171</f>
        <v>0.914381446216745</v>
      </c>
      <c r="AB151" s="2620">
        <f>'HVAC Deemed Table'!K171</f>
        <v>1033.3333333333328</v>
      </c>
      <c r="AC151" s="3618">
        <f t="shared" si="128"/>
        <v>891.79879920462724</v>
      </c>
      <c r="AD151" s="3618">
        <f t="shared" si="129"/>
        <v>0</v>
      </c>
      <c r="AE151" s="2453">
        <f>'HVAC Deemed Table'!BD171</f>
        <v>891.79879920462724</v>
      </c>
      <c r="AF151" s="2453"/>
      <c r="AG151" s="2453"/>
      <c r="AH151" s="2453"/>
      <c r="AI151" s="3624" t="str">
        <f t="shared" si="115"/>
        <v>per measure</v>
      </c>
      <c r="AJ151" s="126">
        <f>'HVAC Deemed Table'!L171</f>
        <v>2</v>
      </c>
      <c r="AK151" s="1805"/>
      <c r="AL151" s="1805"/>
      <c r="AM151" s="1972"/>
      <c r="AO151" s="1971"/>
    </row>
    <row r="152" spans="1:41" s="1930" customFormat="1" x14ac:dyDescent="0.25">
      <c r="A152" s="103" t="str">
        <f t="shared" si="124"/>
        <v>351175</v>
      </c>
      <c r="B152" s="1960" t="str">
        <f>'HVAC Deemed Table'!C172</f>
        <v>351175_2021_12_</v>
      </c>
      <c r="C152" s="1962" t="str">
        <f>'HVAC Deemed Table'!G172</f>
        <v>Cooling RES</v>
      </c>
      <c r="D152" s="1962"/>
      <c r="E152" s="1962"/>
      <c r="F152" s="1962"/>
      <c r="G152" s="1962" t="str">
        <f>'HVAC Deemed Table'!E172</f>
        <v>CAC-SEER19_ROF_MF_CompE</v>
      </c>
      <c r="H152" s="63" t="str">
        <f>'HVAC Deemed Table'!D172</f>
        <v>MFc</v>
      </c>
      <c r="I152" s="2438">
        <f t="shared" si="125"/>
        <v>367.72</v>
      </c>
      <c r="J152" s="2438">
        <f t="shared" si="130"/>
        <v>0</v>
      </c>
      <c r="K152" s="2439">
        <f>'HVAC Deemed Table'!F172</f>
        <v>367.72</v>
      </c>
      <c r="L152" s="2439">
        <v>0</v>
      </c>
      <c r="M152" s="2439"/>
      <c r="N152" s="2439">
        <v>0</v>
      </c>
      <c r="O152" s="2440">
        <f t="shared" si="126"/>
        <v>0.348385</v>
      </c>
      <c r="P152" s="2440">
        <f t="shared" si="127"/>
        <v>0</v>
      </c>
      <c r="Q152" s="2441">
        <f>'HVAC Deemed Table'!I172</f>
        <v>0.348385</v>
      </c>
      <c r="R152" s="2441">
        <v>0</v>
      </c>
      <c r="S152" s="2441"/>
      <c r="T152" s="2441">
        <v>0</v>
      </c>
      <c r="U152" s="1819"/>
      <c r="V152" s="1819"/>
      <c r="W152" s="1819">
        <f t="shared" si="131"/>
        <v>0.348385</v>
      </c>
      <c r="X152" s="68">
        <f>'HVAC Deemed Table'!J172</f>
        <v>18</v>
      </c>
      <c r="Y152" s="68"/>
      <c r="Z152" s="68">
        <f t="shared" si="116"/>
        <v>18</v>
      </c>
      <c r="AA152" s="3616">
        <f>'HVAC Deemed Table'!BB172</f>
        <v>0.66501126441886338</v>
      </c>
      <c r="AB152" s="2620">
        <f>'HVAC Deemed Table'!K172</f>
        <v>1033.3333333333328</v>
      </c>
      <c r="AC152" s="3618">
        <f t="shared" si="128"/>
        <v>648.58735872218813</v>
      </c>
      <c r="AD152" s="3618">
        <f t="shared" si="129"/>
        <v>0</v>
      </c>
      <c r="AE152" s="2453">
        <f>'HVAC Deemed Table'!BD172</f>
        <v>648.58735872218813</v>
      </c>
      <c r="AF152" s="2453"/>
      <c r="AG152" s="2453"/>
      <c r="AH152" s="2453"/>
      <c r="AI152" s="3624" t="str">
        <f t="shared" si="115"/>
        <v>per measure</v>
      </c>
      <c r="AJ152" s="126">
        <f>'HVAC Deemed Table'!L172</f>
        <v>2</v>
      </c>
      <c r="AK152" s="1805"/>
      <c r="AL152" s="1805"/>
      <c r="AM152" s="1972"/>
      <c r="AO152" s="1971"/>
    </row>
    <row r="153" spans="1:41" s="1930" customFormat="1" x14ac:dyDescent="0.25">
      <c r="A153" s="103" t="str">
        <f t="shared" si="124"/>
        <v>351180</v>
      </c>
      <c r="B153" s="1960" t="str">
        <f>'HVAC Deemed Table'!C173</f>
        <v>351180_2021_12_</v>
      </c>
      <c r="C153" s="1962" t="str">
        <f>'HVAC Deemed Table'!G173</f>
        <v>Cooling RES</v>
      </c>
      <c r="D153" s="1962" t="str">
        <f>'HVAC Deemed Table'!G174</f>
        <v>Cooling RES ER2</v>
      </c>
      <c r="E153" s="1962"/>
      <c r="F153" s="1962"/>
      <c r="G153" s="1962" t="str">
        <f>'HVAC Deemed Table'!E173</f>
        <v>CAC-SEER20_ER1_SF</v>
      </c>
      <c r="H153" s="63" t="str">
        <f>'HVAC Deemed Table'!D173</f>
        <v>SF</v>
      </c>
      <c r="I153" s="2438">
        <f t="shared" si="125"/>
        <v>2498.15</v>
      </c>
      <c r="J153" s="2438">
        <f t="shared" si="130"/>
        <v>975.66</v>
      </c>
      <c r="K153" s="2439">
        <f>'HVAC Deemed Table'!F173</f>
        <v>2498.15</v>
      </c>
      <c r="L153" s="2439">
        <v>0</v>
      </c>
      <c r="M153" s="2439">
        <f>'HVAC Deemed Table'!F174</f>
        <v>975.66</v>
      </c>
      <c r="N153" s="2439">
        <v>0</v>
      </c>
      <c r="O153" s="2440">
        <f t="shared" si="126"/>
        <v>2.3667929999999999</v>
      </c>
      <c r="P153" s="2440">
        <f t="shared" si="127"/>
        <v>0.92435800000000001</v>
      </c>
      <c r="Q153" s="2441">
        <f>'HVAC Deemed Table'!I173</f>
        <v>2.3667929999999999</v>
      </c>
      <c r="R153" s="2441">
        <v>0</v>
      </c>
      <c r="S153" s="2441">
        <f>'HVAC Deemed Table'!I174</f>
        <v>0.92435800000000001</v>
      </c>
      <c r="T153" s="2441">
        <v>0</v>
      </c>
      <c r="U153" s="1819"/>
      <c r="V153" s="1819"/>
      <c r="W153" s="1819">
        <f>P153</f>
        <v>0.92435800000000001</v>
      </c>
      <c r="X153" s="68">
        <f>'HVAC Deemed Table'!J173</f>
        <v>6</v>
      </c>
      <c r="Y153" s="68">
        <f>'HVAC Deemed Table'!J174</f>
        <v>12</v>
      </c>
      <c r="Z153" s="68">
        <f t="shared" si="116"/>
        <v>18</v>
      </c>
      <c r="AA153" s="3616">
        <f>'HVAC Deemed Table'!BB173</f>
        <v>1.578033033939741</v>
      </c>
      <c r="AB153" s="2620">
        <f>'HVAC Deemed Table'!K173</f>
        <v>1749.8037723605553</v>
      </c>
      <c r="AC153" s="3618">
        <f t="shared" si="128"/>
        <v>1452.6346616360888</v>
      </c>
      <c r="AD153" s="3618">
        <f t="shared" si="129"/>
        <v>1153.5457590315195</v>
      </c>
      <c r="AE153" s="2453">
        <f>'HVAC Deemed Table'!BD173</f>
        <v>1452.6346616360888</v>
      </c>
      <c r="AF153" s="2453"/>
      <c r="AG153" s="2453">
        <f>'HVAC Deemed Table'!BD174</f>
        <v>1153.5457590315195</v>
      </c>
      <c r="AH153" s="2453"/>
      <c r="AI153" s="3624" t="str">
        <f t="shared" si="115"/>
        <v>per measure</v>
      </c>
      <c r="AJ153" s="126">
        <f>'HVAC Deemed Table'!L173</f>
        <v>3.4210526315789473</v>
      </c>
      <c r="AK153" s="1805"/>
      <c r="AL153" s="1805"/>
      <c r="AM153" s="1972"/>
      <c r="AO153" s="1971"/>
    </row>
    <row r="154" spans="1:41" s="1930" customFormat="1" x14ac:dyDescent="0.25">
      <c r="A154" s="103" t="str">
        <f t="shared" si="124"/>
        <v>351181</v>
      </c>
      <c r="B154" s="1960" t="str">
        <f>'HVAC Deemed Table'!C175</f>
        <v>351181_2021_12_</v>
      </c>
      <c r="C154" s="1962" t="str">
        <f>'HVAC Deemed Table'!G175</f>
        <v>Cooling RES</v>
      </c>
      <c r="D154" s="1962"/>
      <c r="E154" s="1962"/>
      <c r="F154" s="1962"/>
      <c r="G154" s="1962" t="str">
        <f>'HVAC Deemed Table'!E175</f>
        <v>CAC-SEER20_ROF_SF</v>
      </c>
      <c r="H154" s="63" t="str">
        <f>'HVAC Deemed Table'!D175</f>
        <v>SF</v>
      </c>
      <c r="I154" s="2438">
        <f t="shared" si="125"/>
        <v>917.64</v>
      </c>
      <c r="J154" s="2438">
        <f t="shared" si="130"/>
        <v>0</v>
      </c>
      <c r="K154" s="2439">
        <f>'HVAC Deemed Table'!F175</f>
        <v>917.64</v>
      </c>
      <c r="L154" s="2439">
        <v>0</v>
      </c>
      <c r="M154" s="2439"/>
      <c r="N154" s="2439">
        <v>0</v>
      </c>
      <c r="O154" s="2440">
        <f t="shared" si="126"/>
        <v>0.86938899999999997</v>
      </c>
      <c r="P154" s="2440">
        <f t="shared" si="127"/>
        <v>0</v>
      </c>
      <c r="Q154" s="2441">
        <f>'HVAC Deemed Table'!I175</f>
        <v>0.86938899999999997</v>
      </c>
      <c r="R154" s="2441">
        <v>0</v>
      </c>
      <c r="S154" s="2441"/>
      <c r="T154" s="2441">
        <v>0</v>
      </c>
      <c r="U154" s="1819"/>
      <c r="V154" s="1819"/>
      <c r="W154" s="1819">
        <f t="shared" si="131"/>
        <v>0.86938899999999997</v>
      </c>
      <c r="X154" s="68">
        <f>'HVAC Deemed Table'!J175</f>
        <v>18</v>
      </c>
      <c r="Y154" s="68"/>
      <c r="Z154" s="68">
        <f t="shared" si="116"/>
        <v>18</v>
      </c>
      <c r="AA154" s="3616">
        <f>'HVAC Deemed Table'!BB175</f>
        <v>1.3829384148295025</v>
      </c>
      <c r="AB154" s="2620">
        <f>'HVAC Deemed Table'!K175</f>
        <v>1239.9999999999995</v>
      </c>
      <c r="AC154" s="3618">
        <f t="shared" si="128"/>
        <v>1618.5404760628433</v>
      </c>
      <c r="AD154" s="3618">
        <f t="shared" si="129"/>
        <v>0</v>
      </c>
      <c r="AE154" s="2453">
        <f>'HVAC Deemed Table'!BD175</f>
        <v>1618.5404760628433</v>
      </c>
      <c r="AF154" s="2453"/>
      <c r="AG154" s="2453"/>
      <c r="AH154" s="2453"/>
      <c r="AI154" s="3624" t="str">
        <f t="shared" si="115"/>
        <v>per measure</v>
      </c>
      <c r="AJ154" s="126">
        <f>'HVAC Deemed Table'!L175</f>
        <v>3.25</v>
      </c>
      <c r="AK154" s="1805"/>
      <c r="AL154" s="1805"/>
      <c r="AM154" s="1972"/>
      <c r="AO154" s="1971"/>
    </row>
    <row r="155" spans="1:41" s="1930" customFormat="1" x14ac:dyDescent="0.25">
      <c r="A155" s="103" t="str">
        <f t="shared" si="124"/>
        <v>351182</v>
      </c>
      <c r="B155" s="1960" t="str">
        <f>'HVAC Deemed Table'!C176</f>
        <v>351182_2021_12_</v>
      </c>
      <c r="C155" s="1962" t="str">
        <f>'HVAC Deemed Table'!G176</f>
        <v>Cooling RES</v>
      </c>
      <c r="D155" s="1962" t="str">
        <f>'HVAC Deemed Table'!G177</f>
        <v>Cooling RES ER2</v>
      </c>
      <c r="E155" s="1962"/>
      <c r="F155" s="1962"/>
      <c r="G155" s="1962" t="str">
        <f>'HVAC Deemed Table'!E176</f>
        <v>CAC-SEER20_ER1_MF</v>
      </c>
      <c r="H155" s="63" t="str">
        <f>'HVAC Deemed Table'!D176</f>
        <v>MF</v>
      </c>
      <c r="I155" s="2438">
        <f t="shared" si="125"/>
        <v>1436.44</v>
      </c>
      <c r="J155" s="2438">
        <f t="shared" si="130"/>
        <v>560.38</v>
      </c>
      <c r="K155" s="2439">
        <f>'HVAC Deemed Table'!F176</f>
        <v>1436.44</v>
      </c>
      <c r="L155" s="2439">
        <v>0</v>
      </c>
      <c r="M155" s="2439">
        <f>'HVAC Deemed Table'!F177</f>
        <v>560.38</v>
      </c>
      <c r="N155" s="2439">
        <v>0</v>
      </c>
      <c r="O155" s="2440">
        <f t="shared" si="126"/>
        <v>1.3609089999999999</v>
      </c>
      <c r="P155" s="2440">
        <f t="shared" si="127"/>
        <v>0.530914</v>
      </c>
      <c r="Q155" s="2441">
        <f>'HVAC Deemed Table'!I176</f>
        <v>1.3609089999999999</v>
      </c>
      <c r="R155" s="2441">
        <v>0</v>
      </c>
      <c r="S155" s="2441">
        <f>'HVAC Deemed Table'!I177</f>
        <v>0.530914</v>
      </c>
      <c r="T155" s="2441">
        <v>0</v>
      </c>
      <c r="U155" s="1819"/>
      <c r="V155" s="1819"/>
      <c r="W155" s="1819">
        <f>P155</f>
        <v>0.530914</v>
      </c>
      <c r="X155" s="68">
        <f>'HVAC Deemed Table'!J176</f>
        <v>6</v>
      </c>
      <c r="Y155" s="68">
        <f>'HVAC Deemed Table'!J177</f>
        <v>12</v>
      </c>
      <c r="Z155" s="68">
        <f t="shared" si="116"/>
        <v>18</v>
      </c>
      <c r="AA155" s="3616">
        <f>'HVAC Deemed Table'!BB176</f>
        <v>1.0317928048499889</v>
      </c>
      <c r="AB155" s="2620">
        <f>'HVAC Deemed Table'!K176</f>
        <v>1538.0391284569391</v>
      </c>
      <c r="AC155" s="3618">
        <f t="shared" si="128"/>
        <v>835.26711100636203</v>
      </c>
      <c r="AD155" s="3618">
        <f t="shared" si="129"/>
        <v>662.55045040903894</v>
      </c>
      <c r="AE155" s="2453">
        <f>'HVAC Deemed Table'!BD176</f>
        <v>835.26711100636203</v>
      </c>
      <c r="AF155" s="2453"/>
      <c r="AG155" s="2453">
        <f>'HVAC Deemed Table'!BD177</f>
        <v>662.55045040903894</v>
      </c>
      <c r="AH155" s="2453"/>
      <c r="AI155" s="3624" t="str">
        <f t="shared" si="115"/>
        <v>per measure</v>
      </c>
      <c r="AJ155" s="126">
        <f>'HVAC Deemed Table'!L176</f>
        <v>2</v>
      </c>
      <c r="AK155" s="1805"/>
      <c r="AL155" s="1805"/>
      <c r="AM155" s="1972"/>
      <c r="AO155" s="1971"/>
    </row>
    <row r="156" spans="1:41" s="1930" customFormat="1" x14ac:dyDescent="0.25">
      <c r="A156" s="103" t="str">
        <f t="shared" si="124"/>
        <v>351183</v>
      </c>
      <c r="B156" s="1960" t="str">
        <f>'HVAC Deemed Table'!C178</f>
        <v>351183_2021_12_</v>
      </c>
      <c r="C156" s="1962" t="str">
        <f>'HVAC Deemed Table'!G178</f>
        <v>Cooling RES</v>
      </c>
      <c r="D156" s="1962" t="str">
        <f>'HVAC Deemed Table'!G179</f>
        <v>Cooling RES ER2</v>
      </c>
      <c r="E156" s="1962"/>
      <c r="F156" s="1962"/>
      <c r="G156" s="1962" t="str">
        <f>'HVAC Deemed Table'!E178</f>
        <v>CAC-SEER20_ER1_MF_CompE</v>
      </c>
      <c r="H156" s="63" t="str">
        <f>'HVAC Deemed Table'!D178</f>
        <v>MFc</v>
      </c>
      <c r="I156" s="2438">
        <f t="shared" si="125"/>
        <v>1060.3599999999999</v>
      </c>
      <c r="J156" s="2438">
        <f t="shared" si="130"/>
        <v>407.55</v>
      </c>
      <c r="K156" s="2439">
        <f>'HVAC Deemed Table'!F178</f>
        <v>1060.3599999999999</v>
      </c>
      <c r="L156" s="2439">
        <v>0</v>
      </c>
      <c r="M156" s="2439">
        <f>'HVAC Deemed Table'!F179</f>
        <v>407.55</v>
      </c>
      <c r="N156" s="2439">
        <v>0</v>
      </c>
      <c r="O156" s="2440">
        <f t="shared" si="126"/>
        <v>1.0046040000000001</v>
      </c>
      <c r="P156" s="2440">
        <f t="shared" si="127"/>
        <v>0.38612000000000002</v>
      </c>
      <c r="Q156" s="2441">
        <f>'HVAC Deemed Table'!I178</f>
        <v>1.0046040000000001</v>
      </c>
      <c r="R156" s="2441">
        <v>0</v>
      </c>
      <c r="S156" s="2441">
        <f>'HVAC Deemed Table'!I179</f>
        <v>0.38612000000000002</v>
      </c>
      <c r="T156" s="2441">
        <v>0</v>
      </c>
      <c r="U156" s="1819"/>
      <c r="V156" s="1819"/>
      <c r="W156" s="1819">
        <f>P156</f>
        <v>0.38612000000000002</v>
      </c>
      <c r="X156" s="68">
        <f>'HVAC Deemed Table'!J178</f>
        <v>6</v>
      </c>
      <c r="Y156" s="68">
        <f>'HVAC Deemed Table'!J179</f>
        <v>12</v>
      </c>
      <c r="Z156" s="68">
        <f t="shared" si="116"/>
        <v>18</v>
      </c>
      <c r="AA156" s="3616">
        <f>'HVAC Deemed Table'!BB178</f>
        <v>0.75667488803531324</v>
      </c>
      <c r="AB156" s="2620">
        <f>'HVAC Deemed Table'!K178</f>
        <v>1538.0391284569391</v>
      </c>
      <c r="AC156" s="3618">
        <f t="shared" si="128"/>
        <v>616.58254700976431</v>
      </c>
      <c r="AD156" s="3618">
        <f t="shared" si="129"/>
        <v>481.85594786431324</v>
      </c>
      <c r="AE156" s="2453">
        <f>'HVAC Deemed Table'!BD178</f>
        <v>616.58254700976431</v>
      </c>
      <c r="AF156" s="2453"/>
      <c r="AG156" s="2453">
        <f>'HVAC Deemed Table'!BD179</f>
        <v>481.85594786431324</v>
      </c>
      <c r="AH156" s="2453"/>
      <c r="AI156" s="3624" t="str">
        <f t="shared" si="115"/>
        <v>per measure</v>
      </c>
      <c r="AJ156" s="126">
        <f>'HVAC Deemed Table'!L178</f>
        <v>2</v>
      </c>
      <c r="AK156" s="1805"/>
      <c r="AL156" s="1805"/>
      <c r="AM156" s="1972"/>
      <c r="AO156" s="1971"/>
    </row>
    <row r="157" spans="1:41" s="1930" customFormat="1" x14ac:dyDescent="0.25">
      <c r="A157" s="103" t="str">
        <f t="shared" si="124"/>
        <v>351184</v>
      </c>
      <c r="B157" s="1960" t="str">
        <f>'HVAC Deemed Table'!C180</f>
        <v>351184_2021_12_</v>
      </c>
      <c r="C157" s="1962" t="str">
        <f>'HVAC Deemed Table'!G180</f>
        <v>Cooling RES</v>
      </c>
      <c r="D157" s="1962"/>
      <c r="E157" s="1962"/>
      <c r="F157" s="1962"/>
      <c r="G157" s="1962" t="str">
        <f>'HVAC Deemed Table'!E180</f>
        <v>CAC-SEER20_ROF_MF</v>
      </c>
      <c r="H157" s="63" t="str">
        <f>'HVAC Deemed Table'!D180</f>
        <v>MF</v>
      </c>
      <c r="I157" s="2438">
        <f t="shared" si="125"/>
        <v>560.38</v>
      </c>
      <c r="J157" s="2438">
        <f t="shared" si="130"/>
        <v>0</v>
      </c>
      <c r="K157" s="2439">
        <f>'HVAC Deemed Table'!F180</f>
        <v>560.38</v>
      </c>
      <c r="L157" s="2439">
        <v>0</v>
      </c>
      <c r="M157" s="2439"/>
      <c r="N157" s="2439">
        <v>0</v>
      </c>
      <c r="O157" s="2440">
        <f t="shared" si="126"/>
        <v>0.530914</v>
      </c>
      <c r="P157" s="2440">
        <f t="shared" si="127"/>
        <v>0</v>
      </c>
      <c r="Q157" s="2441">
        <f>'HVAC Deemed Table'!I180</f>
        <v>0.530914</v>
      </c>
      <c r="R157" s="2441">
        <v>0</v>
      </c>
      <c r="S157" s="2441"/>
      <c r="T157" s="2441">
        <v>0</v>
      </c>
      <c r="U157" s="1819"/>
      <c r="V157" s="1819"/>
      <c r="W157" s="1819">
        <f t="shared" si="131"/>
        <v>0.530914</v>
      </c>
      <c r="X157" s="68">
        <f>'HVAC Deemed Table'!J180</f>
        <v>18</v>
      </c>
      <c r="Y157" s="68"/>
      <c r="Z157" s="68">
        <f t="shared" si="116"/>
        <v>18</v>
      </c>
      <c r="AA157" s="3616">
        <f>'HVAC Deemed Table'!BB180</f>
        <v>0.84452620733856043</v>
      </c>
      <c r="AB157" s="2620">
        <f>'HVAC Deemed Table'!K180</f>
        <v>1239.9999999999995</v>
      </c>
      <c r="AC157" s="3618">
        <f t="shared" si="128"/>
        <v>988.40254563455835</v>
      </c>
      <c r="AD157" s="3618">
        <f t="shared" si="129"/>
        <v>0</v>
      </c>
      <c r="AE157" s="2453">
        <f>'HVAC Deemed Table'!BD180</f>
        <v>988.40254563455835</v>
      </c>
      <c r="AF157" s="2453"/>
      <c r="AG157" s="2453"/>
      <c r="AH157" s="2453"/>
      <c r="AI157" s="3624" t="str">
        <f t="shared" si="115"/>
        <v>per measure</v>
      </c>
      <c r="AJ157" s="126">
        <f>'HVAC Deemed Table'!L180</f>
        <v>2</v>
      </c>
      <c r="AK157" s="1805"/>
      <c r="AL157" s="1805"/>
      <c r="AM157" s="1972"/>
      <c r="AO157" s="1971"/>
    </row>
    <row r="158" spans="1:41" s="1930" customFormat="1" x14ac:dyDescent="0.25">
      <c r="A158" s="103" t="str">
        <f t="shared" si="124"/>
        <v>351185</v>
      </c>
      <c r="B158" s="1960" t="str">
        <f>'HVAC Deemed Table'!C181</f>
        <v>351185_2021_12_</v>
      </c>
      <c r="C158" s="1962" t="str">
        <f>'HVAC Deemed Table'!G181</f>
        <v>Cooling RES</v>
      </c>
      <c r="D158" s="1962"/>
      <c r="E158" s="1962"/>
      <c r="F158" s="1962"/>
      <c r="G158" s="1962" t="str">
        <f>'HVAC Deemed Table'!E181</f>
        <v>CAC-SEER20_ROF_MF_CompE</v>
      </c>
      <c r="H158" s="63" t="str">
        <f>'HVAC Deemed Table'!D181</f>
        <v>MFc</v>
      </c>
      <c r="I158" s="2438">
        <f t="shared" si="125"/>
        <v>407.55</v>
      </c>
      <c r="J158" s="2438">
        <f t="shared" si="130"/>
        <v>0</v>
      </c>
      <c r="K158" s="2439">
        <f>'HVAC Deemed Table'!F181</f>
        <v>407.55</v>
      </c>
      <c r="L158" s="2439">
        <v>0</v>
      </c>
      <c r="M158" s="2439"/>
      <c r="N158" s="2439">
        <v>0</v>
      </c>
      <c r="O158" s="2440">
        <f t="shared" si="126"/>
        <v>0.38612000000000002</v>
      </c>
      <c r="P158" s="2440">
        <f t="shared" si="127"/>
        <v>0</v>
      </c>
      <c r="Q158" s="2441">
        <f>'HVAC Deemed Table'!I181</f>
        <v>0.38612000000000002</v>
      </c>
      <c r="R158" s="2441">
        <v>0</v>
      </c>
      <c r="S158" s="2441"/>
      <c r="T158" s="2441">
        <v>0</v>
      </c>
      <c r="U158" s="1819"/>
      <c r="V158" s="1819"/>
      <c r="W158" s="1819">
        <f t="shared" si="131"/>
        <v>0.38612000000000002</v>
      </c>
      <c r="X158" s="68">
        <f>'HVAC Deemed Table'!J181</f>
        <v>18</v>
      </c>
      <c r="Y158" s="68"/>
      <c r="Z158" s="68">
        <f t="shared" si="116"/>
        <v>18</v>
      </c>
      <c r="AA158" s="3616">
        <f>'HVAC Deemed Table'!BB181</f>
        <v>0.61420224811883062</v>
      </c>
      <c r="AB158" s="2620">
        <f>'HVAC Deemed Table'!K181</f>
        <v>1239.9999999999995</v>
      </c>
      <c r="AC158" s="3618">
        <f t="shared" si="128"/>
        <v>718.83981846847541</v>
      </c>
      <c r="AD158" s="3618">
        <f t="shared" si="129"/>
        <v>0</v>
      </c>
      <c r="AE158" s="2453">
        <f>'HVAC Deemed Table'!BD181</f>
        <v>718.83981846847541</v>
      </c>
      <c r="AF158" s="2453"/>
      <c r="AG158" s="2453"/>
      <c r="AH158" s="2453"/>
      <c r="AI158" s="3624" t="str">
        <f t="shared" si="115"/>
        <v>per measure</v>
      </c>
      <c r="AJ158" s="126">
        <f>'HVAC Deemed Table'!L181</f>
        <v>2</v>
      </c>
      <c r="AK158" s="1805"/>
      <c r="AL158" s="1805"/>
      <c r="AM158" s="1972"/>
      <c r="AO158" s="1971"/>
    </row>
    <row r="159" spans="1:41" s="1930" customFormat="1" x14ac:dyDescent="0.25">
      <c r="A159" s="103" t="str">
        <f t="shared" si="124"/>
        <v>351190</v>
      </c>
      <c r="B159" s="1960" t="str">
        <f>'HVAC Deemed Table'!C182</f>
        <v>351190_2021_12_</v>
      </c>
      <c r="C159" s="1962" t="str">
        <f>'HVAC Deemed Table'!G182</f>
        <v>Cooling RES</v>
      </c>
      <c r="D159" s="1962" t="str">
        <f>'HVAC Deemed Table'!G183</f>
        <v>Cooling RES ER2</v>
      </c>
      <c r="E159" s="1962"/>
      <c r="F159" s="1962"/>
      <c r="G159" s="1962" t="str">
        <f>'HVAC Deemed Table'!E182</f>
        <v>CAC-SEER21+_ER1_SF</v>
      </c>
      <c r="H159" s="63" t="str">
        <f>'HVAC Deemed Table'!D182</f>
        <v>SF</v>
      </c>
      <c r="I159" s="2438">
        <f t="shared" si="125"/>
        <v>2515.91</v>
      </c>
      <c r="J159" s="2438">
        <f t="shared" si="130"/>
        <v>1081.83</v>
      </c>
      <c r="K159" s="2439">
        <f>'HVAC Deemed Table'!F182</f>
        <v>2515.91</v>
      </c>
      <c r="L159" s="2439">
        <v>0</v>
      </c>
      <c r="M159" s="2439">
        <f>'HVAC Deemed Table'!F183</f>
        <v>1081.83</v>
      </c>
      <c r="N159" s="2439">
        <v>0</v>
      </c>
      <c r="O159" s="2440">
        <f t="shared" si="126"/>
        <v>2.3836189999999999</v>
      </c>
      <c r="P159" s="2440">
        <f t="shared" si="127"/>
        <v>1.024945</v>
      </c>
      <c r="Q159" s="2441">
        <f>'HVAC Deemed Table'!I182</f>
        <v>2.3836189999999999</v>
      </c>
      <c r="R159" s="2441">
        <v>0</v>
      </c>
      <c r="S159" s="2441">
        <f>'HVAC Deemed Table'!I183</f>
        <v>1.024945</v>
      </c>
      <c r="T159" s="2441">
        <v>0</v>
      </c>
      <c r="U159" s="1819"/>
      <c r="V159" s="1819"/>
      <c r="W159" s="1819">
        <f>P159</f>
        <v>1.024945</v>
      </c>
      <c r="X159" s="68">
        <f>'HVAC Deemed Table'!J182</f>
        <v>6</v>
      </c>
      <c r="Y159" s="68">
        <f>'HVAC Deemed Table'!J183</f>
        <v>12</v>
      </c>
      <c r="Z159" s="68">
        <f t="shared" si="116"/>
        <v>18</v>
      </c>
      <c r="AA159" s="3616">
        <f>'HVAC Deemed Table'!BB182</f>
        <v>1.4951478737694737</v>
      </c>
      <c r="AB159" s="2620">
        <f>'HVAC Deemed Table'!K182</f>
        <v>1943.075994258907</v>
      </c>
      <c r="AC159" s="3618">
        <f t="shared" si="128"/>
        <v>1462.9618203698144</v>
      </c>
      <c r="AD159" s="3618">
        <f t="shared" si="129"/>
        <v>1279.0730464435037</v>
      </c>
      <c r="AE159" s="2453">
        <f>'HVAC Deemed Table'!BD182</f>
        <v>1462.9618203698144</v>
      </c>
      <c r="AF159" s="2453"/>
      <c r="AG159" s="2453">
        <f>'HVAC Deemed Table'!BD183</f>
        <v>1279.0730464435037</v>
      </c>
      <c r="AH159" s="2453"/>
      <c r="AI159" s="3624" t="str">
        <f t="shared" si="115"/>
        <v>per measure</v>
      </c>
      <c r="AJ159" s="126">
        <f>'HVAC Deemed Table'!L182</f>
        <v>3.331168831168831</v>
      </c>
      <c r="AK159" s="1805"/>
      <c r="AL159" s="1805"/>
      <c r="AM159" s="1972"/>
      <c r="AO159" s="1971"/>
    </row>
    <row r="160" spans="1:41" s="1930" customFormat="1" x14ac:dyDescent="0.25">
      <c r="A160" s="103" t="str">
        <f t="shared" si="124"/>
        <v>351191</v>
      </c>
      <c r="B160" s="1960" t="str">
        <f>'HVAC Deemed Table'!C184</f>
        <v>351191_2021_12_</v>
      </c>
      <c r="C160" s="1962" t="str">
        <f>'HVAC Deemed Table'!G184</f>
        <v>Cooling RES</v>
      </c>
      <c r="D160" s="1962"/>
      <c r="E160" s="1962"/>
      <c r="F160" s="1962"/>
      <c r="G160" s="1962" t="str">
        <f>'HVAC Deemed Table'!E184</f>
        <v>CAC-SEER21+_ROF_SF</v>
      </c>
      <c r="H160" s="63" t="str">
        <f>'HVAC Deemed Table'!D184</f>
        <v>SF</v>
      </c>
      <c r="I160" s="2438">
        <f t="shared" si="125"/>
        <v>1009.72</v>
      </c>
      <c r="J160" s="2438">
        <f t="shared" si="130"/>
        <v>0</v>
      </c>
      <c r="K160" s="2439">
        <f>'HVAC Deemed Table'!F184</f>
        <v>1009.72</v>
      </c>
      <c r="L160" s="2439">
        <v>0</v>
      </c>
      <c r="M160" s="2439"/>
      <c r="N160" s="2439">
        <v>0</v>
      </c>
      <c r="O160" s="2440">
        <f t="shared" si="126"/>
        <v>0.95662700000000001</v>
      </c>
      <c r="P160" s="2440">
        <f t="shared" si="127"/>
        <v>0</v>
      </c>
      <c r="Q160" s="2441">
        <f>'HVAC Deemed Table'!I184</f>
        <v>0.95662700000000001</v>
      </c>
      <c r="R160" s="2441">
        <v>0</v>
      </c>
      <c r="S160" s="2441"/>
      <c r="T160" s="2441">
        <v>0</v>
      </c>
      <c r="U160" s="1819"/>
      <c r="V160" s="1819"/>
      <c r="W160" s="1819">
        <f t="shared" si="131"/>
        <v>0.95662700000000001</v>
      </c>
      <c r="X160" s="68">
        <f>'HVAC Deemed Table'!J184</f>
        <v>18</v>
      </c>
      <c r="Y160" s="68"/>
      <c r="Z160" s="68">
        <f t="shared" si="116"/>
        <v>18</v>
      </c>
      <c r="AA160" s="3616">
        <f>'HVAC Deemed Table'!BB184</f>
        <v>1.3043215604827714</v>
      </c>
      <c r="AB160" s="2620">
        <f>'HVAC Deemed Table'!K184</f>
        <v>1446.6666666666663</v>
      </c>
      <c r="AC160" s="3618">
        <f t="shared" si="128"/>
        <v>1780.9518868948326</v>
      </c>
      <c r="AD160" s="3618">
        <f t="shared" si="129"/>
        <v>0</v>
      </c>
      <c r="AE160" s="2453">
        <f>'HVAC Deemed Table'!BD184</f>
        <v>1780.9518868948326</v>
      </c>
      <c r="AF160" s="2453"/>
      <c r="AG160" s="2453"/>
      <c r="AH160" s="2453"/>
      <c r="AI160" s="3624" t="str">
        <f t="shared" si="115"/>
        <v>per measure</v>
      </c>
      <c r="AJ160" s="126">
        <f>'HVAC Deemed Table'!L184</f>
        <v>3.1428571428571423</v>
      </c>
      <c r="AK160" s="1805"/>
      <c r="AL160" s="1805"/>
      <c r="AM160" s="1972"/>
      <c r="AO160" s="1971"/>
    </row>
    <row r="161" spans="1:41" s="1930" customFormat="1" x14ac:dyDescent="0.25">
      <c r="A161" s="103" t="str">
        <f t="shared" si="124"/>
        <v>351192</v>
      </c>
      <c r="B161" s="1960" t="str">
        <f>'HVAC Deemed Table'!C185</f>
        <v>351192_2021_12_</v>
      </c>
      <c r="C161" s="1962" t="str">
        <f>'HVAC Deemed Table'!G185</f>
        <v>Cooling RES</v>
      </c>
      <c r="D161" s="1962" t="str">
        <f>'HVAC Deemed Table'!G186</f>
        <v>Cooling RES ER2</v>
      </c>
      <c r="E161" s="1962"/>
      <c r="F161" s="1962"/>
      <c r="G161" s="1962" t="str">
        <f>'HVAC Deemed Table'!E185</f>
        <v>CAC-SEER21+_ER1_MF</v>
      </c>
      <c r="H161" s="63" t="str">
        <f>'HVAC Deemed Table'!D185</f>
        <v>MF</v>
      </c>
      <c r="I161" s="2438">
        <f t="shared" si="125"/>
        <v>1507.56</v>
      </c>
      <c r="J161" s="2438">
        <f t="shared" si="130"/>
        <v>609.94000000000005</v>
      </c>
      <c r="K161" s="2439">
        <f>'HVAC Deemed Table'!F185</f>
        <v>1507.56</v>
      </c>
      <c r="L161" s="2439">
        <v>0</v>
      </c>
      <c r="M161" s="2439">
        <f>'HVAC Deemed Table'!F186</f>
        <v>609.94000000000005</v>
      </c>
      <c r="N161" s="2439">
        <v>0</v>
      </c>
      <c r="O161" s="2440">
        <f t="shared" si="126"/>
        <v>1.4282900000000001</v>
      </c>
      <c r="P161" s="2440">
        <f t="shared" si="127"/>
        <v>0.57786800000000005</v>
      </c>
      <c r="Q161" s="2441">
        <f>'HVAC Deemed Table'!I185</f>
        <v>1.4282900000000001</v>
      </c>
      <c r="R161" s="2441">
        <v>0</v>
      </c>
      <c r="S161" s="2441">
        <f>'HVAC Deemed Table'!I186</f>
        <v>0.57786800000000005</v>
      </c>
      <c r="T161" s="2441">
        <v>0</v>
      </c>
      <c r="U161" s="1819"/>
      <c r="V161" s="1819"/>
      <c r="W161" s="1819">
        <f>P161</f>
        <v>0.57786800000000005</v>
      </c>
      <c r="X161" s="68">
        <f>'HVAC Deemed Table'!J185</f>
        <v>6</v>
      </c>
      <c r="Y161" s="68">
        <f>'HVAC Deemed Table'!J186</f>
        <v>12</v>
      </c>
      <c r="Z161" s="68">
        <f t="shared" si="116"/>
        <v>18</v>
      </c>
      <c r="AA161" s="3616">
        <f>'HVAC Deemed Table'!BB185</f>
        <v>0.97027012170549853</v>
      </c>
      <c r="AB161" s="2620">
        <f>'HVAC Deemed Table'!K185</f>
        <v>1744.7057951236061</v>
      </c>
      <c r="AC161" s="3618">
        <f t="shared" si="128"/>
        <v>876.62226467429969</v>
      </c>
      <c r="AD161" s="3618">
        <f t="shared" si="129"/>
        <v>721.14640373048519</v>
      </c>
      <c r="AE161" s="2453">
        <f>'HVAC Deemed Table'!BD185</f>
        <v>876.62226467429969</v>
      </c>
      <c r="AF161" s="2453"/>
      <c r="AG161" s="2453">
        <f>'HVAC Deemed Table'!BD186</f>
        <v>721.14640373048519</v>
      </c>
      <c r="AH161" s="2453"/>
      <c r="AI161" s="3624" t="str">
        <f t="shared" si="115"/>
        <v>per measure</v>
      </c>
      <c r="AJ161" s="126">
        <f>'HVAC Deemed Table'!L185</f>
        <v>2</v>
      </c>
      <c r="AK161" s="1805"/>
      <c r="AL161" s="1805"/>
      <c r="AM161" s="1972"/>
      <c r="AO161" s="1971"/>
    </row>
    <row r="162" spans="1:41" s="1930" customFormat="1" x14ac:dyDescent="0.25">
      <c r="A162" s="103" t="str">
        <f t="shared" si="124"/>
        <v>351193</v>
      </c>
      <c r="B162" s="1960" t="str">
        <f>'HVAC Deemed Table'!C187</f>
        <v>351193_2021_12_</v>
      </c>
      <c r="C162" s="1962" t="str">
        <f>'HVAC Deemed Table'!G187</f>
        <v>Cooling RES</v>
      </c>
      <c r="D162" s="1962" t="str">
        <f>'HVAC Deemed Table'!G188</f>
        <v>Cooling RES ER2</v>
      </c>
      <c r="E162" s="1962"/>
      <c r="F162" s="1962"/>
      <c r="G162" s="1962" t="str">
        <f>'HVAC Deemed Table'!E187</f>
        <v>CAC-SEER21+_ER1_MF_CompE</v>
      </c>
      <c r="H162" s="63" t="str">
        <f>'HVAC Deemed Table'!D187</f>
        <v>MFc</v>
      </c>
      <c r="I162" s="2438">
        <f t="shared" si="125"/>
        <v>1096.4100000000001</v>
      </c>
      <c r="J162" s="2438">
        <f t="shared" si="130"/>
        <v>443.59</v>
      </c>
      <c r="K162" s="2439">
        <f>'HVAC Deemed Table'!F187</f>
        <v>1096.4100000000001</v>
      </c>
      <c r="L162" s="2439">
        <v>0</v>
      </c>
      <c r="M162" s="2439">
        <f>'HVAC Deemed Table'!F188</f>
        <v>443.59</v>
      </c>
      <c r="N162" s="2439">
        <v>0</v>
      </c>
      <c r="O162" s="2440">
        <f t="shared" si="126"/>
        <v>1.038759</v>
      </c>
      <c r="P162" s="2440">
        <f t="shared" si="127"/>
        <v>0.420265</v>
      </c>
      <c r="Q162" s="2441">
        <f>'HVAC Deemed Table'!I187</f>
        <v>1.038759</v>
      </c>
      <c r="R162" s="2441">
        <v>0</v>
      </c>
      <c r="S162" s="2441">
        <f>'HVAC Deemed Table'!I188</f>
        <v>0.420265</v>
      </c>
      <c r="T162" s="2441">
        <v>0</v>
      </c>
      <c r="U162" s="1819"/>
      <c r="V162" s="1819"/>
      <c r="W162" s="1819">
        <f>P162</f>
        <v>0.420265</v>
      </c>
      <c r="X162" s="68">
        <f>'HVAC Deemed Table'!J187</f>
        <v>6</v>
      </c>
      <c r="Y162" s="68">
        <f>'HVAC Deemed Table'!J188</f>
        <v>12</v>
      </c>
      <c r="Z162" s="68">
        <f t="shared" si="116"/>
        <v>18</v>
      </c>
      <c r="AA162" s="3616">
        <f>'HVAC Deemed Table'!BB187</f>
        <v>0.70565000250636201</v>
      </c>
      <c r="AB162" s="2620">
        <f>'HVAC Deemed Table'!K187</f>
        <v>1744.7057951236061</v>
      </c>
      <c r="AC162" s="3618">
        <f t="shared" si="128"/>
        <v>637.54505108357148</v>
      </c>
      <c r="AD162" s="3618">
        <f t="shared" si="129"/>
        <v>524.46688728531637</v>
      </c>
      <c r="AE162" s="2453">
        <f>'HVAC Deemed Table'!BD187</f>
        <v>637.54505108357148</v>
      </c>
      <c r="AF162" s="2453"/>
      <c r="AG162" s="2453">
        <f>'HVAC Deemed Table'!BD188</f>
        <v>524.46688728531637</v>
      </c>
      <c r="AH162" s="2453"/>
      <c r="AI162" s="3624" t="str">
        <f t="shared" si="115"/>
        <v>per measure</v>
      </c>
      <c r="AJ162" s="126">
        <f>'HVAC Deemed Table'!L187</f>
        <v>2</v>
      </c>
      <c r="AK162" s="1805"/>
      <c r="AL162" s="1805"/>
      <c r="AM162" s="1972"/>
      <c r="AO162" s="1971"/>
    </row>
    <row r="163" spans="1:41" s="1930" customFormat="1" x14ac:dyDescent="0.25">
      <c r="A163" s="103" t="str">
        <f t="shared" si="124"/>
        <v>351194</v>
      </c>
      <c r="B163" s="1960" t="str">
        <f>'HVAC Deemed Table'!C189</f>
        <v>351194_2021_12_</v>
      </c>
      <c r="C163" s="1962" t="str">
        <f>'HVAC Deemed Table'!G189</f>
        <v>Cooling RES</v>
      </c>
      <c r="D163" s="1962"/>
      <c r="E163" s="1962"/>
      <c r="F163" s="1962"/>
      <c r="G163" s="1962" t="str">
        <f>'HVAC Deemed Table'!E189</f>
        <v>CAC-SEER21+_ROF_MF</v>
      </c>
      <c r="H163" s="63" t="str">
        <f>'HVAC Deemed Table'!D189</f>
        <v>MF</v>
      </c>
      <c r="I163" s="2438">
        <f t="shared" si="125"/>
        <v>609.94000000000005</v>
      </c>
      <c r="J163" s="2438">
        <f t="shared" si="130"/>
        <v>0</v>
      </c>
      <c r="K163" s="2439">
        <f>'HVAC Deemed Table'!F189</f>
        <v>609.94000000000005</v>
      </c>
      <c r="L163" s="2439">
        <v>0</v>
      </c>
      <c r="M163" s="2439"/>
      <c r="N163" s="2439">
        <v>0</v>
      </c>
      <c r="O163" s="2440">
        <f t="shared" si="126"/>
        <v>0.57786800000000005</v>
      </c>
      <c r="P163" s="2440">
        <f t="shared" si="127"/>
        <v>0</v>
      </c>
      <c r="Q163" s="2441">
        <f>'HVAC Deemed Table'!I189</f>
        <v>0.57786800000000005</v>
      </c>
      <c r="R163" s="2441">
        <v>0</v>
      </c>
      <c r="S163" s="2441"/>
      <c r="T163" s="2441">
        <v>0</v>
      </c>
      <c r="U163" s="1819"/>
      <c r="V163" s="1819"/>
      <c r="W163" s="1819">
        <f t="shared" si="131"/>
        <v>0.57786800000000005</v>
      </c>
      <c r="X163" s="68">
        <f>'HVAC Deemed Table'!J189</f>
        <v>18</v>
      </c>
      <c r="Y163" s="68"/>
      <c r="Z163" s="68">
        <f t="shared" si="116"/>
        <v>18</v>
      </c>
      <c r="AA163" s="3616">
        <f>'HVAC Deemed Table'!BB189</f>
        <v>0.78789950936978725</v>
      </c>
      <c r="AB163" s="2620">
        <f>'HVAC Deemed Table'!K189</f>
        <v>1446.6666666666663</v>
      </c>
      <c r="AC163" s="3618">
        <f t="shared" si="128"/>
        <v>1075.8168540710635</v>
      </c>
      <c r="AD163" s="3618">
        <f t="shared" si="129"/>
        <v>0</v>
      </c>
      <c r="AE163" s="2453">
        <f>'HVAC Deemed Table'!BD189</f>
        <v>1075.8168540710635</v>
      </c>
      <c r="AF163" s="2453"/>
      <c r="AG163" s="2453"/>
      <c r="AH163" s="2453"/>
      <c r="AI163" s="3624" t="str">
        <f t="shared" si="115"/>
        <v>per measure</v>
      </c>
      <c r="AJ163" s="126">
        <f>'HVAC Deemed Table'!L189</f>
        <v>2</v>
      </c>
      <c r="AK163" s="1805"/>
      <c r="AL163" s="1805"/>
      <c r="AM163" s="1972"/>
      <c r="AO163" s="1971"/>
    </row>
    <row r="164" spans="1:41" s="1930" customFormat="1" x14ac:dyDescent="0.25">
      <c r="A164" s="103" t="str">
        <f t="shared" si="124"/>
        <v>351195</v>
      </c>
      <c r="B164" s="1960" t="str">
        <f>'HVAC Deemed Table'!C190</f>
        <v>351195_2021_12_</v>
      </c>
      <c r="C164" s="1962" t="str">
        <f>'HVAC Deemed Table'!G190</f>
        <v>Cooling RES</v>
      </c>
      <c r="D164" s="1962"/>
      <c r="E164" s="1962"/>
      <c r="F164" s="1962"/>
      <c r="G164" s="1962" t="str">
        <f>'HVAC Deemed Table'!E190</f>
        <v>CAC-SEER21+_ROF_MF_CompE</v>
      </c>
      <c r="H164" s="63" t="str">
        <f>'HVAC Deemed Table'!D190</f>
        <v>MFc</v>
      </c>
      <c r="I164" s="2438">
        <f t="shared" si="125"/>
        <v>443.59</v>
      </c>
      <c r="J164" s="2438">
        <f t="shared" si="130"/>
        <v>0</v>
      </c>
      <c r="K164" s="2439">
        <f>'HVAC Deemed Table'!F190</f>
        <v>443.59</v>
      </c>
      <c r="L164" s="2439">
        <v>0</v>
      </c>
      <c r="M164" s="2439"/>
      <c r="N164" s="2439">
        <v>0</v>
      </c>
      <c r="O164" s="2440">
        <f t="shared" si="126"/>
        <v>0.420265</v>
      </c>
      <c r="P164" s="2440">
        <f t="shared" si="127"/>
        <v>0</v>
      </c>
      <c r="Q164" s="2441">
        <f>'HVAC Deemed Table'!I190</f>
        <v>0.420265</v>
      </c>
      <c r="R164" s="2441">
        <v>0</v>
      </c>
      <c r="S164" s="2441"/>
      <c r="T164" s="2441">
        <v>0</v>
      </c>
      <c r="U164" s="1819"/>
      <c r="V164" s="1819"/>
      <c r="W164" s="1819">
        <f t="shared" si="131"/>
        <v>0.420265</v>
      </c>
      <c r="X164" s="68">
        <f>'HVAC Deemed Table'!J190</f>
        <v>18</v>
      </c>
      <c r="Y164" s="68"/>
      <c r="Z164" s="68">
        <f t="shared" si="116"/>
        <v>18</v>
      </c>
      <c r="AA164" s="3616">
        <f>'HVAC Deemed Table'!BB190</f>
        <v>0.57301430199912107</v>
      </c>
      <c r="AB164" s="2620">
        <f>'HVAC Deemed Table'!K190</f>
        <v>1446.6666666666663</v>
      </c>
      <c r="AC164" s="3618">
        <f t="shared" si="128"/>
        <v>782.40744712165622</v>
      </c>
      <c r="AD164" s="3618">
        <f t="shared" si="129"/>
        <v>0</v>
      </c>
      <c r="AE164" s="2453">
        <f>'HVAC Deemed Table'!BD190</f>
        <v>782.40744712165622</v>
      </c>
      <c r="AF164" s="2453"/>
      <c r="AG164" s="2453"/>
      <c r="AH164" s="2453"/>
      <c r="AI164" s="3624" t="str">
        <f t="shared" si="115"/>
        <v>per measure</v>
      </c>
      <c r="AJ164" s="126">
        <f>'HVAC Deemed Table'!L190</f>
        <v>2</v>
      </c>
      <c r="AK164" s="1805"/>
      <c r="AL164" s="1805"/>
      <c r="AM164" s="1972"/>
      <c r="AO164" s="1971"/>
    </row>
    <row r="165" spans="1:41" x14ac:dyDescent="0.25">
      <c r="A165" s="103" t="str">
        <f t="shared" si="124"/>
        <v>351200</v>
      </c>
      <c r="B165" s="1960" t="str">
        <f>'HVAC Deemed Table'!C786</f>
        <v>351200_2021_12_</v>
      </c>
      <c r="C165" s="1962" t="str">
        <f>'HVAC Deemed Table'!G786</f>
        <v>Cooling RES</v>
      </c>
      <c r="D165" s="1962" t="str">
        <f>'HVAC Deemed Table'!G787</f>
        <v>Cooling RES ER2</v>
      </c>
      <c r="E165" s="1962"/>
      <c r="F165" s="1962"/>
      <c r="G165" s="1962" t="str">
        <f>'HVAC Deemed Table'!E786</f>
        <v>Mini/MultiSplitAC_ER1_SF</v>
      </c>
      <c r="H165" s="63" t="str">
        <f>'HVAC Deemed Table'!D786</f>
        <v>SF</v>
      </c>
      <c r="I165" s="2438">
        <f t="shared" si="121"/>
        <v>696.9</v>
      </c>
      <c r="J165" s="2438">
        <f t="shared" si="122"/>
        <v>269.27</v>
      </c>
      <c r="K165" s="2439">
        <f>'HVAC Deemed Table'!F786</f>
        <v>696.9</v>
      </c>
      <c r="L165" s="2439"/>
      <c r="M165" s="2439">
        <f>'HVAC Deemed Table'!F787</f>
        <v>269.27</v>
      </c>
      <c r="N165" s="2439">
        <v>0</v>
      </c>
      <c r="O165" s="2440">
        <f t="shared" si="119"/>
        <v>0.66025599999999995</v>
      </c>
      <c r="P165" s="2440">
        <f t="shared" si="120"/>
        <v>0.25511099999999998</v>
      </c>
      <c r="Q165" s="2441">
        <f>'HVAC Deemed Table'!I786</f>
        <v>0.66025599999999995</v>
      </c>
      <c r="R165" s="2441"/>
      <c r="S165" s="2441">
        <f>'HVAC Deemed Table'!I787</f>
        <v>0.25511099999999998</v>
      </c>
      <c r="T165" s="2441"/>
      <c r="U165" s="1819"/>
      <c r="V165" s="1819"/>
      <c r="W165" s="1821">
        <f>P165</f>
        <v>0.25511099999999998</v>
      </c>
      <c r="X165" s="68">
        <f>'HVAC Deemed Table'!J786</f>
        <v>6</v>
      </c>
      <c r="Y165" s="68">
        <f>'HVAC Deemed Table'!J787</f>
        <v>12</v>
      </c>
      <c r="Z165" s="68">
        <f t="shared" si="116"/>
        <v>18</v>
      </c>
      <c r="AA165" s="3616">
        <f>'HVAC Deemed Table'!BB786</f>
        <v>0.67630371295066838</v>
      </c>
      <c r="AB165" s="2620">
        <f>'HVAC Deemed Table'!K786</f>
        <v>1133.5954314013989</v>
      </c>
      <c r="AC165" s="3618">
        <f t="shared" si="117"/>
        <v>405.23631314940661</v>
      </c>
      <c r="AD165" s="3618">
        <f t="shared" si="118"/>
        <v>318.3642524387771</v>
      </c>
      <c r="AE165" s="2453">
        <f>'HVAC Deemed Table'!BD786</f>
        <v>405.23631314940661</v>
      </c>
      <c r="AF165" s="2453"/>
      <c r="AG165" s="2453">
        <f>'HVAC Deemed Table'!BD787</f>
        <v>318.3642524387771</v>
      </c>
      <c r="AH165" s="2453">
        <v>0</v>
      </c>
      <c r="AI165" s="3624" t="str">
        <f t="shared" si="115"/>
        <v>per measure</v>
      </c>
      <c r="AJ165" s="126">
        <f>'HVAC Deemed Table'!L786</f>
        <v>1.4</v>
      </c>
      <c r="AK165" s="1805"/>
      <c r="AL165" s="1805"/>
      <c r="AM165" s="1972">
        <f t="shared" ref="AM165:AM228" si="132">VLOOKUP(C165,$AS$10:$AT$33,2,FALSE)</f>
        <v>9.4741810000000004E-4</v>
      </c>
      <c r="AN165" s="1930">
        <f>AM165*I165</f>
        <v>0.66025567388999995</v>
      </c>
      <c r="AO165" s="1971">
        <f t="shared" si="93"/>
        <v>-3.2611000000404289E-7</v>
      </c>
    </row>
    <row r="166" spans="1:41" x14ac:dyDescent="0.25">
      <c r="A166" s="103" t="str">
        <f t="shared" si="124"/>
        <v>351250</v>
      </c>
      <c r="B166" s="1960" t="str">
        <f>'HVAC Deemed Table'!C788</f>
        <v>351250_2021_12_</v>
      </c>
      <c r="C166" s="1962" t="str">
        <f>'HVAC Deemed Table'!G788</f>
        <v>Cooling RES</v>
      </c>
      <c r="D166" s="1962"/>
      <c r="E166" s="1962"/>
      <c r="F166" s="1962"/>
      <c r="G166" s="1962" t="str">
        <f>'HVAC Deemed Table'!E788</f>
        <v>Mini/MultiSplitAC_ROF_SF</v>
      </c>
      <c r="H166" s="63" t="str">
        <f>'HVAC Deemed Table'!D788</f>
        <v>SF</v>
      </c>
      <c r="I166" s="2438">
        <f t="shared" si="121"/>
        <v>329.12</v>
      </c>
      <c r="J166" s="2438">
        <f t="shared" si="122"/>
        <v>0</v>
      </c>
      <c r="K166" s="2439">
        <f>'HVAC Deemed Table'!F788</f>
        <v>329.12</v>
      </c>
      <c r="L166" s="2439"/>
      <c r="M166" s="2439"/>
      <c r="N166" s="2439">
        <v>0</v>
      </c>
      <c r="O166" s="2440">
        <f t="shared" si="119"/>
        <v>0.31181399999999998</v>
      </c>
      <c r="P166" s="2440">
        <f t="shared" si="120"/>
        <v>0</v>
      </c>
      <c r="Q166" s="2441">
        <f>'HVAC Deemed Table'!I788</f>
        <v>0.31181399999999998</v>
      </c>
      <c r="R166" s="2441"/>
      <c r="S166" s="2441"/>
      <c r="T166" s="2441"/>
      <c r="U166" s="1819"/>
      <c r="V166" s="1819"/>
      <c r="W166" s="1819">
        <f>Q166</f>
        <v>0.31181399999999998</v>
      </c>
      <c r="X166" s="68">
        <f>'HVAC Deemed Table'!J788</f>
        <v>18</v>
      </c>
      <c r="Y166" s="68"/>
      <c r="Z166" s="68">
        <f t="shared" si="116"/>
        <v>18</v>
      </c>
      <c r="AA166" s="3616">
        <f>'HVAC Deemed Table'!BB788</f>
        <v>1.8202056178332329</v>
      </c>
      <c r="AB166" s="2620">
        <f>'HVAC Deemed Table'!K788</f>
        <v>337.89830508474574</v>
      </c>
      <c r="AC166" s="3618">
        <f t="shared" si="117"/>
        <v>580.50438241772702</v>
      </c>
      <c r="AD166" s="3618">
        <f t="shared" si="118"/>
        <v>0</v>
      </c>
      <c r="AE166" s="2453">
        <f>'HVAC Deemed Table'!BD788</f>
        <v>580.50438241772702</v>
      </c>
      <c r="AF166" s="2453"/>
      <c r="AG166" s="2453"/>
      <c r="AH166" s="2453">
        <v>0</v>
      </c>
      <c r="AI166" s="3624" t="str">
        <f t="shared" si="115"/>
        <v>per measure</v>
      </c>
      <c r="AJ166" s="126">
        <f>'HVAC Deemed Table'!L788</f>
        <v>1.4</v>
      </c>
      <c r="AK166" s="1805"/>
      <c r="AL166" s="1805"/>
      <c r="AM166" s="1972">
        <f t="shared" si="132"/>
        <v>9.4741810000000004E-4</v>
      </c>
      <c r="AN166" s="1930">
        <f>AM166*I166</f>
        <v>0.31181424507200001</v>
      </c>
      <c r="AO166" s="1971">
        <f t="shared" si="93"/>
        <v>2.4507200002688023E-7</v>
      </c>
    </row>
    <row r="167" spans="1:41" x14ac:dyDescent="0.25">
      <c r="A167" s="103" t="str">
        <f t="shared" si="124"/>
        <v>351300</v>
      </c>
      <c r="B167" s="1960" t="str">
        <f>'HVAC Deemed Table'!C789</f>
        <v>351300_2021_12_</v>
      </c>
      <c r="C167" s="1962" t="str">
        <f>'HVAC Deemed Table'!G789</f>
        <v>Cooling RES</v>
      </c>
      <c r="D167" s="1962" t="str">
        <f>'HVAC Deemed Table'!G790</f>
        <v>Heating RES</v>
      </c>
      <c r="E167" s="1962"/>
      <c r="F167" s="1962"/>
      <c r="G167" s="1962" t="str">
        <f>'HVAC Deemed Table'!E789</f>
        <v>Mini/MultiSplitASHP_ROF_SF_NC</v>
      </c>
      <c r="H167" s="63" t="str">
        <f>'HVAC Deemed Table'!D789</f>
        <v>SF</v>
      </c>
      <c r="I167" s="2438">
        <f t="shared" ref="I167:I185" si="133">K167+L167</f>
        <v>938.33</v>
      </c>
      <c r="J167" s="2438">
        <f t="shared" ref="J167:J185" si="134">M167+N167</f>
        <v>0</v>
      </c>
      <c r="K167" s="2439">
        <f>'HVAC Deemed Table'!F789</f>
        <v>305.98</v>
      </c>
      <c r="L167" s="2439">
        <f>'HVAC Deemed Table'!F790</f>
        <v>632.35</v>
      </c>
      <c r="M167" s="2439">
        <v>0</v>
      </c>
      <c r="N167" s="2439">
        <v>0</v>
      </c>
      <c r="O167" s="2440">
        <f t="shared" ref="O167:O185" si="135">Q167+R167</f>
        <v>0.28989100000000001</v>
      </c>
      <c r="P167" s="2440">
        <f t="shared" ref="P167:P185" si="136">S167+T167</f>
        <v>0</v>
      </c>
      <c r="Q167" s="2441">
        <f>'HVAC Deemed Table'!I789</f>
        <v>0.28989100000000001</v>
      </c>
      <c r="R167" s="2441">
        <f>'HVAC Deemed Table'!I790</f>
        <v>0</v>
      </c>
      <c r="S167" s="2441"/>
      <c r="T167" s="2441"/>
      <c r="U167" s="1819"/>
      <c r="V167" s="1819"/>
      <c r="W167" s="1819">
        <f>O167</f>
        <v>0.28989100000000001</v>
      </c>
      <c r="X167" s="68">
        <f>'HVAC Deemed Table'!J789</f>
        <v>18</v>
      </c>
      <c r="Y167" s="68"/>
      <c r="Z167" s="68">
        <f t="shared" si="116"/>
        <v>18</v>
      </c>
      <c r="AA167" s="3616">
        <f>'HVAC Deemed Table'!BB789</f>
        <v>2.6083012705187127</v>
      </c>
      <c r="AB167" s="2620">
        <f>'HVAC Deemed Table'!K789</f>
        <v>337.89830508474574</v>
      </c>
      <c r="AC167" s="3618">
        <f t="shared" si="117"/>
        <v>831.84575597797243</v>
      </c>
      <c r="AD167" s="3618">
        <f t="shared" si="118"/>
        <v>0</v>
      </c>
      <c r="AE167" s="2453">
        <f>'HVAC Deemed Table'!BD789</f>
        <v>539.68987278857594</v>
      </c>
      <c r="AF167" s="2453">
        <f>'HVAC Deemed Table'!BD790</f>
        <v>292.15588318939655</v>
      </c>
      <c r="AG167" s="2453">
        <v>0</v>
      </c>
      <c r="AH167" s="2453">
        <v>0</v>
      </c>
      <c r="AI167" s="3624" t="str">
        <f t="shared" si="115"/>
        <v>per measure</v>
      </c>
      <c r="AJ167" s="126">
        <f>'HVAC Deemed Table'!L789</f>
        <v>1.5084745762711864</v>
      </c>
      <c r="AK167" s="1805"/>
      <c r="AL167" s="1805"/>
      <c r="AM167" s="1972">
        <f t="shared" si="132"/>
        <v>9.4741810000000004E-4</v>
      </c>
      <c r="AN167" s="100">
        <f>AM167*K167</f>
        <v>0.28989099023800002</v>
      </c>
      <c r="AO167" s="1971">
        <f t="shared" si="93"/>
        <v>-9.7619999861464635E-9</v>
      </c>
    </row>
    <row r="168" spans="1:41" x14ac:dyDescent="0.25">
      <c r="A168" s="103" t="str">
        <f t="shared" si="124"/>
        <v>351350</v>
      </c>
      <c r="B168" s="1960" t="str">
        <f>'HVAC Deemed Table'!C791</f>
        <v>351350_2021_12_</v>
      </c>
      <c r="C168" s="1962" t="str">
        <f>'HVAC Deemed Table'!G791</f>
        <v>Cooling RES</v>
      </c>
      <c r="D168" s="1962" t="str">
        <f>'HVAC Deemed Table'!G792</f>
        <v>Heating RES</v>
      </c>
      <c r="E168" s="1962"/>
      <c r="F168" s="1962"/>
      <c r="G168" s="1962" t="str">
        <f>'HVAC Deemed Table'!E791</f>
        <v>Mini/MultiSplitASHP_ROF_SF</v>
      </c>
      <c r="H168" s="63" t="str">
        <f>'HVAC Deemed Table'!D791</f>
        <v>SF</v>
      </c>
      <c r="I168" s="2438">
        <f t="shared" si="133"/>
        <v>935.42000000000007</v>
      </c>
      <c r="J168" s="2438">
        <f t="shared" si="134"/>
        <v>0</v>
      </c>
      <c r="K168" s="2439">
        <f>'HVAC Deemed Table'!F791</f>
        <v>296.29000000000002</v>
      </c>
      <c r="L168" s="2439">
        <f>'HVAC Deemed Table'!F792</f>
        <v>639.13</v>
      </c>
      <c r="M168" s="2439">
        <v>0</v>
      </c>
      <c r="N168" s="2439">
        <v>0</v>
      </c>
      <c r="O168" s="2440">
        <f t="shared" si="135"/>
        <v>0.28071099999999999</v>
      </c>
      <c r="P168" s="2440">
        <f t="shared" si="136"/>
        <v>0</v>
      </c>
      <c r="Q168" s="2441">
        <f>'HVAC Deemed Table'!I791</f>
        <v>0.28071099999999999</v>
      </c>
      <c r="R168" s="2441">
        <f>'HVAC Deemed Table'!I792</f>
        <v>0</v>
      </c>
      <c r="S168" s="2441"/>
      <c r="T168" s="2441"/>
      <c r="U168" s="1819"/>
      <c r="V168" s="1819"/>
      <c r="W168" s="1819">
        <f>O168</f>
        <v>0.28071099999999999</v>
      </c>
      <c r="X168" s="68">
        <f>'HVAC Deemed Table'!J791</f>
        <v>18</v>
      </c>
      <c r="Y168" s="68"/>
      <c r="Z168" s="68">
        <f t="shared" si="116"/>
        <v>18</v>
      </c>
      <c r="AA168" s="3616">
        <f>'HVAC Deemed Table'!BB791</f>
        <v>2.5645325472201184</v>
      </c>
      <c r="AB168" s="2620">
        <f>'HVAC Deemed Table'!K791</f>
        <v>337.89830508474574</v>
      </c>
      <c r="AC168" s="3618">
        <f t="shared" si="117"/>
        <v>817.88692877804954</v>
      </c>
      <c r="AD168" s="3618">
        <f t="shared" si="118"/>
        <v>0</v>
      </c>
      <c r="AE168" s="2453">
        <f>'HVAC Deemed Table'!BD791</f>
        <v>522.5985764054094</v>
      </c>
      <c r="AF168" s="2453">
        <f>'HVAC Deemed Table'!BD792</f>
        <v>295.28835237264013</v>
      </c>
      <c r="AG168" s="2453">
        <v>0</v>
      </c>
      <c r="AH168" s="2453">
        <v>0</v>
      </c>
      <c r="AI168" s="3624" t="str">
        <f t="shared" si="115"/>
        <v>per measure</v>
      </c>
      <c r="AJ168" s="126">
        <f>'HVAC Deemed Table'!L791</f>
        <v>1.3333333333333333</v>
      </c>
      <c r="AK168" s="1805"/>
      <c r="AL168" s="1805"/>
      <c r="AM168" s="1972">
        <f t="shared" si="132"/>
        <v>9.4741810000000004E-4</v>
      </c>
      <c r="AN168" s="100">
        <f>AM168*K168</f>
        <v>0.28071050884900001</v>
      </c>
      <c r="AO168" s="1971">
        <f t="shared" si="93"/>
        <v>-4.9115099998164879E-7</v>
      </c>
    </row>
    <row r="169" spans="1:41" x14ac:dyDescent="0.25">
      <c r="A169" s="103" t="str">
        <f t="shared" si="124"/>
        <v>351400</v>
      </c>
      <c r="B169" s="1960" t="str">
        <f>'HVAC Deemed Table'!C793</f>
        <v>351400_2021_12_</v>
      </c>
      <c r="C169" s="1962" t="str">
        <f>'HVAC Deemed Table'!G793</f>
        <v>Cooling RES</v>
      </c>
      <c r="D169" s="1962" t="str">
        <f>'HVAC Deemed Table'!G794</f>
        <v>Heating RES</v>
      </c>
      <c r="E169" s="1962" t="str">
        <f>'HVAC Deemed Table'!G795</f>
        <v>Cooling RES ER2</v>
      </c>
      <c r="F169" s="1962" t="str">
        <f>'HVAC Deemed Table'!G796</f>
        <v>Heating RES ER2</v>
      </c>
      <c r="G169" s="1962" t="str">
        <f>'HVAC Deemed Table'!E793</f>
        <v>Mini/MultiSplitASHP-Replace_CAC_ElectricHeat_ER1_SF</v>
      </c>
      <c r="H169" s="63" t="str">
        <f>'HVAC Deemed Table'!D793</f>
        <v>SF</v>
      </c>
      <c r="I169" s="2438">
        <f t="shared" si="133"/>
        <v>4779.51</v>
      </c>
      <c r="J169" s="2438">
        <f t="shared" si="134"/>
        <v>4258.08</v>
      </c>
      <c r="K169" s="2439">
        <f>'HVAC Deemed Table'!F793</f>
        <v>884.18</v>
      </c>
      <c r="L169" s="2439">
        <f>'HVAC Deemed Table'!F794</f>
        <v>3895.33</v>
      </c>
      <c r="M169" s="2439">
        <f>'HVAC Deemed Table'!F795</f>
        <v>362.75</v>
      </c>
      <c r="N169" s="2439">
        <f>'HVAC Deemed Table'!F796</f>
        <v>3895.33</v>
      </c>
      <c r="O169" s="2440">
        <f t="shared" si="135"/>
        <v>0.83768799999999999</v>
      </c>
      <c r="P169" s="2440">
        <f t="shared" si="136"/>
        <v>0.34367599999999998</v>
      </c>
      <c r="Q169" s="2441">
        <f>'HVAC Deemed Table'!I793</f>
        <v>0.83768799999999999</v>
      </c>
      <c r="R169" s="2441">
        <f>'HVAC Deemed Table'!I794</f>
        <v>0</v>
      </c>
      <c r="S169" s="2441">
        <f>'HVAC Deemed Table'!I795</f>
        <v>0.34367599999999998</v>
      </c>
      <c r="T169" s="2441">
        <f>'HVAC Deemed Table'!I796</f>
        <v>0</v>
      </c>
      <c r="U169" s="1819"/>
      <c r="V169" s="1819"/>
      <c r="W169" s="1821">
        <f>P169</f>
        <v>0.34367599999999998</v>
      </c>
      <c r="X169" s="68">
        <f>'HVAC Deemed Table'!J793</f>
        <v>6</v>
      </c>
      <c r="Y169" s="68">
        <f>'HVAC Deemed Table'!J795</f>
        <v>12</v>
      </c>
      <c r="Z169" s="68">
        <f t="shared" si="116"/>
        <v>18</v>
      </c>
      <c r="AA169" s="3616">
        <f>'HVAC Deemed Table'!BB793</f>
        <v>1.1597028605642348</v>
      </c>
      <c r="AB169" s="2620">
        <f>'HVAC Deemed Table'!K793</f>
        <v>2505.747142294048</v>
      </c>
      <c r="AC169" s="3618">
        <f t="shared" si="117"/>
        <v>1162.0605561714772</v>
      </c>
      <c r="AD169" s="3618">
        <f t="shared" si="118"/>
        <v>1580.669154795077</v>
      </c>
      <c r="AE169" s="2453">
        <f>'HVAC Deemed Table'!BD793</f>
        <v>514.13666718387481</v>
      </c>
      <c r="AF169" s="2453">
        <f>'HVAC Deemed Table'!BD794</f>
        <v>647.92388898760237</v>
      </c>
      <c r="AG169" s="2453">
        <f>'HVAC Deemed Table'!BD795</f>
        <v>428.88785446639582</v>
      </c>
      <c r="AH169" s="2453">
        <f>'HVAC Deemed Table'!BD796</f>
        <v>1151.7813003286813</v>
      </c>
      <c r="AI169" s="3624" t="str">
        <f t="shared" si="115"/>
        <v>per measure</v>
      </c>
      <c r="AJ169" s="126">
        <f>'HVAC Deemed Table'!L793</f>
        <v>1.569767441860465</v>
      </c>
      <c r="AK169" s="1805"/>
      <c r="AL169" s="1805"/>
      <c r="AM169" s="1972">
        <f t="shared" si="132"/>
        <v>9.4741810000000004E-4</v>
      </c>
      <c r="AN169" s="100">
        <f>AM169*K169</f>
        <v>0.83768813565799993</v>
      </c>
      <c r="AO169" s="1971">
        <f t="shared" si="93"/>
        <v>1.3565799994452732E-7</v>
      </c>
    </row>
    <row r="170" spans="1:41" x14ac:dyDescent="0.25">
      <c r="A170" s="103" t="str">
        <f t="shared" si="124"/>
        <v>351450</v>
      </c>
      <c r="B170" s="1960" t="str">
        <f>'HVAC Deemed Table'!C797</f>
        <v>351450_2021_12_</v>
      </c>
      <c r="C170" s="1962" t="str">
        <f>'HVAC Deemed Table'!G797</f>
        <v>Cooling RES</v>
      </c>
      <c r="D170" s="1962" t="str">
        <f>'HVAC Deemed Table'!G798</f>
        <v>Heating RES</v>
      </c>
      <c r="E170" s="1962"/>
      <c r="F170" s="1962"/>
      <c r="G170" s="1962" t="str">
        <f>'HVAC Deemed Table'!E797</f>
        <v>Mini/MultiSplitASHP-Replace_CAC_ElectricHeat_ROF_SF</v>
      </c>
      <c r="H170" s="63" t="str">
        <f>'HVAC Deemed Table'!D797</f>
        <v>SF</v>
      </c>
      <c r="I170" s="2438">
        <f t="shared" si="133"/>
        <v>4705.87</v>
      </c>
      <c r="J170" s="2438">
        <f t="shared" si="134"/>
        <v>0</v>
      </c>
      <c r="K170" s="2439">
        <f>'HVAC Deemed Table'!F797</f>
        <v>346.51</v>
      </c>
      <c r="L170" s="2439">
        <f>'HVAC Deemed Table'!F798</f>
        <v>4359.3599999999997</v>
      </c>
      <c r="M170" s="2439"/>
      <c r="N170" s="2439"/>
      <c r="O170" s="2440">
        <f t="shared" si="135"/>
        <v>0.32829000000000003</v>
      </c>
      <c r="P170" s="2440">
        <f t="shared" si="136"/>
        <v>0</v>
      </c>
      <c r="Q170" s="2441">
        <f>'HVAC Deemed Table'!I797</f>
        <v>0.32829000000000003</v>
      </c>
      <c r="R170" s="2441">
        <f>'HVAC Deemed Table'!I798</f>
        <v>0</v>
      </c>
      <c r="S170" s="2441"/>
      <c r="T170" s="2441"/>
      <c r="U170" s="1819"/>
      <c r="V170" s="1819"/>
      <c r="W170" s="1819">
        <f>O170</f>
        <v>0.32829000000000003</v>
      </c>
      <c r="X170" s="68">
        <f>'HVAC Deemed Table'!J797</f>
        <v>18</v>
      </c>
      <c r="Y170" s="68"/>
      <c r="Z170" s="68">
        <f t="shared" si="116"/>
        <v>18</v>
      </c>
      <c r="AA170" s="3616">
        <f>'HVAC Deemed Table'!BB797</f>
        <v>8.2316931852257706</v>
      </c>
      <c r="AB170" s="2620">
        <f>'HVAC Deemed Table'!K797</f>
        <v>337.89830508474574</v>
      </c>
      <c r="AC170" s="3618">
        <f t="shared" si="117"/>
        <v>2625.2715198352425</v>
      </c>
      <c r="AD170" s="3618">
        <f t="shared" si="118"/>
        <v>0</v>
      </c>
      <c r="AE170" s="2453">
        <f>'HVAC Deemed Table'!BD797</f>
        <v>611.17699790826009</v>
      </c>
      <c r="AF170" s="2453">
        <f>'HVAC Deemed Table'!BD798</f>
        <v>2014.0945219269827</v>
      </c>
      <c r="AG170" s="2453"/>
      <c r="AH170" s="2453"/>
      <c r="AI170" s="3624" t="str">
        <f t="shared" si="115"/>
        <v>per measure</v>
      </c>
      <c r="AJ170" s="126">
        <f>'HVAC Deemed Table'!L797</f>
        <v>1.7307692307692308</v>
      </c>
      <c r="AK170" s="1805"/>
      <c r="AL170" s="1805"/>
      <c r="AM170" s="1972">
        <f t="shared" si="132"/>
        <v>9.4741810000000004E-4</v>
      </c>
      <c r="AN170" s="100">
        <f>AM170*K170</f>
        <v>0.32828984583100002</v>
      </c>
      <c r="AO170" s="1971">
        <f t="shared" si="93"/>
        <v>-1.5416900001063993E-7</v>
      </c>
    </row>
    <row r="171" spans="1:41" x14ac:dyDescent="0.25">
      <c r="A171" s="103" t="str">
        <f t="shared" si="124"/>
        <v>351500</v>
      </c>
      <c r="B171" s="1960" t="str">
        <f>'HVAC Deemed Table'!C799</f>
        <v>351500_2021_12_</v>
      </c>
      <c r="C171" s="1962" t="str">
        <f>'HVAC Deemed Table'!G799</f>
        <v>Cooling RES</v>
      </c>
      <c r="D171" s="1962" t="str">
        <f>'HVAC Deemed Table'!G800</f>
        <v>Heating RES</v>
      </c>
      <c r="E171" s="1962" t="str">
        <f>'HVAC Deemed Table'!G801</f>
        <v>Cooling RES ER2</v>
      </c>
      <c r="F171" s="1962" t="str">
        <f>'HVAC Deemed Table'!G802</f>
        <v>Heating RES ER2</v>
      </c>
      <c r="G171" s="1962" t="str">
        <f>'HVAC Deemed Table'!E799</f>
        <v>Mini/MultiSplitASHP_ER1_SF</v>
      </c>
      <c r="H171" s="63" t="str">
        <f>'HVAC Deemed Table'!D799</f>
        <v>SF</v>
      </c>
      <c r="I171" s="2438">
        <f t="shared" si="133"/>
        <v>2535.54</v>
      </c>
      <c r="J171" s="2438">
        <f t="shared" si="134"/>
        <v>1460.79</v>
      </c>
      <c r="K171" s="2439">
        <f>'HVAC Deemed Table'!F799</f>
        <v>843.09</v>
      </c>
      <c r="L171" s="2439">
        <f>'HVAC Deemed Table'!F800</f>
        <v>1692.45</v>
      </c>
      <c r="M171" s="2439">
        <f>'HVAC Deemed Table'!F801</f>
        <v>352.11</v>
      </c>
      <c r="N171" s="2439">
        <f>'HVAC Deemed Table'!F802</f>
        <v>1108.68</v>
      </c>
      <c r="O171" s="2440">
        <f t="shared" si="135"/>
        <v>0.798759</v>
      </c>
      <c r="P171" s="2440">
        <f t="shared" si="136"/>
        <v>0.33359499999999997</v>
      </c>
      <c r="Q171" s="2441">
        <f>'HVAC Deemed Table'!I799</f>
        <v>0.798759</v>
      </c>
      <c r="R171" s="2441">
        <f>'HVAC Deemed Table'!I800</f>
        <v>0</v>
      </c>
      <c r="S171" s="2441">
        <f>'HVAC Deemed Table'!I801</f>
        <v>0.33359499999999997</v>
      </c>
      <c r="T171" s="2441">
        <f>'HVAC Deemed Table'!I802</f>
        <v>0</v>
      </c>
      <c r="U171" s="1819"/>
      <c r="V171" s="1819"/>
      <c r="W171" s="1821">
        <f>P171</f>
        <v>0.33359499999999997</v>
      </c>
      <c r="X171" s="68">
        <f>'HVAC Deemed Table'!J799</f>
        <v>6</v>
      </c>
      <c r="Y171" s="68">
        <f>'HVAC Deemed Table'!J801</f>
        <v>12</v>
      </c>
      <c r="Z171" s="68">
        <f t="shared" si="116"/>
        <v>18</v>
      </c>
      <c r="AA171" s="3616">
        <f>'HVAC Deemed Table'!BB799</f>
        <v>2.2998869785070375</v>
      </c>
      <c r="AB171" s="2620">
        <f>'HVAC Deemed Table'!K799</f>
        <v>698.32770489042764</v>
      </c>
      <c r="AC171" s="3618">
        <f t="shared" si="117"/>
        <v>771.75462214354206</v>
      </c>
      <c r="AD171" s="3618">
        <f t="shared" si="118"/>
        <v>744.12531670327212</v>
      </c>
      <c r="AE171" s="2453">
        <f>'HVAC Deemed Table'!BD799</f>
        <v>490.24348292887538</v>
      </c>
      <c r="AF171" s="2453">
        <f>'HVAC Deemed Table'!BD800</f>
        <v>281.51113921466668</v>
      </c>
      <c r="AG171" s="2453">
        <f>'HVAC Deemed Table'!BD801</f>
        <v>416.30793228439046</v>
      </c>
      <c r="AH171" s="2453">
        <f>'HVAC Deemed Table'!BD802</f>
        <v>327.81738441888172</v>
      </c>
      <c r="AI171" s="3624" t="str">
        <f t="shared" si="115"/>
        <v>per measure</v>
      </c>
      <c r="AJ171" s="126">
        <f>'HVAC Deemed Table'!L799</f>
        <v>1.4772727272727273</v>
      </c>
      <c r="AK171" s="1805"/>
      <c r="AL171" s="1805"/>
      <c r="AM171" s="1972">
        <f t="shared" si="132"/>
        <v>9.4741810000000004E-4</v>
      </c>
      <c r="AN171" s="100">
        <f>AM171*K171</f>
        <v>0.7987587259290001</v>
      </c>
      <c r="AO171" s="1971">
        <f t="shared" si="93"/>
        <v>-2.7407099989495975E-7</v>
      </c>
    </row>
    <row r="172" spans="1:41" x14ac:dyDescent="0.25">
      <c r="A172" s="103" t="str">
        <f t="shared" si="124"/>
        <v>351550</v>
      </c>
      <c r="B172" s="1960" t="str">
        <f>'HVAC Deemed Table'!C803</f>
        <v>351550_2021_12_</v>
      </c>
      <c r="C172" s="1962" t="str">
        <f>'HVAC Deemed Table'!G803</f>
        <v>Cooling RES</v>
      </c>
      <c r="D172" s="1962" t="str">
        <f>'HVAC Deemed Table'!G804</f>
        <v>Cooling RES ER2</v>
      </c>
      <c r="E172" s="1962"/>
      <c r="F172" s="1962"/>
      <c r="G172" s="1962" t="str">
        <f>'HVAC Deemed Table'!E803</f>
        <v>Mini/MultiSplitAC_ER1_MF</v>
      </c>
      <c r="H172" s="63" t="str">
        <f>'HVAC Deemed Table'!D803</f>
        <v>MF</v>
      </c>
      <c r="I172" s="2438">
        <f t="shared" si="133"/>
        <v>696.9</v>
      </c>
      <c r="J172" s="2438">
        <f t="shared" si="134"/>
        <v>269.27</v>
      </c>
      <c r="K172" s="2439">
        <f>'HVAC Deemed Table'!F803</f>
        <v>696.9</v>
      </c>
      <c r="L172" s="2439"/>
      <c r="M172" s="2439">
        <f>'HVAC Deemed Table'!F804</f>
        <v>269.27</v>
      </c>
      <c r="N172" s="2439"/>
      <c r="O172" s="2440">
        <f t="shared" si="135"/>
        <v>0.66025599999999995</v>
      </c>
      <c r="P172" s="2440">
        <f t="shared" si="136"/>
        <v>0.25511099999999998</v>
      </c>
      <c r="Q172" s="2441">
        <f>'HVAC Deemed Table'!I803</f>
        <v>0.66025599999999995</v>
      </c>
      <c r="R172" s="2441"/>
      <c r="S172" s="2441">
        <f>'HVAC Deemed Table'!I804</f>
        <v>0.25511099999999998</v>
      </c>
      <c r="T172" s="2441"/>
      <c r="U172" s="1819"/>
      <c r="V172" s="1819"/>
      <c r="W172" s="1821">
        <f>P172</f>
        <v>0.25511099999999998</v>
      </c>
      <c r="X172" s="68">
        <f>'HVAC Deemed Table'!J803</f>
        <v>6</v>
      </c>
      <c r="Y172" s="68">
        <f>'HVAC Deemed Table'!J804</f>
        <v>12</v>
      </c>
      <c r="Z172" s="68">
        <f t="shared" si="116"/>
        <v>18</v>
      </c>
      <c r="AA172" s="3616">
        <f>'HVAC Deemed Table'!BB803</f>
        <v>0.67630371295066838</v>
      </c>
      <c r="AB172" s="2620">
        <f>'HVAC Deemed Table'!K803</f>
        <v>1133.5954314013989</v>
      </c>
      <c r="AC172" s="3618">
        <f t="shared" si="117"/>
        <v>405.23631314940661</v>
      </c>
      <c r="AD172" s="3618">
        <f t="shared" si="118"/>
        <v>318.3642524387771</v>
      </c>
      <c r="AE172" s="2453">
        <f>'HVAC Deemed Table'!BD803</f>
        <v>405.23631314940661</v>
      </c>
      <c r="AF172" s="2453"/>
      <c r="AG172" s="2453">
        <f>'HVAC Deemed Table'!BD804</f>
        <v>318.3642524387771</v>
      </c>
      <c r="AH172" s="2453"/>
      <c r="AI172" s="3624" t="str">
        <f t="shared" si="115"/>
        <v>per measure</v>
      </c>
      <c r="AJ172" s="126">
        <f>'HVAC Deemed Table'!L803</f>
        <v>1.3333333333333333</v>
      </c>
      <c r="AK172" s="1805"/>
      <c r="AL172" s="1805"/>
      <c r="AM172" s="1972">
        <f t="shared" si="132"/>
        <v>9.4741810000000004E-4</v>
      </c>
      <c r="AN172" s="1930">
        <f>AM172*I172</f>
        <v>0.66025567388999995</v>
      </c>
      <c r="AO172" s="1971">
        <f t="shared" si="93"/>
        <v>-3.2611000000404289E-7</v>
      </c>
    </row>
    <row r="173" spans="1:41" x14ac:dyDescent="0.25">
      <c r="A173" s="103" t="str">
        <f t="shared" si="124"/>
        <v>351551</v>
      </c>
      <c r="B173" s="1960" t="str">
        <f>'HVAC Deemed Table'!C805</f>
        <v>351551_2021_12_</v>
      </c>
      <c r="C173" s="1962" t="str">
        <f>'HVAC Deemed Table'!G805</f>
        <v>Cooling RES</v>
      </c>
      <c r="D173" s="1962" t="str">
        <f>'HVAC Deemed Table'!G806</f>
        <v>Cooling RES ER2</v>
      </c>
      <c r="E173" s="1962"/>
      <c r="F173" s="1962"/>
      <c r="G173" s="1962" t="str">
        <f>'HVAC Deemed Table'!E805</f>
        <v>Mini/MultiSplitAC_ER1_MF_CompE</v>
      </c>
      <c r="H173" s="63" t="str">
        <f>'HVAC Deemed Table'!D805</f>
        <v>MFc</v>
      </c>
      <c r="I173" s="2438">
        <f t="shared" si="133"/>
        <v>457.65</v>
      </c>
      <c r="J173" s="2438">
        <f t="shared" si="134"/>
        <v>176.83</v>
      </c>
      <c r="K173" s="2439">
        <f>'HVAC Deemed Table'!F805</f>
        <v>457.65</v>
      </c>
      <c r="L173" s="2439"/>
      <c r="M173" s="2439">
        <f>'HVAC Deemed Table'!F806</f>
        <v>176.83</v>
      </c>
      <c r="N173" s="2439"/>
      <c r="O173" s="2440">
        <f t="shared" si="135"/>
        <v>0.43358600000000003</v>
      </c>
      <c r="P173" s="2440">
        <f t="shared" si="136"/>
        <v>0.16753199999999999</v>
      </c>
      <c r="Q173" s="2441">
        <f>'HVAC Deemed Table'!I805</f>
        <v>0.43358600000000003</v>
      </c>
      <c r="R173" s="2441"/>
      <c r="S173" s="2441">
        <f>'HVAC Deemed Table'!I806</f>
        <v>0.16753199999999999</v>
      </c>
      <c r="T173" s="2441"/>
      <c r="U173" s="1819"/>
      <c r="V173" s="1819"/>
      <c r="W173" s="1821">
        <f>P173</f>
        <v>0.16753199999999999</v>
      </c>
      <c r="X173" s="68">
        <f>'HVAC Deemed Table'!J805</f>
        <v>6</v>
      </c>
      <c r="Y173" s="68">
        <f>'HVAC Deemed Table'!J806</f>
        <v>12</v>
      </c>
      <c r="Z173" s="68">
        <f t="shared" si="116"/>
        <v>18</v>
      </c>
      <c r="AA173" s="3616">
        <f>'HVAC Deemed Table'!BB805</f>
        <v>0.44412678146097029</v>
      </c>
      <c r="AB173" s="2620">
        <f>'HVAC Deemed Table'!K805</f>
        <v>1133.5954314013989</v>
      </c>
      <c r="AC173" s="3618">
        <f t="shared" si="117"/>
        <v>266.11622716720609</v>
      </c>
      <c r="AD173" s="3618">
        <f t="shared" si="118"/>
        <v>209.07026686503869</v>
      </c>
      <c r="AE173" s="2453">
        <f>'HVAC Deemed Table'!BD805</f>
        <v>266.11622716720609</v>
      </c>
      <c r="AF173" s="2453"/>
      <c r="AG173" s="2453">
        <f>'HVAC Deemed Table'!BD806</f>
        <v>209.07026686503869</v>
      </c>
      <c r="AH173" s="2453"/>
      <c r="AI173" s="3624" t="str">
        <f t="shared" si="115"/>
        <v>per measure</v>
      </c>
      <c r="AJ173" s="126">
        <f>'HVAC Deemed Table'!L805</f>
        <v>1.3333333333333333</v>
      </c>
      <c r="AK173" s="1805"/>
      <c r="AL173" s="1805"/>
      <c r="AM173" s="1972">
        <f t="shared" si="132"/>
        <v>9.4741810000000004E-4</v>
      </c>
      <c r="AN173" s="1930">
        <f>AM173*I173</f>
        <v>0.43358589346499998</v>
      </c>
      <c r="AO173" s="1971">
        <f t="shared" si="93"/>
        <v>-1.0653500004398353E-7</v>
      </c>
    </row>
    <row r="174" spans="1:41" x14ac:dyDescent="0.25">
      <c r="A174" s="103" t="str">
        <f t="shared" si="124"/>
        <v>351600</v>
      </c>
      <c r="B174" s="1960" t="str">
        <f>'HVAC Deemed Table'!C807</f>
        <v>351600_2021_12_</v>
      </c>
      <c r="C174" s="1962" t="str">
        <f>'HVAC Deemed Table'!G807</f>
        <v>Cooling RES</v>
      </c>
      <c r="D174" s="1962"/>
      <c r="E174" s="1962"/>
      <c r="F174" s="1962"/>
      <c r="G174" s="1962" t="str">
        <f>'HVAC Deemed Table'!E807</f>
        <v>Mini/MultiSplitAC_ROF_MF</v>
      </c>
      <c r="H174" s="63" t="str">
        <f>'HVAC Deemed Table'!D807</f>
        <v>MF</v>
      </c>
      <c r="I174" s="2438">
        <f t="shared" si="133"/>
        <v>329.12</v>
      </c>
      <c r="J174" s="2438">
        <f t="shared" si="134"/>
        <v>0</v>
      </c>
      <c r="K174" s="2439">
        <f>'HVAC Deemed Table'!F807</f>
        <v>329.12</v>
      </c>
      <c r="L174" s="2439"/>
      <c r="M174" s="2439"/>
      <c r="N174" s="2439"/>
      <c r="O174" s="2440">
        <f t="shared" si="135"/>
        <v>0.31181399999999998</v>
      </c>
      <c r="P174" s="2440">
        <f t="shared" si="136"/>
        <v>0</v>
      </c>
      <c r="Q174" s="2441">
        <f>'HVAC Deemed Table'!I807</f>
        <v>0.31181399999999998</v>
      </c>
      <c r="R174" s="2441"/>
      <c r="S174" s="2441"/>
      <c r="T174" s="2441"/>
      <c r="U174" s="1819"/>
      <c r="V174" s="1819"/>
      <c r="W174" s="1819">
        <f t="shared" ref="W174:W179" si="137">O174</f>
        <v>0.31181399999999998</v>
      </c>
      <c r="X174" s="68">
        <f>'HVAC Deemed Table'!J807</f>
        <v>18</v>
      </c>
      <c r="Y174" s="68"/>
      <c r="Z174" s="68">
        <f t="shared" si="116"/>
        <v>18</v>
      </c>
      <c r="AA174" s="3616">
        <f>'HVAC Deemed Table'!BB807</f>
        <v>1.8202056178332329</v>
      </c>
      <c r="AB174" s="2620">
        <f>'HVAC Deemed Table'!K807</f>
        <v>337.89830508474574</v>
      </c>
      <c r="AC174" s="3618">
        <f t="shared" si="117"/>
        <v>580.50438241772702</v>
      </c>
      <c r="AD174" s="3618">
        <f t="shared" si="118"/>
        <v>0</v>
      </c>
      <c r="AE174" s="2453">
        <f>'HVAC Deemed Table'!BD807</f>
        <v>580.50438241772702</v>
      </c>
      <c r="AF174" s="2453"/>
      <c r="AG174" s="2453"/>
      <c r="AH174" s="2453"/>
      <c r="AI174" s="3624" t="str">
        <f t="shared" ref="AI174:AI260" si="138">AI173</f>
        <v>per measure</v>
      </c>
      <c r="AJ174" s="126">
        <f>'HVAC Deemed Table'!L807</f>
        <v>1.4</v>
      </c>
      <c r="AK174" s="1805"/>
      <c r="AL174" s="1805"/>
      <c r="AM174" s="1972">
        <f t="shared" si="132"/>
        <v>9.4741810000000004E-4</v>
      </c>
      <c r="AN174" s="1930">
        <f>AM174*I174</f>
        <v>0.31181424507200001</v>
      </c>
      <c r="AO174" s="1971">
        <f t="shared" si="93"/>
        <v>2.4507200002688023E-7</v>
      </c>
    </row>
    <row r="175" spans="1:41" x14ac:dyDescent="0.25">
      <c r="A175" s="103" t="str">
        <f t="shared" si="124"/>
        <v>351601</v>
      </c>
      <c r="B175" s="1960" t="str">
        <f>'HVAC Deemed Table'!C808</f>
        <v>351601_2021_12_</v>
      </c>
      <c r="C175" s="1962" t="str">
        <f>'HVAC Deemed Table'!G808</f>
        <v>Cooling RES</v>
      </c>
      <c r="D175" s="1962"/>
      <c r="E175" s="1962"/>
      <c r="F175" s="1962"/>
      <c r="G175" s="1962" t="str">
        <f>'HVAC Deemed Table'!E808</f>
        <v>Mini/MultiSplitAC_ROF_MF_CompE</v>
      </c>
      <c r="H175" s="63" t="str">
        <f>'HVAC Deemed Table'!D808</f>
        <v>MFc</v>
      </c>
      <c r="I175" s="2438">
        <f t="shared" si="133"/>
        <v>789.24</v>
      </c>
      <c r="J175" s="2438">
        <f t="shared" si="134"/>
        <v>0</v>
      </c>
      <c r="K175" s="2439">
        <f>'HVAC Deemed Table'!F808</f>
        <v>789.24</v>
      </c>
      <c r="L175" s="2439"/>
      <c r="M175" s="2439"/>
      <c r="N175" s="2439"/>
      <c r="O175" s="2440">
        <f t="shared" si="135"/>
        <v>0.74773999999999996</v>
      </c>
      <c r="P175" s="2440">
        <f t="shared" si="136"/>
        <v>0</v>
      </c>
      <c r="Q175" s="2441">
        <f>'HVAC Deemed Table'!I808</f>
        <v>0.74773999999999996</v>
      </c>
      <c r="R175" s="2441"/>
      <c r="S175" s="2441"/>
      <c r="T175" s="2441"/>
      <c r="U175" s="1819"/>
      <c r="V175" s="1819"/>
      <c r="W175" s="1819">
        <f t="shared" si="137"/>
        <v>0.74773999999999996</v>
      </c>
      <c r="X175" s="68">
        <f>'HVAC Deemed Table'!J808</f>
        <v>18</v>
      </c>
      <c r="Y175" s="68"/>
      <c r="Z175" s="68">
        <f t="shared" si="116"/>
        <v>18</v>
      </c>
      <c r="AA175" s="3616">
        <f>'HVAC Deemed Table'!BB808</f>
        <v>4.3649097041161298</v>
      </c>
      <c r="AB175" s="2620">
        <f>'HVAC Deemed Table'!K808</f>
        <v>337.89830508474574</v>
      </c>
      <c r="AC175" s="3618">
        <f t="shared" si="117"/>
        <v>1392.0675704283144</v>
      </c>
      <c r="AD175" s="3618">
        <f t="shared" si="118"/>
        <v>0</v>
      </c>
      <c r="AE175" s="2453">
        <f>'HVAC Deemed Table'!BD808</f>
        <v>1392.0675704283144</v>
      </c>
      <c r="AF175" s="2453"/>
      <c r="AG175" s="2453"/>
      <c r="AH175" s="2453"/>
      <c r="AI175" s="3624" t="str">
        <f t="shared" si="138"/>
        <v>per measure</v>
      </c>
      <c r="AJ175" s="126">
        <f>'HVAC Deemed Table'!L808</f>
        <v>1.4</v>
      </c>
      <c r="AK175" s="1805"/>
      <c r="AL175" s="1805"/>
      <c r="AM175" s="1972">
        <f t="shared" si="132"/>
        <v>9.4741810000000004E-4</v>
      </c>
      <c r="AN175" s="1930">
        <f>AM175*I175</f>
        <v>0.74774026124400006</v>
      </c>
      <c r="AO175" s="1971">
        <f t="shared" si="93"/>
        <v>2.6124400009930326E-7</v>
      </c>
    </row>
    <row r="176" spans="1:41" x14ac:dyDescent="0.25">
      <c r="A176" s="103" t="str">
        <f t="shared" si="124"/>
        <v>351650</v>
      </c>
      <c r="B176" s="1960" t="str">
        <f>'HVAC Deemed Table'!C809</f>
        <v>351650_2021_12_</v>
      </c>
      <c r="C176" s="1962" t="str">
        <f>'HVAC Deemed Table'!G809</f>
        <v>Cooling RES</v>
      </c>
      <c r="D176" s="1962" t="str">
        <f>'HVAC Deemed Table'!G810</f>
        <v>Heating RES</v>
      </c>
      <c r="E176" s="1962"/>
      <c r="F176" s="1962"/>
      <c r="G176" s="1962" t="str">
        <f>'HVAC Deemed Table'!E809</f>
        <v>Mini/MultiSplitASHP_ROF_MF_NC</v>
      </c>
      <c r="H176" s="63" t="str">
        <f>'HVAC Deemed Table'!D809</f>
        <v>MF</v>
      </c>
      <c r="I176" s="2438">
        <f t="shared" si="133"/>
        <v>938.33</v>
      </c>
      <c r="J176" s="2438">
        <f t="shared" si="134"/>
        <v>0</v>
      </c>
      <c r="K176" s="2439">
        <f>'HVAC Deemed Table'!F809</f>
        <v>305.98</v>
      </c>
      <c r="L176" s="2439">
        <f>'HVAC Deemed Table'!F810</f>
        <v>632.35</v>
      </c>
      <c r="M176" s="2439"/>
      <c r="N176" s="2439"/>
      <c r="O176" s="2440">
        <f t="shared" si="135"/>
        <v>0.28989100000000001</v>
      </c>
      <c r="P176" s="2440">
        <f t="shared" si="136"/>
        <v>0</v>
      </c>
      <c r="Q176" s="2441">
        <f>'HVAC Deemed Table'!I809</f>
        <v>0.28989100000000001</v>
      </c>
      <c r="R176" s="2441">
        <f>'HVAC Deemed Table'!I810</f>
        <v>0</v>
      </c>
      <c r="S176" s="2441"/>
      <c r="T176" s="2441"/>
      <c r="U176" s="1819"/>
      <c r="V176" s="1819"/>
      <c r="W176" s="1819">
        <f t="shared" si="137"/>
        <v>0.28989100000000001</v>
      </c>
      <c r="X176" s="68">
        <f>'HVAC Deemed Table'!J809</f>
        <v>18</v>
      </c>
      <c r="Y176" s="68"/>
      <c r="Z176" s="68">
        <f t="shared" si="116"/>
        <v>18</v>
      </c>
      <c r="AA176" s="3616">
        <f>'HVAC Deemed Table'!BB809</f>
        <v>2.6083012705187127</v>
      </c>
      <c r="AB176" s="2620">
        <f>'HVAC Deemed Table'!K809</f>
        <v>337.89830508474574</v>
      </c>
      <c r="AC176" s="3618">
        <f t="shared" si="117"/>
        <v>831.84575597797243</v>
      </c>
      <c r="AD176" s="3618">
        <f t="shared" si="118"/>
        <v>0</v>
      </c>
      <c r="AE176" s="2453">
        <f>'HVAC Deemed Table'!BD809</f>
        <v>539.68987278857594</v>
      </c>
      <c r="AF176" s="2453">
        <f>'HVAC Deemed Table'!BD810</f>
        <v>292.15588318939655</v>
      </c>
      <c r="AG176" s="2453"/>
      <c r="AH176" s="2453"/>
      <c r="AI176" s="3624" t="str">
        <f t="shared" si="138"/>
        <v>per measure</v>
      </c>
      <c r="AJ176" s="126">
        <f>'HVAC Deemed Table'!L809</f>
        <v>1.5084745762711864</v>
      </c>
      <c r="AK176" s="1805"/>
      <c r="AL176" s="1805"/>
      <c r="AM176" s="1972">
        <f t="shared" si="132"/>
        <v>9.4741810000000004E-4</v>
      </c>
      <c r="AN176" s="100">
        <f t="shared" ref="AN176:AN210" si="139">AM176*K176</f>
        <v>0.28989099023800002</v>
      </c>
      <c r="AO176" s="1971">
        <f t="shared" si="93"/>
        <v>-9.7619999861464635E-9</v>
      </c>
    </row>
    <row r="177" spans="1:41" x14ac:dyDescent="0.25">
      <c r="A177" s="103" t="str">
        <f t="shared" si="124"/>
        <v>351651</v>
      </c>
      <c r="B177" s="1960" t="str">
        <f>'HVAC Deemed Table'!C811</f>
        <v>351651_2021_12_</v>
      </c>
      <c r="C177" s="1962" t="str">
        <f>'HVAC Deemed Table'!G811</f>
        <v>Cooling RES</v>
      </c>
      <c r="D177" s="1962" t="str">
        <f>'HVAC Deemed Table'!G812</f>
        <v>Heating RES</v>
      </c>
      <c r="E177" s="1962"/>
      <c r="F177" s="1962"/>
      <c r="G177" s="1962" t="str">
        <f>'HVAC Deemed Table'!E811</f>
        <v>Mini/MultiSplitASHP_ROF_MF_NC_CompE</v>
      </c>
      <c r="H177" s="63" t="str">
        <f>'HVAC Deemed Table'!D811</f>
        <v>MFc</v>
      </c>
      <c r="I177" s="2438">
        <f t="shared" si="133"/>
        <v>441.28</v>
      </c>
      <c r="J177" s="2438">
        <f t="shared" si="134"/>
        <v>0</v>
      </c>
      <c r="K177" s="2439">
        <f>'HVAC Deemed Table'!F811</f>
        <v>200.94</v>
      </c>
      <c r="L177" s="2439">
        <f>'HVAC Deemed Table'!F812</f>
        <v>240.34</v>
      </c>
      <c r="M177" s="2439"/>
      <c r="N177" s="2439"/>
      <c r="O177" s="2440">
        <f t="shared" si="135"/>
        <v>0.19037399999999999</v>
      </c>
      <c r="P177" s="2440">
        <f t="shared" si="136"/>
        <v>0</v>
      </c>
      <c r="Q177" s="2441">
        <f>'HVAC Deemed Table'!I811</f>
        <v>0.19037399999999999</v>
      </c>
      <c r="R177" s="2441">
        <f>'HVAC Deemed Table'!I812</f>
        <v>0</v>
      </c>
      <c r="S177" s="2441"/>
      <c r="T177" s="2441"/>
      <c r="U177" s="1819"/>
      <c r="V177" s="1819"/>
      <c r="W177" s="1819">
        <f t="shared" si="137"/>
        <v>0.19037399999999999</v>
      </c>
      <c r="X177" s="68">
        <f>'HVAC Deemed Table'!J811</f>
        <v>18</v>
      </c>
      <c r="Y177" s="68"/>
      <c r="Z177" s="68">
        <f t="shared" si="116"/>
        <v>18</v>
      </c>
      <c r="AA177" s="3616">
        <f>'HVAC Deemed Table'!BB811</f>
        <v>1.459478651054998</v>
      </c>
      <c r="AB177" s="2620">
        <f>'HVAC Deemed Table'!K811</f>
        <v>337.89830508474574</v>
      </c>
      <c r="AC177" s="3618">
        <f t="shared" si="117"/>
        <v>465.46046484082569</v>
      </c>
      <c r="AD177" s="3618">
        <f t="shared" si="118"/>
        <v>0</v>
      </c>
      <c r="AE177" s="2453">
        <f>'HVAC Deemed Table'!BD811</f>
        <v>354.41951447197999</v>
      </c>
      <c r="AF177" s="2453">
        <f>'HVAC Deemed Table'!BD812</f>
        <v>111.04095036884567</v>
      </c>
      <c r="AG177" s="2453"/>
      <c r="AH177" s="2453"/>
      <c r="AI177" s="3624" t="str">
        <f t="shared" si="138"/>
        <v>per measure</v>
      </c>
      <c r="AJ177" s="126">
        <f>'HVAC Deemed Table'!L811</f>
        <v>1.5084745762711864</v>
      </c>
      <c r="AK177" s="1805"/>
      <c r="AL177" s="1805"/>
      <c r="AM177" s="1972">
        <f t="shared" si="132"/>
        <v>9.4741810000000004E-4</v>
      </c>
      <c r="AN177" s="100">
        <f t="shared" si="139"/>
        <v>0.19037419301399999</v>
      </c>
      <c r="AO177" s="1971">
        <f t="shared" si="93"/>
        <v>1.9301400000504287E-7</v>
      </c>
    </row>
    <row r="178" spans="1:41" x14ac:dyDescent="0.25">
      <c r="A178" s="103" t="str">
        <f t="shared" si="124"/>
        <v>351700</v>
      </c>
      <c r="B178" s="1960" t="str">
        <f>'HVAC Deemed Table'!C813</f>
        <v>351700_2021_12_</v>
      </c>
      <c r="C178" s="1962" t="str">
        <f>'HVAC Deemed Table'!G813</f>
        <v>Cooling RES</v>
      </c>
      <c r="D178" s="1962" t="str">
        <f>'HVAC Deemed Table'!G814</f>
        <v>Heating RES</v>
      </c>
      <c r="E178" s="1962"/>
      <c r="F178" s="1962"/>
      <c r="G178" s="1962" t="str">
        <f>'HVAC Deemed Table'!E813</f>
        <v>Mini/MultiSplitASHP_ROF_MF</v>
      </c>
      <c r="H178" s="63" t="str">
        <f>'HVAC Deemed Table'!D813</f>
        <v>MF</v>
      </c>
      <c r="I178" s="2438">
        <f t="shared" si="133"/>
        <v>935.42000000000007</v>
      </c>
      <c r="J178" s="2438">
        <f t="shared" si="134"/>
        <v>0</v>
      </c>
      <c r="K178" s="2439">
        <f>'HVAC Deemed Table'!F813</f>
        <v>296.29000000000002</v>
      </c>
      <c r="L178" s="2439">
        <f>'HVAC Deemed Table'!F814</f>
        <v>639.13</v>
      </c>
      <c r="M178" s="2439"/>
      <c r="N178" s="2439"/>
      <c r="O178" s="2440">
        <f t="shared" si="135"/>
        <v>0.28071099999999999</v>
      </c>
      <c r="P178" s="2440">
        <f t="shared" si="136"/>
        <v>0</v>
      </c>
      <c r="Q178" s="2441">
        <f>'HVAC Deemed Table'!I813</f>
        <v>0.28071099999999999</v>
      </c>
      <c r="R178" s="2441">
        <f>'HVAC Deemed Table'!I814</f>
        <v>0</v>
      </c>
      <c r="S178" s="2441"/>
      <c r="T178" s="2441"/>
      <c r="U178" s="1819"/>
      <c r="V178" s="1819"/>
      <c r="W178" s="1819">
        <f t="shared" si="137"/>
        <v>0.28071099999999999</v>
      </c>
      <c r="X178" s="68">
        <f>'HVAC Deemed Table'!J813</f>
        <v>18</v>
      </c>
      <c r="Y178" s="68"/>
      <c r="Z178" s="68">
        <f t="shared" si="116"/>
        <v>18</v>
      </c>
      <c r="AA178" s="3616">
        <f>'HVAC Deemed Table'!BB813</f>
        <v>2.5645325472201184</v>
      </c>
      <c r="AB178" s="2620">
        <f>'HVAC Deemed Table'!K813</f>
        <v>337.89830508474574</v>
      </c>
      <c r="AC178" s="3618">
        <f t="shared" si="117"/>
        <v>817.88692877804954</v>
      </c>
      <c r="AD178" s="3618">
        <f t="shared" si="118"/>
        <v>0</v>
      </c>
      <c r="AE178" s="2453">
        <f>'HVAC Deemed Table'!BD813</f>
        <v>522.5985764054094</v>
      </c>
      <c r="AF178" s="2453">
        <f>'HVAC Deemed Table'!BD814</f>
        <v>295.28835237264013</v>
      </c>
      <c r="AG178" s="2453"/>
      <c r="AH178" s="2453"/>
      <c r="AI178" s="3624" t="str">
        <f t="shared" si="138"/>
        <v>per measure</v>
      </c>
      <c r="AJ178" s="126">
        <f>'HVAC Deemed Table'!L813</f>
        <v>1.375</v>
      </c>
      <c r="AK178" s="1805"/>
      <c r="AL178" s="1805"/>
      <c r="AM178" s="1972">
        <f t="shared" si="132"/>
        <v>9.4741810000000004E-4</v>
      </c>
      <c r="AN178" s="100">
        <f t="shared" si="139"/>
        <v>0.28071050884900001</v>
      </c>
      <c r="AO178" s="1971">
        <f t="shared" si="93"/>
        <v>-4.9115099998164879E-7</v>
      </c>
    </row>
    <row r="179" spans="1:41" x14ac:dyDescent="0.25">
      <c r="A179" s="103" t="str">
        <f t="shared" si="124"/>
        <v>351701</v>
      </c>
      <c r="B179" s="1960" t="str">
        <f>'HVAC Deemed Table'!C815</f>
        <v>351701_2021_12_</v>
      </c>
      <c r="C179" s="1962" t="str">
        <f>'HVAC Deemed Table'!G815</f>
        <v>Cooling RES</v>
      </c>
      <c r="D179" s="1962" t="str">
        <f>'HVAC Deemed Table'!G816</f>
        <v>Heating RES</v>
      </c>
      <c r="E179" s="1962"/>
      <c r="F179" s="1962"/>
      <c r="G179" s="1962" t="str">
        <f>'HVAC Deemed Table'!E815</f>
        <v>Mini/MultiSplitASHP_ROF_MF_CompE</v>
      </c>
      <c r="H179" s="63" t="str">
        <f>'HVAC Deemed Table'!D815</f>
        <v>MFc</v>
      </c>
      <c r="I179" s="2438">
        <f t="shared" si="133"/>
        <v>437.49</v>
      </c>
      <c r="J179" s="2438">
        <f t="shared" si="134"/>
        <v>0</v>
      </c>
      <c r="K179" s="2439">
        <f>'HVAC Deemed Table'!F815</f>
        <v>194.57</v>
      </c>
      <c r="L179" s="2439">
        <f>'HVAC Deemed Table'!F816</f>
        <v>242.92</v>
      </c>
      <c r="M179" s="2439"/>
      <c r="N179" s="2439"/>
      <c r="O179" s="2440">
        <f t="shared" si="135"/>
        <v>0.184339</v>
      </c>
      <c r="P179" s="2440">
        <f t="shared" si="136"/>
        <v>0</v>
      </c>
      <c r="Q179" s="2441">
        <f>'HVAC Deemed Table'!I815</f>
        <v>0.184339</v>
      </c>
      <c r="R179" s="2441">
        <f>'HVAC Deemed Table'!I816</f>
        <v>0</v>
      </c>
      <c r="S179" s="2441"/>
      <c r="T179" s="2441"/>
      <c r="U179" s="1819"/>
      <c r="V179" s="1819"/>
      <c r="W179" s="1819">
        <f t="shared" si="137"/>
        <v>0.184339</v>
      </c>
      <c r="X179" s="68">
        <f>'HVAC Deemed Table'!J815</f>
        <v>18</v>
      </c>
      <c r="Y179" s="68"/>
      <c r="Z179" s="68">
        <f t="shared" si="116"/>
        <v>18</v>
      </c>
      <c r="AA179" s="3616">
        <f>'HVAC Deemed Table'!BB815</f>
        <v>1.4279868126393513</v>
      </c>
      <c r="AB179" s="2620">
        <f>'HVAC Deemed Table'!K815</f>
        <v>337.89830508474574</v>
      </c>
      <c r="AC179" s="3618">
        <f t="shared" si="117"/>
        <v>455.41701149051926</v>
      </c>
      <c r="AD179" s="3618">
        <f t="shared" si="118"/>
        <v>0</v>
      </c>
      <c r="AE179" s="2453">
        <f>'HVAC Deemed Table'!BD815</f>
        <v>343.18405957406759</v>
      </c>
      <c r="AF179" s="2453">
        <f>'HVAC Deemed Table'!BD816</f>
        <v>112.23295191645165</v>
      </c>
      <c r="AG179" s="2453"/>
      <c r="AH179" s="2453"/>
      <c r="AI179" s="3624" t="str">
        <f t="shared" si="138"/>
        <v>per measure</v>
      </c>
      <c r="AJ179" s="126">
        <f>'HVAC Deemed Table'!L815</f>
        <v>1.375</v>
      </c>
      <c r="AK179" s="1805"/>
      <c r="AL179" s="1805"/>
      <c r="AM179" s="1972">
        <f t="shared" si="132"/>
        <v>9.4741810000000004E-4</v>
      </c>
      <c r="AN179" s="100">
        <f t="shared" si="139"/>
        <v>0.184339139717</v>
      </c>
      <c r="AO179" s="1971">
        <f t="shared" si="93"/>
        <v>1.3971699999726361E-7</v>
      </c>
    </row>
    <row r="180" spans="1:41" x14ac:dyDescent="0.25">
      <c r="A180" s="103" t="str">
        <f t="shared" si="124"/>
        <v>351750</v>
      </c>
      <c r="B180" s="1960" t="str">
        <f>'HVAC Deemed Table'!C817</f>
        <v>351750_2021_12_</v>
      </c>
      <c r="C180" s="1962" t="str">
        <f>'HVAC Deemed Table'!G817</f>
        <v>Cooling RES</v>
      </c>
      <c r="D180" s="1962" t="str">
        <f>'HVAC Deemed Table'!G818</f>
        <v>Heating RES</v>
      </c>
      <c r="E180" s="1962" t="str">
        <f>'HVAC Deemed Table'!G819</f>
        <v>Cooling RES ER2</v>
      </c>
      <c r="F180" s="1962" t="str">
        <f>'HVAC Deemed Table'!G820</f>
        <v>Heating RES ER2</v>
      </c>
      <c r="G180" s="1962" t="str">
        <f>'HVAC Deemed Table'!E817</f>
        <v>Mini/MultiSplitASHP-Replace_CAC_ElectricHeat_ER1_MF</v>
      </c>
      <c r="H180" s="63" t="str">
        <f>'HVAC Deemed Table'!D817</f>
        <v>MF</v>
      </c>
      <c r="I180" s="2438">
        <f t="shared" si="133"/>
        <v>4779.51</v>
      </c>
      <c r="J180" s="2438">
        <f t="shared" si="134"/>
        <v>4258.08</v>
      </c>
      <c r="K180" s="2439">
        <f>'HVAC Deemed Table'!F817</f>
        <v>884.18</v>
      </c>
      <c r="L180" s="2439">
        <f>'HVAC Deemed Table'!F818</f>
        <v>3895.33</v>
      </c>
      <c r="M180" s="2439">
        <f>'HVAC Deemed Table'!F819</f>
        <v>362.75</v>
      </c>
      <c r="N180" s="2439">
        <f>'HVAC Deemed Table'!F820</f>
        <v>3895.33</v>
      </c>
      <c r="O180" s="2440">
        <f t="shared" si="135"/>
        <v>0.83768799999999999</v>
      </c>
      <c r="P180" s="2440">
        <f t="shared" si="136"/>
        <v>0.34367599999999998</v>
      </c>
      <c r="Q180" s="2441">
        <f>'HVAC Deemed Table'!I817</f>
        <v>0.83768799999999999</v>
      </c>
      <c r="R180" s="2441">
        <f>'HVAC Deemed Table'!I818</f>
        <v>0</v>
      </c>
      <c r="S180" s="2441">
        <f>'HVAC Deemed Table'!I819</f>
        <v>0.34367599999999998</v>
      </c>
      <c r="T180" s="2441">
        <f>'HVAC Deemed Table'!I820</f>
        <v>0</v>
      </c>
      <c r="U180" s="1819"/>
      <c r="V180" s="1819"/>
      <c r="W180" s="1821">
        <f>P180</f>
        <v>0.34367599999999998</v>
      </c>
      <c r="X180" s="68">
        <f>'HVAC Deemed Table'!J817</f>
        <v>6</v>
      </c>
      <c r="Y180" s="68">
        <f>'HVAC Deemed Table'!J819</f>
        <v>12</v>
      </c>
      <c r="Z180" s="68">
        <f t="shared" si="116"/>
        <v>18</v>
      </c>
      <c r="AA180" s="3616">
        <f>'HVAC Deemed Table'!BB817</f>
        <v>1.1597028605642348</v>
      </c>
      <c r="AB180" s="2620">
        <f>'HVAC Deemed Table'!K817</f>
        <v>2505.747142294048</v>
      </c>
      <c r="AC180" s="3618">
        <f t="shared" si="117"/>
        <v>1162.0605561714772</v>
      </c>
      <c r="AD180" s="3618">
        <f t="shared" si="118"/>
        <v>1580.669154795077</v>
      </c>
      <c r="AE180" s="2453">
        <f>'HVAC Deemed Table'!BD817</f>
        <v>514.13666718387481</v>
      </c>
      <c r="AF180" s="2453">
        <f>'HVAC Deemed Table'!BD818</f>
        <v>647.92388898760237</v>
      </c>
      <c r="AG180" s="2453">
        <f>'HVAC Deemed Table'!BD819</f>
        <v>428.88785446639582</v>
      </c>
      <c r="AH180" s="2453">
        <f>'HVAC Deemed Table'!BD820</f>
        <v>1151.7813003286813</v>
      </c>
      <c r="AI180" s="3624" t="str">
        <f t="shared" si="138"/>
        <v>per measure</v>
      </c>
      <c r="AJ180" s="126">
        <f>'HVAC Deemed Table'!L817</f>
        <v>1.569767441860465</v>
      </c>
      <c r="AK180" s="1805"/>
      <c r="AL180" s="1805"/>
      <c r="AM180" s="1972">
        <f t="shared" si="132"/>
        <v>9.4741810000000004E-4</v>
      </c>
      <c r="AN180" s="100">
        <f t="shared" si="139"/>
        <v>0.83768813565799993</v>
      </c>
      <c r="AO180" s="1971">
        <f t="shared" si="93"/>
        <v>1.3565799994452732E-7</v>
      </c>
    </row>
    <row r="181" spans="1:41" x14ac:dyDescent="0.25">
      <c r="A181" s="103" t="str">
        <f t="shared" si="124"/>
        <v>351751</v>
      </c>
      <c r="B181" s="1960" t="str">
        <f>'HVAC Deemed Table'!C821</f>
        <v>351751_2021_12_</v>
      </c>
      <c r="C181" s="1962" t="str">
        <f>'HVAC Deemed Table'!G821</f>
        <v>Cooling RES</v>
      </c>
      <c r="D181" s="1962" t="str">
        <f>'HVAC Deemed Table'!G822</f>
        <v>Heating RES</v>
      </c>
      <c r="E181" s="1962" t="str">
        <f>'HVAC Deemed Table'!G823</f>
        <v>Cooling RES ER2</v>
      </c>
      <c r="F181" s="1962" t="str">
        <f>'HVAC Deemed Table'!G824</f>
        <v>Heating RES ER2</v>
      </c>
      <c r="G181" s="1962" t="str">
        <f>'HVAC Deemed Table'!E821</f>
        <v>Mini/MultiSplitASHP-Replace_CAC_ElectricHeat_ER1_MF_CompE</v>
      </c>
      <c r="H181" s="63" t="str">
        <f>'HVAC Deemed Table'!D821</f>
        <v>MFc</v>
      </c>
      <c r="I181" s="2438">
        <f t="shared" si="133"/>
        <v>2061.17</v>
      </c>
      <c r="J181" s="2438">
        <f t="shared" si="134"/>
        <v>1718.74</v>
      </c>
      <c r="K181" s="2439">
        <f>'HVAC Deemed Table'!F821</f>
        <v>580.64</v>
      </c>
      <c r="L181" s="2439">
        <f>'HVAC Deemed Table'!F822</f>
        <v>1480.53</v>
      </c>
      <c r="M181" s="2439">
        <f>'HVAC Deemed Table'!F823</f>
        <v>238.21</v>
      </c>
      <c r="N181" s="2439">
        <f>'HVAC Deemed Table'!F824</f>
        <v>1480.53</v>
      </c>
      <c r="O181" s="2440">
        <f t="shared" si="135"/>
        <v>0.55010899999999996</v>
      </c>
      <c r="P181" s="2440">
        <f t="shared" si="136"/>
        <v>0.225684</v>
      </c>
      <c r="Q181" s="2441">
        <f>'HVAC Deemed Table'!I821</f>
        <v>0.55010899999999996</v>
      </c>
      <c r="R181" s="2441">
        <f>'HVAC Deemed Table'!I822</f>
        <v>0</v>
      </c>
      <c r="S181" s="2441">
        <f>'HVAC Deemed Table'!I823</f>
        <v>0.225684</v>
      </c>
      <c r="T181" s="2441">
        <f>'HVAC Deemed Table'!I824</f>
        <v>0</v>
      </c>
      <c r="U181" s="1819"/>
      <c r="V181" s="1819"/>
      <c r="W181" s="1821">
        <f>P181</f>
        <v>0.225684</v>
      </c>
      <c r="X181" s="68">
        <f>'HVAC Deemed Table'!J821</f>
        <v>6</v>
      </c>
      <c r="Y181" s="68">
        <f>'HVAC Deemed Table'!J823</f>
        <v>12</v>
      </c>
      <c r="Z181" s="68">
        <f t="shared" si="116"/>
        <v>18</v>
      </c>
      <c r="AA181" s="3616">
        <f>'HVAC Deemed Table'!BB821</f>
        <v>0.55107295256389066</v>
      </c>
      <c r="AB181" s="2620">
        <f>'HVAC Deemed Table'!K821</f>
        <v>2505.747142294048</v>
      </c>
      <c r="AC181" s="3618">
        <f t="shared" si="117"/>
        <v>583.8947073672565</v>
      </c>
      <c r="AD181" s="3618">
        <f t="shared" si="118"/>
        <v>719.4082431589469</v>
      </c>
      <c r="AE181" s="2453">
        <f>'HVAC Deemed Table'!BD821</f>
        <v>337.63296436658266</v>
      </c>
      <c r="AF181" s="2453">
        <f>'HVAC Deemed Table'!BD822</f>
        <v>246.26174300067385</v>
      </c>
      <c r="AG181" s="2453">
        <f>'HVAC Deemed Table'!BD823</f>
        <v>281.64128411423889</v>
      </c>
      <c r="AH181" s="2453">
        <f>'HVAC Deemed Table'!BD824</f>
        <v>437.76695904470802</v>
      </c>
      <c r="AI181" s="3624" t="str">
        <f t="shared" si="138"/>
        <v>per measure</v>
      </c>
      <c r="AJ181" s="126">
        <f>'HVAC Deemed Table'!L821</f>
        <v>1.569767441860465</v>
      </c>
      <c r="AK181" s="1805"/>
      <c r="AL181" s="1805"/>
      <c r="AM181" s="1972">
        <f t="shared" si="132"/>
        <v>9.4741810000000004E-4</v>
      </c>
      <c r="AN181" s="100">
        <f t="shared" si="139"/>
        <v>0.55010884558399997</v>
      </c>
      <c r="AO181" s="1971">
        <f t="shared" si="93"/>
        <v>-1.5441599998666788E-7</v>
      </c>
    </row>
    <row r="182" spans="1:41" x14ac:dyDescent="0.25">
      <c r="A182" s="103" t="str">
        <f t="shared" si="124"/>
        <v>351800</v>
      </c>
      <c r="B182" s="1960" t="str">
        <f>'HVAC Deemed Table'!C825</f>
        <v>351800_2021_12_</v>
      </c>
      <c r="C182" s="1962" t="str">
        <f>'HVAC Deemed Table'!G825</f>
        <v>Cooling RES</v>
      </c>
      <c r="D182" s="1962" t="str">
        <f>'HVAC Deemed Table'!G826</f>
        <v>Heating RES</v>
      </c>
      <c r="E182" s="1962"/>
      <c r="F182" s="1962"/>
      <c r="G182" s="1962" t="str">
        <f>'HVAC Deemed Table'!E825</f>
        <v>Mini/MultiSplitASHP-Replace_CAC_ElectricHeat_ROF_MF</v>
      </c>
      <c r="H182" s="63" t="str">
        <f>'HVAC Deemed Table'!D825</f>
        <v>MF</v>
      </c>
      <c r="I182" s="2438">
        <f t="shared" si="133"/>
        <v>4705.87</v>
      </c>
      <c r="J182" s="2438">
        <f t="shared" si="134"/>
        <v>0</v>
      </c>
      <c r="K182" s="2439">
        <f>'HVAC Deemed Table'!F825</f>
        <v>346.51</v>
      </c>
      <c r="L182" s="2439">
        <f>'HVAC Deemed Table'!F826</f>
        <v>4359.3599999999997</v>
      </c>
      <c r="M182" s="2439"/>
      <c r="N182" s="2439"/>
      <c r="O182" s="2440">
        <f t="shared" si="135"/>
        <v>0.32829000000000003</v>
      </c>
      <c r="P182" s="2440">
        <f t="shared" si="136"/>
        <v>0</v>
      </c>
      <c r="Q182" s="2441">
        <f>'HVAC Deemed Table'!I825</f>
        <v>0.32829000000000003</v>
      </c>
      <c r="R182" s="2441">
        <f>'HVAC Deemed Table'!I826</f>
        <v>0</v>
      </c>
      <c r="S182" s="2441"/>
      <c r="T182" s="2441"/>
      <c r="U182" s="1819"/>
      <c r="V182" s="1819"/>
      <c r="W182" s="1819">
        <f>O182</f>
        <v>0.32829000000000003</v>
      </c>
      <c r="X182" s="68">
        <f>'HVAC Deemed Table'!J825</f>
        <v>18</v>
      </c>
      <c r="Y182" s="68"/>
      <c r="Z182" s="68">
        <f t="shared" si="116"/>
        <v>18</v>
      </c>
      <c r="AA182" s="3616">
        <f>'HVAC Deemed Table'!BB825</f>
        <v>8.2316931852257706</v>
      </c>
      <c r="AB182" s="2620">
        <f>'HVAC Deemed Table'!K825</f>
        <v>337.89830508474574</v>
      </c>
      <c r="AC182" s="3618">
        <f t="shared" si="117"/>
        <v>2625.2715198352425</v>
      </c>
      <c r="AD182" s="3618">
        <f t="shared" si="118"/>
        <v>0</v>
      </c>
      <c r="AE182" s="2453">
        <f>'HVAC Deemed Table'!BD825</f>
        <v>611.17699790826009</v>
      </c>
      <c r="AF182" s="2453">
        <f>'HVAC Deemed Table'!BD826</f>
        <v>2014.0945219269827</v>
      </c>
      <c r="AG182" s="2453"/>
      <c r="AH182" s="2453"/>
      <c r="AI182" s="3624" t="str">
        <f t="shared" si="138"/>
        <v>per measure</v>
      </c>
      <c r="AJ182" s="126">
        <f>'HVAC Deemed Table'!L825</f>
        <v>1.7307692307692308</v>
      </c>
      <c r="AK182" s="1805"/>
      <c r="AL182" s="1805"/>
      <c r="AM182" s="1972">
        <f t="shared" si="132"/>
        <v>9.4741810000000004E-4</v>
      </c>
      <c r="AN182" s="100">
        <f t="shared" si="139"/>
        <v>0.32828984583100002</v>
      </c>
      <c r="AO182" s="1971">
        <f t="shared" si="93"/>
        <v>-1.5416900001063993E-7</v>
      </c>
    </row>
    <row r="183" spans="1:41" x14ac:dyDescent="0.25">
      <c r="A183" s="103" t="str">
        <f t="shared" si="124"/>
        <v>351801</v>
      </c>
      <c r="B183" s="1960" t="str">
        <f>'HVAC Deemed Table'!C827</f>
        <v>351801_2021_12_</v>
      </c>
      <c r="C183" s="1962" t="str">
        <f>'HVAC Deemed Table'!G827</f>
        <v>Cooling RES</v>
      </c>
      <c r="D183" s="1962" t="str">
        <f>'HVAC Deemed Table'!G828</f>
        <v>Heating RES</v>
      </c>
      <c r="E183" s="1962"/>
      <c r="F183" s="1962"/>
      <c r="G183" s="1962" t="str">
        <f>'HVAC Deemed Table'!E827</f>
        <v>Mini/MultiSplitASHP-Replace_CAC_ElectricHeat_ROF_MF_CompE</v>
      </c>
      <c r="H183" s="63" t="str">
        <f>'HVAC Deemed Table'!D827</f>
        <v>MFc</v>
      </c>
      <c r="I183" s="2438">
        <f t="shared" si="133"/>
        <v>1884.44</v>
      </c>
      <c r="J183" s="2438">
        <f t="shared" si="134"/>
        <v>0</v>
      </c>
      <c r="K183" s="2439">
        <f>'HVAC Deemed Table'!F827</f>
        <v>227.55</v>
      </c>
      <c r="L183" s="2439">
        <f>'HVAC Deemed Table'!F828</f>
        <v>1656.89</v>
      </c>
      <c r="M183" s="2439"/>
      <c r="N183" s="2439"/>
      <c r="O183" s="2440">
        <f t="shared" si="135"/>
        <v>0.215585</v>
      </c>
      <c r="P183" s="2440">
        <f t="shared" si="136"/>
        <v>0</v>
      </c>
      <c r="Q183" s="2441">
        <f>'HVAC Deemed Table'!I827</f>
        <v>0.215585</v>
      </c>
      <c r="R183" s="2441">
        <f>'HVAC Deemed Table'!I828</f>
        <v>0</v>
      </c>
      <c r="S183" s="2441"/>
      <c r="T183" s="2441"/>
      <c r="U183" s="1819"/>
      <c r="V183" s="1819"/>
      <c r="W183" s="1819">
        <f>O183</f>
        <v>0.215585</v>
      </c>
      <c r="X183" s="68">
        <f>'HVAC Deemed Table'!J827</f>
        <v>18</v>
      </c>
      <c r="Y183" s="68"/>
      <c r="Z183" s="68">
        <f t="shared" si="116"/>
        <v>18</v>
      </c>
      <c r="AA183" s="3616">
        <f>'HVAC Deemed Table'!BB827</f>
        <v>3.6587716067605278</v>
      </c>
      <c r="AB183" s="2620">
        <f>'HVAC Deemed Table'!K827</f>
        <v>337.89830508474574</v>
      </c>
      <c r="AC183" s="3618">
        <f t="shared" si="117"/>
        <v>1166.8642988358415</v>
      </c>
      <c r="AD183" s="3618">
        <f t="shared" si="118"/>
        <v>0</v>
      </c>
      <c r="AE183" s="2453">
        <f>'HVAC Deemed Table'!BD827</f>
        <v>401.35443673782748</v>
      </c>
      <c r="AF183" s="2453">
        <f>'HVAC Deemed Table'!BD828</f>
        <v>765.50986209801408</v>
      </c>
      <c r="AG183" s="2453"/>
      <c r="AH183" s="2453"/>
      <c r="AI183" s="3624" t="str">
        <f t="shared" si="138"/>
        <v>per measure</v>
      </c>
      <c r="AJ183" s="126">
        <f>'HVAC Deemed Table'!L827</f>
        <v>1.7307692307692308</v>
      </c>
      <c r="AK183" s="1805"/>
      <c r="AL183" s="1805"/>
      <c r="AM183" s="1972">
        <f t="shared" si="132"/>
        <v>9.4741810000000004E-4</v>
      </c>
      <c r="AN183" s="100">
        <f t="shared" si="139"/>
        <v>0.21558498865500003</v>
      </c>
      <c r="AO183" s="1971">
        <f t="shared" si="93"/>
        <v>-1.1344999967244362E-8</v>
      </c>
    </row>
    <row r="184" spans="1:41" x14ac:dyDescent="0.25">
      <c r="A184" s="103" t="str">
        <f t="shared" si="124"/>
        <v>351850</v>
      </c>
      <c r="B184" s="1960" t="str">
        <f>'HVAC Deemed Table'!C829</f>
        <v>351850_2021_12_</v>
      </c>
      <c r="C184" s="1962" t="str">
        <f>'HVAC Deemed Table'!G829</f>
        <v>Cooling RES</v>
      </c>
      <c r="D184" s="1962" t="str">
        <f>'HVAC Deemed Table'!G830</f>
        <v>Heating RES</v>
      </c>
      <c r="E184" s="1962" t="str">
        <f>'HVAC Deemed Table'!G831</f>
        <v>Cooling RES ER2</v>
      </c>
      <c r="F184" s="1962" t="str">
        <f>'HVAC Deemed Table'!G832</f>
        <v>Heating RES ER2</v>
      </c>
      <c r="G184" s="1962" t="str">
        <f>'HVAC Deemed Table'!E829</f>
        <v>Mini/MultiSplitASHP_ER1_MF</v>
      </c>
      <c r="H184" s="63" t="str">
        <f>'HVAC Deemed Table'!D829</f>
        <v>MF</v>
      </c>
      <c r="I184" s="2438">
        <f t="shared" si="133"/>
        <v>2535.54</v>
      </c>
      <c r="J184" s="2438">
        <f t="shared" si="134"/>
        <v>1460.79</v>
      </c>
      <c r="K184" s="2439">
        <f>'HVAC Deemed Table'!F829</f>
        <v>843.09</v>
      </c>
      <c r="L184" s="2439">
        <f>'HVAC Deemed Table'!F830</f>
        <v>1692.45</v>
      </c>
      <c r="M184" s="2439">
        <f>'HVAC Deemed Table'!F831</f>
        <v>352.11</v>
      </c>
      <c r="N184" s="2439">
        <f>'HVAC Deemed Table'!F832</f>
        <v>1108.68</v>
      </c>
      <c r="O184" s="2440">
        <f t="shared" si="135"/>
        <v>0.798759</v>
      </c>
      <c r="P184" s="2440">
        <f t="shared" si="136"/>
        <v>0.33359499999999997</v>
      </c>
      <c r="Q184" s="2441">
        <f>'HVAC Deemed Table'!I829</f>
        <v>0.798759</v>
      </c>
      <c r="R184" s="2441">
        <f>'HVAC Deemed Table'!I830</f>
        <v>0</v>
      </c>
      <c r="S184" s="2441">
        <f>'HVAC Deemed Table'!I831</f>
        <v>0.33359499999999997</v>
      </c>
      <c r="T184" s="2441">
        <f>'HVAC Deemed Table'!I832</f>
        <v>0</v>
      </c>
      <c r="U184" s="1819"/>
      <c r="V184" s="1819"/>
      <c r="W184" s="1821">
        <f>P184</f>
        <v>0.33359499999999997</v>
      </c>
      <c r="X184" s="68">
        <f>'HVAC Deemed Table'!J829</f>
        <v>6</v>
      </c>
      <c r="Y184" s="68">
        <f>'HVAC Deemed Table'!J831</f>
        <v>12</v>
      </c>
      <c r="Z184" s="68">
        <f t="shared" si="116"/>
        <v>18</v>
      </c>
      <c r="AA184" s="3616">
        <f>'HVAC Deemed Table'!BB829</f>
        <v>2.2998869785070375</v>
      </c>
      <c r="AB184" s="2620">
        <f>'HVAC Deemed Table'!K829</f>
        <v>698.32770489042764</v>
      </c>
      <c r="AC184" s="3618">
        <f t="shared" si="117"/>
        <v>771.75462214354206</v>
      </c>
      <c r="AD184" s="3618">
        <f t="shared" si="118"/>
        <v>744.12531670327212</v>
      </c>
      <c r="AE184" s="2453">
        <f>'HVAC Deemed Table'!BD829</f>
        <v>490.24348292887538</v>
      </c>
      <c r="AF184" s="2453">
        <f>'HVAC Deemed Table'!BD830</f>
        <v>281.51113921466668</v>
      </c>
      <c r="AG184" s="2453">
        <f>'HVAC Deemed Table'!BD831</f>
        <v>416.30793228439046</v>
      </c>
      <c r="AH184" s="2453">
        <f>'HVAC Deemed Table'!BD832</f>
        <v>327.81738441888172</v>
      </c>
      <c r="AI184" s="3624" t="str">
        <f t="shared" si="138"/>
        <v>per measure</v>
      </c>
      <c r="AJ184" s="126">
        <f>'HVAC Deemed Table'!L829</f>
        <v>1.4772727272727273</v>
      </c>
      <c r="AK184" s="1805"/>
      <c r="AL184" s="1805"/>
      <c r="AM184" s="1972">
        <f t="shared" si="132"/>
        <v>9.4741810000000004E-4</v>
      </c>
      <c r="AN184" s="100">
        <f t="shared" si="139"/>
        <v>0.7987587259290001</v>
      </c>
      <c r="AO184" s="1971">
        <f t="shared" si="93"/>
        <v>-2.7407099989495975E-7</v>
      </c>
    </row>
    <row r="185" spans="1:41" x14ac:dyDescent="0.25">
      <c r="A185" s="103" t="str">
        <f t="shared" si="124"/>
        <v>351851</v>
      </c>
      <c r="B185" s="1960" t="str">
        <f>'HVAC Deemed Table'!C833</f>
        <v>351851_2021_12_</v>
      </c>
      <c r="C185" s="1962" t="str">
        <f>'HVAC Deemed Table'!G833</f>
        <v>Cooling RES</v>
      </c>
      <c r="D185" s="1962" t="str">
        <f>'HVAC Deemed Table'!G834</f>
        <v>Heating RES</v>
      </c>
      <c r="E185" s="1962" t="str">
        <f>'HVAC Deemed Table'!G835</f>
        <v>Cooling RES ER2</v>
      </c>
      <c r="F185" s="1962" t="str">
        <f>'HVAC Deemed Table'!G836</f>
        <v>Heating RES ER2</v>
      </c>
      <c r="G185" s="1962" t="str">
        <f>'HVAC Deemed Table'!E833</f>
        <v>Mini/MultiSplitASHP_ER1_MF_CompE</v>
      </c>
      <c r="H185" s="63" t="str">
        <f>'HVAC Deemed Table'!D833</f>
        <v>MFc</v>
      </c>
      <c r="I185" s="2438">
        <f t="shared" si="133"/>
        <v>1196.9099999999999</v>
      </c>
      <c r="J185" s="2438">
        <f t="shared" si="134"/>
        <v>652.61</v>
      </c>
      <c r="K185" s="2439">
        <f>'HVAC Deemed Table'!F833</f>
        <v>553.65</v>
      </c>
      <c r="L185" s="2439">
        <f>'HVAC Deemed Table'!F834</f>
        <v>643.26</v>
      </c>
      <c r="M185" s="2439">
        <f>'HVAC Deemed Table'!F835</f>
        <v>231.23</v>
      </c>
      <c r="N185" s="2439">
        <f>'HVAC Deemed Table'!F836</f>
        <v>421.38</v>
      </c>
      <c r="O185" s="2440">
        <f t="shared" si="135"/>
        <v>0.52453799999999995</v>
      </c>
      <c r="P185" s="2440">
        <f t="shared" si="136"/>
        <v>0.21907099999999999</v>
      </c>
      <c r="Q185" s="2441">
        <f>'HVAC Deemed Table'!I833</f>
        <v>0.52453799999999995</v>
      </c>
      <c r="R185" s="2441">
        <f>'HVAC Deemed Table'!I834</f>
        <v>0</v>
      </c>
      <c r="S185" s="2441">
        <f>'HVAC Deemed Table'!I835</f>
        <v>0.21907099999999999</v>
      </c>
      <c r="T185" s="2441">
        <f>'HVAC Deemed Table'!I836</f>
        <v>0</v>
      </c>
      <c r="U185" s="1819"/>
      <c r="V185" s="1819"/>
      <c r="W185" s="1821">
        <f>P185</f>
        <v>0.21907099999999999</v>
      </c>
      <c r="X185" s="68">
        <f>'HVAC Deemed Table'!J833</f>
        <v>6</v>
      </c>
      <c r="Y185" s="68">
        <f>'HVAC Deemed Table'!J835</f>
        <v>12</v>
      </c>
      <c r="Z185" s="68">
        <f t="shared" si="116"/>
        <v>18</v>
      </c>
      <c r="AA185" s="3616">
        <f>'HVAC Deemed Table'!BB833</f>
        <v>1.2545963725330866</v>
      </c>
      <c r="AB185" s="2620">
        <f>'HVAC Deemed Table'!K833</f>
        <v>698.32770489042764</v>
      </c>
      <c r="AC185" s="3618">
        <f t="shared" si="117"/>
        <v>428.93439673258433</v>
      </c>
      <c r="AD185" s="3618">
        <f t="shared" si="118"/>
        <v>397.98339977037585</v>
      </c>
      <c r="AE185" s="2453">
        <f>'HVAC Deemed Table'!BD833</f>
        <v>321.9387068089668</v>
      </c>
      <c r="AF185" s="2453">
        <f>'HVAC Deemed Table'!BD834</f>
        <v>106.99568992361753</v>
      </c>
      <c r="AG185" s="2453">
        <f>'HVAC Deemed Table'!BD835</f>
        <v>273.38866599108121</v>
      </c>
      <c r="AH185" s="2453">
        <f>'HVAC Deemed Table'!BD836</f>
        <v>124.59473377929463</v>
      </c>
      <c r="AI185" s="3624" t="str">
        <f t="shared" si="138"/>
        <v>per measure</v>
      </c>
      <c r="AJ185" s="126">
        <f>'HVAC Deemed Table'!L833</f>
        <v>1.4772727272727273</v>
      </c>
      <c r="AK185" s="1805"/>
      <c r="AL185" s="1805"/>
      <c r="AM185" s="1972">
        <f t="shared" si="132"/>
        <v>9.4741810000000004E-4</v>
      </c>
      <c r="AN185" s="100">
        <f t="shared" si="139"/>
        <v>0.52453803106499997</v>
      </c>
      <c r="AO185" s="1971">
        <f t="shared" si="93"/>
        <v>3.1065000016816668E-8</v>
      </c>
    </row>
    <row r="186" spans="1:41" x14ac:dyDescent="0.25">
      <c r="A186" s="103" t="str">
        <f t="shared" si="124"/>
        <v>351900</v>
      </c>
      <c r="B186" s="684" t="str">
        <f>'HVAC Deemed Table'!C1192</f>
        <v>351900_2019_12_</v>
      </c>
      <c r="C186" s="3599" t="str">
        <f>'HVAC Deemed Table'!G1192</f>
        <v>Cooling Res</v>
      </c>
      <c r="D186" s="3599" t="str">
        <f>'HVAC Deemed Table'!G1193</f>
        <v>Heating Res</v>
      </c>
      <c r="E186" s="1962"/>
      <c r="F186" s="1962"/>
      <c r="G186" s="1962" t="str">
        <f>'HVAC Deemed Table'!E1192</f>
        <v>DFHP-SEER19-ROF_MF</v>
      </c>
      <c r="H186" s="63" t="str">
        <f>'HVAC Deemed Table'!D1192</f>
        <v>MF</v>
      </c>
      <c r="I186" s="2438">
        <f t="shared" ref="I186:I191" si="140">K186+L186</f>
        <v>1084.6099999999999</v>
      </c>
      <c r="J186" s="2438">
        <f t="shared" ref="J186:J191" si="141">M186+N186</f>
        <v>0</v>
      </c>
      <c r="K186" s="2439">
        <f>'HVAC Deemed Table'!F1192</f>
        <v>433.19</v>
      </c>
      <c r="L186" s="2439">
        <f>'HVAC Deemed Table'!F1193</f>
        <v>651.41999999999996</v>
      </c>
      <c r="M186" s="2439"/>
      <c r="N186" s="2439"/>
      <c r="O186" s="2440">
        <f t="shared" ref="O186:O191" si="142">Q186+R186</f>
        <v>0.410412</v>
      </c>
      <c r="P186" s="2440">
        <f t="shared" ref="P186:P191" si="143">S186+T186</f>
        <v>0</v>
      </c>
      <c r="Q186" s="2441">
        <f>'HVAC Deemed Table'!I1192</f>
        <v>0.410412</v>
      </c>
      <c r="R186" s="2441">
        <f>'HVAC Deemed Table'!I1193</f>
        <v>0</v>
      </c>
      <c r="S186" s="2441"/>
      <c r="T186" s="2441"/>
      <c r="U186" s="1819"/>
      <c r="V186" s="1819"/>
      <c r="W186" s="1819">
        <f t="shared" ref="W186:W191" si="144">O186</f>
        <v>0.410412</v>
      </c>
      <c r="X186" s="68">
        <f>'HVAC Deemed Table'!J1192</f>
        <v>18</v>
      </c>
      <c r="Y186" s="68"/>
      <c r="Z186" s="68">
        <f t="shared" si="116"/>
        <v>18</v>
      </c>
      <c r="AA186" s="3616">
        <f>'HVAC Deemed Table'!BB1192</f>
        <v>0.38425379181416769</v>
      </c>
      <c r="AB186" s="2620">
        <f>'HVAC Deemed Table'!K1192</f>
        <v>2936.6</v>
      </c>
      <c r="AC186" s="3618">
        <f t="shared" si="117"/>
        <v>1065.0303775757288</v>
      </c>
      <c r="AD186" s="3618">
        <f t="shared" si="118"/>
        <v>0</v>
      </c>
      <c r="AE186" s="2453">
        <f>'HVAC Deemed Table'!BD1192</f>
        <v>764.06384728832995</v>
      </c>
      <c r="AF186" s="2453">
        <f>'HVAC Deemed Table'!BD1193</f>
        <v>300.96653028739888</v>
      </c>
      <c r="AG186" s="2453"/>
      <c r="AH186" s="2453"/>
      <c r="AI186" s="3624" t="str">
        <f t="shared" si="138"/>
        <v>per measure</v>
      </c>
      <c r="AJ186" s="126">
        <f>'HVAC Deemed Table'!L1192</f>
        <v>3.4</v>
      </c>
      <c r="AK186" s="1805"/>
      <c r="AL186" s="1805"/>
      <c r="AM186" s="1972">
        <f t="shared" si="132"/>
        <v>9.4741810000000004E-4</v>
      </c>
      <c r="AN186" s="100">
        <f t="shared" si="139"/>
        <v>0.410412046739</v>
      </c>
      <c r="AO186" s="1971">
        <f t="shared" si="93"/>
        <v>4.6739000003626074E-8</v>
      </c>
    </row>
    <row r="187" spans="1:41" x14ac:dyDescent="0.25">
      <c r="A187" s="103" t="str">
        <f t="shared" si="124"/>
        <v>351901</v>
      </c>
      <c r="B187" s="684" t="str">
        <f>'HVAC Deemed Table'!C1194</f>
        <v>351901_2019_12_</v>
      </c>
      <c r="C187" s="3599" t="str">
        <f>'HVAC Deemed Table'!G1194</f>
        <v>Cooling Res</v>
      </c>
      <c r="D187" s="3599" t="str">
        <f>'HVAC Deemed Table'!G1195</f>
        <v>Heating Res</v>
      </c>
      <c r="E187" s="1962"/>
      <c r="F187" s="1962"/>
      <c r="G187" s="1962" t="str">
        <f>'HVAC Deemed Table'!E1194</f>
        <v>DFHP-SEER19-ROF_MF_CompE</v>
      </c>
      <c r="H187" s="63" t="str">
        <f>'HVAC Deemed Table'!D1194</f>
        <v>MFc</v>
      </c>
      <c r="I187" s="2438">
        <f t="shared" si="140"/>
        <v>611.94000000000005</v>
      </c>
      <c r="J187" s="2438">
        <f t="shared" si="141"/>
        <v>0</v>
      </c>
      <c r="K187" s="2439">
        <f>'HVAC Deemed Table'!F1194</f>
        <v>315.05</v>
      </c>
      <c r="L187" s="2439">
        <f>'HVAC Deemed Table'!F1195</f>
        <v>296.89</v>
      </c>
      <c r="M187" s="2439"/>
      <c r="N187" s="2439"/>
      <c r="O187" s="2440">
        <f t="shared" si="142"/>
        <v>0.29848400000000003</v>
      </c>
      <c r="P187" s="2440">
        <f t="shared" si="143"/>
        <v>0</v>
      </c>
      <c r="Q187" s="2441">
        <f>'HVAC Deemed Table'!I1194</f>
        <v>0.29848400000000003</v>
      </c>
      <c r="R187" s="2441">
        <f>'HVAC Deemed Table'!I1195</f>
        <v>0</v>
      </c>
      <c r="S187" s="2441"/>
      <c r="T187" s="2441"/>
      <c r="U187" s="1819"/>
      <c r="V187" s="1819"/>
      <c r="W187" s="1819">
        <f t="shared" si="144"/>
        <v>0.29848400000000003</v>
      </c>
      <c r="X187" s="68">
        <f>'HVAC Deemed Table'!J1194</f>
        <v>18</v>
      </c>
      <c r="Y187" s="68"/>
      <c r="Z187" s="68">
        <f t="shared" si="116"/>
        <v>18</v>
      </c>
      <c r="AA187" s="3616">
        <f>'HVAC Deemed Table'!BB1194</f>
        <v>0.2499763249434484</v>
      </c>
      <c r="AB187" s="2620">
        <f>'HVAC Deemed Table'!K1194</f>
        <v>2936.6</v>
      </c>
      <c r="AC187" s="3618">
        <f t="shared" si="117"/>
        <v>692.85556944684333</v>
      </c>
      <c r="AD187" s="3618">
        <f t="shared" si="118"/>
        <v>0</v>
      </c>
      <c r="AE187" s="2453">
        <f>'HVAC Deemed Table'!BD1194</f>
        <v>555.68760841244796</v>
      </c>
      <c r="AF187" s="2453">
        <f>'HVAC Deemed Table'!BD1195</f>
        <v>137.1679610343954</v>
      </c>
      <c r="AG187" s="2453"/>
      <c r="AH187" s="2453"/>
      <c r="AI187" s="3624" t="str">
        <f t="shared" si="138"/>
        <v>per measure</v>
      </c>
      <c r="AJ187" s="126">
        <f>'HVAC Deemed Table'!L1194</f>
        <v>3.4</v>
      </c>
      <c r="AK187" s="1805"/>
      <c r="AL187" s="1805"/>
      <c r="AM187" s="1972">
        <f t="shared" si="132"/>
        <v>9.4741810000000004E-4</v>
      </c>
      <c r="AN187" s="100">
        <f t="shared" si="139"/>
        <v>0.29848407240500002</v>
      </c>
      <c r="AO187" s="1971">
        <f t="shared" si="93"/>
        <v>7.2404999995612229E-8</v>
      </c>
    </row>
    <row r="188" spans="1:41" x14ac:dyDescent="0.25">
      <c r="A188" s="103" t="str">
        <f t="shared" si="124"/>
        <v>351950</v>
      </c>
      <c r="B188" s="684" t="str">
        <f>'HVAC Deemed Table'!C1196</f>
        <v>351950_2019_12_</v>
      </c>
      <c r="C188" s="3599" t="str">
        <f>'HVAC Deemed Table'!G1196</f>
        <v>Cooling Res</v>
      </c>
      <c r="D188" s="3599" t="str">
        <f>'HVAC Deemed Table'!G1197</f>
        <v>Heating Res</v>
      </c>
      <c r="E188" s="1962"/>
      <c r="F188" s="1962"/>
      <c r="G188" s="1962" t="str">
        <f>'HVAC Deemed Table'!E1196</f>
        <v>DFHP-SEER20-ROF_MF</v>
      </c>
      <c r="H188" s="63" t="str">
        <f>'HVAC Deemed Table'!D1196</f>
        <v>MF</v>
      </c>
      <c r="I188" s="2438">
        <f t="shared" si="140"/>
        <v>1629.81</v>
      </c>
      <c r="J188" s="2438">
        <f t="shared" si="141"/>
        <v>0</v>
      </c>
      <c r="K188" s="2439">
        <f>'HVAC Deemed Table'!F1196</f>
        <v>639.09</v>
      </c>
      <c r="L188" s="2439">
        <f>'HVAC Deemed Table'!F1197</f>
        <v>990.72</v>
      </c>
      <c r="M188" s="2439"/>
      <c r="N188" s="2439"/>
      <c r="O188" s="2440">
        <f t="shared" si="142"/>
        <v>0.60548500000000005</v>
      </c>
      <c r="P188" s="2440">
        <f t="shared" si="143"/>
        <v>0</v>
      </c>
      <c r="Q188" s="2441">
        <f>'HVAC Deemed Table'!I1196</f>
        <v>0.60548500000000005</v>
      </c>
      <c r="R188" s="2441">
        <f>'HVAC Deemed Table'!I1197</f>
        <v>0</v>
      </c>
      <c r="S188" s="2441"/>
      <c r="T188" s="2441"/>
      <c r="U188" s="1819"/>
      <c r="V188" s="1819"/>
      <c r="W188" s="1819">
        <f t="shared" si="144"/>
        <v>0.60548500000000005</v>
      </c>
      <c r="X188" s="68">
        <f>'HVAC Deemed Table'!J1196</f>
        <v>18</v>
      </c>
      <c r="Y188" s="68"/>
      <c r="Z188" s="68">
        <f t="shared" si="116"/>
        <v>18</v>
      </c>
      <c r="AA188" s="3616">
        <f>'HVAC Deemed Table'!BB1196</f>
        <v>0.52863614821545901</v>
      </c>
      <c r="AB188" s="2620">
        <f>'HVAC Deemed Table'!K1196</f>
        <v>3176.6</v>
      </c>
      <c r="AC188" s="3618">
        <f t="shared" si="117"/>
        <v>1584.9604421153629</v>
      </c>
      <c r="AD188" s="3618">
        <f t="shared" si="118"/>
        <v>0</v>
      </c>
      <c r="AE188" s="2453">
        <f>'HVAC Deemed Table'!BD1196</f>
        <v>1127.2318478346656</v>
      </c>
      <c r="AF188" s="2453">
        <f>'HVAC Deemed Table'!BD1197</f>
        <v>457.72859428069728</v>
      </c>
      <c r="AG188" s="2453"/>
      <c r="AH188" s="2453"/>
      <c r="AI188" s="3624" t="str">
        <f t="shared" si="138"/>
        <v>per measure</v>
      </c>
      <c r="AJ188" s="126">
        <f>'HVAC Deemed Table'!L1196</f>
        <v>4.4000000000000004</v>
      </c>
      <c r="AK188" s="1805"/>
      <c r="AL188" s="1805"/>
      <c r="AM188" s="1972">
        <f t="shared" si="132"/>
        <v>9.4741810000000004E-4</v>
      </c>
      <c r="AN188" s="100">
        <f t="shared" si="139"/>
        <v>0.60548543352900008</v>
      </c>
      <c r="AO188" s="1971">
        <f t="shared" ref="AO188:AO280" si="145">AN188-O188</f>
        <v>4.3352900003235106E-7</v>
      </c>
    </row>
    <row r="189" spans="1:41" x14ac:dyDescent="0.25">
      <c r="A189" s="103" t="str">
        <f t="shared" si="124"/>
        <v>351951</v>
      </c>
      <c r="B189" s="684" t="str">
        <f>'HVAC Deemed Table'!C1198</f>
        <v>351951_2019_12_</v>
      </c>
      <c r="C189" s="3599" t="str">
        <f>'HVAC Deemed Table'!G1198</f>
        <v>Cooling Res</v>
      </c>
      <c r="D189" s="3599" t="str">
        <f>'HVAC Deemed Table'!G1199</f>
        <v>Heating Res</v>
      </c>
      <c r="E189" s="1962"/>
      <c r="F189" s="1962"/>
      <c r="G189" s="1962" t="str">
        <f>'HVAC Deemed Table'!E1198</f>
        <v>DFHP-SEER20-ROF_MF_CompE</v>
      </c>
      <c r="H189" s="63" t="str">
        <f>'HVAC Deemed Table'!D1198</f>
        <v>MFc</v>
      </c>
      <c r="I189" s="2438">
        <f t="shared" si="140"/>
        <v>916.33</v>
      </c>
      <c r="J189" s="2438">
        <f t="shared" si="141"/>
        <v>0</v>
      </c>
      <c r="K189" s="2439">
        <f>'HVAC Deemed Table'!F1198</f>
        <v>464.79</v>
      </c>
      <c r="L189" s="2439">
        <f>'HVAC Deemed Table'!F1199</f>
        <v>451.54</v>
      </c>
      <c r="M189" s="2439"/>
      <c r="N189" s="2439"/>
      <c r="O189" s="2440">
        <f t="shared" si="142"/>
        <v>0.44035000000000002</v>
      </c>
      <c r="P189" s="2440">
        <f t="shared" si="143"/>
        <v>0</v>
      </c>
      <c r="Q189" s="2441">
        <f>'HVAC Deemed Table'!I1198</f>
        <v>0.44035000000000002</v>
      </c>
      <c r="R189" s="2441">
        <f>'HVAC Deemed Table'!I1199</f>
        <v>0</v>
      </c>
      <c r="S189" s="2441"/>
      <c r="T189" s="2441"/>
      <c r="U189" s="1819"/>
      <c r="V189" s="1819"/>
      <c r="W189" s="1819">
        <f t="shared" si="144"/>
        <v>0.44035000000000002</v>
      </c>
      <c r="X189" s="68">
        <f>'HVAC Deemed Table'!J1198</f>
        <v>18</v>
      </c>
      <c r="Y189" s="68"/>
      <c r="Z189" s="68">
        <f t="shared" si="116"/>
        <v>18</v>
      </c>
      <c r="AA189" s="3616">
        <f>'HVAC Deemed Table'!BB1198</f>
        <v>0.34301134771560521</v>
      </c>
      <c r="AB189" s="2620">
        <f>'HVAC Deemed Table'!K1198</f>
        <v>3176.6</v>
      </c>
      <c r="AC189" s="3618">
        <f t="shared" si="117"/>
        <v>1028.4189213340173</v>
      </c>
      <c r="AD189" s="3618">
        <f t="shared" si="118"/>
        <v>0</v>
      </c>
      <c r="AE189" s="2453">
        <f>'HVAC Deemed Table'!BD1198</f>
        <v>819.8001698588215</v>
      </c>
      <c r="AF189" s="2453">
        <f>'HVAC Deemed Table'!BD1199</f>
        <v>208.61875147519586</v>
      </c>
      <c r="AG189" s="2453"/>
      <c r="AH189" s="2453"/>
      <c r="AI189" s="3624" t="str">
        <f t="shared" si="138"/>
        <v>per measure</v>
      </c>
      <c r="AJ189" s="126">
        <f>'HVAC Deemed Table'!L1198</f>
        <v>4.4000000000000004</v>
      </c>
      <c r="AK189" s="1805"/>
      <c r="AL189" s="1805"/>
      <c r="AM189" s="1972">
        <f t="shared" si="132"/>
        <v>9.4741810000000004E-4</v>
      </c>
      <c r="AN189" s="100">
        <f t="shared" si="139"/>
        <v>0.44035045869900002</v>
      </c>
      <c r="AO189" s="1971">
        <f t="shared" si="145"/>
        <v>4.5869900000550246E-7</v>
      </c>
    </row>
    <row r="190" spans="1:41" x14ac:dyDescent="0.25">
      <c r="A190" s="103" t="str">
        <f t="shared" si="124"/>
        <v>352000</v>
      </c>
      <c r="B190" s="684" t="str">
        <f>'HVAC Deemed Table'!C1200</f>
        <v>352000_2019_12_</v>
      </c>
      <c r="C190" s="3599" t="str">
        <f>'HVAC Deemed Table'!G1200</f>
        <v>Cooling Res</v>
      </c>
      <c r="D190" s="3599" t="str">
        <f>'HVAC Deemed Table'!G1201</f>
        <v>Heating Res</v>
      </c>
      <c r="E190" s="1962"/>
      <c r="F190" s="1962"/>
      <c r="G190" s="1962" t="str">
        <f>'HVAC Deemed Table'!E1200</f>
        <v>DFHP-SEER21-ROF_MF</v>
      </c>
      <c r="H190" s="63" t="str">
        <f>'HVAC Deemed Table'!D1200</f>
        <v>MF</v>
      </c>
      <c r="I190" s="2438">
        <f t="shared" si="140"/>
        <v>2255.2200000000003</v>
      </c>
      <c r="J190" s="2438">
        <f t="shared" si="141"/>
        <v>0</v>
      </c>
      <c r="K190" s="2439">
        <f>'HVAC Deemed Table'!F1200</f>
        <v>871.48</v>
      </c>
      <c r="L190" s="2439">
        <f>'HVAC Deemed Table'!F1201</f>
        <v>1383.74</v>
      </c>
      <c r="M190" s="2439"/>
      <c r="N190" s="2439"/>
      <c r="O190" s="2440">
        <f t="shared" si="142"/>
        <v>0.82565599999999995</v>
      </c>
      <c r="P190" s="2440">
        <f t="shared" si="143"/>
        <v>0</v>
      </c>
      <c r="Q190" s="2441">
        <f>'HVAC Deemed Table'!I1200</f>
        <v>0.82565599999999995</v>
      </c>
      <c r="R190" s="2441">
        <f>'HVAC Deemed Table'!I1201</f>
        <v>0</v>
      </c>
      <c r="S190" s="2441"/>
      <c r="T190" s="2441"/>
      <c r="U190" s="1819"/>
      <c r="V190" s="1819"/>
      <c r="W190" s="1819">
        <f t="shared" si="144"/>
        <v>0.82565599999999995</v>
      </c>
      <c r="X190" s="68">
        <f>'HVAC Deemed Table'!J1200</f>
        <v>18</v>
      </c>
      <c r="Y190" s="68"/>
      <c r="Z190" s="68">
        <f t="shared" si="116"/>
        <v>18</v>
      </c>
      <c r="AA190" s="3616">
        <f>'HVAC Deemed Table'!BB1200</f>
        <v>0.63583826644202834</v>
      </c>
      <c r="AB190" s="2620">
        <f>'HVAC Deemed Table'!K1200</f>
        <v>3626.6</v>
      </c>
      <c r="AC190" s="3618">
        <f t="shared" si="117"/>
        <v>2176.4332770917035</v>
      </c>
      <c r="AD190" s="3618">
        <f t="shared" si="118"/>
        <v>0</v>
      </c>
      <c r="AE190" s="2453">
        <f>'HVAC Deemed Table'!BD1200</f>
        <v>1537.1231137256948</v>
      </c>
      <c r="AF190" s="2453">
        <f>'HVAC Deemed Table'!BD1201</f>
        <v>639.31016336600862</v>
      </c>
      <c r="AG190" s="2453"/>
      <c r="AH190" s="2453"/>
      <c r="AI190" s="3624" t="str">
        <f t="shared" si="138"/>
        <v>per measure</v>
      </c>
      <c r="AJ190" s="126">
        <f>'HVAC Deemed Table'!L1200</f>
        <v>5.4</v>
      </c>
      <c r="AK190" s="1805"/>
      <c r="AL190" s="1805"/>
      <c r="AM190" s="1972">
        <f t="shared" si="132"/>
        <v>9.4741810000000004E-4</v>
      </c>
      <c r="AN190" s="100">
        <f t="shared" si="139"/>
        <v>0.82565592578800007</v>
      </c>
      <c r="AO190" s="1971">
        <f t="shared" si="145"/>
        <v>-7.4211999878670554E-8</v>
      </c>
    </row>
    <row r="191" spans="1:41" x14ac:dyDescent="0.25">
      <c r="A191" s="103" t="str">
        <f t="shared" si="124"/>
        <v>352001</v>
      </c>
      <c r="B191" s="684" t="str">
        <f>'HVAC Deemed Table'!C1202</f>
        <v>352001_2019_12_</v>
      </c>
      <c r="C191" s="3599" t="str">
        <f>'HVAC Deemed Table'!G1202</f>
        <v>Cooling Res</v>
      </c>
      <c r="D191" s="3599" t="str">
        <f>'HVAC Deemed Table'!G1203</f>
        <v>Heating Res</v>
      </c>
      <c r="E191" s="1962"/>
      <c r="F191" s="1962"/>
      <c r="G191" s="1962" t="str">
        <f>'HVAC Deemed Table'!E1202</f>
        <v>DFHP-SEER21-ROF_MF_CompE</v>
      </c>
      <c r="H191" s="63" t="str">
        <f>'HVAC Deemed Table'!D1202</f>
        <v>MFc</v>
      </c>
      <c r="I191" s="2438">
        <f t="shared" si="140"/>
        <v>1264.4699999999998</v>
      </c>
      <c r="J191" s="2438">
        <f t="shared" si="141"/>
        <v>0</v>
      </c>
      <c r="K191" s="2439">
        <f>'HVAC Deemed Table'!F1202</f>
        <v>633.80999999999995</v>
      </c>
      <c r="L191" s="2439">
        <f>'HVAC Deemed Table'!F1203</f>
        <v>630.66</v>
      </c>
      <c r="M191" s="2439"/>
      <c r="N191" s="2439"/>
      <c r="O191" s="2440">
        <f t="shared" si="142"/>
        <v>0.60048299999999999</v>
      </c>
      <c r="P191" s="2440">
        <f t="shared" si="143"/>
        <v>0</v>
      </c>
      <c r="Q191" s="2441">
        <f>'HVAC Deemed Table'!I1202</f>
        <v>0.60048299999999999</v>
      </c>
      <c r="R191" s="2441">
        <f>'HVAC Deemed Table'!I1203</f>
        <v>0</v>
      </c>
      <c r="S191" s="2441"/>
      <c r="T191" s="2441"/>
      <c r="U191" s="1819"/>
      <c r="V191" s="1819"/>
      <c r="W191" s="1819">
        <f t="shared" si="144"/>
        <v>0.60048299999999999</v>
      </c>
      <c r="X191" s="68">
        <f>'HVAC Deemed Table'!J1202</f>
        <v>18</v>
      </c>
      <c r="Y191" s="68"/>
      <c r="Z191" s="68">
        <f t="shared" si="116"/>
        <v>18</v>
      </c>
      <c r="AA191" s="3616">
        <f>'HVAC Deemed Table'!BB1202</f>
        <v>0.4117208993065255</v>
      </c>
      <c r="AB191" s="2620">
        <f>'HVAC Deemed Table'!K1202</f>
        <v>3626.6</v>
      </c>
      <c r="AC191" s="3618">
        <f t="shared" si="117"/>
        <v>1409.294019278004</v>
      </c>
      <c r="AD191" s="3618">
        <f t="shared" si="118"/>
        <v>0</v>
      </c>
      <c r="AE191" s="2453">
        <f>'HVAC Deemed Table'!BD1202</f>
        <v>1117.9189433038998</v>
      </c>
      <c r="AF191" s="2453">
        <f>'HVAC Deemed Table'!BD1203</f>
        <v>291.37507597410422</v>
      </c>
      <c r="AG191" s="2453"/>
      <c r="AH191" s="2453"/>
      <c r="AI191" s="3624" t="str">
        <f t="shared" si="138"/>
        <v>per measure</v>
      </c>
      <c r="AJ191" s="126">
        <f>'HVAC Deemed Table'!L1202</f>
        <v>5.4</v>
      </c>
      <c r="AK191" s="1805"/>
      <c r="AL191" s="1805"/>
      <c r="AM191" s="1972">
        <f t="shared" si="132"/>
        <v>9.4741810000000004E-4</v>
      </c>
      <c r="AN191" s="100">
        <f t="shared" si="139"/>
        <v>0.60048306596099998</v>
      </c>
      <c r="AO191" s="1971">
        <f t="shared" si="145"/>
        <v>6.596099999534033E-8</v>
      </c>
    </row>
    <row r="192" spans="1:41" x14ac:dyDescent="0.25">
      <c r="A192" s="103" t="str">
        <f t="shared" si="124"/>
        <v>352050</v>
      </c>
      <c r="B192" s="1960" t="str">
        <f>'HVAC Deemed Table'!C1296</f>
        <v>352050_2021_12_</v>
      </c>
      <c r="C192" s="3599" t="str">
        <f>'HVAC Deemed Table'!G1296</f>
        <v>Cooling Res</v>
      </c>
      <c r="D192" s="3599" t="str">
        <f>'HVAC Deemed Table'!G1297</f>
        <v>Heating RES</v>
      </c>
      <c r="E192" s="1962"/>
      <c r="F192" s="1962"/>
      <c r="G192" s="1962" t="str">
        <f>'HVAC Deemed Table'!E1296</f>
        <v>GSHP-EER23-Replace_CAC_ElectricHeat_ROF_SF</v>
      </c>
      <c r="H192" s="63" t="str">
        <f>'HVAC Deemed Table'!D1296</f>
        <v>SF</v>
      </c>
      <c r="I192" s="2438">
        <f t="shared" ref="I192:I199" si="146">K192+L192</f>
        <v>17242.77</v>
      </c>
      <c r="J192" s="2438">
        <f t="shared" ref="J192:J199" si="147">M192+N192</f>
        <v>0</v>
      </c>
      <c r="K192" s="2439">
        <f>'HVAC Deemed Table'!F1296</f>
        <v>1403.37</v>
      </c>
      <c r="L192" s="2439">
        <f>'HVAC Deemed Table'!F1297</f>
        <v>15839.4</v>
      </c>
      <c r="M192" s="2439"/>
      <c r="N192" s="2439"/>
      <c r="O192" s="2440">
        <f t="shared" ref="O192:O199" si="148">Q192+R192</f>
        <v>1.3295779999999999</v>
      </c>
      <c r="P192" s="2440">
        <f t="shared" ref="P192:P199" si="149">S192+T192</f>
        <v>0</v>
      </c>
      <c r="Q192" s="2441">
        <f>'HVAC Deemed Table'!I1296</f>
        <v>1.3295779999999999</v>
      </c>
      <c r="R192" s="2441">
        <f>'HVAC Deemed Table'!I1297</f>
        <v>0</v>
      </c>
      <c r="S192" s="2441"/>
      <c r="T192" s="2441"/>
      <c r="U192" s="1819"/>
      <c r="V192" s="1819"/>
      <c r="W192" s="1819">
        <f>O192</f>
        <v>1.3295779999999999</v>
      </c>
      <c r="X192" s="68">
        <f>'HVAC Deemed Table'!J1296</f>
        <v>18</v>
      </c>
      <c r="Y192" s="68"/>
      <c r="Z192" s="68">
        <f t="shared" si="116"/>
        <v>18</v>
      </c>
      <c r="AA192" s="3616">
        <f>'HVAC Deemed Table'!BB1296</f>
        <v>2.1997108214478822</v>
      </c>
      <c r="AB192" s="2620">
        <f>'HVAC Deemed Table'!K1296</f>
        <v>4717</v>
      </c>
      <c r="AC192" s="3618">
        <f t="shared" si="117"/>
        <v>9793.3326519770271</v>
      </c>
      <c r="AD192" s="3618">
        <f t="shared" si="118"/>
        <v>0</v>
      </c>
      <c r="AE192" s="2453">
        <f>'HVAC Deemed Table'!BD1296</f>
        <v>2475.2747786629966</v>
      </c>
      <c r="AF192" s="2453">
        <f>'HVAC Deemed Table'!BD1297</f>
        <v>7318.0578733140301</v>
      </c>
      <c r="AG192" s="2453"/>
      <c r="AH192" s="2453"/>
      <c r="AI192" s="3624" t="str">
        <f t="shared" si="138"/>
        <v>per measure</v>
      </c>
      <c r="AJ192" s="126">
        <f>'HVAC Deemed Table'!L1296</f>
        <v>4.0588235294117645</v>
      </c>
      <c r="AK192" s="1805"/>
      <c r="AL192" s="1805"/>
      <c r="AM192" s="1972">
        <f t="shared" si="132"/>
        <v>9.4741810000000004E-4</v>
      </c>
      <c r="AN192" s="100">
        <f t="shared" si="139"/>
        <v>1.3295781389969998</v>
      </c>
      <c r="AO192" s="1971">
        <f t="shared" si="145"/>
        <v>1.3899699990993497E-7</v>
      </c>
    </row>
    <row r="193" spans="1:48" x14ac:dyDescent="0.25">
      <c r="A193" s="103" t="str">
        <f t="shared" si="124"/>
        <v>352100</v>
      </c>
      <c r="B193" s="1960" t="str">
        <f>'HVAC Deemed Table'!C1298</f>
        <v>352100_2021_12_</v>
      </c>
      <c r="C193" s="3599" t="str">
        <f>'HVAC Deemed Table'!G1298</f>
        <v>Cooling Res</v>
      </c>
      <c r="D193" s="3599" t="str">
        <f>'HVAC Deemed Table'!G1299</f>
        <v>Heating RES</v>
      </c>
      <c r="E193" s="3599" t="str">
        <f>'HVAC Deemed Table'!G1300</f>
        <v>Cooling Res ER2</v>
      </c>
      <c r="F193" s="3599" t="str">
        <f>'HVAC Deemed Table'!G1301</f>
        <v>Heating RES ER2</v>
      </c>
      <c r="G193" s="1962" t="str">
        <f>'HVAC Deemed Table'!E1298</f>
        <v>GSHP-EER23-Replace_CAC_ElectricHeat_ER1_SF</v>
      </c>
      <c r="H193" s="63" t="str">
        <f>'HVAC Deemed Table'!D1298</f>
        <v>SF</v>
      </c>
      <c r="I193" s="2438">
        <f t="shared" si="146"/>
        <v>21972.39</v>
      </c>
      <c r="J193" s="2438">
        <f t="shared" si="147"/>
        <v>18299.07</v>
      </c>
      <c r="K193" s="2439">
        <f>'HVAC Deemed Table'!F1298</f>
        <v>5417.2</v>
      </c>
      <c r="L193" s="2439">
        <f>'HVAC Deemed Table'!F1299</f>
        <v>16555.189999999999</v>
      </c>
      <c r="M193" s="2439">
        <f>'HVAC Deemed Table'!F1300</f>
        <v>1743.88</v>
      </c>
      <c r="N193" s="2439">
        <f>'HVAC Deemed Table'!F1301</f>
        <v>16555.189999999999</v>
      </c>
      <c r="O193" s="2440">
        <f t="shared" si="148"/>
        <v>5.1323530000000002</v>
      </c>
      <c r="P193" s="2440">
        <f t="shared" si="149"/>
        <v>1.652183</v>
      </c>
      <c r="Q193" s="2441">
        <f>'HVAC Deemed Table'!I1298</f>
        <v>5.1323530000000002</v>
      </c>
      <c r="R193" s="2441">
        <f>'HVAC Deemed Table'!I1299</f>
        <v>0</v>
      </c>
      <c r="S193" s="2441">
        <f>'HVAC Deemed Table'!I1300</f>
        <v>1.652183</v>
      </c>
      <c r="T193" s="2441">
        <f>'HVAC Deemed Table'!I1301</f>
        <v>0</v>
      </c>
      <c r="U193" s="1819"/>
      <c r="V193" s="1819"/>
      <c r="W193" s="1821">
        <f>P193</f>
        <v>1.652183</v>
      </c>
      <c r="X193" s="68">
        <f>'HVAC Deemed Table'!J1298</f>
        <v>6</v>
      </c>
      <c r="Y193" s="68">
        <f>'HVAC Deemed Table'!J1300</f>
        <v>12</v>
      </c>
      <c r="Z193" s="68">
        <f t="shared" si="116"/>
        <v>18</v>
      </c>
      <c r="AA193" s="3616">
        <f>'HVAC Deemed Table'!BB1298</f>
        <v>2.595393724516625</v>
      </c>
      <c r="AB193" s="2620">
        <f>'HVAC Deemed Table'!K1298</f>
        <v>5250</v>
      </c>
      <c r="AC193" s="3618">
        <f t="shared" si="117"/>
        <v>5903.6987731552399</v>
      </c>
      <c r="AD193" s="3618">
        <f t="shared" si="118"/>
        <v>6956.9119429488455</v>
      </c>
      <c r="AE193" s="2453">
        <f>'HVAC Deemed Table'!BD1298</f>
        <v>3150.016007451522</v>
      </c>
      <c r="AF193" s="2453">
        <f>'HVAC Deemed Table'!BD1299</f>
        <v>2753.6827657037179</v>
      </c>
      <c r="AG193" s="2453">
        <f>'HVAC Deemed Table'!BD1300</f>
        <v>2061.8303284544686</v>
      </c>
      <c r="AH193" s="2453">
        <f>'HVAC Deemed Table'!BD1301</f>
        <v>4895.0816144943765</v>
      </c>
      <c r="AI193" s="3624" t="str">
        <f t="shared" si="138"/>
        <v>per measure</v>
      </c>
      <c r="AJ193" s="126">
        <f>'HVAC Deemed Table'!L1298</f>
        <v>4.0588235294117645</v>
      </c>
      <c r="AK193" s="1805"/>
      <c r="AL193" s="1805"/>
      <c r="AM193" s="1972">
        <f t="shared" si="132"/>
        <v>9.4741810000000004E-4</v>
      </c>
      <c r="AN193" s="100">
        <f t="shared" si="139"/>
        <v>5.13235333132</v>
      </c>
      <c r="AO193" s="1971">
        <f t="shared" si="145"/>
        <v>3.3131999988000871E-7</v>
      </c>
    </row>
    <row r="194" spans="1:48" x14ac:dyDescent="0.25">
      <c r="A194" s="103" t="str">
        <f t="shared" si="124"/>
        <v>352200</v>
      </c>
      <c r="B194" s="1960" t="str">
        <f>'HVAC Deemed Table'!C1302</f>
        <v>352200_2021_12_</v>
      </c>
      <c r="C194" s="3599" t="str">
        <f>'HVAC Deemed Table'!G1302</f>
        <v>Cooling Res</v>
      </c>
      <c r="D194" s="3599" t="str">
        <f>'HVAC Deemed Table'!G1303</f>
        <v>Heating RES</v>
      </c>
      <c r="E194" s="3599" t="str">
        <f>'HVAC Deemed Table'!G1304</f>
        <v>Cooling Res ER2</v>
      </c>
      <c r="F194" s="3599" t="str">
        <f>'HVAC Deemed Table'!G1305</f>
        <v>Heating RES ER2</v>
      </c>
      <c r="G194" s="1962" t="str">
        <f>'HVAC Deemed Table'!E1302</f>
        <v>GSHP-EER23_ER1_SF</v>
      </c>
      <c r="H194" s="63" t="str">
        <f>'HVAC Deemed Table'!D1302</f>
        <v>SF</v>
      </c>
      <c r="I194" s="2438">
        <f t="shared" si="146"/>
        <v>5982.7199999999993</v>
      </c>
      <c r="J194" s="2438">
        <f t="shared" si="147"/>
        <v>3563.46</v>
      </c>
      <c r="K194" s="2439">
        <f>'HVAC Deemed Table'!F1302</f>
        <v>3155.16</v>
      </c>
      <c r="L194" s="2439">
        <f>'HVAC Deemed Table'!F1303</f>
        <v>2827.56</v>
      </c>
      <c r="M194" s="2439">
        <f>'HVAC Deemed Table'!F1304</f>
        <v>1481.42</v>
      </c>
      <c r="N194" s="2439">
        <f>'HVAC Deemed Table'!F1305</f>
        <v>2082.04</v>
      </c>
      <c r="O194" s="2440">
        <f t="shared" si="148"/>
        <v>2.9892560000000001</v>
      </c>
      <c r="P194" s="2440">
        <f t="shared" si="149"/>
        <v>1.403524</v>
      </c>
      <c r="Q194" s="2441">
        <f>'HVAC Deemed Table'!I1302</f>
        <v>2.9892560000000001</v>
      </c>
      <c r="R194" s="2441">
        <f>'HVAC Deemed Table'!I1303</f>
        <v>0</v>
      </c>
      <c r="S194" s="2441">
        <f>'HVAC Deemed Table'!I1304</f>
        <v>1.403524</v>
      </c>
      <c r="T194" s="2441">
        <f>'HVAC Deemed Table'!I1305</f>
        <v>0</v>
      </c>
      <c r="U194" s="1819"/>
      <c r="V194" s="1819"/>
      <c r="W194" s="1821">
        <f>P194</f>
        <v>1.403524</v>
      </c>
      <c r="X194" s="68">
        <f>'HVAC Deemed Table'!J1302</f>
        <v>6</v>
      </c>
      <c r="Y194" s="68">
        <f>'HVAC Deemed Table'!J1304</f>
        <v>12</v>
      </c>
      <c r="Z194" s="68">
        <f t="shared" si="116"/>
        <v>18</v>
      </c>
      <c r="AA194" s="3616">
        <f>'HVAC Deemed Table'!BB1302</f>
        <v>1.0187541099427053</v>
      </c>
      <c r="AB194" s="2620">
        <f>'HVAC Deemed Table'!K1302</f>
        <v>4859</v>
      </c>
      <c r="AC194" s="3618">
        <f t="shared" si="117"/>
        <v>2304.9935347141904</v>
      </c>
      <c r="AD194" s="3618">
        <f t="shared" si="118"/>
        <v>2367.1406986143656</v>
      </c>
      <c r="AE194" s="2453">
        <f>'HVAC Deemed Table'!BD1302</f>
        <v>1834.6755715260178</v>
      </c>
      <c r="AF194" s="2453">
        <f>'HVAC Deemed Table'!BD1303</f>
        <v>470.31796318817271</v>
      </c>
      <c r="AG194" s="2453">
        <f>'HVAC Deemed Table'!BD1304</f>
        <v>1751.5176991415799</v>
      </c>
      <c r="AH194" s="2453">
        <f>'HVAC Deemed Table'!BD1305</f>
        <v>615.62299947278598</v>
      </c>
      <c r="AI194" s="3624" t="str">
        <f t="shared" si="138"/>
        <v>per measure</v>
      </c>
      <c r="AJ194" s="126">
        <f>'HVAC Deemed Table'!L1302</f>
        <v>4.0737704918032787</v>
      </c>
      <c r="AK194" s="1805"/>
      <c r="AL194" s="1805"/>
      <c r="AM194" s="1972">
        <f t="shared" si="132"/>
        <v>9.4741810000000004E-4</v>
      </c>
      <c r="AN194" s="100">
        <f t="shared" si="139"/>
        <v>2.9892556923960001</v>
      </c>
      <c r="AO194" s="1971">
        <f t="shared" si="145"/>
        <v>-3.0760400004936628E-7</v>
      </c>
    </row>
    <row r="195" spans="1:48" x14ac:dyDescent="0.25">
      <c r="A195" s="103" t="str">
        <f t="shared" si="124"/>
        <v>352250</v>
      </c>
      <c r="B195" s="1960" t="str">
        <f>'HVAC Deemed Table'!C1306</f>
        <v>352250_2021_12_</v>
      </c>
      <c r="C195" s="3599" t="str">
        <f>'HVAC Deemed Table'!G1306</f>
        <v>Cooling Res</v>
      </c>
      <c r="D195" s="3599" t="str">
        <f>'HVAC Deemed Table'!G1307</f>
        <v>Heating RES</v>
      </c>
      <c r="E195" s="1962"/>
      <c r="F195" s="1962"/>
      <c r="G195" s="1962" t="str">
        <f>'HVAC Deemed Table'!E1306</f>
        <v>GSHP-EER23_ROF_SF</v>
      </c>
      <c r="H195" s="63" t="str">
        <f>'HVAC Deemed Table'!D1306</f>
        <v>SF</v>
      </c>
      <c r="I195" s="2438">
        <f t="shared" si="146"/>
        <v>3649.08</v>
      </c>
      <c r="J195" s="2438">
        <f t="shared" si="147"/>
        <v>0</v>
      </c>
      <c r="K195" s="2439">
        <f>'HVAC Deemed Table'!F1306</f>
        <v>1520.53</v>
      </c>
      <c r="L195" s="2439">
        <f>'HVAC Deemed Table'!F1307</f>
        <v>2128.5500000000002</v>
      </c>
      <c r="M195" s="2439"/>
      <c r="N195" s="2439"/>
      <c r="O195" s="2440">
        <f t="shared" si="148"/>
        <v>1.4405779999999999</v>
      </c>
      <c r="P195" s="2440">
        <f t="shared" si="149"/>
        <v>0</v>
      </c>
      <c r="Q195" s="2441">
        <f>'HVAC Deemed Table'!I1306</f>
        <v>1.4405779999999999</v>
      </c>
      <c r="R195" s="2441">
        <f>'HVAC Deemed Table'!I1307</f>
        <v>0</v>
      </c>
      <c r="S195" s="2441"/>
      <c r="T195" s="2441"/>
      <c r="U195" s="1819"/>
      <c r="V195" s="1819"/>
      <c r="W195" s="1819">
        <f>O195</f>
        <v>1.4405779999999999</v>
      </c>
      <c r="X195" s="68">
        <f>'HVAC Deemed Table'!J1306</f>
        <v>18</v>
      </c>
      <c r="Y195" s="68"/>
      <c r="Z195" s="68">
        <f t="shared" ref="Z195:Z295" si="150">Y195+X195</f>
        <v>18</v>
      </c>
      <c r="AA195" s="3616">
        <f>'HVAC Deemed Table'!BB1306</f>
        <v>1.2135734381188192</v>
      </c>
      <c r="AB195" s="2620">
        <f>'HVAC Deemed Table'!K1306</f>
        <v>3200</v>
      </c>
      <c r="AC195" s="3618">
        <f t="shared" si="117"/>
        <v>3665.3468635962449</v>
      </c>
      <c r="AD195" s="3618">
        <f t="shared" si="118"/>
        <v>0</v>
      </c>
      <c r="AE195" s="2453">
        <f>'HVAC Deemed Table'!BD1306</f>
        <v>2681.922486016123</v>
      </c>
      <c r="AF195" s="2453">
        <f>'HVAC Deemed Table'!BD1307</f>
        <v>983.42437758012181</v>
      </c>
      <c r="AG195" s="2453"/>
      <c r="AH195" s="2453"/>
      <c r="AI195" s="3624" t="str">
        <f t="shared" si="138"/>
        <v>per measure</v>
      </c>
      <c r="AJ195" s="126">
        <f>'HVAC Deemed Table'!L1306</f>
        <v>4.1647727272727275</v>
      </c>
      <c r="AK195" s="1805"/>
      <c r="AL195" s="1805"/>
      <c r="AM195" s="1972">
        <f t="shared" si="132"/>
        <v>9.4741810000000004E-4</v>
      </c>
      <c r="AN195" s="100">
        <f t="shared" si="139"/>
        <v>1.440577643593</v>
      </c>
      <c r="AO195" s="1971">
        <f t="shared" si="145"/>
        <v>-3.5640699991290603E-7</v>
      </c>
    </row>
    <row r="196" spans="1:48" x14ac:dyDescent="0.25">
      <c r="A196" s="103" t="str">
        <f t="shared" si="124"/>
        <v>352300</v>
      </c>
      <c r="B196" s="1960" t="str">
        <f>'HVAC Deemed Table'!C1407</f>
        <v>352300_2021_12_</v>
      </c>
      <c r="C196" s="3599" t="str">
        <f>'HVAC Deemed Table'!G1407</f>
        <v>Cooling Res</v>
      </c>
      <c r="D196" s="3599" t="str">
        <f>'HVAC Deemed Table'!G1408</f>
        <v>Heating Res</v>
      </c>
      <c r="E196" s="3599" t="str">
        <f>'HVAC Deemed Table'!G1409</f>
        <v>Cooling Res ER2</v>
      </c>
      <c r="F196" s="3599" t="str">
        <f>'HVAC Deemed Table'!G1410</f>
        <v>Heating Res ER2</v>
      </c>
      <c r="G196" s="1962" t="str">
        <f>'HVAC Deemed Table'!E1407</f>
        <v>ASHP-SEER15-Replace_CAC_ElectricHeat_ER1_SF</v>
      </c>
      <c r="H196" s="63" t="str">
        <f>'HVAC Deemed Table'!D1407</f>
        <v>SF</v>
      </c>
      <c r="I196" s="2438">
        <f t="shared" si="146"/>
        <v>10925.369999999999</v>
      </c>
      <c r="J196" s="2438">
        <f t="shared" si="147"/>
        <v>9552.7199999999993</v>
      </c>
      <c r="K196" s="2439">
        <f>'HVAC Deemed Table'!F1407</f>
        <v>1696.71</v>
      </c>
      <c r="L196" s="2439">
        <f>'HVAC Deemed Table'!F1408</f>
        <v>9228.66</v>
      </c>
      <c r="M196" s="2439">
        <f>'HVAC Deemed Table'!F1409</f>
        <v>324.06</v>
      </c>
      <c r="N196" s="2439">
        <f>'HVAC Deemed Table'!F1410</f>
        <v>9228.66</v>
      </c>
      <c r="O196" s="2440">
        <f t="shared" si="148"/>
        <v>1.607494</v>
      </c>
      <c r="P196" s="2440">
        <f t="shared" si="149"/>
        <v>0.30702000000000002</v>
      </c>
      <c r="Q196" s="2441">
        <f>'HVAC Deemed Table'!I1407</f>
        <v>1.607494</v>
      </c>
      <c r="R196" s="2441">
        <f>'HVAC Deemed Table'!I1408</f>
        <v>0</v>
      </c>
      <c r="S196" s="2441">
        <f>'HVAC Deemed Table'!I1409</f>
        <v>0.30702000000000002</v>
      </c>
      <c r="T196" s="2441">
        <f>'HVAC Deemed Table'!I1410</f>
        <v>0</v>
      </c>
      <c r="U196" s="1819"/>
      <c r="V196" s="1819"/>
      <c r="W196" s="1821">
        <f>P196</f>
        <v>0.30702000000000002</v>
      </c>
      <c r="X196" s="68">
        <f>'HVAC Deemed Table'!J1407</f>
        <v>6</v>
      </c>
      <c r="Y196" s="68">
        <f>'HVAC Deemed Table'!J1409</f>
        <v>12</v>
      </c>
      <c r="Z196" s="68">
        <f t="shared" si="150"/>
        <v>18</v>
      </c>
      <c r="AA196" s="62">
        <f>'HVAC Deemed Table'!BB1407</f>
        <v>6.0225806229706276</v>
      </c>
      <c r="AB196" s="839">
        <f>'HVAC Deemed Table'!K1407</f>
        <v>991.06005994555017</v>
      </c>
      <c r="AC196" s="3618">
        <f t="shared" si="117"/>
        <v>2521.6453511349205</v>
      </c>
      <c r="AD196" s="3618">
        <f t="shared" si="118"/>
        <v>3111.8979364801603</v>
      </c>
      <c r="AE196" s="2453">
        <f>'HVAC Deemed Table'!BD1407</f>
        <v>986.60999409345641</v>
      </c>
      <c r="AF196" s="2453">
        <f>'HVAC Deemed Table'!BD1408</f>
        <v>1535.0353570414641</v>
      </c>
      <c r="AG196" s="2453">
        <f>'HVAC Deemed Table'!BD1409</f>
        <v>383.14375773502479</v>
      </c>
      <c r="AH196" s="2453">
        <f>'HVAC Deemed Table'!BD1410</f>
        <v>2728.7541787451355</v>
      </c>
      <c r="AI196" s="3624" t="str">
        <f t="shared" si="138"/>
        <v>per measure</v>
      </c>
      <c r="AJ196" s="126">
        <f>'HVAC Deemed Table'!L1407</f>
        <v>2.8796610169491528</v>
      </c>
      <c r="AK196" s="1805"/>
      <c r="AL196" s="1805"/>
      <c r="AM196" s="1972">
        <f t="shared" si="132"/>
        <v>9.4741810000000004E-4</v>
      </c>
      <c r="AN196" s="100">
        <f t="shared" si="139"/>
        <v>1.6074937644510001</v>
      </c>
      <c r="AO196" s="1971">
        <f t="shared" si="145"/>
        <v>-2.3554899986066857E-7</v>
      </c>
    </row>
    <row r="197" spans="1:48" s="100" customFormat="1" ht="14.25" customHeight="1" x14ac:dyDescent="0.25">
      <c r="A197" s="103" t="str">
        <f t="shared" si="124"/>
        <v>352310</v>
      </c>
      <c r="B197" s="1960" t="str">
        <f>'HVAC Deemed Table'!C1411</f>
        <v>352310_2021_12_</v>
      </c>
      <c r="C197" s="3645" t="str">
        <f>'HVAC Deemed Table'!G1411</f>
        <v>Cooling Res</v>
      </c>
      <c r="D197" s="3645" t="str">
        <f>'HVAC Deemed Table'!G1412</f>
        <v>Heating Res</v>
      </c>
      <c r="E197" s="3645" t="str">
        <f>'HVAC Deemed Table'!G1413</f>
        <v>Cooling Res ER2</v>
      </c>
      <c r="F197" s="3645" t="str">
        <f>'HVAC Deemed Table'!G1414</f>
        <v>Heating Res ER2</v>
      </c>
      <c r="G197" s="1958" t="str">
        <f>'HVAC Deemed Table'!E1411</f>
        <v>ASHP-SEER15-Replace_CAC_NonElectricHeat_ER1_SF</v>
      </c>
      <c r="H197" s="1975" t="str">
        <f>'HVAC Deemed Table'!D1411</f>
        <v>SF</v>
      </c>
      <c r="I197" s="1973">
        <f t="shared" ref="I197" si="151">K197+L197</f>
        <v>1696.71</v>
      </c>
      <c r="J197" s="1973">
        <f t="shared" ref="J197" si="152">M197+N197</f>
        <v>324.06</v>
      </c>
      <c r="K197" s="1963">
        <f>'HVAC Deemed Table'!F1411</f>
        <v>1696.71</v>
      </c>
      <c r="L197" s="1963">
        <f>'HVAC Deemed Table'!F1412</f>
        <v>0</v>
      </c>
      <c r="M197" s="1963">
        <f>'HVAC Deemed Table'!F1413</f>
        <v>324.06</v>
      </c>
      <c r="N197" s="1963">
        <f>'HVAC Deemed Table'!F1414</f>
        <v>0</v>
      </c>
      <c r="O197" s="1974">
        <f t="shared" ref="O197" si="153">Q197+R197</f>
        <v>1.607494</v>
      </c>
      <c r="P197" s="1974">
        <f t="shared" ref="P197" si="154">S197+T197</f>
        <v>0.30702000000000002</v>
      </c>
      <c r="Q197" s="1976">
        <f>'HVAC Deemed Table'!I1411</f>
        <v>1.607494</v>
      </c>
      <c r="R197" s="1976">
        <f>'HVAC Deemed Table'!I1412</f>
        <v>0</v>
      </c>
      <c r="S197" s="1976">
        <f>'HVAC Deemed Table'!I1413</f>
        <v>0.30702000000000002</v>
      </c>
      <c r="T197" s="1976">
        <f>'HVAC Deemed Table'!I1414</f>
        <v>0</v>
      </c>
      <c r="U197" s="1926"/>
      <c r="V197" s="1926"/>
      <c r="W197" s="1926">
        <f>P197</f>
        <v>0.30702000000000002</v>
      </c>
      <c r="X197" s="1952">
        <f>'HVAC Deemed Table'!J1411</f>
        <v>6</v>
      </c>
      <c r="Y197" s="1952">
        <f>'HVAC Deemed Table'!J1413</f>
        <v>12</v>
      </c>
      <c r="Z197" s="1952">
        <f t="shared" ref="Z197" si="155">Y197+X197</f>
        <v>18</v>
      </c>
      <c r="AA197" s="1951">
        <f>'HVAC Deemed Table'!BB1411</f>
        <v>1.4643452588958223</v>
      </c>
      <c r="AB197" s="2426">
        <f>'HVAC Deemed Table'!K1411</f>
        <v>991.06005994555017</v>
      </c>
      <c r="AC197" s="2436">
        <f t="shared" ref="AC197" si="156">AE197+AF197</f>
        <v>986.60999409345641</v>
      </c>
      <c r="AD197" s="2436">
        <f t="shared" ref="AD197" si="157">AG197+AH197</f>
        <v>383.14375773502479</v>
      </c>
      <c r="AE197" s="1982">
        <f>'HVAC Deemed Table'!BD1411</f>
        <v>986.60999409345641</v>
      </c>
      <c r="AF197" s="1982">
        <f>'HVAC Deemed Table'!BD1412</f>
        <v>0</v>
      </c>
      <c r="AG197" s="1982">
        <f>'HVAC Deemed Table'!BD1413</f>
        <v>383.14375773502479</v>
      </c>
      <c r="AH197" s="1982">
        <f>'HVAC Deemed Table'!BD1414</f>
        <v>0</v>
      </c>
      <c r="AI197" s="3624" t="str">
        <f t="shared" si="138"/>
        <v>per measure</v>
      </c>
      <c r="AJ197" s="112">
        <f>'HVAC Deemed Table'!L1411</f>
        <v>2.8796610169491528</v>
      </c>
      <c r="AK197" s="3646"/>
      <c r="AL197" s="3646"/>
      <c r="AM197" s="2433">
        <f t="shared" si="132"/>
        <v>9.4741810000000004E-4</v>
      </c>
      <c r="AN197" s="100">
        <f t="shared" ref="AN197" si="158">AM197*K197</f>
        <v>1.6074937644510001</v>
      </c>
      <c r="AO197" s="2437">
        <f t="shared" ref="AO197" si="159">AN197-O197</f>
        <v>-2.3554899986066857E-7</v>
      </c>
    </row>
    <row r="198" spans="1:48" x14ac:dyDescent="0.25">
      <c r="A198" s="103" t="str">
        <f t="shared" si="124"/>
        <v>352350</v>
      </c>
      <c r="B198" s="1960" t="str">
        <f>'HVAC Deemed Table'!C1415</f>
        <v>352350_2021_12_</v>
      </c>
      <c r="C198" s="3599" t="str">
        <f>'HVAC Deemed Table'!G1415</f>
        <v>Cooling Res</v>
      </c>
      <c r="D198" s="3599" t="str">
        <f>'HVAC Deemed Table'!G1416</f>
        <v>Heating Res</v>
      </c>
      <c r="E198" s="3599" t="str">
        <f>'HVAC Deemed Table'!G1417</f>
        <v>Cooling Res ER2</v>
      </c>
      <c r="F198" s="3599" t="str">
        <f>'HVAC Deemed Table'!G1418</f>
        <v>Heating Res ER2</v>
      </c>
      <c r="G198" s="1962" t="str">
        <f>'HVAC Deemed Table'!E1415</f>
        <v>ASHP-SEER15_ER1_SF</v>
      </c>
      <c r="H198" s="63" t="str">
        <f>'HVAC Deemed Table'!D1415</f>
        <v>SF</v>
      </c>
      <c r="I198" s="2438">
        <f t="shared" si="146"/>
        <v>3902.88</v>
      </c>
      <c r="J198" s="2438">
        <f t="shared" si="147"/>
        <v>659.46</v>
      </c>
      <c r="K198" s="2439">
        <f>'HVAC Deemed Table'!F1415</f>
        <v>1735.46</v>
      </c>
      <c r="L198" s="2439">
        <f>'HVAC Deemed Table'!F1416</f>
        <v>2167.42</v>
      </c>
      <c r="M198" s="2439">
        <f>'HVAC Deemed Table'!F1417</f>
        <v>175.54</v>
      </c>
      <c r="N198" s="2439">
        <f>'HVAC Deemed Table'!F1418</f>
        <v>483.92</v>
      </c>
      <c r="O198" s="2440">
        <f t="shared" si="148"/>
        <v>1.6442060000000001</v>
      </c>
      <c r="P198" s="2440">
        <f t="shared" si="149"/>
        <v>0.16631000000000001</v>
      </c>
      <c r="Q198" s="2441">
        <f>'HVAC Deemed Table'!I1415</f>
        <v>1.6442060000000001</v>
      </c>
      <c r="R198" s="2441">
        <f>'HVAC Deemed Table'!I1416</f>
        <v>0</v>
      </c>
      <c r="S198" s="2441">
        <f>'HVAC Deemed Table'!I1417</f>
        <v>0.16631000000000001</v>
      </c>
      <c r="T198" s="2441">
        <f>'HVAC Deemed Table'!I1418</f>
        <v>0</v>
      </c>
      <c r="U198" s="1819"/>
      <c r="V198" s="1819"/>
      <c r="W198" s="1821">
        <f>P198</f>
        <v>0.16631000000000001</v>
      </c>
      <c r="X198" s="68">
        <f>'HVAC Deemed Table'!J1415</f>
        <v>6</v>
      </c>
      <c r="Y198" s="68">
        <f>'HVAC Deemed Table'!J1417</f>
        <v>12</v>
      </c>
      <c r="Z198" s="68">
        <f t="shared" si="150"/>
        <v>18</v>
      </c>
      <c r="AA198" s="62">
        <f>'HVAC Deemed Table'!BB1415</f>
        <v>1.7370230636831316</v>
      </c>
      <c r="AB198" s="839">
        <f>'HVAC Deemed Table'!K1415</f>
        <v>1049.2929470045315</v>
      </c>
      <c r="AC198" s="3618">
        <f t="shared" si="117"/>
        <v>1369.6570691205343</v>
      </c>
      <c r="AD198" s="3618">
        <f t="shared" si="118"/>
        <v>350.631793085141</v>
      </c>
      <c r="AE198" s="2453">
        <f>'HVAC Deemed Table'!BD1415</f>
        <v>1009.142505407188</v>
      </c>
      <c r="AF198" s="2453">
        <f>'HVAC Deemed Table'!BD1416</f>
        <v>360.51456371334626</v>
      </c>
      <c r="AG198" s="2453">
        <f>'HVAC Deemed Table'!BD1417</f>
        <v>207.54506953282183</v>
      </c>
      <c r="AH198" s="2453">
        <f>'HVAC Deemed Table'!BD1418</f>
        <v>143.08672355231917</v>
      </c>
      <c r="AI198" s="3624" t="str">
        <f t="shared" si="138"/>
        <v>per measure</v>
      </c>
      <c r="AJ198" s="126">
        <f>'HVAC Deemed Table'!L1415</f>
        <v>3.1233766233766236</v>
      </c>
      <c r="AK198" s="1805"/>
      <c r="AL198" s="1805"/>
      <c r="AM198" s="1972">
        <f t="shared" si="132"/>
        <v>9.4741810000000004E-4</v>
      </c>
      <c r="AN198" s="100">
        <f t="shared" si="139"/>
        <v>1.644206215826</v>
      </c>
      <c r="AO198" s="1971">
        <f t="shared" si="145"/>
        <v>2.1582599996072815E-7</v>
      </c>
      <c r="AP198" s="1930"/>
      <c r="AQ198" s="1930"/>
      <c r="AR198" s="1930"/>
      <c r="AS198" s="1930"/>
      <c r="AT198" s="1930"/>
      <c r="AU198" s="1930"/>
      <c r="AV198" s="1930"/>
    </row>
    <row r="199" spans="1:48" x14ac:dyDescent="0.25">
      <c r="A199" s="103" t="str">
        <f t="shared" si="124"/>
        <v>352400</v>
      </c>
      <c r="B199" s="1960" t="str">
        <f>'HVAC Deemed Table'!C1419</f>
        <v>352400_2021_12_</v>
      </c>
      <c r="C199" s="3599" t="str">
        <f>'HVAC Deemed Table'!G1419</f>
        <v>Cooling Res</v>
      </c>
      <c r="D199" s="3599" t="str">
        <f>'HVAC Deemed Table'!G1420</f>
        <v>Heating Res</v>
      </c>
      <c r="E199" s="1962"/>
      <c r="F199" s="1962"/>
      <c r="G199" s="1962" t="str">
        <f>'HVAC Deemed Table'!E1419</f>
        <v>ASHP-SEER15-Replace_CAC_ElectricHeat_ROF_SF</v>
      </c>
      <c r="H199" s="63" t="str">
        <f>'HVAC Deemed Table'!D1419</f>
        <v>SF</v>
      </c>
      <c r="I199" s="2438">
        <f t="shared" si="146"/>
        <v>10314.029999999999</v>
      </c>
      <c r="J199" s="2438">
        <f t="shared" si="147"/>
        <v>0</v>
      </c>
      <c r="K199" s="2439">
        <f>'HVAC Deemed Table'!F1419</f>
        <v>349.89</v>
      </c>
      <c r="L199" s="2439">
        <f>'HVAC Deemed Table'!F1420</f>
        <v>9964.14</v>
      </c>
      <c r="M199" s="2439"/>
      <c r="N199" s="2439"/>
      <c r="O199" s="2440">
        <f t="shared" si="148"/>
        <v>0.33149200000000001</v>
      </c>
      <c r="P199" s="2440">
        <f t="shared" si="149"/>
        <v>0</v>
      </c>
      <c r="Q199" s="2441">
        <f>'HVAC Deemed Table'!I1419</f>
        <v>0.33149200000000001</v>
      </c>
      <c r="R199" s="2441">
        <f>'HVAC Deemed Table'!I1420</f>
        <v>0</v>
      </c>
      <c r="S199" s="2441"/>
      <c r="T199" s="2441"/>
      <c r="U199" s="1819"/>
      <c r="V199" s="1819"/>
      <c r="W199" s="1819">
        <f>O199</f>
        <v>0.33149200000000001</v>
      </c>
      <c r="X199" s="68">
        <f>'HVAC Deemed Table'!J1419</f>
        <v>18</v>
      </c>
      <c r="Y199" s="68"/>
      <c r="Z199" s="68">
        <f t="shared" si="150"/>
        <v>18</v>
      </c>
      <c r="AA199" s="62">
        <f>'HVAC Deemed Table'!BB1419</f>
        <v>18.25533118864583</v>
      </c>
      <c r="AB199" s="839">
        <f>'HVAC Deemed Table'!K1419</f>
        <v>303</v>
      </c>
      <c r="AC199" s="3618">
        <f t="shared" si="117"/>
        <v>5220.7318076070651</v>
      </c>
      <c r="AD199" s="3618">
        <f t="shared" si="118"/>
        <v>0</v>
      </c>
      <c r="AE199" s="2453">
        <f>'HVAC Deemed Table'!BD1419</f>
        <v>617.13866785409118</v>
      </c>
      <c r="AF199" s="2453">
        <f>'HVAC Deemed Table'!BD1420</f>
        <v>4603.5931397529739</v>
      </c>
      <c r="AG199" s="2453"/>
      <c r="AH199" s="2453"/>
      <c r="AI199" s="3624" t="str">
        <f t="shared" si="138"/>
        <v>per measure</v>
      </c>
      <c r="AJ199" s="126">
        <f>'HVAC Deemed Table'!L1419</f>
        <v>3.087301587301587</v>
      </c>
      <c r="AK199" s="1805"/>
      <c r="AL199" s="1805"/>
      <c r="AM199" s="1972">
        <f t="shared" si="132"/>
        <v>9.4741810000000004E-4</v>
      </c>
      <c r="AN199" s="100">
        <f t="shared" si="139"/>
        <v>0.331492119009</v>
      </c>
      <c r="AO199" s="1971">
        <f t="shared" si="145"/>
        <v>1.1900899998806835E-7</v>
      </c>
      <c r="AP199" s="1930"/>
      <c r="AQ199" s="1930"/>
      <c r="AR199" s="1930"/>
      <c r="AS199" s="1930"/>
      <c r="AT199" s="1930"/>
      <c r="AU199" s="1930"/>
      <c r="AV199" s="1930"/>
    </row>
    <row r="200" spans="1:48" s="100" customFormat="1" x14ac:dyDescent="0.25">
      <c r="A200" s="103" t="str">
        <f t="shared" si="124"/>
        <v>352410</v>
      </c>
      <c r="B200" s="1960" t="str">
        <f>'HVAC Deemed Table'!C1421</f>
        <v>352410_2021_12_</v>
      </c>
      <c r="C200" s="3645" t="str">
        <f>'HVAC Deemed Table'!G1421</f>
        <v>Cooling Res</v>
      </c>
      <c r="D200" s="3645" t="str">
        <f>'HVAC Deemed Table'!G1422</f>
        <v>Heating Res</v>
      </c>
      <c r="E200" s="1958"/>
      <c r="F200" s="1958"/>
      <c r="G200" s="1958" t="str">
        <f>'HVAC Deemed Table'!E1421</f>
        <v>ASHP-SEER15-Replace_CAC_NonElectricHeat_ROF_SF</v>
      </c>
      <c r="H200" s="1975" t="str">
        <f>'HVAC Deemed Table'!D1421</f>
        <v>SF</v>
      </c>
      <c r="I200" s="1973">
        <f t="shared" ref="I200" si="160">K200+L200</f>
        <v>349.89</v>
      </c>
      <c r="J200" s="1973">
        <f t="shared" ref="J200" si="161">M200+N200</f>
        <v>0</v>
      </c>
      <c r="K200" s="1963">
        <f>'HVAC Deemed Table'!F1421</f>
        <v>349.89</v>
      </c>
      <c r="L200" s="1963">
        <f>'HVAC Deemed Table'!F1422</f>
        <v>0</v>
      </c>
      <c r="M200" s="1963"/>
      <c r="N200" s="1963"/>
      <c r="O200" s="1974">
        <f t="shared" ref="O200" si="162">Q200+R200</f>
        <v>0.33149200000000001</v>
      </c>
      <c r="P200" s="1974">
        <f t="shared" ref="P200" si="163">S200+T200</f>
        <v>0</v>
      </c>
      <c r="Q200" s="1976">
        <f>'HVAC Deemed Table'!I1421</f>
        <v>0.33149200000000001</v>
      </c>
      <c r="R200" s="1976">
        <f>'HVAC Deemed Table'!I1422</f>
        <v>0</v>
      </c>
      <c r="S200" s="1976"/>
      <c r="T200" s="1976"/>
      <c r="U200" s="1926"/>
      <c r="V200" s="1926"/>
      <c r="W200" s="1926">
        <f>O200</f>
        <v>0.33149200000000001</v>
      </c>
      <c r="X200" s="1952">
        <f>'HVAC Deemed Table'!J1421</f>
        <v>18</v>
      </c>
      <c r="Y200" s="1952"/>
      <c r="Z200" s="1952">
        <f t="shared" ref="Z200" si="164">Y200+X200</f>
        <v>18</v>
      </c>
      <c r="AA200" s="1951">
        <f>'HVAC Deemed Table'!BB1421</f>
        <v>2.1579485762092729</v>
      </c>
      <c r="AB200" s="2426">
        <f>'HVAC Deemed Table'!K1421</f>
        <v>303</v>
      </c>
      <c r="AC200" s="2436">
        <f t="shared" ref="AC200" si="165">AE200+AF200</f>
        <v>617.13866785409118</v>
      </c>
      <c r="AD200" s="2436">
        <f t="shared" ref="AD200" si="166">AG200+AH200</f>
        <v>0</v>
      </c>
      <c r="AE200" s="1982">
        <f>'HVAC Deemed Table'!BD1421</f>
        <v>617.13866785409118</v>
      </c>
      <c r="AF200" s="1982">
        <f>'HVAC Deemed Table'!BD1422</f>
        <v>0</v>
      </c>
      <c r="AG200" s="1982"/>
      <c r="AH200" s="1982"/>
      <c r="AI200" s="3624" t="str">
        <f t="shared" si="138"/>
        <v>per measure</v>
      </c>
      <c r="AJ200" s="112">
        <f>'HVAC Deemed Table'!L1421</f>
        <v>3.087301587301587</v>
      </c>
      <c r="AK200" s="3646"/>
      <c r="AL200" s="3646"/>
      <c r="AM200" s="2433">
        <f t="shared" si="132"/>
        <v>9.4741810000000004E-4</v>
      </c>
      <c r="AN200" s="100">
        <f t="shared" ref="AN200" si="167">AM200*K200</f>
        <v>0.331492119009</v>
      </c>
      <c r="AO200" s="2437">
        <f t="shared" ref="AO200" si="168">AN200-O200</f>
        <v>1.1900899998806835E-7</v>
      </c>
    </row>
    <row r="201" spans="1:48" x14ac:dyDescent="0.25">
      <c r="A201" s="103" t="str">
        <f t="shared" si="124"/>
        <v>352450</v>
      </c>
      <c r="B201" s="1960" t="str">
        <f>'HVAC Deemed Table'!C1423</f>
        <v>352450_2021_12_</v>
      </c>
      <c r="C201" s="3599" t="str">
        <f>'HVAC Deemed Table'!G1423</f>
        <v>Cooling Res</v>
      </c>
      <c r="D201" s="3599" t="str">
        <f>'HVAC Deemed Table'!G1424</f>
        <v>Heating Res</v>
      </c>
      <c r="E201" s="1962"/>
      <c r="F201" s="1962"/>
      <c r="G201" s="1962" t="str">
        <f>'HVAC Deemed Table'!E1423</f>
        <v>ASHP-SEER15_ROF_SF</v>
      </c>
      <c r="H201" s="63" t="str">
        <f>'HVAC Deemed Table'!D1423</f>
        <v>SF</v>
      </c>
      <c r="I201" s="2438">
        <f t="shared" ref="I201:I207" si="169">K201+L201</f>
        <v>501.74</v>
      </c>
      <c r="J201" s="2438">
        <f t="shared" ref="J201:J207" si="170">M201+N201</f>
        <v>0</v>
      </c>
      <c r="K201" s="2439">
        <f>'HVAC Deemed Table'!F1423</f>
        <v>159.12</v>
      </c>
      <c r="L201" s="2439">
        <f>'HVAC Deemed Table'!F1424</f>
        <v>342.62</v>
      </c>
      <c r="M201" s="2439"/>
      <c r="N201" s="2439"/>
      <c r="O201" s="2440">
        <f t="shared" ref="O201:O207" si="171">Q201+R201</f>
        <v>0.150753</v>
      </c>
      <c r="P201" s="2440">
        <f t="shared" ref="P201:P207" si="172">S201+T201</f>
        <v>0</v>
      </c>
      <c r="Q201" s="2441">
        <f>'HVAC Deemed Table'!I1423</f>
        <v>0.150753</v>
      </c>
      <c r="R201" s="2441">
        <f>'HVAC Deemed Table'!I1424</f>
        <v>0</v>
      </c>
      <c r="S201" s="2441"/>
      <c r="T201" s="2441"/>
      <c r="U201" s="1819"/>
      <c r="V201" s="1819"/>
      <c r="W201" s="1819">
        <f>O201</f>
        <v>0.150753</v>
      </c>
      <c r="X201" s="68">
        <f>'HVAC Deemed Table'!J1423</f>
        <v>18</v>
      </c>
      <c r="Y201" s="68"/>
      <c r="Z201" s="68">
        <f t="shared" si="150"/>
        <v>18</v>
      </c>
      <c r="AA201" s="62">
        <f>'HVAC Deemed Table'!BB1423</f>
        <v>1.5348869322922503</v>
      </c>
      <c r="AB201" s="839">
        <f>'HVAC Deemed Table'!K1423</f>
        <v>303</v>
      </c>
      <c r="AC201" s="3618">
        <f t="shared" si="117"/>
        <v>438.95303490755236</v>
      </c>
      <c r="AD201" s="3618">
        <f t="shared" si="118"/>
        <v>0</v>
      </c>
      <c r="AE201" s="2453">
        <f>'HVAC Deemed Table'!BD1423</f>
        <v>280.65707744989277</v>
      </c>
      <c r="AF201" s="2453">
        <f>'HVAC Deemed Table'!BD1424</f>
        <v>158.2959574576596</v>
      </c>
      <c r="AG201" s="2453"/>
      <c r="AH201" s="2453"/>
      <c r="AI201" s="3624" t="str">
        <f t="shared" si="138"/>
        <v>per measure</v>
      </c>
      <c r="AJ201" s="126">
        <f>'HVAC Deemed Table'!L1423</f>
        <v>2.9910714285714279</v>
      </c>
      <c r="AK201" s="1805"/>
      <c r="AL201" s="1805"/>
      <c r="AM201" s="1972">
        <f t="shared" si="132"/>
        <v>9.4741810000000004E-4</v>
      </c>
      <c r="AN201" s="100">
        <f t="shared" si="139"/>
        <v>0.15075316807200001</v>
      </c>
      <c r="AO201" s="1971">
        <f t="shared" si="145"/>
        <v>1.6807200001189848E-7</v>
      </c>
      <c r="AP201" s="1930"/>
      <c r="AQ201" s="1930"/>
      <c r="AR201" s="1930"/>
      <c r="AS201" s="1930"/>
      <c r="AT201" s="1930"/>
      <c r="AU201" s="1930"/>
      <c r="AV201" s="1930"/>
    </row>
    <row r="202" spans="1:48" x14ac:dyDescent="0.25">
      <c r="A202" s="103" t="str">
        <f t="shared" ref="A202:A265" si="173">LEFT(B202,6)</f>
        <v>352500</v>
      </c>
      <c r="B202" s="1960" t="str">
        <f>'HVAC Deemed Table'!C1425</f>
        <v>352500_2021_12_</v>
      </c>
      <c r="C202" s="3599" t="str">
        <f>'HVAC Deemed Table'!G1425</f>
        <v>Cooling Res</v>
      </c>
      <c r="D202" s="3599" t="str">
        <f>'HVAC Deemed Table'!G1426</f>
        <v>Heating Res</v>
      </c>
      <c r="E202" s="3599" t="str">
        <f>'HVAC Deemed Table'!G1427</f>
        <v>Cooling Res ER2</v>
      </c>
      <c r="F202" s="3599" t="str">
        <f>'HVAC Deemed Table'!G1428</f>
        <v>Heating Res ER2</v>
      </c>
      <c r="G202" s="1962" t="str">
        <f>'HVAC Deemed Table'!E1425</f>
        <v>ASHP-SEER16-Replace_CAC_ElectricHeat_ER1_SF</v>
      </c>
      <c r="H202" s="63" t="str">
        <f>'HVAC Deemed Table'!D1425</f>
        <v>SF</v>
      </c>
      <c r="I202" s="2438">
        <f t="shared" si="169"/>
        <v>11420.22</v>
      </c>
      <c r="J202" s="2438">
        <f t="shared" si="170"/>
        <v>10032.689999999999</v>
      </c>
      <c r="K202" s="2439">
        <f>'HVAC Deemed Table'!F1425</f>
        <v>1835.16</v>
      </c>
      <c r="L202" s="2439">
        <f>'HVAC Deemed Table'!F1426</f>
        <v>9585.06</v>
      </c>
      <c r="M202" s="2439">
        <f>'HVAC Deemed Table'!F1427</f>
        <v>447.63</v>
      </c>
      <c r="N202" s="2439">
        <f>'HVAC Deemed Table'!F1428</f>
        <v>9585.06</v>
      </c>
      <c r="O202" s="2440">
        <f t="shared" si="171"/>
        <v>1.738664</v>
      </c>
      <c r="P202" s="2440">
        <f t="shared" si="172"/>
        <v>0.424093</v>
      </c>
      <c r="Q202" s="2441">
        <f>'HVAC Deemed Table'!I1425</f>
        <v>1.738664</v>
      </c>
      <c r="R202" s="2441">
        <f>'HVAC Deemed Table'!I1426</f>
        <v>0</v>
      </c>
      <c r="S202" s="2441">
        <f>'HVAC Deemed Table'!I1427</f>
        <v>0.424093</v>
      </c>
      <c r="T202" s="2441">
        <f>'HVAC Deemed Table'!I1428</f>
        <v>0</v>
      </c>
      <c r="U202" s="1819"/>
      <c r="V202" s="1819"/>
      <c r="W202" s="1821">
        <f>P202</f>
        <v>0.424093</v>
      </c>
      <c r="X202" s="68">
        <f>'HVAC Deemed Table'!J1425</f>
        <v>6</v>
      </c>
      <c r="Y202" s="68">
        <f>'HVAC Deemed Table'!J1427</f>
        <v>12</v>
      </c>
      <c r="Z202" s="68">
        <f t="shared" si="150"/>
        <v>18</v>
      </c>
      <c r="AA202" s="62">
        <f>'HVAC Deemed Table'!BB1425</f>
        <v>5.6176374972701772</v>
      </c>
      <c r="AB202" s="839">
        <f>'HVAC Deemed Table'!K1425</f>
        <v>1136.2940995261133</v>
      </c>
      <c r="AC202" s="3618">
        <f t="shared" ref="AC202:AC297" si="174">AE202+AF202</f>
        <v>2661.4330943967598</v>
      </c>
      <c r="AD202" s="3618">
        <f t="shared" ref="AD202:AD297" si="175">AG202+AH202</f>
        <v>3363.3789314878495</v>
      </c>
      <c r="AE202" s="2453">
        <f>'HVAC Deemed Table'!BD1425</f>
        <v>1067.1164764518082</v>
      </c>
      <c r="AF202" s="2453">
        <f>'HVAC Deemed Table'!BD1426</f>
        <v>1594.3166179449513</v>
      </c>
      <c r="AG202" s="2453">
        <f>'HVAC Deemed Table'!BD1427</f>
        <v>529.24347427923578</v>
      </c>
      <c r="AH202" s="2453">
        <f>'HVAC Deemed Table'!BD1428</f>
        <v>2834.1354572086138</v>
      </c>
      <c r="AI202" s="3624" t="str">
        <f t="shared" si="138"/>
        <v>per measure</v>
      </c>
      <c r="AJ202" s="126">
        <f>'HVAC Deemed Table'!L1425</f>
        <v>2.9224924012158056</v>
      </c>
      <c r="AK202" s="1805"/>
      <c r="AL202" s="1805"/>
      <c r="AM202" s="1972">
        <f t="shared" si="132"/>
        <v>9.4741810000000004E-4</v>
      </c>
      <c r="AN202" s="100">
        <f t="shared" si="139"/>
        <v>1.7386638003960002</v>
      </c>
      <c r="AO202" s="1971">
        <f t="shared" si="145"/>
        <v>-1.996039997731458E-7</v>
      </c>
      <c r="AP202" s="1930"/>
      <c r="AQ202" s="1930"/>
      <c r="AR202" s="1930"/>
      <c r="AS202" s="1930"/>
      <c r="AT202" s="1930"/>
      <c r="AU202" s="1930"/>
      <c r="AV202" s="1930"/>
    </row>
    <row r="203" spans="1:48" s="100" customFormat="1" x14ac:dyDescent="0.25">
      <c r="A203" s="103" t="str">
        <f t="shared" si="173"/>
        <v>352510</v>
      </c>
      <c r="B203" s="1960" t="str">
        <f>'HVAC Deemed Table'!C1429</f>
        <v>352510_2021_12_</v>
      </c>
      <c r="C203" s="3645" t="str">
        <f>'HVAC Deemed Table'!G1429</f>
        <v>Cooling Res</v>
      </c>
      <c r="D203" s="3645" t="str">
        <f>'HVAC Deemed Table'!G1430</f>
        <v>Heating Res</v>
      </c>
      <c r="E203" s="3645" t="str">
        <f>'HVAC Deemed Table'!G1431</f>
        <v>Cooling Res ER2</v>
      </c>
      <c r="F203" s="3645" t="str">
        <f>'HVAC Deemed Table'!G1432</f>
        <v>Heating Res ER2</v>
      </c>
      <c r="G203" s="1958" t="str">
        <f>'HVAC Deemed Table'!E1429</f>
        <v>ASHP-SEER16-Replace_CAC_NonElectricHeat_ER1_SF</v>
      </c>
      <c r="H203" s="1975" t="str">
        <f>'HVAC Deemed Table'!D1429</f>
        <v>SF</v>
      </c>
      <c r="I203" s="1973">
        <f t="shared" ref="I203" si="176">K203+L203</f>
        <v>1835.16</v>
      </c>
      <c r="J203" s="1973">
        <f t="shared" ref="J203" si="177">M203+N203</f>
        <v>447.63</v>
      </c>
      <c r="K203" s="1963">
        <f>'HVAC Deemed Table'!F1429</f>
        <v>1835.16</v>
      </c>
      <c r="L203" s="1963">
        <f>'HVAC Deemed Table'!F1430</f>
        <v>0</v>
      </c>
      <c r="M203" s="1963">
        <f>'HVAC Deemed Table'!F1431</f>
        <v>447.63</v>
      </c>
      <c r="N203" s="1963">
        <f>'HVAC Deemed Table'!F1432</f>
        <v>0</v>
      </c>
      <c r="O203" s="1974">
        <f t="shared" ref="O203" si="178">Q203+R203</f>
        <v>1.738664</v>
      </c>
      <c r="P203" s="1974">
        <f t="shared" ref="P203" si="179">S203+T203</f>
        <v>0.424093</v>
      </c>
      <c r="Q203" s="1976">
        <f>'HVAC Deemed Table'!I1429</f>
        <v>1.738664</v>
      </c>
      <c r="R203" s="1976">
        <f>'HVAC Deemed Table'!I1430</f>
        <v>0</v>
      </c>
      <c r="S203" s="1976">
        <f>'HVAC Deemed Table'!I1431</f>
        <v>0.424093</v>
      </c>
      <c r="T203" s="1976">
        <f>'HVAC Deemed Table'!I1432</f>
        <v>0</v>
      </c>
      <c r="U203" s="1926"/>
      <c r="V203" s="1926"/>
      <c r="W203" s="1926">
        <f>P203</f>
        <v>0.424093</v>
      </c>
      <c r="X203" s="1952">
        <f>'HVAC Deemed Table'!J1429</f>
        <v>6</v>
      </c>
      <c r="Y203" s="1952">
        <f>'HVAC Deemed Table'!J1431</f>
        <v>12</v>
      </c>
      <c r="Z203" s="1952">
        <f t="shared" ref="Z203" si="180">Y203+X203</f>
        <v>18</v>
      </c>
      <c r="AA203" s="1951">
        <f>'HVAC Deemed Table'!BB1429</f>
        <v>1.4884732469392468</v>
      </c>
      <c r="AB203" s="2426">
        <f>'HVAC Deemed Table'!K1429</f>
        <v>1136.2940995261133</v>
      </c>
      <c r="AC203" s="2436">
        <f t="shared" ref="AC203" si="181">AE203+AF203</f>
        <v>1067.1164764518082</v>
      </c>
      <c r="AD203" s="2436">
        <f t="shared" ref="AD203" si="182">AG203+AH203</f>
        <v>529.24347427923578</v>
      </c>
      <c r="AE203" s="1982">
        <f>'HVAC Deemed Table'!BD1429</f>
        <v>1067.1164764518082</v>
      </c>
      <c r="AF203" s="1982">
        <f>'HVAC Deemed Table'!BD1430</f>
        <v>0</v>
      </c>
      <c r="AG203" s="1982">
        <f>'HVAC Deemed Table'!BD1431</f>
        <v>529.24347427923578</v>
      </c>
      <c r="AH203" s="1982">
        <f>'HVAC Deemed Table'!BD1432</f>
        <v>0</v>
      </c>
      <c r="AI203" s="3624" t="str">
        <f t="shared" si="138"/>
        <v>per measure</v>
      </c>
      <c r="AJ203" s="112">
        <f>'HVAC Deemed Table'!L1429</f>
        <v>2.9224924012158056</v>
      </c>
      <c r="AK203" s="3646"/>
      <c r="AL203" s="3646"/>
      <c r="AM203" s="2433">
        <f t="shared" si="132"/>
        <v>9.4741810000000004E-4</v>
      </c>
      <c r="AN203" s="100">
        <f t="shared" ref="AN203" si="183">AM203*K203</f>
        <v>1.7386638003960002</v>
      </c>
      <c r="AO203" s="2437">
        <f t="shared" ref="AO203" si="184">AN203-O203</f>
        <v>-1.996039997731458E-7</v>
      </c>
    </row>
    <row r="204" spans="1:48" x14ac:dyDescent="0.25">
      <c r="A204" s="103" t="str">
        <f t="shared" si="173"/>
        <v>352550</v>
      </c>
      <c r="B204" s="1960" t="str">
        <f>'HVAC Deemed Table'!C1433</f>
        <v>352550_2021_12_</v>
      </c>
      <c r="C204" s="3599" t="str">
        <f>'HVAC Deemed Table'!G1433</f>
        <v>Cooling Res</v>
      </c>
      <c r="D204" s="3599" t="str">
        <f>'HVAC Deemed Table'!G1434</f>
        <v>Heating Res</v>
      </c>
      <c r="E204" s="3599" t="str">
        <f>'HVAC Deemed Table'!G1435</f>
        <v>Cooling Res ER2</v>
      </c>
      <c r="F204" s="3599" t="str">
        <f>'HVAC Deemed Table'!G1436</f>
        <v>Heating Res ER2</v>
      </c>
      <c r="G204" s="1962" t="str">
        <f>'HVAC Deemed Table'!E1433</f>
        <v>ASHP-SEER16_ER1_SF</v>
      </c>
      <c r="H204" s="63" t="str">
        <f>'HVAC Deemed Table'!D1433</f>
        <v>SF</v>
      </c>
      <c r="I204" s="2438">
        <f t="shared" si="169"/>
        <v>4110.9699999999993</v>
      </c>
      <c r="J204" s="2438">
        <f t="shared" si="170"/>
        <v>969.46</v>
      </c>
      <c r="K204" s="2439">
        <f>'HVAC Deemed Table'!F1433</f>
        <v>1797.54</v>
      </c>
      <c r="L204" s="2439">
        <f>'HVAC Deemed Table'!F1434</f>
        <v>2313.4299999999998</v>
      </c>
      <c r="M204" s="2439">
        <f>'HVAC Deemed Table'!F1435</f>
        <v>297.11</v>
      </c>
      <c r="N204" s="2439">
        <f>'HVAC Deemed Table'!F1436</f>
        <v>672.35</v>
      </c>
      <c r="O204" s="2440">
        <f t="shared" si="171"/>
        <v>1.703022</v>
      </c>
      <c r="P204" s="2440">
        <f t="shared" si="172"/>
        <v>0.28148699999999999</v>
      </c>
      <c r="Q204" s="2441">
        <f>'HVAC Deemed Table'!I1433</f>
        <v>1.703022</v>
      </c>
      <c r="R204" s="2441">
        <f>'HVAC Deemed Table'!I1434</f>
        <v>0</v>
      </c>
      <c r="S204" s="2441">
        <f>'HVAC Deemed Table'!I1435</f>
        <v>0.28148699999999999</v>
      </c>
      <c r="T204" s="2441">
        <f>'HVAC Deemed Table'!I1436</f>
        <v>0</v>
      </c>
      <c r="U204" s="1819"/>
      <c r="V204" s="1819"/>
      <c r="W204" s="1821">
        <f>P204</f>
        <v>0.28148699999999999</v>
      </c>
      <c r="X204" s="68">
        <f>'HVAC Deemed Table'!J1433</f>
        <v>6</v>
      </c>
      <c r="Y204" s="68">
        <f>'HVAC Deemed Table'!J1435</f>
        <v>12</v>
      </c>
      <c r="Z204" s="68">
        <f t="shared" si="150"/>
        <v>18</v>
      </c>
      <c r="AA204" s="62">
        <f>'HVAC Deemed Table'!BB1433</f>
        <v>1.800051915203813</v>
      </c>
      <c r="AB204" s="839">
        <f>'HVAC Deemed Table'!K1433</f>
        <v>1165.4895470570027</v>
      </c>
      <c r="AC204" s="3618">
        <f t="shared" si="174"/>
        <v>1430.0419609064882</v>
      </c>
      <c r="AD204" s="3618">
        <f t="shared" si="175"/>
        <v>550.08233482733181</v>
      </c>
      <c r="AE204" s="2453">
        <f>'HVAC Deemed Table'!BD1433</f>
        <v>1045.2410422421931</v>
      </c>
      <c r="AF204" s="2453">
        <f>'HVAC Deemed Table'!BD1434</f>
        <v>384.80091866429512</v>
      </c>
      <c r="AG204" s="2453">
        <f>'HVAC Deemed Table'!BD1435</f>
        <v>351.2801390503401</v>
      </c>
      <c r="AH204" s="2453">
        <f>'HVAC Deemed Table'!BD1436</f>
        <v>198.80219577699165</v>
      </c>
      <c r="AI204" s="3624" t="str">
        <f t="shared" si="138"/>
        <v>per measure</v>
      </c>
      <c r="AJ204" s="126">
        <f>'HVAC Deemed Table'!L1433</f>
        <v>3.0446808510638301</v>
      </c>
      <c r="AK204" s="1805"/>
      <c r="AL204" s="1805"/>
      <c r="AM204" s="1972">
        <f t="shared" si="132"/>
        <v>9.4741810000000004E-4</v>
      </c>
      <c r="AN204" s="100">
        <f t="shared" si="139"/>
        <v>1.7030219314740001</v>
      </c>
      <c r="AO204" s="1971">
        <f t="shared" si="145"/>
        <v>-6.8525999985524777E-8</v>
      </c>
      <c r="AP204" s="1930"/>
      <c r="AQ204" s="1930"/>
      <c r="AR204" s="1930"/>
      <c r="AS204" s="1930"/>
      <c r="AT204" s="1930"/>
      <c r="AU204" s="1930"/>
      <c r="AV204" s="1930"/>
    </row>
    <row r="205" spans="1:48" x14ac:dyDescent="0.25">
      <c r="A205" s="103" t="str">
        <f t="shared" si="173"/>
        <v>352600</v>
      </c>
      <c r="B205" s="1960" t="str">
        <f>'HVAC Deemed Table'!C1437</f>
        <v>352600_2021_12_</v>
      </c>
      <c r="C205" s="3599" t="str">
        <f>'HVAC Deemed Table'!G1437</f>
        <v>Cooling Res</v>
      </c>
      <c r="D205" s="3599" t="str">
        <f>'HVAC Deemed Table'!G1438</f>
        <v>Heating Res</v>
      </c>
      <c r="E205" s="1962"/>
      <c r="F205" s="1962"/>
      <c r="G205" s="1962" t="str">
        <f>'HVAC Deemed Table'!E1437</f>
        <v>ASHP-SEER16-Replace_CAC_ElectricHeat_ROF_SF</v>
      </c>
      <c r="H205" s="63" t="str">
        <f>'HVAC Deemed Table'!D1437</f>
        <v>SF</v>
      </c>
      <c r="I205" s="2438">
        <f t="shared" si="169"/>
        <v>10390.370000000001</v>
      </c>
      <c r="J205" s="2438">
        <f t="shared" si="170"/>
        <v>0</v>
      </c>
      <c r="K205" s="2439">
        <f>'HVAC Deemed Table'!F1437</f>
        <v>506.78</v>
      </c>
      <c r="L205" s="2439">
        <f>'HVAC Deemed Table'!F1438</f>
        <v>9883.59</v>
      </c>
      <c r="M205" s="2439"/>
      <c r="N205" s="2439"/>
      <c r="O205" s="2440">
        <f t="shared" si="171"/>
        <v>0.48013299999999998</v>
      </c>
      <c r="P205" s="2440">
        <f t="shared" si="172"/>
        <v>0</v>
      </c>
      <c r="Q205" s="2441">
        <f>'HVAC Deemed Table'!I1437</f>
        <v>0.48013299999999998</v>
      </c>
      <c r="R205" s="2441">
        <f>'HVAC Deemed Table'!I1438</f>
        <v>0</v>
      </c>
      <c r="S205" s="2441"/>
      <c r="T205" s="2441"/>
      <c r="U205" s="1819"/>
      <c r="V205" s="1819"/>
      <c r="W205" s="1819">
        <f>O205</f>
        <v>0.48013299999999998</v>
      </c>
      <c r="X205" s="68">
        <f>'HVAC Deemed Table'!J1437</f>
        <v>18</v>
      </c>
      <c r="Y205" s="68"/>
      <c r="Z205" s="68">
        <f t="shared" si="150"/>
        <v>18</v>
      </c>
      <c r="AA205" s="62">
        <f>'HVAC Deemed Table'!BB1437</f>
        <v>13.208046777380339</v>
      </c>
      <c r="AB205" s="839">
        <f>'HVAC Deemed Table'!K1437</f>
        <v>438</v>
      </c>
      <c r="AC205" s="3618">
        <f t="shared" si="174"/>
        <v>5460.2401967839432</v>
      </c>
      <c r="AD205" s="3618">
        <f t="shared" si="175"/>
        <v>0</v>
      </c>
      <c r="AE205" s="2453">
        <f>'HVAC Deemed Table'!BD1437</f>
        <v>893.86245418587646</v>
      </c>
      <c r="AF205" s="2453">
        <f>'HVAC Deemed Table'!BD1438</f>
        <v>4566.377742598067</v>
      </c>
      <c r="AG205" s="2453"/>
      <c r="AH205" s="2453"/>
      <c r="AI205" s="3624" t="str">
        <f t="shared" si="138"/>
        <v>per measure</v>
      </c>
      <c r="AJ205" s="126">
        <f>'HVAC Deemed Table'!L1437</f>
        <v>2.9556962025316453</v>
      </c>
      <c r="AK205" s="1805"/>
      <c r="AL205" s="1805"/>
      <c r="AM205" s="1972">
        <f t="shared" si="132"/>
        <v>9.4741810000000004E-4</v>
      </c>
      <c r="AN205" s="100">
        <f t="shared" si="139"/>
        <v>0.48013254471799999</v>
      </c>
      <c r="AO205" s="1971">
        <f t="shared" si="145"/>
        <v>-4.5528199998923213E-7</v>
      </c>
      <c r="AP205" s="1930"/>
      <c r="AQ205" s="1930"/>
      <c r="AR205" s="1930"/>
      <c r="AS205" s="1930"/>
      <c r="AT205" s="1930"/>
      <c r="AU205" s="1930"/>
      <c r="AV205" s="1930"/>
    </row>
    <row r="206" spans="1:48" x14ac:dyDescent="0.25">
      <c r="A206" s="103" t="str">
        <f t="shared" si="173"/>
        <v>352650</v>
      </c>
      <c r="B206" s="1960" t="str">
        <f>'HVAC Deemed Table'!C1439</f>
        <v>352650_2021_12_</v>
      </c>
      <c r="C206" s="3599" t="str">
        <f>'HVAC Deemed Table'!G1439</f>
        <v>Cooling Res</v>
      </c>
      <c r="D206" s="3599" t="str">
        <f>'HVAC Deemed Table'!G1440</f>
        <v>Heating Res</v>
      </c>
      <c r="E206" s="1962"/>
      <c r="F206" s="1962"/>
      <c r="G206" s="1962" t="str">
        <f>'HVAC Deemed Table'!E1439</f>
        <v>ASHP-SEER16_ROF_SF</v>
      </c>
      <c r="H206" s="63" t="str">
        <f>'HVAC Deemed Table'!D1439</f>
        <v>SF</v>
      </c>
      <c r="I206" s="2438">
        <f t="shared" si="169"/>
        <v>930.02</v>
      </c>
      <c r="J206" s="2438">
        <f t="shared" si="170"/>
        <v>0</v>
      </c>
      <c r="K206" s="2439">
        <f>'HVAC Deemed Table'!F1439</f>
        <v>292.86</v>
      </c>
      <c r="L206" s="2439">
        <f>'HVAC Deemed Table'!F1440</f>
        <v>637.16</v>
      </c>
      <c r="M206" s="2439"/>
      <c r="N206" s="2439"/>
      <c r="O206" s="2440">
        <f t="shared" si="171"/>
        <v>0.27746100000000001</v>
      </c>
      <c r="P206" s="2440">
        <f t="shared" si="172"/>
        <v>0</v>
      </c>
      <c r="Q206" s="2441">
        <f>'HVAC Deemed Table'!I1439</f>
        <v>0.27746100000000001</v>
      </c>
      <c r="R206" s="2441">
        <f>'HVAC Deemed Table'!I1440</f>
        <v>0</v>
      </c>
      <c r="S206" s="2441"/>
      <c r="T206" s="2441"/>
      <c r="U206" s="1819"/>
      <c r="V206" s="1819"/>
      <c r="W206" s="1819">
        <f>O206</f>
        <v>0.27746100000000001</v>
      </c>
      <c r="X206" s="68">
        <f>'HVAC Deemed Table'!J1439</f>
        <v>18</v>
      </c>
      <c r="Y206" s="68"/>
      <c r="Z206" s="68">
        <f t="shared" si="150"/>
        <v>18</v>
      </c>
      <c r="AA206" s="62">
        <f>'HVAC Deemed Table'!BB1439</f>
        <v>1.9615914316875613</v>
      </c>
      <c r="AB206" s="839">
        <f>'HVAC Deemed Table'!K1439</f>
        <v>438</v>
      </c>
      <c r="AC206" s="3618">
        <f t="shared" si="174"/>
        <v>810.92689672406959</v>
      </c>
      <c r="AD206" s="3618">
        <f t="shared" si="175"/>
        <v>0</v>
      </c>
      <c r="AE206" s="2453">
        <f>'HVAC Deemed Table'!BD1439</f>
        <v>516.54871607576422</v>
      </c>
      <c r="AF206" s="2453">
        <f>'HVAC Deemed Table'!BD1440</f>
        <v>294.37818064830532</v>
      </c>
      <c r="AG206" s="2453"/>
      <c r="AH206" s="2453"/>
      <c r="AI206" s="3624" t="str">
        <f t="shared" si="138"/>
        <v>per measure</v>
      </c>
      <c r="AJ206" s="126">
        <f>'HVAC Deemed Table'!L1439</f>
        <v>3.0921052631578942</v>
      </c>
      <c r="AK206" s="1805"/>
      <c r="AL206" s="1805"/>
      <c r="AM206" s="1972">
        <f t="shared" si="132"/>
        <v>9.4741810000000004E-4</v>
      </c>
      <c r="AN206" s="100">
        <f t="shared" si="139"/>
        <v>0.27746086476600001</v>
      </c>
      <c r="AO206" s="1971">
        <f t="shared" si="145"/>
        <v>-1.3523399999826324E-7</v>
      </c>
      <c r="AP206" s="1930"/>
      <c r="AQ206" s="1930"/>
      <c r="AR206" s="1930"/>
      <c r="AS206" s="1930"/>
      <c r="AT206" s="1930"/>
      <c r="AU206" s="1930"/>
      <c r="AV206" s="1930"/>
    </row>
    <row r="207" spans="1:48" x14ac:dyDescent="0.25">
      <c r="A207" s="103" t="str">
        <f t="shared" si="173"/>
        <v>352700</v>
      </c>
      <c r="B207" s="1960" t="str">
        <f>'HVAC Deemed Table'!C1441</f>
        <v>352700_2021_12_</v>
      </c>
      <c r="C207" s="3599" t="str">
        <f>'HVAC Deemed Table'!G1441</f>
        <v>Cooling Res</v>
      </c>
      <c r="D207" s="3599" t="str">
        <f>'HVAC Deemed Table'!G1442</f>
        <v>Heating Res</v>
      </c>
      <c r="E207" s="3599" t="str">
        <f>'HVAC Deemed Table'!G1443</f>
        <v>Cooling Res ER2</v>
      </c>
      <c r="F207" s="3599" t="str">
        <f>'HVAC Deemed Table'!G1444</f>
        <v>Heating Res ER2</v>
      </c>
      <c r="G207" s="1962" t="str">
        <f>'HVAC Deemed Table'!E1441</f>
        <v>ASHP-SEER15_ER1_MF</v>
      </c>
      <c r="H207" s="63" t="str">
        <f>'HVAC Deemed Table'!D1441</f>
        <v>MF</v>
      </c>
      <c r="I207" s="2438">
        <f t="shared" si="169"/>
        <v>2387.5</v>
      </c>
      <c r="J207" s="2438">
        <f t="shared" si="170"/>
        <v>402.61</v>
      </c>
      <c r="K207" s="2439">
        <f>'HVAC Deemed Table'!F1441</f>
        <v>1068.07</v>
      </c>
      <c r="L207" s="2439">
        <f>'HVAC Deemed Table'!F1442</f>
        <v>1319.43</v>
      </c>
      <c r="M207" s="2439">
        <f>'HVAC Deemed Table'!F1443</f>
        <v>105.03</v>
      </c>
      <c r="N207" s="2439">
        <f>'HVAC Deemed Table'!F1444</f>
        <v>297.58</v>
      </c>
      <c r="O207" s="2440">
        <f t="shared" si="171"/>
        <v>1.0119089999999999</v>
      </c>
      <c r="P207" s="2440">
        <f t="shared" si="172"/>
        <v>9.9506999999999998E-2</v>
      </c>
      <c r="Q207" s="2441">
        <f>'HVAC Deemed Table'!I1441</f>
        <v>1.0119089999999999</v>
      </c>
      <c r="R207" s="2441">
        <f>'HVAC Deemed Table'!I1442</f>
        <v>0</v>
      </c>
      <c r="S207" s="2441">
        <f>'HVAC Deemed Table'!I1443</f>
        <v>9.9506999999999998E-2</v>
      </c>
      <c r="T207" s="2441">
        <f>'HVAC Deemed Table'!I1444</f>
        <v>0</v>
      </c>
      <c r="U207" s="1819"/>
      <c r="V207" s="1819"/>
      <c r="W207" s="1821">
        <f t="shared" ref="W207:W212" si="185">P207</f>
        <v>9.9506999999999998E-2</v>
      </c>
      <c r="X207" s="68">
        <f>'HVAC Deemed Table'!J1441</f>
        <v>6</v>
      </c>
      <c r="Y207" s="68">
        <f>'HVAC Deemed Table'!J1443</f>
        <v>12</v>
      </c>
      <c r="Z207" s="68">
        <f t="shared" si="150"/>
        <v>18</v>
      </c>
      <c r="AA207" s="62">
        <f>'HVAC Deemed Table'!BB1441</f>
        <v>1.4753381217828629</v>
      </c>
      <c r="AB207" s="839">
        <f>'HVAC Deemed Table'!K1441</f>
        <v>755.98637211198456</v>
      </c>
      <c r="AC207" s="3618">
        <f t="shared" si="174"/>
        <v>840.53120537706047</v>
      </c>
      <c r="AD207" s="3618">
        <f t="shared" si="175"/>
        <v>212.16866656738082</v>
      </c>
      <c r="AE207" s="2453">
        <f>'HVAC Deemed Table'!BD1441</f>
        <v>621.06578990599326</v>
      </c>
      <c r="AF207" s="2453">
        <f>'HVAC Deemed Table'!BD1442</f>
        <v>219.46541547106719</v>
      </c>
      <c r="AG207" s="2453">
        <f>'HVAC Deemed Table'!BD1443</f>
        <v>124.17943860676928</v>
      </c>
      <c r="AH207" s="2453">
        <f>'HVAC Deemed Table'!BD1444</f>
        <v>87.989227960611544</v>
      </c>
      <c r="AI207" s="3624" t="str">
        <f t="shared" si="138"/>
        <v>per measure</v>
      </c>
      <c r="AJ207" s="126">
        <f>'HVAC Deemed Table'!L1441</f>
        <v>2.9166666666666665</v>
      </c>
      <c r="AK207" s="1805"/>
      <c r="AL207" s="1805"/>
      <c r="AM207" s="1972">
        <f t="shared" si="132"/>
        <v>9.4741810000000004E-4</v>
      </c>
      <c r="AN207" s="100">
        <f t="shared" si="139"/>
        <v>1.0119088500669999</v>
      </c>
      <c r="AO207" s="1971">
        <f t="shared" si="145"/>
        <v>-1.4993300001542309E-7</v>
      </c>
      <c r="AP207" s="1930"/>
      <c r="AQ207" s="1930"/>
      <c r="AR207" s="1930"/>
      <c r="AS207" s="1930"/>
      <c r="AT207" s="1930"/>
      <c r="AU207" s="1930"/>
      <c r="AV207" s="1930"/>
    </row>
    <row r="208" spans="1:48" x14ac:dyDescent="0.25">
      <c r="A208" s="103" t="str">
        <f t="shared" si="173"/>
        <v>352701</v>
      </c>
      <c r="B208" s="1960" t="str">
        <f>'HVAC Deemed Table'!C1445</f>
        <v>352701_2021_12_</v>
      </c>
      <c r="C208" s="3599" t="str">
        <f>'HVAC Deemed Table'!G1445</f>
        <v>Cooling Res</v>
      </c>
      <c r="D208" s="3599" t="str">
        <f>'HVAC Deemed Table'!G1446</f>
        <v>Heating Res</v>
      </c>
      <c r="E208" s="3599" t="str">
        <f>'HVAC Deemed Table'!G1447</f>
        <v>Cooling Res ER2</v>
      </c>
      <c r="F208" s="3599" t="str">
        <f>'HVAC Deemed Table'!G1448</f>
        <v>Heating Res ER2</v>
      </c>
      <c r="G208" s="1962" t="str">
        <f>'HVAC Deemed Table'!E1445</f>
        <v>ASHP-SEER15_ER1_MF_CompE</v>
      </c>
      <c r="H208" s="63" t="str">
        <f>'HVAC Deemed Table'!D1445</f>
        <v>MFc</v>
      </c>
      <c r="I208" s="2438">
        <f t="shared" ref="I208:I226" si="186">K208+L208</f>
        <v>1430.07</v>
      </c>
      <c r="J208" s="2438">
        <f t="shared" ref="J208:J226" si="187">M208+N208</f>
        <v>177.84</v>
      </c>
      <c r="K208" s="2439">
        <f>'HVAC Deemed Table'!F1445</f>
        <v>980.26</v>
      </c>
      <c r="L208" s="2439">
        <f>'HVAC Deemed Table'!F1446</f>
        <v>449.81</v>
      </c>
      <c r="M208" s="2439">
        <f>'HVAC Deemed Table'!F1447</f>
        <v>76.39</v>
      </c>
      <c r="N208" s="2439">
        <f>'HVAC Deemed Table'!F1448</f>
        <v>101.45</v>
      </c>
      <c r="O208" s="2440">
        <f t="shared" ref="O208:O226" si="188">Q208+R208</f>
        <v>0.92871599999999999</v>
      </c>
      <c r="P208" s="2440">
        <f t="shared" ref="P208:P226" si="189">S208+T208</f>
        <v>7.2373000000000007E-2</v>
      </c>
      <c r="Q208" s="2441">
        <f>'HVAC Deemed Table'!I1445</f>
        <v>0.92871599999999999</v>
      </c>
      <c r="R208" s="2441">
        <f>'HVAC Deemed Table'!I1446</f>
        <v>0</v>
      </c>
      <c r="S208" s="2441">
        <f>'HVAC Deemed Table'!I1447</f>
        <v>7.2373000000000007E-2</v>
      </c>
      <c r="T208" s="2441">
        <f>'HVAC Deemed Table'!I1448</f>
        <v>0</v>
      </c>
      <c r="U208" s="1819"/>
      <c r="V208" s="1819"/>
      <c r="W208" s="1821">
        <f t="shared" si="185"/>
        <v>7.2373000000000007E-2</v>
      </c>
      <c r="X208" s="68">
        <f>'HVAC Deemed Table'!J1445</f>
        <v>6</v>
      </c>
      <c r="Y208" s="68">
        <f>'HVAC Deemed Table'!J1447</f>
        <v>12</v>
      </c>
      <c r="Z208" s="68">
        <f t="shared" si="150"/>
        <v>18</v>
      </c>
      <c r="AA208" s="62">
        <f>'HVAC Deemed Table'!BB1445</f>
        <v>1.0723269921314686</v>
      </c>
      <c r="AB208" s="839">
        <f>'HVAC Deemed Table'!K1445</f>
        <v>755.98637211198456</v>
      </c>
      <c r="AC208" s="3618">
        <f t="shared" si="174"/>
        <v>644.82413909121146</v>
      </c>
      <c r="AD208" s="3618">
        <f t="shared" si="175"/>
        <v>120.31469290428204</v>
      </c>
      <c r="AE208" s="2453">
        <f>'HVAC Deemed Table'!BD1445</f>
        <v>570.00566555867033</v>
      </c>
      <c r="AF208" s="2453">
        <f>'HVAC Deemed Table'!BD1446</f>
        <v>74.81847353254112</v>
      </c>
      <c r="AG208" s="2453">
        <f>'HVAC Deemed Table'!BD1447</f>
        <v>90.317693184529233</v>
      </c>
      <c r="AH208" s="2453">
        <f>'HVAC Deemed Table'!BD1448</f>
        <v>29.996999719752811</v>
      </c>
      <c r="AI208" s="3624" t="str">
        <f t="shared" si="138"/>
        <v>per measure</v>
      </c>
      <c r="AJ208" s="126">
        <f>'HVAC Deemed Table'!L1445</f>
        <v>2.9166666666666665</v>
      </c>
      <c r="AK208" s="1805"/>
      <c r="AL208" s="1805"/>
      <c r="AM208" s="1972">
        <f t="shared" si="132"/>
        <v>9.4741810000000004E-4</v>
      </c>
      <c r="AN208" s="100">
        <f t="shared" si="139"/>
        <v>0.92871606670600004</v>
      </c>
      <c r="AO208" s="1804">
        <f t="shared" si="145"/>
        <v>6.6706000056981907E-8</v>
      </c>
      <c r="AP208" s="163">
        <f>AO208/O208</f>
        <v>7.1826048067419865E-8</v>
      </c>
      <c r="AQ208" s="1813" t="s">
        <v>4088</v>
      </c>
      <c r="AR208" s="1812"/>
      <c r="AS208" s="1812"/>
      <c r="AT208" s="1812"/>
      <c r="AU208" s="1812"/>
      <c r="AV208" s="1812"/>
    </row>
    <row r="209" spans="1:48" x14ac:dyDescent="0.25">
      <c r="A209" s="103" t="str">
        <f t="shared" si="173"/>
        <v>352750</v>
      </c>
      <c r="B209" s="1960" t="str">
        <f>'HVAC Deemed Table'!C1449</f>
        <v>352750_2021_12_</v>
      </c>
      <c r="C209" s="3599" t="str">
        <f>'HVAC Deemed Table'!G1449</f>
        <v>Cooling Res</v>
      </c>
      <c r="D209" s="3599" t="str">
        <f>'HVAC Deemed Table'!G1450</f>
        <v>Heating Res</v>
      </c>
      <c r="E209" s="3599" t="str">
        <f>'HVAC Deemed Table'!G1451</f>
        <v>Cooling Res ER2</v>
      </c>
      <c r="F209" s="3599" t="str">
        <f>'HVAC Deemed Table'!G1452</f>
        <v>Heating Res ER2</v>
      </c>
      <c r="G209" s="1962" t="str">
        <f>'HVAC Deemed Table'!E1449</f>
        <v>ASHP-SEER15-Replace_CAC_ElectricHeat_ER1_MF</v>
      </c>
      <c r="H209" s="63" t="str">
        <f>'HVAC Deemed Table'!D1449</f>
        <v>MF</v>
      </c>
      <c r="I209" s="2438">
        <f t="shared" si="186"/>
        <v>6315.69</v>
      </c>
      <c r="J209" s="2438">
        <f t="shared" si="187"/>
        <v>5602.46</v>
      </c>
      <c r="K209" s="2439">
        <f>'HVAC Deemed Table'!F1449</f>
        <v>914.58</v>
      </c>
      <c r="L209" s="2439">
        <f>'HVAC Deemed Table'!F1450</f>
        <v>5401.11</v>
      </c>
      <c r="M209" s="2439">
        <f>'HVAC Deemed Table'!F1451</f>
        <v>201.35</v>
      </c>
      <c r="N209" s="2439">
        <f>'HVAC Deemed Table'!F1452</f>
        <v>5401.11</v>
      </c>
      <c r="O209" s="2440">
        <f t="shared" si="188"/>
        <v>0.86648999999999998</v>
      </c>
      <c r="P209" s="2440">
        <f t="shared" si="189"/>
        <v>0.19076299999999999</v>
      </c>
      <c r="Q209" s="2441">
        <f>'HVAC Deemed Table'!I1449</f>
        <v>0.86648999999999998</v>
      </c>
      <c r="R209" s="2441">
        <f>'HVAC Deemed Table'!I1450</f>
        <v>0</v>
      </c>
      <c r="S209" s="2441">
        <f>'HVAC Deemed Table'!I1451</f>
        <v>0.19076299999999999</v>
      </c>
      <c r="T209" s="2441">
        <f>'HVAC Deemed Table'!I1452</f>
        <v>0</v>
      </c>
      <c r="U209" s="1819"/>
      <c r="V209" s="1819"/>
      <c r="W209" s="1821">
        <f t="shared" si="185"/>
        <v>0.19076299999999999</v>
      </c>
      <c r="X209" s="68">
        <f>'HVAC Deemed Table'!J1449</f>
        <v>6</v>
      </c>
      <c r="Y209" s="68">
        <f>'HVAC Deemed Table'!J1451</f>
        <v>12</v>
      </c>
      <c r="Z209" s="68">
        <f t="shared" si="150"/>
        <v>18</v>
      </c>
      <c r="AA209" s="62">
        <f>'HVAC Deemed Table'!BB1449</f>
        <v>5.0046118976828184</v>
      </c>
      <c r="AB209" s="839">
        <f>'HVAC Deemed Table'!K1449</f>
        <v>691.27403323884414</v>
      </c>
      <c r="AC209" s="3618">
        <f t="shared" si="174"/>
        <v>1430.1993387068933</v>
      </c>
      <c r="AD209" s="3618">
        <f t="shared" si="175"/>
        <v>1835.0750844231748</v>
      </c>
      <c r="AE209" s="2453">
        <f>'HVAC Deemed Table'!BD1449</f>
        <v>531.81378573709912</v>
      </c>
      <c r="AF209" s="2453">
        <f>'HVAC Deemed Table'!BD1450</f>
        <v>898.38555296979428</v>
      </c>
      <c r="AG209" s="2453">
        <f>'HVAC Deemed Table'!BD1451</f>
        <v>238.06083941229164</v>
      </c>
      <c r="AH209" s="2453">
        <f>'HVAC Deemed Table'!BD1452</f>
        <v>1597.0142450108831</v>
      </c>
      <c r="AI209" s="3624" t="str">
        <f t="shared" si="138"/>
        <v>per measure</v>
      </c>
      <c r="AJ209" s="126">
        <f>'HVAC Deemed Table'!L1449</f>
        <v>2.5</v>
      </c>
      <c r="AK209" s="1805"/>
      <c r="AL209" s="1805"/>
      <c r="AM209" s="1972">
        <f t="shared" si="132"/>
        <v>9.4741810000000004E-4</v>
      </c>
      <c r="AN209" s="100">
        <f t="shared" si="139"/>
        <v>0.86648964589800004</v>
      </c>
      <c r="AO209" s="1971">
        <f t="shared" si="145"/>
        <v>-3.5410199994423408E-7</v>
      </c>
      <c r="AP209" s="1930"/>
      <c r="AQ209" s="1930"/>
      <c r="AR209" s="1930"/>
      <c r="AS209" s="1930"/>
      <c r="AT209" s="1930"/>
      <c r="AU209" s="1930"/>
      <c r="AV209" s="1930"/>
    </row>
    <row r="210" spans="1:48" x14ac:dyDescent="0.25">
      <c r="A210" s="103" t="str">
        <f t="shared" si="173"/>
        <v>352751</v>
      </c>
      <c r="B210" s="1960" t="str">
        <f>'HVAC Deemed Table'!C1453</f>
        <v>352751_2021_12_</v>
      </c>
      <c r="C210" s="3599" t="str">
        <f>'HVAC Deemed Table'!G1453</f>
        <v>Cooling Res</v>
      </c>
      <c r="D210" s="3599" t="str">
        <f>'HVAC Deemed Table'!G1454</f>
        <v>Heating Res</v>
      </c>
      <c r="E210" s="3599" t="str">
        <f>'HVAC Deemed Table'!G1455</f>
        <v>Cooling Res ER2</v>
      </c>
      <c r="F210" s="3599" t="str">
        <f>'HVAC Deemed Table'!G1456</f>
        <v>Heating Res ER2</v>
      </c>
      <c r="G210" s="1962" t="str">
        <f>'HVAC Deemed Table'!E1453</f>
        <v>ASHP-SEER15-Replace_CAC_ElectricHeat_ER1_MF_CompE</v>
      </c>
      <c r="H210" s="63" t="str">
        <f>'HVAC Deemed Table'!D1453</f>
        <v>MFc</v>
      </c>
      <c r="I210" s="2438">
        <f t="shared" si="186"/>
        <v>2680.76</v>
      </c>
      <c r="J210" s="2438">
        <f t="shared" si="187"/>
        <v>1973.1299999999999</v>
      </c>
      <c r="K210" s="2439">
        <f>'HVAC Deemed Table'!F1453</f>
        <v>839.47</v>
      </c>
      <c r="L210" s="2439">
        <f>'HVAC Deemed Table'!F1454</f>
        <v>1841.29</v>
      </c>
      <c r="M210" s="2439">
        <f>'HVAC Deemed Table'!F1455</f>
        <v>131.84</v>
      </c>
      <c r="N210" s="2439">
        <f>'HVAC Deemed Table'!F1456</f>
        <v>1841.29</v>
      </c>
      <c r="O210" s="2440">
        <f t="shared" si="188"/>
        <v>0.79532899999999995</v>
      </c>
      <c r="P210" s="2440">
        <f t="shared" si="189"/>
        <v>0.12490800000000001</v>
      </c>
      <c r="Q210" s="2441">
        <f>'HVAC Deemed Table'!I1453</f>
        <v>0.79532899999999995</v>
      </c>
      <c r="R210" s="2441">
        <f>'HVAC Deemed Table'!I1454</f>
        <v>0</v>
      </c>
      <c r="S210" s="2441">
        <f>'HVAC Deemed Table'!I1455</f>
        <v>0.12490800000000001</v>
      </c>
      <c r="T210" s="2441">
        <f>'HVAC Deemed Table'!I1456</f>
        <v>0</v>
      </c>
      <c r="U210" s="1819"/>
      <c r="V210" s="1819"/>
      <c r="W210" s="1821">
        <f t="shared" si="185"/>
        <v>0.12490800000000001</v>
      </c>
      <c r="X210" s="68">
        <f>'HVAC Deemed Table'!J1453</f>
        <v>6</v>
      </c>
      <c r="Y210" s="68">
        <f>'HVAC Deemed Table'!J1455</f>
        <v>12</v>
      </c>
      <c r="Z210" s="68">
        <f t="shared" si="150"/>
        <v>18</v>
      </c>
      <c r="AA210" s="62">
        <f>'HVAC Deemed Table'!BB1453</f>
        <v>2.2909259386748793</v>
      </c>
      <c r="AB210" s="839">
        <f>'HVAC Deemed Table'!K1453</f>
        <v>691.27403323884414</v>
      </c>
      <c r="AC210" s="3618">
        <f t="shared" si="174"/>
        <v>794.4067282416047</v>
      </c>
      <c r="AD210" s="3618">
        <f t="shared" si="175"/>
        <v>700.31494564161255</v>
      </c>
      <c r="AE210" s="2453">
        <f>'HVAC Deemed Table'!BD1453</f>
        <v>488.13851025905063</v>
      </c>
      <c r="AF210" s="2453">
        <f>'HVAC Deemed Table'!BD1454</f>
        <v>306.26821798255406</v>
      </c>
      <c r="AG210" s="2453">
        <f>'HVAC Deemed Table'!BD1455</f>
        <v>155.87753199958547</v>
      </c>
      <c r="AH210" s="2453">
        <f>'HVAC Deemed Table'!BD1456</f>
        <v>544.43741364202708</v>
      </c>
      <c r="AI210" s="3624" t="str">
        <f t="shared" si="138"/>
        <v>per measure</v>
      </c>
      <c r="AJ210" s="126">
        <f>'HVAC Deemed Table'!L1453</f>
        <v>2.5</v>
      </c>
      <c r="AK210" s="1805"/>
      <c r="AL210" s="1805"/>
      <c r="AM210" s="1972">
        <f t="shared" si="132"/>
        <v>9.4741810000000004E-4</v>
      </c>
      <c r="AN210" s="100">
        <f t="shared" si="139"/>
        <v>0.79532907240700002</v>
      </c>
      <c r="AO210" s="1804">
        <f t="shared" si="145"/>
        <v>7.2407000062391091E-8</v>
      </c>
      <c r="AP210" s="163">
        <f>AO210/O210</f>
        <v>9.1040311697915076E-8</v>
      </c>
      <c r="AQ210" s="1930"/>
      <c r="AR210" s="1930"/>
      <c r="AS210" s="1930"/>
      <c r="AT210" s="1930"/>
      <c r="AU210" s="1930"/>
      <c r="AV210" s="1930"/>
    </row>
    <row r="211" spans="1:48" s="100" customFormat="1" x14ac:dyDescent="0.25">
      <c r="A211" s="103" t="str">
        <f t="shared" si="173"/>
        <v>352760</v>
      </c>
      <c r="B211" s="1960" t="str">
        <f>'HVAC Deemed Table'!C1457</f>
        <v>352760_2021_12_</v>
      </c>
      <c r="C211" s="3645" t="str">
        <f>'HVAC Deemed Table'!G1457</f>
        <v>Cooling Res</v>
      </c>
      <c r="D211" s="3645" t="str">
        <f>'HVAC Deemed Table'!G1458</f>
        <v>Heating Res</v>
      </c>
      <c r="E211" s="3645" t="str">
        <f>'HVAC Deemed Table'!G1459</f>
        <v>Cooling Res ER2</v>
      </c>
      <c r="F211" s="3645" t="str">
        <f>'HVAC Deemed Table'!G1460</f>
        <v>Heating Res ER2</v>
      </c>
      <c r="G211" s="1958" t="str">
        <f>'HVAC Deemed Table'!E1457</f>
        <v>ASHP-SEER15-Replace_CAC_NonElectricHeat_ER1_MF</v>
      </c>
      <c r="H211" s="1975" t="str">
        <f>'HVAC Deemed Table'!D1457</f>
        <v>MF</v>
      </c>
      <c r="I211" s="1973">
        <f t="shared" ref="I211" si="190">K211+L211</f>
        <v>914.58</v>
      </c>
      <c r="J211" s="1973">
        <f t="shared" ref="J211" si="191">M211+N211</f>
        <v>201.35</v>
      </c>
      <c r="K211" s="1963">
        <f>'HVAC Deemed Table'!F1457</f>
        <v>914.58</v>
      </c>
      <c r="L211" s="1963">
        <f>'HVAC Deemed Table'!F1458</f>
        <v>0</v>
      </c>
      <c r="M211" s="1963">
        <f>'HVAC Deemed Table'!F1459</f>
        <v>201.35</v>
      </c>
      <c r="N211" s="1963">
        <f>'HVAC Deemed Table'!F1460</f>
        <v>0</v>
      </c>
      <c r="O211" s="1974">
        <f t="shared" ref="O211" si="192">Q211+R211</f>
        <v>0.86648999999999998</v>
      </c>
      <c r="P211" s="1974">
        <f t="shared" ref="P211" si="193">S211+T211</f>
        <v>0.19076299999999999</v>
      </c>
      <c r="Q211" s="1976">
        <f>'HVAC Deemed Table'!I1457</f>
        <v>0.86648999999999998</v>
      </c>
      <c r="R211" s="1976">
        <f>'HVAC Deemed Table'!I1458</f>
        <v>0</v>
      </c>
      <c r="S211" s="1976">
        <f>'HVAC Deemed Table'!I1459</f>
        <v>0.19076299999999999</v>
      </c>
      <c r="T211" s="1976">
        <f>'HVAC Deemed Table'!I1460</f>
        <v>0</v>
      </c>
      <c r="U211" s="1926"/>
      <c r="V211" s="1926"/>
      <c r="W211" s="1926">
        <f t="shared" si="185"/>
        <v>0.19076299999999999</v>
      </c>
      <c r="X211" s="1952">
        <f>'HVAC Deemed Table'!J1457</f>
        <v>6</v>
      </c>
      <c r="Y211" s="1952">
        <f>'HVAC Deemed Table'!J1459</f>
        <v>12</v>
      </c>
      <c r="Z211" s="1952">
        <f t="shared" ref="Z211" si="194">Y211+X211</f>
        <v>18</v>
      </c>
      <c r="AA211" s="1951">
        <f>'HVAC Deemed Table'!BB1457</f>
        <v>1.1799693408474246</v>
      </c>
      <c r="AB211" s="2426">
        <f>'HVAC Deemed Table'!K1457</f>
        <v>691.27403323884414</v>
      </c>
      <c r="AC211" s="2436">
        <f t="shared" ref="AC211" si="195">AE211+AF211</f>
        <v>531.81378573709912</v>
      </c>
      <c r="AD211" s="2436">
        <f t="shared" ref="AD211" si="196">AG211+AH211</f>
        <v>238.06083941229164</v>
      </c>
      <c r="AE211" s="1982">
        <f>'HVAC Deemed Table'!BD1457</f>
        <v>531.81378573709912</v>
      </c>
      <c r="AF211" s="1982">
        <f>'HVAC Deemed Table'!BD1458</f>
        <v>0</v>
      </c>
      <c r="AG211" s="1982">
        <f>'HVAC Deemed Table'!BD1459</f>
        <v>238.06083941229164</v>
      </c>
      <c r="AH211" s="1982">
        <f>'HVAC Deemed Table'!BD1460</f>
        <v>0</v>
      </c>
      <c r="AI211" s="3624" t="str">
        <f t="shared" si="138"/>
        <v>per measure</v>
      </c>
      <c r="AJ211" s="112">
        <f>'HVAC Deemed Table'!L1457</f>
        <v>2.5</v>
      </c>
      <c r="AK211" s="3646"/>
      <c r="AL211" s="3646"/>
      <c r="AM211" s="2433">
        <f t="shared" si="132"/>
        <v>9.4741810000000004E-4</v>
      </c>
      <c r="AN211" s="100">
        <f t="shared" ref="AN211" si="197">AM211*K211</f>
        <v>0.86648964589800004</v>
      </c>
      <c r="AO211" s="3647">
        <f t="shared" ref="AO211" si="198">AN211-O211</f>
        <v>-3.5410199994423408E-7</v>
      </c>
      <c r="AP211" s="2204">
        <f>AO211/O211</f>
        <v>-4.0866253499086437E-7</v>
      </c>
    </row>
    <row r="212" spans="1:48" s="100" customFormat="1" x14ac:dyDescent="0.25">
      <c r="A212" s="103" t="str">
        <f t="shared" si="173"/>
        <v>352761</v>
      </c>
      <c r="B212" s="1960" t="str">
        <f>'HVAC Deemed Table'!C1461</f>
        <v>352761_2021_12_</v>
      </c>
      <c r="C212" s="3645" t="str">
        <f>'HVAC Deemed Table'!G1461</f>
        <v>Cooling Res</v>
      </c>
      <c r="D212" s="3645" t="str">
        <f>'HVAC Deemed Table'!G1462</f>
        <v>Heating Res</v>
      </c>
      <c r="E212" s="3645" t="str">
        <f>'HVAC Deemed Table'!G1463</f>
        <v>Cooling Res ER2</v>
      </c>
      <c r="F212" s="3645" t="str">
        <f>'HVAC Deemed Table'!G1464</f>
        <v>Heating Res ER2</v>
      </c>
      <c r="G212" s="1958" t="str">
        <f>'HVAC Deemed Table'!E1461</f>
        <v>ASHP-SEER15-Replace_CAC_NonElectricHeat_ER1_MF_CompE</v>
      </c>
      <c r="H212" s="1975" t="str">
        <f>'HVAC Deemed Table'!D1461</f>
        <v>MFc</v>
      </c>
      <c r="I212" s="1973">
        <f t="shared" ref="I212" si="199">K212+L212</f>
        <v>839.47</v>
      </c>
      <c r="J212" s="1973">
        <f t="shared" ref="J212" si="200">M212+N212</f>
        <v>131.84</v>
      </c>
      <c r="K212" s="1963">
        <f>'HVAC Deemed Table'!F1461</f>
        <v>839.47</v>
      </c>
      <c r="L212" s="1963">
        <f>'HVAC Deemed Table'!F1462</f>
        <v>0</v>
      </c>
      <c r="M212" s="1963">
        <f>'HVAC Deemed Table'!F1463</f>
        <v>131.84</v>
      </c>
      <c r="N212" s="1963">
        <f>'HVAC Deemed Table'!F1464</f>
        <v>0</v>
      </c>
      <c r="O212" s="1974">
        <f t="shared" ref="O212" si="201">Q212+R212</f>
        <v>0.79532899999999995</v>
      </c>
      <c r="P212" s="1974">
        <f t="shared" ref="P212" si="202">S212+T212</f>
        <v>0.12490800000000001</v>
      </c>
      <c r="Q212" s="1976">
        <f>'HVAC Deemed Table'!I1461</f>
        <v>0.79532899999999995</v>
      </c>
      <c r="R212" s="1976">
        <f>'HVAC Deemed Table'!I1462</f>
        <v>0</v>
      </c>
      <c r="S212" s="1976">
        <f>'HVAC Deemed Table'!I1463</f>
        <v>0.12490800000000001</v>
      </c>
      <c r="T212" s="1976">
        <f>'HVAC Deemed Table'!I1464</f>
        <v>0</v>
      </c>
      <c r="U212" s="1926"/>
      <c r="V212" s="1926"/>
      <c r="W212" s="1926">
        <f t="shared" si="185"/>
        <v>0.12490800000000001</v>
      </c>
      <c r="X212" s="1952">
        <f>'HVAC Deemed Table'!J1461</f>
        <v>6</v>
      </c>
      <c r="Y212" s="1952">
        <f>'HVAC Deemed Table'!J1463</f>
        <v>12</v>
      </c>
      <c r="Z212" s="1952">
        <f t="shared" ref="Z212" si="203">Y212+X212</f>
        <v>18</v>
      </c>
      <c r="AA212" s="1951">
        <f>'HVAC Deemed Table'!BB1461</f>
        <v>0.98706875126794968</v>
      </c>
      <c r="AB212" s="2426">
        <f>'HVAC Deemed Table'!K1461</f>
        <v>691.27403323884414</v>
      </c>
      <c r="AC212" s="2436">
        <f t="shared" ref="AC212" si="204">AE212+AF212</f>
        <v>488.13851025905063</v>
      </c>
      <c r="AD212" s="2436">
        <f t="shared" ref="AD212" si="205">AG212+AH212</f>
        <v>155.87753199958547</v>
      </c>
      <c r="AE212" s="1982">
        <f>'HVAC Deemed Table'!BD1461</f>
        <v>488.13851025905063</v>
      </c>
      <c r="AF212" s="1982">
        <f>'HVAC Deemed Table'!BD1462</f>
        <v>0</v>
      </c>
      <c r="AG212" s="1982">
        <f>'HVAC Deemed Table'!BD1463</f>
        <v>155.87753199958547</v>
      </c>
      <c r="AH212" s="1982">
        <f>'HVAC Deemed Table'!BD1464</f>
        <v>0</v>
      </c>
      <c r="AI212" s="3624" t="str">
        <f t="shared" si="138"/>
        <v>per measure</v>
      </c>
      <c r="AJ212" s="112">
        <f>'HVAC Deemed Table'!L1461</f>
        <v>2.5</v>
      </c>
      <c r="AK212" s="3646"/>
      <c r="AL212" s="3646"/>
      <c r="AM212" s="2433">
        <f t="shared" si="132"/>
        <v>9.4741810000000004E-4</v>
      </c>
      <c r="AN212" s="100">
        <f t="shared" ref="AN212" si="206">AM212*K212</f>
        <v>0.79532907240700002</v>
      </c>
      <c r="AO212" s="3647">
        <f t="shared" ref="AO212" si="207">AN212-O212</f>
        <v>7.2407000062391091E-8</v>
      </c>
      <c r="AP212" s="2204">
        <f>AO212/O212</f>
        <v>9.1040311697915076E-8</v>
      </c>
    </row>
    <row r="213" spans="1:48" x14ac:dyDescent="0.25">
      <c r="A213" s="103" t="str">
        <f t="shared" si="173"/>
        <v>352800</v>
      </c>
      <c r="B213" s="684" t="str">
        <f>'HVAC Deemed Table'!C1465</f>
        <v>352800_2019_12_</v>
      </c>
      <c r="C213" s="3599" t="str">
        <f>'HVAC Deemed Table'!G1465</f>
        <v>Cooling Res</v>
      </c>
      <c r="D213" s="3599" t="str">
        <f>'HVAC Deemed Table'!G1466</f>
        <v>Heating Res</v>
      </c>
      <c r="E213" s="1962"/>
      <c r="F213" s="1962"/>
      <c r="G213" s="1962" t="str">
        <f>'HVAC Deemed Table'!E1465</f>
        <v>ASHP-SEER15-Replace_CAC_ElectricHeat_ROF_MF</v>
      </c>
      <c r="H213" s="63" t="str">
        <f>'HVAC Deemed Table'!D1465</f>
        <v>MF</v>
      </c>
      <c r="I213" s="2438">
        <f t="shared" si="186"/>
        <v>5565.47</v>
      </c>
      <c r="J213" s="2438">
        <f t="shared" si="187"/>
        <v>0</v>
      </c>
      <c r="K213" s="2439">
        <f>'HVAC Deemed Table'!F1465</f>
        <v>196.21</v>
      </c>
      <c r="L213" s="2439">
        <f>'HVAC Deemed Table'!F1466</f>
        <v>5369.26</v>
      </c>
      <c r="M213" s="2439"/>
      <c r="N213" s="2439"/>
      <c r="O213" s="2440">
        <f t="shared" si="188"/>
        <v>0.185893</v>
      </c>
      <c r="P213" s="2440">
        <f t="shared" si="189"/>
        <v>0</v>
      </c>
      <c r="Q213" s="2441">
        <f>'HVAC Deemed Table'!I1465</f>
        <v>0.185893</v>
      </c>
      <c r="R213" s="2441">
        <f>'HVAC Deemed Table'!I1466</f>
        <v>0</v>
      </c>
      <c r="S213" s="2441"/>
      <c r="T213" s="2441"/>
      <c r="U213" s="1819"/>
      <c r="V213" s="1819"/>
      <c r="W213" s="1819">
        <f>O213</f>
        <v>0.185893</v>
      </c>
      <c r="X213" s="68">
        <f>'HVAC Deemed Table'!J1465</f>
        <v>18</v>
      </c>
      <c r="Y213" s="68"/>
      <c r="Z213" s="68">
        <f t="shared" si="150"/>
        <v>18</v>
      </c>
      <c r="AA213" s="62">
        <f>'HVAC Deemed Table'!BB1465</f>
        <v>9.8843352671619051</v>
      </c>
      <c r="AB213" s="839">
        <f>'HVAC Deemed Table'!K1465</f>
        <v>303</v>
      </c>
      <c r="AC213" s="3618">
        <f t="shared" si="174"/>
        <v>2826.7612892402612</v>
      </c>
      <c r="AD213" s="3618">
        <f t="shared" si="175"/>
        <v>0</v>
      </c>
      <c r="AE213" s="2453">
        <f>'HVAC Deemed Table'!BD1465</f>
        <v>346.0767041631691</v>
      </c>
      <c r="AF213" s="2453">
        <f>'HVAC Deemed Table'!BD1466</f>
        <v>2480.6845850770924</v>
      </c>
      <c r="AG213" s="2453"/>
      <c r="AH213" s="2453"/>
      <c r="AI213" s="3624" t="str">
        <f t="shared" si="138"/>
        <v>per measure</v>
      </c>
      <c r="AJ213" s="126">
        <f>'HVAC Deemed Table'!L1465</f>
        <v>2.6</v>
      </c>
      <c r="AK213" s="1805"/>
      <c r="AL213" s="1805"/>
      <c r="AM213" s="1972">
        <f t="shared" si="132"/>
        <v>9.4741810000000004E-4</v>
      </c>
      <c r="AN213" s="100">
        <f t="shared" ref="AN213:AN264" si="208">AM213*K213</f>
        <v>0.18589290540100001</v>
      </c>
      <c r="AO213" s="1971">
        <f t="shared" si="145"/>
        <v>-9.4598999994532917E-8</v>
      </c>
      <c r="AP213" s="1930"/>
      <c r="AQ213" s="1930"/>
      <c r="AR213" s="1930"/>
      <c r="AS213" s="1930"/>
      <c r="AT213" s="1930"/>
      <c r="AU213" s="1930"/>
      <c r="AV213" s="1930"/>
    </row>
    <row r="214" spans="1:48" x14ac:dyDescent="0.25">
      <c r="A214" s="103" t="str">
        <f t="shared" si="173"/>
        <v>352801</v>
      </c>
      <c r="B214" s="1960" t="str">
        <f>'HVAC Deemed Table'!C1467</f>
        <v>352801_2021_12_</v>
      </c>
      <c r="C214" s="3599" t="str">
        <f>'HVAC Deemed Table'!G1467</f>
        <v>Cooling Res</v>
      </c>
      <c r="D214" s="3599" t="str">
        <f>'HVAC Deemed Table'!G1468</f>
        <v>Heating Res</v>
      </c>
      <c r="E214" s="1962"/>
      <c r="F214" s="1962"/>
      <c r="G214" s="1962" t="str">
        <f>'HVAC Deemed Table'!E1467</f>
        <v>ASHP-SEER15-Replace_CAC_ElectricHeat_ROF_MF_CompE</v>
      </c>
      <c r="H214" s="63" t="str">
        <f>'HVAC Deemed Table'!D1467</f>
        <v>MFc</v>
      </c>
      <c r="I214" s="2438">
        <f t="shared" si="186"/>
        <v>1973.13</v>
      </c>
      <c r="J214" s="2438">
        <f t="shared" si="187"/>
        <v>0</v>
      </c>
      <c r="K214" s="2439">
        <f>'HVAC Deemed Table'!F1467</f>
        <v>142.69999999999999</v>
      </c>
      <c r="L214" s="2439">
        <f>'HVAC Deemed Table'!F1468</f>
        <v>1830.43</v>
      </c>
      <c r="M214" s="2439"/>
      <c r="N214" s="2439"/>
      <c r="O214" s="2440">
        <f t="shared" si="188"/>
        <v>0.13519700000000001</v>
      </c>
      <c r="P214" s="2440">
        <f t="shared" si="189"/>
        <v>0</v>
      </c>
      <c r="Q214" s="2441">
        <f>'HVAC Deemed Table'!I1467</f>
        <v>0.13519700000000001</v>
      </c>
      <c r="R214" s="2441">
        <f>'HVAC Deemed Table'!I1468</f>
        <v>0</v>
      </c>
      <c r="S214" s="2441"/>
      <c r="T214" s="2441"/>
      <c r="U214" s="1819"/>
      <c r="V214" s="1819"/>
      <c r="W214" s="1819">
        <f>O214</f>
        <v>0.13519700000000001</v>
      </c>
      <c r="X214" s="68">
        <f>'HVAC Deemed Table'!J1467</f>
        <v>18</v>
      </c>
      <c r="Y214" s="68"/>
      <c r="Z214" s="68">
        <f t="shared" si="150"/>
        <v>18</v>
      </c>
      <c r="AA214" s="62">
        <f>'HVAC Deemed Table'!BB1467</f>
        <v>3.8372204948054049</v>
      </c>
      <c r="AB214" s="839">
        <f>'HVAC Deemed Table'!K1467</f>
        <v>303</v>
      </c>
      <c r="AC214" s="3618">
        <f t="shared" si="174"/>
        <v>1097.3834921434993</v>
      </c>
      <c r="AD214" s="3618">
        <f t="shared" si="175"/>
        <v>0</v>
      </c>
      <c r="AE214" s="2453">
        <f>'HVAC Deemed Table'!BD1467</f>
        <v>251.69535540535256</v>
      </c>
      <c r="AF214" s="2453">
        <f>'HVAC Deemed Table'!BD1468</f>
        <v>845.6881367381468</v>
      </c>
      <c r="AG214" s="2453"/>
      <c r="AH214" s="2453"/>
      <c r="AI214" s="3624" t="str">
        <f t="shared" si="138"/>
        <v>per measure</v>
      </c>
      <c r="AJ214" s="126">
        <f>'HVAC Deemed Table'!L1467</f>
        <v>2.6</v>
      </c>
      <c r="AK214" s="1805"/>
      <c r="AL214" s="1805"/>
      <c r="AM214" s="1972">
        <f t="shared" si="132"/>
        <v>9.4741810000000004E-4</v>
      </c>
      <c r="AN214" s="100">
        <f t="shared" si="208"/>
        <v>0.13519656286999998</v>
      </c>
      <c r="AO214" s="1804">
        <f t="shared" si="145"/>
        <v>-4.3713000003053892E-7</v>
      </c>
      <c r="AP214" s="163">
        <f>AO214/O214</f>
        <v>-3.2332818038162007E-6</v>
      </c>
      <c r="AQ214" s="1930"/>
      <c r="AR214" s="1930"/>
      <c r="AS214" s="1930"/>
      <c r="AT214" s="1930"/>
      <c r="AU214" s="1930"/>
      <c r="AV214" s="1930"/>
    </row>
    <row r="215" spans="1:48" s="100" customFormat="1" x14ac:dyDescent="0.25">
      <c r="A215" s="103" t="str">
        <f t="shared" si="173"/>
        <v>352810</v>
      </c>
      <c r="B215" s="1960" t="str">
        <f>'HVAC Deemed Table'!C1469</f>
        <v>352810_2021_12_</v>
      </c>
      <c r="C215" s="3645" t="str">
        <f>'HVAC Deemed Table'!G1469</f>
        <v>Cooling Res</v>
      </c>
      <c r="D215" s="3645" t="str">
        <f>'HVAC Deemed Table'!G1470</f>
        <v>Heating Res</v>
      </c>
      <c r="E215" s="1958"/>
      <c r="F215" s="1958"/>
      <c r="G215" s="1958" t="str">
        <f>'HVAC Deemed Table'!E1469</f>
        <v>ASHP-SEER15-Replace_CAC_NonElectricHeat_ROF_MF</v>
      </c>
      <c r="H215" s="1975" t="str">
        <f>'HVAC Deemed Table'!D1469</f>
        <v>MF</v>
      </c>
      <c r="I215" s="1973">
        <f t="shared" ref="I215" si="209">K215+L215</f>
        <v>196.21</v>
      </c>
      <c r="J215" s="1973">
        <f t="shared" ref="J215" si="210">M215+N215</f>
        <v>0</v>
      </c>
      <c r="K215" s="1963">
        <f>'HVAC Deemed Table'!F1469</f>
        <v>196.21</v>
      </c>
      <c r="L215" s="1963">
        <f>'HVAC Deemed Table'!F1470</f>
        <v>0</v>
      </c>
      <c r="M215" s="1963"/>
      <c r="N215" s="1963"/>
      <c r="O215" s="1974">
        <f t="shared" ref="O215" si="211">Q215+R215</f>
        <v>0.185893</v>
      </c>
      <c r="P215" s="1974">
        <f t="shared" ref="P215" si="212">S215+T215</f>
        <v>0</v>
      </c>
      <c r="Q215" s="1976">
        <f>'HVAC Deemed Table'!I1469</f>
        <v>0.185893</v>
      </c>
      <c r="R215" s="1976">
        <f>'HVAC Deemed Table'!I1470</f>
        <v>0</v>
      </c>
      <c r="S215" s="1976"/>
      <c r="T215" s="1976"/>
      <c r="U215" s="1926"/>
      <c r="V215" s="1926"/>
      <c r="W215" s="1926">
        <f>O215</f>
        <v>0.185893</v>
      </c>
      <c r="X215" s="1952">
        <f>'HVAC Deemed Table'!J1469</f>
        <v>18</v>
      </c>
      <c r="Y215" s="1952"/>
      <c r="Z215" s="1952">
        <f t="shared" ref="Z215" si="213">Y215+X215</f>
        <v>18</v>
      </c>
      <c r="AA215" s="1951">
        <f>'HVAC Deemed Table'!BB1469</f>
        <v>1.2101262972306195</v>
      </c>
      <c r="AB215" s="2426">
        <f>'HVAC Deemed Table'!K1469</f>
        <v>303</v>
      </c>
      <c r="AC215" s="2436">
        <f t="shared" ref="AC215" si="214">AE215+AF215</f>
        <v>346.0767041631691</v>
      </c>
      <c r="AD215" s="2436">
        <f t="shared" ref="AD215" si="215">AG215+AH215</f>
        <v>0</v>
      </c>
      <c r="AE215" s="1982">
        <f>'HVAC Deemed Table'!BD1469</f>
        <v>346.0767041631691</v>
      </c>
      <c r="AF215" s="1982">
        <f>'HVAC Deemed Table'!BD1470</f>
        <v>0</v>
      </c>
      <c r="AG215" s="1982"/>
      <c r="AH215" s="1982"/>
      <c r="AI215" s="3624" t="str">
        <f t="shared" si="138"/>
        <v>per measure</v>
      </c>
      <c r="AJ215" s="112">
        <f>'HVAC Deemed Table'!L1469</f>
        <v>2.6</v>
      </c>
      <c r="AK215" s="3646"/>
      <c r="AL215" s="3646"/>
      <c r="AM215" s="2433">
        <f t="shared" si="132"/>
        <v>9.4741810000000004E-4</v>
      </c>
      <c r="AN215" s="100">
        <f t="shared" ref="AN215" si="216">AM215*K215</f>
        <v>0.18589290540100001</v>
      </c>
      <c r="AO215" s="3647">
        <f t="shared" ref="AO215" si="217">AN215-O215</f>
        <v>-9.4598999994532917E-8</v>
      </c>
      <c r="AP215" s="2204">
        <f>AO215/O215</f>
        <v>-5.0888952243781588E-7</v>
      </c>
    </row>
    <row r="216" spans="1:48" s="100" customFormat="1" x14ac:dyDescent="0.25">
      <c r="A216" s="103" t="str">
        <f t="shared" si="173"/>
        <v>352811</v>
      </c>
      <c r="B216" s="1960" t="str">
        <f>'HVAC Deemed Table'!C1471</f>
        <v>352811_2021_12_</v>
      </c>
      <c r="C216" s="3645" t="str">
        <f>'HVAC Deemed Table'!G1471</f>
        <v>Cooling Res</v>
      </c>
      <c r="D216" s="3645" t="str">
        <f>'HVAC Deemed Table'!G1472</f>
        <v>Heating Res</v>
      </c>
      <c r="E216" s="1958"/>
      <c r="F216" s="1958"/>
      <c r="G216" s="1958" t="str">
        <f>'HVAC Deemed Table'!E1471</f>
        <v>ASHP-SEER15-Replace_CAC_NonElectricHeat_ROF_MF_CompE</v>
      </c>
      <c r="H216" s="1975" t="str">
        <f>'HVAC Deemed Table'!D1471</f>
        <v>MFc</v>
      </c>
      <c r="I216" s="1973">
        <f t="shared" ref="I216" si="218">K216+L216</f>
        <v>142.69999999999999</v>
      </c>
      <c r="J216" s="1973">
        <f t="shared" ref="J216" si="219">M216+N216</f>
        <v>0</v>
      </c>
      <c r="K216" s="1963">
        <f>'HVAC Deemed Table'!F1471</f>
        <v>142.69999999999999</v>
      </c>
      <c r="L216" s="1963">
        <f>'HVAC Deemed Table'!F1472</f>
        <v>0</v>
      </c>
      <c r="M216" s="1963"/>
      <c r="N216" s="1963"/>
      <c r="O216" s="1974">
        <f t="shared" ref="O216" si="220">Q216+R216</f>
        <v>0.13519700000000001</v>
      </c>
      <c r="P216" s="1974">
        <f t="shared" ref="P216" si="221">S216+T216</f>
        <v>0</v>
      </c>
      <c r="Q216" s="1976">
        <f>'HVAC Deemed Table'!I1471</f>
        <v>0.13519700000000001</v>
      </c>
      <c r="R216" s="1976">
        <f>'HVAC Deemed Table'!I1472</f>
        <v>0</v>
      </c>
      <c r="S216" s="1976"/>
      <c r="T216" s="1976"/>
      <c r="U216" s="1926"/>
      <c r="V216" s="1926"/>
      <c r="W216" s="1926">
        <f>O216</f>
        <v>0.13519700000000001</v>
      </c>
      <c r="X216" s="1952">
        <f>'HVAC Deemed Table'!J1471</f>
        <v>18</v>
      </c>
      <c r="Y216" s="1952"/>
      <c r="Z216" s="1952">
        <f t="shared" ref="Z216" si="222">Y216+X216</f>
        <v>18</v>
      </c>
      <c r="AA216" s="1951">
        <f>'HVAC Deemed Table'!BB1471</f>
        <v>0.8801030661781224</v>
      </c>
      <c r="AB216" s="2426">
        <f>'HVAC Deemed Table'!K1471</f>
        <v>303</v>
      </c>
      <c r="AC216" s="2436">
        <f t="shared" ref="AC216" si="223">AE216+AF216</f>
        <v>251.69535540535256</v>
      </c>
      <c r="AD216" s="2436">
        <f t="shared" ref="AD216" si="224">AG216+AH216</f>
        <v>0</v>
      </c>
      <c r="AE216" s="1982">
        <f>'HVAC Deemed Table'!BD1471</f>
        <v>251.69535540535256</v>
      </c>
      <c r="AF216" s="1982">
        <f>'HVAC Deemed Table'!BD1472</f>
        <v>0</v>
      </c>
      <c r="AG216" s="1982"/>
      <c r="AH216" s="1982"/>
      <c r="AI216" s="3624" t="str">
        <f t="shared" si="138"/>
        <v>per measure</v>
      </c>
      <c r="AJ216" s="112">
        <f>'HVAC Deemed Table'!L1471</f>
        <v>2.6</v>
      </c>
      <c r="AK216" s="3646"/>
      <c r="AL216" s="3646"/>
      <c r="AM216" s="2433">
        <f t="shared" si="132"/>
        <v>9.4741810000000004E-4</v>
      </c>
      <c r="AN216" s="100">
        <f t="shared" ref="AN216" si="225">AM216*K216</f>
        <v>0.13519656286999998</v>
      </c>
      <c r="AO216" s="3647">
        <f t="shared" ref="AO216" si="226">AN216-O216</f>
        <v>-4.3713000003053892E-7</v>
      </c>
      <c r="AP216" s="2204">
        <f>AO216/O216</f>
        <v>-3.2332818038162007E-6</v>
      </c>
    </row>
    <row r="217" spans="1:48" x14ac:dyDescent="0.25">
      <c r="A217" s="103" t="str">
        <f t="shared" si="173"/>
        <v>352850</v>
      </c>
      <c r="B217" s="1960" t="str">
        <f>'HVAC Deemed Table'!C1473</f>
        <v>352850_2021_12_</v>
      </c>
      <c r="C217" s="3599" t="str">
        <f>'HVAC Deemed Table'!G1473</f>
        <v>Cooling Res</v>
      </c>
      <c r="D217" s="3599" t="str">
        <f>'HVAC Deemed Table'!G1474</f>
        <v>Heating Res</v>
      </c>
      <c r="E217" s="3599" t="str">
        <f>'HVAC Deemed Table'!G1475</f>
        <v>Cooling Res ER2</v>
      </c>
      <c r="F217" s="3599" t="str">
        <f>'HVAC Deemed Table'!G1476</f>
        <v>Heating Res ER2</v>
      </c>
      <c r="G217" s="1962" t="str">
        <f>'HVAC Deemed Table'!E1473</f>
        <v>ASHP-SEER16_ER1_MF</v>
      </c>
      <c r="H217" s="63" t="str">
        <f>'HVAC Deemed Table'!D1473</f>
        <v>MF</v>
      </c>
      <c r="I217" s="2438">
        <f t="shared" si="186"/>
        <v>2658.6099999999997</v>
      </c>
      <c r="J217" s="2438">
        <f t="shared" si="187"/>
        <v>571.80999999999995</v>
      </c>
      <c r="K217" s="2439">
        <f>'HVAC Deemed Table'!F1473</f>
        <v>1217.31</v>
      </c>
      <c r="L217" s="2439">
        <f>'HVAC Deemed Table'!F1474</f>
        <v>1441.3</v>
      </c>
      <c r="M217" s="2439">
        <f>'HVAC Deemed Table'!F1475</f>
        <v>181.56</v>
      </c>
      <c r="N217" s="2439">
        <f>'HVAC Deemed Table'!F1476</f>
        <v>390.25</v>
      </c>
      <c r="O217" s="2440">
        <f t="shared" si="188"/>
        <v>1.153302</v>
      </c>
      <c r="P217" s="2440">
        <f t="shared" si="189"/>
        <v>0.172013</v>
      </c>
      <c r="Q217" s="2441">
        <f>'HVAC Deemed Table'!I1473</f>
        <v>1.153302</v>
      </c>
      <c r="R217" s="2441">
        <f>'HVAC Deemed Table'!I1474</f>
        <v>0</v>
      </c>
      <c r="S217" s="2441">
        <f>'HVAC Deemed Table'!I1475</f>
        <v>0.172013</v>
      </c>
      <c r="T217" s="2441">
        <f>'HVAC Deemed Table'!I1476</f>
        <v>0</v>
      </c>
      <c r="U217" s="1819"/>
      <c r="V217" s="1819"/>
      <c r="W217" s="1821">
        <f>P217</f>
        <v>0.172013</v>
      </c>
      <c r="X217" s="68">
        <f>'HVAC Deemed Table'!J1473</f>
        <v>6</v>
      </c>
      <c r="Y217" s="68">
        <f>'HVAC Deemed Table'!J1475</f>
        <v>12</v>
      </c>
      <c r="Z217" s="68">
        <f t="shared" si="150"/>
        <v>18</v>
      </c>
      <c r="AA217" s="62">
        <f>'HVAC Deemed Table'!BB1473</f>
        <v>1.4975239481203484</v>
      </c>
      <c r="AB217" s="839">
        <f>'HVAC Deemed Table'!K1473</f>
        <v>903.92883988661288</v>
      </c>
      <c r="AC217" s="3618">
        <f t="shared" si="174"/>
        <v>947.5829660125944</v>
      </c>
      <c r="AD217" s="3618">
        <f t="shared" si="175"/>
        <v>330.05279153987999</v>
      </c>
      <c r="AE217" s="2453">
        <f>'HVAC Deemed Table'!BD1473</f>
        <v>707.84648638241379</v>
      </c>
      <c r="AF217" s="2453">
        <f>'HVAC Deemed Table'!BD1474</f>
        <v>239.73647963018055</v>
      </c>
      <c r="AG217" s="2453">
        <f>'HVAC Deemed Table'!BD1475</f>
        <v>214.66265708316701</v>
      </c>
      <c r="AH217" s="2453">
        <f>'HVAC Deemed Table'!BD1476</f>
        <v>115.39013445671301</v>
      </c>
      <c r="AI217" s="3624" t="str">
        <f>AI214</f>
        <v>per measure</v>
      </c>
      <c r="AJ217" s="126">
        <f>'HVAC Deemed Table'!L1473</f>
        <v>3</v>
      </c>
      <c r="AK217" s="1805"/>
      <c r="AL217" s="1805"/>
      <c r="AM217" s="1972">
        <f t="shared" si="132"/>
        <v>9.4741810000000004E-4</v>
      </c>
      <c r="AN217" s="100">
        <f t="shared" si="208"/>
        <v>1.1533015273109999</v>
      </c>
      <c r="AO217" s="1971">
        <f t="shared" si="145"/>
        <v>-4.7268900016383952E-7</v>
      </c>
      <c r="AP217" s="1930"/>
      <c r="AQ217" s="1930"/>
      <c r="AR217" s="1930"/>
      <c r="AS217" s="1930"/>
      <c r="AT217" s="1930"/>
      <c r="AU217" s="1930"/>
      <c r="AV217" s="1930"/>
    </row>
    <row r="218" spans="1:48" x14ac:dyDescent="0.25">
      <c r="A218" s="103" t="str">
        <f t="shared" si="173"/>
        <v>352851</v>
      </c>
      <c r="B218" s="1960" t="str">
        <f>'HVAC Deemed Table'!C1477</f>
        <v>352851_2021_12_</v>
      </c>
      <c r="C218" s="3599" t="str">
        <f>'HVAC Deemed Table'!G1477</f>
        <v>Cooling Res</v>
      </c>
      <c r="D218" s="3599" t="str">
        <f>'HVAC Deemed Table'!G1478</f>
        <v>Heating Res</v>
      </c>
      <c r="E218" s="3599" t="str">
        <f>'HVAC Deemed Table'!G1479</f>
        <v>Cooling Res ER2</v>
      </c>
      <c r="F218" s="3599" t="str">
        <f>'HVAC Deemed Table'!G1480</f>
        <v>Heating Res ER2</v>
      </c>
      <c r="G218" s="1962" t="str">
        <f>'HVAC Deemed Table'!E1477</f>
        <v>ASHP-SEER16_ER1_MF_CompE</v>
      </c>
      <c r="H218" s="63" t="str">
        <f>'HVAC Deemed Table'!D1477</f>
        <v>MFc</v>
      </c>
      <c r="I218" s="2438">
        <f t="shared" si="186"/>
        <v>1342.42</v>
      </c>
      <c r="J218" s="2438">
        <f t="shared" si="187"/>
        <v>265.08</v>
      </c>
      <c r="K218" s="2439">
        <f>'HVAC Deemed Table'!F1477</f>
        <v>851.07</v>
      </c>
      <c r="L218" s="2439">
        <f>'HVAC Deemed Table'!F1478</f>
        <v>491.35</v>
      </c>
      <c r="M218" s="2439">
        <f>'HVAC Deemed Table'!F1479</f>
        <v>132.04</v>
      </c>
      <c r="N218" s="2439">
        <f>'HVAC Deemed Table'!F1480</f>
        <v>133.04</v>
      </c>
      <c r="O218" s="2440">
        <f t="shared" si="188"/>
        <v>0.80631900000000001</v>
      </c>
      <c r="P218" s="2440">
        <f t="shared" si="189"/>
        <v>0.12509700000000001</v>
      </c>
      <c r="Q218" s="2441">
        <f>'HVAC Deemed Table'!I1477</f>
        <v>0.80631900000000001</v>
      </c>
      <c r="R218" s="2441">
        <f>'HVAC Deemed Table'!I1478</f>
        <v>0</v>
      </c>
      <c r="S218" s="2441">
        <f>'HVAC Deemed Table'!I1479</f>
        <v>0.12509700000000001</v>
      </c>
      <c r="T218" s="2441">
        <f>'HVAC Deemed Table'!I1480</f>
        <v>0</v>
      </c>
      <c r="U218" s="1819"/>
      <c r="V218" s="1819"/>
      <c r="W218" s="1821">
        <f>P218</f>
        <v>0.12509700000000001</v>
      </c>
      <c r="X218" s="68">
        <f>'HVAC Deemed Table'!J1477</f>
        <v>6</v>
      </c>
      <c r="Y218" s="68">
        <f>'HVAC Deemed Table'!J1479</f>
        <v>12</v>
      </c>
      <c r="Z218" s="68">
        <f t="shared" si="150"/>
        <v>18</v>
      </c>
      <c r="AA218" s="62">
        <f>'HVAC Deemed Table'!BB1477</f>
        <v>0.90493967451385515</v>
      </c>
      <c r="AB218" s="839">
        <f>'HVAC Deemed Table'!K1477</f>
        <v>903.92883988661288</v>
      </c>
      <c r="AC218" s="3618">
        <f t="shared" si="174"/>
        <v>576.61169384687605</v>
      </c>
      <c r="AD218" s="3618">
        <f t="shared" si="175"/>
        <v>195.45160974036131</v>
      </c>
      <c r="AE218" s="2453">
        <f>'HVAC Deemed Table'!BD1477</f>
        <v>494.88372654909676</v>
      </c>
      <c r="AF218" s="2453">
        <f>'HVAC Deemed Table'!BD1478</f>
        <v>81.727967297779244</v>
      </c>
      <c r="AG218" s="2453">
        <f>'HVAC Deemed Table'!BD1479</f>
        <v>156.11399670225472</v>
      </c>
      <c r="AH218" s="2453">
        <f>'HVAC Deemed Table'!BD1480</f>
        <v>39.337613038106589</v>
      </c>
      <c r="AI218" s="3624" t="str">
        <f t="shared" si="138"/>
        <v>per measure</v>
      </c>
      <c r="AJ218" s="126">
        <f>'HVAC Deemed Table'!L1477</f>
        <v>3</v>
      </c>
      <c r="AK218" s="1805"/>
      <c r="AL218" s="1805"/>
      <c r="AM218" s="1972">
        <f t="shared" si="132"/>
        <v>9.4741810000000004E-4</v>
      </c>
      <c r="AN218" s="100">
        <f t="shared" si="208"/>
        <v>0.8063191223670001</v>
      </c>
      <c r="AO218" s="1804">
        <f t="shared" si="145"/>
        <v>1.2236700008827484E-7</v>
      </c>
      <c r="AP218" s="163">
        <f>AO218/O218</f>
        <v>1.517600355297033E-7</v>
      </c>
      <c r="AQ218" s="1930"/>
      <c r="AR218" s="1930"/>
      <c r="AS218" s="1930"/>
      <c r="AT218" s="1930"/>
      <c r="AU218" s="1930"/>
      <c r="AV218" s="1930"/>
    </row>
    <row r="219" spans="1:48" x14ac:dyDescent="0.25">
      <c r="A219" s="103" t="str">
        <f t="shared" si="173"/>
        <v>352900</v>
      </c>
      <c r="B219" s="1960" t="str">
        <f>'HVAC Deemed Table'!C1481</f>
        <v>352900_2021_12_</v>
      </c>
      <c r="C219" s="3599" t="str">
        <f>'HVAC Deemed Table'!G1481</f>
        <v>Cooling Res</v>
      </c>
      <c r="D219" s="3599" t="str">
        <f>'HVAC Deemed Table'!G1482</f>
        <v>Heating Res</v>
      </c>
      <c r="E219" s="1962"/>
      <c r="F219" s="1962"/>
      <c r="G219" s="1962" t="str">
        <f>'HVAC Deemed Table'!E1481</f>
        <v>ASHP-SEER16_ROF_MF</v>
      </c>
      <c r="H219" s="63" t="str">
        <f>'HVAC Deemed Table'!D1481</f>
        <v>MF</v>
      </c>
      <c r="I219" s="2438">
        <f t="shared" si="186"/>
        <v>561.03</v>
      </c>
      <c r="J219" s="2438">
        <f t="shared" si="187"/>
        <v>0</v>
      </c>
      <c r="K219" s="2439">
        <f>'HVAC Deemed Table'!F1481</f>
        <v>181.56</v>
      </c>
      <c r="L219" s="2439">
        <f>'HVAC Deemed Table'!F1482</f>
        <v>379.47</v>
      </c>
      <c r="M219" s="2439"/>
      <c r="N219" s="2439"/>
      <c r="O219" s="2440">
        <f t="shared" si="188"/>
        <v>0.172013</v>
      </c>
      <c r="P219" s="2440">
        <f t="shared" si="189"/>
        <v>0</v>
      </c>
      <c r="Q219" s="2441">
        <f>'HVAC Deemed Table'!I1481</f>
        <v>0.172013</v>
      </c>
      <c r="R219" s="2441">
        <f>'HVAC Deemed Table'!I1482</f>
        <v>0</v>
      </c>
      <c r="S219" s="2441"/>
      <c r="T219" s="2441"/>
      <c r="U219" s="1819"/>
      <c r="V219" s="1819"/>
      <c r="W219" s="1819">
        <f t="shared" ref="W219:W224" si="227">O219</f>
        <v>0.172013</v>
      </c>
      <c r="X219" s="68">
        <f>'HVAC Deemed Table'!J1481</f>
        <v>18</v>
      </c>
      <c r="Y219" s="68"/>
      <c r="Z219" s="68">
        <f t="shared" si="150"/>
        <v>18</v>
      </c>
      <c r="AA219" s="62">
        <f>'HVAC Deemed Table'!BB1481</f>
        <v>1.1987303284345801</v>
      </c>
      <c r="AB219" s="839">
        <f>'HVAC Deemed Table'!K1481</f>
        <v>438</v>
      </c>
      <c r="AC219" s="3618">
        <f t="shared" si="174"/>
        <v>495.55817258550826</v>
      </c>
      <c r="AD219" s="3618">
        <f t="shared" si="175"/>
        <v>0</v>
      </c>
      <c r="AE219" s="2453">
        <f>'HVAC Deemed Table'!BD1481</f>
        <v>320.23692170564692</v>
      </c>
      <c r="AF219" s="2453">
        <f>'HVAC Deemed Table'!BD1482</f>
        <v>175.32125087986131</v>
      </c>
      <c r="AG219" s="2453"/>
      <c r="AH219" s="2453"/>
      <c r="AI219" s="3624" t="str">
        <f t="shared" si="138"/>
        <v>per measure</v>
      </c>
      <c r="AJ219" s="126">
        <f>'HVAC Deemed Table'!L1481</f>
        <v>3</v>
      </c>
      <c r="AK219" s="1805"/>
      <c r="AL219" s="1805"/>
      <c r="AM219" s="1972">
        <f t="shared" si="132"/>
        <v>9.4741810000000004E-4</v>
      </c>
      <c r="AN219" s="100">
        <f t="shared" si="208"/>
        <v>0.17201323023600001</v>
      </c>
      <c r="AO219" s="1971">
        <f t="shared" si="145"/>
        <v>2.302360000150383E-7</v>
      </c>
      <c r="AP219" s="1930"/>
      <c r="AQ219" s="1930"/>
      <c r="AR219" s="1930"/>
      <c r="AS219" s="1930"/>
      <c r="AT219" s="1930"/>
      <c r="AU219" s="1930"/>
      <c r="AV219" s="1930"/>
    </row>
    <row r="220" spans="1:48" x14ac:dyDescent="0.25">
      <c r="A220" s="103" t="str">
        <f t="shared" si="173"/>
        <v>352901</v>
      </c>
      <c r="B220" s="1960" t="str">
        <f>'HVAC Deemed Table'!C1483</f>
        <v>352901_2021_12_</v>
      </c>
      <c r="C220" s="3599" t="str">
        <f>'HVAC Deemed Table'!G1483</f>
        <v>Cooling Res</v>
      </c>
      <c r="D220" s="3599" t="str">
        <f>'HVAC Deemed Table'!G1484</f>
        <v>Heating Res</v>
      </c>
      <c r="E220" s="1962"/>
      <c r="F220" s="1962"/>
      <c r="G220" s="1962" t="str">
        <f>'HVAC Deemed Table'!E1483</f>
        <v>ASHP-SEER16_ROF_MF_CompE</v>
      </c>
      <c r="H220" s="63" t="str">
        <f>'HVAC Deemed Table'!D1483</f>
        <v>MFc</v>
      </c>
      <c r="I220" s="2438">
        <f t="shared" si="186"/>
        <v>261.40999999999997</v>
      </c>
      <c r="J220" s="2438">
        <f t="shared" si="187"/>
        <v>0</v>
      </c>
      <c r="K220" s="2439">
        <f>'HVAC Deemed Table'!F1483</f>
        <v>132.04</v>
      </c>
      <c r="L220" s="2439">
        <f>'HVAC Deemed Table'!F1484</f>
        <v>129.37</v>
      </c>
      <c r="M220" s="2439"/>
      <c r="N220" s="2439"/>
      <c r="O220" s="2440">
        <f t="shared" si="188"/>
        <v>0.12509700000000001</v>
      </c>
      <c r="P220" s="2440">
        <f t="shared" si="189"/>
        <v>0</v>
      </c>
      <c r="Q220" s="2441">
        <f>'HVAC Deemed Table'!I1483</f>
        <v>0.12509700000000001</v>
      </c>
      <c r="R220" s="2441">
        <f>'HVAC Deemed Table'!I1484</f>
        <v>0</v>
      </c>
      <c r="S220" s="2441"/>
      <c r="T220" s="2441"/>
      <c r="U220" s="1819"/>
      <c r="V220" s="1819"/>
      <c r="W220" s="1819">
        <f t="shared" si="227"/>
        <v>0.12509700000000001</v>
      </c>
      <c r="X220" s="68">
        <f>'HVAC Deemed Table'!J1483</f>
        <v>18</v>
      </c>
      <c r="Y220" s="68"/>
      <c r="Z220" s="68">
        <f t="shared" si="150"/>
        <v>18</v>
      </c>
      <c r="AA220" s="62">
        <f>'HVAC Deemed Table'!BB1483</f>
        <v>0.70793997295731637</v>
      </c>
      <c r="AB220" s="839">
        <f>'HVAC Deemed Table'!K1483</f>
        <v>438</v>
      </c>
      <c r="AC220" s="3618">
        <f t="shared" si="174"/>
        <v>292.66418891486978</v>
      </c>
      <c r="AD220" s="3618">
        <f t="shared" si="175"/>
        <v>0</v>
      </c>
      <c r="AE220" s="2453">
        <f>'HVAC Deemed Table'!BD1483</f>
        <v>232.89316557619307</v>
      </c>
      <c r="AF220" s="2453">
        <f>'HVAC Deemed Table'!BD1484</f>
        <v>59.771023338676727</v>
      </c>
      <c r="AG220" s="2453"/>
      <c r="AH220" s="2453"/>
      <c r="AI220" s="3624" t="str">
        <f t="shared" si="138"/>
        <v>per measure</v>
      </c>
      <c r="AJ220" s="126">
        <f>'HVAC Deemed Table'!L1483</f>
        <v>3</v>
      </c>
      <c r="AK220" s="1805"/>
      <c r="AL220" s="1805"/>
      <c r="AM220" s="1972">
        <f t="shared" si="132"/>
        <v>9.4741810000000004E-4</v>
      </c>
      <c r="AN220" s="100">
        <f t="shared" si="208"/>
        <v>0.12509708592399998</v>
      </c>
      <c r="AO220" s="1971">
        <f t="shared" si="145"/>
        <v>8.5923999970649589E-8</v>
      </c>
      <c r="AP220" s="1930"/>
    </row>
    <row r="221" spans="1:48" x14ac:dyDescent="0.25">
      <c r="A221" s="103" t="str">
        <f t="shared" si="173"/>
        <v>352950</v>
      </c>
      <c r="B221" s="684" t="str">
        <f>'HVAC Deemed Table'!C1485</f>
        <v>352950_2019_12_</v>
      </c>
      <c r="C221" s="3599" t="str">
        <f>'HVAC Deemed Table'!G1485</f>
        <v>Cooling Res</v>
      </c>
      <c r="D221" s="3599" t="str">
        <f>'HVAC Deemed Table'!G1486</f>
        <v>Heating Res</v>
      </c>
      <c r="E221" s="1962"/>
      <c r="F221" s="1962"/>
      <c r="G221" s="1962" t="str">
        <f>'HVAC Deemed Table'!E1485</f>
        <v>ASHP-SEER16-Replace_CAC_ElectricHeat_ROF_MF</v>
      </c>
      <c r="H221" s="63" t="str">
        <f>'HVAC Deemed Table'!D1485</f>
        <v>MF</v>
      </c>
      <c r="I221" s="2438">
        <f t="shared" si="186"/>
        <v>4552.54</v>
      </c>
      <c r="J221" s="2438">
        <f t="shared" si="187"/>
        <v>0</v>
      </c>
      <c r="K221" s="2439">
        <f>'HVAC Deemed Table'!F1485</f>
        <v>245.36</v>
      </c>
      <c r="L221" s="2439">
        <f>'HVAC Deemed Table'!F1486</f>
        <v>4307.18</v>
      </c>
      <c r="M221" s="2439"/>
      <c r="N221" s="2439"/>
      <c r="O221" s="2440">
        <f t="shared" si="188"/>
        <v>0.232459</v>
      </c>
      <c r="P221" s="2440">
        <f t="shared" si="189"/>
        <v>0</v>
      </c>
      <c r="Q221" s="2441">
        <f>'HVAC Deemed Table'!I1485</f>
        <v>0.232459</v>
      </c>
      <c r="R221" s="2441">
        <f>'HVAC Deemed Table'!I1486</f>
        <v>0</v>
      </c>
      <c r="S221" s="2441"/>
      <c r="T221" s="2441"/>
      <c r="U221" s="1819"/>
      <c r="V221" s="1819"/>
      <c r="W221" s="1819">
        <f t="shared" si="227"/>
        <v>0.232459</v>
      </c>
      <c r="X221" s="68">
        <f>'HVAC Deemed Table'!J1485</f>
        <v>18</v>
      </c>
      <c r="Y221" s="68"/>
      <c r="Z221" s="68">
        <f t="shared" si="150"/>
        <v>18</v>
      </c>
      <c r="AA221" s="62">
        <f>'HVAC Deemed Table'!BB1485</f>
        <v>5.8605211376387798</v>
      </c>
      <c r="AB221" s="839">
        <f>'HVAC Deemed Table'!K1485</f>
        <v>438</v>
      </c>
      <c r="AC221" s="3618">
        <f t="shared" si="174"/>
        <v>2422.7543730871025</v>
      </c>
      <c r="AD221" s="3618">
        <f t="shared" si="175"/>
        <v>0</v>
      </c>
      <c r="AE221" s="2453">
        <f>'HVAC Deemed Table'!BD1485</f>
        <v>432.76785145239882</v>
      </c>
      <c r="AF221" s="2453">
        <f>'HVAC Deemed Table'!BD1486</f>
        <v>1989.9865216347039</v>
      </c>
      <c r="AG221" s="2453"/>
      <c r="AH221" s="2453"/>
      <c r="AI221" s="3624" t="str">
        <f t="shared" si="138"/>
        <v>per measure</v>
      </c>
      <c r="AJ221" s="126">
        <f>'HVAC Deemed Table'!L1485</f>
        <v>2</v>
      </c>
      <c r="AK221" s="1805"/>
      <c r="AL221" s="1805"/>
      <c r="AM221" s="1972">
        <f t="shared" si="132"/>
        <v>9.4741810000000004E-4</v>
      </c>
      <c r="AN221" s="100">
        <f t="shared" si="208"/>
        <v>0.23245850501600002</v>
      </c>
      <c r="AO221" s="1971">
        <f t="shared" si="145"/>
        <v>-4.9498399998237907E-7</v>
      </c>
      <c r="AP221" s="1930"/>
    </row>
    <row r="222" spans="1:48" x14ac:dyDescent="0.25">
      <c r="A222" s="103" t="str">
        <f t="shared" si="173"/>
        <v>352951</v>
      </c>
      <c r="B222" s="684" t="str">
        <f>'HVAC Deemed Table'!C1487</f>
        <v>352951_2019_12_</v>
      </c>
      <c r="C222" s="3599" t="str">
        <f>'HVAC Deemed Table'!G1487</f>
        <v>Cooling Res</v>
      </c>
      <c r="D222" s="3599" t="str">
        <f>'HVAC Deemed Table'!G1488</f>
        <v>Heating Res</v>
      </c>
      <c r="E222" s="1962"/>
      <c r="F222" s="1962"/>
      <c r="G222" s="1962" t="str">
        <f>'HVAC Deemed Table'!E1487</f>
        <v>ASHP-SEER16-Replace_CAC_ElectricHeat_ROF_MF_CompE</v>
      </c>
      <c r="H222" s="63" t="str">
        <f>'HVAC Deemed Table'!D1487</f>
        <v>MFc</v>
      </c>
      <c r="I222" s="2438">
        <f t="shared" si="186"/>
        <v>1646.81</v>
      </c>
      <c r="J222" s="2438">
        <f t="shared" si="187"/>
        <v>0</v>
      </c>
      <c r="K222" s="2439">
        <f>'HVAC Deemed Table'!F1487</f>
        <v>178.45</v>
      </c>
      <c r="L222" s="2439">
        <f>'HVAC Deemed Table'!F1488</f>
        <v>1468.36</v>
      </c>
      <c r="M222" s="2439"/>
      <c r="N222" s="2439"/>
      <c r="O222" s="2440">
        <f t="shared" si="188"/>
        <v>0.169067</v>
      </c>
      <c r="P222" s="2440">
        <f t="shared" si="189"/>
        <v>0</v>
      </c>
      <c r="Q222" s="2441">
        <f>'HVAC Deemed Table'!I1487</f>
        <v>0.169067</v>
      </c>
      <c r="R222" s="2441">
        <f>'HVAC Deemed Table'!I1488</f>
        <v>0</v>
      </c>
      <c r="S222" s="2441"/>
      <c r="T222" s="2441"/>
      <c r="U222" s="1819"/>
      <c r="V222" s="1819"/>
      <c r="W222" s="1819">
        <f t="shared" si="227"/>
        <v>0.169067</v>
      </c>
      <c r="X222" s="68">
        <f>'HVAC Deemed Table'!J1487</f>
        <v>18</v>
      </c>
      <c r="Y222" s="68"/>
      <c r="Z222" s="68">
        <f t="shared" si="150"/>
        <v>18</v>
      </c>
      <c r="AA222" s="62">
        <f>'HVAC Deemed Table'!BB1487</f>
        <v>2.4023979770006005</v>
      </c>
      <c r="AB222" s="839">
        <f>'HVAC Deemed Table'!K1487</f>
        <v>438</v>
      </c>
      <c r="AC222" s="3618">
        <f t="shared" si="174"/>
        <v>993.15744589548171</v>
      </c>
      <c r="AD222" s="3618">
        <f t="shared" si="175"/>
        <v>0</v>
      </c>
      <c r="AE222" s="2453">
        <f>'HVAC Deemed Table'!BD1487</f>
        <v>314.7514798324118</v>
      </c>
      <c r="AF222" s="2453">
        <f>'HVAC Deemed Table'!BD1488</f>
        <v>678.40596606306985</v>
      </c>
      <c r="AG222" s="2453"/>
      <c r="AH222" s="2453"/>
      <c r="AI222" s="3624" t="str">
        <f t="shared" si="138"/>
        <v>per measure</v>
      </c>
      <c r="AJ222" s="126">
        <f>'HVAC Deemed Table'!L1487</f>
        <v>2</v>
      </c>
      <c r="AK222" s="1805"/>
      <c r="AL222" s="1805"/>
      <c r="AM222" s="1972">
        <f t="shared" si="132"/>
        <v>9.4741810000000004E-4</v>
      </c>
      <c r="AN222" s="100">
        <f t="shared" si="208"/>
        <v>0.16906675994500001</v>
      </c>
      <c r="AO222" s="1804">
        <f t="shared" si="145"/>
        <v>-2.4005499998924762E-7</v>
      </c>
      <c r="AP222" s="163">
        <f>AO222/O222</f>
        <v>-1.4198808755655901E-6</v>
      </c>
    </row>
    <row r="223" spans="1:48" s="100" customFormat="1" x14ac:dyDescent="0.25">
      <c r="A223" s="103" t="str">
        <f t="shared" si="173"/>
        <v>352960</v>
      </c>
      <c r="B223" s="1960" t="str">
        <f>'HVAC Deemed Table'!C1489</f>
        <v>352960_2021_12_</v>
      </c>
      <c r="C223" s="3645" t="str">
        <f>'HVAC Deemed Table'!G1489</f>
        <v>Cooling Res</v>
      </c>
      <c r="D223" s="3645" t="str">
        <f>'HVAC Deemed Table'!G1490</f>
        <v>Heating Res</v>
      </c>
      <c r="E223" s="1958"/>
      <c r="F223" s="1958"/>
      <c r="G223" s="1958" t="str">
        <f>'HVAC Deemed Table'!E1489</f>
        <v>ASHP-SEER16-Replace_CAC_NonElectricHeat_ROF_MF</v>
      </c>
      <c r="H223" s="1975" t="str">
        <f>'HVAC Deemed Table'!D1489</f>
        <v>MF</v>
      </c>
      <c r="I223" s="1973">
        <f t="shared" ref="I223" si="228">K223+L223</f>
        <v>245.36</v>
      </c>
      <c r="J223" s="1973">
        <f t="shared" ref="J223" si="229">M223+N223</f>
        <v>0</v>
      </c>
      <c r="K223" s="1963">
        <f>'HVAC Deemed Table'!F1489</f>
        <v>245.36</v>
      </c>
      <c r="L223" s="1963">
        <f>'HVAC Deemed Table'!F1490</f>
        <v>0</v>
      </c>
      <c r="M223" s="1963"/>
      <c r="N223" s="1963"/>
      <c r="O223" s="1974">
        <f t="shared" ref="O223" si="230">Q223+R223</f>
        <v>0.232459</v>
      </c>
      <c r="P223" s="1974">
        <f t="shared" ref="P223" si="231">S223+T223</f>
        <v>0</v>
      </c>
      <c r="Q223" s="1976">
        <f>'HVAC Deemed Table'!I1489</f>
        <v>0.232459</v>
      </c>
      <c r="R223" s="1976">
        <f>'HVAC Deemed Table'!I1490</f>
        <v>0</v>
      </c>
      <c r="S223" s="1976"/>
      <c r="T223" s="1976"/>
      <c r="U223" s="1926"/>
      <c r="V223" s="1926"/>
      <c r="W223" s="1926">
        <f t="shared" si="227"/>
        <v>0.232459</v>
      </c>
      <c r="X223" s="1952">
        <f>'HVAC Deemed Table'!J1489</f>
        <v>18</v>
      </c>
      <c r="Y223" s="1952"/>
      <c r="Z223" s="1952">
        <f t="shared" ref="Z223" si="232">Y223+X223</f>
        <v>18</v>
      </c>
      <c r="AA223" s="1951">
        <f>'HVAC Deemed Table'!BB1489</f>
        <v>1.0468436954653346</v>
      </c>
      <c r="AB223" s="2426">
        <f>'HVAC Deemed Table'!K1489</f>
        <v>438</v>
      </c>
      <c r="AC223" s="2436">
        <f t="shared" ref="AC223" si="233">AE223+AF223</f>
        <v>432.76785145239882</v>
      </c>
      <c r="AD223" s="2436">
        <f t="shared" ref="AD223" si="234">AG223+AH223</f>
        <v>0</v>
      </c>
      <c r="AE223" s="1982">
        <f>'HVAC Deemed Table'!BD1489</f>
        <v>432.76785145239882</v>
      </c>
      <c r="AF223" s="1982">
        <f>'HVAC Deemed Table'!BD1490</f>
        <v>0</v>
      </c>
      <c r="AG223" s="1982"/>
      <c r="AH223" s="1982"/>
      <c r="AI223" s="3624" t="str">
        <f t="shared" si="138"/>
        <v>per measure</v>
      </c>
      <c r="AJ223" s="112">
        <f>'HVAC Deemed Table'!L1489</f>
        <v>2</v>
      </c>
      <c r="AK223" s="3646"/>
      <c r="AL223" s="3646"/>
      <c r="AM223" s="2433">
        <f t="shared" si="132"/>
        <v>9.4741810000000004E-4</v>
      </c>
      <c r="AN223" s="100">
        <f t="shared" ref="AN223" si="235">AM223*K223</f>
        <v>0.23245850501600002</v>
      </c>
      <c r="AO223" s="3647">
        <f t="shared" ref="AO223" si="236">AN223-O223</f>
        <v>-4.9498399998237907E-7</v>
      </c>
      <c r="AP223" s="2204">
        <f>AO223/O223</f>
        <v>-2.1293389371131215E-6</v>
      </c>
    </row>
    <row r="224" spans="1:48" s="100" customFormat="1" x14ac:dyDescent="0.25">
      <c r="A224" s="103" t="str">
        <f t="shared" si="173"/>
        <v>352961</v>
      </c>
      <c r="B224" s="1960" t="str">
        <f>'HVAC Deemed Table'!C1491</f>
        <v>352961_2021_12_</v>
      </c>
      <c r="C224" s="3645" t="str">
        <f>'HVAC Deemed Table'!G1491</f>
        <v>Cooling Res</v>
      </c>
      <c r="D224" s="3645" t="str">
        <f>'HVAC Deemed Table'!G1492</f>
        <v>Heating Res</v>
      </c>
      <c r="E224" s="1958"/>
      <c r="F224" s="1958"/>
      <c r="G224" s="1958" t="str">
        <f>'HVAC Deemed Table'!E1491</f>
        <v>ASHP-SEER16-Replace_CAC_NonElectricHeat_ROF_MF_CompE</v>
      </c>
      <c r="H224" s="1975" t="str">
        <f>'HVAC Deemed Table'!D1491</f>
        <v>MFc</v>
      </c>
      <c r="I224" s="1973">
        <f t="shared" ref="I224" si="237">K224+L224</f>
        <v>178.45</v>
      </c>
      <c r="J224" s="1973">
        <f t="shared" ref="J224" si="238">M224+N224</f>
        <v>0</v>
      </c>
      <c r="K224" s="1963">
        <f>'HVAC Deemed Table'!F1491</f>
        <v>178.45</v>
      </c>
      <c r="L224" s="1963">
        <f>'HVAC Deemed Table'!F1492</f>
        <v>0</v>
      </c>
      <c r="M224" s="1963"/>
      <c r="N224" s="1963"/>
      <c r="O224" s="1974">
        <f t="shared" ref="O224" si="239">Q224+R224</f>
        <v>0.169067</v>
      </c>
      <c r="P224" s="1974">
        <f t="shared" ref="P224" si="240">S224+T224</f>
        <v>0</v>
      </c>
      <c r="Q224" s="1976">
        <f>'HVAC Deemed Table'!I1491</f>
        <v>0.169067</v>
      </c>
      <c r="R224" s="1976">
        <f>'HVAC Deemed Table'!I1492</f>
        <v>0</v>
      </c>
      <c r="S224" s="1976"/>
      <c r="T224" s="1976"/>
      <c r="U224" s="1926"/>
      <c r="V224" s="1926"/>
      <c r="W224" s="1926">
        <f t="shared" si="227"/>
        <v>0.169067</v>
      </c>
      <c r="X224" s="1952">
        <f>'HVAC Deemed Table'!J1491</f>
        <v>18</v>
      </c>
      <c r="Y224" s="1952"/>
      <c r="Z224" s="1952">
        <f t="shared" ref="Z224" si="241">Y224+X224</f>
        <v>18</v>
      </c>
      <c r="AA224" s="1951">
        <f>'HVAC Deemed Table'!BB1491</f>
        <v>0.7613680202795442</v>
      </c>
      <c r="AB224" s="2426">
        <f>'HVAC Deemed Table'!K1491</f>
        <v>438</v>
      </c>
      <c r="AC224" s="2436">
        <f t="shared" ref="AC224" si="242">AE224+AF224</f>
        <v>314.7514798324118</v>
      </c>
      <c r="AD224" s="2436">
        <f t="shared" ref="AD224" si="243">AG224+AH224</f>
        <v>0</v>
      </c>
      <c r="AE224" s="1982">
        <f>'HVAC Deemed Table'!BD1491</f>
        <v>314.7514798324118</v>
      </c>
      <c r="AF224" s="1982">
        <f>'HVAC Deemed Table'!BD1492</f>
        <v>0</v>
      </c>
      <c r="AG224" s="1982"/>
      <c r="AH224" s="1982"/>
      <c r="AI224" s="3624" t="str">
        <f t="shared" si="138"/>
        <v>per measure</v>
      </c>
      <c r="AJ224" s="112">
        <f>'HVAC Deemed Table'!L1491</f>
        <v>2</v>
      </c>
      <c r="AK224" s="3646"/>
      <c r="AL224" s="3646"/>
      <c r="AM224" s="2433">
        <f t="shared" si="132"/>
        <v>9.4741810000000004E-4</v>
      </c>
      <c r="AN224" s="100">
        <f t="shared" ref="AN224" si="244">AM224*K224</f>
        <v>0.16906675994500001</v>
      </c>
      <c r="AO224" s="3647">
        <f t="shared" ref="AO224" si="245">AN224-O224</f>
        <v>-2.4005499998924762E-7</v>
      </c>
      <c r="AP224" s="2204">
        <f>AO224/O224</f>
        <v>-1.4198808755655901E-6</v>
      </c>
    </row>
    <row r="225" spans="1:42" x14ac:dyDescent="0.25">
      <c r="A225" s="103" t="str">
        <f t="shared" si="173"/>
        <v>353000</v>
      </c>
      <c r="B225" s="1960" t="str">
        <f>'HVAC Deemed Table'!C1493</f>
        <v>353000_2021_12_</v>
      </c>
      <c r="C225" s="3599" t="str">
        <f>'HVAC Deemed Table'!G1493</f>
        <v>Cooling Res</v>
      </c>
      <c r="D225" s="3599" t="str">
        <f>'HVAC Deemed Table'!G1494</f>
        <v>Heating Res</v>
      </c>
      <c r="E225" s="3599" t="str">
        <f>'HVAC Deemed Table'!G1495</f>
        <v>Cooling Res ER2</v>
      </c>
      <c r="F225" s="3599" t="str">
        <f>'HVAC Deemed Table'!G1496</f>
        <v>Heating Res ER2</v>
      </c>
      <c r="G225" s="1962" t="str">
        <f>'HVAC Deemed Table'!E1493</f>
        <v>ASHP-SEER16-Replace_CAC_ElectricHeat_ER1_MF</v>
      </c>
      <c r="H225" s="63" t="str">
        <f>'HVAC Deemed Table'!D1493</f>
        <v>MF</v>
      </c>
      <c r="I225" s="2438">
        <f t="shared" si="186"/>
        <v>5420.25</v>
      </c>
      <c r="J225" s="2438">
        <f t="shared" si="187"/>
        <v>4446.33</v>
      </c>
      <c r="K225" s="2439">
        <f>'HVAC Deemed Table'!F1493</f>
        <v>1169.45</v>
      </c>
      <c r="L225" s="2439">
        <f>'HVAC Deemed Table'!F1494</f>
        <v>4250.8</v>
      </c>
      <c r="M225" s="2439">
        <f>'HVAC Deemed Table'!F1495</f>
        <v>195.53</v>
      </c>
      <c r="N225" s="2439">
        <f>'HVAC Deemed Table'!F1496</f>
        <v>4250.8</v>
      </c>
      <c r="O225" s="2440">
        <f t="shared" si="188"/>
        <v>1.107958</v>
      </c>
      <c r="P225" s="2440">
        <f t="shared" si="189"/>
        <v>0.185249</v>
      </c>
      <c r="Q225" s="2441">
        <f>'HVAC Deemed Table'!I1493</f>
        <v>1.107958</v>
      </c>
      <c r="R225" s="2441">
        <f>'HVAC Deemed Table'!I1494</f>
        <v>0</v>
      </c>
      <c r="S225" s="2441">
        <f>'HVAC Deemed Table'!I1495</f>
        <v>0.185249</v>
      </c>
      <c r="T225" s="2441">
        <f>'HVAC Deemed Table'!I1496</f>
        <v>0</v>
      </c>
      <c r="U225" s="1819"/>
      <c r="V225" s="1819"/>
      <c r="W225" s="1821">
        <f>P225</f>
        <v>0.185249</v>
      </c>
      <c r="X225" s="68">
        <f>'HVAC Deemed Table'!J1493</f>
        <v>6</v>
      </c>
      <c r="Y225" s="68">
        <f>'HVAC Deemed Table'!J1495</f>
        <v>12</v>
      </c>
      <c r="Z225" s="68">
        <f t="shared" si="150"/>
        <v>18</v>
      </c>
      <c r="AA225" s="62">
        <f>'HVAC Deemed Table'!BB1493</f>
        <v>4.0690979000788321</v>
      </c>
      <c r="AB225" s="839">
        <f>'HVAC Deemed Table'!K1493</f>
        <v>748.6192265910754</v>
      </c>
      <c r="AC225" s="3618">
        <f t="shared" si="174"/>
        <v>1387.0671140765107</v>
      </c>
      <c r="AD225" s="3618">
        <f t="shared" si="175"/>
        <v>1488.0673105392364</v>
      </c>
      <c r="AE225" s="2453">
        <f>'HVAC Deemed Table'!BD1493</f>
        <v>680.01665434434437</v>
      </c>
      <c r="AF225" s="2453">
        <f>'HVAC Deemed Table'!BD1494</f>
        <v>707.05045973216647</v>
      </c>
      <c r="AG225" s="2453">
        <f>'HVAC Deemed Table'!BD1495</f>
        <v>231.1797165646158</v>
      </c>
      <c r="AH225" s="2453">
        <f>'HVAC Deemed Table'!BD1496</f>
        <v>1256.8875939746206</v>
      </c>
      <c r="AI225" s="3624" t="str">
        <f>AI222</f>
        <v>per measure</v>
      </c>
      <c r="AJ225" s="126">
        <f>'HVAC Deemed Table'!L1493</f>
        <v>2</v>
      </c>
      <c r="AK225" s="1805"/>
      <c r="AL225" s="1805"/>
      <c r="AM225" s="1972">
        <f t="shared" si="132"/>
        <v>9.4741810000000004E-4</v>
      </c>
      <c r="AN225" s="100">
        <f t="shared" si="208"/>
        <v>1.107958097045</v>
      </c>
      <c r="AO225" s="1971">
        <f t="shared" si="145"/>
        <v>9.7045000035933526E-8</v>
      </c>
      <c r="AP225" s="1930"/>
    </row>
    <row r="226" spans="1:42" x14ac:dyDescent="0.25">
      <c r="A226" s="103" t="str">
        <f t="shared" si="173"/>
        <v>353001</v>
      </c>
      <c r="B226" s="1960" t="str">
        <f>'HVAC Deemed Table'!C1497</f>
        <v>353001_2021_12_</v>
      </c>
      <c r="C226" s="3599" t="str">
        <f>'HVAC Deemed Table'!G1497</f>
        <v>Cooling Res</v>
      </c>
      <c r="D226" s="3599" t="str">
        <f>'HVAC Deemed Table'!G1498</f>
        <v>Heating Res</v>
      </c>
      <c r="E226" s="3599" t="str">
        <f>'HVAC Deemed Table'!G1499</f>
        <v>Cooling Res ER2</v>
      </c>
      <c r="F226" s="3599" t="str">
        <f>'HVAC Deemed Table'!G1500</f>
        <v>Heating Res ER2</v>
      </c>
      <c r="G226" s="1962" t="str">
        <f>'HVAC Deemed Table'!E1497</f>
        <v>ASHP-SEER16-Replace_CAC_ElectricHeat_ER1_MF_CompE</v>
      </c>
      <c r="H226" s="63" t="str">
        <f>'HVAC Deemed Table'!D1497</f>
        <v>MFc</v>
      </c>
      <c r="I226" s="2438">
        <f t="shared" si="186"/>
        <v>2016.52</v>
      </c>
      <c r="J226" s="2438">
        <f t="shared" si="187"/>
        <v>1591.3400000000001</v>
      </c>
      <c r="K226" s="2439">
        <f>'HVAC Deemed Table'!F1497</f>
        <v>567.38</v>
      </c>
      <c r="L226" s="2439">
        <f>'HVAC Deemed Table'!F1498</f>
        <v>1449.14</v>
      </c>
      <c r="M226" s="2439">
        <f>'HVAC Deemed Table'!F1499</f>
        <v>142.19999999999999</v>
      </c>
      <c r="N226" s="2439">
        <f>'HVAC Deemed Table'!F1500</f>
        <v>1449.14</v>
      </c>
      <c r="O226" s="2440">
        <f t="shared" si="188"/>
        <v>0.53754599999999997</v>
      </c>
      <c r="P226" s="2440">
        <f t="shared" si="189"/>
        <v>0.13472300000000001</v>
      </c>
      <c r="Q226" s="2441">
        <f>'HVAC Deemed Table'!I1497</f>
        <v>0.53754599999999997</v>
      </c>
      <c r="R226" s="2441">
        <f>'HVAC Deemed Table'!I1498</f>
        <v>0</v>
      </c>
      <c r="S226" s="2441">
        <f>'HVAC Deemed Table'!I1499</f>
        <v>0.13472300000000001</v>
      </c>
      <c r="T226" s="2441">
        <f>'HVAC Deemed Table'!I1500</f>
        <v>0</v>
      </c>
      <c r="U226" s="1819"/>
      <c r="V226" s="1819"/>
      <c r="W226" s="1821">
        <f>P226</f>
        <v>0.13472300000000001</v>
      </c>
      <c r="X226" s="68">
        <f>'HVAC Deemed Table'!J1497</f>
        <v>6</v>
      </c>
      <c r="Y226" s="68">
        <f>'HVAC Deemed Table'!J1499</f>
        <v>12</v>
      </c>
      <c r="Z226" s="68">
        <f t="shared" si="150"/>
        <v>18</v>
      </c>
      <c r="AA226" s="62">
        <f>'HVAC Deemed Table'!BB1497</f>
        <v>1.6524363353116209</v>
      </c>
      <c r="AB226" s="839">
        <f>'HVAC Deemed Table'!K1497</f>
        <v>748.6192265910754</v>
      </c>
      <c r="AC226" s="3618">
        <f t="shared" si="174"/>
        <v>570.96301866931844</v>
      </c>
      <c r="AD226" s="3618">
        <f t="shared" si="175"/>
        <v>596.61188584410911</v>
      </c>
      <c r="AE226" s="2453">
        <f>'HVAC Deemed Table'!BD1497</f>
        <v>329.92248436606451</v>
      </c>
      <c r="AF226" s="2453">
        <f>'HVAC Deemed Table'!BD1498</f>
        <v>241.04053430325393</v>
      </c>
      <c r="AG226" s="2453">
        <f>'HVAC Deemed Table'!BD1499</f>
        <v>168.12640359785385</v>
      </c>
      <c r="AH226" s="2453">
        <f>'HVAC Deemed Table'!BD1500</f>
        <v>428.48548224625523</v>
      </c>
      <c r="AI226" s="3624" t="str">
        <f t="shared" si="138"/>
        <v>per measure</v>
      </c>
      <c r="AJ226" s="126">
        <f>'HVAC Deemed Table'!L1497</f>
        <v>2</v>
      </c>
      <c r="AK226" s="1805"/>
      <c r="AL226" s="1805"/>
      <c r="AM226" s="1972">
        <f t="shared" si="132"/>
        <v>9.4741810000000004E-4</v>
      </c>
      <c r="AN226" s="100">
        <f t="shared" si="208"/>
        <v>0.53754608157799999</v>
      </c>
      <c r="AO226" s="1804">
        <f t="shared" si="145"/>
        <v>8.1578000021842456E-8</v>
      </c>
      <c r="AP226" s="163">
        <f>AO226/O226</f>
        <v>1.5176003546085816E-7</v>
      </c>
    </row>
    <row r="227" spans="1:42" s="100" customFormat="1" x14ac:dyDescent="0.25">
      <c r="A227" s="103" t="str">
        <f t="shared" si="173"/>
        <v>353010</v>
      </c>
      <c r="B227" s="1960" t="str">
        <f>'HVAC Deemed Table'!C1501</f>
        <v>353010_2021_12_</v>
      </c>
      <c r="C227" s="3645" t="str">
        <f>'HVAC Deemed Table'!G1501</f>
        <v>Cooling Res</v>
      </c>
      <c r="D227" s="3645" t="str">
        <f>'HVAC Deemed Table'!G1502</f>
        <v>Heating Res</v>
      </c>
      <c r="E227" s="3645" t="str">
        <f>'HVAC Deemed Table'!G1503</f>
        <v>Cooling Res ER2</v>
      </c>
      <c r="F227" s="3645" t="str">
        <f>'HVAC Deemed Table'!G1504</f>
        <v>Heating Res ER2</v>
      </c>
      <c r="G227" s="1958" t="str">
        <f>'HVAC Deemed Table'!E1501</f>
        <v>ASHP-SEER16-Replace_CAC_NonElectricHeat_ER1_MF</v>
      </c>
      <c r="H227" s="1975" t="str">
        <f>'HVAC Deemed Table'!D1501</f>
        <v>MF</v>
      </c>
      <c r="I227" s="1973">
        <f t="shared" ref="I227" si="246">K227+L227</f>
        <v>1169.45</v>
      </c>
      <c r="J227" s="1973">
        <f t="shared" ref="J227" si="247">M227+N227</f>
        <v>195.53</v>
      </c>
      <c r="K227" s="1963">
        <f>'HVAC Deemed Table'!F1501</f>
        <v>1169.45</v>
      </c>
      <c r="L227" s="1963">
        <f>'HVAC Deemed Table'!F1502</f>
        <v>0</v>
      </c>
      <c r="M227" s="1963">
        <f>'HVAC Deemed Table'!F1503</f>
        <v>195.53</v>
      </c>
      <c r="N227" s="1963">
        <f>'HVAC Deemed Table'!F1504</f>
        <v>0</v>
      </c>
      <c r="O227" s="1974">
        <f t="shared" ref="O227" si="248">Q227+R227</f>
        <v>1.107958</v>
      </c>
      <c r="P227" s="1974">
        <f t="shared" ref="P227" si="249">S227+T227</f>
        <v>0.185249</v>
      </c>
      <c r="Q227" s="1976">
        <f>'HVAC Deemed Table'!I1501</f>
        <v>1.107958</v>
      </c>
      <c r="R227" s="1976">
        <f>'HVAC Deemed Table'!I1502</f>
        <v>0</v>
      </c>
      <c r="S227" s="1976">
        <f>'HVAC Deemed Table'!I1503</f>
        <v>0.185249</v>
      </c>
      <c r="T227" s="1976">
        <f>'HVAC Deemed Table'!I1504</f>
        <v>0</v>
      </c>
      <c r="U227" s="1926"/>
      <c r="V227" s="1926"/>
      <c r="W227" s="1926">
        <f>P227</f>
        <v>0.185249</v>
      </c>
      <c r="X227" s="1952">
        <f>'HVAC Deemed Table'!J1501</f>
        <v>6</v>
      </c>
      <c r="Y227" s="1952">
        <f>'HVAC Deemed Table'!J1503</f>
        <v>12</v>
      </c>
      <c r="Z227" s="1952">
        <f t="shared" ref="Z227" si="250">Y227+X227</f>
        <v>18</v>
      </c>
      <c r="AA227" s="1951">
        <f>'HVAC Deemed Table'!BB1501</f>
        <v>1.2895909170996871</v>
      </c>
      <c r="AB227" s="2426">
        <f>'HVAC Deemed Table'!K1501</f>
        <v>748.6192265910754</v>
      </c>
      <c r="AC227" s="2436">
        <f t="shared" ref="AC227" si="251">AE227+AF227</f>
        <v>680.01665434434437</v>
      </c>
      <c r="AD227" s="2436">
        <f t="shared" ref="AD227" si="252">AG227+AH227</f>
        <v>231.1797165646158</v>
      </c>
      <c r="AE227" s="1982">
        <f>'HVAC Deemed Table'!BD1501</f>
        <v>680.01665434434437</v>
      </c>
      <c r="AF227" s="1982">
        <f>'HVAC Deemed Table'!BD1502</f>
        <v>0</v>
      </c>
      <c r="AG227" s="1982">
        <f>'HVAC Deemed Table'!BD1503</f>
        <v>231.1797165646158</v>
      </c>
      <c r="AH227" s="1982">
        <f>'HVAC Deemed Table'!BD1504</f>
        <v>0</v>
      </c>
      <c r="AI227" s="3624" t="str">
        <f t="shared" si="138"/>
        <v>per measure</v>
      </c>
      <c r="AJ227" s="112">
        <f>'HVAC Deemed Table'!L1501</f>
        <v>2</v>
      </c>
      <c r="AK227" s="3646"/>
      <c r="AL227" s="3646"/>
      <c r="AM227" s="2433">
        <f t="shared" si="132"/>
        <v>9.4741810000000004E-4</v>
      </c>
      <c r="AN227" s="100">
        <f t="shared" ref="AN227" si="253">AM227*K227</f>
        <v>1.107958097045</v>
      </c>
      <c r="AO227" s="3647">
        <f t="shared" ref="AO227" si="254">AN227-O227</f>
        <v>9.7045000035933526E-8</v>
      </c>
      <c r="AP227" s="2204">
        <f>AO227/O227</f>
        <v>8.7589060267567474E-8</v>
      </c>
    </row>
    <row r="228" spans="1:42" s="100" customFormat="1" x14ac:dyDescent="0.25">
      <c r="A228" s="103" t="str">
        <f t="shared" si="173"/>
        <v>353011</v>
      </c>
      <c r="B228" s="1960" t="str">
        <f>'HVAC Deemed Table'!C1505</f>
        <v>353011_2021_12_</v>
      </c>
      <c r="C228" s="3645" t="str">
        <f>'HVAC Deemed Table'!G1505</f>
        <v>Cooling Res</v>
      </c>
      <c r="D228" s="3645" t="str">
        <f>'HVAC Deemed Table'!G1506</f>
        <v>Heating Res</v>
      </c>
      <c r="E228" s="3645" t="str">
        <f>'HVAC Deemed Table'!G1507</f>
        <v>Cooling Res ER2</v>
      </c>
      <c r="F228" s="3645" t="str">
        <f>'HVAC Deemed Table'!G1508</f>
        <v>Heating Res ER2</v>
      </c>
      <c r="G228" s="1958" t="str">
        <f>'HVAC Deemed Table'!E1505</f>
        <v>ASHP-SEER16-Replace_CAC_NonElectricHeat_ER1_MF_CompE</v>
      </c>
      <c r="H228" s="1975" t="str">
        <f>'HVAC Deemed Table'!D1505</f>
        <v>MFc</v>
      </c>
      <c r="I228" s="1973">
        <f t="shared" ref="I228" si="255">K228+L228</f>
        <v>567.38</v>
      </c>
      <c r="J228" s="1973">
        <f t="shared" ref="J228" si="256">M228+N228</f>
        <v>142.19999999999999</v>
      </c>
      <c r="K228" s="1963">
        <f>'HVAC Deemed Table'!F1505</f>
        <v>567.38</v>
      </c>
      <c r="L228" s="1963">
        <f>'HVAC Deemed Table'!F1506</f>
        <v>0</v>
      </c>
      <c r="M228" s="1963">
        <f>'HVAC Deemed Table'!F1507</f>
        <v>142.19999999999999</v>
      </c>
      <c r="N228" s="1963">
        <f>'HVAC Deemed Table'!F1508</f>
        <v>0</v>
      </c>
      <c r="O228" s="1974">
        <f t="shared" ref="O228" si="257">Q228+R228</f>
        <v>0.53754599999999997</v>
      </c>
      <c r="P228" s="1974">
        <f t="shared" ref="P228" si="258">S228+T228</f>
        <v>0.13472300000000001</v>
      </c>
      <c r="Q228" s="1976">
        <f>'HVAC Deemed Table'!I1505</f>
        <v>0.53754599999999997</v>
      </c>
      <c r="R228" s="1976">
        <f>'HVAC Deemed Table'!I1506</f>
        <v>0</v>
      </c>
      <c r="S228" s="1976">
        <f>'HVAC Deemed Table'!I1507</f>
        <v>0.13472300000000001</v>
      </c>
      <c r="T228" s="1976">
        <f>'HVAC Deemed Table'!I1508</f>
        <v>0</v>
      </c>
      <c r="U228" s="1926"/>
      <c r="V228" s="1926"/>
      <c r="W228" s="1926">
        <f>P228</f>
        <v>0.13472300000000001</v>
      </c>
      <c r="X228" s="1952">
        <f>'HVAC Deemed Table'!J1505</f>
        <v>6</v>
      </c>
      <c r="Y228" s="1952">
        <f>'HVAC Deemed Table'!J1507</f>
        <v>12</v>
      </c>
      <c r="Z228" s="1952">
        <f t="shared" ref="Z228" si="259">Y228+X228</f>
        <v>18</v>
      </c>
      <c r="AA228" s="1951">
        <f>'HVAC Deemed Table'!BB1505</f>
        <v>0.70487475882851214</v>
      </c>
      <c r="AB228" s="2426">
        <f>'HVAC Deemed Table'!K1505</f>
        <v>748.6192265910754</v>
      </c>
      <c r="AC228" s="2436">
        <f t="shared" ref="AC228" si="260">AE228+AF228</f>
        <v>329.92248436606451</v>
      </c>
      <c r="AD228" s="2436">
        <f t="shared" ref="AD228" si="261">AG228+AH228</f>
        <v>168.12640359785385</v>
      </c>
      <c r="AE228" s="1982">
        <f>'HVAC Deemed Table'!BD1505</f>
        <v>329.92248436606451</v>
      </c>
      <c r="AF228" s="1982">
        <f>'HVAC Deemed Table'!BD1506</f>
        <v>0</v>
      </c>
      <c r="AG228" s="1982">
        <f>'HVAC Deemed Table'!BD1507</f>
        <v>168.12640359785385</v>
      </c>
      <c r="AH228" s="1982">
        <f>'HVAC Deemed Table'!BD1508</f>
        <v>0</v>
      </c>
      <c r="AI228" s="3624" t="str">
        <f t="shared" si="138"/>
        <v>per measure</v>
      </c>
      <c r="AJ228" s="112">
        <f>'HVAC Deemed Table'!L1505</f>
        <v>2</v>
      </c>
      <c r="AK228" s="3646"/>
      <c r="AL228" s="3646"/>
      <c r="AM228" s="2433">
        <f t="shared" si="132"/>
        <v>9.4741810000000004E-4</v>
      </c>
      <c r="AN228" s="100">
        <f t="shared" ref="AN228" si="262">AM228*K228</f>
        <v>0.53754608157799999</v>
      </c>
      <c r="AO228" s="3647">
        <f t="shared" ref="AO228" si="263">AN228-O228</f>
        <v>8.1578000021842456E-8</v>
      </c>
      <c r="AP228" s="2204">
        <f>AO228/O228</f>
        <v>1.5176003546085816E-7</v>
      </c>
    </row>
    <row r="229" spans="1:42" x14ac:dyDescent="0.25">
      <c r="A229" s="103" t="str">
        <f t="shared" si="173"/>
        <v>353050</v>
      </c>
      <c r="B229" s="1960" t="str">
        <f>'HVAC Deemed Table'!C1509</f>
        <v>353050_2021_12_</v>
      </c>
      <c r="C229" s="3599" t="str">
        <f>'HVAC Deemed Table'!G1509</f>
        <v>Cooling Res</v>
      </c>
      <c r="D229" s="3599" t="str">
        <f>'HVAC Deemed Table'!G1510</f>
        <v>Heating Res</v>
      </c>
      <c r="E229" s="1962"/>
      <c r="F229" s="1962"/>
      <c r="G229" s="1962" t="str">
        <f>'HVAC Deemed Table'!E1509</f>
        <v>ASHP-SEER15_ROF_MF</v>
      </c>
      <c r="H229" s="63" t="str">
        <f>'HVAC Deemed Table'!D1509</f>
        <v>MF</v>
      </c>
      <c r="I229" s="2438">
        <f t="shared" ref="I229:I243" si="264">K229+L229</f>
        <v>319.63</v>
      </c>
      <c r="J229" s="2438">
        <f t="shared" ref="J229:J243" si="265">M229+N229</f>
        <v>0</v>
      </c>
      <c r="K229" s="2439">
        <f>'HVAC Deemed Table'!F1509</f>
        <v>64.98</v>
      </c>
      <c r="L229" s="2439">
        <f>'HVAC Deemed Table'!F1510</f>
        <v>254.65</v>
      </c>
      <c r="M229" s="2439"/>
      <c r="N229" s="2439"/>
      <c r="O229" s="2440">
        <f t="shared" ref="O229:O238" si="266">Q229+R229</f>
        <v>6.1563E-2</v>
      </c>
      <c r="P229" s="2440">
        <f t="shared" ref="P229:P238" si="267">S229+T229</f>
        <v>0</v>
      </c>
      <c r="Q229" s="2441">
        <f>'HVAC Deemed Table'!I1509</f>
        <v>6.1563E-2</v>
      </c>
      <c r="R229" s="2441">
        <f>'HVAC Deemed Table'!I1510</f>
        <v>0</v>
      </c>
      <c r="S229" s="2441"/>
      <c r="T229" s="2441"/>
      <c r="U229" s="1819"/>
      <c r="V229" s="1819"/>
      <c r="W229" s="1819">
        <f t="shared" ref="W229:W243" si="268">O229</f>
        <v>6.1563E-2</v>
      </c>
      <c r="X229" s="68">
        <f>'HVAC Deemed Table'!J1509</f>
        <v>18</v>
      </c>
      <c r="Y229" s="68"/>
      <c r="Z229" s="68">
        <f t="shared" si="150"/>
        <v>18</v>
      </c>
      <c r="AA229" s="62">
        <f>'HVAC Deemed Table'!BB1509</f>
        <v>0.81215963274968239</v>
      </c>
      <c r="AB229" s="839">
        <f>'HVAC Deemed Table'!K1509</f>
        <v>303</v>
      </c>
      <c r="AC229" s="3618">
        <f t="shared" si="174"/>
        <v>232.2646236178893</v>
      </c>
      <c r="AD229" s="3618">
        <f t="shared" si="175"/>
        <v>0</v>
      </c>
      <c r="AE229" s="2453">
        <f>'HVAC Deemed Table'!BD1509</f>
        <v>114.61222280476392</v>
      </c>
      <c r="AF229" s="2453">
        <f>'HVAC Deemed Table'!BD1510</f>
        <v>117.65240081312537</v>
      </c>
      <c r="AG229" s="2453"/>
      <c r="AH229" s="2453"/>
      <c r="AI229" s="3624" t="str">
        <f>AI226</f>
        <v>per measure</v>
      </c>
      <c r="AJ229" s="126">
        <f>'HVAC Deemed Table'!L1509</f>
        <v>2.013157894736842</v>
      </c>
      <c r="AK229" s="1805"/>
      <c r="AL229" s="1805"/>
      <c r="AM229" s="1972">
        <f t="shared" ref="AM229:AM292" si="269">VLOOKUP(C229,$AS$10:$AT$33,2,FALSE)</f>
        <v>9.4741810000000004E-4</v>
      </c>
      <c r="AN229" s="100">
        <f t="shared" si="208"/>
        <v>6.1563228138000005E-2</v>
      </c>
      <c r="AO229" s="1971">
        <f t="shared" si="145"/>
        <v>2.281380000052069E-7</v>
      </c>
      <c r="AP229" s="1930"/>
    </row>
    <row r="230" spans="1:42" x14ac:dyDescent="0.25">
      <c r="A230" s="103" t="str">
        <f t="shared" si="173"/>
        <v>353051</v>
      </c>
      <c r="B230" s="1960" t="str">
        <f>'HVAC Deemed Table'!C1511</f>
        <v>353051_2021_12_</v>
      </c>
      <c r="C230" s="3599" t="str">
        <f>'HVAC Deemed Table'!G1511</f>
        <v>Cooling Res</v>
      </c>
      <c r="D230" s="3599" t="str">
        <f>'HVAC Deemed Table'!G1512</f>
        <v>Heating Res</v>
      </c>
      <c r="E230" s="1962"/>
      <c r="F230" s="1962"/>
      <c r="G230" s="1962" t="str">
        <f>'HVAC Deemed Table'!E1511</f>
        <v>ASHP-SEER15_ROF_MF_CompE</v>
      </c>
      <c r="H230" s="63" t="str">
        <f>'HVAC Deemed Table'!D1511</f>
        <v>MFc</v>
      </c>
      <c r="I230" s="2438">
        <f t="shared" si="264"/>
        <v>138.44999999999999</v>
      </c>
      <c r="J230" s="2438">
        <f t="shared" si="265"/>
        <v>0</v>
      </c>
      <c r="K230" s="2439">
        <f>'HVAC Deemed Table'!F1511</f>
        <v>51.64</v>
      </c>
      <c r="L230" s="2439">
        <f>'HVAC Deemed Table'!F1512</f>
        <v>86.81</v>
      </c>
      <c r="M230" s="2439"/>
      <c r="N230" s="2439"/>
      <c r="O230" s="2440">
        <f t="shared" si="266"/>
        <v>4.8925000000000003E-2</v>
      </c>
      <c r="P230" s="2440">
        <f t="shared" si="267"/>
        <v>0</v>
      </c>
      <c r="Q230" s="2441">
        <f>'HVAC Deemed Table'!I1511</f>
        <v>4.8925000000000003E-2</v>
      </c>
      <c r="R230" s="2441">
        <f>'HVAC Deemed Table'!I1512</f>
        <v>0</v>
      </c>
      <c r="S230" s="2441"/>
      <c r="T230" s="2441"/>
      <c r="U230" s="1819"/>
      <c r="V230" s="1819"/>
      <c r="W230" s="1819">
        <f t="shared" si="268"/>
        <v>4.8925000000000003E-2</v>
      </c>
      <c r="X230" s="68">
        <f>'HVAC Deemed Table'!J1511</f>
        <v>18</v>
      </c>
      <c r="Y230" s="68"/>
      <c r="Z230" s="68">
        <f t="shared" si="150"/>
        <v>18</v>
      </c>
      <c r="AA230" s="62">
        <f>'HVAC Deemed Table'!BB1511</f>
        <v>0.45873428985559417</v>
      </c>
      <c r="AB230" s="839">
        <f>'HVAC Deemed Table'!K1511</f>
        <v>303</v>
      </c>
      <c r="AC230" s="3618">
        <f t="shared" si="174"/>
        <v>131.19064636738557</v>
      </c>
      <c r="AD230" s="3618">
        <f t="shared" si="175"/>
        <v>0</v>
      </c>
      <c r="AE230" s="2453">
        <f>'HVAC Deemed Table'!BD1511</f>
        <v>91.083028403170331</v>
      </c>
      <c r="AF230" s="2453">
        <f>'HVAC Deemed Table'!BD1512</f>
        <v>40.107617964215251</v>
      </c>
      <c r="AG230" s="2453"/>
      <c r="AH230" s="2453"/>
      <c r="AI230" s="3624" t="str">
        <f t="shared" si="138"/>
        <v>per measure</v>
      </c>
      <c r="AJ230" s="126">
        <f>'HVAC Deemed Table'!L1511</f>
        <v>2.013157894736842</v>
      </c>
      <c r="AK230" s="1805"/>
      <c r="AL230" s="1805"/>
      <c r="AM230" s="1972">
        <f t="shared" si="269"/>
        <v>9.4741810000000004E-4</v>
      </c>
      <c r="AN230" s="100">
        <f t="shared" si="208"/>
        <v>4.8924670683999999E-2</v>
      </c>
      <c r="AO230" s="1804">
        <f t="shared" si="145"/>
        <v>-3.2931600000424277E-7</v>
      </c>
      <c r="AP230" s="163">
        <f>AO230/O230</f>
        <v>-6.7310373020795656E-6</v>
      </c>
    </row>
    <row r="231" spans="1:42" x14ac:dyDescent="0.25">
      <c r="A231" s="103" t="str">
        <f t="shared" si="173"/>
        <v>353100</v>
      </c>
      <c r="B231" s="1960" t="str">
        <f>'HVAC Deemed Table'!C1513</f>
        <v>353100_2021_12_</v>
      </c>
      <c r="C231" s="3599" t="str">
        <f>'HVAC Deemed Table'!G1513</f>
        <v>Cooling Res</v>
      </c>
      <c r="D231" s="3599" t="str">
        <f>'HVAC Deemed Table'!G1514</f>
        <v>Heating Res</v>
      </c>
      <c r="E231" s="1962"/>
      <c r="F231" s="1962"/>
      <c r="G231" s="1962" t="str">
        <f>'HVAC Deemed Table'!E1513</f>
        <v>ASHP-SEER17-Replace_CAC_ElectricHeat_ROF_SF</v>
      </c>
      <c r="H231" s="63" t="str">
        <f>'HVAC Deemed Table'!D1513</f>
        <v>SF</v>
      </c>
      <c r="I231" s="2438">
        <f t="shared" si="264"/>
        <v>9650.369999999999</v>
      </c>
      <c r="J231" s="2438">
        <f t="shared" si="265"/>
        <v>0</v>
      </c>
      <c r="K231" s="2439">
        <f>'HVAC Deemed Table'!F1513</f>
        <v>538.32000000000005</v>
      </c>
      <c r="L231" s="2439">
        <f>'HVAC Deemed Table'!F1514</f>
        <v>9112.0499999999993</v>
      </c>
      <c r="M231" s="2439"/>
      <c r="N231" s="2439"/>
      <c r="O231" s="2440">
        <f t="shared" si="266"/>
        <v>0.51001399999999997</v>
      </c>
      <c r="P231" s="2440">
        <f t="shared" si="267"/>
        <v>0</v>
      </c>
      <c r="Q231" s="2441">
        <f>'HVAC Deemed Table'!I1513</f>
        <v>0.51001399999999997</v>
      </c>
      <c r="R231" s="2441">
        <f>'HVAC Deemed Table'!I1514</f>
        <v>0</v>
      </c>
      <c r="S231" s="2441"/>
      <c r="T231" s="2441"/>
      <c r="U231" s="1819"/>
      <c r="V231" s="1819"/>
      <c r="W231" s="1819">
        <f t="shared" si="268"/>
        <v>0.51001399999999997</v>
      </c>
      <c r="X231" s="68">
        <f>'HVAC Deemed Table'!J1513</f>
        <v>18</v>
      </c>
      <c r="Y231" s="68"/>
      <c r="Z231" s="68">
        <f t="shared" si="150"/>
        <v>18</v>
      </c>
      <c r="AA231" s="62">
        <f>'HVAC Deemed Table'!BB1513</f>
        <v>7.5502644889609698</v>
      </c>
      <c r="AB231" s="839">
        <f>'HVAC Deemed Table'!K1513</f>
        <v>724</v>
      </c>
      <c r="AC231" s="3618">
        <f t="shared" si="174"/>
        <v>5159.4067862272223</v>
      </c>
      <c r="AD231" s="3618">
        <f t="shared" si="175"/>
        <v>0</v>
      </c>
      <c r="AE231" s="2453">
        <f>'HVAC Deemed Table'!BD1513</f>
        <v>949.49294829579117</v>
      </c>
      <c r="AF231" s="2453">
        <f>'HVAC Deemed Table'!BD1514</f>
        <v>4209.9138379314309</v>
      </c>
      <c r="AG231" s="2453"/>
      <c r="AH231" s="2453"/>
      <c r="AI231" s="3624" t="str">
        <f t="shared" si="138"/>
        <v>per measure</v>
      </c>
      <c r="AJ231" s="126">
        <f>'HVAC Deemed Table'!L1513</f>
        <v>2.7</v>
      </c>
      <c r="AK231" s="1805"/>
      <c r="AL231" s="1805"/>
      <c r="AM231" s="1972">
        <f t="shared" si="269"/>
        <v>9.4741810000000004E-4</v>
      </c>
      <c r="AN231" s="100">
        <f t="shared" si="208"/>
        <v>0.51001411159200005</v>
      </c>
      <c r="AO231" s="1971">
        <f t="shared" si="145"/>
        <v>1.1159200008492576E-7</v>
      </c>
      <c r="AP231" s="1930"/>
    </row>
    <row r="232" spans="1:42" x14ac:dyDescent="0.25">
      <c r="A232" s="103" t="str">
        <f t="shared" si="173"/>
        <v>353150</v>
      </c>
      <c r="B232" s="684" t="str">
        <f>'HVAC Deemed Table'!C1515</f>
        <v>353150_2019_12_</v>
      </c>
      <c r="C232" s="3599" t="str">
        <f>'HVAC Deemed Table'!G1515</f>
        <v>Cooling Res</v>
      </c>
      <c r="D232" s="3599" t="str">
        <f>'HVAC Deemed Table'!G1516</f>
        <v>Heating Res</v>
      </c>
      <c r="E232" s="1962"/>
      <c r="F232" s="1962"/>
      <c r="G232" s="1962" t="str">
        <f>'HVAC Deemed Table'!E1515</f>
        <v>ASHP-SEER17-Replace_CAC_ElectricHeat_ROF_MF</v>
      </c>
      <c r="H232" s="63" t="str">
        <f>'HVAC Deemed Table'!D1515</f>
        <v>MF</v>
      </c>
      <c r="I232" s="2438">
        <f t="shared" si="264"/>
        <v>6556.62</v>
      </c>
      <c r="J232" s="2438">
        <f t="shared" si="265"/>
        <v>0</v>
      </c>
      <c r="K232" s="2439">
        <f>'HVAC Deemed Table'!F1515</f>
        <v>343.51</v>
      </c>
      <c r="L232" s="2439">
        <f>'HVAC Deemed Table'!F1516</f>
        <v>6213.11</v>
      </c>
      <c r="M232" s="2439"/>
      <c r="N232" s="2439"/>
      <c r="O232" s="2440">
        <f t="shared" si="266"/>
        <v>0.32544800000000002</v>
      </c>
      <c r="P232" s="2440">
        <f t="shared" si="267"/>
        <v>0</v>
      </c>
      <c r="Q232" s="2441">
        <f>'HVAC Deemed Table'!I1515</f>
        <v>0.32544800000000002</v>
      </c>
      <c r="R232" s="2441">
        <f>'HVAC Deemed Table'!I1516</f>
        <v>0</v>
      </c>
      <c r="S232" s="2441"/>
      <c r="T232" s="2441"/>
      <c r="U232" s="1819"/>
      <c r="V232" s="1819"/>
      <c r="W232" s="1819">
        <f t="shared" si="268"/>
        <v>0.32544800000000002</v>
      </c>
      <c r="X232" s="68">
        <f>'HVAC Deemed Table'!J1515</f>
        <v>18</v>
      </c>
      <c r="Y232" s="68"/>
      <c r="Z232" s="68">
        <f t="shared" si="150"/>
        <v>18</v>
      </c>
      <c r="AA232" s="62">
        <f>'HVAC Deemed Table'!BB1515</f>
        <v>5.0874181972428625</v>
      </c>
      <c r="AB232" s="839">
        <f>'HVAC Deemed Table'!K1515</f>
        <v>724</v>
      </c>
      <c r="AC232" s="3618">
        <f t="shared" si="174"/>
        <v>3476.4424490833712</v>
      </c>
      <c r="AD232" s="3618">
        <f t="shared" si="175"/>
        <v>0</v>
      </c>
      <c r="AE232" s="2453">
        <f>'HVAC Deemed Table'!BD1515</f>
        <v>605.88557487941591</v>
      </c>
      <c r="AF232" s="2453">
        <f>'HVAC Deemed Table'!BD1516</f>
        <v>2870.5568742039554</v>
      </c>
      <c r="AG232" s="2453"/>
      <c r="AH232" s="2453"/>
      <c r="AI232" s="3624" t="str">
        <f t="shared" si="138"/>
        <v>per measure</v>
      </c>
      <c r="AJ232" s="126">
        <f>'HVAC Deemed Table'!L1515</f>
        <v>2.8</v>
      </c>
      <c r="AK232" s="1805"/>
      <c r="AL232" s="1805"/>
      <c r="AM232" s="1972">
        <f t="shared" si="269"/>
        <v>9.4741810000000004E-4</v>
      </c>
      <c r="AN232" s="100">
        <f t="shared" si="208"/>
        <v>0.325447591531</v>
      </c>
      <c r="AO232" s="1971">
        <f t="shared" si="145"/>
        <v>-4.0846900001278996E-7</v>
      </c>
      <c r="AP232" s="1930"/>
    </row>
    <row r="233" spans="1:42" x14ac:dyDescent="0.25">
      <c r="A233" s="103" t="str">
        <f t="shared" si="173"/>
        <v>353151</v>
      </c>
      <c r="B233" s="684" t="str">
        <f>'HVAC Deemed Table'!C1517</f>
        <v>353151_2019_12_</v>
      </c>
      <c r="C233" s="3599" t="str">
        <f>'HVAC Deemed Table'!G1517</f>
        <v>Cooling Res</v>
      </c>
      <c r="D233" s="3599" t="str">
        <f>'HVAC Deemed Table'!G1518</f>
        <v>Heating Res</v>
      </c>
      <c r="E233" s="1962"/>
      <c r="F233" s="1962"/>
      <c r="G233" s="1962" t="str">
        <f>'HVAC Deemed Table'!E1517</f>
        <v>ASHP-SEER17-Replace_CAC_ElectricHeat_ROF_MF_CompE</v>
      </c>
      <c r="H233" s="63" t="str">
        <f>'HVAC Deemed Table'!D1517</f>
        <v>MFc</v>
      </c>
      <c r="I233" s="2438">
        <f t="shared" si="264"/>
        <v>2367.9299999999998</v>
      </c>
      <c r="J233" s="2438">
        <f t="shared" si="265"/>
        <v>0</v>
      </c>
      <c r="K233" s="2439">
        <f>'HVAC Deemed Table'!F1517</f>
        <v>249.83</v>
      </c>
      <c r="L233" s="2439">
        <f>'HVAC Deemed Table'!F1518</f>
        <v>2118.1</v>
      </c>
      <c r="M233" s="2439"/>
      <c r="N233" s="2439"/>
      <c r="O233" s="2440">
        <f t="shared" si="266"/>
        <v>0.23669299999999999</v>
      </c>
      <c r="P233" s="2440">
        <f t="shared" si="267"/>
        <v>0</v>
      </c>
      <c r="Q233" s="2441">
        <f>'HVAC Deemed Table'!I1517</f>
        <v>0.23669299999999999</v>
      </c>
      <c r="R233" s="2441">
        <f>'HVAC Deemed Table'!I1518</f>
        <v>0</v>
      </c>
      <c r="S233" s="2441"/>
      <c r="T233" s="2441"/>
      <c r="U233" s="1819"/>
      <c r="V233" s="1819"/>
      <c r="W233" s="1819">
        <f t="shared" si="268"/>
        <v>0.23669299999999999</v>
      </c>
      <c r="X233" s="68">
        <f>'HVAC Deemed Table'!J1517</f>
        <v>18</v>
      </c>
      <c r="Y233" s="68"/>
      <c r="Z233" s="68">
        <f t="shared" si="150"/>
        <v>18</v>
      </c>
      <c r="AA233" s="62">
        <f>'HVAC Deemed Table'!BB1517</f>
        <v>2.0769249443850204</v>
      </c>
      <c r="AB233" s="839">
        <f>'HVAC Deemed Table'!K1517</f>
        <v>724</v>
      </c>
      <c r="AC233" s="3618">
        <f t="shared" si="174"/>
        <v>1419.2483810615902</v>
      </c>
      <c r="AD233" s="3618">
        <f t="shared" si="175"/>
        <v>0</v>
      </c>
      <c r="AE233" s="2453">
        <f>'HVAC Deemed Table'!BD1517</f>
        <v>440.65207176537655</v>
      </c>
      <c r="AF233" s="2453">
        <f>'HVAC Deemed Table'!BD1518</f>
        <v>978.59630929621369</v>
      </c>
      <c r="AG233" s="2453"/>
      <c r="AH233" s="2453"/>
      <c r="AI233" s="3624" t="str">
        <f t="shared" si="138"/>
        <v>per measure</v>
      </c>
      <c r="AJ233" s="126">
        <f>'HVAC Deemed Table'!L1517</f>
        <v>2.8</v>
      </c>
      <c r="AK233" s="1805"/>
      <c r="AL233" s="1805"/>
      <c r="AM233" s="1972">
        <f t="shared" si="269"/>
        <v>9.4741810000000004E-4</v>
      </c>
      <c r="AN233" s="100">
        <f t="shared" si="208"/>
        <v>0.23669346392300003</v>
      </c>
      <c r="AO233" s="1804">
        <f t="shared" si="145"/>
        <v>4.6392300004360898E-7</v>
      </c>
      <c r="AP233" s="163">
        <f>AO233/O233</f>
        <v>1.9600199416273779E-6</v>
      </c>
    </row>
    <row r="234" spans="1:42" s="100" customFormat="1" x14ac:dyDescent="0.25">
      <c r="A234" s="103" t="str">
        <f t="shared" si="173"/>
        <v>353160</v>
      </c>
      <c r="B234" s="1960" t="str">
        <f>'HVAC Deemed Table'!C1519</f>
        <v>353160_2021_12_</v>
      </c>
      <c r="C234" s="3645" t="str">
        <f>'HVAC Deemed Table'!G1519</f>
        <v>Cooling Res</v>
      </c>
      <c r="D234" s="3645" t="str">
        <f>'HVAC Deemed Table'!G1520</f>
        <v>Heating Res</v>
      </c>
      <c r="E234" s="1958"/>
      <c r="F234" s="1958"/>
      <c r="G234" s="1958" t="str">
        <f>'HVAC Deemed Table'!E1519</f>
        <v>ASHP-SEER17-Replace_CAC_NonElectricHeat_ROF_MF</v>
      </c>
      <c r="H234" s="1975" t="str">
        <f>'HVAC Deemed Table'!D1519</f>
        <v>MF</v>
      </c>
      <c r="I234" s="1973">
        <f t="shared" ref="I234" si="270">K234+L234</f>
        <v>343.51</v>
      </c>
      <c r="J234" s="1973">
        <f t="shared" ref="J234" si="271">M234+N234</f>
        <v>0</v>
      </c>
      <c r="K234" s="1963">
        <f>'HVAC Deemed Table'!F1519</f>
        <v>343.51</v>
      </c>
      <c r="L234" s="1963">
        <f>'HVAC Deemed Table'!F1520</f>
        <v>0</v>
      </c>
      <c r="M234" s="1963"/>
      <c r="N234" s="1963"/>
      <c r="O234" s="1974">
        <f t="shared" ref="O234" si="272">Q234+R234</f>
        <v>0.32544800000000002</v>
      </c>
      <c r="P234" s="1974">
        <f t="shared" ref="P234" si="273">S234+T234</f>
        <v>0</v>
      </c>
      <c r="Q234" s="1976">
        <f>'HVAC Deemed Table'!I1519</f>
        <v>0.32544800000000002</v>
      </c>
      <c r="R234" s="1976">
        <f>'HVAC Deemed Table'!I1520</f>
        <v>0</v>
      </c>
      <c r="S234" s="1976"/>
      <c r="T234" s="1976"/>
      <c r="U234" s="1926"/>
      <c r="V234" s="1926"/>
      <c r="W234" s="1926">
        <f t="shared" ref="W234" si="274">O234</f>
        <v>0.32544800000000002</v>
      </c>
      <c r="X234" s="1952">
        <f>'HVAC Deemed Table'!J1519</f>
        <v>18</v>
      </c>
      <c r="Y234" s="1952"/>
      <c r="Z234" s="1952">
        <f t="shared" ref="Z234" si="275">Y234+X234</f>
        <v>18</v>
      </c>
      <c r="AA234" s="1951">
        <f>'HVAC Deemed Table'!BB1519</f>
        <v>0.88665161130489123</v>
      </c>
      <c r="AB234" s="2426">
        <f>'HVAC Deemed Table'!K1519</f>
        <v>724</v>
      </c>
      <c r="AC234" s="2436">
        <f t="shared" ref="AC234" si="276">AE234+AF234</f>
        <v>605.88557487941591</v>
      </c>
      <c r="AD234" s="2436">
        <f t="shared" ref="AD234" si="277">AG234+AH234</f>
        <v>0</v>
      </c>
      <c r="AE234" s="1982">
        <f>'HVAC Deemed Table'!BD1519</f>
        <v>605.88557487941591</v>
      </c>
      <c r="AF234" s="1982">
        <f>'HVAC Deemed Table'!BD1520</f>
        <v>0</v>
      </c>
      <c r="AG234" s="1982"/>
      <c r="AH234" s="1982"/>
      <c r="AI234" s="3624" t="str">
        <f t="shared" si="138"/>
        <v>per measure</v>
      </c>
      <c r="AJ234" s="112">
        <f>'HVAC Deemed Table'!L1519</f>
        <v>2.8</v>
      </c>
      <c r="AK234" s="3646"/>
      <c r="AL234" s="3646"/>
      <c r="AM234" s="2433">
        <f t="shared" si="269"/>
        <v>9.4741810000000004E-4</v>
      </c>
      <c r="AN234" s="100">
        <f t="shared" ref="AN234" si="278">AM234*K234</f>
        <v>0.325447591531</v>
      </c>
      <c r="AO234" s="3647">
        <f t="shared" ref="AO234" si="279">AN234-O234</f>
        <v>-4.0846900001278996E-7</v>
      </c>
      <c r="AP234" s="2204">
        <f>AO234/O234</f>
        <v>-1.2550975885941532E-6</v>
      </c>
    </row>
    <row r="235" spans="1:42" s="100" customFormat="1" x14ac:dyDescent="0.25">
      <c r="A235" s="103" t="str">
        <f t="shared" si="173"/>
        <v>353161</v>
      </c>
      <c r="B235" s="1960" t="str">
        <f>'HVAC Deemed Table'!C1521</f>
        <v>353161_2021_12_</v>
      </c>
      <c r="C235" s="3645" t="str">
        <f>'HVAC Deemed Table'!G1521</f>
        <v>Cooling Res</v>
      </c>
      <c r="D235" s="3645" t="str">
        <f>'HVAC Deemed Table'!G1522</f>
        <v>Heating Res</v>
      </c>
      <c r="E235" s="1958"/>
      <c r="F235" s="1958"/>
      <c r="G235" s="1958" t="str">
        <f>'HVAC Deemed Table'!E1521</f>
        <v>ASHP-SEER17-Replace_CAC_NonElectricHeat_ROF_MF_CompE</v>
      </c>
      <c r="H235" s="1975" t="str">
        <f>'HVAC Deemed Table'!D1521</f>
        <v>MFc</v>
      </c>
      <c r="I235" s="1973">
        <f t="shared" ref="I235" si="280">K235+L235</f>
        <v>249.83</v>
      </c>
      <c r="J235" s="1973">
        <f t="shared" ref="J235" si="281">M235+N235</f>
        <v>0</v>
      </c>
      <c r="K235" s="1963">
        <f>'HVAC Deemed Table'!F1521</f>
        <v>249.83</v>
      </c>
      <c r="L235" s="1963">
        <f>'HVAC Deemed Table'!F1522</f>
        <v>0</v>
      </c>
      <c r="M235" s="1963"/>
      <c r="N235" s="1963"/>
      <c r="O235" s="1974">
        <f t="shared" ref="O235" si="282">Q235+R235</f>
        <v>0.23669299999999999</v>
      </c>
      <c r="P235" s="1974">
        <f t="shared" ref="P235" si="283">S235+T235</f>
        <v>0</v>
      </c>
      <c r="Q235" s="1976">
        <f>'HVAC Deemed Table'!I1521</f>
        <v>0.23669299999999999</v>
      </c>
      <c r="R235" s="1976">
        <f>'HVAC Deemed Table'!I1522</f>
        <v>0</v>
      </c>
      <c r="S235" s="1976"/>
      <c r="T235" s="1976"/>
      <c r="U235" s="1926"/>
      <c r="V235" s="1926"/>
      <c r="W235" s="1926">
        <f t="shared" ref="W235" si="284">O235</f>
        <v>0.23669299999999999</v>
      </c>
      <c r="X235" s="1952">
        <f>'HVAC Deemed Table'!J1521</f>
        <v>18</v>
      </c>
      <c r="Y235" s="1952"/>
      <c r="Z235" s="1952">
        <f t="shared" ref="Z235" si="285">Y235+X235</f>
        <v>18</v>
      </c>
      <c r="AA235" s="1951">
        <f>'HVAC Deemed Table'!BB1521</f>
        <v>0.64484926800471887</v>
      </c>
      <c r="AB235" s="2426">
        <f>'HVAC Deemed Table'!K1521</f>
        <v>724</v>
      </c>
      <c r="AC235" s="2436">
        <f t="shared" ref="AC235" si="286">AE235+AF235</f>
        <v>440.65207176537655</v>
      </c>
      <c r="AD235" s="2436">
        <f t="shared" ref="AD235" si="287">AG235+AH235</f>
        <v>0</v>
      </c>
      <c r="AE235" s="1982">
        <f>'HVAC Deemed Table'!BD1521</f>
        <v>440.65207176537655</v>
      </c>
      <c r="AF235" s="1982">
        <f>'HVAC Deemed Table'!BD1522</f>
        <v>0</v>
      </c>
      <c r="AG235" s="1982"/>
      <c r="AH235" s="1982"/>
      <c r="AI235" s="3624" t="str">
        <f t="shared" si="138"/>
        <v>per measure</v>
      </c>
      <c r="AJ235" s="112">
        <f>'HVAC Deemed Table'!L1521</f>
        <v>2.8</v>
      </c>
      <c r="AK235" s="3646"/>
      <c r="AL235" s="3646"/>
      <c r="AM235" s="2433">
        <f t="shared" si="269"/>
        <v>9.4741810000000004E-4</v>
      </c>
      <c r="AN235" s="100">
        <f t="shared" ref="AN235" si="288">AM235*K235</f>
        <v>0.23669346392300003</v>
      </c>
      <c r="AO235" s="3647">
        <f t="shared" ref="AO235" si="289">AN235-O235</f>
        <v>4.6392300004360898E-7</v>
      </c>
      <c r="AP235" s="2204">
        <f>AO235/O235</f>
        <v>1.9600199416273779E-6</v>
      </c>
    </row>
    <row r="236" spans="1:42" x14ac:dyDescent="0.25">
      <c r="A236" s="103" t="str">
        <f t="shared" si="173"/>
        <v>353200</v>
      </c>
      <c r="B236" s="1960" t="str">
        <f>'HVAC Deemed Table'!C1523</f>
        <v>353200_2021_12_</v>
      </c>
      <c r="C236" s="3599" t="str">
        <f>'HVAC Deemed Table'!G1523</f>
        <v>Cooling Res</v>
      </c>
      <c r="D236" s="3599" t="str">
        <f>'HVAC Deemed Table'!G1524</f>
        <v>Heating Res</v>
      </c>
      <c r="E236" s="1962"/>
      <c r="F236" s="1962"/>
      <c r="G236" s="1962" t="str">
        <f>'HVAC Deemed Table'!E1523</f>
        <v>ASHP-SEER18-Replace_CAC_ElectricHeat_ROF_SF</v>
      </c>
      <c r="H236" s="63" t="str">
        <f>'HVAC Deemed Table'!D1523</f>
        <v>SF</v>
      </c>
      <c r="I236" s="2438">
        <f t="shared" si="264"/>
        <v>11080.13</v>
      </c>
      <c r="J236" s="2438">
        <f t="shared" si="265"/>
        <v>0</v>
      </c>
      <c r="K236" s="2439">
        <f>'HVAC Deemed Table'!F1523</f>
        <v>651.29999999999995</v>
      </c>
      <c r="L236" s="2439">
        <f>'HVAC Deemed Table'!F1524</f>
        <v>10428.83</v>
      </c>
      <c r="M236" s="2439"/>
      <c r="N236" s="2439"/>
      <c r="O236" s="2440">
        <f t="shared" si="266"/>
        <v>0.61705299999999996</v>
      </c>
      <c r="P236" s="2440">
        <f t="shared" si="267"/>
        <v>0</v>
      </c>
      <c r="Q236" s="2441">
        <f>'HVAC Deemed Table'!I1523</f>
        <v>0.61705299999999996</v>
      </c>
      <c r="R236" s="2441">
        <f>'HVAC Deemed Table'!I1524</f>
        <v>0</v>
      </c>
      <c r="S236" s="2441"/>
      <c r="T236" s="2441"/>
      <c r="U236" s="1819"/>
      <c r="V236" s="1819"/>
      <c r="W236" s="1819">
        <f t="shared" si="268"/>
        <v>0.61705299999999996</v>
      </c>
      <c r="X236" s="68">
        <f>'HVAC Deemed Table'!J1523</f>
        <v>18</v>
      </c>
      <c r="Y236" s="68"/>
      <c r="Z236" s="68">
        <f t="shared" si="150"/>
        <v>18</v>
      </c>
      <c r="AA236" s="62">
        <f>'HVAC Deemed Table'!BB1523</f>
        <v>6.5655455649858414</v>
      </c>
      <c r="AB236" s="839">
        <f>'HVAC Deemed Table'!K1523</f>
        <v>962.92000000000007</v>
      </c>
      <c r="AC236" s="3618">
        <f t="shared" si="174"/>
        <v>5967.0553425541921</v>
      </c>
      <c r="AD236" s="3618">
        <f t="shared" si="175"/>
        <v>0</v>
      </c>
      <c r="AE236" s="2453">
        <f>'HVAC Deemed Table'!BD1523</f>
        <v>1148.767939562061</v>
      </c>
      <c r="AF236" s="2453">
        <f>'HVAC Deemed Table'!BD1524</f>
        <v>4818.2874029921313</v>
      </c>
      <c r="AG236" s="2453"/>
      <c r="AH236" s="2453"/>
      <c r="AI236" s="3624" t="str">
        <f>AI233</f>
        <v>per measure</v>
      </c>
      <c r="AJ236" s="126">
        <f>'HVAC Deemed Table'!L1523</f>
        <v>3.0405405405405403</v>
      </c>
      <c r="AK236" s="1805"/>
      <c r="AL236" s="1805"/>
      <c r="AM236" s="1972">
        <f t="shared" si="269"/>
        <v>9.4741810000000004E-4</v>
      </c>
      <c r="AN236" s="100">
        <f t="shared" si="208"/>
        <v>0.61705340853000001</v>
      </c>
      <c r="AO236" s="1971">
        <f t="shared" si="145"/>
        <v>4.0853000005114382E-7</v>
      </c>
      <c r="AP236" s="1930"/>
    </row>
    <row r="237" spans="1:42" x14ac:dyDescent="0.25">
      <c r="A237" s="103" t="str">
        <f t="shared" si="173"/>
        <v>353250</v>
      </c>
      <c r="B237" s="1960" t="str">
        <f>'HVAC Deemed Table'!C1525</f>
        <v>353250_2021_12_</v>
      </c>
      <c r="C237" s="3599" t="str">
        <f>'HVAC Deemed Table'!G1525</f>
        <v>Cooling Res</v>
      </c>
      <c r="D237" s="3599" t="str">
        <f>'HVAC Deemed Table'!G1526</f>
        <v>Heating Res</v>
      </c>
      <c r="E237" s="1962"/>
      <c r="F237" s="1962"/>
      <c r="G237" s="1962" t="str">
        <f>'HVAC Deemed Table'!E1525</f>
        <v>ASHP-SEER18-Replace_CAC_ElectricHeat_ROF_MF</v>
      </c>
      <c r="H237" s="63" t="str">
        <f>'HVAC Deemed Table'!D1525</f>
        <v>MF</v>
      </c>
      <c r="I237" s="2438">
        <f t="shared" si="264"/>
        <v>7015.42</v>
      </c>
      <c r="J237" s="2438">
        <f t="shared" si="265"/>
        <v>0</v>
      </c>
      <c r="K237" s="2439">
        <f>'HVAC Deemed Table'!F1525</f>
        <v>434.5</v>
      </c>
      <c r="L237" s="2439">
        <f>'HVAC Deemed Table'!F1526</f>
        <v>6580.92</v>
      </c>
      <c r="M237" s="2439"/>
      <c r="N237" s="2439"/>
      <c r="O237" s="2440">
        <f t="shared" si="266"/>
        <v>0.41165299999999999</v>
      </c>
      <c r="P237" s="2440">
        <f t="shared" si="267"/>
        <v>0</v>
      </c>
      <c r="Q237" s="2441">
        <f>'HVAC Deemed Table'!I1525</f>
        <v>0.41165299999999999</v>
      </c>
      <c r="R237" s="2441">
        <f>'HVAC Deemed Table'!I1526</f>
        <v>0</v>
      </c>
      <c r="S237" s="2441"/>
      <c r="T237" s="2441"/>
      <c r="U237" s="1819"/>
      <c r="V237" s="1819"/>
      <c r="W237" s="1819">
        <f t="shared" si="268"/>
        <v>0.41165299999999999</v>
      </c>
      <c r="X237" s="68">
        <f>'HVAC Deemed Table'!J1525</f>
        <v>18</v>
      </c>
      <c r="Y237" s="68"/>
      <c r="Z237" s="68">
        <f t="shared" si="150"/>
        <v>18</v>
      </c>
      <c r="AA237" s="62">
        <f>'HVAC Deemed Table'!BB1525</f>
        <v>4.1886905943295947</v>
      </c>
      <c r="AB237" s="839">
        <f>'HVAC Deemed Table'!K1525</f>
        <v>962.92000000000007</v>
      </c>
      <c r="AC237" s="3618">
        <f t="shared" si="174"/>
        <v>3806.8654526586624</v>
      </c>
      <c r="AD237" s="3618">
        <f t="shared" si="175"/>
        <v>0</v>
      </c>
      <c r="AE237" s="2453">
        <f>'HVAC Deemed Table'!BD1525</f>
        <v>766.37443534425847</v>
      </c>
      <c r="AF237" s="2453">
        <f>'HVAC Deemed Table'!BD1526</f>
        <v>3040.491017314404</v>
      </c>
      <c r="AG237" s="2453"/>
      <c r="AH237" s="2453"/>
      <c r="AI237" s="3624" t="str">
        <f t="shared" si="138"/>
        <v>per measure</v>
      </c>
      <c r="AJ237" s="126">
        <f>'HVAC Deemed Table'!L1525</f>
        <v>3</v>
      </c>
      <c r="AK237" s="1805"/>
      <c r="AL237" s="1805"/>
      <c r="AM237" s="1972">
        <f t="shared" si="269"/>
        <v>9.4741810000000004E-4</v>
      </c>
      <c r="AN237" s="100">
        <f t="shared" si="208"/>
        <v>0.41165316445</v>
      </c>
      <c r="AO237" s="1971">
        <f t="shared" si="145"/>
        <v>1.6445000000642196E-7</v>
      </c>
      <c r="AP237" s="1930"/>
    </row>
    <row r="238" spans="1:42" x14ac:dyDescent="0.25">
      <c r="A238" s="103" t="str">
        <f t="shared" si="173"/>
        <v>353251</v>
      </c>
      <c r="B238" s="1960" t="str">
        <f>'HVAC Deemed Table'!C1527</f>
        <v>353251_2021_12_</v>
      </c>
      <c r="C238" s="3599" t="str">
        <f>'HVAC Deemed Table'!G1527</f>
        <v>Cooling Res</v>
      </c>
      <c r="D238" s="3599" t="str">
        <f>'HVAC Deemed Table'!G1528</f>
        <v>Heating Res</v>
      </c>
      <c r="E238" s="1962"/>
      <c r="F238" s="1962"/>
      <c r="G238" s="1962" t="str">
        <f>'HVAC Deemed Table'!E1527</f>
        <v>ASHP-SEER18-Replace_CAC_ElectricHeat_ROF_MF_CompE</v>
      </c>
      <c r="H238" s="63" t="str">
        <f>'HVAC Deemed Table'!D1527</f>
        <v>MFc</v>
      </c>
      <c r="I238" s="2438">
        <f t="shared" si="264"/>
        <v>2559.5</v>
      </c>
      <c r="J238" s="2438">
        <f t="shared" si="265"/>
        <v>0</v>
      </c>
      <c r="K238" s="2439">
        <f>'HVAC Deemed Table'!F1527</f>
        <v>316</v>
      </c>
      <c r="L238" s="2439">
        <f>'HVAC Deemed Table'!F1528</f>
        <v>2243.5</v>
      </c>
      <c r="M238" s="2439"/>
      <c r="N238" s="2439"/>
      <c r="O238" s="2440">
        <f t="shared" si="266"/>
        <v>0.29938399999999998</v>
      </c>
      <c r="P238" s="2440">
        <f t="shared" si="267"/>
        <v>0</v>
      </c>
      <c r="Q238" s="2441">
        <f>'HVAC Deemed Table'!I1527</f>
        <v>0.29938399999999998</v>
      </c>
      <c r="R238" s="2441">
        <f>'HVAC Deemed Table'!I1528</f>
        <v>0</v>
      </c>
      <c r="S238" s="2441"/>
      <c r="T238" s="2441"/>
      <c r="U238" s="1819"/>
      <c r="V238" s="1819"/>
      <c r="W238" s="1819">
        <f t="shared" si="268"/>
        <v>0.29938399999999998</v>
      </c>
      <c r="X238" s="68">
        <f>'HVAC Deemed Table'!J1527</f>
        <v>18</v>
      </c>
      <c r="Y238" s="68"/>
      <c r="Z238" s="68">
        <f t="shared" si="150"/>
        <v>18</v>
      </c>
      <c r="AA238" s="62">
        <f>'HVAC Deemed Table'!BB1527</f>
        <v>1.7537627087352035</v>
      </c>
      <c r="AB238" s="839">
        <f>'HVAC Deemed Table'!K1527</f>
        <v>962.92000000000007</v>
      </c>
      <c r="AC238" s="3618">
        <f t="shared" si="174"/>
        <v>1593.8963544080245</v>
      </c>
      <c r="AD238" s="3618">
        <f t="shared" si="175"/>
        <v>0</v>
      </c>
      <c r="AE238" s="2453">
        <f>'HVAC Deemed Table'!BD1527</f>
        <v>557.36322570491529</v>
      </c>
      <c r="AF238" s="2453">
        <f>'HVAC Deemed Table'!BD1528</f>
        <v>1036.5331287031092</v>
      </c>
      <c r="AG238" s="2453"/>
      <c r="AH238" s="2453"/>
      <c r="AI238" s="3624" t="str">
        <f t="shared" si="138"/>
        <v>per measure</v>
      </c>
      <c r="AJ238" s="126">
        <f>'HVAC Deemed Table'!L1527</f>
        <v>3</v>
      </c>
      <c r="AK238" s="1805"/>
      <c r="AL238" s="1805"/>
      <c r="AM238" s="1972">
        <f t="shared" si="269"/>
        <v>9.4741810000000004E-4</v>
      </c>
      <c r="AN238" s="100">
        <f t="shared" si="208"/>
        <v>0.2993841196</v>
      </c>
      <c r="AO238" s="1804">
        <f t="shared" si="145"/>
        <v>1.1960000001476345E-7</v>
      </c>
      <c r="AP238" s="163">
        <f>AO238/O238</f>
        <v>3.9948694657952149E-7</v>
      </c>
    </row>
    <row r="239" spans="1:42" s="100" customFormat="1" x14ac:dyDescent="0.25">
      <c r="A239" s="103" t="str">
        <f t="shared" si="173"/>
        <v>353260</v>
      </c>
      <c r="B239" s="1960" t="str">
        <f>'HVAC Deemed Table'!C1529</f>
        <v>353260_2021_12_</v>
      </c>
      <c r="C239" s="3645" t="str">
        <f>'HVAC Deemed Table'!G1529</f>
        <v>Cooling Res</v>
      </c>
      <c r="D239" s="3645" t="str">
        <f>'HVAC Deemed Table'!G1530</f>
        <v>Heating Res</v>
      </c>
      <c r="E239" s="1958"/>
      <c r="F239" s="1958"/>
      <c r="G239" s="1958" t="str">
        <f>'HVAC Deemed Table'!E1529</f>
        <v>ASHP-SEER18-Replace_CAC_NonElectricHeat_ROF_MF</v>
      </c>
      <c r="H239" s="1975" t="str">
        <f>'HVAC Deemed Table'!D1529</f>
        <v>MF</v>
      </c>
      <c r="I239" s="1973">
        <f t="shared" ref="I239" si="290">K239+L239</f>
        <v>434.5</v>
      </c>
      <c r="J239" s="1973">
        <f t="shared" ref="J239" si="291">M239+N239</f>
        <v>0</v>
      </c>
      <c r="K239" s="1963">
        <f>'HVAC Deemed Table'!F1529</f>
        <v>434.5</v>
      </c>
      <c r="L239" s="1963">
        <f>'HVAC Deemed Table'!F1530</f>
        <v>0</v>
      </c>
      <c r="M239" s="1963"/>
      <c r="N239" s="1963"/>
      <c r="O239" s="1974">
        <f t="shared" ref="O239" si="292">Q239+R239</f>
        <v>0.41165299999999999</v>
      </c>
      <c r="P239" s="1974">
        <f t="shared" ref="P239" si="293">S239+T239</f>
        <v>0</v>
      </c>
      <c r="Q239" s="1976">
        <f>'HVAC Deemed Table'!I1529</f>
        <v>0.41165299999999999</v>
      </c>
      <c r="R239" s="1976">
        <f>'HVAC Deemed Table'!I1530</f>
        <v>0</v>
      </c>
      <c r="S239" s="1976"/>
      <c r="T239" s="1976"/>
      <c r="U239" s="1926"/>
      <c r="V239" s="1926"/>
      <c r="W239" s="1926">
        <f t="shared" ref="W239" si="294">O239</f>
        <v>0.41165299999999999</v>
      </c>
      <c r="X239" s="1952">
        <f>'HVAC Deemed Table'!J1529</f>
        <v>18</v>
      </c>
      <c r="Y239" s="1952"/>
      <c r="Z239" s="1952">
        <f t="shared" ref="Z239" si="295">Y239+X239</f>
        <v>18</v>
      </c>
      <c r="AA239" s="1951">
        <f>'HVAC Deemed Table'!BB1529</f>
        <v>0.84324109401325331</v>
      </c>
      <c r="AB239" s="2426">
        <f>'HVAC Deemed Table'!K1529</f>
        <v>962.92000000000007</v>
      </c>
      <c r="AC239" s="2436">
        <f t="shared" ref="AC239" si="296">AE239+AF239</f>
        <v>766.37443534425847</v>
      </c>
      <c r="AD239" s="2436">
        <f t="shared" ref="AD239" si="297">AG239+AH239</f>
        <v>0</v>
      </c>
      <c r="AE239" s="1982">
        <f>'HVAC Deemed Table'!BD1529</f>
        <v>766.37443534425847</v>
      </c>
      <c r="AF239" s="1982">
        <f>'HVAC Deemed Table'!BD1530</f>
        <v>0</v>
      </c>
      <c r="AG239" s="1982"/>
      <c r="AH239" s="1982"/>
      <c r="AI239" s="3624" t="str">
        <f t="shared" si="138"/>
        <v>per measure</v>
      </c>
      <c r="AJ239" s="112">
        <f>'HVAC Deemed Table'!L1529</f>
        <v>3</v>
      </c>
      <c r="AK239" s="3646"/>
      <c r="AL239" s="3646"/>
      <c r="AM239" s="2433">
        <f t="shared" si="269"/>
        <v>9.4741810000000004E-4</v>
      </c>
      <c r="AN239" s="100">
        <f t="shared" ref="AN239" si="298">AM239*K239</f>
        <v>0.41165316445</v>
      </c>
      <c r="AO239" s="3647">
        <f t="shared" ref="AO239" si="299">AN239-O239</f>
        <v>1.6445000000642196E-7</v>
      </c>
      <c r="AP239" s="2204">
        <f>AO239/O239</f>
        <v>3.994869465458091E-7</v>
      </c>
    </row>
    <row r="240" spans="1:42" s="100" customFormat="1" x14ac:dyDescent="0.25">
      <c r="A240" s="103" t="str">
        <f t="shared" si="173"/>
        <v>353261</v>
      </c>
      <c r="B240" s="1960" t="str">
        <f>'HVAC Deemed Table'!C1531</f>
        <v>353261_2021_12_</v>
      </c>
      <c r="C240" s="3645" t="str">
        <f>'HVAC Deemed Table'!G1531</f>
        <v>Cooling Res</v>
      </c>
      <c r="D240" s="3645" t="str">
        <f>'HVAC Deemed Table'!G1532</f>
        <v>Heating Res</v>
      </c>
      <c r="E240" s="1958"/>
      <c r="F240" s="1958"/>
      <c r="G240" s="1958" t="str">
        <f>'HVAC Deemed Table'!E1531</f>
        <v>ASHP-SEER18-Replace_CAC_NonElectricHeat_ROF_MF_CompE</v>
      </c>
      <c r="H240" s="1975" t="str">
        <f>'HVAC Deemed Table'!D1531</f>
        <v>MFc</v>
      </c>
      <c r="I240" s="1973">
        <f t="shared" ref="I240" si="300">K240+L240</f>
        <v>316</v>
      </c>
      <c r="J240" s="1973">
        <f t="shared" ref="J240" si="301">M240+N240</f>
        <v>0</v>
      </c>
      <c r="K240" s="1963">
        <f>'HVAC Deemed Table'!F1531</f>
        <v>316</v>
      </c>
      <c r="L240" s="1963">
        <f>'HVAC Deemed Table'!F1532</f>
        <v>0</v>
      </c>
      <c r="M240" s="1963"/>
      <c r="N240" s="1963"/>
      <c r="O240" s="1974">
        <f t="shared" ref="O240" si="302">Q240+R240</f>
        <v>0.29938399999999998</v>
      </c>
      <c r="P240" s="1974">
        <f t="shared" ref="P240" si="303">S240+T240</f>
        <v>0</v>
      </c>
      <c r="Q240" s="1976">
        <f>'HVAC Deemed Table'!I1531</f>
        <v>0.29938399999999998</v>
      </c>
      <c r="R240" s="1976">
        <f>'HVAC Deemed Table'!I1532</f>
        <v>0</v>
      </c>
      <c r="S240" s="1976"/>
      <c r="T240" s="1976"/>
      <c r="U240" s="1926"/>
      <c r="V240" s="1926"/>
      <c r="W240" s="1926">
        <f t="shared" ref="W240" si="304">O240</f>
        <v>0.29938399999999998</v>
      </c>
      <c r="X240" s="1952">
        <f>'HVAC Deemed Table'!J1531</f>
        <v>18</v>
      </c>
      <c r="Y240" s="1952"/>
      <c r="Z240" s="1952">
        <f t="shared" ref="Z240" si="305">Y240+X240</f>
        <v>18</v>
      </c>
      <c r="AA240" s="1951">
        <f>'HVAC Deemed Table'!BB1531</f>
        <v>0.61326625019145697</v>
      </c>
      <c r="AB240" s="2426">
        <f>'HVAC Deemed Table'!K1531</f>
        <v>962.92000000000007</v>
      </c>
      <c r="AC240" s="2436">
        <f t="shared" ref="AC240" si="306">AE240+AF240</f>
        <v>557.36322570491529</v>
      </c>
      <c r="AD240" s="2436">
        <f t="shared" ref="AD240" si="307">AG240+AH240</f>
        <v>0</v>
      </c>
      <c r="AE240" s="1982">
        <f>'HVAC Deemed Table'!BD1531</f>
        <v>557.36322570491529</v>
      </c>
      <c r="AF240" s="1982">
        <f>'HVAC Deemed Table'!BD1532</f>
        <v>0</v>
      </c>
      <c r="AG240" s="1982"/>
      <c r="AH240" s="1982"/>
      <c r="AI240" s="3624" t="str">
        <f t="shared" si="138"/>
        <v>per measure</v>
      </c>
      <c r="AJ240" s="112">
        <f>'HVAC Deemed Table'!L1531</f>
        <v>3</v>
      </c>
      <c r="AK240" s="3646"/>
      <c r="AL240" s="3646"/>
      <c r="AM240" s="2433">
        <f t="shared" si="269"/>
        <v>9.4741810000000004E-4</v>
      </c>
      <c r="AN240" s="100">
        <f t="shared" ref="AN240" si="308">AM240*K240</f>
        <v>0.2993841196</v>
      </c>
      <c r="AO240" s="3647">
        <f t="shared" ref="AO240" si="309">AN240-O240</f>
        <v>1.1960000001476345E-7</v>
      </c>
      <c r="AP240" s="2204">
        <f>AO240/O240</f>
        <v>3.9948694657952149E-7</v>
      </c>
    </row>
    <row r="241" spans="1:42" x14ac:dyDescent="0.25">
      <c r="A241" s="103" t="str">
        <f t="shared" si="173"/>
        <v>353300</v>
      </c>
      <c r="B241" s="1960" t="str">
        <f>'HVAC Deemed Table'!C1533</f>
        <v>353300_2021_12_</v>
      </c>
      <c r="C241" s="3599" t="str">
        <f>'HVAC Deemed Table'!G1533</f>
        <v>Cooling Res</v>
      </c>
      <c r="D241" s="3599" t="str">
        <f>'HVAC Deemed Table'!G1534</f>
        <v>Heating Res</v>
      </c>
      <c r="E241" s="1962"/>
      <c r="F241" s="1962"/>
      <c r="G241" s="1962" t="str">
        <f>'HVAC Deemed Table'!E1533</f>
        <v>ASHP-SEER19-Replace_CAC_ElectricHeat_ROF_SF</v>
      </c>
      <c r="H241" s="63" t="str">
        <f>'HVAC Deemed Table'!D1533</f>
        <v>SF</v>
      </c>
      <c r="I241" s="2438">
        <f t="shared" si="264"/>
        <v>15543.31</v>
      </c>
      <c r="J241" s="2438">
        <f t="shared" si="265"/>
        <v>0</v>
      </c>
      <c r="K241" s="2439">
        <f>'HVAC Deemed Table'!F1533</f>
        <v>1013.25</v>
      </c>
      <c r="L241" s="2439">
        <f>'HVAC Deemed Table'!F1534</f>
        <v>14530.06</v>
      </c>
      <c r="M241" s="2439"/>
      <c r="N241" s="2439"/>
      <c r="O241" s="2440">
        <f t="shared" ref="O241:O266" si="310">Q241+R241</f>
        <v>0.95997100000000002</v>
      </c>
      <c r="P241" s="2440">
        <f t="shared" ref="P241:P266" si="311">S241+T241</f>
        <v>0</v>
      </c>
      <c r="Q241" s="2441">
        <f>'HVAC Deemed Table'!I1533</f>
        <v>0.95997100000000002</v>
      </c>
      <c r="R241" s="2441">
        <f>'HVAC Deemed Table'!I1534</f>
        <v>0</v>
      </c>
      <c r="S241" s="2441"/>
      <c r="T241" s="2441"/>
      <c r="U241" s="1819"/>
      <c r="V241" s="1819"/>
      <c r="W241" s="1819">
        <f t="shared" si="268"/>
        <v>0.95997100000000002</v>
      </c>
      <c r="X241" s="68">
        <f>'HVAC Deemed Table'!J1533</f>
        <v>18</v>
      </c>
      <c r="Y241" s="68"/>
      <c r="Z241" s="68">
        <f t="shared" si="150"/>
        <v>18</v>
      </c>
      <c r="AA241" s="62">
        <f>'HVAC Deemed Table'!BB1533</f>
        <v>7.4822977412890257</v>
      </c>
      <c r="AB241" s="839">
        <f>'HVAC Deemed Table'!K1533</f>
        <v>1203.6500000000003</v>
      </c>
      <c r="AC241" s="3618">
        <f t="shared" si="174"/>
        <v>8500.2998360571364</v>
      </c>
      <c r="AD241" s="3618">
        <f t="shared" si="175"/>
        <v>0</v>
      </c>
      <c r="AE241" s="2453">
        <f>'HVAC Deemed Table'!BD1533</f>
        <v>1787.1781279921058</v>
      </c>
      <c r="AF241" s="2453">
        <f>'HVAC Deemed Table'!BD1534</f>
        <v>6713.1217080650313</v>
      </c>
      <c r="AG241" s="2453"/>
      <c r="AH241" s="2453"/>
      <c r="AI241" s="3624" t="str">
        <f>AI238</f>
        <v>per measure</v>
      </c>
      <c r="AJ241" s="126">
        <f>'HVAC Deemed Table'!L1533</f>
        <v>4</v>
      </c>
      <c r="AK241" s="1805"/>
      <c r="AL241" s="1805"/>
      <c r="AM241" s="1972">
        <f t="shared" si="269"/>
        <v>9.4741810000000004E-4</v>
      </c>
      <c r="AN241" s="100">
        <f t="shared" si="208"/>
        <v>0.95997138982500008</v>
      </c>
      <c r="AO241" s="1971">
        <f t="shared" si="145"/>
        <v>3.8982500005779741E-7</v>
      </c>
      <c r="AP241" s="1930"/>
    </row>
    <row r="242" spans="1:42" x14ac:dyDescent="0.25">
      <c r="A242" s="103" t="str">
        <f t="shared" si="173"/>
        <v>353350</v>
      </c>
      <c r="B242" s="1960" t="str">
        <f>'HVAC Deemed Table'!C1535</f>
        <v>353350_2021_12_</v>
      </c>
      <c r="C242" s="3599" t="str">
        <f>'HVAC Deemed Table'!G1535</f>
        <v>Cooling Res</v>
      </c>
      <c r="D242" s="3599" t="str">
        <f>'HVAC Deemed Table'!G1536</f>
        <v>Heating Res</v>
      </c>
      <c r="E242" s="1962"/>
      <c r="F242" s="1962"/>
      <c r="G242" s="1962" t="str">
        <f>'HVAC Deemed Table'!E1535</f>
        <v>ASHP-SEER19-Replace_CAC_ElectricHeat_ROF_MF</v>
      </c>
      <c r="H242" s="63" t="str">
        <f>'HVAC Deemed Table'!D1535</f>
        <v>MF</v>
      </c>
      <c r="I242" s="2438">
        <f t="shared" si="264"/>
        <v>6699.75</v>
      </c>
      <c r="J242" s="2438">
        <f t="shared" si="265"/>
        <v>0</v>
      </c>
      <c r="K242" s="2439">
        <f>'HVAC Deemed Table'!F1535</f>
        <v>486.64</v>
      </c>
      <c r="L242" s="2439">
        <f>'HVAC Deemed Table'!F1536</f>
        <v>6213.11</v>
      </c>
      <c r="M242" s="2439"/>
      <c r="N242" s="2439"/>
      <c r="O242" s="2440">
        <f t="shared" si="310"/>
        <v>0.46105200000000002</v>
      </c>
      <c r="P242" s="2440">
        <f t="shared" si="311"/>
        <v>0</v>
      </c>
      <c r="Q242" s="2441">
        <f>'HVAC Deemed Table'!I1535</f>
        <v>0.46105200000000002</v>
      </c>
      <c r="R242" s="2441">
        <f>'HVAC Deemed Table'!I1536</f>
        <v>0</v>
      </c>
      <c r="S242" s="2441"/>
      <c r="T242" s="2441"/>
      <c r="U242" s="1819"/>
      <c r="V242" s="1819"/>
      <c r="W242" s="1819">
        <f t="shared" si="268"/>
        <v>0.46105200000000002</v>
      </c>
      <c r="X242" s="68">
        <f>'HVAC Deemed Table'!J1535</f>
        <v>18</v>
      </c>
      <c r="Y242" s="68"/>
      <c r="Z242" s="68">
        <f t="shared" si="150"/>
        <v>18</v>
      </c>
      <c r="AA242" s="62">
        <f>'HVAC Deemed Table'!BB1535</f>
        <v>3.2823209140331504</v>
      </c>
      <c r="AB242" s="839">
        <f>'HVAC Deemed Table'!K1535</f>
        <v>1203.6500000000003</v>
      </c>
      <c r="AC242" s="3618">
        <f t="shared" si="174"/>
        <v>3728.896241789525</v>
      </c>
      <c r="AD242" s="3618">
        <f t="shared" si="175"/>
        <v>0</v>
      </c>
      <c r="AE242" s="2453">
        <f>'HVAC Deemed Table'!BD1535</f>
        <v>858.33936758556956</v>
      </c>
      <c r="AF242" s="2453">
        <f>'HVAC Deemed Table'!BD1536</f>
        <v>2870.5568742039554</v>
      </c>
      <c r="AG242" s="2453"/>
      <c r="AH242" s="2453"/>
      <c r="AI242" s="3624" t="str">
        <f t="shared" si="138"/>
        <v>per measure</v>
      </c>
      <c r="AJ242" s="126">
        <f>'HVAC Deemed Table'!L1535</f>
        <v>2.8</v>
      </c>
      <c r="AK242" s="1805"/>
      <c r="AL242" s="1805"/>
      <c r="AM242" s="1972">
        <f t="shared" si="269"/>
        <v>9.4741810000000004E-4</v>
      </c>
      <c r="AN242" s="100">
        <f t="shared" si="208"/>
        <v>0.46105154418400002</v>
      </c>
      <c r="AO242" s="1971">
        <f t="shared" si="145"/>
        <v>-4.558160000001088E-7</v>
      </c>
      <c r="AP242" s="1930"/>
    </row>
    <row r="243" spans="1:42" x14ac:dyDescent="0.25">
      <c r="A243" s="103" t="str">
        <f t="shared" si="173"/>
        <v>353351</v>
      </c>
      <c r="B243" s="684" t="str">
        <f>'HVAC Deemed Table'!C1537</f>
        <v>353351_2019_12_</v>
      </c>
      <c r="C243" s="3599" t="str">
        <f>'HVAC Deemed Table'!G1537</f>
        <v>Cooling Res</v>
      </c>
      <c r="D243" s="3599" t="str">
        <f>'HVAC Deemed Table'!G1538</f>
        <v>Heating Res</v>
      </c>
      <c r="E243" s="1962"/>
      <c r="F243" s="1962"/>
      <c r="G243" s="1962" t="str">
        <f>'HVAC Deemed Table'!E1537</f>
        <v>ASHP-SEER19-Replace_CAC_ElectricHeat_ROF_MF_CompE</v>
      </c>
      <c r="H243" s="63" t="str">
        <f>'HVAC Deemed Table'!D1537</f>
        <v>MFc</v>
      </c>
      <c r="I243" s="2438">
        <f t="shared" si="264"/>
        <v>2453.39</v>
      </c>
      <c r="J243" s="2438">
        <f t="shared" si="265"/>
        <v>0</v>
      </c>
      <c r="K243" s="2439">
        <f>'HVAC Deemed Table'!F1537</f>
        <v>335.29</v>
      </c>
      <c r="L243" s="2439">
        <f>'HVAC Deemed Table'!F1538</f>
        <v>2118.1</v>
      </c>
      <c r="M243" s="2439"/>
      <c r="N243" s="2439"/>
      <c r="O243" s="2440">
        <f t="shared" si="310"/>
        <v>0.31766</v>
      </c>
      <c r="P243" s="2440">
        <f t="shared" si="311"/>
        <v>0</v>
      </c>
      <c r="Q243" s="2441">
        <f>'HVAC Deemed Table'!I1537</f>
        <v>0.31766</v>
      </c>
      <c r="R243" s="2441">
        <f>'HVAC Deemed Table'!I1538</f>
        <v>0</v>
      </c>
      <c r="S243" s="2441"/>
      <c r="T243" s="2441"/>
      <c r="U243" s="1819"/>
      <c r="V243" s="1819"/>
      <c r="W243" s="1819">
        <f t="shared" si="268"/>
        <v>0.31766</v>
      </c>
      <c r="X243" s="68">
        <f>'HVAC Deemed Table'!J1537</f>
        <v>18</v>
      </c>
      <c r="Y243" s="68"/>
      <c r="Z243" s="68">
        <f t="shared" si="150"/>
        <v>18</v>
      </c>
      <c r="AA243" s="62">
        <f>'HVAC Deemed Table'!BB1537</f>
        <v>1.3819610322673985</v>
      </c>
      <c r="AB243" s="839">
        <f>'HVAC Deemed Table'!K1537</f>
        <v>1203.6500000000003</v>
      </c>
      <c r="AC243" s="3618">
        <f t="shared" si="174"/>
        <v>1569.9833850765967</v>
      </c>
      <c r="AD243" s="3618">
        <f t="shared" si="175"/>
        <v>0</v>
      </c>
      <c r="AE243" s="2453">
        <f>'HVAC Deemed Table'!BD1537</f>
        <v>591.38707578038304</v>
      </c>
      <c r="AF243" s="2453">
        <f>'HVAC Deemed Table'!BD1538</f>
        <v>978.59630929621369</v>
      </c>
      <c r="AG243" s="2453"/>
      <c r="AH243" s="2453"/>
      <c r="AI243" s="3624" t="str">
        <f t="shared" si="138"/>
        <v>per measure</v>
      </c>
      <c r="AJ243" s="126">
        <f>'HVAC Deemed Table'!L1537</f>
        <v>2.8</v>
      </c>
      <c r="AK243" s="1805"/>
      <c r="AL243" s="1805"/>
      <c r="AM243" s="1972">
        <f t="shared" si="269"/>
        <v>9.4741810000000004E-4</v>
      </c>
      <c r="AN243" s="100">
        <f t="shared" si="208"/>
        <v>0.31765981474900001</v>
      </c>
      <c r="AO243" s="1804">
        <f t="shared" si="145"/>
        <v>-1.8525099998445427E-7</v>
      </c>
      <c r="AP243" s="163">
        <f>AO243/O243</f>
        <v>-5.8317383360969043E-7</v>
      </c>
    </row>
    <row r="244" spans="1:42" s="100" customFormat="1" x14ac:dyDescent="0.25">
      <c r="A244" s="103" t="str">
        <f t="shared" si="173"/>
        <v>353360</v>
      </c>
      <c r="B244" s="1960" t="str">
        <f>'HVAC Deemed Table'!C1539</f>
        <v>353360_2021_12_</v>
      </c>
      <c r="C244" s="3645" t="str">
        <f>'HVAC Deemed Table'!G1539</f>
        <v>Cooling Res</v>
      </c>
      <c r="D244" s="3645" t="str">
        <f>'HVAC Deemed Table'!G1540</f>
        <v>Heating Res</v>
      </c>
      <c r="E244" s="1958"/>
      <c r="F244" s="1958"/>
      <c r="G244" s="1958" t="str">
        <f>'HVAC Deemed Table'!E1539</f>
        <v>ASHP-SEER19-Replace_CAC_NonElectricHeat_ROF_MF</v>
      </c>
      <c r="H244" s="1975" t="str">
        <f>'HVAC Deemed Table'!D1539</f>
        <v>MF</v>
      </c>
      <c r="I244" s="1973">
        <f t="shared" ref="I244" si="312">K244+L244</f>
        <v>486.64</v>
      </c>
      <c r="J244" s="1973">
        <f t="shared" ref="J244" si="313">M244+N244</f>
        <v>0</v>
      </c>
      <c r="K244" s="1963">
        <f>'HVAC Deemed Table'!F1539</f>
        <v>486.64</v>
      </c>
      <c r="L244" s="1963">
        <f>'HVAC Deemed Table'!F1540</f>
        <v>0</v>
      </c>
      <c r="M244" s="1963"/>
      <c r="N244" s="1963"/>
      <c r="O244" s="1974">
        <f t="shared" ref="O244" si="314">Q244+R244</f>
        <v>0.46105200000000002</v>
      </c>
      <c r="P244" s="1974">
        <f t="shared" ref="P244" si="315">S244+T244</f>
        <v>0</v>
      </c>
      <c r="Q244" s="1976">
        <f>'HVAC Deemed Table'!I1539</f>
        <v>0.46105200000000002</v>
      </c>
      <c r="R244" s="1976">
        <f>'HVAC Deemed Table'!I1540</f>
        <v>0</v>
      </c>
      <c r="S244" s="1976"/>
      <c r="T244" s="1976"/>
      <c r="U244" s="1926"/>
      <c r="V244" s="1926"/>
      <c r="W244" s="1926">
        <f t="shared" ref="W244" si="316">O244</f>
        <v>0.46105200000000002</v>
      </c>
      <c r="X244" s="1952">
        <f>'HVAC Deemed Table'!J1539</f>
        <v>18</v>
      </c>
      <c r="Y244" s="1952"/>
      <c r="Z244" s="1952">
        <f t="shared" ref="Z244" si="317">Y244+X244</f>
        <v>18</v>
      </c>
      <c r="AA244" s="1951">
        <f>'HVAC Deemed Table'!BB1539</f>
        <v>0.75554402023587497</v>
      </c>
      <c r="AB244" s="2426">
        <f>'HVAC Deemed Table'!K1539</f>
        <v>1203.6500000000003</v>
      </c>
      <c r="AC244" s="2436">
        <f t="shared" ref="AC244" si="318">AE244+AF244</f>
        <v>858.33936758556956</v>
      </c>
      <c r="AD244" s="2436">
        <f t="shared" ref="AD244" si="319">AG244+AH244</f>
        <v>0</v>
      </c>
      <c r="AE244" s="1982">
        <f>'HVAC Deemed Table'!BD1539</f>
        <v>858.33936758556956</v>
      </c>
      <c r="AF244" s="1982">
        <f>'HVAC Deemed Table'!BD1540</f>
        <v>0</v>
      </c>
      <c r="AG244" s="1982"/>
      <c r="AH244" s="1982"/>
      <c r="AI244" s="3624" t="str">
        <f t="shared" si="138"/>
        <v>per measure</v>
      </c>
      <c r="AJ244" s="112">
        <f>'HVAC Deemed Table'!L1539</f>
        <v>2.8</v>
      </c>
      <c r="AK244" s="3646"/>
      <c r="AL244" s="3646"/>
      <c r="AM244" s="2433">
        <f t="shared" si="269"/>
        <v>9.4741810000000004E-4</v>
      </c>
      <c r="AN244" s="100">
        <f t="shared" ref="AN244" si="320">AM244*K244</f>
        <v>0.46105154418400002</v>
      </c>
      <c r="AO244" s="3647">
        <f t="shared" ref="AO244" si="321">AN244-O244</f>
        <v>-4.558160000001088E-7</v>
      </c>
      <c r="AP244" s="2204">
        <f>AO244/O244</f>
        <v>-9.8864336343863327E-7</v>
      </c>
    </row>
    <row r="245" spans="1:42" s="100" customFormat="1" x14ac:dyDescent="0.25">
      <c r="A245" s="103" t="str">
        <f t="shared" si="173"/>
        <v>353361</v>
      </c>
      <c r="B245" s="1960" t="str">
        <f>'HVAC Deemed Table'!C1541</f>
        <v>353361_2021_12_</v>
      </c>
      <c r="C245" s="3645" t="str">
        <f>'HVAC Deemed Table'!G1541</f>
        <v>Cooling Res</v>
      </c>
      <c r="D245" s="3645" t="str">
        <f>'HVAC Deemed Table'!G1542</f>
        <v>Heating Res</v>
      </c>
      <c r="E245" s="1958"/>
      <c r="F245" s="1958"/>
      <c r="G245" s="1958" t="str">
        <f>'HVAC Deemed Table'!E1541</f>
        <v>ASHP-SEER19-Replace_CAC_NonElectricHeat_ROF_MF_CompE</v>
      </c>
      <c r="H245" s="1975" t="str">
        <f>'HVAC Deemed Table'!D1541</f>
        <v>MFc</v>
      </c>
      <c r="I245" s="1973">
        <f t="shared" ref="I245" si="322">K245+L245</f>
        <v>335.29</v>
      </c>
      <c r="J245" s="1973">
        <f t="shared" ref="J245" si="323">M245+N245</f>
        <v>0</v>
      </c>
      <c r="K245" s="1963">
        <f>'HVAC Deemed Table'!F1541</f>
        <v>335.29</v>
      </c>
      <c r="L245" s="1963">
        <f>'HVAC Deemed Table'!F1542</f>
        <v>0</v>
      </c>
      <c r="M245" s="1963"/>
      <c r="N245" s="1963"/>
      <c r="O245" s="1974">
        <f t="shared" ref="O245" si="324">Q245+R245</f>
        <v>0.31766</v>
      </c>
      <c r="P245" s="1974">
        <f t="shared" ref="P245" si="325">S245+T245</f>
        <v>0</v>
      </c>
      <c r="Q245" s="1976">
        <f>'HVAC Deemed Table'!I1541</f>
        <v>0.31766</v>
      </c>
      <c r="R245" s="1976">
        <f>'HVAC Deemed Table'!I1542</f>
        <v>0</v>
      </c>
      <c r="S245" s="1976"/>
      <c r="T245" s="1976"/>
      <c r="U245" s="1926"/>
      <c r="V245" s="1926"/>
      <c r="W245" s="1926">
        <f t="shared" ref="W245" si="326">O245</f>
        <v>0.31766</v>
      </c>
      <c r="X245" s="1952">
        <f>'HVAC Deemed Table'!J1541</f>
        <v>18</v>
      </c>
      <c r="Y245" s="1952"/>
      <c r="Z245" s="1952">
        <f t="shared" ref="Z245" si="327">Y245+X245</f>
        <v>18</v>
      </c>
      <c r="AA245" s="1951">
        <f>'HVAC Deemed Table'!BB1541</f>
        <v>0.5205621291815028</v>
      </c>
      <c r="AB245" s="2426">
        <f>'HVAC Deemed Table'!K1541</f>
        <v>1203.6500000000003</v>
      </c>
      <c r="AC245" s="2436">
        <f t="shared" ref="AC245" si="328">AE245+AF245</f>
        <v>591.38707578038304</v>
      </c>
      <c r="AD245" s="2436">
        <f t="shared" ref="AD245" si="329">AG245+AH245</f>
        <v>0</v>
      </c>
      <c r="AE245" s="1982">
        <f>'HVAC Deemed Table'!BD1541</f>
        <v>591.38707578038304</v>
      </c>
      <c r="AF245" s="1982">
        <f>'HVAC Deemed Table'!BD1542</f>
        <v>0</v>
      </c>
      <c r="AG245" s="1982"/>
      <c r="AH245" s="1982"/>
      <c r="AI245" s="3624" t="str">
        <f t="shared" si="138"/>
        <v>per measure</v>
      </c>
      <c r="AJ245" s="112">
        <f>'HVAC Deemed Table'!L1541</f>
        <v>2.8</v>
      </c>
      <c r="AK245" s="3646"/>
      <c r="AL245" s="3646"/>
      <c r="AM245" s="2433">
        <f t="shared" si="269"/>
        <v>9.4741810000000004E-4</v>
      </c>
      <c r="AN245" s="100">
        <f t="shared" ref="AN245" si="330">AM245*K245</f>
        <v>0.31765981474900001</v>
      </c>
      <c r="AO245" s="3647">
        <f t="shared" ref="AO245" si="331">AN245-O245</f>
        <v>-1.8525099998445427E-7</v>
      </c>
      <c r="AP245" s="2204">
        <f>AO245/O245</f>
        <v>-5.8317383360969043E-7</v>
      </c>
    </row>
    <row r="246" spans="1:42" x14ac:dyDescent="0.25">
      <c r="A246" s="103" t="str">
        <f t="shared" si="173"/>
        <v>353400</v>
      </c>
      <c r="B246" s="1960" t="str">
        <f>'HVAC Deemed Table'!C1543</f>
        <v>353400_2021_12_</v>
      </c>
      <c r="C246" s="3599" t="str">
        <f>'HVAC Deemed Table'!G1543</f>
        <v>Cooling Res</v>
      </c>
      <c r="D246" s="3599" t="str">
        <f>'HVAC Deemed Table'!G1544</f>
        <v>Heating Res</v>
      </c>
      <c r="E246" s="3599" t="str">
        <f>'HVAC Deemed Table'!G1545</f>
        <v>Cooling Res ER2</v>
      </c>
      <c r="F246" s="3599" t="str">
        <f>'HVAC Deemed Table'!G1546</f>
        <v>Heating Res ER2</v>
      </c>
      <c r="G246" s="1962" t="str">
        <f>'HVAC Deemed Table'!E1543</f>
        <v>ASHP-SEER20-Replace_CAC_ElectricHeat_ER1_SF</v>
      </c>
      <c r="H246" s="63" t="str">
        <f>'HVAC Deemed Table'!D1543</f>
        <v>SF</v>
      </c>
      <c r="I246" s="2438">
        <f t="shared" ref="I246:I256" si="332">K246+L246</f>
        <v>13139.08</v>
      </c>
      <c r="J246" s="2438">
        <f t="shared" ref="J246:J256" si="333">M246+N246</f>
        <v>11783.92</v>
      </c>
      <c r="K246" s="2439">
        <f>'HVAC Deemed Table'!F1543</f>
        <v>2197.42</v>
      </c>
      <c r="L246" s="2439">
        <f>'HVAC Deemed Table'!F1544</f>
        <v>10941.66</v>
      </c>
      <c r="M246" s="2439">
        <f>'HVAC Deemed Table'!F1545</f>
        <v>842.26</v>
      </c>
      <c r="N246" s="2439">
        <f>'HVAC Deemed Table'!F1546</f>
        <v>10941.66</v>
      </c>
      <c r="O246" s="2440">
        <f t="shared" si="310"/>
        <v>2.0818750000000001</v>
      </c>
      <c r="P246" s="2440">
        <f t="shared" si="311"/>
        <v>0.79797200000000001</v>
      </c>
      <c r="Q246" s="2441">
        <f>'HVAC Deemed Table'!I1543</f>
        <v>2.0818750000000001</v>
      </c>
      <c r="R246" s="2441">
        <f>'HVAC Deemed Table'!I1544</f>
        <v>0</v>
      </c>
      <c r="S246" s="2441">
        <f>'HVAC Deemed Table'!I1545</f>
        <v>0.79797200000000001</v>
      </c>
      <c r="T246" s="2441">
        <f>'HVAC Deemed Table'!I1546</f>
        <v>0</v>
      </c>
      <c r="U246" s="1819"/>
      <c r="V246" s="1819"/>
      <c r="W246" s="1821">
        <f>P246</f>
        <v>0.79797200000000001</v>
      </c>
      <c r="X246" s="68">
        <f>'HVAC Deemed Table'!J1543</f>
        <v>6</v>
      </c>
      <c r="Y246" s="68">
        <f>'HVAC Deemed Table'!J1545</f>
        <v>12</v>
      </c>
      <c r="Z246" s="68">
        <f t="shared" si="150"/>
        <v>18</v>
      </c>
      <c r="AA246" s="62">
        <f>'HVAC Deemed Table'!BB1543</f>
        <v>3.5928646832104278</v>
      </c>
      <c r="AB246" s="839">
        <f>'HVAC Deemed Table'!K1543</f>
        <v>2161.1935998255572</v>
      </c>
      <c r="AC246" s="3618">
        <f t="shared" si="174"/>
        <v>3097.7295790844655</v>
      </c>
      <c r="AD246" s="3618">
        <f t="shared" si="175"/>
        <v>4231.082274047817</v>
      </c>
      <c r="AE246" s="2453">
        <f>'HVAC Deemed Table'!BD1543</f>
        <v>1277.7649293166439</v>
      </c>
      <c r="AF246" s="2453">
        <f>'HVAC Deemed Table'!BD1544</f>
        <v>1819.9646497678216</v>
      </c>
      <c r="AG246" s="2453">
        <f>'HVAC Deemed Table'!BD1545</f>
        <v>995.82380235111384</v>
      </c>
      <c r="AH246" s="2453">
        <f>'HVAC Deemed Table'!BD1546</f>
        <v>3235.2584716967031</v>
      </c>
      <c r="AI246" s="3624" t="str">
        <f>AI243</f>
        <v>per measure</v>
      </c>
      <c r="AJ246" s="126">
        <f>'HVAC Deemed Table'!L1543</f>
        <v>3</v>
      </c>
      <c r="AK246" s="1805"/>
      <c r="AL246" s="1805"/>
      <c r="AM246" s="1972">
        <f t="shared" si="269"/>
        <v>9.4741810000000004E-4</v>
      </c>
      <c r="AN246" s="100">
        <f t="shared" si="208"/>
        <v>2.0818754813020002</v>
      </c>
      <c r="AO246" s="1971">
        <f t="shared" si="145"/>
        <v>4.8130200003271284E-7</v>
      </c>
      <c r="AP246" s="1930"/>
    </row>
    <row r="247" spans="1:42" s="100" customFormat="1" x14ac:dyDescent="0.25">
      <c r="A247" s="103" t="str">
        <f t="shared" si="173"/>
        <v>353410</v>
      </c>
      <c r="B247" s="1960" t="str">
        <f>'HVAC Deemed Table'!C1547</f>
        <v>353410_2021_12_</v>
      </c>
      <c r="C247" s="3645" t="str">
        <f>'HVAC Deemed Table'!G1547</f>
        <v>Cooling Res</v>
      </c>
      <c r="D247" s="3645" t="str">
        <f>'HVAC Deemed Table'!G1548</f>
        <v>Heating Res</v>
      </c>
      <c r="E247" s="3645" t="str">
        <f>'HVAC Deemed Table'!G1549</f>
        <v>Cooling Res ER2</v>
      </c>
      <c r="F247" s="3645" t="str">
        <f>'HVAC Deemed Table'!G1550</f>
        <v>Heating Res ER2</v>
      </c>
      <c r="G247" s="1958" t="str">
        <f>'HVAC Deemed Table'!E1547</f>
        <v>ASHP-SEER20-Replace_CAC_NonElectricHeat_ER1_SF</v>
      </c>
      <c r="H247" s="1975" t="str">
        <f>'HVAC Deemed Table'!D1547</f>
        <v>SF</v>
      </c>
      <c r="I247" s="1973">
        <f t="shared" ref="I247" si="334">K247+L247</f>
        <v>2197.42</v>
      </c>
      <c r="J247" s="1973">
        <f t="shared" ref="J247" si="335">M247+N247</f>
        <v>842.26</v>
      </c>
      <c r="K247" s="1963">
        <f>'HVAC Deemed Table'!F1547</f>
        <v>2197.42</v>
      </c>
      <c r="L247" s="1963">
        <f>'HVAC Deemed Table'!F1548</f>
        <v>0</v>
      </c>
      <c r="M247" s="1963">
        <f>'HVAC Deemed Table'!F1549</f>
        <v>842.26</v>
      </c>
      <c r="N247" s="1963">
        <f>'HVAC Deemed Table'!F1550</f>
        <v>0</v>
      </c>
      <c r="O247" s="1974">
        <f t="shared" ref="O247" si="336">Q247+R247</f>
        <v>2.0818750000000001</v>
      </c>
      <c r="P247" s="1974">
        <f t="shared" ref="P247" si="337">S247+T247</f>
        <v>0.79797200000000001</v>
      </c>
      <c r="Q247" s="1976">
        <f>'HVAC Deemed Table'!I1547</f>
        <v>2.0818750000000001</v>
      </c>
      <c r="R247" s="1976">
        <f>'HVAC Deemed Table'!I1548</f>
        <v>0</v>
      </c>
      <c r="S247" s="1976">
        <f>'HVAC Deemed Table'!I1549</f>
        <v>0.79797200000000001</v>
      </c>
      <c r="T247" s="1976">
        <f>'HVAC Deemed Table'!I1550</f>
        <v>0</v>
      </c>
      <c r="U247" s="1926"/>
      <c r="V247" s="1926"/>
      <c r="W247" s="1926">
        <f>P247</f>
        <v>0.79797200000000001</v>
      </c>
      <c r="X247" s="1952">
        <f>'HVAC Deemed Table'!J1547</f>
        <v>6</v>
      </c>
      <c r="Y247" s="1952">
        <f>'HVAC Deemed Table'!J1549</f>
        <v>12</v>
      </c>
      <c r="Z247" s="1952">
        <f t="shared" ref="Z247" si="338">Y247+X247</f>
        <v>18</v>
      </c>
      <c r="AA247" s="1951">
        <f>'HVAC Deemed Table'!BB1547</f>
        <v>1.114600404793177</v>
      </c>
      <c r="AB247" s="2426">
        <f>'HVAC Deemed Table'!K1547</f>
        <v>2161.1935998255572</v>
      </c>
      <c r="AC247" s="2436">
        <f t="shared" ref="AC247" si="339">AE247+AF247</f>
        <v>1277.7649293166439</v>
      </c>
      <c r="AD247" s="2436">
        <f t="shared" ref="AD247" si="340">AG247+AH247</f>
        <v>995.82380235111384</v>
      </c>
      <c r="AE247" s="1982">
        <f>'HVAC Deemed Table'!BD1547</f>
        <v>1277.7649293166439</v>
      </c>
      <c r="AF247" s="1982">
        <f>'HVAC Deemed Table'!BD1548</f>
        <v>0</v>
      </c>
      <c r="AG247" s="1982">
        <f>'HVAC Deemed Table'!BD1549</f>
        <v>995.82380235111384</v>
      </c>
      <c r="AH247" s="1982">
        <f>'HVAC Deemed Table'!BD1550</f>
        <v>0</v>
      </c>
      <c r="AI247" s="3624" t="str">
        <f>AI244</f>
        <v>per measure</v>
      </c>
      <c r="AJ247" s="112">
        <f>'HVAC Deemed Table'!L1547</f>
        <v>3</v>
      </c>
      <c r="AK247" s="3646"/>
      <c r="AL247" s="3646"/>
      <c r="AM247" s="2433">
        <f t="shared" si="269"/>
        <v>9.4741810000000004E-4</v>
      </c>
      <c r="AN247" s="100">
        <f t="shared" ref="AN247" si="341">AM247*K247</f>
        <v>2.0818754813020002</v>
      </c>
      <c r="AO247" s="2437">
        <f t="shared" ref="AO247" si="342">AN247-O247</f>
        <v>4.8130200003271284E-7</v>
      </c>
    </row>
    <row r="248" spans="1:42" x14ac:dyDescent="0.25">
      <c r="A248" s="103" t="str">
        <f t="shared" si="173"/>
        <v>353450</v>
      </c>
      <c r="B248" s="1960" t="str">
        <f>'HVAC Deemed Table'!C1551</f>
        <v>353450_2021_12_</v>
      </c>
      <c r="C248" s="3599" t="str">
        <f>'HVAC Deemed Table'!G1551</f>
        <v>Cooling Res</v>
      </c>
      <c r="D248" s="3599" t="str">
        <f>'HVAC Deemed Table'!G1552</f>
        <v>Heating Res</v>
      </c>
      <c r="E248" s="1962"/>
      <c r="F248" s="1962"/>
      <c r="G248" s="1962" t="str">
        <f>'HVAC Deemed Table'!E1551</f>
        <v>ASHP-SEER20-Replace_CAC_ElectricHeat_ROF_SF</v>
      </c>
      <c r="H248" s="63" t="str">
        <f>'HVAC Deemed Table'!D1551</f>
        <v>SF</v>
      </c>
      <c r="I248" s="2438">
        <f t="shared" si="332"/>
        <v>9588.8799999999992</v>
      </c>
      <c r="J248" s="2438">
        <f t="shared" si="333"/>
        <v>0</v>
      </c>
      <c r="K248" s="2439">
        <f>'HVAC Deemed Table'!F1551</f>
        <v>701.88</v>
      </c>
      <c r="L248" s="2439">
        <f>'HVAC Deemed Table'!F1552</f>
        <v>8887</v>
      </c>
      <c r="M248" s="2439"/>
      <c r="N248" s="2439"/>
      <c r="O248" s="2440">
        <f t="shared" si="310"/>
        <v>0.66497399999999995</v>
      </c>
      <c r="P248" s="2440">
        <f t="shared" si="311"/>
        <v>0</v>
      </c>
      <c r="Q248" s="2441">
        <f>'HVAC Deemed Table'!I1551</f>
        <v>0.66497399999999995</v>
      </c>
      <c r="R248" s="2441">
        <f>'HVAC Deemed Table'!I1552</f>
        <v>0</v>
      </c>
      <c r="S248" s="2441"/>
      <c r="T248" s="2441"/>
      <c r="U248" s="1819"/>
      <c r="V248" s="1819"/>
      <c r="W248" s="1819">
        <f>O248</f>
        <v>0.66497399999999995</v>
      </c>
      <c r="X248" s="68">
        <f>'HVAC Deemed Table'!J1551</f>
        <v>18</v>
      </c>
      <c r="Y248" s="68"/>
      <c r="Z248" s="68">
        <f t="shared" si="150"/>
        <v>18</v>
      </c>
      <c r="AA248" s="62">
        <f>'HVAC Deemed Table'!BB1551</f>
        <v>3.9199390694492409</v>
      </c>
      <c r="AB248" s="839">
        <f>'HVAC Deemed Table'!K1551</f>
        <v>1444.3799999999994</v>
      </c>
      <c r="AC248" s="3618">
        <f t="shared" si="174"/>
        <v>5343.9184456168869</v>
      </c>
      <c r="AD248" s="3618">
        <f t="shared" si="175"/>
        <v>0</v>
      </c>
      <c r="AE248" s="2453">
        <f>'HVAC Deemed Table'!BD1551</f>
        <v>1237.9813318283732</v>
      </c>
      <c r="AF248" s="2453">
        <f>'HVAC Deemed Table'!BD1552</f>
        <v>4105.9371137885137</v>
      </c>
      <c r="AG248" s="2453"/>
      <c r="AH248" s="2453"/>
      <c r="AI248" s="3624" t="str">
        <f>AI246</f>
        <v>per measure</v>
      </c>
      <c r="AJ248" s="126">
        <f>'HVAC Deemed Table'!L1551</f>
        <v>2.5</v>
      </c>
      <c r="AK248" s="1805"/>
      <c r="AL248" s="1805"/>
      <c r="AM248" s="1972">
        <f t="shared" si="269"/>
        <v>9.4741810000000004E-4</v>
      </c>
      <c r="AN248" s="100">
        <f t="shared" si="208"/>
        <v>0.66497381602799999</v>
      </c>
      <c r="AO248" s="1971">
        <f t="shared" si="145"/>
        <v>-1.8397199996744718E-7</v>
      </c>
      <c r="AP248" s="1930"/>
    </row>
    <row r="249" spans="1:42" x14ac:dyDescent="0.25">
      <c r="A249" s="103" t="str">
        <f t="shared" si="173"/>
        <v>353500</v>
      </c>
      <c r="B249" s="684" t="str">
        <f>'HVAC Deemed Table'!C1553</f>
        <v>353500_2019_12_</v>
      </c>
      <c r="C249" s="3599" t="str">
        <f>'HVAC Deemed Table'!G1553</f>
        <v>Cooling Res</v>
      </c>
      <c r="D249" s="3599" t="str">
        <f>'HVAC Deemed Table'!G1554</f>
        <v>Heating Res</v>
      </c>
      <c r="E249" s="1962"/>
      <c r="F249" s="1962"/>
      <c r="G249" s="1962" t="str">
        <f>'HVAC Deemed Table'!E1553</f>
        <v>ASHP-SEER20-Replace_CAC_ElectricHeat_ROF_MF</v>
      </c>
      <c r="H249" s="63" t="str">
        <f>'HVAC Deemed Table'!D1553</f>
        <v>MF</v>
      </c>
      <c r="I249" s="2438">
        <f t="shared" si="332"/>
        <v>7684.66</v>
      </c>
      <c r="J249" s="2438">
        <f t="shared" si="333"/>
        <v>0</v>
      </c>
      <c r="K249" s="2439">
        <f>'HVAC Deemed Table'!F1553</f>
        <v>583.97</v>
      </c>
      <c r="L249" s="2439">
        <f>'HVAC Deemed Table'!F1554</f>
        <v>7100.69</v>
      </c>
      <c r="M249" s="2439"/>
      <c r="N249" s="2439"/>
      <c r="O249" s="2440">
        <f t="shared" si="310"/>
        <v>0.55326399999999998</v>
      </c>
      <c r="P249" s="2440">
        <f t="shared" si="311"/>
        <v>0</v>
      </c>
      <c r="Q249" s="2441">
        <f>'HVAC Deemed Table'!I1553</f>
        <v>0.55326399999999998</v>
      </c>
      <c r="R249" s="2441">
        <f>'HVAC Deemed Table'!I1554</f>
        <v>0</v>
      </c>
      <c r="S249" s="2441"/>
      <c r="T249" s="2441"/>
      <c r="U249" s="1819"/>
      <c r="V249" s="1819"/>
      <c r="W249" s="1819">
        <f>O249</f>
        <v>0.55326399999999998</v>
      </c>
      <c r="X249" s="68">
        <f>'HVAC Deemed Table'!J1553</f>
        <v>18</v>
      </c>
      <c r="Y249" s="68"/>
      <c r="Z249" s="68">
        <f t="shared" si="150"/>
        <v>18</v>
      </c>
      <c r="AA249" s="62">
        <f>'HVAC Deemed Table'!BB1553</f>
        <v>3.1619983716836453</v>
      </c>
      <c r="AB249" s="839">
        <f>'HVAC Deemed Table'!K1553</f>
        <v>1444.3799999999994</v>
      </c>
      <c r="AC249" s="3618">
        <f t="shared" si="174"/>
        <v>4310.6438962646735</v>
      </c>
      <c r="AD249" s="3618">
        <f t="shared" si="175"/>
        <v>0</v>
      </c>
      <c r="AE249" s="2453">
        <f>'HVAC Deemed Table'!BD1553</f>
        <v>1030.0107687180362</v>
      </c>
      <c r="AF249" s="2453">
        <f>'HVAC Deemed Table'!BD1554</f>
        <v>3280.6331275466368</v>
      </c>
      <c r="AG249" s="2453"/>
      <c r="AH249" s="2453"/>
      <c r="AI249" s="3624" t="str">
        <f t="shared" si="138"/>
        <v>per measure</v>
      </c>
      <c r="AJ249" s="126">
        <f>'HVAC Deemed Table'!L1553</f>
        <v>3.2</v>
      </c>
      <c r="AK249" s="1805"/>
      <c r="AL249" s="1805"/>
      <c r="AM249" s="1972">
        <f t="shared" si="269"/>
        <v>9.4741810000000004E-4</v>
      </c>
      <c r="AN249" s="100">
        <f t="shared" si="208"/>
        <v>0.55326374785700005</v>
      </c>
      <c r="AO249" s="1971">
        <f t="shared" si="145"/>
        <v>-2.5214299992359912E-7</v>
      </c>
      <c r="AP249" s="1930"/>
    </row>
    <row r="250" spans="1:42" x14ac:dyDescent="0.25">
      <c r="A250" s="103" t="str">
        <f t="shared" si="173"/>
        <v>353501</v>
      </c>
      <c r="B250" s="684" t="str">
        <f>'HVAC Deemed Table'!C1555</f>
        <v>353501_2019_12_</v>
      </c>
      <c r="C250" s="3599" t="str">
        <f>'HVAC Deemed Table'!G1555</f>
        <v>Cooling Res</v>
      </c>
      <c r="D250" s="3599" t="str">
        <f>'HVAC Deemed Table'!G1556</f>
        <v>Heating Res</v>
      </c>
      <c r="E250" s="1962"/>
      <c r="F250" s="1962"/>
      <c r="G250" s="1962" t="str">
        <f>'HVAC Deemed Table'!E1555</f>
        <v>ASHP-SEER20-Replace_CAC_ElectricHeat_ROF_MF_CompE</v>
      </c>
      <c r="H250" s="63" t="str">
        <f>'HVAC Deemed Table'!D1555</f>
        <v>MFc</v>
      </c>
      <c r="I250" s="2438">
        <f t="shared" si="332"/>
        <v>2845.39</v>
      </c>
      <c r="J250" s="2438">
        <f t="shared" si="333"/>
        <v>0</v>
      </c>
      <c r="K250" s="2439">
        <f>'HVAC Deemed Table'!F1555</f>
        <v>424.7</v>
      </c>
      <c r="L250" s="2439">
        <f>'HVAC Deemed Table'!F1556</f>
        <v>2420.69</v>
      </c>
      <c r="M250" s="2439"/>
      <c r="N250" s="2439"/>
      <c r="O250" s="2440">
        <f t="shared" si="310"/>
        <v>0.402368</v>
      </c>
      <c r="P250" s="2440">
        <f t="shared" si="311"/>
        <v>0</v>
      </c>
      <c r="Q250" s="2441">
        <f>'HVAC Deemed Table'!I1555</f>
        <v>0.402368</v>
      </c>
      <c r="R250" s="2441">
        <f>'HVAC Deemed Table'!I1556</f>
        <v>0</v>
      </c>
      <c r="S250" s="2441"/>
      <c r="T250" s="2441"/>
      <c r="U250" s="1819"/>
      <c r="V250" s="1819"/>
      <c r="W250" s="1819">
        <f>O250</f>
        <v>0.402368</v>
      </c>
      <c r="X250" s="68">
        <f>'HVAC Deemed Table'!J1555</f>
        <v>18</v>
      </c>
      <c r="Y250" s="68"/>
      <c r="Z250" s="68">
        <f t="shared" si="150"/>
        <v>18</v>
      </c>
      <c r="AA250" s="62">
        <f>'HVAC Deemed Table'!BB1555</f>
        <v>1.3698627450752061</v>
      </c>
      <c r="AB250" s="839">
        <f>'HVAC Deemed Table'!K1555</f>
        <v>1444.3799999999994</v>
      </c>
      <c r="AC250" s="3618">
        <f t="shared" si="174"/>
        <v>1867.4868822385326</v>
      </c>
      <c r="AD250" s="3618">
        <f t="shared" si="175"/>
        <v>0</v>
      </c>
      <c r="AE250" s="2453">
        <f>'HVAC Deemed Table'!BD1555</f>
        <v>749.089120116701</v>
      </c>
      <c r="AF250" s="2453">
        <f>'HVAC Deemed Table'!BD1556</f>
        <v>1118.3977621218316</v>
      </c>
      <c r="AG250" s="2453"/>
      <c r="AH250" s="2453"/>
      <c r="AI250" s="3624" t="str">
        <f t="shared" si="138"/>
        <v>per measure</v>
      </c>
      <c r="AJ250" s="126">
        <f>'HVAC Deemed Table'!L1555</f>
        <v>3.2</v>
      </c>
      <c r="AK250" s="1805"/>
      <c r="AL250" s="1805"/>
      <c r="AM250" s="1972">
        <f t="shared" si="269"/>
        <v>9.4741810000000004E-4</v>
      </c>
      <c r="AN250" s="100">
        <f t="shared" si="208"/>
        <v>0.40236846707000001</v>
      </c>
      <c r="AO250" s="1804">
        <f t="shared" si="145"/>
        <v>4.6707000000978383E-7</v>
      </c>
      <c r="AP250" s="163">
        <f>AO250/O250</f>
        <v>1.1608030459921859E-6</v>
      </c>
    </row>
    <row r="251" spans="1:42" s="100" customFormat="1" x14ac:dyDescent="0.25">
      <c r="A251" s="103" t="str">
        <f t="shared" si="173"/>
        <v>353510</v>
      </c>
      <c r="B251" s="1960" t="str">
        <f>'HVAC Deemed Table'!C1557</f>
        <v>353510_2021_12_</v>
      </c>
      <c r="C251" s="3645" t="str">
        <f>'HVAC Deemed Table'!G1557</f>
        <v>Cooling Res</v>
      </c>
      <c r="D251" s="3645" t="str">
        <f>'HVAC Deemed Table'!G1558</f>
        <v>Heating Res</v>
      </c>
      <c r="E251" s="1958"/>
      <c r="F251" s="1958"/>
      <c r="G251" s="1958" t="str">
        <f>'HVAC Deemed Table'!E1557</f>
        <v>ASHP-SEER20-Replace_CAC_NonElectricHeat_ROF_MF</v>
      </c>
      <c r="H251" s="1975" t="str">
        <f>'HVAC Deemed Table'!D1557</f>
        <v>MF</v>
      </c>
      <c r="I251" s="1973">
        <f t="shared" ref="I251" si="343">K251+L251</f>
        <v>583.97</v>
      </c>
      <c r="J251" s="1973">
        <f t="shared" ref="J251" si="344">M251+N251</f>
        <v>0</v>
      </c>
      <c r="K251" s="1963">
        <f>'HVAC Deemed Table'!F1557</f>
        <v>583.97</v>
      </c>
      <c r="L251" s="1963">
        <f>'HVAC Deemed Table'!F1558</f>
        <v>0</v>
      </c>
      <c r="M251" s="1963"/>
      <c r="N251" s="1963"/>
      <c r="O251" s="1974">
        <f t="shared" ref="O251" si="345">Q251+R251</f>
        <v>0.55326399999999998</v>
      </c>
      <c r="P251" s="1974">
        <f t="shared" ref="P251" si="346">S251+T251</f>
        <v>0</v>
      </c>
      <c r="Q251" s="1976">
        <f>'HVAC Deemed Table'!I1557</f>
        <v>0.55326399999999998</v>
      </c>
      <c r="R251" s="1976">
        <f>'HVAC Deemed Table'!I1558</f>
        <v>0</v>
      </c>
      <c r="S251" s="1976"/>
      <c r="T251" s="1976"/>
      <c r="U251" s="1926"/>
      <c r="V251" s="1926"/>
      <c r="W251" s="1926">
        <f>O251</f>
        <v>0.55326399999999998</v>
      </c>
      <c r="X251" s="1952">
        <f>'HVAC Deemed Table'!J1557</f>
        <v>18</v>
      </c>
      <c r="Y251" s="1952"/>
      <c r="Z251" s="1952">
        <f t="shared" ref="Z251" si="347">Y251+X251</f>
        <v>18</v>
      </c>
      <c r="AA251" s="1951">
        <f>'HVAC Deemed Table'!BB1557</f>
        <v>0.7555466078571843</v>
      </c>
      <c r="AB251" s="2426">
        <f>'HVAC Deemed Table'!K1557</f>
        <v>1444.3799999999994</v>
      </c>
      <c r="AC251" s="2436">
        <f t="shared" ref="AC251" si="348">AE251+AF251</f>
        <v>1030.0107687180362</v>
      </c>
      <c r="AD251" s="2436">
        <f t="shared" ref="AD251" si="349">AG251+AH251</f>
        <v>0</v>
      </c>
      <c r="AE251" s="1982">
        <f>'HVAC Deemed Table'!BD1557</f>
        <v>1030.0107687180362</v>
      </c>
      <c r="AF251" s="1982">
        <f>'HVAC Deemed Table'!BD1558</f>
        <v>0</v>
      </c>
      <c r="AG251" s="1982"/>
      <c r="AH251" s="1982"/>
      <c r="AI251" s="3624" t="str">
        <f t="shared" si="138"/>
        <v>per measure</v>
      </c>
      <c r="AJ251" s="112">
        <f>'HVAC Deemed Table'!L1557</f>
        <v>3.2</v>
      </c>
      <c r="AK251" s="3646"/>
      <c r="AL251" s="3646"/>
      <c r="AM251" s="2433">
        <f t="shared" si="269"/>
        <v>9.4741810000000004E-4</v>
      </c>
      <c r="AN251" s="100">
        <f t="shared" ref="AN251" si="350">AM251*K251</f>
        <v>0.55326374785700005</v>
      </c>
      <c r="AO251" s="3647">
        <f t="shared" ref="AO251" si="351">AN251-O251</f>
        <v>-2.5214299992359912E-7</v>
      </c>
      <c r="AP251" s="2204">
        <f>AO251/O251</f>
        <v>-4.5573722476719815E-7</v>
      </c>
    </row>
    <row r="252" spans="1:42" s="100" customFormat="1" x14ac:dyDescent="0.25">
      <c r="A252" s="103" t="str">
        <f t="shared" si="173"/>
        <v>353511</v>
      </c>
      <c r="B252" s="1960" t="str">
        <f>'HVAC Deemed Table'!C1559</f>
        <v>353511_2021_12_</v>
      </c>
      <c r="C252" s="3645" t="str">
        <f>'HVAC Deemed Table'!G1559</f>
        <v>Cooling Res</v>
      </c>
      <c r="D252" s="3645" t="str">
        <f>'HVAC Deemed Table'!G1560</f>
        <v>Heating Res</v>
      </c>
      <c r="E252" s="1958"/>
      <c r="F252" s="1958"/>
      <c r="G252" s="1958" t="str">
        <f>'HVAC Deemed Table'!E1559</f>
        <v>ASHP-SEER20-Replace_CAC_NonElectricHeat_ROF_MF_CompE</v>
      </c>
      <c r="H252" s="1975" t="str">
        <f>'HVAC Deemed Table'!D1559</f>
        <v>MFc</v>
      </c>
      <c r="I252" s="1973">
        <f t="shared" ref="I252" si="352">K252+L252</f>
        <v>424.7</v>
      </c>
      <c r="J252" s="1973">
        <f t="shared" ref="J252" si="353">M252+N252</f>
        <v>0</v>
      </c>
      <c r="K252" s="1963">
        <f>'HVAC Deemed Table'!F1559</f>
        <v>424.7</v>
      </c>
      <c r="L252" s="1963">
        <f>'HVAC Deemed Table'!F1560</f>
        <v>0</v>
      </c>
      <c r="M252" s="1963"/>
      <c r="N252" s="1963"/>
      <c r="O252" s="1974">
        <f t="shared" ref="O252" si="354">Q252+R252</f>
        <v>0.402368</v>
      </c>
      <c r="P252" s="1974">
        <f t="shared" ref="P252" si="355">S252+T252</f>
        <v>0</v>
      </c>
      <c r="Q252" s="1976">
        <f>'HVAC Deemed Table'!I1559</f>
        <v>0.402368</v>
      </c>
      <c r="R252" s="1976">
        <f>'HVAC Deemed Table'!I1560</f>
        <v>0</v>
      </c>
      <c r="S252" s="1976"/>
      <c r="T252" s="1976"/>
      <c r="U252" s="1926"/>
      <c r="V252" s="1926"/>
      <c r="W252" s="1926">
        <f>O252</f>
        <v>0.402368</v>
      </c>
      <c r="X252" s="1952">
        <f>'HVAC Deemed Table'!J1559</f>
        <v>18</v>
      </c>
      <c r="Y252" s="1952"/>
      <c r="Z252" s="1952">
        <f t="shared" ref="Z252" si="356">Y252+X252</f>
        <v>18</v>
      </c>
      <c r="AA252" s="1951">
        <f>'HVAC Deemed Table'!BB1559</f>
        <v>0.54948138492892806</v>
      </c>
      <c r="AB252" s="2426">
        <f>'HVAC Deemed Table'!K1559</f>
        <v>1444.3799999999994</v>
      </c>
      <c r="AC252" s="2436">
        <f t="shared" ref="AC252" si="357">AE252+AF252</f>
        <v>749.089120116701</v>
      </c>
      <c r="AD252" s="2436">
        <f t="shared" ref="AD252" si="358">AG252+AH252</f>
        <v>0</v>
      </c>
      <c r="AE252" s="1982">
        <f>'HVAC Deemed Table'!BD1559</f>
        <v>749.089120116701</v>
      </c>
      <c r="AF252" s="1982">
        <f>'HVAC Deemed Table'!BD1560</f>
        <v>0</v>
      </c>
      <c r="AG252" s="1982"/>
      <c r="AH252" s="1982"/>
      <c r="AI252" s="3624" t="str">
        <f t="shared" si="138"/>
        <v>per measure</v>
      </c>
      <c r="AJ252" s="112">
        <f>'HVAC Deemed Table'!L1559</f>
        <v>3.2</v>
      </c>
      <c r="AK252" s="3646"/>
      <c r="AL252" s="3646"/>
      <c r="AM252" s="2433">
        <f t="shared" si="269"/>
        <v>9.4741810000000004E-4</v>
      </c>
      <c r="AN252" s="100">
        <f t="shared" ref="AN252" si="359">AM252*K252</f>
        <v>0.40236846707000001</v>
      </c>
      <c r="AO252" s="3647">
        <f t="shared" ref="AO252" si="360">AN252-O252</f>
        <v>4.6707000000978383E-7</v>
      </c>
      <c r="AP252" s="2204">
        <f>AO252/O252</f>
        <v>1.1608030459921859E-6</v>
      </c>
    </row>
    <row r="253" spans="1:42" x14ac:dyDescent="0.25">
      <c r="A253" s="103" t="str">
        <f t="shared" si="173"/>
        <v>353550</v>
      </c>
      <c r="B253" s="1960" t="str">
        <f>'HVAC Deemed Table'!C1561</f>
        <v>353550_2021_12_</v>
      </c>
      <c r="C253" s="3599" t="str">
        <f>'HVAC Deemed Table'!G1561</f>
        <v>Cooling Res</v>
      </c>
      <c r="D253" s="3599" t="str">
        <f>'HVAC Deemed Table'!G1562</f>
        <v>Heating Res</v>
      </c>
      <c r="E253" s="3599" t="str">
        <f>'HVAC Deemed Table'!G1563</f>
        <v>Cooling Res ER2</v>
      </c>
      <c r="F253" s="3599" t="str">
        <f>'HVAC Deemed Table'!G1564</f>
        <v>Heating Res ER2</v>
      </c>
      <c r="G253" s="1962" t="str">
        <f>'HVAC Deemed Table'!E1561</f>
        <v>ASHP-SEER21-Replace_CAC_ElectricHeat_ER1_SF</v>
      </c>
      <c r="H253" s="63" t="str">
        <f>'HVAC Deemed Table'!D1561</f>
        <v>SF</v>
      </c>
      <c r="I253" s="2438">
        <f t="shared" si="332"/>
        <v>15592.210000000001</v>
      </c>
      <c r="J253" s="2438">
        <f t="shared" si="333"/>
        <v>14046.62</v>
      </c>
      <c r="K253" s="2439">
        <f>'HVAC Deemed Table'!F1561</f>
        <v>2697.17</v>
      </c>
      <c r="L253" s="2439">
        <f>'HVAC Deemed Table'!F1562</f>
        <v>12895.04</v>
      </c>
      <c r="M253" s="2439">
        <f>'HVAC Deemed Table'!F1563</f>
        <v>1151.58</v>
      </c>
      <c r="N253" s="2439">
        <f>'HVAC Deemed Table'!F1564</f>
        <v>12895.04</v>
      </c>
      <c r="O253" s="2440">
        <f t="shared" si="310"/>
        <v>2.555348</v>
      </c>
      <c r="P253" s="2440">
        <f t="shared" si="311"/>
        <v>1.0910280000000001</v>
      </c>
      <c r="Q253" s="2441">
        <f>'HVAC Deemed Table'!I1561</f>
        <v>2.555348</v>
      </c>
      <c r="R253" s="2441">
        <f>'HVAC Deemed Table'!I1562</f>
        <v>0</v>
      </c>
      <c r="S253" s="2441">
        <f>'HVAC Deemed Table'!I1563</f>
        <v>1.0910280000000001</v>
      </c>
      <c r="T253" s="2441">
        <f>'HVAC Deemed Table'!I1564</f>
        <v>0</v>
      </c>
      <c r="U253" s="1819"/>
      <c r="V253" s="1819"/>
      <c r="W253" s="1821">
        <f t="shared" ref="W253:W258" si="361">P253</f>
        <v>1.0910280000000001</v>
      </c>
      <c r="X253" s="68">
        <f>'HVAC Deemed Table'!J1561</f>
        <v>6</v>
      </c>
      <c r="Y253" s="68">
        <f>'HVAC Deemed Table'!J1563</f>
        <v>12</v>
      </c>
      <c r="Z253" s="68">
        <f t="shared" si="150"/>
        <v>18</v>
      </c>
      <c r="AA253" s="62">
        <f>'HVAC Deemed Table'!BB1561</f>
        <v>3.6957199555094586</v>
      </c>
      <c r="AB253" s="839">
        <f>'HVAC Deemed Table'!K1561</f>
        <v>2547.9287573669544</v>
      </c>
      <c r="AC253" s="3618">
        <f t="shared" si="174"/>
        <v>3713.2388299816457</v>
      </c>
      <c r="AD253" s="3618">
        <f t="shared" si="175"/>
        <v>5174.3790594166267</v>
      </c>
      <c r="AE253" s="2453">
        <f>'HVAC Deemed Table'!BD1561</f>
        <v>1568.3616397434139</v>
      </c>
      <c r="AF253" s="2453">
        <f>'HVAC Deemed Table'!BD1562</f>
        <v>2144.8771902382318</v>
      </c>
      <c r="AG253" s="2453">
        <f>'HVAC Deemed Table'!BD1563</f>
        <v>1361.5401114994131</v>
      </c>
      <c r="AH253" s="2453">
        <f>'HVAC Deemed Table'!BD1564</f>
        <v>3812.8389479172138</v>
      </c>
      <c r="AI253" s="3624" t="str">
        <f>AI250</f>
        <v>per measure</v>
      </c>
      <c r="AJ253" s="126">
        <f>'HVAC Deemed Table'!L1561</f>
        <v>3.5909090909090908</v>
      </c>
      <c r="AK253" s="1805"/>
      <c r="AL253" s="1805"/>
      <c r="AM253" s="1972">
        <f t="shared" si="269"/>
        <v>9.4741810000000004E-4</v>
      </c>
      <c r="AN253" s="100">
        <f t="shared" si="208"/>
        <v>2.555347676777</v>
      </c>
      <c r="AO253" s="1971">
        <f t="shared" si="145"/>
        <v>-3.2322299992060266E-7</v>
      </c>
      <c r="AP253" s="1930"/>
    </row>
    <row r="254" spans="1:42" s="100" customFormat="1" x14ac:dyDescent="0.25">
      <c r="A254" s="103" t="str">
        <f t="shared" si="173"/>
        <v>353560</v>
      </c>
      <c r="B254" s="1960" t="str">
        <f>'HVAC Deemed Table'!C1565</f>
        <v>353560_2021_12_</v>
      </c>
      <c r="C254" s="3645" t="str">
        <f>'HVAC Deemed Table'!G1565</f>
        <v>Cooling Res</v>
      </c>
      <c r="D254" s="3645" t="str">
        <f>'HVAC Deemed Table'!G1566</f>
        <v>Heating Res</v>
      </c>
      <c r="E254" s="3645" t="str">
        <f>'HVAC Deemed Table'!G1567</f>
        <v>Cooling Res ER2</v>
      </c>
      <c r="F254" s="3645" t="str">
        <f>'HVAC Deemed Table'!G1568</f>
        <v>Heating Res ER2</v>
      </c>
      <c r="G254" s="1958" t="str">
        <f>'HVAC Deemed Table'!E1565</f>
        <v>ASHP-SEER21-Replace_CAC_NonElectricHeat_ER1_SF</v>
      </c>
      <c r="H254" s="1975" t="str">
        <f>'HVAC Deemed Table'!D1565</f>
        <v>SF</v>
      </c>
      <c r="I254" s="1973">
        <f t="shared" ref="I254" si="362">K254+L254</f>
        <v>2697.17</v>
      </c>
      <c r="J254" s="1973">
        <f t="shared" ref="J254" si="363">M254+N254</f>
        <v>1151.58</v>
      </c>
      <c r="K254" s="1963">
        <f>'HVAC Deemed Table'!F1565</f>
        <v>2697.17</v>
      </c>
      <c r="L254" s="1963">
        <f>'HVAC Deemed Table'!F1566</f>
        <v>0</v>
      </c>
      <c r="M254" s="1963">
        <f>'HVAC Deemed Table'!F1567</f>
        <v>1151.58</v>
      </c>
      <c r="N254" s="1963">
        <f>'HVAC Deemed Table'!F1568</f>
        <v>0</v>
      </c>
      <c r="O254" s="1974">
        <f t="shared" ref="O254" si="364">Q254+R254</f>
        <v>2.555348</v>
      </c>
      <c r="P254" s="1974">
        <f t="shared" ref="P254" si="365">S254+T254</f>
        <v>1.0910280000000001</v>
      </c>
      <c r="Q254" s="1976">
        <f>'HVAC Deemed Table'!I1565</f>
        <v>2.555348</v>
      </c>
      <c r="R254" s="1976">
        <f>'HVAC Deemed Table'!I1566</f>
        <v>0</v>
      </c>
      <c r="S254" s="1976">
        <f>'HVAC Deemed Table'!I1567</f>
        <v>1.0910280000000001</v>
      </c>
      <c r="T254" s="1976">
        <f>'HVAC Deemed Table'!I1568</f>
        <v>0</v>
      </c>
      <c r="U254" s="1926"/>
      <c r="V254" s="1926"/>
      <c r="W254" s="1926">
        <f t="shared" si="361"/>
        <v>1.0910280000000001</v>
      </c>
      <c r="X254" s="1952">
        <f>'HVAC Deemed Table'!J1565</f>
        <v>6</v>
      </c>
      <c r="Y254" s="1952">
        <f>'HVAC Deemed Table'!J1567</f>
        <v>12</v>
      </c>
      <c r="Z254" s="1952">
        <f t="shared" ref="Z254" si="366">Y254+X254</f>
        <v>18</v>
      </c>
      <c r="AA254" s="1951">
        <f>'HVAC Deemed Table'!BB1565</f>
        <v>1.2183350482097888</v>
      </c>
      <c r="AB254" s="2426">
        <f>'HVAC Deemed Table'!K1565</f>
        <v>2547.9287573669544</v>
      </c>
      <c r="AC254" s="2436">
        <f t="shared" ref="AC254" si="367">AE254+AF254</f>
        <v>1568.3616397434139</v>
      </c>
      <c r="AD254" s="2436">
        <f t="shared" ref="AD254" si="368">AG254+AH254</f>
        <v>1361.5401114994131</v>
      </c>
      <c r="AE254" s="1982">
        <f>'HVAC Deemed Table'!BD1565</f>
        <v>1568.3616397434139</v>
      </c>
      <c r="AF254" s="1982">
        <f>'HVAC Deemed Table'!BD1566</f>
        <v>0</v>
      </c>
      <c r="AG254" s="1982">
        <f>'HVAC Deemed Table'!BD1567</f>
        <v>1361.5401114994131</v>
      </c>
      <c r="AH254" s="1982">
        <f>'HVAC Deemed Table'!BD1568</f>
        <v>0</v>
      </c>
      <c r="AI254" s="3624" t="str">
        <f>AI251</f>
        <v>per measure</v>
      </c>
      <c r="AJ254" s="112">
        <f>'HVAC Deemed Table'!L1565</f>
        <v>3.5909090909090908</v>
      </c>
      <c r="AK254" s="3646"/>
      <c r="AL254" s="3646"/>
      <c r="AM254" s="2433">
        <f t="shared" si="269"/>
        <v>9.4741810000000004E-4</v>
      </c>
      <c r="AN254" s="100">
        <f t="shared" ref="AN254" si="369">AM254*K254</f>
        <v>2.555347676777</v>
      </c>
      <c r="AO254" s="2437">
        <f t="shared" ref="AO254" si="370">AN254-O254</f>
        <v>-3.2322299992060266E-7</v>
      </c>
    </row>
    <row r="255" spans="1:42" x14ac:dyDescent="0.25">
      <c r="A255" s="103" t="str">
        <f t="shared" si="173"/>
        <v>353600</v>
      </c>
      <c r="B255" s="684" t="str">
        <f>'HVAC Deemed Table'!C1569</f>
        <v>353600_2019_12_</v>
      </c>
      <c r="C255" s="3599" t="str">
        <f>'HVAC Deemed Table'!G1569</f>
        <v>Cooling Res</v>
      </c>
      <c r="D255" s="3599" t="str">
        <f>'HVAC Deemed Table'!G1570</f>
        <v>Heating Res</v>
      </c>
      <c r="E255" s="3599" t="str">
        <f>'HVAC Deemed Table'!G1571</f>
        <v>Cooling Res ER2</v>
      </c>
      <c r="F255" s="3599" t="str">
        <f>'HVAC Deemed Table'!G1572</f>
        <v>Heating Res ER2</v>
      </c>
      <c r="G255" s="1962" t="str">
        <f>'HVAC Deemed Table'!E1569</f>
        <v>ASHP-SEER21-Replace_CAC_ElectricHeat_ER1_MF</v>
      </c>
      <c r="H255" s="63" t="str">
        <f>'HVAC Deemed Table'!D1569</f>
        <v>MF</v>
      </c>
      <c r="I255" s="2438">
        <f t="shared" si="332"/>
        <v>8281.69</v>
      </c>
      <c r="J255" s="2438">
        <f t="shared" si="333"/>
        <v>7375.53</v>
      </c>
      <c r="K255" s="2439">
        <f>'HVAC Deemed Table'!F1569</f>
        <v>1521.91</v>
      </c>
      <c r="L255" s="2439">
        <f>'HVAC Deemed Table'!F1570</f>
        <v>6759.78</v>
      </c>
      <c r="M255" s="2439">
        <f>'HVAC Deemed Table'!F1571</f>
        <v>615.75</v>
      </c>
      <c r="N255" s="2439">
        <f>'HVAC Deemed Table'!F1572</f>
        <v>6759.78</v>
      </c>
      <c r="O255" s="2440">
        <f t="shared" si="310"/>
        <v>1.4418850000000001</v>
      </c>
      <c r="P255" s="2440">
        <f t="shared" si="311"/>
        <v>0.58337300000000003</v>
      </c>
      <c r="Q255" s="2441">
        <f>'HVAC Deemed Table'!I1569</f>
        <v>1.4418850000000001</v>
      </c>
      <c r="R255" s="2441">
        <f>'HVAC Deemed Table'!I1570</f>
        <v>0</v>
      </c>
      <c r="S255" s="2441">
        <f>'HVAC Deemed Table'!I1571</f>
        <v>0.58337300000000003</v>
      </c>
      <c r="T255" s="2441">
        <f>'HVAC Deemed Table'!I1572</f>
        <v>0</v>
      </c>
      <c r="U255" s="1819"/>
      <c r="V255" s="1819"/>
      <c r="W255" s="1821">
        <f t="shared" si="361"/>
        <v>0.58337300000000003</v>
      </c>
      <c r="X255" s="68">
        <f>'HVAC Deemed Table'!J1569</f>
        <v>6</v>
      </c>
      <c r="Y255" s="68">
        <f>'HVAC Deemed Table'!J1571</f>
        <v>12</v>
      </c>
      <c r="Z255" s="68">
        <f t="shared" si="150"/>
        <v>18</v>
      </c>
      <c r="AA255" s="62">
        <f>'HVAC Deemed Table'!BB1569</f>
        <v>2.3109256909244333</v>
      </c>
      <c r="AB255" s="839">
        <f>'HVAC Deemed Table'!K1569</f>
        <v>2171.3844012161662</v>
      </c>
      <c r="AC255" s="3618">
        <f t="shared" si="174"/>
        <v>2009.3444575588142</v>
      </c>
      <c r="AD255" s="3618">
        <f t="shared" si="175"/>
        <v>2726.7650258229751</v>
      </c>
      <c r="AE255" s="2453">
        <f>'HVAC Deemed Table'!BD1569</f>
        <v>884.96656241241715</v>
      </c>
      <c r="AF255" s="2453">
        <f>'HVAC Deemed Table'!BD1570</f>
        <v>1124.3778951463969</v>
      </c>
      <c r="AG255" s="2453">
        <f>'HVAC Deemed Table'!BD1571</f>
        <v>728.01570334302755</v>
      </c>
      <c r="AH255" s="2453">
        <f>'HVAC Deemed Table'!BD1572</f>
        <v>1998.7493224799473</v>
      </c>
      <c r="AI255" s="3624" t="str">
        <f>AI253</f>
        <v>per measure</v>
      </c>
      <c r="AJ255" s="126">
        <f>'HVAC Deemed Table'!L1569</f>
        <v>3.1</v>
      </c>
      <c r="AK255" s="1805"/>
      <c r="AL255" s="1805"/>
      <c r="AM255" s="1972">
        <f t="shared" si="269"/>
        <v>9.4741810000000004E-4</v>
      </c>
      <c r="AN255" s="100">
        <f t="shared" si="208"/>
        <v>1.4418850805710002</v>
      </c>
      <c r="AO255" s="1971">
        <f t="shared" si="145"/>
        <v>8.0571000093954126E-8</v>
      </c>
      <c r="AP255" s="1930"/>
    </row>
    <row r="256" spans="1:42" x14ac:dyDescent="0.25">
      <c r="A256" s="103" t="str">
        <f t="shared" si="173"/>
        <v>353601</v>
      </c>
      <c r="B256" s="684" t="str">
        <f>'HVAC Deemed Table'!C1573</f>
        <v>353601_2019_12_</v>
      </c>
      <c r="C256" s="3599" t="str">
        <f>'HVAC Deemed Table'!G1573</f>
        <v>Cooling Res</v>
      </c>
      <c r="D256" s="3599" t="str">
        <f>'HVAC Deemed Table'!G1574</f>
        <v>Heating Res</v>
      </c>
      <c r="E256" s="3599" t="str">
        <f>'HVAC Deemed Table'!G1575</f>
        <v>Cooling Res ER2</v>
      </c>
      <c r="F256" s="3599" t="str">
        <f>'HVAC Deemed Table'!G1576</f>
        <v>Heating Res ER2</v>
      </c>
      <c r="G256" s="1962" t="str">
        <f>'HVAC Deemed Table'!E1573</f>
        <v>ASHP-SEER21-Replace_CAC_ElectricHeat_ER1_MF_CompE</v>
      </c>
      <c r="H256" s="63" t="str">
        <f>'HVAC Deemed Table'!D1573</f>
        <v>MFc</v>
      </c>
      <c r="I256" s="2438">
        <f t="shared" si="332"/>
        <v>3411.3099999999995</v>
      </c>
      <c r="J256" s="2438">
        <f t="shared" si="333"/>
        <v>2752.29</v>
      </c>
      <c r="K256" s="2439">
        <f>'HVAC Deemed Table'!F1573</f>
        <v>1106.8399999999999</v>
      </c>
      <c r="L256" s="2439">
        <f>'HVAC Deemed Table'!F1574</f>
        <v>2304.4699999999998</v>
      </c>
      <c r="M256" s="2439">
        <f>'HVAC Deemed Table'!F1575</f>
        <v>447.82</v>
      </c>
      <c r="N256" s="2439">
        <f>'HVAC Deemed Table'!F1576</f>
        <v>2304.4699999999998</v>
      </c>
      <c r="O256" s="2440">
        <f t="shared" si="310"/>
        <v>1.04864</v>
      </c>
      <c r="P256" s="2440">
        <f t="shared" si="311"/>
        <v>0.42427300000000001</v>
      </c>
      <c r="Q256" s="2441">
        <f>'HVAC Deemed Table'!I1573</f>
        <v>1.04864</v>
      </c>
      <c r="R256" s="2441">
        <f>'HVAC Deemed Table'!I1574</f>
        <v>0</v>
      </c>
      <c r="S256" s="2441">
        <f>'HVAC Deemed Table'!I1575</f>
        <v>0.42427300000000001</v>
      </c>
      <c r="T256" s="2441">
        <f>'HVAC Deemed Table'!I1576</f>
        <v>0</v>
      </c>
      <c r="U256" s="1819"/>
      <c r="V256" s="1819"/>
      <c r="W256" s="1821">
        <f t="shared" si="361"/>
        <v>0.42427300000000001</v>
      </c>
      <c r="X256" s="68">
        <f>'HVAC Deemed Table'!J1573</f>
        <v>6</v>
      </c>
      <c r="Y256" s="68">
        <f>'HVAC Deemed Table'!J1575</f>
        <v>12</v>
      </c>
      <c r="Z256" s="68">
        <f t="shared" si="150"/>
        <v>18</v>
      </c>
      <c r="AA256" s="62">
        <f>'HVAC Deemed Table'!BB1573</f>
        <v>1.09189705127851</v>
      </c>
      <c r="AB256" s="839">
        <f>'HVAC Deemed Table'!K1573</f>
        <v>2171.3844012161662</v>
      </c>
      <c r="AC256" s="3618">
        <f t="shared" si="174"/>
        <v>1026.9205013694805</v>
      </c>
      <c r="AD256" s="3618">
        <f t="shared" si="175"/>
        <v>1210.8597958273901</v>
      </c>
      <c r="AE256" s="2453">
        <f>'HVAC Deemed Table'!BD1573</f>
        <v>643.60993090298348</v>
      </c>
      <c r="AF256" s="2453">
        <f>'HVAC Deemed Table'!BD1574</f>
        <v>383.31057046649704</v>
      </c>
      <c r="AG256" s="2453">
        <f>'HVAC Deemed Table'!BD1575</f>
        <v>529.46811574677156</v>
      </c>
      <c r="AH256" s="2453">
        <f>'HVAC Deemed Table'!BD1576</f>
        <v>681.39168008061858</v>
      </c>
      <c r="AI256" s="3624" t="str">
        <f t="shared" si="138"/>
        <v>per measure</v>
      </c>
      <c r="AJ256" s="126">
        <f>'HVAC Deemed Table'!L1573</f>
        <v>3.1</v>
      </c>
      <c r="AK256" s="1805"/>
      <c r="AL256" s="1805"/>
      <c r="AM256" s="1972">
        <f t="shared" si="269"/>
        <v>9.4741810000000004E-4</v>
      </c>
      <c r="AN256" s="100">
        <f t="shared" si="208"/>
        <v>1.0486402498039999</v>
      </c>
      <c r="AO256" s="1804">
        <f t="shared" si="145"/>
        <v>2.4980399992990954E-7</v>
      </c>
      <c r="AP256" s="163">
        <f>AO256/O256</f>
        <v>2.3821711924960857E-7</v>
      </c>
    </row>
    <row r="257" spans="1:42" s="100" customFormat="1" x14ac:dyDescent="0.25">
      <c r="A257" s="103" t="str">
        <f t="shared" si="173"/>
        <v>353610</v>
      </c>
      <c r="B257" s="1960" t="str">
        <f>'HVAC Deemed Table'!C1577</f>
        <v>353610_2021_12_</v>
      </c>
      <c r="C257" s="3645" t="str">
        <f>'HVAC Deemed Table'!G1577</f>
        <v>Cooling Res</v>
      </c>
      <c r="D257" s="3645" t="str">
        <f>'HVAC Deemed Table'!G1578</f>
        <v>Heating Res</v>
      </c>
      <c r="E257" s="3645" t="str">
        <f>'HVAC Deemed Table'!G1579</f>
        <v>Cooling Res ER2</v>
      </c>
      <c r="F257" s="3645" t="str">
        <f>'HVAC Deemed Table'!G1580</f>
        <v>Heating Res ER2</v>
      </c>
      <c r="G257" s="1958" t="str">
        <f>'HVAC Deemed Table'!E1577</f>
        <v>ASHP-SEER21-Replace_CAC_NonElectricHeat_ER1_MF</v>
      </c>
      <c r="H257" s="1975" t="str">
        <f>'HVAC Deemed Table'!D1577</f>
        <v>MF</v>
      </c>
      <c r="I257" s="1973">
        <f t="shared" ref="I257" si="371">K257+L257</f>
        <v>1521.91</v>
      </c>
      <c r="J257" s="1973">
        <f t="shared" ref="J257" si="372">M257+N257</f>
        <v>615.75</v>
      </c>
      <c r="K257" s="1963">
        <f>'HVAC Deemed Table'!F1577</f>
        <v>1521.91</v>
      </c>
      <c r="L257" s="1963">
        <f>'HVAC Deemed Table'!F1578</f>
        <v>0</v>
      </c>
      <c r="M257" s="1963">
        <f>'HVAC Deemed Table'!F1579</f>
        <v>615.75</v>
      </c>
      <c r="N257" s="1963">
        <f>'HVAC Deemed Table'!F1580</f>
        <v>0</v>
      </c>
      <c r="O257" s="1974">
        <f t="shared" ref="O257" si="373">Q257+R257</f>
        <v>1.4418850000000001</v>
      </c>
      <c r="P257" s="1974">
        <f t="shared" ref="P257" si="374">S257+T257</f>
        <v>0.58337300000000003</v>
      </c>
      <c r="Q257" s="1976">
        <f>'HVAC Deemed Table'!I1577</f>
        <v>1.4418850000000001</v>
      </c>
      <c r="R257" s="1976">
        <f>'HVAC Deemed Table'!I1578</f>
        <v>0</v>
      </c>
      <c r="S257" s="1976">
        <f>'HVAC Deemed Table'!I1579</f>
        <v>0.58337300000000003</v>
      </c>
      <c r="T257" s="1976">
        <f>'HVAC Deemed Table'!I1580</f>
        <v>0</v>
      </c>
      <c r="U257" s="1926"/>
      <c r="V257" s="1926"/>
      <c r="W257" s="1926">
        <f t="shared" si="361"/>
        <v>0.58337300000000003</v>
      </c>
      <c r="X257" s="1952">
        <f>'HVAC Deemed Table'!J1577</f>
        <v>6</v>
      </c>
      <c r="Y257" s="1952">
        <f>'HVAC Deemed Table'!J1579</f>
        <v>12</v>
      </c>
      <c r="Z257" s="1952">
        <f t="shared" ref="Z257" si="375">Y257+X257</f>
        <v>18</v>
      </c>
      <c r="AA257" s="1951">
        <f>'HVAC Deemed Table'!BB1577</f>
        <v>0.78703462620931086</v>
      </c>
      <c r="AB257" s="2426">
        <f>'HVAC Deemed Table'!K1577</f>
        <v>2171.3844012161662</v>
      </c>
      <c r="AC257" s="2436">
        <f t="shared" ref="AC257" si="376">AE257+AF257</f>
        <v>884.96656241241715</v>
      </c>
      <c r="AD257" s="2436">
        <f t="shared" ref="AD257" si="377">AG257+AH257</f>
        <v>728.01570334302755</v>
      </c>
      <c r="AE257" s="1982">
        <f>'HVAC Deemed Table'!BD1577</f>
        <v>884.96656241241715</v>
      </c>
      <c r="AF257" s="1982">
        <f>'HVAC Deemed Table'!BD1578</f>
        <v>0</v>
      </c>
      <c r="AG257" s="1982">
        <f>'HVAC Deemed Table'!BD1579</f>
        <v>728.01570334302755</v>
      </c>
      <c r="AH257" s="1982">
        <f>'HVAC Deemed Table'!BD1580</f>
        <v>0</v>
      </c>
      <c r="AI257" s="3624" t="str">
        <f t="shared" si="138"/>
        <v>per measure</v>
      </c>
      <c r="AJ257" s="112">
        <f>'HVAC Deemed Table'!L1577</f>
        <v>3.1</v>
      </c>
      <c r="AK257" s="3646"/>
      <c r="AL257" s="3646"/>
      <c r="AM257" s="2433">
        <f t="shared" si="269"/>
        <v>9.4741810000000004E-4</v>
      </c>
      <c r="AN257" s="100">
        <f t="shared" ref="AN257" si="378">AM257*K257</f>
        <v>1.4418850805710002</v>
      </c>
      <c r="AO257" s="3647">
        <f t="shared" ref="AO257" si="379">AN257-O257</f>
        <v>8.0571000093954126E-8</v>
      </c>
      <c r="AP257" s="2204">
        <f>AO257/O257</f>
        <v>5.587893631874534E-8</v>
      </c>
    </row>
    <row r="258" spans="1:42" s="100" customFormat="1" x14ac:dyDescent="0.25">
      <c r="A258" s="103" t="str">
        <f t="shared" si="173"/>
        <v>353611</v>
      </c>
      <c r="B258" s="1960" t="str">
        <f>'HVAC Deemed Table'!C1581</f>
        <v>353611_2021_12_</v>
      </c>
      <c r="C258" s="3645" t="str">
        <f>'HVAC Deemed Table'!G1581</f>
        <v>Cooling Res</v>
      </c>
      <c r="D258" s="3645" t="str">
        <f>'HVAC Deemed Table'!G1582</f>
        <v>Heating Res</v>
      </c>
      <c r="E258" s="3645" t="str">
        <f>'HVAC Deemed Table'!G1583</f>
        <v>Cooling Res ER2</v>
      </c>
      <c r="F258" s="3645" t="str">
        <f>'HVAC Deemed Table'!G1584</f>
        <v>Heating Res ER2</v>
      </c>
      <c r="G258" s="1958" t="str">
        <f>'HVAC Deemed Table'!E1581</f>
        <v>ASHP-SEER21-Replace_CAC_NonElectricHeat_ER1_MF_CompE</v>
      </c>
      <c r="H258" s="1975" t="str">
        <f>'HVAC Deemed Table'!D1581</f>
        <v>MFc</v>
      </c>
      <c r="I258" s="1973">
        <f t="shared" ref="I258" si="380">K258+L258</f>
        <v>1106.8399999999999</v>
      </c>
      <c r="J258" s="1973">
        <f t="shared" ref="J258" si="381">M258+N258</f>
        <v>447.82</v>
      </c>
      <c r="K258" s="1963">
        <f>'HVAC Deemed Table'!F1581</f>
        <v>1106.8399999999999</v>
      </c>
      <c r="L258" s="1963">
        <f>'HVAC Deemed Table'!F1582</f>
        <v>0</v>
      </c>
      <c r="M258" s="1963">
        <f>'HVAC Deemed Table'!F1583</f>
        <v>447.82</v>
      </c>
      <c r="N258" s="1963">
        <f>'HVAC Deemed Table'!F1584</f>
        <v>0</v>
      </c>
      <c r="O258" s="1974">
        <f t="shared" ref="O258" si="382">Q258+R258</f>
        <v>1.04864</v>
      </c>
      <c r="P258" s="1974">
        <f t="shared" ref="P258" si="383">S258+T258</f>
        <v>0.42427300000000001</v>
      </c>
      <c r="Q258" s="1976">
        <f>'HVAC Deemed Table'!I1581</f>
        <v>1.04864</v>
      </c>
      <c r="R258" s="1976">
        <f>'HVAC Deemed Table'!I1582</f>
        <v>0</v>
      </c>
      <c r="S258" s="1976">
        <f>'HVAC Deemed Table'!I1583</f>
        <v>0.42427300000000001</v>
      </c>
      <c r="T258" s="1976">
        <f>'HVAC Deemed Table'!I1584</f>
        <v>0</v>
      </c>
      <c r="U258" s="1926"/>
      <c r="V258" s="1926"/>
      <c r="W258" s="1926">
        <f t="shared" si="361"/>
        <v>0.42427300000000001</v>
      </c>
      <c r="X258" s="1952">
        <f>'HVAC Deemed Table'!J1581</f>
        <v>6</v>
      </c>
      <c r="Y258" s="1952">
        <f>'HVAC Deemed Table'!J1583</f>
        <v>12</v>
      </c>
      <c r="Z258" s="1952">
        <f t="shared" ref="Z258" si="384">Y258+X258</f>
        <v>18</v>
      </c>
      <c r="AA258" s="1951">
        <f>'HVAC Deemed Table'!BB1581</f>
        <v>0.57238883623244941</v>
      </c>
      <c r="AB258" s="2426">
        <f>'HVAC Deemed Table'!K1581</f>
        <v>2171.3844012161662</v>
      </c>
      <c r="AC258" s="2436">
        <f t="shared" ref="AC258" si="385">AE258+AF258</f>
        <v>643.60993090298348</v>
      </c>
      <c r="AD258" s="2436">
        <f t="shared" ref="AD258" si="386">AG258+AH258</f>
        <v>529.46811574677156</v>
      </c>
      <c r="AE258" s="1982">
        <f>'HVAC Deemed Table'!BD1581</f>
        <v>643.60993090298348</v>
      </c>
      <c r="AF258" s="1982">
        <f>'HVAC Deemed Table'!BD1582</f>
        <v>0</v>
      </c>
      <c r="AG258" s="1982">
        <f>'HVAC Deemed Table'!BD1583</f>
        <v>529.46811574677156</v>
      </c>
      <c r="AH258" s="1982">
        <f>'HVAC Deemed Table'!BD1584</f>
        <v>0</v>
      </c>
      <c r="AI258" s="3624" t="str">
        <f t="shared" si="138"/>
        <v>per measure</v>
      </c>
      <c r="AJ258" s="112">
        <f>'HVAC Deemed Table'!L1581</f>
        <v>3.1</v>
      </c>
      <c r="AK258" s="3646"/>
      <c r="AL258" s="3646"/>
      <c r="AM258" s="2433">
        <f t="shared" si="269"/>
        <v>9.4741810000000004E-4</v>
      </c>
      <c r="AN258" s="100">
        <f t="shared" ref="AN258" si="387">AM258*K258</f>
        <v>1.0486402498039999</v>
      </c>
      <c r="AO258" s="3647">
        <f t="shared" ref="AO258" si="388">AN258-O258</f>
        <v>2.4980399992990954E-7</v>
      </c>
      <c r="AP258" s="2204">
        <f>AO258/O258</f>
        <v>2.3821711924960857E-7</v>
      </c>
    </row>
    <row r="259" spans="1:42" x14ac:dyDescent="0.25">
      <c r="A259" s="103" t="str">
        <f t="shared" si="173"/>
        <v>353650</v>
      </c>
      <c r="B259" s="1960" t="str">
        <f>'HVAC Deemed Table'!C1585</f>
        <v>353650_2021_12_</v>
      </c>
      <c r="C259" s="3599" t="str">
        <f>'HVAC Deemed Table'!G1585</f>
        <v>Cooling Res</v>
      </c>
      <c r="D259" s="3599" t="str">
        <f>'HVAC Deemed Table'!G1586</f>
        <v>Heating Res</v>
      </c>
      <c r="E259" s="1962"/>
      <c r="F259" s="1962"/>
      <c r="G259" s="1962" t="str">
        <f>'HVAC Deemed Table'!E1585</f>
        <v>ASHP-SEER21-Replace_CAC_ElectricHeat_ROF_SF</v>
      </c>
      <c r="H259" s="63" t="str">
        <f>'HVAC Deemed Table'!D1585</f>
        <v>SF</v>
      </c>
      <c r="I259" s="2438">
        <f t="shared" ref="I259:I269" si="389">K259+L259</f>
        <v>13551.77</v>
      </c>
      <c r="J259" s="2438">
        <f t="shared" ref="J259:J269" si="390">M259+N259</f>
        <v>0</v>
      </c>
      <c r="K259" s="2439">
        <f>'HVAC Deemed Table'!F1585</f>
        <v>1109.96</v>
      </c>
      <c r="L259" s="2439">
        <f>'HVAC Deemed Table'!F1586</f>
        <v>12441.81</v>
      </c>
      <c r="M259" s="2439"/>
      <c r="N259" s="2439"/>
      <c r="O259" s="2440">
        <f t="shared" si="310"/>
        <v>1.051596</v>
      </c>
      <c r="P259" s="2440">
        <f t="shared" si="311"/>
        <v>0</v>
      </c>
      <c r="Q259" s="2441">
        <f>'HVAC Deemed Table'!I1585</f>
        <v>1.051596</v>
      </c>
      <c r="R259" s="2441">
        <f>'HVAC Deemed Table'!I1586</f>
        <v>0</v>
      </c>
      <c r="S259" s="2441"/>
      <c r="T259" s="2441"/>
      <c r="U259" s="1819"/>
      <c r="V259" s="1819"/>
      <c r="W259" s="1819">
        <f>O259</f>
        <v>1.051596</v>
      </c>
      <c r="X259" s="68">
        <f>'HVAC Deemed Table'!J1585</f>
        <v>18</v>
      </c>
      <c r="Y259" s="68"/>
      <c r="Z259" s="68">
        <f t="shared" si="150"/>
        <v>18</v>
      </c>
      <c r="AA259" s="62">
        <f>'HVAC Deemed Table'!BB1585</f>
        <v>4.8313302643361355</v>
      </c>
      <c r="AB259" s="839">
        <f>'HVAC Deemed Table'!K1585</f>
        <v>1689.9245999999991</v>
      </c>
      <c r="AC259" s="3618">
        <f t="shared" si="174"/>
        <v>7706.0725478302347</v>
      </c>
      <c r="AD259" s="3618">
        <f t="shared" si="175"/>
        <v>0</v>
      </c>
      <c r="AE259" s="2453">
        <f>'HVAC Deemed Table'!BD1585</f>
        <v>1957.7559683652778</v>
      </c>
      <c r="AF259" s="2453">
        <f>'HVAC Deemed Table'!BD1586</f>
        <v>5748.3165794649567</v>
      </c>
      <c r="AG259" s="2453"/>
      <c r="AH259" s="2453"/>
      <c r="AI259" s="3624" t="str">
        <f>AI256</f>
        <v>per measure</v>
      </c>
      <c r="AJ259" s="126">
        <f>'HVAC Deemed Table'!L1585</f>
        <v>3.5</v>
      </c>
      <c r="AK259" s="1805"/>
      <c r="AL259" s="1805"/>
      <c r="AM259" s="1972">
        <f t="shared" si="269"/>
        <v>9.4741810000000004E-4</v>
      </c>
      <c r="AN259" s="100">
        <f t="shared" si="208"/>
        <v>1.0515961942760002</v>
      </c>
      <c r="AO259" s="1971">
        <f t="shared" si="145"/>
        <v>1.942760001760746E-7</v>
      </c>
      <c r="AP259" s="1930"/>
    </row>
    <row r="260" spans="1:42" x14ac:dyDescent="0.25">
      <c r="A260" s="103" t="str">
        <f t="shared" si="173"/>
        <v>353700</v>
      </c>
      <c r="B260" s="684" t="str">
        <f>'HVAC Deemed Table'!C1587</f>
        <v>353700_2019_12_</v>
      </c>
      <c r="C260" s="3599" t="str">
        <f>'HVAC Deemed Table'!G1587</f>
        <v>Cooling Res</v>
      </c>
      <c r="D260" s="3599" t="str">
        <f>'HVAC Deemed Table'!G1588</f>
        <v>Heating Res</v>
      </c>
      <c r="E260" s="1962"/>
      <c r="F260" s="1962"/>
      <c r="G260" s="1962" t="str">
        <f>'HVAC Deemed Table'!E1587</f>
        <v>ASHP-SEER21+-Replace_CAC_ElectricHeat_ROF_MF</v>
      </c>
      <c r="H260" s="63" t="str">
        <f>'HVAC Deemed Table'!D1587</f>
        <v>MF</v>
      </c>
      <c r="I260" s="2438">
        <f t="shared" si="389"/>
        <v>7736.2999999999993</v>
      </c>
      <c r="J260" s="2438">
        <f t="shared" si="390"/>
        <v>0</v>
      </c>
      <c r="K260" s="2439">
        <f>'HVAC Deemed Table'!F1587</f>
        <v>635.61</v>
      </c>
      <c r="L260" s="2439">
        <f>'HVAC Deemed Table'!F1588</f>
        <v>7100.69</v>
      </c>
      <c r="M260" s="2439"/>
      <c r="N260" s="2439"/>
      <c r="O260" s="2440">
        <f t="shared" si="310"/>
        <v>0.60218799999999995</v>
      </c>
      <c r="P260" s="2440">
        <f t="shared" si="311"/>
        <v>0</v>
      </c>
      <c r="Q260" s="2441">
        <f>'HVAC Deemed Table'!I1587</f>
        <v>0.60218799999999995</v>
      </c>
      <c r="R260" s="2441">
        <f>'HVAC Deemed Table'!I1588</f>
        <v>0</v>
      </c>
      <c r="S260" s="2441"/>
      <c r="T260" s="2441"/>
      <c r="U260" s="1819"/>
      <c r="V260" s="1819"/>
      <c r="W260" s="1819">
        <f>O260</f>
        <v>0.60218799999999995</v>
      </c>
      <c r="X260" s="68">
        <f>'HVAC Deemed Table'!J1587</f>
        <v>18</v>
      </c>
      <c r="Y260" s="68"/>
      <c r="Z260" s="68">
        <f t="shared" si="150"/>
        <v>18</v>
      </c>
      <c r="AA260" s="62">
        <f>'HVAC Deemed Table'!BB1587</f>
        <v>2.7596673110064098</v>
      </c>
      <c r="AB260" s="839">
        <f>'HVAC Deemed Table'!K1587</f>
        <v>1689.9245999999991</v>
      </c>
      <c r="AC260" s="3618">
        <f t="shared" si="174"/>
        <v>4401.7269246678434</v>
      </c>
      <c r="AD260" s="3618">
        <f t="shared" si="175"/>
        <v>0</v>
      </c>
      <c r="AE260" s="2453">
        <f>'HVAC Deemed Table'!BD1587</f>
        <v>1121.0937971212063</v>
      </c>
      <c r="AF260" s="2453">
        <f>'HVAC Deemed Table'!BD1588</f>
        <v>3280.6331275466368</v>
      </c>
      <c r="AG260" s="2453"/>
      <c r="AH260" s="2453"/>
      <c r="AI260" s="3624" t="str">
        <f t="shared" si="138"/>
        <v>per measure</v>
      </c>
      <c r="AJ260" s="126">
        <f>'HVAC Deemed Table'!L1587</f>
        <v>3.2</v>
      </c>
      <c r="AK260" s="1805"/>
      <c r="AL260" s="1805"/>
      <c r="AM260" s="1972">
        <f t="shared" si="269"/>
        <v>9.4741810000000004E-4</v>
      </c>
      <c r="AN260" s="100">
        <f t="shared" si="208"/>
        <v>0.60218841854100003</v>
      </c>
      <c r="AO260" s="1971">
        <f t="shared" si="145"/>
        <v>4.1854100008009709E-7</v>
      </c>
      <c r="AP260" s="1930"/>
    </row>
    <row r="261" spans="1:42" x14ac:dyDescent="0.25">
      <c r="A261" s="103" t="str">
        <f t="shared" si="173"/>
        <v>353701</v>
      </c>
      <c r="B261" s="684" t="str">
        <f>'HVAC Deemed Table'!C1589</f>
        <v>353701_2019_12_</v>
      </c>
      <c r="C261" s="3599" t="str">
        <f>'HVAC Deemed Table'!G1589</f>
        <v>Cooling Res</v>
      </c>
      <c r="D261" s="3599" t="str">
        <f>'HVAC Deemed Table'!G1590</f>
        <v>Heating Res</v>
      </c>
      <c r="E261" s="1962"/>
      <c r="F261" s="1962"/>
      <c r="G261" s="1962" t="str">
        <f>'HVAC Deemed Table'!E1589</f>
        <v>ASHP-SEER21+-Replace_CAC_ElectricHeat_ROF_MF_CompE</v>
      </c>
      <c r="H261" s="63" t="str">
        <f>'HVAC Deemed Table'!D1589</f>
        <v>MFc</v>
      </c>
      <c r="I261" s="2438">
        <f t="shared" si="389"/>
        <v>2882.95</v>
      </c>
      <c r="J261" s="2438">
        <f t="shared" si="390"/>
        <v>0</v>
      </c>
      <c r="K261" s="2439">
        <f>'HVAC Deemed Table'!F1589</f>
        <v>462.26</v>
      </c>
      <c r="L261" s="2439">
        <f>'HVAC Deemed Table'!F1590</f>
        <v>2420.69</v>
      </c>
      <c r="M261" s="2439"/>
      <c r="N261" s="2439"/>
      <c r="O261" s="2440">
        <f t="shared" si="310"/>
        <v>0.43795299999999998</v>
      </c>
      <c r="P261" s="2440">
        <f t="shared" si="311"/>
        <v>0</v>
      </c>
      <c r="Q261" s="2441">
        <f>'HVAC Deemed Table'!I1589</f>
        <v>0.43795299999999998</v>
      </c>
      <c r="R261" s="2441">
        <f>'HVAC Deemed Table'!I1590</f>
        <v>0</v>
      </c>
      <c r="S261" s="2441"/>
      <c r="T261" s="2441"/>
      <c r="U261" s="1819"/>
      <c r="V261" s="1819"/>
      <c r="W261" s="1819">
        <f>O261</f>
        <v>0.43795299999999998</v>
      </c>
      <c r="X261" s="68">
        <f>'HVAC Deemed Table'!J1589</f>
        <v>18</v>
      </c>
      <c r="Y261" s="68"/>
      <c r="Z261" s="68">
        <f t="shared" si="150"/>
        <v>18</v>
      </c>
      <c r="AA261" s="62">
        <f>'HVAC Deemed Table'!BB1589</f>
        <v>1.2123574985084911</v>
      </c>
      <c r="AB261" s="839">
        <f>'HVAC Deemed Table'!K1589</f>
        <v>1689.9245999999991</v>
      </c>
      <c r="AC261" s="3618">
        <f t="shared" si="174"/>
        <v>1933.7354985596612</v>
      </c>
      <c r="AD261" s="3618">
        <f t="shared" si="175"/>
        <v>0</v>
      </c>
      <c r="AE261" s="2453">
        <f>'HVAC Deemed Table'!BD1589</f>
        <v>815.33773643782956</v>
      </c>
      <c r="AF261" s="2453">
        <f>'HVAC Deemed Table'!BD1590</f>
        <v>1118.3977621218316</v>
      </c>
      <c r="AG261" s="2453"/>
      <c r="AH261" s="2453"/>
      <c r="AI261" s="3624" t="str">
        <f t="shared" ref="AI261:AI319" si="391">AI260</f>
        <v>per measure</v>
      </c>
      <c r="AJ261" s="126">
        <f>'HVAC Deemed Table'!L1589</f>
        <v>3.2</v>
      </c>
      <c r="AK261" s="1805"/>
      <c r="AL261" s="1805"/>
      <c r="AM261" s="1972">
        <f t="shared" si="269"/>
        <v>9.4741810000000004E-4</v>
      </c>
      <c r="AN261" s="100">
        <f t="shared" si="208"/>
        <v>0.437953490906</v>
      </c>
      <c r="AO261" s="1971">
        <f t="shared" si="145"/>
        <v>4.9090600001688856E-7</v>
      </c>
      <c r="AP261" s="1930"/>
    </row>
    <row r="262" spans="1:42" s="100" customFormat="1" x14ac:dyDescent="0.25">
      <c r="A262" s="103" t="str">
        <f t="shared" si="173"/>
        <v>353710</v>
      </c>
      <c r="B262" s="1960" t="str">
        <f>'HVAC Deemed Table'!C1591</f>
        <v>353710_2021_12_</v>
      </c>
      <c r="C262" s="3645" t="str">
        <f>'HVAC Deemed Table'!G1591</f>
        <v>Cooling Res</v>
      </c>
      <c r="D262" s="3645" t="str">
        <f>'HVAC Deemed Table'!G1592</f>
        <v>Heating Res</v>
      </c>
      <c r="E262" s="1958"/>
      <c r="F262" s="1958"/>
      <c r="G262" s="1958" t="str">
        <f>'HVAC Deemed Table'!E1591</f>
        <v>ASHP-SEER21+-Replace_CAC_NonElectricHeat_ROF_MF</v>
      </c>
      <c r="H262" s="1975" t="str">
        <f>'HVAC Deemed Table'!D1591</f>
        <v>MF</v>
      </c>
      <c r="I262" s="1973">
        <f t="shared" ref="I262" si="392">K262+L262</f>
        <v>635.61</v>
      </c>
      <c r="J262" s="1973">
        <f t="shared" ref="J262" si="393">M262+N262</f>
        <v>0</v>
      </c>
      <c r="K262" s="1963">
        <f>'HVAC Deemed Table'!F1591</f>
        <v>635.61</v>
      </c>
      <c r="L262" s="1963">
        <f>'HVAC Deemed Table'!F1592</f>
        <v>0</v>
      </c>
      <c r="M262" s="1963"/>
      <c r="N262" s="1963"/>
      <c r="O262" s="1974">
        <f t="shared" ref="O262" si="394">Q262+R262</f>
        <v>0.60218799999999995</v>
      </c>
      <c r="P262" s="1974">
        <f t="shared" ref="P262" si="395">S262+T262</f>
        <v>0</v>
      </c>
      <c r="Q262" s="1976">
        <f>'HVAC Deemed Table'!I1591</f>
        <v>0.60218799999999995</v>
      </c>
      <c r="R262" s="1976">
        <f>'HVAC Deemed Table'!I1592</f>
        <v>0</v>
      </c>
      <c r="S262" s="1976"/>
      <c r="T262" s="1976"/>
      <c r="U262" s="1926"/>
      <c r="V262" s="1926"/>
      <c r="W262" s="1926">
        <f>O262</f>
        <v>0.60218799999999995</v>
      </c>
      <c r="X262" s="1952">
        <f>'HVAC Deemed Table'!J1591</f>
        <v>18</v>
      </c>
      <c r="Y262" s="1952"/>
      <c r="Z262" s="1952">
        <f t="shared" ref="Z262" si="396">Y262+X262</f>
        <v>18</v>
      </c>
      <c r="AA262" s="1951">
        <f>'HVAC Deemed Table'!BB1591</f>
        <v>0.7028709316675541</v>
      </c>
      <c r="AB262" s="2426">
        <f>'HVAC Deemed Table'!K1591</f>
        <v>1689.9245999999991</v>
      </c>
      <c r="AC262" s="2436">
        <f t="shared" ref="AC262" si="397">AE262+AF262</f>
        <v>1121.0937971212063</v>
      </c>
      <c r="AD262" s="2436">
        <f t="shared" ref="AD262" si="398">AG262+AH262</f>
        <v>0</v>
      </c>
      <c r="AE262" s="1982">
        <f>'HVAC Deemed Table'!BD1591</f>
        <v>1121.0937971212063</v>
      </c>
      <c r="AF262" s="1982">
        <f>'HVAC Deemed Table'!BD1592</f>
        <v>0</v>
      </c>
      <c r="AG262" s="1982"/>
      <c r="AH262" s="1982"/>
      <c r="AI262" s="3624" t="str">
        <f t="shared" si="391"/>
        <v>per measure</v>
      </c>
      <c r="AJ262" s="112">
        <f>'HVAC Deemed Table'!L1591</f>
        <v>3.2</v>
      </c>
      <c r="AK262" s="3646"/>
      <c r="AL262" s="3646"/>
      <c r="AM262" s="2433">
        <f t="shared" si="269"/>
        <v>9.4741810000000004E-4</v>
      </c>
      <c r="AN262" s="100">
        <f t="shared" ref="AN262" si="399">AM262*K262</f>
        <v>0.60218841854100003</v>
      </c>
      <c r="AO262" s="2437">
        <f t="shared" ref="AO262" si="400">AN262-O262</f>
        <v>4.1854100008009709E-7</v>
      </c>
    </row>
    <row r="263" spans="1:42" s="100" customFormat="1" x14ac:dyDescent="0.25">
      <c r="A263" s="103" t="str">
        <f t="shared" si="173"/>
        <v>353711</v>
      </c>
      <c r="B263" s="1960" t="str">
        <f>'HVAC Deemed Table'!C1593</f>
        <v>353711_2021_12_</v>
      </c>
      <c r="C263" s="3645" t="str">
        <f>'HVAC Deemed Table'!G1593</f>
        <v>Cooling Res</v>
      </c>
      <c r="D263" s="3645" t="str">
        <f>'HVAC Deemed Table'!G1594</f>
        <v>Heating Res</v>
      </c>
      <c r="E263" s="1958"/>
      <c r="F263" s="1958"/>
      <c r="G263" s="1958" t="str">
        <f>'HVAC Deemed Table'!E1593</f>
        <v>ASHP-SEER21+-Replace_CAC_NonElectricHeat_ROF_MF_CompE</v>
      </c>
      <c r="H263" s="1975" t="str">
        <f>'HVAC Deemed Table'!D1593</f>
        <v>MFc</v>
      </c>
      <c r="I263" s="1973">
        <f t="shared" ref="I263" si="401">K263+L263</f>
        <v>462.26</v>
      </c>
      <c r="J263" s="1973">
        <f t="shared" ref="J263" si="402">M263+N263</f>
        <v>0</v>
      </c>
      <c r="K263" s="1963">
        <f>'HVAC Deemed Table'!F1593</f>
        <v>462.26</v>
      </c>
      <c r="L263" s="1963">
        <f>'HVAC Deemed Table'!F1594</f>
        <v>0</v>
      </c>
      <c r="M263" s="1963"/>
      <c r="N263" s="1963"/>
      <c r="O263" s="1974">
        <f t="shared" ref="O263" si="403">Q263+R263</f>
        <v>0.43795299999999998</v>
      </c>
      <c r="P263" s="1974">
        <f t="shared" ref="P263" si="404">S263+T263</f>
        <v>0</v>
      </c>
      <c r="Q263" s="1976">
        <f>'HVAC Deemed Table'!I1593</f>
        <v>0.43795299999999998</v>
      </c>
      <c r="R263" s="1976">
        <f>'HVAC Deemed Table'!I1594</f>
        <v>0</v>
      </c>
      <c r="S263" s="1976"/>
      <c r="T263" s="1976"/>
      <c r="U263" s="1926"/>
      <c r="V263" s="1926"/>
      <c r="W263" s="1926">
        <f>O263</f>
        <v>0.43795299999999998</v>
      </c>
      <c r="X263" s="1952">
        <f>'HVAC Deemed Table'!J1593</f>
        <v>18</v>
      </c>
      <c r="Y263" s="1952"/>
      <c r="Z263" s="1952">
        <f t="shared" ref="Z263" si="405">Y263+X263</f>
        <v>18</v>
      </c>
      <c r="AA263" s="1951">
        <f>'HVAC Deemed Table'!BB1593</f>
        <v>0.51117684881081726</v>
      </c>
      <c r="AB263" s="2426">
        <f>'HVAC Deemed Table'!K1593</f>
        <v>1689.9245999999991</v>
      </c>
      <c r="AC263" s="2436">
        <f t="shared" ref="AC263" si="406">AE263+AF263</f>
        <v>815.33773643782956</v>
      </c>
      <c r="AD263" s="2436">
        <f t="shared" ref="AD263" si="407">AG263+AH263</f>
        <v>0</v>
      </c>
      <c r="AE263" s="1982">
        <f>'HVAC Deemed Table'!BD1593</f>
        <v>815.33773643782956</v>
      </c>
      <c r="AF263" s="1982">
        <f>'HVAC Deemed Table'!BD1594</f>
        <v>0</v>
      </c>
      <c r="AG263" s="1982"/>
      <c r="AH263" s="1982"/>
      <c r="AI263" s="3624" t="str">
        <f t="shared" si="391"/>
        <v>per measure</v>
      </c>
      <c r="AJ263" s="112">
        <f>'HVAC Deemed Table'!L1593</f>
        <v>3.2</v>
      </c>
      <c r="AK263" s="3646"/>
      <c r="AL263" s="3646"/>
      <c r="AM263" s="2433">
        <f t="shared" si="269"/>
        <v>9.4741810000000004E-4</v>
      </c>
      <c r="AN263" s="100">
        <f t="shared" ref="AN263" si="408">AM263*K263</f>
        <v>0.437953490906</v>
      </c>
      <c r="AO263" s="2437">
        <f t="shared" ref="AO263" si="409">AN263-O263</f>
        <v>4.9090600001688856E-7</v>
      </c>
    </row>
    <row r="264" spans="1:42" x14ac:dyDescent="0.25">
      <c r="A264" s="103" t="str">
        <f t="shared" si="173"/>
        <v>353750</v>
      </c>
      <c r="B264" s="1960" t="str">
        <f>'HVAC Deemed Table'!C1595</f>
        <v>353750_2021_12_</v>
      </c>
      <c r="C264" s="3599" t="str">
        <f>'HVAC Deemed Table'!G1595</f>
        <v>Cooling Res</v>
      </c>
      <c r="D264" s="3599" t="str">
        <f>'HVAC Deemed Table'!G1596</f>
        <v>Heating Res</v>
      </c>
      <c r="E264" s="3599" t="str">
        <f>'HVAC Deemed Table'!G1597</f>
        <v>Cooling Res ER2</v>
      </c>
      <c r="F264" s="3599" t="str">
        <f>'HVAC Deemed Table'!G1598</f>
        <v>Heating Res ER2</v>
      </c>
      <c r="G264" s="1962" t="str">
        <f>'HVAC Deemed Table'!E1595</f>
        <v>ASHP-SEER17_ER1_SF</v>
      </c>
      <c r="H264" s="63" t="str">
        <f>'HVAC Deemed Table'!D1595</f>
        <v>SF</v>
      </c>
      <c r="I264" s="2438">
        <f t="shared" si="389"/>
        <v>4105.04</v>
      </c>
      <c r="J264" s="2438">
        <f t="shared" si="390"/>
        <v>1209.8900000000001</v>
      </c>
      <c r="K264" s="2439">
        <f>'HVAC Deemed Table'!F1595</f>
        <v>1716.58</v>
      </c>
      <c r="L264" s="2439">
        <f>'HVAC Deemed Table'!F1596</f>
        <v>2388.46</v>
      </c>
      <c r="M264" s="2439">
        <f>'HVAC Deemed Table'!F1597</f>
        <v>399.92</v>
      </c>
      <c r="N264" s="2439">
        <f>'HVAC Deemed Table'!F1598</f>
        <v>809.97</v>
      </c>
      <c r="O264" s="2440">
        <f t="shared" si="310"/>
        <v>1.6263190000000001</v>
      </c>
      <c r="P264" s="2440">
        <f t="shared" si="311"/>
        <v>0.37889099999999998</v>
      </c>
      <c r="Q264" s="2441">
        <f>'HVAC Deemed Table'!I1595</f>
        <v>1.6263190000000001</v>
      </c>
      <c r="R264" s="2441">
        <f>'HVAC Deemed Table'!I1596</f>
        <v>0</v>
      </c>
      <c r="S264" s="2441">
        <f>'HVAC Deemed Table'!I1597</f>
        <v>0.37889099999999998</v>
      </c>
      <c r="T264" s="2441">
        <f>'HVAC Deemed Table'!I1598</f>
        <v>0</v>
      </c>
      <c r="U264" s="1819"/>
      <c r="V264" s="1819"/>
      <c r="W264" s="1821">
        <f>P264</f>
        <v>0.37889099999999998</v>
      </c>
      <c r="X264" s="68">
        <f>'HVAC Deemed Table'!J1595</f>
        <v>6</v>
      </c>
      <c r="Y264" s="68">
        <f>'HVAC Deemed Table'!J1597</f>
        <v>12</v>
      </c>
      <c r="Z264" s="68">
        <f t="shared" si="150"/>
        <v>18</v>
      </c>
      <c r="AA264" s="62">
        <f>'HVAC Deemed Table'!BB1595</f>
        <v>1.5685279884089671</v>
      </c>
      <c r="AB264" s="839">
        <f>'HVAC Deemed Table'!K1595</f>
        <v>1423.7466093535209</v>
      </c>
      <c r="AC264" s="3618">
        <f t="shared" si="174"/>
        <v>1395.4450058967871</v>
      </c>
      <c r="AD264" s="3618">
        <f t="shared" si="175"/>
        <v>712.32885457831026</v>
      </c>
      <c r="AE264" s="2453">
        <f>'HVAC Deemed Table'!BD1595</f>
        <v>998.16408441097497</v>
      </c>
      <c r="AF264" s="2453">
        <f>'HVAC Deemed Table'!BD1596</f>
        <v>397.28092148581214</v>
      </c>
      <c r="AG264" s="2453">
        <f>'HVAC Deemed Table'!BD1597</f>
        <v>472.83481945748042</v>
      </c>
      <c r="AH264" s="2453">
        <f>'HVAC Deemed Table'!BD1598</f>
        <v>239.49403512082981</v>
      </c>
      <c r="AI264" s="3624" t="str">
        <f t="shared" si="391"/>
        <v>per measure</v>
      </c>
      <c r="AJ264" s="126">
        <f>'HVAC Deemed Table'!L1595</f>
        <v>2.9285714285714279</v>
      </c>
      <c r="AK264" s="1805"/>
      <c r="AL264" s="1805"/>
      <c r="AM264" s="1972">
        <f t="shared" si="269"/>
        <v>9.4741810000000004E-4</v>
      </c>
      <c r="AN264" s="100">
        <f t="shared" si="208"/>
        <v>1.6263189620980001</v>
      </c>
      <c r="AO264" s="1971">
        <f t="shared" si="145"/>
        <v>-3.7901999982992152E-8</v>
      </c>
      <c r="AP264" s="1930"/>
    </row>
    <row r="265" spans="1:42" x14ac:dyDescent="0.25">
      <c r="A265" s="103" t="str">
        <f t="shared" si="173"/>
        <v>353800</v>
      </c>
      <c r="B265" s="1960" t="str">
        <f>'HVAC Deemed Table'!C1599</f>
        <v>353800_2021_12_</v>
      </c>
      <c r="C265" s="3599" t="str">
        <f>'HVAC Deemed Table'!G1599</f>
        <v>Cooling Res</v>
      </c>
      <c r="D265" s="3599" t="str">
        <f>'HVAC Deemed Table'!G1600</f>
        <v>Heating Res</v>
      </c>
      <c r="E265" s="1962"/>
      <c r="F265" s="1962"/>
      <c r="G265" s="1962" t="str">
        <f>'HVAC Deemed Table'!E1599</f>
        <v>ASHP-SEER17_ROF_SF</v>
      </c>
      <c r="H265" s="63" t="str">
        <f>'HVAC Deemed Table'!D1599</f>
        <v>SF</v>
      </c>
      <c r="I265" s="2438">
        <f t="shared" si="389"/>
        <v>1847.78</v>
      </c>
      <c r="J265" s="2438">
        <f t="shared" si="390"/>
        <v>0</v>
      </c>
      <c r="K265" s="2439">
        <f>'HVAC Deemed Table'!F1599</f>
        <v>612.74</v>
      </c>
      <c r="L265" s="2439">
        <f>'HVAC Deemed Table'!F1600</f>
        <v>1235.04</v>
      </c>
      <c r="M265" s="2439"/>
      <c r="N265" s="2439"/>
      <c r="O265" s="2440">
        <f t="shared" si="310"/>
        <v>0.58052099999999995</v>
      </c>
      <c r="P265" s="2440">
        <f t="shared" si="311"/>
        <v>0</v>
      </c>
      <c r="Q265" s="2441">
        <f>'HVAC Deemed Table'!I1599</f>
        <v>0.58052099999999995</v>
      </c>
      <c r="R265" s="2441">
        <f>'HVAC Deemed Table'!I1600</f>
        <v>0</v>
      </c>
      <c r="S265" s="2441"/>
      <c r="T265" s="2441"/>
      <c r="U265" s="1819"/>
      <c r="V265" s="1819"/>
      <c r="W265" s="1819">
        <f>O265</f>
        <v>0.58052099999999995</v>
      </c>
      <c r="X265" s="68">
        <f>'HVAC Deemed Table'!J1599</f>
        <v>18</v>
      </c>
      <c r="Y265" s="68"/>
      <c r="Z265" s="68">
        <f t="shared" si="150"/>
        <v>18</v>
      </c>
      <c r="AA265" s="62">
        <f>'HVAC Deemed Table'!BB1599</f>
        <v>2.4166022588719338</v>
      </c>
      <c r="AB265" s="839">
        <f>'HVAC Deemed Table'!K1599</f>
        <v>724</v>
      </c>
      <c r="AC265" s="3618">
        <f t="shared" si="174"/>
        <v>1651.3638843070125</v>
      </c>
      <c r="AD265" s="3618">
        <f t="shared" si="175"/>
        <v>0</v>
      </c>
      <c r="AE265" s="2453">
        <f>'HVAC Deemed Table'!BD1599</f>
        <v>1080.7555155646512</v>
      </c>
      <c r="AF265" s="2453">
        <f>'HVAC Deemed Table'!BD1600</f>
        <v>570.60836874236145</v>
      </c>
      <c r="AG265" s="2453"/>
      <c r="AH265" s="2453"/>
      <c r="AI265" s="3624" t="str">
        <f t="shared" si="391"/>
        <v>per measure</v>
      </c>
      <c r="AJ265" s="126">
        <f>'HVAC Deemed Table'!L1599</f>
        <v>3.8571428571428577</v>
      </c>
      <c r="AK265" s="1805"/>
      <c r="AL265" s="1805"/>
      <c r="AM265" s="1972">
        <f t="shared" si="269"/>
        <v>9.4741810000000004E-4</v>
      </c>
      <c r="AN265" s="100">
        <f t="shared" ref="AN265:AN309" si="410">AM265*K265</f>
        <v>0.58052096659399999</v>
      </c>
      <c r="AO265" s="1971">
        <f t="shared" si="145"/>
        <v>-3.3405999966262812E-8</v>
      </c>
      <c r="AP265" s="1930"/>
    </row>
    <row r="266" spans="1:42" x14ac:dyDescent="0.25">
      <c r="A266" s="103" t="str">
        <f t="shared" ref="A266:A329" si="411">LEFT(B266,6)</f>
        <v>353850</v>
      </c>
      <c r="B266" s="1960" t="str">
        <f>'HVAC Deemed Table'!C1601</f>
        <v>353850_2021_12_</v>
      </c>
      <c r="C266" s="3599" t="str">
        <f>'HVAC Deemed Table'!G1601</f>
        <v>Cooling Res</v>
      </c>
      <c r="D266" s="3599" t="str">
        <f>'HVAC Deemed Table'!G1602</f>
        <v>Heating Res</v>
      </c>
      <c r="E266" s="3599" t="str">
        <f>'HVAC Deemed Table'!G1603</f>
        <v>Cooling Res ER2</v>
      </c>
      <c r="F266" s="3599" t="str">
        <f>'HVAC Deemed Table'!G1604</f>
        <v>Heating Res ER2</v>
      </c>
      <c r="G266" s="1962" t="str">
        <f>'HVAC Deemed Table'!E1601</f>
        <v>ASHP-SEER18_ER1_SF</v>
      </c>
      <c r="H266" s="63" t="str">
        <f>'HVAC Deemed Table'!D1601</f>
        <v>SF</v>
      </c>
      <c r="I266" s="2438">
        <f t="shared" si="389"/>
        <v>5044.34</v>
      </c>
      <c r="J266" s="2438">
        <f t="shared" si="390"/>
        <v>1773.21</v>
      </c>
      <c r="K266" s="2439">
        <f>'HVAC Deemed Table'!F1601</f>
        <v>2063.94</v>
      </c>
      <c r="L266" s="2439">
        <f>'HVAC Deemed Table'!F1602</f>
        <v>2980.4</v>
      </c>
      <c r="M266" s="2439">
        <f>'HVAC Deemed Table'!F1603</f>
        <v>523.08000000000004</v>
      </c>
      <c r="N266" s="2439">
        <f>'HVAC Deemed Table'!F1604</f>
        <v>1250.1300000000001</v>
      </c>
      <c r="O266" s="2440">
        <f t="shared" si="310"/>
        <v>1.955414</v>
      </c>
      <c r="P266" s="2440">
        <f t="shared" si="311"/>
        <v>0.49557499999999999</v>
      </c>
      <c r="Q266" s="2441">
        <f>'HVAC Deemed Table'!I1601</f>
        <v>1.955414</v>
      </c>
      <c r="R266" s="2441">
        <f>'HVAC Deemed Table'!I1602</f>
        <v>0</v>
      </c>
      <c r="S266" s="2441">
        <f>'HVAC Deemed Table'!I1603</f>
        <v>0.49557499999999999</v>
      </c>
      <c r="T266" s="2441">
        <f>'HVAC Deemed Table'!I1604</f>
        <v>0</v>
      </c>
      <c r="U266" s="1819"/>
      <c r="V266" s="1819"/>
      <c r="W266" s="1821">
        <f>P266</f>
        <v>0.49557499999999999</v>
      </c>
      <c r="X266" s="68">
        <f>'HVAC Deemed Table'!J1601</f>
        <v>6</v>
      </c>
      <c r="Y266" s="68">
        <f>'HVAC Deemed Table'!J1603</f>
        <v>12</v>
      </c>
      <c r="Z266" s="68">
        <f t="shared" si="150"/>
        <v>18</v>
      </c>
      <c r="AA266" s="62">
        <f>'HVAC Deemed Table'!BB1601</f>
        <v>1.6437960745107867</v>
      </c>
      <c r="AB266" s="839">
        <f>'HVAC Deemed Table'!K1601</f>
        <v>1729.9451804896671</v>
      </c>
      <c r="AC266" s="3618">
        <f t="shared" si="174"/>
        <v>1695.8887992210134</v>
      </c>
      <c r="AD266" s="3618">
        <f t="shared" si="175"/>
        <v>988.0914714800424</v>
      </c>
      <c r="AE266" s="2453">
        <f>'HVAC Deemed Table'!BD1601</f>
        <v>1200.1484232480791</v>
      </c>
      <c r="AF266" s="2453">
        <f>'HVAC Deemed Table'!BD1602</f>
        <v>495.74037597293426</v>
      </c>
      <c r="AG266" s="2453">
        <f>'HVAC Deemed Table'!BD1603</f>
        <v>618.44978336121949</v>
      </c>
      <c r="AH266" s="2453">
        <f>'HVAC Deemed Table'!BD1604</f>
        <v>369.64168811882291</v>
      </c>
      <c r="AI266" s="3624" t="str">
        <f t="shared" si="391"/>
        <v>per measure</v>
      </c>
      <c r="AJ266" s="126">
        <f>'HVAC Deemed Table'!L1601</f>
        <v>3.2101449275362319</v>
      </c>
      <c r="AK266" s="1805"/>
      <c r="AL266" s="1805"/>
      <c r="AM266" s="1972">
        <f t="shared" si="269"/>
        <v>9.4741810000000004E-4</v>
      </c>
      <c r="AN266" s="100">
        <f t="shared" si="410"/>
        <v>1.9554141133140002</v>
      </c>
      <c r="AO266" s="1971">
        <f t="shared" si="145"/>
        <v>1.1331400018299576E-7</v>
      </c>
      <c r="AP266" s="1930"/>
    </row>
    <row r="267" spans="1:42" x14ac:dyDescent="0.25">
      <c r="A267" s="103" t="str">
        <f t="shared" si="411"/>
        <v>353950</v>
      </c>
      <c r="B267" s="1960" t="str">
        <f>'HVAC Deemed Table'!C1605</f>
        <v>353950_2021_12_</v>
      </c>
      <c r="C267" s="3599" t="str">
        <f>'HVAC Deemed Table'!G1605</f>
        <v>Cooling Res</v>
      </c>
      <c r="D267" s="3599" t="str">
        <f>'HVAC Deemed Table'!G1606</f>
        <v>Heating Res</v>
      </c>
      <c r="E267" s="1962"/>
      <c r="F267" s="1962"/>
      <c r="G267" s="1962" t="str">
        <f>'HVAC Deemed Table'!E1605</f>
        <v>ASHP-SEER18_ROF_SF</v>
      </c>
      <c r="H267" s="63" t="str">
        <f>'HVAC Deemed Table'!D1605</f>
        <v>SF</v>
      </c>
      <c r="I267" s="2438">
        <f t="shared" si="389"/>
        <v>2267.5299999999997</v>
      </c>
      <c r="J267" s="2438">
        <f t="shared" si="390"/>
        <v>0</v>
      </c>
      <c r="K267" s="2439">
        <f>'HVAC Deemed Table'!F1605</f>
        <v>591.21</v>
      </c>
      <c r="L267" s="2439">
        <f>'HVAC Deemed Table'!F1606</f>
        <v>1676.32</v>
      </c>
      <c r="M267" s="2439"/>
      <c r="N267" s="2439"/>
      <c r="O267" s="2440">
        <f t="shared" ref="O267:O294" si="412">Q267+R267</f>
        <v>0.56012300000000004</v>
      </c>
      <c r="P267" s="2440">
        <f t="shared" ref="P267:P294" si="413">S267+T267</f>
        <v>0</v>
      </c>
      <c r="Q267" s="2441">
        <f>'HVAC Deemed Table'!I1605</f>
        <v>0.56012300000000004</v>
      </c>
      <c r="R267" s="2441">
        <f>'HVAC Deemed Table'!I1606</f>
        <v>0</v>
      </c>
      <c r="S267" s="2441"/>
      <c r="T267" s="2441"/>
      <c r="U267" s="1819"/>
      <c r="V267" s="1819"/>
      <c r="W267" s="1819">
        <f>O267</f>
        <v>0.56012300000000004</v>
      </c>
      <c r="X267" s="68">
        <f>'HVAC Deemed Table'!J1605</f>
        <v>18</v>
      </c>
      <c r="Y267" s="68"/>
      <c r="Z267" s="68">
        <f t="shared" si="150"/>
        <v>18</v>
      </c>
      <c r="AA267" s="62">
        <f>'HVAC Deemed Table'!BB1605</f>
        <v>1.9995378554597334</v>
      </c>
      <c r="AB267" s="839">
        <f>'HVAC Deemed Table'!K1605</f>
        <v>962.92000000000007</v>
      </c>
      <c r="AC267" s="3618">
        <f t="shared" si="174"/>
        <v>1817.2675712876701</v>
      </c>
      <c r="AD267" s="3618">
        <f t="shared" si="175"/>
        <v>0</v>
      </c>
      <c r="AE267" s="2453">
        <f>'HVAC Deemed Table'!BD1605</f>
        <v>1042.7807362943133</v>
      </c>
      <c r="AF267" s="2453">
        <f>'HVAC Deemed Table'!BD1606</f>
        <v>774.48683499335675</v>
      </c>
      <c r="AG267" s="2453"/>
      <c r="AH267" s="2453"/>
      <c r="AI267" s="3624" t="str">
        <f t="shared" si="391"/>
        <v>per measure</v>
      </c>
      <c r="AJ267" s="126">
        <f>'HVAC Deemed Table'!L1605</f>
        <v>3.4375</v>
      </c>
      <c r="AK267" s="1805"/>
      <c r="AL267" s="1805"/>
      <c r="AM267" s="1972">
        <f t="shared" si="269"/>
        <v>9.4741810000000004E-4</v>
      </c>
      <c r="AN267" s="100">
        <f t="shared" si="410"/>
        <v>0.56012305490100001</v>
      </c>
      <c r="AO267" s="1971">
        <f t="shared" si="145"/>
        <v>5.4900999968410247E-8</v>
      </c>
      <c r="AP267" s="1930"/>
    </row>
    <row r="268" spans="1:42" x14ac:dyDescent="0.25">
      <c r="A268" s="103" t="str">
        <f t="shared" si="411"/>
        <v>354000</v>
      </c>
      <c r="B268" s="1960" t="str">
        <f>'HVAC Deemed Table'!C1607</f>
        <v>354000_2021_12_</v>
      </c>
      <c r="C268" s="3599" t="str">
        <f>'HVAC Deemed Table'!G1607</f>
        <v>Cooling Res</v>
      </c>
      <c r="D268" s="3599" t="str">
        <f>'HVAC Deemed Table'!G1608</f>
        <v>Heating Res</v>
      </c>
      <c r="E268" s="3599" t="str">
        <f>'HVAC Deemed Table'!G1609</f>
        <v>Cooling Res ER2</v>
      </c>
      <c r="F268" s="3599" t="str">
        <f>'HVAC Deemed Table'!G1610</f>
        <v>Heating Res ER2</v>
      </c>
      <c r="G268" s="1962" t="str">
        <f>'HVAC Deemed Table'!E1607</f>
        <v>ASHP-SEER19_ER1_SF</v>
      </c>
      <c r="H268" s="63" t="str">
        <f>'HVAC Deemed Table'!D1607</f>
        <v>SF</v>
      </c>
      <c r="I268" s="2438">
        <f t="shared" si="389"/>
        <v>6185.8099999999995</v>
      </c>
      <c r="J268" s="2438">
        <f t="shared" si="390"/>
        <v>2400.4300000000003</v>
      </c>
      <c r="K268" s="2439">
        <f>'HVAC Deemed Table'!F1607</f>
        <v>2424.9299999999998</v>
      </c>
      <c r="L268" s="2439">
        <f>'HVAC Deemed Table'!F1608</f>
        <v>3760.88</v>
      </c>
      <c r="M268" s="2439">
        <f>'HVAC Deemed Table'!F1609</f>
        <v>795.55</v>
      </c>
      <c r="N268" s="2439">
        <f>'HVAC Deemed Table'!F1610</f>
        <v>1604.88</v>
      </c>
      <c r="O268" s="2440">
        <f t="shared" si="412"/>
        <v>2.2974230000000002</v>
      </c>
      <c r="P268" s="2440">
        <f t="shared" si="413"/>
        <v>0.753718</v>
      </c>
      <c r="Q268" s="2441">
        <f>'HVAC Deemed Table'!I1607</f>
        <v>2.2974230000000002</v>
      </c>
      <c r="R268" s="2441">
        <f>'HVAC Deemed Table'!I1608</f>
        <v>0</v>
      </c>
      <c r="S268" s="2441">
        <f>'HVAC Deemed Table'!I1609</f>
        <v>0.753718</v>
      </c>
      <c r="T268" s="2441">
        <f>'HVAC Deemed Table'!I1610</f>
        <v>0</v>
      </c>
      <c r="U268" s="1819"/>
      <c r="V268" s="1819"/>
      <c r="W268" s="1821">
        <f>P268</f>
        <v>0.753718</v>
      </c>
      <c r="X268" s="68">
        <f>'HVAC Deemed Table'!J1607</f>
        <v>6</v>
      </c>
      <c r="Y268" s="68">
        <f>'HVAC Deemed Table'!J1609</f>
        <v>12</v>
      </c>
      <c r="Z268" s="68">
        <f t="shared" si="150"/>
        <v>18</v>
      </c>
      <c r="AA268" s="62">
        <f>'HVAC Deemed Table'!BB1607</f>
        <v>1.6930946195976033</v>
      </c>
      <c r="AB268" s="839">
        <f>'HVAC Deemed Table'!K1607</f>
        <v>2159.4014664340775</v>
      </c>
      <c r="AC268" s="3618">
        <f t="shared" si="174"/>
        <v>2035.6187405714072</v>
      </c>
      <c r="AD268" s="3618">
        <f t="shared" si="175"/>
        <v>1415.1325613358235</v>
      </c>
      <c r="AE268" s="2453">
        <f>'HVAC Deemed Table'!BD1607</f>
        <v>1410.0583912259874</v>
      </c>
      <c r="AF268" s="2453">
        <f>'HVAC Deemed Table'!BD1608</f>
        <v>625.56034934541981</v>
      </c>
      <c r="AG268" s="2453">
        <f>'HVAC Deemed Table'!BD1609</f>
        <v>940.5974710427048</v>
      </c>
      <c r="AH268" s="2453">
        <f>'HVAC Deemed Table'!BD1610</f>
        <v>474.53509029311874</v>
      </c>
      <c r="AI268" s="3624" t="str">
        <f t="shared" si="391"/>
        <v>per measure</v>
      </c>
      <c r="AJ268" s="126">
        <f>'HVAC Deemed Table'!L1607</f>
        <v>4</v>
      </c>
      <c r="AK268" s="1805"/>
      <c r="AL268" s="1805"/>
      <c r="AM268" s="1972">
        <f t="shared" si="269"/>
        <v>9.4741810000000004E-4</v>
      </c>
      <c r="AN268" s="100">
        <f t="shared" si="410"/>
        <v>2.2974225732329998</v>
      </c>
      <c r="AO268" s="1971">
        <f t="shared" si="145"/>
        <v>-4.2676700040544802E-7</v>
      </c>
      <c r="AP268" s="1930"/>
    </row>
    <row r="269" spans="1:42" x14ac:dyDescent="0.25">
      <c r="A269" s="103" t="str">
        <f t="shared" si="411"/>
        <v>354050</v>
      </c>
      <c r="B269" s="1960" t="str">
        <f>'HVAC Deemed Table'!C1611</f>
        <v>354050_2021_12_</v>
      </c>
      <c r="C269" s="3599" t="str">
        <f>'HVAC Deemed Table'!G1611</f>
        <v>Cooling Res</v>
      </c>
      <c r="D269" s="3599" t="str">
        <f>'HVAC Deemed Table'!G1612</f>
        <v>Heating Res</v>
      </c>
      <c r="E269" s="1962"/>
      <c r="F269" s="1962"/>
      <c r="G269" s="1962" t="str">
        <f>'HVAC Deemed Table'!E1611</f>
        <v>ASHP-SEER19_ROF_SF</v>
      </c>
      <c r="H269" s="63" t="str">
        <f>'HVAC Deemed Table'!D1611</f>
        <v>SF</v>
      </c>
      <c r="I269" s="2438">
        <f t="shared" si="389"/>
        <v>1474.1200000000001</v>
      </c>
      <c r="J269" s="2438">
        <f t="shared" si="390"/>
        <v>0</v>
      </c>
      <c r="K269" s="2439">
        <f>'HVAC Deemed Table'!F1611</f>
        <v>428.97</v>
      </c>
      <c r="L269" s="2439">
        <f>'HVAC Deemed Table'!F1612</f>
        <v>1045.1500000000001</v>
      </c>
      <c r="M269" s="2439"/>
      <c r="N269" s="2439"/>
      <c r="O269" s="2440">
        <f t="shared" si="412"/>
        <v>0.406414</v>
      </c>
      <c r="P269" s="2440">
        <f t="shared" si="413"/>
        <v>0</v>
      </c>
      <c r="Q269" s="2441">
        <f>'HVAC Deemed Table'!I1611</f>
        <v>0.406414</v>
      </c>
      <c r="R269" s="2441">
        <f>'HVAC Deemed Table'!I1612</f>
        <v>0</v>
      </c>
      <c r="S269" s="2441"/>
      <c r="T269" s="2441"/>
      <c r="U269" s="1819"/>
      <c r="V269" s="1819"/>
      <c r="W269" s="1819">
        <f>O269</f>
        <v>0.406414</v>
      </c>
      <c r="X269" s="68">
        <f>'HVAC Deemed Table'!J1611</f>
        <v>18</v>
      </c>
      <c r="Y269" s="68"/>
      <c r="Z269" s="68">
        <f t="shared" si="150"/>
        <v>18</v>
      </c>
      <c r="AA269" s="62">
        <f>'HVAC Deemed Table'!BB1611</f>
        <v>1.0910536816582665</v>
      </c>
      <c r="AB269" s="839">
        <f>'HVAC Deemed Table'!K1611</f>
        <v>1203.6500000000003</v>
      </c>
      <c r="AC269" s="3618">
        <f t="shared" si="174"/>
        <v>1239.4967097007764</v>
      </c>
      <c r="AD269" s="3618">
        <f t="shared" si="175"/>
        <v>0</v>
      </c>
      <c r="AE269" s="2453">
        <f>'HVAC Deemed Table'!BD1611</f>
        <v>756.62057889442258</v>
      </c>
      <c r="AF269" s="2453">
        <f>'HVAC Deemed Table'!BD1612</f>
        <v>482.87613080635379</v>
      </c>
      <c r="AG269" s="2453"/>
      <c r="AH269" s="2453"/>
      <c r="AI269" s="3624" t="str">
        <f t="shared" si="391"/>
        <v>per measure</v>
      </c>
      <c r="AJ269" s="126">
        <f>'HVAC Deemed Table'!L1611</f>
        <v>2.1777777777777776</v>
      </c>
      <c r="AK269" s="1805"/>
      <c r="AL269" s="1805"/>
      <c r="AM269" s="1972">
        <f t="shared" si="269"/>
        <v>9.4741810000000004E-4</v>
      </c>
      <c r="AN269" s="100">
        <f t="shared" si="410"/>
        <v>0.40641394235700007</v>
      </c>
      <c r="AO269" s="1971">
        <f t="shared" si="145"/>
        <v>-5.7642999928830818E-8</v>
      </c>
      <c r="AP269" s="1930"/>
    </row>
    <row r="270" spans="1:42" x14ac:dyDescent="0.25">
      <c r="A270" s="103" t="str">
        <f t="shared" si="411"/>
        <v>354100</v>
      </c>
      <c r="B270" s="1960" t="str">
        <f>'HVAC Deemed Table'!C1613</f>
        <v>354100_2021_12_</v>
      </c>
      <c r="C270" s="3599" t="str">
        <f>'HVAC Deemed Table'!G1613</f>
        <v>Cooling Res</v>
      </c>
      <c r="D270" s="3599" t="str">
        <f>'HVAC Deemed Table'!G1614</f>
        <v>Heating Res</v>
      </c>
      <c r="E270" s="3599" t="str">
        <f>'HVAC Deemed Table'!G1615</f>
        <v>Cooling Res ER2</v>
      </c>
      <c r="F270" s="3599" t="str">
        <f>'HVAC Deemed Table'!G1616</f>
        <v>Heating Res ER2</v>
      </c>
      <c r="G270" s="1962" t="str">
        <f>'HVAC Deemed Table'!E1613</f>
        <v>ASHP-SEER17-Replace_CAC_ElectricHeat_ER1_SF</v>
      </c>
      <c r="H270" s="63" t="str">
        <f>'HVAC Deemed Table'!D1613</f>
        <v>SF</v>
      </c>
      <c r="I270" s="2438">
        <f t="shared" ref="I270:I294" si="414">K270+L270</f>
        <v>11542.61</v>
      </c>
      <c r="J270" s="2438">
        <f t="shared" ref="J270:J294" si="415">M270+N270</f>
        <v>10144.07</v>
      </c>
      <c r="K270" s="2439">
        <f>'HVAC Deemed Table'!F1613</f>
        <v>1948.61</v>
      </c>
      <c r="L270" s="2439">
        <f>'HVAC Deemed Table'!F1614</f>
        <v>9594</v>
      </c>
      <c r="M270" s="2439">
        <f>'HVAC Deemed Table'!F1615</f>
        <v>550.07000000000005</v>
      </c>
      <c r="N270" s="2439">
        <f>'HVAC Deemed Table'!F1616</f>
        <v>9594</v>
      </c>
      <c r="O270" s="2440">
        <f t="shared" si="412"/>
        <v>1.8461479999999999</v>
      </c>
      <c r="P270" s="2440">
        <f t="shared" si="413"/>
        <v>0.521146</v>
      </c>
      <c r="Q270" s="2441">
        <f>'HVAC Deemed Table'!I1613</f>
        <v>1.8461479999999999</v>
      </c>
      <c r="R270" s="2441">
        <f>'HVAC Deemed Table'!I1614</f>
        <v>0</v>
      </c>
      <c r="S270" s="2441">
        <f>'HVAC Deemed Table'!I1615</f>
        <v>0.521146</v>
      </c>
      <c r="T270" s="2441">
        <f>'HVAC Deemed Table'!I1616</f>
        <v>0</v>
      </c>
      <c r="U270" s="1819"/>
      <c r="V270" s="1819"/>
      <c r="W270" s="1821">
        <f t="shared" ref="W270:W294" si="416">P270</f>
        <v>0.521146</v>
      </c>
      <c r="X270" s="68">
        <f>'HVAC Deemed Table'!J1613</f>
        <v>6</v>
      </c>
      <c r="Y270" s="68">
        <f>'HVAC Deemed Table'!J1615</f>
        <v>12</v>
      </c>
      <c r="Z270" s="68">
        <f t="shared" si="150"/>
        <v>18</v>
      </c>
      <c r="AA270" s="62">
        <f>'HVAC Deemed Table'!BB1613</f>
        <v>4.6948098241743157</v>
      </c>
      <c r="AB270" s="839">
        <f>'HVAC Deemed Table'!K1613</f>
        <v>1402.8007574105659</v>
      </c>
      <c r="AC270" s="3618">
        <f t="shared" si="174"/>
        <v>2728.8894942094498</v>
      </c>
      <c r="AD270" s="3618">
        <f t="shared" si="175"/>
        <v>3487.1395546346239</v>
      </c>
      <c r="AE270" s="2453">
        <f>'HVAC Deemed Table'!BD1613</f>
        <v>1133.0858547367848</v>
      </c>
      <c r="AF270" s="2453">
        <f>'HVAC Deemed Table'!BD1614</f>
        <v>1595.8036394726651</v>
      </c>
      <c r="AG270" s="2453">
        <f>'HVAC Deemed Table'!BD1615</f>
        <v>650.36069498643803</v>
      </c>
      <c r="AH270" s="2453">
        <f>'HVAC Deemed Table'!BD1616</f>
        <v>2836.778859648186</v>
      </c>
      <c r="AI270" s="3624" t="str">
        <f t="shared" si="391"/>
        <v>per measure</v>
      </c>
      <c r="AJ270" s="126">
        <f>'HVAC Deemed Table'!L1613</f>
        <v>2.8409090909090908</v>
      </c>
      <c r="AK270" s="1805"/>
      <c r="AL270" s="1805"/>
      <c r="AM270" s="1972">
        <f t="shared" si="269"/>
        <v>9.4741810000000004E-4</v>
      </c>
      <c r="AN270" s="100">
        <f t="shared" si="410"/>
        <v>1.846148383841</v>
      </c>
      <c r="AO270" s="1971">
        <f t="shared" si="145"/>
        <v>3.8384100009558608E-7</v>
      </c>
      <c r="AP270" s="1930"/>
    </row>
    <row r="271" spans="1:42" s="100" customFormat="1" x14ac:dyDescent="0.25">
      <c r="A271" s="103" t="str">
        <f t="shared" si="411"/>
        <v>354110</v>
      </c>
      <c r="B271" s="1960" t="str">
        <f>'HVAC Deemed Table'!C1617</f>
        <v>354110_2021_12_</v>
      </c>
      <c r="C271" s="3645" t="str">
        <f>'HVAC Deemed Table'!G1617</f>
        <v>Cooling Res</v>
      </c>
      <c r="D271" s="3645" t="str">
        <f>'HVAC Deemed Table'!G1618</f>
        <v>Heating Res</v>
      </c>
      <c r="E271" s="3645" t="str">
        <f>'HVAC Deemed Table'!G1619</f>
        <v>Cooling Res ER2</v>
      </c>
      <c r="F271" s="3645" t="str">
        <f>'HVAC Deemed Table'!G1620</f>
        <v>Heating Res ER2</v>
      </c>
      <c r="G271" s="1958" t="str">
        <f>'HVAC Deemed Table'!E1617</f>
        <v>ASHP-SEER17-Replace_CAC_NonElectricHeat_ER1_SF</v>
      </c>
      <c r="H271" s="1975" t="str">
        <f>'HVAC Deemed Table'!D1617</f>
        <v>SF</v>
      </c>
      <c r="I271" s="1973">
        <f t="shared" ref="I271" si="417">K271+L271</f>
        <v>1948.61</v>
      </c>
      <c r="J271" s="1973">
        <f t="shared" ref="J271" si="418">M271+N271</f>
        <v>550.07000000000005</v>
      </c>
      <c r="K271" s="1963">
        <f>'HVAC Deemed Table'!F1617</f>
        <v>1948.61</v>
      </c>
      <c r="L271" s="1963">
        <f>'HVAC Deemed Table'!F1618</f>
        <v>0</v>
      </c>
      <c r="M271" s="1963">
        <f>'HVAC Deemed Table'!F1619</f>
        <v>550.07000000000005</v>
      </c>
      <c r="N271" s="1963">
        <f>'HVAC Deemed Table'!F1620</f>
        <v>0</v>
      </c>
      <c r="O271" s="1974">
        <f t="shared" ref="O271" si="419">Q271+R271</f>
        <v>1.8461479999999999</v>
      </c>
      <c r="P271" s="1974">
        <f t="shared" ref="P271" si="420">S271+T271</f>
        <v>0.521146</v>
      </c>
      <c r="Q271" s="1976">
        <f>'HVAC Deemed Table'!I1617</f>
        <v>1.8461479999999999</v>
      </c>
      <c r="R271" s="1976">
        <f>'HVAC Deemed Table'!I1618</f>
        <v>0</v>
      </c>
      <c r="S271" s="1976">
        <f>'HVAC Deemed Table'!I1619</f>
        <v>0.521146</v>
      </c>
      <c r="T271" s="1976">
        <f>'HVAC Deemed Table'!I1620</f>
        <v>0</v>
      </c>
      <c r="U271" s="1926"/>
      <c r="V271" s="1926"/>
      <c r="W271" s="1926">
        <f t="shared" ref="W271" si="421">P271</f>
        <v>0.521146</v>
      </c>
      <c r="X271" s="1952">
        <f>'HVAC Deemed Table'!J1617</f>
        <v>6</v>
      </c>
      <c r="Y271" s="1952">
        <f>'HVAC Deemed Table'!J1619</f>
        <v>12</v>
      </c>
      <c r="Z271" s="1952">
        <f t="shared" ref="Z271" si="422">Y271+X271</f>
        <v>18</v>
      </c>
      <c r="AA271" s="1951">
        <f>'HVAC Deemed Table'!BB1617</f>
        <v>1.3469921579738109</v>
      </c>
      <c r="AB271" s="2426">
        <f>'HVAC Deemed Table'!K1617</f>
        <v>1402.8007574105659</v>
      </c>
      <c r="AC271" s="2436">
        <f t="shared" ref="AC271" si="423">AE271+AF271</f>
        <v>1133.0858547367848</v>
      </c>
      <c r="AD271" s="2436">
        <f t="shared" ref="AD271" si="424">AG271+AH271</f>
        <v>650.36069498643803</v>
      </c>
      <c r="AE271" s="1982">
        <f>'HVAC Deemed Table'!BD1617</f>
        <v>1133.0858547367848</v>
      </c>
      <c r="AF271" s="1982">
        <f>'HVAC Deemed Table'!BD1618</f>
        <v>0</v>
      </c>
      <c r="AG271" s="1982">
        <f>'HVAC Deemed Table'!BD1619</f>
        <v>650.36069498643803</v>
      </c>
      <c r="AH271" s="1982">
        <f>'HVAC Deemed Table'!BD1620</f>
        <v>0</v>
      </c>
      <c r="AI271" s="3624" t="str">
        <f t="shared" si="391"/>
        <v>per measure</v>
      </c>
      <c r="AJ271" s="112">
        <f>'HVAC Deemed Table'!L1617</f>
        <v>2.8409090909090908</v>
      </c>
      <c r="AK271" s="3646"/>
      <c r="AL271" s="3646"/>
      <c r="AM271" s="2433">
        <f t="shared" si="269"/>
        <v>9.4741810000000004E-4</v>
      </c>
      <c r="AN271" s="100">
        <f t="shared" ref="AN271" si="425">AM271*K271</f>
        <v>1.846148383841</v>
      </c>
      <c r="AO271" s="2437">
        <f t="shared" ref="AO271" si="426">AN271-O271</f>
        <v>3.8384100009558608E-7</v>
      </c>
    </row>
    <row r="272" spans="1:42" x14ac:dyDescent="0.25">
      <c r="A272" s="103" t="str">
        <f t="shared" si="411"/>
        <v>354150</v>
      </c>
      <c r="B272" s="684" t="str">
        <f>'HVAC Deemed Table'!C1621</f>
        <v>354150_2019_12_</v>
      </c>
      <c r="C272" s="3599" t="str">
        <f>'HVAC Deemed Table'!G1621</f>
        <v>Cooling Res</v>
      </c>
      <c r="D272" s="3599" t="str">
        <f>'HVAC Deemed Table'!G1622</f>
        <v>Heating Res</v>
      </c>
      <c r="E272" s="3599" t="str">
        <f>'HVAC Deemed Table'!G1623</f>
        <v>Cooling Res ER2</v>
      </c>
      <c r="F272" s="3599" t="str">
        <f>'HVAC Deemed Table'!G1624</f>
        <v>Heating Res ER2</v>
      </c>
      <c r="G272" s="1962" t="str">
        <f>'HVAC Deemed Table'!E1621</f>
        <v>ASHP-SEER17-Replace_CAC_ElectricHeat_ER1_MF</v>
      </c>
      <c r="H272" s="63" t="str">
        <f>'HVAC Deemed Table'!D1621</f>
        <v>MF</v>
      </c>
      <c r="I272" s="2438">
        <f t="shared" si="414"/>
        <v>8046.25</v>
      </c>
      <c r="J272" s="2438">
        <f t="shared" si="415"/>
        <v>7140.0999999999995</v>
      </c>
      <c r="K272" s="2439">
        <f>'HVAC Deemed Table'!F1621</f>
        <v>1286.47</v>
      </c>
      <c r="L272" s="2439">
        <f>'HVAC Deemed Table'!F1622</f>
        <v>6759.78</v>
      </c>
      <c r="M272" s="2439">
        <f>'HVAC Deemed Table'!F1623</f>
        <v>380.32</v>
      </c>
      <c r="N272" s="2439">
        <f>'HVAC Deemed Table'!F1624</f>
        <v>6759.78</v>
      </c>
      <c r="O272" s="2440">
        <f t="shared" si="412"/>
        <v>1.218825</v>
      </c>
      <c r="P272" s="2440">
        <f t="shared" si="413"/>
        <v>0.36032199999999998</v>
      </c>
      <c r="Q272" s="2441">
        <f>'HVAC Deemed Table'!I1621</f>
        <v>1.218825</v>
      </c>
      <c r="R272" s="2441">
        <f>'HVAC Deemed Table'!I1622</f>
        <v>0</v>
      </c>
      <c r="S272" s="2441">
        <f>'HVAC Deemed Table'!I1623</f>
        <v>0.36032199999999998</v>
      </c>
      <c r="T272" s="2441">
        <f>'HVAC Deemed Table'!I1624</f>
        <v>0</v>
      </c>
      <c r="U272" s="1819"/>
      <c r="V272" s="1819"/>
      <c r="W272" s="1821">
        <f t="shared" si="416"/>
        <v>0.36032199999999998</v>
      </c>
      <c r="X272" s="68">
        <f>'HVAC Deemed Table'!J1621</f>
        <v>6</v>
      </c>
      <c r="Y272" s="68">
        <f>'HVAC Deemed Table'!J1623</f>
        <v>12</v>
      </c>
      <c r="Z272" s="68">
        <f t="shared" si="150"/>
        <v>18</v>
      </c>
      <c r="AA272" s="62">
        <f>'HVAC Deemed Table'!BB1621</f>
        <v>3.79767207759211</v>
      </c>
      <c r="AB272" s="839">
        <f>'HVAC Deemed Table'!K1621</f>
        <v>1205.4598012161669</v>
      </c>
      <c r="AC272" s="3618">
        <f t="shared" si="174"/>
        <v>1872.4398262373959</v>
      </c>
      <c r="AD272" s="3618">
        <f t="shared" si="175"/>
        <v>2448.4106010758387</v>
      </c>
      <c r="AE272" s="2453">
        <f>'HVAC Deemed Table'!BD1621</f>
        <v>748.061931090999</v>
      </c>
      <c r="AF272" s="2453">
        <f>'HVAC Deemed Table'!BD1622</f>
        <v>1124.3778951463969</v>
      </c>
      <c r="AG272" s="2453">
        <f>'HVAC Deemed Table'!BD1623</f>
        <v>449.66127859589153</v>
      </c>
      <c r="AH272" s="2453">
        <f>'HVAC Deemed Table'!BD1624</f>
        <v>1998.7493224799473</v>
      </c>
      <c r="AI272" s="3624" t="str">
        <f>AI270</f>
        <v>per measure</v>
      </c>
      <c r="AJ272" s="126">
        <f>'HVAC Deemed Table'!L1621</f>
        <v>3.1</v>
      </c>
      <c r="AK272" s="1805"/>
      <c r="AL272" s="1805"/>
      <c r="AM272" s="1972">
        <f t="shared" si="269"/>
        <v>9.4741810000000004E-4</v>
      </c>
      <c r="AN272" s="100">
        <f t="shared" si="410"/>
        <v>1.2188249631070001</v>
      </c>
      <c r="AO272" s="1971">
        <f t="shared" si="145"/>
        <v>-3.6892999988324959E-8</v>
      </c>
      <c r="AP272" s="1930"/>
    </row>
    <row r="273" spans="1:42" x14ac:dyDescent="0.25">
      <c r="A273" s="103" t="str">
        <f t="shared" si="411"/>
        <v>354151</v>
      </c>
      <c r="B273" s="684" t="str">
        <f>'HVAC Deemed Table'!C1625</f>
        <v>354151_2019_12_</v>
      </c>
      <c r="C273" s="3599" t="str">
        <f>'HVAC Deemed Table'!G1625</f>
        <v>Cooling Res</v>
      </c>
      <c r="D273" s="3599" t="str">
        <f>'HVAC Deemed Table'!G1626</f>
        <v>Heating Res</v>
      </c>
      <c r="E273" s="3599" t="str">
        <f>'HVAC Deemed Table'!G1627</f>
        <v>Cooling Res ER2</v>
      </c>
      <c r="F273" s="3599" t="str">
        <f>'HVAC Deemed Table'!G1628</f>
        <v>Heating Res ER2</v>
      </c>
      <c r="G273" s="1962" t="str">
        <f>'HVAC Deemed Table'!E1625</f>
        <v>ASHP-SEER17-Replace_CAC_ElectricHeat_ER1_MF_CompE</v>
      </c>
      <c r="H273" s="63" t="str">
        <f>'HVAC Deemed Table'!D1625</f>
        <v>MFc</v>
      </c>
      <c r="I273" s="2438">
        <f t="shared" si="414"/>
        <v>3240.0899999999997</v>
      </c>
      <c r="J273" s="2438">
        <f t="shared" si="415"/>
        <v>2581.06</v>
      </c>
      <c r="K273" s="2439">
        <f>'HVAC Deemed Table'!F1625</f>
        <v>935.62</v>
      </c>
      <c r="L273" s="2439">
        <f>'HVAC Deemed Table'!F1626</f>
        <v>2304.4699999999998</v>
      </c>
      <c r="M273" s="2439">
        <f>'HVAC Deemed Table'!F1627</f>
        <v>276.58999999999997</v>
      </c>
      <c r="N273" s="2439">
        <f>'HVAC Deemed Table'!F1628</f>
        <v>2304.4699999999998</v>
      </c>
      <c r="O273" s="2440">
        <f t="shared" si="412"/>
        <v>0.88642299999999996</v>
      </c>
      <c r="P273" s="2440">
        <f t="shared" si="413"/>
        <v>0.262046</v>
      </c>
      <c r="Q273" s="2441">
        <f>'HVAC Deemed Table'!I1625</f>
        <v>0.88642299999999996</v>
      </c>
      <c r="R273" s="2441">
        <f>'HVAC Deemed Table'!I1626</f>
        <v>0</v>
      </c>
      <c r="S273" s="2441">
        <f>'HVAC Deemed Table'!I1627</f>
        <v>0.262046</v>
      </c>
      <c r="T273" s="2441">
        <f>'HVAC Deemed Table'!I1628</f>
        <v>0</v>
      </c>
      <c r="U273" s="1819"/>
      <c r="V273" s="1819"/>
      <c r="W273" s="1821">
        <f t="shared" si="416"/>
        <v>0.262046</v>
      </c>
      <c r="X273" s="68">
        <f>'HVAC Deemed Table'!J1625</f>
        <v>6</v>
      </c>
      <c r="Y273" s="68">
        <f>'HVAC Deemed Table'!J1627</f>
        <v>12</v>
      </c>
      <c r="Z273" s="68">
        <f t="shared" si="150"/>
        <v>18</v>
      </c>
      <c r="AA273" s="62">
        <f>'HVAC Deemed Table'!BB1625</f>
        <v>1.7013819924277789</v>
      </c>
      <c r="AB273" s="839">
        <f>'HVAC Deemed Table'!K1625</f>
        <v>1205.4598012161669</v>
      </c>
      <c r="AC273" s="3618">
        <f t="shared" si="174"/>
        <v>927.35878299174874</v>
      </c>
      <c r="AD273" s="3618">
        <f t="shared" si="175"/>
        <v>1008.4105406370911</v>
      </c>
      <c r="AE273" s="2453">
        <f>'HVAC Deemed Table'!BD1625</f>
        <v>544.04821252525164</v>
      </c>
      <c r="AF273" s="2453">
        <f>'HVAC Deemed Table'!BD1626</f>
        <v>383.31057046649704</v>
      </c>
      <c r="AG273" s="2453">
        <f>'HVAC Deemed Table'!BD1627</f>
        <v>327.01886055647253</v>
      </c>
      <c r="AH273" s="2453">
        <f>'HVAC Deemed Table'!BD1628</f>
        <v>681.39168008061858</v>
      </c>
      <c r="AI273" s="3624" t="str">
        <f t="shared" si="391"/>
        <v>per measure</v>
      </c>
      <c r="AJ273" s="126">
        <f>'HVAC Deemed Table'!L1625</f>
        <v>3.1</v>
      </c>
      <c r="AK273" s="1805"/>
      <c r="AL273" s="1805"/>
      <c r="AM273" s="1972">
        <f t="shared" si="269"/>
        <v>9.4741810000000004E-4</v>
      </c>
      <c r="AN273" s="100">
        <f t="shared" si="410"/>
        <v>0.88642332272200008</v>
      </c>
      <c r="AO273" s="1804">
        <f t="shared" si="145"/>
        <v>3.227220001233988E-7</v>
      </c>
      <c r="AP273" s="163">
        <f>AO273/O273</f>
        <v>3.6407223201947472E-7</v>
      </c>
    </row>
    <row r="274" spans="1:42" s="100" customFormat="1" x14ac:dyDescent="0.25">
      <c r="A274" s="103" t="str">
        <f t="shared" si="411"/>
        <v>354160</v>
      </c>
      <c r="B274" s="1960" t="str">
        <f>'HVAC Deemed Table'!C1629</f>
        <v>354160_2021_12_</v>
      </c>
      <c r="C274" s="3645" t="str">
        <f>'HVAC Deemed Table'!G1629</f>
        <v>Cooling Res</v>
      </c>
      <c r="D274" s="3645" t="str">
        <f>'HVAC Deemed Table'!G1630</f>
        <v>Heating Res</v>
      </c>
      <c r="E274" s="3645" t="str">
        <f>'HVAC Deemed Table'!G1631</f>
        <v>Cooling Res ER2</v>
      </c>
      <c r="F274" s="3645" t="str">
        <f>'HVAC Deemed Table'!G1632</f>
        <v>Heating Res ER2</v>
      </c>
      <c r="G274" s="1958" t="str">
        <f>'HVAC Deemed Table'!E1629</f>
        <v>ASHP-SEER17-Replace_CAC_NonElectricHeat_ER1_MF</v>
      </c>
      <c r="H274" s="1975" t="str">
        <f>'HVAC Deemed Table'!D1629</f>
        <v>MF</v>
      </c>
      <c r="I274" s="1973">
        <f t="shared" ref="I274" si="427">K274+L274</f>
        <v>1286.47</v>
      </c>
      <c r="J274" s="1973">
        <f t="shared" ref="J274" si="428">M274+N274</f>
        <v>380.32</v>
      </c>
      <c r="K274" s="1963">
        <f>'HVAC Deemed Table'!F1629</f>
        <v>1286.47</v>
      </c>
      <c r="L274" s="1963">
        <f>'HVAC Deemed Table'!F1630</f>
        <v>0</v>
      </c>
      <c r="M274" s="1963">
        <f>'HVAC Deemed Table'!F1631</f>
        <v>380.32</v>
      </c>
      <c r="N274" s="1963">
        <f>'HVAC Deemed Table'!F1632</f>
        <v>0</v>
      </c>
      <c r="O274" s="1974">
        <f t="shared" ref="O274" si="429">Q274+R274</f>
        <v>1.218825</v>
      </c>
      <c r="P274" s="1974">
        <f t="shared" ref="P274" si="430">S274+T274</f>
        <v>0.36032199999999998</v>
      </c>
      <c r="Q274" s="1976">
        <f>'HVAC Deemed Table'!I1629</f>
        <v>1.218825</v>
      </c>
      <c r="R274" s="1976">
        <f>'HVAC Deemed Table'!I1630</f>
        <v>0</v>
      </c>
      <c r="S274" s="1976">
        <f>'HVAC Deemed Table'!I1631</f>
        <v>0.36032199999999998</v>
      </c>
      <c r="T274" s="1976">
        <f>'HVAC Deemed Table'!I1632</f>
        <v>0</v>
      </c>
      <c r="U274" s="1926"/>
      <c r="V274" s="1926"/>
      <c r="W274" s="1926">
        <f t="shared" ref="W274" si="431">P274</f>
        <v>0.36032199999999998</v>
      </c>
      <c r="X274" s="1952">
        <f>'HVAC Deemed Table'!J1629</f>
        <v>6</v>
      </c>
      <c r="Y274" s="1952">
        <f>'HVAC Deemed Table'!J1631</f>
        <v>12</v>
      </c>
      <c r="Z274" s="1952">
        <f t="shared" ref="Z274" si="432">Y274+X274</f>
        <v>18</v>
      </c>
      <c r="AA274" s="1951">
        <f>'HVAC Deemed Table'!BB1629</f>
        <v>1.0527001724843927</v>
      </c>
      <c r="AB274" s="2426">
        <f>'HVAC Deemed Table'!K1629</f>
        <v>1205.4598012161669</v>
      </c>
      <c r="AC274" s="2436">
        <f t="shared" ref="AC274" si="433">AE274+AF274</f>
        <v>748.061931090999</v>
      </c>
      <c r="AD274" s="2436">
        <f t="shared" ref="AD274" si="434">AG274+AH274</f>
        <v>449.66127859589153</v>
      </c>
      <c r="AE274" s="1982">
        <f>'HVAC Deemed Table'!BD1629</f>
        <v>748.061931090999</v>
      </c>
      <c r="AF274" s="1982">
        <f>'HVAC Deemed Table'!BD1630</f>
        <v>0</v>
      </c>
      <c r="AG274" s="1982">
        <f>'HVAC Deemed Table'!BD1631</f>
        <v>449.66127859589153</v>
      </c>
      <c r="AH274" s="1982">
        <f>'HVAC Deemed Table'!BD1632</f>
        <v>0</v>
      </c>
      <c r="AI274" s="3624" t="str">
        <f t="shared" si="391"/>
        <v>per measure</v>
      </c>
      <c r="AJ274" s="112">
        <f>'HVAC Deemed Table'!L1629</f>
        <v>3.1</v>
      </c>
      <c r="AK274" s="3646"/>
      <c r="AL274" s="3646"/>
      <c r="AM274" s="2433">
        <f t="shared" si="269"/>
        <v>9.4741810000000004E-4</v>
      </c>
      <c r="AN274" s="100">
        <f t="shared" ref="AN274" si="435">AM274*K274</f>
        <v>1.2188249631070001</v>
      </c>
      <c r="AO274" s="3647">
        <f t="shared" ref="AO274" si="436">AN274-O274</f>
        <v>-3.6892999988324959E-8</v>
      </c>
      <c r="AP274" s="2204">
        <f>AO274/O274</f>
        <v>-3.0269316750415326E-8</v>
      </c>
    </row>
    <row r="275" spans="1:42" s="100" customFormat="1" x14ac:dyDescent="0.25">
      <c r="A275" s="103" t="str">
        <f t="shared" si="411"/>
        <v>354161</v>
      </c>
      <c r="B275" s="1960" t="str">
        <f>'HVAC Deemed Table'!C1633</f>
        <v>354161_2021_12_</v>
      </c>
      <c r="C275" s="3645" t="str">
        <f>'HVAC Deemed Table'!G1633</f>
        <v>Cooling Res</v>
      </c>
      <c r="D275" s="3645" t="str">
        <f>'HVAC Deemed Table'!G1634</f>
        <v>Heating Res</v>
      </c>
      <c r="E275" s="3645" t="str">
        <f>'HVAC Deemed Table'!G1635</f>
        <v>Cooling Res ER2</v>
      </c>
      <c r="F275" s="3645" t="str">
        <f>'HVAC Deemed Table'!G1636</f>
        <v>Heating Res ER2</v>
      </c>
      <c r="G275" s="1958" t="str">
        <f>'HVAC Deemed Table'!E1633</f>
        <v>ASHP-SEER17-Replace_CAC_NonElectricHeat_ER1_MF_CompE</v>
      </c>
      <c r="H275" s="1975" t="str">
        <f>'HVAC Deemed Table'!D1633</f>
        <v>MFc</v>
      </c>
      <c r="I275" s="1973">
        <f t="shared" ref="I275" si="437">K275+L275</f>
        <v>935.62</v>
      </c>
      <c r="J275" s="1973">
        <f t="shared" ref="J275" si="438">M275+N275</f>
        <v>276.58999999999997</v>
      </c>
      <c r="K275" s="1963">
        <f>'HVAC Deemed Table'!F1633</f>
        <v>935.62</v>
      </c>
      <c r="L275" s="1963">
        <f>'HVAC Deemed Table'!F1634</f>
        <v>0</v>
      </c>
      <c r="M275" s="1963">
        <f>'HVAC Deemed Table'!F1635</f>
        <v>276.58999999999997</v>
      </c>
      <c r="N275" s="1963">
        <f>'HVAC Deemed Table'!F1636</f>
        <v>0</v>
      </c>
      <c r="O275" s="1974">
        <f t="shared" ref="O275" si="439">Q275+R275</f>
        <v>0.88642299999999996</v>
      </c>
      <c r="P275" s="1974">
        <f t="shared" ref="P275" si="440">S275+T275</f>
        <v>0.262046</v>
      </c>
      <c r="Q275" s="1976">
        <f>'HVAC Deemed Table'!I1633</f>
        <v>0.88642299999999996</v>
      </c>
      <c r="R275" s="1976">
        <f>'HVAC Deemed Table'!I1634</f>
        <v>0</v>
      </c>
      <c r="S275" s="1976">
        <f>'HVAC Deemed Table'!I1635</f>
        <v>0.262046</v>
      </c>
      <c r="T275" s="1976">
        <f>'HVAC Deemed Table'!I1636</f>
        <v>0</v>
      </c>
      <c r="U275" s="1926"/>
      <c r="V275" s="1926"/>
      <c r="W275" s="1926">
        <f t="shared" ref="W275" si="441">P275</f>
        <v>0.262046</v>
      </c>
      <c r="X275" s="1952">
        <f>'HVAC Deemed Table'!J1633</f>
        <v>6</v>
      </c>
      <c r="Y275" s="1952">
        <f>'HVAC Deemed Table'!J1635</f>
        <v>12</v>
      </c>
      <c r="Z275" s="1952">
        <f t="shared" ref="Z275" si="442">Y275+X275</f>
        <v>18</v>
      </c>
      <c r="AA275" s="1951">
        <f>'HVAC Deemed Table'!BB1633</f>
        <v>0.76559630026566949</v>
      </c>
      <c r="AB275" s="2426">
        <f>'HVAC Deemed Table'!K1633</f>
        <v>1205.4598012161669</v>
      </c>
      <c r="AC275" s="2436">
        <f t="shared" ref="AC275" si="443">AE275+AF275</f>
        <v>544.04821252525164</v>
      </c>
      <c r="AD275" s="2436">
        <f t="shared" ref="AD275" si="444">AG275+AH275</f>
        <v>327.01886055647253</v>
      </c>
      <c r="AE275" s="1982">
        <f>'HVAC Deemed Table'!BD1633</f>
        <v>544.04821252525164</v>
      </c>
      <c r="AF275" s="1982">
        <f>'HVAC Deemed Table'!BD1634</f>
        <v>0</v>
      </c>
      <c r="AG275" s="1982">
        <f>'HVAC Deemed Table'!BD1635</f>
        <v>327.01886055647253</v>
      </c>
      <c r="AH275" s="1982">
        <f>'HVAC Deemed Table'!BD1636</f>
        <v>0</v>
      </c>
      <c r="AI275" s="3624" t="str">
        <f t="shared" si="391"/>
        <v>per measure</v>
      </c>
      <c r="AJ275" s="112">
        <f>'HVAC Deemed Table'!L1633</f>
        <v>3.1</v>
      </c>
      <c r="AK275" s="3646"/>
      <c r="AL275" s="3646"/>
      <c r="AM275" s="2433">
        <f t="shared" si="269"/>
        <v>9.4741810000000004E-4</v>
      </c>
      <c r="AN275" s="100">
        <f t="shared" ref="AN275" si="445">AM275*K275</f>
        <v>0.88642332272200008</v>
      </c>
      <c r="AO275" s="3647">
        <f t="shared" ref="AO275" si="446">AN275-O275</f>
        <v>3.227220001233988E-7</v>
      </c>
      <c r="AP275" s="2204">
        <f>AO275/O275</f>
        <v>3.6407223201947472E-7</v>
      </c>
    </row>
    <row r="276" spans="1:42" x14ac:dyDescent="0.25">
      <c r="A276" s="103" t="str">
        <f t="shared" si="411"/>
        <v>354200</v>
      </c>
      <c r="B276" s="684" t="str">
        <f>'HVAC Deemed Table'!C1637</f>
        <v>354200_2019_12_</v>
      </c>
      <c r="C276" s="3599" t="str">
        <f>'HVAC Deemed Table'!G1637</f>
        <v>Cooling Res</v>
      </c>
      <c r="D276" s="3599" t="str">
        <f>'HVAC Deemed Table'!G1638</f>
        <v>Heating Res</v>
      </c>
      <c r="E276" s="3599" t="str">
        <f>'HVAC Deemed Table'!G1639</f>
        <v>Cooling Res ER2</v>
      </c>
      <c r="F276" s="3599" t="str">
        <f>'HVAC Deemed Table'!G1640</f>
        <v>Heating Res ER2</v>
      </c>
      <c r="G276" s="1962" t="str">
        <f>'HVAC Deemed Table'!E1637</f>
        <v>ASHP-SEER17_ER1_MF</v>
      </c>
      <c r="H276" s="63" t="str">
        <f>'HVAC Deemed Table'!D1637</f>
        <v>MF</v>
      </c>
      <c r="I276" s="2438">
        <f t="shared" si="414"/>
        <v>3168.23</v>
      </c>
      <c r="J276" s="2438">
        <f t="shared" si="415"/>
        <v>924.56</v>
      </c>
      <c r="K276" s="2439">
        <f>'HVAC Deemed Table'!F1637</f>
        <v>1369.47</v>
      </c>
      <c r="L276" s="2439">
        <f>'HVAC Deemed Table'!F1638</f>
        <v>1798.76</v>
      </c>
      <c r="M276" s="2439">
        <f>'HVAC Deemed Table'!F1639</f>
        <v>281.95</v>
      </c>
      <c r="N276" s="2439">
        <f>'HVAC Deemed Table'!F1640</f>
        <v>642.61</v>
      </c>
      <c r="O276" s="2440">
        <f t="shared" si="412"/>
        <v>1.297461</v>
      </c>
      <c r="P276" s="2440">
        <f t="shared" si="413"/>
        <v>0.267125</v>
      </c>
      <c r="Q276" s="2441">
        <f>'HVAC Deemed Table'!I1637</f>
        <v>1.297461</v>
      </c>
      <c r="R276" s="2441">
        <f>'HVAC Deemed Table'!I1638</f>
        <v>0</v>
      </c>
      <c r="S276" s="2441">
        <f>'HVAC Deemed Table'!I1639</f>
        <v>0.267125</v>
      </c>
      <c r="T276" s="2441">
        <f>'HVAC Deemed Table'!I1640</f>
        <v>0</v>
      </c>
      <c r="U276" s="1819"/>
      <c r="V276" s="1819"/>
      <c r="W276" s="1821">
        <f t="shared" si="416"/>
        <v>0.267125</v>
      </c>
      <c r="X276" s="68">
        <f>'HVAC Deemed Table'!J1637</f>
        <v>6</v>
      </c>
      <c r="Y276" s="68">
        <f>'HVAC Deemed Table'!J1639</f>
        <v>12</v>
      </c>
      <c r="Z276" s="68">
        <f t="shared" si="150"/>
        <v>18</v>
      </c>
      <c r="AA276" s="62">
        <f>'HVAC Deemed Table'!BB1637</f>
        <v>1.3871227963822939</v>
      </c>
      <c r="AB276" s="839">
        <f>'HVAC Deemed Table'!K1637</f>
        <v>1236.5217238752739</v>
      </c>
      <c r="AC276" s="3618">
        <f t="shared" si="174"/>
        <v>1095.5191706627443</v>
      </c>
      <c r="AD276" s="3618">
        <f t="shared" si="175"/>
        <v>523.36470985573067</v>
      </c>
      <c r="AE276" s="2453">
        <f>'HVAC Deemed Table'!BD1637</f>
        <v>796.32511661460455</v>
      </c>
      <c r="AF276" s="2453">
        <f>'HVAC Deemed Table'!BD1638</f>
        <v>299.19405404813961</v>
      </c>
      <c r="AG276" s="2453">
        <f>'HVAC Deemed Table'!BD1639</f>
        <v>333.35611458800912</v>
      </c>
      <c r="AH276" s="2453">
        <f>'HVAC Deemed Table'!BD1640</f>
        <v>190.00859526772157</v>
      </c>
      <c r="AI276" s="3624" t="str">
        <f t="shared" si="391"/>
        <v>per measure</v>
      </c>
      <c r="AJ276" s="126">
        <f>'HVAC Deemed Table'!L1637</f>
        <v>3.3</v>
      </c>
      <c r="AK276" s="1805"/>
      <c r="AL276" s="1805"/>
      <c r="AM276" s="1972">
        <f t="shared" si="269"/>
        <v>9.4741810000000004E-4</v>
      </c>
      <c r="AN276" s="100">
        <f t="shared" si="410"/>
        <v>1.297460665407</v>
      </c>
      <c r="AO276" s="1971">
        <f t="shared" si="145"/>
        <v>-3.3459299997318226E-7</v>
      </c>
      <c r="AP276" s="1930"/>
    </row>
    <row r="277" spans="1:42" x14ac:dyDescent="0.25">
      <c r="A277" s="103" t="str">
        <f t="shared" si="411"/>
        <v>354201</v>
      </c>
      <c r="B277" s="684" t="str">
        <f>'HVAC Deemed Table'!C1641</f>
        <v>354201_2019_12_</v>
      </c>
      <c r="C277" s="3599" t="str">
        <f>'HVAC Deemed Table'!G1641</f>
        <v>Cooling Res</v>
      </c>
      <c r="D277" s="3599" t="str">
        <f>'HVAC Deemed Table'!G1642</f>
        <v>Heating Res</v>
      </c>
      <c r="E277" s="3599" t="str">
        <f>'HVAC Deemed Table'!G1643</f>
        <v>Cooling Res ER2</v>
      </c>
      <c r="F277" s="3599" t="str">
        <f>'HVAC Deemed Table'!G1644</f>
        <v>Heating Res ER2</v>
      </c>
      <c r="G277" s="1962" t="str">
        <f>'HVAC Deemed Table'!E1641</f>
        <v>ASHP-SEER17_ER1_MF_CompE</v>
      </c>
      <c r="H277" s="63" t="str">
        <f>'HVAC Deemed Table'!D1641</f>
        <v>MFc</v>
      </c>
      <c r="I277" s="2438">
        <f t="shared" si="414"/>
        <v>1609.19</v>
      </c>
      <c r="J277" s="2438">
        <f t="shared" si="415"/>
        <v>424.12</v>
      </c>
      <c r="K277" s="2439">
        <f>'HVAC Deemed Table'!F1641</f>
        <v>995.98</v>
      </c>
      <c r="L277" s="2439">
        <f>'HVAC Deemed Table'!F1642</f>
        <v>613.21</v>
      </c>
      <c r="M277" s="2439">
        <f>'HVAC Deemed Table'!F1643</f>
        <v>205.05</v>
      </c>
      <c r="N277" s="2439">
        <f>'HVAC Deemed Table'!F1644</f>
        <v>219.07</v>
      </c>
      <c r="O277" s="2440">
        <f t="shared" si="412"/>
        <v>0.94360900000000003</v>
      </c>
      <c r="P277" s="2440">
        <f t="shared" si="413"/>
        <v>0.194268</v>
      </c>
      <c r="Q277" s="2441">
        <f>'HVAC Deemed Table'!I1641</f>
        <v>0.94360900000000003</v>
      </c>
      <c r="R277" s="2441">
        <f>'HVAC Deemed Table'!I1642</f>
        <v>0</v>
      </c>
      <c r="S277" s="2441">
        <f>'HVAC Deemed Table'!I1643</f>
        <v>0.194268</v>
      </c>
      <c r="T277" s="2441">
        <f>'HVAC Deemed Table'!I1644</f>
        <v>0</v>
      </c>
      <c r="U277" s="1819"/>
      <c r="V277" s="1819"/>
      <c r="W277" s="1821">
        <f t="shared" si="416"/>
        <v>0.194268</v>
      </c>
      <c r="X277" s="68">
        <f>'HVAC Deemed Table'!J1641</f>
        <v>6</v>
      </c>
      <c r="Y277" s="68">
        <f>'HVAC Deemed Table'!J1643</f>
        <v>12</v>
      </c>
      <c r="Z277" s="68">
        <f t="shared" si="150"/>
        <v>18</v>
      </c>
      <c r="AA277" s="62">
        <f>'HVAC Deemed Table'!BB1641</f>
        <v>0.84686072713994065</v>
      </c>
      <c r="AB277" s="839">
        <f>'HVAC Deemed Table'!K1641</f>
        <v>1236.5217238752739</v>
      </c>
      <c r="AC277" s="3618">
        <f t="shared" si="174"/>
        <v>681.14396472185911</v>
      </c>
      <c r="AD277" s="3618">
        <f t="shared" si="175"/>
        <v>307.21062348517</v>
      </c>
      <c r="AE277" s="2453">
        <f>'HVAC Deemed Table'!BD1641</f>
        <v>579.14659660000871</v>
      </c>
      <c r="AF277" s="2453">
        <f>'HVAC Deemed Table'!BD1642</f>
        <v>101.99736812185043</v>
      </c>
      <c r="AG277" s="2453">
        <f>'HVAC Deemed Table'!BD1643</f>
        <v>242.43543641167324</v>
      </c>
      <c r="AH277" s="2453">
        <f>'HVAC Deemed Table'!BD1644</f>
        <v>64.775187073496781</v>
      </c>
      <c r="AI277" s="3624" t="str">
        <f t="shared" si="391"/>
        <v>per measure</v>
      </c>
      <c r="AJ277" s="126">
        <f>'HVAC Deemed Table'!L1641</f>
        <v>3.3</v>
      </c>
      <c r="AK277" s="1805"/>
      <c r="AL277" s="1805"/>
      <c r="AM277" s="1972">
        <f t="shared" si="269"/>
        <v>9.4741810000000004E-4</v>
      </c>
      <c r="AN277" s="100">
        <f t="shared" si="410"/>
        <v>0.94360947923800009</v>
      </c>
      <c r="AO277" s="1804">
        <f t="shared" si="145"/>
        <v>4.7923800006177686E-7</v>
      </c>
      <c r="AP277" s="163">
        <f>AO277/O277</f>
        <v>5.0787773332151015E-7</v>
      </c>
    </row>
    <row r="278" spans="1:42" x14ac:dyDescent="0.25">
      <c r="A278" s="103" t="str">
        <f t="shared" si="411"/>
        <v>354250</v>
      </c>
      <c r="B278" s="1960" t="str">
        <f>'HVAC Deemed Table'!C1645</f>
        <v>354250_2021_12_</v>
      </c>
      <c r="C278" s="3599" t="str">
        <f>'HVAC Deemed Table'!G1645</f>
        <v>Cooling Res</v>
      </c>
      <c r="D278" s="3599" t="str">
        <f>'HVAC Deemed Table'!G1646</f>
        <v>Heating Res</v>
      </c>
      <c r="E278" s="3599" t="str">
        <f>'HVAC Deemed Table'!G1647</f>
        <v>Cooling Res ER2</v>
      </c>
      <c r="F278" s="3599" t="str">
        <f>'HVAC Deemed Table'!G1648</f>
        <v>Heating Res ER2</v>
      </c>
      <c r="G278" s="1962" t="str">
        <f>'HVAC Deemed Table'!E1645</f>
        <v>ASHP-SEER18-Replace_CAC_ElectricHeat_ER1_SF</v>
      </c>
      <c r="H278" s="63" t="str">
        <f>'HVAC Deemed Table'!D1645</f>
        <v>SF</v>
      </c>
      <c r="I278" s="2438">
        <f t="shared" si="414"/>
        <v>13020.79</v>
      </c>
      <c r="J278" s="2438">
        <f t="shared" si="415"/>
        <v>11649.92</v>
      </c>
      <c r="K278" s="2439">
        <f>'HVAC Deemed Table'!F1645</f>
        <v>2068.02</v>
      </c>
      <c r="L278" s="2439">
        <f>'HVAC Deemed Table'!F1646</f>
        <v>10952.77</v>
      </c>
      <c r="M278" s="2439">
        <f>'HVAC Deemed Table'!F1647</f>
        <v>697.15</v>
      </c>
      <c r="N278" s="2439">
        <f>'HVAC Deemed Table'!F1648</f>
        <v>10952.77</v>
      </c>
      <c r="O278" s="2440">
        <f t="shared" si="412"/>
        <v>1.9592799999999999</v>
      </c>
      <c r="P278" s="2440">
        <f t="shared" si="413"/>
        <v>0.660493</v>
      </c>
      <c r="Q278" s="2441">
        <f>'HVAC Deemed Table'!I1645</f>
        <v>1.9592799999999999</v>
      </c>
      <c r="R278" s="2441">
        <f>'HVAC Deemed Table'!I1646</f>
        <v>0</v>
      </c>
      <c r="S278" s="2441">
        <f>'HVAC Deemed Table'!I1647</f>
        <v>0.660493</v>
      </c>
      <c r="T278" s="2441">
        <f>'HVAC Deemed Table'!I1648</f>
        <v>0</v>
      </c>
      <c r="U278" s="1819"/>
      <c r="V278" s="1819"/>
      <c r="W278" s="1821">
        <f t="shared" si="416"/>
        <v>0.660493</v>
      </c>
      <c r="X278" s="68">
        <f>'HVAC Deemed Table'!J1645</f>
        <v>6</v>
      </c>
      <c r="Y278" s="68">
        <f>'HVAC Deemed Table'!J1647</f>
        <v>12</v>
      </c>
      <c r="Z278" s="68">
        <f t="shared" si="150"/>
        <v>18</v>
      </c>
      <c r="AA278" s="62">
        <f>'HVAC Deemed Table'!BB1645</f>
        <v>4.3808332863375483</v>
      </c>
      <c r="AB278" s="839">
        <f>'HVAC Deemed Table'!K1645</f>
        <v>1714.015989382433</v>
      </c>
      <c r="AC278" s="3618">
        <f t="shared" si="174"/>
        <v>3024.3334936325437</v>
      </c>
      <c r="AD278" s="3618">
        <f t="shared" si="175"/>
        <v>4062.8003427066228</v>
      </c>
      <c r="AE278" s="2453">
        <f>'HVAC Deemed Table'!BD1645</f>
        <v>1202.520878632854</v>
      </c>
      <c r="AF278" s="2453">
        <f>'HVAC Deemed Table'!BD1646</f>
        <v>1821.8126149996897</v>
      </c>
      <c r="AG278" s="2453">
        <f>'HVAC Deemed Table'!BD1647</f>
        <v>824.25683732942207</v>
      </c>
      <c r="AH278" s="2453">
        <f>'HVAC Deemed Table'!BD1648</f>
        <v>3238.5435053772007</v>
      </c>
      <c r="AI278" s="3624" t="str">
        <f t="shared" si="391"/>
        <v>per measure</v>
      </c>
      <c r="AJ278" s="126">
        <f>'HVAC Deemed Table'!L1645</f>
        <v>3.1434782608695655</v>
      </c>
      <c r="AK278" s="1805"/>
      <c r="AL278" s="1805"/>
      <c r="AM278" s="1972">
        <f t="shared" si="269"/>
        <v>9.4741810000000004E-4</v>
      </c>
      <c r="AN278" s="100">
        <f t="shared" si="410"/>
        <v>1.9592795791620001</v>
      </c>
      <c r="AO278" s="1971">
        <f t="shared" si="145"/>
        <v>-4.2083799978165359E-7</v>
      </c>
      <c r="AP278" s="1930"/>
    </row>
    <row r="279" spans="1:42" s="100" customFormat="1" x14ac:dyDescent="0.25">
      <c r="A279" s="103" t="str">
        <f t="shared" si="411"/>
        <v>354260</v>
      </c>
      <c r="B279" s="1960" t="str">
        <f>'HVAC Deemed Table'!C1649</f>
        <v>354260_2021_12_</v>
      </c>
      <c r="C279" s="3645" t="str">
        <f>'HVAC Deemed Table'!G1649</f>
        <v>Cooling Res</v>
      </c>
      <c r="D279" s="3645" t="str">
        <f>'HVAC Deemed Table'!G1650</f>
        <v>Heating Res</v>
      </c>
      <c r="E279" s="3645" t="str">
        <f>'HVAC Deemed Table'!G1651</f>
        <v>Cooling Res ER2</v>
      </c>
      <c r="F279" s="3645" t="str">
        <f>'HVAC Deemed Table'!G1652</f>
        <v>Heating Res ER2</v>
      </c>
      <c r="G279" s="1958" t="str">
        <f>'HVAC Deemed Table'!E1649</f>
        <v>ASHP-SEER18-Replace_CAC_NonElectricHeat_ER1_SF</v>
      </c>
      <c r="H279" s="1975" t="str">
        <f>'HVAC Deemed Table'!D1649</f>
        <v>SF</v>
      </c>
      <c r="I279" s="1973">
        <f t="shared" ref="I279" si="447">K279+L279</f>
        <v>2068.02</v>
      </c>
      <c r="J279" s="1973">
        <f t="shared" ref="J279" si="448">M279+N279</f>
        <v>697.15</v>
      </c>
      <c r="K279" s="1963">
        <f>'HVAC Deemed Table'!F1649</f>
        <v>2068.02</v>
      </c>
      <c r="L279" s="1963">
        <f>'HVAC Deemed Table'!F1650</f>
        <v>0</v>
      </c>
      <c r="M279" s="1963">
        <f>'HVAC Deemed Table'!F1651</f>
        <v>697.15</v>
      </c>
      <c r="N279" s="1963">
        <f>'HVAC Deemed Table'!F1652</f>
        <v>0</v>
      </c>
      <c r="O279" s="1974">
        <f t="shared" ref="O279" si="449">Q279+R279</f>
        <v>1.9592799999999999</v>
      </c>
      <c r="P279" s="1974">
        <f t="shared" ref="P279" si="450">S279+T279</f>
        <v>0.660493</v>
      </c>
      <c r="Q279" s="1976">
        <f>'HVAC Deemed Table'!I1649</f>
        <v>1.9592799999999999</v>
      </c>
      <c r="R279" s="1976">
        <f>'HVAC Deemed Table'!I1650</f>
        <v>0</v>
      </c>
      <c r="S279" s="1976">
        <f>'HVAC Deemed Table'!I1651</f>
        <v>0.660493</v>
      </c>
      <c r="T279" s="1976">
        <f>'HVAC Deemed Table'!I1652</f>
        <v>0</v>
      </c>
      <c r="U279" s="1926"/>
      <c r="V279" s="1926"/>
      <c r="W279" s="1926">
        <f t="shared" ref="W279" si="451">P279</f>
        <v>0.660493</v>
      </c>
      <c r="X279" s="1952">
        <f>'HVAC Deemed Table'!J1649</f>
        <v>6</v>
      </c>
      <c r="Y279" s="1952">
        <f>'HVAC Deemed Table'!J1651</f>
        <v>12</v>
      </c>
      <c r="Z279" s="1952">
        <f t="shared" ref="Z279" si="452">Y279+X279</f>
        <v>18</v>
      </c>
      <c r="AA279" s="1951">
        <f>'HVAC Deemed Table'!BB1649</f>
        <v>1.2528301972467237</v>
      </c>
      <c r="AB279" s="2426">
        <f>'HVAC Deemed Table'!K1649</f>
        <v>1714.015989382433</v>
      </c>
      <c r="AC279" s="2436">
        <f t="shared" ref="AC279" si="453">AE279+AF279</f>
        <v>1202.520878632854</v>
      </c>
      <c r="AD279" s="2436">
        <f t="shared" ref="AD279" si="454">AG279+AH279</f>
        <v>824.25683732942207</v>
      </c>
      <c r="AE279" s="1982">
        <f>'HVAC Deemed Table'!BD1649</f>
        <v>1202.520878632854</v>
      </c>
      <c r="AF279" s="1982">
        <f>'HVAC Deemed Table'!BD1650</f>
        <v>0</v>
      </c>
      <c r="AG279" s="1982">
        <f>'HVAC Deemed Table'!BD1651</f>
        <v>824.25683732942207</v>
      </c>
      <c r="AH279" s="1982">
        <f>'HVAC Deemed Table'!BD1652</f>
        <v>0</v>
      </c>
      <c r="AI279" s="3624" t="str">
        <f t="shared" si="391"/>
        <v>per measure</v>
      </c>
      <c r="AJ279" s="112">
        <f>'HVAC Deemed Table'!L1649</f>
        <v>3.1434782608695655</v>
      </c>
      <c r="AK279" s="3646"/>
      <c r="AL279" s="3646"/>
      <c r="AM279" s="2433">
        <f t="shared" si="269"/>
        <v>9.4741810000000004E-4</v>
      </c>
      <c r="AN279" s="100">
        <f t="shared" ref="AN279" si="455">AM279*K279</f>
        <v>1.9592795791620001</v>
      </c>
      <c r="AO279" s="2437">
        <f t="shared" ref="AO279" si="456">AN279-O279</f>
        <v>-4.2083799978165359E-7</v>
      </c>
    </row>
    <row r="280" spans="1:42" x14ac:dyDescent="0.25">
      <c r="A280" s="103" t="str">
        <f t="shared" si="411"/>
        <v>354300</v>
      </c>
      <c r="B280" s="1960" t="str">
        <f>'HVAC Deemed Table'!C1653</f>
        <v>354300_2021_12_</v>
      </c>
      <c r="C280" s="3599" t="str">
        <f>'HVAC Deemed Table'!G1653</f>
        <v>Cooling Res</v>
      </c>
      <c r="D280" s="3599" t="str">
        <f>'HVAC Deemed Table'!G1654</f>
        <v>Heating Res</v>
      </c>
      <c r="E280" s="3599" t="str">
        <f>'HVAC Deemed Table'!G1655</f>
        <v>Cooling Res ER2</v>
      </c>
      <c r="F280" s="3599" t="str">
        <f>'HVAC Deemed Table'!G1656</f>
        <v>Heating Res ER2</v>
      </c>
      <c r="G280" s="1962" t="str">
        <f>'HVAC Deemed Table'!E1653</f>
        <v>ASHP-SEER18-Replace_CAC_ElectricHeat_ER1_MF</v>
      </c>
      <c r="H280" s="63" t="str">
        <f>'HVAC Deemed Table'!D1653</f>
        <v>MF</v>
      </c>
      <c r="I280" s="2438">
        <f t="shared" si="414"/>
        <v>4694.62</v>
      </c>
      <c r="J280" s="2438">
        <f t="shared" si="415"/>
        <v>3599.83</v>
      </c>
      <c r="K280" s="2439">
        <f>'HVAC Deemed Table'!F1653</f>
        <v>1312.04</v>
      </c>
      <c r="L280" s="2439">
        <f>'HVAC Deemed Table'!F1654</f>
        <v>3382.58</v>
      </c>
      <c r="M280" s="2439">
        <f>'HVAC Deemed Table'!F1655</f>
        <v>217.25</v>
      </c>
      <c r="N280" s="2439">
        <f>'HVAC Deemed Table'!F1656</f>
        <v>3382.58</v>
      </c>
      <c r="O280" s="2440">
        <f t="shared" si="412"/>
        <v>1.24305</v>
      </c>
      <c r="P280" s="2440">
        <f t="shared" si="413"/>
        <v>0.20582700000000001</v>
      </c>
      <c r="Q280" s="2441">
        <f>'HVAC Deemed Table'!I1653</f>
        <v>1.24305</v>
      </c>
      <c r="R280" s="2441">
        <f>'HVAC Deemed Table'!I1654</f>
        <v>0</v>
      </c>
      <c r="S280" s="2441">
        <f>'HVAC Deemed Table'!I1655</f>
        <v>0.20582700000000001</v>
      </c>
      <c r="T280" s="2441">
        <f>'HVAC Deemed Table'!I1656</f>
        <v>0</v>
      </c>
      <c r="U280" s="1819"/>
      <c r="V280" s="1819"/>
      <c r="W280" s="1821">
        <f t="shared" si="416"/>
        <v>0.20582700000000001</v>
      </c>
      <c r="X280" s="68">
        <f>'HVAC Deemed Table'!J1653</f>
        <v>6</v>
      </c>
      <c r="Y280" s="68">
        <f>'HVAC Deemed Table'!J1655</f>
        <v>12</v>
      </c>
      <c r="Z280" s="68">
        <f t="shared" si="150"/>
        <v>18</v>
      </c>
      <c r="AA280" s="62">
        <f>'HVAC Deemed Table'!BB1653</f>
        <v>2.2880649286475494</v>
      </c>
      <c r="AB280" s="839">
        <f>'HVAC Deemed Table'!K1653</f>
        <v>1195.8844199433067</v>
      </c>
      <c r="AC280" s="3618">
        <f t="shared" si="174"/>
        <v>1325.5668658367936</v>
      </c>
      <c r="AD280" s="3618">
        <f t="shared" si="175"/>
        <v>1257.0298307071403</v>
      </c>
      <c r="AE280" s="2453">
        <f>'HVAC Deemed Table'!BD1653</f>
        <v>762.93048113724706</v>
      </c>
      <c r="AF280" s="2453">
        <f>'HVAC Deemed Table'!BD1654</f>
        <v>562.6363846995464</v>
      </c>
      <c r="AG280" s="2453">
        <f>'HVAC Deemed Table'!BD1655</f>
        <v>256.85978327449897</v>
      </c>
      <c r="AH280" s="2453">
        <f>'HVAC Deemed Table'!BD1656</f>
        <v>1000.1700474326414</v>
      </c>
      <c r="AI280" s="3624" t="str">
        <f t="shared" si="391"/>
        <v>per measure</v>
      </c>
      <c r="AJ280" s="126">
        <f>'HVAC Deemed Table'!L1653</f>
        <v>1.5</v>
      </c>
      <c r="AK280" s="1805"/>
      <c r="AL280" s="1805"/>
      <c r="AM280" s="1972">
        <f t="shared" si="269"/>
        <v>9.4741810000000004E-4</v>
      </c>
      <c r="AN280" s="100">
        <f t="shared" si="410"/>
        <v>1.243050443924</v>
      </c>
      <c r="AO280" s="1971">
        <f t="shared" si="145"/>
        <v>4.439240000042588E-7</v>
      </c>
      <c r="AP280" s="1930"/>
    </row>
    <row r="281" spans="1:42" x14ac:dyDescent="0.25">
      <c r="A281" s="103" t="str">
        <f t="shared" si="411"/>
        <v>354301</v>
      </c>
      <c r="B281" s="1960" t="str">
        <f>'HVAC Deemed Table'!C1657</f>
        <v>354301_2021_12_</v>
      </c>
      <c r="C281" s="3599" t="str">
        <f>'HVAC Deemed Table'!G1657</f>
        <v>Cooling Res</v>
      </c>
      <c r="D281" s="3599" t="str">
        <f>'HVAC Deemed Table'!G1658</f>
        <v>Heating Res</v>
      </c>
      <c r="E281" s="3599" t="str">
        <f>'HVAC Deemed Table'!G1659</f>
        <v>Cooling Res ER2</v>
      </c>
      <c r="F281" s="3599" t="str">
        <f>'HVAC Deemed Table'!G1660</f>
        <v>Heating Res ER2</v>
      </c>
      <c r="G281" s="1962" t="str">
        <f>'HVAC Deemed Table'!E1657</f>
        <v>ASHP-SEER18-Replace_CAC_ElectricHeat_ER1_MF_CompE</v>
      </c>
      <c r="H281" s="63" t="str">
        <f>'HVAC Deemed Table'!D1657</f>
        <v>MFc</v>
      </c>
      <c r="I281" s="2438">
        <f t="shared" si="414"/>
        <v>1630.0300000000002</v>
      </c>
      <c r="J281" s="2438">
        <f t="shared" si="415"/>
        <v>1311.15</v>
      </c>
      <c r="K281" s="2439">
        <f>'HVAC Deemed Table'!F1657</f>
        <v>476.88</v>
      </c>
      <c r="L281" s="2439">
        <f>'HVAC Deemed Table'!F1658</f>
        <v>1153.1500000000001</v>
      </c>
      <c r="M281" s="2439">
        <f>'HVAC Deemed Table'!F1659</f>
        <v>158</v>
      </c>
      <c r="N281" s="2439">
        <f>'HVAC Deemed Table'!F1660</f>
        <v>1153.1500000000001</v>
      </c>
      <c r="O281" s="2440">
        <f t="shared" si="412"/>
        <v>0.45180500000000001</v>
      </c>
      <c r="P281" s="2440">
        <f t="shared" si="413"/>
        <v>0.14969199999999999</v>
      </c>
      <c r="Q281" s="2441">
        <f>'HVAC Deemed Table'!I1657</f>
        <v>0.45180500000000001</v>
      </c>
      <c r="R281" s="2441">
        <f>'HVAC Deemed Table'!I1658</f>
        <v>0</v>
      </c>
      <c r="S281" s="2441">
        <f>'HVAC Deemed Table'!I1659</f>
        <v>0.14969199999999999</v>
      </c>
      <c r="T281" s="2441">
        <f>'HVAC Deemed Table'!I1660</f>
        <v>0</v>
      </c>
      <c r="U281" s="1819"/>
      <c r="V281" s="1819"/>
      <c r="W281" s="1821">
        <f t="shared" si="416"/>
        <v>0.14969199999999999</v>
      </c>
      <c r="X281" s="68">
        <f>'HVAC Deemed Table'!J1657</f>
        <v>6</v>
      </c>
      <c r="Y281" s="68">
        <f>'HVAC Deemed Table'!J1659</f>
        <v>12</v>
      </c>
      <c r="Z281" s="68">
        <f t="shared" si="150"/>
        <v>18</v>
      </c>
      <c r="AA281" s="62">
        <f>'HVAC Deemed Table'!BB1657</f>
        <v>0.88319025209442725</v>
      </c>
      <c r="AB281" s="839">
        <f>'HVAC Deemed Table'!K1657</f>
        <v>1195.8844199433067</v>
      </c>
      <c r="AC281" s="3618">
        <f t="shared" si="174"/>
        <v>469.10564801005478</v>
      </c>
      <c r="AD281" s="3618">
        <f t="shared" si="175"/>
        <v>527.77350472758269</v>
      </c>
      <c r="AE281" s="2453">
        <f>'HVAC Deemed Table'!BD1657</f>
        <v>277.29816762044629</v>
      </c>
      <c r="AF281" s="2453">
        <f>'HVAC Deemed Table'!BD1658</f>
        <v>191.80748038960851</v>
      </c>
      <c r="AG281" s="2453">
        <f>'HVAC Deemed Table'!BD1659</f>
        <v>186.80711510872652</v>
      </c>
      <c r="AH281" s="2453">
        <f>'HVAC Deemed Table'!BD1660</f>
        <v>340.96638961885617</v>
      </c>
      <c r="AI281" s="3624" t="str">
        <f t="shared" si="391"/>
        <v>per measure</v>
      </c>
      <c r="AJ281" s="126">
        <f>'HVAC Deemed Table'!L1657</f>
        <v>1.5</v>
      </c>
      <c r="AK281" s="1805"/>
      <c r="AL281" s="1805"/>
      <c r="AM281" s="1972">
        <f t="shared" si="269"/>
        <v>9.4741810000000004E-4</v>
      </c>
      <c r="AN281" s="100">
        <f t="shared" si="410"/>
        <v>0.45180474352799999</v>
      </c>
      <c r="AO281" s="1804">
        <f t="shared" ref="AO281:AO356" si="457">AN281-O281</f>
        <v>-2.5647200002643089E-7</v>
      </c>
      <c r="AP281" s="163">
        <f>AO281/O281</f>
        <v>-5.6766082718524777E-7</v>
      </c>
    </row>
    <row r="282" spans="1:42" s="100" customFormat="1" x14ac:dyDescent="0.25">
      <c r="A282" s="103" t="str">
        <f t="shared" si="411"/>
        <v>354310</v>
      </c>
      <c r="B282" s="1960" t="str">
        <f>'HVAC Deemed Table'!C1661</f>
        <v>354310_2021_12_</v>
      </c>
      <c r="C282" s="3645" t="str">
        <f>'HVAC Deemed Table'!G1661</f>
        <v>Cooling Res</v>
      </c>
      <c r="D282" s="3645" t="str">
        <f>'HVAC Deemed Table'!G1662</f>
        <v>Heating Res</v>
      </c>
      <c r="E282" s="3645" t="str">
        <f>'HVAC Deemed Table'!G1663</f>
        <v>Cooling Res ER2</v>
      </c>
      <c r="F282" s="3645" t="str">
        <f>'HVAC Deemed Table'!G1664</f>
        <v>Heating Res ER2</v>
      </c>
      <c r="G282" s="1958" t="str">
        <f>'HVAC Deemed Table'!E1661</f>
        <v>ASHP-SEER18-Replace_CAC_NonElectricHeat_ER1_MF</v>
      </c>
      <c r="H282" s="1975" t="str">
        <f>'HVAC Deemed Table'!D1661</f>
        <v>MF</v>
      </c>
      <c r="I282" s="1973">
        <f t="shared" ref="I282" si="458">K282+L282</f>
        <v>1312.04</v>
      </c>
      <c r="J282" s="1973">
        <f t="shared" ref="J282" si="459">M282+N282</f>
        <v>217.25</v>
      </c>
      <c r="K282" s="1963">
        <f>'HVAC Deemed Table'!F1661</f>
        <v>1312.04</v>
      </c>
      <c r="L282" s="1963">
        <f>'HVAC Deemed Table'!F1662</f>
        <v>0</v>
      </c>
      <c r="M282" s="1963">
        <f>'HVAC Deemed Table'!F1663</f>
        <v>217.25</v>
      </c>
      <c r="N282" s="1963">
        <f>'HVAC Deemed Table'!F1664</f>
        <v>0</v>
      </c>
      <c r="O282" s="1974">
        <f t="shared" ref="O282" si="460">Q282+R282</f>
        <v>1.24305</v>
      </c>
      <c r="P282" s="1974">
        <f t="shared" ref="P282" si="461">S282+T282</f>
        <v>0.20582700000000001</v>
      </c>
      <c r="Q282" s="1976">
        <f>'HVAC Deemed Table'!I1661</f>
        <v>1.24305</v>
      </c>
      <c r="R282" s="1976">
        <f>'HVAC Deemed Table'!I1662</f>
        <v>0</v>
      </c>
      <c r="S282" s="1976">
        <f>'HVAC Deemed Table'!I1663</f>
        <v>0.20582700000000001</v>
      </c>
      <c r="T282" s="1976">
        <f>'HVAC Deemed Table'!I1664</f>
        <v>0</v>
      </c>
      <c r="U282" s="1926"/>
      <c r="V282" s="1926"/>
      <c r="W282" s="1926">
        <f t="shared" ref="W282" si="462">P282</f>
        <v>0.20582700000000001</v>
      </c>
      <c r="X282" s="1952">
        <f>'HVAC Deemed Table'!J1661</f>
        <v>6</v>
      </c>
      <c r="Y282" s="1952">
        <f>'HVAC Deemed Table'!J1663</f>
        <v>12</v>
      </c>
      <c r="Z282" s="1952">
        <f t="shared" ref="Z282" si="463">Y282+X282</f>
        <v>18</v>
      </c>
      <c r="AA282" s="1951">
        <f>'HVAC Deemed Table'!BB1661</f>
        <v>0.90348847022814016</v>
      </c>
      <c r="AB282" s="2426">
        <f>'HVAC Deemed Table'!K1661</f>
        <v>1195.8844199433067</v>
      </c>
      <c r="AC282" s="2436">
        <f t="shared" ref="AC282" si="464">AE282+AF282</f>
        <v>762.93048113724706</v>
      </c>
      <c r="AD282" s="2436">
        <f t="shared" ref="AD282" si="465">AG282+AH282</f>
        <v>256.85978327449897</v>
      </c>
      <c r="AE282" s="1982">
        <f>'HVAC Deemed Table'!BD1661</f>
        <v>762.93048113724706</v>
      </c>
      <c r="AF282" s="1982">
        <f>'HVAC Deemed Table'!BD1662</f>
        <v>0</v>
      </c>
      <c r="AG282" s="1982">
        <f>'HVAC Deemed Table'!BD1663</f>
        <v>256.85978327449897</v>
      </c>
      <c r="AH282" s="1982">
        <f>'HVAC Deemed Table'!BD1664</f>
        <v>0</v>
      </c>
      <c r="AI282" s="3624" t="str">
        <f t="shared" si="391"/>
        <v>per measure</v>
      </c>
      <c r="AJ282" s="112">
        <f>'HVAC Deemed Table'!L1661</f>
        <v>1.5</v>
      </c>
      <c r="AK282" s="3646"/>
      <c r="AL282" s="3646"/>
      <c r="AM282" s="2433">
        <f t="shared" si="269"/>
        <v>9.4741810000000004E-4</v>
      </c>
      <c r="AN282" s="100">
        <f t="shared" ref="AN282" si="466">AM282*K282</f>
        <v>1.243050443924</v>
      </c>
      <c r="AO282" s="3647">
        <f t="shared" ref="AO282" si="467">AN282-O282</f>
        <v>4.439240000042588E-7</v>
      </c>
      <c r="AP282" s="2204">
        <f>AO282/O282</f>
        <v>3.571248139690751E-7</v>
      </c>
    </row>
    <row r="283" spans="1:42" s="100" customFormat="1" x14ac:dyDescent="0.25">
      <c r="A283" s="103" t="str">
        <f t="shared" si="411"/>
        <v>354311</v>
      </c>
      <c r="B283" s="1960" t="str">
        <f>'HVAC Deemed Table'!C1665</f>
        <v>354311_2021_12_</v>
      </c>
      <c r="C283" s="3645" t="str">
        <f>'HVAC Deemed Table'!G1665</f>
        <v>Cooling Res</v>
      </c>
      <c r="D283" s="3645" t="str">
        <f>'HVAC Deemed Table'!G1666</f>
        <v>Heating Res</v>
      </c>
      <c r="E283" s="3645" t="str">
        <f>'HVAC Deemed Table'!G1667</f>
        <v>Cooling Res ER2</v>
      </c>
      <c r="F283" s="3645" t="str">
        <f>'HVAC Deemed Table'!G1668</f>
        <v>Heating Res ER2</v>
      </c>
      <c r="G283" s="1958" t="str">
        <f>'HVAC Deemed Table'!E1665</f>
        <v>ASHP-SEER18-Replace_CAC_NonElectricHeat_ER1_MF_CompE</v>
      </c>
      <c r="H283" s="1975" t="str">
        <f>'HVAC Deemed Table'!D1665</f>
        <v>MFc</v>
      </c>
      <c r="I283" s="1973">
        <f t="shared" ref="I283" si="468">K283+L283</f>
        <v>476.88</v>
      </c>
      <c r="J283" s="1973">
        <f t="shared" ref="J283" si="469">M283+N283</f>
        <v>158</v>
      </c>
      <c r="K283" s="1963">
        <f>'HVAC Deemed Table'!F1665</f>
        <v>476.88</v>
      </c>
      <c r="L283" s="1963">
        <f>'HVAC Deemed Table'!F1666</f>
        <v>0</v>
      </c>
      <c r="M283" s="1963">
        <f>'HVAC Deemed Table'!F1667</f>
        <v>158</v>
      </c>
      <c r="N283" s="1963">
        <f>'HVAC Deemed Table'!F1668</f>
        <v>0</v>
      </c>
      <c r="O283" s="1974">
        <f t="shared" ref="O283" si="470">Q283+R283</f>
        <v>0.45180500000000001</v>
      </c>
      <c r="P283" s="1974">
        <f t="shared" ref="P283" si="471">S283+T283</f>
        <v>0.14969199999999999</v>
      </c>
      <c r="Q283" s="1976">
        <f>'HVAC Deemed Table'!I1665</f>
        <v>0.45180500000000001</v>
      </c>
      <c r="R283" s="1976">
        <f>'HVAC Deemed Table'!I1666</f>
        <v>0</v>
      </c>
      <c r="S283" s="1976">
        <f>'HVAC Deemed Table'!I1667</f>
        <v>0.14969199999999999</v>
      </c>
      <c r="T283" s="1976">
        <f>'HVAC Deemed Table'!I1668</f>
        <v>0</v>
      </c>
      <c r="U283" s="1926"/>
      <c r="V283" s="1926"/>
      <c r="W283" s="1926">
        <f t="shared" ref="W283" si="472">P283</f>
        <v>0.14969199999999999</v>
      </c>
      <c r="X283" s="1952">
        <f>'HVAC Deemed Table'!J1665</f>
        <v>6</v>
      </c>
      <c r="Y283" s="1952">
        <f>'HVAC Deemed Table'!J1667</f>
        <v>12</v>
      </c>
      <c r="Z283" s="1952">
        <f t="shared" ref="Z283" si="473">Y283+X283</f>
        <v>18</v>
      </c>
      <c r="AA283" s="1951">
        <f>'HVAC Deemed Table'!BB1665</f>
        <v>0.41117648064590523</v>
      </c>
      <c r="AB283" s="2426">
        <f>'HVAC Deemed Table'!K1665</f>
        <v>1195.8844199433067</v>
      </c>
      <c r="AC283" s="2436">
        <f t="shared" ref="AC283" si="474">AE283+AF283</f>
        <v>277.29816762044629</v>
      </c>
      <c r="AD283" s="2436">
        <f t="shared" ref="AD283" si="475">AG283+AH283</f>
        <v>186.80711510872652</v>
      </c>
      <c r="AE283" s="1982">
        <f>'HVAC Deemed Table'!BD1665</f>
        <v>277.29816762044629</v>
      </c>
      <c r="AF283" s="1982">
        <f>'HVAC Deemed Table'!BD1666</f>
        <v>0</v>
      </c>
      <c r="AG283" s="1982">
        <f>'HVAC Deemed Table'!BD1667</f>
        <v>186.80711510872652</v>
      </c>
      <c r="AH283" s="1982">
        <f>'HVAC Deemed Table'!BD1668</f>
        <v>0</v>
      </c>
      <c r="AI283" s="3624" t="str">
        <f t="shared" si="391"/>
        <v>per measure</v>
      </c>
      <c r="AJ283" s="112">
        <f>'HVAC Deemed Table'!L1665</f>
        <v>1.5</v>
      </c>
      <c r="AK283" s="3646"/>
      <c r="AL283" s="3646"/>
      <c r="AM283" s="2433">
        <f t="shared" si="269"/>
        <v>9.4741810000000004E-4</v>
      </c>
      <c r="AN283" s="100">
        <f t="shared" ref="AN283" si="476">AM283*K283</f>
        <v>0.45180474352799999</v>
      </c>
      <c r="AO283" s="3647">
        <f t="shared" ref="AO283" si="477">AN283-O283</f>
        <v>-2.5647200002643089E-7</v>
      </c>
      <c r="AP283" s="2204">
        <f>AO283/O283</f>
        <v>-5.6766082718524777E-7</v>
      </c>
    </row>
    <row r="284" spans="1:42" x14ac:dyDescent="0.25">
      <c r="A284" s="103" t="str">
        <f t="shared" si="411"/>
        <v>354350</v>
      </c>
      <c r="B284" s="1960" t="str">
        <f>'HVAC Deemed Table'!C1669</f>
        <v>354350_2021_12_</v>
      </c>
      <c r="C284" s="3599" t="str">
        <f>'HVAC Deemed Table'!G1669</f>
        <v>Cooling Res</v>
      </c>
      <c r="D284" s="3599" t="str">
        <f>'HVAC Deemed Table'!G1670</f>
        <v>Heating Res</v>
      </c>
      <c r="E284" s="3599" t="str">
        <f>'HVAC Deemed Table'!G1671</f>
        <v>Cooling Res ER2</v>
      </c>
      <c r="F284" s="3599" t="str">
        <f>'HVAC Deemed Table'!G1672</f>
        <v>Heating Res ER2</v>
      </c>
      <c r="G284" s="1962" t="str">
        <f>'HVAC Deemed Table'!E1669</f>
        <v>ASHP-SEER18_ER1_MF</v>
      </c>
      <c r="H284" s="63" t="str">
        <f>'HVAC Deemed Table'!D1669</f>
        <v>MF</v>
      </c>
      <c r="I284" s="2438">
        <f t="shared" si="414"/>
        <v>4926.8999999999996</v>
      </c>
      <c r="J284" s="2438">
        <f t="shared" si="415"/>
        <v>1562.49</v>
      </c>
      <c r="K284" s="2439">
        <f>'HVAC Deemed Table'!F1669</f>
        <v>2201.5</v>
      </c>
      <c r="L284" s="2439">
        <f>'HVAC Deemed Table'!F1670</f>
        <v>2725.4</v>
      </c>
      <c r="M284" s="2439">
        <f>'HVAC Deemed Table'!F1671</f>
        <v>588.84</v>
      </c>
      <c r="N284" s="2439">
        <f>'HVAC Deemed Table'!F1672</f>
        <v>973.65</v>
      </c>
      <c r="O284" s="2440">
        <f t="shared" si="412"/>
        <v>2.0857410000000001</v>
      </c>
      <c r="P284" s="2440">
        <f t="shared" si="413"/>
        <v>0.55787799999999999</v>
      </c>
      <c r="Q284" s="2441">
        <f>'HVAC Deemed Table'!I1669</f>
        <v>2.0857410000000001</v>
      </c>
      <c r="R284" s="2441">
        <f>'HVAC Deemed Table'!I1670</f>
        <v>0</v>
      </c>
      <c r="S284" s="2441">
        <f>'HVAC Deemed Table'!I1671</f>
        <v>0.55787799999999999</v>
      </c>
      <c r="T284" s="2441">
        <f>'HVAC Deemed Table'!I1672</f>
        <v>0</v>
      </c>
      <c r="U284" s="1819"/>
      <c r="V284" s="1819"/>
      <c r="W284" s="1821">
        <f t="shared" si="416"/>
        <v>0.55787799999999999</v>
      </c>
      <c r="X284" s="68">
        <f>'HVAC Deemed Table'!J1669</f>
        <v>6</v>
      </c>
      <c r="Y284" s="68">
        <f>'HVAC Deemed Table'!J1671</f>
        <v>12</v>
      </c>
      <c r="Z284" s="68">
        <f t="shared" si="150"/>
        <v>18</v>
      </c>
      <c r="AA284" s="62">
        <f>'HVAC Deemed Table'!BB1669</f>
        <v>1.6552461892956849</v>
      </c>
      <c r="AB284" s="839">
        <f>'HVAC Deemed Table'!K1669</f>
        <v>1739.4680664776884</v>
      </c>
      <c r="AC284" s="3618">
        <f t="shared" si="174"/>
        <v>1733.4627170986255</v>
      </c>
      <c r="AD284" s="3618">
        <f t="shared" si="175"/>
        <v>984.09074060663738</v>
      </c>
      <c r="AE284" s="2453">
        <f>'HVAC Deemed Table'!BD1669</f>
        <v>1280.1373847014188</v>
      </c>
      <c r="AF284" s="2453">
        <f>'HVAC Deemed Table'!BD1670</f>
        <v>453.32533239720675</v>
      </c>
      <c r="AG284" s="2453">
        <f>'HVAC Deemed Table'!BD1671</f>
        <v>696.19937759887671</v>
      </c>
      <c r="AH284" s="2453">
        <f>'HVAC Deemed Table'!BD1672</f>
        <v>287.89136300776073</v>
      </c>
      <c r="AI284" s="3624" t="str">
        <f t="shared" si="391"/>
        <v>per measure</v>
      </c>
      <c r="AJ284" s="126">
        <f>'HVAC Deemed Table'!L1669</f>
        <v>5</v>
      </c>
      <c r="AK284" s="1805"/>
      <c r="AL284" s="1805"/>
      <c r="AM284" s="1972">
        <f t="shared" si="269"/>
        <v>9.4741810000000004E-4</v>
      </c>
      <c r="AN284" s="100">
        <f t="shared" si="410"/>
        <v>2.0857409471500001</v>
      </c>
      <c r="AO284" s="1971">
        <f t="shared" si="457"/>
        <v>-5.2849999931936509E-8</v>
      </c>
      <c r="AP284" s="1930"/>
    </row>
    <row r="285" spans="1:42" x14ac:dyDescent="0.25">
      <c r="A285" s="103" t="str">
        <f t="shared" si="411"/>
        <v>354351</v>
      </c>
      <c r="B285" s="1960" t="str">
        <f>'HVAC Deemed Table'!C1673</f>
        <v>354351_2021_12_</v>
      </c>
      <c r="C285" s="3599" t="str">
        <f>'HVAC Deemed Table'!G1673</f>
        <v>Cooling Res</v>
      </c>
      <c r="D285" s="3599" t="str">
        <f>'HVAC Deemed Table'!G1674</f>
        <v>Heating Res</v>
      </c>
      <c r="E285" s="3599" t="str">
        <f>'HVAC Deemed Table'!G1675</f>
        <v>Cooling Res ER2</v>
      </c>
      <c r="F285" s="3599" t="str">
        <f>'HVAC Deemed Table'!G1676</f>
        <v>Heating Res ER2</v>
      </c>
      <c r="G285" s="1962" t="str">
        <f>'HVAC Deemed Table'!E1673</f>
        <v>ASHP-SEER18_ER1_MF_CompE</v>
      </c>
      <c r="H285" s="63" t="str">
        <f>'HVAC Deemed Table'!D1673</f>
        <v>MFc</v>
      </c>
      <c r="I285" s="2438">
        <f t="shared" si="414"/>
        <v>2518.7199999999998</v>
      </c>
      <c r="J285" s="2438">
        <f t="shared" si="415"/>
        <v>723.17000000000007</v>
      </c>
      <c r="K285" s="2439">
        <f>'HVAC Deemed Table'!F1673</f>
        <v>1589.61</v>
      </c>
      <c r="L285" s="2439">
        <f>'HVAC Deemed Table'!F1674</f>
        <v>929.11</v>
      </c>
      <c r="M285" s="2439">
        <f>'HVAC Deemed Table'!F1675</f>
        <v>391.24</v>
      </c>
      <c r="N285" s="2439">
        <f>'HVAC Deemed Table'!F1676</f>
        <v>331.93</v>
      </c>
      <c r="O285" s="2440">
        <f t="shared" si="412"/>
        <v>1.5060249999999999</v>
      </c>
      <c r="P285" s="2440">
        <f t="shared" si="413"/>
        <v>0.370668</v>
      </c>
      <c r="Q285" s="2441">
        <f>'HVAC Deemed Table'!I1673</f>
        <v>1.5060249999999999</v>
      </c>
      <c r="R285" s="2441">
        <f>'HVAC Deemed Table'!I1674</f>
        <v>0</v>
      </c>
      <c r="S285" s="2441">
        <f>'HVAC Deemed Table'!I1675</f>
        <v>0.370668</v>
      </c>
      <c r="T285" s="2441">
        <f>'HVAC Deemed Table'!I1676</f>
        <v>0</v>
      </c>
      <c r="U285" s="1819"/>
      <c r="V285" s="1819"/>
      <c r="W285" s="1821">
        <f t="shared" si="416"/>
        <v>0.370668</v>
      </c>
      <c r="X285" s="68">
        <f>'HVAC Deemed Table'!J1673</f>
        <v>6</v>
      </c>
      <c r="Y285" s="68">
        <f>'HVAC Deemed Table'!J1675</f>
        <v>12</v>
      </c>
      <c r="Z285" s="68">
        <f t="shared" si="150"/>
        <v>18</v>
      </c>
      <c r="AA285" s="62">
        <f>'HVAC Deemed Table'!BB1673</f>
        <v>0.99866687759824257</v>
      </c>
      <c r="AB285" s="839">
        <f>'HVAC Deemed Table'!K1673</f>
        <v>1739.4680664776884</v>
      </c>
      <c r="AC285" s="3618">
        <f t="shared" si="174"/>
        <v>1078.8751623476039</v>
      </c>
      <c r="AD285" s="3618">
        <f t="shared" si="175"/>
        <v>560.71817661523232</v>
      </c>
      <c r="AE285" s="2453">
        <f>'HVAC Deemed Table'!BD1673</f>
        <v>924.33304024311701</v>
      </c>
      <c r="AF285" s="2453">
        <f>'HVAC Deemed Table'!BD1674</f>
        <v>154.54212210448696</v>
      </c>
      <c r="AG285" s="2453">
        <f>'HVAC Deemed Table'!BD1675</f>
        <v>462.57225136163396</v>
      </c>
      <c r="AH285" s="2453">
        <f>'HVAC Deemed Table'!BD1676</f>
        <v>98.145925253598335</v>
      </c>
      <c r="AI285" s="3624" t="str">
        <f t="shared" si="391"/>
        <v>per measure</v>
      </c>
      <c r="AJ285" s="126">
        <f>'HVAC Deemed Table'!L1673</f>
        <v>5</v>
      </c>
      <c r="AK285" s="1805"/>
      <c r="AL285" s="1805"/>
      <c r="AM285" s="1972">
        <f t="shared" si="269"/>
        <v>9.4741810000000004E-4</v>
      </c>
      <c r="AN285" s="100">
        <f t="shared" si="410"/>
        <v>1.5060252859409999</v>
      </c>
      <c r="AO285" s="1804">
        <f t="shared" si="457"/>
        <v>2.8594099998890954E-7</v>
      </c>
      <c r="AP285" s="163">
        <f>AO285/O285</f>
        <v>1.8986471007380989E-7</v>
      </c>
    </row>
    <row r="286" spans="1:42" x14ac:dyDescent="0.25">
      <c r="A286" s="103" t="str">
        <f t="shared" si="411"/>
        <v>354400</v>
      </c>
      <c r="B286" s="1960" t="str">
        <f>'HVAC Deemed Table'!C1677</f>
        <v>354400_2021_12_</v>
      </c>
      <c r="C286" s="3599" t="str">
        <f>'HVAC Deemed Table'!G1677</f>
        <v>Cooling Res</v>
      </c>
      <c r="D286" s="3599" t="str">
        <f>'HVAC Deemed Table'!G1678</f>
        <v>Heating Res</v>
      </c>
      <c r="E286" s="3599" t="str">
        <f>'HVAC Deemed Table'!G1679</f>
        <v>Cooling Res ER2</v>
      </c>
      <c r="F286" s="3599" t="str">
        <f>'HVAC Deemed Table'!G1680</f>
        <v>Heating Res ER2</v>
      </c>
      <c r="G286" s="1962" t="str">
        <f>'HVAC Deemed Table'!E1677</f>
        <v>ASHP-SEER19-Replace_CAC_ElectricHeat_ER1_SF</v>
      </c>
      <c r="H286" s="63" t="str">
        <f>'HVAC Deemed Table'!D1677</f>
        <v>SF</v>
      </c>
      <c r="I286" s="2438">
        <f t="shared" si="414"/>
        <v>14990.240000000002</v>
      </c>
      <c r="J286" s="2438">
        <f t="shared" si="415"/>
        <v>13478.37</v>
      </c>
      <c r="K286" s="2439">
        <f>'HVAC Deemed Table'!F1677</f>
        <v>2436.71</v>
      </c>
      <c r="L286" s="2439">
        <f>'HVAC Deemed Table'!F1678</f>
        <v>12553.53</v>
      </c>
      <c r="M286" s="2439">
        <f>'HVAC Deemed Table'!F1679</f>
        <v>924.84</v>
      </c>
      <c r="N286" s="2439">
        <f>'HVAC Deemed Table'!F1680</f>
        <v>12553.53</v>
      </c>
      <c r="O286" s="2440">
        <f t="shared" si="412"/>
        <v>2.3085830000000001</v>
      </c>
      <c r="P286" s="2440">
        <f t="shared" si="413"/>
        <v>0.87621000000000004</v>
      </c>
      <c r="Q286" s="2441">
        <f>'HVAC Deemed Table'!I1677</f>
        <v>2.3085830000000001</v>
      </c>
      <c r="R286" s="2441">
        <f>'HVAC Deemed Table'!I1678</f>
        <v>0</v>
      </c>
      <c r="S286" s="2441">
        <f>'HVAC Deemed Table'!I1679</f>
        <v>0.87621000000000004</v>
      </c>
      <c r="T286" s="2441">
        <f>'HVAC Deemed Table'!I1680</f>
        <v>0</v>
      </c>
      <c r="U286" s="1819"/>
      <c r="V286" s="1819"/>
      <c r="W286" s="1821">
        <f t="shared" si="416"/>
        <v>0.87621000000000004</v>
      </c>
      <c r="X286" s="68">
        <f>'HVAC Deemed Table'!J1677</f>
        <v>6</v>
      </c>
      <c r="Y286" s="68">
        <f>'HVAC Deemed Table'!J1679</f>
        <v>12</v>
      </c>
      <c r="Z286" s="68">
        <f t="shared" si="150"/>
        <v>18</v>
      </c>
      <c r="AA286" s="62">
        <f>'HVAC Deemed Table'!BB1677</f>
        <v>4.2662331701478733</v>
      </c>
      <c r="AB286" s="839">
        <f>'HVAC Deemed Table'!K1677</f>
        <v>2063.8263197906699</v>
      </c>
      <c r="AC286" s="3618">
        <f t="shared" si="174"/>
        <v>3504.9809098779206</v>
      </c>
      <c r="AD286" s="3618">
        <f t="shared" si="175"/>
        <v>4805.3204614436172</v>
      </c>
      <c r="AE286" s="2453">
        <f>'HVAC Deemed Table'!BD1677</f>
        <v>1416.9082746653619</v>
      </c>
      <c r="AF286" s="2453">
        <f>'HVAC Deemed Table'!BD1678</f>
        <v>2088.0726352125585</v>
      </c>
      <c r="AG286" s="2453">
        <f>'HVAC Deemed Table'!BD1679</f>
        <v>1093.4600780832573</v>
      </c>
      <c r="AH286" s="2453">
        <f>'HVAC Deemed Table'!BD1680</f>
        <v>3711.8603833603602</v>
      </c>
      <c r="AI286" s="3624" t="str">
        <f t="shared" si="391"/>
        <v>per measure</v>
      </c>
      <c r="AJ286" s="126">
        <f>'HVAC Deemed Table'!L1677</f>
        <v>3.6</v>
      </c>
      <c r="AK286" s="1805"/>
      <c r="AL286" s="1805"/>
      <c r="AM286" s="1972">
        <f t="shared" si="269"/>
        <v>9.4741810000000004E-4</v>
      </c>
      <c r="AN286" s="100">
        <f t="shared" si="410"/>
        <v>2.3085831584509999</v>
      </c>
      <c r="AO286" s="1971">
        <f t="shared" si="457"/>
        <v>1.5845099987643607E-7</v>
      </c>
      <c r="AP286" s="1930"/>
    </row>
    <row r="287" spans="1:42" s="100" customFormat="1" x14ac:dyDescent="0.25">
      <c r="A287" s="103" t="str">
        <f t="shared" si="411"/>
        <v>354410</v>
      </c>
      <c r="B287" s="1960" t="str">
        <f>'HVAC Deemed Table'!C1681</f>
        <v>354410_2021_12_</v>
      </c>
      <c r="C287" s="3645" t="str">
        <f>'HVAC Deemed Table'!G1681</f>
        <v>Cooling Res</v>
      </c>
      <c r="D287" s="3645" t="str">
        <f>'HVAC Deemed Table'!G1682</f>
        <v>Heating Res</v>
      </c>
      <c r="E287" s="3645" t="str">
        <f>'HVAC Deemed Table'!G1683</f>
        <v>Cooling Res ER2</v>
      </c>
      <c r="F287" s="3645" t="str">
        <f>'HVAC Deemed Table'!G1684</f>
        <v>Heating Res ER2</v>
      </c>
      <c r="G287" s="1958" t="str">
        <f>'HVAC Deemed Table'!E1681</f>
        <v>ASHP-SEER19-Replace_CAC_NonElectricHeat_ER1_SF</v>
      </c>
      <c r="H287" s="1975" t="str">
        <f>'HVAC Deemed Table'!D1681</f>
        <v>SF</v>
      </c>
      <c r="I287" s="1973">
        <f t="shared" ref="I287" si="478">K287+L287</f>
        <v>2436.71</v>
      </c>
      <c r="J287" s="1973">
        <f t="shared" ref="J287" si="479">M287+N287</f>
        <v>924.84</v>
      </c>
      <c r="K287" s="1963">
        <f>'HVAC Deemed Table'!F1681</f>
        <v>2436.71</v>
      </c>
      <c r="L287" s="1963">
        <f>'HVAC Deemed Table'!F1682</f>
        <v>0</v>
      </c>
      <c r="M287" s="1963">
        <f>'HVAC Deemed Table'!F1683</f>
        <v>924.84</v>
      </c>
      <c r="N287" s="1963">
        <f>'HVAC Deemed Table'!F1684</f>
        <v>0</v>
      </c>
      <c r="O287" s="1974">
        <f t="shared" ref="O287" si="480">Q287+R287</f>
        <v>2.3085830000000001</v>
      </c>
      <c r="P287" s="1974">
        <f t="shared" ref="P287" si="481">S287+T287</f>
        <v>0.87621000000000004</v>
      </c>
      <c r="Q287" s="1976">
        <f>'HVAC Deemed Table'!I1681</f>
        <v>2.3085830000000001</v>
      </c>
      <c r="R287" s="1976">
        <f>'HVAC Deemed Table'!I1682</f>
        <v>0</v>
      </c>
      <c r="S287" s="1976">
        <f>'HVAC Deemed Table'!I1683</f>
        <v>0.87621000000000004</v>
      </c>
      <c r="T287" s="1976">
        <f>'HVAC Deemed Table'!I1684</f>
        <v>0</v>
      </c>
      <c r="U287" s="1926"/>
      <c r="V287" s="1926"/>
      <c r="W287" s="1926">
        <f t="shared" ref="W287" si="482">P287</f>
        <v>0.87621000000000004</v>
      </c>
      <c r="X287" s="1952">
        <f>'HVAC Deemed Table'!J1681</f>
        <v>6</v>
      </c>
      <c r="Y287" s="1952">
        <f>'HVAC Deemed Table'!J1683</f>
        <v>12</v>
      </c>
      <c r="Z287" s="1952">
        <f t="shared" ref="Z287" si="483">Y287+X287</f>
        <v>18</v>
      </c>
      <c r="AA287" s="1951">
        <f>'HVAC Deemed Table'!BB1681</f>
        <v>1.2887398732306767</v>
      </c>
      <c r="AB287" s="2426">
        <f>'HVAC Deemed Table'!K1681</f>
        <v>2063.8263197906699</v>
      </c>
      <c r="AC287" s="2436">
        <f t="shared" ref="AC287" si="484">AE287+AF287</f>
        <v>1416.9082746653619</v>
      </c>
      <c r="AD287" s="2436">
        <f t="shared" ref="AD287" si="485">AG287+AH287</f>
        <v>1093.4600780832573</v>
      </c>
      <c r="AE287" s="1982">
        <f>'HVAC Deemed Table'!BD1681</f>
        <v>1416.9082746653619</v>
      </c>
      <c r="AF287" s="1982">
        <f>'HVAC Deemed Table'!BD1682</f>
        <v>0</v>
      </c>
      <c r="AG287" s="1982">
        <f>'HVAC Deemed Table'!BD1683</f>
        <v>1093.4600780832573</v>
      </c>
      <c r="AH287" s="1982">
        <f>'HVAC Deemed Table'!BD1684</f>
        <v>0</v>
      </c>
      <c r="AI287" s="3624" t="str">
        <f t="shared" si="391"/>
        <v>per measure</v>
      </c>
      <c r="AJ287" s="112">
        <f>'HVAC Deemed Table'!L1681</f>
        <v>3.6</v>
      </c>
      <c r="AK287" s="3646"/>
      <c r="AL287" s="3646"/>
      <c r="AM287" s="2433">
        <f t="shared" si="269"/>
        <v>9.4741810000000004E-4</v>
      </c>
      <c r="AN287" s="100">
        <f t="shared" ref="AN287" si="486">AM287*K287</f>
        <v>2.3085831584509999</v>
      </c>
      <c r="AO287" s="2437">
        <f t="shared" ref="AO287" si="487">AN287-O287</f>
        <v>1.5845099987643607E-7</v>
      </c>
    </row>
    <row r="288" spans="1:42" x14ac:dyDescent="0.25">
      <c r="A288" s="103" t="str">
        <f t="shared" si="411"/>
        <v>354450</v>
      </c>
      <c r="B288" s="684" t="str">
        <f>'HVAC Deemed Table'!C1685</f>
        <v>354450_2019_12_</v>
      </c>
      <c r="C288" s="3599" t="str">
        <f>'HVAC Deemed Table'!G1685</f>
        <v>Cooling Res</v>
      </c>
      <c r="D288" s="3599" t="str">
        <f>'HVAC Deemed Table'!G1686</f>
        <v>Heating Res</v>
      </c>
      <c r="E288" s="3599" t="str">
        <f>'HVAC Deemed Table'!G1687</f>
        <v>Cooling Res ER2</v>
      </c>
      <c r="F288" s="3599" t="str">
        <f>'HVAC Deemed Table'!G1688</f>
        <v>Heating Res ER2</v>
      </c>
      <c r="G288" s="1962" t="str">
        <f>'HVAC Deemed Table'!E1685</f>
        <v>ASHP-SEER19-Replace_CAC_ElectricHeat_ER1_MF</v>
      </c>
      <c r="H288" s="63" t="str">
        <f>'HVAC Deemed Table'!D1685</f>
        <v>MF</v>
      </c>
      <c r="I288" s="2438">
        <f t="shared" si="414"/>
        <v>8176.36</v>
      </c>
      <c r="J288" s="2438">
        <f t="shared" si="415"/>
        <v>7270.2</v>
      </c>
      <c r="K288" s="2439">
        <f>'HVAC Deemed Table'!F1685</f>
        <v>1416.58</v>
      </c>
      <c r="L288" s="2439">
        <f>'HVAC Deemed Table'!F1686</f>
        <v>6759.78</v>
      </c>
      <c r="M288" s="2439">
        <f>'HVAC Deemed Table'!F1687</f>
        <v>510.42</v>
      </c>
      <c r="N288" s="2439">
        <f>'HVAC Deemed Table'!F1688</f>
        <v>6759.78</v>
      </c>
      <c r="O288" s="2440">
        <f t="shared" si="412"/>
        <v>1.3420939999999999</v>
      </c>
      <c r="P288" s="2440">
        <f t="shared" si="413"/>
        <v>0.48358099999999998</v>
      </c>
      <c r="Q288" s="2441">
        <f>'HVAC Deemed Table'!I1685</f>
        <v>1.3420939999999999</v>
      </c>
      <c r="R288" s="2441">
        <f>'HVAC Deemed Table'!I1686</f>
        <v>0</v>
      </c>
      <c r="S288" s="2441">
        <f>'HVAC Deemed Table'!I1687</f>
        <v>0.48358099999999998</v>
      </c>
      <c r="T288" s="2441">
        <f>'HVAC Deemed Table'!I1688</f>
        <v>0</v>
      </c>
      <c r="U288" s="1819"/>
      <c r="V288" s="1819"/>
      <c r="W288" s="1821">
        <f t="shared" si="416"/>
        <v>0.48358099999999998</v>
      </c>
      <c r="X288" s="68">
        <f>'HVAC Deemed Table'!J1685</f>
        <v>6</v>
      </c>
      <c r="Y288" s="68">
        <f>'HVAC Deemed Table'!J1687</f>
        <v>12</v>
      </c>
      <c r="Z288" s="68">
        <f t="shared" si="150"/>
        <v>18</v>
      </c>
      <c r="AA288" s="62">
        <f>'HVAC Deemed Table'!BB1685</f>
        <v>2.8609839612822618</v>
      </c>
      <c r="AB288" s="839">
        <f>'HVAC Deemed Table'!K1685</f>
        <v>1685.1098012161674</v>
      </c>
      <c r="AC288" s="3618">
        <f t="shared" si="174"/>
        <v>1948.0967306768696</v>
      </c>
      <c r="AD288" s="3618">
        <f t="shared" si="175"/>
        <v>2602.2308901622018</v>
      </c>
      <c r="AE288" s="2453">
        <f>'HVAC Deemed Table'!BD1685</f>
        <v>823.71883553047269</v>
      </c>
      <c r="AF288" s="2453">
        <f>'HVAC Deemed Table'!BD1686</f>
        <v>1124.3778951463969</v>
      </c>
      <c r="AG288" s="2453">
        <f>'HVAC Deemed Table'!BD1687</f>
        <v>603.48156768225431</v>
      </c>
      <c r="AH288" s="2453">
        <f>'HVAC Deemed Table'!BD1688</f>
        <v>1998.7493224799473</v>
      </c>
      <c r="AI288" s="3624" t="str">
        <f t="shared" si="391"/>
        <v>per measure</v>
      </c>
      <c r="AJ288" s="126">
        <f>'HVAC Deemed Table'!L1685</f>
        <v>3.1</v>
      </c>
      <c r="AK288" s="1805"/>
      <c r="AL288" s="1805"/>
      <c r="AM288" s="1972">
        <f t="shared" si="269"/>
        <v>9.4741810000000004E-4</v>
      </c>
      <c r="AN288" s="100">
        <f t="shared" si="410"/>
        <v>1.3420935320980001</v>
      </c>
      <c r="AO288" s="1971">
        <f t="shared" si="457"/>
        <v>-4.6790199981217029E-7</v>
      </c>
      <c r="AP288" s="1930"/>
    </row>
    <row r="289" spans="1:42" x14ac:dyDescent="0.25">
      <c r="A289" s="103" t="str">
        <f t="shared" si="411"/>
        <v>354451</v>
      </c>
      <c r="B289" s="684" t="str">
        <f>'HVAC Deemed Table'!C1689</f>
        <v>354451_2019_12_</v>
      </c>
      <c r="C289" s="3599" t="str">
        <f>'HVAC Deemed Table'!G1689</f>
        <v>Cooling Res</v>
      </c>
      <c r="D289" s="3599" t="str">
        <f>'HVAC Deemed Table'!G1690</f>
        <v>Heating Res</v>
      </c>
      <c r="E289" s="3599" t="str">
        <f>'HVAC Deemed Table'!G1691</f>
        <v>Cooling Res ER2</v>
      </c>
      <c r="F289" s="3599" t="str">
        <f>'HVAC Deemed Table'!G1692</f>
        <v>Heating Res ER2</v>
      </c>
      <c r="G289" s="1962" t="str">
        <f>'HVAC Deemed Table'!E1689</f>
        <v>ASHP-SEER19-Replace_CAC_ElectricHeat_ER1_MF_CompE</v>
      </c>
      <c r="H289" s="63" t="str">
        <f>'HVAC Deemed Table'!D1689</f>
        <v>MFc</v>
      </c>
      <c r="I289" s="2438">
        <f t="shared" si="414"/>
        <v>3334.71</v>
      </c>
      <c r="J289" s="2438">
        <f t="shared" si="415"/>
        <v>2675.6899999999996</v>
      </c>
      <c r="K289" s="2439">
        <f>'HVAC Deemed Table'!F1689</f>
        <v>1030.24</v>
      </c>
      <c r="L289" s="2439">
        <f>'HVAC Deemed Table'!F1690</f>
        <v>2304.4699999999998</v>
      </c>
      <c r="M289" s="2439">
        <f>'HVAC Deemed Table'!F1691</f>
        <v>371.22</v>
      </c>
      <c r="N289" s="2439">
        <f>'HVAC Deemed Table'!F1692</f>
        <v>2304.4699999999998</v>
      </c>
      <c r="O289" s="2440">
        <f t="shared" si="412"/>
        <v>0.97606800000000005</v>
      </c>
      <c r="P289" s="2440">
        <f t="shared" si="413"/>
        <v>0.35170099999999999</v>
      </c>
      <c r="Q289" s="2441">
        <f>'HVAC Deemed Table'!I1689</f>
        <v>0.97606800000000005</v>
      </c>
      <c r="R289" s="2441">
        <f>'HVAC Deemed Table'!I1690</f>
        <v>0</v>
      </c>
      <c r="S289" s="2441">
        <f>'HVAC Deemed Table'!I1691</f>
        <v>0.35170099999999999</v>
      </c>
      <c r="T289" s="2441">
        <f>'HVAC Deemed Table'!I1692</f>
        <v>0</v>
      </c>
      <c r="U289" s="1819"/>
      <c r="V289" s="1819"/>
      <c r="W289" s="1821">
        <f t="shared" si="416"/>
        <v>0.35170099999999999</v>
      </c>
      <c r="X289" s="68">
        <f>'HVAC Deemed Table'!J1689</f>
        <v>6</v>
      </c>
      <c r="Y289" s="68">
        <f>'HVAC Deemed Table'!J1691</f>
        <v>12</v>
      </c>
      <c r="Z289" s="68">
        <f t="shared" si="150"/>
        <v>18</v>
      </c>
      <c r="AA289" s="62">
        <f>'HVAC Deemed Table'!BB1689</f>
        <v>1.3220394594007598</v>
      </c>
      <c r="AB289" s="839">
        <f>'HVAC Deemed Table'!K1689</f>
        <v>1685.1098012161674</v>
      </c>
      <c r="AC289" s="3618">
        <f t="shared" si="174"/>
        <v>982.37881448865915</v>
      </c>
      <c r="AD289" s="3618">
        <f t="shared" si="175"/>
        <v>1120.2938147050581</v>
      </c>
      <c r="AE289" s="2453">
        <f>'HVAC Deemed Table'!BD1689</f>
        <v>599.06824402216205</v>
      </c>
      <c r="AF289" s="2453">
        <f>'HVAC Deemed Table'!BD1690</f>
        <v>383.31057046649704</v>
      </c>
      <c r="AG289" s="2453">
        <f>'HVAC Deemed Table'!BD1691</f>
        <v>438.90213462443961</v>
      </c>
      <c r="AH289" s="2453">
        <f>'HVAC Deemed Table'!BD1692</f>
        <v>681.39168008061858</v>
      </c>
      <c r="AI289" s="3624" t="str">
        <f t="shared" si="391"/>
        <v>per measure</v>
      </c>
      <c r="AJ289" s="126">
        <f>'HVAC Deemed Table'!L1689</f>
        <v>3.1</v>
      </c>
      <c r="AK289" s="1805"/>
      <c r="AL289" s="1805"/>
      <c r="AM289" s="1972">
        <f t="shared" si="269"/>
        <v>9.4741810000000004E-4</v>
      </c>
      <c r="AN289" s="100">
        <f t="shared" si="410"/>
        <v>0.976068023344</v>
      </c>
      <c r="AO289" s="1804">
        <f t="shared" si="457"/>
        <v>2.3343999955294237E-8</v>
      </c>
      <c r="AP289" s="163">
        <f>AO289/O289</f>
        <v>2.3916366436861198E-8</v>
      </c>
    </row>
    <row r="290" spans="1:42" s="100" customFormat="1" x14ac:dyDescent="0.25">
      <c r="A290" s="103" t="str">
        <f t="shared" si="411"/>
        <v>354460</v>
      </c>
      <c r="B290" s="1960" t="str">
        <f>'HVAC Deemed Table'!C1693</f>
        <v>354460_2021_12_</v>
      </c>
      <c r="C290" s="3645" t="str">
        <f>'HVAC Deemed Table'!G1693</f>
        <v>Cooling Res</v>
      </c>
      <c r="D290" s="3645" t="str">
        <f>'HVAC Deemed Table'!G1694</f>
        <v>Heating Res</v>
      </c>
      <c r="E290" s="3645" t="str">
        <f>'HVAC Deemed Table'!G1695</f>
        <v>Cooling Res ER2</v>
      </c>
      <c r="F290" s="3645" t="str">
        <f>'HVAC Deemed Table'!G1696</f>
        <v>Heating Res ER2</v>
      </c>
      <c r="G290" s="1958" t="str">
        <f>'HVAC Deemed Table'!E1693</f>
        <v>ASHP-SEER19-Replace_CAC_NonElectricHeat_ER1_MF</v>
      </c>
      <c r="H290" s="1975" t="str">
        <f>'HVAC Deemed Table'!D1693</f>
        <v>MF</v>
      </c>
      <c r="I290" s="1973">
        <f t="shared" ref="I290" si="488">K290+L290</f>
        <v>1416.58</v>
      </c>
      <c r="J290" s="1973">
        <f t="shared" ref="J290" si="489">M290+N290</f>
        <v>510.42</v>
      </c>
      <c r="K290" s="1963">
        <f>'HVAC Deemed Table'!F1693</f>
        <v>1416.58</v>
      </c>
      <c r="L290" s="1963">
        <f>'HVAC Deemed Table'!F1694</f>
        <v>0</v>
      </c>
      <c r="M290" s="1963">
        <f>'HVAC Deemed Table'!F1695</f>
        <v>510.42</v>
      </c>
      <c r="N290" s="1963">
        <f>'HVAC Deemed Table'!F1696</f>
        <v>0</v>
      </c>
      <c r="O290" s="1974">
        <f t="shared" ref="O290" si="490">Q290+R290</f>
        <v>1.3420939999999999</v>
      </c>
      <c r="P290" s="1974">
        <f t="shared" ref="P290" si="491">S290+T290</f>
        <v>0.48358099999999998</v>
      </c>
      <c r="Q290" s="1976">
        <f>'HVAC Deemed Table'!I1693</f>
        <v>1.3420939999999999</v>
      </c>
      <c r="R290" s="1976">
        <f>'HVAC Deemed Table'!I1694</f>
        <v>0</v>
      </c>
      <c r="S290" s="1976">
        <f>'HVAC Deemed Table'!I1695</f>
        <v>0.48358099999999998</v>
      </c>
      <c r="T290" s="1976">
        <f>'HVAC Deemed Table'!I1696</f>
        <v>0</v>
      </c>
      <c r="U290" s="1926"/>
      <c r="V290" s="1926"/>
      <c r="W290" s="1926">
        <f t="shared" ref="W290" si="492">P290</f>
        <v>0.48358099999999998</v>
      </c>
      <c r="X290" s="1952">
        <f>'HVAC Deemed Table'!J1693</f>
        <v>6</v>
      </c>
      <c r="Y290" s="1952">
        <f>'HVAC Deemed Table'!J1695</f>
        <v>12</v>
      </c>
      <c r="Z290" s="1952">
        <f t="shared" ref="Z290" si="493">Y290+X290</f>
        <v>18</v>
      </c>
      <c r="AA290" s="1951">
        <f>'HVAC Deemed Table'!BB1693</f>
        <v>0.89734142315982435</v>
      </c>
      <c r="AB290" s="2426">
        <f>'HVAC Deemed Table'!K1693</f>
        <v>1685.1098012161674</v>
      </c>
      <c r="AC290" s="2436">
        <f t="shared" ref="AC290" si="494">AE290+AF290</f>
        <v>823.71883553047269</v>
      </c>
      <c r="AD290" s="2436">
        <f t="shared" ref="AD290" si="495">AG290+AH290</f>
        <v>603.48156768225431</v>
      </c>
      <c r="AE290" s="1982">
        <f>'HVAC Deemed Table'!BD1693</f>
        <v>823.71883553047269</v>
      </c>
      <c r="AF290" s="1982">
        <f>'HVAC Deemed Table'!BD1694</f>
        <v>0</v>
      </c>
      <c r="AG290" s="1982">
        <f>'HVAC Deemed Table'!BD1695</f>
        <v>603.48156768225431</v>
      </c>
      <c r="AH290" s="1982">
        <f>'HVAC Deemed Table'!BD1696</f>
        <v>0</v>
      </c>
      <c r="AI290" s="3624" t="str">
        <f t="shared" si="391"/>
        <v>per measure</v>
      </c>
      <c r="AJ290" s="112">
        <f>'HVAC Deemed Table'!L1693</f>
        <v>3.1</v>
      </c>
      <c r="AK290" s="3646"/>
      <c r="AL290" s="3646"/>
      <c r="AM290" s="2433">
        <f t="shared" si="269"/>
        <v>9.4741810000000004E-4</v>
      </c>
      <c r="AN290" s="100">
        <f t="shared" ref="AN290" si="496">AM290*K290</f>
        <v>1.3420935320980001</v>
      </c>
      <c r="AO290" s="3647">
        <f t="shared" ref="AO290" si="497">AN290-O290</f>
        <v>-4.6790199981217029E-7</v>
      </c>
      <c r="AP290" s="2204">
        <f>AO290/O290</f>
        <v>-3.4863578841137081E-7</v>
      </c>
    </row>
    <row r="291" spans="1:42" s="100" customFormat="1" x14ac:dyDescent="0.25">
      <c r="A291" s="103" t="str">
        <f t="shared" si="411"/>
        <v>354461</v>
      </c>
      <c r="B291" s="1960" t="str">
        <f>'HVAC Deemed Table'!C1697</f>
        <v>354461_2021_12_</v>
      </c>
      <c r="C291" s="3645" t="str">
        <f>'HVAC Deemed Table'!G1697</f>
        <v>Cooling Res</v>
      </c>
      <c r="D291" s="3645" t="str">
        <f>'HVAC Deemed Table'!G1698</f>
        <v>Heating Res</v>
      </c>
      <c r="E291" s="3645" t="str">
        <f>'HVAC Deemed Table'!G1699</f>
        <v>Cooling Res ER2</v>
      </c>
      <c r="F291" s="3645" t="str">
        <f>'HVAC Deemed Table'!G1700</f>
        <v>Heating Res ER2</v>
      </c>
      <c r="G291" s="1958" t="str">
        <f>'HVAC Deemed Table'!E1697</f>
        <v>ASHP-SEER19-Replace_CAC_NonElectricHeat_ER1_MF_CompE</v>
      </c>
      <c r="H291" s="1975" t="str">
        <f>'HVAC Deemed Table'!D1697</f>
        <v>MFc</v>
      </c>
      <c r="I291" s="1973">
        <f t="shared" ref="I291" si="498">K291+L291</f>
        <v>1030.24</v>
      </c>
      <c r="J291" s="1973">
        <f t="shared" ref="J291" si="499">M291+N291</f>
        <v>371.22</v>
      </c>
      <c r="K291" s="1963">
        <f>'HVAC Deemed Table'!F1697</f>
        <v>1030.24</v>
      </c>
      <c r="L291" s="1963">
        <f>'HVAC Deemed Table'!F1698</f>
        <v>0</v>
      </c>
      <c r="M291" s="1963">
        <f>'HVAC Deemed Table'!F1699</f>
        <v>371.22</v>
      </c>
      <c r="N291" s="1963">
        <f>'HVAC Deemed Table'!F1700</f>
        <v>0</v>
      </c>
      <c r="O291" s="1974">
        <f t="shared" ref="O291" si="500">Q291+R291</f>
        <v>0.97606800000000005</v>
      </c>
      <c r="P291" s="1974">
        <f t="shared" ref="P291" si="501">S291+T291</f>
        <v>0.35170099999999999</v>
      </c>
      <c r="Q291" s="1976">
        <f>'HVAC Deemed Table'!I1697</f>
        <v>0.97606800000000005</v>
      </c>
      <c r="R291" s="1976">
        <f>'HVAC Deemed Table'!I1698</f>
        <v>0</v>
      </c>
      <c r="S291" s="1976">
        <f>'HVAC Deemed Table'!I1699</f>
        <v>0.35170099999999999</v>
      </c>
      <c r="T291" s="1976">
        <f>'HVAC Deemed Table'!I1700</f>
        <v>0</v>
      </c>
      <c r="U291" s="1926"/>
      <c r="V291" s="1926"/>
      <c r="W291" s="1926">
        <f t="shared" ref="W291" si="502">P291</f>
        <v>0.35170099999999999</v>
      </c>
      <c r="X291" s="1952">
        <f>'HVAC Deemed Table'!J1697</f>
        <v>6</v>
      </c>
      <c r="Y291" s="1952">
        <f>'HVAC Deemed Table'!J1699</f>
        <v>12</v>
      </c>
      <c r="Z291" s="1952">
        <f t="shared" ref="Z291" si="503">Y291+X291</f>
        <v>18</v>
      </c>
      <c r="AA291" s="1951">
        <f>'HVAC Deemed Table'!BB1697</f>
        <v>0.65261599889952815</v>
      </c>
      <c r="AB291" s="2426">
        <f>'HVAC Deemed Table'!K1697</f>
        <v>1685.1098012161674</v>
      </c>
      <c r="AC291" s="2436">
        <f t="shared" ref="AC291" si="504">AE291+AF291</f>
        <v>599.06824402216205</v>
      </c>
      <c r="AD291" s="2436">
        <f t="shared" ref="AD291" si="505">AG291+AH291</f>
        <v>438.90213462443961</v>
      </c>
      <c r="AE291" s="1982">
        <f>'HVAC Deemed Table'!BD1697</f>
        <v>599.06824402216205</v>
      </c>
      <c r="AF291" s="1982">
        <f>'HVAC Deemed Table'!BD1698</f>
        <v>0</v>
      </c>
      <c r="AG291" s="1982">
        <f>'HVAC Deemed Table'!BD1699</f>
        <v>438.90213462443961</v>
      </c>
      <c r="AH291" s="1982">
        <f>'HVAC Deemed Table'!BD1700</f>
        <v>0</v>
      </c>
      <c r="AI291" s="3624" t="str">
        <f t="shared" si="391"/>
        <v>per measure</v>
      </c>
      <c r="AJ291" s="112">
        <f>'HVAC Deemed Table'!L1697</f>
        <v>3.1</v>
      </c>
      <c r="AK291" s="3646"/>
      <c r="AL291" s="3646"/>
      <c r="AM291" s="2433">
        <f t="shared" si="269"/>
        <v>9.4741810000000004E-4</v>
      </c>
      <c r="AN291" s="100">
        <f t="shared" ref="AN291" si="506">AM291*K291</f>
        <v>0.976068023344</v>
      </c>
      <c r="AO291" s="3647">
        <f t="shared" ref="AO291" si="507">AN291-O291</f>
        <v>2.3343999955294237E-8</v>
      </c>
      <c r="AP291" s="2204">
        <f>AO291/O291</f>
        <v>2.3916366436861198E-8</v>
      </c>
    </row>
    <row r="292" spans="1:42" x14ac:dyDescent="0.25">
      <c r="A292" s="103" t="str">
        <f t="shared" si="411"/>
        <v>354500</v>
      </c>
      <c r="B292" s="684" t="str">
        <f>'HVAC Deemed Table'!C1701</f>
        <v>354500_2019_12_</v>
      </c>
      <c r="C292" s="3599" t="str">
        <f>'HVAC Deemed Table'!G1701</f>
        <v>Cooling Res</v>
      </c>
      <c r="D292" s="3599" t="str">
        <f>'HVAC Deemed Table'!G1702</f>
        <v>Heating Res</v>
      </c>
      <c r="E292" s="3599" t="str">
        <f>'HVAC Deemed Table'!G1703</f>
        <v>Cooling Res ER2</v>
      </c>
      <c r="F292" s="3599" t="str">
        <f>'HVAC Deemed Table'!G1704</f>
        <v>Heating Res ER2</v>
      </c>
      <c r="G292" s="1962" t="str">
        <f>'HVAC Deemed Table'!E1701</f>
        <v>ASHP-SEER19_ER1_MF</v>
      </c>
      <c r="H292" s="63" t="str">
        <f>'HVAC Deemed Table'!D1701</f>
        <v>MF</v>
      </c>
      <c r="I292" s="2438">
        <f t="shared" si="414"/>
        <v>3306.73</v>
      </c>
      <c r="J292" s="2438">
        <f t="shared" si="415"/>
        <v>1063.06</v>
      </c>
      <c r="K292" s="2439">
        <f>'HVAC Deemed Table'!F1701</f>
        <v>1507.97</v>
      </c>
      <c r="L292" s="2439">
        <f>'HVAC Deemed Table'!F1702</f>
        <v>1798.76</v>
      </c>
      <c r="M292" s="2439">
        <f>'HVAC Deemed Table'!F1703</f>
        <v>420.45</v>
      </c>
      <c r="N292" s="2439">
        <f>'HVAC Deemed Table'!F1704</f>
        <v>642.61</v>
      </c>
      <c r="O292" s="2440">
        <f t="shared" si="412"/>
        <v>1.4286779999999999</v>
      </c>
      <c r="P292" s="2440">
        <f t="shared" si="413"/>
        <v>0.39834199999999997</v>
      </c>
      <c r="Q292" s="2441">
        <f>'HVAC Deemed Table'!I1701</f>
        <v>1.4286779999999999</v>
      </c>
      <c r="R292" s="2441">
        <f>'HVAC Deemed Table'!I1702</f>
        <v>0</v>
      </c>
      <c r="S292" s="2441">
        <f>'HVAC Deemed Table'!I1703</f>
        <v>0.39834199999999997</v>
      </c>
      <c r="T292" s="2441">
        <f>'HVAC Deemed Table'!I1704</f>
        <v>0</v>
      </c>
      <c r="U292" s="1819"/>
      <c r="V292" s="1819"/>
      <c r="W292" s="1821">
        <f t="shared" si="416"/>
        <v>0.39834199999999997</v>
      </c>
      <c r="X292" s="68">
        <f>'HVAC Deemed Table'!J1701</f>
        <v>6</v>
      </c>
      <c r="Y292" s="68">
        <f>'HVAC Deemed Table'!J1703</f>
        <v>12</v>
      </c>
      <c r="Z292" s="68">
        <f t="shared" si="150"/>
        <v>18</v>
      </c>
      <c r="AA292" s="62">
        <f>'HVAC Deemed Table'!BB1701</f>
        <v>1.1502519854045077</v>
      </c>
      <c r="AB292" s="839">
        <f>'HVAC Deemed Table'!K1701</f>
        <v>1716.1717238752744</v>
      </c>
      <c r="AC292" s="3618">
        <f t="shared" si="174"/>
        <v>1176.0547272292426</v>
      </c>
      <c r="AD292" s="3618">
        <f t="shared" si="175"/>
        <v>687.11651645420295</v>
      </c>
      <c r="AE292" s="2453">
        <f>'HVAC Deemed Table'!BD1701</f>
        <v>876.86067318110304</v>
      </c>
      <c r="AF292" s="2453">
        <f>'HVAC Deemed Table'!BD1702</f>
        <v>299.19405404813961</v>
      </c>
      <c r="AG292" s="2453">
        <f>'HVAC Deemed Table'!BD1703</f>
        <v>497.10792118648141</v>
      </c>
      <c r="AH292" s="2453">
        <f>'HVAC Deemed Table'!BD1704</f>
        <v>190.00859526772157</v>
      </c>
      <c r="AI292" s="3624" t="str">
        <f t="shared" si="391"/>
        <v>per measure</v>
      </c>
      <c r="AJ292" s="126">
        <f>'HVAC Deemed Table'!L1701</f>
        <v>3.3</v>
      </c>
      <c r="AK292" s="1805"/>
      <c r="AL292" s="1805"/>
      <c r="AM292" s="1972">
        <f t="shared" si="269"/>
        <v>9.4741810000000004E-4</v>
      </c>
      <c r="AN292" s="100">
        <f t="shared" si="410"/>
        <v>1.4286780722570001</v>
      </c>
      <c r="AO292" s="1971">
        <f t="shared" si="457"/>
        <v>7.2257000161002338E-8</v>
      </c>
      <c r="AP292" s="1930"/>
    </row>
    <row r="293" spans="1:42" x14ac:dyDescent="0.25">
      <c r="A293" s="103" t="str">
        <f t="shared" si="411"/>
        <v>354501</v>
      </c>
      <c r="B293" s="684" t="str">
        <f>'HVAC Deemed Table'!C1705</f>
        <v>354501_2019_12_</v>
      </c>
      <c r="C293" s="3599" t="str">
        <f>'HVAC Deemed Table'!G1705</f>
        <v>Cooling Res</v>
      </c>
      <c r="D293" s="3599" t="str">
        <f>'HVAC Deemed Table'!G1706</f>
        <v>Heating Res</v>
      </c>
      <c r="E293" s="3599" t="str">
        <f>'HVAC Deemed Table'!G1707</f>
        <v>Cooling Res ER2</v>
      </c>
      <c r="F293" s="3599" t="str">
        <f>'HVAC Deemed Table'!G1708</f>
        <v>Heating Res ER2</v>
      </c>
      <c r="G293" s="1962" t="str">
        <f>'HVAC Deemed Table'!E1705</f>
        <v>ASHP-SEER19_ER1_MF_CompE</v>
      </c>
      <c r="H293" s="63" t="str">
        <f>'HVAC Deemed Table'!D1705</f>
        <v>MFc</v>
      </c>
      <c r="I293" s="2438">
        <f t="shared" si="414"/>
        <v>1709.92</v>
      </c>
      <c r="J293" s="2438">
        <f t="shared" si="415"/>
        <v>524.84999999999991</v>
      </c>
      <c r="K293" s="2439">
        <f>'HVAC Deemed Table'!F1705</f>
        <v>1096.71</v>
      </c>
      <c r="L293" s="2439">
        <f>'HVAC Deemed Table'!F1706</f>
        <v>613.21</v>
      </c>
      <c r="M293" s="2439">
        <f>'HVAC Deemed Table'!F1707</f>
        <v>305.77999999999997</v>
      </c>
      <c r="N293" s="2439">
        <f>'HVAC Deemed Table'!F1708</f>
        <v>219.07</v>
      </c>
      <c r="O293" s="2440">
        <f t="shared" si="412"/>
        <v>1.0390429999999999</v>
      </c>
      <c r="P293" s="2440">
        <f t="shared" si="413"/>
        <v>0.28970200000000002</v>
      </c>
      <c r="Q293" s="2441">
        <f>'HVAC Deemed Table'!I1705</f>
        <v>1.0390429999999999</v>
      </c>
      <c r="R293" s="2441">
        <f>'HVAC Deemed Table'!I1706</f>
        <v>0</v>
      </c>
      <c r="S293" s="2441">
        <f>'HVAC Deemed Table'!I1707</f>
        <v>0.28970200000000002</v>
      </c>
      <c r="T293" s="2441">
        <f>'HVAC Deemed Table'!I1708</f>
        <v>0</v>
      </c>
      <c r="U293" s="1819"/>
      <c r="V293" s="1819"/>
      <c r="W293" s="1821">
        <f t="shared" si="416"/>
        <v>0.28970200000000002</v>
      </c>
      <c r="X293" s="68">
        <f>'HVAC Deemed Table'!J1705</f>
        <v>6</v>
      </c>
      <c r="Y293" s="68">
        <f>'HVAC Deemed Table'!J1707</f>
        <v>12</v>
      </c>
      <c r="Z293" s="68">
        <f>Y293+X293</f>
        <v>18</v>
      </c>
      <c r="AA293" s="62">
        <f>'HVAC Deemed Table'!BB1705</f>
        <v>0.71985878971820694</v>
      </c>
      <c r="AB293" s="839">
        <f>'HVAC Deemed Table'!K1705</f>
        <v>1716.1717238752744</v>
      </c>
      <c r="AC293" s="3618">
        <f t="shared" si="174"/>
        <v>739.71686445430237</v>
      </c>
      <c r="AD293" s="3618">
        <f t="shared" si="175"/>
        <v>426.30607098454988</v>
      </c>
      <c r="AE293" s="2453">
        <f>'HVAC Deemed Table'!BD1705</f>
        <v>637.71949633245197</v>
      </c>
      <c r="AF293" s="2453">
        <f>'HVAC Deemed Table'!BD1706</f>
        <v>101.99736812185043</v>
      </c>
      <c r="AG293" s="2453">
        <f>'HVAC Deemed Table'!BD1707</f>
        <v>361.53088391105308</v>
      </c>
      <c r="AH293" s="2453">
        <f>'HVAC Deemed Table'!BD1708</f>
        <v>64.775187073496781</v>
      </c>
      <c r="AI293" s="3624" t="str">
        <f t="shared" si="391"/>
        <v>per measure</v>
      </c>
      <c r="AJ293" s="126">
        <f>'HVAC Deemed Table'!L1705</f>
        <v>3.3</v>
      </c>
      <c r="AK293" s="1805"/>
      <c r="AL293" s="1805"/>
      <c r="AM293" s="1972">
        <f t="shared" ref="AM293:AM356" si="508">VLOOKUP(C293,$AS$10:$AT$33,2,FALSE)</f>
        <v>9.4741810000000004E-4</v>
      </c>
      <c r="AN293" s="100">
        <f t="shared" si="410"/>
        <v>1.0390429044510001</v>
      </c>
      <c r="AO293" s="1804">
        <f t="shared" si="457"/>
        <v>-9.5548999823336089E-8</v>
      </c>
      <c r="AP293" s="163">
        <f>AO293/O293</f>
        <v>-9.1958657941332645E-8</v>
      </c>
    </row>
    <row r="294" spans="1:42" x14ac:dyDescent="0.25">
      <c r="A294" s="103" t="str">
        <f t="shared" si="411"/>
        <v>354550</v>
      </c>
      <c r="B294" s="1960" t="str">
        <f>'HVAC Deemed Table'!C1709</f>
        <v>354550_2021_12_</v>
      </c>
      <c r="C294" s="3599" t="str">
        <f>'HVAC Deemed Table'!G1709</f>
        <v>Cooling Res</v>
      </c>
      <c r="D294" s="3599" t="str">
        <f>'HVAC Deemed Table'!G1710</f>
        <v>Heating Res</v>
      </c>
      <c r="E294" s="3599" t="str">
        <f>'HVAC Deemed Table'!G1711</f>
        <v>Cooling Res ER2</v>
      </c>
      <c r="F294" s="3599" t="str">
        <f>'HVAC Deemed Table'!G1712</f>
        <v>Heating Res ER2</v>
      </c>
      <c r="G294" s="1962" t="str">
        <f>'HVAC Deemed Table'!E1709</f>
        <v>ASHP-SEER20_ER1_SF</v>
      </c>
      <c r="H294" s="63" t="str">
        <f>'HVAC Deemed Table'!D1709</f>
        <v>SF</v>
      </c>
      <c r="I294" s="2438">
        <f t="shared" si="414"/>
        <v>8745.07</v>
      </c>
      <c r="J294" s="2438">
        <f t="shared" si="415"/>
        <v>3515.06</v>
      </c>
      <c r="K294" s="2439">
        <f>'HVAC Deemed Table'!F1709</f>
        <v>3652.3</v>
      </c>
      <c r="L294" s="2439">
        <f>'HVAC Deemed Table'!F1710</f>
        <v>5092.7700000000004</v>
      </c>
      <c r="M294" s="2439">
        <f>'HVAC Deemed Table'!F1711</f>
        <v>1117.29</v>
      </c>
      <c r="N294" s="2439">
        <f>'HVAC Deemed Table'!F1712</f>
        <v>2397.77</v>
      </c>
      <c r="O294" s="2440">
        <f t="shared" si="412"/>
        <v>3.4602550000000001</v>
      </c>
      <c r="P294" s="2440">
        <f t="shared" si="413"/>
        <v>1.058541</v>
      </c>
      <c r="Q294" s="2441">
        <f>'HVAC Deemed Table'!I1709</f>
        <v>3.4602550000000001</v>
      </c>
      <c r="R294" s="2441">
        <f>'HVAC Deemed Table'!I1710</f>
        <v>0</v>
      </c>
      <c r="S294" s="2441">
        <f>'HVAC Deemed Table'!I1711</f>
        <v>1.058541</v>
      </c>
      <c r="T294" s="2441">
        <f>'HVAC Deemed Table'!I1712</f>
        <v>0</v>
      </c>
      <c r="U294" s="1819"/>
      <c r="V294" s="1819"/>
      <c r="W294" s="1821">
        <f t="shared" si="416"/>
        <v>1.058541</v>
      </c>
      <c r="X294" s="68">
        <f>'HVAC Deemed Table'!J1709</f>
        <v>6</v>
      </c>
      <c r="Y294" s="68">
        <f>'HVAC Deemed Table'!J1711</f>
        <v>12</v>
      </c>
      <c r="Z294" s="68">
        <f t="shared" si="150"/>
        <v>18</v>
      </c>
      <c r="AA294" s="62">
        <f>'HVAC Deemed Table'!BB1709</f>
        <v>2.0076696400798935</v>
      </c>
      <c r="AB294" s="839">
        <f>'HVAC Deemed Table'!K1709</f>
        <v>2639.0693330425956</v>
      </c>
      <c r="AC294" s="3618">
        <f t="shared" si="174"/>
        <v>2970.8528885665773</v>
      </c>
      <c r="AD294" s="3618">
        <f t="shared" si="175"/>
        <v>2029.977104841174</v>
      </c>
      <c r="AE294" s="2453">
        <f>'HVAC Deemed Table'!BD1709</f>
        <v>2123.7546082875274</v>
      </c>
      <c r="AF294" s="2453">
        <f>'HVAC Deemed Table'!BD1710</f>
        <v>847.09828027904996</v>
      </c>
      <c r="AG294" s="2453">
        <f>'HVAC Deemed Table'!BD1711</f>
        <v>1320.998238226766</v>
      </c>
      <c r="AH294" s="2453">
        <f>'HVAC Deemed Table'!BD1712</f>
        <v>708.97886661440805</v>
      </c>
      <c r="AI294" s="3624" t="str">
        <f t="shared" si="391"/>
        <v>per measure</v>
      </c>
      <c r="AJ294" s="126">
        <f>'HVAC Deemed Table'!L1709</f>
        <v>5</v>
      </c>
      <c r="AK294" s="1805"/>
      <c r="AL294" s="1805"/>
      <c r="AM294" s="1972">
        <f t="shared" si="508"/>
        <v>9.4741810000000004E-4</v>
      </c>
      <c r="AN294" s="100">
        <f t="shared" si="410"/>
        <v>3.4602551266300003</v>
      </c>
      <c r="AO294" s="1971">
        <f t="shared" si="457"/>
        <v>1.2663000026336135E-7</v>
      </c>
      <c r="AP294" s="1930"/>
    </row>
    <row r="295" spans="1:42" x14ac:dyDescent="0.25">
      <c r="A295" s="103" t="str">
        <f t="shared" si="411"/>
        <v>354600</v>
      </c>
      <c r="B295" s="1960" t="str">
        <f>'HVAC Deemed Table'!C1713</f>
        <v>354600_2021_12_</v>
      </c>
      <c r="C295" s="3599" t="str">
        <f>'HVAC Deemed Table'!G1713</f>
        <v>Cooling Res</v>
      </c>
      <c r="D295" s="3599" t="str">
        <f>'HVAC Deemed Table'!G1714</f>
        <v>Heating Res</v>
      </c>
      <c r="E295" s="1962"/>
      <c r="F295" s="1962"/>
      <c r="G295" s="1962" t="str">
        <f>'HVAC Deemed Table'!E1713</f>
        <v>ASHP-SEER20_ROF_SF</v>
      </c>
      <c r="H295" s="63" t="str">
        <f>'HVAC Deemed Table'!D1713</f>
        <v>SF</v>
      </c>
      <c r="I295" s="2438">
        <f t="shared" ref="I295:I305" si="509">K295+L295</f>
        <v>2287.3000000000002</v>
      </c>
      <c r="J295" s="2438">
        <f t="shared" ref="J295:J305" si="510">M295+N295</f>
        <v>0</v>
      </c>
      <c r="K295" s="2439">
        <f>'HVAC Deemed Table'!F1713</f>
        <v>675.57</v>
      </c>
      <c r="L295" s="2439">
        <f>'HVAC Deemed Table'!F1714</f>
        <v>1611.73</v>
      </c>
      <c r="M295" s="2439"/>
      <c r="N295" s="2439"/>
      <c r="O295" s="2440">
        <f t="shared" ref="O295:O305" si="511">Q295+R295</f>
        <v>0.64004700000000003</v>
      </c>
      <c r="P295" s="2440">
        <f t="shared" ref="P295:P305" si="512">S295+T295</f>
        <v>0</v>
      </c>
      <c r="Q295" s="2441">
        <f>'HVAC Deemed Table'!I1713</f>
        <v>0.64004700000000003</v>
      </c>
      <c r="R295" s="2441">
        <f>'HVAC Deemed Table'!I1714</f>
        <v>0</v>
      </c>
      <c r="S295" s="2441"/>
      <c r="T295" s="2441"/>
      <c r="U295" s="1819"/>
      <c r="V295" s="1819"/>
      <c r="W295" s="1819">
        <f>O295</f>
        <v>0.64004700000000003</v>
      </c>
      <c r="X295" s="68">
        <f>'HVAC Deemed Table'!J1713</f>
        <v>18</v>
      </c>
      <c r="Y295" s="68"/>
      <c r="Z295" s="68">
        <f t="shared" si="150"/>
        <v>18</v>
      </c>
      <c r="AA295" s="62">
        <f>'HVAC Deemed Table'!BB1713</f>
        <v>1.4202812987850018</v>
      </c>
      <c r="AB295" s="839">
        <f>'HVAC Deemed Table'!K1713</f>
        <v>1444.3799999999994</v>
      </c>
      <c r="AC295" s="3618">
        <f t="shared" si="174"/>
        <v>1936.2207667192824</v>
      </c>
      <c r="AD295" s="3618">
        <f t="shared" si="175"/>
        <v>0</v>
      </c>
      <c r="AE295" s="2453">
        <f>'HVAC Deemed Table'!BD1713</f>
        <v>1191.5755518654103</v>
      </c>
      <c r="AF295" s="2453">
        <f>'HVAC Deemed Table'!BD1714</f>
        <v>744.64521485387218</v>
      </c>
      <c r="AG295" s="2453"/>
      <c r="AH295" s="2453"/>
      <c r="AI295" s="3624" t="str">
        <f t="shared" si="391"/>
        <v>per measure</v>
      </c>
      <c r="AJ295" s="126">
        <f>'HVAC Deemed Table'!L1713</f>
        <v>3</v>
      </c>
      <c r="AK295" s="1805"/>
      <c r="AL295" s="1805"/>
      <c r="AM295" s="1972">
        <f t="shared" si="508"/>
        <v>9.4741810000000004E-4</v>
      </c>
      <c r="AN295" s="100">
        <f t="shared" si="410"/>
        <v>0.64004724581700012</v>
      </c>
      <c r="AO295" s="1971">
        <f t="shared" si="457"/>
        <v>2.4581700008852181E-7</v>
      </c>
      <c r="AP295" s="1930"/>
    </row>
    <row r="296" spans="1:42" x14ac:dyDescent="0.25">
      <c r="A296" s="103" t="str">
        <f t="shared" si="411"/>
        <v>354650</v>
      </c>
      <c r="B296" s="684" t="str">
        <f>'HVAC Deemed Table'!C1715</f>
        <v>354650_2019_12_</v>
      </c>
      <c r="C296" s="3599" t="str">
        <f>'HVAC Deemed Table'!G1715</f>
        <v>Cooling Res</v>
      </c>
      <c r="D296" s="3599" t="str">
        <f>'HVAC Deemed Table'!G1716</f>
        <v>Heating Res</v>
      </c>
      <c r="E296" s="3599" t="str">
        <f>'HVAC Deemed Table'!G1717</f>
        <v>Cooling Res ER2</v>
      </c>
      <c r="F296" s="3599" t="str">
        <f>'HVAC Deemed Table'!G1718</f>
        <v>Heating Res ER2</v>
      </c>
      <c r="G296" s="1962" t="str">
        <f>'HVAC Deemed Table'!E1715</f>
        <v>ASHP-SEER20-Replace_CAC_ElectricHeat_ER1_MF</v>
      </c>
      <c r="H296" s="63" t="str">
        <f>'HVAC Deemed Table'!D1715</f>
        <v>MF</v>
      </c>
      <c r="I296" s="2438">
        <f t="shared" si="509"/>
        <v>8231.66</v>
      </c>
      <c r="J296" s="2438">
        <f t="shared" si="510"/>
        <v>7325.5</v>
      </c>
      <c r="K296" s="2439">
        <f>'HVAC Deemed Table'!F1715</f>
        <v>1471.88</v>
      </c>
      <c r="L296" s="2439">
        <f>'HVAC Deemed Table'!F1716</f>
        <v>6759.78</v>
      </c>
      <c r="M296" s="2439">
        <f>'HVAC Deemed Table'!F1717</f>
        <v>565.72</v>
      </c>
      <c r="N296" s="2439">
        <f>'HVAC Deemed Table'!F1718</f>
        <v>6759.78</v>
      </c>
      <c r="O296" s="2440">
        <f t="shared" si="511"/>
        <v>1.3944859999999999</v>
      </c>
      <c r="P296" s="2440">
        <f t="shared" si="512"/>
        <v>0.53597300000000003</v>
      </c>
      <c r="Q296" s="2441">
        <f>'HVAC Deemed Table'!I1715</f>
        <v>1.3944859999999999</v>
      </c>
      <c r="R296" s="2441">
        <f>'HVAC Deemed Table'!I1716</f>
        <v>0</v>
      </c>
      <c r="S296" s="2441">
        <f>'HVAC Deemed Table'!I1717</f>
        <v>0.53597300000000003</v>
      </c>
      <c r="T296" s="2441">
        <f>'HVAC Deemed Table'!I1718</f>
        <v>0</v>
      </c>
      <c r="U296" s="1819"/>
      <c r="V296" s="1819"/>
      <c r="W296" s="1821">
        <f t="shared" ref="W296:W302" si="513">P296</f>
        <v>0.53597300000000003</v>
      </c>
      <c r="X296" s="68">
        <f>'HVAC Deemed Table'!J1715</f>
        <v>6</v>
      </c>
      <c r="Y296" s="68">
        <f>'HVAC Deemed Table'!J1717</f>
        <v>12</v>
      </c>
      <c r="Z296" s="68">
        <f t="shared" ref="Z296:Z343" si="514">Y296+X296</f>
        <v>18</v>
      </c>
      <c r="AA296" s="62">
        <f>'HVAC Deemed Table'!BB1715</f>
        <v>2.5570217316389692</v>
      </c>
      <c r="AB296" s="839">
        <f>'HVAC Deemed Table'!K1715</f>
        <v>1925.8398012161661</v>
      </c>
      <c r="AC296" s="3618">
        <f t="shared" si="174"/>
        <v>1980.2528048871757</v>
      </c>
      <c r="AD296" s="3618">
        <f t="shared" si="175"/>
        <v>2667.613380450256</v>
      </c>
      <c r="AE296" s="2453">
        <f>'HVAC Deemed Table'!BD1715</f>
        <v>855.87490974077878</v>
      </c>
      <c r="AF296" s="2453">
        <f>'HVAC Deemed Table'!BD1716</f>
        <v>1124.3778951463969</v>
      </c>
      <c r="AG296" s="2453">
        <f>'HVAC Deemed Table'!BD1717</f>
        <v>668.86405797030864</v>
      </c>
      <c r="AH296" s="2453">
        <f>'HVAC Deemed Table'!BD1718</f>
        <v>1998.7493224799473</v>
      </c>
      <c r="AI296" s="3624" t="str">
        <f t="shared" si="391"/>
        <v>per measure</v>
      </c>
      <c r="AJ296" s="126">
        <f>'HVAC Deemed Table'!L1715</f>
        <v>3.1</v>
      </c>
      <c r="AK296" s="1805"/>
      <c r="AL296" s="1805"/>
      <c r="AM296" s="1972">
        <f t="shared" si="508"/>
        <v>9.4741810000000004E-4</v>
      </c>
      <c r="AN296" s="100">
        <f t="shared" si="410"/>
        <v>1.3944857530280002</v>
      </c>
      <c r="AO296" s="1971">
        <f t="shared" si="457"/>
        <v>-2.4697199973999773E-7</v>
      </c>
      <c r="AP296" s="1930"/>
    </row>
    <row r="297" spans="1:42" x14ac:dyDescent="0.25">
      <c r="A297" s="103" t="str">
        <f t="shared" si="411"/>
        <v>354651</v>
      </c>
      <c r="B297" s="684" t="str">
        <f>'HVAC Deemed Table'!C1719</f>
        <v>354651_2019_12_</v>
      </c>
      <c r="C297" s="3599" t="str">
        <f>'HVAC Deemed Table'!G1719</f>
        <v>Cooling Res</v>
      </c>
      <c r="D297" s="3599" t="str">
        <f>'HVAC Deemed Table'!G1720</f>
        <v>Heating Res</v>
      </c>
      <c r="E297" s="3599" t="str">
        <f>'HVAC Deemed Table'!G1721</f>
        <v>Cooling Res ER2</v>
      </c>
      <c r="F297" s="3599" t="str">
        <f>'HVAC Deemed Table'!G1722</f>
        <v>Heating Res ER2</v>
      </c>
      <c r="G297" s="1962" t="str">
        <f>'HVAC Deemed Table'!E1719</f>
        <v>ASHP-SEER20-Replace_CAC_ElectricHeat_ER1_MF_CompE</v>
      </c>
      <c r="H297" s="63" t="str">
        <f>'HVAC Deemed Table'!D1719</f>
        <v>MFc</v>
      </c>
      <c r="I297" s="2438">
        <f t="shared" si="509"/>
        <v>3374.93</v>
      </c>
      <c r="J297" s="2438">
        <f t="shared" si="510"/>
        <v>2715.8999999999996</v>
      </c>
      <c r="K297" s="2439">
        <f>'HVAC Deemed Table'!F1719</f>
        <v>1070.46</v>
      </c>
      <c r="L297" s="2439">
        <f>'HVAC Deemed Table'!F1720</f>
        <v>2304.4699999999998</v>
      </c>
      <c r="M297" s="2439">
        <f>'HVAC Deemed Table'!F1721</f>
        <v>411.43</v>
      </c>
      <c r="N297" s="2439">
        <f>'HVAC Deemed Table'!F1722</f>
        <v>2304.4699999999998</v>
      </c>
      <c r="O297" s="2440">
        <f t="shared" si="511"/>
        <v>1.014173</v>
      </c>
      <c r="P297" s="2440">
        <f t="shared" si="512"/>
        <v>0.38979599999999998</v>
      </c>
      <c r="Q297" s="2441">
        <f>'HVAC Deemed Table'!I1719</f>
        <v>1.014173</v>
      </c>
      <c r="R297" s="2441">
        <f>'HVAC Deemed Table'!I1720</f>
        <v>0</v>
      </c>
      <c r="S297" s="2441">
        <f>'HVAC Deemed Table'!I1721</f>
        <v>0.38979599999999998</v>
      </c>
      <c r="T297" s="2441">
        <f>'HVAC Deemed Table'!I1722</f>
        <v>0</v>
      </c>
      <c r="U297" s="1819"/>
      <c r="V297" s="1819"/>
      <c r="W297" s="1821">
        <f t="shared" si="513"/>
        <v>0.38979599999999998</v>
      </c>
      <c r="X297" s="68">
        <f>'HVAC Deemed Table'!J1719</f>
        <v>6</v>
      </c>
      <c r="Y297" s="68">
        <f>'HVAC Deemed Table'!J1721</f>
        <v>12</v>
      </c>
      <c r="Z297" s="68">
        <f t="shared" si="514"/>
        <v>18</v>
      </c>
      <c r="AA297" s="62">
        <f>'HVAC Deemed Table'!BB1719</f>
        <v>1.1958058077888361</v>
      </c>
      <c r="AB297" s="839">
        <f>'HVAC Deemed Table'!K1719</f>
        <v>1925.8398012161661</v>
      </c>
      <c r="AC297" s="3618">
        <f t="shared" si="174"/>
        <v>1005.766107521905</v>
      </c>
      <c r="AD297" s="3618">
        <f t="shared" si="175"/>
        <v>1167.8350431767158</v>
      </c>
      <c r="AE297" s="2453">
        <f>'HVAC Deemed Table'!BD1719</f>
        <v>622.45553705540806</v>
      </c>
      <c r="AF297" s="2453">
        <f>'HVAC Deemed Table'!BD1720</f>
        <v>383.31057046649704</v>
      </c>
      <c r="AG297" s="2453">
        <f>'HVAC Deemed Table'!BD1721</f>
        <v>486.44336309609713</v>
      </c>
      <c r="AH297" s="2453">
        <f>'HVAC Deemed Table'!BD1722</f>
        <v>681.39168008061858</v>
      </c>
      <c r="AI297" s="3624" t="str">
        <f t="shared" si="391"/>
        <v>per measure</v>
      </c>
      <c r="AJ297" s="126">
        <f>'HVAC Deemed Table'!L1719</f>
        <v>3.1</v>
      </c>
      <c r="AK297" s="1805"/>
      <c r="AL297" s="1805"/>
      <c r="AM297" s="1972">
        <f t="shared" si="508"/>
        <v>9.4741810000000004E-4</v>
      </c>
      <c r="AN297" s="100">
        <f t="shared" si="410"/>
        <v>1.014173179326</v>
      </c>
      <c r="AO297" s="1804">
        <f t="shared" si="457"/>
        <v>1.7932600004932908E-7</v>
      </c>
      <c r="AP297" s="163">
        <f>AO297/O297</f>
        <v>1.7681993116492854E-7</v>
      </c>
    </row>
    <row r="298" spans="1:42" s="100" customFormat="1" x14ac:dyDescent="0.25">
      <c r="A298" s="103" t="str">
        <f t="shared" si="411"/>
        <v>354660</v>
      </c>
      <c r="B298" s="1960" t="str">
        <f>'HVAC Deemed Table'!C1723</f>
        <v>354660_2021_12_</v>
      </c>
      <c r="C298" s="3645" t="str">
        <f>'HVAC Deemed Table'!G1723</f>
        <v>Cooling Res</v>
      </c>
      <c r="D298" s="3645" t="str">
        <f>'HVAC Deemed Table'!G1724</f>
        <v>Heating Res</v>
      </c>
      <c r="E298" s="3645" t="str">
        <f>'HVAC Deemed Table'!G1725</f>
        <v>Cooling Res ER2</v>
      </c>
      <c r="F298" s="3645" t="str">
        <f>'HVAC Deemed Table'!G1726</f>
        <v>Heating Res ER2</v>
      </c>
      <c r="G298" s="1958" t="str">
        <f>'HVAC Deemed Table'!E1723</f>
        <v>ASHP-SEER20-Replace_CAC_NonElectricHeat_ER1_MF</v>
      </c>
      <c r="H298" s="1975" t="str">
        <f>'HVAC Deemed Table'!D1723</f>
        <v>MF</v>
      </c>
      <c r="I298" s="1973">
        <f t="shared" ref="I298" si="515">K298+L298</f>
        <v>1471.88</v>
      </c>
      <c r="J298" s="1973">
        <f t="shared" ref="J298" si="516">M298+N298</f>
        <v>565.72</v>
      </c>
      <c r="K298" s="1963">
        <f>'HVAC Deemed Table'!F1723</f>
        <v>1471.88</v>
      </c>
      <c r="L298" s="1963">
        <f>'HVAC Deemed Table'!F1724</f>
        <v>0</v>
      </c>
      <c r="M298" s="1963">
        <f>'HVAC Deemed Table'!F1725</f>
        <v>565.72</v>
      </c>
      <c r="N298" s="1963">
        <f>'HVAC Deemed Table'!F1726</f>
        <v>0</v>
      </c>
      <c r="O298" s="1974">
        <f t="shared" ref="O298" si="517">Q298+R298</f>
        <v>1.3944859999999999</v>
      </c>
      <c r="P298" s="1974">
        <f t="shared" ref="P298" si="518">S298+T298</f>
        <v>0.53597300000000003</v>
      </c>
      <c r="Q298" s="1976">
        <f>'HVAC Deemed Table'!I1723</f>
        <v>1.3944859999999999</v>
      </c>
      <c r="R298" s="1976">
        <f>'HVAC Deemed Table'!I1724</f>
        <v>0</v>
      </c>
      <c r="S298" s="1976">
        <f>'HVAC Deemed Table'!I1725</f>
        <v>0.53597300000000003</v>
      </c>
      <c r="T298" s="1976">
        <f>'HVAC Deemed Table'!I1726</f>
        <v>0</v>
      </c>
      <c r="U298" s="1926"/>
      <c r="V298" s="1926"/>
      <c r="W298" s="1926">
        <f t="shared" si="513"/>
        <v>0.53597300000000003</v>
      </c>
      <c r="X298" s="1952">
        <f>'HVAC Deemed Table'!J1723</f>
        <v>6</v>
      </c>
      <c r="Y298" s="1952">
        <f>'HVAC Deemed Table'!J1725</f>
        <v>12</v>
      </c>
      <c r="Z298" s="1952">
        <f t="shared" ref="Z298" si="519">Y298+X298</f>
        <v>18</v>
      </c>
      <c r="AA298" s="1951">
        <f>'HVAC Deemed Table'!BB1723</f>
        <v>0.83883453611756031</v>
      </c>
      <c r="AB298" s="2426">
        <f>'HVAC Deemed Table'!K1723</f>
        <v>1925.8398012161661</v>
      </c>
      <c r="AC298" s="2436">
        <f t="shared" ref="AC298" si="520">AE298+AF298</f>
        <v>855.87490974077878</v>
      </c>
      <c r="AD298" s="2436">
        <f t="shared" ref="AD298" si="521">AG298+AH298</f>
        <v>668.86405797030864</v>
      </c>
      <c r="AE298" s="1982">
        <f>'HVAC Deemed Table'!BD1723</f>
        <v>855.87490974077878</v>
      </c>
      <c r="AF298" s="1982">
        <f>'HVAC Deemed Table'!BD1724</f>
        <v>0</v>
      </c>
      <c r="AG298" s="1982">
        <f>'HVAC Deemed Table'!BD1725</f>
        <v>668.86405797030864</v>
      </c>
      <c r="AH298" s="1982">
        <f>'HVAC Deemed Table'!BD1726</f>
        <v>0</v>
      </c>
      <c r="AI298" s="3624" t="str">
        <f t="shared" si="391"/>
        <v>per measure</v>
      </c>
      <c r="AJ298" s="112">
        <f>'HVAC Deemed Table'!L1723</f>
        <v>3.1</v>
      </c>
      <c r="AK298" s="3646"/>
      <c r="AL298" s="3646"/>
      <c r="AM298" s="2433">
        <f t="shared" si="508"/>
        <v>9.4741810000000004E-4</v>
      </c>
      <c r="AN298" s="100">
        <f t="shared" ref="AN298" si="522">AM298*K298</f>
        <v>1.3944857530280002</v>
      </c>
      <c r="AO298" s="3647">
        <f t="shared" ref="AO298" si="523">AN298-O298</f>
        <v>-2.4697199973999773E-7</v>
      </c>
      <c r="AP298" s="2204">
        <f>AO298/O298</f>
        <v>-1.7710611633246784E-7</v>
      </c>
    </row>
    <row r="299" spans="1:42" s="100" customFormat="1" x14ac:dyDescent="0.25">
      <c r="A299" s="103" t="str">
        <f t="shared" si="411"/>
        <v>354661</v>
      </c>
      <c r="B299" s="1960" t="str">
        <f>'HVAC Deemed Table'!C1727</f>
        <v>354661_2021_12_</v>
      </c>
      <c r="C299" s="3645" t="str">
        <f>'HVAC Deemed Table'!G1727</f>
        <v>Cooling Res</v>
      </c>
      <c r="D299" s="3645" t="str">
        <f>'HVAC Deemed Table'!G1728</f>
        <v>Heating Res</v>
      </c>
      <c r="E299" s="3645" t="str">
        <f>'HVAC Deemed Table'!G1729</f>
        <v>Cooling Res ER2</v>
      </c>
      <c r="F299" s="3645" t="str">
        <f>'HVAC Deemed Table'!G1730</f>
        <v>Heating Res ER2</v>
      </c>
      <c r="G299" s="1958" t="str">
        <f>'HVAC Deemed Table'!E1727</f>
        <v>ASHP-SEER20-Replace_CAC_NonElectricHeat_ER1_MF_CompE</v>
      </c>
      <c r="H299" s="1975" t="str">
        <f>'HVAC Deemed Table'!D1727</f>
        <v>MFc</v>
      </c>
      <c r="I299" s="1973">
        <f t="shared" ref="I299" si="524">K299+L299</f>
        <v>1070.46</v>
      </c>
      <c r="J299" s="1973">
        <f t="shared" ref="J299" si="525">M299+N299</f>
        <v>411.43</v>
      </c>
      <c r="K299" s="1963">
        <f>'HVAC Deemed Table'!F1727</f>
        <v>1070.46</v>
      </c>
      <c r="L299" s="1963">
        <f>'HVAC Deemed Table'!F1728</f>
        <v>0</v>
      </c>
      <c r="M299" s="1963">
        <f>'HVAC Deemed Table'!F1729</f>
        <v>411.43</v>
      </c>
      <c r="N299" s="1963">
        <f>'HVAC Deemed Table'!F1730</f>
        <v>0</v>
      </c>
      <c r="O299" s="1974">
        <f t="shared" ref="O299" si="526">Q299+R299</f>
        <v>1.014173</v>
      </c>
      <c r="P299" s="1974">
        <f t="shared" ref="P299" si="527">S299+T299</f>
        <v>0.38979599999999998</v>
      </c>
      <c r="Q299" s="1976">
        <f>'HVAC Deemed Table'!I1727</f>
        <v>1.014173</v>
      </c>
      <c r="R299" s="1976">
        <f>'HVAC Deemed Table'!I1728</f>
        <v>0</v>
      </c>
      <c r="S299" s="1976">
        <f>'HVAC Deemed Table'!I1729</f>
        <v>0.38979599999999998</v>
      </c>
      <c r="T299" s="1976">
        <f>'HVAC Deemed Table'!I1730</f>
        <v>0</v>
      </c>
      <c r="U299" s="1926"/>
      <c r="V299" s="1926"/>
      <c r="W299" s="1926">
        <f t="shared" si="513"/>
        <v>0.38979599999999998</v>
      </c>
      <c r="X299" s="1952">
        <f>'HVAC Deemed Table'!J1727</f>
        <v>6</v>
      </c>
      <c r="Y299" s="1952">
        <f>'HVAC Deemed Table'!J1729</f>
        <v>12</v>
      </c>
      <c r="Z299" s="1952">
        <f t="shared" ref="Z299" si="528">Y299+X299</f>
        <v>18</v>
      </c>
      <c r="AA299" s="1951">
        <f>'HVAC Deemed Table'!BB1727</f>
        <v>0.61006028848743554</v>
      </c>
      <c r="AB299" s="2426">
        <f>'HVAC Deemed Table'!K1727</f>
        <v>1925.8398012161661</v>
      </c>
      <c r="AC299" s="2436">
        <f t="shared" ref="AC299" si="529">AE299+AF299</f>
        <v>622.45553705540806</v>
      </c>
      <c r="AD299" s="2436">
        <f t="shared" ref="AD299" si="530">AG299+AH299</f>
        <v>486.44336309609713</v>
      </c>
      <c r="AE299" s="1982">
        <f>'HVAC Deemed Table'!BD1727</f>
        <v>622.45553705540806</v>
      </c>
      <c r="AF299" s="1982">
        <f>'HVAC Deemed Table'!BD1728</f>
        <v>0</v>
      </c>
      <c r="AG299" s="1982">
        <f>'HVAC Deemed Table'!BD1729</f>
        <v>486.44336309609713</v>
      </c>
      <c r="AH299" s="1982">
        <f>'HVAC Deemed Table'!BD1730</f>
        <v>0</v>
      </c>
      <c r="AI299" s="3624" t="str">
        <f t="shared" si="391"/>
        <v>per measure</v>
      </c>
      <c r="AJ299" s="112">
        <f>'HVAC Deemed Table'!L1727</f>
        <v>3.1</v>
      </c>
      <c r="AK299" s="3646"/>
      <c r="AL299" s="3646"/>
      <c r="AM299" s="2433">
        <f t="shared" si="508"/>
        <v>9.4741810000000004E-4</v>
      </c>
      <c r="AN299" s="100">
        <f t="shared" ref="AN299" si="531">AM299*K299</f>
        <v>1.014173179326</v>
      </c>
      <c r="AO299" s="3647">
        <f t="shared" ref="AO299" si="532">AN299-O299</f>
        <v>1.7932600004932908E-7</v>
      </c>
      <c r="AP299" s="2204">
        <f>AO299/O299</f>
        <v>1.7681993116492854E-7</v>
      </c>
    </row>
    <row r="300" spans="1:42" x14ac:dyDescent="0.25">
      <c r="A300" s="103" t="str">
        <f t="shared" si="411"/>
        <v>354700</v>
      </c>
      <c r="B300" s="684" t="str">
        <f>'HVAC Deemed Table'!C1731</f>
        <v>354700_2019_12_</v>
      </c>
      <c r="C300" s="3599" t="str">
        <f>'HVAC Deemed Table'!G1731</f>
        <v>Cooling Res</v>
      </c>
      <c r="D300" s="3599" t="str">
        <f>'HVAC Deemed Table'!G1732</f>
        <v>Heating Res</v>
      </c>
      <c r="E300" s="3599" t="str">
        <f>'HVAC Deemed Table'!G1733</f>
        <v>Cooling Res ER2</v>
      </c>
      <c r="F300" s="3599" t="str">
        <f>'HVAC Deemed Table'!G1734</f>
        <v>Heating Res ER2</v>
      </c>
      <c r="G300" s="1962" t="str">
        <f>'HVAC Deemed Table'!E1731</f>
        <v>ASHP-SEER20_ER1_MF</v>
      </c>
      <c r="H300" s="63" t="str">
        <f>'HVAC Deemed Table'!D1731</f>
        <v>MF</v>
      </c>
      <c r="I300" s="2438">
        <f t="shared" si="509"/>
        <v>3365.6</v>
      </c>
      <c r="J300" s="2438">
        <f t="shared" si="510"/>
        <v>1121.93</v>
      </c>
      <c r="K300" s="2439">
        <f>'HVAC Deemed Table'!F1731</f>
        <v>1566.84</v>
      </c>
      <c r="L300" s="2439">
        <f>'HVAC Deemed Table'!F1732</f>
        <v>1798.76</v>
      </c>
      <c r="M300" s="2439">
        <f>'HVAC Deemed Table'!F1733</f>
        <v>479.32</v>
      </c>
      <c r="N300" s="2439">
        <f>'HVAC Deemed Table'!F1734</f>
        <v>642.61</v>
      </c>
      <c r="O300" s="2440">
        <f t="shared" si="511"/>
        <v>1.484453</v>
      </c>
      <c r="P300" s="2440">
        <f t="shared" si="512"/>
        <v>0.45411600000000002</v>
      </c>
      <c r="Q300" s="2441">
        <f>'HVAC Deemed Table'!I1731</f>
        <v>1.484453</v>
      </c>
      <c r="R300" s="2441">
        <f>'HVAC Deemed Table'!I1732</f>
        <v>0</v>
      </c>
      <c r="S300" s="2441">
        <f>'HVAC Deemed Table'!I1733</f>
        <v>0.45411600000000002</v>
      </c>
      <c r="T300" s="2441">
        <f>'HVAC Deemed Table'!I1734</f>
        <v>0</v>
      </c>
      <c r="U300" s="1819"/>
      <c r="V300" s="1819"/>
      <c r="W300" s="1821">
        <f t="shared" si="513"/>
        <v>0.45411600000000002</v>
      </c>
      <c r="X300" s="68">
        <f>'HVAC Deemed Table'!J1731</f>
        <v>6</v>
      </c>
      <c r="Y300" s="68">
        <f>'HVAC Deemed Table'!J1733</f>
        <v>12</v>
      </c>
      <c r="Z300" s="68">
        <f t="shared" si="514"/>
        <v>18</v>
      </c>
      <c r="AA300" s="62">
        <f>'HVAC Deemed Table'!BB1731</f>
        <v>1.0649709532952181</v>
      </c>
      <c r="AB300" s="839">
        <f>'HVAC Deemed Table'!K1731</f>
        <v>1956.9017238752731</v>
      </c>
      <c r="AC300" s="3618">
        <f t="shared" ref="AC300:AC368" si="533">AE300+AF300</f>
        <v>1210.2866999012265</v>
      </c>
      <c r="AD300" s="3618">
        <f t="shared" ref="AD300:AD368" si="534">AG300+AH300</f>
        <v>756.71990168490379</v>
      </c>
      <c r="AE300" s="2453">
        <f>'HVAC Deemed Table'!BD1731</f>
        <v>911.09264585308688</v>
      </c>
      <c r="AF300" s="2453">
        <f>'HVAC Deemed Table'!BD1732</f>
        <v>299.19405404813961</v>
      </c>
      <c r="AG300" s="2453">
        <f>'HVAC Deemed Table'!BD1733</f>
        <v>566.71130641718219</v>
      </c>
      <c r="AH300" s="2453">
        <f>'HVAC Deemed Table'!BD1734</f>
        <v>190.00859526772157</v>
      </c>
      <c r="AI300" s="3624" t="str">
        <f t="shared" si="391"/>
        <v>per measure</v>
      </c>
      <c r="AJ300" s="126">
        <f>'HVAC Deemed Table'!L1731</f>
        <v>3.3</v>
      </c>
      <c r="AK300" s="1805"/>
      <c r="AL300" s="1805"/>
      <c r="AM300" s="1972">
        <f t="shared" si="508"/>
        <v>9.4741810000000004E-4</v>
      </c>
      <c r="AN300" s="100">
        <f t="shared" si="410"/>
        <v>1.4844525758039999</v>
      </c>
      <c r="AO300" s="1971">
        <f t="shared" si="457"/>
        <v>-4.2419600010390468E-7</v>
      </c>
      <c r="AP300" s="1930"/>
    </row>
    <row r="301" spans="1:42" x14ac:dyDescent="0.25">
      <c r="A301" s="103" t="str">
        <f t="shared" si="411"/>
        <v>354701</v>
      </c>
      <c r="B301" s="684" t="str">
        <f>'HVAC Deemed Table'!C1735</f>
        <v>354701_2019_12_</v>
      </c>
      <c r="C301" s="3599" t="str">
        <f>'HVAC Deemed Table'!G1735</f>
        <v>Cooling Res</v>
      </c>
      <c r="D301" s="3599" t="str">
        <f>'HVAC Deemed Table'!G1736</f>
        <v>Heating Res</v>
      </c>
      <c r="E301" s="3599" t="str">
        <f>'HVAC Deemed Table'!G1737</f>
        <v>Cooling Res ER2</v>
      </c>
      <c r="F301" s="3599" t="str">
        <f>'HVAC Deemed Table'!G1738</f>
        <v>Heating Res ER2</v>
      </c>
      <c r="G301" s="1962" t="str">
        <f>'HVAC Deemed Table'!E1735</f>
        <v>ASHP-SEER20_ER1_MF_CompE</v>
      </c>
      <c r="H301" s="63" t="str">
        <f>'HVAC Deemed Table'!D1735</f>
        <v>MFc</v>
      </c>
      <c r="I301" s="2438">
        <f t="shared" si="509"/>
        <v>1752.73</v>
      </c>
      <c r="J301" s="2438">
        <f t="shared" si="510"/>
        <v>567.66</v>
      </c>
      <c r="K301" s="2439">
        <f>'HVAC Deemed Table'!F1735</f>
        <v>1139.52</v>
      </c>
      <c r="L301" s="2439">
        <f>'HVAC Deemed Table'!F1736</f>
        <v>613.21</v>
      </c>
      <c r="M301" s="2439">
        <f>'HVAC Deemed Table'!F1737</f>
        <v>348.59</v>
      </c>
      <c r="N301" s="2439">
        <f>'HVAC Deemed Table'!F1738</f>
        <v>219.07</v>
      </c>
      <c r="O301" s="2440">
        <f t="shared" si="511"/>
        <v>1.079602</v>
      </c>
      <c r="P301" s="2440">
        <f t="shared" si="512"/>
        <v>0.33026</v>
      </c>
      <c r="Q301" s="2441">
        <f>'HVAC Deemed Table'!I1735</f>
        <v>1.079602</v>
      </c>
      <c r="R301" s="2441">
        <f>'HVAC Deemed Table'!I1736</f>
        <v>0</v>
      </c>
      <c r="S301" s="2441">
        <f>'HVAC Deemed Table'!I1737</f>
        <v>0.33026</v>
      </c>
      <c r="T301" s="2441">
        <f>'HVAC Deemed Table'!I1738</f>
        <v>0</v>
      </c>
      <c r="U301" s="1819"/>
      <c r="V301" s="1819"/>
      <c r="W301" s="1821">
        <f t="shared" si="513"/>
        <v>0.33026</v>
      </c>
      <c r="X301" s="68">
        <f>'HVAC Deemed Table'!J1735</f>
        <v>6</v>
      </c>
      <c r="Y301" s="68">
        <f>'HVAC Deemed Table'!J1737</f>
        <v>12</v>
      </c>
      <c r="Z301" s="68">
        <f t="shared" si="514"/>
        <v>18</v>
      </c>
      <c r="AA301" s="62">
        <f>'HVAC Deemed Table'!BB1735</f>
        <v>0.67218637132586789</v>
      </c>
      <c r="AB301" s="839">
        <f>'HVAC Deemed Table'!K1735</f>
        <v>1956.9017238752731</v>
      </c>
      <c r="AC301" s="3618">
        <f t="shared" si="533"/>
        <v>764.61020146955002</v>
      </c>
      <c r="AD301" s="3618">
        <f t="shared" si="534"/>
        <v>476.92134059090802</v>
      </c>
      <c r="AE301" s="2453">
        <f>'HVAC Deemed Table'!BD1735</f>
        <v>662.61283334769962</v>
      </c>
      <c r="AF301" s="2453">
        <f>'HVAC Deemed Table'!BD1736</f>
        <v>101.99736812185043</v>
      </c>
      <c r="AG301" s="2453">
        <f>'HVAC Deemed Table'!BD1737</f>
        <v>412.14615351741122</v>
      </c>
      <c r="AH301" s="2453">
        <f>'HVAC Deemed Table'!BD1738</f>
        <v>64.775187073496781</v>
      </c>
      <c r="AI301" s="3624" t="str">
        <f t="shared" si="391"/>
        <v>per measure</v>
      </c>
      <c r="AJ301" s="126">
        <f>'HVAC Deemed Table'!L1735</f>
        <v>3.3</v>
      </c>
      <c r="AK301" s="1805"/>
      <c r="AL301" s="1805"/>
      <c r="AM301" s="1972">
        <f t="shared" si="508"/>
        <v>9.4741810000000004E-4</v>
      </c>
      <c r="AN301" s="100">
        <f t="shared" si="410"/>
        <v>1.0796018733120001</v>
      </c>
      <c r="AO301" s="1804">
        <f t="shared" si="457"/>
        <v>-1.2668799986848001E-7</v>
      </c>
      <c r="AP301" s="163">
        <f>AO301/O301</f>
        <v>-1.1734694810539441E-7</v>
      </c>
    </row>
    <row r="302" spans="1:42" x14ac:dyDescent="0.25">
      <c r="A302" s="103" t="str">
        <f t="shared" si="411"/>
        <v>354750</v>
      </c>
      <c r="B302" s="1960" t="str">
        <f>'HVAC Deemed Table'!C1739</f>
        <v>354750_2021_12_</v>
      </c>
      <c r="C302" s="3599" t="str">
        <f>'HVAC Deemed Table'!G1739</f>
        <v>Cooling Res</v>
      </c>
      <c r="D302" s="3599" t="str">
        <f>'HVAC Deemed Table'!G1740</f>
        <v>Heating Res</v>
      </c>
      <c r="E302" s="3599" t="str">
        <f>'HVAC Deemed Table'!G1741</f>
        <v>Cooling Res ER2</v>
      </c>
      <c r="F302" s="3599" t="str">
        <f>'HVAC Deemed Table'!G1742</f>
        <v>Heating Res ER2</v>
      </c>
      <c r="G302" s="1962" t="str">
        <f>'HVAC Deemed Table'!E1739</f>
        <v>ASHP-SEER21_ER1_SF</v>
      </c>
      <c r="H302" s="63" t="str">
        <f>'HVAC Deemed Table'!D1739</f>
        <v>SF</v>
      </c>
      <c r="I302" s="2438">
        <f t="shared" si="509"/>
        <v>6162.16</v>
      </c>
      <c r="J302" s="2438">
        <f t="shared" si="510"/>
        <v>2693.3</v>
      </c>
      <c r="K302" s="2439">
        <f>'HVAC Deemed Table'!F1739</f>
        <v>2550</v>
      </c>
      <c r="L302" s="2439">
        <f>'HVAC Deemed Table'!F1740</f>
        <v>3612.16</v>
      </c>
      <c r="M302" s="2439">
        <f>'HVAC Deemed Table'!F1741</f>
        <v>905.45</v>
      </c>
      <c r="N302" s="2439">
        <f>'HVAC Deemed Table'!F1742</f>
        <v>1787.85</v>
      </c>
      <c r="O302" s="2440">
        <f t="shared" si="511"/>
        <v>2.4159160000000002</v>
      </c>
      <c r="P302" s="2440">
        <f t="shared" si="512"/>
        <v>0.85784000000000005</v>
      </c>
      <c r="Q302" s="2441">
        <f>'HVAC Deemed Table'!I1739</f>
        <v>2.4159160000000002</v>
      </c>
      <c r="R302" s="2441">
        <f>'HVAC Deemed Table'!I1740</f>
        <v>0</v>
      </c>
      <c r="S302" s="2441">
        <f>'HVAC Deemed Table'!I1741</f>
        <v>0.85784000000000005</v>
      </c>
      <c r="T302" s="2441">
        <f>'HVAC Deemed Table'!I1742</f>
        <v>0</v>
      </c>
      <c r="U302" s="1819"/>
      <c r="V302" s="1819"/>
      <c r="W302" s="1821">
        <f t="shared" si="513"/>
        <v>0.85784000000000005</v>
      </c>
      <c r="X302" s="68">
        <f>'HVAC Deemed Table'!J1739</f>
        <v>6</v>
      </c>
      <c r="Y302" s="68">
        <f>'HVAC Deemed Table'!J1741</f>
        <v>12</v>
      </c>
      <c r="Z302" s="68">
        <f t="shared" si="514"/>
        <v>18</v>
      </c>
      <c r="AA302" s="62">
        <f>'HVAC Deemed Table'!BB1739</f>
        <v>1.5616128126911444</v>
      </c>
      <c r="AB302" s="839">
        <f>'HVAC Deemed Table'!K1739</f>
        <v>2498.6373792903719</v>
      </c>
      <c r="AC302" s="3618">
        <f t="shared" si="533"/>
        <v>2083.6078460823073</v>
      </c>
      <c r="AD302" s="3618">
        <f t="shared" si="534"/>
        <v>1599.1709606839663</v>
      </c>
      <c r="AE302" s="2453">
        <f>'HVAC Deemed Table'!BD1739</f>
        <v>1482.7846154842689</v>
      </c>
      <c r="AF302" s="2453">
        <f>'HVAC Deemed Table'!BD1740</f>
        <v>600.82323059803855</v>
      </c>
      <c r="AG302" s="2453">
        <f>'HVAC Deemed Table'!BD1741</f>
        <v>1070.534825159471</v>
      </c>
      <c r="AH302" s="2453">
        <f>'HVAC Deemed Table'!BD1742</f>
        <v>528.63613552449544</v>
      </c>
      <c r="AI302" s="3624" t="str">
        <f t="shared" si="391"/>
        <v>per measure</v>
      </c>
      <c r="AJ302" s="126">
        <f>'HVAC Deemed Table'!L1739</f>
        <v>3.3846153846153846</v>
      </c>
      <c r="AK302" s="1805"/>
      <c r="AL302" s="1805"/>
      <c r="AM302" s="1972">
        <f t="shared" si="508"/>
        <v>9.4741810000000004E-4</v>
      </c>
      <c r="AN302" s="100">
        <f t="shared" si="410"/>
        <v>2.4159161550000001</v>
      </c>
      <c r="AO302" s="1971">
        <f t="shared" si="457"/>
        <v>1.5499999994617042E-7</v>
      </c>
      <c r="AP302" s="1930"/>
    </row>
    <row r="303" spans="1:42" x14ac:dyDescent="0.25">
      <c r="A303" s="103" t="str">
        <f t="shared" si="411"/>
        <v>354800</v>
      </c>
      <c r="B303" s="1960" t="str">
        <f>'HVAC Deemed Table'!C1743</f>
        <v>354800_2021_12_</v>
      </c>
      <c r="C303" s="3599" t="str">
        <f>'HVAC Deemed Table'!G1743</f>
        <v>Cooling Res</v>
      </c>
      <c r="D303" s="3599" t="str">
        <f>'HVAC Deemed Table'!G1744</f>
        <v>Heating Res</v>
      </c>
      <c r="E303" s="1962"/>
      <c r="F303" s="1962"/>
      <c r="G303" s="1962" t="str">
        <f>'HVAC Deemed Table'!E1743</f>
        <v>ASHP-SEER21_ROF_SF</v>
      </c>
      <c r="H303" s="63" t="str">
        <f>'HVAC Deemed Table'!D1743</f>
        <v>SF</v>
      </c>
      <c r="I303" s="2438">
        <f t="shared" si="509"/>
        <v>3082.5899999999997</v>
      </c>
      <c r="J303" s="2438">
        <f t="shared" si="510"/>
        <v>0</v>
      </c>
      <c r="K303" s="2439">
        <f>'HVAC Deemed Table'!F1743</f>
        <v>995.87</v>
      </c>
      <c r="L303" s="2439">
        <f>'HVAC Deemed Table'!F1744</f>
        <v>2086.7199999999998</v>
      </c>
      <c r="M303" s="2439"/>
      <c r="N303" s="2439"/>
      <c r="O303" s="2440">
        <f t="shared" si="511"/>
        <v>0.94350500000000004</v>
      </c>
      <c r="P303" s="2440">
        <f t="shared" si="512"/>
        <v>0</v>
      </c>
      <c r="Q303" s="2441">
        <f>'HVAC Deemed Table'!I1743</f>
        <v>0.94350500000000004</v>
      </c>
      <c r="R303" s="2441">
        <f>'HVAC Deemed Table'!I1744</f>
        <v>0</v>
      </c>
      <c r="S303" s="2441"/>
      <c r="T303" s="2441"/>
      <c r="U303" s="1819"/>
      <c r="V303" s="1819"/>
      <c r="W303" s="1819">
        <f>O303</f>
        <v>0.94350500000000004</v>
      </c>
      <c r="X303" s="68">
        <f>'HVAC Deemed Table'!J1743</f>
        <v>18</v>
      </c>
      <c r="Y303" s="68"/>
      <c r="Z303" s="68">
        <f t="shared" si="514"/>
        <v>18</v>
      </c>
      <c r="AA303" s="62">
        <f>'HVAC Deemed Table'!BB1743</f>
        <v>1.7056964361101248</v>
      </c>
      <c r="AB303" s="839">
        <f>'HVAC Deemed Table'!K1743</f>
        <v>1689.9245999999991</v>
      </c>
      <c r="AC303" s="3618">
        <f t="shared" si="533"/>
        <v>2720.6213945397135</v>
      </c>
      <c r="AD303" s="3618">
        <f t="shared" si="534"/>
        <v>0</v>
      </c>
      <c r="AE303" s="2453">
        <f>'HVAC Deemed Table'!BD1743</f>
        <v>1756.5231505783354</v>
      </c>
      <c r="AF303" s="2453">
        <f>'HVAC Deemed Table'!BD1744</f>
        <v>964.0982439613781</v>
      </c>
      <c r="AG303" s="2453"/>
      <c r="AH303" s="2453"/>
      <c r="AI303" s="3624" t="str">
        <f t="shared" si="391"/>
        <v>per measure</v>
      </c>
      <c r="AJ303" s="126">
        <f>'HVAC Deemed Table'!L1743</f>
        <v>3.875</v>
      </c>
      <c r="AK303" s="1805"/>
      <c r="AL303" s="1805"/>
      <c r="AM303" s="1972">
        <f t="shared" si="508"/>
        <v>9.4741810000000004E-4</v>
      </c>
      <c r="AN303" s="100">
        <f t="shared" si="410"/>
        <v>0.94350526324700001</v>
      </c>
      <c r="AO303" s="1971">
        <f t="shared" si="457"/>
        <v>2.6324699997637424E-7</v>
      </c>
      <c r="AP303" s="1930"/>
    </row>
    <row r="304" spans="1:42" x14ac:dyDescent="0.25">
      <c r="A304" s="103" t="str">
        <f t="shared" si="411"/>
        <v>354850</v>
      </c>
      <c r="B304" s="684" t="str">
        <f>'HVAC Deemed Table'!C1745</f>
        <v>354850_2019_12_</v>
      </c>
      <c r="C304" s="3599" t="str">
        <f>'HVAC Deemed Table'!G1745</f>
        <v>Cooling Res</v>
      </c>
      <c r="D304" s="3599" t="str">
        <f>'HVAC Deemed Table'!G1746</f>
        <v>Heating Res</v>
      </c>
      <c r="E304" s="1962"/>
      <c r="F304" s="1962"/>
      <c r="G304" s="1962" t="str">
        <f>'HVAC Deemed Table'!E1745</f>
        <v>ASHP-SEER21-Replace_CAC_ElectricHeat_ROF_MF</v>
      </c>
      <c r="H304" s="63" t="str">
        <f>'HVAC Deemed Table'!D1745</f>
        <v>MF</v>
      </c>
      <c r="I304" s="2438">
        <f t="shared" si="509"/>
        <v>6769.2699999999995</v>
      </c>
      <c r="J304" s="2438">
        <f t="shared" si="510"/>
        <v>0</v>
      </c>
      <c r="K304" s="2439">
        <f>'HVAC Deemed Table'!F1745</f>
        <v>556.16</v>
      </c>
      <c r="L304" s="2439">
        <f>'HVAC Deemed Table'!F1746</f>
        <v>6213.11</v>
      </c>
      <c r="M304" s="2439"/>
      <c r="N304" s="2439"/>
      <c r="O304" s="2440">
        <f t="shared" si="511"/>
        <v>0.52691600000000005</v>
      </c>
      <c r="P304" s="2440">
        <f t="shared" si="512"/>
        <v>0</v>
      </c>
      <c r="Q304" s="2441">
        <f>'HVAC Deemed Table'!I1745</f>
        <v>0.52691600000000005</v>
      </c>
      <c r="R304" s="2441">
        <f>'HVAC Deemed Table'!I1746</f>
        <v>0</v>
      </c>
      <c r="S304" s="2441"/>
      <c r="T304" s="2441"/>
      <c r="U304" s="1819"/>
      <c r="V304" s="1819"/>
      <c r="W304" s="1819">
        <f>O304</f>
        <v>0.52691600000000005</v>
      </c>
      <c r="X304" s="68">
        <f>'HVAC Deemed Table'!J1745</f>
        <v>18</v>
      </c>
      <c r="Y304" s="68"/>
      <c r="Z304" s="68">
        <f t="shared" si="514"/>
        <v>18</v>
      </c>
      <c r="AA304" s="62">
        <f>'HVAC Deemed Table'!BB1745</f>
        <v>2.4147120897912031</v>
      </c>
      <c r="AB304" s="839">
        <f>'HVAC Deemed Table'!K1745</f>
        <v>1689.9245999999991</v>
      </c>
      <c r="AC304" s="3618">
        <f t="shared" si="533"/>
        <v>3851.5161514446063</v>
      </c>
      <c r="AD304" s="3618">
        <f t="shared" si="534"/>
        <v>0</v>
      </c>
      <c r="AE304" s="2453">
        <f>'HVAC Deemed Table'!BD1745</f>
        <v>980.95927724065086</v>
      </c>
      <c r="AF304" s="2453">
        <f>'HVAC Deemed Table'!BD1746</f>
        <v>2870.5568742039554</v>
      </c>
      <c r="AG304" s="2453"/>
      <c r="AH304" s="2453"/>
      <c r="AI304" s="3624" t="str">
        <f t="shared" si="391"/>
        <v>per measure</v>
      </c>
      <c r="AJ304" s="126">
        <f>'HVAC Deemed Table'!L1745</f>
        <v>2.8</v>
      </c>
      <c r="AK304" s="1805"/>
      <c r="AL304" s="1805"/>
      <c r="AM304" s="1972">
        <f t="shared" si="508"/>
        <v>9.4741810000000004E-4</v>
      </c>
      <c r="AN304" s="100">
        <f t="shared" si="410"/>
        <v>0.52691605049599999</v>
      </c>
      <c r="AO304" s="1971">
        <f t="shared" si="457"/>
        <v>5.049599993700582E-8</v>
      </c>
      <c r="AP304" s="1930"/>
    </row>
    <row r="305" spans="1:42" x14ac:dyDescent="0.25">
      <c r="A305" s="103" t="str">
        <f t="shared" si="411"/>
        <v>354851</v>
      </c>
      <c r="B305" s="684" t="str">
        <f>'HVAC Deemed Table'!C1747</f>
        <v>354851_2019_12_</v>
      </c>
      <c r="C305" s="3599" t="str">
        <f>'HVAC Deemed Table'!G1747</f>
        <v>Cooling Res</v>
      </c>
      <c r="D305" s="3599" t="str">
        <f>'HVAC Deemed Table'!G1748</f>
        <v>Heating Res</v>
      </c>
      <c r="E305" s="1962"/>
      <c r="F305" s="1962"/>
      <c r="G305" s="1962" t="str">
        <f>'HVAC Deemed Table'!E1747</f>
        <v>ASHP-SEER21-Replace_CAC_ElectricHeat_ROF_MF_CompE</v>
      </c>
      <c r="H305" s="63" t="str">
        <f>'HVAC Deemed Table'!D1747</f>
        <v>MFc</v>
      </c>
      <c r="I305" s="2438">
        <f t="shared" si="509"/>
        <v>2522.58</v>
      </c>
      <c r="J305" s="2438">
        <f t="shared" si="510"/>
        <v>0</v>
      </c>
      <c r="K305" s="2439">
        <f>'HVAC Deemed Table'!F1747</f>
        <v>404.48</v>
      </c>
      <c r="L305" s="2439">
        <f>'HVAC Deemed Table'!F1748</f>
        <v>2118.1</v>
      </c>
      <c r="M305" s="2439"/>
      <c r="N305" s="2439"/>
      <c r="O305" s="2440">
        <f t="shared" si="511"/>
        <v>0.383212</v>
      </c>
      <c r="P305" s="2440">
        <f t="shared" si="512"/>
        <v>0</v>
      </c>
      <c r="Q305" s="2441">
        <f>'HVAC Deemed Table'!I1747</f>
        <v>0.383212</v>
      </c>
      <c r="R305" s="2441">
        <f>'HVAC Deemed Table'!I1748</f>
        <v>0</v>
      </c>
      <c r="S305" s="2441"/>
      <c r="T305" s="2441"/>
      <c r="U305" s="1819"/>
      <c r="V305" s="1819"/>
      <c r="W305" s="1819">
        <f>O305</f>
        <v>0.383212</v>
      </c>
      <c r="X305" s="68">
        <f>'HVAC Deemed Table'!J1747</f>
        <v>18</v>
      </c>
      <c r="Y305" s="68"/>
      <c r="Z305" s="68">
        <f t="shared" si="514"/>
        <v>18</v>
      </c>
      <c r="AA305" s="62">
        <f>'HVAC Deemed Table'!BB1747</f>
        <v>1.0608144895170573</v>
      </c>
      <c r="AB305" s="839">
        <f>'HVAC Deemed Table'!K1747</f>
        <v>1689.9245999999991</v>
      </c>
      <c r="AC305" s="3618">
        <f t="shared" si="533"/>
        <v>1692.0212381985052</v>
      </c>
      <c r="AD305" s="3618">
        <f t="shared" si="534"/>
        <v>0</v>
      </c>
      <c r="AE305" s="2453">
        <f>'HVAC Deemed Table'!BD1747</f>
        <v>713.42492890229164</v>
      </c>
      <c r="AF305" s="2453">
        <f>'HVAC Deemed Table'!BD1748</f>
        <v>978.59630929621369</v>
      </c>
      <c r="AG305" s="2453"/>
      <c r="AH305" s="2453"/>
      <c r="AI305" s="3624" t="str">
        <f t="shared" si="391"/>
        <v>per measure</v>
      </c>
      <c r="AJ305" s="126">
        <f>'HVAC Deemed Table'!L1747</f>
        <v>2.8</v>
      </c>
      <c r="AK305" s="1805"/>
      <c r="AL305" s="1805"/>
      <c r="AM305" s="1972">
        <f t="shared" si="508"/>
        <v>9.4741810000000004E-4</v>
      </c>
      <c r="AN305" s="100">
        <f t="shared" si="410"/>
        <v>0.38321167308800003</v>
      </c>
      <c r="AO305" s="1804">
        <f t="shared" si="457"/>
        <v>-3.2691199997048059E-7</v>
      </c>
      <c r="AP305" s="163">
        <f>AO305/O305</f>
        <v>-8.5308393257643449E-7</v>
      </c>
    </row>
    <row r="306" spans="1:42" s="100" customFormat="1" x14ac:dyDescent="0.25">
      <c r="A306" s="103" t="str">
        <f t="shared" si="411"/>
        <v>354860</v>
      </c>
      <c r="B306" s="1960" t="str">
        <f>'HVAC Deemed Table'!C1749</f>
        <v>354860_2021_12_</v>
      </c>
      <c r="C306" s="3645" t="str">
        <f>'HVAC Deemed Table'!G1749</f>
        <v>Cooling Res</v>
      </c>
      <c r="D306" s="3645" t="str">
        <f>'HVAC Deemed Table'!G1750</f>
        <v>Heating Res</v>
      </c>
      <c r="E306" s="1958"/>
      <c r="F306" s="1958"/>
      <c r="G306" s="1958" t="str">
        <f>'HVAC Deemed Table'!E1749</f>
        <v>ASHP-SEER21-Replace_CAC_NonElectricHeat_ROF_MF</v>
      </c>
      <c r="H306" s="1975" t="str">
        <f>'HVAC Deemed Table'!D1749</f>
        <v>MF</v>
      </c>
      <c r="I306" s="1973">
        <f t="shared" ref="I306" si="535">K306+L306</f>
        <v>556.16</v>
      </c>
      <c r="J306" s="1973">
        <f t="shared" ref="J306" si="536">M306+N306</f>
        <v>0</v>
      </c>
      <c r="K306" s="1963">
        <f>'HVAC Deemed Table'!F1749</f>
        <v>556.16</v>
      </c>
      <c r="L306" s="1963">
        <f>'HVAC Deemed Table'!F1750</f>
        <v>0</v>
      </c>
      <c r="M306" s="1963"/>
      <c r="N306" s="1963"/>
      <c r="O306" s="1974">
        <f t="shared" ref="O306" si="537">Q306+R306</f>
        <v>0.52691600000000005</v>
      </c>
      <c r="P306" s="1974">
        <f t="shared" ref="P306" si="538">S306+T306</f>
        <v>0</v>
      </c>
      <c r="Q306" s="1976">
        <f>'HVAC Deemed Table'!I1749</f>
        <v>0.52691600000000005</v>
      </c>
      <c r="R306" s="1976">
        <f>'HVAC Deemed Table'!I1750</f>
        <v>0</v>
      </c>
      <c r="S306" s="1976"/>
      <c r="T306" s="1976"/>
      <c r="U306" s="1926"/>
      <c r="V306" s="1926"/>
      <c r="W306" s="1926">
        <f>O306</f>
        <v>0.52691600000000005</v>
      </c>
      <c r="X306" s="1952">
        <f>'HVAC Deemed Table'!J1749</f>
        <v>18</v>
      </c>
      <c r="Y306" s="1952"/>
      <c r="Z306" s="1952">
        <f t="shared" ref="Z306" si="539">Y306+X306</f>
        <v>18</v>
      </c>
      <c r="AA306" s="1951">
        <f>'HVAC Deemed Table'!BB1749</f>
        <v>0.61501344748545006</v>
      </c>
      <c r="AB306" s="2426">
        <f>'HVAC Deemed Table'!K1749</f>
        <v>1689.9245999999991</v>
      </c>
      <c r="AC306" s="2436">
        <f t="shared" ref="AC306" si="540">AE306+AF306</f>
        <v>980.95927724065086</v>
      </c>
      <c r="AD306" s="2436">
        <f t="shared" ref="AD306" si="541">AG306+AH306</f>
        <v>0</v>
      </c>
      <c r="AE306" s="1982">
        <f>'HVAC Deemed Table'!BD1749</f>
        <v>980.95927724065086</v>
      </c>
      <c r="AF306" s="1982">
        <f>'HVAC Deemed Table'!BD1750</f>
        <v>0</v>
      </c>
      <c r="AG306" s="1982"/>
      <c r="AH306" s="1982"/>
      <c r="AI306" s="3624" t="str">
        <f t="shared" si="391"/>
        <v>per measure</v>
      </c>
      <c r="AJ306" s="112">
        <f>'HVAC Deemed Table'!L1749</f>
        <v>2.8</v>
      </c>
      <c r="AK306" s="3646"/>
      <c r="AL306" s="3646"/>
      <c r="AM306" s="2433">
        <f t="shared" si="508"/>
        <v>9.4741810000000004E-4</v>
      </c>
      <c r="AN306" s="100">
        <f t="shared" ref="AN306" si="542">AM306*K306</f>
        <v>0.52691605049599999</v>
      </c>
      <c r="AO306" s="3647">
        <f t="shared" ref="AO306" si="543">AN306-O306</f>
        <v>5.049599993700582E-8</v>
      </c>
      <c r="AP306" s="2204">
        <f>AO306/O306</f>
        <v>9.5833111799614773E-8</v>
      </c>
    </row>
    <row r="307" spans="1:42" s="100" customFormat="1" x14ac:dyDescent="0.25">
      <c r="A307" s="103" t="str">
        <f t="shared" si="411"/>
        <v>354861</v>
      </c>
      <c r="B307" s="1960" t="str">
        <f>'HVAC Deemed Table'!C1751</f>
        <v>354861_2021_12_</v>
      </c>
      <c r="C307" s="3645" t="str">
        <f>'HVAC Deemed Table'!G1751</f>
        <v>Cooling Res</v>
      </c>
      <c r="D307" s="3645" t="str">
        <f>'HVAC Deemed Table'!G1752</f>
        <v>Heating Res</v>
      </c>
      <c r="E307" s="1958"/>
      <c r="F307" s="1958"/>
      <c r="G307" s="1958" t="str">
        <f>'HVAC Deemed Table'!E1751</f>
        <v>ASHP-SEER21-Replace_CAC_NonElectricHeat_ROF_MF_CompE</v>
      </c>
      <c r="H307" s="1975" t="str">
        <f>'HVAC Deemed Table'!D1751</f>
        <v>MFc</v>
      </c>
      <c r="I307" s="1973">
        <f t="shared" ref="I307" si="544">K307+L307</f>
        <v>404.48</v>
      </c>
      <c r="J307" s="1973">
        <f t="shared" ref="J307" si="545">M307+N307</f>
        <v>0</v>
      </c>
      <c r="K307" s="1963">
        <f>'HVAC Deemed Table'!F1751</f>
        <v>404.48</v>
      </c>
      <c r="L307" s="1963">
        <f>'HVAC Deemed Table'!F1752</f>
        <v>0</v>
      </c>
      <c r="M307" s="1963"/>
      <c r="N307" s="1963"/>
      <c r="O307" s="1974">
        <f t="shared" ref="O307" si="546">Q307+R307</f>
        <v>0.383212</v>
      </c>
      <c r="P307" s="1974">
        <f t="shared" ref="P307" si="547">S307+T307</f>
        <v>0</v>
      </c>
      <c r="Q307" s="1976">
        <f>'HVAC Deemed Table'!I1751</f>
        <v>0.383212</v>
      </c>
      <c r="R307" s="1976">
        <f>'HVAC Deemed Table'!I1752</f>
        <v>0</v>
      </c>
      <c r="S307" s="1976"/>
      <c r="T307" s="1976"/>
      <c r="U307" s="1926"/>
      <c r="V307" s="1926"/>
      <c r="W307" s="1926">
        <f>O307</f>
        <v>0.383212</v>
      </c>
      <c r="X307" s="1952">
        <f>'HVAC Deemed Table'!J1751</f>
        <v>18</v>
      </c>
      <c r="Y307" s="1952"/>
      <c r="Z307" s="1952">
        <f t="shared" ref="Z307" si="548">Y307+X307</f>
        <v>18</v>
      </c>
      <c r="AA307" s="1951">
        <f>'HVAC Deemed Table'!BB1751</f>
        <v>0.44728250726214558</v>
      </c>
      <c r="AB307" s="2426">
        <f>'HVAC Deemed Table'!K1751</f>
        <v>1689.9245999999991</v>
      </c>
      <c r="AC307" s="2436">
        <f t="shared" ref="AC307" si="549">AE307+AF307</f>
        <v>713.42492890229164</v>
      </c>
      <c r="AD307" s="2436">
        <f t="shared" ref="AD307" si="550">AG307+AH307</f>
        <v>0</v>
      </c>
      <c r="AE307" s="1982">
        <f>'HVAC Deemed Table'!BD1751</f>
        <v>713.42492890229164</v>
      </c>
      <c r="AF307" s="1982">
        <f>'HVAC Deemed Table'!BD1752</f>
        <v>0</v>
      </c>
      <c r="AG307" s="1982"/>
      <c r="AH307" s="1982"/>
      <c r="AI307" s="3624" t="str">
        <f t="shared" si="391"/>
        <v>per measure</v>
      </c>
      <c r="AJ307" s="112">
        <f>'HVAC Deemed Table'!L1751</f>
        <v>2.8</v>
      </c>
      <c r="AK307" s="3646"/>
      <c r="AL307" s="3646"/>
      <c r="AM307" s="2433">
        <f t="shared" si="508"/>
        <v>9.4741810000000004E-4</v>
      </c>
      <c r="AN307" s="100">
        <f t="shared" ref="AN307" si="551">AM307*K307</f>
        <v>0.38321167308800003</v>
      </c>
      <c r="AO307" s="3647">
        <f t="shared" ref="AO307" si="552">AN307-O307</f>
        <v>-3.2691199997048059E-7</v>
      </c>
      <c r="AP307" s="2204">
        <f>AO307/O307</f>
        <v>-8.5308393257643449E-7</v>
      </c>
    </row>
    <row r="308" spans="1:42" x14ac:dyDescent="0.25">
      <c r="A308" s="103" t="str">
        <f t="shared" si="411"/>
        <v>354900</v>
      </c>
      <c r="B308" s="684" t="str">
        <f>'HVAC Deemed Table'!C1753</f>
        <v>354900_2019_12_</v>
      </c>
      <c r="C308" s="3599" t="str">
        <f>'HVAC Deemed Table'!G1753</f>
        <v>Cooling Res</v>
      </c>
      <c r="D308" s="3599" t="str">
        <f>'HVAC Deemed Table'!G1754</f>
        <v>Heating Res</v>
      </c>
      <c r="E308" s="3599" t="str">
        <f>'HVAC Deemed Table'!G1755</f>
        <v>Cooling Res ER2</v>
      </c>
      <c r="F308" s="3599" t="str">
        <f>'HVAC Deemed Table'!G1756</f>
        <v>Heating Res ER2</v>
      </c>
      <c r="G308" s="1962" t="str">
        <f>'HVAC Deemed Table'!E1753</f>
        <v>ASHP-SEER21_ER1_MF</v>
      </c>
      <c r="H308" s="63" t="str">
        <f>'HVAC Deemed Table'!D1753</f>
        <v>MF</v>
      </c>
      <c r="I308" s="2438">
        <f>K308+L308</f>
        <v>3418.8599999999997</v>
      </c>
      <c r="J308" s="2438">
        <f>M308+N308</f>
        <v>1175.18</v>
      </c>
      <c r="K308" s="2439">
        <f>'HVAC Deemed Table'!F1753</f>
        <v>1620.1</v>
      </c>
      <c r="L308" s="2439">
        <f>'HVAC Deemed Table'!F1754</f>
        <v>1798.76</v>
      </c>
      <c r="M308" s="2439">
        <f>'HVAC Deemed Table'!F1755</f>
        <v>532.57000000000005</v>
      </c>
      <c r="N308" s="2439">
        <f>'HVAC Deemed Table'!F1756</f>
        <v>642.61</v>
      </c>
      <c r="O308" s="2440">
        <f>Q308+R308</f>
        <v>1.5349120000000001</v>
      </c>
      <c r="P308" s="2440">
        <f>S308+T308</f>
        <v>0.50456599999999996</v>
      </c>
      <c r="Q308" s="2441">
        <f>'HVAC Deemed Table'!I1753</f>
        <v>1.5349120000000001</v>
      </c>
      <c r="R308" s="2441">
        <f>'HVAC Deemed Table'!I1754</f>
        <v>0</v>
      </c>
      <c r="S308" s="2441">
        <f>'HVAC Deemed Table'!I1755</f>
        <v>0.50456599999999996</v>
      </c>
      <c r="T308" s="2441">
        <f>'HVAC Deemed Table'!I1756</f>
        <v>0</v>
      </c>
      <c r="U308" s="1819"/>
      <c r="V308" s="1819"/>
      <c r="W308" s="1821">
        <f>P308</f>
        <v>0.50456599999999996</v>
      </c>
      <c r="X308" s="68">
        <f>'HVAC Deemed Table'!J1753</f>
        <v>6</v>
      </c>
      <c r="Y308" s="68">
        <f>'HVAC Deemed Table'!J1755</f>
        <v>12</v>
      </c>
      <c r="Z308" s="68">
        <f t="shared" si="514"/>
        <v>18</v>
      </c>
      <c r="AA308" s="62">
        <f>'HVAC Deemed Table'!BB1753</f>
        <v>0.99142521406446316</v>
      </c>
      <c r="AB308" s="839">
        <f>'HVAC Deemed Table'!K1753</f>
        <v>2202.4463238752733</v>
      </c>
      <c r="AC308" s="3618">
        <f t="shared" si="533"/>
        <v>1241.256546419145</v>
      </c>
      <c r="AD308" s="3618">
        <f t="shared" si="534"/>
        <v>819.67862877059815</v>
      </c>
      <c r="AE308" s="2453">
        <f>'HVAC Deemed Table'!BD1753</f>
        <v>942.06249237100542</v>
      </c>
      <c r="AF308" s="2453">
        <f>'HVAC Deemed Table'!BD1754</f>
        <v>299.19405404813961</v>
      </c>
      <c r="AG308" s="2453">
        <f>'HVAC Deemed Table'!BD1755</f>
        <v>629.67003350287655</v>
      </c>
      <c r="AH308" s="2453">
        <f>'HVAC Deemed Table'!BD1756</f>
        <v>190.00859526772157</v>
      </c>
      <c r="AI308" s="3624" t="str">
        <f t="shared" si="391"/>
        <v>per measure</v>
      </c>
      <c r="AJ308" s="126">
        <f>'HVAC Deemed Table'!L1753</f>
        <v>3.3</v>
      </c>
      <c r="AK308" s="1805"/>
      <c r="AL308" s="1805"/>
      <c r="AM308" s="1972">
        <f t="shared" si="508"/>
        <v>9.4741810000000004E-4</v>
      </c>
      <c r="AN308" s="100">
        <f t="shared" si="410"/>
        <v>1.53491206381</v>
      </c>
      <c r="AO308" s="1971">
        <f t="shared" si="457"/>
        <v>6.3809999950592555E-8</v>
      </c>
      <c r="AP308" s="1930"/>
    </row>
    <row r="309" spans="1:42" x14ac:dyDescent="0.25">
      <c r="A309" s="103" t="str">
        <f t="shared" si="411"/>
        <v>354901</v>
      </c>
      <c r="B309" s="684" t="str">
        <f>'HVAC Deemed Table'!C1757</f>
        <v>354901_2019_12_</v>
      </c>
      <c r="C309" s="3599" t="str">
        <f>'HVAC Deemed Table'!G1757</f>
        <v>Cooling Res</v>
      </c>
      <c r="D309" s="3599" t="str">
        <f>'HVAC Deemed Table'!G1758</f>
        <v>Heating Res</v>
      </c>
      <c r="E309" s="3599" t="str">
        <f>'HVAC Deemed Table'!G1759</f>
        <v>Cooling Res ER2</v>
      </c>
      <c r="F309" s="3599" t="str">
        <f>'HVAC Deemed Table'!G1760</f>
        <v>Heating Res ER2</v>
      </c>
      <c r="G309" s="1962" t="str">
        <f>'HVAC Deemed Table'!E1757</f>
        <v>ASHP-SEER21_ER1_MF_CompE</v>
      </c>
      <c r="H309" s="63" t="str">
        <f>'HVAC Deemed Table'!D1757</f>
        <v>MFc</v>
      </c>
      <c r="I309" s="2438">
        <f>K309+L309</f>
        <v>1791.46</v>
      </c>
      <c r="J309" s="2438">
        <f>M309+N309</f>
        <v>606.4</v>
      </c>
      <c r="K309" s="2439">
        <f>'HVAC Deemed Table'!F1757</f>
        <v>1178.25</v>
      </c>
      <c r="L309" s="2439">
        <f>'HVAC Deemed Table'!F1758</f>
        <v>613.21</v>
      </c>
      <c r="M309" s="2439">
        <f>'HVAC Deemed Table'!F1759</f>
        <v>387.33</v>
      </c>
      <c r="N309" s="2439">
        <f>'HVAC Deemed Table'!F1760</f>
        <v>219.07</v>
      </c>
      <c r="O309" s="2440">
        <f>Q309+R309</f>
        <v>1.116295</v>
      </c>
      <c r="P309" s="2440">
        <f>S309+T309</f>
        <v>0.36696299999999998</v>
      </c>
      <c r="Q309" s="2441">
        <f>'HVAC Deemed Table'!I1757</f>
        <v>1.116295</v>
      </c>
      <c r="R309" s="2441">
        <f>'HVAC Deemed Table'!I1758</f>
        <v>0</v>
      </c>
      <c r="S309" s="2441">
        <f>'HVAC Deemed Table'!I1759</f>
        <v>0.36696299999999998</v>
      </c>
      <c r="T309" s="2441">
        <f>'HVAC Deemed Table'!I1760</f>
        <v>0</v>
      </c>
      <c r="U309" s="1819"/>
      <c r="V309" s="1819"/>
      <c r="W309" s="1821">
        <f>P309</f>
        <v>0.36696299999999998</v>
      </c>
      <c r="X309" s="68">
        <f>'HVAC Deemed Table'!J1757</f>
        <v>6</v>
      </c>
      <c r="Y309" s="68">
        <f>'HVAC Deemed Table'!J1759</f>
        <v>12</v>
      </c>
      <c r="Z309" s="68">
        <f t="shared" si="514"/>
        <v>18</v>
      </c>
      <c r="AA309" s="62">
        <f>'HVAC Deemed Table'!BB1757</f>
        <v>0.63011390195139227</v>
      </c>
      <c r="AB309" s="839">
        <f>'HVAC Deemed Table'!K1757</f>
        <v>2202.4463238752733</v>
      </c>
      <c r="AC309" s="3618">
        <f t="shared" si="533"/>
        <v>787.13108310002281</v>
      </c>
      <c r="AD309" s="3618">
        <f t="shared" si="534"/>
        <v>522.72455349794632</v>
      </c>
      <c r="AE309" s="2453">
        <f>'HVAC Deemed Table'!BD1757</f>
        <v>685.13371497817241</v>
      </c>
      <c r="AF309" s="2453">
        <f>'HVAC Deemed Table'!BD1758</f>
        <v>101.99736812185043</v>
      </c>
      <c r="AG309" s="2453">
        <f>'HVAC Deemed Table'!BD1759</f>
        <v>457.94936642444958</v>
      </c>
      <c r="AH309" s="2453">
        <f>'HVAC Deemed Table'!BD1760</f>
        <v>64.775187073496781</v>
      </c>
      <c r="AI309" s="3624" t="str">
        <f t="shared" si="391"/>
        <v>per measure</v>
      </c>
      <c r="AJ309" s="126">
        <f>'HVAC Deemed Table'!L1757</f>
        <v>3.3</v>
      </c>
      <c r="AK309" s="1805"/>
      <c r="AL309" s="1805"/>
      <c r="AM309" s="1972">
        <f t="shared" si="508"/>
        <v>9.4741810000000004E-4</v>
      </c>
      <c r="AN309" s="100">
        <f t="shared" si="410"/>
        <v>1.1162953763250001</v>
      </c>
      <c r="AO309" s="1804">
        <f t="shared" si="457"/>
        <v>3.7632500005102543E-7</v>
      </c>
      <c r="AP309" s="163">
        <f>AO309/O309</f>
        <v>3.3711966823377819E-7</v>
      </c>
    </row>
    <row r="310" spans="1:42" x14ac:dyDescent="0.25">
      <c r="A310" s="103" t="str">
        <f t="shared" si="411"/>
        <v>354950</v>
      </c>
      <c r="B310" s="684" t="str">
        <f>'HVAC Deemed Table'!C1761</f>
        <v>354950_2019_12_</v>
      </c>
      <c r="C310" s="3599" t="str">
        <f>'HVAC Deemed Table'!G1761</f>
        <v>Cooling Res</v>
      </c>
      <c r="D310" s="3599" t="str">
        <f>'HVAC Deemed Table'!G1762</f>
        <v>Heating Res</v>
      </c>
      <c r="E310" s="1962"/>
      <c r="F310" s="1962"/>
      <c r="G310" s="1962" t="str">
        <f>'HVAC Deemed Table'!E1761</f>
        <v>ASHP-SEER17_ROF_MF</v>
      </c>
      <c r="H310" s="63" t="str">
        <f>'HVAC Deemed Table'!D1761</f>
        <v>MF</v>
      </c>
      <c r="I310" s="2438">
        <f t="shared" ref="I310:I319" si="553">K310+L310</f>
        <v>1048.6400000000001</v>
      </c>
      <c r="J310" s="2438">
        <f t="shared" ref="J310:J319" si="554">M310+N310</f>
        <v>0</v>
      </c>
      <c r="K310" s="2439">
        <f>'HVAC Deemed Table'!F1761</f>
        <v>281.95</v>
      </c>
      <c r="L310" s="2439">
        <f>'HVAC Deemed Table'!F1762</f>
        <v>766.69</v>
      </c>
      <c r="M310" s="2439"/>
      <c r="N310" s="2439"/>
      <c r="O310" s="2440">
        <f t="shared" ref="O310:O319" si="555">Q310+R310</f>
        <v>0.267125</v>
      </c>
      <c r="P310" s="2440">
        <f t="shared" ref="P310:P319" si="556">S310+T310</f>
        <v>0</v>
      </c>
      <c r="Q310" s="2441">
        <f>'HVAC Deemed Table'!I1761</f>
        <v>0.267125</v>
      </c>
      <c r="R310" s="2441">
        <f>'HVAC Deemed Table'!I1762</f>
        <v>0</v>
      </c>
      <c r="S310" s="2441"/>
      <c r="T310" s="2441"/>
      <c r="U310" s="1819"/>
      <c r="V310" s="1819"/>
      <c r="W310" s="1819">
        <f t="shared" ref="W310:W319" si="557">O310</f>
        <v>0.267125</v>
      </c>
      <c r="X310" s="68">
        <f>'HVAC Deemed Table'!J1761</f>
        <v>18</v>
      </c>
      <c r="Y310" s="68"/>
      <c r="Z310" s="68">
        <f t="shared" si="514"/>
        <v>18</v>
      </c>
      <c r="AA310" s="62">
        <f>'HVAC Deemed Table'!BB1761</f>
        <v>1.2461252190526704</v>
      </c>
      <c r="AB310" s="839">
        <f>'HVAC Deemed Table'!K1761</f>
        <v>724</v>
      </c>
      <c r="AC310" s="3618">
        <f t="shared" si="533"/>
        <v>851.52870089111218</v>
      </c>
      <c r="AD310" s="3618">
        <f t="shared" si="534"/>
        <v>0</v>
      </c>
      <c r="AE310" s="2453">
        <f>'HVAC Deemed Table'!BD1761</f>
        <v>497.30557432753437</v>
      </c>
      <c r="AF310" s="2453">
        <f>'HVAC Deemed Table'!BD1762</f>
        <v>354.22312656357781</v>
      </c>
      <c r="AG310" s="2453"/>
      <c r="AH310" s="2453"/>
      <c r="AI310" s="3624" t="str">
        <f t="shared" si="391"/>
        <v>per measure</v>
      </c>
      <c r="AJ310" s="126">
        <f>'HVAC Deemed Table'!L1761</f>
        <v>3.3</v>
      </c>
      <c r="AK310" s="1805"/>
      <c r="AL310" s="1805"/>
      <c r="AM310" s="1972">
        <f t="shared" si="508"/>
        <v>9.4741810000000004E-4</v>
      </c>
      <c r="AN310" s="100">
        <f t="shared" ref="AN310:AN319" si="558">AM310*K310</f>
        <v>0.26712453329500002</v>
      </c>
      <c r="AO310" s="1971">
        <f t="shared" si="457"/>
        <v>-4.6670499997958359E-7</v>
      </c>
      <c r="AP310" s="1930"/>
    </row>
    <row r="311" spans="1:42" x14ac:dyDescent="0.25">
      <c r="A311" s="103" t="str">
        <f t="shared" si="411"/>
        <v>354951</v>
      </c>
      <c r="B311" s="684" t="str">
        <f>'HVAC Deemed Table'!C1763</f>
        <v>354951_2019_12_</v>
      </c>
      <c r="C311" s="3599" t="str">
        <f>'HVAC Deemed Table'!G1763</f>
        <v>Cooling Res</v>
      </c>
      <c r="D311" s="3599" t="str">
        <f>'HVAC Deemed Table'!G1764</f>
        <v>Heating Res</v>
      </c>
      <c r="E311" s="1962"/>
      <c r="F311" s="1962"/>
      <c r="G311" s="1962" t="str">
        <f>'HVAC Deemed Table'!E1763</f>
        <v>ASHP-SEER17_ROF_MF_CompE</v>
      </c>
      <c r="H311" s="63" t="str">
        <f>'HVAC Deemed Table'!D1763</f>
        <v>MFc</v>
      </c>
      <c r="I311" s="2438">
        <f t="shared" si="553"/>
        <v>466.42</v>
      </c>
      <c r="J311" s="2438">
        <f t="shared" si="554"/>
        <v>0</v>
      </c>
      <c r="K311" s="2439">
        <f>'HVAC Deemed Table'!F1763</f>
        <v>205.05</v>
      </c>
      <c r="L311" s="2439">
        <f>'HVAC Deemed Table'!F1764</f>
        <v>261.37</v>
      </c>
      <c r="M311" s="2439"/>
      <c r="N311" s="2439"/>
      <c r="O311" s="2440">
        <f t="shared" si="555"/>
        <v>0.194268</v>
      </c>
      <c r="P311" s="2440">
        <f t="shared" si="556"/>
        <v>0</v>
      </c>
      <c r="Q311" s="2441">
        <f>'HVAC Deemed Table'!I1763</f>
        <v>0.194268</v>
      </c>
      <c r="R311" s="2441">
        <f>'HVAC Deemed Table'!I1764</f>
        <v>0</v>
      </c>
      <c r="S311" s="2441"/>
      <c r="T311" s="2441"/>
      <c r="U311" s="1819"/>
      <c r="V311" s="1819"/>
      <c r="W311" s="1819">
        <f t="shared" si="557"/>
        <v>0.194268</v>
      </c>
      <c r="X311" s="68">
        <f>'HVAC Deemed Table'!J1763</f>
        <v>18</v>
      </c>
      <c r="Y311" s="68"/>
      <c r="Z311" s="68">
        <f t="shared" si="514"/>
        <v>18</v>
      </c>
      <c r="AA311" s="62">
        <f>'HVAC Deemed Table'!BB1763</f>
        <v>0.70598101502515853</v>
      </c>
      <c r="AB311" s="839">
        <f>'HVAC Deemed Table'!K1763</f>
        <v>724</v>
      </c>
      <c r="AC311" s="3618">
        <f t="shared" si="533"/>
        <v>482.42591305164206</v>
      </c>
      <c r="AD311" s="3618">
        <f t="shared" si="534"/>
        <v>0</v>
      </c>
      <c r="AE311" s="2453">
        <f>'HVAC Deemed Table'!BD1763</f>
        <v>361.66876402149649</v>
      </c>
      <c r="AF311" s="2453">
        <f>'HVAC Deemed Table'!BD1764</f>
        <v>120.7571490301456</v>
      </c>
      <c r="AG311" s="2453"/>
      <c r="AH311" s="2453"/>
      <c r="AI311" s="3624" t="str">
        <f t="shared" si="391"/>
        <v>per measure</v>
      </c>
      <c r="AJ311" s="126">
        <f>'HVAC Deemed Table'!L1763</f>
        <v>3.3</v>
      </c>
      <c r="AK311" s="1805"/>
      <c r="AL311" s="1805"/>
      <c r="AM311" s="1972">
        <f t="shared" si="508"/>
        <v>9.4741810000000004E-4</v>
      </c>
      <c r="AN311" s="100">
        <f t="shared" si="558"/>
        <v>0.19426808140500001</v>
      </c>
      <c r="AO311" s="1804">
        <f t="shared" si="457"/>
        <v>8.1405000018630602E-8</v>
      </c>
      <c r="AP311" s="163">
        <f>AO311/O311</f>
        <v>4.1903452971477858E-7</v>
      </c>
    </row>
    <row r="312" spans="1:42" x14ac:dyDescent="0.25">
      <c r="A312" s="103" t="str">
        <f t="shared" si="411"/>
        <v>355000</v>
      </c>
      <c r="B312" s="684" t="str">
        <f>'HVAC Deemed Table'!C1765</f>
        <v>355000_2019_12_</v>
      </c>
      <c r="C312" s="3599" t="str">
        <f>'HVAC Deemed Table'!G1765</f>
        <v>Cooling Res</v>
      </c>
      <c r="D312" s="3599" t="str">
        <f>'HVAC Deemed Table'!G1766</f>
        <v>Heating Res</v>
      </c>
      <c r="E312" s="1962"/>
      <c r="F312" s="1962"/>
      <c r="G312" s="1962" t="str">
        <f>'HVAC Deemed Table'!E1765</f>
        <v>ASHP-SEER18_ROF_MF</v>
      </c>
      <c r="H312" s="63" t="str">
        <f>'HVAC Deemed Table'!D1765</f>
        <v>MF</v>
      </c>
      <c r="I312" s="2438">
        <f t="shared" si="553"/>
        <v>1121.74</v>
      </c>
      <c r="J312" s="2438">
        <f t="shared" si="554"/>
        <v>0</v>
      </c>
      <c r="K312" s="2439">
        <f>'HVAC Deemed Table'!F1765</f>
        <v>355.05</v>
      </c>
      <c r="L312" s="2439">
        <f>'HVAC Deemed Table'!F1766</f>
        <v>766.69</v>
      </c>
      <c r="M312" s="2439"/>
      <c r="N312" s="2439"/>
      <c r="O312" s="2440">
        <f t="shared" si="555"/>
        <v>0.33638099999999999</v>
      </c>
      <c r="P312" s="2440">
        <f t="shared" si="556"/>
        <v>0</v>
      </c>
      <c r="Q312" s="2441">
        <f>'HVAC Deemed Table'!I1765</f>
        <v>0.33638099999999999</v>
      </c>
      <c r="R312" s="2441">
        <f>'HVAC Deemed Table'!I1766</f>
        <v>0</v>
      </c>
      <c r="S312" s="2441"/>
      <c r="T312" s="2441"/>
      <c r="U312" s="1819"/>
      <c r="V312" s="1819"/>
      <c r="W312" s="1819">
        <f t="shared" si="557"/>
        <v>0.33638099999999999</v>
      </c>
      <c r="X312" s="68">
        <f>'HVAC Deemed Table'!J1765</f>
        <v>18</v>
      </c>
      <c r="Y312" s="68"/>
      <c r="Z312" s="68">
        <f t="shared" si="514"/>
        <v>18</v>
      </c>
      <c r="AA312" s="62">
        <f>'HVAC Deemed Table'!BB1765</f>
        <v>1.0788025931831349</v>
      </c>
      <c r="AB312" s="839">
        <f>'HVAC Deemed Table'!K1765</f>
        <v>962.92000000000007</v>
      </c>
      <c r="AC312" s="3618">
        <f t="shared" si="533"/>
        <v>980.46304202728095</v>
      </c>
      <c r="AD312" s="3618">
        <f t="shared" si="534"/>
        <v>0</v>
      </c>
      <c r="AE312" s="2453">
        <f>'HVAC Deemed Table'!BD1765</f>
        <v>626.23991546370314</v>
      </c>
      <c r="AF312" s="2453">
        <f>'HVAC Deemed Table'!BD1766</f>
        <v>354.22312656357781</v>
      </c>
      <c r="AG312" s="2453"/>
      <c r="AH312" s="2453"/>
      <c r="AI312" s="3624" t="str">
        <f t="shared" si="391"/>
        <v>per measure</v>
      </c>
      <c r="AJ312" s="126">
        <f>'HVAC Deemed Table'!L1765</f>
        <v>3.3</v>
      </c>
      <c r="AK312" s="1805"/>
      <c r="AL312" s="1805"/>
      <c r="AM312" s="1972">
        <f t="shared" si="508"/>
        <v>9.4741810000000004E-4</v>
      </c>
      <c r="AN312" s="100">
        <f t="shared" si="558"/>
        <v>0.33638079640500002</v>
      </c>
      <c r="AO312" s="1971">
        <f t="shared" si="457"/>
        <v>-2.0359499997013586E-7</v>
      </c>
      <c r="AP312" s="1930"/>
    </row>
    <row r="313" spans="1:42" x14ac:dyDescent="0.25">
      <c r="A313" s="103" t="str">
        <f t="shared" si="411"/>
        <v>355001</v>
      </c>
      <c r="B313" s="1960" t="str">
        <f>'HVAC Deemed Table'!C1767</f>
        <v>355001_2021_12_</v>
      </c>
      <c r="C313" s="3599" t="str">
        <f>'HVAC Deemed Table'!G1767</f>
        <v>Cooling Res</v>
      </c>
      <c r="D313" s="3599" t="str">
        <f>'HVAC Deemed Table'!G1768</f>
        <v>Heating Res</v>
      </c>
      <c r="E313" s="1962"/>
      <c r="F313" s="1962"/>
      <c r="G313" s="1962" t="str">
        <f>'HVAC Deemed Table'!E1767</f>
        <v>ASHP-SEER18_ROF_MF_CompE</v>
      </c>
      <c r="H313" s="63" t="str">
        <f>'HVAC Deemed Table'!D1767</f>
        <v>MFc</v>
      </c>
      <c r="I313" s="2438">
        <f t="shared" si="553"/>
        <v>519.59</v>
      </c>
      <c r="J313" s="2438">
        <f t="shared" si="554"/>
        <v>0</v>
      </c>
      <c r="K313" s="2439">
        <f>'HVAC Deemed Table'!F1767</f>
        <v>258.22000000000003</v>
      </c>
      <c r="L313" s="2439">
        <f>'HVAC Deemed Table'!F1768</f>
        <v>261.37</v>
      </c>
      <c r="M313" s="2439"/>
      <c r="N313" s="2439"/>
      <c r="O313" s="2440">
        <f t="shared" si="555"/>
        <v>0.244642</v>
      </c>
      <c r="P313" s="2440">
        <f t="shared" si="556"/>
        <v>0</v>
      </c>
      <c r="Q313" s="2441">
        <f>'HVAC Deemed Table'!I1767</f>
        <v>0.244642</v>
      </c>
      <c r="R313" s="2441">
        <f>'HVAC Deemed Table'!I1768</f>
        <v>0</v>
      </c>
      <c r="S313" s="2441"/>
      <c r="T313" s="2441"/>
      <c r="U313" s="1819"/>
      <c r="V313" s="1819"/>
      <c r="W313" s="1819">
        <f t="shared" si="557"/>
        <v>0.244642</v>
      </c>
      <c r="X313" s="68">
        <f>'HVAC Deemed Table'!J1767</f>
        <v>18</v>
      </c>
      <c r="Y313" s="68"/>
      <c r="Z313" s="68">
        <f t="shared" si="514"/>
        <v>18</v>
      </c>
      <c r="AA313" s="62">
        <f>'HVAC Deemed Table'!BB1767</f>
        <v>0.63400066199465643</v>
      </c>
      <c r="AB313" s="839">
        <f>'HVAC Deemed Table'!K1767</f>
        <v>962.92000000000007</v>
      </c>
      <c r="AC313" s="3618">
        <f t="shared" si="533"/>
        <v>576.20756719952294</v>
      </c>
      <c r="AD313" s="3618">
        <f t="shared" si="534"/>
        <v>0</v>
      </c>
      <c r="AE313" s="2453">
        <f>'HVAC Deemed Table'!BD1767</f>
        <v>455.45041816937731</v>
      </c>
      <c r="AF313" s="2453">
        <f>'HVAC Deemed Table'!BD1768</f>
        <v>120.7571490301456</v>
      </c>
      <c r="AG313" s="2453"/>
      <c r="AH313" s="2453"/>
      <c r="AI313" s="3624" t="str">
        <f t="shared" si="391"/>
        <v>per measure</v>
      </c>
      <c r="AJ313" s="126">
        <f>'HVAC Deemed Table'!L1767</f>
        <v>3.3</v>
      </c>
      <c r="AK313" s="1805"/>
      <c r="AL313" s="1805"/>
      <c r="AM313" s="1972">
        <f t="shared" si="508"/>
        <v>9.4741810000000004E-4</v>
      </c>
      <c r="AN313" s="100">
        <f t="shared" si="558"/>
        <v>0.24464230178200003</v>
      </c>
      <c r="AO313" s="1804">
        <f t="shared" si="457"/>
        <v>3.0178200002839439E-7</v>
      </c>
      <c r="AP313" s="163">
        <f>AO313/O313</f>
        <v>1.233565781952381E-6</v>
      </c>
    </row>
    <row r="314" spans="1:42" x14ac:dyDescent="0.25">
      <c r="A314" s="103" t="str">
        <f t="shared" si="411"/>
        <v>355050</v>
      </c>
      <c r="B314" s="684" t="str">
        <f>'HVAC Deemed Table'!C1769</f>
        <v>355050_2019_12_</v>
      </c>
      <c r="C314" s="3599" t="str">
        <f>'HVAC Deemed Table'!G1769</f>
        <v>Cooling Res</v>
      </c>
      <c r="D314" s="3599" t="str">
        <f>'HVAC Deemed Table'!G1770</f>
        <v>Heating Res</v>
      </c>
      <c r="E314" s="1962"/>
      <c r="F314" s="1962"/>
      <c r="G314" s="1962" t="str">
        <f>'HVAC Deemed Table'!E1769</f>
        <v>ASHP-SEER19_ROF_MF</v>
      </c>
      <c r="H314" s="63" t="str">
        <f>'HVAC Deemed Table'!D1769</f>
        <v>MF</v>
      </c>
      <c r="I314" s="2438">
        <f t="shared" si="553"/>
        <v>1187.1400000000001</v>
      </c>
      <c r="J314" s="2438">
        <f t="shared" si="554"/>
        <v>0</v>
      </c>
      <c r="K314" s="2439">
        <f>'HVAC Deemed Table'!F1769</f>
        <v>420.45</v>
      </c>
      <c r="L314" s="2439">
        <f>'HVAC Deemed Table'!F1770</f>
        <v>766.69</v>
      </c>
      <c r="M314" s="2439"/>
      <c r="N314" s="2439"/>
      <c r="O314" s="2440">
        <f t="shared" si="555"/>
        <v>0.39834199999999997</v>
      </c>
      <c r="P314" s="2440">
        <f t="shared" si="556"/>
        <v>0</v>
      </c>
      <c r="Q314" s="2441">
        <f>'HVAC Deemed Table'!I1769</f>
        <v>0.39834199999999997</v>
      </c>
      <c r="R314" s="2441">
        <f>'HVAC Deemed Table'!I1770</f>
        <v>0</v>
      </c>
      <c r="S314" s="2441"/>
      <c r="T314" s="2441"/>
      <c r="U314" s="1819"/>
      <c r="V314" s="1819"/>
      <c r="W314" s="1819">
        <f t="shared" si="557"/>
        <v>0.39834199999999997</v>
      </c>
      <c r="X314" s="68">
        <f>'HVAC Deemed Table'!J1769</f>
        <v>18</v>
      </c>
      <c r="Y314" s="68"/>
      <c r="Z314" s="68">
        <f t="shared" si="514"/>
        <v>18</v>
      </c>
      <c r="AA314" s="62">
        <f>'HVAC Deemed Table'!BB1769</f>
        <v>0.96458033470478943</v>
      </c>
      <c r="AB314" s="839">
        <f>'HVAC Deemed Table'!K1769</f>
        <v>1203.6500000000003</v>
      </c>
      <c r="AC314" s="3618">
        <f t="shared" si="533"/>
        <v>1095.816064056083</v>
      </c>
      <c r="AD314" s="3618">
        <f t="shared" si="534"/>
        <v>0</v>
      </c>
      <c r="AE314" s="2453">
        <f>'HVAC Deemed Table'!BD1769</f>
        <v>741.59293749250514</v>
      </c>
      <c r="AF314" s="2453">
        <f>'HVAC Deemed Table'!BD1770</f>
        <v>354.22312656357781</v>
      </c>
      <c r="AG314" s="2453"/>
      <c r="AH314" s="2453"/>
      <c r="AI314" s="3624" t="str">
        <f t="shared" si="391"/>
        <v>per measure</v>
      </c>
      <c r="AJ314" s="126">
        <f>'HVAC Deemed Table'!L1769</f>
        <v>3.3</v>
      </c>
      <c r="AK314" s="1805"/>
      <c r="AL314" s="1805"/>
      <c r="AM314" s="1972">
        <f t="shared" si="508"/>
        <v>9.4741810000000004E-4</v>
      </c>
      <c r="AN314" s="100">
        <f t="shared" si="558"/>
        <v>0.39834194014500002</v>
      </c>
      <c r="AO314" s="1971">
        <f t="shared" si="457"/>
        <v>-5.9854999956421295E-8</v>
      </c>
      <c r="AP314" s="1930"/>
    </row>
    <row r="315" spans="1:42" x14ac:dyDescent="0.25">
      <c r="A315" s="103" t="str">
        <f t="shared" si="411"/>
        <v>355051</v>
      </c>
      <c r="B315" s="684" t="str">
        <f>'HVAC Deemed Table'!C1771</f>
        <v>355051_2019_12_</v>
      </c>
      <c r="C315" s="3599" t="str">
        <f>'HVAC Deemed Table'!G1771</f>
        <v>Cooling Res</v>
      </c>
      <c r="D315" s="3599" t="str">
        <f>'HVAC Deemed Table'!G1772</f>
        <v>Heating Res</v>
      </c>
      <c r="E315" s="1962"/>
      <c r="F315" s="1962"/>
      <c r="G315" s="1962" t="str">
        <f>'HVAC Deemed Table'!E1771</f>
        <v>ASHP-SEER19_ROF_MF_CompE</v>
      </c>
      <c r="H315" s="63" t="str">
        <f>'HVAC Deemed Table'!D1771</f>
        <v>MFc</v>
      </c>
      <c r="I315" s="2438">
        <f t="shared" si="553"/>
        <v>567.15</v>
      </c>
      <c r="J315" s="2438">
        <f t="shared" si="554"/>
        <v>0</v>
      </c>
      <c r="K315" s="2439">
        <f>'HVAC Deemed Table'!F1771</f>
        <v>305.77999999999997</v>
      </c>
      <c r="L315" s="2439">
        <f>'HVAC Deemed Table'!F1772</f>
        <v>261.37</v>
      </c>
      <c r="M315" s="2439"/>
      <c r="N315" s="2439"/>
      <c r="O315" s="2440">
        <f t="shared" si="555"/>
        <v>0.28970200000000002</v>
      </c>
      <c r="P315" s="2440">
        <f t="shared" si="556"/>
        <v>0</v>
      </c>
      <c r="Q315" s="2441">
        <f>'HVAC Deemed Table'!I1771</f>
        <v>0.28970200000000002</v>
      </c>
      <c r="R315" s="2441">
        <f>'HVAC Deemed Table'!I1772</f>
        <v>0</v>
      </c>
      <c r="S315" s="2441"/>
      <c r="T315" s="2441"/>
      <c r="U315" s="1819"/>
      <c r="V315" s="1819"/>
      <c r="W315" s="1819">
        <f t="shared" si="557"/>
        <v>0.28970200000000002</v>
      </c>
      <c r="X315" s="68">
        <f>'HVAC Deemed Table'!J1771</f>
        <v>18</v>
      </c>
      <c r="Y315" s="68"/>
      <c r="Z315" s="68">
        <f t="shared" si="514"/>
        <v>18</v>
      </c>
      <c r="AA315" s="62">
        <f>'HVAC Deemed Table'!BB1771</f>
        <v>0.58104089126434699</v>
      </c>
      <c r="AB315" s="839">
        <f>'HVAC Deemed Table'!K1771</f>
        <v>1203.6500000000003</v>
      </c>
      <c r="AC315" s="3618">
        <f t="shared" si="533"/>
        <v>660.09426028346513</v>
      </c>
      <c r="AD315" s="3618">
        <f t="shared" si="534"/>
        <v>0</v>
      </c>
      <c r="AE315" s="2453">
        <f>'HVAC Deemed Table'!BD1771</f>
        <v>539.33711125331956</v>
      </c>
      <c r="AF315" s="2453">
        <f>'HVAC Deemed Table'!BD1772</f>
        <v>120.7571490301456</v>
      </c>
      <c r="AG315" s="2453"/>
      <c r="AH315" s="2453"/>
      <c r="AI315" s="3624" t="str">
        <f t="shared" si="391"/>
        <v>per measure</v>
      </c>
      <c r="AJ315" s="126">
        <f>'HVAC Deemed Table'!L1771</f>
        <v>3.3</v>
      </c>
      <c r="AK315" s="1805"/>
      <c r="AL315" s="1805"/>
      <c r="AM315" s="1972">
        <f t="shared" si="508"/>
        <v>9.4741810000000004E-4</v>
      </c>
      <c r="AN315" s="100">
        <f t="shared" si="558"/>
        <v>0.28970150661799998</v>
      </c>
      <c r="AO315" s="1804">
        <f t="shared" si="457"/>
        <v>-4.933820000330158E-7</v>
      </c>
      <c r="AP315" s="163">
        <f>AO315/O315</f>
        <v>-1.7030672899497269E-6</v>
      </c>
    </row>
    <row r="316" spans="1:42" x14ac:dyDescent="0.25">
      <c r="A316" s="103" t="str">
        <f t="shared" si="411"/>
        <v>355100</v>
      </c>
      <c r="B316" s="684" t="str">
        <f>'HVAC Deemed Table'!C1773</f>
        <v>355100_2019_12_</v>
      </c>
      <c r="C316" s="3599" t="str">
        <f>'HVAC Deemed Table'!G1773</f>
        <v>Cooling Res</v>
      </c>
      <c r="D316" s="3599" t="str">
        <f>'HVAC Deemed Table'!G1774</f>
        <v>Heating Res</v>
      </c>
      <c r="E316" s="1962"/>
      <c r="F316" s="1962"/>
      <c r="G316" s="1962" t="str">
        <f>'HVAC Deemed Table'!E1773</f>
        <v>ASHP-SEER20_ROF_MF</v>
      </c>
      <c r="H316" s="63" t="str">
        <f>'HVAC Deemed Table'!D1773</f>
        <v>MF</v>
      </c>
      <c r="I316" s="2438">
        <f t="shared" si="553"/>
        <v>1246.01</v>
      </c>
      <c r="J316" s="2438">
        <f t="shared" si="554"/>
        <v>0</v>
      </c>
      <c r="K316" s="2439">
        <f>'HVAC Deemed Table'!F1773</f>
        <v>479.32</v>
      </c>
      <c r="L316" s="2439">
        <f>'HVAC Deemed Table'!F1774</f>
        <v>766.69</v>
      </c>
      <c r="M316" s="2439"/>
      <c r="N316" s="2439"/>
      <c r="O316" s="2440">
        <f t="shared" si="555"/>
        <v>0.45411600000000002</v>
      </c>
      <c r="P316" s="2440">
        <f t="shared" si="556"/>
        <v>0</v>
      </c>
      <c r="Q316" s="2441">
        <f>'HVAC Deemed Table'!I1773</f>
        <v>0.45411600000000002</v>
      </c>
      <c r="R316" s="2441">
        <f>'HVAC Deemed Table'!I1774</f>
        <v>0</v>
      </c>
      <c r="S316" s="2441"/>
      <c r="T316" s="2441"/>
      <c r="U316" s="1819"/>
      <c r="V316" s="1819"/>
      <c r="W316" s="1819">
        <f t="shared" si="557"/>
        <v>0.45411600000000002</v>
      </c>
      <c r="X316" s="68">
        <f>'HVAC Deemed Table'!J1773</f>
        <v>18</v>
      </c>
      <c r="Y316" s="68"/>
      <c r="Z316" s="68">
        <f t="shared" si="514"/>
        <v>18</v>
      </c>
      <c r="AA316" s="62">
        <f>'HVAC Deemed Table'!BB1773</f>
        <v>0.87998357881258038</v>
      </c>
      <c r="AB316" s="839">
        <f>'HVAC Deemed Table'!K1773</f>
        <v>1444.3799999999994</v>
      </c>
      <c r="AC316" s="3618">
        <f t="shared" si="533"/>
        <v>1199.6514219587675</v>
      </c>
      <c r="AD316" s="3618">
        <f t="shared" si="534"/>
        <v>0</v>
      </c>
      <c r="AE316" s="2453">
        <f>'HVAC Deemed Table'!BD1773</f>
        <v>845.42829539518982</v>
      </c>
      <c r="AF316" s="2453">
        <f>'HVAC Deemed Table'!BD1774</f>
        <v>354.22312656357781</v>
      </c>
      <c r="AG316" s="2453"/>
      <c r="AH316" s="2453"/>
      <c r="AI316" s="3624" t="str">
        <f t="shared" si="391"/>
        <v>per measure</v>
      </c>
      <c r="AJ316" s="126">
        <f>'HVAC Deemed Table'!L1773</f>
        <v>3.3</v>
      </c>
      <c r="AK316" s="1805"/>
      <c r="AL316" s="1805"/>
      <c r="AM316" s="1972">
        <f t="shared" si="508"/>
        <v>9.4741810000000004E-4</v>
      </c>
      <c r="AN316" s="100">
        <f t="shared" si="558"/>
        <v>0.45411644369199999</v>
      </c>
      <c r="AO316" s="1971">
        <f t="shared" si="457"/>
        <v>4.436919999739608E-7</v>
      </c>
      <c r="AP316" s="1930"/>
    </row>
    <row r="317" spans="1:42" x14ac:dyDescent="0.25">
      <c r="A317" s="103" t="str">
        <f t="shared" si="411"/>
        <v>355101</v>
      </c>
      <c r="B317" s="684" t="str">
        <f>'HVAC Deemed Table'!C1775</f>
        <v>355101_2019_12_</v>
      </c>
      <c r="C317" s="3599" t="str">
        <f>'HVAC Deemed Table'!G1775</f>
        <v>Cooling Res</v>
      </c>
      <c r="D317" s="3599" t="str">
        <f>'HVAC Deemed Table'!G1776</f>
        <v>Heating Res</v>
      </c>
      <c r="E317" s="1962"/>
      <c r="F317" s="1962"/>
      <c r="G317" s="1962" t="str">
        <f>'HVAC Deemed Table'!E1775</f>
        <v>ASHP-SEER20_ROF_MF_CompE</v>
      </c>
      <c r="H317" s="63" t="str">
        <f>'HVAC Deemed Table'!D1775</f>
        <v>MFc</v>
      </c>
      <c r="I317" s="2438">
        <f t="shared" si="553"/>
        <v>609.96</v>
      </c>
      <c r="J317" s="2438">
        <f t="shared" si="554"/>
        <v>0</v>
      </c>
      <c r="K317" s="2439">
        <f>'HVAC Deemed Table'!F1775</f>
        <v>348.59</v>
      </c>
      <c r="L317" s="2439">
        <f>'HVAC Deemed Table'!F1776</f>
        <v>261.37</v>
      </c>
      <c r="M317" s="2439"/>
      <c r="N317" s="2439"/>
      <c r="O317" s="2440">
        <f t="shared" si="555"/>
        <v>0.33026</v>
      </c>
      <c r="P317" s="2440">
        <f t="shared" si="556"/>
        <v>0</v>
      </c>
      <c r="Q317" s="2441">
        <f>'HVAC Deemed Table'!I1775</f>
        <v>0.33026</v>
      </c>
      <c r="R317" s="2441">
        <f>'HVAC Deemed Table'!I1776</f>
        <v>0</v>
      </c>
      <c r="S317" s="2441"/>
      <c r="T317" s="2441"/>
      <c r="U317" s="1819"/>
      <c r="V317" s="1819"/>
      <c r="W317" s="1819">
        <f t="shared" si="557"/>
        <v>0.33026</v>
      </c>
      <c r="X317" s="68">
        <f>'HVAC Deemed Table'!J1775</f>
        <v>18</v>
      </c>
      <c r="Y317" s="68"/>
      <c r="Z317" s="68">
        <f t="shared" si="514"/>
        <v>18</v>
      </c>
      <c r="AA317" s="62">
        <f>'HVAC Deemed Table'!BB1775</f>
        <v>0.5395887768356824</v>
      </c>
      <c r="AB317" s="839">
        <f>'HVAC Deemed Table'!K1775</f>
        <v>1444.3799999999994</v>
      </c>
      <c r="AC317" s="3618">
        <f t="shared" si="533"/>
        <v>735.60286690507087</v>
      </c>
      <c r="AD317" s="3618">
        <f t="shared" si="534"/>
        <v>0</v>
      </c>
      <c r="AE317" s="2453">
        <f>'HVAC Deemed Table'!BD1775</f>
        <v>614.8457178749253</v>
      </c>
      <c r="AF317" s="2453">
        <f>'HVAC Deemed Table'!BD1776</f>
        <v>120.7571490301456</v>
      </c>
      <c r="AG317" s="2453"/>
      <c r="AH317" s="2453"/>
      <c r="AI317" s="3624" t="str">
        <f t="shared" si="391"/>
        <v>per measure</v>
      </c>
      <c r="AJ317" s="126">
        <f>'HVAC Deemed Table'!L1775</f>
        <v>3.3</v>
      </c>
      <c r="AK317" s="1805"/>
      <c r="AL317" s="1805"/>
      <c r="AM317" s="1972">
        <f t="shared" si="508"/>
        <v>9.4741810000000004E-4</v>
      </c>
      <c r="AN317" s="100">
        <f t="shared" si="558"/>
        <v>0.330260475479</v>
      </c>
      <c r="AO317" s="1804">
        <f t="shared" si="457"/>
        <v>4.754790000061071E-7</v>
      </c>
      <c r="AP317" s="163">
        <f>AO317/O317</f>
        <v>1.4397111366986831E-6</v>
      </c>
    </row>
    <row r="318" spans="1:42" x14ac:dyDescent="0.25">
      <c r="A318" s="103" t="str">
        <f t="shared" si="411"/>
        <v>355150</v>
      </c>
      <c r="B318" s="684" t="str">
        <f>'HVAC Deemed Table'!C1777</f>
        <v>355150_2019_12_</v>
      </c>
      <c r="C318" s="3599" t="str">
        <f>'HVAC Deemed Table'!G1777</f>
        <v>Cooling Res</v>
      </c>
      <c r="D318" s="3599" t="str">
        <f>'HVAC Deemed Table'!G1778</f>
        <v>Heating Res</v>
      </c>
      <c r="E318" s="1962"/>
      <c r="F318" s="1962"/>
      <c r="G318" s="1962" t="str">
        <f>'HVAC Deemed Table'!E1777</f>
        <v>ASHP-SEER21_ROF_MF</v>
      </c>
      <c r="H318" s="63" t="str">
        <f>'HVAC Deemed Table'!D1777</f>
        <v>MF</v>
      </c>
      <c r="I318" s="2438">
        <f t="shared" si="553"/>
        <v>1299.2600000000002</v>
      </c>
      <c r="J318" s="2438">
        <f t="shared" si="554"/>
        <v>0</v>
      </c>
      <c r="K318" s="2439">
        <f>'HVAC Deemed Table'!F1777</f>
        <v>532.57000000000005</v>
      </c>
      <c r="L318" s="2439">
        <f>'HVAC Deemed Table'!F1778</f>
        <v>766.69</v>
      </c>
      <c r="M318" s="2439"/>
      <c r="N318" s="2439"/>
      <c r="O318" s="2440">
        <f t="shared" si="555"/>
        <v>0.50456599999999996</v>
      </c>
      <c r="P318" s="2440">
        <f t="shared" si="556"/>
        <v>0</v>
      </c>
      <c r="Q318" s="2441">
        <f>'HVAC Deemed Table'!I1777</f>
        <v>0.50456599999999996</v>
      </c>
      <c r="R318" s="2441">
        <f>'HVAC Deemed Table'!I1778</f>
        <v>0</v>
      </c>
      <c r="S318" s="2441"/>
      <c r="T318" s="2441"/>
      <c r="U318" s="1819"/>
      <c r="V318" s="1819"/>
      <c r="W318" s="1819">
        <f t="shared" si="557"/>
        <v>0.50456599999999996</v>
      </c>
      <c r="X318" s="68">
        <f>'HVAC Deemed Table'!J1777</f>
        <v>18</v>
      </c>
      <c r="Y318" s="68"/>
      <c r="Z318" s="68">
        <f t="shared" si="514"/>
        <v>18</v>
      </c>
      <c r="AA318" s="62">
        <f>'HVAC Deemed Table'!BB1777</f>
        <v>0.81100768902567399</v>
      </c>
      <c r="AB318" s="839">
        <f>'HVAC Deemed Table'!K1777</f>
        <v>1689.9245999999991</v>
      </c>
      <c r="AC318" s="3618">
        <f t="shared" si="533"/>
        <v>1293.574180720751</v>
      </c>
      <c r="AD318" s="3618">
        <f t="shared" si="534"/>
        <v>0</v>
      </c>
      <c r="AE318" s="2453">
        <f>'HVAC Deemed Table'!BD1777</f>
        <v>939.35105415717328</v>
      </c>
      <c r="AF318" s="2453">
        <f>'HVAC Deemed Table'!BD1778</f>
        <v>354.22312656357781</v>
      </c>
      <c r="AG318" s="2453"/>
      <c r="AH318" s="2453"/>
      <c r="AI318" s="3624" t="str">
        <f t="shared" si="391"/>
        <v>per measure</v>
      </c>
      <c r="AJ318" s="126">
        <f>'HVAC Deemed Table'!L1777</f>
        <v>3.3</v>
      </c>
      <c r="AK318" s="1805"/>
      <c r="AL318" s="1805"/>
      <c r="AM318" s="1972">
        <f t="shared" si="508"/>
        <v>9.4741810000000004E-4</v>
      </c>
      <c r="AN318" s="100">
        <f t="shared" si="558"/>
        <v>0.50456645751700002</v>
      </c>
      <c r="AO318" s="1971">
        <f t="shared" si="457"/>
        <v>4.5751700006313456E-7</v>
      </c>
      <c r="AP318" s="1930"/>
    </row>
    <row r="319" spans="1:42" x14ac:dyDescent="0.25">
      <c r="A319" s="103" t="str">
        <f t="shared" si="411"/>
        <v>355151</v>
      </c>
      <c r="B319" s="684" t="str">
        <f>'HVAC Deemed Table'!C1779</f>
        <v>355151_2019_12_</v>
      </c>
      <c r="C319" s="3599" t="str">
        <f>'HVAC Deemed Table'!G1779</f>
        <v>Cooling Res</v>
      </c>
      <c r="D319" s="3599" t="str">
        <f>'HVAC Deemed Table'!G1780</f>
        <v>Heating Res</v>
      </c>
      <c r="E319" s="1962"/>
      <c r="F319" s="1962"/>
      <c r="G319" s="1962" t="str">
        <f>'HVAC Deemed Table'!E1779</f>
        <v>ASHP-SEER21_ROF_MF_CompE</v>
      </c>
      <c r="H319" s="63" t="str">
        <f>'HVAC Deemed Table'!D1779</f>
        <v>MFc</v>
      </c>
      <c r="I319" s="2438">
        <f t="shared" si="553"/>
        <v>648.70000000000005</v>
      </c>
      <c r="J319" s="2438">
        <f t="shared" si="554"/>
        <v>0</v>
      </c>
      <c r="K319" s="2439">
        <f>'HVAC Deemed Table'!F1779</f>
        <v>387.33</v>
      </c>
      <c r="L319" s="2439">
        <f>'HVAC Deemed Table'!F1780</f>
        <v>261.37</v>
      </c>
      <c r="M319" s="2439"/>
      <c r="N319" s="2439"/>
      <c r="O319" s="2440">
        <f t="shared" si="555"/>
        <v>0.36696299999999998</v>
      </c>
      <c r="P319" s="2440">
        <f t="shared" si="556"/>
        <v>0</v>
      </c>
      <c r="Q319" s="2441">
        <f>'HVAC Deemed Table'!I1779</f>
        <v>0.36696299999999998</v>
      </c>
      <c r="R319" s="2441">
        <f>'HVAC Deemed Table'!I1780</f>
        <v>0</v>
      </c>
      <c r="S319" s="2441"/>
      <c r="T319" s="2441"/>
      <c r="U319" s="1819"/>
      <c r="V319" s="1819"/>
      <c r="W319" s="1819">
        <f t="shared" si="557"/>
        <v>0.36696299999999998</v>
      </c>
      <c r="X319" s="68">
        <f>'HVAC Deemed Table'!J1779</f>
        <v>18</v>
      </c>
      <c r="Y319" s="68"/>
      <c r="Z319" s="68">
        <f t="shared" si="514"/>
        <v>18</v>
      </c>
      <c r="AA319" s="62">
        <f>'HVAC Deemed Table'!BB1779</f>
        <v>0.5040264970834335</v>
      </c>
      <c r="AB319" s="839">
        <f>'HVAC Deemed Table'!K1779</f>
        <v>1689.9245999999991</v>
      </c>
      <c r="AC319" s="3618">
        <f t="shared" si="533"/>
        <v>803.93277628421151</v>
      </c>
      <c r="AD319" s="3618">
        <f t="shared" si="534"/>
        <v>0</v>
      </c>
      <c r="AE319" s="2453">
        <f>'HVAC Deemed Table'!BD1779</f>
        <v>683.17562725406594</v>
      </c>
      <c r="AF319" s="2453">
        <f>'HVAC Deemed Table'!BD1780</f>
        <v>120.7571490301456</v>
      </c>
      <c r="AG319" s="2453"/>
      <c r="AH319" s="2453"/>
      <c r="AI319" s="3624" t="str">
        <f t="shared" si="391"/>
        <v>per measure</v>
      </c>
      <c r="AJ319" s="126">
        <f>'HVAC Deemed Table'!L1779</f>
        <v>3.3</v>
      </c>
      <c r="AK319" s="1805"/>
      <c r="AL319" s="1805"/>
      <c r="AM319" s="1972">
        <f t="shared" si="508"/>
        <v>9.4741810000000004E-4</v>
      </c>
      <c r="AN319" s="100">
        <f t="shared" si="558"/>
        <v>0.36696345267300001</v>
      </c>
      <c r="AO319" s="1804">
        <f t="shared" si="457"/>
        <v>4.526730000287138E-7</v>
      </c>
      <c r="AP319" s="163">
        <f>AO319/O319</f>
        <v>1.2335657819145631E-6</v>
      </c>
    </row>
    <row r="320" spans="1:42" x14ac:dyDescent="0.25">
      <c r="A320" s="103" t="str">
        <f t="shared" si="411"/>
        <v>400050</v>
      </c>
      <c r="B320" s="684" t="str">
        <f>'Income Eligible Deemed Table'!C7</f>
        <v>400050_2019_12_</v>
      </c>
      <c r="C320" s="3599" t="str">
        <f>'Income Eligible Deemed Table'!G7</f>
        <v>Cooling RES</v>
      </c>
      <c r="D320" s="1962"/>
      <c r="E320" s="1962"/>
      <c r="F320" s="1962"/>
      <c r="G320" s="1962" t="str">
        <f>'Income Eligible Deemed Table'!E7</f>
        <v>AC General Tune-Up (no charge or coil clean) SF</v>
      </c>
      <c r="H320" s="63" t="str">
        <f>'Income Eligible Deemed Table'!D7</f>
        <v>SFIE</v>
      </c>
      <c r="I320" s="2438">
        <f t="shared" ref="I320:I331" si="559">K320+L320</f>
        <v>140.66999999999999</v>
      </c>
      <c r="J320" s="2438">
        <f t="shared" ref="J320:J389" si="560">M320+N320</f>
        <v>0</v>
      </c>
      <c r="K320" s="2439">
        <f>'Income Eligible Deemed Table'!F7</f>
        <v>140.66999999999999</v>
      </c>
      <c r="L320" s="2439"/>
      <c r="M320" s="2439"/>
      <c r="N320" s="2439"/>
      <c r="O320" s="2440">
        <f t="shared" ref="O320:O331" si="561">Q320+R320</f>
        <v>0.133273</v>
      </c>
      <c r="P320" s="2440">
        <f t="shared" ref="P320:P372" si="562">S320+T320</f>
        <v>0</v>
      </c>
      <c r="Q320" s="2441">
        <f>'Income Eligible Deemed Table'!I7</f>
        <v>0.133273</v>
      </c>
      <c r="R320" s="2441"/>
      <c r="S320" s="2441"/>
      <c r="T320" s="2441"/>
      <c r="U320" s="1819">
        <v>0</v>
      </c>
      <c r="V320" s="1819">
        <v>0</v>
      </c>
      <c r="W320" s="1819">
        <v>0</v>
      </c>
      <c r="X320" s="68">
        <f>'Income Eligible Deemed Table'!J7</f>
        <v>2</v>
      </c>
      <c r="Y320" s="68"/>
      <c r="Z320" s="68">
        <f t="shared" si="514"/>
        <v>2</v>
      </c>
      <c r="AA320" s="62">
        <f>'Income Eligible Deemed Table'!BB7</f>
        <v>0.36434048955583126</v>
      </c>
      <c r="AB320" s="839">
        <f>'Income Eligible Deemed Table'!K7</f>
        <v>70</v>
      </c>
      <c r="AC320" s="3617">
        <f t="shared" si="533"/>
        <v>24.071575525161101</v>
      </c>
      <c r="AD320" s="3617">
        <f t="shared" si="534"/>
        <v>0</v>
      </c>
      <c r="AE320" s="1661">
        <f>'Income Eligible Deemed Table'!BD7</f>
        <v>24.071575525161101</v>
      </c>
      <c r="AF320" s="2453"/>
      <c r="AG320" s="2453"/>
      <c r="AH320" s="2453"/>
      <c r="AI320" s="684" t="str">
        <f>'Income Eligible Deemed Table'!L7</f>
        <v>per measure</v>
      </c>
      <c r="AJ320" s="1930"/>
      <c r="AK320" s="1930"/>
      <c r="AL320" s="1930"/>
      <c r="AM320" s="1972">
        <f t="shared" si="508"/>
        <v>9.4741810000000004E-4</v>
      </c>
      <c r="AN320" s="1930">
        <f t="shared" ref="AN320:AN354" si="563">AM320*I320</f>
        <v>0.133273304127</v>
      </c>
      <c r="AO320" s="1971">
        <f t="shared" si="457"/>
        <v>3.0412700000037596E-7</v>
      </c>
      <c r="AP320" s="1930"/>
    </row>
    <row r="321" spans="1:42" x14ac:dyDescent="0.25">
      <c r="A321" s="103" t="str">
        <f t="shared" si="411"/>
        <v>400100</v>
      </c>
      <c r="B321" s="684" t="str">
        <f>'Income Eligible Deemed Table'!C8</f>
        <v>400100_2019_12_</v>
      </c>
      <c r="C321" s="3599" t="str">
        <f>'Income Eligible Deemed Table'!G8</f>
        <v>Cooling RES</v>
      </c>
      <c r="D321" s="1962"/>
      <c r="E321" s="1962"/>
      <c r="F321" s="1962"/>
      <c r="G321" s="1962" t="str">
        <f>'Income Eligible Deemed Table'!E8</f>
        <v>AC General Tune-Up (no charge or coil clean) MF</v>
      </c>
      <c r="H321" s="63" t="str">
        <f>'Income Eligible Deemed Table'!D8</f>
        <v>MFIE</v>
      </c>
      <c r="I321" s="2438">
        <f t="shared" si="559"/>
        <v>91.43</v>
      </c>
      <c r="J321" s="2438">
        <f t="shared" si="560"/>
        <v>0</v>
      </c>
      <c r="K321" s="2439">
        <f>'Income Eligible Deemed Table'!F8</f>
        <v>91.43</v>
      </c>
      <c r="L321" s="2439"/>
      <c r="M321" s="2439"/>
      <c r="N321" s="2439"/>
      <c r="O321" s="2440">
        <f t="shared" si="561"/>
        <v>8.6622000000000005E-2</v>
      </c>
      <c r="P321" s="2440">
        <f t="shared" si="562"/>
        <v>0</v>
      </c>
      <c r="Q321" s="2441">
        <f>'Income Eligible Deemed Table'!I8</f>
        <v>8.6622000000000005E-2</v>
      </c>
      <c r="R321" s="2441"/>
      <c r="S321" s="2441"/>
      <c r="T321" s="2441"/>
      <c r="U321" s="1819">
        <v>0</v>
      </c>
      <c r="V321" s="1819">
        <v>0</v>
      </c>
      <c r="W321" s="1819">
        <v>0</v>
      </c>
      <c r="X321" s="68">
        <f>'Income Eligible Deemed Table'!J8</f>
        <v>2</v>
      </c>
      <c r="Y321" s="68"/>
      <c r="Z321" s="68">
        <f t="shared" si="514"/>
        <v>2</v>
      </c>
      <c r="AA321" s="62">
        <f>'Income Eligible Deemed Table'!BB8</f>
        <v>0.23680707300838599</v>
      </c>
      <c r="AB321" s="839">
        <f>'Income Eligible Deemed Table'!K8</f>
        <v>70</v>
      </c>
      <c r="AC321" s="3617">
        <f t="shared" si="533"/>
        <v>15.645582926462499</v>
      </c>
      <c r="AD321" s="3617">
        <f t="shared" si="534"/>
        <v>0</v>
      </c>
      <c r="AE321" s="1661">
        <f>'Income Eligible Deemed Table'!BD8</f>
        <v>15.645582926462499</v>
      </c>
      <c r="AF321" s="2453"/>
      <c r="AG321" s="2453"/>
      <c r="AH321" s="2453"/>
      <c r="AI321" s="684" t="str">
        <f>'Income Eligible Deemed Table'!L8</f>
        <v>per measure</v>
      </c>
      <c r="AJ321" s="1930"/>
      <c r="AK321" s="1930"/>
      <c r="AL321" s="1930"/>
      <c r="AM321" s="1972">
        <f t="shared" si="508"/>
        <v>9.4741810000000004E-4</v>
      </c>
      <c r="AN321" s="1930">
        <f t="shared" si="563"/>
        <v>8.6622436883000004E-2</v>
      </c>
      <c r="AO321" s="1971">
        <f t="shared" si="457"/>
        <v>4.3688299999899982E-7</v>
      </c>
      <c r="AP321" s="1930"/>
    </row>
    <row r="322" spans="1:42" x14ac:dyDescent="0.25">
      <c r="A322" s="103" t="str">
        <f t="shared" si="411"/>
        <v>400101</v>
      </c>
      <c r="B322" s="684" t="str">
        <f>'Income Eligible Deemed Table'!C9</f>
        <v>400101_2019_12_</v>
      </c>
      <c r="C322" s="3599" t="str">
        <f>'Income Eligible Deemed Table'!G9</f>
        <v>Cooling RES</v>
      </c>
      <c r="D322" s="1962"/>
      <c r="E322" s="1962"/>
      <c r="F322" s="1962"/>
      <c r="G322" s="1962" t="str">
        <f>'Income Eligible Deemed Table'!E9</f>
        <v>AC General Tune-Up (no charge or coil clean) MF_CompE</v>
      </c>
      <c r="H322" s="63" t="str">
        <f>'Income Eligible Deemed Table'!D9</f>
        <v>MFIEc</v>
      </c>
      <c r="I322" s="2438">
        <f t="shared" si="559"/>
        <v>66.5</v>
      </c>
      <c r="J322" s="2438">
        <f t="shared" si="560"/>
        <v>0</v>
      </c>
      <c r="K322" s="2439">
        <f>'Income Eligible Deemed Table'!F9</f>
        <v>66.5</v>
      </c>
      <c r="L322" s="2439"/>
      <c r="M322" s="2439"/>
      <c r="N322" s="2439"/>
      <c r="O322" s="2440">
        <f t="shared" si="561"/>
        <v>6.3003000000000003E-2</v>
      </c>
      <c r="P322" s="2440">
        <f t="shared" si="562"/>
        <v>0</v>
      </c>
      <c r="Q322" s="2441">
        <f>'Income Eligible Deemed Table'!I9</f>
        <v>6.3003000000000003E-2</v>
      </c>
      <c r="R322" s="2441"/>
      <c r="S322" s="2441"/>
      <c r="T322" s="2441"/>
      <c r="U322" s="1819">
        <v>0</v>
      </c>
      <c r="V322" s="1819">
        <v>0</v>
      </c>
      <c r="W322" s="1819">
        <v>0</v>
      </c>
      <c r="X322" s="68">
        <f>'Income Eligible Deemed Table'!J9</f>
        <v>2</v>
      </c>
      <c r="Y322" s="68"/>
      <c r="Z322" s="68">
        <f t="shared" si="514"/>
        <v>2</v>
      </c>
      <c r="AA322" s="62">
        <f>'Income Eligible Deemed Table'!BB9</f>
        <v>0.17223745329823545</v>
      </c>
      <c r="AB322" s="839">
        <f>'Income Eligible Deemed Table'!K9</f>
        <v>70</v>
      </c>
      <c r="AC322" s="3617">
        <f t="shared" si="533"/>
        <v>11.379539151369967</v>
      </c>
      <c r="AD322" s="3617">
        <f t="shared" si="534"/>
        <v>0</v>
      </c>
      <c r="AE322" s="1661">
        <f>'Income Eligible Deemed Table'!BD9</f>
        <v>11.379539151369967</v>
      </c>
      <c r="AF322" s="2453"/>
      <c r="AG322" s="2453"/>
      <c r="AH322" s="2453"/>
      <c r="AI322" s="684" t="str">
        <f>'Income Eligible Deemed Table'!L9</f>
        <v>per measure</v>
      </c>
      <c r="AJ322" s="1930"/>
      <c r="AK322" s="1930"/>
      <c r="AL322" s="1930"/>
      <c r="AM322" s="1972">
        <f t="shared" si="508"/>
        <v>9.4741810000000004E-4</v>
      </c>
      <c r="AN322" s="1930">
        <f t="shared" si="563"/>
        <v>6.3003303650000009E-2</v>
      </c>
      <c r="AO322" s="1971">
        <f t="shared" si="457"/>
        <v>3.0365000000531772E-7</v>
      </c>
      <c r="AP322" s="1930"/>
    </row>
    <row r="323" spans="1:42" x14ac:dyDescent="0.25">
      <c r="A323" s="103" t="str">
        <f t="shared" si="411"/>
        <v>400150</v>
      </c>
      <c r="B323" s="684" t="str">
        <f>'Income Eligible Deemed Table'!C10</f>
        <v>400150_2019_12_</v>
      </c>
      <c r="C323" s="3599" t="str">
        <f>'Income Eligible Deemed Table'!G10</f>
        <v>Cooling RES</v>
      </c>
      <c r="D323" s="1962"/>
      <c r="E323" s="1962"/>
      <c r="F323" s="1962"/>
      <c r="G323" s="1962" t="str">
        <f>'Income Eligible Deemed Table'!E10</f>
        <v>AC Tune-up / Refrigerant charge SF</v>
      </c>
      <c r="H323" s="63" t="str">
        <f>'Income Eligible Deemed Table'!D10</f>
        <v>SFIE</v>
      </c>
      <c r="I323" s="2438">
        <f t="shared" si="559"/>
        <v>586.71</v>
      </c>
      <c r="J323" s="2438">
        <f t="shared" si="560"/>
        <v>0</v>
      </c>
      <c r="K323" s="2439">
        <f>'Income Eligible Deemed Table'!F10</f>
        <v>586.71</v>
      </c>
      <c r="L323" s="2439"/>
      <c r="M323" s="2439"/>
      <c r="N323" s="2439"/>
      <c r="O323" s="2440">
        <f t="shared" si="561"/>
        <v>0.55586000000000002</v>
      </c>
      <c r="P323" s="2440">
        <f t="shared" si="562"/>
        <v>0</v>
      </c>
      <c r="Q323" s="2441">
        <f>'Income Eligible Deemed Table'!I10</f>
        <v>0.55586000000000002</v>
      </c>
      <c r="R323" s="2441"/>
      <c r="S323" s="2441"/>
      <c r="T323" s="2441"/>
      <c r="U323" s="1819">
        <v>0</v>
      </c>
      <c r="V323" s="1819">
        <v>0</v>
      </c>
      <c r="W323" s="1819">
        <v>0</v>
      </c>
      <c r="X323" s="68">
        <f>'Income Eligible Deemed Table'!J10</f>
        <v>2</v>
      </c>
      <c r="Y323" s="68"/>
      <c r="Z323" s="68">
        <f t="shared" si="514"/>
        <v>2</v>
      </c>
      <c r="AA323" s="62">
        <f>'Income Eligible Deemed Table'!BB10</f>
        <v>1.3132350386563707</v>
      </c>
      <c r="AB323" s="839">
        <f>'Income Eligible Deemed Table'!K10</f>
        <v>81</v>
      </c>
      <c r="AC323" s="3617">
        <f t="shared" si="533"/>
        <v>100.39833707519209</v>
      </c>
      <c r="AD323" s="3617">
        <f t="shared" si="534"/>
        <v>0</v>
      </c>
      <c r="AE323" s="1661">
        <f>'Income Eligible Deemed Table'!BD10</f>
        <v>100.39833707519209</v>
      </c>
      <c r="AF323" s="2453"/>
      <c r="AG323" s="2453"/>
      <c r="AH323" s="2453"/>
      <c r="AI323" s="684" t="str">
        <f>'Income Eligible Deemed Table'!L10</f>
        <v>per measure</v>
      </c>
      <c r="AJ323" s="1930"/>
      <c r="AK323" s="1930"/>
      <c r="AL323" s="1930"/>
      <c r="AM323" s="1972">
        <f t="shared" si="508"/>
        <v>9.4741810000000004E-4</v>
      </c>
      <c r="AN323" s="1930">
        <f t="shared" si="563"/>
        <v>0.55585967345100007</v>
      </c>
      <c r="AO323" s="1971">
        <f t="shared" si="457"/>
        <v>-3.2654899995154807E-7</v>
      </c>
      <c r="AP323" s="1930"/>
    </row>
    <row r="324" spans="1:42" x14ac:dyDescent="0.25">
      <c r="A324" s="103" t="str">
        <f t="shared" si="411"/>
        <v>400200</v>
      </c>
      <c r="B324" s="684" t="str">
        <f>'Income Eligible Deemed Table'!C11</f>
        <v>400200_2019_12_</v>
      </c>
      <c r="C324" s="3599" t="str">
        <f>'Income Eligible Deemed Table'!G11</f>
        <v>Cooling RES</v>
      </c>
      <c r="D324" s="1962"/>
      <c r="E324" s="1962"/>
      <c r="F324" s="1962"/>
      <c r="G324" s="1962" t="str">
        <f>'Income Eligible Deemed Table'!E11</f>
        <v>AC Tune-up / Refrigerant charge MF</v>
      </c>
      <c r="H324" s="63" t="str">
        <f>'Income Eligible Deemed Table'!D11</f>
        <v>MFIE</v>
      </c>
      <c r="I324" s="2438">
        <f t="shared" si="559"/>
        <v>381.36</v>
      </c>
      <c r="J324" s="2438">
        <f t="shared" si="560"/>
        <v>0</v>
      </c>
      <c r="K324" s="2439">
        <f>'Income Eligible Deemed Table'!F11</f>
        <v>381.36</v>
      </c>
      <c r="L324" s="2439"/>
      <c r="M324" s="2439"/>
      <c r="N324" s="2439"/>
      <c r="O324" s="2440">
        <f t="shared" si="561"/>
        <v>0.36130699999999999</v>
      </c>
      <c r="P324" s="2440">
        <f t="shared" si="562"/>
        <v>0</v>
      </c>
      <c r="Q324" s="2441">
        <f>'Income Eligible Deemed Table'!I11</f>
        <v>0.36130699999999999</v>
      </c>
      <c r="R324" s="2441"/>
      <c r="S324" s="2441"/>
      <c r="T324" s="2441"/>
      <c r="U324" s="1819">
        <v>0</v>
      </c>
      <c r="V324" s="1819">
        <v>0</v>
      </c>
      <c r="W324" s="1819">
        <v>0</v>
      </c>
      <c r="X324" s="68">
        <f>'Income Eligible Deemed Table'!J11</f>
        <v>2</v>
      </c>
      <c r="Y324" s="68"/>
      <c r="Z324" s="68">
        <f t="shared" si="514"/>
        <v>2</v>
      </c>
      <c r="AA324" s="62">
        <f>'Income Eligible Deemed Table'!BB11</f>
        <v>0.85359941767141101</v>
      </c>
      <c r="AB324" s="839">
        <f>'Income Eligible Deemed Table'!K11</f>
        <v>81</v>
      </c>
      <c r="AC324" s="3617">
        <f t="shared" si="533"/>
        <v>65.25866241754062</v>
      </c>
      <c r="AD324" s="3617">
        <f t="shared" si="534"/>
        <v>0</v>
      </c>
      <c r="AE324" s="1661">
        <f>'Income Eligible Deemed Table'!BD11</f>
        <v>65.25866241754062</v>
      </c>
      <c r="AF324" s="2453"/>
      <c r="AG324" s="2453"/>
      <c r="AH324" s="2453"/>
      <c r="AI324" s="684" t="str">
        <f>'Income Eligible Deemed Table'!L11</f>
        <v>per measure</v>
      </c>
      <c r="AJ324" s="1930"/>
      <c r="AK324" s="1930"/>
      <c r="AL324" s="1930"/>
      <c r="AM324" s="1972">
        <f t="shared" si="508"/>
        <v>9.4741810000000004E-4</v>
      </c>
      <c r="AN324" s="1930">
        <f t="shared" si="563"/>
        <v>0.36130736661600005</v>
      </c>
      <c r="AO324" s="1971">
        <f t="shared" si="457"/>
        <v>3.6661600005816197E-7</v>
      </c>
      <c r="AP324" s="1930"/>
    </row>
    <row r="325" spans="1:42" x14ac:dyDescent="0.25">
      <c r="A325" s="103" t="str">
        <f t="shared" si="411"/>
        <v>400201</v>
      </c>
      <c r="B325" s="684" t="str">
        <f>'Income Eligible Deemed Table'!C12</f>
        <v>400201_2019_12_</v>
      </c>
      <c r="C325" s="3599" t="str">
        <f>'Income Eligible Deemed Table'!G12</f>
        <v>Cooling RES</v>
      </c>
      <c r="D325" s="1962"/>
      <c r="E325" s="1962"/>
      <c r="F325" s="1962"/>
      <c r="G325" s="1962" t="str">
        <f>'Income Eligible Deemed Table'!E12</f>
        <v>AC Tune-up / Refrigerant charge MF_CompE</v>
      </c>
      <c r="H325" s="63" t="str">
        <f>'Income Eligible Deemed Table'!D12</f>
        <v>MFIEc</v>
      </c>
      <c r="I325" s="2438">
        <f t="shared" si="559"/>
        <v>277.35000000000002</v>
      </c>
      <c r="J325" s="2438">
        <f t="shared" si="560"/>
        <v>0</v>
      </c>
      <c r="K325" s="2439">
        <f>'Income Eligible Deemed Table'!F12</f>
        <v>277.35000000000002</v>
      </c>
      <c r="L325" s="2439"/>
      <c r="M325" s="2439"/>
      <c r="N325" s="2439"/>
      <c r="O325" s="2440">
        <f t="shared" si="561"/>
        <v>0.262766</v>
      </c>
      <c r="P325" s="2440">
        <f t="shared" si="562"/>
        <v>0</v>
      </c>
      <c r="Q325" s="2441">
        <f>'Income Eligible Deemed Table'!I12</f>
        <v>0.262766</v>
      </c>
      <c r="R325" s="2441"/>
      <c r="S325" s="2441"/>
      <c r="T325" s="2441"/>
      <c r="U325" s="1819">
        <v>0</v>
      </c>
      <c r="V325" s="1819">
        <v>0</v>
      </c>
      <c r="W325" s="1819">
        <v>0</v>
      </c>
      <c r="X325" s="68">
        <f>'Income Eligible Deemed Table'!J12</f>
        <v>2</v>
      </c>
      <c r="Y325" s="68"/>
      <c r="Z325" s="68">
        <f t="shared" si="514"/>
        <v>2</v>
      </c>
      <c r="AA325" s="62">
        <f>'Income Eligible Deemed Table'!BB12</f>
        <v>0.6207934720242444</v>
      </c>
      <c r="AB325" s="839">
        <f>'Income Eligible Deemed Table'!K12</f>
        <v>81</v>
      </c>
      <c r="AC325" s="3617">
        <f t="shared" si="533"/>
        <v>47.46037870124001</v>
      </c>
      <c r="AD325" s="3617">
        <f t="shared" si="534"/>
        <v>0</v>
      </c>
      <c r="AE325" s="1661">
        <f>'Income Eligible Deemed Table'!BD12</f>
        <v>47.46037870124001</v>
      </c>
      <c r="AF325" s="2453"/>
      <c r="AG325" s="2453"/>
      <c r="AH325" s="2453"/>
      <c r="AI325" s="684" t="str">
        <f>'Income Eligible Deemed Table'!L12</f>
        <v>per measure</v>
      </c>
      <c r="AJ325" s="1930"/>
      <c r="AK325" s="1930"/>
      <c r="AL325" s="1930"/>
      <c r="AM325" s="1972">
        <f t="shared" si="508"/>
        <v>9.4741810000000004E-4</v>
      </c>
      <c r="AN325" s="1930">
        <f t="shared" si="563"/>
        <v>0.26276641003500001</v>
      </c>
      <c r="AO325" s="1971">
        <f t="shared" si="457"/>
        <v>4.1003500000913462E-7</v>
      </c>
      <c r="AP325" s="1930"/>
    </row>
    <row r="326" spans="1:42" x14ac:dyDescent="0.25">
      <c r="A326" s="103" t="str">
        <f t="shared" si="411"/>
        <v>400250</v>
      </c>
      <c r="B326" s="684" t="str">
        <f>'Income Eligible Deemed Table'!C13</f>
        <v>400250_2019_12_</v>
      </c>
      <c r="C326" s="3599" t="str">
        <f>'Income Eligible Deemed Table'!G13</f>
        <v>Cooling RES</v>
      </c>
      <c r="D326" s="1962"/>
      <c r="E326" s="1962"/>
      <c r="F326" s="1962"/>
      <c r="G326" s="1962" t="str">
        <f>'Income Eligible Deemed Table'!E13</f>
        <v>AC Tune-up / Indoor Coil (Evaporator) Cleaning SF</v>
      </c>
      <c r="H326" s="63" t="str">
        <f>'Income Eligible Deemed Table'!D13</f>
        <v>SFIE</v>
      </c>
      <c r="I326" s="2438">
        <f t="shared" si="559"/>
        <v>97.11</v>
      </c>
      <c r="J326" s="2438">
        <f t="shared" si="560"/>
        <v>0</v>
      </c>
      <c r="K326" s="2439">
        <f>'Income Eligible Deemed Table'!F13</f>
        <v>97.11</v>
      </c>
      <c r="L326" s="2439"/>
      <c r="M326" s="2439"/>
      <c r="N326" s="2439"/>
      <c r="O326" s="2440">
        <f t="shared" si="561"/>
        <v>9.2004000000000002E-2</v>
      </c>
      <c r="P326" s="2440">
        <f t="shared" si="562"/>
        <v>0</v>
      </c>
      <c r="Q326" s="2441">
        <f>'Income Eligible Deemed Table'!I13</f>
        <v>9.2004000000000002E-2</v>
      </c>
      <c r="R326" s="2441"/>
      <c r="S326" s="2441"/>
      <c r="T326" s="2441"/>
      <c r="U326" s="1819">
        <v>0</v>
      </c>
      <c r="V326" s="1819">
        <v>0</v>
      </c>
      <c r="W326" s="1819">
        <v>0</v>
      </c>
      <c r="X326" s="68">
        <f>'Income Eligible Deemed Table'!J13</f>
        <v>2</v>
      </c>
      <c r="Y326" s="68"/>
      <c r="Z326" s="68">
        <f t="shared" si="514"/>
        <v>2</v>
      </c>
      <c r="AA326" s="62">
        <f>'Income Eligible Deemed Table'!BB13</f>
        <v>0.27946498061473085</v>
      </c>
      <c r="AB326" s="839">
        <f>'Income Eligible Deemed Table'!K13</f>
        <v>63</v>
      </c>
      <c r="AC326" s="3617">
        <f t="shared" si="533"/>
        <v>16.617549578790037</v>
      </c>
      <c r="AD326" s="3617">
        <f t="shared" si="534"/>
        <v>0</v>
      </c>
      <c r="AE326" s="1661">
        <f>'Income Eligible Deemed Table'!BD13</f>
        <v>16.617549578790037</v>
      </c>
      <c r="AF326" s="2453"/>
      <c r="AG326" s="2453"/>
      <c r="AH326" s="2453"/>
      <c r="AI326" s="684" t="str">
        <f>'Income Eligible Deemed Table'!L13</f>
        <v>per measure</v>
      </c>
      <c r="AJ326" s="1930"/>
      <c r="AK326" s="1930"/>
      <c r="AL326" s="1930"/>
      <c r="AM326" s="1972">
        <f t="shared" si="508"/>
        <v>9.4741810000000004E-4</v>
      </c>
      <c r="AN326" s="1930">
        <f t="shared" si="563"/>
        <v>9.2003771691000005E-2</v>
      </c>
      <c r="AO326" s="1971">
        <f t="shared" si="457"/>
        <v>-2.2830899999715104E-7</v>
      </c>
      <c r="AP326" s="1930"/>
    </row>
    <row r="327" spans="1:42" x14ac:dyDescent="0.25">
      <c r="A327" s="103" t="str">
        <f t="shared" si="411"/>
        <v>400300</v>
      </c>
      <c r="B327" s="684" t="str">
        <f>'Income Eligible Deemed Table'!C14</f>
        <v>400300_2019_12_</v>
      </c>
      <c r="C327" s="3599" t="str">
        <f>'Income Eligible Deemed Table'!G14</f>
        <v>Cooling RES</v>
      </c>
      <c r="D327" s="1962"/>
      <c r="E327" s="1962"/>
      <c r="F327" s="1962"/>
      <c r="G327" s="1962" t="str">
        <f>'Income Eligible Deemed Table'!E14</f>
        <v>AC Tune-up /Indoor Coil (Evaporator) Cleaning MF</v>
      </c>
      <c r="H327" s="63" t="str">
        <f>'Income Eligible Deemed Table'!D14</f>
        <v>MFIE</v>
      </c>
      <c r="I327" s="2438">
        <f t="shared" si="559"/>
        <v>63.12</v>
      </c>
      <c r="J327" s="2438">
        <f t="shared" si="560"/>
        <v>0</v>
      </c>
      <c r="K327" s="2439">
        <f>'Income Eligible Deemed Table'!F14</f>
        <v>63.12</v>
      </c>
      <c r="L327" s="2439"/>
      <c r="M327" s="2439"/>
      <c r="N327" s="2439"/>
      <c r="O327" s="2440">
        <f t="shared" si="561"/>
        <v>5.9801E-2</v>
      </c>
      <c r="P327" s="2440">
        <f t="shared" si="562"/>
        <v>0</v>
      </c>
      <c r="Q327" s="2441">
        <f>'Income Eligible Deemed Table'!I14</f>
        <v>5.9801E-2</v>
      </c>
      <c r="R327" s="2441"/>
      <c r="S327" s="2441"/>
      <c r="T327" s="2441"/>
      <c r="U327" s="1819">
        <v>0</v>
      </c>
      <c r="V327" s="1819">
        <v>0</v>
      </c>
      <c r="W327" s="1819">
        <v>0</v>
      </c>
      <c r="X327" s="68">
        <f>'Income Eligible Deemed Table'!J14</f>
        <v>2</v>
      </c>
      <c r="Y327" s="68"/>
      <c r="Z327" s="68">
        <f t="shared" si="514"/>
        <v>2</v>
      </c>
      <c r="AA327" s="62">
        <f>'Income Eligible Deemed Table'!BB14</f>
        <v>0.18164792067142224</v>
      </c>
      <c r="AB327" s="839">
        <f>'Income Eligible Deemed Table'!K14</f>
        <v>63</v>
      </c>
      <c r="AC327" s="3617">
        <f t="shared" si="533"/>
        <v>10.801150544879283</v>
      </c>
      <c r="AD327" s="3617">
        <f t="shared" si="534"/>
        <v>0</v>
      </c>
      <c r="AE327" s="1661">
        <f>'Income Eligible Deemed Table'!BD14</f>
        <v>10.801150544879283</v>
      </c>
      <c r="AF327" s="2453"/>
      <c r="AG327" s="2453"/>
      <c r="AH327" s="2453"/>
      <c r="AI327" s="684" t="str">
        <f>'Income Eligible Deemed Table'!L14</f>
        <v>per measure</v>
      </c>
      <c r="AJ327" s="1930"/>
      <c r="AK327" s="1930"/>
      <c r="AL327" s="1930"/>
      <c r="AM327" s="1972">
        <f t="shared" si="508"/>
        <v>9.4741810000000004E-4</v>
      </c>
      <c r="AN327" s="1930">
        <f t="shared" si="563"/>
        <v>5.9801030472E-2</v>
      </c>
      <c r="AO327" s="1971">
        <f t="shared" si="457"/>
        <v>3.047199999967054E-8</v>
      </c>
      <c r="AP327" s="1930"/>
    </row>
    <row r="328" spans="1:42" x14ac:dyDescent="0.25">
      <c r="A328" s="103" t="str">
        <f t="shared" si="411"/>
        <v>400301</v>
      </c>
      <c r="B328" s="684" t="str">
        <f>'Income Eligible Deemed Table'!C15</f>
        <v>400301_2019_12_</v>
      </c>
      <c r="C328" s="3599" t="str">
        <f>'Income Eligible Deemed Table'!G15</f>
        <v>Cooling RES</v>
      </c>
      <c r="D328" s="1962"/>
      <c r="E328" s="1962"/>
      <c r="F328" s="1962"/>
      <c r="G328" s="1962" t="str">
        <f>'Income Eligible Deemed Table'!E15</f>
        <v>AC Tune-up /Indoor Coil (Evaporator) Cleaning MF_CompE</v>
      </c>
      <c r="H328" s="63" t="str">
        <f>'Income Eligible Deemed Table'!D15</f>
        <v>MFIEc</v>
      </c>
      <c r="I328" s="2438">
        <f t="shared" si="559"/>
        <v>45.91</v>
      </c>
      <c r="J328" s="2438">
        <f t="shared" si="560"/>
        <v>0</v>
      </c>
      <c r="K328" s="2439">
        <f>'Income Eligible Deemed Table'!F15</f>
        <v>45.91</v>
      </c>
      <c r="L328" s="2439"/>
      <c r="M328" s="2439"/>
      <c r="N328" s="2439"/>
      <c r="O328" s="2440">
        <f t="shared" si="561"/>
        <v>4.3496E-2</v>
      </c>
      <c r="P328" s="2440">
        <f t="shared" si="562"/>
        <v>0</v>
      </c>
      <c r="Q328" s="2441">
        <f>'Income Eligible Deemed Table'!I15</f>
        <v>4.3496E-2</v>
      </c>
      <c r="R328" s="2441"/>
      <c r="S328" s="2441"/>
      <c r="T328" s="2441"/>
      <c r="U328" s="1819">
        <v>0</v>
      </c>
      <c r="V328" s="1819">
        <v>0</v>
      </c>
      <c r="W328" s="1819">
        <v>0</v>
      </c>
      <c r="X328" s="68">
        <f>'Income Eligible Deemed Table'!J15</f>
        <v>2</v>
      </c>
      <c r="Y328" s="68"/>
      <c r="Z328" s="68">
        <f t="shared" si="514"/>
        <v>2</v>
      </c>
      <c r="AA328" s="62">
        <f>'Income Eligible Deemed Table'!BB15</f>
        <v>0.1321206596645278</v>
      </c>
      <c r="AB328" s="839">
        <f>'Income Eligible Deemed Table'!K15</f>
        <v>63</v>
      </c>
      <c r="AC328" s="3617">
        <f t="shared" si="533"/>
        <v>7.8561600366826339</v>
      </c>
      <c r="AD328" s="3617">
        <f t="shared" si="534"/>
        <v>0</v>
      </c>
      <c r="AE328" s="1661">
        <f>'Income Eligible Deemed Table'!BD15</f>
        <v>7.8561600366826339</v>
      </c>
      <c r="AF328" s="2453"/>
      <c r="AG328" s="2453"/>
      <c r="AH328" s="2453"/>
      <c r="AI328" s="684" t="str">
        <f>'Income Eligible Deemed Table'!L15</f>
        <v>per measure</v>
      </c>
      <c r="AJ328" s="1930"/>
      <c r="AK328" s="1930"/>
      <c r="AL328" s="1930"/>
      <c r="AM328" s="1972">
        <f t="shared" si="508"/>
        <v>9.4741810000000004E-4</v>
      </c>
      <c r="AN328" s="1930">
        <f t="shared" si="563"/>
        <v>4.3495964971000001E-2</v>
      </c>
      <c r="AO328" s="1971">
        <f t="shared" si="457"/>
        <v>-3.5028999999242583E-8</v>
      </c>
      <c r="AP328" s="1930"/>
    </row>
    <row r="329" spans="1:42" x14ac:dyDescent="0.25">
      <c r="A329" s="103" t="str">
        <f t="shared" si="411"/>
        <v>400350</v>
      </c>
      <c r="B329" s="684" t="str">
        <f>'Income Eligible Deemed Table'!C16</f>
        <v>400350_2019_12_</v>
      </c>
      <c r="C329" s="3599" t="str">
        <f>'Income Eligible Deemed Table'!G16</f>
        <v>Cooling RES</v>
      </c>
      <c r="D329" s="1962"/>
      <c r="E329" s="1962"/>
      <c r="F329" s="1962"/>
      <c r="G329" s="1962" t="str">
        <f>'Income Eligible Deemed Table'!E16</f>
        <v>AC Tune-up /Outdoor Coil (Condenser) Cleaning SF</v>
      </c>
      <c r="H329" s="63" t="str">
        <f>'Income Eligible Deemed Table'!D16</f>
        <v>SFIE</v>
      </c>
      <c r="I329" s="2438">
        <f t="shared" si="559"/>
        <v>194.21</v>
      </c>
      <c r="J329" s="2438">
        <f t="shared" si="560"/>
        <v>0</v>
      </c>
      <c r="K329" s="2439">
        <f>'Income Eligible Deemed Table'!F16</f>
        <v>194.21</v>
      </c>
      <c r="L329" s="2439"/>
      <c r="M329" s="2439"/>
      <c r="N329" s="2439"/>
      <c r="O329" s="2440">
        <f t="shared" si="561"/>
        <v>0.18399799999999999</v>
      </c>
      <c r="P329" s="2440">
        <f t="shared" si="562"/>
        <v>0</v>
      </c>
      <c r="Q329" s="2441">
        <f>'Income Eligible Deemed Table'!I16</f>
        <v>0.18399799999999999</v>
      </c>
      <c r="R329" s="2441"/>
      <c r="S329" s="2441"/>
      <c r="T329" s="2441"/>
      <c r="U329" s="1819">
        <v>0</v>
      </c>
      <c r="V329" s="1819">
        <v>0</v>
      </c>
      <c r="W329" s="1819">
        <v>0</v>
      </c>
      <c r="X329" s="68">
        <f>'Income Eligible Deemed Table'!J16</f>
        <v>2</v>
      </c>
      <c r="Y329" s="68"/>
      <c r="Z329" s="68">
        <f t="shared" si="514"/>
        <v>2</v>
      </c>
      <c r="AA329" s="62">
        <f>'Income Eligible Deemed Table'!BB16</f>
        <v>1.135831436504255</v>
      </c>
      <c r="AB329" s="839">
        <f>'Income Eligible Deemed Table'!K16</f>
        <v>31</v>
      </c>
      <c r="AC329" s="3617">
        <f t="shared" si="533"/>
        <v>33.233387948685134</v>
      </c>
      <c r="AD329" s="3617">
        <f t="shared" si="534"/>
        <v>0</v>
      </c>
      <c r="AE329" s="1661">
        <f>'Income Eligible Deemed Table'!BD16</f>
        <v>33.233387948685134</v>
      </c>
      <c r="AF329" s="2453"/>
      <c r="AG329" s="2453"/>
      <c r="AH329" s="2453"/>
      <c r="AI329" s="684" t="str">
        <f>'Income Eligible Deemed Table'!L16</f>
        <v>per measure</v>
      </c>
      <c r="AJ329" s="1930"/>
      <c r="AK329" s="1930"/>
      <c r="AL329" s="1930"/>
      <c r="AM329" s="1972">
        <f t="shared" si="508"/>
        <v>9.4741810000000004E-4</v>
      </c>
      <c r="AN329" s="1930">
        <f t="shared" si="563"/>
        <v>0.18399806920100001</v>
      </c>
      <c r="AO329" s="1971">
        <f t="shared" si="457"/>
        <v>6.9201000013618952E-8</v>
      </c>
      <c r="AP329" s="1930"/>
    </row>
    <row r="330" spans="1:42" x14ac:dyDescent="0.25">
      <c r="A330" s="103" t="str">
        <f t="shared" ref="A330:A393" si="564">LEFT(B330,6)</f>
        <v>400400</v>
      </c>
      <c r="B330" s="684" t="str">
        <f>'Income Eligible Deemed Table'!C17</f>
        <v>400400_2019_12_</v>
      </c>
      <c r="C330" s="3599" t="str">
        <f>'Income Eligible Deemed Table'!G17</f>
        <v>Cooling RES</v>
      </c>
      <c r="D330" s="1962"/>
      <c r="E330" s="1962"/>
      <c r="F330" s="1962"/>
      <c r="G330" s="1962" t="str">
        <f>'Income Eligible Deemed Table'!E17</f>
        <v>AC Tune-up /Outdoor Coil (Condenser) Cleaning MF</v>
      </c>
      <c r="H330" s="63" t="str">
        <f>'Income Eligible Deemed Table'!D17</f>
        <v>MFIE</v>
      </c>
      <c r="I330" s="2438">
        <f t="shared" si="559"/>
        <v>126.24</v>
      </c>
      <c r="J330" s="2438">
        <f t="shared" si="560"/>
        <v>0</v>
      </c>
      <c r="K330" s="2439">
        <f>'Income Eligible Deemed Table'!F17</f>
        <v>126.24</v>
      </c>
      <c r="L330" s="2439"/>
      <c r="M330" s="2439"/>
      <c r="N330" s="2439"/>
      <c r="O330" s="2440">
        <f t="shared" si="561"/>
        <v>0.119602</v>
      </c>
      <c r="P330" s="2440">
        <f t="shared" si="562"/>
        <v>0</v>
      </c>
      <c r="Q330" s="2441">
        <f>'Income Eligible Deemed Table'!I17</f>
        <v>0.119602</v>
      </c>
      <c r="R330" s="2441"/>
      <c r="S330" s="2441"/>
      <c r="T330" s="2441"/>
      <c r="U330" s="1819">
        <v>0</v>
      </c>
      <c r="V330" s="1819">
        <v>0</v>
      </c>
      <c r="W330" s="1819">
        <v>0</v>
      </c>
      <c r="X330" s="68">
        <f>'Income Eligible Deemed Table'!J17</f>
        <v>2</v>
      </c>
      <c r="Y330" s="68"/>
      <c r="Z330" s="68">
        <f t="shared" si="514"/>
        <v>2</v>
      </c>
      <c r="AA330" s="62">
        <f>'Income Eligible Deemed Table'!BB17</f>
        <v>0.73831090337416783</v>
      </c>
      <c r="AB330" s="839">
        <f>'Income Eligible Deemed Table'!K17</f>
        <v>31</v>
      </c>
      <c r="AC330" s="3617">
        <f t="shared" si="533"/>
        <v>21.602301089758566</v>
      </c>
      <c r="AD330" s="3617">
        <f t="shared" si="534"/>
        <v>0</v>
      </c>
      <c r="AE330" s="1661">
        <f>'Income Eligible Deemed Table'!BD17</f>
        <v>21.602301089758566</v>
      </c>
      <c r="AF330" s="2453"/>
      <c r="AG330" s="2453"/>
      <c r="AH330" s="2453"/>
      <c r="AI330" s="684" t="str">
        <f>'Income Eligible Deemed Table'!L17</f>
        <v>per measure</v>
      </c>
      <c r="AJ330" s="1930"/>
      <c r="AK330" s="1930"/>
      <c r="AL330" s="1930"/>
      <c r="AM330" s="1972">
        <f t="shared" si="508"/>
        <v>9.4741810000000004E-4</v>
      </c>
      <c r="AN330" s="1930">
        <f t="shared" si="563"/>
        <v>0.119602060944</v>
      </c>
      <c r="AO330" s="1971">
        <f t="shared" si="457"/>
        <v>6.0943999999341081E-8</v>
      </c>
      <c r="AP330" s="1930"/>
    </row>
    <row r="331" spans="1:42" x14ac:dyDescent="0.25">
      <c r="A331" s="103" t="str">
        <f t="shared" si="564"/>
        <v>400401</v>
      </c>
      <c r="B331" s="684" t="str">
        <f>'Income Eligible Deemed Table'!C18</f>
        <v>400401_2019_12_</v>
      </c>
      <c r="C331" s="3599" t="str">
        <f>'Income Eligible Deemed Table'!G18</f>
        <v>Cooling RES</v>
      </c>
      <c r="D331" s="1962"/>
      <c r="E331" s="1962"/>
      <c r="F331" s="1962"/>
      <c r="G331" s="1962" t="str">
        <f>'Income Eligible Deemed Table'!E18</f>
        <v>AC Tune-up /Outdoor Coil (Condenser) Cleaning MF_CompE</v>
      </c>
      <c r="H331" s="63" t="str">
        <f>'Income Eligible Deemed Table'!D18</f>
        <v>MFIEc</v>
      </c>
      <c r="I331" s="2438">
        <f t="shared" si="559"/>
        <v>91.81</v>
      </c>
      <c r="J331" s="2438">
        <f t="shared" si="560"/>
        <v>0</v>
      </c>
      <c r="K331" s="2439">
        <f>'Income Eligible Deemed Table'!F18</f>
        <v>91.81</v>
      </c>
      <c r="L331" s="2439"/>
      <c r="M331" s="2439"/>
      <c r="N331" s="2439"/>
      <c r="O331" s="2440">
        <f t="shared" si="561"/>
        <v>8.6982000000000004E-2</v>
      </c>
      <c r="P331" s="2440">
        <f t="shared" si="562"/>
        <v>0</v>
      </c>
      <c r="Q331" s="2441">
        <f>'Income Eligible Deemed Table'!I18</f>
        <v>8.6982000000000004E-2</v>
      </c>
      <c r="R331" s="2441"/>
      <c r="S331" s="2441"/>
      <c r="T331" s="2441"/>
      <c r="U331" s="1819">
        <v>0</v>
      </c>
      <c r="V331" s="1819">
        <v>0</v>
      </c>
      <c r="W331" s="1819">
        <v>0</v>
      </c>
      <c r="X331" s="68">
        <f>'Income Eligible Deemed Table'!J18</f>
        <v>2</v>
      </c>
      <c r="Y331" s="68"/>
      <c r="Z331" s="68">
        <f t="shared" si="514"/>
        <v>2</v>
      </c>
      <c r="AA331" s="62">
        <f>'Income Eligible Deemed Table'!BB18</f>
        <v>0.53694806748084878</v>
      </c>
      <c r="AB331" s="839">
        <f>'Income Eligible Deemed Table'!K18</f>
        <v>31</v>
      </c>
      <c r="AC331" s="3617">
        <f t="shared" si="533"/>
        <v>15.710608864470327</v>
      </c>
      <c r="AD331" s="3617">
        <f t="shared" si="534"/>
        <v>0</v>
      </c>
      <c r="AE331" s="1661">
        <f>'Income Eligible Deemed Table'!BD18</f>
        <v>15.710608864470327</v>
      </c>
      <c r="AF331" s="2453"/>
      <c r="AG331" s="2453"/>
      <c r="AH331" s="2453"/>
      <c r="AI331" s="684" t="str">
        <f>'Income Eligible Deemed Table'!L18</f>
        <v>per measure</v>
      </c>
      <c r="AJ331" s="1930"/>
      <c r="AK331" s="1930"/>
      <c r="AL331" s="1930"/>
      <c r="AM331" s="1972">
        <f t="shared" si="508"/>
        <v>9.4741810000000004E-4</v>
      </c>
      <c r="AN331" s="1930">
        <f t="shared" si="563"/>
        <v>8.6982455760999999E-2</v>
      </c>
      <c r="AO331" s="1971">
        <f t="shared" si="457"/>
        <v>4.5576099999555808E-7</v>
      </c>
    </row>
    <row r="332" spans="1:42" s="100" customFormat="1" x14ac:dyDescent="0.25">
      <c r="A332" s="103" t="str">
        <f t="shared" si="564"/>
        <v>400410</v>
      </c>
      <c r="B332" s="1960" t="str">
        <f>'Income Eligible Deemed Table'!C19</f>
        <v>400410_2021_12</v>
      </c>
      <c r="C332" s="3645" t="str">
        <f>'Income Eligible Deemed Table'!G19</f>
        <v>Cooling RES</v>
      </c>
      <c r="D332" s="1958"/>
      <c r="E332" s="1958"/>
      <c r="F332" s="1958"/>
      <c r="G332" s="1958" t="str">
        <f>'Income Eligible Deemed Table'!E19</f>
        <v>AC Tune-up / Packaged Service SF</v>
      </c>
      <c r="H332" s="1975" t="str">
        <f>'Income Eligible Deemed Table'!D19</f>
        <v>SFIE</v>
      </c>
      <c r="I332" s="1973">
        <f t="shared" ref="I332" si="565">K332+L332</f>
        <v>365.21</v>
      </c>
      <c r="J332" s="1973">
        <f t="shared" ref="J332" si="566">M332+N332</f>
        <v>0</v>
      </c>
      <c r="K332" s="1963">
        <f>'Income Eligible Deemed Table'!F19</f>
        <v>365.21</v>
      </c>
      <c r="L332" s="1963"/>
      <c r="M332" s="1963"/>
      <c r="N332" s="1963"/>
      <c r="O332" s="1974">
        <f t="shared" ref="O332" si="567">Q332+R332</f>
        <v>0.34600700000000001</v>
      </c>
      <c r="P332" s="1974">
        <f t="shared" ref="P332" si="568">S332+T332</f>
        <v>0</v>
      </c>
      <c r="Q332" s="1976">
        <f>'Income Eligible Deemed Table'!I19</f>
        <v>0.34600700000000001</v>
      </c>
      <c r="R332" s="1976"/>
      <c r="S332" s="1976"/>
      <c r="T332" s="1976"/>
      <c r="U332" s="1926">
        <v>0</v>
      </c>
      <c r="V332" s="1926">
        <v>0</v>
      </c>
      <c r="W332" s="1926">
        <v>0</v>
      </c>
      <c r="X332" s="1952">
        <f>'Income Eligible Deemed Table'!J19</f>
        <v>2</v>
      </c>
      <c r="Y332" s="1952"/>
      <c r="Z332" s="1952">
        <f t="shared" ref="Z332" si="569">Y332+X332</f>
        <v>2</v>
      </c>
      <c r="AA332" s="1951">
        <f>'Income Eligible Deemed Table'!BB19</f>
        <v>0.35791089797467179</v>
      </c>
      <c r="AB332" s="2426">
        <f>'Income Eligible Deemed Table'!K19</f>
        <v>185</v>
      </c>
      <c r="AC332" s="2432">
        <f t="shared" ref="AC332" si="570">AE332+AF332</f>
        <v>62.495060052207904</v>
      </c>
      <c r="AD332" s="2432">
        <f t="shared" ref="AD332" si="571">AG332+AH332</f>
        <v>0</v>
      </c>
      <c r="AE332" s="2452">
        <f>'Income Eligible Deemed Table'!BD19</f>
        <v>62.495060052207904</v>
      </c>
      <c r="AF332" s="1982"/>
      <c r="AG332" s="1982"/>
      <c r="AH332" s="1982"/>
      <c r="AI332" s="1960" t="str">
        <f>'Income Eligible Deemed Table'!L19</f>
        <v>per measure</v>
      </c>
      <c r="AM332" s="2433">
        <f t="shared" si="508"/>
        <v>9.4741810000000004E-4</v>
      </c>
      <c r="AN332" s="100">
        <f t="shared" ref="AN332" si="572">AM332*I332</f>
        <v>0.34600656430100002</v>
      </c>
      <c r="AO332" s="2437">
        <f t="shared" ref="AO332" si="573">AN332-O332</f>
        <v>-4.3569899998985306E-7</v>
      </c>
    </row>
    <row r="333" spans="1:42" s="100" customFormat="1" x14ac:dyDescent="0.25">
      <c r="A333" s="103" t="str">
        <f t="shared" si="564"/>
        <v>400411</v>
      </c>
      <c r="B333" s="1960" t="str">
        <f>'Income Eligible Deemed Table'!C20</f>
        <v>400411_2021_12</v>
      </c>
      <c r="C333" s="3645" t="str">
        <f>'Income Eligible Deemed Table'!G20</f>
        <v>Cooling RES</v>
      </c>
      <c r="D333" s="1958"/>
      <c r="E333" s="1958"/>
      <c r="F333" s="1958"/>
      <c r="G333" s="1958" t="str">
        <f>'Income Eligible Deemed Table'!E20</f>
        <v>AC Tune-up / Packaged Service MF</v>
      </c>
      <c r="H333" s="1975" t="str">
        <f>'Income Eligible Deemed Table'!D20</f>
        <v>MFIE</v>
      </c>
      <c r="I333" s="1973">
        <f t="shared" ref="I333" si="574">K333+L333</f>
        <v>237.39</v>
      </c>
      <c r="J333" s="1973">
        <f t="shared" ref="J333" si="575">M333+N333</f>
        <v>0</v>
      </c>
      <c r="K333" s="1963">
        <f>'Income Eligible Deemed Table'!F20</f>
        <v>237.39</v>
      </c>
      <c r="L333" s="1963"/>
      <c r="M333" s="1963"/>
      <c r="N333" s="1963"/>
      <c r="O333" s="1974">
        <f t="shared" ref="O333" si="576">Q333+R333</f>
        <v>0.224908</v>
      </c>
      <c r="P333" s="1974">
        <f t="shared" ref="P333" si="577">S333+T333</f>
        <v>0</v>
      </c>
      <c r="Q333" s="1976">
        <f>'Income Eligible Deemed Table'!I20</f>
        <v>0.224908</v>
      </c>
      <c r="R333" s="1976"/>
      <c r="S333" s="1976"/>
      <c r="T333" s="1976"/>
      <c r="U333" s="1926">
        <v>0</v>
      </c>
      <c r="V333" s="1926">
        <v>0</v>
      </c>
      <c r="W333" s="1926">
        <v>0</v>
      </c>
      <c r="X333" s="1952">
        <f>'Income Eligible Deemed Table'!J20</f>
        <v>2</v>
      </c>
      <c r="Y333" s="1952"/>
      <c r="Z333" s="1952">
        <f t="shared" ref="Z333" si="578">Y333+X333</f>
        <v>2</v>
      </c>
      <c r="AA333" s="1951">
        <f>'Income Eligible Deemed Table'!BB20</f>
        <v>0.23264551373239326</v>
      </c>
      <c r="AB333" s="2426">
        <f>'Income Eligible Deemed Table'!K20</f>
        <v>185</v>
      </c>
      <c r="AC333" s="2432">
        <f t="shared" ref="AC333" si="579">AE333+AF333</f>
        <v>40.622387957048367</v>
      </c>
      <c r="AD333" s="2432">
        <f t="shared" ref="AD333" si="580">AG333+AH333</f>
        <v>0</v>
      </c>
      <c r="AE333" s="2452">
        <f>'Income Eligible Deemed Table'!BD20</f>
        <v>40.622387957048367</v>
      </c>
      <c r="AF333" s="1982"/>
      <c r="AG333" s="1982"/>
      <c r="AH333" s="1982"/>
      <c r="AI333" s="1960" t="str">
        <f>'Income Eligible Deemed Table'!L20</f>
        <v>per measure</v>
      </c>
      <c r="AM333" s="2433">
        <f t="shared" si="508"/>
        <v>9.4741810000000004E-4</v>
      </c>
      <c r="AN333" s="100">
        <f t="shared" ref="AN333" si="581">AM333*I333</f>
        <v>0.224907582759</v>
      </c>
      <c r="AO333" s="2437">
        <f t="shared" ref="AO333" si="582">AN333-O333</f>
        <v>-4.1724100000029019E-7</v>
      </c>
    </row>
    <row r="334" spans="1:42" s="100" customFormat="1" x14ac:dyDescent="0.25">
      <c r="A334" s="103" t="str">
        <f t="shared" si="564"/>
        <v>400412</v>
      </c>
      <c r="B334" s="1960" t="str">
        <f>'Income Eligible Deemed Table'!C21</f>
        <v>400412_2021_12</v>
      </c>
      <c r="C334" s="3645" t="str">
        <f>'Income Eligible Deemed Table'!G21</f>
        <v>Cooling RES</v>
      </c>
      <c r="D334" s="1958"/>
      <c r="E334" s="1958"/>
      <c r="F334" s="1958"/>
      <c r="G334" s="1958" t="str">
        <f>'Income Eligible Deemed Table'!E21</f>
        <v>AC Tune-up / Packaged Service MF_CompE</v>
      </c>
      <c r="H334" s="1975" t="str">
        <f>'Income Eligible Deemed Table'!D21</f>
        <v>MFIEc</v>
      </c>
      <c r="I334" s="1973">
        <f t="shared" ref="I334" si="583">K334+L334</f>
        <v>172.64</v>
      </c>
      <c r="J334" s="1973">
        <f t="shared" ref="J334" si="584">M334+N334</f>
        <v>0</v>
      </c>
      <c r="K334" s="1963">
        <f>'Income Eligible Deemed Table'!F21</f>
        <v>172.64</v>
      </c>
      <c r="L334" s="1963"/>
      <c r="M334" s="1963"/>
      <c r="N334" s="1963"/>
      <c r="O334" s="1974">
        <f t="shared" ref="O334" si="585">Q334+R334</f>
        <v>0.16356200000000001</v>
      </c>
      <c r="P334" s="1974">
        <f t="shared" ref="P334" si="586">S334+T334</f>
        <v>0</v>
      </c>
      <c r="Q334" s="1976">
        <f>'Income Eligible Deemed Table'!I21</f>
        <v>0.16356200000000001</v>
      </c>
      <c r="R334" s="1976"/>
      <c r="S334" s="1976"/>
      <c r="T334" s="1976"/>
      <c r="U334" s="1926">
        <v>0</v>
      </c>
      <c r="V334" s="1926">
        <v>0</v>
      </c>
      <c r="W334" s="1926">
        <v>0</v>
      </c>
      <c r="X334" s="1952">
        <f>'Income Eligible Deemed Table'!J21</f>
        <v>2</v>
      </c>
      <c r="Y334" s="1952"/>
      <c r="Z334" s="1952">
        <f t="shared" ref="Z334" si="587">Y334+X334</f>
        <v>2</v>
      </c>
      <c r="AA334" s="1951">
        <f>'Income Eligible Deemed Table'!BB21</f>
        <v>0.16918960988567494</v>
      </c>
      <c r="AB334" s="2426">
        <f>'Income Eligible Deemed Table'!K21</f>
        <v>185</v>
      </c>
      <c r="AC334" s="2432">
        <f t="shared" ref="AC334" si="588">AE334+AF334</f>
        <v>29.542310362293399</v>
      </c>
      <c r="AD334" s="2432">
        <f t="shared" ref="AD334" si="589">AG334+AH334</f>
        <v>0</v>
      </c>
      <c r="AE334" s="2452">
        <f>'Income Eligible Deemed Table'!BD21</f>
        <v>29.542310362293399</v>
      </c>
      <c r="AF334" s="1982"/>
      <c r="AG334" s="1982"/>
      <c r="AH334" s="1982"/>
      <c r="AI334" s="1960" t="str">
        <f>'Income Eligible Deemed Table'!L21</f>
        <v>per measure</v>
      </c>
      <c r="AM334" s="2433">
        <f t="shared" si="508"/>
        <v>9.4741810000000004E-4</v>
      </c>
      <c r="AN334" s="100">
        <f t="shared" ref="AN334" si="590">AM334*I334</f>
        <v>0.16356226078399999</v>
      </c>
      <c r="AO334" s="2437">
        <f t="shared" ref="AO334" si="591">AN334-O334</f>
        <v>2.6078399997797597E-7</v>
      </c>
    </row>
    <row r="335" spans="1:42" x14ac:dyDescent="0.25">
      <c r="A335" s="103" t="str">
        <f t="shared" si="564"/>
        <v>400450</v>
      </c>
      <c r="B335" s="684" t="str">
        <f>'Income Eligible Deemed Table'!C59</f>
        <v>400450_2019_12_</v>
      </c>
      <c r="C335" s="1962" t="str">
        <f>'Income Eligible Deemed Table'!G59</f>
        <v>Building Shell RES</v>
      </c>
      <c r="D335" s="1962"/>
      <c r="E335" s="1962"/>
      <c r="F335" s="1962"/>
      <c r="G335" s="1962" t="str">
        <f>'Income Eligible Deemed Table'!E59</f>
        <v>Air Sealing (Infiltration reduction) - 30% MF IE DI electric furnace base</v>
      </c>
      <c r="H335" s="63" t="str">
        <f>'Income Eligible Deemed Table'!D59</f>
        <v>MFIE</v>
      </c>
      <c r="I335" s="2438">
        <f>'Income Eligible Deemed Table'!F59</f>
        <v>0.33</v>
      </c>
      <c r="J335" s="2438">
        <f t="shared" si="560"/>
        <v>0</v>
      </c>
      <c r="K335" s="3600"/>
      <c r="L335" s="3600"/>
      <c r="M335" s="2439"/>
      <c r="N335" s="2439"/>
      <c r="O335" s="2440">
        <f>'Income Eligible Deemed Table'!K59</f>
        <v>1.54E-4</v>
      </c>
      <c r="P335" s="2440">
        <f t="shared" si="562"/>
        <v>0</v>
      </c>
      <c r="Q335" s="3601"/>
      <c r="R335" s="3601"/>
      <c r="S335" s="2441"/>
      <c r="T335" s="2441"/>
      <c r="U335" s="1819"/>
      <c r="V335" s="1819"/>
      <c r="W335" s="1819">
        <f t="shared" ref="W335:W342" si="592">O335</f>
        <v>1.54E-4</v>
      </c>
      <c r="X335" s="68">
        <f>'Income Eligible Deemed Table'!L59</f>
        <v>15</v>
      </c>
      <c r="Y335" s="68"/>
      <c r="Z335" s="68">
        <f t="shared" si="514"/>
        <v>15</v>
      </c>
      <c r="AA335" s="62">
        <f>'Income Eligible Deemed Table'!BB59</f>
        <v>2.7496621881200949</v>
      </c>
      <c r="AB335" s="839">
        <f>'Income Eligible Deemed Table'!M59</f>
        <v>0.12</v>
      </c>
      <c r="AC335" s="3617">
        <f t="shared" si="533"/>
        <v>0.31142941252893941</v>
      </c>
      <c r="AD335" s="3617">
        <f t="shared" si="534"/>
        <v>0</v>
      </c>
      <c r="AE335" s="1661">
        <f>'Income Eligible Deemed Table'!BD59</f>
        <v>0.31142941252893941</v>
      </c>
      <c r="AF335" s="2453"/>
      <c r="AG335" s="2453"/>
      <c r="AH335" s="2453"/>
      <c r="AI335" s="3625" t="str">
        <f>'Income Eligible Deemed Table'!N58</f>
        <v>Units (sq. ft)</v>
      </c>
      <c r="AJ335" s="1930"/>
      <c r="AK335" s="1930"/>
      <c r="AL335" s="1930"/>
      <c r="AM335" s="1972">
        <f t="shared" si="508"/>
        <v>4.6608050000000002E-4</v>
      </c>
      <c r="AN335" s="1930">
        <f t="shared" si="563"/>
        <v>1.53806565E-4</v>
      </c>
      <c r="AO335" s="1971">
        <f t="shared" si="457"/>
        <v>-1.9343499999999961E-7</v>
      </c>
    </row>
    <row r="336" spans="1:42" x14ac:dyDescent="0.25">
      <c r="A336" s="103" t="str">
        <f t="shared" si="564"/>
        <v>400500</v>
      </c>
      <c r="B336" s="684" t="str">
        <f>'Income Eligible Deemed Table'!C60</f>
        <v>400500_2019_12_</v>
      </c>
      <c r="C336" s="1962" t="str">
        <f>'Income Eligible Deemed Table'!G60</f>
        <v>Building Shell RES</v>
      </c>
      <c r="D336" s="1962"/>
      <c r="E336" s="1962"/>
      <c r="F336" s="1962"/>
      <c r="G336" s="1962" t="str">
        <f>'Income Eligible Deemed Table'!E60</f>
        <v>Air Sealing (Infiltration reduction) - 30% MF IE DI heat pump base</v>
      </c>
      <c r="H336" s="63"/>
      <c r="I336" s="2438">
        <f>'Income Eligible Deemed Table'!F60</f>
        <v>0.25</v>
      </c>
      <c r="J336" s="2438">
        <f t="shared" si="560"/>
        <v>0</v>
      </c>
      <c r="K336" s="3600"/>
      <c r="L336" s="3600"/>
      <c r="M336" s="2439"/>
      <c r="N336" s="2439"/>
      <c r="O336" s="2440">
        <f>'Income Eligible Deemed Table'!K60</f>
        <v>1.17E-4</v>
      </c>
      <c r="P336" s="2440">
        <f t="shared" si="562"/>
        <v>0</v>
      </c>
      <c r="Q336" s="3601"/>
      <c r="R336" s="3601"/>
      <c r="S336" s="2441"/>
      <c r="T336" s="2441"/>
      <c r="U336" s="1819"/>
      <c r="V336" s="1819"/>
      <c r="W336" s="1819">
        <f t="shared" si="592"/>
        <v>1.17E-4</v>
      </c>
      <c r="X336" s="68">
        <f>'Income Eligible Deemed Table'!L60</f>
        <v>15</v>
      </c>
      <c r="Y336" s="68"/>
      <c r="Z336" s="68">
        <f t="shared" si="514"/>
        <v>15</v>
      </c>
      <c r="AA336" s="62">
        <f>'Income Eligible Deemed Table'!BB60</f>
        <v>2.0830774152424958</v>
      </c>
      <c r="AB336" s="839">
        <f>'Income Eligible Deemed Table'!M60</f>
        <v>0.12</v>
      </c>
      <c r="AC336" s="3617">
        <f t="shared" si="533"/>
        <v>0.23593137312798437</v>
      </c>
      <c r="AD336" s="3617">
        <f t="shared" si="534"/>
        <v>0</v>
      </c>
      <c r="AE336" s="1661">
        <f>'Income Eligible Deemed Table'!BD60</f>
        <v>0.23593137312798437</v>
      </c>
      <c r="AF336" s="2453"/>
      <c r="AG336" s="2453"/>
      <c r="AH336" s="2453"/>
      <c r="AI336" s="3625" t="str">
        <f>AI335</f>
        <v>Units (sq. ft)</v>
      </c>
      <c r="AJ336" s="1930"/>
      <c r="AK336" s="1930"/>
      <c r="AL336" s="1930"/>
      <c r="AM336" s="1972">
        <f t="shared" si="508"/>
        <v>4.6608050000000002E-4</v>
      </c>
      <c r="AN336" s="1930">
        <f t="shared" si="563"/>
        <v>1.16520125E-4</v>
      </c>
      <c r="AO336" s="1971">
        <f t="shared" si="457"/>
        <v>-4.7987499999999344E-7</v>
      </c>
    </row>
    <row r="337" spans="1:41" x14ac:dyDescent="0.25">
      <c r="A337" s="103" t="str">
        <f t="shared" si="564"/>
        <v>400550</v>
      </c>
      <c r="B337" s="684" t="str">
        <f>'Income Eligible Deemed Table'!C61</f>
        <v>400550_2019_12_</v>
      </c>
      <c r="C337" s="1962" t="str">
        <f>'Income Eligible Deemed Table'!G61</f>
        <v>Building Shell RES</v>
      </c>
      <c r="D337" s="1962"/>
      <c r="E337" s="1962"/>
      <c r="F337" s="1962"/>
      <c r="G337" s="1962" t="str">
        <f>'Income Eligible Deemed Table'!E61</f>
        <v>Air Sealing (Infiltration reduction) - 30% SF IE DI electric furnace base</v>
      </c>
      <c r="H337" s="63"/>
      <c r="I337" s="2438">
        <f>'Income Eligible Deemed Table'!F61</f>
        <v>0.36</v>
      </c>
      <c r="J337" s="2438">
        <f t="shared" si="560"/>
        <v>0</v>
      </c>
      <c r="K337" s="3600"/>
      <c r="L337" s="3600"/>
      <c r="M337" s="2439"/>
      <c r="N337" s="2439"/>
      <c r="O337" s="2440">
        <f>'Income Eligible Deemed Table'!K61</f>
        <v>1.6799999999999999E-4</v>
      </c>
      <c r="P337" s="2440">
        <f t="shared" si="562"/>
        <v>0</v>
      </c>
      <c r="Q337" s="3601"/>
      <c r="R337" s="3601"/>
      <c r="S337" s="2441"/>
      <c r="T337" s="2441"/>
      <c r="U337" s="1819"/>
      <c r="V337" s="1819"/>
      <c r="W337" s="1819">
        <f t="shared" si="592"/>
        <v>1.6799999999999999E-4</v>
      </c>
      <c r="X337" s="68">
        <f>'Income Eligible Deemed Table'!L61</f>
        <v>15</v>
      </c>
      <c r="Y337" s="68"/>
      <c r="Z337" s="68">
        <f t="shared" si="514"/>
        <v>15</v>
      </c>
      <c r="AA337" s="62">
        <f>'Income Eligible Deemed Table'!BB61</f>
        <v>2.9996314779491935</v>
      </c>
      <c r="AB337" s="839">
        <f>'Income Eligible Deemed Table'!M61</f>
        <v>0.12</v>
      </c>
      <c r="AC337" s="3617">
        <f t="shared" si="533"/>
        <v>0.33974117730429748</v>
      </c>
      <c r="AD337" s="3617">
        <f t="shared" si="534"/>
        <v>0</v>
      </c>
      <c r="AE337" s="1661">
        <f>'Income Eligible Deemed Table'!BD61</f>
        <v>0.33974117730429748</v>
      </c>
      <c r="AF337" s="2453"/>
      <c r="AG337" s="2453"/>
      <c r="AH337" s="2453"/>
      <c r="AI337" s="3625" t="str">
        <f t="shared" ref="AI337:AI342" si="593">AI336</f>
        <v>Units (sq. ft)</v>
      </c>
      <c r="AJ337" s="1930"/>
      <c r="AK337" s="1930"/>
      <c r="AL337" s="1930"/>
      <c r="AM337" s="1972">
        <f t="shared" si="508"/>
        <v>4.6608050000000002E-4</v>
      </c>
      <c r="AN337" s="1930">
        <f t="shared" si="563"/>
        <v>1.6778898E-4</v>
      </c>
      <c r="AO337" s="1971">
        <f t="shared" si="457"/>
        <v>-2.1101999999998972E-7</v>
      </c>
    </row>
    <row r="338" spans="1:41" x14ac:dyDescent="0.25">
      <c r="A338" s="103" t="str">
        <f t="shared" si="564"/>
        <v>400551</v>
      </c>
      <c r="B338" s="684" t="str">
        <f>'Income Eligible Deemed Table'!C62</f>
        <v>400551_2019_12_</v>
      </c>
      <c r="C338" s="1962" t="str">
        <f>'Income Eligible Deemed Table'!G62</f>
        <v>Building Shell RES</v>
      </c>
      <c r="D338" s="1962"/>
      <c r="E338" s="1962"/>
      <c r="F338" s="1962"/>
      <c r="G338" s="1962" t="str">
        <f>'Income Eligible Deemed Table'!E62</f>
        <v>Air Sealing (Infiltration reduction) - 30% SF IE DI Gas furnace base</v>
      </c>
      <c r="H338" s="63"/>
      <c r="I338" s="2438">
        <f>'Income Eligible Deemed Table'!F62</f>
        <v>0.06</v>
      </c>
      <c r="J338" s="2438">
        <f t="shared" si="560"/>
        <v>0</v>
      </c>
      <c r="K338" s="3600"/>
      <c r="L338" s="3600"/>
      <c r="M338" s="2439"/>
      <c r="N338" s="2439"/>
      <c r="O338" s="2440">
        <f>'Income Eligible Deemed Table'!K62</f>
        <v>2.8E-5</v>
      </c>
      <c r="P338" s="2440">
        <f t="shared" si="562"/>
        <v>0</v>
      </c>
      <c r="Q338" s="3601"/>
      <c r="R338" s="3601"/>
      <c r="S338" s="2441"/>
      <c r="T338" s="2441"/>
      <c r="U338" s="1819"/>
      <c r="V338" s="1819"/>
      <c r="W338" s="1819">
        <f t="shared" si="592"/>
        <v>2.8E-5</v>
      </c>
      <c r="X338" s="68">
        <f>'Income Eligible Deemed Table'!L62</f>
        <v>15</v>
      </c>
      <c r="Y338" s="68"/>
      <c r="Z338" s="68">
        <f t="shared" si="514"/>
        <v>15</v>
      </c>
      <c r="AA338" s="62">
        <f>'Income Eligible Deemed Table'!BB62</f>
        <v>0.49993857965819899</v>
      </c>
      <c r="AB338" s="839">
        <f>'Income Eligible Deemed Table'!M62</f>
        <v>0.12</v>
      </c>
      <c r="AC338" s="3617">
        <f t="shared" si="533"/>
        <v>5.6623529550716249E-2</v>
      </c>
      <c r="AD338" s="3617">
        <f t="shared" si="534"/>
        <v>0</v>
      </c>
      <c r="AE338" s="1661">
        <f>'Income Eligible Deemed Table'!BD62</f>
        <v>5.6623529550716249E-2</v>
      </c>
      <c r="AF338" s="2453"/>
      <c r="AG338" s="2453"/>
      <c r="AH338" s="2453"/>
      <c r="AI338" s="3625" t="str">
        <f t="shared" si="593"/>
        <v>Units (sq. ft)</v>
      </c>
      <c r="AJ338" s="1930"/>
      <c r="AK338" s="1930"/>
      <c r="AL338" s="1930"/>
      <c r="AM338" s="1972">
        <f t="shared" si="508"/>
        <v>4.6608050000000002E-4</v>
      </c>
      <c r="AN338" s="1930">
        <f t="shared" si="563"/>
        <v>2.7964829999999999E-5</v>
      </c>
      <c r="AO338" s="1971">
        <f t="shared" si="457"/>
        <v>-3.5170000000000546E-8</v>
      </c>
    </row>
    <row r="339" spans="1:41" x14ac:dyDescent="0.25">
      <c r="A339" s="103" t="str">
        <f t="shared" si="564"/>
        <v>400600</v>
      </c>
      <c r="B339" s="684" t="str">
        <f>'Income Eligible Deemed Table'!C63</f>
        <v>400600_2019_12_</v>
      </c>
      <c r="C339" s="1962" t="str">
        <f>'Income Eligible Deemed Table'!G63</f>
        <v>Building Shell RES</v>
      </c>
      <c r="D339" s="1962"/>
      <c r="E339" s="1962"/>
      <c r="F339" s="1962"/>
      <c r="G339" s="1962" t="str">
        <f>'Income Eligible Deemed Table'!E63</f>
        <v>Air Sealing (Infiltration reduction) - 30% SF IE DI heat pump base</v>
      </c>
      <c r="H339" s="63"/>
      <c r="I339" s="2438">
        <f>'Income Eligible Deemed Table'!F63</f>
        <v>0.31</v>
      </c>
      <c r="J339" s="2438">
        <f t="shared" si="560"/>
        <v>0</v>
      </c>
      <c r="K339" s="3600"/>
      <c r="L339" s="3600"/>
      <c r="M339" s="2439"/>
      <c r="N339" s="2439"/>
      <c r="O339" s="2440">
        <f>'Income Eligible Deemed Table'!K63</f>
        <v>1.44E-4</v>
      </c>
      <c r="P339" s="2440">
        <f t="shared" si="562"/>
        <v>0</v>
      </c>
      <c r="Q339" s="3601"/>
      <c r="R339" s="3601"/>
      <c r="S339" s="2441"/>
      <c r="T339" s="2441"/>
      <c r="U339" s="1819"/>
      <c r="V339" s="1819"/>
      <c r="W339" s="1819">
        <f t="shared" si="592"/>
        <v>1.44E-4</v>
      </c>
      <c r="X339" s="68">
        <f>'Income Eligible Deemed Table'!L63</f>
        <v>15</v>
      </c>
      <c r="Y339" s="68"/>
      <c r="Z339" s="68">
        <f t="shared" si="514"/>
        <v>15</v>
      </c>
      <c r="AA339" s="62">
        <f>'Income Eligible Deemed Table'!BB63</f>
        <v>2.5830159949006943</v>
      </c>
      <c r="AB339" s="839">
        <f>'Income Eligible Deemed Table'!M63</f>
        <v>0.12</v>
      </c>
      <c r="AC339" s="3617">
        <f t="shared" si="533"/>
        <v>0.2925549026787006</v>
      </c>
      <c r="AD339" s="3617">
        <f t="shared" si="534"/>
        <v>0</v>
      </c>
      <c r="AE339" s="1661">
        <f>'Income Eligible Deemed Table'!BD63</f>
        <v>0.2925549026787006</v>
      </c>
      <c r="AF339" s="2453"/>
      <c r="AG339" s="2453"/>
      <c r="AH339" s="2453"/>
      <c r="AI339" s="3625" t="str">
        <f t="shared" si="593"/>
        <v>Units (sq. ft)</v>
      </c>
      <c r="AJ339" s="1930"/>
      <c r="AK339" s="1930"/>
      <c r="AL339" s="1930"/>
      <c r="AM339" s="1972">
        <f t="shared" si="508"/>
        <v>4.6608050000000002E-4</v>
      </c>
      <c r="AN339" s="1930">
        <f t="shared" si="563"/>
        <v>1.4448495500000001E-4</v>
      </c>
      <c r="AO339" s="1971">
        <f t="shared" si="457"/>
        <v>4.8495500000001E-7</v>
      </c>
    </row>
    <row r="340" spans="1:41" x14ac:dyDescent="0.25">
      <c r="A340" s="103" t="str">
        <f t="shared" si="564"/>
        <v>400650</v>
      </c>
      <c r="B340" s="684" t="str">
        <f>'Income Eligible Deemed Table'!C64</f>
        <v>400650_2019_12_</v>
      </c>
      <c r="C340" s="1962" t="str">
        <f>'Income Eligible Deemed Table'!G64</f>
        <v>Building Shell RES</v>
      </c>
      <c r="D340" s="1962"/>
      <c r="E340" s="1962"/>
      <c r="F340" s="1962"/>
      <c r="G340" s="1962" t="str">
        <f>'Income Eligible Deemed Table'!E64</f>
        <v>MH Adjusted Air Sealing (Infiltration reduction) - 30% SF IE DI electric furnace base</v>
      </c>
      <c r="H340" s="63"/>
      <c r="I340" s="2438">
        <f>'Income Eligible Deemed Table'!F64</f>
        <v>0.48</v>
      </c>
      <c r="J340" s="2438">
        <f t="shared" si="560"/>
        <v>0</v>
      </c>
      <c r="K340" s="3600"/>
      <c r="L340" s="3600"/>
      <c r="M340" s="2439"/>
      <c r="N340" s="2439"/>
      <c r="O340" s="2440">
        <f>'Income Eligible Deemed Table'!K64</f>
        <v>2.24E-4</v>
      </c>
      <c r="P340" s="2440">
        <f t="shared" si="562"/>
        <v>0</v>
      </c>
      <c r="Q340" s="3601"/>
      <c r="R340" s="3601"/>
      <c r="S340" s="2441"/>
      <c r="T340" s="2441"/>
      <c r="U340" s="1819"/>
      <c r="V340" s="1819"/>
      <c r="W340" s="1819">
        <f t="shared" si="592"/>
        <v>2.24E-4</v>
      </c>
      <c r="X340" s="68">
        <f>'Income Eligible Deemed Table'!L64</f>
        <v>15</v>
      </c>
      <c r="Y340" s="68"/>
      <c r="Z340" s="68">
        <f t="shared" si="514"/>
        <v>15</v>
      </c>
      <c r="AA340" s="62">
        <f>'Income Eligible Deemed Table'!BB64</f>
        <v>3.9995086372655919</v>
      </c>
      <c r="AB340" s="839">
        <f>'Income Eligible Deemed Table'!M64</f>
        <v>0.12</v>
      </c>
      <c r="AC340" s="3617">
        <f t="shared" si="533"/>
        <v>0.45298823640572999</v>
      </c>
      <c r="AD340" s="3617">
        <f t="shared" si="534"/>
        <v>0</v>
      </c>
      <c r="AE340" s="1661">
        <f>'Income Eligible Deemed Table'!BD64</f>
        <v>0.45298823640572999</v>
      </c>
      <c r="AF340" s="2453"/>
      <c r="AG340" s="2453"/>
      <c r="AH340" s="2453"/>
      <c r="AI340" s="3625" t="str">
        <f t="shared" si="593"/>
        <v>Units (sq. ft)</v>
      </c>
      <c r="AJ340" s="1930"/>
      <c r="AK340" s="1930"/>
      <c r="AL340" s="1930"/>
      <c r="AM340" s="1972">
        <f t="shared" si="508"/>
        <v>4.6608050000000002E-4</v>
      </c>
      <c r="AN340" s="1930">
        <f t="shared" si="563"/>
        <v>2.2371863999999999E-4</v>
      </c>
      <c r="AO340" s="1971">
        <f t="shared" si="457"/>
        <v>-2.8136000000000437E-7</v>
      </c>
    </row>
    <row r="341" spans="1:41" x14ac:dyDescent="0.25">
      <c r="A341" s="103" t="str">
        <f t="shared" si="564"/>
        <v>400651</v>
      </c>
      <c r="B341" s="684" t="str">
        <f>'Income Eligible Deemed Table'!C65</f>
        <v>400651_2019_12_</v>
      </c>
      <c r="C341" s="1962" t="str">
        <f>'Income Eligible Deemed Table'!G65</f>
        <v>Building Shell RES</v>
      </c>
      <c r="D341" s="1962"/>
      <c r="E341" s="1962"/>
      <c r="F341" s="1962"/>
      <c r="G341" s="1962" t="str">
        <f>'Income Eligible Deemed Table'!E65</f>
        <v>MH Adjusted Air Sealing (Infiltration reduction) - 30% SF IE DI heat pump base</v>
      </c>
      <c r="H341" s="63"/>
      <c r="I341" s="2438">
        <f>'Income Eligible Deemed Table'!F65</f>
        <v>0.45</v>
      </c>
      <c r="J341" s="2438">
        <f t="shared" si="560"/>
        <v>0</v>
      </c>
      <c r="K341" s="3600"/>
      <c r="L341" s="3600"/>
      <c r="M341" s="2439"/>
      <c r="N341" s="2439"/>
      <c r="O341" s="2440">
        <f>'Income Eligible Deemed Table'!K65</f>
        <v>2.1000000000000001E-4</v>
      </c>
      <c r="P341" s="2440">
        <f t="shared" si="562"/>
        <v>0</v>
      </c>
      <c r="Q341" s="3601"/>
      <c r="R341" s="3601"/>
      <c r="S341" s="2441"/>
      <c r="T341" s="2441"/>
      <c r="U341" s="1819"/>
      <c r="V341" s="1819"/>
      <c r="W341" s="1819">
        <f t="shared" si="592"/>
        <v>2.1000000000000001E-4</v>
      </c>
      <c r="X341" s="68">
        <f>'Income Eligible Deemed Table'!L65</f>
        <v>15</v>
      </c>
      <c r="Y341" s="68"/>
      <c r="Z341" s="68">
        <f t="shared" si="514"/>
        <v>15</v>
      </c>
      <c r="AA341" s="62">
        <f>'Income Eligible Deemed Table'!BB65</f>
        <v>3.7495393474364924</v>
      </c>
      <c r="AB341" s="839">
        <f>'Income Eligible Deemed Table'!M65</f>
        <v>0.12</v>
      </c>
      <c r="AC341" s="3617">
        <f t="shared" si="533"/>
        <v>0.42467647163037187</v>
      </c>
      <c r="AD341" s="3617">
        <f t="shared" si="534"/>
        <v>0</v>
      </c>
      <c r="AE341" s="1661">
        <f>'Income Eligible Deemed Table'!BD65</f>
        <v>0.42467647163037187</v>
      </c>
      <c r="AF341" s="2453"/>
      <c r="AG341" s="2453"/>
      <c r="AH341" s="2453"/>
      <c r="AI341" s="3625" t="str">
        <f t="shared" si="593"/>
        <v>Units (sq. ft)</v>
      </c>
      <c r="AJ341" s="1930"/>
      <c r="AK341" s="1930"/>
      <c r="AL341" s="1930"/>
      <c r="AM341" s="1972">
        <f t="shared" si="508"/>
        <v>4.6608050000000002E-4</v>
      </c>
      <c r="AN341" s="1930">
        <f t="shared" si="563"/>
        <v>2.0973622500000002E-4</v>
      </c>
      <c r="AO341" s="1971">
        <f t="shared" si="457"/>
        <v>-2.6377499999998715E-7</v>
      </c>
    </row>
    <row r="342" spans="1:41" x14ac:dyDescent="0.25">
      <c r="A342" s="103" t="str">
        <f t="shared" si="564"/>
        <v>400652</v>
      </c>
      <c r="B342" s="684" t="str">
        <f>'Income Eligible Deemed Table'!C66</f>
        <v>400652_2019_12_</v>
      </c>
      <c r="C342" s="1962" t="str">
        <f>'Income Eligible Deemed Table'!G66</f>
        <v>Building Shell RES</v>
      </c>
      <c r="D342" s="1962"/>
      <c r="E342" s="1962"/>
      <c r="F342" s="1962"/>
      <c r="G342" s="1962" t="str">
        <f>'Income Eligible Deemed Table'!E66</f>
        <v>MH Adjusted Air Sealing (Infiltration reduction) - 30% SF IE DI gas furnace base</v>
      </c>
      <c r="H342" s="63"/>
      <c r="I342" s="2438">
        <f>'Income Eligible Deemed Table'!F66</f>
        <v>0.08</v>
      </c>
      <c r="J342" s="2438">
        <f t="shared" si="560"/>
        <v>0</v>
      </c>
      <c r="K342" s="3600"/>
      <c r="L342" s="3600"/>
      <c r="M342" s="2439"/>
      <c r="N342" s="2439"/>
      <c r="O342" s="2440">
        <f>'Income Eligible Deemed Table'!K66</f>
        <v>3.6999999999999998E-5</v>
      </c>
      <c r="P342" s="2440">
        <f t="shared" si="562"/>
        <v>0</v>
      </c>
      <c r="Q342" s="3601"/>
      <c r="R342" s="3601"/>
      <c r="S342" s="2441"/>
      <c r="T342" s="2441"/>
      <c r="U342" s="1819"/>
      <c r="V342" s="1819"/>
      <c r="W342" s="1819">
        <f t="shared" si="592"/>
        <v>3.6999999999999998E-5</v>
      </c>
      <c r="X342" s="68">
        <f>'Income Eligible Deemed Table'!L66</f>
        <v>15</v>
      </c>
      <c r="Y342" s="68"/>
      <c r="Z342" s="68">
        <f t="shared" si="514"/>
        <v>15</v>
      </c>
      <c r="AA342" s="62">
        <f>'Income Eligible Deemed Table'!BB66</f>
        <v>0.66658477287759854</v>
      </c>
      <c r="AB342" s="839">
        <f>'Income Eligible Deemed Table'!M66</f>
        <v>0.12</v>
      </c>
      <c r="AC342" s="3617">
        <f t="shared" si="533"/>
        <v>7.5498039400954994E-2</v>
      </c>
      <c r="AD342" s="3617">
        <f t="shared" si="534"/>
        <v>0</v>
      </c>
      <c r="AE342" s="1661">
        <f>'Income Eligible Deemed Table'!BD66</f>
        <v>7.5498039400954994E-2</v>
      </c>
      <c r="AF342" s="2453"/>
      <c r="AG342" s="2453"/>
      <c r="AH342" s="2453"/>
      <c r="AI342" s="3625" t="str">
        <f t="shared" si="593"/>
        <v>Units (sq. ft)</v>
      </c>
      <c r="AJ342" s="1930"/>
      <c r="AK342" s="1930"/>
      <c r="AL342" s="1930"/>
      <c r="AM342" s="1972">
        <f t="shared" si="508"/>
        <v>4.6608050000000002E-4</v>
      </c>
      <c r="AN342" s="1930">
        <f t="shared" si="563"/>
        <v>3.7286440000000005E-5</v>
      </c>
      <c r="AO342" s="1971">
        <f t="shared" si="457"/>
        <v>2.8644000000000737E-7</v>
      </c>
    </row>
    <row r="343" spans="1:41" x14ac:dyDescent="0.25">
      <c r="A343" s="103" t="str">
        <f t="shared" si="564"/>
        <v>400700</v>
      </c>
      <c r="B343" s="684" t="str">
        <f>'Income Eligible Deemed Table'!C123</f>
        <v>400700_2019_12_</v>
      </c>
      <c r="C343" s="1962" t="str">
        <f>'Income Eligible Deemed Table'!G123</f>
        <v>Building Shell RES</v>
      </c>
      <c r="D343" s="1962"/>
      <c r="E343" s="1962"/>
      <c r="F343" s="1962"/>
      <c r="G343" s="1962" t="str">
        <f>'Income Eligible Deemed Table'!E123</f>
        <v>Ceiling Insulation R11-R49 MF IE DI electric furnace base</v>
      </c>
      <c r="H343" s="63" t="str">
        <f>'Income Eligible Deemed Table'!D123</f>
        <v>MFIE</v>
      </c>
      <c r="I343" s="2438">
        <f>'Income Eligible Deemed Table'!F123</f>
        <v>1.06</v>
      </c>
      <c r="J343" s="2438">
        <f t="shared" si="560"/>
        <v>0</v>
      </c>
      <c r="K343" s="3600"/>
      <c r="L343" s="3600"/>
      <c r="M343" s="2439"/>
      <c r="N343" s="2439"/>
      <c r="O343" s="2440">
        <f>'Income Eligible Deemed Table'!K123</f>
        <v>4.9399999999999997E-4</v>
      </c>
      <c r="P343" s="2440">
        <f t="shared" si="562"/>
        <v>0</v>
      </c>
      <c r="Q343" s="3601"/>
      <c r="R343" s="3601"/>
      <c r="S343" s="2441"/>
      <c r="T343" s="2441"/>
      <c r="U343" s="1819"/>
      <c r="V343" s="1819"/>
      <c r="W343" s="1819">
        <f>O343</f>
        <v>4.9399999999999997E-4</v>
      </c>
      <c r="X343" s="68">
        <f>'Income Eligible Deemed Table'!L123</f>
        <v>25</v>
      </c>
      <c r="Y343" s="68"/>
      <c r="Z343" s="68">
        <f t="shared" si="514"/>
        <v>25</v>
      </c>
      <c r="AA343" s="62">
        <f>'Income Eligible Deemed Table'!BB123</f>
        <v>0.73564454661671608</v>
      </c>
      <c r="AB343" s="839">
        <f>'Income Eligible Deemed Table'!M123</f>
        <v>2.1249043458397576</v>
      </c>
      <c r="AC343" s="3617">
        <f t="shared" si="533"/>
        <v>1.4753886683333441</v>
      </c>
      <c r="AD343" s="3617">
        <f t="shared" si="534"/>
        <v>0</v>
      </c>
      <c r="AE343" s="1661">
        <f>'Income Eligible Deemed Table'!BD123</f>
        <v>1.4753886683333441</v>
      </c>
      <c r="AF343" s="2453"/>
      <c r="AG343" s="2453"/>
      <c r="AH343" s="2453"/>
      <c r="AI343" s="3626" t="str">
        <f>'Income Eligible Deemed Table'!N122</f>
        <v>Units - area of ceiling/attic (ft2)</v>
      </c>
      <c r="AJ343" s="1930"/>
      <c r="AK343" s="1930"/>
      <c r="AL343" s="1930"/>
      <c r="AM343" s="1972">
        <f t="shared" si="508"/>
        <v>4.6608050000000002E-4</v>
      </c>
      <c r="AN343" s="1930">
        <f t="shared" si="563"/>
        <v>4.9404533000000001E-4</v>
      </c>
      <c r="AO343" s="1971">
        <f t="shared" si="457"/>
        <v>4.5330000000040442E-8</v>
      </c>
    </row>
    <row r="344" spans="1:41" x14ac:dyDescent="0.25">
      <c r="A344" s="103" t="str">
        <f t="shared" si="564"/>
        <v>400750</v>
      </c>
      <c r="B344" s="684" t="str">
        <f>'Income Eligible Deemed Table'!C124</f>
        <v>400750_2019_12_</v>
      </c>
      <c r="C344" s="1962" t="str">
        <f>'Income Eligible Deemed Table'!G124</f>
        <v>Building Shell RES</v>
      </c>
      <c r="D344" s="1962"/>
      <c r="E344" s="1962"/>
      <c r="F344" s="1962"/>
      <c r="G344" s="1962" t="str">
        <f>'Income Eligible Deemed Table'!E124</f>
        <v>Ceiling Insulation R11-R49 MF IE DI heat pump base</v>
      </c>
      <c r="H344" s="63" t="str">
        <f>'Income Eligible Deemed Table'!D124</f>
        <v>MFIE</v>
      </c>
      <c r="I344" s="2438">
        <f>'Income Eligible Deemed Table'!F124</f>
        <v>0.66</v>
      </c>
      <c r="J344" s="2438">
        <f t="shared" si="560"/>
        <v>0</v>
      </c>
      <c r="K344" s="3600"/>
      <c r="L344" s="3600"/>
      <c r="M344" s="2439"/>
      <c r="N344" s="2439"/>
      <c r="O344" s="2440">
        <f>'Income Eligible Deemed Table'!K124</f>
        <v>3.0800000000000001E-4</v>
      </c>
      <c r="P344" s="2440">
        <f t="shared" si="562"/>
        <v>0</v>
      </c>
      <c r="Q344" s="3601"/>
      <c r="R344" s="3601"/>
      <c r="S344" s="2441"/>
      <c r="T344" s="2441"/>
      <c r="U344" s="1819"/>
      <c r="V344" s="1819"/>
      <c r="W344" s="1819">
        <f t="shared" ref="W344:W373" si="594">O344</f>
        <v>3.0800000000000001E-4</v>
      </c>
      <c r="X344" s="68">
        <f>'Income Eligible Deemed Table'!L124</f>
        <v>25</v>
      </c>
      <c r="Y344" s="68"/>
      <c r="Z344" s="68">
        <f t="shared" ref="Z344:Z384" si="595">Y344+X344</f>
        <v>25</v>
      </c>
      <c r="AA344" s="62">
        <f>'Income Eligible Deemed Table'!BB124</f>
        <v>0.45804283091229497</v>
      </c>
      <c r="AB344" s="839">
        <f>'Income Eligible Deemed Table'!M124</f>
        <v>2.1249043458397576</v>
      </c>
      <c r="AC344" s="3617">
        <f t="shared" si="533"/>
        <v>0.91863822745283696</v>
      </c>
      <c r="AD344" s="3617">
        <f t="shared" si="534"/>
        <v>0</v>
      </c>
      <c r="AE344" s="1661">
        <f>'Income Eligible Deemed Table'!BD124</f>
        <v>0.91863822745283696</v>
      </c>
      <c r="AF344" s="2453"/>
      <c r="AG344" s="2453"/>
      <c r="AH344" s="2453"/>
      <c r="AI344" s="3626" t="str">
        <f>AI343</f>
        <v>Units - area of ceiling/attic (ft2)</v>
      </c>
      <c r="AJ344" s="1930"/>
      <c r="AK344" s="1930"/>
      <c r="AL344" s="1930"/>
      <c r="AM344" s="1972">
        <f t="shared" si="508"/>
        <v>4.6608050000000002E-4</v>
      </c>
      <c r="AN344" s="1930">
        <f t="shared" si="563"/>
        <v>3.0761313000000001E-4</v>
      </c>
      <c r="AO344" s="1971">
        <f t="shared" si="457"/>
        <v>-3.8686999999999923E-7</v>
      </c>
    </row>
    <row r="345" spans="1:41" x14ac:dyDescent="0.25">
      <c r="A345" s="103" t="str">
        <f t="shared" si="564"/>
        <v>400800</v>
      </c>
      <c r="B345" s="684" t="str">
        <f>'Income Eligible Deemed Table'!C125</f>
        <v>400800_2019_12_</v>
      </c>
      <c r="C345" s="1962" t="str">
        <f>'Income Eligible Deemed Table'!G125</f>
        <v>Building Shell RES</v>
      </c>
      <c r="D345" s="1962"/>
      <c r="E345" s="1962"/>
      <c r="F345" s="1962"/>
      <c r="G345" s="1962" t="str">
        <f>'Income Eligible Deemed Table'!E125</f>
        <v>Ceiling Insulation R11-R49 MF IE DI gas heat electric cool base</v>
      </c>
      <c r="H345" s="63" t="str">
        <f>'Income Eligible Deemed Table'!D125</f>
        <v>MFIE</v>
      </c>
      <c r="I345" s="2438">
        <f>'Income Eligible Deemed Table'!F125</f>
        <v>0.14000000000000001</v>
      </c>
      <c r="J345" s="2438">
        <f t="shared" si="560"/>
        <v>0</v>
      </c>
      <c r="K345" s="3600"/>
      <c r="L345" s="3600"/>
      <c r="M345" s="2439"/>
      <c r="N345" s="2439"/>
      <c r="O345" s="2440">
        <f>'Income Eligible Deemed Table'!K125</f>
        <v>6.4999999999999994E-5</v>
      </c>
      <c r="P345" s="2440">
        <f t="shared" si="562"/>
        <v>0</v>
      </c>
      <c r="Q345" s="3601"/>
      <c r="R345" s="3601"/>
      <c r="S345" s="2441"/>
      <c r="T345" s="2441"/>
      <c r="U345" s="1819"/>
      <c r="V345" s="1819"/>
      <c r="W345" s="1819">
        <f t="shared" si="594"/>
        <v>6.4999999999999994E-5</v>
      </c>
      <c r="X345" s="68">
        <f>'Income Eligible Deemed Table'!L125</f>
        <v>25</v>
      </c>
      <c r="Y345" s="68"/>
      <c r="Z345" s="68">
        <f t="shared" si="595"/>
        <v>25</v>
      </c>
      <c r="AA345" s="62">
        <f>'Income Eligible Deemed Table'!BB125</f>
        <v>9.7160600496547414E-2</v>
      </c>
      <c r="AB345" s="839">
        <f>'Income Eligible Deemed Table'!M125</f>
        <v>2.1249043458397576</v>
      </c>
      <c r="AC345" s="3617">
        <f t="shared" si="533"/>
        <v>0.19486265430817754</v>
      </c>
      <c r="AD345" s="3617">
        <f t="shared" si="534"/>
        <v>0</v>
      </c>
      <c r="AE345" s="1661">
        <f>'Income Eligible Deemed Table'!BD125</f>
        <v>0.19486265430817754</v>
      </c>
      <c r="AF345" s="2453"/>
      <c r="AG345" s="2453"/>
      <c r="AH345" s="2453"/>
      <c r="AI345" s="3626" t="str">
        <f t="shared" ref="AI345:AI372" si="596">AI344</f>
        <v>Units - area of ceiling/attic (ft2)</v>
      </c>
      <c r="AJ345" s="1930"/>
      <c r="AK345" s="1930"/>
      <c r="AL345" s="1930"/>
      <c r="AM345" s="1972">
        <f t="shared" si="508"/>
        <v>4.6608050000000002E-4</v>
      </c>
      <c r="AN345" s="1930">
        <f t="shared" si="563"/>
        <v>6.5251270000000008E-5</v>
      </c>
      <c r="AO345" s="1971">
        <f t="shared" si="457"/>
        <v>2.512700000000136E-7</v>
      </c>
    </row>
    <row r="346" spans="1:41" x14ac:dyDescent="0.25">
      <c r="A346" s="103" t="str">
        <f t="shared" si="564"/>
        <v>400850</v>
      </c>
      <c r="B346" s="684" t="str">
        <f>'Income Eligible Deemed Table'!C126</f>
        <v>400850_2019_12_</v>
      </c>
      <c r="C346" s="1962" t="str">
        <f>'Income Eligible Deemed Table'!G126</f>
        <v>Building Shell RES</v>
      </c>
      <c r="D346" s="1962"/>
      <c r="E346" s="1962"/>
      <c r="F346" s="1962"/>
      <c r="G346" s="1962" t="str">
        <f>'Income Eligible Deemed Table'!E126</f>
        <v>Ceiling Insulation R11-R49 SF IE DI electric furnace base</v>
      </c>
      <c r="H346" s="63" t="str">
        <f>'Income Eligible Deemed Table'!D126</f>
        <v>SFIE</v>
      </c>
      <c r="I346" s="2438">
        <f>'Income Eligible Deemed Table'!F126</f>
        <v>1.06</v>
      </c>
      <c r="J346" s="2438">
        <f t="shared" si="560"/>
        <v>0</v>
      </c>
      <c r="K346" s="3600"/>
      <c r="L346" s="3600"/>
      <c r="M346" s="2439"/>
      <c r="N346" s="2439"/>
      <c r="O346" s="2440">
        <f>'Income Eligible Deemed Table'!K126</f>
        <v>4.9399999999999997E-4</v>
      </c>
      <c r="P346" s="2440">
        <f t="shared" si="562"/>
        <v>0</v>
      </c>
      <c r="Q346" s="3601"/>
      <c r="R346" s="3601"/>
      <c r="S346" s="2441"/>
      <c r="T346" s="2441"/>
      <c r="U346" s="1819"/>
      <c r="V346" s="1819"/>
      <c r="W346" s="1819">
        <f t="shared" si="594"/>
        <v>4.9399999999999997E-4</v>
      </c>
      <c r="X346" s="68">
        <f>'Income Eligible Deemed Table'!L126</f>
        <v>25</v>
      </c>
      <c r="Y346" s="68"/>
      <c r="Z346" s="68">
        <f t="shared" si="595"/>
        <v>25</v>
      </c>
      <c r="AA346" s="62">
        <f>'Income Eligible Deemed Table'!BB126</f>
        <v>0.73564355809296633</v>
      </c>
      <c r="AB346" s="839">
        <f>'Income Eligible Deemed Table'!M126</f>
        <v>2.1249072011878249</v>
      </c>
      <c r="AC346" s="3617">
        <f t="shared" si="533"/>
        <v>1.4753886683333441</v>
      </c>
      <c r="AD346" s="3617">
        <f t="shared" si="534"/>
        <v>0</v>
      </c>
      <c r="AE346" s="1661">
        <f>'Income Eligible Deemed Table'!BD126</f>
        <v>1.4753886683333441</v>
      </c>
      <c r="AF346" s="2453"/>
      <c r="AG346" s="2453"/>
      <c r="AH346" s="2453"/>
      <c r="AI346" s="3626" t="str">
        <f t="shared" si="596"/>
        <v>Units - area of ceiling/attic (ft2)</v>
      </c>
      <c r="AJ346" s="1930"/>
      <c r="AK346" s="1930"/>
      <c r="AL346" s="1930"/>
      <c r="AM346" s="1972">
        <f t="shared" si="508"/>
        <v>4.6608050000000002E-4</v>
      </c>
      <c r="AN346" s="1930">
        <f t="shared" si="563"/>
        <v>4.9404533000000001E-4</v>
      </c>
      <c r="AO346" s="1971">
        <f t="shared" si="457"/>
        <v>4.5330000000040442E-8</v>
      </c>
    </row>
    <row r="347" spans="1:41" x14ac:dyDescent="0.25">
      <c r="A347" s="103" t="str">
        <f t="shared" si="564"/>
        <v>400900</v>
      </c>
      <c r="B347" s="684" t="str">
        <f>'Income Eligible Deemed Table'!C127</f>
        <v>400900_2019_12_</v>
      </c>
      <c r="C347" s="1962" t="str">
        <f>'Income Eligible Deemed Table'!G127</f>
        <v>Building Shell RES</v>
      </c>
      <c r="D347" s="1962"/>
      <c r="E347" s="1962"/>
      <c r="F347" s="1962"/>
      <c r="G347" s="1962" t="str">
        <f>'Income Eligible Deemed Table'!E127</f>
        <v>Ceiling Insulation R11-R49 SF IE DI heat pump base</v>
      </c>
      <c r="H347" s="63" t="str">
        <f>'Income Eligible Deemed Table'!D127</f>
        <v>SFIE</v>
      </c>
      <c r="I347" s="2438">
        <f>'Income Eligible Deemed Table'!F127</f>
        <v>0.66</v>
      </c>
      <c r="J347" s="2438">
        <f t="shared" si="560"/>
        <v>0</v>
      </c>
      <c r="K347" s="3600"/>
      <c r="L347" s="3600"/>
      <c r="M347" s="2439"/>
      <c r="N347" s="2439"/>
      <c r="O347" s="2440">
        <f>'Income Eligible Deemed Table'!K127</f>
        <v>3.0800000000000001E-4</v>
      </c>
      <c r="P347" s="2440">
        <f t="shared" si="562"/>
        <v>0</v>
      </c>
      <c r="Q347" s="3601"/>
      <c r="R347" s="3601"/>
      <c r="S347" s="2441"/>
      <c r="T347" s="2441"/>
      <c r="U347" s="1819"/>
      <c r="V347" s="1819"/>
      <c r="W347" s="1819">
        <f t="shared" si="594"/>
        <v>3.0800000000000001E-4</v>
      </c>
      <c r="X347" s="68">
        <f>'Income Eligible Deemed Table'!L127</f>
        <v>25</v>
      </c>
      <c r="Y347" s="68"/>
      <c r="Z347" s="68">
        <f t="shared" si="595"/>
        <v>25</v>
      </c>
      <c r="AA347" s="62">
        <f>'Income Eligible Deemed Table'!BB127</f>
        <v>0.4580422154163753</v>
      </c>
      <c r="AB347" s="839">
        <f>'Income Eligible Deemed Table'!M127</f>
        <v>2.1249072011878249</v>
      </c>
      <c r="AC347" s="3617">
        <f t="shared" si="533"/>
        <v>0.91863822745283696</v>
      </c>
      <c r="AD347" s="3617">
        <f t="shared" si="534"/>
        <v>0</v>
      </c>
      <c r="AE347" s="1661">
        <f>'Income Eligible Deemed Table'!BD127</f>
        <v>0.91863822745283696</v>
      </c>
      <c r="AF347" s="2453"/>
      <c r="AG347" s="2453"/>
      <c r="AH347" s="2453"/>
      <c r="AI347" s="3626" t="str">
        <f t="shared" si="596"/>
        <v>Units - area of ceiling/attic (ft2)</v>
      </c>
      <c r="AJ347" s="1930"/>
      <c r="AK347" s="1930"/>
      <c r="AL347" s="1930"/>
      <c r="AM347" s="1972">
        <f t="shared" si="508"/>
        <v>4.6608050000000002E-4</v>
      </c>
      <c r="AN347" s="1930">
        <f t="shared" si="563"/>
        <v>3.0761313000000001E-4</v>
      </c>
      <c r="AO347" s="1971">
        <f t="shared" si="457"/>
        <v>-3.8686999999999923E-7</v>
      </c>
    </row>
    <row r="348" spans="1:41" x14ac:dyDescent="0.25">
      <c r="A348" s="103" t="str">
        <f t="shared" si="564"/>
        <v>400950</v>
      </c>
      <c r="B348" s="684" t="str">
        <f>'Income Eligible Deemed Table'!C128</f>
        <v>400950_2019_12_</v>
      </c>
      <c r="C348" s="1962" t="str">
        <f>'Income Eligible Deemed Table'!G128</f>
        <v>Building Shell RES</v>
      </c>
      <c r="D348" s="1962"/>
      <c r="E348" s="1962"/>
      <c r="F348" s="1962"/>
      <c r="G348" s="1962" t="str">
        <f>'Income Eligible Deemed Table'!E128</f>
        <v>Ceiling Insulation R11-R49 SF IE DI gas heat electric cool base</v>
      </c>
      <c r="H348" s="63" t="str">
        <f>'Income Eligible Deemed Table'!D128</f>
        <v>SFIE</v>
      </c>
      <c r="I348" s="2438">
        <f>'Income Eligible Deemed Table'!F128</f>
        <v>0.14000000000000001</v>
      </c>
      <c r="J348" s="2438">
        <f t="shared" si="560"/>
        <v>0</v>
      </c>
      <c r="K348" s="3600"/>
      <c r="L348" s="3600"/>
      <c r="M348" s="2439"/>
      <c r="N348" s="2439"/>
      <c r="O348" s="2440">
        <f>'Income Eligible Deemed Table'!K128</f>
        <v>6.4999999999999994E-5</v>
      </c>
      <c r="P348" s="2440">
        <f t="shared" si="562"/>
        <v>0</v>
      </c>
      <c r="Q348" s="3601"/>
      <c r="R348" s="3601"/>
      <c r="S348" s="2441"/>
      <c r="T348" s="2441"/>
      <c r="U348" s="1819"/>
      <c r="V348" s="1819"/>
      <c r="W348" s="1819">
        <f t="shared" si="594"/>
        <v>6.4999999999999994E-5</v>
      </c>
      <c r="X348" s="68">
        <f>'Income Eligible Deemed Table'!L128</f>
        <v>25</v>
      </c>
      <c r="Y348" s="68"/>
      <c r="Z348" s="68">
        <f t="shared" si="595"/>
        <v>25</v>
      </c>
      <c r="AA348" s="62">
        <f>'Income Eligible Deemed Table'!BB128</f>
        <v>9.7160469936806881E-2</v>
      </c>
      <c r="AB348" s="839">
        <f>'Income Eligible Deemed Table'!M128</f>
        <v>2.1249072011878249</v>
      </c>
      <c r="AC348" s="3617">
        <f t="shared" si="533"/>
        <v>0.19486265430817754</v>
      </c>
      <c r="AD348" s="3617">
        <f t="shared" si="534"/>
        <v>0</v>
      </c>
      <c r="AE348" s="1661">
        <f>'Income Eligible Deemed Table'!BD128</f>
        <v>0.19486265430817754</v>
      </c>
      <c r="AF348" s="2453"/>
      <c r="AG348" s="2453"/>
      <c r="AH348" s="2453"/>
      <c r="AI348" s="3626" t="str">
        <f t="shared" si="596"/>
        <v>Units - area of ceiling/attic (ft2)</v>
      </c>
      <c r="AJ348" s="1930"/>
      <c r="AK348" s="1930"/>
      <c r="AL348" s="1930"/>
      <c r="AM348" s="1972">
        <f t="shared" si="508"/>
        <v>4.6608050000000002E-4</v>
      </c>
      <c r="AN348" s="1930">
        <f t="shared" si="563"/>
        <v>6.5251270000000008E-5</v>
      </c>
      <c r="AO348" s="1971">
        <f t="shared" si="457"/>
        <v>2.512700000000136E-7</v>
      </c>
    </row>
    <row r="349" spans="1:41" x14ac:dyDescent="0.25">
      <c r="A349" s="103" t="str">
        <f t="shared" si="564"/>
        <v>401000</v>
      </c>
      <c r="B349" s="684" t="str">
        <f>'Income Eligible Deemed Table'!C129</f>
        <v>401000_2019_12_</v>
      </c>
      <c r="C349" s="1962" t="str">
        <f>'Income Eligible Deemed Table'!G129</f>
        <v>Building Shell RES</v>
      </c>
      <c r="D349" s="1962"/>
      <c r="E349" s="1962"/>
      <c r="F349" s="1962"/>
      <c r="G349" s="1962" t="str">
        <f>'Income Eligible Deemed Table'!E129</f>
        <v>Ceiling Insulation R5-R30 MF IE DI electric furnace base</v>
      </c>
      <c r="H349" s="63" t="str">
        <f>'Income Eligible Deemed Table'!D129</f>
        <v>MFIE</v>
      </c>
      <c r="I349" s="2438">
        <f>'Income Eligible Deemed Table'!F129</f>
        <v>1.71</v>
      </c>
      <c r="J349" s="2438">
        <f t="shared" si="560"/>
        <v>0</v>
      </c>
      <c r="K349" s="3600"/>
      <c r="L349" s="3600"/>
      <c r="M349" s="2439"/>
      <c r="N349" s="2439"/>
      <c r="O349" s="2440">
        <f>'Income Eligible Deemed Table'!K129</f>
        <v>7.9699999999999997E-4</v>
      </c>
      <c r="P349" s="2440">
        <f t="shared" si="562"/>
        <v>0</v>
      </c>
      <c r="Q349" s="3601"/>
      <c r="R349" s="3601"/>
      <c r="S349" s="2441"/>
      <c r="T349" s="2441"/>
      <c r="U349" s="1819"/>
      <c r="V349" s="1819"/>
      <c r="W349" s="1819">
        <f t="shared" si="594"/>
        <v>7.9699999999999997E-4</v>
      </c>
      <c r="X349" s="68">
        <f>'Income Eligible Deemed Table'!L129</f>
        <v>25</v>
      </c>
      <c r="Y349" s="68"/>
      <c r="Z349" s="68">
        <f t="shared" si="595"/>
        <v>25</v>
      </c>
      <c r="AA349" s="62">
        <f>'Income Eligible Deemed Table'!BB129</f>
        <v>2.1680871992176587</v>
      </c>
      <c r="AB349" s="839">
        <f>'Income Eligible Deemed Table'!M129</f>
        <v>1.1631103074141049</v>
      </c>
      <c r="AC349" s="3617">
        <f t="shared" si="533"/>
        <v>2.3801081347641682</v>
      </c>
      <c r="AD349" s="3617">
        <f t="shared" si="534"/>
        <v>0</v>
      </c>
      <c r="AE349" s="1661">
        <f>'Income Eligible Deemed Table'!BD129</f>
        <v>2.3801081347641682</v>
      </c>
      <c r="AF349" s="2453"/>
      <c r="AG349" s="2453"/>
      <c r="AH349" s="2453"/>
      <c r="AI349" s="3626" t="str">
        <f t="shared" si="596"/>
        <v>Units - area of ceiling/attic (ft2)</v>
      </c>
      <c r="AJ349" s="1930"/>
      <c r="AK349" s="1930"/>
      <c r="AL349" s="1930"/>
      <c r="AM349" s="1972">
        <f t="shared" si="508"/>
        <v>4.6608050000000002E-4</v>
      </c>
      <c r="AN349" s="1930">
        <f t="shared" si="563"/>
        <v>7.9699765500000001E-4</v>
      </c>
      <c r="AO349" s="1971">
        <f t="shared" si="457"/>
        <v>-2.3449999999539811E-9</v>
      </c>
    </row>
    <row r="350" spans="1:41" x14ac:dyDescent="0.25">
      <c r="A350" s="103" t="str">
        <f t="shared" si="564"/>
        <v>401050</v>
      </c>
      <c r="B350" s="684" t="str">
        <f>'Income Eligible Deemed Table'!C130</f>
        <v>401050_2019_12_</v>
      </c>
      <c r="C350" s="1962" t="str">
        <f>'Income Eligible Deemed Table'!G130</f>
        <v>Building Shell RES</v>
      </c>
      <c r="D350" s="1962"/>
      <c r="E350" s="1962"/>
      <c r="F350" s="1962"/>
      <c r="G350" s="1962" t="str">
        <f>'Income Eligible Deemed Table'!E130</f>
        <v>Ceiling Insulation R5-R30 MF IE DI heat pump base</v>
      </c>
      <c r="H350" s="63" t="str">
        <f>'Income Eligible Deemed Table'!D130</f>
        <v>MFIE</v>
      </c>
      <c r="I350" s="2438">
        <f>'Income Eligible Deemed Table'!F130</f>
        <v>1.07</v>
      </c>
      <c r="J350" s="2438">
        <f t="shared" si="560"/>
        <v>0</v>
      </c>
      <c r="K350" s="3600"/>
      <c r="L350" s="3600"/>
      <c r="M350" s="2439"/>
      <c r="N350" s="2439"/>
      <c r="O350" s="2440">
        <f>'Income Eligible Deemed Table'!K130</f>
        <v>4.9899999999999999E-4</v>
      </c>
      <c r="P350" s="2440">
        <f t="shared" si="562"/>
        <v>0</v>
      </c>
      <c r="Q350" s="3601"/>
      <c r="R350" s="3601"/>
      <c r="S350" s="2441"/>
      <c r="T350" s="2441"/>
      <c r="U350" s="1819"/>
      <c r="V350" s="1819"/>
      <c r="W350" s="1819">
        <f t="shared" si="594"/>
        <v>4.9899999999999999E-4</v>
      </c>
      <c r="X350" s="68">
        <f>'Income Eligible Deemed Table'!L130</f>
        <v>25</v>
      </c>
      <c r="Y350" s="68"/>
      <c r="Z350" s="68">
        <f t="shared" si="595"/>
        <v>25</v>
      </c>
      <c r="AA350" s="62">
        <f>'Income Eligible Deemed Table'!BB130</f>
        <v>1.3566393585747922</v>
      </c>
      <c r="AB350" s="839">
        <f>'Income Eligible Deemed Table'!M130</f>
        <v>1.1631103074141049</v>
      </c>
      <c r="AC350" s="3617">
        <f t="shared" si="533"/>
        <v>1.4893074293553568</v>
      </c>
      <c r="AD350" s="3617">
        <f t="shared" si="534"/>
        <v>0</v>
      </c>
      <c r="AE350" s="1661">
        <f>'Income Eligible Deemed Table'!BD130</f>
        <v>1.4893074293553568</v>
      </c>
      <c r="AF350" s="2453"/>
      <c r="AG350" s="2453"/>
      <c r="AH350" s="2453"/>
      <c r="AI350" s="3626" t="str">
        <f t="shared" si="596"/>
        <v>Units - area of ceiling/attic (ft2)</v>
      </c>
      <c r="AJ350" s="1930"/>
      <c r="AK350" s="1930"/>
      <c r="AL350" s="1930"/>
      <c r="AM350" s="1972">
        <f t="shared" si="508"/>
        <v>4.6608050000000002E-4</v>
      </c>
      <c r="AN350" s="1930">
        <f t="shared" si="563"/>
        <v>4.9870613500000002E-4</v>
      </c>
      <c r="AO350" s="1971">
        <f t="shared" si="457"/>
        <v>-2.9386499999996436E-7</v>
      </c>
    </row>
    <row r="351" spans="1:41" x14ac:dyDescent="0.25">
      <c r="A351" s="103" t="str">
        <f t="shared" si="564"/>
        <v>401100</v>
      </c>
      <c r="B351" s="684" t="str">
        <f>'Income Eligible Deemed Table'!C131</f>
        <v>401100_2019_12_</v>
      </c>
      <c r="C351" s="1962" t="str">
        <f>'Income Eligible Deemed Table'!G131</f>
        <v>Building Shell RES</v>
      </c>
      <c r="D351" s="1962"/>
      <c r="E351" s="1962"/>
      <c r="F351" s="1962"/>
      <c r="G351" s="1962" t="str">
        <f>'Income Eligible Deemed Table'!E131</f>
        <v>Ceiling Insulation R5-R30 MF IE DI gas heat electric cool base</v>
      </c>
      <c r="H351" s="63" t="str">
        <f>'Income Eligible Deemed Table'!D131</f>
        <v>MFIE</v>
      </c>
      <c r="I351" s="2438">
        <f>'Income Eligible Deemed Table'!F131</f>
        <v>0.23</v>
      </c>
      <c r="J351" s="2438">
        <f t="shared" si="560"/>
        <v>0</v>
      </c>
      <c r="K351" s="3600"/>
      <c r="L351" s="3600"/>
      <c r="M351" s="2439"/>
      <c r="N351" s="2439"/>
      <c r="O351" s="2440">
        <f>'Income Eligible Deemed Table'!K131</f>
        <v>1.07E-4</v>
      </c>
      <c r="P351" s="2440">
        <f t="shared" si="562"/>
        <v>0</v>
      </c>
      <c r="Q351" s="3601"/>
      <c r="R351" s="3601"/>
      <c r="S351" s="2441"/>
      <c r="T351" s="2441"/>
      <c r="U351" s="1819"/>
      <c r="V351" s="1819"/>
      <c r="W351" s="1819">
        <f t="shared" si="594"/>
        <v>1.07E-4</v>
      </c>
      <c r="X351" s="68">
        <f>'Income Eligible Deemed Table'!L131</f>
        <v>25</v>
      </c>
      <c r="Y351" s="68"/>
      <c r="Z351" s="68">
        <f t="shared" si="595"/>
        <v>25</v>
      </c>
      <c r="AA351" s="62">
        <f>'Income Eligible Deemed Table'!BB131</f>
        <v>0.29161406773103016</v>
      </c>
      <c r="AB351" s="839">
        <f>'Income Eligible Deemed Table'!M131</f>
        <v>1.1631103074141049</v>
      </c>
      <c r="AC351" s="3617">
        <f t="shared" si="533"/>
        <v>0.32013150350629166</v>
      </c>
      <c r="AD351" s="3617">
        <f t="shared" si="534"/>
        <v>0</v>
      </c>
      <c r="AE351" s="1661">
        <f>'Income Eligible Deemed Table'!BD131</f>
        <v>0.32013150350629166</v>
      </c>
      <c r="AF351" s="2453"/>
      <c r="AG351" s="2453"/>
      <c r="AH351" s="2453"/>
      <c r="AI351" s="3626" t="str">
        <f t="shared" si="596"/>
        <v>Units - area of ceiling/attic (ft2)</v>
      </c>
      <c r="AJ351" s="1930"/>
      <c r="AK351" s="1930"/>
      <c r="AL351" s="1930"/>
      <c r="AM351" s="1972">
        <f t="shared" si="508"/>
        <v>4.6608050000000002E-4</v>
      </c>
      <c r="AN351" s="1930">
        <f t="shared" si="563"/>
        <v>1.0719851500000001E-4</v>
      </c>
      <c r="AO351" s="1971">
        <f t="shared" si="457"/>
        <v>1.9851500000001617E-7</v>
      </c>
    </row>
    <row r="352" spans="1:41" x14ac:dyDescent="0.25">
      <c r="A352" s="103" t="str">
        <f t="shared" si="564"/>
        <v>401150</v>
      </c>
      <c r="B352" s="684" t="str">
        <f>'Income Eligible Deemed Table'!C132</f>
        <v>401150_2019_12_</v>
      </c>
      <c r="C352" s="1962" t="str">
        <f>'Income Eligible Deemed Table'!G132</f>
        <v>Building Shell RES</v>
      </c>
      <c r="D352" s="1962"/>
      <c r="E352" s="1962"/>
      <c r="F352" s="1962"/>
      <c r="G352" s="1962" t="str">
        <f>'Income Eligible Deemed Table'!E132</f>
        <v>Ceiling Insulation R5-R30 SF IE DI electric furnace base</v>
      </c>
      <c r="H352" s="63" t="str">
        <f>'Income Eligible Deemed Table'!D132</f>
        <v>SFIE</v>
      </c>
      <c r="I352" s="2438">
        <f>'Income Eligible Deemed Table'!F132</f>
        <v>1.71</v>
      </c>
      <c r="J352" s="2438">
        <f t="shared" si="560"/>
        <v>0</v>
      </c>
      <c r="K352" s="3600"/>
      <c r="L352" s="3600"/>
      <c r="M352" s="2439"/>
      <c r="N352" s="2439"/>
      <c r="O352" s="2440">
        <f>'Income Eligible Deemed Table'!K132</f>
        <v>7.9699999999999997E-4</v>
      </c>
      <c r="P352" s="2440">
        <f t="shared" si="562"/>
        <v>0</v>
      </c>
      <c r="Q352" s="3601"/>
      <c r="R352" s="3601"/>
      <c r="S352" s="2441"/>
      <c r="T352" s="2441"/>
      <c r="U352" s="1819"/>
      <c r="V352" s="1819"/>
      <c r="W352" s="1819">
        <f t="shared" si="594"/>
        <v>7.9699999999999997E-4</v>
      </c>
      <c r="X352" s="68">
        <f>'Income Eligible Deemed Table'!L132</f>
        <v>25</v>
      </c>
      <c r="Y352" s="68"/>
      <c r="Z352" s="68">
        <f t="shared" si="595"/>
        <v>25</v>
      </c>
      <c r="AA352" s="62">
        <f>'Income Eligible Deemed Table'!BB132</f>
        <v>2.168104053260361</v>
      </c>
      <c r="AB352" s="839">
        <f>'Income Eligible Deemed Table'!M132</f>
        <v>1.1631012658227848</v>
      </c>
      <c r="AC352" s="3617">
        <f t="shared" si="533"/>
        <v>2.3801081347641682</v>
      </c>
      <c r="AD352" s="3617">
        <f t="shared" si="534"/>
        <v>0</v>
      </c>
      <c r="AE352" s="1661">
        <f>'Income Eligible Deemed Table'!BD132</f>
        <v>2.3801081347641682</v>
      </c>
      <c r="AF352" s="2453"/>
      <c r="AG352" s="2453"/>
      <c r="AH352" s="2453"/>
      <c r="AI352" s="3626" t="str">
        <f t="shared" si="596"/>
        <v>Units - area of ceiling/attic (ft2)</v>
      </c>
      <c r="AJ352" s="1930"/>
      <c r="AK352" s="1930"/>
      <c r="AL352" s="1930"/>
      <c r="AM352" s="1972">
        <f t="shared" si="508"/>
        <v>4.6608050000000002E-4</v>
      </c>
      <c r="AN352" s="1930">
        <f t="shared" si="563"/>
        <v>7.9699765500000001E-4</v>
      </c>
      <c r="AO352" s="1971">
        <f t="shared" si="457"/>
        <v>-2.3449999999539811E-9</v>
      </c>
    </row>
    <row r="353" spans="1:41" x14ac:dyDescent="0.25">
      <c r="A353" s="103" t="str">
        <f t="shared" si="564"/>
        <v>401200</v>
      </c>
      <c r="B353" s="684" t="str">
        <f>'Income Eligible Deemed Table'!C133</f>
        <v>401200_2019_12_</v>
      </c>
      <c r="C353" s="1962" t="str">
        <f>'Income Eligible Deemed Table'!G133</f>
        <v>Building Shell RES</v>
      </c>
      <c r="D353" s="1962"/>
      <c r="E353" s="1962"/>
      <c r="F353" s="1962"/>
      <c r="G353" s="1962" t="str">
        <f>'Income Eligible Deemed Table'!E133</f>
        <v>Ceiling Insulation R5-R30 SF IE DI heat pump base</v>
      </c>
      <c r="H353" s="63" t="str">
        <f>'Income Eligible Deemed Table'!D133</f>
        <v>SFIE</v>
      </c>
      <c r="I353" s="2438">
        <f>'Income Eligible Deemed Table'!F133</f>
        <v>1.07</v>
      </c>
      <c r="J353" s="2438">
        <f t="shared" si="560"/>
        <v>0</v>
      </c>
      <c r="K353" s="3600"/>
      <c r="L353" s="3600"/>
      <c r="M353" s="2439"/>
      <c r="N353" s="2439"/>
      <c r="O353" s="2440">
        <f>'Income Eligible Deemed Table'!K133</f>
        <v>4.9899999999999999E-4</v>
      </c>
      <c r="P353" s="2440">
        <f t="shared" si="562"/>
        <v>0</v>
      </c>
      <c r="Q353" s="3601"/>
      <c r="R353" s="3601"/>
      <c r="S353" s="2441"/>
      <c r="T353" s="2441"/>
      <c r="U353" s="1819"/>
      <c r="V353" s="1819"/>
      <c r="W353" s="1819">
        <f t="shared" si="594"/>
        <v>4.9899999999999999E-4</v>
      </c>
      <c r="X353" s="68">
        <f>'Income Eligible Deemed Table'!L133</f>
        <v>25</v>
      </c>
      <c r="Y353" s="68"/>
      <c r="Z353" s="68">
        <f t="shared" si="595"/>
        <v>25</v>
      </c>
      <c r="AA353" s="62">
        <f>'Income Eligible Deemed Table'!BB133</f>
        <v>1.356649904671688</v>
      </c>
      <c r="AB353" s="839">
        <f>'Income Eligible Deemed Table'!M133</f>
        <v>1.1631012658227848</v>
      </c>
      <c r="AC353" s="3617">
        <f t="shared" si="533"/>
        <v>1.4893074293553568</v>
      </c>
      <c r="AD353" s="3617">
        <f t="shared" si="534"/>
        <v>0</v>
      </c>
      <c r="AE353" s="1661">
        <f>'Income Eligible Deemed Table'!BD133</f>
        <v>1.4893074293553568</v>
      </c>
      <c r="AF353" s="2453"/>
      <c r="AG353" s="2453"/>
      <c r="AH353" s="2453"/>
      <c r="AI353" s="3626" t="str">
        <f t="shared" si="596"/>
        <v>Units - area of ceiling/attic (ft2)</v>
      </c>
      <c r="AJ353" s="1930"/>
      <c r="AK353" s="1930"/>
      <c r="AL353" s="1930"/>
      <c r="AM353" s="1972">
        <f t="shared" si="508"/>
        <v>4.6608050000000002E-4</v>
      </c>
      <c r="AN353" s="1930">
        <f t="shared" si="563"/>
        <v>4.9870613500000002E-4</v>
      </c>
      <c r="AO353" s="1971">
        <f t="shared" si="457"/>
        <v>-2.9386499999996436E-7</v>
      </c>
    </row>
    <row r="354" spans="1:41" x14ac:dyDescent="0.25">
      <c r="A354" s="103" t="str">
        <f t="shared" si="564"/>
        <v>401250</v>
      </c>
      <c r="B354" s="684" t="str">
        <f>'Income Eligible Deemed Table'!C134</f>
        <v>401250_2019_12_</v>
      </c>
      <c r="C354" s="1962" t="str">
        <f>'Income Eligible Deemed Table'!G134</f>
        <v>Building Shell RES</v>
      </c>
      <c r="D354" s="1962"/>
      <c r="E354" s="1962"/>
      <c r="F354" s="1962"/>
      <c r="G354" s="1962" t="str">
        <f>'Income Eligible Deemed Table'!E134</f>
        <v>Ceiling Insulation R5-R30 SF IE DI gas heat electric cool base</v>
      </c>
      <c r="H354" s="63" t="str">
        <f>'Income Eligible Deemed Table'!D134</f>
        <v>SFIE</v>
      </c>
      <c r="I354" s="2438">
        <f>'Income Eligible Deemed Table'!F134</f>
        <v>0.23</v>
      </c>
      <c r="J354" s="2438">
        <f t="shared" si="560"/>
        <v>0</v>
      </c>
      <c r="K354" s="3600"/>
      <c r="L354" s="3600"/>
      <c r="M354" s="2439"/>
      <c r="N354" s="2439"/>
      <c r="O354" s="2440">
        <f>'Income Eligible Deemed Table'!K134</f>
        <v>1.07E-4</v>
      </c>
      <c r="P354" s="2440">
        <f t="shared" si="562"/>
        <v>0</v>
      </c>
      <c r="Q354" s="3601"/>
      <c r="R354" s="3601"/>
      <c r="S354" s="2441"/>
      <c r="T354" s="2441"/>
      <c r="U354" s="1819"/>
      <c r="V354" s="1819"/>
      <c r="W354" s="1819">
        <f t="shared" si="594"/>
        <v>1.07E-4</v>
      </c>
      <c r="X354" s="68">
        <f>'Income Eligible Deemed Table'!L134</f>
        <v>25</v>
      </c>
      <c r="Y354" s="68"/>
      <c r="Z354" s="68">
        <f t="shared" si="595"/>
        <v>25</v>
      </c>
      <c r="AA354" s="62">
        <f>'Income Eligible Deemed Table'!BB134</f>
        <v>0.29161633464905445</v>
      </c>
      <c r="AB354" s="839">
        <f>'Income Eligible Deemed Table'!M134</f>
        <v>1.1631012658227848</v>
      </c>
      <c r="AC354" s="3617">
        <f t="shared" si="533"/>
        <v>0.32013150350629166</v>
      </c>
      <c r="AD354" s="3617">
        <f t="shared" si="534"/>
        <v>0</v>
      </c>
      <c r="AE354" s="1661">
        <f>'Income Eligible Deemed Table'!BD134</f>
        <v>0.32013150350629166</v>
      </c>
      <c r="AF354" s="2453"/>
      <c r="AG354" s="2453"/>
      <c r="AH354" s="2453"/>
      <c r="AI354" s="3626" t="str">
        <f t="shared" si="596"/>
        <v>Units - area of ceiling/attic (ft2)</v>
      </c>
      <c r="AJ354" s="1930"/>
      <c r="AK354" s="1930"/>
      <c r="AL354" s="1930"/>
      <c r="AM354" s="1972">
        <f t="shared" si="508"/>
        <v>4.6608050000000002E-4</v>
      </c>
      <c r="AN354" s="1930">
        <f t="shared" si="563"/>
        <v>1.0719851500000001E-4</v>
      </c>
      <c r="AO354" s="1971">
        <f t="shared" si="457"/>
        <v>1.9851500000001617E-7</v>
      </c>
    </row>
    <row r="355" spans="1:41" x14ac:dyDescent="0.25">
      <c r="A355" s="103" t="str">
        <f t="shared" si="564"/>
        <v>401300</v>
      </c>
      <c r="B355" s="684" t="str">
        <f>'Income Eligible Deemed Table'!C135</f>
        <v>401300_2019_12_</v>
      </c>
      <c r="C355" s="1962" t="str">
        <f>'Income Eligible Deemed Table'!G135</f>
        <v>Building Shell RES</v>
      </c>
      <c r="D355" s="1962"/>
      <c r="E355" s="1962"/>
      <c r="F355" s="1962"/>
      <c r="G355" s="1962" t="str">
        <f>'Income Eligible Deemed Table'!E135</f>
        <v>Ceiling Insulation R5-R38 MF IE DI electric furnace base</v>
      </c>
      <c r="H355" s="63" t="str">
        <f>'Income Eligible Deemed Table'!D135</f>
        <v>MFIE</v>
      </c>
      <c r="I355" s="2438">
        <f>'Income Eligible Deemed Table'!F135</f>
        <v>1.84</v>
      </c>
      <c r="J355" s="2438">
        <f t="shared" si="560"/>
        <v>0</v>
      </c>
      <c r="K355" s="3600"/>
      <c r="L355" s="3600"/>
      <c r="M355" s="2439"/>
      <c r="N355" s="2439"/>
      <c r="O355" s="2440">
        <f>'Income Eligible Deemed Table'!K135</f>
        <v>8.5800000000000004E-4</v>
      </c>
      <c r="P355" s="2440">
        <f t="shared" si="562"/>
        <v>0</v>
      </c>
      <c r="Q355" s="3601"/>
      <c r="R355" s="3601"/>
      <c r="S355" s="2441"/>
      <c r="T355" s="2441"/>
      <c r="U355" s="1819"/>
      <c r="V355" s="1819"/>
      <c r="W355" s="1819">
        <f t="shared" si="594"/>
        <v>8.5800000000000004E-4</v>
      </c>
      <c r="X355" s="68">
        <f>'Income Eligible Deemed Table'!L135</f>
        <v>25</v>
      </c>
      <c r="Y355" s="68"/>
      <c r="Z355" s="68">
        <f t="shared" si="595"/>
        <v>25</v>
      </c>
      <c r="AA355" s="62">
        <f>'Income Eligible Deemed Table'!BB135</f>
        <v>1.6141399677218247</v>
      </c>
      <c r="AB355" s="839">
        <f>'Income Eligible Deemed Table'!M135</f>
        <v>1.6810404785088331</v>
      </c>
      <c r="AC355" s="3617">
        <f t="shared" si="533"/>
        <v>2.5610520280503333</v>
      </c>
      <c r="AD355" s="3617">
        <f t="shared" si="534"/>
        <v>0</v>
      </c>
      <c r="AE355" s="1661">
        <f>'Income Eligible Deemed Table'!BD135</f>
        <v>2.5610520280503333</v>
      </c>
      <c r="AF355" s="2453"/>
      <c r="AG355" s="2453"/>
      <c r="AH355" s="2453"/>
      <c r="AI355" s="3626" t="str">
        <f t="shared" si="596"/>
        <v>Units - area of ceiling/attic (ft2)</v>
      </c>
      <c r="AJ355" s="1930"/>
      <c r="AK355" s="1930"/>
      <c r="AL355" s="1930"/>
      <c r="AM355" s="1972">
        <f t="shared" si="508"/>
        <v>4.6608050000000002E-4</v>
      </c>
      <c r="AN355" s="1930">
        <f t="shared" ref="AN355:AN391" si="597">AM355*I355</f>
        <v>8.5758812000000012E-4</v>
      </c>
      <c r="AO355" s="1971">
        <f t="shared" si="457"/>
        <v>-4.1187999999991922E-7</v>
      </c>
    </row>
    <row r="356" spans="1:41" x14ac:dyDescent="0.25">
      <c r="A356" s="103" t="str">
        <f t="shared" si="564"/>
        <v>401350</v>
      </c>
      <c r="B356" s="684" t="str">
        <f>'Income Eligible Deemed Table'!C136</f>
        <v>401350_2019_12_</v>
      </c>
      <c r="C356" s="1962" t="str">
        <f>'Income Eligible Deemed Table'!G136</f>
        <v>Building Shell RES</v>
      </c>
      <c r="D356" s="1962"/>
      <c r="E356" s="1962"/>
      <c r="F356" s="1962"/>
      <c r="G356" s="1962" t="str">
        <f>'Income Eligible Deemed Table'!E136</f>
        <v>Ceiling Insulation R5-R38 MF IE DI heat pump base</v>
      </c>
      <c r="H356" s="63" t="str">
        <f>'Income Eligible Deemed Table'!D136</f>
        <v>MFIE</v>
      </c>
      <c r="I356" s="2438">
        <f>'Income Eligible Deemed Table'!F136</f>
        <v>1.1499999999999999</v>
      </c>
      <c r="J356" s="2438">
        <f t="shared" si="560"/>
        <v>0</v>
      </c>
      <c r="K356" s="3600"/>
      <c r="L356" s="3600"/>
      <c r="M356" s="2439"/>
      <c r="N356" s="2439"/>
      <c r="O356" s="2440">
        <f>'Income Eligible Deemed Table'!K136</f>
        <v>5.3600000000000002E-4</v>
      </c>
      <c r="P356" s="2440">
        <f t="shared" si="562"/>
        <v>0</v>
      </c>
      <c r="Q356" s="3601"/>
      <c r="R356" s="3601"/>
      <c r="S356" s="2441"/>
      <c r="T356" s="2441"/>
      <c r="U356" s="1819"/>
      <c r="V356" s="1819"/>
      <c r="W356" s="1819">
        <f t="shared" si="594"/>
        <v>5.3600000000000002E-4</v>
      </c>
      <c r="X356" s="68">
        <f>'Income Eligible Deemed Table'!L136</f>
        <v>25</v>
      </c>
      <c r="Y356" s="68"/>
      <c r="Z356" s="68">
        <f t="shared" si="595"/>
        <v>25</v>
      </c>
      <c r="AA356" s="62">
        <f>'Income Eligible Deemed Table'!BB136</f>
        <v>1.0088374798261404</v>
      </c>
      <c r="AB356" s="839">
        <f>'Income Eligible Deemed Table'!M136</f>
        <v>1.6810404785088331</v>
      </c>
      <c r="AC356" s="3617">
        <f t="shared" si="533"/>
        <v>1.6006575175314581</v>
      </c>
      <c r="AD356" s="3617">
        <f t="shared" si="534"/>
        <v>0</v>
      </c>
      <c r="AE356" s="1661">
        <f>'Income Eligible Deemed Table'!BD136</f>
        <v>1.6006575175314581</v>
      </c>
      <c r="AF356" s="2453"/>
      <c r="AG356" s="2453"/>
      <c r="AH356" s="2453"/>
      <c r="AI356" s="3626" t="str">
        <f t="shared" si="596"/>
        <v>Units - area of ceiling/attic (ft2)</v>
      </c>
      <c r="AJ356" s="1930"/>
      <c r="AK356" s="1930"/>
      <c r="AL356" s="1930"/>
      <c r="AM356" s="1972">
        <f t="shared" si="508"/>
        <v>4.6608050000000002E-4</v>
      </c>
      <c r="AN356" s="1930">
        <f t="shared" si="597"/>
        <v>5.3599257499999998E-4</v>
      </c>
      <c r="AO356" s="1971">
        <f t="shared" si="457"/>
        <v>-7.4250000000383037E-9</v>
      </c>
    </row>
    <row r="357" spans="1:41" x14ac:dyDescent="0.25">
      <c r="A357" s="103" t="str">
        <f t="shared" si="564"/>
        <v>401400</v>
      </c>
      <c r="B357" s="684" t="str">
        <f>'Income Eligible Deemed Table'!C137</f>
        <v>401400_2019_12_</v>
      </c>
      <c r="C357" s="1962" t="str">
        <f>'Income Eligible Deemed Table'!G137</f>
        <v>Building Shell RES</v>
      </c>
      <c r="D357" s="1962"/>
      <c r="E357" s="1962"/>
      <c r="F357" s="1962"/>
      <c r="G357" s="1962" t="str">
        <f>'Income Eligible Deemed Table'!E137</f>
        <v>Ceiling Insulation R5-R38 MF IE DI gas heat electric cool base</v>
      </c>
      <c r="H357" s="63" t="str">
        <f>'Income Eligible Deemed Table'!D137</f>
        <v>MFIE</v>
      </c>
      <c r="I357" s="2438">
        <f>'Income Eligible Deemed Table'!F137</f>
        <v>0.25</v>
      </c>
      <c r="J357" s="2438">
        <f t="shared" si="560"/>
        <v>0</v>
      </c>
      <c r="K357" s="3600"/>
      <c r="L357" s="3600"/>
      <c r="M357" s="2439"/>
      <c r="N357" s="2439"/>
      <c r="O357" s="2440">
        <f>'Income Eligible Deemed Table'!K137</f>
        <v>1.17E-4</v>
      </c>
      <c r="P357" s="2440">
        <f t="shared" si="562"/>
        <v>0</v>
      </c>
      <c r="Q357" s="3601"/>
      <c r="R357" s="3601"/>
      <c r="S357" s="2441"/>
      <c r="T357" s="2441"/>
      <c r="U357" s="1819"/>
      <c r="V357" s="1819"/>
      <c r="W357" s="1819">
        <f t="shared" si="594"/>
        <v>1.17E-4</v>
      </c>
      <c r="X357" s="68">
        <f>'Income Eligible Deemed Table'!L137</f>
        <v>25</v>
      </c>
      <c r="Y357" s="68"/>
      <c r="Z357" s="68">
        <f t="shared" si="595"/>
        <v>25</v>
      </c>
      <c r="AA357" s="62">
        <f>'Income Eligible Deemed Table'!BB137</f>
        <v>0.21931249561437835</v>
      </c>
      <c r="AB357" s="839">
        <f>'Income Eligible Deemed Table'!M137</f>
        <v>1.6810404785088331</v>
      </c>
      <c r="AC357" s="3617">
        <f t="shared" si="533"/>
        <v>0.347969025550317</v>
      </c>
      <c r="AD357" s="3617">
        <f t="shared" si="534"/>
        <v>0</v>
      </c>
      <c r="AE357" s="1661">
        <f>'Income Eligible Deemed Table'!BD137</f>
        <v>0.347969025550317</v>
      </c>
      <c r="AF357" s="2453"/>
      <c r="AG357" s="2453"/>
      <c r="AH357" s="2453"/>
      <c r="AI357" s="3626" t="str">
        <f t="shared" si="596"/>
        <v>Units - area of ceiling/attic (ft2)</v>
      </c>
      <c r="AJ357" s="1930"/>
      <c r="AK357" s="1930"/>
      <c r="AL357" s="1930"/>
      <c r="AM357" s="1972">
        <f t="shared" ref="AM357:AM375" si="598">VLOOKUP(C357,$AS$10:$AT$33,2,FALSE)</f>
        <v>4.6608050000000002E-4</v>
      </c>
      <c r="AN357" s="1930">
        <f t="shared" si="597"/>
        <v>1.16520125E-4</v>
      </c>
      <c r="AO357" s="1971">
        <f t="shared" ref="AO357:AO433" si="599">AN357-O357</f>
        <v>-4.7987499999999344E-7</v>
      </c>
    </row>
    <row r="358" spans="1:41" x14ac:dyDescent="0.25">
      <c r="A358" s="103" t="str">
        <f t="shared" si="564"/>
        <v>401450</v>
      </c>
      <c r="B358" s="684" t="str">
        <f>'Income Eligible Deemed Table'!C138</f>
        <v>401450_2019_12_</v>
      </c>
      <c r="C358" s="1962" t="str">
        <f>'Income Eligible Deemed Table'!G138</f>
        <v>Building Shell RES</v>
      </c>
      <c r="D358" s="1962"/>
      <c r="E358" s="1962"/>
      <c r="F358" s="1962"/>
      <c r="G358" s="1962" t="str">
        <f>'Income Eligible Deemed Table'!E138</f>
        <v>Ceiling Insulation R5-R38 SF IE DI electric furnace base</v>
      </c>
      <c r="H358" s="63" t="str">
        <f>'Income Eligible Deemed Table'!D138</f>
        <v>SFIE</v>
      </c>
      <c r="I358" s="2438">
        <f>'Income Eligible Deemed Table'!F138</f>
        <v>1.84</v>
      </c>
      <c r="J358" s="2438">
        <f t="shared" si="560"/>
        <v>0</v>
      </c>
      <c r="K358" s="3600"/>
      <c r="L358" s="3600"/>
      <c r="M358" s="2439"/>
      <c r="N358" s="2439"/>
      <c r="O358" s="2440">
        <f>'Income Eligible Deemed Table'!K138</f>
        <v>8.5800000000000004E-4</v>
      </c>
      <c r="P358" s="2440">
        <f t="shared" si="562"/>
        <v>0</v>
      </c>
      <c r="Q358" s="3601"/>
      <c r="R358" s="3601"/>
      <c r="S358" s="2441"/>
      <c r="T358" s="2441"/>
      <c r="U358" s="1819"/>
      <c r="V358" s="1819"/>
      <c r="W358" s="1819">
        <f t="shared" si="594"/>
        <v>8.5800000000000004E-4</v>
      </c>
      <c r="X358" s="68">
        <f>'Income Eligible Deemed Table'!L138</f>
        <v>25</v>
      </c>
      <c r="Y358" s="68"/>
      <c r="Z358" s="68">
        <f t="shared" si="595"/>
        <v>25</v>
      </c>
      <c r="AA358" s="62">
        <f>'Income Eligible Deemed Table'!BB138</f>
        <v>1.6141406355499737</v>
      </c>
      <c r="AB358" s="839">
        <f>'Income Eligible Deemed Table'!M138</f>
        <v>1.6810397830018082</v>
      </c>
      <c r="AC358" s="3617">
        <f t="shared" si="533"/>
        <v>2.5610520280503333</v>
      </c>
      <c r="AD358" s="3617">
        <f t="shared" si="534"/>
        <v>0</v>
      </c>
      <c r="AE358" s="1661">
        <f>'Income Eligible Deemed Table'!BD138</f>
        <v>2.5610520280503333</v>
      </c>
      <c r="AF358" s="2453"/>
      <c r="AG358" s="2453"/>
      <c r="AH358" s="2453"/>
      <c r="AI358" s="3626" t="str">
        <f t="shared" si="596"/>
        <v>Units - area of ceiling/attic (ft2)</v>
      </c>
      <c r="AJ358" s="1930"/>
      <c r="AK358" s="1930"/>
      <c r="AL358" s="1930"/>
      <c r="AM358" s="1972">
        <f t="shared" si="598"/>
        <v>4.6608050000000002E-4</v>
      </c>
      <c r="AN358" s="1930">
        <f t="shared" si="597"/>
        <v>8.5758812000000012E-4</v>
      </c>
      <c r="AO358" s="1971">
        <f t="shared" si="599"/>
        <v>-4.1187999999991922E-7</v>
      </c>
    </row>
    <row r="359" spans="1:41" x14ac:dyDescent="0.25">
      <c r="A359" s="103" t="str">
        <f t="shared" si="564"/>
        <v>401500</v>
      </c>
      <c r="B359" s="684" t="str">
        <f>'Income Eligible Deemed Table'!C139</f>
        <v>401500_2019_12_</v>
      </c>
      <c r="C359" s="1962" t="str">
        <f>'Income Eligible Deemed Table'!G139</f>
        <v>Building Shell RES</v>
      </c>
      <c r="D359" s="1962"/>
      <c r="E359" s="1962"/>
      <c r="F359" s="1962"/>
      <c r="G359" s="1962" t="str">
        <f>'Income Eligible Deemed Table'!E139</f>
        <v>Ceiling Insulation R5-R38 SF IE DI heat pump base</v>
      </c>
      <c r="H359" s="63" t="str">
        <f>'Income Eligible Deemed Table'!D139</f>
        <v>SFIE</v>
      </c>
      <c r="I359" s="2438">
        <f>'Income Eligible Deemed Table'!F139</f>
        <v>1.1499999999999999</v>
      </c>
      <c r="J359" s="2438">
        <f t="shared" si="560"/>
        <v>0</v>
      </c>
      <c r="K359" s="3600"/>
      <c r="L359" s="3600"/>
      <c r="M359" s="2439"/>
      <c r="N359" s="2439"/>
      <c r="O359" s="2440">
        <f>'Income Eligible Deemed Table'!K139</f>
        <v>5.3600000000000002E-4</v>
      </c>
      <c r="P359" s="2440">
        <f t="shared" si="562"/>
        <v>0</v>
      </c>
      <c r="Q359" s="3601"/>
      <c r="R359" s="3601"/>
      <c r="S359" s="2441"/>
      <c r="T359" s="2441"/>
      <c r="U359" s="1819"/>
      <c r="V359" s="1819"/>
      <c r="W359" s="1819">
        <f t="shared" si="594"/>
        <v>5.3600000000000002E-4</v>
      </c>
      <c r="X359" s="68">
        <f>'Income Eligible Deemed Table'!L139</f>
        <v>25</v>
      </c>
      <c r="Y359" s="68"/>
      <c r="Z359" s="68">
        <f t="shared" si="595"/>
        <v>25</v>
      </c>
      <c r="AA359" s="62">
        <f>'Income Eligible Deemed Table'!BB139</f>
        <v>1.0088378972187335</v>
      </c>
      <c r="AB359" s="839">
        <f>'Income Eligible Deemed Table'!M139</f>
        <v>1.6810397830018082</v>
      </c>
      <c r="AC359" s="3617">
        <f t="shared" si="533"/>
        <v>1.6006575175314581</v>
      </c>
      <c r="AD359" s="3617">
        <f t="shared" si="534"/>
        <v>0</v>
      </c>
      <c r="AE359" s="1661">
        <f>'Income Eligible Deemed Table'!BD139</f>
        <v>1.6006575175314581</v>
      </c>
      <c r="AF359" s="2453"/>
      <c r="AG359" s="2453"/>
      <c r="AH359" s="2453"/>
      <c r="AI359" s="3626" t="str">
        <f t="shared" si="596"/>
        <v>Units - area of ceiling/attic (ft2)</v>
      </c>
      <c r="AJ359" s="1930"/>
      <c r="AK359" s="1930"/>
      <c r="AL359" s="1930"/>
      <c r="AM359" s="1972">
        <f t="shared" si="598"/>
        <v>4.6608050000000002E-4</v>
      </c>
      <c r="AN359" s="1930">
        <f t="shared" si="597"/>
        <v>5.3599257499999998E-4</v>
      </c>
      <c r="AO359" s="1971">
        <f t="shared" si="599"/>
        <v>-7.4250000000383037E-9</v>
      </c>
    </row>
    <row r="360" spans="1:41" x14ac:dyDescent="0.25">
      <c r="A360" s="103" t="str">
        <f t="shared" si="564"/>
        <v>401550</v>
      </c>
      <c r="B360" s="684" t="str">
        <f>'Income Eligible Deemed Table'!C140</f>
        <v>401550_2019_12_</v>
      </c>
      <c r="C360" s="1962" t="str">
        <f>'Income Eligible Deemed Table'!G140</f>
        <v>Building Shell RES</v>
      </c>
      <c r="D360" s="1962"/>
      <c r="E360" s="1962"/>
      <c r="F360" s="1962"/>
      <c r="G360" s="1962" t="str">
        <f>'Income Eligible Deemed Table'!E140</f>
        <v>Ceiling Insulation R5-R38 SF IE DI gas heat electric cool base</v>
      </c>
      <c r="H360" s="63" t="str">
        <f>'Income Eligible Deemed Table'!D140</f>
        <v>SFIE</v>
      </c>
      <c r="I360" s="2438">
        <f>'Income Eligible Deemed Table'!F140</f>
        <v>0.25</v>
      </c>
      <c r="J360" s="2438">
        <f t="shared" si="560"/>
        <v>0</v>
      </c>
      <c r="K360" s="3600"/>
      <c r="L360" s="3600"/>
      <c r="M360" s="2439"/>
      <c r="N360" s="2439"/>
      <c r="O360" s="2440">
        <f>'Income Eligible Deemed Table'!K140</f>
        <v>1.17E-4</v>
      </c>
      <c r="P360" s="2440">
        <f t="shared" si="562"/>
        <v>0</v>
      </c>
      <c r="Q360" s="3601"/>
      <c r="R360" s="3601"/>
      <c r="S360" s="2441"/>
      <c r="T360" s="2441"/>
      <c r="U360" s="1819"/>
      <c r="V360" s="1819"/>
      <c r="W360" s="1819">
        <f t="shared" si="594"/>
        <v>1.17E-4</v>
      </c>
      <c r="X360" s="68">
        <f>'Income Eligible Deemed Table'!L140</f>
        <v>25</v>
      </c>
      <c r="Y360" s="68"/>
      <c r="Z360" s="68">
        <f t="shared" si="595"/>
        <v>25</v>
      </c>
      <c r="AA360" s="62">
        <f>'Income Eligible Deemed Table'!BB140</f>
        <v>0.21931258635189857</v>
      </c>
      <c r="AB360" s="839">
        <f>'Income Eligible Deemed Table'!M140</f>
        <v>1.6810397830018082</v>
      </c>
      <c r="AC360" s="3617">
        <f t="shared" si="533"/>
        <v>0.347969025550317</v>
      </c>
      <c r="AD360" s="3617">
        <f t="shared" si="534"/>
        <v>0</v>
      </c>
      <c r="AE360" s="1661">
        <f>'Income Eligible Deemed Table'!BD140</f>
        <v>0.347969025550317</v>
      </c>
      <c r="AF360" s="2453"/>
      <c r="AG360" s="2453"/>
      <c r="AH360" s="2453"/>
      <c r="AI360" s="3626" t="str">
        <f t="shared" si="596"/>
        <v>Units - area of ceiling/attic (ft2)</v>
      </c>
      <c r="AJ360" s="1930"/>
      <c r="AK360" s="1930"/>
      <c r="AL360" s="1930"/>
      <c r="AM360" s="1972">
        <f t="shared" si="598"/>
        <v>4.6608050000000002E-4</v>
      </c>
      <c r="AN360" s="1930">
        <f t="shared" si="597"/>
        <v>1.16520125E-4</v>
      </c>
      <c r="AO360" s="1971">
        <f t="shared" si="599"/>
        <v>-4.7987499999999344E-7</v>
      </c>
    </row>
    <row r="361" spans="1:41" x14ac:dyDescent="0.25">
      <c r="A361" s="103" t="str">
        <f t="shared" si="564"/>
        <v>401600</v>
      </c>
      <c r="B361" s="684" t="str">
        <f>'Income Eligible Deemed Table'!C141</f>
        <v>401600_2019_12_</v>
      </c>
      <c r="C361" s="1962" t="str">
        <f>'Income Eligible Deemed Table'!G141</f>
        <v>Building Shell RES</v>
      </c>
      <c r="D361" s="1962"/>
      <c r="E361" s="1962"/>
      <c r="F361" s="1962"/>
      <c r="G361" s="1962" t="str">
        <f>'Income Eligible Deemed Table'!E141</f>
        <v>Ceiling Insulation R5-R49 MF IE DI electric furnace base</v>
      </c>
      <c r="H361" s="63" t="str">
        <f>'Income Eligible Deemed Table'!D141</f>
        <v>MFIE</v>
      </c>
      <c r="I361" s="2438">
        <f>'Income Eligible Deemed Table'!F141</f>
        <v>1.96</v>
      </c>
      <c r="J361" s="2438">
        <f t="shared" si="560"/>
        <v>0</v>
      </c>
      <c r="K361" s="3600"/>
      <c r="L361" s="3600"/>
      <c r="M361" s="2439"/>
      <c r="N361" s="2439"/>
      <c r="O361" s="2440">
        <f>'Income Eligible Deemed Table'!K141</f>
        <v>9.1399999999999999E-4</v>
      </c>
      <c r="P361" s="2440">
        <f t="shared" si="562"/>
        <v>0</v>
      </c>
      <c r="Q361" s="3601"/>
      <c r="R361" s="3601"/>
      <c r="S361" s="2441"/>
      <c r="T361" s="2441"/>
      <c r="U361" s="1819"/>
      <c r="V361" s="1819"/>
      <c r="W361" s="1819">
        <f t="shared" si="594"/>
        <v>9.1399999999999999E-4</v>
      </c>
      <c r="X361" s="68">
        <f>'Income Eligible Deemed Table'!L141</f>
        <v>25</v>
      </c>
      <c r="Y361" s="68"/>
      <c r="Z361" s="68">
        <f t="shared" si="595"/>
        <v>25</v>
      </c>
      <c r="AA361" s="62">
        <f>'Income Eligible Deemed Table'!BB141</f>
        <v>1.1252122422118687</v>
      </c>
      <c r="AB361" s="839">
        <f>'Income Eligible Deemed Table'!M141</f>
        <v>2.568757824454027</v>
      </c>
      <c r="AC361" s="3617">
        <f t="shared" si="533"/>
        <v>2.7280771603144851</v>
      </c>
      <c r="AD361" s="3617">
        <f t="shared" si="534"/>
        <v>0</v>
      </c>
      <c r="AE361" s="1661">
        <f>'Income Eligible Deemed Table'!BD141</f>
        <v>2.7280771603144851</v>
      </c>
      <c r="AF361" s="2453"/>
      <c r="AG361" s="2453"/>
      <c r="AH361" s="2453"/>
      <c r="AI361" s="3626" t="str">
        <f t="shared" si="596"/>
        <v>Units - area of ceiling/attic (ft2)</v>
      </c>
      <c r="AJ361" s="1930"/>
      <c r="AK361" s="1930"/>
      <c r="AL361" s="1930"/>
      <c r="AM361" s="1972">
        <f t="shared" si="598"/>
        <v>4.6608050000000002E-4</v>
      </c>
      <c r="AN361" s="1930">
        <f t="shared" si="597"/>
        <v>9.1351778E-4</v>
      </c>
      <c r="AO361" s="1971">
        <f t="shared" si="599"/>
        <v>-4.8221999999998807E-7</v>
      </c>
    </row>
    <row r="362" spans="1:41" x14ac:dyDescent="0.25">
      <c r="A362" s="103" t="str">
        <f t="shared" si="564"/>
        <v>401650</v>
      </c>
      <c r="B362" s="684" t="str">
        <f>'Income Eligible Deemed Table'!C142</f>
        <v>401650_2019_12_</v>
      </c>
      <c r="C362" s="1962" t="str">
        <f>'Income Eligible Deemed Table'!G142</f>
        <v>Building Shell RES</v>
      </c>
      <c r="D362" s="1962"/>
      <c r="E362" s="1962"/>
      <c r="F362" s="1962"/>
      <c r="G362" s="1962" t="str">
        <f>'Income Eligible Deemed Table'!E142</f>
        <v>Ceiling Insulation R5-R49 MF IE DI heat pump base</v>
      </c>
      <c r="H362" s="63" t="str">
        <f>'Income Eligible Deemed Table'!D142</f>
        <v>MFIE</v>
      </c>
      <c r="I362" s="2438">
        <f>'Income Eligible Deemed Table'!F142</f>
        <v>1.22</v>
      </c>
      <c r="J362" s="2438">
        <f t="shared" si="560"/>
        <v>0</v>
      </c>
      <c r="K362" s="3600"/>
      <c r="L362" s="3600"/>
      <c r="M362" s="2439"/>
      <c r="N362" s="2439"/>
      <c r="O362" s="2440">
        <f>'Income Eligible Deemed Table'!K142</f>
        <v>5.6899999999999995E-4</v>
      </c>
      <c r="P362" s="2440">
        <f t="shared" si="562"/>
        <v>0</v>
      </c>
      <c r="Q362" s="3601"/>
      <c r="R362" s="3601"/>
      <c r="S362" s="2441"/>
      <c r="T362" s="2441"/>
      <c r="U362" s="1819"/>
      <c r="V362" s="1819"/>
      <c r="W362" s="1819">
        <f t="shared" si="594"/>
        <v>5.6899999999999995E-4</v>
      </c>
      <c r="X362" s="68">
        <f>'Income Eligible Deemed Table'!L142</f>
        <v>25</v>
      </c>
      <c r="Y362" s="68"/>
      <c r="Z362" s="68">
        <f t="shared" si="595"/>
        <v>25</v>
      </c>
      <c r="AA362" s="62">
        <f>'Income Eligible Deemed Table'!BB142</f>
        <v>0.70038721198902032</v>
      </c>
      <c r="AB362" s="839">
        <f>'Income Eligible Deemed Table'!M142</f>
        <v>2.568757824454027</v>
      </c>
      <c r="AC362" s="3617">
        <f t="shared" si="533"/>
        <v>1.6980888446855469</v>
      </c>
      <c r="AD362" s="3617">
        <f t="shared" si="534"/>
        <v>0</v>
      </c>
      <c r="AE362" s="1661">
        <f>'Income Eligible Deemed Table'!BD142</f>
        <v>1.6980888446855469</v>
      </c>
      <c r="AF362" s="2453"/>
      <c r="AG362" s="2453"/>
      <c r="AH362" s="2453"/>
      <c r="AI362" s="3626" t="str">
        <f t="shared" si="596"/>
        <v>Units - area of ceiling/attic (ft2)</v>
      </c>
      <c r="AJ362" s="1930"/>
      <c r="AK362" s="1930"/>
      <c r="AL362" s="1930"/>
      <c r="AM362" s="1972">
        <f t="shared" si="598"/>
        <v>4.6608050000000002E-4</v>
      </c>
      <c r="AN362" s="1930">
        <f t="shared" si="597"/>
        <v>5.6861821000000004E-4</v>
      </c>
      <c r="AO362" s="1971">
        <f t="shared" si="599"/>
        <v>-3.8178999999991491E-7</v>
      </c>
    </row>
    <row r="363" spans="1:41" x14ac:dyDescent="0.25">
      <c r="A363" s="103" t="str">
        <f t="shared" si="564"/>
        <v>401700</v>
      </c>
      <c r="B363" s="684" t="str">
        <f>'Income Eligible Deemed Table'!C143</f>
        <v>401700_2019_12_</v>
      </c>
      <c r="C363" s="1962" t="str">
        <f>'Income Eligible Deemed Table'!G143</f>
        <v>Building Shell RES</v>
      </c>
      <c r="D363" s="1962"/>
      <c r="E363" s="1962"/>
      <c r="F363" s="1962"/>
      <c r="G363" s="1962" t="str">
        <f>'Income Eligible Deemed Table'!E143</f>
        <v>Ceiling Insulation R5-R49 MF IE DI gas heat electric cool base</v>
      </c>
      <c r="H363" s="63" t="str">
        <f>'Income Eligible Deemed Table'!D143</f>
        <v>MFIE</v>
      </c>
      <c r="I363" s="2438">
        <f>'Income Eligible Deemed Table'!F143</f>
        <v>0.26</v>
      </c>
      <c r="J363" s="2438">
        <f t="shared" si="560"/>
        <v>0</v>
      </c>
      <c r="K363" s="3600"/>
      <c r="L363" s="3600"/>
      <c r="M363" s="2439"/>
      <c r="N363" s="2439"/>
      <c r="O363" s="2440">
        <f>'Income Eligible Deemed Table'!K143</f>
        <v>1.21E-4</v>
      </c>
      <c r="P363" s="2440">
        <f t="shared" si="562"/>
        <v>0</v>
      </c>
      <c r="Q363" s="3601"/>
      <c r="R363" s="3601"/>
      <c r="S363" s="2441"/>
      <c r="T363" s="2441"/>
      <c r="U363" s="1819"/>
      <c r="V363" s="1819"/>
      <c r="W363" s="1819">
        <f t="shared" si="594"/>
        <v>1.21E-4</v>
      </c>
      <c r="X363" s="68">
        <f>'Income Eligible Deemed Table'!L143</f>
        <v>25</v>
      </c>
      <c r="Y363" s="68"/>
      <c r="Z363" s="68">
        <f t="shared" si="595"/>
        <v>25</v>
      </c>
      <c r="AA363" s="62">
        <f>'Income Eligible Deemed Table'!BB143</f>
        <v>0.14926284845667645</v>
      </c>
      <c r="AB363" s="839">
        <f>'Income Eligible Deemed Table'!M143</f>
        <v>2.568757824454027</v>
      </c>
      <c r="AC363" s="3617">
        <f t="shared" si="533"/>
        <v>0.36188778657232967</v>
      </c>
      <c r="AD363" s="3617">
        <f t="shared" si="534"/>
        <v>0</v>
      </c>
      <c r="AE363" s="1661">
        <f>'Income Eligible Deemed Table'!BD143</f>
        <v>0.36188778657232967</v>
      </c>
      <c r="AF363" s="2453"/>
      <c r="AG363" s="2453"/>
      <c r="AH363" s="2453"/>
      <c r="AI363" s="3626" t="str">
        <f t="shared" si="596"/>
        <v>Units - area of ceiling/attic (ft2)</v>
      </c>
      <c r="AJ363" s="1930"/>
      <c r="AK363" s="1930"/>
      <c r="AL363" s="1930"/>
      <c r="AM363" s="1972">
        <f t="shared" si="598"/>
        <v>4.6608050000000002E-4</v>
      </c>
      <c r="AN363" s="1930">
        <f t="shared" si="597"/>
        <v>1.2118093000000001E-4</v>
      </c>
      <c r="AO363" s="1971">
        <f t="shared" si="599"/>
        <v>1.8093000000001251E-7</v>
      </c>
    </row>
    <row r="364" spans="1:41" x14ac:dyDescent="0.25">
      <c r="A364" s="103" t="str">
        <f t="shared" si="564"/>
        <v>401750</v>
      </c>
      <c r="B364" s="684" t="str">
        <f>'Income Eligible Deemed Table'!C144</f>
        <v>401750_2019_12_</v>
      </c>
      <c r="C364" s="1962" t="str">
        <f>'Income Eligible Deemed Table'!G144</f>
        <v>Building Shell RES</v>
      </c>
      <c r="D364" s="1962"/>
      <c r="E364" s="1962"/>
      <c r="F364" s="1962"/>
      <c r="G364" s="1962" t="str">
        <f>'Income Eligible Deemed Table'!E144</f>
        <v>Ceiling Insulation R5-R49 SF IE DI electric furnace base</v>
      </c>
      <c r="H364" s="63" t="str">
        <f>'Income Eligible Deemed Table'!D144</f>
        <v>SFIE</v>
      </c>
      <c r="I364" s="2438">
        <f>'Income Eligible Deemed Table'!F144</f>
        <v>1.96</v>
      </c>
      <c r="J364" s="2438">
        <f t="shared" si="560"/>
        <v>0</v>
      </c>
      <c r="K364" s="3600"/>
      <c r="L364" s="3600"/>
      <c r="M364" s="2439"/>
      <c r="N364" s="2439"/>
      <c r="O364" s="2440">
        <f>'Income Eligible Deemed Table'!K144</f>
        <v>9.1399999999999999E-4</v>
      </c>
      <c r="P364" s="2440">
        <f t="shared" si="562"/>
        <v>0</v>
      </c>
      <c r="Q364" s="3601"/>
      <c r="R364" s="3601"/>
      <c r="S364" s="2441"/>
      <c r="T364" s="2441"/>
      <c r="U364" s="1819"/>
      <c r="V364" s="1819"/>
      <c r="W364" s="1819">
        <f t="shared" si="594"/>
        <v>9.1399999999999999E-4</v>
      </c>
      <c r="X364" s="68">
        <f>'Income Eligible Deemed Table'!L144</f>
        <v>25</v>
      </c>
      <c r="Y364" s="68"/>
      <c r="Z364" s="68">
        <f t="shared" si="595"/>
        <v>25</v>
      </c>
      <c r="AA364" s="62">
        <f>'Income Eligible Deemed Table'!BB144</f>
        <v>1.1252146794823854</v>
      </c>
      <c r="AB364" s="839">
        <f>'Income Eligible Deemed Table'!M144</f>
        <v>2.5687522603978299</v>
      </c>
      <c r="AC364" s="3617">
        <f t="shared" si="533"/>
        <v>2.7280771603144851</v>
      </c>
      <c r="AD364" s="3617">
        <f t="shared" si="534"/>
        <v>0</v>
      </c>
      <c r="AE364" s="1661">
        <f>'Income Eligible Deemed Table'!BD144</f>
        <v>2.7280771603144851</v>
      </c>
      <c r="AF364" s="2453"/>
      <c r="AG364" s="2453"/>
      <c r="AH364" s="2453"/>
      <c r="AI364" s="3626" t="str">
        <f t="shared" si="596"/>
        <v>Units - area of ceiling/attic (ft2)</v>
      </c>
      <c r="AJ364" s="1930"/>
      <c r="AK364" s="1930"/>
      <c r="AL364" s="1930"/>
      <c r="AM364" s="1972">
        <f t="shared" si="598"/>
        <v>4.6608050000000002E-4</v>
      </c>
      <c r="AN364" s="1930">
        <f t="shared" si="597"/>
        <v>9.1351778E-4</v>
      </c>
      <c r="AO364" s="1971">
        <f t="shared" si="599"/>
        <v>-4.8221999999998807E-7</v>
      </c>
    </row>
    <row r="365" spans="1:41" x14ac:dyDescent="0.25">
      <c r="A365" s="103" t="str">
        <f t="shared" si="564"/>
        <v>401800</v>
      </c>
      <c r="B365" s="684" t="str">
        <f>'Income Eligible Deemed Table'!C145</f>
        <v>401800_2019_12_</v>
      </c>
      <c r="C365" s="1962" t="str">
        <f>'Income Eligible Deemed Table'!G145</f>
        <v>Building Shell RES</v>
      </c>
      <c r="D365" s="1962"/>
      <c r="E365" s="1962"/>
      <c r="F365" s="1962"/>
      <c r="G365" s="1962" t="str">
        <f>'Income Eligible Deemed Table'!E145</f>
        <v>Ceiling Insulation R5-R49 SF IE DI heat pump base</v>
      </c>
      <c r="H365" s="63" t="str">
        <f>'Income Eligible Deemed Table'!D145</f>
        <v>SFIE</v>
      </c>
      <c r="I365" s="2438">
        <f>'Income Eligible Deemed Table'!F145</f>
        <v>1.22</v>
      </c>
      <c r="J365" s="2438">
        <f t="shared" si="560"/>
        <v>0</v>
      </c>
      <c r="K365" s="3600"/>
      <c r="L365" s="3600"/>
      <c r="M365" s="2439"/>
      <c r="N365" s="2439"/>
      <c r="O365" s="2440">
        <f>'Income Eligible Deemed Table'!K145</f>
        <v>5.6899999999999995E-4</v>
      </c>
      <c r="P365" s="2440">
        <f t="shared" si="562"/>
        <v>0</v>
      </c>
      <c r="Q365" s="3601"/>
      <c r="R365" s="3601"/>
      <c r="S365" s="2441"/>
      <c r="T365" s="2441"/>
      <c r="U365" s="1819"/>
      <c r="V365" s="1819"/>
      <c r="W365" s="1819">
        <f t="shared" si="594"/>
        <v>5.6899999999999995E-4</v>
      </c>
      <c r="X365" s="68">
        <f>'Income Eligible Deemed Table'!L145</f>
        <v>25</v>
      </c>
      <c r="Y365" s="68"/>
      <c r="Z365" s="68">
        <f t="shared" si="595"/>
        <v>25</v>
      </c>
      <c r="AA365" s="62">
        <f>'Income Eligible Deemed Table'!BB145</f>
        <v>0.70038872906556648</v>
      </c>
      <c r="AB365" s="839">
        <f>'Income Eligible Deemed Table'!M145</f>
        <v>2.5687522603978299</v>
      </c>
      <c r="AC365" s="3617">
        <f t="shared" si="533"/>
        <v>1.6980888446855469</v>
      </c>
      <c r="AD365" s="3617">
        <f t="shared" si="534"/>
        <v>0</v>
      </c>
      <c r="AE365" s="1661">
        <f>'Income Eligible Deemed Table'!BD145</f>
        <v>1.6980888446855469</v>
      </c>
      <c r="AF365" s="2453"/>
      <c r="AG365" s="2453"/>
      <c r="AH365" s="2453"/>
      <c r="AI365" s="3626" t="str">
        <f t="shared" si="596"/>
        <v>Units - area of ceiling/attic (ft2)</v>
      </c>
      <c r="AJ365" s="1930"/>
      <c r="AK365" s="1930"/>
      <c r="AL365" s="1930"/>
      <c r="AM365" s="1972">
        <f t="shared" si="598"/>
        <v>4.6608050000000002E-4</v>
      </c>
      <c r="AN365" s="1930">
        <f t="shared" si="597"/>
        <v>5.6861821000000004E-4</v>
      </c>
      <c r="AO365" s="1971">
        <f t="shared" si="599"/>
        <v>-3.8178999999991491E-7</v>
      </c>
    </row>
    <row r="366" spans="1:41" x14ac:dyDescent="0.25">
      <c r="A366" s="103" t="str">
        <f t="shared" si="564"/>
        <v>401850</v>
      </c>
      <c r="B366" s="684" t="str">
        <f>'Income Eligible Deemed Table'!C146</f>
        <v>401850_2019_12_</v>
      </c>
      <c r="C366" s="1962" t="str">
        <f>'Income Eligible Deemed Table'!G146</f>
        <v>Building Shell RES</v>
      </c>
      <c r="D366" s="1962"/>
      <c r="E366" s="1962"/>
      <c r="F366" s="1962"/>
      <c r="G366" s="1962" t="str">
        <f>'Income Eligible Deemed Table'!E146</f>
        <v>Ceiling Insulation R5-R49 SF IE DI gas heat electric cool base</v>
      </c>
      <c r="H366" s="63" t="str">
        <f>'Income Eligible Deemed Table'!D146</f>
        <v>SFIE</v>
      </c>
      <c r="I366" s="2438">
        <f>'Income Eligible Deemed Table'!F146</f>
        <v>0.26</v>
      </c>
      <c r="J366" s="2438">
        <f t="shared" si="560"/>
        <v>0</v>
      </c>
      <c r="K366" s="3600"/>
      <c r="L366" s="3600"/>
      <c r="M366" s="2439"/>
      <c r="N366" s="2439"/>
      <c r="O366" s="2440">
        <f>'Income Eligible Deemed Table'!K146</f>
        <v>1.21E-4</v>
      </c>
      <c r="P366" s="2440">
        <f t="shared" si="562"/>
        <v>0</v>
      </c>
      <c r="Q366" s="3601"/>
      <c r="R366" s="3601"/>
      <c r="S366" s="2441"/>
      <c r="T366" s="2441"/>
      <c r="U366" s="1819"/>
      <c r="V366" s="1819"/>
      <c r="W366" s="1819">
        <f t="shared" si="594"/>
        <v>1.21E-4</v>
      </c>
      <c r="X366" s="68">
        <f>'Income Eligible Deemed Table'!L146</f>
        <v>25</v>
      </c>
      <c r="Y366" s="68"/>
      <c r="Z366" s="68">
        <f t="shared" si="595"/>
        <v>25</v>
      </c>
      <c r="AA366" s="62">
        <f>'Income Eligible Deemed Table'!BB146</f>
        <v>0.14926317176807155</v>
      </c>
      <c r="AB366" s="839">
        <f>'Income Eligible Deemed Table'!M146</f>
        <v>2.5687522603978299</v>
      </c>
      <c r="AC366" s="3617">
        <f t="shared" si="533"/>
        <v>0.36188778657232967</v>
      </c>
      <c r="AD366" s="3617">
        <f t="shared" si="534"/>
        <v>0</v>
      </c>
      <c r="AE366" s="1661">
        <f>'Income Eligible Deemed Table'!BD146</f>
        <v>0.36188778657232967</v>
      </c>
      <c r="AF366" s="2453"/>
      <c r="AG366" s="2453"/>
      <c r="AH366" s="2453"/>
      <c r="AI366" s="3626" t="str">
        <f t="shared" si="596"/>
        <v>Units - area of ceiling/attic (ft2)</v>
      </c>
      <c r="AJ366" s="1930"/>
      <c r="AK366" s="1930"/>
      <c r="AL366" s="1930"/>
      <c r="AM366" s="1972">
        <f t="shared" si="598"/>
        <v>4.6608050000000002E-4</v>
      </c>
      <c r="AN366" s="1930">
        <f t="shared" si="597"/>
        <v>1.2118093000000001E-4</v>
      </c>
      <c r="AO366" s="1971">
        <f t="shared" si="599"/>
        <v>1.8093000000001251E-7</v>
      </c>
    </row>
    <row r="367" spans="1:41" x14ac:dyDescent="0.25">
      <c r="A367" s="103" t="str">
        <f t="shared" si="564"/>
        <v>401900</v>
      </c>
      <c r="B367" s="684" t="str">
        <f>'Income Eligible Deemed Table'!C147</f>
        <v>401900_2019_12_</v>
      </c>
      <c r="C367" s="1962" t="str">
        <f>'Income Eligible Deemed Table'!G147</f>
        <v>Building Shell RES</v>
      </c>
      <c r="D367" s="1962"/>
      <c r="E367" s="1962"/>
      <c r="F367" s="1962"/>
      <c r="G367" s="1962" t="str">
        <f>'Income Eligible Deemed Table'!E147</f>
        <v>Ceiling Insulation R5-R60 MF IE DI electric furnace base</v>
      </c>
      <c r="H367" s="63" t="str">
        <f>'Income Eligible Deemed Table'!D147</f>
        <v>MFIE</v>
      </c>
      <c r="I367" s="2438">
        <f>'Income Eligible Deemed Table'!F147</f>
        <v>2.0299999999999998</v>
      </c>
      <c r="J367" s="2438">
        <f t="shared" si="560"/>
        <v>0</v>
      </c>
      <c r="K367" s="3600"/>
      <c r="L367" s="3600"/>
      <c r="M367" s="2439"/>
      <c r="N367" s="2439"/>
      <c r="O367" s="2440">
        <f>'Income Eligible Deemed Table'!K147</f>
        <v>9.4600000000000001E-4</v>
      </c>
      <c r="P367" s="2440">
        <f t="shared" si="562"/>
        <v>0</v>
      </c>
      <c r="Q367" s="3601"/>
      <c r="R367" s="3601"/>
      <c r="S367" s="2441"/>
      <c r="T367" s="2441"/>
      <c r="U367" s="1819"/>
      <c r="V367" s="1819"/>
      <c r="W367" s="1819">
        <f t="shared" si="594"/>
        <v>9.4600000000000001E-4</v>
      </c>
      <c r="X367" s="68">
        <f>'Income Eligible Deemed Table'!L147</f>
        <v>25</v>
      </c>
      <c r="Y367" s="68"/>
      <c r="Z367" s="68">
        <f t="shared" si="595"/>
        <v>25</v>
      </c>
      <c r="AA367" s="62">
        <f>'Income Eligible Deemed Table'!BB147</f>
        <v>0.87422987318422674</v>
      </c>
      <c r="AB367" s="839">
        <f>'Income Eligible Deemed Table'!M147</f>
        <v>3.424301015440256</v>
      </c>
      <c r="AC367" s="3617">
        <f t="shared" si="533"/>
        <v>2.8255084874685736</v>
      </c>
      <c r="AD367" s="3617">
        <f t="shared" si="534"/>
        <v>0</v>
      </c>
      <c r="AE367" s="1661">
        <f>'Income Eligible Deemed Table'!BD147</f>
        <v>2.8255084874685736</v>
      </c>
      <c r="AF367" s="2453"/>
      <c r="AG367" s="2453"/>
      <c r="AH367" s="2453"/>
      <c r="AI367" s="3626" t="str">
        <f t="shared" si="596"/>
        <v>Units - area of ceiling/attic (ft2)</v>
      </c>
      <c r="AJ367" s="1930"/>
      <c r="AK367" s="1930"/>
      <c r="AL367" s="1930"/>
      <c r="AM367" s="1972">
        <f t="shared" si="598"/>
        <v>4.6608050000000002E-4</v>
      </c>
      <c r="AN367" s="1930">
        <f t="shared" si="597"/>
        <v>9.4614341499999995E-4</v>
      </c>
      <c r="AO367" s="1971">
        <f t="shared" si="599"/>
        <v>1.4341499999994279E-7</v>
      </c>
    </row>
    <row r="368" spans="1:41" x14ac:dyDescent="0.25">
      <c r="A368" s="103" t="str">
        <f t="shared" si="564"/>
        <v>401950</v>
      </c>
      <c r="B368" s="684" t="str">
        <f>'Income Eligible Deemed Table'!C148</f>
        <v>401950_2019_12_</v>
      </c>
      <c r="C368" s="1962" t="str">
        <f>'Income Eligible Deemed Table'!G148</f>
        <v>Building Shell RES</v>
      </c>
      <c r="D368" s="1962"/>
      <c r="E368" s="1962"/>
      <c r="F368" s="1962"/>
      <c r="G368" s="1962" t="str">
        <f>'Income Eligible Deemed Table'!E148</f>
        <v>Ceiling Insulation R5-R60 MF IE DI heat pump base</v>
      </c>
      <c r="H368" s="63" t="str">
        <f>'Income Eligible Deemed Table'!D148</f>
        <v>MFIE</v>
      </c>
      <c r="I368" s="2438">
        <f>'Income Eligible Deemed Table'!F148</f>
        <v>1.27</v>
      </c>
      <c r="J368" s="2438">
        <f t="shared" si="560"/>
        <v>0</v>
      </c>
      <c r="K368" s="3600"/>
      <c r="L368" s="3600"/>
      <c r="M368" s="2439"/>
      <c r="N368" s="2439"/>
      <c r="O368" s="2440">
        <f>'Income Eligible Deemed Table'!K148</f>
        <v>5.9199999999999997E-4</v>
      </c>
      <c r="P368" s="2440">
        <f t="shared" si="562"/>
        <v>0</v>
      </c>
      <c r="Q368" s="3601"/>
      <c r="R368" s="3601"/>
      <c r="S368" s="2441"/>
      <c r="T368" s="2441"/>
      <c r="U368" s="1819"/>
      <c r="V368" s="1819"/>
      <c r="W368" s="1819">
        <f t="shared" si="594"/>
        <v>5.9199999999999997E-4</v>
      </c>
      <c r="X368" s="68">
        <f>'Income Eligible Deemed Table'!L148</f>
        <v>25</v>
      </c>
      <c r="Y368" s="68"/>
      <c r="Z368" s="68">
        <f t="shared" si="595"/>
        <v>25</v>
      </c>
      <c r="AA368" s="62">
        <f>'Income Eligible Deemed Table'!BB148</f>
        <v>0.5469319896275705</v>
      </c>
      <c r="AB368" s="839">
        <f>'Income Eligible Deemed Table'!M148</f>
        <v>3.424301015440256</v>
      </c>
      <c r="AC368" s="3617">
        <f t="shared" si="533"/>
        <v>1.7676826497956104</v>
      </c>
      <c r="AD368" s="3617">
        <f t="shared" si="534"/>
        <v>0</v>
      </c>
      <c r="AE368" s="1661">
        <f>'Income Eligible Deemed Table'!BD148</f>
        <v>1.7676826497956104</v>
      </c>
      <c r="AF368" s="2453"/>
      <c r="AG368" s="2453"/>
      <c r="AH368" s="2453"/>
      <c r="AI368" s="3626" t="str">
        <f t="shared" si="596"/>
        <v>Units - area of ceiling/attic (ft2)</v>
      </c>
      <c r="AJ368" s="1930"/>
      <c r="AK368" s="1930"/>
      <c r="AL368" s="1930"/>
      <c r="AM368" s="1972">
        <f t="shared" si="598"/>
        <v>4.6608050000000002E-4</v>
      </c>
      <c r="AN368" s="1930">
        <f t="shared" si="597"/>
        <v>5.9192223500000008E-4</v>
      </c>
      <c r="AO368" s="1971">
        <f t="shared" si="599"/>
        <v>-7.7764999999890318E-8</v>
      </c>
    </row>
    <row r="369" spans="1:41" x14ac:dyDescent="0.25">
      <c r="A369" s="103" t="str">
        <f t="shared" si="564"/>
        <v>402000</v>
      </c>
      <c r="B369" s="684" t="str">
        <f>'Income Eligible Deemed Table'!C149</f>
        <v>402000_2019_12_</v>
      </c>
      <c r="C369" s="1962" t="str">
        <f>'Income Eligible Deemed Table'!G149</f>
        <v>Building Shell RES</v>
      </c>
      <c r="D369" s="1962"/>
      <c r="E369" s="1962"/>
      <c r="F369" s="1962"/>
      <c r="G369" s="1962" t="str">
        <f>'Income Eligible Deemed Table'!E149</f>
        <v>Ceiling Insulation R5-R60 MF IE DI gas heat electric cool base</v>
      </c>
      <c r="H369" s="63" t="str">
        <f>'Income Eligible Deemed Table'!D149</f>
        <v>MFIE</v>
      </c>
      <c r="I369" s="2438">
        <f>'Income Eligible Deemed Table'!F149</f>
        <v>0.27</v>
      </c>
      <c r="J369" s="2438">
        <f t="shared" si="560"/>
        <v>0</v>
      </c>
      <c r="K369" s="3600"/>
      <c r="L369" s="3600"/>
      <c r="M369" s="2439"/>
      <c r="N369" s="2439"/>
      <c r="O369" s="2440">
        <f>'Income Eligible Deemed Table'!K149</f>
        <v>1.26E-4</v>
      </c>
      <c r="P369" s="2440">
        <f t="shared" si="562"/>
        <v>0</v>
      </c>
      <c r="Q369" s="3601"/>
      <c r="R369" s="3601"/>
      <c r="S369" s="2441"/>
      <c r="T369" s="2441"/>
      <c r="U369" s="1819"/>
      <c r="V369" s="1819"/>
      <c r="W369" s="1819">
        <f t="shared" si="594"/>
        <v>1.26E-4</v>
      </c>
      <c r="X369" s="68">
        <f>'Income Eligible Deemed Table'!L149</f>
        <v>25</v>
      </c>
      <c r="Y369" s="68"/>
      <c r="Z369" s="68">
        <f t="shared" si="595"/>
        <v>25</v>
      </c>
      <c r="AA369" s="62">
        <f>'Income Eligible Deemed Table'!BB149</f>
        <v>0.11627687968460163</v>
      </c>
      <c r="AB369" s="839">
        <f>'Income Eligible Deemed Table'!M149</f>
        <v>3.424301015440256</v>
      </c>
      <c r="AC369" s="3617">
        <f t="shared" ref="AC369:AC445" si="600">AE369+AF369</f>
        <v>0.3758065475943424</v>
      </c>
      <c r="AD369" s="3617">
        <f t="shared" ref="AD369:AD445" si="601">AG369+AH369</f>
        <v>0</v>
      </c>
      <c r="AE369" s="1661">
        <f>'Income Eligible Deemed Table'!BD149</f>
        <v>0.3758065475943424</v>
      </c>
      <c r="AF369" s="2453"/>
      <c r="AG369" s="2453"/>
      <c r="AH369" s="2453"/>
      <c r="AI369" s="3626" t="str">
        <f t="shared" si="596"/>
        <v>Units - area of ceiling/attic (ft2)</v>
      </c>
      <c r="AJ369" s="1930"/>
      <c r="AK369" s="1930"/>
      <c r="AL369" s="1930"/>
      <c r="AM369" s="1972">
        <f t="shared" si="598"/>
        <v>4.6608050000000002E-4</v>
      </c>
      <c r="AN369" s="1930">
        <f t="shared" si="597"/>
        <v>1.2584173500000001E-4</v>
      </c>
      <c r="AO369" s="1971">
        <f t="shared" si="599"/>
        <v>-1.5826499999999229E-7</v>
      </c>
    </row>
    <row r="370" spans="1:41" x14ac:dyDescent="0.25">
      <c r="A370" s="103" t="str">
        <f t="shared" si="564"/>
        <v>402050</v>
      </c>
      <c r="B370" s="684" t="str">
        <f>'Income Eligible Deemed Table'!C150</f>
        <v>402050_2019_12_</v>
      </c>
      <c r="C370" s="1962" t="str">
        <f>'Income Eligible Deemed Table'!G150</f>
        <v>Building Shell RES</v>
      </c>
      <c r="D370" s="1962"/>
      <c r="E370" s="1962"/>
      <c r="F370" s="1962"/>
      <c r="G370" s="1962" t="str">
        <f>'Income Eligible Deemed Table'!E150</f>
        <v>Ceiling Insulation R5-R60 SF IE DI electric furnace base</v>
      </c>
      <c r="H370" s="63" t="str">
        <f>'Income Eligible Deemed Table'!D150</f>
        <v>SFIE</v>
      </c>
      <c r="I370" s="2438">
        <f>'Income Eligible Deemed Table'!F150</f>
        <v>2.0299999999999998</v>
      </c>
      <c r="J370" s="2438">
        <f t="shared" si="560"/>
        <v>0</v>
      </c>
      <c r="K370" s="3600"/>
      <c r="L370" s="3600"/>
      <c r="M370" s="2439"/>
      <c r="N370" s="2439"/>
      <c r="O370" s="2440">
        <f>'Income Eligible Deemed Table'!K150</f>
        <v>9.4600000000000001E-4</v>
      </c>
      <c r="P370" s="2440">
        <f t="shared" si="562"/>
        <v>0</v>
      </c>
      <c r="Q370" s="3601"/>
      <c r="R370" s="3601"/>
      <c r="S370" s="2441"/>
      <c r="T370" s="2441"/>
      <c r="U370" s="1819"/>
      <c r="V370" s="1819"/>
      <c r="W370" s="1819">
        <f t="shared" si="594"/>
        <v>9.4600000000000001E-4</v>
      </c>
      <c r="X370" s="68">
        <f>'Income Eligible Deemed Table'!L150</f>
        <v>25</v>
      </c>
      <c r="Y370" s="68"/>
      <c r="Z370" s="68">
        <f t="shared" si="595"/>
        <v>25</v>
      </c>
      <c r="AA370" s="62">
        <f>'Income Eligible Deemed Table'!BB150</f>
        <v>0.87422916292829866</v>
      </c>
      <c r="AB370" s="839">
        <f>'Income Eligible Deemed Table'!M150</f>
        <v>3.4243037974683546</v>
      </c>
      <c r="AC370" s="3617">
        <f t="shared" si="600"/>
        <v>2.8255084874685736</v>
      </c>
      <c r="AD370" s="3617">
        <f t="shared" si="601"/>
        <v>0</v>
      </c>
      <c r="AE370" s="1661">
        <f>'Income Eligible Deemed Table'!BD150</f>
        <v>2.8255084874685736</v>
      </c>
      <c r="AF370" s="2453"/>
      <c r="AG370" s="2453"/>
      <c r="AH370" s="2453"/>
      <c r="AI370" s="3626" t="str">
        <f t="shared" si="596"/>
        <v>Units - area of ceiling/attic (ft2)</v>
      </c>
      <c r="AJ370" s="1930"/>
      <c r="AK370" s="1930"/>
      <c r="AL370" s="1930"/>
      <c r="AM370" s="1972">
        <f t="shared" si="598"/>
        <v>4.6608050000000002E-4</v>
      </c>
      <c r="AN370" s="1930">
        <f t="shared" si="597"/>
        <v>9.4614341499999995E-4</v>
      </c>
      <c r="AO370" s="1971">
        <f t="shared" si="599"/>
        <v>1.4341499999994279E-7</v>
      </c>
    </row>
    <row r="371" spans="1:41" x14ac:dyDescent="0.25">
      <c r="A371" s="103" t="str">
        <f t="shared" si="564"/>
        <v>402100</v>
      </c>
      <c r="B371" s="684" t="str">
        <f>'Income Eligible Deemed Table'!C151</f>
        <v>402100_2019_12_</v>
      </c>
      <c r="C371" s="1962" t="str">
        <f>'Income Eligible Deemed Table'!G151</f>
        <v>Building Shell RES</v>
      </c>
      <c r="D371" s="1962"/>
      <c r="E371" s="1962"/>
      <c r="F371" s="1962"/>
      <c r="G371" s="1962" t="str">
        <f>'Income Eligible Deemed Table'!E151</f>
        <v>Ceiling Insulation R5-R60 SF IE DI heat pump base</v>
      </c>
      <c r="H371" s="63" t="str">
        <f>'Income Eligible Deemed Table'!D151</f>
        <v>SFIE</v>
      </c>
      <c r="I371" s="2438">
        <f>'Income Eligible Deemed Table'!F151</f>
        <v>1.27</v>
      </c>
      <c r="J371" s="2438">
        <f t="shared" si="560"/>
        <v>0</v>
      </c>
      <c r="K371" s="3600"/>
      <c r="L371" s="3600"/>
      <c r="M371" s="2439"/>
      <c r="N371" s="2439"/>
      <c r="O371" s="2440">
        <f>'Income Eligible Deemed Table'!K151</f>
        <v>5.9199999999999997E-4</v>
      </c>
      <c r="P371" s="2440">
        <f t="shared" si="562"/>
        <v>0</v>
      </c>
      <c r="Q371" s="3601"/>
      <c r="R371" s="3601"/>
      <c r="S371" s="2441"/>
      <c r="T371" s="2441"/>
      <c r="U371" s="1819"/>
      <c r="V371" s="1819"/>
      <c r="W371" s="1819">
        <f t="shared" si="594"/>
        <v>5.9199999999999997E-4</v>
      </c>
      <c r="X371" s="68">
        <f>'Income Eligible Deemed Table'!L151</f>
        <v>25</v>
      </c>
      <c r="Y371" s="68"/>
      <c r="Z371" s="68">
        <f t="shared" si="595"/>
        <v>25</v>
      </c>
      <c r="AA371" s="62">
        <f>'Income Eligible Deemed Table'!BB151</f>
        <v>0.54693154528026577</v>
      </c>
      <c r="AB371" s="839">
        <f>'Income Eligible Deemed Table'!M151</f>
        <v>3.4243037974683546</v>
      </c>
      <c r="AC371" s="3617">
        <f t="shared" si="600"/>
        <v>1.7676826497956104</v>
      </c>
      <c r="AD371" s="3617">
        <f t="shared" si="601"/>
        <v>0</v>
      </c>
      <c r="AE371" s="1661">
        <f>'Income Eligible Deemed Table'!BD151</f>
        <v>1.7676826497956104</v>
      </c>
      <c r="AF371" s="2453"/>
      <c r="AG371" s="2453"/>
      <c r="AH371" s="2453"/>
      <c r="AI371" s="3626" t="str">
        <f t="shared" si="596"/>
        <v>Units - area of ceiling/attic (ft2)</v>
      </c>
      <c r="AJ371" s="1930"/>
      <c r="AK371" s="1930"/>
      <c r="AL371" s="1930"/>
      <c r="AM371" s="1972">
        <f t="shared" si="598"/>
        <v>4.6608050000000002E-4</v>
      </c>
      <c r="AN371" s="1930">
        <f t="shared" si="597"/>
        <v>5.9192223500000008E-4</v>
      </c>
      <c r="AO371" s="1971">
        <f t="shared" si="599"/>
        <v>-7.7764999999890318E-8</v>
      </c>
    </row>
    <row r="372" spans="1:41" x14ac:dyDescent="0.25">
      <c r="A372" s="103" t="str">
        <f t="shared" si="564"/>
        <v>402150</v>
      </c>
      <c r="B372" s="684" t="str">
        <f>'Income Eligible Deemed Table'!C152</f>
        <v>402150_2019_12_</v>
      </c>
      <c r="C372" s="1962" t="str">
        <f>'Income Eligible Deemed Table'!G152</f>
        <v>Building Shell RES</v>
      </c>
      <c r="D372" s="1962"/>
      <c r="E372" s="1962"/>
      <c r="F372" s="1962"/>
      <c r="G372" s="1962" t="str">
        <f>'Income Eligible Deemed Table'!E152</f>
        <v>Ceiling Insulation R5-R60 SF IE DI gas heat electric cool base</v>
      </c>
      <c r="H372" s="63" t="str">
        <f>'Income Eligible Deemed Table'!D152</f>
        <v>SFIE</v>
      </c>
      <c r="I372" s="2438">
        <f>'Income Eligible Deemed Table'!F152</f>
        <v>0.27</v>
      </c>
      <c r="J372" s="2438">
        <f t="shared" si="560"/>
        <v>0</v>
      </c>
      <c r="K372" s="3600"/>
      <c r="L372" s="3600"/>
      <c r="M372" s="2439"/>
      <c r="N372" s="2439"/>
      <c r="O372" s="2440">
        <f>'Income Eligible Deemed Table'!K152</f>
        <v>1.26E-4</v>
      </c>
      <c r="P372" s="2440">
        <f t="shared" si="562"/>
        <v>0</v>
      </c>
      <c r="Q372" s="3601"/>
      <c r="R372" s="3601"/>
      <c r="S372" s="2441"/>
      <c r="T372" s="2441"/>
      <c r="U372" s="1819"/>
      <c r="V372" s="1819"/>
      <c r="W372" s="1819">
        <f t="shared" si="594"/>
        <v>1.26E-4</v>
      </c>
      <c r="X372" s="68">
        <f>'Income Eligible Deemed Table'!L152</f>
        <v>25</v>
      </c>
      <c r="Y372" s="68"/>
      <c r="Z372" s="68">
        <f t="shared" si="595"/>
        <v>25</v>
      </c>
      <c r="AA372" s="62">
        <f>'Income Eligible Deemed Table'!BB152</f>
        <v>0.11627678521706439</v>
      </c>
      <c r="AB372" s="839">
        <f>'Income Eligible Deemed Table'!M152</f>
        <v>3.4243037974683546</v>
      </c>
      <c r="AC372" s="3617">
        <f t="shared" si="600"/>
        <v>0.3758065475943424</v>
      </c>
      <c r="AD372" s="3617">
        <f t="shared" si="601"/>
        <v>0</v>
      </c>
      <c r="AE372" s="1661">
        <f>'Income Eligible Deemed Table'!BD152</f>
        <v>0.3758065475943424</v>
      </c>
      <c r="AF372" s="2453"/>
      <c r="AG372" s="2453"/>
      <c r="AH372" s="2453"/>
      <c r="AI372" s="3626" t="str">
        <f t="shared" si="596"/>
        <v>Units - area of ceiling/attic (ft2)</v>
      </c>
      <c r="AJ372" s="1930"/>
      <c r="AK372" s="1930"/>
      <c r="AL372" s="1930"/>
      <c r="AM372" s="1972">
        <f t="shared" si="598"/>
        <v>4.6608050000000002E-4</v>
      </c>
      <c r="AN372" s="1930">
        <f t="shared" si="597"/>
        <v>1.2584173500000001E-4</v>
      </c>
      <c r="AO372" s="1971">
        <f t="shared" si="599"/>
        <v>-1.5826499999999229E-7</v>
      </c>
    </row>
    <row r="373" spans="1:41" x14ac:dyDescent="0.25">
      <c r="A373" s="103" t="str">
        <f t="shared" si="564"/>
        <v>402200</v>
      </c>
      <c r="B373" s="684" t="str">
        <f>'Income Eligible Deemed Table'!C446</f>
        <v>402200_2019_12_</v>
      </c>
      <c r="C373" s="1962" t="str">
        <f>'Income Eligible Deemed Table'!G446</f>
        <v>Building Shell RES</v>
      </c>
      <c r="D373" s="1962"/>
      <c r="E373" s="1962"/>
      <c r="F373" s="1962"/>
      <c r="G373" s="1962" t="str">
        <f>'Income Eligible Deemed Table'!E446</f>
        <v>Floor Insulation R25 (R-3.96 base) MH electric furnace/baseboard and electric cooling</v>
      </c>
      <c r="H373" s="63" t="str">
        <f>'Income Eligible Deemed Table'!D446</f>
        <v>SFIE</v>
      </c>
      <c r="I373" s="2438">
        <f>'Income Eligible Deemed Table'!F446</f>
        <v>2.4500000000000002</v>
      </c>
      <c r="J373" s="2438">
        <f t="shared" si="560"/>
        <v>0</v>
      </c>
      <c r="K373" s="3600"/>
      <c r="L373" s="3600"/>
      <c r="M373" s="2439"/>
      <c r="N373" s="2439"/>
      <c r="O373" s="2440">
        <f>'Income Eligible Deemed Table'!K446</f>
        <v>1.142E-3</v>
      </c>
      <c r="P373" s="2440"/>
      <c r="Q373" s="3601"/>
      <c r="R373" s="3601"/>
      <c r="S373" s="2441"/>
      <c r="T373" s="2441"/>
      <c r="U373" s="1819"/>
      <c r="V373" s="1819"/>
      <c r="W373" s="1819">
        <f t="shared" si="594"/>
        <v>1.142E-3</v>
      </c>
      <c r="X373" s="68">
        <f>'Income Eligible Deemed Table'!L446</f>
        <v>25</v>
      </c>
      <c r="Y373" s="68"/>
      <c r="Z373" s="68">
        <f t="shared" si="595"/>
        <v>25</v>
      </c>
      <c r="AA373" s="62">
        <f>'Income Eligible Deemed Table'!BB446</f>
        <v>5.3158369630085787</v>
      </c>
      <c r="AB373" s="839">
        <f>'Income Eligible Deemed Table'!M446</f>
        <v>0.67966666666666664</v>
      </c>
      <c r="AC373" s="3617">
        <f t="shared" si="600"/>
        <v>3.410096450393107</v>
      </c>
      <c r="AD373" s="3617">
        <f t="shared" si="601"/>
        <v>0</v>
      </c>
      <c r="AE373" s="1661">
        <f>'Income Eligible Deemed Table'!BD446</f>
        <v>3.410096450393107</v>
      </c>
      <c r="AF373" s="2453"/>
      <c r="AG373" s="2453"/>
      <c r="AH373" s="2453"/>
      <c r="AI373" s="1917" t="str">
        <f>'Income Eligible Deemed Table'!N445</f>
        <v>Units - area of floor (ft2)</v>
      </c>
      <c r="AJ373" s="1930"/>
      <c r="AK373" s="1930"/>
      <c r="AL373" s="1930"/>
      <c r="AM373" s="1972">
        <f t="shared" si="598"/>
        <v>4.6608050000000002E-4</v>
      </c>
      <c r="AN373" s="1930">
        <f t="shared" si="597"/>
        <v>1.1418972250000002E-3</v>
      </c>
      <c r="AO373" s="1971">
        <f t="shared" si="599"/>
        <v>-1.0277499999981031E-7</v>
      </c>
    </row>
    <row r="374" spans="1:41" x14ac:dyDescent="0.25">
      <c r="A374" s="103" t="str">
        <f t="shared" si="564"/>
        <v>402201</v>
      </c>
      <c r="B374" s="684" t="str">
        <f>'Income Eligible Deemed Table'!C447</f>
        <v>402201_2019_12_</v>
      </c>
      <c r="C374" s="1962" t="str">
        <f>'Income Eligible Deemed Table'!G447</f>
        <v>Building Shell RES</v>
      </c>
      <c r="D374" s="1962"/>
      <c r="E374" s="1962"/>
      <c r="F374" s="1962"/>
      <c r="G374" s="1962" t="str">
        <f>'Income Eligible Deemed Table'!E447</f>
        <v>Floor Insulation R25 (R-3.96 base) MH heat pump and electric cooling</v>
      </c>
      <c r="H374" s="63" t="str">
        <f>'Income Eligible Deemed Table'!D447</f>
        <v>SFIE</v>
      </c>
      <c r="I374" s="2438">
        <f>'Income Eligible Deemed Table'!F447</f>
        <v>1.42</v>
      </c>
      <c r="J374" s="2438">
        <f t="shared" si="560"/>
        <v>0</v>
      </c>
      <c r="K374" s="3600"/>
      <c r="L374" s="3600"/>
      <c r="M374" s="2439"/>
      <c r="N374" s="2439"/>
      <c r="O374" s="2440">
        <f>'Income Eligible Deemed Table'!K447</f>
        <v>6.6200000000000005E-4</v>
      </c>
      <c r="P374" s="2440"/>
      <c r="Q374" s="3601"/>
      <c r="R374" s="3601"/>
      <c r="S374" s="2441"/>
      <c r="T374" s="2441"/>
      <c r="U374" s="1819"/>
      <c r="V374" s="1819"/>
      <c r="W374" s="1819">
        <f t="shared" ref="W374:W380" si="602">O374</f>
        <v>6.6200000000000005E-4</v>
      </c>
      <c r="X374" s="68">
        <f>'Income Eligible Deemed Table'!L447</f>
        <v>25</v>
      </c>
      <c r="Y374" s="68"/>
      <c r="Z374" s="68">
        <f t="shared" si="595"/>
        <v>25</v>
      </c>
      <c r="AA374" s="62">
        <f>'Income Eligible Deemed Table'!BB447</f>
        <v>3.0810157091723185</v>
      </c>
      <c r="AB374" s="839">
        <f>'Income Eligible Deemed Table'!M447</f>
        <v>0.67966666666666664</v>
      </c>
      <c r="AC374" s="3617">
        <f t="shared" si="600"/>
        <v>1.9764640651258005</v>
      </c>
      <c r="AD374" s="3617">
        <f t="shared" si="601"/>
        <v>0</v>
      </c>
      <c r="AE374" s="1661">
        <f>'Income Eligible Deemed Table'!BD447</f>
        <v>1.9764640651258005</v>
      </c>
      <c r="AF374" s="2453"/>
      <c r="AG374" s="2453"/>
      <c r="AH374" s="2453"/>
      <c r="AI374" s="1917" t="str">
        <f>AI373</f>
        <v>Units - area of floor (ft2)</v>
      </c>
      <c r="AJ374" s="1930"/>
      <c r="AK374" s="1930"/>
      <c r="AL374" s="1930"/>
      <c r="AM374" s="1972">
        <f t="shared" si="598"/>
        <v>4.6608050000000002E-4</v>
      </c>
      <c r="AN374" s="1930">
        <f t="shared" si="597"/>
        <v>6.6183430999999999E-4</v>
      </c>
      <c r="AO374" s="1971">
        <f t="shared" si="599"/>
        <v>-1.656900000000577E-7</v>
      </c>
    </row>
    <row r="375" spans="1:41" x14ac:dyDescent="0.25">
      <c r="A375" s="103" t="str">
        <f t="shared" si="564"/>
        <v>402202</v>
      </c>
      <c r="B375" s="684" t="str">
        <f>'Income Eligible Deemed Table'!C448</f>
        <v>402202_2019_12_</v>
      </c>
      <c r="C375" s="1962" t="str">
        <f>'Income Eligible Deemed Table'!G448</f>
        <v>Building Shell RES</v>
      </c>
      <c r="D375" s="1962"/>
      <c r="E375" s="1962"/>
      <c r="F375" s="1962"/>
      <c r="G375" s="1962" t="str">
        <f>'Income Eligible Deemed Table'!E448</f>
        <v>Floor Insulation R25 (R-3.96 base) MH gas furnace/baseboard and electric cooling</v>
      </c>
      <c r="H375" s="63" t="str">
        <f>'Income Eligible Deemed Table'!D448</f>
        <v>SFIE</v>
      </c>
      <c r="I375" s="2438">
        <f>'Income Eligible Deemed Table'!F448</f>
        <v>0.23</v>
      </c>
      <c r="J375" s="2438">
        <f t="shared" si="560"/>
        <v>0</v>
      </c>
      <c r="K375" s="3600"/>
      <c r="L375" s="3600"/>
      <c r="M375" s="2439"/>
      <c r="N375" s="2439"/>
      <c r="O375" s="2440">
        <f>'Income Eligible Deemed Table'!K448</f>
        <v>1.07E-4</v>
      </c>
      <c r="P375" s="2440"/>
      <c r="Q375" s="3601"/>
      <c r="R375" s="3601"/>
      <c r="S375" s="2441"/>
      <c r="T375" s="2441"/>
      <c r="U375" s="1819"/>
      <c r="V375" s="1819"/>
      <c r="W375" s="1819">
        <f t="shared" si="602"/>
        <v>1.07E-4</v>
      </c>
      <c r="X375" s="68">
        <f>'Income Eligible Deemed Table'!L448</f>
        <v>25</v>
      </c>
      <c r="Y375" s="68"/>
      <c r="Z375" s="68">
        <f t="shared" si="595"/>
        <v>25</v>
      </c>
      <c r="AA375" s="62">
        <f>'Income Eligible Deemed Table'!BB448</f>
        <v>0.49903775571100939</v>
      </c>
      <c r="AB375" s="839">
        <f>'Income Eligible Deemed Table'!M448</f>
        <v>0.67966666666666664</v>
      </c>
      <c r="AC375" s="3617">
        <f t="shared" si="600"/>
        <v>0.32013150350629166</v>
      </c>
      <c r="AD375" s="3617">
        <f t="shared" si="601"/>
        <v>0</v>
      </c>
      <c r="AE375" s="1661">
        <f>'Income Eligible Deemed Table'!BD448</f>
        <v>0.32013150350629166</v>
      </c>
      <c r="AF375" s="2453"/>
      <c r="AG375" s="2453"/>
      <c r="AH375" s="2453"/>
      <c r="AI375" s="1917" t="str">
        <f t="shared" ref="AI375:AI378" si="603">AI374</f>
        <v>Units - area of floor (ft2)</v>
      </c>
      <c r="AJ375" s="1930"/>
      <c r="AK375" s="1930"/>
      <c r="AL375" s="1930"/>
      <c r="AM375" s="1972">
        <f t="shared" si="598"/>
        <v>4.6608050000000002E-4</v>
      </c>
      <c r="AN375" s="1930">
        <f t="shared" si="597"/>
        <v>1.0719851500000001E-4</v>
      </c>
      <c r="AO375" s="1971">
        <f t="shared" si="599"/>
        <v>1.9851500000001617E-7</v>
      </c>
    </row>
    <row r="376" spans="1:41" s="1930" customFormat="1" x14ac:dyDescent="0.25">
      <c r="A376" s="103" t="str">
        <f t="shared" si="564"/>
        <v>402203</v>
      </c>
      <c r="B376" s="684" t="str">
        <f>'Income Eligible Deemed Table'!C449</f>
        <v>402203_2020_02_</v>
      </c>
      <c r="C376" s="1962" t="str">
        <f>'Income Eligible Deemed Table'!G449</f>
        <v>Building Shell RES</v>
      </c>
      <c r="D376" s="1962"/>
      <c r="E376" s="1962"/>
      <c r="F376" s="1962"/>
      <c r="G376" s="1962" t="str">
        <f>'Income Eligible Deemed Table'!E449</f>
        <v>Floor Insulation R25 (R-13 base) MH electric furnace/baseboard and electric cooling</v>
      </c>
      <c r="H376" s="63" t="str">
        <f>'Income Eligible Deemed Table'!D449</f>
        <v>SFIE</v>
      </c>
      <c r="I376" s="2438">
        <f>'Income Eligible Deemed Table'!F449</f>
        <v>0.22</v>
      </c>
      <c r="J376" s="2438">
        <f t="shared" si="560"/>
        <v>0</v>
      </c>
      <c r="K376" s="3600"/>
      <c r="L376" s="3600"/>
      <c r="M376" s="2439"/>
      <c r="N376" s="2439"/>
      <c r="O376" s="2440">
        <f>'Income Eligible Deemed Table'!K449</f>
        <v>1.03E-4</v>
      </c>
      <c r="P376" s="2440"/>
      <c r="Q376" s="3601"/>
      <c r="R376" s="3601"/>
      <c r="S376" s="2441"/>
      <c r="T376" s="2441"/>
      <c r="U376" s="1819"/>
      <c r="V376" s="1819"/>
      <c r="W376" s="1819">
        <f t="shared" si="602"/>
        <v>1.03E-4</v>
      </c>
      <c r="X376" s="68">
        <f>'Income Eligible Deemed Table'!L449</f>
        <v>25</v>
      </c>
      <c r="Y376" s="68"/>
      <c r="Z376" s="68">
        <f t="shared" si="595"/>
        <v>25</v>
      </c>
      <c r="AA376" s="62">
        <f>'Income Eligible Deemed Table'!BB449</f>
        <v>0.47734046198444374</v>
      </c>
      <c r="AB376" s="839">
        <f>'Income Eligible Deemed Table'!M449</f>
        <v>0.67966666666666664</v>
      </c>
      <c r="AC376" s="3617">
        <f>AE376+AF376</f>
        <v>0.30621274248427899</v>
      </c>
      <c r="AD376" s="3617">
        <f>AG376+AH376</f>
        <v>0</v>
      </c>
      <c r="AE376" s="1661">
        <f>'Income Eligible Deemed Table'!BD449</f>
        <v>0.30621274248427899</v>
      </c>
      <c r="AF376" s="2453"/>
      <c r="AG376" s="2453"/>
      <c r="AH376" s="2453"/>
      <c r="AI376" s="1917" t="str">
        <f t="shared" si="603"/>
        <v>Units - area of floor (ft2)</v>
      </c>
      <c r="AM376" s="1972"/>
      <c r="AO376" s="1971"/>
    </row>
    <row r="377" spans="1:41" s="1930" customFormat="1" x14ac:dyDescent="0.25">
      <c r="A377" s="103" t="str">
        <f t="shared" si="564"/>
        <v>402204</v>
      </c>
      <c r="B377" s="684" t="str">
        <f>'Income Eligible Deemed Table'!C450</f>
        <v>402204_2020_02_</v>
      </c>
      <c r="C377" s="1962" t="str">
        <f>'Income Eligible Deemed Table'!G450</f>
        <v>Building Shell RES</v>
      </c>
      <c r="D377" s="1962"/>
      <c r="E377" s="1962"/>
      <c r="F377" s="1962"/>
      <c r="G377" s="1962" t="str">
        <f>'Income Eligible Deemed Table'!E450</f>
        <v>Floor Insulation R25 (R-13 base) MH heat pump and electric cooling</v>
      </c>
      <c r="H377" s="63" t="str">
        <f>'Income Eligible Deemed Table'!D450</f>
        <v>SFIE</v>
      </c>
      <c r="I377" s="2438">
        <f>'Income Eligible Deemed Table'!F450</f>
        <v>0.13</v>
      </c>
      <c r="J377" s="2438">
        <f t="shared" si="560"/>
        <v>0</v>
      </c>
      <c r="K377" s="3600"/>
      <c r="L377" s="3600"/>
      <c r="M377" s="2439"/>
      <c r="N377" s="2439"/>
      <c r="O377" s="2440">
        <f>'Income Eligible Deemed Table'!K450</f>
        <v>6.0999999999999999E-5</v>
      </c>
      <c r="P377" s="2440"/>
      <c r="Q377" s="3601"/>
      <c r="R377" s="3601"/>
      <c r="S377" s="2441"/>
      <c r="T377" s="2441"/>
      <c r="U377" s="1819"/>
      <c r="V377" s="1819"/>
      <c r="W377" s="1819">
        <f t="shared" si="602"/>
        <v>6.0999999999999999E-5</v>
      </c>
      <c r="X377" s="68">
        <f>'Income Eligible Deemed Table'!L450</f>
        <v>25</v>
      </c>
      <c r="Y377" s="68"/>
      <c r="Z377" s="68">
        <f t="shared" si="595"/>
        <v>25</v>
      </c>
      <c r="AA377" s="62">
        <f>'Income Eligible Deemed Table'!BB450</f>
        <v>0.28206481844535308</v>
      </c>
      <c r="AB377" s="839">
        <f>'Income Eligible Deemed Table'!M450</f>
        <v>0.67966666666666664</v>
      </c>
      <c r="AC377" s="3617">
        <f>AE377+AF377</f>
        <v>0.18094389328616484</v>
      </c>
      <c r="AD377" s="3617">
        <f>AG377+AH377</f>
        <v>0</v>
      </c>
      <c r="AE377" s="1661">
        <f>'Income Eligible Deemed Table'!BD450</f>
        <v>0.18094389328616484</v>
      </c>
      <c r="AF377" s="2453"/>
      <c r="AG377" s="2453"/>
      <c r="AH377" s="2453"/>
      <c r="AI377" s="1917" t="str">
        <f t="shared" si="603"/>
        <v>Units - area of floor (ft2)</v>
      </c>
      <c r="AM377" s="1972"/>
      <c r="AO377" s="1971"/>
    </row>
    <row r="378" spans="1:41" s="1930" customFormat="1" x14ac:dyDescent="0.25">
      <c r="A378" s="103" t="str">
        <f t="shared" si="564"/>
        <v>402205</v>
      </c>
      <c r="B378" s="684" t="str">
        <f>'Income Eligible Deemed Table'!C451</f>
        <v>402205_2020_02_</v>
      </c>
      <c r="C378" s="1962" t="str">
        <f>'Income Eligible Deemed Table'!G451</f>
        <v>Building Shell RES</v>
      </c>
      <c r="D378" s="1962"/>
      <c r="E378" s="1962"/>
      <c r="F378" s="1962"/>
      <c r="G378" s="1962" t="str">
        <f>'Income Eligible Deemed Table'!E451</f>
        <v>Floor Insulation R25 (R-13 base) MH gas furnace/baseboard and electric cooling</v>
      </c>
      <c r="H378" s="63" t="str">
        <f>'Income Eligible Deemed Table'!D451</f>
        <v>SFIE</v>
      </c>
      <c r="I378" s="2438">
        <f>'Income Eligible Deemed Table'!F451</f>
        <v>0.02</v>
      </c>
      <c r="J378" s="2438">
        <f t="shared" si="560"/>
        <v>0</v>
      </c>
      <c r="K378" s="3600"/>
      <c r="L378" s="3600"/>
      <c r="M378" s="2439"/>
      <c r="N378" s="2439"/>
      <c r="O378" s="2440">
        <f>'Income Eligible Deemed Table'!K451</f>
        <v>9.0000000000000002E-6</v>
      </c>
      <c r="P378" s="2440"/>
      <c r="Q378" s="3601"/>
      <c r="R378" s="3601"/>
      <c r="S378" s="2441"/>
      <c r="T378" s="2441"/>
      <c r="U378" s="1819"/>
      <c r="V378" s="1819"/>
      <c r="W378" s="1819">
        <f t="shared" si="602"/>
        <v>9.0000000000000002E-6</v>
      </c>
      <c r="X378" s="68">
        <f>'Income Eligible Deemed Table'!L451</f>
        <v>25</v>
      </c>
      <c r="Y378" s="68"/>
      <c r="Z378" s="68">
        <f t="shared" si="595"/>
        <v>25</v>
      </c>
      <c r="AA378" s="62">
        <f>'Income Eligible Deemed Table'!BB451</f>
        <v>4.3394587453131246E-2</v>
      </c>
      <c r="AB378" s="839">
        <f>'Income Eligible Deemed Table'!M451</f>
        <v>0.67966666666666664</v>
      </c>
      <c r="AC378" s="3617">
        <f>AE378+AF378</f>
        <v>2.783752204402536E-2</v>
      </c>
      <c r="AD378" s="3617">
        <f>AG378+AH378</f>
        <v>0</v>
      </c>
      <c r="AE378" s="1661">
        <f>'Income Eligible Deemed Table'!BD451</f>
        <v>2.783752204402536E-2</v>
      </c>
      <c r="AF378" s="2453"/>
      <c r="AG378" s="2453"/>
      <c r="AH378" s="2453"/>
      <c r="AI378" s="1917" t="str">
        <f t="shared" si="603"/>
        <v>Units - area of floor (ft2)</v>
      </c>
      <c r="AM378" s="1972"/>
      <c r="AO378" s="1971"/>
    </row>
    <row r="379" spans="1:41" x14ac:dyDescent="0.25">
      <c r="A379" s="103" t="str">
        <f t="shared" si="564"/>
        <v>402250</v>
      </c>
      <c r="B379" s="684" t="str">
        <f>'Income Eligible Deemed Table'!C487</f>
        <v>402250_2019_12_</v>
      </c>
      <c r="C379" s="1962" t="str">
        <f>'Income Eligible Deemed Table'!G487</f>
        <v>HVAC RES</v>
      </c>
      <c r="D379" s="1962"/>
      <c r="E379" s="1962"/>
      <c r="F379" s="1962"/>
      <c r="G379" s="1962" t="str">
        <f>'Income Eligible Deemed Table'!E487</f>
        <v>Dirty Filter Alarm_MFIE</v>
      </c>
      <c r="H379" s="63" t="str">
        <f>'Income Eligible Deemed Table'!D487</f>
        <v>MFIE</v>
      </c>
      <c r="I379" s="2438">
        <f>'Income Eligible Deemed Table'!F487</f>
        <v>102.68</v>
      </c>
      <c r="J379" s="2438">
        <f t="shared" si="560"/>
        <v>0</v>
      </c>
      <c r="K379" s="3600"/>
      <c r="L379" s="3600"/>
      <c r="M379" s="2439"/>
      <c r="N379" s="2439"/>
      <c r="O379" s="2440">
        <f>'Income Eligible Deemed Table'!K487</f>
        <v>4.7856999999999997E-2</v>
      </c>
      <c r="P379" s="2440"/>
      <c r="Q379" s="3601"/>
      <c r="R379" s="3601"/>
      <c r="S379" s="2441"/>
      <c r="T379" s="2441"/>
      <c r="U379" s="1819"/>
      <c r="V379" s="1819"/>
      <c r="W379" s="1819">
        <f t="shared" si="602"/>
        <v>4.7856999999999997E-2</v>
      </c>
      <c r="X379" s="68">
        <f>'Income Eligible Deemed Table'!L487</f>
        <v>14</v>
      </c>
      <c r="Y379" s="68"/>
      <c r="Z379" s="68">
        <f t="shared" si="595"/>
        <v>14</v>
      </c>
      <c r="AA379" s="62">
        <f>'Income Eligible Deemed Table'!BB487</f>
        <v>19.319216314838293</v>
      </c>
      <c r="AB379" s="839">
        <f>'Income Eligible Deemed Table'!M487</f>
        <v>5</v>
      </c>
      <c r="AC379" s="3617">
        <f t="shared" si="600"/>
        <v>91.171384213488864</v>
      </c>
      <c r="AD379" s="3617">
        <f t="shared" si="601"/>
        <v>0</v>
      </c>
      <c r="AE379" s="1661">
        <f>'Income Eligible Deemed Table'!BD487</f>
        <v>91.171384213488864</v>
      </c>
      <c r="AF379" s="2453"/>
      <c r="AG379" s="2453"/>
      <c r="AH379" s="2453"/>
      <c r="AI379" s="684" t="str">
        <f>'Income Eligible Deemed Table'!N487</f>
        <v>per measure</v>
      </c>
      <c r="AJ379" s="1930"/>
      <c r="AK379" s="1930"/>
      <c r="AL379" s="1930"/>
      <c r="AM379" s="1972">
        <f t="shared" ref="AM379:AM410" si="604">VLOOKUP(C379,$AS$10:$AT$33,2,FALSE)</f>
        <v>4.6608050000000002E-4</v>
      </c>
      <c r="AN379" s="1930">
        <f t="shared" si="597"/>
        <v>4.7857145740000002E-2</v>
      </c>
      <c r="AO379" s="1971">
        <f t="shared" si="599"/>
        <v>1.4574000000572296E-7</v>
      </c>
    </row>
    <row r="380" spans="1:41" x14ac:dyDescent="0.25">
      <c r="A380" s="103" t="str">
        <f t="shared" si="564"/>
        <v>402251</v>
      </c>
      <c r="B380" s="684" t="str">
        <f>'Income Eligible Deemed Table'!C488</f>
        <v>402251_2019_12_</v>
      </c>
      <c r="C380" s="1962" t="str">
        <f>'Income Eligible Deemed Table'!G488</f>
        <v>HVAC RES</v>
      </c>
      <c r="D380" s="1962"/>
      <c r="E380" s="1962"/>
      <c r="F380" s="1962"/>
      <c r="G380" s="1962" t="str">
        <f>'Income Eligible Deemed Table'!E488</f>
        <v>Dirty Filter Alarm_MFIE_CompE</v>
      </c>
      <c r="H380" s="63" t="str">
        <f>'Income Eligible Deemed Table'!D488</f>
        <v>MFIEc</v>
      </c>
      <c r="I380" s="2438">
        <f>'Income Eligible Deemed Table'!F488</f>
        <v>49.58</v>
      </c>
      <c r="J380" s="2438">
        <f t="shared" si="560"/>
        <v>0</v>
      </c>
      <c r="K380" s="3600"/>
      <c r="L380" s="3600"/>
      <c r="M380" s="2439"/>
      <c r="N380" s="2439"/>
      <c r="O380" s="2440">
        <f>'Income Eligible Deemed Table'!K488</f>
        <v>2.3108E-2</v>
      </c>
      <c r="P380" s="2440"/>
      <c r="Q380" s="3601"/>
      <c r="R380" s="3601"/>
      <c r="S380" s="2441"/>
      <c r="T380" s="2441"/>
      <c r="U380" s="1819"/>
      <c r="V380" s="1819"/>
      <c r="W380" s="1819">
        <f t="shared" si="602"/>
        <v>2.3108E-2</v>
      </c>
      <c r="X380" s="68">
        <f>'Income Eligible Deemed Table'!L488</f>
        <v>14</v>
      </c>
      <c r="Y380" s="68"/>
      <c r="Z380" s="68">
        <f t="shared" si="595"/>
        <v>14</v>
      </c>
      <c r="AA380" s="62">
        <f>'Income Eligible Deemed Table'!BB488</f>
        <v>9.3284645976790266</v>
      </c>
      <c r="AB380" s="839">
        <f>'Income Eligible Deemed Table'!M488</f>
        <v>5</v>
      </c>
      <c r="AC380" s="3617">
        <f t="shared" si="600"/>
        <v>44.022957044261567</v>
      </c>
      <c r="AD380" s="3617">
        <f t="shared" si="601"/>
        <v>0</v>
      </c>
      <c r="AE380" s="1661">
        <f>'Income Eligible Deemed Table'!BD488</f>
        <v>44.022957044261567</v>
      </c>
      <c r="AF380" s="2453"/>
      <c r="AG380" s="2453"/>
      <c r="AH380" s="2453"/>
      <c r="AI380" s="684" t="str">
        <f>'Income Eligible Deemed Table'!N488</f>
        <v>per measure</v>
      </c>
      <c r="AJ380" s="1930"/>
      <c r="AK380" s="1930"/>
      <c r="AL380" s="1930"/>
      <c r="AM380" s="1972">
        <f t="shared" si="604"/>
        <v>4.6608050000000002E-4</v>
      </c>
      <c r="AN380" s="1930">
        <f t="shared" si="597"/>
        <v>2.3108271190000002E-2</v>
      </c>
      <c r="AO380" s="1971">
        <f t="shared" si="599"/>
        <v>2.7119000000144777E-7</v>
      </c>
    </row>
    <row r="381" spans="1:41" x14ac:dyDescent="0.25">
      <c r="A381" s="103" t="str">
        <f t="shared" si="564"/>
        <v>402300</v>
      </c>
      <c r="B381" s="684" t="str">
        <f>'Income Eligible Deemed Table'!C517</f>
        <v>402300_2019_12_</v>
      </c>
      <c r="C381" s="1962" t="str">
        <f>'Income Eligible Deemed Table'!G517</f>
        <v>HVAC RES</v>
      </c>
      <c r="D381" s="1962"/>
      <c r="E381" s="1962"/>
      <c r="F381" s="1962"/>
      <c r="G381" s="1962" t="str">
        <f>'Income Eligible Deemed Table'!E517</f>
        <v>Duct Insulation - Electric Heating</v>
      </c>
      <c r="H381" s="63" t="str">
        <f>'Income Eligible Deemed Table'!D517</f>
        <v>SFIE</v>
      </c>
      <c r="I381" s="2438">
        <f>'Income Eligible Deemed Table'!F517</f>
        <v>29.13</v>
      </c>
      <c r="J381" s="2438">
        <f t="shared" si="560"/>
        <v>0</v>
      </c>
      <c r="K381" s="3600"/>
      <c r="L381" s="3600"/>
      <c r="M381" s="2439"/>
      <c r="N381" s="2439"/>
      <c r="O381" s="2440">
        <f>'Income Eligible Deemed Table'!L517</f>
        <v>1.3577000000000001E-2</v>
      </c>
      <c r="P381" s="2440"/>
      <c r="Q381" s="3601"/>
      <c r="R381" s="3601"/>
      <c r="S381" s="2441"/>
      <c r="T381" s="2441"/>
      <c r="U381" s="1819"/>
      <c r="V381" s="1819"/>
      <c r="W381" s="1819">
        <f t="shared" ref="W381:W390" si="605">O381</f>
        <v>1.3577000000000001E-2</v>
      </c>
      <c r="X381" s="68">
        <f>'Income Eligible Deemed Table'!M517</f>
        <v>20</v>
      </c>
      <c r="Y381" s="68"/>
      <c r="Z381" s="68">
        <f t="shared" si="595"/>
        <v>20</v>
      </c>
      <c r="AA381" s="62">
        <f>'Income Eligible Deemed Table'!BB517</f>
        <v>8.704896824384484</v>
      </c>
      <c r="AB381" s="839">
        <f>'Income Eligible Deemed Table'!N517</f>
        <v>4.2205065958870298</v>
      </c>
      <c r="AC381" s="3617">
        <f t="shared" si="600"/>
        <v>34.675860749250376</v>
      </c>
      <c r="AD381" s="3617">
        <f t="shared" si="601"/>
        <v>0</v>
      </c>
      <c r="AE381" s="1661">
        <f>'Income Eligible Deemed Table'!BD517</f>
        <v>34.675860749250376</v>
      </c>
      <c r="AF381" s="2453"/>
      <c r="AG381" s="2453"/>
      <c r="AH381" s="2453"/>
      <c r="AI381" s="684" t="str">
        <f>'Income Eligible Deemed Table'!O516</f>
        <v>Units - DuctLength (ft.)</v>
      </c>
      <c r="AJ381" s="1930"/>
      <c r="AK381" s="1930"/>
      <c r="AL381" s="1930"/>
      <c r="AM381" s="1972">
        <f t="shared" si="604"/>
        <v>4.6608050000000002E-4</v>
      </c>
      <c r="AN381" s="1930">
        <f t="shared" si="597"/>
        <v>1.3576924965000001E-2</v>
      </c>
      <c r="AO381" s="1971">
        <f t="shared" si="599"/>
        <v>-7.5034999999848417E-8</v>
      </c>
    </row>
    <row r="382" spans="1:41" x14ac:dyDescent="0.25">
      <c r="A382" s="103" t="str">
        <f t="shared" si="564"/>
        <v>402350</v>
      </c>
      <c r="B382" s="684" t="str">
        <f>'Income Eligible Deemed Table'!C518</f>
        <v>402350_2019_12_</v>
      </c>
      <c r="C382" s="1962" t="str">
        <f>'Income Eligible Deemed Table'!G518</f>
        <v>HVAC RES</v>
      </c>
      <c r="D382" s="1962"/>
      <c r="E382" s="1962"/>
      <c r="F382" s="1962"/>
      <c r="G382" s="1962" t="str">
        <f>'Income Eligible Deemed Table'!E518</f>
        <v>Mobile Home Adjusted Duct Insulation - Electric Heating </v>
      </c>
      <c r="H382" s="63" t="str">
        <f>'Income Eligible Deemed Table'!D518</f>
        <v>SFIE</v>
      </c>
      <c r="I382" s="2438">
        <f>'Income Eligible Deemed Table'!F518</f>
        <v>29.13</v>
      </c>
      <c r="J382" s="2438">
        <f t="shared" si="560"/>
        <v>0</v>
      </c>
      <c r="K382" s="3600"/>
      <c r="L382" s="3600"/>
      <c r="M382" s="2439"/>
      <c r="N382" s="2439"/>
      <c r="O382" s="2440">
        <f>'Income Eligible Deemed Table'!L518</f>
        <v>1.3577000000000001E-2</v>
      </c>
      <c r="P382" s="2440"/>
      <c r="Q382" s="3601"/>
      <c r="R382" s="3601"/>
      <c r="S382" s="2441"/>
      <c r="T382" s="2441"/>
      <c r="U382" s="1819"/>
      <c r="V382" s="1819"/>
      <c r="W382" s="1819">
        <f t="shared" si="605"/>
        <v>1.3577000000000001E-2</v>
      </c>
      <c r="X382" s="68">
        <f>'Income Eligible Deemed Table'!M518</f>
        <v>20</v>
      </c>
      <c r="Y382" s="68"/>
      <c r="Z382" s="68">
        <f t="shared" si="595"/>
        <v>20</v>
      </c>
      <c r="AA382" s="62">
        <f>'Income Eligible Deemed Table'!BB518</f>
        <v>8.704896824384484</v>
      </c>
      <c r="AB382" s="839">
        <f>'Income Eligible Deemed Table'!N518</f>
        <v>4.2205065958870298</v>
      </c>
      <c r="AC382" s="3617">
        <f t="shared" si="600"/>
        <v>34.675860749250376</v>
      </c>
      <c r="AD382" s="3617">
        <f t="shared" si="601"/>
        <v>0</v>
      </c>
      <c r="AE382" s="1661">
        <f>'Income Eligible Deemed Table'!BD518</f>
        <v>34.675860749250376</v>
      </c>
      <c r="AF382" s="2453"/>
      <c r="AG382" s="2453"/>
      <c r="AH382" s="2453"/>
      <c r="AI382" s="3625" t="str">
        <f>AI381</f>
        <v>Units - DuctLength (ft.)</v>
      </c>
      <c r="AJ382" s="1930"/>
      <c r="AK382" s="1930"/>
      <c r="AL382" s="1930"/>
      <c r="AM382" s="1972">
        <f t="shared" si="604"/>
        <v>4.6608050000000002E-4</v>
      </c>
      <c r="AN382" s="1930">
        <f t="shared" si="597"/>
        <v>1.3576924965000001E-2</v>
      </c>
      <c r="AO382" s="1971">
        <f t="shared" si="599"/>
        <v>-7.5034999999848417E-8</v>
      </c>
    </row>
    <row r="383" spans="1:41" x14ac:dyDescent="0.25">
      <c r="A383" s="103" t="str">
        <f t="shared" si="564"/>
        <v>402400</v>
      </c>
      <c r="B383" s="684" t="str">
        <f>'Income Eligible Deemed Table'!C519</f>
        <v>402400_2019_12_</v>
      </c>
      <c r="C383" s="1962" t="str">
        <f>'Income Eligible Deemed Table'!G519</f>
        <v>HVAC RES</v>
      </c>
      <c r="D383" s="1962"/>
      <c r="E383" s="1962"/>
      <c r="F383" s="1962"/>
      <c r="G383" s="1962" t="str">
        <f>'Income Eligible Deemed Table'!E519</f>
        <v>Duct Insulation - Gas Heating</v>
      </c>
      <c r="H383" s="63" t="str">
        <f>'Income Eligible Deemed Table'!D519</f>
        <v>SFIE</v>
      </c>
      <c r="I383" s="2438">
        <f>'Income Eligible Deemed Table'!F519</f>
        <v>2.69</v>
      </c>
      <c r="J383" s="2438">
        <f t="shared" si="560"/>
        <v>0</v>
      </c>
      <c r="K383" s="3600"/>
      <c r="L383" s="3600"/>
      <c r="M383" s="2439"/>
      <c r="N383" s="2439"/>
      <c r="O383" s="2440">
        <f>'Income Eligible Deemed Table'!L519</f>
        <v>1.2539999999999999E-3</v>
      </c>
      <c r="P383" s="2440"/>
      <c r="Q383" s="3601"/>
      <c r="R383" s="3601"/>
      <c r="S383" s="2441"/>
      <c r="T383" s="2441"/>
      <c r="U383" s="1819"/>
      <c r="V383" s="1819"/>
      <c r="W383" s="1819">
        <f t="shared" si="605"/>
        <v>1.2539999999999999E-3</v>
      </c>
      <c r="X383" s="68">
        <f>'Income Eligible Deemed Table'!M519</f>
        <v>20</v>
      </c>
      <c r="Y383" s="68"/>
      <c r="Z383" s="68">
        <f t="shared" si="595"/>
        <v>20</v>
      </c>
      <c r="AA383" s="62">
        <f>'Income Eligible Deemed Table'!BB519</f>
        <v>0.80385075377941162</v>
      </c>
      <c r="AB383" s="839">
        <f>'Income Eligible Deemed Table'!N519</f>
        <v>4.2205065958870298</v>
      </c>
      <c r="AC383" s="3617">
        <f t="shared" si="600"/>
        <v>3.2021306356156369</v>
      </c>
      <c r="AD383" s="3617">
        <f t="shared" si="601"/>
        <v>0</v>
      </c>
      <c r="AE383" s="1661">
        <f>'Income Eligible Deemed Table'!BD519</f>
        <v>3.2021306356156369</v>
      </c>
      <c r="AF383" s="2453"/>
      <c r="AG383" s="2453"/>
      <c r="AH383" s="2453"/>
      <c r="AI383" s="3625" t="str">
        <f>AI382</f>
        <v>Units - DuctLength (ft.)</v>
      </c>
      <c r="AJ383" s="1930"/>
      <c r="AK383" s="1930"/>
      <c r="AL383" s="1930"/>
      <c r="AM383" s="1972">
        <f t="shared" si="604"/>
        <v>4.6608050000000002E-4</v>
      </c>
      <c r="AN383" s="1930">
        <f t="shared" si="597"/>
        <v>1.253756545E-3</v>
      </c>
      <c r="AO383" s="1971">
        <f t="shared" si="599"/>
        <v>-2.4345499999994802E-7</v>
      </c>
    </row>
    <row r="384" spans="1:41" x14ac:dyDescent="0.25">
      <c r="A384" s="103" t="str">
        <f t="shared" si="564"/>
        <v>402450</v>
      </c>
      <c r="B384" s="684" t="str">
        <f>'Income Eligible Deemed Table'!C558</f>
        <v>402450_2019_12_</v>
      </c>
      <c r="C384" s="1962" t="str">
        <f>'Income Eligible Deemed Table'!G558</f>
        <v>HVAC RES</v>
      </c>
      <c r="D384" s="1962"/>
      <c r="E384" s="1962"/>
      <c r="F384" s="1962"/>
      <c r="G384" s="1962" t="str">
        <f>'Income Eligible Deemed Table'!E558</f>
        <v>Duct Repair (Sealing) - Electric Heating SF</v>
      </c>
      <c r="H384" s="63" t="str">
        <f>'Income Eligible Deemed Table'!D558</f>
        <v>SFIE</v>
      </c>
      <c r="I384" s="2438">
        <f>'Income Eligible Deemed Table'!F558</f>
        <v>4.92</v>
      </c>
      <c r="J384" s="2438">
        <f t="shared" si="560"/>
        <v>0</v>
      </c>
      <c r="K384" s="3600"/>
      <c r="L384" s="3600"/>
      <c r="M384" s="2439"/>
      <c r="N384" s="2439"/>
      <c r="O384" s="2440">
        <f>'Income Eligible Deemed Table'!K558</f>
        <v>2.2929999999999999E-3</v>
      </c>
      <c r="P384" s="2440"/>
      <c r="Q384" s="3601"/>
      <c r="R384" s="3601"/>
      <c r="S384" s="2441"/>
      <c r="T384" s="2441"/>
      <c r="U384" s="1819"/>
      <c r="V384" s="1819"/>
      <c r="W384" s="1819">
        <f t="shared" si="605"/>
        <v>2.2929999999999999E-3</v>
      </c>
      <c r="X384" s="68">
        <f>'Income Eligible Deemed Table'!L558</f>
        <v>20</v>
      </c>
      <c r="Y384" s="68"/>
      <c r="Z384" s="68">
        <f t="shared" si="595"/>
        <v>20</v>
      </c>
      <c r="AA384" s="62">
        <f>'Income Eligible Deemed Table'!BB558</f>
        <v>0.77200997302022389</v>
      </c>
      <c r="AB384" s="839">
        <f>'Income Eligible Deemed Table'!M558</f>
        <v>8.0376653213977498</v>
      </c>
      <c r="AC384" s="3617">
        <f t="shared" si="600"/>
        <v>5.8566850287096415</v>
      </c>
      <c r="AD384" s="3617">
        <f t="shared" si="601"/>
        <v>0</v>
      </c>
      <c r="AE384" s="1661">
        <f>'Income Eligible Deemed Table'!BD558</f>
        <v>5.8566850287096415</v>
      </c>
      <c r="AF384" s="2453"/>
      <c r="AG384" s="2453"/>
      <c r="AH384" s="2453"/>
      <c r="AI384" s="684" t="str">
        <f>'Income Eligible Deemed Table'!N557</f>
        <v>Units - DuctLength (ft.)</v>
      </c>
      <c r="AJ384" s="1930"/>
      <c r="AK384" s="1930"/>
      <c r="AL384" s="1930"/>
      <c r="AM384" s="1972">
        <f t="shared" si="604"/>
        <v>4.6608050000000002E-4</v>
      </c>
      <c r="AN384" s="1930">
        <f t="shared" si="597"/>
        <v>2.2931160600000002E-3</v>
      </c>
      <c r="AO384" s="1971">
        <f t="shared" si="599"/>
        <v>1.1606000000028566E-7</v>
      </c>
    </row>
    <row r="385" spans="1:41" x14ac:dyDescent="0.25">
      <c r="A385" s="103" t="str">
        <f t="shared" si="564"/>
        <v>402451</v>
      </c>
      <c r="B385" s="1960" t="str">
        <f>'Income Eligible Deemed Table'!C559</f>
        <v>402451_2021_12_</v>
      </c>
      <c r="C385" s="1962" t="str">
        <f>'Income Eligible Deemed Table'!G559</f>
        <v>HVAC RES</v>
      </c>
      <c r="D385" s="1962"/>
      <c r="E385" s="1962"/>
      <c r="F385" s="1962"/>
      <c r="G385" s="1962" t="str">
        <f>'Income Eligible Deemed Table'!E559</f>
        <v>Duct Repair (Sealing) - Gas Heating SF</v>
      </c>
      <c r="H385" s="63" t="str">
        <f>'Income Eligible Deemed Table'!D559</f>
        <v>SFIE</v>
      </c>
      <c r="I385" s="2438">
        <f>'Income Eligible Deemed Table'!F559</f>
        <v>1</v>
      </c>
      <c r="J385" s="2438">
        <f t="shared" si="560"/>
        <v>0</v>
      </c>
      <c r="K385" s="3600"/>
      <c r="L385" s="3600"/>
      <c r="M385" s="2439"/>
      <c r="N385" s="2439"/>
      <c r="O385" s="2440">
        <f>'Income Eligible Deemed Table'!K559</f>
        <v>4.66E-4</v>
      </c>
      <c r="P385" s="2440"/>
      <c r="Q385" s="3601"/>
      <c r="R385" s="3601"/>
      <c r="S385" s="2441"/>
      <c r="T385" s="2441"/>
      <c r="U385" s="1819"/>
      <c r="V385" s="1819"/>
      <c r="W385" s="1819">
        <f t="shared" si="605"/>
        <v>4.66E-4</v>
      </c>
      <c r="X385" s="68">
        <f>'Income Eligible Deemed Table'!L559</f>
        <v>20</v>
      </c>
      <c r="Y385" s="68"/>
      <c r="Z385" s="68">
        <f t="shared" ref="Z385:Z396" si="606">Y385+X385</f>
        <v>20</v>
      </c>
      <c r="AA385" s="62">
        <f>'Income Eligible Deemed Table'!BB559</f>
        <v>0.15691259614232192</v>
      </c>
      <c r="AB385" s="839">
        <f>'Income Eligible Deemed Table'!M559</f>
        <v>8.0376653213977498</v>
      </c>
      <c r="AC385" s="3617">
        <f t="shared" si="600"/>
        <v>1.1903831359165937</v>
      </c>
      <c r="AD385" s="3617">
        <f t="shared" si="601"/>
        <v>0</v>
      </c>
      <c r="AE385" s="1661">
        <f>'Income Eligible Deemed Table'!BD559</f>
        <v>1.1903831359165937</v>
      </c>
      <c r="AF385" s="2453"/>
      <c r="AG385" s="2453"/>
      <c r="AH385" s="2453"/>
      <c r="AI385" s="1917" t="str">
        <f t="shared" ref="AI385:AI389" si="607">AI384</f>
        <v>Units - DuctLength (ft.)</v>
      </c>
      <c r="AJ385" s="1930"/>
      <c r="AK385" s="1930"/>
      <c r="AL385" s="1930"/>
      <c r="AM385" s="1972">
        <f t="shared" si="604"/>
        <v>4.6608050000000002E-4</v>
      </c>
      <c r="AN385" s="1930">
        <f t="shared" si="597"/>
        <v>4.6608050000000002E-4</v>
      </c>
      <c r="AO385" s="1971">
        <f t="shared" si="599"/>
        <v>8.0500000000020659E-8</v>
      </c>
    </row>
    <row r="386" spans="1:41" s="100" customFormat="1" x14ac:dyDescent="0.25">
      <c r="A386" s="103" t="str">
        <f t="shared" si="564"/>
        <v>402452</v>
      </c>
      <c r="B386" s="684" t="str">
        <f>'Income Eligible Deemed Table'!C560</f>
        <v>402452_2020_12_</v>
      </c>
      <c r="C386" s="1962" t="str">
        <f>'Income Eligible Deemed Table'!G560</f>
        <v>HVAC RES</v>
      </c>
      <c r="D386" s="1962"/>
      <c r="E386" s="1962"/>
      <c r="F386" s="1962"/>
      <c r="G386" s="1962" t="str">
        <f>'Income Eligible Deemed Table'!E560</f>
        <v>Duct Repair (Sealing) - Electric Heating MF Adjusted</v>
      </c>
      <c r="H386" s="63" t="str">
        <f>'Income Eligible Deemed Table'!D560</f>
        <v>MFIE</v>
      </c>
      <c r="I386" s="2438">
        <f>'Income Eligible Deemed Table'!F560</f>
        <v>4.1100000000000003</v>
      </c>
      <c r="J386" s="2438">
        <f t="shared" ref="J386:J387" si="608">M386+N386</f>
        <v>0</v>
      </c>
      <c r="K386" s="3600"/>
      <c r="L386" s="3600"/>
      <c r="M386" s="2439"/>
      <c r="N386" s="2439"/>
      <c r="O386" s="2440">
        <f>'Income Eligible Deemed Table'!K560</f>
        <v>1.916E-3</v>
      </c>
      <c r="P386" s="2440"/>
      <c r="Q386" s="3601"/>
      <c r="R386" s="3601"/>
      <c r="S386" s="2441"/>
      <c r="T386" s="2441"/>
      <c r="U386" s="1926"/>
      <c r="V386" s="1926"/>
      <c r="W386" s="1926">
        <f t="shared" ref="W386:W387" si="609">O386</f>
        <v>1.916E-3</v>
      </c>
      <c r="X386" s="68">
        <f>'Income Eligible Deemed Table'!L560</f>
        <v>20</v>
      </c>
      <c r="Y386" s="68"/>
      <c r="Z386" s="68">
        <f t="shared" ref="Z386:Z387" si="610">Y386+X386</f>
        <v>20</v>
      </c>
      <c r="AA386" s="62">
        <f>'Income Eligible Deemed Table'!BB560</f>
        <v>0.64491077014494314</v>
      </c>
      <c r="AB386" s="839">
        <f>'Income Eligible Deemed Table'!M560</f>
        <v>8.0376653213977498</v>
      </c>
      <c r="AC386" s="3617">
        <f t="shared" ref="AC386:AC387" si="611">AE386+AF386</f>
        <v>4.8924746886172006</v>
      </c>
      <c r="AD386" s="3617">
        <f t="shared" ref="AD386:AD387" si="612">AG386+AH386</f>
        <v>0</v>
      </c>
      <c r="AE386" s="1661">
        <f>'Income Eligible Deemed Table'!BD560</f>
        <v>4.8924746886172006</v>
      </c>
      <c r="AF386" s="2453"/>
      <c r="AG386" s="2453"/>
      <c r="AH386" s="2453"/>
      <c r="AI386" s="1917" t="str">
        <f t="shared" si="607"/>
        <v>Units - DuctLength (ft.)</v>
      </c>
      <c r="AM386" s="2433">
        <f t="shared" si="604"/>
        <v>4.6608050000000002E-4</v>
      </c>
      <c r="AN386" s="100">
        <f t="shared" ref="AN386:AN387" si="613">AM386*I386</f>
        <v>1.9155908550000003E-3</v>
      </c>
      <c r="AO386" s="2437">
        <f t="shared" ref="AO386:AO387" si="614">AN386-O386</f>
        <v>-4.0914499999968046E-7</v>
      </c>
    </row>
    <row r="387" spans="1:41" s="100" customFormat="1" x14ac:dyDescent="0.25">
      <c r="A387" s="103" t="str">
        <f t="shared" si="564"/>
        <v>402453</v>
      </c>
      <c r="B387" s="1960" t="str">
        <f>'Income Eligible Deemed Table'!C561</f>
        <v>402453_2021_12_</v>
      </c>
      <c r="C387" s="1962" t="str">
        <f>'Income Eligible Deemed Table'!G561</f>
        <v>HVAC RES</v>
      </c>
      <c r="D387" s="1962"/>
      <c r="E387" s="1962"/>
      <c r="F387" s="1962"/>
      <c r="G387" s="1962" t="str">
        <f>'Income Eligible Deemed Table'!E561</f>
        <v>Duct Repair (Sealing) - Gas Heating  MF Adjusted</v>
      </c>
      <c r="H387" s="63" t="str">
        <f>'Income Eligible Deemed Table'!D561</f>
        <v>MFIE</v>
      </c>
      <c r="I387" s="2438">
        <f>'Income Eligible Deemed Table'!F561</f>
        <v>0.87</v>
      </c>
      <c r="J387" s="2438">
        <f t="shared" si="608"/>
        <v>0</v>
      </c>
      <c r="K387" s="3600"/>
      <c r="L387" s="3600"/>
      <c r="M387" s="2439"/>
      <c r="N387" s="2439"/>
      <c r="O387" s="2440">
        <f>'Income Eligible Deemed Table'!K561</f>
        <v>4.0499999999999998E-4</v>
      </c>
      <c r="P387" s="2440"/>
      <c r="Q387" s="3601"/>
      <c r="R387" s="3601"/>
      <c r="S387" s="2441"/>
      <c r="T387" s="2441"/>
      <c r="U387" s="1926"/>
      <c r="V387" s="1926"/>
      <c r="W387" s="1926">
        <f t="shared" si="609"/>
        <v>4.0499999999999998E-4</v>
      </c>
      <c r="X387" s="68">
        <f>'Income Eligible Deemed Table'!L561</f>
        <v>20</v>
      </c>
      <c r="Y387" s="68"/>
      <c r="Z387" s="68">
        <f t="shared" si="610"/>
        <v>20</v>
      </c>
      <c r="AA387" s="62">
        <f>'Income Eligible Deemed Table'!BB561</f>
        <v>0.13651395864382007</v>
      </c>
      <c r="AB387" s="839">
        <f>'Income Eligible Deemed Table'!M561</f>
        <v>8.0376653213977498</v>
      </c>
      <c r="AC387" s="3617">
        <f t="shared" si="611"/>
        <v>1.0356333282474366</v>
      </c>
      <c r="AD387" s="3617">
        <f t="shared" si="612"/>
        <v>0</v>
      </c>
      <c r="AE387" s="1661">
        <f>'Income Eligible Deemed Table'!BD561</f>
        <v>1.0356333282474366</v>
      </c>
      <c r="AF387" s="2453"/>
      <c r="AG387" s="2453"/>
      <c r="AH387" s="2453"/>
      <c r="AI387" s="1917" t="str">
        <f t="shared" si="607"/>
        <v>Units - DuctLength (ft.)</v>
      </c>
      <c r="AM387" s="2433">
        <f t="shared" si="604"/>
        <v>4.6608050000000002E-4</v>
      </c>
      <c r="AN387" s="100">
        <f t="shared" si="613"/>
        <v>4.0549003500000002E-4</v>
      </c>
      <c r="AO387" s="2437">
        <f t="shared" si="614"/>
        <v>4.9003500000004011E-7</v>
      </c>
    </row>
    <row r="388" spans="1:41" x14ac:dyDescent="0.25">
      <c r="A388" s="103" t="str">
        <f t="shared" si="564"/>
        <v>402500</v>
      </c>
      <c r="B388" s="684" t="str">
        <f>'Income Eligible Deemed Table'!C562</f>
        <v>402500_2019_12_</v>
      </c>
      <c r="C388" s="1962" t="str">
        <f>'Income Eligible Deemed Table'!G562</f>
        <v>HVAC RES</v>
      </c>
      <c r="D388" s="1962"/>
      <c r="E388" s="1962"/>
      <c r="F388" s="1962"/>
      <c r="G388" s="1962" t="str">
        <f>'Income Eligible Deemed Table'!E562</f>
        <v>Duct Repair (Sealing) - Electric Heating MH Adjusted</v>
      </c>
      <c r="H388" s="63" t="str">
        <f>'Income Eligible Deemed Table'!D562</f>
        <v>SFIE</v>
      </c>
      <c r="I388" s="2438">
        <f>'Income Eligible Deemed Table'!F562</f>
        <v>6.01</v>
      </c>
      <c r="J388" s="2438">
        <f t="shared" si="560"/>
        <v>0</v>
      </c>
      <c r="K388" s="3600"/>
      <c r="L388" s="3600"/>
      <c r="M388" s="2439"/>
      <c r="N388" s="2439"/>
      <c r="O388" s="2440">
        <f>'Income Eligible Deemed Table'!K562</f>
        <v>2.8010000000000001E-3</v>
      </c>
      <c r="P388" s="2440"/>
      <c r="Q388" s="3601"/>
      <c r="R388" s="3601"/>
      <c r="S388" s="2441"/>
      <c r="T388" s="2441"/>
      <c r="U388" s="1819"/>
      <c r="V388" s="1819"/>
      <c r="W388" s="1819">
        <f t="shared" si="605"/>
        <v>2.8010000000000001E-3</v>
      </c>
      <c r="X388" s="68">
        <f>'Income Eligible Deemed Table'!L562</f>
        <v>20</v>
      </c>
      <c r="Y388" s="68"/>
      <c r="Z388" s="68">
        <f t="shared" si="606"/>
        <v>20</v>
      </c>
      <c r="AA388" s="62">
        <f>'Income Eligible Deemed Table'!BB562</f>
        <v>0.94304470281535469</v>
      </c>
      <c r="AB388" s="839">
        <f>'Income Eligible Deemed Table'!M562</f>
        <v>8.0376653213977498</v>
      </c>
      <c r="AC388" s="3617">
        <f t="shared" si="600"/>
        <v>7.1542026468587281</v>
      </c>
      <c r="AD388" s="3617">
        <f t="shared" si="601"/>
        <v>0</v>
      </c>
      <c r="AE388" s="1661">
        <f>'Income Eligible Deemed Table'!BD562</f>
        <v>7.1542026468587281</v>
      </c>
      <c r="AF388" s="2453"/>
      <c r="AG388" s="2453"/>
      <c r="AH388" s="2453"/>
      <c r="AI388" s="1917" t="str">
        <f>AI385</f>
        <v>Units - DuctLength (ft.)</v>
      </c>
      <c r="AJ388" s="1930"/>
      <c r="AK388" s="1930"/>
      <c r="AL388" s="1930"/>
      <c r="AM388" s="1972">
        <f t="shared" si="604"/>
        <v>4.6608050000000002E-4</v>
      </c>
      <c r="AN388" s="1930">
        <f t="shared" si="597"/>
        <v>2.8011438050000001E-3</v>
      </c>
      <c r="AO388" s="1971">
        <f t="shared" si="599"/>
        <v>1.4380500000001073E-7</v>
      </c>
    </row>
    <row r="389" spans="1:41" x14ac:dyDescent="0.25">
      <c r="A389" s="103" t="str">
        <f t="shared" si="564"/>
        <v>402501</v>
      </c>
      <c r="B389" s="1960" t="str">
        <f>'Income Eligible Deemed Table'!C563</f>
        <v>402501_2021_12_</v>
      </c>
      <c r="C389" s="1962" t="str">
        <f>'Income Eligible Deemed Table'!G563</f>
        <v>HVAC RES</v>
      </c>
      <c r="D389" s="1962"/>
      <c r="E389" s="1962"/>
      <c r="F389" s="1962"/>
      <c r="G389" s="1962" t="str">
        <f>'Income Eligible Deemed Table'!E563</f>
        <v>Duct Repair (Sealing) - Gas Heating  MH Adjusted</v>
      </c>
      <c r="H389" s="63" t="str">
        <f>'Income Eligible Deemed Table'!D563</f>
        <v>SFIE</v>
      </c>
      <c r="I389" s="2438">
        <f>'Income Eligible Deemed Table'!F563</f>
        <v>1.19</v>
      </c>
      <c r="J389" s="2438">
        <f t="shared" si="560"/>
        <v>0</v>
      </c>
      <c r="K389" s="3600"/>
      <c r="L389" s="3600"/>
      <c r="M389" s="2439"/>
      <c r="N389" s="2439"/>
      <c r="O389" s="2440">
        <f>'Income Eligible Deemed Table'!K563</f>
        <v>5.5500000000000005E-4</v>
      </c>
      <c r="P389" s="2440"/>
      <c r="Q389" s="3601"/>
      <c r="R389" s="3601"/>
      <c r="S389" s="2441"/>
      <c r="T389" s="2441"/>
      <c r="U389" s="1819"/>
      <c r="V389" s="1819"/>
      <c r="W389" s="1819">
        <f t="shared" si="605"/>
        <v>5.5500000000000005E-4</v>
      </c>
      <c r="X389" s="68">
        <f>'Income Eligible Deemed Table'!L563</f>
        <v>20</v>
      </c>
      <c r="Y389" s="68"/>
      <c r="Z389" s="68">
        <f t="shared" si="606"/>
        <v>20</v>
      </c>
      <c r="AA389" s="62">
        <f>'Income Eligible Deemed Table'!BB563</f>
        <v>0.18672598940936308</v>
      </c>
      <c r="AB389" s="839">
        <f>'Income Eligible Deemed Table'!M563</f>
        <v>8.0376653213977498</v>
      </c>
      <c r="AC389" s="3617">
        <f t="shared" si="600"/>
        <v>1.4165559317407466</v>
      </c>
      <c r="AD389" s="3617">
        <f t="shared" si="601"/>
        <v>0</v>
      </c>
      <c r="AE389" s="1661">
        <f>'Income Eligible Deemed Table'!BD563</f>
        <v>1.4165559317407466</v>
      </c>
      <c r="AF389" s="2453"/>
      <c r="AG389" s="2453"/>
      <c r="AH389" s="2453"/>
      <c r="AI389" s="1917" t="str">
        <f t="shared" si="607"/>
        <v>Units - DuctLength (ft.)</v>
      </c>
      <c r="AJ389" s="1930"/>
      <c r="AK389" s="1930"/>
      <c r="AL389" s="1930"/>
      <c r="AM389" s="1972">
        <f t="shared" si="604"/>
        <v>4.6608050000000002E-4</v>
      </c>
      <c r="AN389" s="1930">
        <f t="shared" si="597"/>
        <v>5.5463579500000001E-4</v>
      </c>
      <c r="AO389" s="1971">
        <f t="shared" si="599"/>
        <v>-3.6420500000003322E-7</v>
      </c>
    </row>
    <row r="390" spans="1:41" x14ac:dyDescent="0.25">
      <c r="A390" s="103" t="str">
        <f t="shared" si="564"/>
        <v>402550</v>
      </c>
      <c r="B390" s="1960" t="str">
        <f>'Income Eligible Deemed Table'!C597</f>
        <v>402550_2021_12_</v>
      </c>
      <c r="C390" s="1962" t="str">
        <f>'Income Eligible Deemed Table'!G597</f>
        <v>HVAC RES</v>
      </c>
      <c r="D390" s="1962"/>
      <c r="E390" s="1962"/>
      <c r="F390" s="1962"/>
      <c r="G390" s="1962" t="str">
        <f>'Income Eligible Deemed Table'!E597</f>
        <v>ECM Auto Fan EUL Replacement -SF</v>
      </c>
      <c r="H390" s="63" t="str">
        <f>'Income Eligible Deemed Table'!D597</f>
        <v>SFIE</v>
      </c>
      <c r="I390" s="2438">
        <f>'Income Eligible Deemed Table'!F597</f>
        <v>0</v>
      </c>
      <c r="J390" s="2438"/>
      <c r="K390" s="3600"/>
      <c r="L390" s="3600"/>
      <c r="M390" s="2439"/>
      <c r="N390" s="2439"/>
      <c r="O390" s="2440">
        <f>'Income Eligible Deemed Table'!M597</f>
        <v>0</v>
      </c>
      <c r="P390" s="2440"/>
      <c r="Q390" s="3601"/>
      <c r="R390" s="3601"/>
      <c r="S390" s="2441"/>
      <c r="T390" s="2441"/>
      <c r="U390" s="1819"/>
      <c r="V390" s="1819"/>
      <c r="W390" s="1819">
        <f t="shared" si="605"/>
        <v>0</v>
      </c>
      <c r="X390" s="68">
        <f>'Income Eligible Deemed Table'!N597</f>
        <v>20</v>
      </c>
      <c r="Y390" s="68"/>
      <c r="Z390" s="68">
        <f t="shared" si="606"/>
        <v>20</v>
      </c>
      <c r="AA390" s="62">
        <f>'Income Eligible Deemed Table'!BB597</f>
        <v>0</v>
      </c>
      <c r="AB390" s="839">
        <f>'Income Eligible Deemed Table'!O597</f>
        <v>74.327224020150311</v>
      </c>
      <c r="AC390" s="3617">
        <f t="shared" si="600"/>
        <v>0</v>
      </c>
      <c r="AD390" s="3617">
        <f t="shared" si="601"/>
        <v>0</v>
      </c>
      <c r="AE390" s="1661">
        <f>'Income Eligible Deemed Table'!BD597</f>
        <v>0</v>
      </c>
      <c r="AF390" s="2453"/>
      <c r="AG390" s="2453"/>
      <c r="AH390" s="2453"/>
      <c r="AI390" s="3627" t="str">
        <f>'Income Eligible Deemed Table'!P597</f>
        <v>per measure</v>
      </c>
      <c r="AJ390" s="1930"/>
      <c r="AK390" s="1930"/>
      <c r="AL390" s="1930"/>
      <c r="AM390" s="1972">
        <f t="shared" si="604"/>
        <v>4.6608050000000002E-4</v>
      </c>
      <c r="AN390" s="1930">
        <f t="shared" si="597"/>
        <v>0</v>
      </c>
      <c r="AO390" s="1971">
        <f t="shared" si="599"/>
        <v>0</v>
      </c>
    </row>
    <row r="391" spans="1:41" x14ac:dyDescent="0.25">
      <c r="A391" s="103" t="str">
        <f t="shared" si="564"/>
        <v>402600</v>
      </c>
      <c r="B391" s="1960" t="str">
        <f>'Income Eligible Deemed Table'!C598</f>
        <v>402600_2021_12_</v>
      </c>
      <c r="C391" s="1962" t="str">
        <f>'Income Eligible Deemed Table'!G598</f>
        <v>HVAC RES</v>
      </c>
      <c r="D391" s="1962" t="str">
        <f>'Income Eligible Deemed Table'!G599</f>
        <v>HVAC RES ER2</v>
      </c>
      <c r="E391" s="1962"/>
      <c r="F391" s="1962"/>
      <c r="G391" s="1962" t="str">
        <f>'Income Eligible Deemed Table'!E598</f>
        <v>ECM Auto Fan Early Replacement ER1 (Full Cost) - SF</v>
      </c>
      <c r="H391" s="63" t="str">
        <f>'Income Eligible Deemed Table'!D598</f>
        <v>SFIE</v>
      </c>
      <c r="I391" s="2438">
        <f>'Income Eligible Deemed Table'!F598</f>
        <v>582</v>
      </c>
      <c r="J391" s="2438">
        <f>'Income Eligible Deemed Table'!F599</f>
        <v>0</v>
      </c>
      <c r="K391" s="3600"/>
      <c r="L391" s="3600"/>
      <c r="M391" s="2439"/>
      <c r="N391" s="2439"/>
      <c r="O391" s="2440">
        <f>'Income Eligible Deemed Table'!M598</f>
        <v>0.27125899999999997</v>
      </c>
      <c r="P391" s="2440">
        <f>'Income Eligible Deemed Table'!M599</f>
        <v>0</v>
      </c>
      <c r="Q391" s="3601"/>
      <c r="R391" s="3601"/>
      <c r="S391" s="2441"/>
      <c r="T391" s="2441"/>
      <c r="U391" s="1819"/>
      <c r="V391" s="1819"/>
      <c r="W391" s="1819">
        <f t="shared" ref="W391:W397" si="615">O391</f>
        <v>0.27125899999999997</v>
      </c>
      <c r="X391" s="68">
        <f>'Income Eligible Deemed Table'!N598</f>
        <v>6</v>
      </c>
      <c r="Y391" s="68">
        <f>'Income Eligible Deemed Table'!N599</f>
        <v>0</v>
      </c>
      <c r="Z391" s="68">
        <f t="shared" si="606"/>
        <v>6</v>
      </c>
      <c r="AA391" s="62">
        <f>'Income Eligible Deemed Table'!BB598</f>
        <v>0.47881848252210413</v>
      </c>
      <c r="AB391" s="839">
        <f>'Income Eligible Deemed Table'!O598</f>
        <v>475</v>
      </c>
      <c r="AC391" s="3617">
        <f t="shared" si="600"/>
        <v>214.66614365077814</v>
      </c>
      <c r="AD391" s="3617">
        <f t="shared" si="601"/>
        <v>0</v>
      </c>
      <c r="AE391" s="1661">
        <f>'Income Eligible Deemed Table'!BD598</f>
        <v>214.66614365077814</v>
      </c>
      <c r="AF391" s="2453"/>
      <c r="AG391" s="3623">
        <f>'Income Eligible Deemed Table'!BD599</f>
        <v>0</v>
      </c>
      <c r="AH391" s="2453"/>
      <c r="AI391" s="3628" t="str">
        <f>'Income Eligible Deemed Table'!P598</f>
        <v>per measure</v>
      </c>
      <c r="AJ391" s="1930"/>
      <c r="AK391" s="1930"/>
      <c r="AL391" s="1930"/>
      <c r="AM391" s="1972">
        <f t="shared" si="604"/>
        <v>4.6608050000000002E-4</v>
      </c>
      <c r="AN391" s="1930">
        <f t="shared" si="597"/>
        <v>0.27125885100000002</v>
      </c>
      <c r="AO391" s="1971">
        <f t="shared" si="599"/>
        <v>-1.4899999994932855E-7</v>
      </c>
    </row>
    <row r="392" spans="1:41" x14ac:dyDescent="0.25">
      <c r="A392" s="103" t="str">
        <f t="shared" si="564"/>
        <v>402650</v>
      </c>
      <c r="B392" s="1960" t="str">
        <f>'Income Eligible Deemed Table'!C600</f>
        <v>402650_2021_12_</v>
      </c>
      <c r="C392" s="1962" t="str">
        <f>'Income Eligible Deemed Table'!G600</f>
        <v>HVAC RES</v>
      </c>
      <c r="D392" s="1962"/>
      <c r="E392" s="1962"/>
      <c r="F392" s="1962"/>
      <c r="G392" s="1962" t="str">
        <f>'Income Eligible Deemed Table'!E600</f>
        <v>ECM Continous Fan EUL Replacement - SF</v>
      </c>
      <c r="H392" s="63" t="str">
        <f>'Income Eligible Deemed Table'!D600</f>
        <v>SFIE</v>
      </c>
      <c r="I392" s="2438">
        <f>'Income Eligible Deemed Table'!F600</f>
        <v>0</v>
      </c>
      <c r="J392" s="2438"/>
      <c r="K392" s="3600"/>
      <c r="L392" s="3600"/>
      <c r="M392" s="2439"/>
      <c r="N392" s="2439"/>
      <c r="O392" s="2440">
        <f>'Income Eligible Deemed Table'!M600</f>
        <v>0</v>
      </c>
      <c r="P392" s="2440"/>
      <c r="Q392" s="3601"/>
      <c r="R392" s="3601"/>
      <c r="S392" s="2441"/>
      <c r="T392" s="2441"/>
      <c r="U392" s="1819"/>
      <c r="V392" s="1819"/>
      <c r="W392" s="1819">
        <f t="shared" si="615"/>
        <v>0</v>
      </c>
      <c r="X392" s="68">
        <f>'Income Eligible Deemed Table'!N600</f>
        <v>20</v>
      </c>
      <c r="Y392" s="68"/>
      <c r="Z392" s="68">
        <f t="shared" si="606"/>
        <v>20</v>
      </c>
      <c r="AA392" s="62">
        <f>'Income Eligible Deemed Table'!BB600</f>
        <v>0</v>
      </c>
      <c r="AB392" s="839">
        <f>'Income Eligible Deemed Table'!O600</f>
        <v>74.327224020150311</v>
      </c>
      <c r="AC392" s="3617">
        <f t="shared" si="600"/>
        <v>0</v>
      </c>
      <c r="AD392" s="3617">
        <f t="shared" si="601"/>
        <v>0</v>
      </c>
      <c r="AE392" s="1661">
        <f>'Income Eligible Deemed Table'!BD600</f>
        <v>0</v>
      </c>
      <c r="AF392" s="2453"/>
      <c r="AG392" s="3623"/>
      <c r="AH392" s="2453"/>
      <c r="AI392" s="3628" t="str">
        <f>'Income Eligible Deemed Table'!P600</f>
        <v>per measure</v>
      </c>
      <c r="AJ392" s="1930"/>
      <c r="AK392" s="1930"/>
      <c r="AL392" s="1930"/>
      <c r="AM392" s="1972">
        <f t="shared" si="604"/>
        <v>4.6608050000000002E-4</v>
      </c>
      <c r="AN392" s="1930">
        <f t="shared" ref="AN392:AN397" si="616">AM392*I392</f>
        <v>0</v>
      </c>
      <c r="AO392" s="1971">
        <f t="shared" si="599"/>
        <v>0</v>
      </c>
    </row>
    <row r="393" spans="1:41" x14ac:dyDescent="0.25">
      <c r="A393" s="103" t="str">
        <f t="shared" si="564"/>
        <v>402700</v>
      </c>
      <c r="B393" s="1960" t="str">
        <f>'Income Eligible Deemed Table'!C601</f>
        <v>402700_2021_12_</v>
      </c>
      <c r="C393" s="1962" t="str">
        <f>'Income Eligible Deemed Table'!G601</f>
        <v>HVAC RES</v>
      </c>
      <c r="D393" s="1962" t="str">
        <f>'Income Eligible Deemed Table'!G602</f>
        <v>HVAC RES ER2</v>
      </c>
      <c r="E393" s="1962"/>
      <c r="F393" s="1962"/>
      <c r="G393" s="1962" t="str">
        <f>'Income Eligible Deemed Table'!E601</f>
        <v>ECM Continous Fan Early Replacement ER1 (Full Cost) - SF</v>
      </c>
      <c r="H393" s="63" t="str">
        <f>'Income Eligible Deemed Table'!D601</f>
        <v>SFIE</v>
      </c>
      <c r="I393" s="2438">
        <f>'Income Eligible Deemed Table'!F601</f>
        <v>582</v>
      </c>
      <c r="J393" s="2438">
        <f>'Income Eligible Deemed Table'!F602</f>
        <v>0</v>
      </c>
      <c r="K393" s="3600"/>
      <c r="L393" s="3600"/>
      <c r="M393" s="2439"/>
      <c r="N393" s="2439"/>
      <c r="O393" s="2440">
        <f>'Income Eligible Deemed Table'!M601</f>
        <v>0.27125899999999997</v>
      </c>
      <c r="P393" s="2440">
        <f>'Income Eligible Deemed Table'!M602</f>
        <v>0</v>
      </c>
      <c r="Q393" s="3601"/>
      <c r="R393" s="3601"/>
      <c r="S393" s="2441"/>
      <c r="T393" s="2441"/>
      <c r="U393" s="1819"/>
      <c r="V393" s="1819"/>
      <c r="W393" s="1819">
        <f t="shared" si="615"/>
        <v>0.27125899999999997</v>
      </c>
      <c r="X393" s="68">
        <f>'Income Eligible Deemed Table'!N601</f>
        <v>6</v>
      </c>
      <c r="Y393" s="68">
        <f>'Income Eligible Deemed Table'!N602</f>
        <v>0</v>
      </c>
      <c r="Z393" s="68">
        <f t="shared" si="606"/>
        <v>6</v>
      </c>
      <c r="AA393" s="62">
        <f>'Income Eligible Deemed Table'!BB601</f>
        <v>0.47881848252210413</v>
      </c>
      <c r="AB393" s="839">
        <f>'Income Eligible Deemed Table'!O601</f>
        <v>475</v>
      </c>
      <c r="AC393" s="3617">
        <f t="shared" si="600"/>
        <v>214.66614365077814</v>
      </c>
      <c r="AD393" s="3617">
        <f t="shared" si="601"/>
        <v>0</v>
      </c>
      <c r="AE393" s="1661">
        <f>'Income Eligible Deemed Table'!BD601</f>
        <v>214.66614365077814</v>
      </c>
      <c r="AF393" s="2453"/>
      <c r="AG393" s="3623">
        <f>'Income Eligible Deemed Table'!BD602</f>
        <v>0</v>
      </c>
      <c r="AH393" s="2453"/>
      <c r="AI393" s="3628" t="str">
        <f>'Income Eligible Deemed Table'!P601</f>
        <v>per measure</v>
      </c>
      <c r="AJ393" s="1930"/>
      <c r="AK393" s="1930"/>
      <c r="AL393" s="1930"/>
      <c r="AM393" s="1972">
        <f t="shared" si="604"/>
        <v>4.6608050000000002E-4</v>
      </c>
      <c r="AN393" s="1930">
        <f t="shared" si="616"/>
        <v>0.27125885100000002</v>
      </c>
      <c r="AO393" s="1971">
        <f t="shared" si="599"/>
        <v>-1.4899999994932855E-7</v>
      </c>
    </row>
    <row r="394" spans="1:41" x14ac:dyDescent="0.25">
      <c r="A394" s="103" t="str">
        <f t="shared" ref="A394:A457" si="617">LEFT(B394,6)</f>
        <v>402750</v>
      </c>
      <c r="B394" s="1960" t="str">
        <f>'Income Eligible Deemed Table'!C603</f>
        <v>402750_2021_12_</v>
      </c>
      <c r="C394" s="1962" t="str">
        <f>'Income Eligible Deemed Table'!G603</f>
        <v>HVAC RES</v>
      </c>
      <c r="D394" s="1962"/>
      <c r="E394" s="1962"/>
      <c r="F394" s="1962"/>
      <c r="G394" s="1962" t="str">
        <f>'Income Eligible Deemed Table'!E603</f>
        <v>ECM Auto Fan EUL Replacement - MF</v>
      </c>
      <c r="H394" s="63" t="str">
        <f>'Income Eligible Deemed Table'!D603</f>
        <v>MFIE</v>
      </c>
      <c r="I394" s="2438">
        <f>'Income Eligible Deemed Table'!F603</f>
        <v>0</v>
      </c>
      <c r="J394" s="2438"/>
      <c r="K394" s="3600"/>
      <c r="L394" s="3600"/>
      <c r="M394" s="2439"/>
      <c r="N394" s="2439"/>
      <c r="O394" s="2440">
        <f>'Income Eligible Deemed Table'!M603</f>
        <v>0</v>
      </c>
      <c r="P394" s="2440"/>
      <c r="Q394" s="3601"/>
      <c r="R394" s="3601"/>
      <c r="S394" s="2441"/>
      <c r="T394" s="2441"/>
      <c r="U394" s="1819"/>
      <c r="V394" s="1819"/>
      <c r="W394" s="1819">
        <f t="shared" si="615"/>
        <v>0</v>
      </c>
      <c r="X394" s="68">
        <f>'Income Eligible Deemed Table'!N603</f>
        <v>20</v>
      </c>
      <c r="Y394" s="68"/>
      <c r="Z394" s="68">
        <f t="shared" si="606"/>
        <v>20</v>
      </c>
      <c r="AA394" s="62">
        <f>'Income Eligible Deemed Table'!BB603</f>
        <v>0</v>
      </c>
      <c r="AB394" s="839">
        <f>'Income Eligible Deemed Table'!O603</f>
        <v>74.327224020150311</v>
      </c>
      <c r="AC394" s="3617">
        <f t="shared" si="600"/>
        <v>0</v>
      </c>
      <c r="AD394" s="3617">
        <f t="shared" si="601"/>
        <v>0</v>
      </c>
      <c r="AE394" s="1661">
        <f>'Income Eligible Deemed Table'!BD603</f>
        <v>0</v>
      </c>
      <c r="AF394" s="2453"/>
      <c r="AG394" s="3623"/>
      <c r="AH394" s="2453"/>
      <c r="AI394" s="3628" t="str">
        <f>'Income Eligible Deemed Table'!P603</f>
        <v>per measure</v>
      </c>
      <c r="AJ394" s="1930"/>
      <c r="AK394" s="1930"/>
      <c r="AL394" s="1930"/>
      <c r="AM394" s="1972">
        <f t="shared" si="604"/>
        <v>4.6608050000000002E-4</v>
      </c>
      <c r="AN394" s="1930">
        <f t="shared" si="616"/>
        <v>0</v>
      </c>
      <c r="AO394" s="1971">
        <f t="shared" si="599"/>
        <v>0</v>
      </c>
    </row>
    <row r="395" spans="1:41" x14ac:dyDescent="0.25">
      <c r="A395" s="103" t="str">
        <f t="shared" si="617"/>
        <v>402800</v>
      </c>
      <c r="B395" s="1960" t="str">
        <f>'Income Eligible Deemed Table'!C604</f>
        <v>402800_2021_12_</v>
      </c>
      <c r="C395" s="1962" t="str">
        <f>'Income Eligible Deemed Table'!G604</f>
        <v>HVAC RES</v>
      </c>
      <c r="D395" s="1962" t="str">
        <f>'Income Eligible Deemed Table'!G605</f>
        <v>HVAC RES ER2</v>
      </c>
      <c r="E395" s="1962"/>
      <c r="F395" s="1962"/>
      <c r="G395" s="1962" t="str">
        <f>'Income Eligible Deemed Table'!E604</f>
        <v>ECM Auto Fan Early Replacement ER1 (Full Cost) - MF</v>
      </c>
      <c r="H395" s="63" t="str">
        <f>'Income Eligible Deemed Table'!D604</f>
        <v>MFIE</v>
      </c>
      <c r="I395" s="2438">
        <f>'Income Eligible Deemed Table'!F604</f>
        <v>582</v>
      </c>
      <c r="J395" s="2438">
        <f>'Income Eligible Deemed Table'!F605</f>
        <v>0</v>
      </c>
      <c r="K395" s="3600"/>
      <c r="L395" s="3600"/>
      <c r="M395" s="2439"/>
      <c r="N395" s="2439"/>
      <c r="O395" s="2440">
        <f>'Income Eligible Deemed Table'!M604</f>
        <v>0.27125899999999997</v>
      </c>
      <c r="P395" s="2440">
        <f>'Income Eligible Deemed Table'!M605</f>
        <v>0</v>
      </c>
      <c r="Q395" s="3601"/>
      <c r="R395" s="3601"/>
      <c r="S395" s="2441"/>
      <c r="T395" s="2441"/>
      <c r="U395" s="1819"/>
      <c r="V395" s="1819"/>
      <c r="W395" s="1819">
        <f t="shared" si="615"/>
        <v>0.27125899999999997</v>
      </c>
      <c r="X395" s="68">
        <f>'Income Eligible Deemed Table'!N604</f>
        <v>6</v>
      </c>
      <c r="Y395" s="68">
        <f>'Income Eligible Deemed Table'!N605</f>
        <v>0</v>
      </c>
      <c r="Z395" s="68">
        <f t="shared" si="606"/>
        <v>6</v>
      </c>
      <c r="AA395" s="62">
        <f>'Income Eligible Deemed Table'!BB604</f>
        <v>0.47881848252210413</v>
      </c>
      <c r="AB395" s="839">
        <f>'Income Eligible Deemed Table'!O604</f>
        <v>475</v>
      </c>
      <c r="AC395" s="3617">
        <f t="shared" si="600"/>
        <v>214.66614365077814</v>
      </c>
      <c r="AD395" s="3617">
        <f t="shared" si="601"/>
        <v>0</v>
      </c>
      <c r="AE395" s="1661">
        <f>'Income Eligible Deemed Table'!BD604</f>
        <v>214.66614365077814</v>
      </c>
      <c r="AF395" s="2453"/>
      <c r="AG395" s="3623">
        <f>'Income Eligible Deemed Table'!BD605</f>
        <v>0</v>
      </c>
      <c r="AH395" s="2453"/>
      <c r="AI395" s="3628" t="str">
        <f>'Income Eligible Deemed Table'!P604</f>
        <v>per measure</v>
      </c>
      <c r="AJ395" s="1930"/>
      <c r="AK395" s="1930"/>
      <c r="AL395" s="1930"/>
      <c r="AM395" s="1972">
        <f t="shared" si="604"/>
        <v>4.6608050000000002E-4</v>
      </c>
      <c r="AN395" s="1930">
        <f t="shared" si="616"/>
        <v>0.27125885100000002</v>
      </c>
      <c r="AO395" s="1971">
        <f t="shared" si="599"/>
        <v>-1.4899999994932855E-7</v>
      </c>
    </row>
    <row r="396" spans="1:41" x14ac:dyDescent="0.25">
      <c r="A396" s="103" t="str">
        <f t="shared" si="617"/>
        <v>402850</v>
      </c>
      <c r="B396" s="1960" t="str">
        <f>'Income Eligible Deemed Table'!C606</f>
        <v>402850_2021_12_</v>
      </c>
      <c r="C396" s="1962" t="str">
        <f>'Income Eligible Deemed Table'!G606</f>
        <v>HVAC RES</v>
      </c>
      <c r="D396" s="1962"/>
      <c r="E396" s="1962"/>
      <c r="F396" s="1962"/>
      <c r="G396" s="1962" t="str">
        <f>'Income Eligible Deemed Table'!E606</f>
        <v>ECM Continous Fan EUL Replacement - MF</v>
      </c>
      <c r="H396" s="63" t="str">
        <f>'Income Eligible Deemed Table'!D606</f>
        <v>MFIE</v>
      </c>
      <c r="I396" s="2438">
        <f>'Income Eligible Deemed Table'!F606</f>
        <v>0</v>
      </c>
      <c r="J396" s="2438"/>
      <c r="K396" s="3600"/>
      <c r="L396" s="3600"/>
      <c r="M396" s="2439"/>
      <c r="N396" s="2439"/>
      <c r="O396" s="2440">
        <f>'Income Eligible Deemed Table'!M606</f>
        <v>0</v>
      </c>
      <c r="P396" s="2440"/>
      <c r="Q396" s="3601"/>
      <c r="R396" s="3601"/>
      <c r="S396" s="2441"/>
      <c r="T396" s="2441"/>
      <c r="U396" s="1819"/>
      <c r="V396" s="1819"/>
      <c r="W396" s="1819">
        <f t="shared" si="615"/>
        <v>0</v>
      </c>
      <c r="X396" s="68">
        <f>'Income Eligible Deemed Table'!N606</f>
        <v>20</v>
      </c>
      <c r="Y396" s="68"/>
      <c r="Z396" s="68">
        <f t="shared" si="606"/>
        <v>20</v>
      </c>
      <c r="AA396" s="62">
        <f>'Income Eligible Deemed Table'!BB606</f>
        <v>0</v>
      </c>
      <c r="AB396" s="839">
        <f>'Income Eligible Deemed Table'!O606</f>
        <v>74.327224020150311</v>
      </c>
      <c r="AC396" s="3617">
        <f t="shared" si="600"/>
        <v>0</v>
      </c>
      <c r="AD396" s="3617">
        <f t="shared" si="601"/>
        <v>0</v>
      </c>
      <c r="AE396" s="1661">
        <f>'Income Eligible Deemed Table'!BD606</f>
        <v>0</v>
      </c>
      <c r="AF396" s="2453"/>
      <c r="AG396" s="3623"/>
      <c r="AH396" s="2453"/>
      <c r="AI396" s="3628" t="str">
        <f>'Income Eligible Deemed Table'!P606</f>
        <v>per measure</v>
      </c>
      <c r="AJ396" s="1930"/>
      <c r="AK396" s="1930"/>
      <c r="AL396" s="1930"/>
      <c r="AM396" s="1972">
        <f t="shared" si="604"/>
        <v>4.6608050000000002E-4</v>
      </c>
      <c r="AN396" s="1930">
        <f t="shared" si="616"/>
        <v>0</v>
      </c>
      <c r="AO396" s="1971">
        <f t="shared" si="599"/>
        <v>0</v>
      </c>
    </row>
    <row r="397" spans="1:41" x14ac:dyDescent="0.25">
      <c r="A397" s="103" t="str">
        <f t="shared" si="617"/>
        <v>402900</v>
      </c>
      <c r="B397" s="1960" t="str">
        <f>'Income Eligible Deemed Table'!C607</f>
        <v>402900_2021_12_</v>
      </c>
      <c r="C397" s="1962" t="str">
        <f>'Income Eligible Deemed Table'!G607</f>
        <v>HVAC RES</v>
      </c>
      <c r="D397" s="1962" t="str">
        <f>'Income Eligible Deemed Table'!G608</f>
        <v>HVAC RES ER2</v>
      </c>
      <c r="E397" s="1962"/>
      <c r="F397" s="1962"/>
      <c r="G397" s="1962" t="str">
        <f>'Income Eligible Deemed Table'!E607</f>
        <v>ECM Continous Fan Early Replacement ER1 (Full Cost) - MF</v>
      </c>
      <c r="H397" s="63" t="str">
        <f>'Income Eligible Deemed Table'!D607</f>
        <v>MFIE</v>
      </c>
      <c r="I397" s="2438">
        <f>'Income Eligible Deemed Table'!F607</f>
        <v>582</v>
      </c>
      <c r="J397" s="2438">
        <f>'Income Eligible Deemed Table'!F608</f>
        <v>0</v>
      </c>
      <c r="K397" s="3600"/>
      <c r="L397" s="3600"/>
      <c r="M397" s="2439"/>
      <c r="N397" s="2439"/>
      <c r="O397" s="2440">
        <f>'Income Eligible Deemed Table'!M607</f>
        <v>0.27125899999999997</v>
      </c>
      <c r="P397" s="2440">
        <f>'Income Eligible Deemed Table'!M608</f>
        <v>0</v>
      </c>
      <c r="Q397" s="3601"/>
      <c r="R397" s="3601"/>
      <c r="S397" s="2441"/>
      <c r="T397" s="2441"/>
      <c r="U397" s="1819"/>
      <c r="V397" s="1819"/>
      <c r="W397" s="1819">
        <f t="shared" si="615"/>
        <v>0.27125899999999997</v>
      </c>
      <c r="X397" s="68">
        <f>'Income Eligible Deemed Table'!N607</f>
        <v>6</v>
      </c>
      <c r="Y397" s="68">
        <f>'Income Eligible Deemed Table'!N608</f>
        <v>0</v>
      </c>
      <c r="Z397" s="68">
        <f>Y397+X397</f>
        <v>6</v>
      </c>
      <c r="AA397" s="62">
        <f>'Income Eligible Deemed Table'!BB607</f>
        <v>0.47881848252210413</v>
      </c>
      <c r="AB397" s="839">
        <f>'Income Eligible Deemed Table'!O607</f>
        <v>475</v>
      </c>
      <c r="AC397" s="3617">
        <f t="shared" si="600"/>
        <v>214.66614365077814</v>
      </c>
      <c r="AD397" s="3617">
        <f t="shared" si="601"/>
        <v>0</v>
      </c>
      <c r="AE397" s="1661">
        <f>'Income Eligible Deemed Table'!BD607</f>
        <v>214.66614365077814</v>
      </c>
      <c r="AF397" s="2453"/>
      <c r="AG397" s="3623">
        <f>'Income Eligible Deemed Table'!BD608</f>
        <v>0</v>
      </c>
      <c r="AH397" s="2453"/>
      <c r="AI397" s="3628" t="str">
        <f>'Income Eligible Deemed Table'!P607</f>
        <v>per measure</v>
      </c>
      <c r="AJ397" s="1930"/>
      <c r="AK397" s="1930"/>
      <c r="AL397" s="1930"/>
      <c r="AM397" s="1972">
        <f t="shared" si="604"/>
        <v>4.6608050000000002E-4</v>
      </c>
      <c r="AN397" s="1930">
        <f t="shared" si="616"/>
        <v>0.27125885100000002</v>
      </c>
      <c r="AO397" s="1971">
        <f t="shared" si="599"/>
        <v>-1.4899999994932855E-7</v>
      </c>
    </row>
    <row r="398" spans="1:41" x14ac:dyDescent="0.25">
      <c r="A398" s="103" t="str">
        <f t="shared" si="617"/>
        <v>402950</v>
      </c>
      <c r="B398" s="684" t="str">
        <f>'Income Eligible Deemed Table'!C676</f>
        <v>402950_2019_12_</v>
      </c>
      <c r="C398" s="1962" t="str">
        <f>'Income Eligible Deemed Table'!G676</f>
        <v>Cooling RES</v>
      </c>
      <c r="D398" s="1962" t="str">
        <f>'Income Eligible Deemed Table'!G677</f>
        <v>Heating RES</v>
      </c>
      <c r="E398" s="1962"/>
      <c r="F398" s="1962"/>
      <c r="G398" s="1962" t="str">
        <f>'Income Eligible Deemed Table'!E676</f>
        <v>General HP tune-up (no charge or coil clean)</v>
      </c>
      <c r="H398" s="63" t="str">
        <f>'Income Eligible Deemed Table'!D676</f>
        <v>SFIE</v>
      </c>
      <c r="I398" s="2438">
        <f>K398+L398</f>
        <v>255.78</v>
      </c>
      <c r="J398" s="2438">
        <f>M398+N398</f>
        <v>0</v>
      </c>
      <c r="K398" s="2439">
        <f>'Income Eligible Deemed Table'!F676</f>
        <v>141.72</v>
      </c>
      <c r="L398" s="2439">
        <f>'Income Eligible Deemed Table'!F677</f>
        <v>114.06</v>
      </c>
      <c r="M398" s="2439"/>
      <c r="N398" s="2439"/>
      <c r="O398" s="2440">
        <f t="shared" ref="O398:O408" si="618">Q398+R398</f>
        <v>0.134268</v>
      </c>
      <c r="P398" s="2440">
        <f t="shared" ref="P398:P408" si="619">S398+T398</f>
        <v>0</v>
      </c>
      <c r="Q398" s="2441">
        <f>'Income Eligible Deemed Table'!I676</f>
        <v>0.134268</v>
      </c>
      <c r="R398" s="2441">
        <f>'Income Eligible Deemed Table'!I677</f>
        <v>0</v>
      </c>
      <c r="S398" s="2441"/>
      <c r="T398" s="2441"/>
      <c r="U398" s="1819">
        <v>0</v>
      </c>
      <c r="V398" s="1819">
        <v>0</v>
      </c>
      <c r="W398" s="1819">
        <v>0</v>
      </c>
      <c r="X398" s="68">
        <f>'Income Eligible Deemed Table'!J676</f>
        <v>2</v>
      </c>
      <c r="Y398" s="68"/>
      <c r="Z398" s="68">
        <f>Y398+X398</f>
        <v>2</v>
      </c>
      <c r="AA398" s="62">
        <f>'Income Eligible Deemed Table'!BB676</f>
        <v>0.46505321100978225</v>
      </c>
      <c r="AB398" s="839">
        <f>'Income Eligible Deemed Table'!K676</f>
        <v>70</v>
      </c>
      <c r="AC398" s="3617">
        <f t="shared" si="600"/>
        <v>30.725554290405618</v>
      </c>
      <c r="AD398" s="3617">
        <f t="shared" si="601"/>
        <v>0</v>
      </c>
      <c r="AE398" s="1661">
        <f>'Income Eligible Deemed Table'!BD676</f>
        <v>24.2512524591301</v>
      </c>
      <c r="AF398" s="2453">
        <f>'Income Eligible Deemed Table'!BD677</f>
        <v>6.4743018312755192</v>
      </c>
      <c r="AG398" s="2453"/>
      <c r="AH398" s="2453"/>
      <c r="AI398" s="684" t="str">
        <f>'Income Eligible Deemed Table'!L676</f>
        <v>per measure</v>
      </c>
      <c r="AJ398" s="1930"/>
      <c r="AK398" s="1930"/>
      <c r="AL398" s="1930"/>
      <c r="AM398" s="1972">
        <f t="shared" si="604"/>
        <v>9.4741810000000004E-4</v>
      </c>
      <c r="AN398" s="100">
        <f t="shared" ref="AN398:AN408" si="620">AM398*K398</f>
        <v>0.134268093132</v>
      </c>
      <c r="AO398" s="1971">
        <f t="shared" si="599"/>
        <v>9.3132000000828441E-8</v>
      </c>
    </row>
    <row r="399" spans="1:41" x14ac:dyDescent="0.25">
      <c r="A399" s="103" t="str">
        <f t="shared" si="617"/>
        <v>403000</v>
      </c>
      <c r="B399" s="684" t="str">
        <f>'Income Eligible Deemed Table'!C678</f>
        <v>403000_2019_12_</v>
      </c>
      <c r="C399" s="1962" t="str">
        <f>'Income Eligible Deemed Table'!G678</f>
        <v>Cooling RES</v>
      </c>
      <c r="D399" s="1962" t="str">
        <f>'Income Eligible Deemed Table'!G679</f>
        <v>Heating RES</v>
      </c>
      <c r="E399" s="1962"/>
      <c r="F399" s="1962"/>
      <c r="G399" s="1962" t="str">
        <f>'Income Eligible Deemed Table'!E678</f>
        <v>General HP tune-up (no charge or coil clean)</v>
      </c>
      <c r="H399" s="63" t="str">
        <f>'Income Eligible Deemed Table'!D678</f>
        <v>MFIE</v>
      </c>
      <c r="I399" s="2438">
        <f t="shared" ref="I399:I408" si="621">K399+L399</f>
        <v>157.53</v>
      </c>
      <c r="J399" s="2438">
        <f t="shared" ref="J399:J408" si="622">M399+N399</f>
        <v>0</v>
      </c>
      <c r="K399" s="2439">
        <f>'Income Eligible Deemed Table'!F678</f>
        <v>87.28</v>
      </c>
      <c r="L399" s="2439">
        <f>'Income Eligible Deemed Table'!F679</f>
        <v>70.25</v>
      </c>
      <c r="M399" s="2439"/>
      <c r="N399" s="2439"/>
      <c r="O399" s="2440">
        <f t="shared" si="618"/>
        <v>8.2691000000000001E-2</v>
      </c>
      <c r="P399" s="2440">
        <f t="shared" si="619"/>
        <v>0</v>
      </c>
      <c r="Q399" s="2441">
        <f>'Income Eligible Deemed Table'!I678</f>
        <v>8.2691000000000001E-2</v>
      </c>
      <c r="R399" s="2441">
        <f>'Income Eligible Deemed Table'!I679</f>
        <v>0</v>
      </c>
      <c r="S399" s="2441"/>
      <c r="T399" s="2441"/>
      <c r="U399" s="1819">
        <v>0</v>
      </c>
      <c r="V399" s="1819">
        <v>0</v>
      </c>
      <c r="W399" s="1819">
        <v>0</v>
      </c>
      <c r="X399" s="68">
        <f>'Income Eligible Deemed Table'!J678</f>
        <v>2</v>
      </c>
      <c r="Y399" s="68"/>
      <c r="Z399" s="68">
        <f t="shared" ref="Z399:Z412" si="623">Y399+X399</f>
        <v>2</v>
      </c>
      <c r="AA399" s="62">
        <f>'Income Eligible Deemed Table'!BB678</f>
        <v>0.28641280431879457</v>
      </c>
      <c r="AB399" s="839">
        <f>'Income Eligible Deemed Table'!K678</f>
        <v>70</v>
      </c>
      <c r="AC399" s="3617">
        <f t="shared" si="600"/>
        <v>18.922979048905727</v>
      </c>
      <c r="AD399" s="3617">
        <f t="shared" si="601"/>
        <v>0</v>
      </c>
      <c r="AE399" s="1661">
        <f>'Income Eligible Deemed Table'!BD678</f>
        <v>14.935431235061214</v>
      </c>
      <c r="AF399" s="2453">
        <f>'Income Eligible Deemed Table'!BD679</f>
        <v>3.9875478138445133</v>
      </c>
      <c r="AG399" s="2453"/>
      <c r="AH399" s="2453"/>
      <c r="AI399" s="684" t="str">
        <f>'Income Eligible Deemed Table'!L678</f>
        <v>per measure</v>
      </c>
      <c r="AJ399" s="1930"/>
      <c r="AK399" s="1930"/>
      <c r="AL399" s="1930"/>
      <c r="AM399" s="1972">
        <f t="shared" si="604"/>
        <v>9.4741810000000004E-4</v>
      </c>
      <c r="AN399" s="100">
        <f t="shared" si="620"/>
        <v>8.2690651768000001E-2</v>
      </c>
      <c r="AO399" s="1971">
        <f t="shared" si="599"/>
        <v>-3.4823199999978183E-7</v>
      </c>
    </row>
    <row r="400" spans="1:41" x14ac:dyDescent="0.25">
      <c r="A400" s="103" t="str">
        <f t="shared" si="617"/>
        <v>403050</v>
      </c>
      <c r="B400" s="684" t="str">
        <f>'Income Eligible Deemed Table'!C680</f>
        <v>403050_2019_12_</v>
      </c>
      <c r="C400" s="1962" t="str">
        <f>'Income Eligible Deemed Table'!G680</f>
        <v>Cooling RES</v>
      </c>
      <c r="D400" s="1962" t="str">
        <f>'Income Eligible Deemed Table'!G681</f>
        <v>Heating RES</v>
      </c>
      <c r="E400" s="1962"/>
      <c r="F400" s="1962"/>
      <c r="G400" s="1962" t="str">
        <f>'Income Eligible Deemed Table'!E680</f>
        <v>HP tune-up / Refrigerant charge SF</v>
      </c>
      <c r="H400" s="63" t="str">
        <f>'Income Eligible Deemed Table'!D680</f>
        <v>SFIE</v>
      </c>
      <c r="I400" s="2438">
        <f t="shared" si="621"/>
        <v>1140.18</v>
      </c>
      <c r="J400" s="2438">
        <f t="shared" si="622"/>
        <v>0</v>
      </c>
      <c r="K400" s="2439">
        <f>'Income Eligible Deemed Table'!F680</f>
        <v>591.08000000000004</v>
      </c>
      <c r="L400" s="2439">
        <f>'Income Eligible Deemed Table'!F681</f>
        <v>549.1</v>
      </c>
      <c r="M400" s="2439"/>
      <c r="N400" s="2439"/>
      <c r="O400" s="2440">
        <f t="shared" si="618"/>
        <v>0.56000000000000005</v>
      </c>
      <c r="P400" s="2440">
        <f t="shared" si="619"/>
        <v>0</v>
      </c>
      <c r="Q400" s="2441">
        <f>'Income Eligible Deemed Table'!I680</f>
        <v>0.56000000000000005</v>
      </c>
      <c r="R400" s="2441">
        <f>'Income Eligible Deemed Table'!I681</f>
        <v>0</v>
      </c>
      <c r="S400" s="2441"/>
      <c r="T400" s="2441"/>
      <c r="U400" s="1819">
        <v>0</v>
      </c>
      <c r="V400" s="1819">
        <v>0</v>
      </c>
      <c r="W400" s="1819">
        <v>0</v>
      </c>
      <c r="X400" s="68">
        <f>'Income Eligible Deemed Table'!J680</f>
        <v>2</v>
      </c>
      <c r="Y400" s="68"/>
      <c r="Z400" s="68">
        <f t="shared" si="623"/>
        <v>2</v>
      </c>
      <c r="AA400" s="62">
        <f>'Income Eligible Deemed Table'!BB680</f>
        <v>1.7307035166033815</v>
      </c>
      <c r="AB400" s="839">
        <f>'Income Eligible Deemed Table'!K680</f>
        <v>81</v>
      </c>
      <c r="AC400" s="3617">
        <f t="shared" si="600"/>
        <v>132.31428489369881</v>
      </c>
      <c r="AD400" s="3617">
        <f t="shared" si="601"/>
        <v>0</v>
      </c>
      <c r="AE400" s="1661">
        <f>'Income Eligible Deemed Table'!BD680</f>
        <v>101.14613536228211</v>
      </c>
      <c r="AF400" s="2453">
        <f>'Income Eligible Deemed Table'!BD681</f>
        <v>31.168149531416688</v>
      </c>
      <c r="AG400" s="2453"/>
      <c r="AH400" s="2453"/>
      <c r="AI400" s="684" t="str">
        <f>'Income Eligible Deemed Table'!L680</f>
        <v>per measure</v>
      </c>
      <c r="AJ400" s="1930"/>
      <c r="AK400" s="1930"/>
      <c r="AL400" s="1930"/>
      <c r="AM400" s="1972">
        <f t="shared" si="604"/>
        <v>9.4741810000000004E-4</v>
      </c>
      <c r="AN400" s="100">
        <f t="shared" si="620"/>
        <v>0.55999989054800003</v>
      </c>
      <c r="AO400" s="1971">
        <f t="shared" si="599"/>
        <v>-1.0945200001888367E-7</v>
      </c>
    </row>
    <row r="401" spans="1:41" x14ac:dyDescent="0.25">
      <c r="A401" s="103" t="str">
        <f t="shared" si="617"/>
        <v>403100</v>
      </c>
      <c r="B401" s="684" t="str">
        <f>'Income Eligible Deemed Table'!C682</f>
        <v>403100_2019_12_</v>
      </c>
      <c r="C401" s="1962" t="str">
        <f>'Income Eligible Deemed Table'!G682</f>
        <v>Cooling RES</v>
      </c>
      <c r="D401" s="1962" t="str">
        <f>'Income Eligible Deemed Table'!G683</f>
        <v>Heating RES</v>
      </c>
      <c r="E401" s="1962"/>
      <c r="F401" s="1962"/>
      <c r="G401" s="1962" t="str">
        <f>'Income Eligible Deemed Table'!E682</f>
        <v>HP tune-up / Refrigerant charge MF</v>
      </c>
      <c r="H401" s="63" t="str">
        <f>'Income Eligible Deemed Table'!D682</f>
        <v>MFIE</v>
      </c>
      <c r="I401" s="2438">
        <f t="shared" si="621"/>
        <v>702.21</v>
      </c>
      <c r="J401" s="2438">
        <f t="shared" si="622"/>
        <v>0</v>
      </c>
      <c r="K401" s="2439">
        <f>'Income Eligible Deemed Table'!F682</f>
        <v>364.03</v>
      </c>
      <c r="L401" s="2439">
        <f>'Income Eligible Deemed Table'!F683</f>
        <v>338.18</v>
      </c>
      <c r="M401" s="2439"/>
      <c r="N401" s="2439"/>
      <c r="O401" s="2440">
        <f t="shared" si="618"/>
        <v>0.344889</v>
      </c>
      <c r="P401" s="2440">
        <f t="shared" si="619"/>
        <v>0</v>
      </c>
      <c r="Q401" s="2441">
        <f>'Income Eligible Deemed Table'!I682</f>
        <v>0.344889</v>
      </c>
      <c r="R401" s="2441">
        <f>'Income Eligible Deemed Table'!I683</f>
        <v>0</v>
      </c>
      <c r="S401" s="2441"/>
      <c r="T401" s="2441"/>
      <c r="U401" s="1819">
        <v>0</v>
      </c>
      <c r="V401" s="1819">
        <v>0</v>
      </c>
      <c r="W401" s="1819">
        <v>0</v>
      </c>
      <c r="X401" s="68">
        <f>'Income Eligible Deemed Table'!J682</f>
        <v>2</v>
      </c>
      <c r="Y401" s="68"/>
      <c r="Z401" s="68">
        <f t="shared" si="623"/>
        <v>2</v>
      </c>
      <c r="AA401" s="62">
        <f>'Income Eligible Deemed Table'!BB682</f>
        <v>1.0658961610897484</v>
      </c>
      <c r="AB401" s="839">
        <f>'Income Eligible Deemed Table'!K682</f>
        <v>81</v>
      </c>
      <c r="AC401" s="3617">
        <f t="shared" si="600"/>
        <v>81.488993910589528</v>
      </c>
      <c r="AD401" s="3617">
        <f t="shared" si="601"/>
        <v>0</v>
      </c>
      <c r="AE401" s="1661">
        <f>'Income Eligible Deemed Table'!BD682</f>
        <v>62.293137402604643</v>
      </c>
      <c r="AF401" s="2453">
        <f>'Income Eligible Deemed Table'!BD683</f>
        <v>19.195856507984878</v>
      </c>
      <c r="AG401" s="2453"/>
      <c r="AH401" s="2453"/>
      <c r="AI401" s="684" t="str">
        <f>'Income Eligible Deemed Table'!L682</f>
        <v>per measure</v>
      </c>
      <c r="AJ401" s="1930"/>
      <c r="AK401" s="1930"/>
      <c r="AL401" s="1930"/>
      <c r="AM401" s="1972">
        <f t="shared" si="604"/>
        <v>9.4741810000000004E-4</v>
      </c>
      <c r="AN401" s="100">
        <f t="shared" si="620"/>
        <v>0.344888610943</v>
      </c>
      <c r="AO401" s="1971">
        <f t="shared" si="599"/>
        <v>-3.8905700000535504E-7</v>
      </c>
    </row>
    <row r="402" spans="1:41" x14ac:dyDescent="0.25">
      <c r="A402" s="103" t="str">
        <f t="shared" si="617"/>
        <v>403101</v>
      </c>
      <c r="B402" s="684" t="str">
        <f>'Income Eligible Deemed Table'!C684</f>
        <v>403101_2019_12_</v>
      </c>
      <c r="C402" s="1962" t="str">
        <f>'Income Eligible Deemed Table'!G684</f>
        <v>Cooling RES</v>
      </c>
      <c r="D402" s="1962" t="str">
        <f>'Income Eligible Deemed Table'!G685</f>
        <v>Heating RES</v>
      </c>
      <c r="E402" s="1962"/>
      <c r="F402" s="1962"/>
      <c r="G402" s="1962" t="str">
        <f>'Income Eligible Deemed Table'!E684</f>
        <v>HP tune-up / Refrigerant charge MF_CompE</v>
      </c>
      <c r="H402" s="63" t="str">
        <f>'Income Eligible Deemed Table'!D684</f>
        <v>MFIEc</v>
      </c>
      <c r="I402" s="2438">
        <f t="shared" si="621"/>
        <v>380.04</v>
      </c>
      <c r="J402" s="2438">
        <f t="shared" si="622"/>
        <v>0</v>
      </c>
      <c r="K402" s="2439">
        <f>'Income Eligible Deemed Table'!F684</f>
        <v>264.75</v>
      </c>
      <c r="L402" s="2439">
        <f>'Income Eligible Deemed Table'!F685</f>
        <v>115.29</v>
      </c>
      <c r="M402" s="2439"/>
      <c r="N402" s="2439"/>
      <c r="O402" s="2440">
        <f t="shared" si="618"/>
        <v>0.25082900000000002</v>
      </c>
      <c r="P402" s="2440">
        <f t="shared" si="619"/>
        <v>0</v>
      </c>
      <c r="Q402" s="2441">
        <f>'Income Eligible Deemed Table'!I684</f>
        <v>0.25082900000000002</v>
      </c>
      <c r="R402" s="2441">
        <f>'Income Eligible Deemed Table'!I685</f>
        <v>0</v>
      </c>
      <c r="S402" s="2441"/>
      <c r="T402" s="2441"/>
      <c r="U402" s="1819">
        <v>0</v>
      </c>
      <c r="V402" s="1819">
        <v>0</v>
      </c>
      <c r="W402" s="1819">
        <v>0</v>
      </c>
      <c r="X402" s="68">
        <f>'Income Eligible Deemed Table'!J684</f>
        <v>2</v>
      </c>
      <c r="Y402" s="68"/>
      <c r="Z402" s="68">
        <f t="shared" si="623"/>
        <v>2</v>
      </c>
      <c r="AA402" s="62">
        <f>'Income Eligible Deemed Table'!BB684</f>
        <v>0.67818954560335631</v>
      </c>
      <c r="AB402" s="839">
        <f>'Income Eligible Deemed Table'!K684</f>
        <v>81</v>
      </c>
      <c r="AC402" s="3617">
        <f t="shared" si="600"/>
        <v>51.848374888033845</v>
      </c>
      <c r="AD402" s="3617">
        <f t="shared" si="601"/>
        <v>0</v>
      </c>
      <c r="AE402" s="1661">
        <f>'Income Eligible Deemed Table'!BD684</f>
        <v>45.304255493612011</v>
      </c>
      <c r="AF402" s="2453">
        <f>'Income Eligible Deemed Table'!BD685</f>
        <v>6.5441193944218359</v>
      </c>
      <c r="AG402" s="2453"/>
      <c r="AH402" s="2453"/>
      <c r="AI402" s="684" t="str">
        <f>'Income Eligible Deemed Table'!L684</f>
        <v>per measure</v>
      </c>
      <c r="AJ402" s="1930"/>
      <c r="AK402" s="1930"/>
      <c r="AL402" s="1930"/>
      <c r="AM402" s="1972">
        <f t="shared" si="604"/>
        <v>9.4741810000000004E-4</v>
      </c>
      <c r="AN402" s="100">
        <f t="shared" si="620"/>
        <v>0.250828941975</v>
      </c>
      <c r="AO402" s="1971">
        <f t="shared" si="599"/>
        <v>-5.8025000027051021E-8</v>
      </c>
    </row>
    <row r="403" spans="1:41" x14ac:dyDescent="0.25">
      <c r="A403" s="103" t="str">
        <f t="shared" si="617"/>
        <v>403150</v>
      </c>
      <c r="B403" s="684" t="str">
        <f>'Income Eligible Deemed Table'!C686</f>
        <v>403150_2019_12_</v>
      </c>
      <c r="C403" s="1962" t="str">
        <f>'Income Eligible Deemed Table'!G686</f>
        <v>Cooling RES</v>
      </c>
      <c r="D403" s="1962" t="str">
        <f>'Income Eligible Deemed Table'!G687</f>
        <v>Heating RES</v>
      </c>
      <c r="E403" s="1962"/>
      <c r="F403" s="1962"/>
      <c r="G403" s="1962" t="str">
        <f>'Income Eligible Deemed Table'!E686</f>
        <v>HP tune-up / Indoor Coil (Evaporator) Cleaning SF</v>
      </c>
      <c r="H403" s="63" t="str">
        <f>'Income Eligible Deemed Table'!D686</f>
        <v>SFIE</v>
      </c>
      <c r="I403" s="2438">
        <f t="shared" si="621"/>
        <v>175.56</v>
      </c>
      <c r="J403" s="2438">
        <f t="shared" si="622"/>
        <v>0</v>
      </c>
      <c r="K403" s="2439">
        <f>'Income Eligible Deemed Table'!F686</f>
        <v>97.83</v>
      </c>
      <c r="L403" s="2439">
        <f>'Income Eligible Deemed Table'!F687</f>
        <v>77.73</v>
      </c>
      <c r="M403" s="2439"/>
      <c r="N403" s="2439"/>
      <c r="O403" s="2440">
        <f t="shared" si="618"/>
        <v>9.2686000000000004E-2</v>
      </c>
      <c r="P403" s="2440">
        <f t="shared" si="619"/>
        <v>0</v>
      </c>
      <c r="Q403" s="2441">
        <f>'Income Eligible Deemed Table'!I686</f>
        <v>9.2686000000000004E-2</v>
      </c>
      <c r="R403" s="2441">
        <f>'Income Eligible Deemed Table'!I687</f>
        <v>0</v>
      </c>
      <c r="S403" s="2441"/>
      <c r="T403" s="2441"/>
      <c r="U403" s="1819">
        <v>0</v>
      </c>
      <c r="V403" s="1819">
        <v>0</v>
      </c>
      <c r="W403" s="1819">
        <v>0</v>
      </c>
      <c r="X403" s="68">
        <f>'Income Eligible Deemed Table'!J686</f>
        <v>2</v>
      </c>
      <c r="Y403" s="68"/>
      <c r="Z403" s="68">
        <f t="shared" si="623"/>
        <v>2</v>
      </c>
      <c r="AA403" s="62">
        <f>'Income Eligible Deemed Table'!BB686</f>
        <v>0.35573782152018651</v>
      </c>
      <c r="AB403" s="839">
        <f>'Income Eligible Deemed Table'!K686</f>
        <v>63</v>
      </c>
      <c r="AC403" s="3617">
        <f t="shared" si="600"/>
        <v>21.152886036594381</v>
      </c>
      <c r="AD403" s="3617">
        <f t="shared" si="601"/>
        <v>0</v>
      </c>
      <c r="AE403" s="1661">
        <f>'Income Eligible Deemed Table'!BD686</f>
        <v>16.740756619225923</v>
      </c>
      <c r="AF403" s="2453">
        <f>'Income Eligible Deemed Table'!BD687</f>
        <v>4.4121294173684564</v>
      </c>
      <c r="AG403" s="2453"/>
      <c r="AH403" s="2453"/>
      <c r="AI403" s="684" t="str">
        <f>'Income Eligible Deemed Table'!L686</f>
        <v>per measure</v>
      </c>
      <c r="AJ403" s="1930"/>
      <c r="AK403" s="1930"/>
      <c r="AL403" s="1930"/>
      <c r="AM403" s="1972">
        <f t="shared" si="604"/>
        <v>9.4741810000000004E-4</v>
      </c>
      <c r="AN403" s="100">
        <f t="shared" si="620"/>
        <v>9.2685912723000002E-2</v>
      </c>
      <c r="AO403" s="1971">
        <f t="shared" si="599"/>
        <v>-8.7277000002106142E-8</v>
      </c>
    </row>
    <row r="404" spans="1:41" x14ac:dyDescent="0.25">
      <c r="A404" s="103" t="str">
        <f t="shared" si="617"/>
        <v>403200</v>
      </c>
      <c r="B404" s="684" t="str">
        <f>'Income Eligible Deemed Table'!C688</f>
        <v>403200_2019_12_</v>
      </c>
      <c r="C404" s="1962" t="str">
        <f>'Income Eligible Deemed Table'!G688</f>
        <v>Cooling RES</v>
      </c>
      <c r="D404" s="1962" t="str">
        <f>'Income Eligible Deemed Table'!G689</f>
        <v>Heating RES</v>
      </c>
      <c r="E404" s="1962"/>
      <c r="F404" s="1962"/>
      <c r="G404" s="1962" t="str">
        <f>'Income Eligible Deemed Table'!E688</f>
        <v>HP tune-up / Indoor Coil (Evaporator) Cleaning MF</v>
      </c>
      <c r="H404" s="63" t="str">
        <f>'Income Eligible Deemed Table'!D688</f>
        <v>MFIE</v>
      </c>
      <c r="I404" s="2438">
        <f t="shared" si="621"/>
        <v>108.12</v>
      </c>
      <c r="J404" s="2438">
        <f t="shared" si="622"/>
        <v>0</v>
      </c>
      <c r="K404" s="2439">
        <f>'Income Eligible Deemed Table'!F688</f>
        <v>60.25</v>
      </c>
      <c r="L404" s="2439">
        <f>'Income Eligible Deemed Table'!F689</f>
        <v>47.87</v>
      </c>
      <c r="M404" s="2439"/>
      <c r="N404" s="2439"/>
      <c r="O404" s="2440">
        <f t="shared" si="618"/>
        <v>5.7082000000000001E-2</v>
      </c>
      <c r="P404" s="2440">
        <f t="shared" si="619"/>
        <v>0</v>
      </c>
      <c r="Q404" s="2441">
        <f>'Income Eligible Deemed Table'!I688</f>
        <v>5.7082000000000001E-2</v>
      </c>
      <c r="R404" s="2441">
        <f>'Income Eligible Deemed Table'!I689</f>
        <v>0</v>
      </c>
      <c r="S404" s="2441"/>
      <c r="T404" s="2441"/>
      <c r="U404" s="1819">
        <v>0</v>
      </c>
      <c r="V404" s="1819">
        <v>0</v>
      </c>
      <c r="W404" s="1819">
        <v>0</v>
      </c>
      <c r="X404" s="68">
        <f>'Income Eligible Deemed Table'!J688</f>
        <v>2</v>
      </c>
      <c r="Y404" s="68"/>
      <c r="Z404" s="68">
        <f t="shared" si="623"/>
        <v>2</v>
      </c>
      <c r="AA404" s="62">
        <f>'Income Eligible Deemed Table'!BB688</f>
        <v>0.2190851309322446</v>
      </c>
      <c r="AB404" s="839">
        <f>'Income Eligible Deemed Table'!K688</f>
        <v>63</v>
      </c>
      <c r="AC404" s="3617">
        <f t="shared" si="600"/>
        <v>13.027242330090996</v>
      </c>
      <c r="AD404" s="3617">
        <f t="shared" si="601"/>
        <v>0</v>
      </c>
      <c r="AE404" s="1661">
        <f>'Income Eligible Deemed Table'!BD688</f>
        <v>10.310033592030685</v>
      </c>
      <c r="AF404" s="2453">
        <f>'Income Eligible Deemed Table'!BD689</f>
        <v>2.7172087380603109</v>
      </c>
      <c r="AG404" s="2453"/>
      <c r="AH404" s="2453"/>
      <c r="AI404" s="684" t="str">
        <f>'Income Eligible Deemed Table'!L688</f>
        <v>per measure</v>
      </c>
      <c r="AJ404" s="1930"/>
      <c r="AK404" s="1930"/>
      <c r="AL404" s="1930"/>
      <c r="AM404" s="1972">
        <f t="shared" si="604"/>
        <v>9.4741810000000004E-4</v>
      </c>
      <c r="AN404" s="100">
        <f t="shared" si="620"/>
        <v>5.7081940524999999E-2</v>
      </c>
      <c r="AO404" s="1971">
        <f t="shared" si="599"/>
        <v>-5.9475000001307787E-8</v>
      </c>
    </row>
    <row r="405" spans="1:41" x14ac:dyDescent="0.25">
      <c r="A405" s="103" t="str">
        <f t="shared" si="617"/>
        <v>403201</v>
      </c>
      <c r="B405" s="684" t="str">
        <f>'Income Eligible Deemed Table'!C690</f>
        <v>403201_2019_12_</v>
      </c>
      <c r="C405" s="1962" t="str">
        <f>'Income Eligible Deemed Table'!G690</f>
        <v>Cooling RES</v>
      </c>
      <c r="D405" s="1962" t="str">
        <f>'Income Eligible Deemed Table'!G691</f>
        <v>Heating RES</v>
      </c>
      <c r="E405" s="1962"/>
      <c r="F405" s="1962"/>
      <c r="G405" s="1962" t="str">
        <f>'Income Eligible Deemed Table'!E690</f>
        <v>HP tune-up / Indoor Coil (Evaporator) Cleaning MF_CompE</v>
      </c>
      <c r="H405" s="63" t="str">
        <f>'Income Eligible Deemed Table'!D690</f>
        <v>MFIEc</v>
      </c>
      <c r="I405" s="2438">
        <f t="shared" si="621"/>
        <v>60.14</v>
      </c>
      <c r="J405" s="2438">
        <f t="shared" si="622"/>
        <v>0</v>
      </c>
      <c r="K405" s="2439">
        <f>'Income Eligible Deemed Table'!F690</f>
        <v>43.82</v>
      </c>
      <c r="L405" s="2439">
        <f>'Income Eligible Deemed Table'!F691</f>
        <v>16.32</v>
      </c>
      <c r="M405" s="2439"/>
      <c r="N405" s="2439"/>
      <c r="O405" s="2440">
        <f t="shared" si="618"/>
        <v>4.1515999999999997E-2</v>
      </c>
      <c r="P405" s="2440">
        <f t="shared" si="619"/>
        <v>0</v>
      </c>
      <c r="Q405" s="2441">
        <f>'Income Eligible Deemed Table'!I690</f>
        <v>4.1515999999999997E-2</v>
      </c>
      <c r="R405" s="2441">
        <f>'Income Eligible Deemed Table'!I691</f>
        <v>0</v>
      </c>
      <c r="S405" s="2441"/>
      <c r="T405" s="2441"/>
      <c r="U405" s="1819">
        <v>0</v>
      </c>
      <c r="V405" s="1819">
        <v>0</v>
      </c>
      <c r="W405" s="1819">
        <v>0</v>
      </c>
      <c r="X405" s="68">
        <f>'Income Eligible Deemed Table'!J690</f>
        <v>2</v>
      </c>
      <c r="Y405" s="68"/>
      <c r="Z405" s="68">
        <f t="shared" si="623"/>
        <v>2</v>
      </c>
      <c r="AA405" s="62">
        <f>'Income Eligible Deemed Table'!BB690</f>
        <v>0.14168503866104951</v>
      </c>
      <c r="AB405" s="839">
        <f>'Income Eligible Deemed Table'!K690</f>
        <v>63</v>
      </c>
      <c r="AC405" s="3617">
        <f t="shared" si="600"/>
        <v>8.424877239873636</v>
      </c>
      <c r="AD405" s="3617">
        <f t="shared" si="601"/>
        <v>0</v>
      </c>
      <c r="AE405" s="1661">
        <f>'Income Eligible Deemed Table'!BD690</f>
        <v>7.4985173776395788</v>
      </c>
      <c r="AF405" s="2453">
        <f>'Income Eligible Deemed Table'!BD691</f>
        <v>0.92635986223405642</v>
      </c>
      <c r="AG405" s="2453"/>
      <c r="AH405" s="2453"/>
      <c r="AI405" s="684" t="str">
        <f>'Income Eligible Deemed Table'!L690</f>
        <v>per measure</v>
      </c>
      <c r="AJ405" s="1930"/>
      <c r="AK405" s="1930"/>
      <c r="AL405" s="1930"/>
      <c r="AM405" s="1972">
        <f t="shared" si="604"/>
        <v>9.4741810000000004E-4</v>
      </c>
      <c r="AN405" s="100">
        <f t="shared" si="620"/>
        <v>4.1515861142000003E-2</v>
      </c>
      <c r="AO405" s="1971">
        <f t="shared" si="599"/>
        <v>-1.3885799999419079E-7</v>
      </c>
    </row>
    <row r="406" spans="1:41" x14ac:dyDescent="0.25">
      <c r="A406" s="103" t="str">
        <f t="shared" si="617"/>
        <v>403250</v>
      </c>
      <c r="B406" s="684" t="str">
        <f>'Income Eligible Deemed Table'!C692</f>
        <v>403250_2019_12_</v>
      </c>
      <c r="C406" s="1962" t="str">
        <f>'Income Eligible Deemed Table'!G692</f>
        <v>Cooling RES</v>
      </c>
      <c r="D406" s="1962" t="str">
        <f>'Income Eligible Deemed Table'!G693</f>
        <v>Heating RES</v>
      </c>
      <c r="E406" s="1962"/>
      <c r="F406" s="1962"/>
      <c r="G406" s="1962" t="str">
        <f>'Income Eligible Deemed Table'!E692</f>
        <v>HP tune-up / Outdoor Coil (Condenser) Cleaning SF</v>
      </c>
      <c r="H406" s="63" t="str">
        <f>'Income Eligible Deemed Table'!D692</f>
        <v>SFIE</v>
      </c>
      <c r="I406" s="2438">
        <f t="shared" si="621"/>
        <v>355.7</v>
      </c>
      <c r="J406" s="2438">
        <f t="shared" si="622"/>
        <v>0</v>
      </c>
      <c r="K406" s="2439">
        <f>'Income Eligible Deemed Table'!F692</f>
        <v>195.66</v>
      </c>
      <c r="L406" s="2439">
        <f>'Income Eligible Deemed Table'!F693</f>
        <v>160.04</v>
      </c>
      <c r="M406" s="2439"/>
      <c r="N406" s="2439"/>
      <c r="O406" s="2440">
        <f t="shared" si="618"/>
        <v>0.18537200000000001</v>
      </c>
      <c r="P406" s="2440">
        <f t="shared" si="619"/>
        <v>0</v>
      </c>
      <c r="Q406" s="2441">
        <f>'Income Eligible Deemed Table'!I692</f>
        <v>0.18537200000000001</v>
      </c>
      <c r="R406" s="2441">
        <f>'Income Eligible Deemed Table'!I693</f>
        <v>0</v>
      </c>
      <c r="S406" s="2441"/>
      <c r="T406" s="2441"/>
      <c r="U406" s="1819">
        <v>0</v>
      </c>
      <c r="V406" s="1819">
        <v>0</v>
      </c>
      <c r="W406" s="1819">
        <v>0</v>
      </c>
      <c r="X406" s="68">
        <f>'Income Eligible Deemed Table'!J692</f>
        <v>2</v>
      </c>
      <c r="Y406" s="68"/>
      <c r="Z406" s="68">
        <f t="shared" si="623"/>
        <v>2</v>
      </c>
      <c r="AA406" s="62">
        <f>'Income Eligible Deemed Table'!BB692</f>
        <v>1.4547872541972628</v>
      </c>
      <c r="AB406" s="839">
        <f>'Income Eligible Deemed Table'!K692</f>
        <v>31</v>
      </c>
      <c r="AC406" s="3617">
        <f t="shared" si="600"/>
        <v>42.56574316197748</v>
      </c>
      <c r="AD406" s="3617">
        <f t="shared" si="601"/>
        <v>0</v>
      </c>
      <c r="AE406" s="1661">
        <f>'Income Eligible Deemed Table'!BD692</f>
        <v>33.481513238451846</v>
      </c>
      <c r="AF406" s="2453">
        <f>'Income Eligible Deemed Table'!BD693</f>
        <v>9.0842299235256352</v>
      </c>
      <c r="AG406" s="2453"/>
      <c r="AH406" s="2453"/>
      <c r="AI406" s="684" t="str">
        <f>'Income Eligible Deemed Table'!L692</f>
        <v>per measure</v>
      </c>
      <c r="AJ406" s="1930"/>
      <c r="AK406" s="1930"/>
      <c r="AL406" s="1930"/>
      <c r="AM406" s="1972">
        <f t="shared" si="604"/>
        <v>9.4741810000000004E-4</v>
      </c>
      <c r="AN406" s="100">
        <f t="shared" si="620"/>
        <v>0.185371825446</v>
      </c>
      <c r="AO406" s="1971">
        <f t="shared" si="599"/>
        <v>-1.7455400000421228E-7</v>
      </c>
    </row>
    <row r="407" spans="1:41" x14ac:dyDescent="0.25">
      <c r="A407" s="103" t="str">
        <f t="shared" si="617"/>
        <v>403300</v>
      </c>
      <c r="B407" s="684" t="str">
        <f>'Income Eligible Deemed Table'!C694</f>
        <v>403300_2019_12_</v>
      </c>
      <c r="C407" s="1962" t="str">
        <f>'Income Eligible Deemed Table'!G694</f>
        <v>Cooling RES</v>
      </c>
      <c r="D407" s="1962" t="str">
        <f>'Income Eligible Deemed Table'!G695</f>
        <v>Heating RES</v>
      </c>
      <c r="E407" s="1962"/>
      <c r="F407" s="1962"/>
      <c r="G407" s="1962" t="str">
        <f>'Income Eligible Deemed Table'!E694</f>
        <v>HP tune-up / Outdoor Coil (Condenser) Cleaning MF</v>
      </c>
      <c r="H407" s="63" t="str">
        <f>'Income Eligible Deemed Table'!D694</f>
        <v>MFIE</v>
      </c>
      <c r="I407" s="2438">
        <f t="shared" si="621"/>
        <v>219.07</v>
      </c>
      <c r="J407" s="2438">
        <f t="shared" si="622"/>
        <v>0</v>
      </c>
      <c r="K407" s="2439">
        <f>'Income Eligible Deemed Table'!F694</f>
        <v>120.5</v>
      </c>
      <c r="L407" s="2439">
        <f>'Income Eligible Deemed Table'!F695</f>
        <v>98.57</v>
      </c>
      <c r="M407" s="2439"/>
      <c r="N407" s="2439"/>
      <c r="O407" s="2440">
        <f t="shared" si="618"/>
        <v>0.114164</v>
      </c>
      <c r="P407" s="2440">
        <f t="shared" si="619"/>
        <v>0</v>
      </c>
      <c r="Q407" s="2441">
        <f>'Income Eligible Deemed Table'!I694</f>
        <v>0.114164</v>
      </c>
      <c r="R407" s="2441">
        <f>'Income Eligible Deemed Table'!I695</f>
        <v>0</v>
      </c>
      <c r="S407" s="2441"/>
      <c r="T407" s="2441"/>
      <c r="U407" s="1819">
        <v>0</v>
      </c>
      <c r="V407" s="1819">
        <v>0</v>
      </c>
      <c r="W407" s="1819">
        <v>0</v>
      </c>
      <c r="X407" s="68">
        <f>'Income Eligible Deemed Table'!J694</f>
        <v>2</v>
      </c>
      <c r="Y407" s="68"/>
      <c r="Z407" s="68">
        <f t="shared" si="623"/>
        <v>2</v>
      </c>
      <c r="AA407" s="62">
        <f>'Income Eligible Deemed Table'!BB694</f>
        <v>0.89596521180051769</v>
      </c>
      <c r="AB407" s="839">
        <f>'Income Eligible Deemed Table'!K694</f>
        <v>31</v>
      </c>
      <c r="AC407" s="3617">
        <f t="shared" si="600"/>
        <v>26.215121817664979</v>
      </c>
      <c r="AD407" s="3617">
        <f t="shared" si="601"/>
        <v>0</v>
      </c>
      <c r="AE407" s="1661">
        <f>'Income Eligible Deemed Table'!BD694</f>
        <v>20.620067184061369</v>
      </c>
      <c r="AF407" s="2453">
        <f>'Income Eligible Deemed Table'!BD695</f>
        <v>5.5950546336036107</v>
      </c>
      <c r="AG407" s="2453"/>
      <c r="AH407" s="2453"/>
      <c r="AI407" s="684" t="str">
        <f>'Income Eligible Deemed Table'!L694</f>
        <v>per measure</v>
      </c>
      <c r="AJ407" s="1930"/>
      <c r="AK407" s="1930"/>
      <c r="AL407" s="1930"/>
      <c r="AM407" s="1972">
        <f t="shared" si="604"/>
        <v>9.4741810000000004E-4</v>
      </c>
      <c r="AN407" s="100">
        <f t="shared" si="620"/>
        <v>0.11416388105</v>
      </c>
      <c r="AO407" s="1971">
        <f t="shared" si="599"/>
        <v>-1.1895000000261557E-7</v>
      </c>
    </row>
    <row r="408" spans="1:41" x14ac:dyDescent="0.25">
      <c r="A408" s="103" t="str">
        <f t="shared" si="617"/>
        <v>403301</v>
      </c>
      <c r="B408" s="684" t="str">
        <f>'Income Eligible Deemed Table'!C696</f>
        <v>403301_2019_12_</v>
      </c>
      <c r="C408" s="1962" t="str">
        <f>'Income Eligible Deemed Table'!G696</f>
        <v>Cooling RES</v>
      </c>
      <c r="D408" s="1962" t="str">
        <f>'Income Eligible Deemed Table'!G697</f>
        <v>Heating RES</v>
      </c>
      <c r="E408" s="1962"/>
      <c r="F408" s="1962"/>
      <c r="G408" s="1962" t="str">
        <f>'Income Eligible Deemed Table'!E696</f>
        <v>HP tune-up / Outdoor Coil (Condenser) Cleaning MF_CompE</v>
      </c>
      <c r="H408" s="63" t="str">
        <f>'Income Eligible Deemed Table'!D696</f>
        <v>MFIEc</v>
      </c>
      <c r="I408" s="2438">
        <f t="shared" si="621"/>
        <v>121.24000000000001</v>
      </c>
      <c r="J408" s="2438">
        <f t="shared" si="622"/>
        <v>0</v>
      </c>
      <c r="K408" s="2439">
        <f>'Income Eligible Deemed Table'!F696</f>
        <v>87.64</v>
      </c>
      <c r="L408" s="2439">
        <f>'Income Eligible Deemed Table'!F697</f>
        <v>33.6</v>
      </c>
      <c r="M408" s="2439"/>
      <c r="N408" s="2439"/>
      <c r="O408" s="2440">
        <f t="shared" si="618"/>
        <v>8.3031999999999995E-2</v>
      </c>
      <c r="P408" s="2440">
        <f t="shared" si="619"/>
        <v>0</v>
      </c>
      <c r="Q408" s="2441">
        <f>'Income Eligible Deemed Table'!I696</f>
        <v>8.3031999999999995E-2</v>
      </c>
      <c r="R408" s="2441">
        <f>'Income Eligible Deemed Table'!I697</f>
        <v>0</v>
      </c>
      <c r="S408" s="2441"/>
      <c r="T408" s="2441"/>
      <c r="U408" s="1819">
        <v>0</v>
      </c>
      <c r="V408" s="1819">
        <v>0</v>
      </c>
      <c r="W408" s="1819">
        <v>0</v>
      </c>
      <c r="X408" s="68">
        <f>'Income Eligible Deemed Table'!J696</f>
        <v>2</v>
      </c>
      <c r="Y408" s="68"/>
      <c r="Z408" s="68">
        <f t="shared" si="623"/>
        <v>2</v>
      </c>
      <c r="AA408" s="62">
        <f>'Income Eligible Deemed Table'!BB696</f>
        <v>0.57774351249716316</v>
      </c>
      <c r="AB408" s="839">
        <f>'Income Eligible Deemed Table'!K696</f>
        <v>31</v>
      </c>
      <c r="AC408" s="3617">
        <f t="shared" si="600"/>
        <v>16.904246236349273</v>
      </c>
      <c r="AD408" s="3617">
        <f t="shared" si="601"/>
        <v>0</v>
      </c>
      <c r="AE408" s="1661">
        <f>'Income Eligible Deemed Table'!BD696</f>
        <v>14.997034755279158</v>
      </c>
      <c r="AF408" s="2453">
        <f>'Income Eligible Deemed Table'!BD697</f>
        <v>1.9072114810701162</v>
      </c>
      <c r="AG408" s="2453"/>
      <c r="AH408" s="2453"/>
      <c r="AI408" s="684" t="str">
        <f>'Income Eligible Deemed Table'!L696</f>
        <v>per measure</v>
      </c>
      <c r="AJ408" s="1930"/>
      <c r="AK408" s="1930"/>
      <c r="AL408" s="1930"/>
      <c r="AM408" s="1972">
        <f t="shared" si="604"/>
        <v>9.4741810000000004E-4</v>
      </c>
      <c r="AN408" s="100">
        <f t="shared" si="620"/>
        <v>8.3031722284000006E-2</v>
      </c>
      <c r="AO408" s="1971">
        <f t="shared" si="599"/>
        <v>-2.7771599998838159E-7</v>
      </c>
    </row>
    <row r="409" spans="1:41" s="100" customFormat="1" x14ac:dyDescent="0.25">
      <c r="A409" s="103" t="str">
        <f t="shared" si="617"/>
        <v>403310</v>
      </c>
      <c r="B409" s="1960" t="str">
        <f>'Income Eligible Deemed Table'!C698</f>
        <v>403310_2021_12</v>
      </c>
      <c r="C409" s="1958" t="str">
        <f>'Income Eligible Deemed Table'!G698</f>
        <v>Cooling RES</v>
      </c>
      <c r="D409" s="1958" t="str">
        <f>'Income Eligible Deemed Table'!G699</f>
        <v>Heating RES</v>
      </c>
      <c r="E409" s="1958"/>
      <c r="F409" s="1958"/>
      <c r="G409" s="1958" t="str">
        <f>'Income Eligible Deemed Table'!E698</f>
        <v>HP tune-up / Packaged Service SF</v>
      </c>
      <c r="H409" s="1975" t="str">
        <f>'Income Eligible Deemed Table'!D698</f>
        <v>SFIE</v>
      </c>
      <c r="I409" s="1973">
        <f t="shared" ref="I409" si="624">K409+L409</f>
        <v>1548.03</v>
      </c>
      <c r="J409" s="1973">
        <f t="shared" ref="J409" si="625">M409+N409</f>
        <v>0</v>
      </c>
      <c r="K409" s="1963">
        <f>'Income Eligible Deemed Table'!F698</f>
        <v>367.93</v>
      </c>
      <c r="L409" s="1963">
        <f>'Income Eligible Deemed Table'!F699</f>
        <v>1180.0999999999999</v>
      </c>
      <c r="M409" s="1963"/>
      <c r="N409" s="1963"/>
      <c r="O409" s="1974">
        <f t="shared" ref="O409" si="626">Q409+R409</f>
        <v>0.348584</v>
      </c>
      <c r="P409" s="1974">
        <f t="shared" ref="P409" si="627">S409+T409</f>
        <v>0</v>
      </c>
      <c r="Q409" s="1976">
        <f>'Income Eligible Deemed Table'!I698</f>
        <v>0.348584</v>
      </c>
      <c r="R409" s="1976">
        <f>'Income Eligible Deemed Table'!I699</f>
        <v>0</v>
      </c>
      <c r="S409" s="1976"/>
      <c r="T409" s="1976"/>
      <c r="U409" s="1926">
        <v>0</v>
      </c>
      <c r="V409" s="1926">
        <v>0</v>
      </c>
      <c r="W409" s="1926">
        <v>0</v>
      </c>
      <c r="X409" s="1952">
        <f>'Income Eligible Deemed Table'!J698</f>
        <v>2</v>
      </c>
      <c r="Y409" s="1952"/>
      <c r="Z409" s="1952">
        <f t="shared" ref="Z409" si="628">Y409+X409</f>
        <v>2</v>
      </c>
      <c r="AA409" s="1951">
        <f>'Income Eligible Deemed Table'!BB698</f>
        <v>0.7442021689556152</v>
      </c>
      <c r="AB409" s="2426">
        <f>'Income Eligible Deemed Table'!K698</f>
        <v>185</v>
      </c>
      <c r="AC409" s="2432">
        <f t="shared" ref="AC409" si="629">AE409+AF409</f>
        <v>129.94563591957413</v>
      </c>
      <c r="AD409" s="2432">
        <f t="shared" ref="AD409" si="630">AG409+AH409</f>
        <v>0</v>
      </c>
      <c r="AE409" s="2452">
        <f>'Income Eligible Deemed Table'!BD698</f>
        <v>62.960508871632364</v>
      </c>
      <c r="AF409" s="1982">
        <f>'Income Eligible Deemed Table'!BD699</f>
        <v>66.985127047941774</v>
      </c>
      <c r="AG409" s="1982"/>
      <c r="AH409" s="1982"/>
      <c r="AI409" s="1960" t="str">
        <f>'Income Eligible Deemed Table'!L698</f>
        <v>per measure</v>
      </c>
      <c r="AM409" s="2433">
        <f t="shared" si="604"/>
        <v>9.4741810000000004E-4</v>
      </c>
      <c r="AN409" s="100">
        <f t="shared" ref="AN409" si="631">AM409*K409</f>
        <v>0.34858354153300003</v>
      </c>
      <c r="AO409" s="2437">
        <f t="shared" ref="AO409" si="632">AN409-O409</f>
        <v>-4.5846699997520446E-7</v>
      </c>
    </row>
    <row r="410" spans="1:41" s="100" customFormat="1" x14ac:dyDescent="0.25">
      <c r="A410" s="103" t="str">
        <f t="shared" si="617"/>
        <v>403311</v>
      </c>
      <c r="B410" s="1960" t="str">
        <f>'Income Eligible Deemed Table'!C700</f>
        <v>403311_2021_12</v>
      </c>
      <c r="C410" s="1958" t="str">
        <f>'Income Eligible Deemed Table'!G700</f>
        <v>Cooling RES</v>
      </c>
      <c r="D410" s="1958" t="str">
        <f>'Income Eligible Deemed Table'!G701</f>
        <v>Heating RES</v>
      </c>
      <c r="E410" s="1958"/>
      <c r="F410" s="1958"/>
      <c r="G410" s="1958" t="str">
        <f>'Income Eligible Deemed Table'!E700</f>
        <v>HP tune-up / Packaged Service MF</v>
      </c>
      <c r="H410" s="1975" t="str">
        <f>'Income Eligible Deemed Table'!D700</f>
        <v>MFIE</v>
      </c>
      <c r="I410" s="1973">
        <f t="shared" ref="I410" si="633">K410+L410</f>
        <v>953.4</v>
      </c>
      <c r="J410" s="1973">
        <f t="shared" ref="J410" si="634">M410+N410</f>
        <v>0</v>
      </c>
      <c r="K410" s="1963">
        <f>'Income Eligible Deemed Table'!F700</f>
        <v>226.6</v>
      </c>
      <c r="L410" s="1963">
        <f>'Income Eligible Deemed Table'!F701</f>
        <v>726.8</v>
      </c>
      <c r="M410" s="1963"/>
      <c r="N410" s="1963"/>
      <c r="O410" s="1974">
        <f t="shared" ref="O410" si="635">Q410+R410</f>
        <v>0.21468499999999999</v>
      </c>
      <c r="P410" s="1974">
        <f t="shared" ref="P410" si="636">S410+T410</f>
        <v>0</v>
      </c>
      <c r="Q410" s="1976">
        <f>'Income Eligible Deemed Table'!I700</f>
        <v>0.21468499999999999</v>
      </c>
      <c r="R410" s="1976">
        <f>'Income Eligible Deemed Table'!I701</f>
        <v>0</v>
      </c>
      <c r="S410" s="1976"/>
      <c r="T410" s="1976"/>
      <c r="U410" s="1926">
        <v>0</v>
      </c>
      <c r="V410" s="1926">
        <v>0</v>
      </c>
      <c r="W410" s="1926">
        <v>0</v>
      </c>
      <c r="X410" s="1952">
        <f>'Income Eligible Deemed Table'!J700</f>
        <v>2</v>
      </c>
      <c r="Y410" s="1952"/>
      <c r="Z410" s="1952">
        <f t="shared" ref="Z410" si="637">Y410+X410</f>
        <v>2</v>
      </c>
      <c r="AA410" s="1951">
        <f>'Income Eligible Deemed Table'!BB700</f>
        <v>0.45833852187516361</v>
      </c>
      <c r="AB410" s="2426">
        <f>'Income Eligible Deemed Table'!K700</f>
        <v>185</v>
      </c>
      <c r="AC410" s="2432">
        <f t="shared" ref="AC410" si="638">AE410+AF410</f>
        <v>80.030794286838372</v>
      </c>
      <c r="AD410" s="2432">
        <f t="shared" ref="AD410" si="639">AG410+AH410</f>
        <v>0</v>
      </c>
      <c r="AE410" s="2452">
        <f>'Income Eligible Deemed Table'!BD700</f>
        <v>38.77599355940503</v>
      </c>
      <c r="AF410" s="1982">
        <f>'Income Eligible Deemed Table'!BD701</f>
        <v>41.254800727433341</v>
      </c>
      <c r="AG410" s="1982"/>
      <c r="AH410" s="1982"/>
      <c r="AI410" s="1960" t="str">
        <f>'Income Eligible Deemed Table'!L700</f>
        <v>per measure</v>
      </c>
      <c r="AM410" s="2433">
        <f t="shared" si="604"/>
        <v>9.4741810000000004E-4</v>
      </c>
      <c r="AN410" s="100">
        <f t="shared" ref="AN410" si="640">AM410*K410</f>
        <v>0.21468494146</v>
      </c>
      <c r="AO410" s="2437">
        <f t="shared" ref="AO410" si="641">AN410-O410</f>
        <v>-5.8539999986395586E-8</v>
      </c>
    </row>
    <row r="411" spans="1:41" s="100" customFormat="1" x14ac:dyDescent="0.25">
      <c r="A411" s="103" t="str">
        <f t="shared" si="617"/>
        <v>403312</v>
      </c>
      <c r="B411" s="1960" t="str">
        <f>'Income Eligible Deemed Table'!C702</f>
        <v>403312_2021_12</v>
      </c>
      <c r="C411" s="1958" t="str">
        <f>'Income Eligible Deemed Table'!G702</f>
        <v>Cooling RES</v>
      </c>
      <c r="D411" s="1958" t="str">
        <f>'Income Eligible Deemed Table'!G703</f>
        <v>Heating RES</v>
      </c>
      <c r="E411" s="1958"/>
      <c r="F411" s="1958"/>
      <c r="G411" s="1958" t="str">
        <f>'Income Eligible Deemed Table'!E702</f>
        <v>HP tune-up / Packaged Service MF_CompE</v>
      </c>
      <c r="H411" s="1975" t="str">
        <f>'Income Eligible Deemed Table'!D702</f>
        <v>MFIEc</v>
      </c>
      <c r="I411" s="1973">
        <f t="shared" ref="I411" si="642">K411+L411</f>
        <v>412.57000000000005</v>
      </c>
      <c r="J411" s="1973">
        <f t="shared" ref="J411" si="643">M411+N411</f>
        <v>0</v>
      </c>
      <c r="K411" s="1963">
        <f>'Income Eligible Deemed Table'!F702</f>
        <v>164.8</v>
      </c>
      <c r="L411" s="1963">
        <f>'Income Eligible Deemed Table'!F703</f>
        <v>247.77</v>
      </c>
      <c r="M411" s="1963"/>
      <c r="N411" s="1963"/>
      <c r="O411" s="1974">
        <f t="shared" ref="O411" si="644">Q411+R411</f>
        <v>0.156135</v>
      </c>
      <c r="P411" s="1974">
        <f t="shared" ref="P411" si="645">S411+T411</f>
        <v>0</v>
      </c>
      <c r="Q411" s="1976">
        <f>'Income Eligible Deemed Table'!I702</f>
        <v>0.156135</v>
      </c>
      <c r="R411" s="1976">
        <f>'Income Eligible Deemed Table'!I703</f>
        <v>0</v>
      </c>
      <c r="S411" s="1976"/>
      <c r="T411" s="1976"/>
      <c r="U411" s="1926">
        <v>0</v>
      </c>
      <c r="V411" s="1926">
        <v>0</v>
      </c>
      <c r="W411" s="1926">
        <v>0</v>
      </c>
      <c r="X411" s="1952">
        <f>'Income Eligible Deemed Table'!J702</f>
        <v>2</v>
      </c>
      <c r="Y411" s="1952"/>
      <c r="Z411" s="1952">
        <f t="shared" ref="Z411" si="646">Y411+X411</f>
        <v>2</v>
      </c>
      <c r="AA411" s="1951">
        <f>'Income Eligible Deemed Table'!BB702</f>
        <v>0.24205110435464225</v>
      </c>
      <c r="AB411" s="2426">
        <f>'Income Eligible Deemed Table'!K702</f>
        <v>185</v>
      </c>
      <c r="AC411" s="2432">
        <f t="shared" ref="AC411" si="647">AE411+AF411</f>
        <v>42.264704394156496</v>
      </c>
      <c r="AD411" s="2432">
        <f t="shared" ref="AD411" si="648">AG411+AH411</f>
        <v>0</v>
      </c>
      <c r="AE411" s="2452">
        <f>'Income Eligible Deemed Table'!BD702</f>
        <v>28.200722588658206</v>
      </c>
      <c r="AF411" s="1982">
        <f>'Income Eligible Deemed Table'!BD703</f>
        <v>14.063981805498294</v>
      </c>
      <c r="AG411" s="1982"/>
      <c r="AH411" s="1982"/>
      <c r="AI411" s="1960" t="str">
        <f>'Income Eligible Deemed Table'!L702</f>
        <v>per measure</v>
      </c>
      <c r="AM411" s="2433">
        <f t="shared" ref="AM411:AM442" si="649">VLOOKUP(C411,$AS$10:$AT$33,2,FALSE)</f>
        <v>9.4741810000000004E-4</v>
      </c>
      <c r="AN411" s="100">
        <f t="shared" ref="AN411" si="650">AM411*K411</f>
        <v>0.15613450288000003</v>
      </c>
      <c r="AO411" s="2437">
        <f t="shared" ref="AO411" si="651">AN411-O411</f>
        <v>-4.9711999997037459E-7</v>
      </c>
    </row>
    <row r="412" spans="1:41" x14ac:dyDescent="0.25">
      <c r="A412" s="103" t="str">
        <f t="shared" si="617"/>
        <v>403350</v>
      </c>
      <c r="B412" s="684" t="str">
        <f>'Income Eligible Deemed Table'!C760</f>
        <v>403350_2019_12_</v>
      </c>
      <c r="C412" s="1962" t="str">
        <f>'Income Eligible Deemed Table'!G760</f>
        <v>Water heating RES</v>
      </c>
      <c r="D412" s="1962"/>
      <c r="E412" s="1962"/>
      <c r="F412" s="1962"/>
      <c r="G412" s="1962" t="str">
        <f>'Income Eligible Deemed Table'!E760</f>
        <v>Low Flow Bathroom Faucet Aerator MFIE</v>
      </c>
      <c r="H412" s="63" t="str">
        <f>'Income Eligible Deemed Table'!D760</f>
        <v>MFIE</v>
      </c>
      <c r="I412" s="2438">
        <f>'Income Eligible Deemed Table'!F760</f>
        <v>37.020000000000003</v>
      </c>
      <c r="J412" s="2438"/>
      <c r="K412" s="2439"/>
      <c r="L412" s="2439"/>
      <c r="M412" s="2439"/>
      <c r="N412" s="2439"/>
      <c r="O412" s="2440">
        <f>'Income Eligible Deemed Table'!J760</f>
        <v>3.2850000000000002E-3</v>
      </c>
      <c r="P412" s="2440"/>
      <c r="Q412" s="2441"/>
      <c r="R412" s="2441"/>
      <c r="S412" s="2441"/>
      <c r="T412" s="2441"/>
      <c r="U412" s="1819">
        <v>0</v>
      </c>
      <c r="V412" s="1819">
        <f t="shared" ref="V412:V427" si="652">O412</f>
        <v>3.2850000000000002E-3</v>
      </c>
      <c r="W412" s="1819">
        <v>0</v>
      </c>
      <c r="X412" s="68">
        <f>'Income Eligible Deemed Table'!K760</f>
        <v>11</v>
      </c>
      <c r="Y412" s="68"/>
      <c r="Z412" s="68">
        <f t="shared" si="623"/>
        <v>11</v>
      </c>
      <c r="AA412" s="62">
        <f>'Income Eligible Deemed Table'!BB760</f>
        <v>4.8410687977914924</v>
      </c>
      <c r="AB412" s="839">
        <f>'Income Eligible Deemed Table'!L760</f>
        <v>3</v>
      </c>
      <c r="AC412" s="3617">
        <f t="shared" si="600"/>
        <v>13.707603957880581</v>
      </c>
      <c r="AD412" s="3617">
        <f t="shared" si="601"/>
        <v>0</v>
      </c>
      <c r="AE412" s="1661">
        <f>'Income Eligible Deemed Table'!BD760</f>
        <v>13.707603957880581</v>
      </c>
      <c r="AF412" s="2453"/>
      <c r="AG412" s="2453"/>
      <c r="AH412" s="2453"/>
      <c r="AI412" s="3629" t="str">
        <f>'Income Eligible Deemed Table'!M760</f>
        <v>per measure</v>
      </c>
      <c r="AJ412" s="1930"/>
      <c r="AK412" s="1930"/>
      <c r="AL412" s="1930"/>
      <c r="AM412" s="1972">
        <f t="shared" si="649"/>
        <v>8.8731800000000003E-5</v>
      </c>
      <c r="AN412" s="1930">
        <f t="shared" ref="AN412:AN427" si="653">AM412*I412</f>
        <v>3.2848512360000004E-3</v>
      </c>
      <c r="AO412" s="1971">
        <f t="shared" si="599"/>
        <v>-1.4876399999971118E-7</v>
      </c>
    </row>
    <row r="413" spans="1:41" s="100" customFormat="1" x14ac:dyDescent="0.25">
      <c r="A413" s="103" t="str">
        <f t="shared" si="617"/>
        <v>403351</v>
      </c>
      <c r="B413" s="684" t="str">
        <f>'Income Eligible Deemed Table'!C761</f>
        <v>403351_2020_12_</v>
      </c>
      <c r="C413" s="1962" t="str">
        <f>'Income Eligible Deemed Table'!G761</f>
        <v>Water heating RES</v>
      </c>
      <c r="D413" s="1962"/>
      <c r="E413" s="1962"/>
      <c r="F413" s="1962"/>
      <c r="G413" s="1962" t="str">
        <f>'Income Eligible Deemed Table'!E761</f>
        <v>Low Flow Bathroom Faucet Aerator SFIE</v>
      </c>
      <c r="H413" s="63" t="str">
        <f>'Income Eligible Deemed Table'!D761</f>
        <v>SFIE</v>
      </c>
      <c r="I413" s="2438">
        <f>'Income Eligible Deemed Table'!F761</f>
        <v>37.020000000000003</v>
      </c>
      <c r="J413" s="2438"/>
      <c r="K413" s="2439"/>
      <c r="L413" s="2439"/>
      <c r="M413" s="2439"/>
      <c r="N413" s="2439"/>
      <c r="O413" s="2440">
        <f>'Income Eligible Deemed Table'!J761</f>
        <v>3.2850000000000002E-3</v>
      </c>
      <c r="P413" s="2440"/>
      <c r="Q413" s="2441"/>
      <c r="R413" s="2441"/>
      <c r="S413" s="2441"/>
      <c r="T413" s="2441"/>
      <c r="U413" s="1926">
        <v>0</v>
      </c>
      <c r="V413" s="1926">
        <f t="shared" ref="V413" si="654">O413</f>
        <v>3.2850000000000002E-3</v>
      </c>
      <c r="W413" s="1926">
        <v>0</v>
      </c>
      <c r="X413" s="68">
        <f>'Income Eligible Deemed Table'!K761</f>
        <v>11</v>
      </c>
      <c r="Y413" s="68"/>
      <c r="Z413" s="68">
        <f t="shared" ref="Z413" si="655">Y413+X413</f>
        <v>11</v>
      </c>
      <c r="AA413" s="62">
        <f>'Income Eligible Deemed Table'!BB761</f>
        <v>4.8410687977914924</v>
      </c>
      <c r="AB413" s="839">
        <f>'Income Eligible Deemed Table'!L761</f>
        <v>3</v>
      </c>
      <c r="AC413" s="3617">
        <f t="shared" ref="AC413" si="656">AE413+AF413</f>
        <v>13.707603957880581</v>
      </c>
      <c r="AD413" s="3617">
        <f t="shared" ref="AD413" si="657">AG413+AH413</f>
        <v>0</v>
      </c>
      <c r="AE413" s="1661">
        <f>'Income Eligible Deemed Table'!BD761</f>
        <v>13.707603957880581</v>
      </c>
      <c r="AF413" s="2453"/>
      <c r="AG413" s="2453"/>
      <c r="AH413" s="2453"/>
      <c r="AI413" s="3629" t="str">
        <f>'Income Eligible Deemed Table'!M761</f>
        <v>per measure</v>
      </c>
      <c r="AM413" s="2433">
        <f t="shared" si="649"/>
        <v>8.8731800000000003E-5</v>
      </c>
      <c r="AN413" s="100">
        <f t="shared" ref="AN413" si="658">AM413*I413</f>
        <v>3.2848512360000004E-3</v>
      </c>
      <c r="AO413" s="2437">
        <f t="shared" ref="AO413" si="659">AN413-O413</f>
        <v>-1.4876399999971118E-7</v>
      </c>
    </row>
    <row r="414" spans="1:41" x14ac:dyDescent="0.25">
      <c r="A414" s="103" t="str">
        <f t="shared" si="617"/>
        <v>403400</v>
      </c>
      <c r="B414" s="684" t="str">
        <f>'Income Eligible Deemed Table'!C762</f>
        <v>403400_2019_12_</v>
      </c>
      <c r="C414" s="1962" t="str">
        <f>'Income Eligible Deemed Table'!G762</f>
        <v>Water heating RES</v>
      </c>
      <c r="D414" s="1962"/>
      <c r="E414" s="1962"/>
      <c r="F414" s="1962"/>
      <c r="G414" s="1962" t="str">
        <f>'Income Eligible Deemed Table'!E762</f>
        <v>Low Flow Bathroom Faucet Aerator MFIE DI</v>
      </c>
      <c r="H414" s="63" t="str">
        <f>'Income Eligible Deemed Table'!D762</f>
        <v>MFIE DI</v>
      </c>
      <c r="I414" s="2438">
        <f>'Income Eligible Deemed Table'!F762</f>
        <v>35.17</v>
      </c>
      <c r="J414" s="2438"/>
      <c r="K414" s="2439"/>
      <c r="L414" s="2439"/>
      <c r="M414" s="2439"/>
      <c r="N414" s="2439"/>
      <c r="O414" s="2440">
        <f>'Income Eligible Deemed Table'!J762</f>
        <v>3.1210000000000001E-3</v>
      </c>
      <c r="P414" s="2440"/>
      <c r="Q414" s="2441"/>
      <c r="R414" s="2441"/>
      <c r="S414" s="2441"/>
      <c r="T414" s="2441"/>
      <c r="U414" s="1819">
        <v>0</v>
      </c>
      <c r="V414" s="1819">
        <f t="shared" si="652"/>
        <v>3.1210000000000001E-3</v>
      </c>
      <c r="W414" s="1819">
        <v>0</v>
      </c>
      <c r="X414" s="68">
        <f>'Income Eligible Deemed Table'!K762</f>
        <v>11</v>
      </c>
      <c r="Y414" s="68"/>
      <c r="Z414" s="68">
        <f t="shared" ref="Z414:Z428" si="660">Y414+X414</f>
        <v>11</v>
      </c>
      <c r="AA414" s="62">
        <f>'Income Eligible Deemed Table'!BB762</f>
        <v>1.217779203948774</v>
      </c>
      <c r="AB414" s="839">
        <f>'Income Eligible Deemed Table'!L762</f>
        <v>11.33</v>
      </c>
      <c r="AC414" s="3617">
        <f t="shared" si="600"/>
        <v>13.022594035620205</v>
      </c>
      <c r="AD414" s="3617">
        <f t="shared" si="601"/>
        <v>0</v>
      </c>
      <c r="AE414" s="1661">
        <f>'Income Eligible Deemed Table'!BD762</f>
        <v>13.022594035620205</v>
      </c>
      <c r="AF414" s="2453"/>
      <c r="AG414" s="2453"/>
      <c r="AH414" s="2453"/>
      <c r="AI414" s="3629" t="str">
        <f>'Income Eligible Deemed Table'!M762</f>
        <v>per measure</v>
      </c>
      <c r="AJ414" s="1930"/>
      <c r="AK414" s="1930"/>
      <c r="AL414" s="1930"/>
      <c r="AM414" s="1972">
        <f t="shared" si="649"/>
        <v>8.8731800000000003E-5</v>
      </c>
      <c r="AN414" s="1930">
        <f t="shared" si="653"/>
        <v>3.1206974060000001E-3</v>
      </c>
      <c r="AO414" s="1971">
        <f t="shared" si="599"/>
        <v>-3.0259399999999631E-7</v>
      </c>
    </row>
    <row r="415" spans="1:41" x14ac:dyDescent="0.25">
      <c r="A415" s="103" t="str">
        <f t="shared" si="617"/>
        <v>403450</v>
      </c>
      <c r="B415" s="684" t="str">
        <f>'Income Eligible Deemed Table'!C763</f>
        <v>403450_2019_12_</v>
      </c>
      <c r="C415" s="1962" t="str">
        <f>'Income Eligible Deemed Table'!G763</f>
        <v>Water heating RES</v>
      </c>
      <c r="D415" s="1962"/>
      <c r="E415" s="1962"/>
      <c r="F415" s="1962"/>
      <c r="G415" s="1962" t="str">
        <f>'Income Eligible Deemed Table'!E763</f>
        <v>Low Flow Bathroom Faucet Aerator SFIE DI</v>
      </c>
      <c r="H415" s="63" t="str">
        <f>'Income Eligible Deemed Table'!D763</f>
        <v>SFIE DI</v>
      </c>
      <c r="I415" s="2438">
        <f>'Income Eligible Deemed Table'!F763</f>
        <v>35.17</v>
      </c>
      <c r="J415" s="2438"/>
      <c r="K415" s="2439"/>
      <c r="L415" s="2439"/>
      <c r="M415" s="2439"/>
      <c r="N415" s="2439"/>
      <c r="O415" s="2440">
        <f>'Income Eligible Deemed Table'!J763</f>
        <v>3.1210000000000001E-3</v>
      </c>
      <c r="P415" s="2440"/>
      <c r="Q415" s="2441"/>
      <c r="R415" s="2441"/>
      <c r="S415" s="2441"/>
      <c r="T415" s="2441"/>
      <c r="U415" s="1819">
        <v>0</v>
      </c>
      <c r="V415" s="1819">
        <f t="shared" si="652"/>
        <v>3.1210000000000001E-3</v>
      </c>
      <c r="W415" s="1819">
        <v>0</v>
      </c>
      <c r="X415" s="68">
        <f>'Income Eligible Deemed Table'!K763</f>
        <v>11</v>
      </c>
      <c r="Y415" s="68"/>
      <c r="Z415" s="68">
        <f t="shared" si="660"/>
        <v>11</v>
      </c>
      <c r="AA415" s="62">
        <f>'Income Eligible Deemed Table'!BB763</f>
        <v>1.217779203948774</v>
      </c>
      <c r="AB415" s="839">
        <f>'Income Eligible Deemed Table'!L763</f>
        <v>11.33</v>
      </c>
      <c r="AC415" s="3617">
        <f t="shared" si="600"/>
        <v>13.022594035620205</v>
      </c>
      <c r="AD415" s="3617">
        <f t="shared" si="601"/>
        <v>0</v>
      </c>
      <c r="AE415" s="1661">
        <f>'Income Eligible Deemed Table'!BD763</f>
        <v>13.022594035620205</v>
      </c>
      <c r="AF415" s="2453"/>
      <c r="AG415" s="2453"/>
      <c r="AH415" s="2453"/>
      <c r="AI415" s="3629" t="str">
        <f>'Income Eligible Deemed Table'!M763</f>
        <v>per measure</v>
      </c>
      <c r="AJ415" s="1930"/>
      <c r="AK415" s="1930"/>
      <c r="AL415" s="1930"/>
      <c r="AM415" s="1972">
        <f t="shared" si="649"/>
        <v>8.8731800000000003E-5</v>
      </c>
      <c r="AN415" s="1930">
        <f t="shared" si="653"/>
        <v>3.1206974060000001E-3</v>
      </c>
      <c r="AO415" s="1971">
        <f t="shared" si="599"/>
        <v>-3.0259399999999631E-7</v>
      </c>
    </row>
    <row r="416" spans="1:41" s="100" customFormat="1" x14ac:dyDescent="0.25">
      <c r="A416" s="103" t="str">
        <f t="shared" si="617"/>
        <v>403470</v>
      </c>
      <c r="B416" s="684" t="str">
        <f>'Income Eligible Deemed Table'!C798</f>
        <v>403470_2020_12_</v>
      </c>
      <c r="C416" s="1962" t="str">
        <f>'Income Eligible Deemed Table'!G798</f>
        <v>Water Heating RES</v>
      </c>
      <c r="D416" s="1962"/>
      <c r="E416" s="1962"/>
      <c r="F416" s="1962"/>
      <c r="G416" s="1962" t="str">
        <f>'Income Eligible Deemed Table'!E798</f>
        <v>Low Flow Kitchen Faucet Aerator MFIE</v>
      </c>
      <c r="H416" s="63" t="str">
        <f>'Income Eligible Deemed Table'!D798</f>
        <v>MFIE</v>
      </c>
      <c r="I416" s="2438">
        <f>'Income Eligible Deemed Table'!F798</f>
        <v>116.88</v>
      </c>
      <c r="J416" s="2438"/>
      <c r="K416" s="2439"/>
      <c r="L416" s="2439"/>
      <c r="M416" s="2439"/>
      <c r="N416" s="2439"/>
      <c r="O416" s="2440">
        <f>'Income Eligible Deemed Table'!J798</f>
        <v>1.0371E-2</v>
      </c>
      <c r="P416" s="2440"/>
      <c r="Q416" s="2441"/>
      <c r="R416" s="2441"/>
      <c r="S416" s="2441"/>
      <c r="T416" s="2441"/>
      <c r="U416" s="1926">
        <v>0</v>
      </c>
      <c r="V416" s="1926">
        <f t="shared" ref="V416" si="661">O416</f>
        <v>1.0371E-2</v>
      </c>
      <c r="W416" s="1926">
        <v>0</v>
      </c>
      <c r="X416" s="68">
        <f>'Income Eligible Deemed Table'!K798</f>
        <v>11</v>
      </c>
      <c r="Y416" s="68"/>
      <c r="Z416" s="68">
        <f t="shared" ref="Z416" si="662">Y416+X416</f>
        <v>11</v>
      </c>
      <c r="AA416" s="62">
        <f>'Income Eligible Deemed Table'!BB798</f>
        <v>15.284282039056441</v>
      </c>
      <c r="AB416" s="839">
        <f>'Income Eligible Deemed Table'!L798</f>
        <v>3</v>
      </c>
      <c r="AC416" s="3617">
        <f t="shared" ref="AC416" si="663">AE416+AF416</f>
        <v>43.277816061509505</v>
      </c>
      <c r="AD416" s="3617">
        <f t="shared" ref="AD416" si="664">AG416+AH416</f>
        <v>0</v>
      </c>
      <c r="AE416" s="1661">
        <f>'Income Eligible Deemed Table'!BD798</f>
        <v>43.277816061509505</v>
      </c>
      <c r="AF416" s="2453"/>
      <c r="AG416" s="2453"/>
      <c r="AH416" s="2453"/>
      <c r="AI416" s="3629" t="str">
        <f>'Income Eligible Deemed Table'!M798</f>
        <v>per measure</v>
      </c>
      <c r="AM416" s="2433">
        <f t="shared" si="649"/>
        <v>8.8731800000000003E-5</v>
      </c>
      <c r="AN416" s="100">
        <f t="shared" ref="AN416" si="665">AM416*I416</f>
        <v>1.0370972783999999E-2</v>
      </c>
      <c r="AO416" s="2437">
        <f t="shared" ref="AO416" si="666">AN416-O416</f>
        <v>-2.721600000053781E-8</v>
      </c>
    </row>
    <row r="417" spans="1:41" s="100" customFormat="1" x14ac:dyDescent="0.25">
      <c r="A417" s="103" t="str">
        <f t="shared" si="617"/>
        <v>403471</v>
      </c>
      <c r="B417" s="684" t="str">
        <f>'Income Eligible Deemed Table'!C799</f>
        <v>403471_2020_12_</v>
      </c>
      <c r="C417" s="1962" t="str">
        <f>'Income Eligible Deemed Table'!G799</f>
        <v>Water Heating RES</v>
      </c>
      <c r="D417" s="1962"/>
      <c r="E417" s="1962"/>
      <c r="F417" s="1962"/>
      <c r="G417" s="1962" t="str">
        <f>'Income Eligible Deemed Table'!E799</f>
        <v>Low Flow Kitchen Faucet Aerator SFIE</v>
      </c>
      <c r="H417" s="63" t="str">
        <f>'Income Eligible Deemed Table'!D799</f>
        <v>SFIE</v>
      </c>
      <c r="I417" s="2438">
        <f>'Income Eligible Deemed Table'!F799</f>
        <v>116.88</v>
      </c>
      <c r="J417" s="2438"/>
      <c r="K417" s="2439"/>
      <c r="L417" s="2439"/>
      <c r="M417" s="2439"/>
      <c r="N417" s="2439"/>
      <c r="O417" s="2440">
        <f>'Income Eligible Deemed Table'!J799</f>
        <v>1.0371E-2</v>
      </c>
      <c r="P417" s="2440"/>
      <c r="Q417" s="2441"/>
      <c r="R417" s="2441"/>
      <c r="S417" s="2441"/>
      <c r="T417" s="2441"/>
      <c r="U417" s="1926">
        <v>0</v>
      </c>
      <c r="V417" s="1926">
        <f t="shared" ref="V417" si="667">O417</f>
        <v>1.0371E-2</v>
      </c>
      <c r="W417" s="1926">
        <v>0</v>
      </c>
      <c r="X417" s="68">
        <f>'Income Eligible Deemed Table'!K799</f>
        <v>11</v>
      </c>
      <c r="Y417" s="68"/>
      <c r="Z417" s="68">
        <f t="shared" ref="Z417" si="668">Y417+X417</f>
        <v>11</v>
      </c>
      <c r="AA417" s="62">
        <f>'Income Eligible Deemed Table'!BB799</f>
        <v>15.284282039056441</v>
      </c>
      <c r="AB417" s="839">
        <f>'Income Eligible Deemed Table'!L799</f>
        <v>3</v>
      </c>
      <c r="AC417" s="3617">
        <f t="shared" ref="AC417" si="669">AE417+AF417</f>
        <v>43.277816061509505</v>
      </c>
      <c r="AD417" s="3617">
        <f t="shared" ref="AD417" si="670">AG417+AH417</f>
        <v>0</v>
      </c>
      <c r="AE417" s="1661">
        <f>'Income Eligible Deemed Table'!BD799</f>
        <v>43.277816061509505</v>
      </c>
      <c r="AF417" s="2453"/>
      <c r="AG417" s="2453"/>
      <c r="AH417" s="2453"/>
      <c r="AI417" s="3629" t="str">
        <f>'Income Eligible Deemed Table'!M799</f>
        <v>per measure</v>
      </c>
      <c r="AM417" s="2433">
        <f t="shared" si="649"/>
        <v>8.8731800000000003E-5</v>
      </c>
      <c r="AN417" s="100">
        <f t="shared" ref="AN417" si="671">AM417*I417</f>
        <v>1.0370972783999999E-2</v>
      </c>
      <c r="AO417" s="2437">
        <f t="shared" ref="AO417" si="672">AN417-O417</f>
        <v>-2.721600000053781E-8</v>
      </c>
    </row>
    <row r="418" spans="1:41" s="100" customFormat="1" x14ac:dyDescent="0.25">
      <c r="A418" s="103" t="str">
        <f t="shared" si="617"/>
        <v>403480</v>
      </c>
      <c r="B418" s="684" t="str">
        <f>'Income Eligible Deemed Table'!C800</f>
        <v>403480_2020_12_</v>
      </c>
      <c r="C418" s="1962" t="str">
        <f>'Income Eligible Deemed Table'!G800</f>
        <v>Water Heating RES</v>
      </c>
      <c r="D418" s="1962"/>
      <c r="E418" s="1962"/>
      <c r="F418" s="1962"/>
      <c r="G418" s="1962" t="str">
        <f>'Income Eligible Deemed Table'!E800</f>
        <v>Low Flow Kitchen Faucet Aerator MFIE DI</v>
      </c>
      <c r="H418" s="63" t="str">
        <f>'Income Eligible Deemed Table'!D800</f>
        <v>MFIE DI</v>
      </c>
      <c r="I418" s="2438">
        <f>'Income Eligible Deemed Table'!F800</f>
        <v>111.03</v>
      </c>
      <c r="J418" s="2438"/>
      <c r="K418" s="2439"/>
      <c r="L418" s="2439"/>
      <c r="M418" s="2439"/>
      <c r="N418" s="2439"/>
      <c r="O418" s="2440">
        <f>'Income Eligible Deemed Table'!J800</f>
        <v>9.8519999999999996E-3</v>
      </c>
      <c r="P418" s="2440"/>
      <c r="Q418" s="2441"/>
      <c r="R418" s="2441"/>
      <c r="S418" s="2441"/>
      <c r="T418" s="2441"/>
      <c r="U418" s="1926">
        <v>0</v>
      </c>
      <c r="V418" s="1926">
        <f t="shared" ref="V418:V419" si="673">O418</f>
        <v>9.8519999999999996E-3</v>
      </c>
      <c r="W418" s="1926">
        <v>0</v>
      </c>
      <c r="X418" s="68">
        <f>'Income Eligible Deemed Table'!K800</f>
        <v>11</v>
      </c>
      <c r="Y418" s="68"/>
      <c r="Z418" s="68">
        <f t="shared" ref="Z418:Z419" si="674">Y418+X418</f>
        <v>11</v>
      </c>
      <c r="AA418" s="62">
        <f>'Income Eligible Deemed Table'!BB800</f>
        <v>3.8444704297535508</v>
      </c>
      <c r="AB418" s="839">
        <f>'Income Eligible Deemed Table'!L800</f>
        <v>11.33</v>
      </c>
      <c r="AC418" s="3617">
        <f t="shared" ref="AC418:AC419" si="675">AE418+AF418</f>
        <v>41.111703604632112</v>
      </c>
      <c r="AD418" s="3617">
        <f t="shared" ref="AD418:AD419" si="676">AG418+AH418</f>
        <v>0</v>
      </c>
      <c r="AE418" s="1661">
        <f>'Income Eligible Deemed Table'!BD800</f>
        <v>41.111703604632112</v>
      </c>
      <c r="AF418" s="2453"/>
      <c r="AG418" s="2453"/>
      <c r="AH418" s="2453"/>
      <c r="AI418" s="3629" t="str">
        <f>'Income Eligible Deemed Table'!M800</f>
        <v>per measure</v>
      </c>
      <c r="AM418" s="2433">
        <f t="shared" si="649"/>
        <v>8.8731800000000003E-5</v>
      </c>
      <c r="AN418" s="100">
        <f t="shared" ref="AN418:AN419" si="677">AM418*I418</f>
        <v>9.8518917540000011E-3</v>
      </c>
      <c r="AO418" s="2437">
        <f t="shared" ref="AO418:AO419" si="678">AN418-O418</f>
        <v>-1.0824599999854911E-7</v>
      </c>
    </row>
    <row r="419" spans="1:41" s="100" customFormat="1" x14ac:dyDescent="0.25">
      <c r="A419" s="103" t="str">
        <f t="shared" si="617"/>
        <v>403481</v>
      </c>
      <c r="B419" s="684" t="str">
        <f>'Income Eligible Deemed Table'!C801</f>
        <v>403481_2020_12_</v>
      </c>
      <c r="C419" s="1962" t="str">
        <f>'Income Eligible Deemed Table'!G801</f>
        <v>Water Heating RES</v>
      </c>
      <c r="D419" s="1962"/>
      <c r="E419" s="1962"/>
      <c r="F419" s="1962"/>
      <c r="G419" s="1962" t="str">
        <f>'Income Eligible Deemed Table'!E801</f>
        <v>Low Flow Kitchen Faucet Aerator SFIE DI</v>
      </c>
      <c r="H419" s="63" t="str">
        <f>'Income Eligible Deemed Table'!D801</f>
        <v>SFIE DI</v>
      </c>
      <c r="I419" s="2438">
        <f>'Income Eligible Deemed Table'!F801</f>
        <v>111.03</v>
      </c>
      <c r="J419" s="2438"/>
      <c r="K419" s="2439"/>
      <c r="L419" s="2439"/>
      <c r="M419" s="2439"/>
      <c r="N419" s="2439"/>
      <c r="O419" s="2440">
        <f>'Income Eligible Deemed Table'!J801</f>
        <v>9.8519999999999996E-3</v>
      </c>
      <c r="P419" s="2440"/>
      <c r="Q419" s="2441"/>
      <c r="R419" s="2441"/>
      <c r="S419" s="2441"/>
      <c r="T419" s="2441"/>
      <c r="U419" s="1926">
        <v>0</v>
      </c>
      <c r="V419" s="1926">
        <f t="shared" si="673"/>
        <v>9.8519999999999996E-3</v>
      </c>
      <c r="W419" s="1926">
        <v>0</v>
      </c>
      <c r="X419" s="68">
        <f>'Income Eligible Deemed Table'!K801</f>
        <v>11</v>
      </c>
      <c r="Y419" s="68"/>
      <c r="Z419" s="68">
        <f t="shared" si="674"/>
        <v>11</v>
      </c>
      <c r="AA419" s="62">
        <f>'Income Eligible Deemed Table'!BB801</f>
        <v>3.8444704297535508</v>
      </c>
      <c r="AB419" s="839">
        <f>'Income Eligible Deemed Table'!L801</f>
        <v>11.33</v>
      </c>
      <c r="AC419" s="3617">
        <f t="shared" si="675"/>
        <v>41.111703604632112</v>
      </c>
      <c r="AD419" s="3617">
        <f t="shared" si="676"/>
        <v>0</v>
      </c>
      <c r="AE419" s="1661">
        <f>'Income Eligible Deemed Table'!BD801</f>
        <v>41.111703604632112</v>
      </c>
      <c r="AF419" s="2453"/>
      <c r="AG419" s="2453"/>
      <c r="AH419" s="2453"/>
      <c r="AI419" s="3629" t="str">
        <f>'Income Eligible Deemed Table'!M801</f>
        <v>per measure</v>
      </c>
      <c r="AM419" s="2433">
        <f t="shared" si="649"/>
        <v>8.8731800000000003E-5</v>
      </c>
      <c r="AN419" s="100">
        <f t="shared" si="677"/>
        <v>9.8518917540000011E-3</v>
      </c>
      <c r="AO419" s="2437">
        <f t="shared" si="678"/>
        <v>-1.0824599999854911E-7</v>
      </c>
    </row>
    <row r="420" spans="1:41" x14ac:dyDescent="0.25">
      <c r="A420" s="103" t="str">
        <f t="shared" si="617"/>
        <v>403500</v>
      </c>
      <c r="B420" s="1960" t="str">
        <f>'Income Eligible Deemed Table'!C837</f>
        <v>403500_2021_12_</v>
      </c>
      <c r="C420" s="1962" t="str">
        <f>'Income Eligible Deemed Table'!G837</f>
        <v>Water heating RES</v>
      </c>
      <c r="D420" s="1962"/>
      <c r="E420" s="1962"/>
      <c r="F420" s="1962"/>
      <c r="G420" s="1962" t="str">
        <f>'Income Eligible Deemed Table'!E837</f>
        <v>Low Flow Showerhead MFIE</v>
      </c>
      <c r="H420" s="63" t="str">
        <f>'Income Eligible Deemed Table'!D837</f>
        <v>MFIE</v>
      </c>
      <c r="I420" s="2438">
        <f>'Income Eligible Deemed Table'!F837</f>
        <v>220.32</v>
      </c>
      <c r="J420" s="2438"/>
      <c r="K420" s="2439"/>
      <c r="L420" s="2439"/>
      <c r="M420" s="2439"/>
      <c r="N420" s="2439"/>
      <c r="O420" s="2440">
        <f>'Income Eligible Deemed Table'!J837</f>
        <v>1.9549E-2</v>
      </c>
      <c r="P420" s="2440"/>
      <c r="Q420" s="2441"/>
      <c r="R420" s="2441"/>
      <c r="S420" s="2441"/>
      <c r="T420" s="2441"/>
      <c r="U420" s="1819">
        <v>0</v>
      </c>
      <c r="V420" s="1819">
        <f t="shared" si="652"/>
        <v>1.9549E-2</v>
      </c>
      <c r="W420" s="1819">
        <v>0</v>
      </c>
      <c r="X420" s="68">
        <f>'Income Eligible Deemed Table'!K837</f>
        <v>10</v>
      </c>
      <c r="Y420" s="68"/>
      <c r="Z420" s="68">
        <f t="shared" si="660"/>
        <v>10</v>
      </c>
      <c r="AA420" s="62">
        <f>'Income Eligible Deemed Table'!BB837</f>
        <v>11.247325764026085</v>
      </c>
      <c r="AB420" s="839">
        <f>'Income Eligible Deemed Table'!L837</f>
        <v>7</v>
      </c>
      <c r="AC420" s="3617">
        <f t="shared" si="600"/>
        <v>74.309844594792438</v>
      </c>
      <c r="AD420" s="3617">
        <f t="shared" si="601"/>
        <v>0</v>
      </c>
      <c r="AE420" s="1661">
        <f>'Income Eligible Deemed Table'!BD837</f>
        <v>74.309844594792438</v>
      </c>
      <c r="AF420" s="2453"/>
      <c r="AG420" s="2453"/>
      <c r="AH420" s="2453"/>
      <c r="AI420" s="3629" t="str">
        <f>'Income Eligible Deemed Table'!M837</f>
        <v>per measure</v>
      </c>
      <c r="AJ420" s="1930"/>
      <c r="AK420" s="1930"/>
      <c r="AL420" s="1930"/>
      <c r="AM420" s="1972">
        <f t="shared" si="649"/>
        <v>8.8731800000000003E-5</v>
      </c>
      <c r="AN420" s="1930">
        <f t="shared" si="653"/>
        <v>1.9549390175999999E-2</v>
      </c>
      <c r="AO420" s="1971">
        <f t="shared" si="599"/>
        <v>3.9017599999871533E-7</v>
      </c>
    </row>
    <row r="421" spans="1:41" x14ac:dyDescent="0.25">
      <c r="A421" s="103" t="str">
        <f t="shared" si="617"/>
        <v>403550</v>
      </c>
      <c r="B421" s="1960" t="str">
        <f>'Income Eligible Deemed Table'!C838</f>
        <v>403550_2021_12_</v>
      </c>
      <c r="C421" s="1962" t="str">
        <f>'Income Eligible Deemed Table'!G838</f>
        <v>Water heating RES</v>
      </c>
      <c r="D421" s="1962"/>
      <c r="E421" s="1962"/>
      <c r="F421" s="1962"/>
      <c r="G421" s="1962" t="str">
        <f>'Income Eligible Deemed Table'!E838</f>
        <v>Low Flow Showerhead MFIE DI</v>
      </c>
      <c r="H421" s="63" t="str">
        <f>'Income Eligible Deemed Table'!D838</f>
        <v>MFIE DI</v>
      </c>
      <c r="I421" s="2438">
        <f>'Income Eligible Deemed Table'!F838</f>
        <v>232.51</v>
      </c>
      <c r="J421" s="2438"/>
      <c r="K421" s="2439"/>
      <c r="L421" s="2439"/>
      <c r="M421" s="2439"/>
      <c r="N421" s="2439"/>
      <c r="O421" s="2440">
        <f>'Income Eligible Deemed Table'!J838</f>
        <v>2.0631E-2</v>
      </c>
      <c r="P421" s="2440"/>
      <c r="Q421" s="2441"/>
      <c r="R421" s="2441"/>
      <c r="S421" s="2441"/>
      <c r="T421" s="2441"/>
      <c r="U421" s="1819">
        <v>0</v>
      </c>
      <c r="V421" s="1819">
        <f t="shared" si="652"/>
        <v>2.0631E-2</v>
      </c>
      <c r="W421" s="1819">
        <v>0</v>
      </c>
      <c r="X421" s="68">
        <f>'Income Eligible Deemed Table'!K838</f>
        <v>10</v>
      </c>
      <c r="Y421" s="68"/>
      <c r="Z421" s="68">
        <f t="shared" si="660"/>
        <v>10</v>
      </c>
      <c r="AA421" s="62">
        <f>'Income Eligible Deemed Table'!BB838</f>
        <v>6.4011843516014579</v>
      </c>
      <c r="AB421" s="839">
        <f>'Income Eligible Deemed Table'!L838</f>
        <v>12.98</v>
      </c>
      <c r="AC421" s="3617">
        <f t="shared" si="600"/>
        <v>78.421305223017384</v>
      </c>
      <c r="AD421" s="3617">
        <f t="shared" si="601"/>
        <v>0</v>
      </c>
      <c r="AE421" s="1661">
        <f>'Income Eligible Deemed Table'!BD838</f>
        <v>78.421305223017384</v>
      </c>
      <c r="AF421" s="2453"/>
      <c r="AG421" s="2453"/>
      <c r="AH421" s="2453"/>
      <c r="AI421" s="3629" t="str">
        <f>'Income Eligible Deemed Table'!M838</f>
        <v>per measure</v>
      </c>
      <c r="AJ421" s="1930"/>
      <c r="AK421" s="1930"/>
      <c r="AL421" s="1930"/>
      <c r="AM421" s="1972">
        <f t="shared" si="649"/>
        <v>8.8731800000000003E-5</v>
      </c>
      <c r="AN421" s="1930">
        <f t="shared" si="653"/>
        <v>2.0631030817999999E-2</v>
      </c>
      <c r="AO421" s="1971">
        <f t="shared" si="599"/>
        <v>3.0817999999155354E-8</v>
      </c>
    </row>
    <row r="422" spans="1:41" x14ac:dyDescent="0.25">
      <c r="A422" s="103" t="str">
        <f t="shared" si="617"/>
        <v>403551</v>
      </c>
      <c r="B422" s="1960" t="str">
        <f>'Income Eligible Deemed Table'!C839</f>
        <v>403551_2021_12_</v>
      </c>
      <c r="C422" s="1962" t="str">
        <f>'Income Eligible Deemed Table'!G839</f>
        <v>Water heating RES</v>
      </c>
      <c r="D422" s="1962"/>
      <c r="E422" s="1962"/>
      <c r="F422" s="1962"/>
      <c r="G422" s="1962" t="str">
        <f>'Income Eligible Deemed Table'!E839</f>
        <v>Low Flow Handheld Showerhead MFIE DI</v>
      </c>
      <c r="H422" s="63" t="str">
        <f>'Income Eligible Deemed Table'!D839</f>
        <v>MFIE DI</v>
      </c>
      <c r="I422" s="2438">
        <f>'Income Eligible Deemed Table'!F839</f>
        <v>232.51</v>
      </c>
      <c r="J422" s="2438"/>
      <c r="K422" s="2439"/>
      <c r="L422" s="2439"/>
      <c r="M422" s="2439"/>
      <c r="N422" s="2439"/>
      <c r="O422" s="2440">
        <f>'Income Eligible Deemed Table'!J839</f>
        <v>2.0631E-2</v>
      </c>
      <c r="P422" s="2440"/>
      <c r="Q422" s="2441"/>
      <c r="R422" s="2441"/>
      <c r="S422" s="2441"/>
      <c r="T422" s="2441"/>
      <c r="U422" s="1819">
        <v>0</v>
      </c>
      <c r="V422" s="1819">
        <f t="shared" si="652"/>
        <v>2.0631E-2</v>
      </c>
      <c r="W422" s="1819">
        <v>0</v>
      </c>
      <c r="X422" s="68">
        <f>'Income Eligible Deemed Table'!K839</f>
        <v>10</v>
      </c>
      <c r="Y422" s="68"/>
      <c r="Z422" s="68">
        <f t="shared" si="660"/>
        <v>10</v>
      </c>
      <c r="AA422" s="62">
        <f>'Income Eligible Deemed Table'!BB839</f>
        <v>6.6629809850671151</v>
      </c>
      <c r="AB422" s="839">
        <f>'Income Eligible Deemed Table'!L839</f>
        <v>12.47</v>
      </c>
      <c r="AC422" s="3617">
        <f t="shared" si="600"/>
        <v>78.421305223017384</v>
      </c>
      <c r="AD422" s="3617">
        <f t="shared" si="601"/>
        <v>0</v>
      </c>
      <c r="AE422" s="1661">
        <f>'Income Eligible Deemed Table'!BD839</f>
        <v>78.421305223017384</v>
      </c>
      <c r="AF422" s="2453"/>
      <c r="AG422" s="2453"/>
      <c r="AH422" s="2453"/>
      <c r="AI422" s="3629" t="str">
        <f>'Income Eligible Deemed Table'!M839</f>
        <v>per measure</v>
      </c>
      <c r="AJ422" s="1930"/>
      <c r="AK422" s="1930"/>
      <c r="AL422" s="1930"/>
      <c r="AM422" s="1972">
        <f t="shared" si="649"/>
        <v>8.8731800000000003E-5</v>
      </c>
      <c r="AN422" s="1930">
        <f t="shared" si="653"/>
        <v>2.0631030817999999E-2</v>
      </c>
      <c r="AO422" s="1971">
        <f t="shared" si="599"/>
        <v>3.0817999999155354E-8</v>
      </c>
    </row>
    <row r="423" spans="1:41" x14ac:dyDescent="0.25">
      <c r="A423" s="103" t="str">
        <f t="shared" si="617"/>
        <v>403600</v>
      </c>
      <c r="B423" s="1960" t="str">
        <f>'Income Eligible Deemed Table'!C840</f>
        <v>403600_2021_12_</v>
      </c>
      <c r="C423" s="1962" t="str">
        <f>'Income Eligible Deemed Table'!G840</f>
        <v>Water heating RES</v>
      </c>
      <c r="D423" s="1962"/>
      <c r="E423" s="1962"/>
      <c r="F423" s="1962"/>
      <c r="G423" s="1962" t="str">
        <f>'Income Eligible Deemed Table'!E840</f>
        <v>Low Flow Showerhead SFIE DI</v>
      </c>
      <c r="H423" s="63" t="str">
        <f>'Income Eligible Deemed Table'!D840</f>
        <v>SFIE DI</v>
      </c>
      <c r="I423" s="2438">
        <f>'Income Eligible Deemed Table'!F840</f>
        <v>194.72</v>
      </c>
      <c r="J423" s="2438"/>
      <c r="K423" s="2439"/>
      <c r="L423" s="2439"/>
      <c r="M423" s="2439"/>
      <c r="N423" s="2439"/>
      <c r="O423" s="2440">
        <f>'Income Eligible Deemed Table'!J840</f>
        <v>1.7278000000000002E-2</v>
      </c>
      <c r="P423" s="2440"/>
      <c r="Q423" s="2441"/>
      <c r="R423" s="2441"/>
      <c r="S423" s="2441"/>
      <c r="T423" s="2441"/>
      <c r="U423" s="1819">
        <v>0</v>
      </c>
      <c r="V423" s="1819">
        <f t="shared" si="652"/>
        <v>1.7278000000000002E-2</v>
      </c>
      <c r="W423" s="1819">
        <v>0</v>
      </c>
      <c r="X423" s="68">
        <f>'Income Eligible Deemed Table'!K840</f>
        <v>10</v>
      </c>
      <c r="Y423" s="68"/>
      <c r="Z423" s="68">
        <f t="shared" si="660"/>
        <v>10</v>
      </c>
      <c r="AA423" s="62">
        <f>'Income Eligible Deemed Table'!BB840</f>
        <v>5.360795737576173</v>
      </c>
      <c r="AB423" s="839">
        <f>'Income Eligible Deemed Table'!L840</f>
        <v>12.98</v>
      </c>
      <c r="AC423" s="3617">
        <f t="shared" si="600"/>
        <v>65.67543999409034</v>
      </c>
      <c r="AD423" s="3617">
        <f t="shared" si="601"/>
        <v>0</v>
      </c>
      <c r="AE423" s="1661">
        <f>'Income Eligible Deemed Table'!BD840</f>
        <v>65.67543999409034</v>
      </c>
      <c r="AF423" s="2453"/>
      <c r="AG423" s="2453"/>
      <c r="AH423" s="2453"/>
      <c r="AI423" s="3629" t="str">
        <f>'Income Eligible Deemed Table'!M840</f>
        <v>per measure</v>
      </c>
      <c r="AJ423" s="1930"/>
      <c r="AK423" s="1930"/>
      <c r="AL423" s="1930"/>
      <c r="AM423" s="1972">
        <f t="shared" si="649"/>
        <v>8.8731800000000003E-5</v>
      </c>
      <c r="AN423" s="1930">
        <f t="shared" si="653"/>
        <v>1.7277856096000001E-2</v>
      </c>
      <c r="AO423" s="1971">
        <f t="shared" si="599"/>
        <v>-1.4390400000091619E-7</v>
      </c>
    </row>
    <row r="424" spans="1:41" x14ac:dyDescent="0.25">
      <c r="A424" s="103" t="str">
        <f t="shared" si="617"/>
        <v>403601</v>
      </c>
      <c r="B424" s="1960" t="str">
        <f>'Income Eligible Deemed Table'!C841</f>
        <v>403601_2021_12_</v>
      </c>
      <c r="C424" s="1962" t="str">
        <f>'Income Eligible Deemed Table'!G841</f>
        <v>Water heating RES</v>
      </c>
      <c r="D424" s="1962"/>
      <c r="E424" s="1962"/>
      <c r="F424" s="1962"/>
      <c r="G424" s="1962" t="str">
        <f>'Income Eligible Deemed Table'!E841</f>
        <v>Low Flow Handheld Showerhead SFIE DI</v>
      </c>
      <c r="H424" s="63" t="str">
        <f>'Income Eligible Deemed Table'!D841</f>
        <v>SFIE DI</v>
      </c>
      <c r="I424" s="2438">
        <f>'Income Eligible Deemed Table'!F841</f>
        <v>194.72</v>
      </c>
      <c r="J424" s="2438"/>
      <c r="K424" s="2439"/>
      <c r="L424" s="2439"/>
      <c r="M424" s="2439"/>
      <c r="N424" s="2439"/>
      <c r="O424" s="2440">
        <f>'Income Eligible Deemed Table'!J841</f>
        <v>1.7278000000000002E-2</v>
      </c>
      <c r="P424" s="2440"/>
      <c r="Q424" s="2441"/>
      <c r="R424" s="2441"/>
      <c r="S424" s="2441"/>
      <c r="T424" s="2441"/>
      <c r="U424" s="1819">
        <v>0</v>
      </c>
      <c r="V424" s="1819">
        <f t="shared" si="652"/>
        <v>1.7278000000000002E-2</v>
      </c>
      <c r="W424" s="1819">
        <v>0</v>
      </c>
      <c r="X424" s="68">
        <f>'Income Eligible Deemed Table'!K841</f>
        <v>10</v>
      </c>
      <c r="Y424" s="68"/>
      <c r="Z424" s="68">
        <f t="shared" si="660"/>
        <v>10</v>
      </c>
      <c r="AA424" s="62">
        <f>'Income Eligible Deemed Table'!BB841</f>
        <v>3.7714432885495244</v>
      </c>
      <c r="AB424" s="839">
        <f>'Income Eligible Deemed Table'!L841</f>
        <v>18.45</v>
      </c>
      <c r="AC424" s="3617">
        <f t="shared" si="600"/>
        <v>65.67543999409034</v>
      </c>
      <c r="AD424" s="3617">
        <f t="shared" si="601"/>
        <v>0</v>
      </c>
      <c r="AE424" s="1661">
        <f>'Income Eligible Deemed Table'!BD841</f>
        <v>65.67543999409034</v>
      </c>
      <c r="AF424" s="2453"/>
      <c r="AG424" s="2453"/>
      <c r="AH424" s="2453"/>
      <c r="AI424" s="3629" t="str">
        <f>'Income Eligible Deemed Table'!M841</f>
        <v>per measure</v>
      </c>
      <c r="AJ424" s="1930"/>
      <c r="AK424" s="1930"/>
      <c r="AL424" s="1930"/>
      <c r="AM424" s="1972">
        <f t="shared" si="649"/>
        <v>8.8731800000000003E-5</v>
      </c>
      <c r="AN424" s="1930">
        <f t="shared" si="653"/>
        <v>1.7277856096000001E-2</v>
      </c>
      <c r="AO424" s="1971">
        <f t="shared" si="599"/>
        <v>-1.4390400000091619E-7</v>
      </c>
    </row>
    <row r="425" spans="1:41" x14ac:dyDescent="0.25">
      <c r="A425" s="103" t="str">
        <f t="shared" si="617"/>
        <v>403650</v>
      </c>
      <c r="B425" s="684" t="str">
        <f>'Income Eligible Deemed Table'!C882</f>
        <v>403650_2019_12_</v>
      </c>
      <c r="C425" s="1962" t="str">
        <f>'Income Eligible Deemed Table'!G882</f>
        <v>Water heating RES</v>
      </c>
      <c r="D425" s="1962"/>
      <c r="E425" s="1962"/>
      <c r="F425" s="1962"/>
      <c r="G425" s="1962" t="str">
        <f>'Income Eligible Deemed Table'!E882</f>
        <v>Pipe Insulation MFIE</v>
      </c>
      <c r="H425" s="63" t="str">
        <f>'Income Eligible Deemed Table'!D882</f>
        <v>MFIE</v>
      </c>
      <c r="I425" s="2438">
        <f>'Income Eligible Deemed Table'!F882</f>
        <v>4.6399999999999997</v>
      </c>
      <c r="J425" s="2438"/>
      <c r="K425" s="2439"/>
      <c r="L425" s="2439"/>
      <c r="M425" s="2439"/>
      <c r="N425" s="2439"/>
      <c r="O425" s="2440">
        <f>'Income Eligible Deemed Table'!I882</f>
        <v>4.1199999999999999E-4</v>
      </c>
      <c r="P425" s="2440"/>
      <c r="Q425" s="2441"/>
      <c r="R425" s="2441"/>
      <c r="S425" s="2441"/>
      <c r="T425" s="2441"/>
      <c r="U425" s="1819">
        <v>0</v>
      </c>
      <c r="V425" s="1819">
        <f t="shared" si="652"/>
        <v>4.1199999999999999E-4</v>
      </c>
      <c r="W425" s="1819">
        <v>0</v>
      </c>
      <c r="X425" s="68">
        <f>'Income Eligible Deemed Table'!J882</f>
        <v>12</v>
      </c>
      <c r="Y425" s="68"/>
      <c r="Z425" s="68">
        <f t="shared" si="660"/>
        <v>12</v>
      </c>
      <c r="AA425" s="62">
        <f>'Income Eligible Deemed Table'!BB882</f>
        <v>0.27928929013723736</v>
      </c>
      <c r="AB425" s="839">
        <f>'Income Eligible Deemed Table'!K882</f>
        <v>7.1</v>
      </c>
      <c r="AC425" s="3617">
        <f t="shared" si="600"/>
        <v>1.8715941104052713</v>
      </c>
      <c r="AD425" s="3617">
        <f t="shared" si="601"/>
        <v>0</v>
      </c>
      <c r="AE425" s="1661">
        <f>'Income Eligible Deemed Table'!BD882</f>
        <v>1.8715941104052713</v>
      </c>
      <c r="AF425" s="2453"/>
      <c r="AG425" s="2453"/>
      <c r="AH425" s="2453"/>
      <c r="AI425" s="684" t="str">
        <f>'Income Eligible Deemed Table'!L882</f>
        <v>per foot</v>
      </c>
      <c r="AJ425" s="1930"/>
      <c r="AK425" s="1930"/>
      <c r="AL425" s="1930"/>
      <c r="AM425" s="1972">
        <f t="shared" si="649"/>
        <v>8.8731800000000003E-5</v>
      </c>
      <c r="AN425" s="1930">
        <f t="shared" si="653"/>
        <v>4.1171555199999996E-4</v>
      </c>
      <c r="AO425" s="1971">
        <f t="shared" si="599"/>
        <v>-2.8444800000002523E-7</v>
      </c>
    </row>
    <row r="426" spans="1:41" x14ac:dyDescent="0.25">
      <c r="A426" s="103" t="str">
        <f t="shared" si="617"/>
        <v>403700</v>
      </c>
      <c r="B426" s="684" t="str">
        <f>'Income Eligible Deemed Table'!C883</f>
        <v>403700_2019_12_</v>
      </c>
      <c r="C426" s="1962" t="str">
        <f>'Income Eligible Deemed Table'!G883</f>
        <v>Water heating RES</v>
      </c>
      <c r="D426" s="1962"/>
      <c r="E426" s="1962"/>
      <c r="F426" s="1962"/>
      <c r="G426" s="1962" t="str">
        <f>'Income Eligible Deemed Table'!E883</f>
        <v>Pipe Insulation MFIE DI</v>
      </c>
      <c r="H426" s="63" t="str">
        <f>'Income Eligible Deemed Table'!D883</f>
        <v>MFIE DI</v>
      </c>
      <c r="I426" s="2438">
        <f>'Income Eligible Deemed Table'!F883</f>
        <v>4.6399999999999997</v>
      </c>
      <c r="J426" s="2438"/>
      <c r="K426" s="2439"/>
      <c r="L426" s="2439"/>
      <c r="M426" s="2439"/>
      <c r="N426" s="2439"/>
      <c r="O426" s="2440">
        <f>'Income Eligible Deemed Table'!I883</f>
        <v>4.1199999999999999E-4</v>
      </c>
      <c r="P426" s="2440"/>
      <c r="Q426" s="2441"/>
      <c r="R426" s="2441"/>
      <c r="S426" s="2441"/>
      <c r="T426" s="2441"/>
      <c r="U426" s="1819">
        <v>0</v>
      </c>
      <c r="V426" s="1819">
        <f t="shared" si="652"/>
        <v>4.1199999999999999E-4</v>
      </c>
      <c r="W426" s="1819">
        <v>0</v>
      </c>
      <c r="X426" s="68">
        <f>'Income Eligible Deemed Table'!J883</f>
        <v>12</v>
      </c>
      <c r="Y426" s="68"/>
      <c r="Z426" s="68">
        <f t="shared" si="660"/>
        <v>12</v>
      </c>
      <c r="AA426" s="62">
        <f>'Income Eligible Deemed Table'!BB883</f>
        <v>0.35034522261031542</v>
      </c>
      <c r="AB426" s="839">
        <f>'Income Eligible Deemed Table'!K883</f>
        <v>5.66</v>
      </c>
      <c r="AC426" s="3617">
        <f t="shared" si="600"/>
        <v>1.8715941104052713</v>
      </c>
      <c r="AD426" s="3617">
        <f t="shared" si="601"/>
        <v>0</v>
      </c>
      <c r="AE426" s="1661">
        <f>'Income Eligible Deemed Table'!BD883</f>
        <v>1.8715941104052713</v>
      </c>
      <c r="AF426" s="2453"/>
      <c r="AG426" s="2453"/>
      <c r="AH426" s="2453"/>
      <c r="AI426" s="684" t="str">
        <f>'Income Eligible Deemed Table'!L883</f>
        <v>per foot</v>
      </c>
      <c r="AJ426" s="1930"/>
      <c r="AK426" s="1930"/>
      <c r="AL426" s="1930"/>
      <c r="AM426" s="1972">
        <f t="shared" si="649"/>
        <v>8.8731800000000003E-5</v>
      </c>
      <c r="AN426" s="1930">
        <f t="shared" si="653"/>
        <v>4.1171555199999996E-4</v>
      </c>
      <c r="AO426" s="1971">
        <f t="shared" si="599"/>
        <v>-2.8444800000002523E-7</v>
      </c>
    </row>
    <row r="427" spans="1:41" x14ac:dyDescent="0.25">
      <c r="A427" s="103" t="str">
        <f t="shared" si="617"/>
        <v>403750</v>
      </c>
      <c r="B427" s="684" t="str">
        <f>'Income Eligible Deemed Table'!C884</f>
        <v>403750_2019_12_</v>
      </c>
      <c r="C427" s="1962" t="str">
        <f>'Income Eligible Deemed Table'!G884</f>
        <v>Water heating RES</v>
      </c>
      <c r="D427" s="1962"/>
      <c r="E427" s="1962"/>
      <c r="F427" s="1962"/>
      <c r="G427" s="1962" t="str">
        <f>'Income Eligible Deemed Table'!E884</f>
        <v>Pipe Insulation SFIE DI</v>
      </c>
      <c r="H427" s="63" t="str">
        <f>'Income Eligible Deemed Table'!D884</f>
        <v>SFIE DI</v>
      </c>
      <c r="I427" s="2438">
        <f>'Income Eligible Deemed Table'!F884</f>
        <v>4.6399999999999997</v>
      </c>
      <c r="J427" s="2438"/>
      <c r="K427" s="2439"/>
      <c r="L427" s="2439"/>
      <c r="M427" s="2439"/>
      <c r="N427" s="2439"/>
      <c r="O427" s="2440">
        <f>'Income Eligible Deemed Table'!I884</f>
        <v>4.1199999999999999E-4</v>
      </c>
      <c r="P427" s="2440"/>
      <c r="Q427" s="2441"/>
      <c r="R427" s="2441"/>
      <c r="S427" s="2441"/>
      <c r="T427" s="2441"/>
      <c r="U427" s="1819">
        <v>0</v>
      </c>
      <c r="V427" s="1819">
        <f t="shared" si="652"/>
        <v>4.1199999999999999E-4</v>
      </c>
      <c r="W427" s="1819">
        <v>0</v>
      </c>
      <c r="X427" s="68">
        <f>'Income Eligible Deemed Table'!J884</f>
        <v>12</v>
      </c>
      <c r="Y427" s="68"/>
      <c r="Z427" s="68">
        <f t="shared" si="660"/>
        <v>12</v>
      </c>
      <c r="AA427" s="62">
        <f>'Income Eligible Deemed Table'!BB884</f>
        <v>0.35034522261031542</v>
      </c>
      <c r="AB427" s="839">
        <f>'Income Eligible Deemed Table'!K884</f>
        <v>5.66</v>
      </c>
      <c r="AC427" s="3617">
        <f t="shared" si="600"/>
        <v>1.8715941104052713</v>
      </c>
      <c r="AD427" s="3617">
        <f t="shared" si="601"/>
        <v>0</v>
      </c>
      <c r="AE427" s="1661">
        <f>'Income Eligible Deemed Table'!BD884</f>
        <v>1.8715941104052713</v>
      </c>
      <c r="AF427" s="2453"/>
      <c r="AG427" s="2453"/>
      <c r="AH427" s="2453"/>
      <c r="AI427" s="684" t="str">
        <f>'Income Eligible Deemed Table'!L884</f>
        <v>per foot</v>
      </c>
      <c r="AJ427" s="1930"/>
      <c r="AK427" s="1930"/>
      <c r="AL427" s="1930"/>
      <c r="AM427" s="1972">
        <f t="shared" si="649"/>
        <v>8.8731800000000003E-5</v>
      </c>
      <c r="AN427" s="1930">
        <f t="shared" si="653"/>
        <v>4.1171555199999996E-4</v>
      </c>
      <c r="AO427" s="1971">
        <f t="shared" si="599"/>
        <v>-2.8444800000002523E-7</v>
      </c>
    </row>
    <row r="428" spans="1:41" x14ac:dyDescent="0.25">
      <c r="A428" s="103" t="str">
        <f t="shared" si="617"/>
        <v>403800</v>
      </c>
      <c r="B428" s="684" t="str">
        <f>'Income Eligible Deemed Table'!C912</f>
        <v>403800_2019_12_</v>
      </c>
      <c r="C428" s="1962" t="str">
        <f>'Income Eligible Deemed Table'!G912</f>
        <v>Cooling RES</v>
      </c>
      <c r="D428" s="1962" t="str">
        <f>'Income Eligible Deemed Table'!G913</f>
        <v>Heating RES</v>
      </c>
      <c r="E428" s="1962"/>
      <c r="F428" s="1962"/>
      <c r="G428" s="1962" t="str">
        <f>'Income Eligible Deemed Table'!E912</f>
        <v>Setback thermostat - full setback - ASHP heating/cooling MF</v>
      </c>
      <c r="H428" s="63" t="str">
        <f>'Income Eligible Deemed Table'!D912</f>
        <v>MFIE</v>
      </c>
      <c r="I428" s="2438">
        <f t="shared" ref="I428:I439" si="679">K428+L428</f>
        <v>231.76</v>
      </c>
      <c r="J428" s="2438">
        <f t="shared" ref="J428:J439" si="680">M428+N428</f>
        <v>0</v>
      </c>
      <c r="K428" s="2439">
        <f>'Income Eligible Deemed Table'!F912</f>
        <v>201.39</v>
      </c>
      <c r="L428" s="2439">
        <f>'Income Eligible Deemed Table'!F913</f>
        <v>30.37</v>
      </c>
      <c r="M428" s="2439"/>
      <c r="N428" s="2439"/>
      <c r="O428" s="2440">
        <f t="shared" ref="O428:O439" si="681">Q428+R428</f>
        <v>0.190801</v>
      </c>
      <c r="P428" s="2440">
        <f t="shared" ref="P428:P439" si="682">S428+T428</f>
        <v>0</v>
      </c>
      <c r="Q428" s="2441">
        <f>'Income Eligible Deemed Table'!I912</f>
        <v>0.190801</v>
      </c>
      <c r="R428" s="2441">
        <f>'Income Eligible Deemed Table'!I913</f>
        <v>0</v>
      </c>
      <c r="S428" s="2441"/>
      <c r="T428" s="2441"/>
      <c r="U428" s="1819">
        <v>0</v>
      </c>
      <c r="V428" s="1819">
        <f t="shared" ref="V428:V439" si="683">O428</f>
        <v>0.190801</v>
      </c>
      <c r="W428" s="1819">
        <v>0</v>
      </c>
      <c r="X428" s="68">
        <f>'Income Eligible Deemed Table'!J912</f>
        <v>10</v>
      </c>
      <c r="Y428" s="68"/>
      <c r="Z428" s="68">
        <f t="shared" si="660"/>
        <v>10</v>
      </c>
      <c r="AA428" s="62">
        <f>'Income Eligible Deemed Table'!BB912</f>
        <v>3.247889197228881</v>
      </c>
      <c r="AB428" s="839">
        <f>'Income Eligible Deemed Table'!K912</f>
        <v>70</v>
      </c>
      <c r="AC428" s="3617">
        <f t="shared" si="600"/>
        <v>214.58446796226679</v>
      </c>
      <c r="AD428" s="3617">
        <f t="shared" si="601"/>
        <v>0</v>
      </c>
      <c r="AE428" s="1661">
        <f>'Income Eligible Deemed Table'!BD912</f>
        <v>206.33184106998681</v>
      </c>
      <c r="AF428" s="2453">
        <f>'Income Eligible Deemed Table'!BD913</f>
        <v>8.2526268922799719</v>
      </c>
      <c r="AG428" s="2453"/>
      <c r="AH428" s="2453"/>
      <c r="AI428" s="684" t="str">
        <f>'Income Eligible Deemed Table'!L912</f>
        <v>per measure</v>
      </c>
      <c r="AJ428" s="1930"/>
      <c r="AK428" s="1930"/>
      <c r="AL428" s="1930"/>
      <c r="AM428" s="1972">
        <f t="shared" si="649"/>
        <v>9.4741810000000004E-4</v>
      </c>
      <c r="AN428" s="100">
        <f t="shared" ref="AN428:AN433" si="684">AM428*K428</f>
        <v>0.190800531159</v>
      </c>
      <c r="AO428" s="1971">
        <f t="shared" si="599"/>
        <v>-4.6884099999533468E-7</v>
      </c>
    </row>
    <row r="429" spans="1:41" x14ac:dyDescent="0.25">
      <c r="A429" s="103" t="str">
        <f t="shared" si="617"/>
        <v>403801</v>
      </c>
      <c r="B429" s="684" t="str">
        <f>'Income Eligible Deemed Table'!C914</f>
        <v>403801_2019_12_</v>
      </c>
      <c r="C429" s="1962" t="str">
        <f>'Income Eligible Deemed Table'!G914</f>
        <v>Cooling RES</v>
      </c>
      <c r="D429" s="1962" t="str">
        <f>'Income Eligible Deemed Table'!G915</f>
        <v>Heating RES</v>
      </c>
      <c r="E429" s="1962"/>
      <c r="F429" s="1962"/>
      <c r="G429" s="1962" t="str">
        <f>'Income Eligible Deemed Table'!E914</f>
        <v>Setback thermostat - full setback - ASHP heating/cooling MF_CompE</v>
      </c>
      <c r="H429" s="63" t="str">
        <f>'Income Eligible Deemed Table'!D914</f>
        <v>MFIEc</v>
      </c>
      <c r="I429" s="2438">
        <f t="shared" si="679"/>
        <v>156.81</v>
      </c>
      <c r="J429" s="2438">
        <f t="shared" si="680"/>
        <v>0</v>
      </c>
      <c r="K429" s="2439">
        <f>'Income Eligible Deemed Table'!F914</f>
        <v>146.46</v>
      </c>
      <c r="L429" s="2439">
        <f>'Income Eligible Deemed Table'!F915</f>
        <v>10.35</v>
      </c>
      <c r="M429" s="2439"/>
      <c r="N429" s="2439"/>
      <c r="O429" s="2440">
        <f t="shared" si="681"/>
        <v>0.13875899999999999</v>
      </c>
      <c r="P429" s="2440">
        <f t="shared" si="682"/>
        <v>0</v>
      </c>
      <c r="Q429" s="2441">
        <f>'Income Eligible Deemed Table'!I914</f>
        <v>0.13875899999999999</v>
      </c>
      <c r="R429" s="2441">
        <f>'Income Eligible Deemed Table'!I915</f>
        <v>0</v>
      </c>
      <c r="S429" s="2441"/>
      <c r="T429" s="2441"/>
      <c r="U429" s="1819">
        <v>0</v>
      </c>
      <c r="V429" s="1819">
        <f t="shared" si="683"/>
        <v>0.13875899999999999</v>
      </c>
      <c r="W429" s="1819">
        <v>0</v>
      </c>
      <c r="X429" s="68">
        <f>'Income Eligible Deemed Table'!J914</f>
        <v>10</v>
      </c>
      <c r="Y429" s="68"/>
      <c r="Z429" s="68">
        <f t="shared" ref="Z429:Z440" si="685">Y429+X429</f>
        <v>10</v>
      </c>
      <c r="AA429" s="62">
        <f>'Income Eligible Deemed Table'!BB914</f>
        <v>2.3137421776505787</v>
      </c>
      <c r="AB429" s="839">
        <f>'Income Eligible Deemed Table'!K914</f>
        <v>70</v>
      </c>
      <c r="AC429" s="3617">
        <f t="shared" si="600"/>
        <v>152.86640154369087</v>
      </c>
      <c r="AD429" s="3617">
        <f t="shared" si="601"/>
        <v>0</v>
      </c>
      <c r="AE429" s="1661">
        <f>'Income Eligible Deemed Table'!BD914</f>
        <v>150.05393238547231</v>
      </c>
      <c r="AF429" s="2453">
        <f>'Income Eligible Deemed Table'!BD915</f>
        <v>2.812469158218561</v>
      </c>
      <c r="AG429" s="2453"/>
      <c r="AH429" s="2453"/>
      <c r="AI429" s="684" t="str">
        <f>'Income Eligible Deemed Table'!L914</f>
        <v>per measure</v>
      </c>
      <c r="AJ429" s="1930"/>
      <c r="AK429" s="1930"/>
      <c r="AL429" s="1930"/>
      <c r="AM429" s="1972">
        <f t="shared" si="649"/>
        <v>9.4741810000000004E-4</v>
      </c>
      <c r="AN429" s="100">
        <f t="shared" si="684"/>
        <v>0.13875885492600001</v>
      </c>
      <c r="AO429" s="1971">
        <f t="shared" si="599"/>
        <v>-1.4507399997976123E-7</v>
      </c>
    </row>
    <row r="430" spans="1:41" x14ac:dyDescent="0.25">
      <c r="A430" s="103" t="str">
        <f t="shared" si="617"/>
        <v>403850</v>
      </c>
      <c r="B430" s="684" t="str">
        <f>'Income Eligible Deemed Table'!C916</f>
        <v>403850_2019_12_</v>
      </c>
      <c r="C430" s="1962" t="str">
        <f>'Income Eligible Deemed Table'!G916</f>
        <v>Cooling RES</v>
      </c>
      <c r="D430" s="1962" t="str">
        <f>'Income Eligible Deemed Table'!G917</f>
        <v>Heating RES</v>
      </c>
      <c r="E430" s="1962"/>
      <c r="F430" s="1962"/>
      <c r="G430" s="1962" t="str">
        <f>'Income Eligible Deemed Table'!E916</f>
        <v>Setback thermostat - full setback - ASHP heating/cooling SF</v>
      </c>
      <c r="H430" s="63" t="str">
        <f>'Income Eligible Deemed Table'!D916</f>
        <v>SFIE</v>
      </c>
      <c r="I430" s="2438">
        <f t="shared" si="679"/>
        <v>445.58</v>
      </c>
      <c r="J430" s="2438">
        <f t="shared" si="680"/>
        <v>0</v>
      </c>
      <c r="K430" s="2439">
        <f>'Income Eligible Deemed Table'!F916</f>
        <v>358.2</v>
      </c>
      <c r="L430" s="2439">
        <f>'Income Eligible Deemed Table'!F917</f>
        <v>87.38</v>
      </c>
      <c r="M430" s="2439"/>
      <c r="N430" s="2439"/>
      <c r="O430" s="2440">
        <f t="shared" si="681"/>
        <v>0.33936500000000003</v>
      </c>
      <c r="P430" s="2440">
        <f t="shared" si="682"/>
        <v>0</v>
      </c>
      <c r="Q430" s="2441">
        <f>'Income Eligible Deemed Table'!I916</f>
        <v>0.33936500000000003</v>
      </c>
      <c r="R430" s="2441">
        <f>'Income Eligible Deemed Table'!I917</f>
        <v>0</v>
      </c>
      <c r="S430" s="2441"/>
      <c r="T430" s="2441"/>
      <c r="U430" s="1819">
        <v>0</v>
      </c>
      <c r="V430" s="1819">
        <f t="shared" si="683"/>
        <v>0.33936500000000003</v>
      </c>
      <c r="W430" s="1819">
        <v>0</v>
      </c>
      <c r="X430" s="68">
        <f>'Income Eligible Deemed Table'!J916</f>
        <v>10</v>
      </c>
      <c r="Y430" s="68"/>
      <c r="Z430" s="68">
        <f t="shared" si="685"/>
        <v>10</v>
      </c>
      <c r="AA430" s="62">
        <f>'Income Eligible Deemed Table'!BB916</f>
        <v>5.9140389945491592</v>
      </c>
      <c r="AB430" s="839">
        <f>'Income Eligible Deemed Table'!K916</f>
        <v>70</v>
      </c>
      <c r="AC430" s="3617">
        <f t="shared" si="600"/>
        <v>390.7340534388307</v>
      </c>
      <c r="AD430" s="3617">
        <f t="shared" si="601"/>
        <v>0</v>
      </c>
      <c r="AE430" s="1661">
        <f>'Income Eligible Deemed Table'!BD916</f>
        <v>366.98974860355167</v>
      </c>
      <c r="AF430" s="2453">
        <f>'Income Eligible Deemed Table'!BD917</f>
        <v>23.744304835279021</v>
      </c>
      <c r="AG430" s="2453"/>
      <c r="AH430" s="2453"/>
      <c r="AI430" s="684" t="str">
        <f>'Income Eligible Deemed Table'!L916</f>
        <v>per measure</v>
      </c>
      <c r="AJ430" s="1930"/>
      <c r="AK430" s="1930"/>
      <c r="AL430" s="1930"/>
      <c r="AM430" s="1972">
        <f t="shared" si="649"/>
        <v>9.4741810000000004E-4</v>
      </c>
      <c r="AN430" s="100">
        <f t="shared" si="684"/>
        <v>0.33936516342</v>
      </c>
      <c r="AO430" s="1971">
        <f t="shared" si="599"/>
        <v>1.6341999997671053E-7</v>
      </c>
    </row>
    <row r="431" spans="1:41" x14ac:dyDescent="0.25">
      <c r="A431" s="103" t="str">
        <f t="shared" si="617"/>
        <v>403900</v>
      </c>
      <c r="B431" s="684" t="str">
        <f>'Income Eligible Deemed Table'!C918</f>
        <v>403900_2019_12_</v>
      </c>
      <c r="C431" s="1962" t="str">
        <f>'Income Eligible Deemed Table'!G918</f>
        <v>Cooling RES</v>
      </c>
      <c r="D431" s="1962" t="str">
        <f>'Income Eligible Deemed Table'!G919</f>
        <v>Heating RES</v>
      </c>
      <c r="E431" s="1962"/>
      <c r="F431" s="1962"/>
      <c r="G431" s="1962" t="str">
        <f>'Income Eligible Deemed Table'!E918</f>
        <v>Setback thermostat - full setback - elec furnace heating / central AC MF</v>
      </c>
      <c r="H431" s="63" t="str">
        <f>'Income Eligible Deemed Table'!D918</f>
        <v>MFIE</v>
      </c>
      <c r="I431" s="2438">
        <f t="shared" si="679"/>
        <v>263.71999999999997</v>
      </c>
      <c r="J431" s="2438">
        <f t="shared" si="680"/>
        <v>0</v>
      </c>
      <c r="K431" s="2439">
        <f>'Income Eligible Deemed Table'!F918</f>
        <v>201.39</v>
      </c>
      <c r="L431" s="2439">
        <f>'Income Eligible Deemed Table'!F919</f>
        <v>62.33</v>
      </c>
      <c r="M431" s="2439"/>
      <c r="N431" s="2439"/>
      <c r="O431" s="2440">
        <f t="shared" si="681"/>
        <v>0.190801</v>
      </c>
      <c r="P431" s="2440">
        <f t="shared" si="682"/>
        <v>0</v>
      </c>
      <c r="Q431" s="2441">
        <f>'Income Eligible Deemed Table'!I918</f>
        <v>0.190801</v>
      </c>
      <c r="R431" s="2441">
        <f>'Income Eligible Deemed Table'!I919</f>
        <v>0</v>
      </c>
      <c r="S431" s="2441"/>
      <c r="T431" s="2441"/>
      <c r="U431" s="1819">
        <v>0</v>
      </c>
      <c r="V431" s="1819">
        <f t="shared" si="683"/>
        <v>0.190801</v>
      </c>
      <c r="W431" s="1819">
        <v>0</v>
      </c>
      <c r="X431" s="68">
        <f>'Income Eligible Deemed Table'!J918</f>
        <v>10</v>
      </c>
      <c r="Y431" s="68"/>
      <c r="Z431" s="68">
        <f t="shared" si="685"/>
        <v>10</v>
      </c>
      <c r="AA431" s="62">
        <f>'Income Eligible Deemed Table'!BB918</f>
        <v>3.3793381439470549</v>
      </c>
      <c r="AB431" s="839">
        <f>'Income Eligible Deemed Table'!K918</f>
        <v>70</v>
      </c>
      <c r="AC431" s="3617">
        <f t="shared" si="600"/>
        <v>223.26915533392526</v>
      </c>
      <c r="AD431" s="3617">
        <f t="shared" si="601"/>
        <v>0</v>
      </c>
      <c r="AE431" s="1661">
        <f>'Income Eligible Deemed Table'!BD918</f>
        <v>206.33184106998681</v>
      </c>
      <c r="AF431" s="2453">
        <f>'Income Eligible Deemed Table'!BD919</f>
        <v>16.937314263938447</v>
      </c>
      <c r="AG431" s="2453"/>
      <c r="AH431" s="2453"/>
      <c r="AI431" s="684" t="str">
        <f>'Income Eligible Deemed Table'!L918</f>
        <v>per measure</v>
      </c>
      <c r="AJ431" s="1930"/>
      <c r="AK431" s="1930"/>
      <c r="AL431" s="1930"/>
      <c r="AM431" s="1972">
        <f t="shared" si="649"/>
        <v>9.4741810000000004E-4</v>
      </c>
      <c r="AN431" s="100">
        <f t="shared" si="684"/>
        <v>0.190800531159</v>
      </c>
      <c r="AO431" s="1971">
        <f t="shared" si="599"/>
        <v>-4.6884099999533468E-7</v>
      </c>
    </row>
    <row r="432" spans="1:41" x14ac:dyDescent="0.25">
      <c r="A432" s="103" t="str">
        <f t="shared" si="617"/>
        <v>403901</v>
      </c>
      <c r="B432" s="684" t="str">
        <f>'Income Eligible Deemed Table'!C920</f>
        <v>403901_2019_12_</v>
      </c>
      <c r="C432" s="1962" t="str">
        <f>'Income Eligible Deemed Table'!G920</f>
        <v>Cooling RES</v>
      </c>
      <c r="D432" s="1962" t="str">
        <f>'Income Eligible Deemed Table'!G921</f>
        <v>Heating RES</v>
      </c>
      <c r="E432" s="1962"/>
      <c r="F432" s="1962"/>
      <c r="G432" s="1962" t="str">
        <f>'Income Eligible Deemed Table'!E920</f>
        <v>Setback thermostat - full setback - elec furnace heating / central AC MF_CompE</v>
      </c>
      <c r="H432" s="63" t="str">
        <f>'Income Eligible Deemed Table'!D920</f>
        <v>MFIEc</v>
      </c>
      <c r="I432" s="2438">
        <f t="shared" si="679"/>
        <v>167.71</v>
      </c>
      <c r="J432" s="2438">
        <f t="shared" si="680"/>
        <v>0</v>
      </c>
      <c r="K432" s="2439">
        <f>'Income Eligible Deemed Table'!F920</f>
        <v>146.46</v>
      </c>
      <c r="L432" s="2439">
        <f>'Income Eligible Deemed Table'!F921</f>
        <v>21.25</v>
      </c>
      <c r="M432" s="2439"/>
      <c r="N432" s="2439"/>
      <c r="O432" s="2440">
        <f t="shared" si="681"/>
        <v>0.13875899999999999</v>
      </c>
      <c r="P432" s="2440">
        <f t="shared" si="682"/>
        <v>0</v>
      </c>
      <c r="Q432" s="2441">
        <f>'Income Eligible Deemed Table'!I920</f>
        <v>0.13875899999999999</v>
      </c>
      <c r="R432" s="2441">
        <f>'Income Eligible Deemed Table'!I921</f>
        <v>0</v>
      </c>
      <c r="S432" s="2441"/>
      <c r="T432" s="2441"/>
      <c r="U432" s="1819">
        <v>0</v>
      </c>
      <c r="V432" s="1819">
        <f t="shared" si="683"/>
        <v>0.13875899999999999</v>
      </c>
      <c r="W432" s="1819">
        <v>0</v>
      </c>
      <c r="X432" s="68">
        <f>'Income Eligible Deemed Table'!J920</f>
        <v>10</v>
      </c>
      <c r="Y432" s="68"/>
      <c r="Z432" s="68">
        <f t="shared" si="685"/>
        <v>10</v>
      </c>
      <c r="AA432" s="62">
        <f>'Income Eligible Deemed Table'!BB920</f>
        <v>2.3585730136714829</v>
      </c>
      <c r="AB432" s="839">
        <f>'Income Eligible Deemed Table'!K920</f>
        <v>70</v>
      </c>
      <c r="AC432" s="3617">
        <f t="shared" si="600"/>
        <v>155.82832558471333</v>
      </c>
      <c r="AD432" s="3617">
        <f t="shared" si="601"/>
        <v>0</v>
      </c>
      <c r="AE432" s="1661">
        <f>'Income Eligible Deemed Table'!BD920</f>
        <v>150.05393238547231</v>
      </c>
      <c r="AF432" s="2453">
        <f>'Income Eligible Deemed Table'!BD921</f>
        <v>5.7743931992410076</v>
      </c>
      <c r="AG432" s="2453"/>
      <c r="AH432" s="2453"/>
      <c r="AI432" s="684" t="str">
        <f>'Income Eligible Deemed Table'!L920</f>
        <v>per measure</v>
      </c>
      <c r="AJ432" s="1930"/>
      <c r="AK432" s="1930"/>
      <c r="AL432" s="1930"/>
      <c r="AM432" s="1972">
        <f t="shared" si="649"/>
        <v>9.4741810000000004E-4</v>
      </c>
      <c r="AN432" s="100">
        <f t="shared" si="684"/>
        <v>0.13875885492600001</v>
      </c>
      <c r="AO432" s="1971">
        <f t="shared" si="599"/>
        <v>-1.4507399997976123E-7</v>
      </c>
    </row>
    <row r="433" spans="1:41" x14ac:dyDescent="0.25">
      <c r="A433" s="103" t="str">
        <f t="shared" si="617"/>
        <v>403950</v>
      </c>
      <c r="B433" s="684" t="str">
        <f>'Income Eligible Deemed Table'!C922</f>
        <v>403950_2019_12_</v>
      </c>
      <c r="C433" s="1962" t="str">
        <f>'Income Eligible Deemed Table'!G922</f>
        <v>Cooling RES</v>
      </c>
      <c r="D433" s="1962" t="str">
        <f>'Income Eligible Deemed Table'!G923</f>
        <v>Heating RES</v>
      </c>
      <c r="E433" s="1962"/>
      <c r="F433" s="1962"/>
      <c r="G433" s="1962" t="str">
        <f>'Income Eligible Deemed Table'!E922</f>
        <v>Setback thermostat - full setback - elec furnace heating / central AC SF</v>
      </c>
      <c r="H433" s="63" t="str">
        <f>'Income Eligible Deemed Table'!D922</f>
        <v>SFIE</v>
      </c>
      <c r="I433" s="2438">
        <f t="shared" si="679"/>
        <v>506.83</v>
      </c>
      <c r="J433" s="2438">
        <f t="shared" si="680"/>
        <v>0</v>
      </c>
      <c r="K433" s="2439">
        <f>'Income Eligible Deemed Table'!F922</f>
        <v>358.2</v>
      </c>
      <c r="L433" s="2439">
        <f>'Income Eligible Deemed Table'!F923</f>
        <v>148.63</v>
      </c>
      <c r="M433" s="2439"/>
      <c r="N433" s="2439"/>
      <c r="O433" s="2440">
        <f t="shared" si="681"/>
        <v>0.33936500000000003</v>
      </c>
      <c r="P433" s="2440">
        <f t="shared" si="682"/>
        <v>0</v>
      </c>
      <c r="Q433" s="2441">
        <f>'Income Eligible Deemed Table'!I922</f>
        <v>0.33936500000000003</v>
      </c>
      <c r="R433" s="2441">
        <f>'Income Eligible Deemed Table'!I923</f>
        <v>0</v>
      </c>
      <c r="S433" s="2441"/>
      <c r="T433" s="2441"/>
      <c r="U433" s="1819">
        <v>0</v>
      </c>
      <c r="V433" s="1819">
        <f t="shared" si="683"/>
        <v>0.33936500000000003</v>
      </c>
      <c r="W433" s="1819">
        <v>0</v>
      </c>
      <c r="X433" s="68">
        <f>'Income Eligible Deemed Table'!J922</f>
        <v>10</v>
      </c>
      <c r="Y433" s="68"/>
      <c r="Z433" s="68">
        <f t="shared" si="685"/>
        <v>10</v>
      </c>
      <c r="AA433" s="62">
        <f>'Income Eligible Deemed Table'!BB922</f>
        <v>6.1659553896207528</v>
      </c>
      <c r="AB433" s="839">
        <f>'Income Eligible Deemed Table'!K922</f>
        <v>70</v>
      </c>
      <c r="AC433" s="3617">
        <f t="shared" si="600"/>
        <v>407.37789266017239</v>
      </c>
      <c r="AD433" s="3617">
        <f t="shared" si="601"/>
        <v>0</v>
      </c>
      <c r="AE433" s="1661">
        <f>'Income Eligible Deemed Table'!BD922</f>
        <v>366.98974860355167</v>
      </c>
      <c r="AF433" s="2453">
        <f>'Income Eligible Deemed Table'!BD923</f>
        <v>40.388144056620746</v>
      </c>
      <c r="AG433" s="2453"/>
      <c r="AH433" s="2453"/>
      <c r="AI433" s="684" t="str">
        <f>'Income Eligible Deemed Table'!L922</f>
        <v>per measure</v>
      </c>
      <c r="AJ433" s="1930"/>
      <c r="AK433" s="1930"/>
      <c r="AL433" s="1930"/>
      <c r="AM433" s="1972">
        <f t="shared" si="649"/>
        <v>9.4741810000000004E-4</v>
      </c>
      <c r="AN433" s="100">
        <f t="shared" si="684"/>
        <v>0.33936516342</v>
      </c>
      <c r="AO433" s="1971">
        <f t="shared" si="599"/>
        <v>1.6341999997671053E-7</v>
      </c>
    </row>
    <row r="434" spans="1:41" x14ac:dyDescent="0.25">
      <c r="A434" s="103" t="str">
        <f t="shared" si="617"/>
        <v>404000</v>
      </c>
      <c r="B434" s="684" t="str">
        <f>'Income Eligible Deemed Table'!C924</f>
        <v>404000_2019_12_</v>
      </c>
      <c r="C434" s="1962" t="str">
        <f>'Income Eligible Deemed Table'!G924</f>
        <v>Cooling RES</v>
      </c>
      <c r="D434" s="1962" t="str">
        <f>'Income Eligible Deemed Table'!G925</f>
        <v>Heating RES</v>
      </c>
      <c r="E434" s="1962"/>
      <c r="F434" s="1962"/>
      <c r="G434" s="1962" t="str">
        <f>'Income Eligible Deemed Table'!E924</f>
        <v>Setback thermostat - full setback - gas heating / central AC MF</v>
      </c>
      <c r="H434" s="63" t="str">
        <f>'Income Eligible Deemed Table'!D924</f>
        <v>MFIE</v>
      </c>
      <c r="I434" s="2438">
        <f t="shared" si="679"/>
        <v>201.38901200000001</v>
      </c>
      <c r="J434" s="2438">
        <f t="shared" si="680"/>
        <v>0</v>
      </c>
      <c r="K434" s="2439">
        <f>'Income Eligible Deemed Table'!F924</f>
        <v>201.38901200000001</v>
      </c>
      <c r="L434" s="2439">
        <f>'Income Eligible Deemed Table'!F925</f>
        <v>0</v>
      </c>
      <c r="M434" s="2439"/>
      <c r="N434" s="2439"/>
      <c r="O434" s="2440">
        <f t="shared" si="681"/>
        <v>0.1908</v>
      </c>
      <c r="P434" s="2440">
        <f t="shared" si="682"/>
        <v>0</v>
      </c>
      <c r="Q434" s="2441">
        <f>'Income Eligible Deemed Table'!I924</f>
        <v>0.1908</v>
      </c>
      <c r="R434" s="2441">
        <f>'Income Eligible Deemed Table'!I925</f>
        <v>0</v>
      </c>
      <c r="S434" s="2441"/>
      <c r="T434" s="2441"/>
      <c r="U434" s="1819">
        <v>0</v>
      </c>
      <c r="V434" s="1819">
        <f t="shared" si="683"/>
        <v>0.1908</v>
      </c>
      <c r="W434" s="1819">
        <v>0</v>
      </c>
      <c r="X434" s="68">
        <f>'Income Eligible Deemed Table'!J924</f>
        <v>10</v>
      </c>
      <c r="Y434" s="68"/>
      <c r="Z434" s="68">
        <f t="shared" si="685"/>
        <v>10</v>
      </c>
      <c r="AA434" s="62">
        <f>'Income Eligible Deemed Table'!BB924</f>
        <v>3.1229644734417659</v>
      </c>
      <c r="AB434" s="839">
        <f>'Income Eligible Deemed Table'!K924</f>
        <v>70</v>
      </c>
      <c r="AC434" s="3617">
        <f t="shared" si="600"/>
        <v>206.33082882578913</v>
      </c>
      <c r="AD434" s="3617">
        <f t="shared" si="601"/>
        <v>0</v>
      </c>
      <c r="AE434" s="1661">
        <f>'Income Eligible Deemed Table'!BD924</f>
        <v>206.33082882578913</v>
      </c>
      <c r="AF434" s="2453">
        <f>'Income Eligible Deemed Table'!BD925</f>
        <v>0</v>
      </c>
      <c r="AG434" s="2453"/>
      <c r="AH434" s="2453"/>
      <c r="AI434" s="684" t="str">
        <f>'Income Eligible Deemed Table'!L924</f>
        <v>per measure</v>
      </c>
      <c r="AJ434" s="1930"/>
      <c r="AK434" s="1930"/>
      <c r="AL434" s="1930"/>
      <c r="AM434" s="1972">
        <f t="shared" si="649"/>
        <v>9.4741810000000004E-4</v>
      </c>
      <c r="AN434" s="1930">
        <f>AM434*I434</f>
        <v>0.1907995951099172</v>
      </c>
      <c r="AO434" s="1971">
        <f t="shared" ref="AO434:AO506" si="686">AN434-O434</f>
        <v>-4.0489008279465111E-7</v>
      </c>
    </row>
    <row r="435" spans="1:41" x14ac:dyDescent="0.25">
      <c r="A435" s="103" t="str">
        <f t="shared" si="617"/>
        <v>404001</v>
      </c>
      <c r="B435" s="684" t="str">
        <f>'Income Eligible Deemed Table'!C926</f>
        <v>404001_2019_12_</v>
      </c>
      <c r="C435" s="1962" t="str">
        <f>'Income Eligible Deemed Table'!G926</f>
        <v>Cooling RES</v>
      </c>
      <c r="D435" s="1962" t="str">
        <f>'Income Eligible Deemed Table'!G927</f>
        <v>Heating RES</v>
      </c>
      <c r="E435" s="1962"/>
      <c r="F435" s="1962"/>
      <c r="G435" s="1962" t="str">
        <f>'Income Eligible Deemed Table'!E926</f>
        <v>Setback thermostat - full setback - gas heating / central AC MF_CompE</v>
      </c>
      <c r="H435" s="63" t="str">
        <f>'Income Eligible Deemed Table'!D926</f>
        <v>MFIEc</v>
      </c>
      <c r="I435" s="2438">
        <f t="shared" si="679"/>
        <v>146.46473600000002</v>
      </c>
      <c r="J435" s="2438">
        <f t="shared" si="680"/>
        <v>0</v>
      </c>
      <c r="K435" s="2439">
        <f>'Income Eligible Deemed Table'!F926</f>
        <v>146.46473600000002</v>
      </c>
      <c r="L435" s="2439">
        <f>'Income Eligible Deemed Table'!F927</f>
        <v>0</v>
      </c>
      <c r="M435" s="2439"/>
      <c r="N435" s="2439"/>
      <c r="O435" s="2440">
        <f t="shared" si="681"/>
        <v>0.138763</v>
      </c>
      <c r="P435" s="2440">
        <f t="shared" si="682"/>
        <v>0</v>
      </c>
      <c r="Q435" s="2441">
        <f>'Income Eligible Deemed Table'!I926</f>
        <v>0.138763</v>
      </c>
      <c r="R435" s="2441">
        <f>'Income Eligible Deemed Table'!I927</f>
        <v>0</v>
      </c>
      <c r="S435" s="2441"/>
      <c r="T435" s="2441"/>
      <c r="U435" s="1819">
        <v>0</v>
      </c>
      <c r="V435" s="1819">
        <f t="shared" si="683"/>
        <v>0.138763</v>
      </c>
      <c r="W435" s="1819">
        <v>0</v>
      </c>
      <c r="X435" s="68">
        <f>'Income Eligible Deemed Table'!J926</f>
        <v>10</v>
      </c>
      <c r="Y435" s="68"/>
      <c r="Z435" s="68">
        <f t="shared" si="685"/>
        <v>10</v>
      </c>
      <c r="AA435" s="62">
        <f>'Income Eligible Deemed Table'!BB926</f>
        <v>2.2712468897758296</v>
      </c>
      <c r="AB435" s="839">
        <f>'Income Eligible Deemed Table'!K926</f>
        <v>70</v>
      </c>
      <c r="AC435" s="3617">
        <f t="shared" si="600"/>
        <v>150.05878460057392</v>
      </c>
      <c r="AD435" s="3617">
        <f t="shared" si="601"/>
        <v>0</v>
      </c>
      <c r="AE435" s="1661">
        <f>'Income Eligible Deemed Table'!BD926</f>
        <v>150.05878460057392</v>
      </c>
      <c r="AF435" s="2453">
        <f>'Income Eligible Deemed Table'!BD927</f>
        <v>0</v>
      </c>
      <c r="AG435" s="2453"/>
      <c r="AH435" s="2453"/>
      <c r="AI435" s="684" t="str">
        <f>'Income Eligible Deemed Table'!L926</f>
        <v>per measure</v>
      </c>
      <c r="AJ435" s="1930"/>
      <c r="AK435" s="1930"/>
      <c r="AL435" s="1930"/>
      <c r="AM435" s="1972">
        <f t="shared" si="649"/>
        <v>9.4741810000000004E-4</v>
      </c>
      <c r="AN435" s="1930">
        <f>AM435*I435</f>
        <v>0.13876334189812162</v>
      </c>
      <c r="AO435" s="1971">
        <f t="shared" si="686"/>
        <v>3.4189812161966593E-7</v>
      </c>
    </row>
    <row r="436" spans="1:41" x14ac:dyDescent="0.25">
      <c r="A436" s="103" t="str">
        <f t="shared" si="617"/>
        <v>404050</v>
      </c>
      <c r="B436" s="684" t="str">
        <f>'Income Eligible Deemed Table'!C928</f>
        <v>404050_2019_12_</v>
      </c>
      <c r="C436" s="1962" t="str">
        <f>'Income Eligible Deemed Table'!G928</f>
        <v>Cooling RES</v>
      </c>
      <c r="D436" s="1962" t="str">
        <f>'Income Eligible Deemed Table'!G929</f>
        <v>Heating RES</v>
      </c>
      <c r="E436" s="1962"/>
      <c r="F436" s="1962"/>
      <c r="G436" s="1962" t="str">
        <f>'Income Eligible Deemed Table'!E928</f>
        <v>Setback thermostat for SF - full setback - gas heating / central AC </v>
      </c>
      <c r="H436" s="63" t="str">
        <f>'Income Eligible Deemed Table'!D928</f>
        <v>SFIE</v>
      </c>
      <c r="I436" s="2438">
        <f t="shared" si="679"/>
        <v>358.2</v>
      </c>
      <c r="J436" s="2438">
        <f t="shared" si="680"/>
        <v>0</v>
      </c>
      <c r="K436" s="2439">
        <f>'Income Eligible Deemed Table'!F928</f>
        <v>358.2</v>
      </c>
      <c r="L436" s="2439">
        <f>'Income Eligible Deemed Table'!F929</f>
        <v>0</v>
      </c>
      <c r="M436" s="2439"/>
      <c r="N436" s="2439"/>
      <c r="O436" s="2440">
        <f t="shared" si="681"/>
        <v>0.33936500000000003</v>
      </c>
      <c r="P436" s="2440">
        <f t="shared" si="682"/>
        <v>0</v>
      </c>
      <c r="Q436" s="2441">
        <f>'Income Eligible Deemed Table'!I928</f>
        <v>0.33936500000000003</v>
      </c>
      <c r="R436" s="2441">
        <f>'Income Eligible Deemed Table'!I929</f>
        <v>0</v>
      </c>
      <c r="S436" s="2441"/>
      <c r="T436" s="2441"/>
      <c r="U436" s="1819">
        <v>0</v>
      </c>
      <c r="V436" s="1819">
        <f t="shared" si="683"/>
        <v>0.33936500000000003</v>
      </c>
      <c r="W436" s="1819">
        <v>0</v>
      </c>
      <c r="X436" s="68">
        <f>'Income Eligible Deemed Table'!J928</f>
        <v>10</v>
      </c>
      <c r="Y436" s="68"/>
      <c r="Z436" s="68">
        <f t="shared" si="685"/>
        <v>10</v>
      </c>
      <c r="AA436" s="62">
        <f>'Income Eligible Deemed Table'!BB928</f>
        <v>5.5546519806494716</v>
      </c>
      <c r="AB436" s="839">
        <f>'Income Eligible Deemed Table'!K928</f>
        <v>70</v>
      </c>
      <c r="AC436" s="3617">
        <f t="shared" si="600"/>
        <v>366.98974860355167</v>
      </c>
      <c r="AD436" s="3617">
        <f t="shared" si="601"/>
        <v>0</v>
      </c>
      <c r="AE436" s="1661">
        <f>'Income Eligible Deemed Table'!BD928</f>
        <v>366.98974860355167</v>
      </c>
      <c r="AF436" s="2453">
        <f>'Income Eligible Deemed Table'!BD929</f>
        <v>0</v>
      </c>
      <c r="AG436" s="2453"/>
      <c r="AH436" s="2453"/>
      <c r="AI436" s="684" t="str">
        <f>'Income Eligible Deemed Table'!L928</f>
        <v>per measure</v>
      </c>
      <c r="AJ436" s="1930"/>
      <c r="AK436" s="1930"/>
      <c r="AL436" s="1930"/>
      <c r="AM436" s="1972">
        <f t="shared" si="649"/>
        <v>9.4741810000000004E-4</v>
      </c>
      <c r="AN436" s="1930">
        <f>AM436*I436</f>
        <v>0.33936516342</v>
      </c>
      <c r="AO436" s="1971">
        <f t="shared" si="686"/>
        <v>1.6341999997671053E-7</v>
      </c>
    </row>
    <row r="437" spans="1:41" x14ac:dyDescent="0.25">
      <c r="A437" s="103" t="str">
        <f t="shared" si="617"/>
        <v>404100</v>
      </c>
      <c r="B437" s="684" t="str">
        <f>'Income Eligible Deemed Table'!C930</f>
        <v>404100_2019_12_</v>
      </c>
      <c r="C437" s="1962" t="str">
        <f>'Income Eligible Deemed Table'!G930</f>
        <v>Cooling RES</v>
      </c>
      <c r="D437" s="1962" t="str">
        <f>'Income Eligible Deemed Table'!G931</f>
        <v>Heating RES</v>
      </c>
      <c r="E437" s="1962"/>
      <c r="F437" s="1962"/>
      <c r="G437" s="1962" t="str">
        <f>'Income Eligible Deemed Table'!E930</f>
        <v>Setback thermostat - full setback - Unknown MF</v>
      </c>
      <c r="H437" s="63" t="str">
        <f>'Income Eligible Deemed Table'!D930</f>
        <v>MFIE</v>
      </c>
      <c r="I437" s="2438">
        <f t="shared" si="679"/>
        <v>216.88</v>
      </c>
      <c r="J437" s="2438">
        <f t="shared" si="680"/>
        <v>0</v>
      </c>
      <c r="K437" s="2439">
        <f>'Income Eligible Deemed Table'!F930</f>
        <v>201.39</v>
      </c>
      <c r="L437" s="2439">
        <f>'Income Eligible Deemed Table'!F931</f>
        <v>15.49</v>
      </c>
      <c r="M437" s="2439"/>
      <c r="N437" s="2439"/>
      <c r="O437" s="2440">
        <f t="shared" si="681"/>
        <v>0.190801</v>
      </c>
      <c r="P437" s="2440">
        <f t="shared" si="682"/>
        <v>0</v>
      </c>
      <c r="Q437" s="2441">
        <f>'Income Eligible Deemed Table'!I930</f>
        <v>0.190801</v>
      </c>
      <c r="R437" s="2441">
        <f>'Income Eligible Deemed Table'!I931</f>
        <v>0</v>
      </c>
      <c r="S437" s="2441"/>
      <c r="T437" s="2441"/>
      <c r="U437" s="1819">
        <v>0</v>
      </c>
      <c r="V437" s="1819">
        <f t="shared" si="683"/>
        <v>0.190801</v>
      </c>
      <c r="W437" s="1819">
        <v>0</v>
      </c>
      <c r="X437" s="68">
        <f>'Income Eligible Deemed Table'!J930</f>
        <v>10</v>
      </c>
      <c r="Y437" s="68"/>
      <c r="Z437" s="68">
        <f t="shared" si="685"/>
        <v>10</v>
      </c>
      <c r="AA437" s="62">
        <f>'Income Eligible Deemed Table'!BB930</f>
        <v>3.1866889366792432</v>
      </c>
      <c r="AB437" s="839">
        <f>'Income Eligible Deemed Table'!K930</f>
        <v>70</v>
      </c>
      <c r="AC437" s="3617">
        <f t="shared" si="600"/>
        <v>210.54103404204531</v>
      </c>
      <c r="AD437" s="3617">
        <f t="shared" si="601"/>
        <v>0</v>
      </c>
      <c r="AE437" s="1661">
        <f>'Income Eligible Deemed Table'!BD930</f>
        <v>206.33184106998681</v>
      </c>
      <c r="AF437" s="2453">
        <f>'Income Eligible Deemed Table'!BD931</f>
        <v>4.2091929720585037</v>
      </c>
      <c r="AG437" s="2453"/>
      <c r="AH437" s="2453"/>
      <c r="AI437" s="684" t="str">
        <f>'Income Eligible Deemed Table'!L930</f>
        <v>per measure</v>
      </c>
      <c r="AJ437" s="1930"/>
      <c r="AK437" s="1930"/>
      <c r="AL437" s="1930"/>
      <c r="AM437" s="1972">
        <f t="shared" si="649"/>
        <v>9.4741810000000004E-4</v>
      </c>
      <c r="AN437" s="100">
        <f>AM437*K437</f>
        <v>0.190800531159</v>
      </c>
      <c r="AO437" s="1971">
        <f t="shared" si="686"/>
        <v>-4.6884099999533468E-7</v>
      </c>
    </row>
    <row r="438" spans="1:41" x14ac:dyDescent="0.25">
      <c r="A438" s="103" t="str">
        <f t="shared" si="617"/>
        <v>404101</v>
      </c>
      <c r="B438" s="684" t="str">
        <f>'Income Eligible Deemed Table'!C932</f>
        <v>404101_2019_12_</v>
      </c>
      <c r="C438" s="1962" t="str">
        <f>'Income Eligible Deemed Table'!G932</f>
        <v>Cooling RES</v>
      </c>
      <c r="D438" s="1962" t="str">
        <f>'Income Eligible Deemed Table'!G933</f>
        <v>Heating RES</v>
      </c>
      <c r="E438" s="1962"/>
      <c r="F438" s="1962"/>
      <c r="G438" s="1962" t="str">
        <f>'Income Eligible Deemed Table'!E932</f>
        <v>Setback thermostat - full setback - Unknown MF_CompE</v>
      </c>
      <c r="H438" s="63" t="str">
        <f>'Income Eligible Deemed Table'!D932</f>
        <v>MFIEc</v>
      </c>
      <c r="I438" s="2438">
        <f t="shared" si="679"/>
        <v>151.74</v>
      </c>
      <c r="J438" s="2438">
        <f t="shared" si="680"/>
        <v>0</v>
      </c>
      <c r="K438" s="2439">
        <f>'Income Eligible Deemed Table'!F932</f>
        <v>146.46</v>
      </c>
      <c r="L438" s="2439">
        <f>'Income Eligible Deemed Table'!F933</f>
        <v>5.28</v>
      </c>
      <c r="M438" s="2439"/>
      <c r="N438" s="2439"/>
      <c r="O438" s="2440">
        <f t="shared" si="681"/>
        <v>0.13875899999999999</v>
      </c>
      <c r="P438" s="2440">
        <f t="shared" si="682"/>
        <v>0</v>
      </c>
      <c r="Q438" s="2441">
        <f>'Income Eligible Deemed Table'!I932</f>
        <v>0.13875899999999999</v>
      </c>
      <c r="R438" s="2441">
        <f>'Income Eligible Deemed Table'!I933</f>
        <v>0</v>
      </c>
      <c r="S438" s="2441"/>
      <c r="T438" s="2441"/>
      <c r="U438" s="1819">
        <v>0</v>
      </c>
      <c r="V438" s="1819">
        <f t="shared" si="683"/>
        <v>0.13875899999999999</v>
      </c>
      <c r="W438" s="1819">
        <v>0</v>
      </c>
      <c r="X438" s="68">
        <f>'Income Eligible Deemed Table'!J932</f>
        <v>10</v>
      </c>
      <c r="Y438" s="68"/>
      <c r="Z438" s="68">
        <f t="shared" si="685"/>
        <v>10</v>
      </c>
      <c r="AA438" s="62">
        <f>'Income Eligible Deemed Table'!BB932</f>
        <v>2.2928896695197545</v>
      </c>
      <c r="AB438" s="839">
        <f>'Income Eligible Deemed Table'!K932</f>
        <v>70</v>
      </c>
      <c r="AC438" s="3617">
        <f t="shared" si="600"/>
        <v>151.48869926038961</v>
      </c>
      <c r="AD438" s="3617">
        <f t="shared" si="601"/>
        <v>0</v>
      </c>
      <c r="AE438" s="1661">
        <f>'Income Eligible Deemed Table'!BD932</f>
        <v>150.05393238547231</v>
      </c>
      <c r="AF438" s="2453">
        <f>'Income Eligible Deemed Table'!BD933</f>
        <v>1.434766874917295</v>
      </c>
      <c r="AG438" s="2453"/>
      <c r="AH438" s="2453"/>
      <c r="AI438" s="684" t="str">
        <f>'Income Eligible Deemed Table'!L932</f>
        <v>per measure</v>
      </c>
      <c r="AJ438" s="1930"/>
      <c r="AK438" s="1930"/>
      <c r="AL438" s="1930"/>
      <c r="AM438" s="1972">
        <f t="shared" si="649"/>
        <v>9.4741810000000004E-4</v>
      </c>
      <c r="AN438" s="100">
        <f>AM438*K438</f>
        <v>0.13875885492600001</v>
      </c>
      <c r="AO438" s="1971">
        <f t="shared" si="686"/>
        <v>-1.4507399997976123E-7</v>
      </c>
    </row>
    <row r="439" spans="1:41" x14ac:dyDescent="0.25">
      <c r="A439" s="103" t="str">
        <f t="shared" si="617"/>
        <v>404150</v>
      </c>
      <c r="B439" s="684" t="str">
        <f>'Income Eligible Deemed Table'!C934</f>
        <v>404150_2019_12_</v>
      </c>
      <c r="C439" s="1962" t="str">
        <f>'Income Eligible Deemed Table'!G934</f>
        <v>Cooling RES</v>
      </c>
      <c r="D439" s="1962" t="str">
        <f>'Income Eligible Deemed Table'!G935</f>
        <v>Heating RES</v>
      </c>
      <c r="E439" s="1962"/>
      <c r="F439" s="1962"/>
      <c r="G439" s="1962" t="str">
        <f>'Income Eligible Deemed Table'!E934</f>
        <v>Setback thermostat for SF - full setback - Unknown</v>
      </c>
      <c r="H439" s="63" t="str">
        <f>'Income Eligible Deemed Table'!D934</f>
        <v>SFIE</v>
      </c>
      <c r="I439" s="2438">
        <f t="shared" si="679"/>
        <v>390.53</v>
      </c>
      <c r="J439" s="2438">
        <f t="shared" si="680"/>
        <v>0</v>
      </c>
      <c r="K439" s="2439">
        <f>'Income Eligible Deemed Table'!F934</f>
        <v>358.2</v>
      </c>
      <c r="L439" s="2439">
        <f>'Income Eligible Deemed Table'!F935</f>
        <v>32.33</v>
      </c>
      <c r="M439" s="2439"/>
      <c r="N439" s="2439"/>
      <c r="O439" s="2440">
        <f t="shared" si="681"/>
        <v>0.33936500000000003</v>
      </c>
      <c r="P439" s="2440">
        <f t="shared" si="682"/>
        <v>0</v>
      </c>
      <c r="Q439" s="2441">
        <f>'Income Eligible Deemed Table'!I934</f>
        <v>0.33936500000000003</v>
      </c>
      <c r="R439" s="2441">
        <f>'Income Eligible Deemed Table'!I935</f>
        <v>0</v>
      </c>
      <c r="S439" s="2441"/>
      <c r="T439" s="2441"/>
      <c r="U439" s="1819">
        <v>0</v>
      </c>
      <c r="V439" s="1819">
        <f t="shared" si="683"/>
        <v>0.33936500000000003</v>
      </c>
      <c r="W439" s="1819">
        <v>0</v>
      </c>
      <c r="X439" s="68">
        <f>'Income Eligible Deemed Table'!J934</f>
        <v>10</v>
      </c>
      <c r="Y439" s="68"/>
      <c r="Z439" s="68">
        <f t="shared" si="685"/>
        <v>10</v>
      </c>
      <c r="AA439" s="62">
        <f>'Income Eligible Deemed Table'!BB934</f>
        <v>5.6876227080399149</v>
      </c>
      <c r="AB439" s="839">
        <f>'Income Eligible Deemed Table'!K934</f>
        <v>70</v>
      </c>
      <c r="AC439" s="3617">
        <f t="shared" si="600"/>
        <v>375.77497835091458</v>
      </c>
      <c r="AD439" s="3617">
        <f t="shared" si="601"/>
        <v>0</v>
      </c>
      <c r="AE439" s="1661">
        <f>'Income Eligible Deemed Table'!BD934</f>
        <v>366.98974860355167</v>
      </c>
      <c r="AF439" s="2453">
        <f>'Income Eligible Deemed Table'!BD935</f>
        <v>8.7852297473629068</v>
      </c>
      <c r="AG439" s="2453"/>
      <c r="AH439" s="2453"/>
      <c r="AI439" s="684" t="str">
        <f>'Income Eligible Deemed Table'!L934</f>
        <v>per measure</v>
      </c>
      <c r="AJ439" s="1930"/>
      <c r="AK439" s="1930"/>
      <c r="AL439" s="1930"/>
      <c r="AM439" s="1972">
        <f t="shared" si="649"/>
        <v>9.4741810000000004E-4</v>
      </c>
      <c r="AN439" s="100">
        <f>AM439*K439</f>
        <v>0.33936516342</v>
      </c>
      <c r="AO439" s="1971">
        <f t="shared" si="686"/>
        <v>1.6341999997671053E-7</v>
      </c>
    </row>
    <row r="440" spans="1:41" x14ac:dyDescent="0.25">
      <c r="A440" s="103" t="str">
        <f t="shared" si="617"/>
        <v>404200</v>
      </c>
      <c r="B440" s="684" t="str">
        <f>'Income Eligible Deemed Table'!C997</f>
        <v>404200_2019_12_</v>
      </c>
      <c r="C440" s="1962" t="str">
        <f>'Income Eligible Deemed Table'!G997</f>
        <v>Water heating RES</v>
      </c>
      <c r="D440" s="1962"/>
      <c r="E440" s="1962"/>
      <c r="F440" s="1962"/>
      <c r="G440" s="1962" t="str">
        <f>'Income Eligible Deemed Table'!E997</f>
        <v>Shower Start 1.5 gpm electric water heater SFIE DI</v>
      </c>
      <c r="H440" s="63" t="str">
        <f>'Income Eligible Deemed Table'!D997</f>
        <v>SFIE DI</v>
      </c>
      <c r="I440" s="2438">
        <f>'Income Eligible Deemed Table'!F997</f>
        <v>41.68</v>
      </c>
      <c r="J440" s="2438"/>
      <c r="K440" s="2439"/>
      <c r="L440" s="2439"/>
      <c r="M440" s="2439"/>
      <c r="N440" s="2439"/>
      <c r="O440" s="2440">
        <f>'Income Eligible Deemed Table'!J997</f>
        <v>3.6979999999999999E-3</v>
      </c>
      <c r="P440" s="2440"/>
      <c r="Q440" s="2441"/>
      <c r="R440" s="2441"/>
      <c r="S440" s="2441"/>
      <c r="T440" s="2441"/>
      <c r="U440" s="1819">
        <v>0</v>
      </c>
      <c r="V440" s="1819">
        <f>O440</f>
        <v>3.6979999999999999E-3</v>
      </c>
      <c r="W440" s="1819">
        <v>0</v>
      </c>
      <c r="X440" s="68">
        <f>'Income Eligible Deemed Table'!K997</f>
        <v>10</v>
      </c>
      <c r="Y440" s="68"/>
      <c r="Z440" s="68">
        <f t="shared" si="685"/>
        <v>10</v>
      </c>
      <c r="AA440" s="62">
        <f>'Income Eligible Deemed Table'!BB997</f>
        <v>0.29788668889907871</v>
      </c>
      <c r="AB440" s="839">
        <f>'Income Eligible Deemed Table'!L997</f>
        <v>50</v>
      </c>
      <c r="AC440" s="3617">
        <f t="shared" si="600"/>
        <v>14.057889990518106</v>
      </c>
      <c r="AD440" s="3617">
        <f t="shared" si="601"/>
        <v>0</v>
      </c>
      <c r="AE440" s="1661">
        <f>'Income Eligible Deemed Table'!BD997</f>
        <v>14.057889990518106</v>
      </c>
      <c r="AF440" s="2453"/>
      <c r="AG440" s="2453"/>
      <c r="AH440" s="2453"/>
      <c r="AI440" s="3628" t="str">
        <f>'Income Eligible Deemed Table'!M997</f>
        <v>per measure</v>
      </c>
      <c r="AJ440" s="1930"/>
      <c r="AK440" s="1930"/>
      <c r="AL440" s="1930"/>
      <c r="AM440" s="1972">
        <f t="shared" si="649"/>
        <v>8.8731800000000003E-5</v>
      </c>
      <c r="AN440" s="1930">
        <f t="shared" ref="AN440:AN480" si="687">AM440*I440</f>
        <v>3.698341424E-3</v>
      </c>
      <c r="AO440" s="1971">
        <f t="shared" si="686"/>
        <v>3.4142400000009704E-7</v>
      </c>
    </row>
    <row r="441" spans="1:41" x14ac:dyDescent="0.25">
      <c r="A441" s="103" t="str">
        <f t="shared" si="617"/>
        <v>404250</v>
      </c>
      <c r="B441" s="684" t="str">
        <f>'Income Eligible Deemed Table'!C998</f>
        <v>404250_2019_12_</v>
      </c>
      <c r="C441" s="1962" t="str">
        <f>'Income Eligible Deemed Table'!G998</f>
        <v>Water heating RES</v>
      </c>
      <c r="D441" s="1962"/>
      <c r="E441" s="1962"/>
      <c r="F441" s="1962"/>
      <c r="G441" s="1962" t="str">
        <f>'Income Eligible Deemed Table'!E998</f>
        <v>Shower Start 1.5 gpm electric water heater MFIE DI</v>
      </c>
      <c r="H441" s="63" t="str">
        <f>'Income Eligible Deemed Table'!D998</f>
        <v>MFIE DI</v>
      </c>
      <c r="I441" s="2438">
        <f>'Income Eligible Deemed Table'!F998</f>
        <v>47.32</v>
      </c>
      <c r="J441" s="2438"/>
      <c r="K441" s="2439"/>
      <c r="L441" s="2439"/>
      <c r="M441" s="2439"/>
      <c r="N441" s="2439"/>
      <c r="O441" s="2440">
        <f>'Income Eligible Deemed Table'!J998</f>
        <v>4.1989999999999996E-3</v>
      </c>
      <c r="P441" s="2440"/>
      <c r="Q441" s="2441"/>
      <c r="R441" s="2441"/>
      <c r="S441" s="2441"/>
      <c r="T441" s="2441"/>
      <c r="U441" s="1819">
        <v>0</v>
      </c>
      <c r="V441" s="1819">
        <f>O441</f>
        <v>4.1989999999999996E-3</v>
      </c>
      <c r="W441" s="1819">
        <v>0</v>
      </c>
      <c r="X441" s="68">
        <f>'Income Eligible Deemed Table'!K998</f>
        <v>10</v>
      </c>
      <c r="Y441" s="68"/>
      <c r="Z441" s="68">
        <f t="shared" ref="Z441:Z470" si="688">Y441+X441</f>
        <v>10</v>
      </c>
      <c r="AA441" s="62">
        <f>'Income Eligible Deemed Table'!BB998</f>
        <v>0.33819573221459703</v>
      </c>
      <c r="AB441" s="839">
        <f>'Income Eligible Deemed Table'!L998</f>
        <v>50</v>
      </c>
      <c r="AC441" s="3617">
        <f t="shared" si="600"/>
        <v>15.960157254110287</v>
      </c>
      <c r="AD441" s="3617">
        <f t="shared" si="601"/>
        <v>0</v>
      </c>
      <c r="AE441" s="1661">
        <f>'Income Eligible Deemed Table'!BD998</f>
        <v>15.960157254110287</v>
      </c>
      <c r="AF441" s="2453"/>
      <c r="AG441" s="2453"/>
      <c r="AH441" s="2453"/>
      <c r="AI441" s="3628" t="str">
        <f>'Income Eligible Deemed Table'!M998</f>
        <v>per measure</v>
      </c>
      <c r="AJ441" s="1930"/>
      <c r="AK441" s="1930"/>
      <c r="AL441" s="1930"/>
      <c r="AM441" s="1972">
        <f t="shared" si="649"/>
        <v>8.8731800000000003E-5</v>
      </c>
      <c r="AN441" s="1930">
        <f t="shared" si="687"/>
        <v>4.1987887760000005E-3</v>
      </c>
      <c r="AO441" s="1971">
        <f t="shared" si="686"/>
        <v>-2.1122399999906616E-7</v>
      </c>
    </row>
    <row r="442" spans="1:41" x14ac:dyDescent="0.25">
      <c r="A442" s="103" t="str">
        <f t="shared" si="617"/>
        <v>404300</v>
      </c>
      <c r="B442" s="684" t="str">
        <f>'Income Eligible Deemed Table'!C1032</f>
        <v>404300_2019_12_</v>
      </c>
      <c r="C442" s="1962" t="str">
        <f>'Income Eligible Deemed Table'!G1032</f>
        <v>Water heating RES</v>
      </c>
      <c r="D442" s="1962"/>
      <c r="E442" s="1962"/>
      <c r="F442" s="1962"/>
      <c r="G442" s="1962" t="str">
        <f>'Income Eligible Deemed Table'!E1032</f>
        <v>Water Heater Wrap SFIE</v>
      </c>
      <c r="H442" s="63" t="str">
        <f>'Income Eligible Deemed Table'!D1032</f>
        <v>SFIE</v>
      </c>
      <c r="I442" s="2438">
        <f>'Income Eligible Deemed Table'!F1032</f>
        <v>100.55</v>
      </c>
      <c r="J442" s="2438"/>
      <c r="K442" s="2439"/>
      <c r="L442" s="2439"/>
      <c r="M442" s="2439"/>
      <c r="N442" s="2439"/>
      <c r="O442" s="2440">
        <f>'Income Eligible Deemed Table'!I1032</f>
        <v>8.9219999999999994E-3</v>
      </c>
      <c r="P442" s="2440"/>
      <c r="Q442" s="2441"/>
      <c r="R442" s="2441"/>
      <c r="S442" s="2441"/>
      <c r="T442" s="2441"/>
      <c r="U442" s="1819">
        <v>0</v>
      </c>
      <c r="V442" s="1819">
        <f>O442</f>
        <v>8.9219999999999994E-3</v>
      </c>
      <c r="W442" s="1819">
        <v>0</v>
      </c>
      <c r="X442" s="68">
        <f>'Income Eligible Deemed Table'!J1032</f>
        <v>12</v>
      </c>
      <c r="Y442" s="68"/>
      <c r="Z442" s="68">
        <f t="shared" si="688"/>
        <v>12</v>
      </c>
      <c r="AA442" s="62">
        <f>'Income Eligible Deemed Table'!BB1032</f>
        <v>0.74088146802699328</v>
      </c>
      <c r="AB442" s="839">
        <f>'Income Eligible Deemed Table'!K1032</f>
        <v>58</v>
      </c>
      <c r="AC442" s="3617">
        <f t="shared" si="600"/>
        <v>40.557928405441821</v>
      </c>
      <c r="AD442" s="3617">
        <f t="shared" si="601"/>
        <v>0</v>
      </c>
      <c r="AE442" s="1661">
        <f>'Income Eligible Deemed Table'!BD1032</f>
        <v>40.557928405441821</v>
      </c>
      <c r="AF442" s="2453"/>
      <c r="AG442" s="2453"/>
      <c r="AH442" s="2453"/>
      <c r="AI442" s="684" t="str">
        <f>'Income Eligible Deemed Table'!L1032</f>
        <v>per measure</v>
      </c>
      <c r="AJ442" s="1930"/>
      <c r="AK442" s="1930"/>
      <c r="AL442" s="1930"/>
      <c r="AM442" s="1972">
        <f t="shared" si="649"/>
        <v>8.8731800000000003E-5</v>
      </c>
      <c r="AN442" s="1930">
        <f t="shared" si="687"/>
        <v>8.9219824900000008E-3</v>
      </c>
      <c r="AO442" s="1971">
        <f t="shared" si="686"/>
        <v>-1.750999999855507E-8</v>
      </c>
    </row>
    <row r="443" spans="1:41" x14ac:dyDescent="0.25">
      <c r="A443" s="103" t="str">
        <f t="shared" si="617"/>
        <v>404350</v>
      </c>
      <c r="B443" s="684" t="str">
        <f>'Income Eligible Deemed Table'!C1058</f>
        <v>404350_2019_12_</v>
      </c>
      <c r="C443" s="1962" t="str">
        <f>'Income Eligible Deemed Table'!G1058</f>
        <v>Water heating RES</v>
      </c>
      <c r="D443" s="1962"/>
      <c r="E443" s="1962"/>
      <c r="F443" s="1962"/>
      <c r="G443" s="1962" t="str">
        <f>'Income Eligible Deemed Table'!E1058</f>
        <v>Common Area Low Flow Bathroom Faucet Aerator</v>
      </c>
      <c r="H443" s="63" t="str">
        <f>'Income Eligible Deemed Table'!D1058</f>
        <v>MFIE</v>
      </c>
      <c r="I443" s="2438">
        <f>'Income Eligible Deemed Table'!F1058</f>
        <v>28.4</v>
      </c>
      <c r="J443" s="2438"/>
      <c r="K443" s="2439"/>
      <c r="L443" s="2439"/>
      <c r="M443" s="2439"/>
      <c r="N443" s="2439"/>
      <c r="O443" s="2440">
        <f>'Income Eligible Deemed Table'!J1058</f>
        <v>2.5200000000000001E-3</v>
      </c>
      <c r="P443" s="2440"/>
      <c r="Q443" s="2441"/>
      <c r="R443" s="2441"/>
      <c r="S443" s="2441"/>
      <c r="T443" s="2441"/>
      <c r="U443" s="1819">
        <v>0</v>
      </c>
      <c r="V443" s="1819">
        <f>O443</f>
        <v>2.5200000000000001E-3</v>
      </c>
      <c r="W443" s="1819">
        <v>0</v>
      </c>
      <c r="X443" s="68">
        <f>'Income Eligible Deemed Table'!K1058</f>
        <v>10</v>
      </c>
      <c r="Y443" s="68"/>
      <c r="Z443" s="68">
        <f t="shared" si="688"/>
        <v>10</v>
      </c>
      <c r="AA443" s="62">
        <f>'Income Eligible Deemed Table'!BB1058</f>
        <v>0.89573969671987408</v>
      </c>
      <c r="AB443" s="839">
        <f>'Income Eligible Deemed Table'!L1058</f>
        <v>11.33</v>
      </c>
      <c r="AC443" s="3617">
        <f t="shared" si="600"/>
        <v>9.5787926039038904</v>
      </c>
      <c r="AD443" s="3617">
        <f t="shared" si="601"/>
        <v>0</v>
      </c>
      <c r="AE443" s="1661">
        <f>'Income Eligible Deemed Table'!BD1058</f>
        <v>9.5787926039038904</v>
      </c>
      <c r="AF443" s="2453"/>
      <c r="AG443" s="2453"/>
      <c r="AH443" s="2453"/>
      <c r="AI443" s="3630" t="str">
        <f>'Income Eligible Deemed Table'!M1058</f>
        <v>per measure</v>
      </c>
      <c r="AJ443" s="1930"/>
      <c r="AK443" s="1930"/>
      <c r="AL443" s="1930"/>
      <c r="AM443" s="1972">
        <f t="shared" ref="AM443:AM474" si="689">VLOOKUP(C443,$AS$10:$AT$33,2,FALSE)</f>
        <v>8.8731800000000003E-5</v>
      </c>
      <c r="AN443" s="1930">
        <f t="shared" si="687"/>
        <v>2.5199831199999999E-3</v>
      </c>
      <c r="AO443" s="1971">
        <f t="shared" si="686"/>
        <v>-1.6880000000205064E-8</v>
      </c>
    </row>
    <row r="444" spans="1:41" x14ac:dyDescent="0.25">
      <c r="A444" s="103" t="str">
        <f t="shared" si="617"/>
        <v>404400</v>
      </c>
      <c r="B444" s="684" t="str">
        <f>'Income Eligible Deemed Table'!C1089</f>
        <v>404400_2019_12_</v>
      </c>
      <c r="C444" s="1962" t="str">
        <f>'Income Eligible Deemed Table'!G1089</f>
        <v>Water heating RES</v>
      </c>
      <c r="D444" s="1962"/>
      <c r="E444" s="1962"/>
      <c r="F444" s="1962"/>
      <c r="G444" s="1962" t="str">
        <f>'Income Eligible Deemed Table'!E1089</f>
        <v>Common Area Low Flow Showerhead</v>
      </c>
      <c r="H444" s="63" t="str">
        <f>'Income Eligible Deemed Table'!D1089</f>
        <v>MFIE DI</v>
      </c>
      <c r="I444" s="2438">
        <f>'Income Eligible Deemed Table'!F1089</f>
        <v>213.29</v>
      </c>
      <c r="J444" s="2438"/>
      <c r="K444" s="2439"/>
      <c r="L444" s="2439"/>
      <c r="M444" s="2439"/>
      <c r="N444" s="2439"/>
      <c r="O444" s="2440">
        <f>'Income Eligible Deemed Table'!J1089</f>
        <v>1.8925999999999998E-2</v>
      </c>
      <c r="P444" s="2440"/>
      <c r="Q444" s="2441"/>
      <c r="R444" s="2441"/>
      <c r="S444" s="2441"/>
      <c r="T444" s="2441"/>
      <c r="U444" s="1819">
        <v>0</v>
      </c>
      <c r="V444" s="1819">
        <f>O444</f>
        <v>1.8925999999999998E-2</v>
      </c>
      <c r="W444" s="1819">
        <v>0</v>
      </c>
      <c r="X444" s="68">
        <f>'Income Eligible Deemed Table'!K1089</f>
        <v>10</v>
      </c>
      <c r="Y444" s="68"/>
      <c r="Z444" s="68">
        <f t="shared" si="688"/>
        <v>10</v>
      </c>
      <c r="AA444" s="62">
        <f>'Income Eligible Deemed Table'!BB1089</f>
        <v>10.888444590636908</v>
      </c>
      <c r="AB444" s="839">
        <f>'Income Eligible Deemed Table'!L1089</f>
        <v>7</v>
      </c>
      <c r="AC444" s="3617">
        <f t="shared" si="600"/>
        <v>71.938756143896512</v>
      </c>
      <c r="AD444" s="3617">
        <f t="shared" si="601"/>
        <v>0</v>
      </c>
      <c r="AE444" s="1661">
        <f>'Income Eligible Deemed Table'!BD1089</f>
        <v>71.938756143896512</v>
      </c>
      <c r="AF444" s="2453"/>
      <c r="AG444" s="2453"/>
      <c r="AH444" s="2453"/>
      <c r="AI444" s="3630" t="str">
        <f>'Income Eligible Deemed Table'!M1089</f>
        <v>per measure</v>
      </c>
      <c r="AJ444" s="1930"/>
      <c r="AK444" s="1930"/>
      <c r="AL444" s="1930"/>
      <c r="AM444" s="1972">
        <f t="shared" si="689"/>
        <v>8.8731800000000003E-5</v>
      </c>
      <c r="AN444" s="1930">
        <f t="shared" si="687"/>
        <v>1.8925605621999998E-2</v>
      </c>
      <c r="AO444" s="1971">
        <f t="shared" si="686"/>
        <v>-3.9437800000013956E-7</v>
      </c>
    </row>
    <row r="445" spans="1:41" x14ac:dyDescent="0.25">
      <c r="A445" s="103" t="str">
        <f t="shared" si="617"/>
        <v>404450</v>
      </c>
      <c r="B445" s="684" t="str">
        <f>'Income Eligible Deemed Table'!C1123</f>
        <v>404450_2019_12_</v>
      </c>
      <c r="C445" s="1962" t="str">
        <f>'Income Eligible Deemed Table'!G1123</f>
        <v>Lighting RES</v>
      </c>
      <c r="D445" s="1962"/>
      <c r="E445" s="1962"/>
      <c r="F445" s="1962"/>
      <c r="G445" s="1962" t="str">
        <f>'Income Eligible Deemed Table'!E1123</f>
        <v>LED - 10.5W Downlight E26 (EISA baseline) IE DI</v>
      </c>
      <c r="H445" s="63" t="str">
        <f>'Income Eligible Deemed Table'!D1123</f>
        <v>SFIE / MFIE</v>
      </c>
      <c r="I445" s="2438">
        <f>'Income Eligible Deemed Table'!F1123</f>
        <v>23.59</v>
      </c>
      <c r="J445" s="2438"/>
      <c r="K445" s="2439"/>
      <c r="L445" s="2439"/>
      <c r="M445" s="2439"/>
      <c r="N445" s="2439"/>
      <c r="O445" s="2440">
        <f>'Income Eligible Deemed Table'!M1123</f>
        <v>3.5209999999999998E-3</v>
      </c>
      <c r="P445" s="2440"/>
      <c r="Q445" s="2441"/>
      <c r="R445" s="2441"/>
      <c r="S445" s="2441"/>
      <c r="T445" s="2441"/>
      <c r="U445" s="1819"/>
      <c r="V445" s="1819"/>
      <c r="W445" s="1819">
        <f>O445</f>
        <v>3.5209999999999998E-3</v>
      </c>
      <c r="X445" s="68">
        <f>'Income Eligible Deemed Table'!N1123</f>
        <v>19</v>
      </c>
      <c r="Y445" s="68"/>
      <c r="Z445" s="68">
        <f t="shared" si="688"/>
        <v>19</v>
      </c>
      <c r="AA445" s="62">
        <f>'Income Eligible Deemed Table'!BB1123</f>
        <v>2.440174293837051</v>
      </c>
      <c r="AB445" s="839">
        <f>'Income Eligible Deemed Table'!P1123</f>
        <v>6</v>
      </c>
      <c r="AC445" s="3617">
        <f t="shared" si="600"/>
        <v>13.818825637585942</v>
      </c>
      <c r="AD445" s="3617">
        <f t="shared" si="601"/>
        <v>0</v>
      </c>
      <c r="AE445" s="1661">
        <f>'Income Eligible Deemed Table'!BD1123</f>
        <v>13.818825637585942</v>
      </c>
      <c r="AF445" s="2453"/>
      <c r="AG445" s="2453"/>
      <c r="AH445" s="2453"/>
      <c r="AI445" s="3631" t="str">
        <f>'Income Eligible Deemed Table'!R1123</f>
        <v>per measure</v>
      </c>
      <c r="AJ445" s="1930"/>
      <c r="AK445" s="1930"/>
      <c r="AL445" s="1930"/>
      <c r="AM445" s="1972">
        <f t="shared" si="689"/>
        <v>1.4925290000000001E-4</v>
      </c>
      <c r="AN445" s="1930">
        <f t="shared" si="687"/>
        <v>3.5208759110000004E-3</v>
      </c>
      <c r="AO445" s="1971">
        <f t="shared" si="686"/>
        <v>-1.2408899999942838E-7</v>
      </c>
    </row>
    <row r="446" spans="1:41" x14ac:dyDescent="0.25">
      <c r="A446" s="103" t="str">
        <f t="shared" si="617"/>
        <v>404500</v>
      </c>
      <c r="B446" s="684" t="str">
        <f>'Income Eligible Deemed Table'!C1124</f>
        <v>404500_2019_12_</v>
      </c>
      <c r="C446" s="1962" t="str">
        <f>'Income Eligible Deemed Table'!G1124</f>
        <v>Lighting RES</v>
      </c>
      <c r="D446" s="1962"/>
      <c r="E446" s="1962"/>
      <c r="F446" s="1962"/>
      <c r="G446" s="1962" t="str">
        <f>'Income Eligible Deemed Table'!E1124</f>
        <v>LED - 10W (Halogen baseline) (750-1049 lumens) IEDI</v>
      </c>
      <c r="H446" s="63" t="str">
        <f>'Income Eligible Deemed Table'!D1124</f>
        <v>SFIE / MFIE</v>
      </c>
      <c r="I446" s="2438">
        <f>'Income Eligible Deemed Table'!F1124</f>
        <v>22.22</v>
      </c>
      <c r="J446" s="2438"/>
      <c r="K446" s="2439"/>
      <c r="L446" s="2439"/>
      <c r="M446" s="2439"/>
      <c r="N446" s="2439"/>
      <c r="O446" s="2440">
        <f>'Income Eligible Deemed Table'!M1124</f>
        <v>3.3159999999999999E-3</v>
      </c>
      <c r="P446" s="2440"/>
      <c r="Q446" s="2441"/>
      <c r="R446" s="2441"/>
      <c r="S446" s="2441"/>
      <c r="T446" s="2441"/>
      <c r="U446" s="1819"/>
      <c r="V446" s="1819"/>
      <c r="W446" s="1819">
        <f t="shared" ref="W446:W468" si="690">O446</f>
        <v>3.3159999999999999E-3</v>
      </c>
      <c r="X446" s="68">
        <f>'Income Eligible Deemed Table'!N1124</f>
        <v>19</v>
      </c>
      <c r="Y446" s="68"/>
      <c r="Z446" s="68">
        <f t="shared" si="688"/>
        <v>19</v>
      </c>
      <c r="AA446" s="62">
        <f>'Income Eligible Deemed Table'!BB1124</f>
        <v>2.298460059731211</v>
      </c>
      <c r="AB446" s="839">
        <f>'Income Eligible Deemed Table'!P1124</f>
        <v>6</v>
      </c>
      <c r="AC446" s="3617">
        <f t="shared" ref="AC446:AC534" si="691">AE446+AF446</f>
        <v>13.016291041422619</v>
      </c>
      <c r="AD446" s="3617">
        <f t="shared" ref="AD446:AD534" si="692">AG446+AH446</f>
        <v>0</v>
      </c>
      <c r="AE446" s="1661">
        <f>'Income Eligible Deemed Table'!BD1124</f>
        <v>13.016291041422619</v>
      </c>
      <c r="AF446" s="2453"/>
      <c r="AG446" s="2453"/>
      <c r="AH446" s="2453"/>
      <c r="AI446" s="3631" t="str">
        <f>'Income Eligible Deemed Table'!R1124</f>
        <v>per measure</v>
      </c>
      <c r="AJ446" s="1930"/>
      <c r="AK446" s="1930"/>
      <c r="AL446" s="1930"/>
      <c r="AM446" s="1972">
        <f t="shared" si="689"/>
        <v>1.4925290000000001E-4</v>
      </c>
      <c r="AN446" s="1930">
        <f t="shared" si="687"/>
        <v>3.3163994380000002E-3</v>
      </c>
      <c r="AO446" s="1971">
        <f t="shared" si="686"/>
        <v>3.994380000003038E-7</v>
      </c>
    </row>
    <row r="447" spans="1:41" x14ac:dyDescent="0.25">
      <c r="A447" s="103" t="str">
        <f t="shared" si="617"/>
        <v>404550</v>
      </c>
      <c r="B447" s="684" t="str">
        <f>'Income Eligible Deemed Table'!C1125</f>
        <v>404550_2019_12_</v>
      </c>
      <c r="C447" s="1962" t="str">
        <f>'Income Eligible Deemed Table'!G1125</f>
        <v>Lighting RES</v>
      </c>
      <c r="D447" s="1962"/>
      <c r="E447" s="1962"/>
      <c r="F447" s="1962"/>
      <c r="G447" s="1962" t="str">
        <f>'Income Eligible Deemed Table'!E1125</f>
        <v>LED - 12W (Halogen baseline) IE DI</v>
      </c>
      <c r="H447" s="63" t="str">
        <f>'Income Eligible Deemed Table'!D1125</f>
        <v>SFIE / MFIE</v>
      </c>
      <c r="I447" s="2438">
        <f>'Income Eligible Deemed Table'!F1125</f>
        <v>22.95</v>
      </c>
      <c r="J447" s="2438"/>
      <c r="K447" s="2439"/>
      <c r="L447" s="2439"/>
      <c r="M447" s="2439"/>
      <c r="N447" s="2439"/>
      <c r="O447" s="2440">
        <f>'Income Eligible Deemed Table'!M1125</f>
        <v>3.4250000000000001E-3</v>
      </c>
      <c r="P447" s="2440"/>
      <c r="Q447" s="2441"/>
      <c r="R447" s="2441"/>
      <c r="S447" s="2441"/>
      <c r="T447" s="2441"/>
      <c r="U447" s="1819"/>
      <c r="V447" s="1819"/>
      <c r="W447" s="1819">
        <f t="shared" si="690"/>
        <v>3.4250000000000001E-3</v>
      </c>
      <c r="X447" s="68">
        <f>'Income Eligible Deemed Table'!N1125</f>
        <v>19</v>
      </c>
      <c r="Y447" s="68"/>
      <c r="Z447" s="68">
        <f t="shared" si="688"/>
        <v>19</v>
      </c>
      <c r="AA447" s="62">
        <f>'Income Eligible Deemed Table'!BB1125</f>
        <v>2.3739720238897974</v>
      </c>
      <c r="AB447" s="839">
        <f>'Income Eligible Deemed Table'!P1125</f>
        <v>6</v>
      </c>
      <c r="AC447" s="3617">
        <f t="shared" si="691"/>
        <v>13.443918964925704</v>
      </c>
      <c r="AD447" s="3617">
        <f t="shared" si="692"/>
        <v>0</v>
      </c>
      <c r="AE447" s="1661">
        <f>'Income Eligible Deemed Table'!BD1125</f>
        <v>13.443918964925704</v>
      </c>
      <c r="AF447" s="2453"/>
      <c r="AG447" s="2453"/>
      <c r="AH447" s="2453"/>
      <c r="AI447" s="3631" t="str">
        <f>'Income Eligible Deemed Table'!R1125</f>
        <v>per measure</v>
      </c>
      <c r="AJ447" s="1930"/>
      <c r="AK447" s="1930"/>
      <c r="AL447" s="1930"/>
      <c r="AM447" s="1972">
        <f t="shared" si="689"/>
        <v>1.4925290000000001E-4</v>
      </c>
      <c r="AN447" s="1930">
        <f t="shared" si="687"/>
        <v>3.425354055E-3</v>
      </c>
      <c r="AO447" s="1971">
        <f t="shared" si="686"/>
        <v>3.5405499999993303E-7</v>
      </c>
    </row>
    <row r="448" spans="1:41" x14ac:dyDescent="0.25">
      <c r="A448" s="103" t="str">
        <f t="shared" si="617"/>
        <v>404600</v>
      </c>
      <c r="B448" s="684" t="str">
        <f>'Income Eligible Deemed Table'!C1126</f>
        <v>404600_2019_12_</v>
      </c>
      <c r="C448" s="1962" t="str">
        <f>'Income Eligible Deemed Table'!G1126</f>
        <v>Lighting RES</v>
      </c>
      <c r="D448" s="1962"/>
      <c r="E448" s="1962"/>
      <c r="F448" s="1962"/>
      <c r="G448" s="1962" t="str">
        <f>'Income Eligible Deemed Table'!E1126</f>
        <v>LED - 12W Dimmable Light Bulb (Replacing Specialty Incandescent) IE DI</v>
      </c>
      <c r="H448" s="63" t="str">
        <f>'Income Eligible Deemed Table'!D1126</f>
        <v>SFIE / MFIE</v>
      </c>
      <c r="I448" s="2438">
        <f>'Income Eligible Deemed Table'!F1126</f>
        <v>27.52</v>
      </c>
      <c r="J448" s="2438"/>
      <c r="K448" s="2439"/>
      <c r="L448" s="2439"/>
      <c r="M448" s="2439"/>
      <c r="N448" s="2439"/>
      <c r="O448" s="2440">
        <f>'Income Eligible Deemed Table'!M1126</f>
        <v>4.1079999999999997E-3</v>
      </c>
      <c r="P448" s="2440"/>
      <c r="Q448" s="2441"/>
      <c r="R448" s="2441"/>
      <c r="S448" s="2441"/>
      <c r="T448" s="2441"/>
      <c r="U448" s="1819"/>
      <c r="V448" s="1819"/>
      <c r="W448" s="1819">
        <f t="shared" si="690"/>
        <v>4.1079999999999997E-3</v>
      </c>
      <c r="X448" s="68">
        <f>'Income Eligible Deemed Table'!N1126</f>
        <v>19</v>
      </c>
      <c r="Y448" s="68"/>
      <c r="Z448" s="68">
        <f t="shared" si="688"/>
        <v>19</v>
      </c>
      <c r="AA448" s="62">
        <f>'Income Eligible Deemed Table'!BB1126</f>
        <v>2.8466976077319051</v>
      </c>
      <c r="AB448" s="839">
        <f>'Income Eligible Deemed Table'!P1126</f>
        <v>6</v>
      </c>
      <c r="AC448" s="3617">
        <f t="shared" si="691"/>
        <v>16.120986924390213</v>
      </c>
      <c r="AD448" s="3617">
        <f t="shared" si="692"/>
        <v>0</v>
      </c>
      <c r="AE448" s="1661">
        <f>'Income Eligible Deemed Table'!BD1126</f>
        <v>16.120986924390213</v>
      </c>
      <c r="AF448" s="2453"/>
      <c r="AG448" s="2453"/>
      <c r="AH448" s="2453"/>
      <c r="AI448" s="3631" t="str">
        <f>'Income Eligible Deemed Table'!R1126</f>
        <v>per measure</v>
      </c>
      <c r="AJ448" s="1930"/>
      <c r="AK448" s="1930"/>
      <c r="AL448" s="1930"/>
      <c r="AM448" s="1972">
        <f t="shared" si="689"/>
        <v>1.4925290000000001E-4</v>
      </c>
      <c r="AN448" s="1930">
        <f t="shared" si="687"/>
        <v>4.1074398080000003E-3</v>
      </c>
      <c r="AO448" s="1971">
        <f t="shared" si="686"/>
        <v>-5.6019199999937652E-7</v>
      </c>
    </row>
    <row r="449" spans="1:41" x14ac:dyDescent="0.25">
      <c r="A449" s="103" t="str">
        <f t="shared" si="617"/>
        <v>404650</v>
      </c>
      <c r="B449" s="684" t="str">
        <f>'Income Eligible Deemed Table'!C1127</f>
        <v>404650_2019_12_</v>
      </c>
      <c r="C449" s="1962" t="str">
        <f>'Income Eligible Deemed Table'!G1127</f>
        <v>Lighting RES</v>
      </c>
      <c r="D449" s="1962"/>
      <c r="E449" s="1962"/>
      <c r="F449" s="1962"/>
      <c r="G449" s="1962" t="str">
        <f>'Income Eligible Deemed Table'!E1127</f>
        <v>LED - 15W (Halogen baseline) (1050-1489 lumens) IEDI</v>
      </c>
      <c r="H449" s="63" t="str">
        <f>'Income Eligible Deemed Table'!D1127</f>
        <v>SFIE / MFIE</v>
      </c>
      <c r="I449" s="2438">
        <f>'Income Eligible Deemed Table'!F1127</f>
        <v>27.79</v>
      </c>
      <c r="J449" s="2438"/>
      <c r="K449" s="2439"/>
      <c r="L449" s="2439"/>
      <c r="M449" s="2439"/>
      <c r="N449" s="2439"/>
      <c r="O449" s="2440">
        <f>'Income Eligible Deemed Table'!M1127</f>
        <v>4.1469999999999996E-3</v>
      </c>
      <c r="P449" s="2440"/>
      <c r="Q449" s="2441"/>
      <c r="R449" s="2441"/>
      <c r="S449" s="2441"/>
      <c r="T449" s="2441"/>
      <c r="U449" s="1819"/>
      <c r="V449" s="1819"/>
      <c r="W449" s="1819">
        <f t="shared" si="690"/>
        <v>4.1469999999999996E-3</v>
      </c>
      <c r="X449" s="68">
        <f>'Income Eligible Deemed Table'!N1127</f>
        <v>19</v>
      </c>
      <c r="Y449" s="68"/>
      <c r="Z449" s="68">
        <f t="shared" si="688"/>
        <v>19</v>
      </c>
      <c r="AA449" s="62">
        <f>'Income Eligible Deemed Table'!BB1127</f>
        <v>2.1559700177744272</v>
      </c>
      <c r="AB449" s="839">
        <f>'Income Eligible Deemed Table'!P1127</f>
        <v>8</v>
      </c>
      <c r="AC449" s="3617">
        <f t="shared" si="691"/>
        <v>16.27915067691875</v>
      </c>
      <c r="AD449" s="3617">
        <f t="shared" si="692"/>
        <v>0</v>
      </c>
      <c r="AE449" s="1661">
        <f>'Income Eligible Deemed Table'!BD1127</f>
        <v>16.27915067691875</v>
      </c>
      <c r="AF449" s="2453"/>
      <c r="AG449" s="2453"/>
      <c r="AH449" s="2453"/>
      <c r="AI449" s="3631" t="str">
        <f>'Income Eligible Deemed Table'!R1127</f>
        <v>per measure</v>
      </c>
      <c r="AJ449" s="1930"/>
      <c r="AK449" s="1930"/>
      <c r="AL449" s="1930"/>
      <c r="AM449" s="1972">
        <f t="shared" si="689"/>
        <v>1.4925290000000001E-4</v>
      </c>
      <c r="AN449" s="1930">
        <f t="shared" si="687"/>
        <v>4.1477380909999998E-3</v>
      </c>
      <c r="AO449" s="1971">
        <f t="shared" si="686"/>
        <v>7.3809100000019751E-7</v>
      </c>
    </row>
    <row r="450" spans="1:41" s="100" customFormat="1" x14ac:dyDescent="0.25">
      <c r="A450" s="103" t="str">
        <f t="shared" si="617"/>
        <v>404651</v>
      </c>
      <c r="B450" s="684" t="str">
        <f>'Income Eligible Deemed Table'!C1128</f>
        <v>404651_2020_12_</v>
      </c>
      <c r="C450" s="1962" t="str">
        <f>'Income Eligible Deemed Table'!G1128</f>
        <v>Lighting RES</v>
      </c>
      <c r="D450" s="1962"/>
      <c r="E450" s="1962"/>
      <c r="F450" s="1962"/>
      <c r="G450" s="1962" t="str">
        <f>'Income Eligible Deemed Table'!E1128</f>
        <v>LED - 11W Flood Light BR30 Bulb (Halogen baseline) IE DI</v>
      </c>
      <c r="H450" s="63" t="str">
        <f>'Income Eligible Deemed Table'!D1128</f>
        <v>SFIE / MFIE</v>
      </c>
      <c r="I450" s="2438">
        <f>'Income Eligible Deemed Table'!F1128</f>
        <v>35.39</v>
      </c>
      <c r="J450" s="2438"/>
      <c r="K450" s="2439"/>
      <c r="L450" s="2439"/>
      <c r="M450" s="2439"/>
      <c r="N450" s="2439"/>
      <c r="O450" s="2440">
        <f>'Income Eligible Deemed Table'!M1128</f>
        <v>5.2820000000000002E-3</v>
      </c>
      <c r="P450" s="2440"/>
      <c r="Q450" s="2441"/>
      <c r="R450" s="2441"/>
      <c r="S450" s="2441"/>
      <c r="T450" s="2441"/>
      <c r="U450" s="1926"/>
      <c r="V450" s="1926"/>
      <c r="W450" s="1926">
        <f t="shared" ref="W450" si="693">O450</f>
        <v>5.2820000000000002E-3</v>
      </c>
      <c r="X450" s="68">
        <f>'Income Eligible Deemed Table'!N1128</f>
        <v>19</v>
      </c>
      <c r="Y450" s="68"/>
      <c r="Z450" s="68">
        <f t="shared" ref="Z450" si="694">Y450+X450</f>
        <v>19</v>
      </c>
      <c r="AA450" s="62">
        <f>'Income Eligible Deemed Table'!BB1128</f>
        <v>2.1964671875937238</v>
      </c>
      <c r="AB450" s="839">
        <f>'Income Eligible Deemed Table'!P1128</f>
        <v>10</v>
      </c>
      <c r="AC450" s="3617">
        <f t="shared" ref="AC450" si="695">AE450+AF450</f>
        <v>20.731167414759071</v>
      </c>
      <c r="AD450" s="3617">
        <f t="shared" ref="AD450" si="696">AG450+AH450</f>
        <v>0</v>
      </c>
      <c r="AE450" s="1661">
        <f>'Income Eligible Deemed Table'!BD1128</f>
        <v>20.731167414759071</v>
      </c>
      <c r="AF450" s="2453"/>
      <c r="AG450" s="2453"/>
      <c r="AH450" s="2453"/>
      <c r="AI450" s="3631" t="str">
        <f>'Income Eligible Deemed Table'!R1128</f>
        <v>per measure</v>
      </c>
      <c r="AM450" s="2433">
        <f t="shared" si="689"/>
        <v>1.4925290000000001E-4</v>
      </c>
      <c r="AN450" s="100">
        <f t="shared" ref="AN450" si="697">AM450*I450</f>
        <v>5.2820601310000007E-3</v>
      </c>
      <c r="AO450" s="2437">
        <f t="shared" ref="AO450" si="698">AN450-O450</f>
        <v>6.0131000000421264E-8</v>
      </c>
    </row>
    <row r="451" spans="1:41" x14ac:dyDescent="0.25">
      <c r="A451" s="103" t="str">
        <f t="shared" si="617"/>
        <v>404700</v>
      </c>
      <c r="B451" s="684" t="str">
        <f>'Income Eligible Deemed Table'!C1129</f>
        <v>404700_2019_12_</v>
      </c>
      <c r="C451" s="1962" t="str">
        <f>'Income Eligible Deemed Table'!G1129</f>
        <v>Lighting RES</v>
      </c>
      <c r="D451" s="1962"/>
      <c r="E451" s="1962"/>
      <c r="F451" s="1962"/>
      <c r="G451" s="1962" t="str">
        <f>'Income Eligible Deemed Table'!E1129</f>
        <v>LED - 15W Flood Light PAR30 Bulb (Halogen baseline) IE DI</v>
      </c>
      <c r="H451" s="63" t="str">
        <f>'Income Eligible Deemed Table'!D1129</f>
        <v>SFIE / MFIE</v>
      </c>
      <c r="I451" s="2438">
        <f>'Income Eligible Deemed Table'!F1129</f>
        <v>26.87</v>
      </c>
      <c r="J451" s="2438"/>
      <c r="K451" s="2439"/>
      <c r="L451" s="2439"/>
      <c r="M451" s="2439"/>
      <c r="N451" s="2439"/>
      <c r="O451" s="2440">
        <f>'Income Eligible Deemed Table'!M1129</f>
        <v>4.0099999999999997E-3</v>
      </c>
      <c r="P451" s="2440"/>
      <c r="Q451" s="2441"/>
      <c r="R451" s="2441"/>
      <c r="S451" s="2441"/>
      <c r="T451" s="2441"/>
      <c r="U451" s="1819"/>
      <c r="V451" s="1819"/>
      <c r="W451" s="1819">
        <f t="shared" si="690"/>
        <v>4.0099999999999997E-3</v>
      </c>
      <c r="X451" s="68">
        <f>'Income Eligible Deemed Table'!N1129</f>
        <v>19</v>
      </c>
      <c r="Y451" s="68"/>
      <c r="Z451" s="68">
        <f t="shared" si="688"/>
        <v>19</v>
      </c>
      <c r="AA451" s="62">
        <f>'Income Eligible Deemed Table'!BB1129</f>
        <v>1.6676765563900355</v>
      </c>
      <c r="AB451" s="839">
        <f>'Income Eligible Deemed Table'!P1129</f>
        <v>10</v>
      </c>
      <c r="AC451" s="3617">
        <f t="shared" si="691"/>
        <v>15.740222334969658</v>
      </c>
      <c r="AD451" s="3617">
        <f t="shared" si="692"/>
        <v>0</v>
      </c>
      <c r="AE451" s="1661">
        <f>'Income Eligible Deemed Table'!BD1129</f>
        <v>15.740222334969658</v>
      </c>
      <c r="AF451" s="2453"/>
      <c r="AG451" s="2453"/>
      <c r="AH451" s="2453"/>
      <c r="AI451" s="3631" t="str">
        <f>'Income Eligible Deemed Table'!R1129</f>
        <v>per measure</v>
      </c>
      <c r="AJ451" s="1930"/>
      <c r="AK451" s="1930"/>
      <c r="AL451" s="1930"/>
      <c r="AM451" s="1972">
        <f t="shared" si="689"/>
        <v>1.4925290000000001E-4</v>
      </c>
      <c r="AN451" s="1930">
        <f t="shared" si="687"/>
        <v>4.0104254230000002E-3</v>
      </c>
      <c r="AO451" s="1971">
        <f t="shared" si="686"/>
        <v>4.2542300000055627E-7</v>
      </c>
    </row>
    <row r="452" spans="1:41" x14ac:dyDescent="0.25">
      <c r="A452" s="103" t="str">
        <f t="shared" si="617"/>
        <v>404750</v>
      </c>
      <c r="B452" s="684" t="str">
        <f>'Income Eligible Deemed Table'!C1130</f>
        <v>404750_2019_12_</v>
      </c>
      <c r="C452" s="1962" t="str">
        <f>'Income Eligible Deemed Table'!G1130</f>
        <v>Lighting RES</v>
      </c>
      <c r="D452" s="1962"/>
      <c r="E452" s="1962"/>
      <c r="F452" s="1962"/>
      <c r="G452" s="1962" t="str">
        <f>'Income Eligible Deemed Table'!E1130</f>
        <v>LED - 18W Flood Light PAR38 Bulb (Halogen baseline) IE DI</v>
      </c>
      <c r="H452" s="63" t="str">
        <f>'Income Eligible Deemed Table'!D1130</f>
        <v>SFIE / MFIE</v>
      </c>
      <c r="I452" s="2438">
        <f>'Income Eligible Deemed Table'!F1130</f>
        <v>34.729999999999997</v>
      </c>
      <c r="J452" s="2438"/>
      <c r="K452" s="2439"/>
      <c r="L452" s="2439"/>
      <c r="M452" s="2439"/>
      <c r="N452" s="2439"/>
      <c r="O452" s="2440">
        <f>'Income Eligible Deemed Table'!M1130</f>
        <v>5.1840000000000002E-3</v>
      </c>
      <c r="P452" s="2440"/>
      <c r="Q452" s="2441"/>
      <c r="R452" s="2441"/>
      <c r="S452" s="2441"/>
      <c r="T452" s="2441"/>
      <c r="U452" s="1819"/>
      <c r="V452" s="1819"/>
      <c r="W452" s="1819">
        <f t="shared" si="690"/>
        <v>5.1840000000000002E-3</v>
      </c>
      <c r="X452" s="68">
        <f>'Income Eligible Deemed Table'!N1130</f>
        <v>19</v>
      </c>
      <c r="Y452" s="68"/>
      <c r="Z452" s="68">
        <f t="shared" si="688"/>
        <v>19</v>
      </c>
      <c r="AA452" s="62">
        <f>'Income Eligible Deemed Table'!BB1130</f>
        <v>1.4370030220425734</v>
      </c>
      <c r="AB452" s="839">
        <f>'Income Eligible Deemed Table'!P1130</f>
        <v>15</v>
      </c>
      <c r="AC452" s="3617">
        <f t="shared" si="691"/>
        <v>20.344544908578197</v>
      </c>
      <c r="AD452" s="3617">
        <f t="shared" si="692"/>
        <v>0</v>
      </c>
      <c r="AE452" s="1661">
        <f>'Income Eligible Deemed Table'!BD1130</f>
        <v>20.344544908578197</v>
      </c>
      <c r="AF452" s="2453"/>
      <c r="AG452" s="2453"/>
      <c r="AH452" s="2453"/>
      <c r="AI452" s="3631" t="str">
        <f>'Income Eligible Deemed Table'!R1130</f>
        <v>per measure</v>
      </c>
      <c r="AJ452" s="1930"/>
      <c r="AK452" s="1930"/>
      <c r="AL452" s="1930"/>
      <c r="AM452" s="1972">
        <f t="shared" si="689"/>
        <v>1.4925290000000001E-4</v>
      </c>
      <c r="AN452" s="1930">
        <f t="shared" si="687"/>
        <v>5.183553217E-3</v>
      </c>
      <c r="AO452" s="1971">
        <f t="shared" si="686"/>
        <v>-4.4678300000020738E-7</v>
      </c>
    </row>
    <row r="453" spans="1:41" x14ac:dyDescent="0.25">
      <c r="A453" s="103" t="str">
        <f t="shared" si="617"/>
        <v>404800</v>
      </c>
      <c r="B453" s="684" t="str">
        <f>'Income Eligible Deemed Table'!C1131</f>
        <v>404800_2019_12_</v>
      </c>
      <c r="C453" s="1962" t="str">
        <f>'Income Eligible Deemed Table'!G1131</f>
        <v>Lighting RES</v>
      </c>
      <c r="D453" s="1962"/>
      <c r="E453" s="1962"/>
      <c r="F453" s="1962"/>
      <c r="G453" s="1962" t="str">
        <f>'Income Eligible Deemed Table'!E1131</f>
        <v>LED - 20W (Halogen baseline) (1490-2600 lumens) IEDI</v>
      </c>
      <c r="H453" s="63" t="str">
        <f>'Income Eligible Deemed Table'!D1131</f>
        <v>SFIE / MFIE</v>
      </c>
      <c r="I453" s="2438">
        <f>'Income Eligible Deemed Table'!F1131</f>
        <v>37.35</v>
      </c>
      <c r="J453" s="2438"/>
      <c r="K453" s="2439"/>
      <c r="L453" s="2439"/>
      <c r="M453" s="2439"/>
      <c r="N453" s="2439"/>
      <c r="O453" s="2440">
        <f>'Income Eligible Deemed Table'!M1131</f>
        <v>5.5750000000000001E-3</v>
      </c>
      <c r="P453" s="2440"/>
      <c r="Q453" s="2441"/>
      <c r="R453" s="2441"/>
      <c r="S453" s="2441"/>
      <c r="T453" s="2441"/>
      <c r="U453" s="1819"/>
      <c r="V453" s="1819"/>
      <c r="W453" s="1819">
        <f t="shared" si="690"/>
        <v>5.5750000000000001E-3</v>
      </c>
      <c r="X453" s="68">
        <f>'Income Eligible Deemed Table'!N1131</f>
        <v>19</v>
      </c>
      <c r="Y453" s="68"/>
      <c r="Z453" s="68">
        <f t="shared" si="688"/>
        <v>19</v>
      </c>
      <c r="AA453" s="62">
        <f>'Income Eligible Deemed Table'!BB1131</f>
        <v>2.8976423232772532</v>
      </c>
      <c r="AB453" s="839">
        <f>'Income Eligible Deemed Table'!P1131</f>
        <v>8</v>
      </c>
      <c r="AC453" s="3617">
        <f t="shared" si="691"/>
        <v>21.87931909978105</v>
      </c>
      <c r="AD453" s="3617">
        <f t="shared" si="692"/>
        <v>0</v>
      </c>
      <c r="AE453" s="1661">
        <f>'Income Eligible Deemed Table'!BD1131</f>
        <v>21.87931909978105</v>
      </c>
      <c r="AF453" s="2453"/>
      <c r="AG453" s="2453"/>
      <c r="AH453" s="2453"/>
      <c r="AI453" s="3631" t="str">
        <f>'Income Eligible Deemed Table'!R1131</f>
        <v>per measure</v>
      </c>
      <c r="AJ453" s="1930"/>
      <c r="AK453" s="1930"/>
      <c r="AL453" s="1930"/>
      <c r="AM453" s="1972">
        <f t="shared" si="689"/>
        <v>1.4925290000000001E-4</v>
      </c>
      <c r="AN453" s="1930">
        <f t="shared" si="687"/>
        <v>5.5745958150000005E-3</v>
      </c>
      <c r="AO453" s="1971">
        <f t="shared" si="686"/>
        <v>-4.0418499999955032E-7</v>
      </c>
    </row>
    <row r="454" spans="1:41" x14ac:dyDescent="0.25">
      <c r="A454" s="103" t="str">
        <f t="shared" si="617"/>
        <v>404850</v>
      </c>
      <c r="B454" s="684" t="str">
        <f>'Income Eligible Deemed Table'!C1132</f>
        <v>404850_2019_12_</v>
      </c>
      <c r="C454" s="1962" t="str">
        <f>'Income Eligible Deemed Table'!G1132</f>
        <v>Lighting RES</v>
      </c>
      <c r="D454" s="1962"/>
      <c r="E454" s="1962"/>
      <c r="F454" s="1962"/>
      <c r="G454" s="1962" t="str">
        <f>'Income Eligible Deemed Table'!E1132</f>
        <v>LED - 4W Candelabra (Replacing Specialty Incandescent) IE DI</v>
      </c>
      <c r="H454" s="63" t="str">
        <f>'Income Eligible Deemed Table'!D1132</f>
        <v>SFIE / MFIE</v>
      </c>
      <c r="I454" s="2438">
        <f>'Income Eligible Deemed Table'!F1132</f>
        <v>23.53</v>
      </c>
      <c r="J454" s="2438"/>
      <c r="K454" s="2439"/>
      <c r="L454" s="2439"/>
      <c r="M454" s="2439"/>
      <c r="N454" s="2439"/>
      <c r="O454" s="2440">
        <f>'Income Eligible Deemed Table'!M1132</f>
        <v>3.5119999999999999E-3</v>
      </c>
      <c r="P454" s="2440"/>
      <c r="Q454" s="2441"/>
      <c r="R454" s="2441"/>
      <c r="S454" s="2441"/>
      <c r="T454" s="2441"/>
      <c r="U454" s="1819"/>
      <c r="V454" s="1819"/>
      <c r="W454" s="1819">
        <f t="shared" si="690"/>
        <v>3.5119999999999999E-3</v>
      </c>
      <c r="X454" s="68">
        <f>'Income Eligible Deemed Table'!N1132</f>
        <v>19</v>
      </c>
      <c r="Y454" s="68"/>
      <c r="Z454" s="68">
        <f t="shared" si="688"/>
        <v>19</v>
      </c>
      <c r="AA454" s="62">
        <f>'Income Eligible Deemed Table'!BB1132</f>
        <v>2.0862581408824248</v>
      </c>
      <c r="AB454" s="839">
        <f>'Income Eligible Deemed Table'!P1132</f>
        <v>7</v>
      </c>
      <c r="AC454" s="3617">
        <f t="shared" si="691"/>
        <v>13.783678137024044</v>
      </c>
      <c r="AD454" s="3617">
        <f t="shared" si="692"/>
        <v>0</v>
      </c>
      <c r="AE454" s="1661">
        <f>'Income Eligible Deemed Table'!BD1132</f>
        <v>13.783678137024044</v>
      </c>
      <c r="AF454" s="2453"/>
      <c r="AG454" s="2453"/>
      <c r="AH454" s="2453"/>
      <c r="AI454" s="3631" t="str">
        <f>'Income Eligible Deemed Table'!R1132</f>
        <v>per measure</v>
      </c>
      <c r="AJ454" s="1930"/>
      <c r="AK454" s="1930"/>
      <c r="AL454" s="1930"/>
      <c r="AM454" s="1972">
        <f t="shared" si="689"/>
        <v>1.4925290000000001E-4</v>
      </c>
      <c r="AN454" s="1930">
        <f t="shared" si="687"/>
        <v>3.5119207370000005E-3</v>
      </c>
      <c r="AO454" s="1971">
        <f t="shared" si="686"/>
        <v>-7.9262999999434036E-8</v>
      </c>
    </row>
    <row r="455" spans="1:41" x14ac:dyDescent="0.25">
      <c r="A455" s="103" t="str">
        <f t="shared" si="617"/>
        <v>404900</v>
      </c>
      <c r="B455" s="684" t="str">
        <f>'Income Eligible Deemed Table'!C1133</f>
        <v>404900_2019_12_</v>
      </c>
      <c r="C455" s="1962" t="str">
        <f>'Income Eligible Deemed Table'!G1133</f>
        <v>Lighting RES</v>
      </c>
      <c r="D455" s="1962"/>
      <c r="E455" s="1962"/>
      <c r="F455" s="1962"/>
      <c r="G455" s="1962" t="str">
        <f>'Income Eligible Deemed Table'!E1133</f>
        <v>LED - 4W Candelabra (CFL baseline) IEDI</v>
      </c>
      <c r="H455" s="63" t="str">
        <f>'Income Eligible Deemed Table'!D1133</f>
        <v>SFIE / MFIE</v>
      </c>
      <c r="I455" s="2438">
        <f>'Income Eligible Deemed Table'!F1133</f>
        <v>2.95</v>
      </c>
      <c r="J455" s="2438"/>
      <c r="K455" s="2439"/>
      <c r="L455" s="2439"/>
      <c r="M455" s="2439"/>
      <c r="N455" s="2439"/>
      <c r="O455" s="2440">
        <f>'Income Eligible Deemed Table'!M1133</f>
        <v>4.4000000000000002E-4</v>
      </c>
      <c r="P455" s="2440"/>
      <c r="Q455" s="2441"/>
      <c r="R455" s="2441"/>
      <c r="S455" s="2441"/>
      <c r="T455" s="2441"/>
      <c r="U455" s="1819"/>
      <c r="V455" s="1819"/>
      <c r="W455" s="1819">
        <f t="shared" si="690"/>
        <v>4.4000000000000002E-4</v>
      </c>
      <c r="X455" s="68">
        <f>'Income Eligible Deemed Table'!N1133</f>
        <v>19</v>
      </c>
      <c r="Y455" s="68"/>
      <c r="Z455" s="68">
        <f t="shared" si="688"/>
        <v>19</v>
      </c>
      <c r="AA455" s="62">
        <f>'Income Eligible Deemed Table'!BB1133</f>
        <v>0.26155807546124754</v>
      </c>
      <c r="AB455" s="839">
        <f>'Income Eligible Deemed Table'!P1133</f>
        <v>7</v>
      </c>
      <c r="AC455" s="3617">
        <f t="shared" si="691"/>
        <v>1.7280854442932823</v>
      </c>
      <c r="AD455" s="3617">
        <f t="shared" si="692"/>
        <v>0</v>
      </c>
      <c r="AE455" s="1661">
        <f>'Income Eligible Deemed Table'!BD1133</f>
        <v>1.7280854442932823</v>
      </c>
      <c r="AF455" s="2453"/>
      <c r="AG455" s="2453"/>
      <c r="AH455" s="2453"/>
      <c r="AI455" s="3631" t="str">
        <f>'Income Eligible Deemed Table'!R1133</f>
        <v>per measure</v>
      </c>
      <c r="AJ455" s="1930"/>
      <c r="AK455" s="1930"/>
      <c r="AL455" s="1930"/>
      <c r="AM455" s="1972">
        <f t="shared" si="689"/>
        <v>1.4925290000000001E-4</v>
      </c>
      <c r="AN455" s="1930">
        <f t="shared" si="687"/>
        <v>4.4029605500000007E-4</v>
      </c>
      <c r="AO455" s="1971">
        <f t="shared" si="686"/>
        <v>2.960550000000498E-7</v>
      </c>
    </row>
    <row r="456" spans="1:41" x14ac:dyDescent="0.25">
      <c r="A456" s="103" t="str">
        <f t="shared" si="617"/>
        <v>404950</v>
      </c>
      <c r="B456" s="684" t="str">
        <f>'Income Eligible Deemed Table'!C1134</f>
        <v>404950_2019_12_</v>
      </c>
      <c r="C456" s="1962" t="str">
        <f>'Income Eligible Deemed Table'!G1134</f>
        <v>Lighting RES</v>
      </c>
      <c r="D456" s="1962"/>
      <c r="E456" s="1962"/>
      <c r="F456" s="1962"/>
      <c r="G456" s="1962" t="str">
        <f>'Income Eligible Deemed Table'!E1134</f>
        <v>LED - 8W Globe Light G25 Bulb (Replacing Specialty Incandescent) IE DI</v>
      </c>
      <c r="H456" s="63" t="str">
        <f>'Income Eligible Deemed Table'!D1134</f>
        <v>SFIE / MFIE</v>
      </c>
      <c r="I456" s="2438">
        <f>'Income Eligible Deemed Table'!F1134</f>
        <v>14.42</v>
      </c>
      <c r="J456" s="2438"/>
      <c r="K456" s="2439"/>
      <c r="L456" s="2439"/>
      <c r="M456" s="2439"/>
      <c r="N456" s="2439"/>
      <c r="O456" s="2440">
        <f>'Income Eligible Deemed Table'!M1134</f>
        <v>2.1519999999999998E-3</v>
      </c>
      <c r="P456" s="2440"/>
      <c r="Q456" s="2441"/>
      <c r="R456" s="2441"/>
      <c r="S456" s="2441"/>
      <c r="T456" s="2441"/>
      <c r="U456" s="1819"/>
      <c r="V456" s="1819"/>
      <c r="W456" s="1819">
        <f t="shared" si="690"/>
        <v>2.1519999999999998E-3</v>
      </c>
      <c r="X456" s="68">
        <f>'Income Eligible Deemed Table'!N1134</f>
        <v>19</v>
      </c>
      <c r="Y456" s="68"/>
      <c r="Z456" s="68">
        <f t="shared" si="688"/>
        <v>19</v>
      </c>
      <c r="AA456" s="62">
        <f>'Income Eligible Deemed Table'!BB1134</f>
        <v>1.2785313383563353</v>
      </c>
      <c r="AB456" s="839">
        <f>'Income Eligible Deemed Table'!P1134</f>
        <v>7</v>
      </c>
      <c r="AC456" s="3617">
        <f t="shared" si="691"/>
        <v>8.4471159683759751</v>
      </c>
      <c r="AD456" s="3617">
        <f t="shared" si="692"/>
        <v>0</v>
      </c>
      <c r="AE456" s="1661">
        <f>'Income Eligible Deemed Table'!BD1134</f>
        <v>8.4471159683759751</v>
      </c>
      <c r="AF456" s="2453"/>
      <c r="AG456" s="2453"/>
      <c r="AH456" s="2453"/>
      <c r="AI456" s="3631" t="str">
        <f>'Income Eligible Deemed Table'!R1134</f>
        <v>per measure</v>
      </c>
      <c r="AJ456" s="1930"/>
      <c r="AK456" s="1930"/>
      <c r="AL456" s="1930"/>
      <c r="AM456" s="1972">
        <f t="shared" si="689"/>
        <v>1.4925290000000001E-4</v>
      </c>
      <c r="AN456" s="1930">
        <f t="shared" si="687"/>
        <v>2.1522268179999999E-3</v>
      </c>
      <c r="AO456" s="1971">
        <f t="shared" si="686"/>
        <v>2.2681800000007302E-7</v>
      </c>
    </row>
    <row r="457" spans="1:41" x14ac:dyDescent="0.25">
      <c r="A457" s="103" t="str">
        <f t="shared" si="617"/>
        <v>405000</v>
      </c>
      <c r="B457" s="684" t="str">
        <f>'Income Eligible Deemed Table'!C1135</f>
        <v>405000_2019_12_</v>
      </c>
      <c r="C457" s="1962" t="str">
        <f>'Income Eligible Deemed Table'!G1135</f>
        <v>Lighting RES</v>
      </c>
      <c r="D457" s="1962"/>
      <c r="E457" s="1962"/>
      <c r="F457" s="1962"/>
      <c r="G457" s="1962" t="str">
        <f>'Income Eligible Deemed Table'!E1135</f>
        <v>LED - 8W Globe Light G25 Bulb (Replacing CFL) IEDI</v>
      </c>
      <c r="H457" s="63" t="str">
        <f>'Income Eligible Deemed Table'!D1135</f>
        <v>SFIE / MFIE</v>
      </c>
      <c r="I457" s="2438">
        <f>'Income Eligible Deemed Table'!F1135</f>
        <v>2.62</v>
      </c>
      <c r="J457" s="2438"/>
      <c r="K457" s="2439"/>
      <c r="L457" s="2439"/>
      <c r="M457" s="2439"/>
      <c r="N457" s="2439"/>
      <c r="O457" s="2440">
        <f>'Income Eligible Deemed Table'!M1135</f>
        <v>3.9100000000000002E-4</v>
      </c>
      <c r="P457" s="2440"/>
      <c r="Q457" s="2441"/>
      <c r="R457" s="2441"/>
      <c r="S457" s="2441"/>
      <c r="T457" s="2441"/>
      <c r="U457" s="1819"/>
      <c r="V457" s="1819"/>
      <c r="W457" s="1819">
        <f t="shared" si="690"/>
        <v>3.9100000000000002E-4</v>
      </c>
      <c r="X457" s="68">
        <f>'Income Eligible Deemed Table'!N1135</f>
        <v>19</v>
      </c>
      <c r="Y457" s="68"/>
      <c r="Z457" s="68">
        <f t="shared" si="688"/>
        <v>19</v>
      </c>
      <c r="AA457" s="62">
        <f>'Income Eligible Deemed Table'!BB1135</f>
        <v>0.23229903651134523</v>
      </c>
      <c r="AB457" s="839">
        <f>'Income Eligible Deemed Table'!P1135</f>
        <v>7</v>
      </c>
      <c r="AC457" s="3617">
        <f t="shared" si="691"/>
        <v>1.5347741912028472</v>
      </c>
      <c r="AD457" s="3617">
        <f t="shared" si="692"/>
        <v>0</v>
      </c>
      <c r="AE457" s="1661">
        <f>'Income Eligible Deemed Table'!BD1135</f>
        <v>1.5347741912028472</v>
      </c>
      <c r="AF457" s="2453"/>
      <c r="AG457" s="2453"/>
      <c r="AH457" s="2453"/>
      <c r="AI457" s="3631" t="str">
        <f>'Income Eligible Deemed Table'!R1135</f>
        <v>per measure</v>
      </c>
      <c r="AJ457" s="1930"/>
      <c r="AK457" s="1930"/>
      <c r="AL457" s="1930"/>
      <c r="AM457" s="1972">
        <f t="shared" si="689"/>
        <v>1.4925290000000001E-4</v>
      </c>
      <c r="AN457" s="1930">
        <f t="shared" si="687"/>
        <v>3.9104259800000002E-4</v>
      </c>
      <c r="AO457" s="1971">
        <f t="shared" si="686"/>
        <v>4.2598000000006533E-8</v>
      </c>
    </row>
    <row r="458" spans="1:41" x14ac:dyDescent="0.25">
      <c r="A458" s="103" t="str">
        <f t="shared" ref="A458:A521" si="699">LEFT(B458,6)</f>
        <v>405050</v>
      </c>
      <c r="B458" s="684" t="str">
        <f>'Income Eligible Deemed Table'!C1136</f>
        <v>405050_2019_12_</v>
      </c>
      <c r="C458" s="1962" t="str">
        <f>'Income Eligible Deemed Table'!G1136</f>
        <v>Lighting RES</v>
      </c>
      <c r="D458" s="1962"/>
      <c r="E458" s="1962"/>
      <c r="F458" s="1962"/>
      <c r="G458" s="1962" t="str">
        <f>'Income Eligible Deemed Table'!E1136</f>
        <v>LED - 10W (CFL baseline) (750-1049 lumens) IEDI</v>
      </c>
      <c r="H458" s="63" t="str">
        <f>'Income Eligible Deemed Table'!D1136</f>
        <v>SFIE / MFIE</v>
      </c>
      <c r="I458" s="2438">
        <f>'Income Eligible Deemed Table'!F1136</f>
        <v>2.82</v>
      </c>
      <c r="J458" s="2438"/>
      <c r="K458" s="2439"/>
      <c r="L458" s="2439"/>
      <c r="M458" s="2439"/>
      <c r="N458" s="2439"/>
      <c r="O458" s="2440">
        <f>'Income Eligible Deemed Table'!M1136</f>
        <v>4.2099999999999999E-4</v>
      </c>
      <c r="P458" s="2440"/>
      <c r="Q458" s="2441"/>
      <c r="R458" s="2441"/>
      <c r="S458" s="2441"/>
      <c r="T458" s="2441"/>
      <c r="U458" s="1819"/>
      <c r="V458" s="1819"/>
      <c r="W458" s="1819">
        <f t="shared" si="690"/>
        <v>4.2099999999999999E-4</v>
      </c>
      <c r="X458" s="68">
        <f>'Income Eligible Deemed Table'!N1136</f>
        <v>19</v>
      </c>
      <c r="Y458" s="68"/>
      <c r="Z458" s="68">
        <f t="shared" si="688"/>
        <v>19</v>
      </c>
      <c r="AA458" s="62">
        <f>'Income Eligible Deemed Table'!BB1136</f>
        <v>0.29170375195508619</v>
      </c>
      <c r="AB458" s="839">
        <f>'Income Eligible Deemed Table'!P1136</f>
        <v>6</v>
      </c>
      <c r="AC458" s="3617">
        <f t="shared" si="691"/>
        <v>1.6519325264091713</v>
      </c>
      <c r="AD458" s="3617">
        <f t="shared" si="692"/>
        <v>0</v>
      </c>
      <c r="AE458" s="1661">
        <f>'Income Eligible Deemed Table'!BD1136</f>
        <v>1.6519325264091713</v>
      </c>
      <c r="AF458" s="2453"/>
      <c r="AG458" s="2453"/>
      <c r="AH458" s="2453"/>
      <c r="AI458" s="3631" t="str">
        <f>'Income Eligible Deemed Table'!R1136</f>
        <v>per measure</v>
      </c>
      <c r="AJ458" s="1930"/>
      <c r="AK458" s="1930"/>
      <c r="AL458" s="1930"/>
      <c r="AM458" s="1972">
        <f t="shared" si="689"/>
        <v>1.4925290000000001E-4</v>
      </c>
      <c r="AN458" s="1930">
        <f t="shared" si="687"/>
        <v>4.2089317799999998E-4</v>
      </c>
      <c r="AO458" s="1971">
        <f t="shared" si="686"/>
        <v>-1.0682200000001075E-7</v>
      </c>
    </row>
    <row r="459" spans="1:41" x14ac:dyDescent="0.25">
      <c r="A459" s="103" t="str">
        <f t="shared" si="699"/>
        <v>405100</v>
      </c>
      <c r="B459" s="684" t="str">
        <f>'Income Eligible Deemed Table'!C1137</f>
        <v>405100_2019_12_</v>
      </c>
      <c r="C459" s="1962" t="str">
        <f>'Income Eligible Deemed Table'!G1137</f>
        <v>Lighting RES</v>
      </c>
      <c r="D459" s="1962"/>
      <c r="E459" s="1962"/>
      <c r="F459" s="1962"/>
      <c r="G459" s="1962" t="str">
        <f>'Income Eligible Deemed Table'!E1137</f>
        <v>LED - 10.5W Downlight E26 (CFL baseline) IEDI</v>
      </c>
      <c r="H459" s="63" t="str">
        <f>'Income Eligible Deemed Table'!D1137</f>
        <v>SFIE / MFIE</v>
      </c>
      <c r="I459" s="2438">
        <f>'Income Eligible Deemed Table'!F1137</f>
        <v>8.52</v>
      </c>
      <c r="J459" s="2438"/>
      <c r="K459" s="2439"/>
      <c r="L459" s="2439"/>
      <c r="M459" s="2439"/>
      <c r="N459" s="2439"/>
      <c r="O459" s="2440">
        <f>'Income Eligible Deemed Table'!M1137</f>
        <v>1.2719999999999999E-3</v>
      </c>
      <c r="P459" s="2440"/>
      <c r="Q459" s="2441"/>
      <c r="R459" s="2441"/>
      <c r="S459" s="2441"/>
      <c r="T459" s="2441"/>
      <c r="U459" s="1819"/>
      <c r="V459" s="1819"/>
      <c r="W459" s="1819">
        <f t="shared" si="690"/>
        <v>1.2719999999999999E-3</v>
      </c>
      <c r="X459" s="68">
        <f>'Income Eligible Deemed Table'!N1137</f>
        <v>19</v>
      </c>
      <c r="Y459" s="68"/>
      <c r="Z459" s="68">
        <f t="shared" si="688"/>
        <v>19</v>
      </c>
      <c r="AA459" s="62">
        <f>'Income Eligible Deemed Table'!BB1137</f>
        <v>0.88131771867281361</v>
      </c>
      <c r="AB459" s="839">
        <f>'Income Eligible Deemed Table'!P1137</f>
        <v>6</v>
      </c>
      <c r="AC459" s="3617">
        <f t="shared" si="691"/>
        <v>4.9909450797894115</v>
      </c>
      <c r="AD459" s="3617">
        <f t="shared" si="692"/>
        <v>0</v>
      </c>
      <c r="AE459" s="1661">
        <f>'Income Eligible Deemed Table'!BD1137</f>
        <v>4.9909450797894115</v>
      </c>
      <c r="AF459" s="2453"/>
      <c r="AG459" s="2453"/>
      <c r="AH459" s="2453"/>
      <c r="AI459" s="3631" t="str">
        <f>'Income Eligible Deemed Table'!R1137</f>
        <v>per measure</v>
      </c>
      <c r="AJ459" s="1930"/>
      <c r="AK459" s="1930"/>
      <c r="AL459" s="1930"/>
      <c r="AM459" s="1972">
        <f t="shared" si="689"/>
        <v>1.4925290000000001E-4</v>
      </c>
      <c r="AN459" s="1930">
        <f t="shared" si="687"/>
        <v>1.271634708E-3</v>
      </c>
      <c r="AO459" s="1971">
        <f t="shared" si="686"/>
        <v>-3.6529199999991817E-7</v>
      </c>
    </row>
    <row r="460" spans="1:41" x14ac:dyDescent="0.25">
      <c r="A460" s="103" t="str">
        <f t="shared" si="699"/>
        <v>405150</v>
      </c>
      <c r="B460" s="684" t="str">
        <f>'Income Eligible Deemed Table'!C1138</f>
        <v>405150_2019_12_</v>
      </c>
      <c r="C460" s="1962" t="str">
        <f>'Income Eligible Deemed Table'!G1138</f>
        <v>Lighting RES</v>
      </c>
      <c r="D460" s="1962"/>
      <c r="E460" s="1962"/>
      <c r="F460" s="1962"/>
      <c r="G460" s="1962" t="str">
        <f>'Income Eligible Deemed Table'!E1138</f>
        <v>LED - 12W Dimmable Light Bulb (Replacing CFL) IEDI</v>
      </c>
      <c r="H460" s="63" t="str">
        <f>'Income Eligible Deemed Table'!D1138</f>
        <v>SFIE / MFIE</v>
      </c>
      <c r="I460" s="2438">
        <f>'Income Eligible Deemed Table'!F1138</f>
        <v>5.57</v>
      </c>
      <c r="J460" s="2438"/>
      <c r="K460" s="2439"/>
      <c r="L460" s="2439"/>
      <c r="M460" s="2439"/>
      <c r="N460" s="2439"/>
      <c r="O460" s="2440">
        <f>'Income Eligible Deemed Table'!M1138</f>
        <v>8.3100000000000003E-4</v>
      </c>
      <c r="P460" s="2440"/>
      <c r="Q460" s="2441"/>
      <c r="R460" s="2441"/>
      <c r="S460" s="2441"/>
      <c r="T460" s="2441"/>
      <c r="U460" s="1819"/>
      <c r="V460" s="1819"/>
      <c r="W460" s="1819">
        <f t="shared" si="690"/>
        <v>8.3100000000000003E-4</v>
      </c>
      <c r="X460" s="68">
        <f>'Income Eligible Deemed Table'!N1138</f>
        <v>19</v>
      </c>
      <c r="Y460" s="68"/>
      <c r="Z460" s="68">
        <f t="shared" si="688"/>
        <v>19</v>
      </c>
      <c r="AA460" s="62">
        <f>'Income Eligible Deemed Table'!BB1138</f>
        <v>0.57616663063469165</v>
      </c>
      <c r="AB460" s="839">
        <f>'Income Eligible Deemed Table'!P1138</f>
        <v>6</v>
      </c>
      <c r="AC460" s="3617">
        <f t="shared" si="691"/>
        <v>3.2628596354961297</v>
      </c>
      <c r="AD460" s="3617">
        <f t="shared" si="692"/>
        <v>0</v>
      </c>
      <c r="AE460" s="1661">
        <f>'Income Eligible Deemed Table'!BD1138</f>
        <v>3.2628596354961297</v>
      </c>
      <c r="AF460" s="2453"/>
      <c r="AG460" s="2453"/>
      <c r="AH460" s="2453"/>
      <c r="AI460" s="3631" t="str">
        <f>'Income Eligible Deemed Table'!R1138</f>
        <v>per measure</v>
      </c>
      <c r="AJ460" s="1930"/>
      <c r="AK460" s="1930"/>
      <c r="AL460" s="1930"/>
      <c r="AM460" s="1972">
        <f t="shared" si="689"/>
        <v>1.4925290000000001E-4</v>
      </c>
      <c r="AN460" s="1930">
        <f t="shared" si="687"/>
        <v>8.3133865300000014E-4</v>
      </c>
      <c r="AO460" s="1971">
        <f t="shared" si="686"/>
        <v>3.3865300000011055E-7</v>
      </c>
    </row>
    <row r="461" spans="1:41" x14ac:dyDescent="0.25">
      <c r="A461" s="103" t="str">
        <f t="shared" si="699"/>
        <v>405200</v>
      </c>
      <c r="B461" s="684" t="str">
        <f>'Income Eligible Deemed Table'!C1139</f>
        <v>405200_2019_12_</v>
      </c>
      <c r="C461" s="1962" t="str">
        <f>'Income Eligible Deemed Table'!G1139</f>
        <v>Lighting RES</v>
      </c>
      <c r="D461" s="1962"/>
      <c r="E461" s="1962"/>
      <c r="F461" s="1962"/>
      <c r="G461" s="1962" t="str">
        <f>'Income Eligible Deemed Table'!E1139</f>
        <v>LED - 12W (Replacing CFL) IEDI</v>
      </c>
      <c r="H461" s="63" t="str">
        <f>'Income Eligible Deemed Table'!D1139</f>
        <v>SFIE / MFIE</v>
      </c>
      <c r="I461" s="2438">
        <f>'Income Eligible Deemed Table'!F1139</f>
        <v>5.57</v>
      </c>
      <c r="J461" s="2438"/>
      <c r="K461" s="2439"/>
      <c r="L461" s="2439"/>
      <c r="M461" s="2439"/>
      <c r="N461" s="2439"/>
      <c r="O461" s="2440">
        <f>'Income Eligible Deemed Table'!M1139</f>
        <v>8.3100000000000003E-4</v>
      </c>
      <c r="P461" s="2440"/>
      <c r="Q461" s="2441"/>
      <c r="R461" s="2441"/>
      <c r="S461" s="2441"/>
      <c r="T461" s="2441"/>
      <c r="U461" s="1819"/>
      <c r="V461" s="1819"/>
      <c r="W461" s="1819">
        <f t="shared" si="690"/>
        <v>8.3100000000000003E-4</v>
      </c>
      <c r="X461" s="68">
        <f>'Income Eligible Deemed Table'!N1139</f>
        <v>19</v>
      </c>
      <c r="Y461" s="68"/>
      <c r="Z461" s="68">
        <f t="shared" si="688"/>
        <v>19</v>
      </c>
      <c r="AA461" s="62">
        <f>'Income Eligible Deemed Table'!BB1139</f>
        <v>0.57616663063469165</v>
      </c>
      <c r="AB461" s="839">
        <f>'Income Eligible Deemed Table'!P1139</f>
        <v>6</v>
      </c>
      <c r="AC461" s="3617">
        <f t="shared" si="691"/>
        <v>3.2628596354961297</v>
      </c>
      <c r="AD461" s="3617">
        <f t="shared" si="692"/>
        <v>0</v>
      </c>
      <c r="AE461" s="1661">
        <f>'Income Eligible Deemed Table'!BD1139</f>
        <v>3.2628596354961297</v>
      </c>
      <c r="AF461" s="2453"/>
      <c r="AG461" s="2453"/>
      <c r="AH461" s="2453"/>
      <c r="AI461" s="3631" t="str">
        <f>'Income Eligible Deemed Table'!R1139</f>
        <v>per measure</v>
      </c>
      <c r="AJ461" s="1930"/>
      <c r="AK461" s="1930"/>
      <c r="AL461" s="1930"/>
      <c r="AM461" s="1972">
        <f t="shared" si="689"/>
        <v>1.4925290000000001E-4</v>
      </c>
      <c r="AN461" s="1930">
        <f t="shared" si="687"/>
        <v>8.3133865300000014E-4</v>
      </c>
      <c r="AO461" s="1971">
        <f t="shared" si="686"/>
        <v>3.3865300000011055E-7</v>
      </c>
    </row>
    <row r="462" spans="1:41" x14ac:dyDescent="0.25">
      <c r="A462" s="103" t="str">
        <f t="shared" si="699"/>
        <v>405250</v>
      </c>
      <c r="B462" s="684" t="str">
        <f>'Income Eligible Deemed Table'!C1140</f>
        <v>405250_2019_12_</v>
      </c>
      <c r="C462" s="1962" t="str">
        <f>'Income Eligible Deemed Table'!G1140</f>
        <v>Lighting RES</v>
      </c>
      <c r="D462" s="1962"/>
      <c r="E462" s="1962"/>
      <c r="F462" s="1962"/>
      <c r="G462" s="1962" t="str">
        <f>'Income Eligible Deemed Table'!E1140</f>
        <v>LED - 15W (CFL baseline) (1050-1489 lumens) IEDI</v>
      </c>
      <c r="H462" s="63" t="str">
        <f>'Income Eligible Deemed Table'!D1140</f>
        <v>SFIE / MFIE</v>
      </c>
      <c r="I462" s="2438">
        <f>'Income Eligible Deemed Table'!F1140</f>
        <v>5.44</v>
      </c>
      <c r="J462" s="2438"/>
      <c r="K462" s="2439"/>
      <c r="L462" s="2439"/>
      <c r="M462" s="2439"/>
      <c r="N462" s="2439"/>
      <c r="O462" s="2440">
        <f>'Income Eligible Deemed Table'!M1140</f>
        <v>8.12E-4</v>
      </c>
      <c r="P462" s="2440"/>
      <c r="Q462" s="2441"/>
      <c r="R462" s="2441"/>
      <c r="S462" s="2441"/>
      <c r="T462" s="2441"/>
      <c r="U462" s="1819"/>
      <c r="V462" s="1819"/>
      <c r="W462" s="1819">
        <f t="shared" si="690"/>
        <v>8.12E-4</v>
      </c>
      <c r="X462" s="68">
        <f>'Income Eligible Deemed Table'!N1140</f>
        <v>19</v>
      </c>
      <c r="Y462" s="68"/>
      <c r="Z462" s="68">
        <f t="shared" si="688"/>
        <v>19</v>
      </c>
      <c r="AA462" s="62">
        <f>'Income Eligible Deemed Table'!BB1140</f>
        <v>0.42203947091374178</v>
      </c>
      <c r="AB462" s="839">
        <f>'Income Eligible Deemed Table'!P1140</f>
        <v>8</v>
      </c>
      <c r="AC462" s="3617">
        <f t="shared" si="691"/>
        <v>3.1867067176120187</v>
      </c>
      <c r="AD462" s="3617">
        <f t="shared" si="692"/>
        <v>0</v>
      </c>
      <c r="AE462" s="1661">
        <f>'Income Eligible Deemed Table'!BD1140</f>
        <v>3.1867067176120187</v>
      </c>
      <c r="AF462" s="2453"/>
      <c r="AG462" s="2453"/>
      <c r="AH462" s="2453"/>
      <c r="AI462" s="3631" t="str">
        <f>'Income Eligible Deemed Table'!R1140</f>
        <v>per measure</v>
      </c>
      <c r="AJ462" s="1930"/>
      <c r="AK462" s="1930"/>
      <c r="AL462" s="1930"/>
      <c r="AM462" s="1972">
        <f t="shared" si="689"/>
        <v>1.4925290000000001E-4</v>
      </c>
      <c r="AN462" s="1930">
        <f t="shared" si="687"/>
        <v>8.1193577600000011E-4</v>
      </c>
      <c r="AO462" s="1971">
        <f t="shared" si="686"/>
        <v>-6.4223999999895795E-8</v>
      </c>
    </row>
    <row r="463" spans="1:41" s="100" customFormat="1" x14ac:dyDescent="0.25">
      <c r="A463" s="103" t="str">
        <f t="shared" si="699"/>
        <v>405251</v>
      </c>
      <c r="B463" s="684" t="str">
        <f>'Income Eligible Deemed Table'!C1141</f>
        <v>405251_2020_12_</v>
      </c>
      <c r="C463" s="1962" t="str">
        <f>'Income Eligible Deemed Table'!G1141</f>
        <v>Lighting RES</v>
      </c>
      <c r="D463" s="1962"/>
      <c r="E463" s="1962"/>
      <c r="F463" s="1962"/>
      <c r="G463" s="1962" t="str">
        <f>'Income Eligible Deemed Table'!E1141</f>
        <v>LED - 11W Flood Light BR30 Bulb (CFL baseline) IEDI</v>
      </c>
      <c r="H463" s="63" t="str">
        <f>'Income Eligible Deemed Table'!D1141</f>
        <v>SFIE / MFIE</v>
      </c>
      <c r="I463" s="2438">
        <f>'Income Eligible Deemed Table'!F1141</f>
        <v>5.17</v>
      </c>
      <c r="J463" s="2438"/>
      <c r="K463" s="2439"/>
      <c r="L463" s="2439"/>
      <c r="M463" s="2439"/>
      <c r="N463" s="2439"/>
      <c r="O463" s="2440">
        <f>'Income Eligible Deemed Table'!M1141</f>
        <v>7.7200000000000001E-4</v>
      </c>
      <c r="P463" s="2440"/>
      <c r="Q463" s="2441"/>
      <c r="R463" s="2441"/>
      <c r="S463" s="2441"/>
      <c r="T463" s="2441"/>
      <c r="U463" s="1926"/>
      <c r="V463" s="1926"/>
      <c r="W463" s="1926">
        <f t="shared" si="690"/>
        <v>7.7200000000000001E-4</v>
      </c>
      <c r="X463" s="68">
        <f>'Income Eligible Deemed Table'!N1141</f>
        <v>19</v>
      </c>
      <c r="Y463" s="68"/>
      <c r="Z463" s="68">
        <f t="shared" si="688"/>
        <v>19</v>
      </c>
      <c r="AA463" s="62">
        <f>'Income Eligible Deemed Table'!BB1141</f>
        <v>0.32087412715059482</v>
      </c>
      <c r="AB463" s="839">
        <f>'Income Eligible Deemed Table'!P1141</f>
        <v>10</v>
      </c>
      <c r="AC463" s="3617">
        <f t="shared" si="691"/>
        <v>3.028542965083481</v>
      </c>
      <c r="AD463" s="3617">
        <f t="shared" si="692"/>
        <v>0</v>
      </c>
      <c r="AE463" s="1661">
        <f>'Income Eligible Deemed Table'!BD1141</f>
        <v>3.028542965083481</v>
      </c>
      <c r="AF463" s="2453"/>
      <c r="AG463" s="2453"/>
      <c r="AH463" s="2453"/>
      <c r="AI463" s="3631" t="str">
        <f>'Income Eligible Deemed Table'!R1141</f>
        <v>per measure</v>
      </c>
      <c r="AM463" s="2433">
        <f t="shared" si="689"/>
        <v>1.4925290000000001E-4</v>
      </c>
      <c r="AN463" s="100">
        <f t="shared" si="687"/>
        <v>7.7163749300000002E-4</v>
      </c>
      <c r="AO463" s="2437">
        <f t="shared" si="686"/>
        <v>-3.6250699999998762E-7</v>
      </c>
    </row>
    <row r="464" spans="1:41" x14ac:dyDescent="0.25">
      <c r="A464" s="103" t="str">
        <f t="shared" si="699"/>
        <v>405300</v>
      </c>
      <c r="B464" s="684" t="str">
        <f>'Income Eligible Deemed Table'!C1142</f>
        <v>405300_2019_12_</v>
      </c>
      <c r="C464" s="1962" t="str">
        <f>'Income Eligible Deemed Table'!G1142</f>
        <v>Lighting RES</v>
      </c>
      <c r="D464" s="1962"/>
      <c r="E464" s="1962"/>
      <c r="F464" s="1962"/>
      <c r="G464" s="1962" t="str">
        <f>'Income Eligible Deemed Table'!E1142</f>
        <v>LED - 15W Flood Light PAR30 Bulb (CFL baseline) IEDI</v>
      </c>
      <c r="H464" s="63" t="str">
        <f>'Income Eligible Deemed Table'!D1142</f>
        <v>SFIE / MFIE</v>
      </c>
      <c r="I464" s="2438">
        <f>'Income Eligible Deemed Table'!F1142</f>
        <v>3.15</v>
      </c>
      <c r="J464" s="2438"/>
      <c r="K464" s="2439"/>
      <c r="L464" s="2439"/>
      <c r="M464" s="2439"/>
      <c r="N464" s="2439"/>
      <c r="O464" s="2440">
        <f>'Income Eligible Deemed Table'!M1142</f>
        <v>4.6900000000000002E-4</v>
      </c>
      <c r="P464" s="2440"/>
      <c r="Q464" s="2441"/>
      <c r="R464" s="2441"/>
      <c r="S464" s="2441"/>
      <c r="T464" s="2441"/>
      <c r="U464" s="1819"/>
      <c r="V464" s="1819"/>
      <c r="W464" s="1819">
        <f t="shared" si="690"/>
        <v>4.6900000000000002E-4</v>
      </c>
      <c r="X464" s="68">
        <f>'Income Eligible Deemed Table'!N1142</f>
        <v>19</v>
      </c>
      <c r="Y464" s="68"/>
      <c r="Z464" s="68">
        <f t="shared" si="688"/>
        <v>19</v>
      </c>
      <c r="AA464" s="62">
        <f>'Income Eligible Deemed Table'!BB1142</f>
        <v>0.19550357843798333</v>
      </c>
      <c r="AB464" s="839">
        <f>'Income Eligible Deemed Table'!P1142</f>
        <v>10</v>
      </c>
      <c r="AC464" s="3617">
        <f t="shared" si="691"/>
        <v>1.8452437794996064</v>
      </c>
      <c r="AD464" s="3617">
        <f t="shared" si="692"/>
        <v>0</v>
      </c>
      <c r="AE464" s="1661">
        <f>'Income Eligible Deemed Table'!BD1142</f>
        <v>1.8452437794996064</v>
      </c>
      <c r="AF464" s="2453"/>
      <c r="AG464" s="2453"/>
      <c r="AH464" s="2453"/>
      <c r="AI464" s="3631" t="str">
        <f>'Income Eligible Deemed Table'!R1142</f>
        <v>per measure</v>
      </c>
      <c r="AJ464" s="1930"/>
      <c r="AK464" s="1930"/>
      <c r="AL464" s="1930"/>
      <c r="AM464" s="1972">
        <f t="shared" si="689"/>
        <v>1.4925290000000001E-4</v>
      </c>
      <c r="AN464" s="1930">
        <f t="shared" si="687"/>
        <v>4.7014663500000002E-4</v>
      </c>
      <c r="AO464" s="1971">
        <f t="shared" si="686"/>
        <v>1.1466350000000026E-6</v>
      </c>
    </row>
    <row r="465" spans="1:41" x14ac:dyDescent="0.25">
      <c r="A465" s="103" t="str">
        <f t="shared" si="699"/>
        <v>405350</v>
      </c>
      <c r="B465" s="684" t="str">
        <f>'Income Eligible Deemed Table'!C1143</f>
        <v>405350_2019_12_</v>
      </c>
      <c r="C465" s="1962" t="str">
        <f>'Income Eligible Deemed Table'!G1143</f>
        <v>Lighting RES</v>
      </c>
      <c r="D465" s="1962"/>
      <c r="E465" s="1962"/>
      <c r="F465" s="1962"/>
      <c r="G465" s="1962" t="str">
        <f>'Income Eligible Deemed Table'!E1143</f>
        <v>LED - 18W Flood Light PAR38 Bulb (CFL baseline) IEDI</v>
      </c>
      <c r="H465" s="63" t="str">
        <f>'Income Eligible Deemed Table'!D1143</f>
        <v>SFIE / MFIE</v>
      </c>
      <c r="I465" s="2438">
        <f>'Income Eligible Deemed Table'!F1143</f>
        <v>3.28</v>
      </c>
      <c r="J465" s="2438"/>
      <c r="K465" s="2439"/>
      <c r="L465" s="2439"/>
      <c r="M465" s="2439"/>
      <c r="N465" s="2439"/>
      <c r="O465" s="2440">
        <f>'Income Eligible Deemed Table'!M1143</f>
        <v>4.8899999999999996E-4</v>
      </c>
      <c r="P465" s="2440"/>
      <c r="Q465" s="2441"/>
      <c r="R465" s="2441"/>
      <c r="S465" s="2441"/>
      <c r="T465" s="2441"/>
      <c r="U465" s="1819"/>
      <c r="V465" s="1819"/>
      <c r="W465" s="1819">
        <f t="shared" si="690"/>
        <v>4.8899999999999996E-4</v>
      </c>
      <c r="X465" s="68">
        <f>'Income Eligible Deemed Table'!N1143</f>
        <v>19</v>
      </c>
      <c r="Y465" s="68"/>
      <c r="Z465" s="68">
        <f t="shared" si="688"/>
        <v>19</v>
      </c>
      <c r="AA465" s="62">
        <f>'Income Eligible Deemed Table'!BB1143</f>
        <v>0.13571465339186989</v>
      </c>
      <c r="AB465" s="839">
        <f>'Income Eligible Deemed Table'!P1143</f>
        <v>15</v>
      </c>
      <c r="AC465" s="3617">
        <f t="shared" si="691"/>
        <v>1.9213966973837171</v>
      </c>
      <c r="AD465" s="3617">
        <f t="shared" si="692"/>
        <v>0</v>
      </c>
      <c r="AE465" s="1661">
        <f>'Income Eligible Deemed Table'!BD1143</f>
        <v>1.9213966973837171</v>
      </c>
      <c r="AF465" s="2453"/>
      <c r="AG465" s="2453"/>
      <c r="AH465" s="2453"/>
      <c r="AI465" s="3631" t="str">
        <f>'Income Eligible Deemed Table'!R1143</f>
        <v>per measure</v>
      </c>
      <c r="AJ465" s="1930"/>
      <c r="AK465" s="1930"/>
      <c r="AL465" s="1930"/>
      <c r="AM465" s="1972">
        <f t="shared" si="689"/>
        <v>1.4925290000000001E-4</v>
      </c>
      <c r="AN465" s="1930">
        <f t="shared" si="687"/>
        <v>4.8954951200000005E-4</v>
      </c>
      <c r="AO465" s="1971">
        <f t="shared" si="686"/>
        <v>5.4951200000009307E-7</v>
      </c>
    </row>
    <row r="466" spans="1:41" x14ac:dyDescent="0.25">
      <c r="A466" s="103" t="str">
        <f t="shared" si="699"/>
        <v>405400</v>
      </c>
      <c r="B466" s="684" t="str">
        <f>'Income Eligible Deemed Table'!C1144</f>
        <v>405400_2019_12_</v>
      </c>
      <c r="C466" s="1962" t="str">
        <f>'Income Eligible Deemed Table'!G1144</f>
        <v>Lighting RES</v>
      </c>
      <c r="D466" s="1962"/>
      <c r="E466" s="1962"/>
      <c r="F466" s="1962"/>
      <c r="G466" s="1962" t="str">
        <f>'Income Eligible Deemed Table'!E1144</f>
        <v>LED - 20W (CFL baseline) (1490-2600 lumens) IEDI</v>
      </c>
      <c r="H466" s="63" t="str">
        <f>'Income Eligible Deemed Table'!D1144</f>
        <v>SFIE / MFIE</v>
      </c>
      <c r="I466" s="2438">
        <f>'Income Eligible Deemed Table'!F1144</f>
        <v>6.42</v>
      </c>
      <c r="J466" s="2438"/>
      <c r="K466" s="2439"/>
      <c r="L466" s="2439"/>
      <c r="M466" s="2439"/>
      <c r="N466" s="2439"/>
      <c r="O466" s="2440">
        <f>'Income Eligible Deemed Table'!M1144</f>
        <v>9.59E-4</v>
      </c>
      <c r="P466" s="2440"/>
      <c r="Q466" s="2441"/>
      <c r="R466" s="2441"/>
      <c r="S466" s="2441"/>
      <c r="T466" s="2441"/>
      <c r="U466" s="1819"/>
      <c r="V466" s="1819"/>
      <c r="W466" s="1819">
        <f t="shared" si="690"/>
        <v>9.59E-4</v>
      </c>
      <c r="X466" s="68">
        <f>'Income Eligible Deemed Table'!N1144</f>
        <v>19</v>
      </c>
      <c r="Y466" s="68"/>
      <c r="Z466" s="68">
        <f t="shared" si="688"/>
        <v>19</v>
      </c>
      <c r="AA466" s="62">
        <f>'Income Eligible Deemed Table'!BB1144</f>
        <v>0.49806864030629089</v>
      </c>
      <c r="AB466" s="839">
        <f>'Income Eligible Deemed Table'!P1144</f>
        <v>8</v>
      </c>
      <c r="AC466" s="3617">
        <f t="shared" si="691"/>
        <v>3.7607825601230074</v>
      </c>
      <c r="AD466" s="3617">
        <f t="shared" si="692"/>
        <v>0</v>
      </c>
      <c r="AE466" s="1661">
        <f>'Income Eligible Deemed Table'!BD1144</f>
        <v>3.7607825601230074</v>
      </c>
      <c r="AF466" s="2453"/>
      <c r="AG466" s="2453"/>
      <c r="AH466" s="2453"/>
      <c r="AI466" s="3631" t="str">
        <f>'Income Eligible Deemed Table'!R1144</f>
        <v>per measure</v>
      </c>
      <c r="AJ466" s="1930"/>
      <c r="AK466" s="1930"/>
      <c r="AL466" s="1930"/>
      <c r="AM466" s="1972">
        <f t="shared" si="689"/>
        <v>1.4925290000000001E-4</v>
      </c>
      <c r="AN466" s="1930">
        <f t="shared" si="687"/>
        <v>9.5820361800000005E-4</v>
      </c>
      <c r="AO466" s="1971">
        <f t="shared" si="686"/>
        <v>-7.9638199999994795E-7</v>
      </c>
    </row>
    <row r="467" spans="1:41" s="100" customFormat="1" x14ac:dyDescent="0.25">
      <c r="A467" s="103" t="str">
        <f t="shared" si="699"/>
        <v>405409</v>
      </c>
      <c r="B467" s="1960" t="str">
        <f>'Income Eligible Deemed Table'!C1145</f>
        <v>405409_2021_12_</v>
      </c>
      <c r="C467" s="1958" t="str">
        <f>'Income Eligible Deemed Table'!G1145</f>
        <v>Lighting RES</v>
      </c>
      <c r="D467" s="1958"/>
      <c r="E467" s="1958"/>
      <c r="F467" s="1958"/>
      <c r="G467" s="1958" t="str">
        <f>'Income Eligible Deemed Table'!E1145</f>
        <v>LED - 6W (CFL baseline) (310-749 lumens) IEDI</v>
      </c>
      <c r="H467" s="1975" t="str">
        <f>'Income Eligible Deemed Table'!D1145</f>
        <v>SFIE / MFIE</v>
      </c>
      <c r="I467" s="1973">
        <f>'Income Eligible Deemed Table'!F1145</f>
        <v>3.78</v>
      </c>
      <c r="J467" s="1973"/>
      <c r="K467" s="1963"/>
      <c r="L467" s="1963"/>
      <c r="M467" s="1963"/>
      <c r="N467" s="1963"/>
      <c r="O467" s="1974">
        <f>'Income Eligible Deemed Table'!M1145</f>
        <v>5.6400000000000005E-4</v>
      </c>
      <c r="P467" s="1974"/>
      <c r="Q467" s="1976"/>
      <c r="R467" s="1976"/>
      <c r="S467" s="1976"/>
      <c r="T467" s="1976"/>
      <c r="U467" s="1926"/>
      <c r="V467" s="1926"/>
      <c r="W467" s="1926">
        <f t="shared" ref="W467" si="700">O467</f>
        <v>5.6400000000000005E-4</v>
      </c>
      <c r="X467" s="1952">
        <f>'Income Eligible Deemed Table'!N1145</f>
        <v>19</v>
      </c>
      <c r="Y467" s="1952"/>
      <c r="Z467" s="1952">
        <f t="shared" ref="Z467" si="701">Y467+X467</f>
        <v>19</v>
      </c>
      <c r="AA467" s="1951">
        <f>'Income Eligible Deemed Table'!BB1145</f>
        <v>0.3351489916079714</v>
      </c>
      <c r="AB467" s="2426">
        <f>'Income Eligible Deemed Table'!P1145</f>
        <v>7</v>
      </c>
      <c r="AC467" s="2432">
        <f t="shared" ref="AC467" si="702">AE467+AF467</f>
        <v>2.2142925353995278</v>
      </c>
      <c r="AD467" s="2432">
        <f t="shared" ref="AD467" si="703">AG467+AH467</f>
        <v>0</v>
      </c>
      <c r="AE467" s="2452">
        <f>'Income Eligible Deemed Table'!BD1145</f>
        <v>2.2142925353995278</v>
      </c>
      <c r="AF467" s="1982"/>
      <c r="AG467" s="1982"/>
      <c r="AH467" s="1982"/>
      <c r="AI467" s="2449" t="str">
        <f>'Income Eligible Deemed Table'!R1145</f>
        <v>per measure</v>
      </c>
      <c r="AM467" s="2433">
        <f t="shared" si="689"/>
        <v>1.4925290000000001E-4</v>
      </c>
      <c r="AN467" s="100">
        <f t="shared" ref="AN467" si="704">AM467*I467</f>
        <v>5.6417596200000004E-4</v>
      </c>
      <c r="AO467" s="2437">
        <f t="shared" ref="AO467" si="705">AN467-O467</f>
        <v>1.7596199999999566E-7</v>
      </c>
    </row>
    <row r="468" spans="1:41" s="100" customFormat="1" x14ac:dyDescent="0.25">
      <c r="A468" s="103" t="str">
        <f t="shared" si="699"/>
        <v>405410</v>
      </c>
      <c r="B468" s="684" t="str">
        <f>'Income Eligible Deemed Table'!C1146</f>
        <v>405410_2019_12_</v>
      </c>
      <c r="C468" s="1962" t="str">
        <f>'Income Eligible Deemed Table'!G1146</f>
        <v>Lighting RES</v>
      </c>
      <c r="D468" s="1962"/>
      <c r="E468" s="1962"/>
      <c r="F468" s="1962"/>
      <c r="G468" s="1962" t="str">
        <f>'Income Eligible Deemed Table'!E1146</f>
        <v>LED - 6W (Halogen baseline) (310-749 lumens) IEDI</v>
      </c>
      <c r="H468" s="63" t="str">
        <f>'Income Eligible Deemed Table'!D1146</f>
        <v>SFIE / MFIE</v>
      </c>
      <c r="I468" s="2438">
        <f>'Income Eligible Deemed Table'!F1146</f>
        <v>15.07</v>
      </c>
      <c r="J468" s="2438"/>
      <c r="K468" s="2439"/>
      <c r="L468" s="2439"/>
      <c r="M468" s="2439"/>
      <c r="N468" s="2439"/>
      <c r="O468" s="2440">
        <f>'Income Eligible Deemed Table'!M1146</f>
        <v>2.2499999999999998E-3</v>
      </c>
      <c r="P468" s="2440"/>
      <c r="Q468" s="2441"/>
      <c r="R468" s="2441"/>
      <c r="S468" s="2441"/>
      <c r="T468" s="2441"/>
      <c r="U468" s="1926"/>
      <c r="V468" s="1926"/>
      <c r="W468" s="1926">
        <f t="shared" si="690"/>
        <v>2.2499999999999998E-3</v>
      </c>
      <c r="X468" s="68">
        <f>'Income Eligible Deemed Table'!N1146</f>
        <v>19</v>
      </c>
      <c r="Y468" s="68"/>
      <c r="Z468" s="68">
        <f t="shared" si="688"/>
        <v>19</v>
      </c>
      <c r="AA468" s="62">
        <f>'Income Eligible Deemed Table'!BB1146</f>
        <v>1.5588565751642371</v>
      </c>
      <c r="AB468" s="839">
        <f>'Income Eligible Deemed Table'!P1146</f>
        <v>6</v>
      </c>
      <c r="AC468" s="3617">
        <f t="shared" si="691"/>
        <v>8.8278805577965294</v>
      </c>
      <c r="AD468" s="3617">
        <f t="shared" si="692"/>
        <v>0</v>
      </c>
      <c r="AE468" s="1661">
        <f>'Income Eligible Deemed Table'!BD1146</f>
        <v>8.8278805577965294</v>
      </c>
      <c r="AF468" s="2453"/>
      <c r="AG468" s="2453"/>
      <c r="AH468" s="2453"/>
      <c r="AI468" s="3631" t="str">
        <f>'Income Eligible Deemed Table'!R1146</f>
        <v>per measure</v>
      </c>
      <c r="AM468" s="2433">
        <f t="shared" si="689"/>
        <v>1.4925290000000001E-4</v>
      </c>
      <c r="AN468" s="100">
        <f t="shared" si="687"/>
        <v>2.249241203E-3</v>
      </c>
      <c r="AO468" s="2437">
        <f t="shared" si="686"/>
        <v>-7.5879699999985978E-7</v>
      </c>
    </row>
    <row r="469" spans="1:41" s="100" customFormat="1" x14ac:dyDescent="0.25">
      <c r="A469" s="103" t="str">
        <f t="shared" si="699"/>
        <v>405430</v>
      </c>
      <c r="B469" s="1960" t="str">
        <f>'Income Eligible Deemed Table'!C1147</f>
        <v>405430_2021_12_</v>
      </c>
      <c r="C469" s="1958" t="str">
        <f>'Income Eligible Deemed Table'!G1147</f>
        <v>Lighting RES</v>
      </c>
      <c r="D469" s="1958"/>
      <c r="E469" s="1958"/>
      <c r="F469" s="1958"/>
      <c r="G469" s="1958" t="str">
        <f>'Income Eligible Deemed Table'!E1147</f>
        <v>LED Nightlights</v>
      </c>
      <c r="H469" s="1975" t="str">
        <f>'Income Eligible Deemed Table'!D1147</f>
        <v>SFIE / MFIE</v>
      </c>
      <c r="I469" s="1973">
        <f>'Income Eligible Deemed Table'!F1147</f>
        <v>28.53</v>
      </c>
      <c r="J469" s="1973"/>
      <c r="K469" s="1963"/>
      <c r="L469" s="1963"/>
      <c r="M469" s="1963"/>
      <c r="N469" s="1963"/>
      <c r="O469" s="1974">
        <f>'Income Eligible Deemed Table'!M1147</f>
        <v>4.2579999999999996E-3</v>
      </c>
      <c r="P469" s="1974"/>
      <c r="Q469" s="1976"/>
      <c r="R469" s="1976"/>
      <c r="S469" s="1976"/>
      <c r="T469" s="1976"/>
      <c r="U469" s="1926"/>
      <c r="V469" s="1926"/>
      <c r="W469" s="1926">
        <f t="shared" ref="W469" si="706">O469</f>
        <v>4.2579999999999996E-3</v>
      </c>
      <c r="X469" s="1952">
        <f>'Income Eligible Deemed Table'!N1147</f>
        <v>19</v>
      </c>
      <c r="Y469" s="1952"/>
      <c r="Z469" s="1952">
        <f t="shared" ref="Z469" si="707">Y469+X469</f>
        <v>19</v>
      </c>
      <c r="AA469" s="1951">
        <f>'Income Eligible Deemed Table'!BB1147</f>
        <v>2.9511730649924153</v>
      </c>
      <c r="AB469" s="2426">
        <f>'Income Eligible Deemed Table'!P1147</f>
        <v>6</v>
      </c>
      <c r="AC469" s="2432">
        <f t="shared" ref="AC469" si="708">AE469+AF469</f>
        <v>16.712636517182151</v>
      </c>
      <c r="AD469" s="2432">
        <f t="shared" ref="AD469" si="709">AG469+AH469</f>
        <v>0</v>
      </c>
      <c r="AE469" s="2452">
        <f>'Income Eligible Deemed Table'!BD1147</f>
        <v>16.712636517182151</v>
      </c>
      <c r="AF469" s="1982"/>
      <c r="AG469" s="1982"/>
      <c r="AH469" s="1982"/>
      <c r="AI469" s="2449" t="str">
        <f>'Income Eligible Deemed Table'!R1147</f>
        <v>per measure</v>
      </c>
      <c r="AM469" s="2433">
        <f t="shared" si="689"/>
        <v>1.4925290000000001E-4</v>
      </c>
      <c r="AN469" s="100">
        <f t="shared" ref="AN469" si="710">AM469*I469</f>
        <v>4.2581852370000006E-3</v>
      </c>
      <c r="AO469" s="2437">
        <f t="shared" ref="AO469" si="711">AN469-O469</f>
        <v>1.8523700000099008E-7</v>
      </c>
    </row>
    <row r="470" spans="1:41" x14ac:dyDescent="0.25">
      <c r="A470" s="103" t="str">
        <f t="shared" si="699"/>
        <v>405450</v>
      </c>
      <c r="B470" s="1960" t="str">
        <f>'Income Eligible Deemed Table'!C1259</f>
        <v>405450_2021_12_</v>
      </c>
      <c r="C470" s="1962" t="str">
        <f>'Income Eligible Deemed Table'!G1259</f>
        <v>Miscellaneous RES</v>
      </c>
      <c r="D470" s="1962"/>
      <c r="E470" s="1962"/>
      <c r="F470" s="1962"/>
      <c r="G470" s="1962" t="str">
        <f>'Income Eligible Deemed Table'!E1259</f>
        <v>Advanced Tier 1 Power Strips / TOS/NC - Home Office</v>
      </c>
      <c r="H470" s="63" t="str">
        <f>'Income Eligible Deemed Table'!D1259</f>
        <v>SFIE / MFIE</v>
      </c>
      <c r="I470" s="2438">
        <f>'Income Eligible Deemed Table'!F1259</f>
        <v>29.45</v>
      </c>
      <c r="J470" s="2438"/>
      <c r="K470" s="2439"/>
      <c r="L470" s="2439"/>
      <c r="M470" s="2439"/>
      <c r="N470" s="2439"/>
      <c r="O470" s="2440">
        <f>'Income Eligible Deemed Table'!I1259</f>
        <v>3.382E-3</v>
      </c>
      <c r="P470" s="2440"/>
      <c r="Q470" s="2441"/>
      <c r="R470" s="2441"/>
      <c r="S470" s="2441"/>
      <c r="T470" s="2441"/>
      <c r="U470" s="1819">
        <v>0</v>
      </c>
      <c r="V470" s="1819">
        <f t="shared" ref="V470:V480" si="712">O470</f>
        <v>3.382E-3</v>
      </c>
      <c r="W470" s="1819">
        <v>0</v>
      </c>
      <c r="X470" s="68">
        <f>'Income Eligible Deemed Table'!J1259</f>
        <v>10</v>
      </c>
      <c r="Y470" s="68"/>
      <c r="Z470" s="68">
        <f t="shared" si="688"/>
        <v>10</v>
      </c>
      <c r="AA470" s="62">
        <f>'Income Eligible Deemed Table'!BB1259</f>
        <v>0.53798242483706482</v>
      </c>
      <c r="AB470" s="839">
        <f>'Income Eligible Deemed Table'!K1259</f>
        <v>20</v>
      </c>
      <c r="AC470" s="3617">
        <f t="shared" si="691"/>
        <v>10.155402073375456</v>
      </c>
      <c r="AD470" s="3617">
        <f t="shared" si="692"/>
        <v>0</v>
      </c>
      <c r="AE470" s="1661">
        <f>'Income Eligible Deemed Table'!BD1259</f>
        <v>10.155402073375456</v>
      </c>
      <c r="AF470" s="2453"/>
      <c r="AG470" s="2453"/>
      <c r="AH470" s="2453"/>
      <c r="AI470" s="684" t="str">
        <f>'Income Eligible Deemed Table'!L1259</f>
        <v>per measure</v>
      </c>
      <c r="AJ470" s="1930"/>
      <c r="AK470" s="1930"/>
      <c r="AL470" s="1930"/>
      <c r="AM470" s="1972">
        <f t="shared" si="689"/>
        <v>1.148238E-4</v>
      </c>
      <c r="AN470" s="1930">
        <f t="shared" si="687"/>
        <v>3.3815609099999999E-3</v>
      </c>
      <c r="AO470" s="1971">
        <f t="shared" si="686"/>
        <v>-4.3909000000015574E-7</v>
      </c>
    </row>
    <row r="471" spans="1:41" s="100" customFormat="1" x14ac:dyDescent="0.25">
      <c r="A471" s="103" t="str">
        <f t="shared" si="699"/>
        <v>405451</v>
      </c>
      <c r="B471" s="1960" t="str">
        <f>'Income Eligible Deemed Table'!C1260</f>
        <v>405451_2021_12_</v>
      </c>
      <c r="C471" s="1962" t="str">
        <f>'Income Eligible Deemed Table'!G1260</f>
        <v>Miscellaneous RES</v>
      </c>
      <c r="D471" s="1962"/>
      <c r="E471" s="1962"/>
      <c r="F471" s="1962"/>
      <c r="G471" s="1962" t="str">
        <f>'Income Eligible Deemed Table'!E1260</f>
        <v>Advanced Tier 1 Power Strips / DI - Home Office</v>
      </c>
      <c r="H471" s="63" t="str">
        <f>'Income Eligible Deemed Table'!D1260</f>
        <v>SFIE / MFIE</v>
      </c>
      <c r="I471" s="2438">
        <f>'Income Eligible Deemed Table'!F1260</f>
        <v>29.45</v>
      </c>
      <c r="J471" s="2438"/>
      <c r="K471" s="2439"/>
      <c r="L471" s="2439"/>
      <c r="M471" s="2439"/>
      <c r="N471" s="2439"/>
      <c r="O471" s="2440">
        <f>'Income Eligible Deemed Table'!I1260</f>
        <v>3.382E-3</v>
      </c>
      <c r="P471" s="2440"/>
      <c r="Q471" s="2441"/>
      <c r="R471" s="2441"/>
      <c r="S471" s="2441"/>
      <c r="T471" s="2441"/>
      <c r="U471" s="1926">
        <v>0</v>
      </c>
      <c r="V471" s="1926">
        <f t="shared" ref="V471" si="713">O471</f>
        <v>3.382E-3</v>
      </c>
      <c r="W471" s="1926">
        <v>0</v>
      </c>
      <c r="X471" s="68">
        <f>'Income Eligible Deemed Table'!J1260</f>
        <v>10</v>
      </c>
      <c r="Y471" s="68"/>
      <c r="Z471" s="68">
        <f t="shared" ref="Z471" si="714">Y471+X471</f>
        <v>10</v>
      </c>
      <c r="AA471" s="62">
        <f>'Income Eligible Deemed Table'!BB1260</f>
        <v>0.35865494989137653</v>
      </c>
      <c r="AB471" s="839">
        <f>'Income Eligible Deemed Table'!K1260</f>
        <v>30</v>
      </c>
      <c r="AC471" s="3617">
        <f t="shared" ref="AC471" si="715">AE471+AF471</f>
        <v>10.155402073375456</v>
      </c>
      <c r="AD471" s="3617">
        <f t="shared" ref="AD471" si="716">AG471+AH471</f>
        <v>0</v>
      </c>
      <c r="AE471" s="1661">
        <f>'Income Eligible Deemed Table'!BD1260</f>
        <v>10.155402073375456</v>
      </c>
      <c r="AF471" s="2453"/>
      <c r="AG471" s="2453"/>
      <c r="AH471" s="2453"/>
      <c r="AI471" s="684" t="str">
        <f>'Income Eligible Deemed Table'!L1260</f>
        <v>per measure</v>
      </c>
      <c r="AM471" s="2433">
        <f t="shared" si="689"/>
        <v>1.148238E-4</v>
      </c>
      <c r="AN471" s="100">
        <f t="shared" ref="AN471" si="717">AM471*I471</f>
        <v>3.3815609099999999E-3</v>
      </c>
      <c r="AO471" s="2437">
        <f t="shared" ref="AO471" si="718">AN471-O471</f>
        <v>-4.3909000000015574E-7</v>
      </c>
    </row>
    <row r="472" spans="1:41" x14ac:dyDescent="0.25">
      <c r="A472" s="103" t="str">
        <f t="shared" si="699"/>
        <v>405500</v>
      </c>
      <c r="B472" s="684" t="str">
        <f>'Income Eligible Deemed Table'!C1261</f>
        <v>405500_2019_12_</v>
      </c>
      <c r="C472" s="1962" t="str">
        <f>'Income Eligible Deemed Table'!G1261</f>
        <v>Miscellaneous RES</v>
      </c>
      <c r="D472" s="1962"/>
      <c r="E472" s="1962"/>
      <c r="F472" s="1962"/>
      <c r="G472" s="1962" t="str">
        <f>'Income Eligible Deemed Table'!E1261</f>
        <v>Advanced Tier 1 Power Strips / Kits - Home Office</v>
      </c>
      <c r="H472" s="63" t="str">
        <f>'Income Eligible Deemed Table'!D1261</f>
        <v>SFIE / MFIE</v>
      </c>
      <c r="I472" s="2438">
        <f>'Income Eligible Deemed Table'!F1261</f>
        <v>24.18</v>
      </c>
      <c r="J472" s="2438"/>
      <c r="K472" s="2439"/>
      <c r="L472" s="2439"/>
      <c r="M472" s="2439"/>
      <c r="N472" s="2439"/>
      <c r="O472" s="2440">
        <f>'Income Eligible Deemed Table'!I1261</f>
        <v>2.7759999999999998E-3</v>
      </c>
      <c r="P472" s="2440"/>
      <c r="Q472" s="2441"/>
      <c r="R472" s="2441"/>
      <c r="S472" s="2441"/>
      <c r="T472" s="2441"/>
      <c r="U472" s="1819">
        <v>0</v>
      </c>
      <c r="V472" s="1819">
        <f t="shared" si="712"/>
        <v>2.7759999999999998E-3</v>
      </c>
      <c r="W472" s="1819">
        <v>0</v>
      </c>
      <c r="X472" s="68">
        <f>'Income Eligible Deemed Table'!J1261</f>
        <v>10</v>
      </c>
      <c r="Y472" s="68"/>
      <c r="Z472" s="68">
        <f t="shared" ref="Z472:Z483" si="719">Y472+X472</f>
        <v>10</v>
      </c>
      <c r="AA472" s="62">
        <f>'Income Eligible Deemed Table'!BB1261</f>
        <v>0.4417118856556953</v>
      </c>
      <c r="AB472" s="839">
        <f>'Income Eligible Deemed Table'!K1261</f>
        <v>20</v>
      </c>
      <c r="AC472" s="3617">
        <f t="shared" si="691"/>
        <v>8.338119597087216</v>
      </c>
      <c r="AD472" s="3617">
        <f t="shared" si="692"/>
        <v>0</v>
      </c>
      <c r="AE472" s="1661">
        <f>'Income Eligible Deemed Table'!BD1261</f>
        <v>8.338119597087216</v>
      </c>
      <c r="AF472" s="2453"/>
      <c r="AG472" s="2453"/>
      <c r="AH472" s="2453"/>
      <c r="AI472" s="684" t="str">
        <f>'Income Eligible Deemed Table'!L1261</f>
        <v>per measure</v>
      </c>
      <c r="AJ472" s="1930"/>
      <c r="AK472" s="1930"/>
      <c r="AL472" s="1930"/>
      <c r="AM472" s="1972">
        <f t="shared" si="689"/>
        <v>1.148238E-4</v>
      </c>
      <c r="AN472" s="1930">
        <f t="shared" si="687"/>
        <v>2.7764394839999997E-3</v>
      </c>
      <c r="AO472" s="1971">
        <f t="shared" si="686"/>
        <v>4.3948399999988244E-7</v>
      </c>
    </row>
    <row r="473" spans="1:41" x14ac:dyDescent="0.25">
      <c r="A473" s="103" t="str">
        <f t="shared" si="699"/>
        <v>405550</v>
      </c>
      <c r="B473" s="1960" t="str">
        <f>'Income Eligible Deemed Table'!C1262</f>
        <v>405550_2021_12_</v>
      </c>
      <c r="C473" s="1962" t="str">
        <f>'Income Eligible Deemed Table'!G1262</f>
        <v>Miscellaneous RES</v>
      </c>
      <c r="D473" s="1962"/>
      <c r="E473" s="1962"/>
      <c r="F473" s="1962"/>
      <c r="G473" s="1962" t="str">
        <f>'Income Eligible Deemed Table'!E1262</f>
        <v>Advanced Tier 1 Power Strips / TOS/NC - Home Entertainment</v>
      </c>
      <c r="H473" s="63" t="str">
        <f>'Income Eligible Deemed Table'!D1262</f>
        <v>SFIE / MFIE</v>
      </c>
      <c r="I473" s="2438">
        <f>'Income Eligible Deemed Table'!F1262</f>
        <v>71.349999999999994</v>
      </c>
      <c r="J473" s="2438"/>
      <c r="K473" s="2439"/>
      <c r="L473" s="2439"/>
      <c r="M473" s="2439"/>
      <c r="N473" s="2439"/>
      <c r="O473" s="2440">
        <f>'Income Eligible Deemed Table'!I1262</f>
        <v>8.1930000000000006E-3</v>
      </c>
      <c r="P473" s="2440"/>
      <c r="Q473" s="2441"/>
      <c r="R473" s="2441"/>
      <c r="S473" s="2441"/>
      <c r="T473" s="2441"/>
      <c r="U473" s="1819">
        <v>0</v>
      </c>
      <c r="V473" s="1819">
        <f t="shared" si="712"/>
        <v>8.1930000000000006E-3</v>
      </c>
      <c r="W473" s="1819">
        <v>0</v>
      </c>
      <c r="X473" s="68">
        <f>'Income Eligible Deemed Table'!J1262</f>
        <v>10</v>
      </c>
      <c r="Y473" s="68"/>
      <c r="Z473" s="68">
        <f t="shared" si="719"/>
        <v>10</v>
      </c>
      <c r="AA473" s="62">
        <f>'Income Eligible Deemed Table'!BB1262</f>
        <v>1.3033971481196798</v>
      </c>
      <c r="AB473" s="839">
        <f>'Income Eligible Deemed Table'!K1262</f>
        <v>20</v>
      </c>
      <c r="AC473" s="3617">
        <f t="shared" si="691"/>
        <v>24.604004683712688</v>
      </c>
      <c r="AD473" s="3617">
        <f t="shared" si="692"/>
        <v>0</v>
      </c>
      <c r="AE473" s="1661">
        <f>'Income Eligible Deemed Table'!BD1262</f>
        <v>24.604004683712688</v>
      </c>
      <c r="AF473" s="2453"/>
      <c r="AG473" s="2453"/>
      <c r="AH473" s="2453"/>
      <c r="AI473" s="684" t="str">
        <f>'Income Eligible Deemed Table'!L1262</f>
        <v>per measure</v>
      </c>
      <c r="AJ473" s="1930"/>
      <c r="AK473" s="1930"/>
      <c r="AL473" s="1930"/>
      <c r="AM473" s="1972">
        <f t="shared" si="689"/>
        <v>1.148238E-4</v>
      </c>
      <c r="AN473" s="1930">
        <f t="shared" si="687"/>
        <v>8.1926781299999987E-3</v>
      </c>
      <c r="AO473" s="1971">
        <f t="shared" si="686"/>
        <v>-3.2187000000190313E-7</v>
      </c>
    </row>
    <row r="474" spans="1:41" s="100" customFormat="1" x14ac:dyDescent="0.25">
      <c r="A474" s="103" t="str">
        <f t="shared" si="699"/>
        <v>405551</v>
      </c>
      <c r="B474" s="1960" t="str">
        <f>'Income Eligible Deemed Table'!C1263</f>
        <v>405551_2021_12_</v>
      </c>
      <c r="C474" s="1962" t="str">
        <f>'Income Eligible Deemed Table'!G1263</f>
        <v>Miscellaneous RES</v>
      </c>
      <c r="D474" s="1962"/>
      <c r="E474" s="1962"/>
      <c r="F474" s="1962"/>
      <c r="G474" s="1962" t="str">
        <f>'Income Eligible Deemed Table'!E1263</f>
        <v>Advanced Tier 1 Power Strips / DI - Home Entertainment</v>
      </c>
      <c r="H474" s="63" t="str">
        <f>'Income Eligible Deemed Table'!D1263</f>
        <v>SFIE / MFIE</v>
      </c>
      <c r="I474" s="2438">
        <f>'Income Eligible Deemed Table'!F1263</f>
        <v>71.349999999999994</v>
      </c>
      <c r="J474" s="2438"/>
      <c r="K474" s="2439"/>
      <c r="L474" s="2439"/>
      <c r="M474" s="2439"/>
      <c r="N474" s="2439"/>
      <c r="O474" s="2440">
        <f>'Income Eligible Deemed Table'!I1263</f>
        <v>8.1930000000000006E-3</v>
      </c>
      <c r="P474" s="2440"/>
      <c r="Q474" s="2441"/>
      <c r="R474" s="2441"/>
      <c r="S474" s="2441"/>
      <c r="T474" s="2441"/>
      <c r="U474" s="1926">
        <v>0</v>
      </c>
      <c r="V474" s="1926">
        <f t="shared" ref="V474" si="720">O474</f>
        <v>8.1930000000000006E-3</v>
      </c>
      <c r="W474" s="1926">
        <v>0</v>
      </c>
      <c r="X474" s="68">
        <f>'Income Eligible Deemed Table'!J1263</f>
        <v>10</v>
      </c>
      <c r="Y474" s="68"/>
      <c r="Z474" s="68">
        <f t="shared" ref="Z474" si="721">Y474+X474</f>
        <v>10</v>
      </c>
      <c r="AA474" s="62">
        <f>'Income Eligible Deemed Table'!BB1263</f>
        <v>0.86893143207978651</v>
      </c>
      <c r="AB474" s="839">
        <f>'Income Eligible Deemed Table'!K1263</f>
        <v>30</v>
      </c>
      <c r="AC474" s="3617">
        <f t="shared" ref="AC474" si="722">AE474+AF474</f>
        <v>24.604004683712688</v>
      </c>
      <c r="AD474" s="3617">
        <f t="shared" ref="AD474" si="723">AG474+AH474</f>
        <v>0</v>
      </c>
      <c r="AE474" s="1661">
        <f>'Income Eligible Deemed Table'!BD1263</f>
        <v>24.604004683712688</v>
      </c>
      <c r="AF474" s="2453"/>
      <c r="AG474" s="2453"/>
      <c r="AH474" s="2453"/>
      <c r="AI474" s="684" t="str">
        <f>'Income Eligible Deemed Table'!L1263</f>
        <v>per measure</v>
      </c>
      <c r="AM474" s="2433">
        <f t="shared" si="689"/>
        <v>1.148238E-4</v>
      </c>
      <c r="AN474" s="100">
        <f t="shared" ref="AN474" si="724">AM474*I474</f>
        <v>8.1926781299999987E-3</v>
      </c>
      <c r="AO474" s="2437">
        <f t="shared" ref="AO474" si="725">AN474-O474</f>
        <v>-3.2187000000190313E-7</v>
      </c>
    </row>
    <row r="475" spans="1:41" x14ac:dyDescent="0.25">
      <c r="A475" s="103" t="str">
        <f t="shared" si="699"/>
        <v>405600</v>
      </c>
      <c r="B475" s="684" t="str">
        <f>'Income Eligible Deemed Table'!C1264</f>
        <v>405600_2019_12_</v>
      </c>
      <c r="C475" s="1962" t="str">
        <f>'Income Eligible Deemed Table'!G1264</f>
        <v>Miscellaneous RES</v>
      </c>
      <c r="D475" s="1962"/>
      <c r="E475" s="1962"/>
      <c r="F475" s="1962"/>
      <c r="G475" s="1962" t="str">
        <f>'Income Eligible Deemed Table'!E1264</f>
        <v>Advanced Tier 1 Power Strips / Kits - Home Entertainment</v>
      </c>
      <c r="H475" s="63" t="str">
        <f>'Income Eligible Deemed Table'!D1264</f>
        <v>SFIE / MFIE</v>
      </c>
      <c r="I475" s="2438">
        <f>'Income Eligible Deemed Table'!F1264</f>
        <v>58.58</v>
      </c>
      <c r="J475" s="2438"/>
      <c r="K475" s="2439"/>
      <c r="L475" s="2439"/>
      <c r="M475" s="2439"/>
      <c r="N475" s="2439"/>
      <c r="O475" s="2440">
        <f>'Income Eligible Deemed Table'!I1264</f>
        <v>6.7260000000000002E-3</v>
      </c>
      <c r="P475" s="2440"/>
      <c r="Q475" s="2441"/>
      <c r="R475" s="2441"/>
      <c r="S475" s="2441"/>
      <c r="T475" s="2441"/>
      <c r="U475" s="1819">
        <v>0</v>
      </c>
      <c r="V475" s="1819">
        <f t="shared" si="712"/>
        <v>6.7260000000000002E-3</v>
      </c>
      <c r="W475" s="1819">
        <v>0</v>
      </c>
      <c r="X475" s="68">
        <f>'Income Eligible Deemed Table'!J1264</f>
        <v>10</v>
      </c>
      <c r="Y475" s="68"/>
      <c r="Z475" s="68">
        <f t="shared" si="719"/>
        <v>10</v>
      </c>
      <c r="AA475" s="62">
        <f>'Income Eligible Deemed Table'!BB1264</f>
        <v>1.0701192002361717</v>
      </c>
      <c r="AB475" s="839">
        <f>'Income Eligible Deemed Table'!K1264</f>
        <v>20</v>
      </c>
      <c r="AC475" s="3617">
        <f t="shared" si="691"/>
        <v>20.200456823712535</v>
      </c>
      <c r="AD475" s="3617">
        <f t="shared" si="692"/>
        <v>0</v>
      </c>
      <c r="AE475" s="1661">
        <f>'Income Eligible Deemed Table'!BD1264</f>
        <v>20.200456823712535</v>
      </c>
      <c r="AF475" s="2453"/>
      <c r="AG475" s="2453"/>
      <c r="AH475" s="2453"/>
      <c r="AI475" s="684" t="str">
        <f>'Income Eligible Deemed Table'!L1264</f>
        <v>per measure</v>
      </c>
      <c r="AJ475" s="1930"/>
      <c r="AK475" s="1930"/>
      <c r="AL475" s="1930"/>
      <c r="AM475" s="1972">
        <f t="shared" ref="AM475:AM506" si="726">VLOOKUP(C475,$AS$10:$AT$33,2,FALSE)</f>
        <v>1.148238E-4</v>
      </c>
      <c r="AN475" s="1930">
        <f t="shared" si="687"/>
        <v>6.7263782039999999E-3</v>
      </c>
      <c r="AO475" s="1971">
        <f t="shared" si="686"/>
        <v>3.7820399999971555E-7</v>
      </c>
    </row>
    <row r="476" spans="1:41" x14ac:dyDescent="0.25">
      <c r="A476" s="103" t="str">
        <f t="shared" si="699"/>
        <v>405650</v>
      </c>
      <c r="B476" s="1960" t="str">
        <f>'Income Eligible Deemed Table'!C1265</f>
        <v>405650_2021_12_</v>
      </c>
      <c r="C476" s="1962" t="str">
        <f>'Income Eligible Deemed Table'!G1265</f>
        <v>Miscellaneous RES</v>
      </c>
      <c r="D476" s="1962"/>
      <c r="E476" s="1962"/>
      <c r="F476" s="1962"/>
      <c r="G476" s="1962" t="str">
        <f>'Income Eligible Deemed Table'!E1265</f>
        <v>Advanced Tier 1 Power Strips / TOS/NC - Unknown Location</v>
      </c>
      <c r="H476" s="63" t="str">
        <f>'Income Eligible Deemed Table'!D1265</f>
        <v>SFIE / MFIE</v>
      </c>
      <c r="I476" s="2438">
        <f>'Income Eligible Deemed Table'!F1265</f>
        <v>56.26</v>
      </c>
      <c r="J476" s="2438"/>
      <c r="K476" s="2439"/>
      <c r="L476" s="2439"/>
      <c r="M476" s="2439"/>
      <c r="N476" s="2439"/>
      <c r="O476" s="2440">
        <f>'Income Eligible Deemed Table'!I1265</f>
        <v>6.4599999999999996E-3</v>
      </c>
      <c r="P476" s="2440"/>
      <c r="Q476" s="2441"/>
      <c r="R476" s="2441"/>
      <c r="S476" s="2441"/>
      <c r="T476" s="2441"/>
      <c r="U476" s="1819">
        <v>0</v>
      </c>
      <c r="V476" s="1819">
        <f t="shared" si="712"/>
        <v>6.4599999999999996E-3</v>
      </c>
      <c r="W476" s="1819">
        <v>0</v>
      </c>
      <c r="X476" s="68">
        <f>'Income Eligible Deemed Table'!J1265</f>
        <v>10</v>
      </c>
      <c r="Y476" s="68"/>
      <c r="Z476" s="68">
        <f t="shared" si="719"/>
        <v>10</v>
      </c>
      <c r="AA476" s="62">
        <f>'Income Eligible Deemed Table'!BB1265</f>
        <v>1.0277382418109766</v>
      </c>
      <c r="AB476" s="839">
        <f>'Income Eligible Deemed Table'!K1265</f>
        <v>20</v>
      </c>
      <c r="AC476" s="3617">
        <f t="shared" si="691"/>
        <v>19.400438731684314</v>
      </c>
      <c r="AD476" s="3617">
        <f t="shared" si="692"/>
        <v>0</v>
      </c>
      <c r="AE476" s="1661">
        <f>'Income Eligible Deemed Table'!BD1265</f>
        <v>19.400438731684314</v>
      </c>
      <c r="AF476" s="2453"/>
      <c r="AG476" s="2453"/>
      <c r="AH476" s="2453"/>
      <c r="AI476" s="684" t="str">
        <f>'Income Eligible Deemed Table'!L1265</f>
        <v>per measure</v>
      </c>
      <c r="AJ476" s="1930"/>
      <c r="AK476" s="1930"/>
      <c r="AL476" s="1930"/>
      <c r="AM476" s="1972">
        <f t="shared" si="726"/>
        <v>1.148238E-4</v>
      </c>
      <c r="AN476" s="1930">
        <f t="shared" si="687"/>
        <v>6.4599869879999995E-3</v>
      </c>
      <c r="AO476" s="1971">
        <f t="shared" si="686"/>
        <v>-1.3012000000048318E-8</v>
      </c>
    </row>
    <row r="477" spans="1:41" s="100" customFormat="1" x14ac:dyDescent="0.25">
      <c r="A477" s="103" t="str">
        <f t="shared" si="699"/>
        <v>405651</v>
      </c>
      <c r="B477" s="1960" t="str">
        <f>'Income Eligible Deemed Table'!C1266</f>
        <v>405651_2021_12_</v>
      </c>
      <c r="C477" s="1962" t="str">
        <f>'Income Eligible Deemed Table'!G1266</f>
        <v>Miscellaneous RES</v>
      </c>
      <c r="D477" s="1962"/>
      <c r="E477" s="1962"/>
      <c r="F477" s="1962"/>
      <c r="G477" s="1962" t="str">
        <f>'Income Eligible Deemed Table'!E1266</f>
        <v>Advanced Tier 1 Power Strips / DI - Unknown Location</v>
      </c>
      <c r="H477" s="63" t="str">
        <f>'Income Eligible Deemed Table'!D1266</f>
        <v>SFIE / MFIE</v>
      </c>
      <c r="I477" s="2438">
        <f>'Income Eligible Deemed Table'!F1266</f>
        <v>56.26</v>
      </c>
      <c r="J477" s="2438"/>
      <c r="K477" s="2439"/>
      <c r="L477" s="2439"/>
      <c r="M477" s="2439"/>
      <c r="N477" s="2439"/>
      <c r="O477" s="2440">
        <f>'Income Eligible Deemed Table'!I1266</f>
        <v>6.4599999999999996E-3</v>
      </c>
      <c r="P477" s="2440"/>
      <c r="Q477" s="2441"/>
      <c r="R477" s="2441"/>
      <c r="S477" s="2441"/>
      <c r="T477" s="2441"/>
      <c r="U477" s="1926">
        <v>0</v>
      </c>
      <c r="V477" s="1926">
        <f t="shared" si="712"/>
        <v>6.4599999999999996E-3</v>
      </c>
      <c r="W477" s="1926">
        <v>0</v>
      </c>
      <c r="X477" s="68">
        <f>'Income Eligible Deemed Table'!J1266</f>
        <v>10</v>
      </c>
      <c r="Y477" s="68"/>
      <c r="Z477" s="68">
        <f t="shared" si="719"/>
        <v>10</v>
      </c>
      <c r="AA477" s="62">
        <f>'Income Eligible Deemed Table'!BB1266</f>
        <v>0.68515882787398441</v>
      </c>
      <c r="AB477" s="839">
        <f>'Income Eligible Deemed Table'!K1266</f>
        <v>30</v>
      </c>
      <c r="AC477" s="3617">
        <f t="shared" si="691"/>
        <v>19.400438731684314</v>
      </c>
      <c r="AD477" s="3617">
        <f t="shared" si="692"/>
        <v>0</v>
      </c>
      <c r="AE477" s="1661">
        <f>'Income Eligible Deemed Table'!BD1266</f>
        <v>19.400438731684314</v>
      </c>
      <c r="AF477" s="2453"/>
      <c r="AG477" s="2453"/>
      <c r="AH477" s="2453"/>
      <c r="AI477" s="684" t="str">
        <f>'Income Eligible Deemed Table'!L1266</f>
        <v>per measure</v>
      </c>
      <c r="AM477" s="2433">
        <f t="shared" si="726"/>
        <v>1.148238E-4</v>
      </c>
      <c r="AN477" s="100">
        <f t="shared" si="687"/>
        <v>6.4599869879999995E-3</v>
      </c>
      <c r="AO477" s="2437">
        <f t="shared" si="686"/>
        <v>-1.3012000000048318E-8</v>
      </c>
    </row>
    <row r="478" spans="1:41" x14ac:dyDescent="0.25">
      <c r="A478" s="103" t="str">
        <f t="shared" si="699"/>
        <v>405700</v>
      </c>
      <c r="B478" s="684" t="str">
        <f>'Income Eligible Deemed Table'!C1267</f>
        <v>405700_2019_12_</v>
      </c>
      <c r="C478" s="1962" t="str">
        <f>'Income Eligible Deemed Table'!G1267</f>
        <v>Miscellaneous RES</v>
      </c>
      <c r="D478" s="1962"/>
      <c r="E478" s="1962"/>
      <c r="F478" s="1962"/>
      <c r="G478" s="1962" t="str">
        <f>'Income Eligible Deemed Table'!E1267</f>
        <v>Advanced Tier 1 Power  / Kits - Unknown Location</v>
      </c>
      <c r="H478" s="63" t="str">
        <f>'Income Eligible Deemed Table'!D1267</f>
        <v>SFIE / MFIE</v>
      </c>
      <c r="I478" s="2438">
        <f>'Income Eligible Deemed Table'!F1267</f>
        <v>42.07</v>
      </c>
      <c r="J478" s="2438"/>
      <c r="K478" s="2439"/>
      <c r="L478" s="2439"/>
      <c r="M478" s="2439"/>
      <c r="N478" s="2439"/>
      <c r="O478" s="2440">
        <f>'Income Eligible Deemed Table'!I1267</f>
        <v>4.8310000000000002E-3</v>
      </c>
      <c r="P478" s="2440"/>
      <c r="Q478" s="2441"/>
      <c r="R478" s="2441"/>
      <c r="S478" s="2441"/>
      <c r="T478" s="2441"/>
      <c r="U478" s="1819">
        <v>0</v>
      </c>
      <c r="V478" s="1819">
        <f t="shared" si="712"/>
        <v>4.8310000000000002E-3</v>
      </c>
      <c r="W478" s="1819">
        <v>0</v>
      </c>
      <c r="X478" s="68">
        <f>'Income Eligible Deemed Table'!J1267</f>
        <v>10</v>
      </c>
      <c r="Y478" s="68"/>
      <c r="Z478" s="68">
        <f t="shared" si="719"/>
        <v>10</v>
      </c>
      <c r="AA478" s="62">
        <f>'Income Eligible Deemed Table'!BB1267</f>
        <v>0.76852022454653024</v>
      </c>
      <c r="AB478" s="839">
        <f>'Income Eligible Deemed Table'!K1267</f>
        <v>20</v>
      </c>
      <c r="AC478" s="3617">
        <f t="shared" si="691"/>
        <v>14.507224625701372</v>
      </c>
      <c r="AD478" s="3617">
        <f t="shared" si="692"/>
        <v>0</v>
      </c>
      <c r="AE478" s="1661">
        <f>'Income Eligible Deemed Table'!BD1267</f>
        <v>14.507224625701372</v>
      </c>
      <c r="AF478" s="2453"/>
      <c r="AG478" s="2453"/>
      <c r="AH478" s="2453"/>
      <c r="AI478" s="684" t="str">
        <f>'Income Eligible Deemed Table'!L1267</f>
        <v>per measure</v>
      </c>
      <c r="AJ478" s="1930"/>
      <c r="AK478" s="1930"/>
      <c r="AL478" s="1930"/>
      <c r="AM478" s="1972">
        <f t="shared" si="726"/>
        <v>1.148238E-4</v>
      </c>
      <c r="AN478" s="1930">
        <f t="shared" si="687"/>
        <v>4.8306372660000003E-3</v>
      </c>
      <c r="AO478" s="1971">
        <f t="shared" si="686"/>
        <v>-3.6273399999994793E-7</v>
      </c>
    </row>
    <row r="479" spans="1:41" x14ac:dyDescent="0.25">
      <c r="A479" s="103" t="str">
        <f t="shared" si="699"/>
        <v>405750</v>
      </c>
      <c r="B479" s="684" t="str">
        <f>'Income Eligible Deemed Table'!C1268</f>
        <v>405750_2019_12_</v>
      </c>
      <c r="C479" s="1962" t="str">
        <f>'Income Eligible Deemed Table'!G1268</f>
        <v>Miscellaneous RES</v>
      </c>
      <c r="D479" s="1962"/>
      <c r="E479" s="1962"/>
      <c r="F479" s="1962"/>
      <c r="G479" s="1962" t="str">
        <f>'Income Eligible Deemed Table'!E1268</f>
        <v>Advanced Tier 2 Power Strips / TOS/NC / Average</v>
      </c>
      <c r="H479" s="63" t="str">
        <f>'Income Eligible Deemed Table'!D1268</f>
        <v>SFIE / MFIE</v>
      </c>
      <c r="I479" s="2438">
        <f>'Income Eligible Deemed Table'!F1268</f>
        <v>151.96</v>
      </c>
      <c r="J479" s="2438"/>
      <c r="K479" s="2439"/>
      <c r="L479" s="2439"/>
      <c r="M479" s="2439"/>
      <c r="N479" s="2439"/>
      <c r="O479" s="2440">
        <f>'Income Eligible Deemed Table'!I1268</f>
        <v>1.7448999999999999E-2</v>
      </c>
      <c r="P479" s="2440"/>
      <c r="Q479" s="2441"/>
      <c r="R479" s="2441"/>
      <c r="S479" s="2441"/>
      <c r="T479" s="2441"/>
      <c r="U479" s="1819">
        <v>0</v>
      </c>
      <c r="V479" s="1819">
        <f t="shared" si="712"/>
        <v>1.7448999999999999E-2</v>
      </c>
      <c r="W479" s="1819">
        <v>0</v>
      </c>
      <c r="X479" s="68">
        <f>'Income Eligible Deemed Table'!J1268</f>
        <v>10</v>
      </c>
      <c r="Y479" s="68"/>
      <c r="Z479" s="68">
        <f t="shared" si="719"/>
        <v>10</v>
      </c>
      <c r="AA479" s="62">
        <f>'Income Eligible Deemed Table'!BB1268</f>
        <v>1.8506351845668449</v>
      </c>
      <c r="AB479" s="839">
        <f>'Income Eligible Deemed Table'!K1268</f>
        <v>30</v>
      </c>
      <c r="AC479" s="3617">
        <f t="shared" si="691"/>
        <v>52.401185027848364</v>
      </c>
      <c r="AD479" s="3617">
        <f t="shared" si="692"/>
        <v>0</v>
      </c>
      <c r="AE479" s="1661">
        <f>'Income Eligible Deemed Table'!BD1268</f>
        <v>52.401185027848364</v>
      </c>
      <c r="AF479" s="2453"/>
      <c r="AG479" s="2453"/>
      <c r="AH479" s="2453"/>
      <c r="AI479" s="684" t="str">
        <f>'Income Eligible Deemed Table'!L1268</f>
        <v>per measure</v>
      </c>
      <c r="AJ479" s="1930"/>
      <c r="AK479" s="1930"/>
      <c r="AL479" s="1930"/>
      <c r="AM479" s="1972">
        <f t="shared" si="726"/>
        <v>1.148238E-4</v>
      </c>
      <c r="AN479" s="1930">
        <f t="shared" si="687"/>
        <v>1.7448624648E-2</v>
      </c>
      <c r="AO479" s="1971">
        <f t="shared" si="686"/>
        <v>-3.7535199999896851E-7</v>
      </c>
    </row>
    <row r="480" spans="1:41" s="100" customFormat="1" x14ac:dyDescent="0.25">
      <c r="A480" s="103" t="str">
        <f t="shared" si="699"/>
        <v>405751</v>
      </c>
      <c r="B480" s="684" t="str">
        <f>'Income Eligible Deemed Table'!C1269</f>
        <v>405751_2020_12_</v>
      </c>
      <c r="C480" s="1962" t="str">
        <f>'Income Eligible Deemed Table'!G1269</f>
        <v>Miscellaneous RES</v>
      </c>
      <c r="D480" s="1962"/>
      <c r="E480" s="1962"/>
      <c r="F480" s="1962"/>
      <c r="G480" s="1962" t="str">
        <f>'Income Eligible Deemed Table'!E1269</f>
        <v>Advanced Tier 2 Power Strips / DI / Average</v>
      </c>
      <c r="H480" s="63" t="str">
        <f>'Income Eligible Deemed Table'!D1269</f>
        <v>SFIE / MFIE</v>
      </c>
      <c r="I480" s="2438">
        <f>'Income Eligible Deemed Table'!F1269</f>
        <v>153.9</v>
      </c>
      <c r="J480" s="2438"/>
      <c r="K480" s="2439"/>
      <c r="L480" s="2439"/>
      <c r="M480" s="2439"/>
      <c r="N480" s="2439"/>
      <c r="O480" s="2440">
        <f>'Income Eligible Deemed Table'!I1269</f>
        <v>1.7670999999999999E-2</v>
      </c>
      <c r="P480" s="2440"/>
      <c r="Q480" s="2441"/>
      <c r="R480" s="2441"/>
      <c r="S480" s="2441"/>
      <c r="T480" s="2441"/>
      <c r="U480" s="1926">
        <v>0</v>
      </c>
      <c r="V480" s="1926">
        <f t="shared" si="712"/>
        <v>1.7670999999999999E-2</v>
      </c>
      <c r="W480" s="1926">
        <v>0</v>
      </c>
      <c r="X480" s="68">
        <f>'Income Eligible Deemed Table'!J1269</f>
        <v>10</v>
      </c>
      <c r="Y480" s="68"/>
      <c r="Z480" s="68">
        <f t="shared" si="719"/>
        <v>10</v>
      </c>
      <c r="AA480" s="62">
        <f>'Income Eligible Deemed Table'!BB1269</f>
        <v>0.93713067552262896</v>
      </c>
      <c r="AB480" s="839">
        <f>'Income Eligible Deemed Table'!K1269</f>
        <v>60</v>
      </c>
      <c r="AC480" s="3617">
        <f t="shared" si="691"/>
        <v>53.070165673768507</v>
      </c>
      <c r="AD480" s="3617">
        <f t="shared" si="692"/>
        <v>0</v>
      </c>
      <c r="AE480" s="1661">
        <f>'Income Eligible Deemed Table'!BD1269</f>
        <v>53.070165673768507</v>
      </c>
      <c r="AF480" s="2453"/>
      <c r="AG480" s="2453"/>
      <c r="AH480" s="2453"/>
      <c r="AI480" s="684" t="str">
        <f>'Income Eligible Deemed Table'!L1269</f>
        <v>per measure</v>
      </c>
      <c r="AM480" s="2433">
        <f t="shared" si="726"/>
        <v>1.148238E-4</v>
      </c>
      <c r="AN480" s="100">
        <f t="shared" si="687"/>
        <v>1.7671382820000001E-2</v>
      </c>
      <c r="AO480" s="2437">
        <f t="shared" si="686"/>
        <v>3.828200000020876E-7</v>
      </c>
    </row>
    <row r="481" spans="1:41" x14ac:dyDescent="0.25">
      <c r="A481" s="103" t="str">
        <f t="shared" si="699"/>
        <v>405800</v>
      </c>
      <c r="B481" s="684" t="str">
        <f>'Income Eligible Deemed Table'!C1300</f>
        <v>405800_2019_12_</v>
      </c>
      <c r="C481" s="1962" t="str">
        <f>'Income Eligible Deemed Table'!G1300</f>
        <v>Refrigeration RES</v>
      </c>
      <c r="D481" s="1962" t="str">
        <f>'Income Eligible Deemed Table'!G1301</f>
        <v>Refrigeration RES ER2</v>
      </c>
      <c r="E481" s="1962"/>
      <c r="F481" s="1962"/>
      <c r="G481" s="1962" t="str">
        <f>'Income Eligible Deemed Table'!E1300</f>
        <v>Refrigerator - early replacement ER1</v>
      </c>
      <c r="H481" s="63" t="str">
        <f>'Income Eligible Deemed Table'!D1300</f>
        <v>SFIE / MFIE</v>
      </c>
      <c r="I481" s="2438">
        <f>'Income Eligible Deemed Table'!F1300</f>
        <v>564.66</v>
      </c>
      <c r="J481" s="2438">
        <f>'Income Eligible Deemed Table'!F1301</f>
        <v>46.72</v>
      </c>
      <c r="K481" s="2439"/>
      <c r="L481" s="2439"/>
      <c r="M481" s="2439"/>
      <c r="N481" s="2439"/>
      <c r="O481" s="2440">
        <f>'Income Eligible Deemed Table'!I1300</f>
        <v>7.2621000000000005E-2</v>
      </c>
      <c r="P481" s="2440">
        <f>'Income Eligible Deemed Table'!I1301</f>
        <v>6.0089999999999996E-3</v>
      </c>
      <c r="Q481" s="2441"/>
      <c r="R481" s="2441"/>
      <c r="S481" s="2441"/>
      <c r="T481" s="2441"/>
      <c r="U481" s="1819">
        <v>0</v>
      </c>
      <c r="V481" s="1821">
        <f>P481</f>
        <v>6.0089999999999996E-3</v>
      </c>
      <c r="W481" s="1819">
        <v>0</v>
      </c>
      <c r="X481" s="68">
        <f>'Income Eligible Deemed Table'!J1300</f>
        <v>6</v>
      </c>
      <c r="Y481" s="68">
        <f>'Income Eligible Deemed Table'!J1301</f>
        <v>11</v>
      </c>
      <c r="Z481" s="68">
        <f t="shared" si="719"/>
        <v>17</v>
      </c>
      <c r="AA481" s="62">
        <f>'Income Eligible Deemed Table'!BB1300</f>
        <v>0.18847747808723556</v>
      </c>
      <c r="AB481" s="839">
        <f>'Income Eligible Deemed Table'!K1300</f>
        <v>753</v>
      </c>
      <c r="AC481" s="3617">
        <f t="shared" si="691"/>
        <v>117.12499089042501</v>
      </c>
      <c r="AD481" s="3617">
        <f t="shared" si="692"/>
        <v>16.828327655765037</v>
      </c>
      <c r="AE481" s="1661">
        <f>'Income Eligible Deemed Table'!BD1300</f>
        <v>117.12499089042501</v>
      </c>
      <c r="AF481" s="2453"/>
      <c r="AG481" s="3623">
        <f>'Income Eligible Deemed Table'!BD1301</f>
        <v>16.828327655765037</v>
      </c>
      <c r="AH481" s="2453"/>
      <c r="AI481" s="684" t="str">
        <f>'Income Eligible Deemed Table'!L1300</f>
        <v>per measure</v>
      </c>
      <c r="AJ481" s="1930"/>
      <c r="AK481" s="1930"/>
      <c r="AL481" s="1930"/>
      <c r="AM481" s="1972">
        <f t="shared" si="726"/>
        <v>1.286107E-4</v>
      </c>
      <c r="AN481" s="1930">
        <f t="shared" ref="AN481:AN524" si="727">AM481*I481</f>
        <v>7.262131786199999E-2</v>
      </c>
      <c r="AO481" s="1971">
        <f t="shared" si="686"/>
        <v>3.1786199998495857E-7</v>
      </c>
    </row>
    <row r="482" spans="1:41" x14ac:dyDescent="0.25">
      <c r="A482" s="103" t="str">
        <f t="shared" si="699"/>
        <v>405825</v>
      </c>
      <c r="B482" s="684" t="str">
        <f>'Income Eligible Deemed Table'!C1302</f>
        <v>405825_2019_12_</v>
      </c>
      <c r="C482" s="1962" t="str">
        <f>'Income Eligible Deemed Table'!G1302</f>
        <v>Refrigeration RES</v>
      </c>
      <c r="D482" s="1962" t="str">
        <f>'Income Eligible Deemed Table'!G1303</f>
        <v>Refrigeration RES ER2</v>
      </c>
      <c r="E482" s="1962"/>
      <c r="F482" s="1962"/>
      <c r="G482" s="1962" t="str">
        <f>'Income Eligible Deemed Table'!E1302</f>
        <v>Refrigerator - Pre 1993 - ER1</v>
      </c>
      <c r="H482" s="63" t="str">
        <f>'Income Eligible Deemed Table'!D1302</f>
        <v>SFIE / MFIE</v>
      </c>
      <c r="I482" s="2438">
        <f>'Income Eligible Deemed Table'!F1302</f>
        <v>1269.9100000000001</v>
      </c>
      <c r="J482" s="2438">
        <f>'Income Eligible Deemed Table'!F1303</f>
        <v>46.72</v>
      </c>
      <c r="K482" s="2439"/>
      <c r="L482" s="2439"/>
      <c r="M482" s="2439"/>
      <c r="N482" s="2439"/>
      <c r="O482" s="2440">
        <f>'Income Eligible Deemed Table'!I1302</f>
        <v>0.163324</v>
      </c>
      <c r="P482" s="2440">
        <f>'Income Eligible Deemed Table'!I1303</f>
        <v>6.0089999999999996E-3</v>
      </c>
      <c r="Q482" s="2441"/>
      <c r="R482" s="2441"/>
      <c r="S482" s="2441"/>
      <c r="T482" s="2441"/>
      <c r="U482" s="1819">
        <v>0</v>
      </c>
      <c r="V482" s="1821">
        <f>P482</f>
        <v>6.0089999999999996E-3</v>
      </c>
      <c r="W482" s="1819">
        <v>0</v>
      </c>
      <c r="X482" s="68">
        <f>'Income Eligible Deemed Table'!J1302</f>
        <v>6</v>
      </c>
      <c r="Y482" s="68">
        <f>'Income Eligible Deemed Table'!J1303</f>
        <v>11</v>
      </c>
      <c r="Z482" s="68">
        <f t="shared" si="719"/>
        <v>17</v>
      </c>
      <c r="AA482" s="62">
        <f>'Income Eligible Deemed Table'!BB1302</f>
        <v>0.39430887713969415</v>
      </c>
      <c r="AB482" s="839">
        <f>'Income Eligible Deemed Table'!K1302</f>
        <v>753</v>
      </c>
      <c r="AC482" s="3617">
        <f t="shared" si="691"/>
        <v>263.41195973091709</v>
      </c>
      <c r="AD482" s="3617">
        <f t="shared" si="692"/>
        <v>16.828327655765037</v>
      </c>
      <c r="AE482" s="1661">
        <f>'Income Eligible Deemed Table'!BD1302</f>
        <v>263.41195973091709</v>
      </c>
      <c r="AF482" s="2453"/>
      <c r="AG482" s="3623">
        <f>'Income Eligible Deemed Table'!BD1303</f>
        <v>16.828327655765037</v>
      </c>
      <c r="AH482" s="2453"/>
      <c r="AI482" s="684" t="str">
        <f>'Income Eligible Deemed Table'!L1302</f>
        <v>per measure</v>
      </c>
      <c r="AJ482" s="1930"/>
      <c r="AK482" s="1930"/>
      <c r="AL482" s="1930"/>
      <c r="AM482" s="1972">
        <f t="shared" si="726"/>
        <v>1.286107E-4</v>
      </c>
      <c r="AN482" s="1930">
        <f t="shared" si="727"/>
        <v>0.163324014037</v>
      </c>
      <c r="AO482" s="1971">
        <f t="shared" si="686"/>
        <v>1.4037000006794642E-8</v>
      </c>
    </row>
    <row r="483" spans="1:41" x14ac:dyDescent="0.25">
      <c r="A483" s="103" t="str">
        <f t="shared" si="699"/>
        <v>405850</v>
      </c>
      <c r="B483" s="1960" t="str">
        <f>'Income Eligible Deemed Table'!C1335</f>
        <v>405850_2021_12_</v>
      </c>
      <c r="C483" s="1962" t="str">
        <f>'Income Eligible Deemed Table'!G1335</f>
        <v>Cooling RES</v>
      </c>
      <c r="D483" s="1962"/>
      <c r="E483" s="1962"/>
      <c r="F483" s="1962"/>
      <c r="G483" s="1962" t="str">
        <f>'Income Eligible Deemed Table'!E1335</f>
        <v>AC - Energy Star Room _unknown size_Thru-Wall_MF</v>
      </c>
      <c r="H483" s="63" t="str">
        <f>'Income Eligible Deemed Table'!D1335</f>
        <v>MFIE</v>
      </c>
      <c r="I483" s="2438">
        <f t="shared" ref="I483:I506" si="728">K483+L483</f>
        <v>190.46</v>
      </c>
      <c r="J483" s="2438">
        <f t="shared" ref="J483:J506" si="729">M483+N483</f>
        <v>0</v>
      </c>
      <c r="K483" s="2439">
        <f>'Income Eligible Deemed Table'!F1335</f>
        <v>190.46</v>
      </c>
      <c r="L483" s="2439"/>
      <c r="M483" s="2439"/>
      <c r="N483" s="2439"/>
      <c r="O483" s="2440">
        <f t="shared" ref="O483:O506" si="730">Q483+R483</f>
        <v>0.18044499999999999</v>
      </c>
      <c r="P483" s="2440">
        <f t="shared" ref="P483:P506" si="731">S483+T483</f>
        <v>0</v>
      </c>
      <c r="Q483" s="2441">
        <f>'Income Eligible Deemed Table'!I1335</f>
        <v>0.18044499999999999</v>
      </c>
      <c r="R483" s="2441"/>
      <c r="S483" s="2441"/>
      <c r="T483" s="2441"/>
      <c r="U483" s="1819">
        <f>O483</f>
        <v>0.18044499999999999</v>
      </c>
      <c r="V483" s="1819"/>
      <c r="W483" s="1819"/>
      <c r="X483" s="68">
        <f>'Income Eligible Deemed Table'!J1335</f>
        <v>9</v>
      </c>
      <c r="Y483" s="68"/>
      <c r="Z483" s="68">
        <f t="shared" si="719"/>
        <v>9</v>
      </c>
      <c r="AA483" s="62">
        <f>'Income Eligible Deemed Table'!BB1335</f>
        <v>9.2390711846412827</v>
      </c>
      <c r="AB483" s="839">
        <f>'Income Eligible Deemed Table'!K1335</f>
        <v>20</v>
      </c>
      <c r="AC483" s="3617">
        <f t="shared" si="691"/>
        <v>174.40436403286989</v>
      </c>
      <c r="AD483" s="3617">
        <f t="shared" si="692"/>
        <v>0</v>
      </c>
      <c r="AE483" s="1661">
        <f>'Income Eligible Deemed Table'!BD1335</f>
        <v>174.40436403286989</v>
      </c>
      <c r="AF483" s="2453"/>
      <c r="AG483" s="2453"/>
      <c r="AH483" s="2453"/>
      <c r="AI483" s="684" t="str">
        <f>'Income Eligible Deemed Table'!L1335</f>
        <v>per measure</v>
      </c>
      <c r="AJ483" s="1930"/>
      <c r="AK483" s="1930"/>
      <c r="AL483" s="1930"/>
      <c r="AM483" s="1972">
        <f t="shared" si="726"/>
        <v>9.4741810000000004E-4</v>
      </c>
      <c r="AN483" s="1930">
        <f t="shared" si="727"/>
        <v>0.18044525132600001</v>
      </c>
      <c r="AO483" s="1971">
        <f t="shared" si="686"/>
        <v>2.5132600001143146E-7</v>
      </c>
    </row>
    <row r="484" spans="1:41" x14ac:dyDescent="0.25">
      <c r="A484" s="103" t="str">
        <f t="shared" si="699"/>
        <v>405900</v>
      </c>
      <c r="B484" s="1960" t="str">
        <f>'Income Eligible Deemed Table'!C1336</f>
        <v>405900_2021_12_</v>
      </c>
      <c r="C484" s="1962" t="str">
        <f>'Income Eligible Deemed Table'!G1336</f>
        <v>Cooling RES</v>
      </c>
      <c r="D484" s="1962"/>
      <c r="E484" s="1962"/>
      <c r="F484" s="1962"/>
      <c r="G484" s="1962" t="str">
        <f>'Income Eligible Deemed Table'!E1336</f>
        <v>AC - Energy Star Room  _unknown size_Thru-Wall_SF</v>
      </c>
      <c r="H484" s="63" t="str">
        <f>'Income Eligible Deemed Table'!D1336</f>
        <v>SFIE</v>
      </c>
      <c r="I484" s="2438">
        <f t="shared" si="728"/>
        <v>75.040000000000006</v>
      </c>
      <c r="J484" s="2438">
        <f t="shared" si="729"/>
        <v>0</v>
      </c>
      <c r="K484" s="2439">
        <f>'Income Eligible Deemed Table'!F1336</f>
        <v>75.040000000000006</v>
      </c>
      <c r="L484" s="2439"/>
      <c r="M484" s="2439"/>
      <c r="N484" s="2439"/>
      <c r="O484" s="2440">
        <f t="shared" si="730"/>
        <v>7.1094000000000004E-2</v>
      </c>
      <c r="P484" s="2440">
        <f t="shared" si="731"/>
        <v>0</v>
      </c>
      <c r="Q484" s="2441">
        <f>'Income Eligible Deemed Table'!I1336</f>
        <v>7.1094000000000004E-2</v>
      </c>
      <c r="R484" s="2441"/>
      <c r="S484" s="2441"/>
      <c r="T484" s="2441"/>
      <c r="U484" s="1819">
        <f t="shared" ref="U484:U527" si="732">O484</f>
        <v>7.1094000000000004E-2</v>
      </c>
      <c r="V484" s="1819"/>
      <c r="W484" s="1819"/>
      <c r="X484" s="68">
        <f>'Income Eligible Deemed Table'!J1336</f>
        <v>9</v>
      </c>
      <c r="Y484" s="68"/>
      <c r="Z484" s="68">
        <f t="shared" ref="Z484:Z568" si="733">Y484+X484</f>
        <v>9</v>
      </c>
      <c r="AA484" s="62">
        <f>'Income Eligible Deemed Table'!BB1336</f>
        <v>3.6401338952823794</v>
      </c>
      <c r="AB484" s="839">
        <f>'Income Eligible Deemed Table'!K1336</f>
        <v>20</v>
      </c>
      <c r="AC484" s="3617">
        <f t="shared" si="691"/>
        <v>68.714183960026034</v>
      </c>
      <c r="AD484" s="3617">
        <f t="shared" si="692"/>
        <v>0</v>
      </c>
      <c r="AE484" s="1661">
        <f>'Income Eligible Deemed Table'!BD1336</f>
        <v>68.714183960026034</v>
      </c>
      <c r="AF484" s="2453"/>
      <c r="AG484" s="2453"/>
      <c r="AH484" s="2453"/>
      <c r="AI484" s="684" t="str">
        <f>'Income Eligible Deemed Table'!L1336</f>
        <v>per measure</v>
      </c>
      <c r="AJ484" s="1930"/>
      <c r="AK484" s="1930"/>
      <c r="AL484" s="1930"/>
      <c r="AM484" s="1972">
        <f t="shared" si="726"/>
        <v>9.4741810000000004E-4</v>
      </c>
      <c r="AN484" s="1930">
        <f t="shared" si="727"/>
        <v>7.1094254224000009E-2</v>
      </c>
      <c r="AO484" s="1971">
        <f t="shared" si="686"/>
        <v>2.5422400000418843E-7</v>
      </c>
    </row>
    <row r="485" spans="1:41" x14ac:dyDescent="0.25">
      <c r="A485" s="103" t="str">
        <f t="shared" si="699"/>
        <v>405950</v>
      </c>
      <c r="B485" s="1960" t="str">
        <f>'Income Eligible Deemed Table'!C1337</f>
        <v>405950_2021_12_</v>
      </c>
      <c r="C485" s="1962" t="str">
        <f>'Income Eligible Deemed Table'!G1337</f>
        <v>Cooling RES</v>
      </c>
      <c r="D485" s="1962"/>
      <c r="E485" s="1962"/>
      <c r="F485" s="1962"/>
      <c r="G485" s="1962" t="str">
        <f>'Income Eligible Deemed Table'!E1337</f>
        <v>AC - Energy Star Room _unknown size_MF</v>
      </c>
      <c r="H485" s="63" t="str">
        <f>'Income Eligible Deemed Table'!D1337</f>
        <v>MFIE</v>
      </c>
      <c r="I485" s="2438">
        <f t="shared" si="728"/>
        <v>190.46</v>
      </c>
      <c r="J485" s="2438">
        <f t="shared" si="729"/>
        <v>0</v>
      </c>
      <c r="K485" s="2439">
        <f>'Income Eligible Deemed Table'!F1337</f>
        <v>190.46</v>
      </c>
      <c r="L485" s="2439"/>
      <c r="M485" s="2439"/>
      <c r="N485" s="2439"/>
      <c r="O485" s="2440">
        <f t="shared" si="730"/>
        <v>0.18044499999999999</v>
      </c>
      <c r="P485" s="2440">
        <f t="shared" si="731"/>
        <v>0</v>
      </c>
      <c r="Q485" s="2441">
        <f>'Income Eligible Deemed Table'!I1337</f>
        <v>0.18044499999999999</v>
      </c>
      <c r="R485" s="2441"/>
      <c r="S485" s="2441"/>
      <c r="T485" s="2441"/>
      <c r="U485" s="1819">
        <f t="shared" si="732"/>
        <v>0.18044499999999999</v>
      </c>
      <c r="V485" s="1819"/>
      <c r="W485" s="1819"/>
      <c r="X485" s="68">
        <f>'Income Eligible Deemed Table'!J1337</f>
        <v>9</v>
      </c>
      <c r="Y485" s="68"/>
      <c r="Z485" s="68">
        <f t="shared" si="733"/>
        <v>9</v>
      </c>
      <c r="AA485" s="62">
        <f>'Income Eligible Deemed Table'!BB1337</f>
        <v>9.2390711846412827</v>
      </c>
      <c r="AB485" s="839">
        <f>'Income Eligible Deemed Table'!K1337</f>
        <v>20</v>
      </c>
      <c r="AC485" s="3617">
        <f t="shared" si="691"/>
        <v>174.40436403286989</v>
      </c>
      <c r="AD485" s="3617">
        <f t="shared" si="692"/>
        <v>0</v>
      </c>
      <c r="AE485" s="1661">
        <f>'Income Eligible Deemed Table'!BD1337</f>
        <v>174.40436403286989</v>
      </c>
      <c r="AF485" s="2453"/>
      <c r="AG485" s="2453"/>
      <c r="AH485" s="2453"/>
      <c r="AI485" s="684" t="str">
        <f>'Income Eligible Deemed Table'!L1337</f>
        <v>per measure</v>
      </c>
      <c r="AJ485" s="1930"/>
      <c r="AK485" s="1930"/>
      <c r="AL485" s="1930"/>
      <c r="AM485" s="1972">
        <f t="shared" si="726"/>
        <v>9.4741810000000004E-4</v>
      </c>
      <c r="AN485" s="1930">
        <f t="shared" si="727"/>
        <v>0.18044525132600001</v>
      </c>
      <c r="AO485" s="1971">
        <f t="shared" si="686"/>
        <v>2.5132600001143146E-7</v>
      </c>
    </row>
    <row r="486" spans="1:41" x14ac:dyDescent="0.25">
      <c r="A486" s="103" t="str">
        <f t="shared" si="699"/>
        <v>406000</v>
      </c>
      <c r="B486" s="1960" t="str">
        <f>'Income Eligible Deemed Table'!C1338</f>
        <v>406000_2021_12_</v>
      </c>
      <c r="C486" s="1962" t="str">
        <f>'Income Eligible Deemed Table'!G1338</f>
        <v>Cooling RES</v>
      </c>
      <c r="D486" s="1962"/>
      <c r="E486" s="1962"/>
      <c r="F486" s="1962"/>
      <c r="G486" s="1962" t="str">
        <f>'Income Eligible Deemed Table'!E1338</f>
        <v>AC - Energy Star Room _unknown size_SF</v>
      </c>
      <c r="H486" s="63" t="str">
        <f>'Income Eligible Deemed Table'!D1338</f>
        <v>SFIE</v>
      </c>
      <c r="I486" s="2438">
        <f t="shared" si="728"/>
        <v>75.040000000000006</v>
      </c>
      <c r="J486" s="2438">
        <f t="shared" si="729"/>
        <v>0</v>
      </c>
      <c r="K486" s="2439">
        <f>'Income Eligible Deemed Table'!F1338</f>
        <v>75.040000000000006</v>
      </c>
      <c r="L486" s="2439"/>
      <c r="M486" s="2439"/>
      <c r="N486" s="2439"/>
      <c r="O486" s="2440">
        <f t="shared" si="730"/>
        <v>7.1094000000000004E-2</v>
      </c>
      <c r="P486" s="2440">
        <f t="shared" si="731"/>
        <v>0</v>
      </c>
      <c r="Q486" s="2441">
        <f>'Income Eligible Deemed Table'!I1338</f>
        <v>7.1094000000000004E-2</v>
      </c>
      <c r="R486" s="2441"/>
      <c r="S486" s="2441"/>
      <c r="T486" s="2441"/>
      <c r="U486" s="1819">
        <f t="shared" si="732"/>
        <v>7.1094000000000004E-2</v>
      </c>
      <c r="V486" s="1819"/>
      <c r="W486" s="1819"/>
      <c r="X486" s="68">
        <f>'Income Eligible Deemed Table'!J1338</f>
        <v>9</v>
      </c>
      <c r="Y486" s="68"/>
      <c r="Z486" s="68">
        <f t="shared" si="733"/>
        <v>9</v>
      </c>
      <c r="AA486" s="62">
        <f>'Income Eligible Deemed Table'!BB1338</f>
        <v>3.6401338952823794</v>
      </c>
      <c r="AB486" s="839">
        <f>'Income Eligible Deemed Table'!K1338</f>
        <v>20</v>
      </c>
      <c r="AC486" s="3617">
        <f t="shared" si="691"/>
        <v>68.714183960026034</v>
      </c>
      <c r="AD486" s="3617">
        <f t="shared" si="692"/>
        <v>0</v>
      </c>
      <c r="AE486" s="1661">
        <f>'Income Eligible Deemed Table'!BD1338</f>
        <v>68.714183960026034</v>
      </c>
      <c r="AF486" s="2453"/>
      <c r="AG486" s="2453"/>
      <c r="AH486" s="2453"/>
      <c r="AI486" s="684" t="str">
        <f>'Income Eligible Deemed Table'!L1338</f>
        <v>per measure</v>
      </c>
      <c r="AJ486" s="1930"/>
      <c r="AK486" s="1930"/>
      <c r="AL486" s="1930"/>
      <c r="AM486" s="1972">
        <f t="shared" si="726"/>
        <v>9.4741810000000004E-4</v>
      </c>
      <c r="AN486" s="1930">
        <f t="shared" si="727"/>
        <v>7.1094254224000009E-2</v>
      </c>
      <c r="AO486" s="1971">
        <f t="shared" si="686"/>
        <v>2.5422400000418843E-7</v>
      </c>
    </row>
    <row r="487" spans="1:41" x14ac:dyDescent="0.25">
      <c r="A487" s="103" t="str">
        <f t="shared" si="699"/>
        <v>405851</v>
      </c>
      <c r="B487" s="1960" t="str">
        <f>'Income Eligible Deemed Table'!C1339</f>
        <v>405851_2021_12_</v>
      </c>
      <c r="C487" s="1962" t="str">
        <f>'Income Eligible Deemed Table'!G1339</f>
        <v>Cooling RES</v>
      </c>
      <c r="D487" s="1962"/>
      <c r="E487" s="1962"/>
      <c r="F487" s="1962"/>
      <c r="G487" s="1962" t="str">
        <f>'Income Eligible Deemed Table'!E1339</f>
        <v>AC - Energy Star Room _5kBtu_Thru-Wall_MF</v>
      </c>
      <c r="H487" s="63" t="str">
        <f>'Income Eligible Deemed Table'!D1339</f>
        <v>MFIE</v>
      </c>
      <c r="I487" s="2438">
        <f t="shared" si="728"/>
        <v>81.08</v>
      </c>
      <c r="J487" s="2438">
        <f t="shared" si="729"/>
        <v>0</v>
      </c>
      <c r="K487" s="2439">
        <f>'Income Eligible Deemed Table'!F1339</f>
        <v>81.08</v>
      </c>
      <c r="L487" s="2439"/>
      <c r="M487" s="2439"/>
      <c r="N487" s="2439"/>
      <c r="O487" s="2440">
        <f t="shared" si="730"/>
        <v>7.6816999999999996E-2</v>
      </c>
      <c r="P487" s="2440">
        <f t="shared" si="731"/>
        <v>0</v>
      </c>
      <c r="Q487" s="2441">
        <f>'Income Eligible Deemed Table'!I1339</f>
        <v>7.6816999999999996E-2</v>
      </c>
      <c r="R487" s="2441"/>
      <c r="S487" s="2441"/>
      <c r="T487" s="2441"/>
      <c r="U487" s="1819">
        <f t="shared" si="732"/>
        <v>7.6816999999999996E-2</v>
      </c>
      <c r="V487" s="1819"/>
      <c r="W487" s="1819"/>
      <c r="X487" s="68">
        <f>'Income Eligible Deemed Table'!J1339</f>
        <v>9</v>
      </c>
      <c r="Y487" s="68"/>
      <c r="Z487" s="68">
        <f t="shared" si="733"/>
        <v>9</v>
      </c>
      <c r="AA487" s="62">
        <f>'Income Eligible Deemed Table'!BB1339</f>
        <v>3.9331297471947666</v>
      </c>
      <c r="AB487" s="839">
        <f>'Income Eligible Deemed Table'!K1339</f>
        <v>20</v>
      </c>
      <c r="AC487" s="3617">
        <f t="shared" si="691"/>
        <v>74.245016464271188</v>
      </c>
      <c r="AD487" s="3617">
        <f t="shared" si="692"/>
        <v>0</v>
      </c>
      <c r="AE487" s="1661">
        <f>'Income Eligible Deemed Table'!BD1339</f>
        <v>74.245016464271188</v>
      </c>
      <c r="AF487" s="2453"/>
      <c r="AG487" s="2453"/>
      <c r="AH487" s="2453"/>
      <c r="AI487" s="684" t="str">
        <f>'Income Eligible Deemed Table'!L1339</f>
        <v>per measure</v>
      </c>
      <c r="AJ487" s="1930"/>
      <c r="AK487" s="1930"/>
      <c r="AL487" s="1930"/>
      <c r="AM487" s="1972">
        <f t="shared" si="726"/>
        <v>9.4741810000000004E-4</v>
      </c>
      <c r="AN487" s="1930">
        <f t="shared" si="727"/>
        <v>7.6816659548000002E-2</v>
      </c>
      <c r="AO487" s="1971">
        <f t="shared" si="686"/>
        <v>-3.4045199999443998E-7</v>
      </c>
    </row>
    <row r="488" spans="1:41" x14ac:dyDescent="0.25">
      <c r="A488" s="103" t="str">
        <f t="shared" si="699"/>
        <v>405901</v>
      </c>
      <c r="B488" s="1960" t="str">
        <f>'Income Eligible Deemed Table'!C1340</f>
        <v>405901_2021_12_</v>
      </c>
      <c r="C488" s="1962" t="str">
        <f>'Income Eligible Deemed Table'!G1340</f>
        <v>Cooling RES</v>
      </c>
      <c r="D488" s="1962"/>
      <c r="E488" s="1962"/>
      <c r="F488" s="1962"/>
      <c r="G488" s="1962" t="str">
        <f>'Income Eligible Deemed Table'!E1340</f>
        <v>AC - Energy Star Room _5kBtu _Thru-Wall_SF</v>
      </c>
      <c r="H488" s="63" t="str">
        <f>'Income Eligible Deemed Table'!D1340</f>
        <v>SFIE</v>
      </c>
      <c r="I488" s="2438">
        <f t="shared" si="728"/>
        <v>36.35</v>
      </c>
      <c r="J488" s="2438">
        <f t="shared" si="729"/>
        <v>0</v>
      </c>
      <c r="K488" s="2439">
        <f>'Income Eligible Deemed Table'!F1340</f>
        <v>36.35</v>
      </c>
      <c r="L488" s="2439"/>
      <c r="M488" s="2439"/>
      <c r="N488" s="2439"/>
      <c r="O488" s="2440">
        <f t="shared" si="730"/>
        <v>3.4438999999999997E-2</v>
      </c>
      <c r="P488" s="2440">
        <f t="shared" si="731"/>
        <v>0</v>
      </c>
      <c r="Q488" s="2441">
        <f>'Income Eligible Deemed Table'!I1340</f>
        <v>3.4438999999999997E-2</v>
      </c>
      <c r="R488" s="2441"/>
      <c r="S488" s="2441"/>
      <c r="T488" s="2441"/>
      <c r="U488" s="1819">
        <f t="shared" si="732"/>
        <v>3.4438999999999997E-2</v>
      </c>
      <c r="V488" s="1819"/>
      <c r="W488" s="1819"/>
      <c r="X488" s="68">
        <f>'Income Eligible Deemed Table'!J1340</f>
        <v>9</v>
      </c>
      <c r="Y488" s="68"/>
      <c r="Z488" s="68">
        <f t="shared" si="733"/>
        <v>9</v>
      </c>
      <c r="AA488" s="62">
        <f>'Income Eligible Deemed Table'!BB1340</f>
        <v>1.7633111286449159</v>
      </c>
      <c r="AB488" s="839">
        <f>'Income Eligible Deemed Table'!K1340</f>
        <v>20</v>
      </c>
      <c r="AC488" s="3617">
        <f t="shared" si="691"/>
        <v>33.285722107501947</v>
      </c>
      <c r="AD488" s="3617">
        <f t="shared" si="692"/>
        <v>0</v>
      </c>
      <c r="AE488" s="1661">
        <f>'Income Eligible Deemed Table'!BD1340</f>
        <v>33.285722107501947</v>
      </c>
      <c r="AF488" s="2453"/>
      <c r="AG488" s="2453"/>
      <c r="AH488" s="2453"/>
      <c r="AI488" s="684" t="str">
        <f>'Income Eligible Deemed Table'!L1340</f>
        <v>per measure</v>
      </c>
      <c r="AJ488" s="1930"/>
      <c r="AK488" s="1930"/>
      <c r="AL488" s="1930"/>
      <c r="AM488" s="1972">
        <f t="shared" si="726"/>
        <v>9.4741810000000004E-4</v>
      </c>
      <c r="AN488" s="1930">
        <f t="shared" si="727"/>
        <v>3.4438647935000004E-2</v>
      </c>
      <c r="AO488" s="1971">
        <f t="shared" si="686"/>
        <v>-3.5206499999357321E-7</v>
      </c>
    </row>
    <row r="489" spans="1:41" x14ac:dyDescent="0.25">
      <c r="A489" s="103" t="str">
        <f t="shared" si="699"/>
        <v>405951</v>
      </c>
      <c r="B489" s="1960" t="str">
        <f>'Income Eligible Deemed Table'!C1341</f>
        <v>405951_2021_12_</v>
      </c>
      <c r="C489" s="1962" t="str">
        <f>'Income Eligible Deemed Table'!G1341</f>
        <v>Cooling RES</v>
      </c>
      <c r="D489" s="1962"/>
      <c r="E489" s="1962"/>
      <c r="F489" s="1962"/>
      <c r="G489" s="1962" t="str">
        <f>'Income Eligible Deemed Table'!E1341</f>
        <v>AC - Energy Star Room_5kBtu_MF</v>
      </c>
      <c r="H489" s="63" t="str">
        <f>'Income Eligible Deemed Table'!D1341</f>
        <v>MFIE</v>
      </c>
      <c r="I489" s="2438">
        <f t="shared" si="728"/>
        <v>81.08</v>
      </c>
      <c r="J489" s="2438">
        <f t="shared" si="729"/>
        <v>0</v>
      </c>
      <c r="K489" s="2439">
        <f>'Income Eligible Deemed Table'!F1341</f>
        <v>81.08</v>
      </c>
      <c r="L489" s="2439"/>
      <c r="M489" s="2439"/>
      <c r="N489" s="2439"/>
      <c r="O489" s="2440">
        <f t="shared" si="730"/>
        <v>7.6816999999999996E-2</v>
      </c>
      <c r="P489" s="2440">
        <f t="shared" si="731"/>
        <v>0</v>
      </c>
      <c r="Q489" s="2441">
        <f>'Income Eligible Deemed Table'!I1341</f>
        <v>7.6816999999999996E-2</v>
      </c>
      <c r="R489" s="2441"/>
      <c r="S489" s="2441"/>
      <c r="T489" s="2441"/>
      <c r="U489" s="1819">
        <f t="shared" si="732"/>
        <v>7.6816999999999996E-2</v>
      </c>
      <c r="V489" s="1819"/>
      <c r="W489" s="1819"/>
      <c r="X489" s="68">
        <f>'Income Eligible Deemed Table'!J1341</f>
        <v>9</v>
      </c>
      <c r="Y489" s="68"/>
      <c r="Z489" s="68">
        <f t="shared" si="733"/>
        <v>9</v>
      </c>
      <c r="AA489" s="62">
        <f>'Income Eligible Deemed Table'!BB1341</f>
        <v>3.9331297471947666</v>
      </c>
      <c r="AB489" s="839">
        <f>'Income Eligible Deemed Table'!K1341</f>
        <v>20</v>
      </c>
      <c r="AC489" s="3617">
        <f t="shared" si="691"/>
        <v>74.245016464271188</v>
      </c>
      <c r="AD489" s="3617">
        <f t="shared" si="692"/>
        <v>0</v>
      </c>
      <c r="AE489" s="1661">
        <f>'Income Eligible Deemed Table'!BD1341</f>
        <v>74.245016464271188</v>
      </c>
      <c r="AF489" s="2453"/>
      <c r="AG489" s="2453"/>
      <c r="AH489" s="2453"/>
      <c r="AI489" s="684" t="str">
        <f>'Income Eligible Deemed Table'!L1341</f>
        <v>per measure</v>
      </c>
      <c r="AJ489" s="1930"/>
      <c r="AK489" s="1930"/>
      <c r="AL489" s="1930"/>
      <c r="AM489" s="1972">
        <f t="shared" si="726"/>
        <v>9.4741810000000004E-4</v>
      </c>
      <c r="AN489" s="1930">
        <f t="shared" si="727"/>
        <v>7.6816659548000002E-2</v>
      </c>
      <c r="AO489" s="1971">
        <f t="shared" si="686"/>
        <v>-3.4045199999443998E-7</v>
      </c>
    </row>
    <row r="490" spans="1:41" x14ac:dyDescent="0.25">
      <c r="A490" s="103" t="str">
        <f t="shared" si="699"/>
        <v>406001</v>
      </c>
      <c r="B490" s="1960" t="str">
        <f>'Income Eligible Deemed Table'!C1342</f>
        <v>406001_2021_12_</v>
      </c>
      <c r="C490" s="1962" t="str">
        <f>'Income Eligible Deemed Table'!G1342</f>
        <v>Cooling RES</v>
      </c>
      <c r="D490" s="1962"/>
      <c r="E490" s="1962"/>
      <c r="F490" s="1962"/>
      <c r="G490" s="1962" t="str">
        <f>'Income Eligible Deemed Table'!E1342</f>
        <v>AC - Energy Star Room_5kBtu_SF</v>
      </c>
      <c r="H490" s="63" t="str">
        <f>'Income Eligible Deemed Table'!D1342</f>
        <v>SFIE</v>
      </c>
      <c r="I490" s="2438">
        <f t="shared" si="728"/>
        <v>36.35</v>
      </c>
      <c r="J490" s="2438">
        <f t="shared" si="729"/>
        <v>0</v>
      </c>
      <c r="K490" s="2439">
        <f>'Income Eligible Deemed Table'!F1342</f>
        <v>36.35</v>
      </c>
      <c r="L490" s="2439"/>
      <c r="M490" s="2439"/>
      <c r="N490" s="2439"/>
      <c r="O490" s="2440">
        <f t="shared" si="730"/>
        <v>3.4438999999999997E-2</v>
      </c>
      <c r="P490" s="2440">
        <f t="shared" si="731"/>
        <v>0</v>
      </c>
      <c r="Q490" s="2441">
        <f>'Income Eligible Deemed Table'!I1342</f>
        <v>3.4438999999999997E-2</v>
      </c>
      <c r="R490" s="2441"/>
      <c r="S490" s="2441"/>
      <c r="T490" s="2441"/>
      <c r="U490" s="1819">
        <f t="shared" si="732"/>
        <v>3.4438999999999997E-2</v>
      </c>
      <c r="V490" s="1819"/>
      <c r="W490" s="1819"/>
      <c r="X490" s="68">
        <f>'Income Eligible Deemed Table'!J1342</f>
        <v>9</v>
      </c>
      <c r="Y490" s="68"/>
      <c r="Z490" s="68">
        <f t="shared" si="733"/>
        <v>9</v>
      </c>
      <c r="AA490" s="62">
        <f>'Income Eligible Deemed Table'!BB1342</f>
        <v>1.7633111286449159</v>
      </c>
      <c r="AB490" s="839">
        <f>'Income Eligible Deemed Table'!K1342</f>
        <v>20</v>
      </c>
      <c r="AC490" s="3617">
        <f t="shared" si="691"/>
        <v>33.285722107501947</v>
      </c>
      <c r="AD490" s="3617">
        <f t="shared" si="692"/>
        <v>0</v>
      </c>
      <c r="AE490" s="1661">
        <f>'Income Eligible Deemed Table'!BD1342</f>
        <v>33.285722107501947</v>
      </c>
      <c r="AF490" s="2453"/>
      <c r="AG490" s="2453"/>
      <c r="AH490" s="2453"/>
      <c r="AI490" s="684" t="str">
        <f>'Income Eligible Deemed Table'!L1342</f>
        <v>per measure</v>
      </c>
      <c r="AJ490" s="1930"/>
      <c r="AK490" s="1930"/>
      <c r="AL490" s="1930"/>
      <c r="AM490" s="1972">
        <f t="shared" si="726"/>
        <v>9.4741810000000004E-4</v>
      </c>
      <c r="AN490" s="1930">
        <f t="shared" si="727"/>
        <v>3.4438647935000004E-2</v>
      </c>
      <c r="AO490" s="1971">
        <f t="shared" si="686"/>
        <v>-3.5206499999357321E-7</v>
      </c>
    </row>
    <row r="491" spans="1:41" x14ac:dyDescent="0.25">
      <c r="A491" s="103" t="str">
        <f t="shared" si="699"/>
        <v>405852</v>
      </c>
      <c r="B491" s="1960" t="str">
        <f>'Income Eligible Deemed Table'!C1343</f>
        <v>405852_2021_12_</v>
      </c>
      <c r="C491" s="1962" t="str">
        <f>'Income Eligible Deemed Table'!G1343</f>
        <v>Cooling RES</v>
      </c>
      <c r="D491" s="1962"/>
      <c r="E491" s="1962"/>
      <c r="F491" s="1962"/>
      <c r="G491" s="1962" t="str">
        <f>'Income Eligible Deemed Table'!E1343</f>
        <v>AC - Energy Star Room _8kBtu_Thru-Wall_MF</v>
      </c>
      <c r="H491" s="63" t="str">
        <f>'Income Eligible Deemed Table'!D1343</f>
        <v>MFIE</v>
      </c>
      <c r="I491" s="2438">
        <f t="shared" si="728"/>
        <v>129.72999999999999</v>
      </c>
      <c r="J491" s="2438">
        <f t="shared" si="729"/>
        <v>0</v>
      </c>
      <c r="K491" s="2439">
        <f>'Income Eligible Deemed Table'!F1343</f>
        <v>129.72999999999999</v>
      </c>
      <c r="L491" s="2439"/>
      <c r="M491" s="2439"/>
      <c r="N491" s="2439"/>
      <c r="O491" s="2440">
        <f t="shared" si="730"/>
        <v>0.122909</v>
      </c>
      <c r="P491" s="2440">
        <f t="shared" si="731"/>
        <v>0</v>
      </c>
      <c r="Q491" s="2441">
        <f>'Income Eligible Deemed Table'!I1343</f>
        <v>0.122909</v>
      </c>
      <c r="R491" s="2441"/>
      <c r="S491" s="2441"/>
      <c r="T491" s="2441"/>
      <c r="U491" s="1819">
        <f t="shared" si="732"/>
        <v>0.122909</v>
      </c>
      <c r="V491" s="1819"/>
      <c r="W491" s="1819"/>
      <c r="X491" s="68">
        <f>'Income Eligible Deemed Table'!J1343</f>
        <v>9</v>
      </c>
      <c r="Y491" s="68"/>
      <c r="Z491" s="68">
        <f t="shared" si="733"/>
        <v>9</v>
      </c>
      <c r="AA491" s="62">
        <f>'Income Eligible Deemed Table'!BB1343</f>
        <v>6.293104614005637</v>
      </c>
      <c r="AB491" s="839">
        <f>'Income Eligible Deemed Table'!K1343</f>
        <v>20</v>
      </c>
      <c r="AC491" s="3617">
        <f t="shared" si="691"/>
        <v>118.79385774432536</v>
      </c>
      <c r="AD491" s="3617">
        <f t="shared" si="692"/>
        <v>0</v>
      </c>
      <c r="AE491" s="1661">
        <f>'Income Eligible Deemed Table'!BD1343</f>
        <v>118.79385774432536</v>
      </c>
      <c r="AF491" s="2453"/>
      <c r="AG491" s="2453"/>
      <c r="AH491" s="2453"/>
      <c r="AI491" s="684" t="str">
        <f>'Income Eligible Deemed Table'!L1343</f>
        <v>per measure</v>
      </c>
      <c r="AJ491" s="1930"/>
      <c r="AK491" s="1930"/>
      <c r="AL491" s="1930"/>
      <c r="AM491" s="1972">
        <f t="shared" si="726"/>
        <v>9.4741810000000004E-4</v>
      </c>
      <c r="AN491" s="1930">
        <f t="shared" si="727"/>
        <v>0.12290855011299999</v>
      </c>
      <c r="AO491" s="1971">
        <f t="shared" si="686"/>
        <v>-4.4988700001469262E-7</v>
      </c>
    </row>
    <row r="492" spans="1:41" x14ac:dyDescent="0.25">
      <c r="A492" s="103" t="str">
        <f t="shared" si="699"/>
        <v>405902</v>
      </c>
      <c r="B492" s="1960" t="str">
        <f>'Income Eligible Deemed Table'!C1344</f>
        <v>405902_2021_12_</v>
      </c>
      <c r="C492" s="1962" t="str">
        <f>'Income Eligible Deemed Table'!G1344</f>
        <v>Cooling RES</v>
      </c>
      <c r="D492" s="1962"/>
      <c r="E492" s="1962"/>
      <c r="F492" s="1962"/>
      <c r="G492" s="1962" t="str">
        <f>'Income Eligible Deemed Table'!E1344</f>
        <v>AC - Energy Star Room _8kBtu_Thru-Wall_SF</v>
      </c>
      <c r="H492" s="63" t="str">
        <f>'Income Eligible Deemed Table'!D1344</f>
        <v>SFIE</v>
      </c>
      <c r="I492" s="2438">
        <f t="shared" si="728"/>
        <v>58.16</v>
      </c>
      <c r="J492" s="2438">
        <f t="shared" si="729"/>
        <v>0</v>
      </c>
      <c r="K492" s="2439">
        <f>'Income Eligible Deemed Table'!F1344</f>
        <v>58.16</v>
      </c>
      <c r="L492" s="2439"/>
      <c r="M492" s="2439"/>
      <c r="N492" s="2439"/>
      <c r="O492" s="2440">
        <f t="shared" si="730"/>
        <v>5.5101999999999998E-2</v>
      </c>
      <c r="P492" s="2440">
        <f t="shared" si="731"/>
        <v>0</v>
      </c>
      <c r="Q492" s="2441">
        <f>'Income Eligible Deemed Table'!I1344</f>
        <v>5.5101999999999998E-2</v>
      </c>
      <c r="R492" s="2441"/>
      <c r="S492" s="2441"/>
      <c r="T492" s="2441"/>
      <c r="U492" s="1819">
        <f t="shared" si="732"/>
        <v>5.5101999999999998E-2</v>
      </c>
      <c r="V492" s="1819"/>
      <c r="W492" s="1819"/>
      <c r="X492" s="68">
        <f>'Income Eligible Deemed Table'!J1344</f>
        <v>9</v>
      </c>
      <c r="Y492" s="68"/>
      <c r="Z492" s="68">
        <f t="shared" si="733"/>
        <v>9</v>
      </c>
      <c r="AA492" s="62">
        <f>'Income Eligible Deemed Table'!BB1344</f>
        <v>2.8212978058318652</v>
      </c>
      <c r="AB492" s="839">
        <f>'Income Eligible Deemed Table'!K1344</f>
        <v>20</v>
      </c>
      <c r="AC492" s="3617">
        <f t="shared" si="691"/>
        <v>53.257155372003112</v>
      </c>
      <c r="AD492" s="3617">
        <f t="shared" si="692"/>
        <v>0</v>
      </c>
      <c r="AE492" s="1661">
        <f>'Income Eligible Deemed Table'!BD1344</f>
        <v>53.257155372003112</v>
      </c>
      <c r="AF492" s="2453"/>
      <c r="AG492" s="2453"/>
      <c r="AH492" s="2453"/>
      <c r="AI492" s="684" t="str">
        <f>'Income Eligible Deemed Table'!L1344</f>
        <v>per measure</v>
      </c>
      <c r="AJ492" s="1930"/>
      <c r="AK492" s="1930"/>
      <c r="AL492" s="1930"/>
      <c r="AM492" s="1972">
        <f t="shared" si="726"/>
        <v>9.4741810000000004E-4</v>
      </c>
      <c r="AN492" s="1930">
        <f t="shared" si="727"/>
        <v>5.5101836696000002E-2</v>
      </c>
      <c r="AO492" s="1971">
        <f t="shared" si="686"/>
        <v>-1.63303999996256E-7</v>
      </c>
    </row>
    <row r="493" spans="1:41" x14ac:dyDescent="0.25">
      <c r="A493" s="103" t="str">
        <f t="shared" si="699"/>
        <v>405952</v>
      </c>
      <c r="B493" s="1960" t="str">
        <f>'Income Eligible Deemed Table'!C1345</f>
        <v>405952_2021_12_</v>
      </c>
      <c r="C493" s="1962" t="str">
        <f>'Income Eligible Deemed Table'!G1345</f>
        <v>Cooling RES</v>
      </c>
      <c r="D493" s="1962"/>
      <c r="E493" s="1962"/>
      <c r="F493" s="1962"/>
      <c r="G493" s="1962" t="str">
        <f>'Income Eligible Deemed Table'!E1345</f>
        <v>AC - Energy Star Room_8kBtu_MF</v>
      </c>
      <c r="H493" s="63" t="str">
        <f>'Income Eligible Deemed Table'!D1345</f>
        <v>MFIE</v>
      </c>
      <c r="I493" s="2438">
        <f t="shared" si="728"/>
        <v>129.72999999999999</v>
      </c>
      <c r="J493" s="2438">
        <f t="shared" si="729"/>
        <v>0</v>
      </c>
      <c r="K493" s="2439">
        <f>'Income Eligible Deemed Table'!F1345</f>
        <v>129.72999999999999</v>
      </c>
      <c r="L493" s="2439"/>
      <c r="M493" s="2439"/>
      <c r="N493" s="2439"/>
      <c r="O493" s="2440">
        <f t="shared" si="730"/>
        <v>0.122909</v>
      </c>
      <c r="P493" s="2440">
        <f t="shared" si="731"/>
        <v>0</v>
      </c>
      <c r="Q493" s="2441">
        <f>'Income Eligible Deemed Table'!I1345</f>
        <v>0.122909</v>
      </c>
      <c r="R493" s="2441"/>
      <c r="S493" s="2441"/>
      <c r="T493" s="2441"/>
      <c r="U493" s="1819">
        <f t="shared" si="732"/>
        <v>0.122909</v>
      </c>
      <c r="V493" s="1819"/>
      <c r="W493" s="1819"/>
      <c r="X493" s="68">
        <f>'Income Eligible Deemed Table'!J1345</f>
        <v>9</v>
      </c>
      <c r="Y493" s="68"/>
      <c r="Z493" s="68">
        <f t="shared" si="733"/>
        <v>9</v>
      </c>
      <c r="AA493" s="62">
        <f>'Income Eligible Deemed Table'!BB1345</f>
        <v>6.293104614005637</v>
      </c>
      <c r="AB493" s="839">
        <f>'Income Eligible Deemed Table'!K1345</f>
        <v>20</v>
      </c>
      <c r="AC493" s="3617">
        <f t="shared" si="691"/>
        <v>118.79385774432536</v>
      </c>
      <c r="AD493" s="3617">
        <f t="shared" si="692"/>
        <v>0</v>
      </c>
      <c r="AE493" s="1661">
        <f>'Income Eligible Deemed Table'!BD1345</f>
        <v>118.79385774432536</v>
      </c>
      <c r="AF493" s="2453"/>
      <c r="AG493" s="2453"/>
      <c r="AH493" s="2453"/>
      <c r="AI493" s="684" t="str">
        <f>'Income Eligible Deemed Table'!L1345</f>
        <v>per measure</v>
      </c>
      <c r="AJ493" s="1930"/>
      <c r="AK493" s="1930"/>
      <c r="AL493" s="1930"/>
      <c r="AM493" s="1972">
        <f t="shared" si="726"/>
        <v>9.4741810000000004E-4</v>
      </c>
      <c r="AN493" s="1930">
        <f t="shared" si="727"/>
        <v>0.12290855011299999</v>
      </c>
      <c r="AO493" s="1971">
        <f t="shared" si="686"/>
        <v>-4.4988700001469262E-7</v>
      </c>
    </row>
    <row r="494" spans="1:41" x14ac:dyDescent="0.25">
      <c r="A494" s="103" t="str">
        <f t="shared" si="699"/>
        <v>406002</v>
      </c>
      <c r="B494" s="1960" t="str">
        <f>'Income Eligible Deemed Table'!C1346</f>
        <v>406002_2021_12_</v>
      </c>
      <c r="C494" s="1962" t="str">
        <f>'Income Eligible Deemed Table'!G1346</f>
        <v>Cooling RES</v>
      </c>
      <c r="D494" s="1962"/>
      <c r="E494" s="1962"/>
      <c r="F494" s="1962"/>
      <c r="G494" s="1962" t="str">
        <f>'Income Eligible Deemed Table'!E1346</f>
        <v>AC - Energy Star Room_8kBtu_SF</v>
      </c>
      <c r="H494" s="63" t="str">
        <f>'Income Eligible Deemed Table'!D1346</f>
        <v>SFIE</v>
      </c>
      <c r="I494" s="2438">
        <f t="shared" si="728"/>
        <v>58.16</v>
      </c>
      <c r="J494" s="2438">
        <f t="shared" si="729"/>
        <v>0</v>
      </c>
      <c r="K494" s="2439">
        <f>'Income Eligible Deemed Table'!F1346</f>
        <v>58.16</v>
      </c>
      <c r="L494" s="2439"/>
      <c r="M494" s="2439"/>
      <c r="N494" s="2439"/>
      <c r="O494" s="2440">
        <f t="shared" si="730"/>
        <v>5.5101999999999998E-2</v>
      </c>
      <c r="P494" s="2440">
        <f t="shared" si="731"/>
        <v>0</v>
      </c>
      <c r="Q494" s="2441">
        <f>'Income Eligible Deemed Table'!I1346</f>
        <v>5.5101999999999998E-2</v>
      </c>
      <c r="R494" s="2441"/>
      <c r="S494" s="2441"/>
      <c r="T494" s="2441"/>
      <c r="U494" s="1819">
        <f t="shared" si="732"/>
        <v>5.5101999999999998E-2</v>
      </c>
      <c r="V494" s="1819"/>
      <c r="W494" s="1819"/>
      <c r="X494" s="68">
        <f>'Income Eligible Deemed Table'!J1346</f>
        <v>9</v>
      </c>
      <c r="Y494" s="68"/>
      <c r="Z494" s="68">
        <f t="shared" si="733"/>
        <v>9</v>
      </c>
      <c r="AA494" s="62">
        <f>'Income Eligible Deemed Table'!BB1346</f>
        <v>2.8212978058318652</v>
      </c>
      <c r="AB494" s="839">
        <f>'Income Eligible Deemed Table'!K1346</f>
        <v>20</v>
      </c>
      <c r="AC494" s="3617">
        <f t="shared" si="691"/>
        <v>53.257155372003112</v>
      </c>
      <c r="AD494" s="3617">
        <f t="shared" si="692"/>
        <v>0</v>
      </c>
      <c r="AE494" s="1661">
        <f>'Income Eligible Deemed Table'!BD1346</f>
        <v>53.257155372003112</v>
      </c>
      <c r="AF494" s="2453"/>
      <c r="AG494" s="2453"/>
      <c r="AH494" s="2453"/>
      <c r="AI494" s="684" t="str">
        <f>'Income Eligible Deemed Table'!L1346</f>
        <v>per measure</v>
      </c>
      <c r="AJ494" s="1930"/>
      <c r="AK494" s="1930"/>
      <c r="AL494" s="1930"/>
      <c r="AM494" s="1972">
        <f t="shared" si="726"/>
        <v>9.4741810000000004E-4</v>
      </c>
      <c r="AN494" s="1930">
        <f t="shared" si="727"/>
        <v>5.5101836696000002E-2</v>
      </c>
      <c r="AO494" s="1971">
        <f t="shared" si="686"/>
        <v>-1.63303999996256E-7</v>
      </c>
    </row>
    <row r="495" spans="1:41" x14ac:dyDescent="0.25">
      <c r="A495" s="103" t="str">
        <f t="shared" si="699"/>
        <v>405853</v>
      </c>
      <c r="B495" s="1960" t="str">
        <f>'Income Eligible Deemed Table'!C1347</f>
        <v>405853_2021_12_</v>
      </c>
      <c r="C495" s="1962" t="str">
        <f>'Income Eligible Deemed Table'!G1347</f>
        <v>Cooling RES</v>
      </c>
      <c r="D495" s="1962"/>
      <c r="E495" s="1962"/>
      <c r="F495" s="1962"/>
      <c r="G495" s="1962" t="str">
        <f>'Income Eligible Deemed Table'!E1347</f>
        <v>AC - Energy Star Room _10kBtu_Thru-Wall_MF</v>
      </c>
      <c r="H495" s="63" t="str">
        <f>'Income Eligible Deemed Table'!D1347</f>
        <v>MFIE</v>
      </c>
      <c r="I495" s="2438">
        <f t="shared" si="728"/>
        <v>162.16</v>
      </c>
      <c r="J495" s="2438">
        <f t="shared" si="729"/>
        <v>0</v>
      </c>
      <c r="K495" s="2439">
        <f>'Income Eligible Deemed Table'!F1347</f>
        <v>162.16</v>
      </c>
      <c r="L495" s="2439"/>
      <c r="M495" s="2439"/>
      <c r="N495" s="2439"/>
      <c r="O495" s="2440">
        <f t="shared" si="730"/>
        <v>0.15363299999999999</v>
      </c>
      <c r="P495" s="2440">
        <f t="shared" si="731"/>
        <v>0</v>
      </c>
      <c r="Q495" s="2441">
        <f>'Income Eligible Deemed Table'!I1347</f>
        <v>0.15363299999999999</v>
      </c>
      <c r="R495" s="2441"/>
      <c r="S495" s="2441"/>
      <c r="T495" s="2441"/>
      <c r="U495" s="1819">
        <f t="shared" si="732"/>
        <v>0.15363299999999999</v>
      </c>
      <c r="V495" s="1819"/>
      <c r="W495" s="1819"/>
      <c r="X495" s="68">
        <f>'Income Eligible Deemed Table'!J1347</f>
        <v>9</v>
      </c>
      <c r="Y495" s="68"/>
      <c r="Z495" s="68">
        <f t="shared" si="733"/>
        <v>9</v>
      </c>
      <c r="AA495" s="62">
        <f>'Income Eligible Deemed Table'!BB1347</f>
        <v>7.8662594943895332</v>
      </c>
      <c r="AB495" s="839">
        <f>'Income Eligible Deemed Table'!K1347</f>
        <v>20</v>
      </c>
      <c r="AC495" s="3617">
        <f t="shared" si="691"/>
        <v>148.49003292854238</v>
      </c>
      <c r="AD495" s="3617">
        <f t="shared" si="692"/>
        <v>0</v>
      </c>
      <c r="AE495" s="1661">
        <f>'Income Eligible Deemed Table'!BD1347</f>
        <v>148.49003292854238</v>
      </c>
      <c r="AF495" s="2453"/>
      <c r="AG495" s="2453"/>
      <c r="AH495" s="2453"/>
      <c r="AI495" s="684" t="str">
        <f>'Income Eligible Deemed Table'!L1347</f>
        <v>per measure</v>
      </c>
      <c r="AJ495" s="1930"/>
      <c r="AK495" s="1930"/>
      <c r="AL495" s="1930"/>
      <c r="AM495" s="1972">
        <f t="shared" si="726"/>
        <v>9.4741810000000004E-4</v>
      </c>
      <c r="AN495" s="1930">
        <f t="shared" si="727"/>
        <v>0.153633319096</v>
      </c>
      <c r="AO495" s="1971">
        <f t="shared" si="686"/>
        <v>3.1909600001212013E-7</v>
      </c>
    </row>
    <row r="496" spans="1:41" x14ac:dyDescent="0.25">
      <c r="A496" s="103" t="str">
        <f t="shared" si="699"/>
        <v>405903</v>
      </c>
      <c r="B496" s="1960" t="str">
        <f>'Income Eligible Deemed Table'!C1348</f>
        <v>405903_2021_12_</v>
      </c>
      <c r="C496" s="1962" t="str">
        <f>'Income Eligible Deemed Table'!G1348</f>
        <v>Cooling RES</v>
      </c>
      <c r="D496" s="1962"/>
      <c r="E496" s="1962"/>
      <c r="F496" s="1962"/>
      <c r="G496" s="1962" t="str">
        <f>'Income Eligible Deemed Table'!E1348</f>
        <v>AC - Energy Star Room _10kBtu_Thru-Wall_SF</v>
      </c>
      <c r="H496" s="63" t="str">
        <f>'Income Eligible Deemed Table'!D1348</f>
        <v>SFIE</v>
      </c>
      <c r="I496" s="2438">
        <f t="shared" si="728"/>
        <v>72.7</v>
      </c>
      <c r="J496" s="2438">
        <f t="shared" si="729"/>
        <v>0</v>
      </c>
      <c r="K496" s="2439">
        <f>'Income Eligible Deemed Table'!F1348</f>
        <v>72.7</v>
      </c>
      <c r="L496" s="2439"/>
      <c r="M496" s="2439"/>
      <c r="N496" s="2439"/>
      <c r="O496" s="2440">
        <f t="shared" si="730"/>
        <v>6.8876999999999994E-2</v>
      </c>
      <c r="P496" s="2440">
        <f t="shared" si="731"/>
        <v>0</v>
      </c>
      <c r="Q496" s="2441">
        <f>'Income Eligible Deemed Table'!I1348</f>
        <v>6.8876999999999994E-2</v>
      </c>
      <c r="R496" s="2441"/>
      <c r="S496" s="2441"/>
      <c r="T496" s="2441"/>
      <c r="U496" s="1819">
        <f t="shared" si="732"/>
        <v>6.8876999999999994E-2</v>
      </c>
      <c r="V496" s="1819"/>
      <c r="W496" s="1819"/>
      <c r="X496" s="68">
        <f>'Income Eligible Deemed Table'!J1348</f>
        <v>9</v>
      </c>
      <c r="Y496" s="68"/>
      <c r="Z496" s="68">
        <f t="shared" si="733"/>
        <v>9</v>
      </c>
      <c r="AA496" s="62">
        <f>'Income Eligible Deemed Table'!BB1348</f>
        <v>3.5266222572898318</v>
      </c>
      <c r="AB496" s="839">
        <f>'Income Eligible Deemed Table'!K1348</f>
        <v>20</v>
      </c>
      <c r="AC496" s="3617">
        <f t="shared" si="691"/>
        <v>66.571444215003893</v>
      </c>
      <c r="AD496" s="3617">
        <f t="shared" si="692"/>
        <v>0</v>
      </c>
      <c r="AE496" s="1661">
        <f>'Income Eligible Deemed Table'!BD1348</f>
        <v>66.571444215003893</v>
      </c>
      <c r="AF496" s="2453"/>
      <c r="AG496" s="2453"/>
      <c r="AH496" s="2453"/>
      <c r="AI496" s="684" t="str">
        <f>'Income Eligible Deemed Table'!L1348</f>
        <v>per measure</v>
      </c>
      <c r="AJ496" s="1930"/>
      <c r="AK496" s="1930"/>
      <c r="AL496" s="1930"/>
      <c r="AM496" s="1972">
        <f t="shared" si="726"/>
        <v>9.4741810000000004E-4</v>
      </c>
      <c r="AN496" s="1930">
        <f t="shared" si="727"/>
        <v>6.8877295870000008E-2</v>
      </c>
      <c r="AO496" s="1971">
        <f t="shared" si="686"/>
        <v>2.9587000001385366E-7</v>
      </c>
    </row>
    <row r="497" spans="1:41" x14ac:dyDescent="0.25">
      <c r="A497" s="103" t="str">
        <f t="shared" si="699"/>
        <v>405953</v>
      </c>
      <c r="B497" s="1960" t="str">
        <f>'Income Eligible Deemed Table'!C1349</f>
        <v>405953_2021_12_</v>
      </c>
      <c r="C497" s="1962" t="str">
        <f>'Income Eligible Deemed Table'!G1349</f>
        <v>Cooling RES</v>
      </c>
      <c r="D497" s="1962"/>
      <c r="E497" s="1962"/>
      <c r="F497" s="1962"/>
      <c r="G497" s="1962" t="str">
        <f>'Income Eligible Deemed Table'!E1349</f>
        <v>AC - Energy Star Room_10kBtu_MF</v>
      </c>
      <c r="H497" s="63" t="str">
        <f>'Income Eligible Deemed Table'!D1349</f>
        <v>MFIE</v>
      </c>
      <c r="I497" s="2438">
        <f t="shared" si="728"/>
        <v>162.16</v>
      </c>
      <c r="J497" s="2438">
        <f t="shared" si="729"/>
        <v>0</v>
      </c>
      <c r="K497" s="2439">
        <f>'Income Eligible Deemed Table'!F1349</f>
        <v>162.16</v>
      </c>
      <c r="L497" s="2439"/>
      <c r="M497" s="2439"/>
      <c r="N497" s="2439"/>
      <c r="O497" s="2440">
        <f t="shared" si="730"/>
        <v>0.15363299999999999</v>
      </c>
      <c r="P497" s="2440">
        <f t="shared" si="731"/>
        <v>0</v>
      </c>
      <c r="Q497" s="2441">
        <f>'Income Eligible Deemed Table'!I1349</f>
        <v>0.15363299999999999</v>
      </c>
      <c r="R497" s="2441"/>
      <c r="S497" s="2441"/>
      <c r="T497" s="2441"/>
      <c r="U497" s="1819">
        <f t="shared" si="732"/>
        <v>0.15363299999999999</v>
      </c>
      <c r="V497" s="1819"/>
      <c r="W497" s="1819"/>
      <c r="X497" s="68">
        <f>'Income Eligible Deemed Table'!J1349</f>
        <v>9</v>
      </c>
      <c r="Y497" s="68"/>
      <c r="Z497" s="68">
        <f t="shared" si="733"/>
        <v>9</v>
      </c>
      <c r="AA497" s="62">
        <f>'Income Eligible Deemed Table'!BB1349</f>
        <v>7.8662594943895332</v>
      </c>
      <c r="AB497" s="839">
        <f>'Income Eligible Deemed Table'!K1349</f>
        <v>20</v>
      </c>
      <c r="AC497" s="3617">
        <f t="shared" si="691"/>
        <v>148.49003292854238</v>
      </c>
      <c r="AD497" s="3617">
        <f t="shared" si="692"/>
        <v>0</v>
      </c>
      <c r="AE497" s="1661">
        <f>'Income Eligible Deemed Table'!BD1349</f>
        <v>148.49003292854238</v>
      </c>
      <c r="AF497" s="2453"/>
      <c r="AG497" s="2453"/>
      <c r="AH497" s="2453"/>
      <c r="AI497" s="684" t="str">
        <f>'Income Eligible Deemed Table'!L1349</f>
        <v>per measure</v>
      </c>
      <c r="AJ497" s="1930"/>
      <c r="AK497" s="1930"/>
      <c r="AL497" s="1930"/>
      <c r="AM497" s="1972">
        <f t="shared" si="726"/>
        <v>9.4741810000000004E-4</v>
      </c>
      <c r="AN497" s="1930">
        <f t="shared" si="727"/>
        <v>0.153633319096</v>
      </c>
      <c r="AO497" s="1971">
        <f t="shared" si="686"/>
        <v>3.1909600001212013E-7</v>
      </c>
    </row>
    <row r="498" spans="1:41" x14ac:dyDescent="0.25">
      <c r="A498" s="103" t="str">
        <f t="shared" si="699"/>
        <v>406003</v>
      </c>
      <c r="B498" s="1960" t="str">
        <f>'Income Eligible Deemed Table'!C1350</f>
        <v>406003_2021_12_</v>
      </c>
      <c r="C498" s="1962" t="str">
        <f>'Income Eligible Deemed Table'!G1350</f>
        <v>Cooling RES</v>
      </c>
      <c r="D498" s="1962"/>
      <c r="E498" s="1962"/>
      <c r="F498" s="1962"/>
      <c r="G498" s="1962" t="str">
        <f>'Income Eligible Deemed Table'!E1350</f>
        <v>AC - Energy Star Room_10kBtu_SF</v>
      </c>
      <c r="H498" s="63" t="str">
        <f>'Income Eligible Deemed Table'!D1350</f>
        <v>SFIE</v>
      </c>
      <c r="I498" s="2438">
        <f t="shared" si="728"/>
        <v>72.7</v>
      </c>
      <c r="J498" s="2438">
        <f t="shared" si="729"/>
        <v>0</v>
      </c>
      <c r="K498" s="2439">
        <f>'Income Eligible Deemed Table'!F1350</f>
        <v>72.7</v>
      </c>
      <c r="L498" s="2439"/>
      <c r="M498" s="2439"/>
      <c r="N498" s="2439"/>
      <c r="O498" s="2440">
        <f t="shared" si="730"/>
        <v>6.8876999999999994E-2</v>
      </c>
      <c r="P498" s="2440">
        <f t="shared" si="731"/>
        <v>0</v>
      </c>
      <c r="Q498" s="2441">
        <f>'Income Eligible Deemed Table'!I1350</f>
        <v>6.8876999999999994E-2</v>
      </c>
      <c r="R498" s="2441"/>
      <c r="S498" s="2441"/>
      <c r="T498" s="2441"/>
      <c r="U498" s="1819">
        <f t="shared" si="732"/>
        <v>6.8876999999999994E-2</v>
      </c>
      <c r="V498" s="1819"/>
      <c r="W498" s="1819"/>
      <c r="X498" s="68">
        <f>'Income Eligible Deemed Table'!J1350</f>
        <v>9</v>
      </c>
      <c r="Y498" s="68"/>
      <c r="Z498" s="68">
        <f t="shared" si="733"/>
        <v>9</v>
      </c>
      <c r="AA498" s="62">
        <f>'Income Eligible Deemed Table'!BB1350</f>
        <v>3.5266222572898318</v>
      </c>
      <c r="AB498" s="839">
        <f>'Income Eligible Deemed Table'!K1350</f>
        <v>20</v>
      </c>
      <c r="AC498" s="3617">
        <f t="shared" si="691"/>
        <v>66.571444215003893</v>
      </c>
      <c r="AD498" s="3617">
        <f t="shared" si="692"/>
        <v>0</v>
      </c>
      <c r="AE498" s="1661">
        <f>'Income Eligible Deemed Table'!BD1350</f>
        <v>66.571444215003893</v>
      </c>
      <c r="AF498" s="2453"/>
      <c r="AG498" s="2453"/>
      <c r="AH498" s="2453"/>
      <c r="AI498" s="684" t="str">
        <f>'Income Eligible Deemed Table'!L1350</f>
        <v>per measure</v>
      </c>
      <c r="AJ498" s="1930"/>
      <c r="AK498" s="1930"/>
      <c r="AL498" s="1930"/>
      <c r="AM498" s="1972">
        <f t="shared" si="726"/>
        <v>9.4741810000000004E-4</v>
      </c>
      <c r="AN498" s="1930">
        <f t="shared" si="727"/>
        <v>6.8877295870000008E-2</v>
      </c>
      <c r="AO498" s="1971">
        <f t="shared" si="686"/>
        <v>2.9587000001385366E-7</v>
      </c>
    </row>
    <row r="499" spans="1:41" x14ac:dyDescent="0.25">
      <c r="A499" s="103" t="str">
        <f t="shared" si="699"/>
        <v>405854</v>
      </c>
      <c r="B499" s="1960" t="str">
        <f>'Income Eligible Deemed Table'!C1351</f>
        <v>405854_2021_12_</v>
      </c>
      <c r="C499" s="1962" t="str">
        <f>'Income Eligible Deemed Table'!G1351</f>
        <v>Cooling RES</v>
      </c>
      <c r="D499" s="1962"/>
      <c r="E499" s="1962"/>
      <c r="F499" s="1962"/>
      <c r="G499" s="1962" t="str">
        <f>'Income Eligible Deemed Table'!E1351</f>
        <v>AC - Energy Star Room _12kBtu_Thru-Wall_MF</v>
      </c>
      <c r="H499" s="63" t="str">
        <f>'Income Eligible Deemed Table'!D1351</f>
        <v>MFIE</v>
      </c>
      <c r="I499" s="2438">
        <f t="shared" si="728"/>
        <v>194.59</v>
      </c>
      <c r="J499" s="2438">
        <f t="shared" si="729"/>
        <v>0</v>
      </c>
      <c r="K499" s="2439">
        <f>'Income Eligible Deemed Table'!F1351</f>
        <v>194.59</v>
      </c>
      <c r="L499" s="2439"/>
      <c r="M499" s="2439"/>
      <c r="N499" s="2439"/>
      <c r="O499" s="2440">
        <f t="shared" si="730"/>
        <v>0.18435799999999999</v>
      </c>
      <c r="P499" s="2440">
        <f t="shared" si="731"/>
        <v>0</v>
      </c>
      <c r="Q499" s="2441">
        <f>'Income Eligible Deemed Table'!I1351</f>
        <v>0.18435799999999999</v>
      </c>
      <c r="R499" s="2441"/>
      <c r="S499" s="2441"/>
      <c r="T499" s="2441"/>
      <c r="U499" s="1819">
        <f t="shared" si="732"/>
        <v>0.18435799999999999</v>
      </c>
      <c r="V499" s="1819"/>
      <c r="W499" s="1819"/>
      <c r="X499" s="68">
        <f>'Income Eligible Deemed Table'!J1351</f>
        <v>9</v>
      </c>
      <c r="Y499" s="68"/>
      <c r="Z499" s="68">
        <f t="shared" si="733"/>
        <v>9</v>
      </c>
      <c r="AA499" s="62">
        <f>'Income Eligible Deemed Table'!BB1351</f>
        <v>9.4394143747734311</v>
      </c>
      <c r="AB499" s="839">
        <f>'Income Eligible Deemed Table'!K1351</f>
        <v>20</v>
      </c>
      <c r="AC499" s="3617">
        <f t="shared" si="691"/>
        <v>178.1862081127594</v>
      </c>
      <c r="AD499" s="3617">
        <f t="shared" si="692"/>
        <v>0</v>
      </c>
      <c r="AE499" s="1661">
        <f>'Income Eligible Deemed Table'!BD1351</f>
        <v>178.1862081127594</v>
      </c>
      <c r="AF499" s="2453"/>
      <c r="AG499" s="2453"/>
      <c r="AH499" s="2453"/>
      <c r="AI499" s="684" t="str">
        <f>'Income Eligible Deemed Table'!L1351</f>
        <v>per measure</v>
      </c>
      <c r="AJ499" s="1930"/>
      <c r="AK499" s="1930"/>
      <c r="AL499" s="1930"/>
      <c r="AM499" s="1972">
        <f t="shared" si="726"/>
        <v>9.4741810000000004E-4</v>
      </c>
      <c r="AN499" s="1930">
        <f t="shared" si="727"/>
        <v>0.184358088079</v>
      </c>
      <c r="AO499" s="1971">
        <f t="shared" si="686"/>
        <v>8.8079000010177211E-8</v>
      </c>
    </row>
    <row r="500" spans="1:41" x14ac:dyDescent="0.25">
      <c r="A500" s="103" t="str">
        <f t="shared" si="699"/>
        <v>405904</v>
      </c>
      <c r="B500" s="1960" t="str">
        <f>'Income Eligible Deemed Table'!C1352</f>
        <v>405904_2021_12_</v>
      </c>
      <c r="C500" s="1962" t="str">
        <f>'Income Eligible Deemed Table'!G1352</f>
        <v>Cooling RES</v>
      </c>
      <c r="D500" s="1962"/>
      <c r="E500" s="1962"/>
      <c r="F500" s="1962"/>
      <c r="G500" s="1962" t="str">
        <f>'Income Eligible Deemed Table'!E1352</f>
        <v>AC - Energy Star Room _12kBtu_Thru-Wall_SF</v>
      </c>
      <c r="H500" s="63" t="str">
        <f>'Income Eligible Deemed Table'!D1352</f>
        <v>SFIE</v>
      </c>
      <c r="I500" s="2438">
        <f t="shared" si="728"/>
        <v>87.24</v>
      </c>
      <c r="J500" s="2438">
        <f t="shared" si="729"/>
        <v>0</v>
      </c>
      <c r="K500" s="2439">
        <f>'Income Eligible Deemed Table'!F1352</f>
        <v>87.24</v>
      </c>
      <c r="L500" s="2439"/>
      <c r="M500" s="2439"/>
      <c r="N500" s="2439"/>
      <c r="O500" s="2440">
        <f t="shared" si="730"/>
        <v>8.2653000000000004E-2</v>
      </c>
      <c r="P500" s="2440">
        <f t="shared" si="731"/>
        <v>0</v>
      </c>
      <c r="Q500" s="2441">
        <f>'Income Eligible Deemed Table'!I1352</f>
        <v>8.2653000000000004E-2</v>
      </c>
      <c r="R500" s="2441"/>
      <c r="S500" s="2441"/>
      <c r="T500" s="2441"/>
      <c r="U500" s="1819">
        <f t="shared" si="732"/>
        <v>8.2653000000000004E-2</v>
      </c>
      <c r="V500" s="1819"/>
      <c r="W500" s="1819"/>
      <c r="X500" s="68">
        <f>'Income Eligible Deemed Table'!J1352</f>
        <v>9</v>
      </c>
      <c r="Y500" s="68"/>
      <c r="Z500" s="68">
        <f t="shared" si="733"/>
        <v>9</v>
      </c>
      <c r="AA500" s="62">
        <f>'Income Eligible Deemed Table'!BB1352</f>
        <v>4.2319467087477971</v>
      </c>
      <c r="AB500" s="839">
        <f>'Income Eligible Deemed Table'!K1352</f>
        <v>20</v>
      </c>
      <c r="AC500" s="3617">
        <f t="shared" si="691"/>
        <v>79.885733058004661</v>
      </c>
      <c r="AD500" s="3617">
        <f t="shared" si="692"/>
        <v>0</v>
      </c>
      <c r="AE500" s="1661">
        <f>'Income Eligible Deemed Table'!BD1352</f>
        <v>79.885733058004661</v>
      </c>
      <c r="AF500" s="2453"/>
      <c r="AG500" s="2453"/>
      <c r="AH500" s="2453"/>
      <c r="AI500" s="684" t="str">
        <f>'Income Eligible Deemed Table'!L1352</f>
        <v>per measure</v>
      </c>
      <c r="AJ500" s="1930"/>
      <c r="AK500" s="1930"/>
      <c r="AL500" s="1930"/>
      <c r="AM500" s="1972">
        <f t="shared" si="726"/>
        <v>9.4741810000000004E-4</v>
      </c>
      <c r="AN500" s="1930">
        <f t="shared" si="727"/>
        <v>8.2652755043999993E-2</v>
      </c>
      <c r="AO500" s="1971">
        <f t="shared" si="686"/>
        <v>-2.4495600001173123E-7</v>
      </c>
    </row>
    <row r="501" spans="1:41" x14ac:dyDescent="0.25">
      <c r="A501" s="103" t="str">
        <f t="shared" si="699"/>
        <v>405954</v>
      </c>
      <c r="B501" s="1960" t="str">
        <f>'Income Eligible Deemed Table'!C1353</f>
        <v>405954_2021_12_</v>
      </c>
      <c r="C501" s="1962" t="str">
        <f>'Income Eligible Deemed Table'!G1353</f>
        <v>Cooling RES</v>
      </c>
      <c r="D501" s="1962"/>
      <c r="E501" s="1962"/>
      <c r="F501" s="1962"/>
      <c r="G501" s="1962" t="str">
        <f>'Income Eligible Deemed Table'!E1353</f>
        <v>AC - Energy Star Room_12kBtu_MF</v>
      </c>
      <c r="H501" s="63" t="str">
        <f>'Income Eligible Deemed Table'!D1353</f>
        <v>MFIE</v>
      </c>
      <c r="I501" s="2438">
        <f t="shared" si="728"/>
        <v>194.59</v>
      </c>
      <c r="J501" s="2438">
        <f t="shared" si="729"/>
        <v>0</v>
      </c>
      <c r="K501" s="2439">
        <f>'Income Eligible Deemed Table'!F1353</f>
        <v>194.59</v>
      </c>
      <c r="L501" s="2439"/>
      <c r="M501" s="2439"/>
      <c r="N501" s="2439"/>
      <c r="O501" s="2440">
        <f t="shared" si="730"/>
        <v>0.18435799999999999</v>
      </c>
      <c r="P501" s="2440">
        <f t="shared" si="731"/>
        <v>0</v>
      </c>
      <c r="Q501" s="2441">
        <f>'Income Eligible Deemed Table'!I1353</f>
        <v>0.18435799999999999</v>
      </c>
      <c r="R501" s="2441"/>
      <c r="S501" s="2441"/>
      <c r="T501" s="2441"/>
      <c r="U501" s="1819">
        <f t="shared" si="732"/>
        <v>0.18435799999999999</v>
      </c>
      <c r="V501" s="1819"/>
      <c r="W501" s="1819"/>
      <c r="X501" s="68">
        <f>'Income Eligible Deemed Table'!J1353</f>
        <v>9</v>
      </c>
      <c r="Y501" s="68"/>
      <c r="Z501" s="68">
        <f t="shared" si="733"/>
        <v>9</v>
      </c>
      <c r="AA501" s="62">
        <f>'Income Eligible Deemed Table'!BB1353</f>
        <v>9.4394143747734311</v>
      </c>
      <c r="AB501" s="839">
        <f>'Income Eligible Deemed Table'!K1353</f>
        <v>20</v>
      </c>
      <c r="AC501" s="3617">
        <f t="shared" si="691"/>
        <v>178.1862081127594</v>
      </c>
      <c r="AD501" s="3617">
        <f t="shared" si="692"/>
        <v>0</v>
      </c>
      <c r="AE501" s="1661">
        <f>'Income Eligible Deemed Table'!BD1353</f>
        <v>178.1862081127594</v>
      </c>
      <c r="AF501" s="2453"/>
      <c r="AG501" s="2453"/>
      <c r="AH501" s="2453"/>
      <c r="AI501" s="684" t="str">
        <f>'Income Eligible Deemed Table'!L1353</f>
        <v>per measure</v>
      </c>
      <c r="AJ501" s="1930"/>
      <c r="AK501" s="1930"/>
      <c r="AL501" s="1930"/>
      <c r="AM501" s="1972">
        <f t="shared" si="726"/>
        <v>9.4741810000000004E-4</v>
      </c>
      <c r="AN501" s="1930">
        <f t="shared" si="727"/>
        <v>0.184358088079</v>
      </c>
      <c r="AO501" s="1971">
        <f t="shared" si="686"/>
        <v>8.8079000010177211E-8</v>
      </c>
    </row>
    <row r="502" spans="1:41" x14ac:dyDescent="0.25">
      <c r="A502" s="103" t="str">
        <f t="shared" si="699"/>
        <v>406004</v>
      </c>
      <c r="B502" s="1960" t="str">
        <f>'Income Eligible Deemed Table'!C1354</f>
        <v>406004_2021_12_</v>
      </c>
      <c r="C502" s="1962" t="str">
        <f>'Income Eligible Deemed Table'!G1354</f>
        <v>Cooling RES</v>
      </c>
      <c r="D502" s="1962"/>
      <c r="E502" s="1962"/>
      <c r="F502" s="1962"/>
      <c r="G502" s="1962" t="str">
        <f>'Income Eligible Deemed Table'!E1354</f>
        <v>AC - Energy Star Room_12kBtu_SF</v>
      </c>
      <c r="H502" s="63" t="str">
        <f>'Income Eligible Deemed Table'!D1354</f>
        <v>SFIE</v>
      </c>
      <c r="I502" s="2438">
        <f t="shared" si="728"/>
        <v>87.24</v>
      </c>
      <c r="J502" s="2438">
        <f t="shared" si="729"/>
        <v>0</v>
      </c>
      <c r="K502" s="2439">
        <f>'Income Eligible Deemed Table'!F1354</f>
        <v>87.24</v>
      </c>
      <c r="L502" s="2439"/>
      <c r="M502" s="2439"/>
      <c r="N502" s="2439"/>
      <c r="O502" s="2440">
        <f t="shared" si="730"/>
        <v>8.2653000000000004E-2</v>
      </c>
      <c r="P502" s="2440">
        <f t="shared" si="731"/>
        <v>0</v>
      </c>
      <c r="Q502" s="2441">
        <f>'Income Eligible Deemed Table'!I1354</f>
        <v>8.2653000000000004E-2</v>
      </c>
      <c r="R502" s="2441"/>
      <c r="S502" s="2441"/>
      <c r="T502" s="2441"/>
      <c r="U502" s="1819">
        <f t="shared" si="732"/>
        <v>8.2653000000000004E-2</v>
      </c>
      <c r="V502" s="1819"/>
      <c r="W502" s="1819"/>
      <c r="X502" s="68">
        <f>'Income Eligible Deemed Table'!J1354</f>
        <v>9</v>
      </c>
      <c r="Y502" s="68"/>
      <c r="Z502" s="68">
        <f t="shared" si="733"/>
        <v>9</v>
      </c>
      <c r="AA502" s="62">
        <f>'Income Eligible Deemed Table'!BB1354</f>
        <v>4.2319467087477971</v>
      </c>
      <c r="AB502" s="839">
        <f>'Income Eligible Deemed Table'!K1354</f>
        <v>20</v>
      </c>
      <c r="AC502" s="3617">
        <f t="shared" si="691"/>
        <v>79.885733058004661</v>
      </c>
      <c r="AD502" s="3617">
        <f t="shared" si="692"/>
        <v>0</v>
      </c>
      <c r="AE502" s="1661">
        <f>'Income Eligible Deemed Table'!BD1354</f>
        <v>79.885733058004661</v>
      </c>
      <c r="AF502" s="2453"/>
      <c r="AG502" s="2453"/>
      <c r="AH502" s="2453"/>
      <c r="AI502" s="684" t="str">
        <f>'Income Eligible Deemed Table'!L1354</f>
        <v>per measure</v>
      </c>
      <c r="AJ502" s="1930"/>
      <c r="AK502" s="1930"/>
      <c r="AL502" s="1930"/>
      <c r="AM502" s="1972">
        <f t="shared" si="726"/>
        <v>9.4741810000000004E-4</v>
      </c>
      <c r="AN502" s="1930">
        <f t="shared" si="727"/>
        <v>8.2652755043999993E-2</v>
      </c>
      <c r="AO502" s="1971">
        <f t="shared" si="686"/>
        <v>-2.4495600001173123E-7</v>
      </c>
    </row>
    <row r="503" spans="1:41" x14ac:dyDescent="0.25">
      <c r="A503" s="103" t="str">
        <f t="shared" si="699"/>
        <v>405855</v>
      </c>
      <c r="B503" s="1960" t="str">
        <f>'Income Eligible Deemed Table'!C1355</f>
        <v>405855_2021_12_</v>
      </c>
      <c r="C503" s="1962" t="str">
        <f>'Income Eligible Deemed Table'!G1355</f>
        <v>Cooling RES</v>
      </c>
      <c r="D503" s="1962"/>
      <c r="E503" s="1962"/>
      <c r="F503" s="1962"/>
      <c r="G503" s="1962" t="str">
        <f>'Income Eligible Deemed Table'!E1355</f>
        <v>AC - Energy Star Room _15kBtu_Thru-Wall_MF</v>
      </c>
      <c r="H503" s="63" t="str">
        <f>'Income Eligible Deemed Table'!D1355</f>
        <v>MFIE</v>
      </c>
      <c r="I503" s="2438">
        <f t="shared" si="728"/>
        <v>243.24</v>
      </c>
      <c r="J503" s="2438">
        <f t="shared" si="729"/>
        <v>0</v>
      </c>
      <c r="K503" s="2439">
        <f>'Income Eligible Deemed Table'!F1355</f>
        <v>243.24</v>
      </c>
      <c r="L503" s="2439"/>
      <c r="M503" s="2439"/>
      <c r="N503" s="2439"/>
      <c r="O503" s="2440">
        <f t="shared" si="730"/>
        <v>0.23044999999999999</v>
      </c>
      <c r="P503" s="2440">
        <f t="shared" si="731"/>
        <v>0</v>
      </c>
      <c r="Q503" s="2441">
        <f>'Income Eligible Deemed Table'!I1355</f>
        <v>0.23044999999999999</v>
      </c>
      <c r="R503" s="2441"/>
      <c r="S503" s="2441"/>
      <c r="T503" s="2441"/>
      <c r="U503" s="1819">
        <f t="shared" si="732"/>
        <v>0.23044999999999999</v>
      </c>
      <c r="V503" s="1819"/>
      <c r="W503" s="1819"/>
      <c r="X503" s="68">
        <f>'Income Eligible Deemed Table'!J1355</f>
        <v>9</v>
      </c>
      <c r="Y503" s="68"/>
      <c r="Z503" s="68">
        <f t="shared" si="733"/>
        <v>9</v>
      </c>
      <c r="AA503" s="62">
        <f>'Income Eligible Deemed Table'!BB1355</f>
        <v>11.799389241584301</v>
      </c>
      <c r="AB503" s="839">
        <f>'Income Eligible Deemed Table'!K1355</f>
        <v>20</v>
      </c>
      <c r="AC503" s="3617">
        <f t="shared" si="691"/>
        <v>222.73504939281358</v>
      </c>
      <c r="AD503" s="3617">
        <f t="shared" si="692"/>
        <v>0</v>
      </c>
      <c r="AE503" s="1661">
        <f>'Income Eligible Deemed Table'!BD1355</f>
        <v>222.73504939281358</v>
      </c>
      <c r="AF503" s="2453"/>
      <c r="AG503" s="2453"/>
      <c r="AH503" s="2453"/>
      <c r="AI503" s="684" t="str">
        <f>'Income Eligible Deemed Table'!L1355</f>
        <v>per measure</v>
      </c>
      <c r="AJ503" s="1930"/>
      <c r="AK503" s="1930"/>
      <c r="AL503" s="1930"/>
      <c r="AM503" s="1972">
        <f t="shared" si="726"/>
        <v>9.4741810000000004E-4</v>
      </c>
      <c r="AN503" s="1930">
        <f t="shared" si="727"/>
        <v>0.23044997864400002</v>
      </c>
      <c r="AO503" s="1971">
        <f t="shared" si="686"/>
        <v>-2.1355999968442063E-8</v>
      </c>
    </row>
    <row r="504" spans="1:41" x14ac:dyDescent="0.25">
      <c r="A504" s="103" t="str">
        <f t="shared" si="699"/>
        <v>405905</v>
      </c>
      <c r="B504" s="1960" t="str">
        <f>'Income Eligible Deemed Table'!C1356</f>
        <v>405905_2021_12_</v>
      </c>
      <c r="C504" s="1962" t="str">
        <f>'Income Eligible Deemed Table'!G1356</f>
        <v>Cooling RES</v>
      </c>
      <c r="D504" s="1962"/>
      <c r="E504" s="1962"/>
      <c r="F504" s="1962"/>
      <c r="G504" s="1962" t="str">
        <f>'Income Eligible Deemed Table'!E1356</f>
        <v>AC - Energy Star Room _15kBtu_Thru-Wall_SF</v>
      </c>
      <c r="H504" s="63" t="str">
        <f>'Income Eligible Deemed Table'!D1356</f>
        <v>SFIE</v>
      </c>
      <c r="I504" s="2438">
        <f t="shared" si="728"/>
        <v>109.05</v>
      </c>
      <c r="J504" s="2438">
        <f t="shared" si="729"/>
        <v>0</v>
      </c>
      <c r="K504" s="2439">
        <f>'Income Eligible Deemed Table'!F1356</f>
        <v>109.05</v>
      </c>
      <c r="L504" s="2439"/>
      <c r="M504" s="2439"/>
      <c r="N504" s="2439"/>
      <c r="O504" s="2440">
        <f t="shared" si="730"/>
        <v>0.10331600000000001</v>
      </c>
      <c r="P504" s="2440">
        <f t="shared" si="731"/>
        <v>0</v>
      </c>
      <c r="Q504" s="2441">
        <f>'Income Eligible Deemed Table'!I1356</f>
        <v>0.10331600000000001</v>
      </c>
      <c r="R504" s="2441"/>
      <c r="S504" s="2441"/>
      <c r="T504" s="2441"/>
      <c r="U504" s="1819">
        <f t="shared" si="732"/>
        <v>0.10331600000000001</v>
      </c>
      <c r="V504" s="1819"/>
      <c r="W504" s="1819"/>
      <c r="X504" s="68">
        <f>'Income Eligible Deemed Table'!J1356</f>
        <v>9</v>
      </c>
      <c r="Y504" s="68"/>
      <c r="Z504" s="68">
        <f t="shared" si="733"/>
        <v>9</v>
      </c>
      <c r="AA504" s="62">
        <f>'Income Eligible Deemed Table'!BB1356</f>
        <v>5.2899333859347468</v>
      </c>
      <c r="AB504" s="839">
        <f>'Income Eligible Deemed Table'!K1356</f>
        <v>20</v>
      </c>
      <c r="AC504" s="3617">
        <f t="shared" si="691"/>
        <v>99.857166322505833</v>
      </c>
      <c r="AD504" s="3617">
        <f t="shared" si="692"/>
        <v>0</v>
      </c>
      <c r="AE504" s="1661">
        <f>'Income Eligible Deemed Table'!BD1356</f>
        <v>99.857166322505833</v>
      </c>
      <c r="AF504" s="2453"/>
      <c r="AG504" s="2453"/>
      <c r="AH504" s="2453"/>
      <c r="AI504" s="684" t="str">
        <f>'Income Eligible Deemed Table'!L1356</f>
        <v>per measure</v>
      </c>
      <c r="AJ504" s="1930"/>
      <c r="AK504" s="1930"/>
      <c r="AL504" s="1930"/>
      <c r="AM504" s="1972">
        <f t="shared" si="726"/>
        <v>9.4741810000000004E-4</v>
      </c>
      <c r="AN504" s="1930">
        <f t="shared" si="727"/>
        <v>0.103315943805</v>
      </c>
      <c r="AO504" s="1971">
        <f t="shared" si="686"/>
        <v>-5.6195000000536233E-8</v>
      </c>
    </row>
    <row r="505" spans="1:41" x14ac:dyDescent="0.25">
      <c r="A505" s="103" t="str">
        <f t="shared" si="699"/>
        <v>405955</v>
      </c>
      <c r="B505" s="1960" t="str">
        <f>'Income Eligible Deemed Table'!C1357</f>
        <v>405955_2021_12_</v>
      </c>
      <c r="C505" s="1962" t="str">
        <f>'Income Eligible Deemed Table'!G1357</f>
        <v>Cooling RES</v>
      </c>
      <c r="D505" s="1962"/>
      <c r="E505" s="1962"/>
      <c r="F505" s="1962"/>
      <c r="G505" s="1962" t="str">
        <f>'Income Eligible Deemed Table'!E1357</f>
        <v>AC - Energy Star Room_15kBtu_MF</v>
      </c>
      <c r="H505" s="63" t="str">
        <f>'Income Eligible Deemed Table'!D1357</f>
        <v>MFIE</v>
      </c>
      <c r="I505" s="2438">
        <f t="shared" si="728"/>
        <v>243.24</v>
      </c>
      <c r="J505" s="2438">
        <f t="shared" si="729"/>
        <v>0</v>
      </c>
      <c r="K505" s="2439">
        <f>'Income Eligible Deemed Table'!F1357</f>
        <v>243.24</v>
      </c>
      <c r="L505" s="2439"/>
      <c r="M505" s="2439"/>
      <c r="N505" s="2439"/>
      <c r="O505" s="2440">
        <f t="shared" si="730"/>
        <v>0.23044999999999999</v>
      </c>
      <c r="P505" s="2440">
        <f t="shared" si="731"/>
        <v>0</v>
      </c>
      <c r="Q505" s="2441">
        <f>'Income Eligible Deemed Table'!I1357</f>
        <v>0.23044999999999999</v>
      </c>
      <c r="R505" s="2441"/>
      <c r="S505" s="2441"/>
      <c r="T505" s="2441"/>
      <c r="U505" s="1819">
        <f t="shared" si="732"/>
        <v>0.23044999999999999</v>
      </c>
      <c r="V505" s="1819"/>
      <c r="W505" s="1819"/>
      <c r="X505" s="68">
        <f>'Income Eligible Deemed Table'!J1357</f>
        <v>9</v>
      </c>
      <c r="Y505" s="68"/>
      <c r="Z505" s="68">
        <f t="shared" si="733"/>
        <v>9</v>
      </c>
      <c r="AA505" s="62">
        <f>'Income Eligible Deemed Table'!BB1357</f>
        <v>11.799389241584301</v>
      </c>
      <c r="AB505" s="839">
        <f>'Income Eligible Deemed Table'!K1357</f>
        <v>20</v>
      </c>
      <c r="AC505" s="3617">
        <f t="shared" si="691"/>
        <v>222.73504939281358</v>
      </c>
      <c r="AD505" s="3617">
        <f t="shared" si="692"/>
        <v>0</v>
      </c>
      <c r="AE505" s="1661">
        <f>'Income Eligible Deemed Table'!BD1357</f>
        <v>222.73504939281358</v>
      </c>
      <c r="AF505" s="2453"/>
      <c r="AG505" s="2453"/>
      <c r="AH505" s="2453"/>
      <c r="AI505" s="684" t="str">
        <f>'Income Eligible Deemed Table'!L1357</f>
        <v>per measure</v>
      </c>
      <c r="AJ505" s="1930"/>
      <c r="AK505" s="1930"/>
      <c r="AL505" s="1930"/>
      <c r="AM505" s="1972">
        <f t="shared" si="726"/>
        <v>9.4741810000000004E-4</v>
      </c>
      <c r="AN505" s="1930">
        <f t="shared" si="727"/>
        <v>0.23044997864400002</v>
      </c>
      <c r="AO505" s="1971">
        <f t="shared" si="686"/>
        <v>-2.1355999968442063E-8</v>
      </c>
    </row>
    <row r="506" spans="1:41" x14ac:dyDescent="0.25">
      <c r="A506" s="103" t="str">
        <f t="shared" si="699"/>
        <v>406005</v>
      </c>
      <c r="B506" s="1960" t="str">
        <f>'Income Eligible Deemed Table'!C1358</f>
        <v>406005_2021_12_</v>
      </c>
      <c r="C506" s="1962" t="str">
        <f>'Income Eligible Deemed Table'!G1358</f>
        <v>Cooling RES</v>
      </c>
      <c r="D506" s="1962"/>
      <c r="E506" s="1962"/>
      <c r="F506" s="1962"/>
      <c r="G506" s="1962" t="str">
        <f>'Income Eligible Deemed Table'!E1358</f>
        <v>AC - Energy Star Room_15kBtu_SF</v>
      </c>
      <c r="H506" s="63" t="str">
        <f>'Income Eligible Deemed Table'!D1358</f>
        <v>SFIE</v>
      </c>
      <c r="I506" s="2438">
        <f t="shared" si="728"/>
        <v>109.05</v>
      </c>
      <c r="J506" s="2438">
        <f t="shared" si="729"/>
        <v>0</v>
      </c>
      <c r="K506" s="2439">
        <f>'Income Eligible Deemed Table'!F1358</f>
        <v>109.05</v>
      </c>
      <c r="L506" s="2439"/>
      <c r="M506" s="2439"/>
      <c r="N506" s="2439"/>
      <c r="O506" s="2440">
        <f t="shared" si="730"/>
        <v>0.10331600000000001</v>
      </c>
      <c r="P506" s="2440">
        <f t="shared" si="731"/>
        <v>0</v>
      </c>
      <c r="Q506" s="2441">
        <f>'Income Eligible Deemed Table'!I1358</f>
        <v>0.10331600000000001</v>
      </c>
      <c r="R506" s="2441"/>
      <c r="S506" s="2441"/>
      <c r="T506" s="2441"/>
      <c r="U506" s="1819">
        <f t="shared" si="732"/>
        <v>0.10331600000000001</v>
      </c>
      <c r="V506" s="1819"/>
      <c r="W506" s="1819"/>
      <c r="X506" s="68">
        <f>'Income Eligible Deemed Table'!J1358</f>
        <v>9</v>
      </c>
      <c r="Y506" s="68"/>
      <c r="Z506" s="68">
        <f t="shared" si="733"/>
        <v>9</v>
      </c>
      <c r="AA506" s="62">
        <f>'Income Eligible Deemed Table'!BB1358</f>
        <v>5.2899333859347468</v>
      </c>
      <c r="AB506" s="839">
        <f>'Income Eligible Deemed Table'!K1358</f>
        <v>20</v>
      </c>
      <c r="AC506" s="3617">
        <f t="shared" si="691"/>
        <v>99.857166322505833</v>
      </c>
      <c r="AD506" s="3617">
        <f t="shared" si="692"/>
        <v>0</v>
      </c>
      <c r="AE506" s="1661">
        <f>'Income Eligible Deemed Table'!BD1358</f>
        <v>99.857166322505833</v>
      </c>
      <c r="AF506" s="2453"/>
      <c r="AG506" s="2453"/>
      <c r="AH506" s="2453"/>
      <c r="AI506" s="684" t="str">
        <f>'Income Eligible Deemed Table'!L1358</f>
        <v>per measure</v>
      </c>
      <c r="AJ506" s="1930"/>
      <c r="AK506" s="1930"/>
      <c r="AL506" s="1930"/>
      <c r="AM506" s="1972">
        <f t="shared" si="726"/>
        <v>9.4741810000000004E-4</v>
      </c>
      <c r="AN506" s="1930">
        <f t="shared" si="727"/>
        <v>0.103315943805</v>
      </c>
      <c r="AO506" s="1971">
        <f t="shared" si="686"/>
        <v>-5.6195000000536233E-8</v>
      </c>
    </row>
    <row r="507" spans="1:41" s="100" customFormat="1" x14ac:dyDescent="0.25">
      <c r="A507" s="103" t="str">
        <f t="shared" si="699"/>
        <v>406025</v>
      </c>
      <c r="B507" s="684" t="str">
        <f>'Income Eligible Deemed Table'!C1389</f>
        <v>406025_2020_12_</v>
      </c>
      <c r="C507" s="1962" t="str">
        <f>'Income Eligible Deemed Table'!G1389</f>
        <v>Building Shell RES</v>
      </c>
      <c r="D507" s="1962"/>
      <c r="E507" s="1962"/>
      <c r="F507" s="1962"/>
      <c r="G507" s="1962" t="str">
        <f>'Income Eligible Deemed Table'!E1389</f>
        <v>Storm Window - Single Pane, Double Hung - Electric Furnace</v>
      </c>
      <c r="H507" s="63" t="str">
        <f>'Income Eligible Deemed Table'!D1389</f>
        <v>SFIE / MFIE</v>
      </c>
      <c r="I507" s="2438">
        <f>'Income Eligible Deemed Table'!F1389</f>
        <v>17.535985292550357</v>
      </c>
      <c r="J507" s="2438"/>
      <c r="K507" s="2439"/>
      <c r="L507" s="2439"/>
      <c r="M507" s="2439"/>
      <c r="N507" s="2439"/>
      <c r="O507" s="2440">
        <f>'Income Eligible Deemed Table'!I1389</f>
        <v>8.1729999999999997E-3</v>
      </c>
      <c r="P507" s="2440"/>
      <c r="Q507" s="2441"/>
      <c r="R507" s="2441"/>
      <c r="S507" s="2441"/>
      <c r="T507" s="2441"/>
      <c r="U507" s="1926"/>
      <c r="V507" s="1926"/>
      <c r="W507" s="1926">
        <f t="shared" ref="W507:W518" si="734">O507</f>
        <v>8.1729999999999997E-3</v>
      </c>
      <c r="X507" s="68">
        <f>'Income Eligible Deemed Table'!J1389</f>
        <v>20</v>
      </c>
      <c r="Y507" s="68"/>
      <c r="Z507" s="68">
        <f t="shared" ref="Z507" si="735">Y507+X507</f>
        <v>20</v>
      </c>
      <c r="AA507" s="62">
        <f>'Income Eligible Deemed Table'!BB1389</f>
        <v>2.3819683751413465</v>
      </c>
      <c r="AB507" s="839">
        <f>'Income Eligible Deemed Table'!K1389</f>
        <v>9.2850000000000001</v>
      </c>
      <c r="AC507" s="3617">
        <f t="shared" ref="AC507" si="736">AE507+AF507</f>
        <v>20.874541163933362</v>
      </c>
      <c r="AD507" s="3617">
        <f t="shared" ref="AD507" si="737">AG507+AH507</f>
        <v>0</v>
      </c>
      <c r="AE507" s="1661">
        <f>'Income Eligible Deemed Table'!BD1389</f>
        <v>20.874541163933362</v>
      </c>
      <c r="AF507" s="2453"/>
      <c r="AG507" s="2453"/>
      <c r="AH507" s="2453"/>
      <c r="AI507" s="684" t="str">
        <f>'Income Eligible Deemed Table'!L1389</f>
        <v>per sq ft</v>
      </c>
      <c r="AM507" s="2433">
        <f t="shared" ref="AM507:AM518" si="738">VLOOKUP(C507,$AS$10:$AT$33,2,FALSE)</f>
        <v>4.6608050000000002E-4</v>
      </c>
      <c r="AN507" s="100">
        <f t="shared" ref="AN507" si="739">AM507*I507</f>
        <v>8.1731807931445175E-3</v>
      </c>
      <c r="AO507" s="2437">
        <f t="shared" ref="AO507" si="740">AN507-O507</f>
        <v>1.8079314451774353E-7</v>
      </c>
    </row>
    <row r="508" spans="1:41" s="100" customFormat="1" x14ac:dyDescent="0.25">
      <c r="A508" s="103" t="str">
        <f t="shared" si="699"/>
        <v>406050</v>
      </c>
      <c r="B508" s="684" t="str">
        <f>'Income Eligible Deemed Table'!C1390</f>
        <v>406050_2020_12_</v>
      </c>
      <c r="C508" s="1962" t="str">
        <f>'Income Eligible Deemed Table'!G1390</f>
        <v>Building Shell RES</v>
      </c>
      <c r="D508" s="1962"/>
      <c r="E508" s="1962"/>
      <c r="F508" s="1962"/>
      <c r="G508" s="1962" t="str">
        <f>'Income Eligible Deemed Table'!E1390</f>
        <v>Storm Window - Single Pane, Double Hung - Heat Pump</v>
      </c>
      <c r="H508" s="63" t="str">
        <f>'Income Eligible Deemed Table'!D1390</f>
        <v>SFIE / MFIE</v>
      </c>
      <c r="I508" s="2438">
        <f>'Income Eligible Deemed Table'!F1390</f>
        <v>10.4183346394822</v>
      </c>
      <c r="J508" s="2438"/>
      <c r="K508" s="2439"/>
      <c r="L508" s="2439"/>
      <c r="M508" s="2439"/>
      <c r="N508" s="2439"/>
      <c r="O508" s="2440">
        <f>'Income Eligible Deemed Table'!I1390</f>
        <v>4.8560000000000001E-3</v>
      </c>
      <c r="P508" s="2440"/>
      <c r="Q508" s="2441"/>
      <c r="R508" s="2441"/>
      <c r="S508" s="2441"/>
      <c r="T508" s="2441"/>
      <c r="U508" s="1926"/>
      <c r="V508" s="1926"/>
      <c r="W508" s="1926">
        <f t="shared" si="734"/>
        <v>4.8560000000000001E-3</v>
      </c>
      <c r="X508" s="68">
        <f>'Income Eligible Deemed Table'!J1390</f>
        <v>20</v>
      </c>
      <c r="Y508" s="68"/>
      <c r="Z508" s="68">
        <f t="shared" ref="Z508:Z511" si="741">Y508+X508</f>
        <v>20</v>
      </c>
      <c r="AA508" s="62">
        <f>'Income Eligible Deemed Table'!BB1390</f>
        <v>1.4151553630367506</v>
      </c>
      <c r="AB508" s="839">
        <f>'Income Eligible Deemed Table'!K1390</f>
        <v>9.2850000000000001</v>
      </c>
      <c r="AC508" s="3617">
        <f t="shared" ref="AC508:AC511" si="742">AE508+AF508</f>
        <v>12.401809859175296</v>
      </c>
      <c r="AD508" s="3617">
        <f t="shared" ref="AD508:AD511" si="743">AG508+AH508</f>
        <v>0</v>
      </c>
      <c r="AE508" s="1661">
        <f>'Income Eligible Deemed Table'!BD1390</f>
        <v>12.401809859175296</v>
      </c>
      <c r="AF508" s="2453"/>
      <c r="AG508" s="2453"/>
      <c r="AH508" s="2453"/>
      <c r="AI508" s="684" t="str">
        <f>'Income Eligible Deemed Table'!L1390</f>
        <v>per sq ft</v>
      </c>
      <c r="AM508" s="2433">
        <f t="shared" si="738"/>
        <v>4.6608050000000002E-4</v>
      </c>
      <c r="AN508" s="100">
        <f t="shared" ref="AN508:AN511" si="744">AM508*I508</f>
        <v>4.8557826179371835E-3</v>
      </c>
      <c r="AO508" s="2437">
        <f t="shared" ref="AO508:AO511" si="745">AN508-O508</f>
        <v>-2.1738206281655265E-7</v>
      </c>
    </row>
    <row r="509" spans="1:41" s="100" customFormat="1" x14ac:dyDescent="0.25">
      <c r="A509" s="103" t="str">
        <f t="shared" si="699"/>
        <v>406075</v>
      </c>
      <c r="B509" s="684" t="str">
        <f>'Income Eligible Deemed Table'!C1391</f>
        <v>406075_2020_12_</v>
      </c>
      <c r="C509" s="1962" t="str">
        <f>'Income Eligible Deemed Table'!G1391</f>
        <v>Building Shell RES</v>
      </c>
      <c r="D509" s="1962"/>
      <c r="E509" s="1962"/>
      <c r="F509" s="1962"/>
      <c r="G509" s="1962" t="str">
        <f>'Income Eligible Deemed Table'!E1391</f>
        <v>Storm Window - Single Pane, Double Hung - Gas Heating</v>
      </c>
      <c r="H509" s="63" t="str">
        <f>'Income Eligible Deemed Table'!D1391</f>
        <v>SFIE / MFIE</v>
      </c>
      <c r="I509" s="2438">
        <f>'Income Eligible Deemed Table'!F1391</f>
        <v>2.3909090909090911</v>
      </c>
      <c r="J509" s="2438"/>
      <c r="K509" s="2439"/>
      <c r="L509" s="2439"/>
      <c r="M509" s="2439"/>
      <c r="N509" s="2439"/>
      <c r="O509" s="2440">
        <f>'Income Eligible Deemed Table'!I1391</f>
        <v>1.114E-3</v>
      </c>
      <c r="P509" s="2440"/>
      <c r="Q509" s="2441"/>
      <c r="R509" s="2441"/>
      <c r="S509" s="2441"/>
      <c r="T509" s="2441"/>
      <c r="U509" s="1926"/>
      <c r="V509" s="1926"/>
      <c r="W509" s="1926">
        <f t="shared" si="734"/>
        <v>1.114E-3</v>
      </c>
      <c r="X509" s="68">
        <f>'Income Eligible Deemed Table'!J1391</f>
        <v>20</v>
      </c>
      <c r="Y509" s="68"/>
      <c r="Z509" s="68">
        <f t="shared" si="741"/>
        <v>20</v>
      </c>
      <c r="AA509" s="62">
        <f>'Income Eligible Deemed Table'!BB1391</f>
        <v>0.32476474788119158</v>
      </c>
      <c r="AB509" s="839">
        <f>'Income Eligible Deemed Table'!K1391</f>
        <v>9.2850000000000001</v>
      </c>
      <c r="AC509" s="3617">
        <f t="shared" si="742"/>
        <v>2.846097861327856</v>
      </c>
      <c r="AD509" s="3617">
        <f t="shared" si="743"/>
        <v>0</v>
      </c>
      <c r="AE509" s="1661">
        <f>'Income Eligible Deemed Table'!BD1391</f>
        <v>2.846097861327856</v>
      </c>
      <c r="AF509" s="2453"/>
      <c r="AG509" s="2453"/>
      <c r="AH509" s="2453"/>
      <c r="AI509" s="684" t="str">
        <f>'Income Eligible Deemed Table'!L1391</f>
        <v>per sq ft</v>
      </c>
      <c r="AM509" s="2433">
        <f t="shared" si="738"/>
        <v>4.6608050000000002E-4</v>
      </c>
      <c r="AN509" s="100">
        <f t="shared" si="744"/>
        <v>1.1143561045454547E-3</v>
      </c>
      <c r="AO509" s="2437">
        <f t="shared" si="745"/>
        <v>3.5610454545472597E-7</v>
      </c>
    </row>
    <row r="510" spans="1:41" s="100" customFormat="1" x14ac:dyDescent="0.25">
      <c r="A510" s="103" t="str">
        <f t="shared" si="699"/>
        <v>406100</v>
      </c>
      <c r="B510" s="684" t="str">
        <f>'Income Eligible Deemed Table'!C1392</f>
        <v>406100_2020_12_</v>
      </c>
      <c r="C510" s="1962" t="str">
        <f>'Income Eligible Deemed Table'!G1392</f>
        <v>Building Shell RES</v>
      </c>
      <c r="D510" s="1962"/>
      <c r="E510" s="1962"/>
      <c r="F510" s="1962"/>
      <c r="G510" s="1962" t="str">
        <f>'Income Eligible Deemed Table'!E1392</f>
        <v>Storm Window - Double Pane, Double Hung - Electric Furnace</v>
      </c>
      <c r="H510" s="63" t="str">
        <f>'Income Eligible Deemed Table'!D1392</f>
        <v>SFIE / MFIE</v>
      </c>
      <c r="I510" s="2438">
        <f>'Income Eligible Deemed Table'!F1392</f>
        <v>5.9024938718959818</v>
      </c>
      <c r="J510" s="2438"/>
      <c r="K510" s="2439"/>
      <c r="L510" s="2439"/>
      <c r="M510" s="2439"/>
      <c r="N510" s="2439"/>
      <c r="O510" s="2440">
        <f>'Income Eligible Deemed Table'!I1392</f>
        <v>2.751E-3</v>
      </c>
      <c r="P510" s="2440"/>
      <c r="Q510" s="2441"/>
      <c r="R510" s="2441"/>
      <c r="S510" s="2441"/>
      <c r="T510" s="2441"/>
      <c r="U510" s="1926"/>
      <c r="V510" s="1926"/>
      <c r="W510" s="1926">
        <f t="shared" si="734"/>
        <v>2.751E-3</v>
      </c>
      <c r="X510" s="68">
        <f>'Income Eligible Deemed Table'!J1392</f>
        <v>20</v>
      </c>
      <c r="Y510" s="68"/>
      <c r="Z510" s="68">
        <f t="shared" si="741"/>
        <v>20</v>
      </c>
      <c r="AA510" s="62">
        <f>'Income Eligible Deemed Table'!BB1392</f>
        <v>0.80175442113849216</v>
      </c>
      <c r="AB510" s="839">
        <f>'Income Eligible Deemed Table'!K1392</f>
        <v>9.2850000000000001</v>
      </c>
      <c r="AC510" s="3617">
        <f t="shared" si="742"/>
        <v>7.0262291649560158</v>
      </c>
      <c r="AD510" s="3617">
        <f t="shared" si="743"/>
        <v>0</v>
      </c>
      <c r="AE510" s="1661">
        <f>'Income Eligible Deemed Table'!BD1392</f>
        <v>7.0262291649560158</v>
      </c>
      <c r="AF510" s="2453"/>
      <c r="AG510" s="2453"/>
      <c r="AH510" s="2453"/>
      <c r="AI510" s="684" t="str">
        <f>'Income Eligible Deemed Table'!L1392</f>
        <v>per sq ft</v>
      </c>
      <c r="AM510" s="2433">
        <f t="shared" si="738"/>
        <v>4.6608050000000002E-4</v>
      </c>
      <c r="AN510" s="100">
        <f t="shared" si="744"/>
        <v>2.7510372950602154E-3</v>
      </c>
      <c r="AO510" s="2437">
        <f t="shared" si="745"/>
        <v>3.7295060215450371E-8</v>
      </c>
    </row>
    <row r="511" spans="1:41" s="100" customFormat="1" x14ac:dyDescent="0.25">
      <c r="A511" s="103" t="str">
        <f t="shared" si="699"/>
        <v>406125</v>
      </c>
      <c r="B511" s="684" t="str">
        <f>'Income Eligible Deemed Table'!C1393</f>
        <v>406125_2020_12_</v>
      </c>
      <c r="C511" s="1962" t="str">
        <f>'Income Eligible Deemed Table'!G1393</f>
        <v>Building Shell RES</v>
      </c>
      <c r="D511" s="1962"/>
      <c r="E511" s="1962"/>
      <c r="F511" s="1962"/>
      <c r="G511" s="1962" t="str">
        <f>'Income Eligible Deemed Table'!E1393</f>
        <v>Storm Window - Double Pane, Double Hung - Heat Pump</v>
      </c>
      <c r="H511" s="63" t="str">
        <f>'Income Eligible Deemed Table'!D1393</f>
        <v>SFIE / MFIE</v>
      </c>
      <c r="I511" s="2438">
        <f>'Income Eligible Deemed Table'!F1393</f>
        <v>3.6711258877701161</v>
      </c>
      <c r="J511" s="2438"/>
      <c r="K511" s="2439"/>
      <c r="L511" s="2439"/>
      <c r="M511" s="2439"/>
      <c r="N511" s="2439"/>
      <c r="O511" s="2440">
        <f>'Income Eligible Deemed Table'!I1393</f>
        <v>1.7110000000000001E-3</v>
      </c>
      <c r="P511" s="2440"/>
      <c r="Q511" s="2441"/>
      <c r="R511" s="2441"/>
      <c r="S511" s="2441"/>
      <c r="T511" s="2441"/>
      <c r="U511" s="1926"/>
      <c r="V511" s="1926"/>
      <c r="W511" s="1926">
        <f t="shared" si="734"/>
        <v>1.7110000000000001E-3</v>
      </c>
      <c r="X511" s="68">
        <f>'Income Eligible Deemed Table'!J1393</f>
        <v>20</v>
      </c>
      <c r="Y511" s="68"/>
      <c r="Z511" s="68">
        <f t="shared" si="741"/>
        <v>20</v>
      </c>
      <c r="AA511" s="62">
        <f>'Income Eligible Deemed Table'!BB1393</f>
        <v>0.49866064666157989</v>
      </c>
      <c r="AB511" s="839">
        <f>'Income Eligible Deemed Table'!K1393</f>
        <v>9.2850000000000001</v>
      </c>
      <c r="AC511" s="3617">
        <f t="shared" si="742"/>
        <v>4.3700463466283797</v>
      </c>
      <c r="AD511" s="3617">
        <f t="shared" si="743"/>
        <v>0</v>
      </c>
      <c r="AE511" s="1661">
        <f>'Income Eligible Deemed Table'!BD1393</f>
        <v>4.3700463466283797</v>
      </c>
      <c r="AF511" s="2453"/>
      <c r="AG511" s="2453"/>
      <c r="AH511" s="2453"/>
      <c r="AI511" s="684" t="str">
        <f>'Income Eligible Deemed Table'!L1393</f>
        <v>per sq ft</v>
      </c>
      <c r="AM511" s="2433">
        <f t="shared" si="738"/>
        <v>4.6608050000000002E-4</v>
      </c>
      <c r="AN511" s="100">
        <f t="shared" si="744"/>
        <v>1.7110401893348397E-3</v>
      </c>
      <c r="AO511" s="2437">
        <f t="shared" si="745"/>
        <v>4.0189334839669383E-8</v>
      </c>
    </row>
    <row r="512" spans="1:41" s="100" customFormat="1" x14ac:dyDescent="0.25">
      <c r="A512" s="103" t="str">
        <f t="shared" si="699"/>
        <v>406150</v>
      </c>
      <c r="B512" s="684" t="str">
        <f>'Income Eligible Deemed Table'!C1394</f>
        <v>406150_2020_12_</v>
      </c>
      <c r="C512" s="1962" t="str">
        <f>'Income Eligible Deemed Table'!G1394</f>
        <v>Building Shell RES</v>
      </c>
      <c r="D512" s="1962"/>
      <c r="E512" s="1962"/>
      <c r="F512" s="1962"/>
      <c r="G512" s="1962" t="str">
        <f>'Income Eligible Deemed Table'!E1394</f>
        <v>Storm Window - Double Pane, Double Hung - Gas Heating</v>
      </c>
      <c r="H512" s="63" t="str">
        <f>'Income Eligible Deemed Table'!D1394</f>
        <v>SFIE / MFIE</v>
      </c>
      <c r="I512" s="2438">
        <f>'Income Eligible Deemed Table'!F1394</f>
        <v>1.1545454545454545</v>
      </c>
      <c r="J512" s="2438"/>
      <c r="K512" s="2439"/>
      <c r="L512" s="2439"/>
      <c r="M512" s="2439"/>
      <c r="N512" s="2439"/>
      <c r="O512" s="2440">
        <f>'Income Eligible Deemed Table'!I1394</f>
        <v>5.3799999999999996E-4</v>
      </c>
      <c r="P512" s="2440"/>
      <c r="Q512" s="2441"/>
      <c r="R512" s="2441"/>
      <c r="S512" s="2441"/>
      <c r="T512" s="2441"/>
      <c r="U512" s="1926"/>
      <c r="V512" s="1926"/>
      <c r="W512" s="1926">
        <f t="shared" si="734"/>
        <v>5.3799999999999996E-4</v>
      </c>
      <c r="X512" s="68">
        <f>'Income Eligible Deemed Table'!J1394</f>
        <v>20</v>
      </c>
      <c r="Y512" s="68"/>
      <c r="Z512" s="68">
        <f t="shared" ref="Z512:Z516" si="746">Y512+X512</f>
        <v>20</v>
      </c>
      <c r="AA512" s="62">
        <f>'Income Eligible Deemed Table'!BB1394</f>
        <v>0.15682556266506209</v>
      </c>
      <c r="AB512" s="839">
        <f>'Income Eligible Deemed Table'!K1394</f>
        <v>9.2850000000000001</v>
      </c>
      <c r="AC512" s="3617">
        <f t="shared" ref="AC512:AC516" si="747">AE512+AF512</f>
        <v>1.3743514387400673</v>
      </c>
      <c r="AD512" s="3617">
        <f t="shared" ref="AD512:AD516" si="748">AG512+AH512</f>
        <v>0</v>
      </c>
      <c r="AE512" s="1661">
        <f>'Income Eligible Deemed Table'!BD1394</f>
        <v>1.3743514387400673</v>
      </c>
      <c r="AF512" s="2453"/>
      <c r="AG512" s="2453"/>
      <c r="AH512" s="2453"/>
      <c r="AI512" s="684" t="str">
        <f>'Income Eligible Deemed Table'!L1394</f>
        <v>per sq ft</v>
      </c>
      <c r="AM512" s="2433">
        <f t="shared" si="738"/>
        <v>4.6608050000000002E-4</v>
      </c>
      <c r="AN512" s="100">
        <f t="shared" ref="AN512:AN516" si="749">AM512*I512</f>
        <v>5.3811112272727276E-4</v>
      </c>
      <c r="AO512" s="2437">
        <f t="shared" ref="AO512:AO516" si="750">AN512-O512</f>
        <v>1.1112272727280183E-7</v>
      </c>
    </row>
    <row r="513" spans="1:41" s="100" customFormat="1" x14ac:dyDescent="0.25">
      <c r="A513" s="103" t="str">
        <f t="shared" si="699"/>
        <v>406175</v>
      </c>
      <c r="B513" s="684" t="str">
        <f>'Income Eligible Deemed Table'!C1395</f>
        <v>406175_2020_12_</v>
      </c>
      <c r="C513" s="1962" t="str">
        <f>'Income Eligible Deemed Table'!G1395</f>
        <v>Building Shell RES</v>
      </c>
      <c r="D513" s="1962"/>
      <c r="E513" s="1962"/>
      <c r="F513" s="1962"/>
      <c r="G513" s="1962" t="str">
        <f>'Income Eligible Deemed Table'!E1395</f>
        <v>Storm Window - Single Pane, Fixed - Electric Furnace</v>
      </c>
      <c r="H513" s="63" t="str">
        <f>'Income Eligible Deemed Table'!D1395</f>
        <v>SFIE / MFIE</v>
      </c>
      <c r="I513" s="2438">
        <f>'Income Eligible Deemed Table'!F1395</f>
        <v>17.528658211659383</v>
      </c>
      <c r="J513" s="2438"/>
      <c r="K513" s="2439"/>
      <c r="L513" s="2439"/>
      <c r="M513" s="2439"/>
      <c r="N513" s="2439"/>
      <c r="O513" s="2440">
        <f>'Income Eligible Deemed Table'!I1395</f>
        <v>8.1700000000000002E-3</v>
      </c>
      <c r="P513" s="2440"/>
      <c r="Q513" s="2441"/>
      <c r="R513" s="2441"/>
      <c r="S513" s="2441"/>
      <c r="T513" s="2441"/>
      <c r="U513" s="1926"/>
      <c r="V513" s="1926"/>
      <c r="W513" s="1926">
        <f t="shared" si="734"/>
        <v>8.1700000000000002E-3</v>
      </c>
      <c r="X513" s="68">
        <f>'Income Eligible Deemed Table'!J1395</f>
        <v>20</v>
      </c>
      <c r="Y513" s="68"/>
      <c r="Z513" s="68">
        <f t="shared" si="746"/>
        <v>20</v>
      </c>
      <c r="AA513" s="62">
        <f>'Income Eligible Deemed Table'!BB1395</f>
        <v>2.3809731145572823</v>
      </c>
      <c r="AB513" s="839">
        <f>'Income Eligible Deemed Table'!K1395</f>
        <v>9.2850000000000001</v>
      </c>
      <c r="AC513" s="3617">
        <f t="shared" si="747"/>
        <v>20.865819130405249</v>
      </c>
      <c r="AD513" s="3617">
        <f t="shared" si="748"/>
        <v>0</v>
      </c>
      <c r="AE513" s="1661">
        <f>'Income Eligible Deemed Table'!BD1395</f>
        <v>20.865819130405249</v>
      </c>
      <c r="AF513" s="2453"/>
      <c r="AG513" s="2453"/>
      <c r="AH513" s="2453"/>
      <c r="AI513" s="684" t="str">
        <f>'Income Eligible Deemed Table'!L1395</f>
        <v>per sq ft</v>
      </c>
      <c r="AM513" s="2433">
        <f t="shared" si="738"/>
        <v>4.6608050000000002E-4</v>
      </c>
      <c r="AN513" s="100">
        <f t="shared" si="749"/>
        <v>8.1697657836193108E-3</v>
      </c>
      <c r="AO513" s="2437">
        <f t="shared" si="750"/>
        <v>-2.3421638068940598E-7</v>
      </c>
    </row>
    <row r="514" spans="1:41" s="100" customFormat="1" x14ac:dyDescent="0.25">
      <c r="A514" s="103" t="str">
        <f t="shared" si="699"/>
        <v>406200</v>
      </c>
      <c r="B514" s="684" t="str">
        <f>'Income Eligible Deemed Table'!C1396</f>
        <v>406200_2020_12_</v>
      </c>
      <c r="C514" s="1962" t="str">
        <f>'Income Eligible Deemed Table'!G1396</f>
        <v>Building Shell RES</v>
      </c>
      <c r="D514" s="1962"/>
      <c r="E514" s="1962"/>
      <c r="F514" s="1962"/>
      <c r="G514" s="1962" t="str">
        <f>'Income Eligible Deemed Table'!E1396</f>
        <v>Storm Window - Single Pane, Fixed - Heat Pump</v>
      </c>
      <c r="H514" s="63" t="str">
        <f>'Income Eligible Deemed Table'!D1396</f>
        <v>SFIE / MFIE</v>
      </c>
      <c r="I514" s="2438">
        <f>'Income Eligible Deemed Table'!F1396</f>
        <v>10.414451027702533</v>
      </c>
      <c r="J514" s="2438"/>
      <c r="K514" s="2439"/>
      <c r="L514" s="2439"/>
      <c r="M514" s="2439"/>
      <c r="N514" s="2439"/>
      <c r="O514" s="2440">
        <f>'Income Eligible Deemed Table'!I1396</f>
        <v>4.8539999999999998E-3</v>
      </c>
      <c r="P514" s="2440"/>
      <c r="Q514" s="2441"/>
      <c r="R514" s="2441"/>
      <c r="S514" s="2441"/>
      <c r="T514" s="2441"/>
      <c r="U514" s="1926"/>
      <c r="V514" s="1926"/>
      <c r="W514" s="1926">
        <f t="shared" si="734"/>
        <v>4.8539999999999998E-3</v>
      </c>
      <c r="X514" s="68">
        <f>'Income Eligible Deemed Table'!J1396</f>
        <v>20</v>
      </c>
      <c r="Y514" s="68"/>
      <c r="Z514" s="68">
        <f t="shared" si="746"/>
        <v>20</v>
      </c>
      <c r="AA514" s="62">
        <f>'Income Eligible Deemed Table'!BB1396</f>
        <v>1.4146278397589782</v>
      </c>
      <c r="AB514" s="839">
        <f>'Income Eligible Deemed Table'!K1396</f>
        <v>9.2850000000000001</v>
      </c>
      <c r="AC514" s="3617">
        <f t="shared" si="747"/>
        <v>12.397186873206334</v>
      </c>
      <c r="AD514" s="3617">
        <f t="shared" si="748"/>
        <v>0</v>
      </c>
      <c r="AE514" s="1661">
        <f>'Income Eligible Deemed Table'!BD1396</f>
        <v>12.397186873206334</v>
      </c>
      <c r="AF514" s="2453"/>
      <c r="AG514" s="2453"/>
      <c r="AH514" s="2453"/>
      <c r="AI514" s="684" t="str">
        <f>'Income Eligible Deemed Table'!L1396</f>
        <v>per sq ft</v>
      </c>
      <c r="AM514" s="2433">
        <f t="shared" si="738"/>
        <v>4.6608050000000002E-4</v>
      </c>
      <c r="AN514" s="100">
        <f t="shared" si="749"/>
        <v>4.8539725422171104E-3</v>
      </c>
      <c r="AO514" s="2437">
        <f t="shared" si="750"/>
        <v>-2.7457782889386828E-8</v>
      </c>
    </row>
    <row r="515" spans="1:41" s="100" customFormat="1" x14ac:dyDescent="0.25">
      <c r="A515" s="103" t="str">
        <f t="shared" si="699"/>
        <v>406225</v>
      </c>
      <c r="B515" s="684" t="str">
        <f>'Income Eligible Deemed Table'!C1397</f>
        <v>406225_2020_12_</v>
      </c>
      <c r="C515" s="1962" t="str">
        <f>'Income Eligible Deemed Table'!G1397</f>
        <v>Building Shell RES</v>
      </c>
      <c r="D515" s="1962"/>
      <c r="E515" s="1962"/>
      <c r="F515" s="1962"/>
      <c r="G515" s="1962" t="str">
        <f>'Income Eligible Deemed Table'!E1397</f>
        <v>Storm Window - Single Pane, Fixed - Gas Heating</v>
      </c>
      <c r="H515" s="63" t="str">
        <f>'Income Eligible Deemed Table'!D1397</f>
        <v>SFIE / MFIE</v>
      </c>
      <c r="I515" s="2438">
        <f>'Income Eligible Deemed Table'!F1397</f>
        <v>2.3909090909090911</v>
      </c>
      <c r="J515" s="2438"/>
      <c r="K515" s="2439"/>
      <c r="L515" s="2439"/>
      <c r="M515" s="2439"/>
      <c r="N515" s="2439"/>
      <c r="O515" s="2440">
        <f>'Income Eligible Deemed Table'!I1397</f>
        <v>1.114E-3</v>
      </c>
      <c r="P515" s="2440"/>
      <c r="Q515" s="2441"/>
      <c r="R515" s="2441"/>
      <c r="S515" s="2441"/>
      <c r="T515" s="2441"/>
      <c r="U515" s="1926"/>
      <c r="V515" s="1926"/>
      <c r="W515" s="1926">
        <f t="shared" si="734"/>
        <v>1.114E-3</v>
      </c>
      <c r="X515" s="68">
        <f>'Income Eligible Deemed Table'!J1397</f>
        <v>20</v>
      </c>
      <c r="Y515" s="68"/>
      <c r="Z515" s="68">
        <f t="shared" si="746"/>
        <v>20</v>
      </c>
      <c r="AA515" s="62">
        <f>'Income Eligible Deemed Table'!BB1397</f>
        <v>0.32476474788119158</v>
      </c>
      <c r="AB515" s="839">
        <f>'Income Eligible Deemed Table'!K1397</f>
        <v>9.2850000000000001</v>
      </c>
      <c r="AC515" s="3617">
        <f t="shared" si="747"/>
        <v>2.846097861327856</v>
      </c>
      <c r="AD515" s="3617">
        <f t="shared" si="748"/>
        <v>0</v>
      </c>
      <c r="AE515" s="1661">
        <f>'Income Eligible Deemed Table'!BD1397</f>
        <v>2.846097861327856</v>
      </c>
      <c r="AF515" s="2453"/>
      <c r="AG515" s="2453"/>
      <c r="AH515" s="2453"/>
      <c r="AI515" s="684" t="str">
        <f>'Income Eligible Deemed Table'!L1397</f>
        <v>per sq ft</v>
      </c>
      <c r="AM515" s="2433">
        <f t="shared" si="738"/>
        <v>4.6608050000000002E-4</v>
      </c>
      <c r="AN515" s="100">
        <f t="shared" si="749"/>
        <v>1.1143561045454547E-3</v>
      </c>
      <c r="AO515" s="2437">
        <f t="shared" si="750"/>
        <v>3.5610454545472597E-7</v>
      </c>
    </row>
    <row r="516" spans="1:41" s="100" customFormat="1" x14ac:dyDescent="0.25">
      <c r="A516" s="103" t="str">
        <f t="shared" si="699"/>
        <v>406250</v>
      </c>
      <c r="B516" s="684" t="str">
        <f>'Income Eligible Deemed Table'!C1398</f>
        <v>406250_2020_12_</v>
      </c>
      <c r="C516" s="1962" t="str">
        <f>'Income Eligible Deemed Table'!G1398</f>
        <v>Building Shell RES</v>
      </c>
      <c r="D516" s="1962"/>
      <c r="E516" s="1962"/>
      <c r="F516" s="1962"/>
      <c r="G516" s="1962" t="str">
        <f>'Income Eligible Deemed Table'!E1398</f>
        <v>Storm Window - Double Pane, Fixed - Electric Furnace</v>
      </c>
      <c r="H516" s="63" t="str">
        <f>'Income Eligible Deemed Table'!D1398</f>
        <v>SFIE / MFIE</v>
      </c>
      <c r="I516" s="2438">
        <f>'Income Eligible Deemed Table'!F1398</f>
        <v>5.5948603858041137</v>
      </c>
      <c r="J516" s="2438"/>
      <c r="K516" s="2439"/>
      <c r="L516" s="2439"/>
      <c r="M516" s="2439"/>
      <c r="N516" s="2439"/>
      <c r="O516" s="2440">
        <f>'Income Eligible Deemed Table'!I1398</f>
        <v>2.6080000000000001E-3</v>
      </c>
      <c r="P516" s="2440"/>
      <c r="Q516" s="2441"/>
      <c r="R516" s="2441"/>
      <c r="S516" s="2441"/>
      <c r="T516" s="2441"/>
      <c r="U516" s="1926"/>
      <c r="V516" s="1926"/>
      <c r="W516" s="1926">
        <f t="shared" si="734"/>
        <v>2.6080000000000001E-3</v>
      </c>
      <c r="X516" s="68">
        <f>'Income Eligible Deemed Table'!J1398</f>
        <v>20</v>
      </c>
      <c r="Y516" s="68"/>
      <c r="Z516" s="68">
        <f t="shared" si="746"/>
        <v>20</v>
      </c>
      <c r="AA516" s="62">
        <f>'Income Eligible Deemed Table'!BB1398</f>
        <v>0.75996759121245372</v>
      </c>
      <c r="AB516" s="839">
        <f>'Income Eligible Deemed Table'!K1398</f>
        <v>9.2850000000000001</v>
      </c>
      <c r="AC516" s="3617">
        <f t="shared" si="747"/>
        <v>6.6600274510690243</v>
      </c>
      <c r="AD516" s="3617">
        <f t="shared" si="748"/>
        <v>0</v>
      </c>
      <c r="AE516" s="1661">
        <f>'Income Eligible Deemed Table'!BD1398</f>
        <v>6.6600274510690243</v>
      </c>
      <c r="AF516" s="2453"/>
      <c r="AG516" s="2453"/>
      <c r="AH516" s="2453"/>
      <c r="AI516" s="684" t="str">
        <f>'Income Eligible Deemed Table'!L1398</f>
        <v>per sq ft</v>
      </c>
      <c r="AM516" s="2433">
        <f t="shared" si="738"/>
        <v>4.6608050000000002E-4</v>
      </c>
      <c r="AN516" s="100">
        <f t="shared" si="749"/>
        <v>2.6076553260457745E-3</v>
      </c>
      <c r="AO516" s="2437">
        <f t="shared" si="750"/>
        <v>-3.4467395422553906E-7</v>
      </c>
    </row>
    <row r="517" spans="1:41" s="100" customFormat="1" x14ac:dyDescent="0.25">
      <c r="A517" s="103" t="str">
        <f t="shared" si="699"/>
        <v>406275</v>
      </c>
      <c r="B517" s="684" t="str">
        <f>'Income Eligible Deemed Table'!C1399</f>
        <v>406275_2020_12_</v>
      </c>
      <c r="C517" s="1962" t="str">
        <f>'Income Eligible Deemed Table'!G1399</f>
        <v>Building Shell RES</v>
      </c>
      <c r="D517" s="1962"/>
      <c r="E517" s="1962"/>
      <c r="F517" s="1962"/>
      <c r="G517" s="1962" t="str">
        <f>'Income Eligible Deemed Table'!E1399</f>
        <v>Storm Window - Double Pane, Fixed - Heat Pump</v>
      </c>
      <c r="H517" s="63" t="str">
        <f>'Income Eligible Deemed Table'!D1399</f>
        <v>SFIE / MFIE</v>
      </c>
      <c r="I517" s="2438">
        <f>'Income Eligible Deemed Table'!F1399</f>
        <v>3.415144438347828</v>
      </c>
      <c r="J517" s="2438"/>
      <c r="K517" s="2439"/>
      <c r="L517" s="2439"/>
      <c r="M517" s="2439"/>
      <c r="N517" s="2439"/>
      <c r="O517" s="2440">
        <f>'Income Eligible Deemed Table'!I1399</f>
        <v>1.5920000000000001E-3</v>
      </c>
      <c r="P517" s="2440"/>
      <c r="Q517" s="2441"/>
      <c r="R517" s="2441"/>
      <c r="S517" s="2441"/>
      <c r="T517" s="2441"/>
      <c r="U517" s="1926"/>
      <c r="V517" s="1926"/>
      <c r="W517" s="1926">
        <f t="shared" si="734"/>
        <v>1.5920000000000001E-3</v>
      </c>
      <c r="X517" s="68">
        <f>'Income Eligible Deemed Table'!J1399</f>
        <v>20</v>
      </c>
      <c r="Y517" s="68"/>
      <c r="Z517" s="68">
        <f t="shared" ref="Z517:Z521" si="751">Y517+X517</f>
        <v>20</v>
      </c>
      <c r="AA517" s="62">
        <f>'Income Eligible Deemed Table'!BB1399</f>
        <v>0.4638898763299143</v>
      </c>
      <c r="AB517" s="839">
        <f>'Income Eligible Deemed Table'!K1399</f>
        <v>9.2850000000000001</v>
      </c>
      <c r="AC517" s="3617">
        <f t="shared" ref="AC517:AC518" si="752">AE517+AF517</f>
        <v>4.0653303461286017</v>
      </c>
      <c r="AD517" s="3617">
        <f t="shared" ref="AD517:AD518" si="753">AG517+AH517</f>
        <v>0</v>
      </c>
      <c r="AE517" s="1661">
        <f>'Income Eligible Deemed Table'!BD1399</f>
        <v>4.0653303461286017</v>
      </c>
      <c r="AF517" s="2453"/>
      <c r="AG517" s="2453"/>
      <c r="AH517" s="2453"/>
      <c r="AI517" s="684" t="str">
        <f>'Income Eligible Deemed Table'!L1399</f>
        <v>per sq ft</v>
      </c>
      <c r="AM517" s="2433">
        <f t="shared" si="738"/>
        <v>4.6608050000000002E-4</v>
      </c>
      <c r="AN517" s="100">
        <f t="shared" ref="AN517:AN518" si="754">AM517*I517</f>
        <v>1.5917322273973748E-3</v>
      </c>
      <c r="AO517" s="2437">
        <f t="shared" ref="AO517:AO518" si="755">AN517-O517</f>
        <v>-2.6777260262529808E-7</v>
      </c>
    </row>
    <row r="518" spans="1:41" s="100" customFormat="1" x14ac:dyDescent="0.25">
      <c r="A518" s="103" t="str">
        <f t="shared" si="699"/>
        <v>406300</v>
      </c>
      <c r="B518" s="684" t="str">
        <f>'Income Eligible Deemed Table'!C1400</f>
        <v>406300_2020_12_</v>
      </c>
      <c r="C518" s="1962" t="str">
        <f>'Income Eligible Deemed Table'!G1400</f>
        <v>Building Shell RES</v>
      </c>
      <c r="D518" s="1962"/>
      <c r="E518" s="1962"/>
      <c r="F518" s="1962"/>
      <c r="G518" s="1962" t="str">
        <f>'Income Eligible Deemed Table'!E1400</f>
        <v>Storm Window - Double Pane, Fixed - Gas Heating</v>
      </c>
      <c r="H518" s="63" t="str">
        <f>'Income Eligible Deemed Table'!D1400</f>
        <v>SFIE / MFIE</v>
      </c>
      <c r="I518" s="2438">
        <f>'Income Eligible Deemed Table'!F1400</f>
        <v>0.9568181818181819</v>
      </c>
      <c r="J518" s="2438"/>
      <c r="K518" s="2439"/>
      <c r="L518" s="2439"/>
      <c r="M518" s="2439"/>
      <c r="N518" s="2439"/>
      <c r="O518" s="2440">
        <f>'Income Eligible Deemed Table'!I1400</f>
        <v>4.46E-4</v>
      </c>
      <c r="P518" s="2440"/>
      <c r="Q518" s="2441"/>
      <c r="R518" s="2441"/>
      <c r="S518" s="2441"/>
      <c r="T518" s="2441"/>
      <c r="U518" s="1926"/>
      <c r="V518" s="1926"/>
      <c r="W518" s="1926">
        <f t="shared" si="734"/>
        <v>4.46E-4</v>
      </c>
      <c r="X518" s="68">
        <f>'Income Eligible Deemed Table'!J1400</f>
        <v>20</v>
      </c>
      <c r="Y518" s="68"/>
      <c r="Z518" s="68">
        <f t="shared" si="751"/>
        <v>20</v>
      </c>
      <c r="AA518" s="62">
        <f>'Income Eligible Deemed Table'!BB1400</f>
        <v>0.12996764149998258</v>
      </c>
      <c r="AB518" s="839">
        <f>'Income Eligible Deemed Table'!K1400</f>
        <v>9.2850000000000001</v>
      </c>
      <c r="AC518" s="3617">
        <f t="shared" si="752"/>
        <v>1.1389802277747409</v>
      </c>
      <c r="AD518" s="3617">
        <f t="shared" si="753"/>
        <v>0</v>
      </c>
      <c r="AE518" s="1661">
        <f>'Income Eligible Deemed Table'!BD1400</f>
        <v>1.1389802277747409</v>
      </c>
      <c r="AF518" s="2453"/>
      <c r="AG518" s="2453"/>
      <c r="AH518" s="2453"/>
      <c r="AI518" s="684" t="str">
        <f>'Income Eligible Deemed Table'!L1400</f>
        <v>per sq ft</v>
      </c>
      <c r="AM518" s="2433">
        <f t="shared" si="738"/>
        <v>4.6608050000000002E-4</v>
      </c>
      <c r="AN518" s="100">
        <f t="shared" si="754"/>
        <v>4.4595429659090915E-4</v>
      </c>
      <c r="AO518" s="2437">
        <f t="shared" si="755"/>
        <v>-4.5703409090852142E-8</v>
      </c>
    </row>
    <row r="519" spans="1:41" s="100" customFormat="1" x14ac:dyDescent="0.25">
      <c r="A519" s="103" t="str">
        <f t="shared" si="699"/>
        <v>450050</v>
      </c>
      <c r="B519" s="1960" t="str">
        <f>'Home Energy Report Deemed Table'!C7</f>
        <v>450050_2021_12_</v>
      </c>
      <c r="C519" s="1962" t="str">
        <f>'Home Energy Report Deemed Table'!G7</f>
        <v>Building Shell RES</v>
      </c>
      <c r="D519" s="1962"/>
      <c r="E519" s="1962"/>
      <c r="F519" s="1962"/>
      <c r="G519" s="1962" t="str">
        <f>'Home Energy Report Deemed Table'!E7</f>
        <v xml:space="preserve">Home Energy Report </v>
      </c>
      <c r="H519" s="63" t="str">
        <f>'Home Energy Report Deemed Table'!D7</f>
        <v>SF</v>
      </c>
      <c r="I519" s="2438">
        <f>'Home Energy Report Deemed Table'!F7</f>
        <v>120.13962118077339</v>
      </c>
      <c r="J519" s="2438"/>
      <c r="K519" s="2439"/>
      <c r="L519" s="2439"/>
      <c r="M519" s="2439"/>
      <c r="N519" s="2439"/>
      <c r="O519" s="2440">
        <f>'Home Energy Report Deemed Table'!I7</f>
        <v>5.5995000000000003E-2</v>
      </c>
      <c r="P519" s="2440"/>
      <c r="Q519" s="2441"/>
      <c r="R519" s="2441"/>
      <c r="S519" s="2441"/>
      <c r="T519" s="2441"/>
      <c r="U519" s="1819">
        <f t="shared" si="732"/>
        <v>5.5995000000000003E-2</v>
      </c>
      <c r="V519" s="1926"/>
      <c r="W519" s="1926"/>
      <c r="X519" s="68">
        <f>'Home Energy Report Deemed Table'!J7</f>
        <v>5</v>
      </c>
      <c r="Y519" s="68"/>
      <c r="Z519" s="68">
        <f t="shared" si="751"/>
        <v>5</v>
      </c>
      <c r="AA519" s="62" t="str">
        <f>'Home Energy Report Deemed Table'!BB7</f>
        <v/>
      </c>
      <c r="AB519" s="839">
        <f>'Home Energy Report Deemed Table'!K7</f>
        <v>0</v>
      </c>
      <c r="AC519" s="3617">
        <f t="shared" ref="AC519:AC521" si="756">AE519+AF519</f>
        <v>23.885613816539035</v>
      </c>
      <c r="AD519" s="3617">
        <f t="shared" ref="AD519:AD521" si="757">AG519+AH519</f>
        <v>0</v>
      </c>
      <c r="AE519" s="1661">
        <f>'Home Energy Report Deemed Table'!BD7</f>
        <v>23.885613816539035</v>
      </c>
      <c r="AF519" s="2453"/>
      <c r="AG519" s="2453"/>
      <c r="AH519" s="2453"/>
      <c r="AI519" s="684" t="str">
        <f>'Home Energy Report Deemed Table'!L7</f>
        <v>per report</v>
      </c>
      <c r="AM519" s="2433"/>
      <c r="AO519" s="2437"/>
    </row>
    <row r="520" spans="1:41" s="1930" customFormat="1" x14ac:dyDescent="0.25">
      <c r="A520" s="103" t="str">
        <f t="shared" si="699"/>
        <v>500050</v>
      </c>
      <c r="B520" s="684" t="str">
        <f>'MFMR Deemed Table '!C7</f>
        <v>500050_2019_12_</v>
      </c>
      <c r="C520" s="1962" t="str">
        <f>'MFMR Deemed Table '!G7</f>
        <v>Cooling RES</v>
      </c>
      <c r="D520" s="1962"/>
      <c r="E520" s="1962"/>
      <c r="F520" s="1962"/>
      <c r="G520" s="1962" t="str">
        <f>'MFMR Deemed Table '!E7</f>
        <v>General Tune-Up (no charge or coil clean) / MFMR</v>
      </c>
      <c r="H520" s="63" t="str">
        <f>'MFMR Deemed Table '!D7</f>
        <v>MFMR</v>
      </c>
      <c r="I520" s="2438">
        <f t="shared" ref="I520" si="758">K520+L520</f>
        <v>91.43</v>
      </c>
      <c r="J520" s="2438">
        <f t="shared" ref="J520" si="759">M520+N520</f>
        <v>0</v>
      </c>
      <c r="K520" s="2439">
        <f>'MFMR Deemed Table '!F7</f>
        <v>91.43</v>
      </c>
      <c r="L520" s="2439"/>
      <c r="M520" s="2439"/>
      <c r="N520" s="2439"/>
      <c r="O520" s="2440">
        <f t="shared" ref="O520" si="760">Q520+R520</f>
        <v>8.6622000000000005E-2</v>
      </c>
      <c r="P520" s="2440">
        <f t="shared" ref="P520" si="761">S520+T520</f>
        <v>0</v>
      </c>
      <c r="Q520" s="2441">
        <f>'MFMR Deemed Table '!I7</f>
        <v>8.6622000000000005E-2</v>
      </c>
      <c r="R520" s="2441"/>
      <c r="S520" s="2441"/>
      <c r="T520" s="2441"/>
      <c r="U520" s="1819">
        <f t="shared" si="732"/>
        <v>8.6622000000000005E-2</v>
      </c>
      <c r="V520" s="1819">
        <v>0</v>
      </c>
      <c r="W520" s="1819">
        <v>0</v>
      </c>
      <c r="X520" s="68">
        <f>'MFMR Deemed Table '!J7</f>
        <v>2</v>
      </c>
      <c r="Y520" s="68"/>
      <c r="Z520" s="68">
        <f t="shared" ref="Z520" si="762">Y520+X520</f>
        <v>2</v>
      </c>
      <c r="AA520" s="62">
        <f>'MFMR Deemed Table '!BB7</f>
        <v>0.23680707300838599</v>
      </c>
      <c r="AB520" s="839">
        <f>'MFMR Deemed Table '!K7</f>
        <v>70</v>
      </c>
      <c r="AC520" s="3617">
        <f t="shared" ref="AC520" si="763">AE520+AF520</f>
        <v>15.645582926462499</v>
      </c>
      <c r="AD520" s="3617">
        <f t="shared" ref="AD520" si="764">AG520+AH520</f>
        <v>0</v>
      </c>
      <c r="AE520" s="1661">
        <f>'MFMR Deemed Table '!BD7</f>
        <v>15.645582926462499</v>
      </c>
      <c r="AF520" s="2453"/>
      <c r="AG520" s="2453"/>
      <c r="AH520" s="2453"/>
      <c r="AI520" s="684" t="str">
        <f>'MFMR Deemed Table '!L7</f>
        <v>per measure</v>
      </c>
      <c r="AM520" s="1972">
        <f t="shared" ref="AM520:AM555" si="765">VLOOKUP(C520,$AS$10:$AT$33,2,FALSE)</f>
        <v>9.4741810000000004E-4</v>
      </c>
      <c r="AN520" s="1930">
        <f t="shared" ref="AN520" si="766">AM520*I520</f>
        <v>8.6622436883000004E-2</v>
      </c>
      <c r="AO520" s="1971">
        <f t="shared" ref="AO520" si="767">AN520-O520</f>
        <v>4.3688299999899982E-7</v>
      </c>
    </row>
    <row r="521" spans="1:41" s="1930" customFormat="1" x14ac:dyDescent="0.25">
      <c r="A521" s="103" t="str">
        <f t="shared" si="699"/>
        <v>500051</v>
      </c>
      <c r="B521" s="684" t="str">
        <f>'MFMR Deemed Table '!C8</f>
        <v>500051_2019_12_</v>
      </c>
      <c r="C521" s="1962" t="str">
        <f>'MFMR Deemed Table '!G8</f>
        <v>Cooling RES</v>
      </c>
      <c r="D521" s="1962"/>
      <c r="E521" s="1962"/>
      <c r="F521" s="1962"/>
      <c r="G521" s="1962" t="str">
        <f>'MFMR Deemed Table '!E8</f>
        <v>General Tune-Up (no charge or coil clean) / MFMR_CompE</v>
      </c>
      <c r="H521" s="63" t="str">
        <f>'MFMR Deemed Table '!D8</f>
        <v>MFMRc</v>
      </c>
      <c r="I521" s="2438">
        <f t="shared" ref="I521" si="768">K521+L521</f>
        <v>66.5</v>
      </c>
      <c r="J521" s="2438">
        <f t="shared" ref="J521" si="769">M521+N521</f>
        <v>0</v>
      </c>
      <c r="K521" s="2439">
        <f>'MFMR Deemed Table '!F8</f>
        <v>66.5</v>
      </c>
      <c r="L521" s="2439"/>
      <c r="M521" s="2439"/>
      <c r="N521" s="2439"/>
      <c r="O521" s="2440">
        <f t="shared" ref="O521" si="770">Q521+R521</f>
        <v>6.3003000000000003E-2</v>
      </c>
      <c r="P521" s="2440">
        <f t="shared" ref="P521" si="771">S521+T521</f>
        <v>0</v>
      </c>
      <c r="Q521" s="2441">
        <f>'MFMR Deemed Table '!I8</f>
        <v>6.3003000000000003E-2</v>
      </c>
      <c r="R521" s="2441"/>
      <c r="S521" s="2441"/>
      <c r="T521" s="2441"/>
      <c r="U521" s="1819">
        <f t="shared" ref="U521" si="772">O521</f>
        <v>6.3003000000000003E-2</v>
      </c>
      <c r="V521" s="1819">
        <v>0</v>
      </c>
      <c r="W521" s="1819">
        <v>0</v>
      </c>
      <c r="X521" s="68">
        <f>'MFMR Deemed Table '!J8</f>
        <v>2</v>
      </c>
      <c r="Y521" s="68"/>
      <c r="Z521" s="68">
        <f t="shared" si="751"/>
        <v>2</v>
      </c>
      <c r="AA521" s="62">
        <f>'MFMR Deemed Table '!BB8</f>
        <v>0.17223745329823545</v>
      </c>
      <c r="AB521" s="839">
        <f>'MFMR Deemed Table '!K8</f>
        <v>70</v>
      </c>
      <c r="AC521" s="3617">
        <f t="shared" si="756"/>
        <v>11.379539151369967</v>
      </c>
      <c r="AD521" s="3617">
        <f t="shared" si="757"/>
        <v>0</v>
      </c>
      <c r="AE521" s="1661">
        <f>'MFMR Deemed Table '!BD8</f>
        <v>11.379539151369967</v>
      </c>
      <c r="AF521" s="2453"/>
      <c r="AG521" s="2453"/>
      <c r="AH521" s="2453"/>
      <c r="AI521" s="684" t="str">
        <f>'MFMR Deemed Table '!L8</f>
        <v>per measure</v>
      </c>
      <c r="AM521" s="1972">
        <f t="shared" si="765"/>
        <v>9.4741810000000004E-4</v>
      </c>
      <c r="AN521" s="1930">
        <f t="shared" ref="AN521" si="773">AM521*I521</f>
        <v>6.3003303650000009E-2</v>
      </c>
      <c r="AO521" s="1971">
        <f t="shared" ref="AO521" si="774">AN521-O521</f>
        <v>3.0365000000531772E-7</v>
      </c>
    </row>
    <row r="522" spans="1:41" s="1930" customFormat="1" x14ac:dyDescent="0.25">
      <c r="A522" s="103" t="str">
        <f t="shared" ref="A522:A585" si="775">LEFT(B522,6)</f>
        <v>500100</v>
      </c>
      <c r="B522" s="684" t="str">
        <f>'MFMR Deemed Table '!C9</f>
        <v>500100_2019_12_</v>
      </c>
      <c r="C522" s="1962" t="str">
        <f>'MFMR Deemed Table '!G9</f>
        <v>Cooling RES</v>
      </c>
      <c r="D522" s="1962"/>
      <c r="E522" s="1962"/>
      <c r="F522" s="1962"/>
      <c r="G522" s="1962" t="str">
        <f>'MFMR Deemed Table '!E9</f>
        <v>AC Tune-up / refrigerant charge / MFMR</v>
      </c>
      <c r="H522" s="63" t="str">
        <f>'MFMR Deemed Table '!D9</f>
        <v>MFMR</v>
      </c>
      <c r="I522" s="2438">
        <f t="shared" ref="I522" si="776">K522+L522</f>
        <v>381.36</v>
      </c>
      <c r="J522" s="2438">
        <f t="shared" ref="J522" si="777">M522+N522</f>
        <v>0</v>
      </c>
      <c r="K522" s="2439">
        <f>'MFMR Deemed Table '!F9</f>
        <v>381.36</v>
      </c>
      <c r="L522" s="2439"/>
      <c r="M522" s="2439"/>
      <c r="N522" s="2439"/>
      <c r="O522" s="2440">
        <f t="shared" ref="O522" si="778">Q522+R522</f>
        <v>0.36130699999999999</v>
      </c>
      <c r="P522" s="2440">
        <f t="shared" ref="P522" si="779">S522+T522</f>
        <v>0</v>
      </c>
      <c r="Q522" s="2441">
        <f>'MFMR Deemed Table '!I9</f>
        <v>0.36130699999999999</v>
      </c>
      <c r="R522" s="2441"/>
      <c r="S522" s="2441"/>
      <c r="T522" s="2441"/>
      <c r="U522" s="1819">
        <f t="shared" ref="U522" si="780">O522</f>
        <v>0.36130699999999999</v>
      </c>
      <c r="V522" s="1819">
        <v>0</v>
      </c>
      <c r="W522" s="1819">
        <v>0</v>
      </c>
      <c r="X522" s="68">
        <f>'MFMR Deemed Table '!J9</f>
        <v>2</v>
      </c>
      <c r="Y522" s="68"/>
      <c r="Z522" s="68">
        <f t="shared" ref="Z522" si="781">Y522+X522</f>
        <v>2</v>
      </c>
      <c r="AA522" s="62">
        <f>'MFMR Deemed Table '!BB9</f>
        <v>0.85359941767141101</v>
      </c>
      <c r="AB522" s="839">
        <f>'MFMR Deemed Table '!K9</f>
        <v>81</v>
      </c>
      <c r="AC522" s="3617">
        <f t="shared" ref="AC522" si="782">AE522+AF522</f>
        <v>65.25866241754062</v>
      </c>
      <c r="AD522" s="3617">
        <f t="shared" ref="AD522" si="783">AG522+AH522</f>
        <v>0</v>
      </c>
      <c r="AE522" s="1661">
        <f>'MFMR Deemed Table '!BD9</f>
        <v>65.25866241754062</v>
      </c>
      <c r="AF522" s="2453"/>
      <c r="AG522" s="2453"/>
      <c r="AH522" s="2453"/>
      <c r="AI522" s="684" t="str">
        <f>'MFMR Deemed Table '!L9</f>
        <v>per measure</v>
      </c>
      <c r="AM522" s="1972">
        <f t="shared" si="765"/>
        <v>9.4741810000000004E-4</v>
      </c>
      <c r="AN522" s="1930">
        <f t="shared" ref="AN522" si="784">AM522*I522</f>
        <v>0.36130736661600005</v>
      </c>
      <c r="AO522" s="1971">
        <f t="shared" ref="AO522" si="785">AN522-O522</f>
        <v>3.6661600005816197E-7</v>
      </c>
    </row>
    <row r="523" spans="1:41" x14ac:dyDescent="0.25">
      <c r="A523" s="103" t="str">
        <f t="shared" si="775"/>
        <v>500101</v>
      </c>
      <c r="B523" s="684" t="str">
        <f>'MFMR Deemed Table '!C10</f>
        <v>500101_2019_12_</v>
      </c>
      <c r="C523" s="1962" t="str">
        <f>'MFMR Deemed Table '!G10</f>
        <v>Cooling RES</v>
      </c>
      <c r="D523" s="1962"/>
      <c r="E523" s="1962"/>
      <c r="F523" s="1962"/>
      <c r="G523" s="1962" t="str">
        <f>'MFMR Deemed Table '!E10</f>
        <v>AC Tune-up / refrigerant charge / MFMR_CompE</v>
      </c>
      <c r="H523" s="63" t="str">
        <f>'MFMR Deemed Table '!D10</f>
        <v>MFMRc</v>
      </c>
      <c r="I523" s="2438">
        <f t="shared" ref="I523:I527" si="786">K523+L523</f>
        <v>277.35000000000002</v>
      </c>
      <c r="J523" s="2438">
        <f t="shared" ref="J523:J527" si="787">M523+N523</f>
        <v>0</v>
      </c>
      <c r="K523" s="2439">
        <f>'MFMR Deemed Table '!F10</f>
        <v>277.35000000000002</v>
      </c>
      <c r="L523" s="2439"/>
      <c r="M523" s="2439"/>
      <c r="N523" s="2439"/>
      <c r="O523" s="2440">
        <f t="shared" ref="O523:O527" si="788">Q523+R523</f>
        <v>0.262766</v>
      </c>
      <c r="P523" s="2440">
        <f t="shared" ref="P523:P527" si="789">S523+T523</f>
        <v>0</v>
      </c>
      <c r="Q523" s="2441">
        <f>'MFMR Deemed Table '!I10</f>
        <v>0.262766</v>
      </c>
      <c r="R523" s="2441"/>
      <c r="S523" s="2441"/>
      <c r="T523" s="2441"/>
      <c r="U523" s="1819">
        <f t="shared" si="732"/>
        <v>0.262766</v>
      </c>
      <c r="V523" s="1819">
        <v>0</v>
      </c>
      <c r="W523" s="1819">
        <v>0</v>
      </c>
      <c r="X523" s="68">
        <f>'MFMR Deemed Table '!J10</f>
        <v>2</v>
      </c>
      <c r="Y523" s="68"/>
      <c r="Z523" s="68">
        <f t="shared" si="733"/>
        <v>2</v>
      </c>
      <c r="AA523" s="62">
        <f>'MFMR Deemed Table '!BB10</f>
        <v>0.6207934720242444</v>
      </c>
      <c r="AB523" s="839">
        <f>'MFMR Deemed Table '!K10</f>
        <v>81</v>
      </c>
      <c r="AC523" s="3617">
        <f t="shared" si="691"/>
        <v>47.46037870124001</v>
      </c>
      <c r="AD523" s="3617">
        <f t="shared" si="692"/>
        <v>0</v>
      </c>
      <c r="AE523" s="1661">
        <f>'MFMR Deemed Table '!BD10</f>
        <v>47.46037870124001</v>
      </c>
      <c r="AF523" s="2453"/>
      <c r="AG523" s="2453"/>
      <c r="AH523" s="2453"/>
      <c r="AI523" s="684" t="str">
        <f>'MFMR Deemed Table '!L10</f>
        <v>per measure</v>
      </c>
      <c r="AJ523" s="1930"/>
      <c r="AK523" s="1930"/>
      <c r="AL523" s="1930"/>
      <c r="AM523" s="1972">
        <f t="shared" si="765"/>
        <v>9.4741810000000004E-4</v>
      </c>
      <c r="AN523" s="1930">
        <f t="shared" si="727"/>
        <v>0.26276641003500001</v>
      </c>
      <c r="AO523" s="1971">
        <f t="shared" ref="AO523:AO588" si="790">AN523-O523</f>
        <v>4.1003500000913462E-7</v>
      </c>
    </row>
    <row r="524" spans="1:41" x14ac:dyDescent="0.25">
      <c r="A524" s="103" t="str">
        <f t="shared" si="775"/>
        <v>500150</v>
      </c>
      <c r="B524" s="684" t="str">
        <f>'MFMR Deemed Table '!C11</f>
        <v>500150_2019_12_</v>
      </c>
      <c r="C524" s="1962" t="str">
        <f>'MFMR Deemed Table '!G11</f>
        <v>Cooling RES</v>
      </c>
      <c r="D524" s="1962"/>
      <c r="E524" s="1962"/>
      <c r="F524" s="1962"/>
      <c r="G524" s="1962" t="str">
        <f>'MFMR Deemed Table '!E11</f>
        <v>Indoor Coil (Evaporator) Cleaning / MFMR</v>
      </c>
      <c r="H524" s="63" t="str">
        <f>'MFMR Deemed Table '!D11</f>
        <v>MFMR</v>
      </c>
      <c r="I524" s="2438">
        <f t="shared" si="786"/>
        <v>63.12</v>
      </c>
      <c r="J524" s="2438">
        <f t="shared" si="787"/>
        <v>0</v>
      </c>
      <c r="K524" s="2439">
        <f>'MFMR Deemed Table '!F11</f>
        <v>63.12</v>
      </c>
      <c r="L524" s="2439"/>
      <c r="M524" s="2439"/>
      <c r="N524" s="2439"/>
      <c r="O524" s="2440">
        <f t="shared" si="788"/>
        <v>5.9801E-2</v>
      </c>
      <c r="P524" s="2440">
        <f t="shared" si="789"/>
        <v>0</v>
      </c>
      <c r="Q524" s="2441">
        <f>'MFMR Deemed Table '!I11</f>
        <v>5.9801E-2</v>
      </c>
      <c r="R524" s="2441"/>
      <c r="S524" s="2441"/>
      <c r="T524" s="2441"/>
      <c r="U524" s="1819">
        <f t="shared" si="732"/>
        <v>5.9801E-2</v>
      </c>
      <c r="V524" s="1819">
        <v>0</v>
      </c>
      <c r="W524" s="1819">
        <v>0</v>
      </c>
      <c r="X524" s="68">
        <f>'MFMR Deemed Table '!J11</f>
        <v>2</v>
      </c>
      <c r="Y524" s="68"/>
      <c r="Z524" s="68">
        <f t="shared" si="733"/>
        <v>2</v>
      </c>
      <c r="AA524" s="62">
        <f>'MFMR Deemed Table '!BB11</f>
        <v>0.18164792067142224</v>
      </c>
      <c r="AB524" s="839">
        <f>'MFMR Deemed Table '!K11</f>
        <v>63</v>
      </c>
      <c r="AC524" s="3617">
        <f t="shared" si="691"/>
        <v>10.801150544879283</v>
      </c>
      <c r="AD524" s="3617">
        <f t="shared" si="692"/>
        <v>0</v>
      </c>
      <c r="AE524" s="1661">
        <f>'MFMR Deemed Table '!BD11</f>
        <v>10.801150544879283</v>
      </c>
      <c r="AF524" s="2453"/>
      <c r="AG524" s="2453"/>
      <c r="AH524" s="2453"/>
      <c r="AI524" s="684" t="str">
        <f>'MFMR Deemed Table '!L11</f>
        <v>per measure</v>
      </c>
      <c r="AJ524" s="1930"/>
      <c r="AK524" s="1930"/>
      <c r="AL524" s="1930"/>
      <c r="AM524" s="1972">
        <f t="shared" si="765"/>
        <v>9.4741810000000004E-4</v>
      </c>
      <c r="AN524" s="1930">
        <f t="shared" si="727"/>
        <v>5.9801030472E-2</v>
      </c>
      <c r="AO524" s="1971">
        <f t="shared" si="790"/>
        <v>3.047199999967054E-8</v>
      </c>
    </row>
    <row r="525" spans="1:41" x14ac:dyDescent="0.25">
      <c r="A525" s="103" t="str">
        <f t="shared" si="775"/>
        <v>500151</v>
      </c>
      <c r="B525" s="684" t="str">
        <f>'MFMR Deemed Table '!C12</f>
        <v>500151_2019_12_</v>
      </c>
      <c r="C525" s="1962" t="str">
        <f>'MFMR Deemed Table '!G12</f>
        <v>Cooling RES</v>
      </c>
      <c r="D525" s="1962"/>
      <c r="E525" s="1962"/>
      <c r="F525" s="1962"/>
      <c r="G525" s="1962" t="str">
        <f>'MFMR Deemed Table '!E12</f>
        <v>Indoor Coil (Evaporator) Cleaning / MFMR_CompE</v>
      </c>
      <c r="H525" s="63" t="str">
        <f>'MFMR Deemed Table '!D12</f>
        <v>MFMRc</v>
      </c>
      <c r="I525" s="2438">
        <f t="shared" si="786"/>
        <v>45.91</v>
      </c>
      <c r="J525" s="2438">
        <f t="shared" si="787"/>
        <v>0</v>
      </c>
      <c r="K525" s="2439">
        <f>'MFMR Deemed Table '!F12</f>
        <v>45.91</v>
      </c>
      <c r="L525" s="2439"/>
      <c r="M525" s="2439"/>
      <c r="N525" s="2439"/>
      <c r="O525" s="2440">
        <f t="shared" si="788"/>
        <v>4.3496E-2</v>
      </c>
      <c r="P525" s="2440">
        <f t="shared" si="789"/>
        <v>0</v>
      </c>
      <c r="Q525" s="2441">
        <f>'MFMR Deemed Table '!I12</f>
        <v>4.3496E-2</v>
      </c>
      <c r="R525" s="2441"/>
      <c r="S525" s="2441"/>
      <c r="T525" s="2441"/>
      <c r="U525" s="1819">
        <f t="shared" si="732"/>
        <v>4.3496E-2</v>
      </c>
      <c r="V525" s="1819">
        <v>0</v>
      </c>
      <c r="W525" s="1819">
        <v>0</v>
      </c>
      <c r="X525" s="68">
        <f>'MFMR Deemed Table '!J12</f>
        <v>2</v>
      </c>
      <c r="Y525" s="68"/>
      <c r="Z525" s="68">
        <f t="shared" si="733"/>
        <v>2</v>
      </c>
      <c r="AA525" s="62">
        <f>'MFMR Deemed Table '!BB12</f>
        <v>0.1321206596645278</v>
      </c>
      <c r="AB525" s="839">
        <f>'MFMR Deemed Table '!K12</f>
        <v>63</v>
      </c>
      <c r="AC525" s="3617">
        <f t="shared" si="691"/>
        <v>7.8561600366826339</v>
      </c>
      <c r="AD525" s="3617">
        <f t="shared" si="692"/>
        <v>0</v>
      </c>
      <c r="AE525" s="1661">
        <f>'MFMR Deemed Table '!BD12</f>
        <v>7.8561600366826339</v>
      </c>
      <c r="AF525" s="2453"/>
      <c r="AG525" s="2453"/>
      <c r="AH525" s="2453"/>
      <c r="AI525" s="684" t="str">
        <f>'MFMR Deemed Table '!L12</f>
        <v>per measure</v>
      </c>
      <c r="AJ525" s="1930"/>
      <c r="AK525" s="1930"/>
      <c r="AL525" s="1930"/>
      <c r="AM525" s="1972">
        <f t="shared" si="765"/>
        <v>9.4741810000000004E-4</v>
      </c>
      <c r="AN525" s="1930">
        <f t="shared" ref="AN525:AN564" si="791">AM525*I525</f>
        <v>4.3495964971000001E-2</v>
      </c>
      <c r="AO525" s="1971">
        <f t="shared" si="790"/>
        <v>-3.5028999999242583E-8</v>
      </c>
    </row>
    <row r="526" spans="1:41" x14ac:dyDescent="0.25">
      <c r="A526" s="103" t="str">
        <f t="shared" si="775"/>
        <v>500200</v>
      </c>
      <c r="B526" s="684" t="str">
        <f>'MFMR Deemed Table '!C13</f>
        <v>500200_2019_12_</v>
      </c>
      <c r="C526" s="1962" t="str">
        <f>'MFMR Deemed Table '!G13</f>
        <v>Cooling RES</v>
      </c>
      <c r="D526" s="1962"/>
      <c r="E526" s="1962"/>
      <c r="F526" s="1962"/>
      <c r="G526" s="1962" t="str">
        <f>'MFMR Deemed Table '!E13</f>
        <v>Outdoor Coil (Condenser) Cleaning / MFMR</v>
      </c>
      <c r="H526" s="63" t="str">
        <f>'MFMR Deemed Table '!D13</f>
        <v>MFMR</v>
      </c>
      <c r="I526" s="2438">
        <f t="shared" si="786"/>
        <v>126.24</v>
      </c>
      <c r="J526" s="2438">
        <f t="shared" si="787"/>
        <v>0</v>
      </c>
      <c r="K526" s="2439">
        <f>'MFMR Deemed Table '!F13</f>
        <v>126.24</v>
      </c>
      <c r="L526" s="2439"/>
      <c r="M526" s="2439"/>
      <c r="N526" s="2439"/>
      <c r="O526" s="2440">
        <f t="shared" si="788"/>
        <v>0.119602</v>
      </c>
      <c r="P526" s="2440">
        <f t="shared" si="789"/>
        <v>0</v>
      </c>
      <c r="Q526" s="2441">
        <f>'MFMR Deemed Table '!I13</f>
        <v>0.119602</v>
      </c>
      <c r="R526" s="2441"/>
      <c r="S526" s="2441"/>
      <c r="T526" s="2441"/>
      <c r="U526" s="1819">
        <f t="shared" si="732"/>
        <v>0.119602</v>
      </c>
      <c r="V526" s="1819">
        <v>0</v>
      </c>
      <c r="W526" s="1819">
        <v>0</v>
      </c>
      <c r="X526" s="68">
        <f>'MFMR Deemed Table '!J13</f>
        <v>2</v>
      </c>
      <c r="Y526" s="68"/>
      <c r="Z526" s="68">
        <f t="shared" si="733"/>
        <v>2</v>
      </c>
      <c r="AA526" s="62">
        <f>'MFMR Deemed Table '!BB13</f>
        <v>0.73831090337416783</v>
      </c>
      <c r="AB526" s="839">
        <f>'MFMR Deemed Table '!K13</f>
        <v>31</v>
      </c>
      <c r="AC526" s="3617">
        <f t="shared" si="691"/>
        <v>21.602301089758566</v>
      </c>
      <c r="AD526" s="3617">
        <f t="shared" si="692"/>
        <v>0</v>
      </c>
      <c r="AE526" s="1661">
        <f>'MFMR Deemed Table '!BD13</f>
        <v>21.602301089758566</v>
      </c>
      <c r="AF526" s="2453"/>
      <c r="AG526" s="2453"/>
      <c r="AH526" s="2453"/>
      <c r="AI526" s="684" t="str">
        <f>'MFMR Deemed Table '!L13</f>
        <v>per measure</v>
      </c>
      <c r="AJ526" s="1930"/>
      <c r="AK526" s="1930"/>
      <c r="AL526" s="1930"/>
      <c r="AM526" s="1972">
        <f t="shared" si="765"/>
        <v>9.4741810000000004E-4</v>
      </c>
      <c r="AN526" s="1930">
        <f t="shared" si="791"/>
        <v>0.119602060944</v>
      </c>
      <c r="AO526" s="1971">
        <f t="shared" si="790"/>
        <v>6.0943999999341081E-8</v>
      </c>
    </row>
    <row r="527" spans="1:41" x14ac:dyDescent="0.25">
      <c r="A527" s="103" t="str">
        <f t="shared" si="775"/>
        <v>500201</v>
      </c>
      <c r="B527" s="684" t="str">
        <f>'MFMR Deemed Table '!C14</f>
        <v>500201_2019_12_</v>
      </c>
      <c r="C527" s="1962" t="str">
        <f>'MFMR Deemed Table '!G14</f>
        <v>Cooling RES</v>
      </c>
      <c r="D527" s="1962"/>
      <c r="E527" s="1962"/>
      <c r="F527" s="1962"/>
      <c r="G527" s="1962" t="str">
        <f>'MFMR Deemed Table '!E14</f>
        <v>Outdoor Coil (Condenser) Cleaning / MFMR_CompE</v>
      </c>
      <c r="H527" s="63" t="str">
        <f>'MFMR Deemed Table '!D14</f>
        <v>MFMRc</v>
      </c>
      <c r="I527" s="2438">
        <f t="shared" si="786"/>
        <v>91.81</v>
      </c>
      <c r="J527" s="2438">
        <f t="shared" si="787"/>
        <v>0</v>
      </c>
      <c r="K527" s="2439">
        <f>'MFMR Deemed Table '!F14</f>
        <v>91.81</v>
      </c>
      <c r="L527" s="2439"/>
      <c r="M527" s="2439"/>
      <c r="N527" s="2439"/>
      <c r="O527" s="2440">
        <f t="shared" si="788"/>
        <v>8.6982000000000004E-2</v>
      </c>
      <c r="P527" s="2440">
        <f t="shared" si="789"/>
        <v>0</v>
      </c>
      <c r="Q527" s="2441">
        <f>'MFMR Deemed Table '!I14</f>
        <v>8.6982000000000004E-2</v>
      </c>
      <c r="R527" s="2441"/>
      <c r="S527" s="2441"/>
      <c r="T527" s="2441"/>
      <c r="U527" s="1819">
        <f t="shared" si="732"/>
        <v>8.6982000000000004E-2</v>
      </c>
      <c r="V527" s="1819">
        <v>0</v>
      </c>
      <c r="W527" s="1819">
        <v>0</v>
      </c>
      <c r="X527" s="68">
        <f>'MFMR Deemed Table '!J14</f>
        <v>2</v>
      </c>
      <c r="Y527" s="68"/>
      <c r="Z527" s="68">
        <f t="shared" si="733"/>
        <v>2</v>
      </c>
      <c r="AA527" s="62">
        <f>'MFMR Deemed Table '!BB14</f>
        <v>0.53694806748084878</v>
      </c>
      <c r="AB527" s="839">
        <f>'MFMR Deemed Table '!K14</f>
        <v>31</v>
      </c>
      <c r="AC527" s="3617">
        <f t="shared" si="691"/>
        <v>15.710608864470327</v>
      </c>
      <c r="AD527" s="3617">
        <f t="shared" si="692"/>
        <v>0</v>
      </c>
      <c r="AE527" s="1661">
        <f>'MFMR Deemed Table '!BD14</f>
        <v>15.710608864470327</v>
      </c>
      <c r="AF527" s="2453"/>
      <c r="AG527" s="2453"/>
      <c r="AH527" s="2453"/>
      <c r="AI527" s="684" t="str">
        <f>'MFMR Deemed Table '!L14</f>
        <v>per measure</v>
      </c>
      <c r="AJ527" s="1930"/>
      <c r="AK527" s="1930"/>
      <c r="AL527" s="1930"/>
      <c r="AM527" s="1972">
        <f t="shared" si="765"/>
        <v>9.4741810000000004E-4</v>
      </c>
      <c r="AN527" s="1930">
        <f t="shared" si="791"/>
        <v>8.6982455760999999E-2</v>
      </c>
      <c r="AO527" s="1971">
        <f t="shared" si="790"/>
        <v>4.5576099999555808E-7</v>
      </c>
    </row>
    <row r="528" spans="1:41" s="100" customFormat="1" x14ac:dyDescent="0.25">
      <c r="A528" s="103" t="str">
        <f t="shared" si="775"/>
        <v>500210</v>
      </c>
      <c r="B528" s="1960" t="str">
        <f>'MFMR Deemed Table '!C15</f>
        <v>500210_2021_12</v>
      </c>
      <c r="C528" s="1958" t="str">
        <f>'MFMR Deemed Table '!G15</f>
        <v>Cooling RES</v>
      </c>
      <c r="D528" s="1958"/>
      <c r="E528" s="1958"/>
      <c r="F528" s="1958"/>
      <c r="G528" s="1958" t="str">
        <f>'MFMR Deemed Table '!E15</f>
        <v>AC Tune-up / Packaged Service / MFMR</v>
      </c>
      <c r="H528" s="1975" t="str">
        <f>'MFMR Deemed Table '!D15</f>
        <v>MFMR</v>
      </c>
      <c r="I528" s="1973">
        <f t="shared" ref="I528" si="792">K528+L528</f>
        <v>237.38559042747517</v>
      </c>
      <c r="J528" s="1973">
        <f t="shared" ref="J528" si="793">M528+N528</f>
        <v>0</v>
      </c>
      <c r="K528" s="1963">
        <f>'MFMR Deemed Table '!F15</f>
        <v>237.38559042747517</v>
      </c>
      <c r="L528" s="1963"/>
      <c r="M528" s="1963"/>
      <c r="N528" s="1963"/>
      <c r="O528" s="1974">
        <f t="shared" ref="O528" si="794">Q528+R528</f>
        <v>0.105069</v>
      </c>
      <c r="P528" s="1974">
        <f t="shared" ref="P528" si="795">S528+T528</f>
        <v>0</v>
      </c>
      <c r="Q528" s="1976">
        <f>'MFMR Deemed Table '!I15</f>
        <v>0.105069</v>
      </c>
      <c r="R528" s="1976"/>
      <c r="S528" s="1976"/>
      <c r="T528" s="1976"/>
      <c r="U528" s="1926">
        <f t="shared" ref="U528" si="796">O528</f>
        <v>0.105069</v>
      </c>
      <c r="V528" s="1926">
        <v>0</v>
      </c>
      <c r="W528" s="1926">
        <v>0</v>
      </c>
      <c r="X528" s="1952">
        <f>'MFMR Deemed Table '!J15</f>
        <v>2</v>
      </c>
      <c r="Y528" s="1952"/>
      <c r="Z528" s="1952">
        <f t="shared" ref="Z528" si="797">Y528+X528</f>
        <v>2</v>
      </c>
      <c r="AA528" s="1951">
        <f>'MFMR Deemed Table '!BB15</f>
        <v>0.23264119228976562</v>
      </c>
      <c r="AB528" s="2426">
        <f>'MFMR Deemed Table '!K15</f>
        <v>185</v>
      </c>
      <c r="AC528" s="2432">
        <f t="shared" ref="AC528" si="798">AE528+AF528</f>
        <v>40.621633387075633</v>
      </c>
      <c r="AD528" s="2432">
        <f t="shared" ref="AD528" si="799">AG528+AH528</f>
        <v>0</v>
      </c>
      <c r="AE528" s="2452">
        <f>'MFMR Deemed Table '!BD15</f>
        <v>40.621633387075633</v>
      </c>
      <c r="AF528" s="1982"/>
      <c r="AG528" s="1982"/>
      <c r="AH528" s="1982"/>
      <c r="AI528" s="1960" t="str">
        <f>'MFMR Deemed Table '!L15</f>
        <v>per measure</v>
      </c>
      <c r="AM528" s="2433">
        <f t="shared" si="765"/>
        <v>9.4741810000000004E-4</v>
      </c>
      <c r="AN528" s="100">
        <f t="shared" ref="AN528" si="800">AM528*I528</f>
        <v>0.22490340505017672</v>
      </c>
      <c r="AO528" s="2437">
        <f t="shared" ref="AO528" si="801">AN528-O528</f>
        <v>0.11983440505017673</v>
      </c>
    </row>
    <row r="529" spans="1:41" s="100" customFormat="1" x14ac:dyDescent="0.25">
      <c r="A529" s="103" t="str">
        <f t="shared" si="775"/>
        <v>500211</v>
      </c>
      <c r="B529" s="1960" t="str">
        <f>'MFMR Deemed Table '!C16</f>
        <v>500211_2021_12</v>
      </c>
      <c r="C529" s="1958" t="str">
        <f>'MFMR Deemed Table '!G16</f>
        <v>Cooling RES</v>
      </c>
      <c r="D529" s="1958"/>
      <c r="E529" s="1958"/>
      <c r="F529" s="1958"/>
      <c r="G529" s="1958" t="str">
        <f>'MFMR Deemed Table '!E16</f>
        <v>AC Tune-up / Packaged Service / MFMR_CompE</v>
      </c>
      <c r="H529" s="1975" t="str">
        <f>'MFMR Deemed Table '!D16</f>
        <v>MFMRc</v>
      </c>
      <c r="I529" s="1973">
        <f t="shared" ref="I529" si="802">K529+L529</f>
        <v>172.64406576543647</v>
      </c>
      <c r="J529" s="1973">
        <f t="shared" ref="J529" si="803">M529+N529</f>
        <v>0</v>
      </c>
      <c r="K529" s="1963">
        <f>'MFMR Deemed Table '!F16</f>
        <v>172.64406576543647</v>
      </c>
      <c r="L529" s="1963"/>
      <c r="M529" s="1963"/>
      <c r="N529" s="1963"/>
      <c r="O529" s="1974">
        <f t="shared" ref="O529" si="804">Q529+R529</f>
        <v>7.6419000000000001E-2</v>
      </c>
      <c r="P529" s="1974">
        <f t="shared" ref="P529" si="805">S529+T529</f>
        <v>0</v>
      </c>
      <c r="Q529" s="1976">
        <f>'MFMR Deemed Table '!I16</f>
        <v>7.6419000000000001E-2</v>
      </c>
      <c r="R529" s="1976"/>
      <c r="S529" s="1976"/>
      <c r="T529" s="1976"/>
      <c r="U529" s="1926">
        <f t="shared" ref="U529" si="806">O529</f>
        <v>7.6419000000000001E-2</v>
      </c>
      <c r="V529" s="1926">
        <v>0</v>
      </c>
      <c r="W529" s="1926">
        <v>0</v>
      </c>
      <c r="X529" s="1952">
        <f>'MFMR Deemed Table '!J16</f>
        <v>2</v>
      </c>
      <c r="Y529" s="1952"/>
      <c r="Z529" s="1952">
        <f t="shared" ref="Z529" si="807">Y529+X529</f>
        <v>2</v>
      </c>
      <c r="AA529" s="1951">
        <f>'MFMR Deemed Table '!BB16</f>
        <v>0.1691935943925568</v>
      </c>
      <c r="AB529" s="2426">
        <f>'MFMR Deemed Table '!K16</f>
        <v>185</v>
      </c>
      <c r="AC529" s="2432">
        <f t="shared" ref="AC529" si="808">AE529+AF529</f>
        <v>29.543006099691365</v>
      </c>
      <c r="AD529" s="2432">
        <f t="shared" ref="AD529" si="809">AG529+AH529</f>
        <v>0</v>
      </c>
      <c r="AE529" s="2452">
        <f>'MFMR Deemed Table '!BD16</f>
        <v>29.543006099691365</v>
      </c>
      <c r="AF529" s="1982"/>
      <c r="AG529" s="1982"/>
      <c r="AH529" s="1982"/>
      <c r="AI529" s="1960" t="str">
        <f>'MFMR Deemed Table '!L16</f>
        <v>per measure</v>
      </c>
      <c r="AM529" s="2433">
        <f t="shared" si="765"/>
        <v>9.4741810000000004E-4</v>
      </c>
      <c r="AN529" s="100">
        <f t="shared" ref="AN529" si="810">AM529*I529</f>
        <v>0.16356611276376487</v>
      </c>
      <c r="AO529" s="2437">
        <f t="shared" ref="AO529" si="811">AN529-O529</f>
        <v>8.714711276376487E-2</v>
      </c>
    </row>
    <row r="530" spans="1:41" s="100" customFormat="1" x14ac:dyDescent="0.25">
      <c r="A530" s="103" t="str">
        <f t="shared" si="775"/>
        <v>500230</v>
      </c>
      <c r="B530" s="1960" t="str">
        <f>'MFMR Deemed Table '!C45</f>
        <v>500230_2021_12</v>
      </c>
      <c r="C530" s="1958" t="str">
        <f>'MFMR Deemed Table '!G45</f>
        <v>Cooling RES</v>
      </c>
      <c r="D530" s="1958" t="str">
        <f>'MFMR Deemed Table '!G46</f>
        <v>Heating RES</v>
      </c>
      <c r="E530" s="1958"/>
      <c r="F530" s="1958"/>
      <c r="G530" s="1958" t="str">
        <f>'MFMR Deemed Table '!E45</f>
        <v>HP Tune-up / Packaged Service / MFMR</v>
      </c>
      <c r="H530" s="1975" t="str">
        <f>'MFMR Deemed Table '!D45</f>
        <v>MFMR</v>
      </c>
      <c r="I530" s="1973">
        <f t="shared" ref="I530:I531" si="812">K530+L530</f>
        <v>998.77307543629308</v>
      </c>
      <c r="J530" s="1973">
        <f t="shared" ref="J530:J531" si="813">M530+N530</f>
        <v>0</v>
      </c>
      <c r="K530" s="1963">
        <f>'MFMR Deemed Table '!F45</f>
        <v>237.38559042747517</v>
      </c>
      <c r="L530" s="1963">
        <f>'MFMR Deemed Table '!F46</f>
        <v>761.38748500881786</v>
      </c>
      <c r="M530" s="1963"/>
      <c r="N530" s="1963"/>
      <c r="O530" s="1974">
        <f t="shared" ref="O530:O531" si="814">Q530+R530</f>
        <v>0.22490340505017672</v>
      </c>
      <c r="P530" s="1974">
        <f t="shared" ref="P530:P531" si="815">S530+T530</f>
        <v>0</v>
      </c>
      <c r="Q530" s="1976">
        <f>'MFMR Deemed Table '!I45</f>
        <v>0.22490340505017672</v>
      </c>
      <c r="R530" s="1976">
        <f>'MFMR Deemed Table '!I46</f>
        <v>0</v>
      </c>
      <c r="S530" s="1976"/>
      <c r="T530" s="1976"/>
      <c r="U530" s="1926">
        <f t="shared" ref="U530:U531" si="816">O530</f>
        <v>0.22490340505017672</v>
      </c>
      <c r="V530" s="1926">
        <v>0</v>
      </c>
      <c r="W530" s="1926">
        <v>0</v>
      </c>
      <c r="X530" s="1952">
        <f>'MFMR Deemed Table '!J45</f>
        <v>2</v>
      </c>
      <c r="Y530" s="1952"/>
      <c r="Z530" s="1952">
        <f t="shared" ref="Z530:Z531" si="817">Y530+X530</f>
        <v>2</v>
      </c>
      <c r="AA530" s="1951">
        <f>'MFMR Deemed Table '!BB45</f>
        <v>0.48015221330851682</v>
      </c>
      <c r="AB530" s="2426">
        <f>'MFMR Deemed Table '!K45</f>
        <v>185</v>
      </c>
      <c r="AC530" s="2432">
        <f t="shared" ref="AC530:AC531" si="818">AE530+AF530</f>
        <v>83.839697463025573</v>
      </c>
      <c r="AD530" s="2432">
        <f t="shared" ref="AD530:AD531" si="819">AG530+AH530</f>
        <v>0</v>
      </c>
      <c r="AE530" s="2452">
        <f>'MFMR Deemed Table '!BD45</f>
        <v>40.621633387075633</v>
      </c>
      <c r="AF530" s="3650">
        <f>'MFMR Deemed Table '!BD46</f>
        <v>43.218064075949947</v>
      </c>
      <c r="AG530" s="1982"/>
      <c r="AH530" s="1982"/>
      <c r="AI530" s="1960" t="str">
        <f>'MFMR Deemed Table '!L45</f>
        <v>per measure</v>
      </c>
      <c r="AM530" s="2433">
        <f t="shared" si="765"/>
        <v>9.4741810000000004E-4</v>
      </c>
      <c r="AN530" s="100">
        <f t="shared" ref="AN530:AN531" si="820">AM530*I530</f>
        <v>0.94625568946100946</v>
      </c>
      <c r="AO530" s="2437">
        <f t="shared" ref="AO530:AO531" si="821">AN530-O530</f>
        <v>0.72135228441083277</v>
      </c>
    </row>
    <row r="531" spans="1:41" s="100" customFormat="1" x14ac:dyDescent="0.25">
      <c r="A531" s="103" t="str">
        <f t="shared" si="775"/>
        <v>500231</v>
      </c>
      <c r="B531" s="1960" t="str">
        <f>'MFMR Deemed Table '!C47</f>
        <v>500231_2021_12</v>
      </c>
      <c r="C531" s="1958" t="str">
        <f>'MFMR Deemed Table '!G47</f>
        <v>Cooling RES</v>
      </c>
      <c r="D531" s="1958" t="str">
        <f>'MFMR Deemed Table '!G48</f>
        <v>Heating RES</v>
      </c>
      <c r="E531" s="1958"/>
      <c r="F531" s="1958"/>
      <c r="G531" s="1958" t="str">
        <f>'MFMR Deemed Table '!E47</f>
        <v xml:space="preserve">HP Tune-up / Packaged Service / MFMR_CompE </v>
      </c>
      <c r="H531" s="1975" t="str">
        <f>'MFMR Deemed Table '!D47</f>
        <v>MFMRc</v>
      </c>
      <c r="I531" s="1973">
        <f t="shared" si="812"/>
        <v>432.20798110935175</v>
      </c>
      <c r="J531" s="1973">
        <f t="shared" si="813"/>
        <v>0</v>
      </c>
      <c r="K531" s="1963">
        <f>'MFMR Deemed Table '!F47</f>
        <v>172.64406576543647</v>
      </c>
      <c r="L531" s="1963">
        <f>'MFMR Deemed Table '!F48</f>
        <v>259.56391534391526</v>
      </c>
      <c r="M531" s="1963"/>
      <c r="N531" s="1963"/>
      <c r="O531" s="1974">
        <f t="shared" si="814"/>
        <v>0.16356611276376487</v>
      </c>
      <c r="P531" s="1974">
        <f t="shared" si="815"/>
        <v>0</v>
      </c>
      <c r="Q531" s="1976">
        <f>'MFMR Deemed Table '!I47</f>
        <v>0.16356611276376487</v>
      </c>
      <c r="R531" s="1976">
        <f>'MFMR Deemed Table '!I48</f>
        <v>0</v>
      </c>
      <c r="S531" s="1976"/>
      <c r="T531" s="1976"/>
      <c r="U531" s="1926">
        <f t="shared" si="816"/>
        <v>0.16356611276376487</v>
      </c>
      <c r="V531" s="1926">
        <v>0</v>
      </c>
      <c r="W531" s="1926">
        <v>0</v>
      </c>
      <c r="X531" s="1952">
        <f>'MFMR Deemed Table '!J47</f>
        <v>2</v>
      </c>
      <c r="Y531" s="1952"/>
      <c r="Z531" s="1952">
        <f t="shared" si="817"/>
        <v>2</v>
      </c>
      <c r="AA531" s="1951">
        <f>'MFMR Deemed Table '!BB47</f>
        <v>0.25357235155804014</v>
      </c>
      <c r="AB531" s="2426">
        <f>'MFMR Deemed Table '!K47</f>
        <v>185</v>
      </c>
      <c r="AC531" s="2432">
        <f t="shared" si="818"/>
        <v>44.276437034674302</v>
      </c>
      <c r="AD531" s="2432">
        <f t="shared" si="819"/>
        <v>0</v>
      </c>
      <c r="AE531" s="2452">
        <f>'MFMR Deemed Table '!BD47</f>
        <v>29.543006099691365</v>
      </c>
      <c r="AF531" s="3650">
        <f>'MFMR Deemed Table '!BD48</f>
        <v>14.733430934982941</v>
      </c>
      <c r="AG531" s="1982"/>
      <c r="AH531" s="1982"/>
      <c r="AI531" s="1960" t="str">
        <f>'MFMR Deemed Table '!L47</f>
        <v>per measure</v>
      </c>
      <c r="AM531" s="2433">
        <f t="shared" si="765"/>
        <v>9.4741810000000004E-4</v>
      </c>
      <c r="AN531" s="100">
        <f t="shared" si="820"/>
        <v>0.40948166426745797</v>
      </c>
      <c r="AO531" s="2437">
        <f t="shared" si="821"/>
        <v>0.2459155515036931</v>
      </c>
    </row>
    <row r="532" spans="1:41" x14ac:dyDescent="0.25">
      <c r="A532" s="103" t="str">
        <f t="shared" si="775"/>
        <v>500250</v>
      </c>
      <c r="B532" s="684" t="str">
        <f>'MFMR Deemed Table '!C74</f>
        <v>500250_2019_12_</v>
      </c>
      <c r="C532" s="1962" t="str">
        <f>'MFMR Deemed Table '!G74</f>
        <v>Building Shell RES</v>
      </c>
      <c r="D532" s="1962"/>
      <c r="E532" s="1962"/>
      <c r="F532" s="1962"/>
      <c r="G532" s="1962" t="str">
        <f>'MFMR Deemed Table '!E74</f>
        <v>Ceiling Insulation R11-R49 MFMR electric furnace base</v>
      </c>
      <c r="H532" s="63" t="str">
        <f>'MFMR Deemed Table '!D74</f>
        <v>MFMR</v>
      </c>
      <c r="I532" s="2438">
        <f>'MFMR Deemed Table '!F74</f>
        <v>1.06</v>
      </c>
      <c r="J532" s="2438"/>
      <c r="K532" s="2439"/>
      <c r="L532" s="2439"/>
      <c r="M532" s="2439"/>
      <c r="N532" s="2439"/>
      <c r="O532" s="2440">
        <f>'MFMR Deemed Table '!K74</f>
        <v>4.9399999999999997E-4</v>
      </c>
      <c r="P532" s="2440"/>
      <c r="Q532" s="2441"/>
      <c r="R532" s="2441"/>
      <c r="S532" s="2441"/>
      <c r="T532" s="2441"/>
      <c r="U532" s="1819"/>
      <c r="V532" s="1819"/>
      <c r="W532" s="1819">
        <f t="shared" ref="W532:W541" si="822">O532</f>
        <v>4.9399999999999997E-4</v>
      </c>
      <c r="X532" s="68">
        <f>'MFMR Deemed Table '!L74</f>
        <v>25</v>
      </c>
      <c r="Y532" s="68"/>
      <c r="Z532" s="68">
        <f t="shared" si="733"/>
        <v>25</v>
      </c>
      <c r="AA532" s="62">
        <f>'MFMR Deemed Table '!BB74</f>
        <v>0.73564454661671597</v>
      </c>
      <c r="AB532" s="839">
        <f>'MFMR Deemed Table '!M74</f>
        <v>2.1249043458397581</v>
      </c>
      <c r="AC532" s="3617">
        <f t="shared" si="691"/>
        <v>1.4753886683333441</v>
      </c>
      <c r="AD532" s="3617">
        <f t="shared" si="692"/>
        <v>0</v>
      </c>
      <c r="AE532" s="1661">
        <f>'MFMR Deemed Table '!BD74</f>
        <v>1.4753886683333441</v>
      </c>
      <c r="AF532" s="2453"/>
      <c r="AG532" s="2453"/>
      <c r="AH532" s="2453"/>
      <c r="AI532" s="684" t="str">
        <f>'MFMR Deemed Table '!N73</f>
        <v>Units - area of ceiling/attic (ft2)</v>
      </c>
      <c r="AJ532" s="1930"/>
      <c r="AK532" s="1930"/>
      <c r="AL532" s="1930"/>
      <c r="AM532" s="1972">
        <f t="shared" si="765"/>
        <v>4.6608050000000002E-4</v>
      </c>
      <c r="AN532" s="1930">
        <f t="shared" si="791"/>
        <v>4.9404533000000001E-4</v>
      </c>
      <c r="AO532" s="1971">
        <f t="shared" si="790"/>
        <v>4.5330000000040442E-8</v>
      </c>
    </row>
    <row r="533" spans="1:41" x14ac:dyDescent="0.25">
      <c r="A533" s="103" t="str">
        <f t="shared" si="775"/>
        <v>500300</v>
      </c>
      <c r="B533" s="684" t="str">
        <f>'MFMR Deemed Table '!C75</f>
        <v>500300_2019_12_</v>
      </c>
      <c r="C533" s="1962" t="str">
        <f>'MFMR Deemed Table '!G75</f>
        <v>Building Shell RES</v>
      </c>
      <c r="D533" s="1962"/>
      <c r="E533" s="1962"/>
      <c r="F533" s="1962"/>
      <c r="G533" s="1962" t="str">
        <f>'MFMR Deemed Table '!E75</f>
        <v>Ceiling Insulation R11-R49 MFMR gas heat and electric cool base</v>
      </c>
      <c r="H533" s="63" t="str">
        <f>'MFMR Deemed Table '!D75</f>
        <v>MFMR</v>
      </c>
      <c r="I533" s="2438">
        <f>'MFMR Deemed Table '!F75</f>
        <v>0.53</v>
      </c>
      <c r="J533" s="2438"/>
      <c r="K533" s="2439"/>
      <c r="L533" s="2439"/>
      <c r="M533" s="2439"/>
      <c r="N533" s="2439"/>
      <c r="O533" s="2440">
        <f>'MFMR Deemed Table '!K75</f>
        <v>2.4699999999999999E-4</v>
      </c>
      <c r="P533" s="2440"/>
      <c r="Q533" s="2441"/>
      <c r="R533" s="2441"/>
      <c r="S533" s="2441"/>
      <c r="T533" s="2441"/>
      <c r="U533" s="1819"/>
      <c r="V533" s="1819"/>
      <c r="W533" s="1819">
        <f t="shared" si="822"/>
        <v>2.4699999999999999E-4</v>
      </c>
      <c r="X533" s="68">
        <f>'MFMR Deemed Table '!L75</f>
        <v>25</v>
      </c>
      <c r="Y533" s="68"/>
      <c r="Z533" s="68">
        <f t="shared" si="733"/>
        <v>25</v>
      </c>
      <c r="AA533" s="62">
        <f>'MFMR Deemed Table '!BB75</f>
        <v>0.36782227330835798</v>
      </c>
      <c r="AB533" s="839">
        <f>'MFMR Deemed Table '!M75</f>
        <v>2.1249043458397581</v>
      </c>
      <c r="AC533" s="3617">
        <f t="shared" si="691"/>
        <v>0.73769433416667207</v>
      </c>
      <c r="AD533" s="3617">
        <f t="shared" si="692"/>
        <v>0</v>
      </c>
      <c r="AE533" s="1661">
        <f>'MFMR Deemed Table '!BD75</f>
        <v>0.73769433416667207</v>
      </c>
      <c r="AF533" s="2453"/>
      <c r="AG533" s="2453"/>
      <c r="AH533" s="2453"/>
      <c r="AI533" s="1917" t="str">
        <f>AI532</f>
        <v>Units - area of ceiling/attic (ft2)</v>
      </c>
      <c r="AJ533" s="1930"/>
      <c r="AK533" s="1930"/>
      <c r="AL533" s="1930"/>
      <c r="AM533" s="1972">
        <f t="shared" si="765"/>
        <v>4.6608050000000002E-4</v>
      </c>
      <c r="AN533" s="1930">
        <f t="shared" si="791"/>
        <v>2.4702266500000001E-4</v>
      </c>
      <c r="AO533" s="1971">
        <f t="shared" si="790"/>
        <v>2.2665000000020221E-8</v>
      </c>
    </row>
    <row r="534" spans="1:41" x14ac:dyDescent="0.25">
      <c r="A534" s="103" t="str">
        <f t="shared" si="775"/>
        <v>500350</v>
      </c>
      <c r="B534" s="684" t="str">
        <f>'MFMR Deemed Table '!C76</f>
        <v>500350_2019_12_</v>
      </c>
      <c r="C534" s="1962" t="str">
        <f>'MFMR Deemed Table '!G76</f>
        <v>Building Shell RES</v>
      </c>
      <c r="D534" s="1962"/>
      <c r="E534" s="1962"/>
      <c r="F534" s="1962"/>
      <c r="G534" s="1962" t="str">
        <f>'MFMR Deemed Table '!E76</f>
        <v>Ceiling Insulation R5-R30 MFMR electric furnace base</v>
      </c>
      <c r="H534" s="63" t="str">
        <f>'MFMR Deemed Table '!D76</f>
        <v>MFMR</v>
      </c>
      <c r="I534" s="2438">
        <f>'MFMR Deemed Table '!F76</f>
        <v>1.71</v>
      </c>
      <c r="J534" s="2438"/>
      <c r="K534" s="2439"/>
      <c r="L534" s="2439"/>
      <c r="M534" s="2439"/>
      <c r="N534" s="2439"/>
      <c r="O534" s="2440">
        <f>'MFMR Deemed Table '!K76</f>
        <v>7.9699999999999997E-4</v>
      </c>
      <c r="P534" s="2440"/>
      <c r="Q534" s="2441"/>
      <c r="R534" s="2441"/>
      <c r="S534" s="2441"/>
      <c r="T534" s="2441"/>
      <c r="U534" s="1819"/>
      <c r="V534" s="1819"/>
      <c r="W534" s="1819">
        <f t="shared" si="822"/>
        <v>7.9699999999999997E-4</v>
      </c>
      <c r="X534" s="68">
        <f>'MFMR Deemed Table '!L76</f>
        <v>25</v>
      </c>
      <c r="Y534" s="68"/>
      <c r="Z534" s="68">
        <f t="shared" si="733"/>
        <v>25</v>
      </c>
      <c r="AA534" s="62">
        <f>'MFMR Deemed Table '!BB76</f>
        <v>2.1680871992176587</v>
      </c>
      <c r="AB534" s="839">
        <f>'MFMR Deemed Table '!M76</f>
        <v>1.1631103074141049</v>
      </c>
      <c r="AC534" s="3617">
        <f t="shared" si="691"/>
        <v>2.3801081347641682</v>
      </c>
      <c r="AD534" s="3617">
        <f t="shared" si="692"/>
        <v>0</v>
      </c>
      <c r="AE534" s="1661">
        <f>'MFMR Deemed Table '!BD76</f>
        <v>2.3801081347641682</v>
      </c>
      <c r="AF534" s="2453"/>
      <c r="AG534" s="2453"/>
      <c r="AH534" s="2453"/>
      <c r="AI534" s="1917" t="str">
        <f t="shared" ref="AI534:AI541" si="823">AI533</f>
        <v>Units - area of ceiling/attic (ft2)</v>
      </c>
      <c r="AJ534" s="1930"/>
      <c r="AK534" s="1930"/>
      <c r="AL534" s="1930"/>
      <c r="AM534" s="1972">
        <f t="shared" si="765"/>
        <v>4.6608050000000002E-4</v>
      </c>
      <c r="AN534" s="1930">
        <f t="shared" si="791"/>
        <v>7.9699765500000001E-4</v>
      </c>
      <c r="AO534" s="1971">
        <f t="shared" si="790"/>
        <v>-2.3449999999539811E-9</v>
      </c>
    </row>
    <row r="535" spans="1:41" x14ac:dyDescent="0.25">
      <c r="A535" s="103" t="str">
        <f t="shared" si="775"/>
        <v>500400</v>
      </c>
      <c r="B535" s="684" t="str">
        <f>'MFMR Deemed Table '!C77</f>
        <v>500400_2019_12_</v>
      </c>
      <c r="C535" s="1962" t="str">
        <f>'MFMR Deemed Table '!G77</f>
        <v>Building Shell RES</v>
      </c>
      <c r="D535" s="1962"/>
      <c r="E535" s="1962"/>
      <c r="F535" s="1962"/>
      <c r="G535" s="1962" t="str">
        <f>'MFMR Deemed Table '!E77</f>
        <v>Ceiling Insulation R5-R30 MFMR gas heat and electric cool base</v>
      </c>
      <c r="H535" s="63" t="str">
        <f>'MFMR Deemed Table '!D77</f>
        <v>MFMR</v>
      </c>
      <c r="I535" s="2438">
        <f>'MFMR Deemed Table '!F77</f>
        <v>0.86</v>
      </c>
      <c r="J535" s="2438"/>
      <c r="K535" s="2439"/>
      <c r="L535" s="2439"/>
      <c r="M535" s="2439"/>
      <c r="N535" s="2439"/>
      <c r="O535" s="2440">
        <f>'MFMR Deemed Table '!K77</f>
        <v>4.0099999999999999E-4</v>
      </c>
      <c r="P535" s="2440"/>
      <c r="Q535" s="2441"/>
      <c r="R535" s="2441"/>
      <c r="S535" s="2441"/>
      <c r="T535" s="2441"/>
      <c r="U535" s="1819"/>
      <c r="V535" s="1819"/>
      <c r="W535" s="1819">
        <f t="shared" si="822"/>
        <v>4.0099999999999999E-4</v>
      </c>
      <c r="X535" s="68">
        <f>'MFMR Deemed Table '!L77</f>
        <v>25</v>
      </c>
      <c r="Y535" s="68"/>
      <c r="Z535" s="68">
        <f t="shared" si="733"/>
        <v>25</v>
      </c>
      <c r="AA535" s="62">
        <f>'MFMR Deemed Table '!BB77</f>
        <v>1.0903830358638518</v>
      </c>
      <c r="AB535" s="839">
        <f>'MFMR Deemed Table '!M77</f>
        <v>1.1631103074141049</v>
      </c>
      <c r="AC535" s="3617">
        <f t="shared" ref="AC535:AC605" si="824">AE535+AF535</f>
        <v>1.1970134478930905</v>
      </c>
      <c r="AD535" s="3617">
        <f t="shared" ref="AD535:AD605" si="825">AG535+AH535</f>
        <v>0</v>
      </c>
      <c r="AE535" s="1661">
        <f>'MFMR Deemed Table '!BD77</f>
        <v>1.1970134478930905</v>
      </c>
      <c r="AF535" s="2453"/>
      <c r="AG535" s="2453"/>
      <c r="AH535" s="2453"/>
      <c r="AI535" s="1917" t="str">
        <f t="shared" si="823"/>
        <v>Units - area of ceiling/attic (ft2)</v>
      </c>
      <c r="AJ535" s="1930"/>
      <c r="AK535" s="1930"/>
      <c r="AL535" s="1930"/>
      <c r="AM535" s="1972">
        <f t="shared" si="765"/>
        <v>4.6608050000000002E-4</v>
      </c>
      <c r="AN535" s="1930">
        <f t="shared" si="791"/>
        <v>4.0082923000000001E-4</v>
      </c>
      <c r="AO535" s="1971">
        <f t="shared" si="790"/>
        <v>-1.7076999999997939E-7</v>
      </c>
    </row>
    <row r="536" spans="1:41" x14ac:dyDescent="0.25">
      <c r="A536" s="103" t="str">
        <f t="shared" si="775"/>
        <v>500450</v>
      </c>
      <c r="B536" s="684" t="str">
        <f>'MFMR Deemed Table '!C78</f>
        <v>500450_2019_12_</v>
      </c>
      <c r="C536" s="1962" t="str">
        <f>'MFMR Deemed Table '!G78</f>
        <v>Building Shell RES</v>
      </c>
      <c r="D536" s="1962"/>
      <c r="E536" s="1962"/>
      <c r="F536" s="1962"/>
      <c r="G536" s="1962" t="str">
        <f>'MFMR Deemed Table '!E78</f>
        <v>Ceiling Insulation R5-R38 MFMR electric furnace base</v>
      </c>
      <c r="H536" s="63" t="str">
        <f>'MFMR Deemed Table '!D78</f>
        <v>MFMR</v>
      </c>
      <c r="I536" s="2438">
        <f>'MFMR Deemed Table '!F78</f>
        <v>1.84</v>
      </c>
      <c r="J536" s="2438"/>
      <c r="K536" s="2439"/>
      <c r="L536" s="2439"/>
      <c r="M536" s="2439"/>
      <c r="N536" s="2439"/>
      <c r="O536" s="2440">
        <f>'MFMR Deemed Table '!K78</f>
        <v>8.5800000000000004E-4</v>
      </c>
      <c r="P536" s="2440"/>
      <c r="Q536" s="2441"/>
      <c r="R536" s="2441"/>
      <c r="S536" s="2441"/>
      <c r="T536" s="2441"/>
      <c r="U536" s="1819"/>
      <c r="V536" s="1819"/>
      <c r="W536" s="1819">
        <f t="shared" si="822"/>
        <v>8.5800000000000004E-4</v>
      </c>
      <c r="X536" s="68">
        <f>'MFMR Deemed Table '!L78</f>
        <v>25</v>
      </c>
      <c r="Y536" s="68"/>
      <c r="Z536" s="68">
        <f t="shared" si="733"/>
        <v>25</v>
      </c>
      <c r="AA536" s="62">
        <f>'MFMR Deemed Table '!BB78</f>
        <v>1.6141399677218247</v>
      </c>
      <c r="AB536" s="839">
        <f>'MFMR Deemed Table '!M78</f>
        <v>1.6810404785088331</v>
      </c>
      <c r="AC536" s="3617">
        <f t="shared" si="824"/>
        <v>2.5610520280503333</v>
      </c>
      <c r="AD536" s="3617">
        <f t="shared" si="825"/>
        <v>0</v>
      </c>
      <c r="AE536" s="1661">
        <f>'MFMR Deemed Table '!BD78</f>
        <v>2.5610520280503333</v>
      </c>
      <c r="AF536" s="2453"/>
      <c r="AG536" s="2453"/>
      <c r="AH536" s="2453"/>
      <c r="AI536" s="1917" t="str">
        <f t="shared" si="823"/>
        <v>Units - area of ceiling/attic (ft2)</v>
      </c>
      <c r="AJ536" s="1930"/>
      <c r="AK536" s="1930"/>
      <c r="AL536" s="1930"/>
      <c r="AM536" s="1972">
        <f t="shared" si="765"/>
        <v>4.6608050000000002E-4</v>
      </c>
      <c r="AN536" s="1930">
        <f t="shared" si="791"/>
        <v>8.5758812000000012E-4</v>
      </c>
      <c r="AO536" s="1971">
        <f t="shared" si="790"/>
        <v>-4.1187999999991922E-7</v>
      </c>
    </row>
    <row r="537" spans="1:41" x14ac:dyDescent="0.25">
      <c r="A537" s="103" t="str">
        <f t="shared" si="775"/>
        <v>500500</v>
      </c>
      <c r="B537" s="684" t="str">
        <f>'MFMR Deemed Table '!C79</f>
        <v>500500_2019_12_</v>
      </c>
      <c r="C537" s="1962" t="str">
        <f>'MFMR Deemed Table '!G79</f>
        <v>Building Shell RES</v>
      </c>
      <c r="D537" s="1962"/>
      <c r="E537" s="1962"/>
      <c r="F537" s="1962"/>
      <c r="G537" s="1962" t="str">
        <f>'MFMR Deemed Table '!E79</f>
        <v>Ceiling Insulation R5-R38 MFMR gas heat and electric cool base</v>
      </c>
      <c r="H537" s="63" t="str">
        <f>'MFMR Deemed Table '!D79</f>
        <v>MFMR</v>
      </c>
      <c r="I537" s="2438">
        <f>'MFMR Deemed Table '!F79</f>
        <v>0.93</v>
      </c>
      <c r="J537" s="2438"/>
      <c r="K537" s="2439"/>
      <c r="L537" s="2439"/>
      <c r="M537" s="2439"/>
      <c r="N537" s="2439"/>
      <c r="O537" s="2440">
        <f>'MFMR Deemed Table '!K79</f>
        <v>4.3300000000000001E-4</v>
      </c>
      <c r="P537" s="2440"/>
      <c r="Q537" s="2441"/>
      <c r="R537" s="2441"/>
      <c r="S537" s="2441"/>
      <c r="T537" s="2441"/>
      <c r="U537" s="1819"/>
      <c r="V537" s="1819"/>
      <c r="W537" s="1819">
        <f t="shared" si="822"/>
        <v>4.3300000000000001E-4</v>
      </c>
      <c r="X537" s="68">
        <f>'MFMR Deemed Table '!L79</f>
        <v>25</v>
      </c>
      <c r="Y537" s="68"/>
      <c r="Z537" s="68">
        <f t="shared" si="733"/>
        <v>25</v>
      </c>
      <c r="AA537" s="62">
        <f>'MFMR Deemed Table '!BB79</f>
        <v>0.8158424836854874</v>
      </c>
      <c r="AB537" s="839">
        <f>'MFMR Deemed Table '!M79</f>
        <v>1.6810404785088331</v>
      </c>
      <c r="AC537" s="3617">
        <f t="shared" si="824"/>
        <v>1.2944447750471793</v>
      </c>
      <c r="AD537" s="3617">
        <f t="shared" si="825"/>
        <v>0</v>
      </c>
      <c r="AE537" s="1661">
        <f>'MFMR Deemed Table '!BD79</f>
        <v>1.2944447750471793</v>
      </c>
      <c r="AF537" s="2453"/>
      <c r="AG537" s="2453"/>
      <c r="AH537" s="2453"/>
      <c r="AI537" s="1917" t="str">
        <f t="shared" si="823"/>
        <v>Units - area of ceiling/attic (ft2)</v>
      </c>
      <c r="AJ537" s="1930"/>
      <c r="AK537" s="1930"/>
      <c r="AL537" s="1930"/>
      <c r="AM537" s="1972">
        <f t="shared" si="765"/>
        <v>4.6608050000000002E-4</v>
      </c>
      <c r="AN537" s="1930">
        <f t="shared" si="791"/>
        <v>4.3345486500000001E-4</v>
      </c>
      <c r="AO537" s="1971">
        <f t="shared" si="790"/>
        <v>4.5486500000000568E-7</v>
      </c>
    </row>
    <row r="538" spans="1:41" x14ac:dyDescent="0.25">
      <c r="A538" s="103" t="str">
        <f t="shared" si="775"/>
        <v>500550</v>
      </c>
      <c r="B538" s="684" t="str">
        <f>'MFMR Deemed Table '!C80</f>
        <v>500550_2019_12_</v>
      </c>
      <c r="C538" s="1962" t="str">
        <f>'MFMR Deemed Table '!G80</f>
        <v>Building Shell RES</v>
      </c>
      <c r="D538" s="1962"/>
      <c r="E538" s="1962"/>
      <c r="F538" s="1962"/>
      <c r="G538" s="1962" t="str">
        <f>'MFMR Deemed Table '!E80</f>
        <v>Ceiling Insulation R5-R49 MFMR electric furnace base</v>
      </c>
      <c r="H538" s="63" t="str">
        <f>'MFMR Deemed Table '!D80</f>
        <v>MFMR</v>
      </c>
      <c r="I538" s="2438">
        <f>'MFMR Deemed Table '!F80</f>
        <v>1.96</v>
      </c>
      <c r="J538" s="2438"/>
      <c r="K538" s="2439"/>
      <c r="L538" s="2439"/>
      <c r="M538" s="2439"/>
      <c r="N538" s="2439"/>
      <c r="O538" s="2440">
        <f>'MFMR Deemed Table '!K80</f>
        <v>9.1399999999999999E-4</v>
      </c>
      <c r="P538" s="2440"/>
      <c r="Q538" s="2441"/>
      <c r="R538" s="2441"/>
      <c r="S538" s="2441"/>
      <c r="T538" s="2441"/>
      <c r="U538" s="1819"/>
      <c r="V538" s="1819"/>
      <c r="W538" s="1819">
        <f t="shared" si="822"/>
        <v>9.1399999999999999E-4</v>
      </c>
      <c r="X538" s="68">
        <f>'MFMR Deemed Table '!L80</f>
        <v>25</v>
      </c>
      <c r="Y538" s="68"/>
      <c r="Z538" s="68">
        <f t="shared" si="733"/>
        <v>25</v>
      </c>
      <c r="AA538" s="62">
        <f>'MFMR Deemed Table '!BB80</f>
        <v>1.1252122422118687</v>
      </c>
      <c r="AB538" s="839">
        <f>'MFMR Deemed Table '!M80</f>
        <v>2.568757824454027</v>
      </c>
      <c r="AC538" s="3617">
        <f t="shared" si="824"/>
        <v>2.7280771603144851</v>
      </c>
      <c r="AD538" s="3617">
        <f t="shared" si="825"/>
        <v>0</v>
      </c>
      <c r="AE538" s="1661">
        <f>'MFMR Deemed Table '!BD80</f>
        <v>2.7280771603144851</v>
      </c>
      <c r="AF538" s="2453"/>
      <c r="AG538" s="2453"/>
      <c r="AH538" s="2453"/>
      <c r="AI538" s="1917" t="str">
        <f t="shared" si="823"/>
        <v>Units - area of ceiling/attic (ft2)</v>
      </c>
      <c r="AJ538" s="1930"/>
      <c r="AK538" s="1930"/>
      <c r="AL538" s="1930"/>
      <c r="AM538" s="1972">
        <f t="shared" si="765"/>
        <v>4.6608050000000002E-4</v>
      </c>
      <c r="AN538" s="1930">
        <f t="shared" si="791"/>
        <v>9.1351778E-4</v>
      </c>
      <c r="AO538" s="1971">
        <f t="shared" si="790"/>
        <v>-4.8221999999998807E-7</v>
      </c>
    </row>
    <row r="539" spans="1:41" x14ac:dyDescent="0.25">
      <c r="A539" s="103" t="str">
        <f t="shared" si="775"/>
        <v>500600</v>
      </c>
      <c r="B539" s="684" t="str">
        <f>'MFMR Deemed Table '!C81</f>
        <v>500600_2019_12_</v>
      </c>
      <c r="C539" s="1962" t="str">
        <f>'MFMR Deemed Table '!G81</f>
        <v>Building Shell RES</v>
      </c>
      <c r="D539" s="1962"/>
      <c r="E539" s="1962"/>
      <c r="F539" s="1962"/>
      <c r="G539" s="1962" t="str">
        <f>'MFMR Deemed Table '!E81</f>
        <v>Ceiling Insulation R5-R49 MFMR gas heat and electric cool base</v>
      </c>
      <c r="H539" s="63" t="str">
        <f>'MFMR Deemed Table '!D81</f>
        <v>MFMR</v>
      </c>
      <c r="I539" s="2438">
        <f>'MFMR Deemed Table '!F81</f>
        <v>0.99</v>
      </c>
      <c r="J539" s="2438"/>
      <c r="K539" s="2439"/>
      <c r="L539" s="2439"/>
      <c r="M539" s="2439"/>
      <c r="N539" s="2439"/>
      <c r="O539" s="2440">
        <f>'MFMR Deemed Table '!K81</f>
        <v>4.6099999999999998E-4</v>
      </c>
      <c r="P539" s="2440"/>
      <c r="Q539" s="2441"/>
      <c r="R539" s="2441"/>
      <c r="S539" s="2441"/>
      <c r="T539" s="2441"/>
      <c r="U539" s="1819"/>
      <c r="V539" s="1819"/>
      <c r="W539" s="1819">
        <f t="shared" si="822"/>
        <v>4.6099999999999998E-4</v>
      </c>
      <c r="X539" s="68">
        <f>'MFMR Deemed Table '!L81</f>
        <v>25</v>
      </c>
      <c r="Y539" s="68"/>
      <c r="Z539" s="68">
        <f t="shared" si="733"/>
        <v>25</v>
      </c>
      <c r="AA539" s="62">
        <f>'MFMR Deemed Table '!BB81</f>
        <v>0.56834699989272963</v>
      </c>
      <c r="AB539" s="839">
        <f>'MFMR Deemed Table '!M81</f>
        <v>2.568757824454027</v>
      </c>
      <c r="AC539" s="3617">
        <f t="shared" si="824"/>
        <v>1.3779573411792554</v>
      </c>
      <c r="AD539" s="3617">
        <f t="shared" si="825"/>
        <v>0</v>
      </c>
      <c r="AE539" s="1661">
        <f>'MFMR Deemed Table '!BD81</f>
        <v>1.3779573411792554</v>
      </c>
      <c r="AF539" s="2453"/>
      <c r="AG539" s="2453"/>
      <c r="AH539" s="2453"/>
      <c r="AI539" s="1917" t="str">
        <f t="shared" si="823"/>
        <v>Units - area of ceiling/attic (ft2)</v>
      </c>
      <c r="AJ539" s="1930"/>
      <c r="AK539" s="1930"/>
      <c r="AL539" s="1930"/>
      <c r="AM539" s="1972">
        <f t="shared" si="765"/>
        <v>4.6608050000000002E-4</v>
      </c>
      <c r="AN539" s="1930">
        <f t="shared" si="791"/>
        <v>4.6141969500000001E-4</v>
      </c>
      <c r="AO539" s="1971">
        <f t="shared" si="790"/>
        <v>4.1969500000002546E-7</v>
      </c>
    </row>
    <row r="540" spans="1:41" x14ac:dyDescent="0.25">
      <c r="A540" s="103" t="str">
        <f t="shared" si="775"/>
        <v>500650</v>
      </c>
      <c r="B540" s="684" t="str">
        <f>'MFMR Deemed Table '!C82</f>
        <v>500650_2019_12_</v>
      </c>
      <c r="C540" s="1962" t="str">
        <f>'MFMR Deemed Table '!G82</f>
        <v>Building Shell RES</v>
      </c>
      <c r="D540" s="1962"/>
      <c r="E540" s="1962"/>
      <c r="F540" s="1962"/>
      <c r="G540" s="1962" t="str">
        <f>'MFMR Deemed Table '!E82</f>
        <v>Ceiling Insulation R5-R60 MFMR electric furnace base</v>
      </c>
      <c r="H540" s="63" t="str">
        <f>'MFMR Deemed Table '!D82</f>
        <v>MFMR</v>
      </c>
      <c r="I540" s="2438">
        <f>'MFMR Deemed Table '!F82</f>
        <v>2.0299999999999998</v>
      </c>
      <c r="J540" s="2438"/>
      <c r="K540" s="2439"/>
      <c r="L540" s="2439"/>
      <c r="M540" s="2439"/>
      <c r="N540" s="2439"/>
      <c r="O540" s="2440">
        <f>'MFMR Deemed Table '!K82</f>
        <v>9.4600000000000001E-4</v>
      </c>
      <c r="P540" s="2440"/>
      <c r="Q540" s="2441"/>
      <c r="R540" s="2441"/>
      <c r="S540" s="2441"/>
      <c r="T540" s="2441"/>
      <c r="U540" s="1819"/>
      <c r="V540" s="1819"/>
      <c r="W540" s="1819">
        <f t="shared" si="822"/>
        <v>9.4600000000000001E-4</v>
      </c>
      <c r="X540" s="68">
        <f>'MFMR Deemed Table '!L82</f>
        <v>25</v>
      </c>
      <c r="Y540" s="68"/>
      <c r="Z540" s="68">
        <f t="shared" si="733"/>
        <v>25</v>
      </c>
      <c r="AA540" s="62">
        <f>'MFMR Deemed Table '!BB82</f>
        <v>0.87422987318422674</v>
      </c>
      <c r="AB540" s="839">
        <f>'MFMR Deemed Table '!M82</f>
        <v>3.424301015440256</v>
      </c>
      <c r="AC540" s="3617">
        <f t="shared" si="824"/>
        <v>2.8255084874685736</v>
      </c>
      <c r="AD540" s="3617">
        <f t="shared" si="825"/>
        <v>0</v>
      </c>
      <c r="AE540" s="1661">
        <f>'MFMR Deemed Table '!BD82</f>
        <v>2.8255084874685736</v>
      </c>
      <c r="AF540" s="2453"/>
      <c r="AG540" s="2453"/>
      <c r="AH540" s="2453"/>
      <c r="AI540" s="1917" t="str">
        <f t="shared" si="823"/>
        <v>Units - area of ceiling/attic (ft2)</v>
      </c>
      <c r="AJ540" s="1930"/>
      <c r="AK540" s="1930"/>
      <c r="AL540" s="1930"/>
      <c r="AM540" s="1972">
        <f t="shared" si="765"/>
        <v>4.6608050000000002E-4</v>
      </c>
      <c r="AN540" s="1930">
        <f t="shared" si="791"/>
        <v>9.4614341499999995E-4</v>
      </c>
      <c r="AO540" s="1971">
        <f t="shared" si="790"/>
        <v>1.4341499999994279E-7</v>
      </c>
    </row>
    <row r="541" spans="1:41" x14ac:dyDescent="0.25">
      <c r="A541" s="103" t="str">
        <f t="shared" si="775"/>
        <v>500700</v>
      </c>
      <c r="B541" s="684" t="str">
        <f>'MFMR Deemed Table '!C83</f>
        <v>500700_2019_12_</v>
      </c>
      <c r="C541" s="1962" t="str">
        <f>'MFMR Deemed Table '!G83</f>
        <v>Building Shell RES</v>
      </c>
      <c r="D541" s="1962"/>
      <c r="E541" s="1962"/>
      <c r="F541" s="1962"/>
      <c r="G541" s="1962" t="str">
        <f>'MFMR Deemed Table '!E83</f>
        <v>Ceiling Insulation R5-R60 MFMR gas heat and electric cool base</v>
      </c>
      <c r="H541" s="63" t="str">
        <f>'MFMR Deemed Table '!D83</f>
        <v>MFMR</v>
      </c>
      <c r="I541" s="2438">
        <f>'MFMR Deemed Table '!F83</f>
        <v>1.02</v>
      </c>
      <c r="J541" s="2438"/>
      <c r="K541" s="2439"/>
      <c r="L541" s="2439"/>
      <c r="M541" s="2439"/>
      <c r="N541" s="2439"/>
      <c r="O541" s="2440">
        <f>'MFMR Deemed Table '!K83</f>
        <v>4.75E-4</v>
      </c>
      <c r="P541" s="2440"/>
      <c r="Q541" s="2441"/>
      <c r="R541" s="2441"/>
      <c r="S541" s="2441"/>
      <c r="T541" s="2441"/>
      <c r="U541" s="1819"/>
      <c r="V541" s="1819"/>
      <c r="W541" s="1819">
        <f t="shared" si="822"/>
        <v>4.75E-4</v>
      </c>
      <c r="X541" s="68">
        <f>'MFMR Deemed Table '!L83</f>
        <v>25</v>
      </c>
      <c r="Y541" s="68"/>
      <c r="Z541" s="68">
        <f t="shared" si="733"/>
        <v>25</v>
      </c>
      <c r="AA541" s="62">
        <f>'MFMR Deemed Table '!BB83</f>
        <v>0.43926821214182832</v>
      </c>
      <c r="AB541" s="839">
        <f>'MFMR Deemed Table '!M83</f>
        <v>3.424301015440256</v>
      </c>
      <c r="AC541" s="3617">
        <f t="shared" si="824"/>
        <v>1.4197136242452935</v>
      </c>
      <c r="AD541" s="3617">
        <f t="shared" si="825"/>
        <v>0</v>
      </c>
      <c r="AE541" s="1661">
        <f>'MFMR Deemed Table '!BD83</f>
        <v>1.4197136242452935</v>
      </c>
      <c r="AF541" s="2453"/>
      <c r="AG541" s="2453"/>
      <c r="AH541" s="2453"/>
      <c r="AI541" s="1917" t="str">
        <f t="shared" si="823"/>
        <v>Units - area of ceiling/attic (ft2)</v>
      </c>
      <c r="AJ541" s="1930"/>
      <c r="AK541" s="1930"/>
      <c r="AL541" s="1930"/>
      <c r="AM541" s="1972">
        <f t="shared" si="765"/>
        <v>4.6608050000000002E-4</v>
      </c>
      <c r="AN541" s="1930">
        <f t="shared" si="791"/>
        <v>4.7540211000000003E-4</v>
      </c>
      <c r="AO541" s="1971">
        <f t="shared" si="790"/>
        <v>4.0211000000003536E-7</v>
      </c>
    </row>
    <row r="542" spans="1:41" x14ac:dyDescent="0.25">
      <c r="A542" s="103" t="str">
        <f t="shared" si="775"/>
        <v>500750</v>
      </c>
      <c r="B542" s="684" t="str">
        <f>'MFMR Deemed Table '!C196</f>
        <v>500750_2019_12_</v>
      </c>
      <c r="C542" s="1962" t="str">
        <f>'MFMR Deemed Table '!G196</f>
        <v>HVAC RES</v>
      </c>
      <c r="D542" s="1962"/>
      <c r="E542" s="1962"/>
      <c r="F542" s="1962"/>
      <c r="G542" s="1962" t="str">
        <f>'MFMR Deemed Table '!E196</f>
        <v>Dirty Filter Alarm_MFMR</v>
      </c>
      <c r="H542" s="63" t="str">
        <f>'MFMR Deemed Table '!D196</f>
        <v>MFMR</v>
      </c>
      <c r="I542" s="2438">
        <f>'MFMR Deemed Table '!F196</f>
        <v>79.2</v>
      </c>
      <c r="J542" s="2438"/>
      <c r="K542" s="2439"/>
      <c r="L542" s="2439"/>
      <c r="M542" s="2439"/>
      <c r="N542" s="2439"/>
      <c r="O542" s="2440">
        <f>'MFMR Deemed Table '!K196</f>
        <v>3.6914000000000002E-2</v>
      </c>
      <c r="P542" s="2440"/>
      <c r="Q542" s="2441"/>
      <c r="R542" s="2441"/>
      <c r="S542" s="2441"/>
      <c r="T542" s="2441"/>
      <c r="U542" s="1819"/>
      <c r="V542" s="1819">
        <f>O542</f>
        <v>3.6914000000000002E-2</v>
      </c>
      <c r="W542" s="1819"/>
      <c r="X542" s="68">
        <f>'MFMR Deemed Table '!L196</f>
        <v>14</v>
      </c>
      <c r="Y542" s="68"/>
      <c r="Z542" s="68">
        <f t="shared" si="733"/>
        <v>14</v>
      </c>
      <c r="AA542" s="62">
        <f>'MFMR Deemed Table '!BB196</f>
        <v>14.901460188305345</v>
      </c>
      <c r="AB542" s="839">
        <f>'MFMR Deemed Table '!M196</f>
        <v>5</v>
      </c>
      <c r="AC542" s="3617">
        <f t="shared" si="824"/>
        <v>70.323077811728851</v>
      </c>
      <c r="AD542" s="3617">
        <f t="shared" si="825"/>
        <v>0</v>
      </c>
      <c r="AE542" s="1661">
        <f>'MFMR Deemed Table '!BD196</f>
        <v>70.323077811728851</v>
      </c>
      <c r="AF542" s="2453"/>
      <c r="AG542" s="2453"/>
      <c r="AH542" s="2453"/>
      <c r="AI542" s="3628" t="str">
        <f>'MFMR Deemed Table '!N196</f>
        <v>per measure</v>
      </c>
      <c r="AJ542" s="1930"/>
      <c r="AK542" s="1930"/>
      <c r="AL542" s="1930"/>
      <c r="AM542" s="1972">
        <f t="shared" si="765"/>
        <v>4.6608050000000002E-4</v>
      </c>
      <c r="AN542" s="1930">
        <f t="shared" si="791"/>
        <v>3.6913575600000005E-2</v>
      </c>
      <c r="AO542" s="1971">
        <f t="shared" si="790"/>
        <v>-4.243999999972714E-7</v>
      </c>
    </row>
    <row r="543" spans="1:41" x14ac:dyDescent="0.25">
      <c r="A543" s="103" t="str">
        <f t="shared" si="775"/>
        <v>500751</v>
      </c>
      <c r="B543" s="684" t="str">
        <f>'MFMR Deemed Table '!C197</f>
        <v>500751_2019_12_</v>
      </c>
      <c r="C543" s="1962" t="str">
        <f>'MFMR Deemed Table '!G197</f>
        <v>HVAC RES</v>
      </c>
      <c r="D543" s="1962"/>
      <c r="E543" s="1962"/>
      <c r="F543" s="1962"/>
      <c r="G543" s="1962" t="str">
        <f>'MFMR Deemed Table '!E197</f>
        <v>Dirty Filter Alarm_MFMR_CompE</v>
      </c>
      <c r="H543" s="63" t="str">
        <f>'MFMR Deemed Table '!D197</f>
        <v>MFMRc</v>
      </c>
      <c r="I543" s="2438">
        <f>'MFMR Deemed Table '!F197</f>
        <v>38.24</v>
      </c>
      <c r="J543" s="2438"/>
      <c r="K543" s="2439"/>
      <c r="L543" s="2439"/>
      <c r="M543" s="2439"/>
      <c r="N543" s="2439"/>
      <c r="O543" s="2440">
        <f>'MFMR Deemed Table '!K197</f>
        <v>1.7822999999999999E-2</v>
      </c>
      <c r="P543" s="2440"/>
      <c r="Q543" s="2441"/>
      <c r="R543" s="2441"/>
      <c r="S543" s="2441"/>
      <c r="T543" s="2441"/>
      <c r="U543" s="1819"/>
      <c r="V543" s="1819">
        <f>O543</f>
        <v>1.7822999999999999E-2</v>
      </c>
      <c r="W543" s="1819"/>
      <c r="X543" s="68">
        <f>'MFMR Deemed Table '!L197</f>
        <v>14</v>
      </c>
      <c r="Y543" s="68"/>
      <c r="Z543" s="68">
        <f t="shared" si="733"/>
        <v>14</v>
      </c>
      <c r="AA543" s="62">
        <f>'MFMR Deemed Table '!BB197</f>
        <v>7.1948464343534893</v>
      </c>
      <c r="AB543" s="839">
        <f>'MFMR Deemed Table '!M197</f>
        <v>5</v>
      </c>
      <c r="AC543" s="3617">
        <f t="shared" si="824"/>
        <v>33.953970903036755</v>
      </c>
      <c r="AD543" s="3617">
        <f t="shared" si="825"/>
        <v>0</v>
      </c>
      <c r="AE543" s="1661">
        <f>'MFMR Deemed Table '!BD197</f>
        <v>33.953970903036755</v>
      </c>
      <c r="AF543" s="2453"/>
      <c r="AG543" s="2453"/>
      <c r="AH543" s="2453"/>
      <c r="AI543" s="3628" t="str">
        <f>'MFMR Deemed Table '!N197</f>
        <v>per measure</v>
      </c>
      <c r="AJ543" s="1930"/>
      <c r="AK543" s="1930"/>
      <c r="AL543" s="1930"/>
      <c r="AM543" s="1972">
        <f t="shared" si="765"/>
        <v>4.6608050000000002E-4</v>
      </c>
      <c r="AN543" s="1930">
        <f t="shared" si="791"/>
        <v>1.7822918320000002E-2</v>
      </c>
      <c r="AO543" s="1971">
        <f t="shared" si="790"/>
        <v>-8.1679999996281394E-8</v>
      </c>
    </row>
    <row r="544" spans="1:41" x14ac:dyDescent="0.25">
      <c r="A544" s="103" t="str">
        <f t="shared" si="775"/>
        <v>500800</v>
      </c>
      <c r="B544" s="1960" t="str">
        <f>'MFMR Deemed Table '!C227</f>
        <v>500800_2021_12_</v>
      </c>
      <c r="C544" s="1962" t="str">
        <f>'MFMR Deemed Table '!G227</f>
        <v>HVAC RES</v>
      </c>
      <c r="D544" s="1962" t="str">
        <f>'MFMR Deemed Table '!G228</f>
        <v>HVAC RES ER2</v>
      </c>
      <c r="E544" s="1962"/>
      <c r="F544" s="1962"/>
      <c r="G544" s="1962" t="str">
        <f>'MFMR Deemed Table '!E227</f>
        <v>ECM Auto Fan Early Replacement ER1 (Full Cost) - MFMR</v>
      </c>
      <c r="H544" s="63" t="str">
        <f>'MFMR Deemed Table '!D227</f>
        <v>MFMR</v>
      </c>
      <c r="I544" s="2438">
        <f>'MFMR Deemed Table '!F227</f>
        <v>582</v>
      </c>
      <c r="J544" s="2438">
        <f>'MFMR Deemed Table '!F228</f>
        <v>0</v>
      </c>
      <c r="K544" s="2439"/>
      <c r="L544" s="2439"/>
      <c r="M544" s="2439"/>
      <c r="N544" s="2439"/>
      <c r="O544" s="2440">
        <f>'MFMR Deemed Table '!M227</f>
        <v>0.27125899999999997</v>
      </c>
      <c r="P544" s="2440">
        <f>'MFMR Deemed Table '!M228</f>
        <v>0</v>
      </c>
      <c r="Q544" s="2441"/>
      <c r="R544" s="2441"/>
      <c r="S544" s="2441"/>
      <c r="T544" s="2441"/>
      <c r="U544" s="1819"/>
      <c r="V544" s="1819"/>
      <c r="W544" s="1821">
        <f>P544</f>
        <v>0</v>
      </c>
      <c r="X544" s="68">
        <f>'MFMR Deemed Table '!N227</f>
        <v>6</v>
      </c>
      <c r="Y544" s="68">
        <f>'MFMR Deemed Table '!N228</f>
        <v>0</v>
      </c>
      <c r="Z544" s="68">
        <f t="shared" si="733"/>
        <v>6</v>
      </c>
      <c r="AA544" s="3632">
        <f>'MFMR Deemed Table '!BB227</f>
        <v>3.0599660110586155</v>
      </c>
      <c r="AB544" s="839">
        <f>'MFMR Deemed Table '!O227</f>
        <v>74.327224020150311</v>
      </c>
      <c r="AC544" s="3617">
        <f t="shared" si="824"/>
        <v>214.66614365077814</v>
      </c>
      <c r="AD544" s="3617">
        <f t="shared" si="825"/>
        <v>0</v>
      </c>
      <c r="AE544" s="3633">
        <f>'MFMR Deemed Table '!BD227</f>
        <v>214.66614365077814</v>
      </c>
      <c r="AF544" s="2453"/>
      <c r="AG544" s="3623">
        <f>'MFMR Deemed Table '!BD228</f>
        <v>0</v>
      </c>
      <c r="AH544" s="2453"/>
      <c r="AI544" s="3630" t="str">
        <f>'MFMR Deemed Table '!P227</f>
        <v>per measure</v>
      </c>
      <c r="AJ544" s="1930"/>
      <c r="AK544" s="1930"/>
      <c r="AL544" s="1930"/>
      <c r="AM544" s="1972">
        <f t="shared" si="765"/>
        <v>4.6608050000000002E-4</v>
      </c>
      <c r="AN544" s="1930">
        <f t="shared" si="791"/>
        <v>0.27125885100000002</v>
      </c>
      <c r="AO544" s="1971">
        <f t="shared" si="790"/>
        <v>-1.4899999994932855E-7</v>
      </c>
    </row>
    <row r="545" spans="1:41" x14ac:dyDescent="0.25">
      <c r="A545" s="103" t="str">
        <f t="shared" si="775"/>
        <v>500850</v>
      </c>
      <c r="B545" s="684" t="str">
        <f>'MFMR Deemed Table '!C275</f>
        <v>500850_2019_12_</v>
      </c>
      <c r="C545" s="1962" t="str">
        <f>'MFMR Deemed Table '!G275</f>
        <v>Lighting RES</v>
      </c>
      <c r="D545" s="1962"/>
      <c r="E545" s="1962"/>
      <c r="F545" s="1962"/>
      <c r="G545" s="1962" t="str">
        <f>'MFMR Deemed Table '!E275</f>
        <v>LED - 10W (CFL baseline) (750-1049 lumens)</v>
      </c>
      <c r="H545" s="63" t="str">
        <f>'MFMR Deemed Table '!D275</f>
        <v>MFMR</v>
      </c>
      <c r="I545" s="2438">
        <f>'MFMR Deemed Table '!F275</f>
        <v>4.1100000000000003</v>
      </c>
      <c r="J545" s="2438"/>
      <c r="K545" s="2439"/>
      <c r="L545" s="2439"/>
      <c r="M545" s="2439"/>
      <c r="N545" s="2439"/>
      <c r="O545" s="2440">
        <f>'MFMR Deemed Table '!M275</f>
        <v>6.1300000000000005E-4</v>
      </c>
      <c r="P545" s="2440"/>
      <c r="Q545" s="2441"/>
      <c r="R545" s="2441"/>
      <c r="S545" s="2441"/>
      <c r="T545" s="2441"/>
      <c r="U545" s="1819"/>
      <c r="V545" s="1819"/>
      <c r="W545" s="1819">
        <f>O545</f>
        <v>6.1300000000000005E-4</v>
      </c>
      <c r="X545" s="68">
        <f>'MFMR Deemed Table '!N275</f>
        <v>19</v>
      </c>
      <c r="Y545" s="68"/>
      <c r="Z545" s="68">
        <f t="shared" si="733"/>
        <v>19</v>
      </c>
      <c r="AA545" s="62">
        <f>'MFMR Deemed Table '!BB275</f>
        <v>1.256579415716806</v>
      </c>
      <c r="AB545" s="839">
        <f>'MFMR Deemed Table '!P275</f>
        <v>2.0299999999999998</v>
      </c>
      <c r="AC545" s="3617">
        <f t="shared" si="824"/>
        <v>2.407603788489963</v>
      </c>
      <c r="AD545" s="3617">
        <f t="shared" si="825"/>
        <v>0</v>
      </c>
      <c r="AE545" s="1661">
        <f>'MFMR Deemed Table '!BD275</f>
        <v>2.407603788489963</v>
      </c>
      <c r="AF545" s="2453"/>
      <c r="AG545" s="2453"/>
      <c r="AH545" s="2453"/>
      <c r="AI545" s="3634" t="str">
        <f>'MFMR Deemed Table '!Q275</f>
        <v>per measure</v>
      </c>
      <c r="AJ545" s="1930"/>
      <c r="AK545" s="1930"/>
      <c r="AL545" s="1930"/>
      <c r="AM545" s="1972">
        <f t="shared" si="765"/>
        <v>1.4925290000000001E-4</v>
      </c>
      <c r="AN545" s="1930">
        <f t="shared" si="791"/>
        <v>6.1342941900000003E-4</v>
      </c>
      <c r="AO545" s="1971">
        <f t="shared" si="790"/>
        <v>4.2941899999998472E-7</v>
      </c>
    </row>
    <row r="546" spans="1:41" x14ac:dyDescent="0.25">
      <c r="A546" s="103" t="str">
        <f t="shared" si="775"/>
        <v>500900</v>
      </c>
      <c r="B546" s="684" t="str">
        <f>'MFMR Deemed Table '!C276</f>
        <v>500900_2019_12_</v>
      </c>
      <c r="C546" s="1962" t="str">
        <f>'MFMR Deemed Table '!G276</f>
        <v>Lighting RES</v>
      </c>
      <c r="D546" s="1962"/>
      <c r="E546" s="1962"/>
      <c r="F546" s="1962"/>
      <c r="G546" s="1962" t="str">
        <f>'MFMR Deemed Table '!E276</f>
        <v>LED - 10W (Halogen baseline) (750-1049 lumens)</v>
      </c>
      <c r="H546" s="63" t="str">
        <f>'MFMR Deemed Table '!D276</f>
        <v>MFMR</v>
      </c>
      <c r="I546" s="2438">
        <f>'MFMR Deemed Table '!F276</f>
        <v>23.12</v>
      </c>
      <c r="J546" s="2438"/>
      <c r="K546" s="2439"/>
      <c r="L546" s="2439"/>
      <c r="M546" s="2439"/>
      <c r="N546" s="2439"/>
      <c r="O546" s="2440">
        <f>'MFMR Deemed Table '!M276</f>
        <v>3.4510000000000001E-3</v>
      </c>
      <c r="P546" s="2440"/>
      <c r="Q546" s="2441"/>
      <c r="R546" s="2441"/>
      <c r="S546" s="2441"/>
      <c r="T546" s="2441"/>
      <c r="U546" s="1819"/>
      <c r="V546" s="1819"/>
      <c r="W546" s="1819">
        <f t="shared" ref="W546:W558" si="826">O546</f>
        <v>3.4510000000000001E-3</v>
      </c>
      <c r="X546" s="68">
        <f>'MFMR Deemed Table '!N276</f>
        <v>19</v>
      </c>
      <c r="Y546" s="68"/>
      <c r="Z546" s="68">
        <f t="shared" si="733"/>
        <v>19</v>
      </c>
      <c r="AA546" s="62">
        <f>'MFMR Deemed Table '!BB276</f>
        <v>7.0686413847621781</v>
      </c>
      <c r="AB546" s="839">
        <f>'MFMR Deemed Table '!P276</f>
        <v>2.0299999999999998</v>
      </c>
      <c r="AC546" s="3617">
        <f t="shared" si="824"/>
        <v>13.54350354985108</v>
      </c>
      <c r="AD546" s="3617">
        <f t="shared" si="825"/>
        <v>0</v>
      </c>
      <c r="AE546" s="1661">
        <f>'MFMR Deemed Table '!BD276</f>
        <v>13.54350354985108</v>
      </c>
      <c r="AF546" s="2453"/>
      <c r="AG546" s="2453"/>
      <c r="AH546" s="2453"/>
      <c r="AI546" s="3634" t="str">
        <f>'MFMR Deemed Table '!Q276</f>
        <v>per measure</v>
      </c>
      <c r="AJ546" s="1930"/>
      <c r="AK546" s="1930"/>
      <c r="AL546" s="1930"/>
      <c r="AM546" s="1972">
        <f t="shared" si="765"/>
        <v>1.4925290000000001E-4</v>
      </c>
      <c r="AN546" s="1930">
        <f t="shared" si="791"/>
        <v>3.4507270480000005E-3</v>
      </c>
      <c r="AO546" s="1971">
        <f t="shared" si="790"/>
        <v>-2.7295199999961134E-7</v>
      </c>
    </row>
    <row r="547" spans="1:41" x14ac:dyDescent="0.25">
      <c r="A547" s="103" t="str">
        <f t="shared" si="775"/>
        <v>500950</v>
      </c>
      <c r="B547" s="684" t="str">
        <f>'MFMR Deemed Table '!C277</f>
        <v>500950_2019_12_</v>
      </c>
      <c r="C547" s="1962" t="str">
        <f>'MFMR Deemed Table '!G277</f>
        <v>Lighting RES</v>
      </c>
      <c r="D547" s="1962"/>
      <c r="E547" s="1962"/>
      <c r="F547" s="1962"/>
      <c r="G547" s="1962" t="str">
        <f>'MFMR Deemed Table '!E277</f>
        <v>LED - 12W Dimmable Light Bulb (Replacing CFL)</v>
      </c>
      <c r="H547" s="63" t="str">
        <f>'MFMR Deemed Table '!D277</f>
        <v>MFMR</v>
      </c>
      <c r="I547" s="2438">
        <f>'MFMR Deemed Table '!F277</f>
        <v>5.46</v>
      </c>
      <c r="J547" s="2438"/>
      <c r="K547" s="2439"/>
      <c r="L547" s="2439"/>
      <c r="M547" s="2439"/>
      <c r="N547" s="2439"/>
      <c r="O547" s="2440">
        <f>'MFMR Deemed Table '!M277</f>
        <v>8.1499999999999997E-4</v>
      </c>
      <c r="P547" s="2440"/>
      <c r="Q547" s="2441"/>
      <c r="R547" s="2441"/>
      <c r="S547" s="2441"/>
      <c r="T547" s="2441"/>
      <c r="U547" s="1819"/>
      <c r="V547" s="1819"/>
      <c r="W547" s="1819">
        <f t="shared" si="826"/>
        <v>8.1499999999999997E-4</v>
      </c>
      <c r="X547" s="68">
        <f>'MFMR Deemed Table '!N277</f>
        <v>19</v>
      </c>
      <c r="Y547" s="68"/>
      <c r="Z547" s="68">
        <f t="shared" si="733"/>
        <v>19</v>
      </c>
      <c r="AA547" s="62">
        <f>'MFMR Deemed Table '!BB277</f>
        <v>0.81853350070653241</v>
      </c>
      <c r="AB547" s="839">
        <f>'MFMR Deemed Table '!P277</f>
        <v>4.1399999999999997</v>
      </c>
      <c r="AC547" s="3617">
        <f t="shared" si="824"/>
        <v>3.1984225511326509</v>
      </c>
      <c r="AD547" s="3617">
        <f t="shared" si="825"/>
        <v>0</v>
      </c>
      <c r="AE547" s="1661">
        <f>'MFMR Deemed Table '!BD277</f>
        <v>3.1984225511326509</v>
      </c>
      <c r="AF547" s="2453"/>
      <c r="AG547" s="2453"/>
      <c r="AH547" s="2453"/>
      <c r="AI547" s="3634" t="str">
        <f>'MFMR Deemed Table '!Q277</f>
        <v>per measure</v>
      </c>
      <c r="AJ547" s="1930"/>
      <c r="AK547" s="1930"/>
      <c r="AL547" s="1930"/>
      <c r="AM547" s="1972">
        <f t="shared" si="765"/>
        <v>1.4925290000000001E-4</v>
      </c>
      <c r="AN547" s="1930">
        <f t="shared" si="791"/>
        <v>8.1492083400000004E-4</v>
      </c>
      <c r="AO547" s="1971">
        <f t="shared" si="790"/>
        <v>-7.9165999999930049E-8</v>
      </c>
    </row>
    <row r="548" spans="1:41" x14ac:dyDescent="0.25">
      <c r="A548" s="103" t="str">
        <f t="shared" si="775"/>
        <v>501000</v>
      </c>
      <c r="B548" s="684" t="str">
        <f>'MFMR Deemed Table '!C278</f>
        <v>501000_2019_12_</v>
      </c>
      <c r="C548" s="1962" t="str">
        <f>'MFMR Deemed Table '!G278</f>
        <v>Lighting RES</v>
      </c>
      <c r="D548" s="1962"/>
      <c r="E548" s="1962"/>
      <c r="F548" s="1962"/>
      <c r="G548" s="1962" t="str">
        <f>'MFMR Deemed Table '!E278</f>
        <v>LED - 12W Dimmable Light Bulb (Replacing Specialty Incandescent)</v>
      </c>
      <c r="H548" s="63" t="str">
        <f>'MFMR Deemed Table '!D278</f>
        <v>MFMR</v>
      </c>
      <c r="I548" s="2438">
        <f>'MFMR Deemed Table '!F278</f>
        <v>42.87</v>
      </c>
      <c r="J548" s="2438"/>
      <c r="K548" s="2439"/>
      <c r="L548" s="2439"/>
      <c r="M548" s="2439"/>
      <c r="N548" s="2439"/>
      <c r="O548" s="2440">
        <f>'MFMR Deemed Table '!M278</f>
        <v>6.3990000000000002E-3</v>
      </c>
      <c r="P548" s="2440"/>
      <c r="Q548" s="2441"/>
      <c r="R548" s="2441"/>
      <c r="S548" s="2441"/>
      <c r="T548" s="2441"/>
      <c r="U548" s="1819"/>
      <c r="V548" s="1819"/>
      <c r="W548" s="1819">
        <f t="shared" si="826"/>
        <v>6.3990000000000002E-3</v>
      </c>
      <c r="X548" s="68">
        <f>'MFMR Deemed Table '!N278</f>
        <v>19</v>
      </c>
      <c r="Y548" s="68"/>
      <c r="Z548" s="68">
        <f t="shared" si="733"/>
        <v>19</v>
      </c>
      <c r="AA548" s="62">
        <f>'MFMR Deemed Table '!BB278</f>
        <v>6.4268372115914003</v>
      </c>
      <c r="AB548" s="839">
        <f>'MFMR Deemed Table '!P278</f>
        <v>4.1399999999999997</v>
      </c>
      <c r="AC548" s="3617">
        <f t="shared" si="824"/>
        <v>25.112889151475596</v>
      </c>
      <c r="AD548" s="3617">
        <f t="shared" si="825"/>
        <v>0</v>
      </c>
      <c r="AE548" s="1661">
        <f>'MFMR Deemed Table '!BD278</f>
        <v>25.112889151475596</v>
      </c>
      <c r="AF548" s="2453"/>
      <c r="AG548" s="2453"/>
      <c r="AH548" s="2453"/>
      <c r="AI548" s="3634" t="str">
        <f>'MFMR Deemed Table '!Q278</f>
        <v>per measure</v>
      </c>
      <c r="AJ548" s="1930"/>
      <c r="AK548" s="1930"/>
      <c r="AL548" s="1930"/>
      <c r="AM548" s="1972">
        <f t="shared" si="765"/>
        <v>1.4925290000000001E-4</v>
      </c>
      <c r="AN548" s="1930">
        <f t="shared" si="791"/>
        <v>6.3984718229999999E-3</v>
      </c>
      <c r="AO548" s="1971">
        <f t="shared" si="790"/>
        <v>-5.2817700000023365E-7</v>
      </c>
    </row>
    <row r="549" spans="1:41" x14ac:dyDescent="0.25">
      <c r="A549" s="103" t="str">
        <f t="shared" si="775"/>
        <v>501050</v>
      </c>
      <c r="B549" s="684" t="str">
        <f>'MFMR Deemed Table '!C279</f>
        <v>501050_2019_12_</v>
      </c>
      <c r="C549" s="1962" t="str">
        <f>'MFMR Deemed Table '!G279</f>
        <v>Lighting RES</v>
      </c>
      <c r="D549" s="1962"/>
      <c r="E549" s="1962"/>
      <c r="F549" s="1962"/>
      <c r="G549" s="1962" t="str">
        <f>'MFMR Deemed Table '!E279</f>
        <v>LED - 12W (Halogen baseline)</v>
      </c>
      <c r="H549" s="63" t="str">
        <f>'MFMR Deemed Table '!D279</f>
        <v>MFMR</v>
      </c>
      <c r="I549" s="2438">
        <f>'MFMR Deemed Table '!F279</f>
        <v>22.49</v>
      </c>
      <c r="J549" s="2438"/>
      <c r="K549" s="2439"/>
      <c r="L549" s="2439"/>
      <c r="M549" s="2439"/>
      <c r="N549" s="2439"/>
      <c r="O549" s="2440">
        <f>'MFMR Deemed Table '!M279</f>
        <v>3.3570000000000002E-3</v>
      </c>
      <c r="P549" s="2440"/>
      <c r="Q549" s="2441"/>
      <c r="R549" s="2441"/>
      <c r="S549" s="2441"/>
      <c r="T549" s="2441"/>
      <c r="U549" s="1819"/>
      <c r="V549" s="1819"/>
      <c r="W549" s="1819">
        <f t="shared" si="826"/>
        <v>3.3570000000000002E-3</v>
      </c>
      <c r="X549" s="68">
        <f>'MFMR Deemed Table '!N279</f>
        <v>19</v>
      </c>
      <c r="Y549" s="68"/>
      <c r="Z549" s="68">
        <f t="shared" si="733"/>
        <v>19</v>
      </c>
      <c r="AA549" s="62">
        <f>'MFMR Deemed Table '!BB279</f>
        <v>2.9572743335150959</v>
      </c>
      <c r="AB549" s="839">
        <f>'MFMR Deemed Table '!P279</f>
        <v>4.72</v>
      </c>
      <c r="AC549" s="3617">
        <f t="shared" si="824"/>
        <v>13.174454793951156</v>
      </c>
      <c r="AD549" s="3617">
        <f t="shared" si="825"/>
        <v>0</v>
      </c>
      <c r="AE549" s="1661">
        <f>'MFMR Deemed Table '!BD279</f>
        <v>13.174454793951156</v>
      </c>
      <c r="AF549" s="2453"/>
      <c r="AG549" s="2453"/>
      <c r="AH549" s="2453"/>
      <c r="AI549" s="3634" t="str">
        <f>'MFMR Deemed Table '!Q279</f>
        <v>per measure</v>
      </c>
      <c r="AJ549" s="1930"/>
      <c r="AK549" s="1930"/>
      <c r="AL549" s="1930"/>
      <c r="AM549" s="1972">
        <f t="shared" si="765"/>
        <v>1.4925290000000001E-4</v>
      </c>
      <c r="AN549" s="1930">
        <f t="shared" si="791"/>
        <v>3.3566977209999998E-3</v>
      </c>
      <c r="AO549" s="1971">
        <f t="shared" si="790"/>
        <v>-3.0227900000038763E-7</v>
      </c>
    </row>
    <row r="550" spans="1:41" x14ac:dyDescent="0.25">
      <c r="A550" s="103" t="str">
        <f t="shared" si="775"/>
        <v>501100</v>
      </c>
      <c r="B550" s="684" t="str">
        <f>'MFMR Deemed Table '!C280</f>
        <v>501100_2019_12_</v>
      </c>
      <c r="C550" s="1962" t="str">
        <f>'MFMR Deemed Table '!G280</f>
        <v>Lighting RES</v>
      </c>
      <c r="D550" s="1962"/>
      <c r="E550" s="1962"/>
      <c r="F550" s="1962"/>
      <c r="G550" s="1962" t="str">
        <f>'MFMR Deemed Table '!E280</f>
        <v>LED - 12W (Replacing CFL)</v>
      </c>
      <c r="H550" s="63" t="str">
        <f>'MFMR Deemed Table '!D280</f>
        <v>MFMR</v>
      </c>
      <c r="I550" s="2438">
        <f>'MFMR Deemed Table '!F280</f>
        <v>5.46</v>
      </c>
      <c r="J550" s="2438"/>
      <c r="K550" s="2439"/>
      <c r="L550" s="2439"/>
      <c r="M550" s="2439"/>
      <c r="N550" s="2439"/>
      <c r="O550" s="2440">
        <f>'MFMR Deemed Table '!M280</f>
        <v>8.1499999999999997E-4</v>
      </c>
      <c r="P550" s="2440"/>
      <c r="Q550" s="2441"/>
      <c r="R550" s="2441"/>
      <c r="S550" s="2441"/>
      <c r="T550" s="2441"/>
      <c r="U550" s="1819"/>
      <c r="V550" s="1819"/>
      <c r="W550" s="1819">
        <f t="shared" si="826"/>
        <v>8.1499999999999997E-4</v>
      </c>
      <c r="X550" s="68">
        <f>'MFMR Deemed Table '!N280</f>
        <v>19</v>
      </c>
      <c r="Y550" s="68"/>
      <c r="Z550" s="68">
        <f t="shared" si="733"/>
        <v>19</v>
      </c>
      <c r="AA550" s="62">
        <f>'MFMR Deemed Table '!BB280</f>
        <v>0.71795099426378062</v>
      </c>
      <c r="AB550" s="839">
        <f>'MFMR Deemed Table '!P280</f>
        <v>4.72</v>
      </c>
      <c r="AC550" s="3617">
        <f t="shared" si="824"/>
        <v>3.1984225511326509</v>
      </c>
      <c r="AD550" s="3617">
        <f t="shared" si="825"/>
        <v>0</v>
      </c>
      <c r="AE550" s="1661">
        <f>'MFMR Deemed Table '!BD280</f>
        <v>3.1984225511326509</v>
      </c>
      <c r="AF550" s="2453"/>
      <c r="AG550" s="2453"/>
      <c r="AH550" s="2453"/>
      <c r="AI550" s="3634" t="str">
        <f>'MFMR Deemed Table '!Q280</f>
        <v>per measure</v>
      </c>
      <c r="AJ550" s="1930"/>
      <c r="AK550" s="1930"/>
      <c r="AL550" s="1930"/>
      <c r="AM550" s="1972">
        <f t="shared" si="765"/>
        <v>1.4925290000000001E-4</v>
      </c>
      <c r="AN550" s="1930">
        <f t="shared" si="791"/>
        <v>8.1492083400000004E-4</v>
      </c>
      <c r="AO550" s="1971">
        <f t="shared" si="790"/>
        <v>-7.9165999999930049E-8</v>
      </c>
    </row>
    <row r="551" spans="1:41" x14ac:dyDescent="0.25">
      <c r="A551" s="103" t="str">
        <f t="shared" si="775"/>
        <v>501150</v>
      </c>
      <c r="B551" s="684" t="str">
        <f>'MFMR Deemed Table '!C281</f>
        <v>501150_2019_12_</v>
      </c>
      <c r="C551" s="1962" t="str">
        <f>'MFMR Deemed Table '!G281</f>
        <v>Lighting RES</v>
      </c>
      <c r="D551" s="1962"/>
      <c r="E551" s="1962"/>
      <c r="F551" s="1962"/>
      <c r="G551" s="1962" t="str">
        <f>'MFMR Deemed Table '!E281</f>
        <v>LED - 15W (Halogen baseline) (1050-1489 lumens)</v>
      </c>
      <c r="H551" s="63" t="str">
        <f>'MFMR Deemed Table '!D281</f>
        <v>MFMR</v>
      </c>
      <c r="I551" s="2438">
        <f>'MFMR Deemed Table '!F281</f>
        <v>27.23</v>
      </c>
      <c r="J551" s="2438"/>
      <c r="K551" s="2439"/>
      <c r="L551" s="2439"/>
      <c r="M551" s="2439"/>
      <c r="N551" s="2439"/>
      <c r="O551" s="2440">
        <f>'MFMR Deemed Table '!M281</f>
        <v>4.0639999999999999E-3</v>
      </c>
      <c r="P551" s="2440"/>
      <c r="Q551" s="2441"/>
      <c r="R551" s="2441"/>
      <c r="S551" s="2441"/>
      <c r="T551" s="2441"/>
      <c r="U551" s="1819"/>
      <c r="V551" s="1819"/>
      <c r="W551" s="1819">
        <f t="shared" si="826"/>
        <v>4.0639999999999999E-3</v>
      </c>
      <c r="X551" s="68">
        <f>'MFMR Deemed Table '!N281</f>
        <v>19</v>
      </c>
      <c r="Y551" s="68"/>
      <c r="Z551" s="68">
        <f t="shared" si="733"/>
        <v>19</v>
      </c>
      <c r="AA551" s="62">
        <f>'MFMR Deemed Table '!BB281</f>
        <v>2.6954064154660826</v>
      </c>
      <c r="AB551" s="839">
        <f>'MFMR Deemed Table '!P281</f>
        <v>6.27</v>
      </c>
      <c r="AC551" s="3617">
        <f t="shared" si="824"/>
        <v>15.951107338341043</v>
      </c>
      <c r="AD551" s="3617">
        <f t="shared" si="825"/>
        <v>0</v>
      </c>
      <c r="AE551" s="1661">
        <f>'MFMR Deemed Table '!BD281</f>
        <v>15.951107338341043</v>
      </c>
      <c r="AF551" s="2453"/>
      <c r="AG551" s="2453"/>
      <c r="AH551" s="2453"/>
      <c r="AI551" s="3634" t="str">
        <f>'MFMR Deemed Table '!Q281</f>
        <v>per measure</v>
      </c>
      <c r="AJ551" s="1930"/>
      <c r="AK551" s="1930"/>
      <c r="AL551" s="1930"/>
      <c r="AM551" s="1972">
        <f t="shared" si="765"/>
        <v>1.4925290000000001E-4</v>
      </c>
      <c r="AN551" s="1930">
        <f t="shared" si="791"/>
        <v>4.0641564670000005E-3</v>
      </c>
      <c r="AO551" s="1971">
        <f t="shared" si="790"/>
        <v>1.5646700000059022E-7</v>
      </c>
    </row>
    <row r="552" spans="1:41" x14ac:dyDescent="0.25">
      <c r="A552" s="103" t="str">
        <f t="shared" si="775"/>
        <v>501200</v>
      </c>
      <c r="B552" s="684" t="str">
        <f>'MFMR Deemed Table '!C282</f>
        <v>501200_2019_12_</v>
      </c>
      <c r="C552" s="1962" t="str">
        <f>'MFMR Deemed Table '!G282</f>
        <v>Lighting RES</v>
      </c>
      <c r="D552" s="1962"/>
      <c r="E552" s="1962"/>
      <c r="F552" s="1962"/>
      <c r="G552" s="1962" t="str">
        <f>'MFMR Deemed Table '!E282</f>
        <v>LED - 15W (CFL baseline) (1050-1489 lumens)</v>
      </c>
      <c r="H552" s="63" t="str">
        <f>'MFMR Deemed Table '!D282</f>
        <v>MFMR</v>
      </c>
      <c r="I552" s="2438">
        <f>'MFMR Deemed Table '!F282</f>
        <v>5.33</v>
      </c>
      <c r="J552" s="2438"/>
      <c r="K552" s="2439"/>
      <c r="L552" s="2439"/>
      <c r="M552" s="2439"/>
      <c r="N552" s="2439"/>
      <c r="O552" s="2440">
        <f>'MFMR Deemed Table '!M282</f>
        <v>7.9600000000000005E-4</v>
      </c>
      <c r="P552" s="2440"/>
      <c r="Q552" s="2441"/>
      <c r="R552" s="2441"/>
      <c r="S552" s="2441"/>
      <c r="T552" s="2441"/>
      <c r="U552" s="1819"/>
      <c r="V552" s="1819"/>
      <c r="W552" s="1819">
        <f t="shared" si="826"/>
        <v>7.9600000000000005E-4</v>
      </c>
      <c r="X552" s="68">
        <f>'MFMR Deemed Table '!N282</f>
        <v>19</v>
      </c>
      <c r="Y552" s="68"/>
      <c r="Z552" s="68">
        <f t="shared" si="733"/>
        <v>19</v>
      </c>
      <c r="AA552" s="62">
        <f>'MFMR Deemed Table '!BB282</f>
        <v>0.52759883196600144</v>
      </c>
      <c r="AB552" s="839">
        <f>'MFMR Deemed Table '!P282</f>
        <v>6.27</v>
      </c>
      <c r="AC552" s="3617">
        <f t="shared" si="824"/>
        <v>3.1222696332485405</v>
      </c>
      <c r="AD552" s="3617">
        <f t="shared" si="825"/>
        <v>0</v>
      </c>
      <c r="AE552" s="1661">
        <f>'MFMR Deemed Table '!BD282</f>
        <v>3.1222696332485405</v>
      </c>
      <c r="AF552" s="2453"/>
      <c r="AG552" s="2453"/>
      <c r="AH552" s="2453"/>
      <c r="AI552" s="3634" t="str">
        <f>'MFMR Deemed Table '!Q282</f>
        <v>per measure</v>
      </c>
      <c r="AJ552" s="1930"/>
      <c r="AK552" s="1930"/>
      <c r="AL552" s="1930"/>
      <c r="AM552" s="1972">
        <f t="shared" si="765"/>
        <v>1.4925290000000001E-4</v>
      </c>
      <c r="AN552" s="1930">
        <f t="shared" si="791"/>
        <v>7.95517957E-4</v>
      </c>
      <c r="AO552" s="1971">
        <f t="shared" si="790"/>
        <v>-4.8204300000004481E-7</v>
      </c>
    </row>
    <row r="553" spans="1:41" x14ac:dyDescent="0.25">
      <c r="A553" s="103" t="str">
        <f t="shared" si="775"/>
        <v>501250</v>
      </c>
      <c r="B553" s="684" t="str">
        <f>'MFMR Deemed Table '!C283</f>
        <v>501250_2019_12_</v>
      </c>
      <c r="C553" s="1962" t="str">
        <f>'MFMR Deemed Table '!G283</f>
        <v>Lighting RES</v>
      </c>
      <c r="D553" s="1962"/>
      <c r="E553" s="1962"/>
      <c r="F553" s="1962"/>
      <c r="G553" s="1962" t="str">
        <f>'MFMR Deemed Table '!E283</f>
        <v>LED - 20W (Halogen baseline) (1490-2600 lumens)</v>
      </c>
      <c r="H553" s="63" t="str">
        <f>'MFMR Deemed Table '!D283</f>
        <v>MFMR</v>
      </c>
      <c r="I553" s="2438">
        <f>'MFMR Deemed Table '!F283</f>
        <v>36.61</v>
      </c>
      <c r="J553" s="2438"/>
      <c r="K553" s="2439"/>
      <c r="L553" s="2439"/>
      <c r="M553" s="2439"/>
      <c r="N553" s="2439"/>
      <c r="O553" s="2440">
        <f>'MFMR Deemed Table '!M283</f>
        <v>5.4640000000000001E-3</v>
      </c>
      <c r="P553" s="2440"/>
      <c r="Q553" s="2441"/>
      <c r="R553" s="2441"/>
      <c r="S553" s="2441"/>
      <c r="T553" s="2441"/>
      <c r="U553" s="1819"/>
      <c r="V553" s="1819"/>
      <c r="W553" s="1819">
        <f t="shared" si="826"/>
        <v>5.4640000000000001E-3</v>
      </c>
      <c r="X553" s="68">
        <f>'MFMR Deemed Table '!N283</f>
        <v>19</v>
      </c>
      <c r="Y553" s="68"/>
      <c r="Z553" s="68">
        <f t="shared" si="733"/>
        <v>19</v>
      </c>
      <c r="AA553" s="62">
        <f>'MFMR Deemed Table '!BB283</f>
        <v>2.9018978720892656</v>
      </c>
      <c r="AB553" s="839">
        <f>'MFMR Deemed Table '!P283</f>
        <v>7.83</v>
      </c>
      <c r="AC553" s="3617">
        <f t="shared" si="824"/>
        <v>21.445833259517649</v>
      </c>
      <c r="AD553" s="3617">
        <f t="shared" si="825"/>
        <v>0</v>
      </c>
      <c r="AE553" s="1661">
        <f>'MFMR Deemed Table '!BD283</f>
        <v>21.445833259517649</v>
      </c>
      <c r="AF553" s="2453"/>
      <c r="AG553" s="2453"/>
      <c r="AH553" s="2453"/>
      <c r="AI553" s="3634" t="str">
        <f>'MFMR Deemed Table '!Q283</f>
        <v>per measure</v>
      </c>
      <c r="AJ553" s="1930"/>
      <c r="AK553" s="1930"/>
      <c r="AL553" s="1930"/>
      <c r="AM553" s="1972">
        <f t="shared" si="765"/>
        <v>1.4925290000000001E-4</v>
      </c>
      <c r="AN553" s="1930">
        <f t="shared" si="791"/>
        <v>5.4641486690000006E-3</v>
      </c>
      <c r="AO553" s="1971">
        <f t="shared" si="790"/>
        <v>1.4866900000052446E-7</v>
      </c>
    </row>
    <row r="554" spans="1:41" x14ac:dyDescent="0.25">
      <c r="A554" s="103" t="str">
        <f t="shared" si="775"/>
        <v>501300</v>
      </c>
      <c r="B554" s="684" t="str">
        <f>'MFMR Deemed Table '!C284</f>
        <v>501300_2019_12_</v>
      </c>
      <c r="C554" s="1962" t="str">
        <f>'MFMR Deemed Table '!G284</f>
        <v>Lighting RES</v>
      </c>
      <c r="D554" s="1962"/>
      <c r="E554" s="1962"/>
      <c r="F554" s="1962"/>
      <c r="G554" s="1962" t="str">
        <f>'MFMR Deemed Table '!E284</f>
        <v>LED - 20W (CFL baseline) (1490-2600 lumens)</v>
      </c>
      <c r="H554" s="63" t="str">
        <f>'MFMR Deemed Table '!D284</f>
        <v>MFMR</v>
      </c>
      <c r="I554" s="2438">
        <f>'MFMR Deemed Table '!F284</f>
        <v>6.29</v>
      </c>
      <c r="J554" s="2438"/>
      <c r="K554" s="2439"/>
      <c r="L554" s="2439"/>
      <c r="M554" s="2439"/>
      <c r="N554" s="2439"/>
      <c r="O554" s="2440">
        <f>'MFMR Deemed Table '!M284</f>
        <v>9.3899999999999995E-4</v>
      </c>
      <c r="P554" s="2440"/>
      <c r="Q554" s="2441"/>
      <c r="R554" s="2441"/>
      <c r="S554" s="2441"/>
      <c r="T554" s="2441"/>
      <c r="U554" s="1819"/>
      <c r="V554" s="1819"/>
      <c r="W554" s="1819">
        <f t="shared" si="826"/>
        <v>9.3899999999999995E-4</v>
      </c>
      <c r="X554" s="68">
        <f>'MFMR Deemed Table '!N284</f>
        <v>19</v>
      </c>
      <c r="Y554" s="68"/>
      <c r="Z554" s="68">
        <f t="shared" si="733"/>
        <v>19</v>
      </c>
      <c r="AA554" s="62">
        <f>'MFMR Deemed Table '!BB284</f>
        <v>0.49857791902325815</v>
      </c>
      <c r="AB554" s="839">
        <f>'MFMR Deemed Table '!P284</f>
        <v>7.83</v>
      </c>
      <c r="AC554" s="3617">
        <f t="shared" si="824"/>
        <v>3.6846296422388964</v>
      </c>
      <c r="AD554" s="3617">
        <f t="shared" si="825"/>
        <v>0</v>
      </c>
      <c r="AE554" s="1661">
        <f>'MFMR Deemed Table '!BD284</f>
        <v>3.6846296422388964</v>
      </c>
      <c r="AF554" s="2453"/>
      <c r="AG554" s="2453"/>
      <c r="AH554" s="2453"/>
      <c r="AI554" s="3634" t="str">
        <f>'MFMR Deemed Table '!Q284</f>
        <v>per measure</v>
      </c>
      <c r="AJ554" s="1930"/>
      <c r="AK554" s="1930"/>
      <c r="AL554" s="1930"/>
      <c r="AM554" s="1972">
        <f t="shared" si="765"/>
        <v>1.4925290000000001E-4</v>
      </c>
      <c r="AN554" s="1930">
        <f t="shared" si="791"/>
        <v>9.3880074100000002E-4</v>
      </c>
      <c r="AO554" s="1971">
        <f t="shared" si="790"/>
        <v>-1.9925899999992999E-7</v>
      </c>
    </row>
    <row r="555" spans="1:41" s="100" customFormat="1" x14ac:dyDescent="0.25">
      <c r="A555" s="103" t="str">
        <f t="shared" si="775"/>
        <v>501310</v>
      </c>
      <c r="B555" s="684" t="str">
        <f>'MFMR Deemed Table '!C285</f>
        <v>501310_2020_12_</v>
      </c>
      <c r="C555" s="1962" t="str">
        <f>'MFMR Deemed Table '!G285</f>
        <v>Lighting RES</v>
      </c>
      <c r="D555" s="1962"/>
      <c r="E555" s="1962"/>
      <c r="F555" s="1962"/>
      <c r="G555" s="1962" t="str">
        <f>'MFMR Deemed Table '!E285</f>
        <v>LED - 11W Flood Light BR30 Bulb (Halogen baseline)</v>
      </c>
      <c r="H555" s="63" t="str">
        <f>'MFMR Deemed Table '!D285</f>
        <v>MFMR</v>
      </c>
      <c r="I555" s="2438">
        <f>'MFMR Deemed Table '!F285</f>
        <v>34.68</v>
      </c>
      <c r="J555" s="2438"/>
      <c r="K555" s="2439"/>
      <c r="L555" s="2439"/>
      <c r="M555" s="2439"/>
      <c r="N555" s="2439"/>
      <c r="O555" s="2440">
        <f>'MFMR Deemed Table '!M285</f>
        <v>5.176E-3</v>
      </c>
      <c r="P555" s="2440"/>
      <c r="Q555" s="2441"/>
      <c r="R555" s="2441"/>
      <c r="S555" s="2441"/>
      <c r="T555" s="2441"/>
      <c r="U555" s="1926"/>
      <c r="V555" s="1926"/>
      <c r="W555" s="1926">
        <f t="shared" ref="W555" si="827">O555</f>
        <v>5.176E-3</v>
      </c>
      <c r="X555" s="68">
        <f>'MFMR Deemed Table '!N285</f>
        <v>19</v>
      </c>
      <c r="Y555" s="68"/>
      <c r="Z555" s="68">
        <f t="shared" ref="Z555" si="828">Y555+X555</f>
        <v>19</v>
      </c>
      <c r="AA555" s="62">
        <f>'MFMR Deemed Table '!BB285</f>
        <v>12.966272901566766</v>
      </c>
      <c r="AB555" s="839">
        <f>'MFMR Deemed Table '!P285</f>
        <v>1.66</v>
      </c>
      <c r="AC555" s="3617">
        <f t="shared" ref="AC555" si="829">AE555+AF555</f>
        <v>20.315255324776619</v>
      </c>
      <c r="AD555" s="3617">
        <f t="shared" ref="AD555" si="830">AG555+AH555</f>
        <v>0</v>
      </c>
      <c r="AE555" s="1661">
        <f>'MFMR Deemed Table '!BD285</f>
        <v>20.315255324776619</v>
      </c>
      <c r="AF555" s="2453"/>
      <c r="AG555" s="2453"/>
      <c r="AH555" s="2453"/>
      <c r="AI555" s="3634" t="str">
        <f>'MFMR Deemed Table '!Q285</f>
        <v>per measure</v>
      </c>
      <c r="AM555" s="2433">
        <f t="shared" si="765"/>
        <v>1.4925290000000001E-4</v>
      </c>
      <c r="AN555" s="100">
        <f t="shared" ref="AN555" si="831">AM555*I555</f>
        <v>5.1760905720000007E-3</v>
      </c>
      <c r="AO555" s="2437">
        <f t="shared" ref="AO555" si="832">AN555-O555</f>
        <v>9.0572000000649355E-8</v>
      </c>
    </row>
    <row r="556" spans="1:41" s="100" customFormat="1" x14ac:dyDescent="0.25">
      <c r="A556" s="103" t="str">
        <f t="shared" si="775"/>
        <v>501311</v>
      </c>
      <c r="B556" s="684" t="str">
        <f>'MFMR Deemed Table '!C286</f>
        <v>501311_2020_12_</v>
      </c>
      <c r="C556" s="1962" t="str">
        <f>'MFMR Deemed Table '!G286</f>
        <v>Lighting RES</v>
      </c>
      <c r="D556" s="1962"/>
      <c r="E556" s="1962"/>
      <c r="F556" s="1962"/>
      <c r="G556" s="1962" t="str">
        <f>'MFMR Deemed Table '!E286</f>
        <v>LED - 11W Flood Light BR30 Bulb (CFL baseline)</v>
      </c>
      <c r="H556" s="63" t="str">
        <f>'MFMR Deemed Table '!D286</f>
        <v>MFMR</v>
      </c>
      <c r="I556" s="2438">
        <f>'MFMR Deemed Table '!F286</f>
        <v>5.07</v>
      </c>
      <c r="J556" s="2438"/>
      <c r="K556" s="2439"/>
      <c r="L556" s="2439"/>
      <c r="M556" s="2439"/>
      <c r="N556" s="2439"/>
      <c r="O556" s="2440">
        <f>'MFMR Deemed Table '!M286</f>
        <v>7.5600000000000005E-4</v>
      </c>
      <c r="P556" s="2440"/>
      <c r="Q556" s="2441"/>
      <c r="R556" s="2441"/>
      <c r="S556" s="2441"/>
      <c r="T556" s="2441"/>
      <c r="U556" s="1926"/>
      <c r="V556" s="1926"/>
      <c r="W556" s="1926">
        <f t="shared" ref="W556" si="833">O556</f>
        <v>7.5600000000000005E-4</v>
      </c>
      <c r="X556" s="68">
        <f>'MFMR Deemed Table '!N286</f>
        <v>19</v>
      </c>
      <c r="Y556" s="68"/>
      <c r="Z556" s="68">
        <f t="shared" ref="Z556" si="834">Y556+X556</f>
        <v>19</v>
      </c>
      <c r="AA556" s="62">
        <f>'MFMR Deemed Table '!BB286</f>
        <v>1.8955883394159028</v>
      </c>
      <c r="AB556" s="839">
        <f>'MFMR Deemed Table '!P286</f>
        <v>1.66</v>
      </c>
      <c r="AC556" s="3617">
        <f t="shared" ref="AC556" si="835">AE556+AF556</f>
        <v>2.969963797480319</v>
      </c>
      <c r="AD556" s="3617">
        <f t="shared" ref="AD556" si="836">AG556+AH556</f>
        <v>0</v>
      </c>
      <c r="AE556" s="1661">
        <f>'MFMR Deemed Table '!BD286</f>
        <v>2.969963797480319</v>
      </c>
      <c r="AF556" s="2453"/>
      <c r="AG556" s="2453"/>
      <c r="AH556" s="2453"/>
      <c r="AI556" s="3634" t="str">
        <f>'MFMR Deemed Table '!Q286</f>
        <v>per measure</v>
      </c>
      <c r="AM556" s="2433">
        <f t="shared" ref="AM556:AM588" si="837">VLOOKUP(C556,$AS$10:$AT$33,2,FALSE)</f>
        <v>1.4925290000000001E-4</v>
      </c>
      <c r="AN556" s="100">
        <f t="shared" ref="AN556" si="838">AM556*I556</f>
        <v>7.5671220300000004E-4</v>
      </c>
      <c r="AO556" s="2437">
        <f t="shared" ref="AO556" si="839">AN556-O556</f>
        <v>7.1220299999999112E-7</v>
      </c>
    </row>
    <row r="557" spans="1:41" x14ac:dyDescent="0.25">
      <c r="A557" s="103" t="str">
        <f t="shared" si="775"/>
        <v>501350</v>
      </c>
      <c r="B557" s="684" t="str">
        <f>'MFMR Deemed Table '!C287</f>
        <v>501350_2019_12_</v>
      </c>
      <c r="C557" s="1962" t="str">
        <f>'MFMR Deemed Table '!G287</f>
        <v>Lighting RES</v>
      </c>
      <c r="D557" s="1962"/>
      <c r="E557" s="1962"/>
      <c r="F557" s="1962"/>
      <c r="G557" s="1962" t="str">
        <f>'MFMR Deemed Table '!E287</f>
        <v>LED - 15W Flood Light PAR30 Bulb (Halogen baseline)</v>
      </c>
      <c r="H557" s="63" t="str">
        <f>'MFMR Deemed Table '!D287</f>
        <v>MFMR</v>
      </c>
      <c r="I557" s="2438">
        <f>'MFMR Deemed Table '!F287</f>
        <v>32.31</v>
      </c>
      <c r="J557" s="2438"/>
      <c r="K557" s="2439"/>
      <c r="L557" s="2439"/>
      <c r="M557" s="2439"/>
      <c r="N557" s="2439"/>
      <c r="O557" s="2440">
        <f>'MFMR Deemed Table '!M287</f>
        <v>4.8219999999999999E-3</v>
      </c>
      <c r="P557" s="2440"/>
      <c r="Q557" s="2441"/>
      <c r="R557" s="2441"/>
      <c r="S557" s="2441"/>
      <c r="T557" s="2441"/>
      <c r="U557" s="1819"/>
      <c r="V557" s="1819"/>
      <c r="W557" s="1819">
        <f t="shared" si="826"/>
        <v>4.8219999999999999E-3</v>
      </c>
      <c r="X557" s="68">
        <f>'MFMR Deemed Table '!N287</f>
        <v>19</v>
      </c>
      <c r="Y557" s="68"/>
      <c r="Z557" s="68">
        <f t="shared" si="733"/>
        <v>19</v>
      </c>
      <c r="AA557" s="62">
        <f>'MFMR Deemed Table '!BB287</f>
        <v>6.5747807643312424</v>
      </c>
      <c r="AB557" s="839">
        <f>'MFMR Deemed Table '!P287</f>
        <v>3.05</v>
      </c>
      <c r="AC557" s="3617">
        <f t="shared" si="824"/>
        <v>18.926929052581677</v>
      </c>
      <c r="AD557" s="3617">
        <f t="shared" si="825"/>
        <v>0</v>
      </c>
      <c r="AE557" s="1661">
        <f>'MFMR Deemed Table '!BD287</f>
        <v>18.926929052581677</v>
      </c>
      <c r="AF557" s="2453"/>
      <c r="AG557" s="2453"/>
      <c r="AH557" s="2453"/>
      <c r="AI557" s="3634" t="str">
        <f>'MFMR Deemed Table '!Q287</f>
        <v>per measure</v>
      </c>
      <c r="AJ557" s="1930"/>
      <c r="AK557" s="1930"/>
      <c r="AL557" s="1930"/>
      <c r="AM557" s="1972">
        <f t="shared" si="837"/>
        <v>1.4925290000000001E-4</v>
      </c>
      <c r="AN557" s="1930">
        <f t="shared" si="791"/>
        <v>4.8223611990000003E-3</v>
      </c>
      <c r="AO557" s="1971">
        <f t="shared" si="790"/>
        <v>3.6119900000044364E-7</v>
      </c>
    </row>
    <row r="558" spans="1:41" x14ac:dyDescent="0.25">
      <c r="A558" s="103" t="str">
        <f t="shared" si="775"/>
        <v>501400</v>
      </c>
      <c r="B558" s="684" t="str">
        <f>'MFMR Deemed Table '!C288</f>
        <v>501400_2019_12_</v>
      </c>
      <c r="C558" s="1962" t="str">
        <f>'MFMR Deemed Table '!G288</f>
        <v>Lighting RES</v>
      </c>
      <c r="D558" s="1962"/>
      <c r="E558" s="1962"/>
      <c r="F558" s="1962"/>
      <c r="G558" s="1962" t="str">
        <f>'MFMR Deemed Table '!E288</f>
        <v>LED - 15W Flood Light PAR30 Bulb (CFL baseline)</v>
      </c>
      <c r="H558" s="63" t="str">
        <f>'MFMR Deemed Table '!D288</f>
        <v>MFMR</v>
      </c>
      <c r="I558" s="2438">
        <f>'MFMR Deemed Table '!F288</f>
        <v>3.08</v>
      </c>
      <c r="J558" s="2438"/>
      <c r="K558" s="2439"/>
      <c r="L558" s="2439"/>
      <c r="M558" s="2439"/>
      <c r="N558" s="2439"/>
      <c r="O558" s="2440">
        <f>'MFMR Deemed Table '!M288</f>
        <v>4.6000000000000001E-4</v>
      </c>
      <c r="P558" s="2440"/>
      <c r="Q558" s="2441"/>
      <c r="R558" s="2441"/>
      <c r="S558" s="2441"/>
      <c r="T558" s="2441"/>
      <c r="U558" s="1819"/>
      <c r="V558" s="1819"/>
      <c r="W558" s="1819">
        <f t="shared" si="826"/>
        <v>4.6000000000000001E-4</v>
      </c>
      <c r="X558" s="68">
        <f>'MFMR Deemed Table '!N288</f>
        <v>19</v>
      </c>
      <c r="Y558" s="68"/>
      <c r="Z558" s="68">
        <f t="shared" si="733"/>
        <v>19</v>
      </c>
      <c r="AA558" s="62">
        <f>'MFMR Deemed Table '!BB288</f>
        <v>0.62675099827113057</v>
      </c>
      <c r="AB558" s="839">
        <f>'MFMR Deemed Table '!P288</f>
        <v>3.05</v>
      </c>
      <c r="AC558" s="3617">
        <f t="shared" si="824"/>
        <v>1.804238362177393</v>
      </c>
      <c r="AD558" s="3617">
        <f t="shared" si="825"/>
        <v>0</v>
      </c>
      <c r="AE558" s="1661">
        <f>'MFMR Deemed Table '!BD288</f>
        <v>1.804238362177393</v>
      </c>
      <c r="AF558" s="2453"/>
      <c r="AG558" s="2453"/>
      <c r="AH558" s="2453"/>
      <c r="AI558" s="3634" t="str">
        <f>'MFMR Deemed Table '!Q288</f>
        <v>per measure</v>
      </c>
      <c r="AJ558" s="1930"/>
      <c r="AK558" s="1930"/>
      <c r="AL558" s="1930"/>
      <c r="AM558" s="1972">
        <f t="shared" si="837"/>
        <v>1.4925290000000001E-4</v>
      </c>
      <c r="AN558" s="1930">
        <f t="shared" si="791"/>
        <v>4.5969893200000005E-4</v>
      </c>
      <c r="AO558" s="1971">
        <f t="shared" si="790"/>
        <v>-3.0106799999996816E-7</v>
      </c>
    </row>
    <row r="559" spans="1:41" s="100" customFormat="1" x14ac:dyDescent="0.25">
      <c r="A559" s="103" t="str">
        <f t="shared" si="775"/>
        <v>501401</v>
      </c>
      <c r="B559" s="684" t="str">
        <f>'MFMR Deemed Table '!C289</f>
        <v>501401_2019_12_</v>
      </c>
      <c r="C559" s="1962" t="str">
        <f>'MFMR Deemed Table '!G289</f>
        <v>Lighting RES</v>
      </c>
      <c r="D559" s="1962"/>
      <c r="E559" s="1962"/>
      <c r="F559" s="1962"/>
      <c r="G559" s="1962" t="str">
        <f>'MFMR Deemed Table '!E289</f>
        <v xml:space="preserve">LED - 6W (Halogen baseline) (310-749 lumens) </v>
      </c>
      <c r="H559" s="63" t="str">
        <f>'MFMR Deemed Table '!D289</f>
        <v>MFMR</v>
      </c>
      <c r="I559" s="2438">
        <f>'MFMR Deemed Table '!F289</f>
        <v>14.77</v>
      </c>
      <c r="J559" s="2438"/>
      <c r="K559" s="2439"/>
      <c r="L559" s="2439"/>
      <c r="M559" s="2439"/>
      <c r="N559" s="2439"/>
      <c r="O559" s="2440">
        <f>'MFMR Deemed Table '!M289</f>
        <v>2.2049999999999999E-3</v>
      </c>
      <c r="P559" s="2440"/>
      <c r="Q559" s="2441"/>
      <c r="R559" s="2441"/>
      <c r="S559" s="2441"/>
      <c r="T559" s="2441"/>
      <c r="U559" s="1926"/>
      <c r="V559" s="1926"/>
      <c r="W559" s="1926">
        <f t="shared" ref="W559:W561" si="840">O559</f>
        <v>2.2049999999999999E-3</v>
      </c>
      <c r="X559" s="68">
        <f>'MFMR Deemed Table '!N289</f>
        <v>19</v>
      </c>
      <c r="Y559" s="68"/>
      <c r="Z559" s="68">
        <f t="shared" ref="Z559:Z561" si="841">Y559+X559</f>
        <v>19</v>
      </c>
      <c r="AA559" s="62">
        <f>'MFMR Deemed Table '!BB289</f>
        <v>4.5157367323934849</v>
      </c>
      <c r="AB559" s="839">
        <f>'MFMR Deemed Table '!P289</f>
        <v>2.0299999999999998</v>
      </c>
      <c r="AC559" s="3617">
        <f t="shared" ref="AC559:AC561" si="842">AE559+AF559</f>
        <v>8.6521430549870431</v>
      </c>
      <c r="AD559" s="3617">
        <f t="shared" ref="AD559:AD561" si="843">AG559+AH559</f>
        <v>0</v>
      </c>
      <c r="AE559" s="1661">
        <f>'MFMR Deemed Table '!BD289</f>
        <v>8.6521430549870431</v>
      </c>
      <c r="AF559" s="2453"/>
      <c r="AG559" s="2453"/>
      <c r="AH559" s="2453"/>
      <c r="AI559" s="3634" t="str">
        <f>'MFMR Deemed Table '!Q289</f>
        <v>per measure</v>
      </c>
      <c r="AM559" s="2433">
        <f t="shared" si="837"/>
        <v>1.4925290000000001E-4</v>
      </c>
      <c r="AN559" s="100">
        <f t="shared" ref="AN559:AN561" si="844">AM559*I559</f>
        <v>2.204465333E-3</v>
      </c>
      <c r="AO559" s="2437">
        <f t="shared" ref="AO559:AO561" si="845">AN559-O559</f>
        <v>-5.3466699999988807E-7</v>
      </c>
    </row>
    <row r="560" spans="1:41" s="100" customFormat="1" x14ac:dyDescent="0.25">
      <c r="A560" s="103" t="str">
        <f t="shared" si="775"/>
        <v>501402</v>
      </c>
      <c r="B560" s="1960" t="str">
        <f>'MFMR Deemed Table '!C290</f>
        <v>501402_2021_12_</v>
      </c>
      <c r="C560" s="1958" t="str">
        <f>'MFMR Deemed Table '!G290</f>
        <v>Lighting RES</v>
      </c>
      <c r="D560" s="1958"/>
      <c r="E560" s="1958"/>
      <c r="F560" s="1958"/>
      <c r="G560" s="1958" t="str">
        <f>'MFMR Deemed Table '!E290</f>
        <v xml:space="preserve">LED - 6W (CFL baseline) (310-749 lumens) </v>
      </c>
      <c r="H560" s="1975" t="str">
        <f>'MFMR Deemed Table '!D290</f>
        <v>MFMR</v>
      </c>
      <c r="I560" s="1973">
        <f>'MFMR Deemed Table '!F290</f>
        <v>3.7</v>
      </c>
      <c r="J560" s="1973"/>
      <c r="K560" s="1963"/>
      <c r="L560" s="1963"/>
      <c r="M560" s="1963"/>
      <c r="N560" s="1963"/>
      <c r="O560" s="1974">
        <f>'MFMR Deemed Table '!M290</f>
        <v>5.53E-4</v>
      </c>
      <c r="P560" s="1974"/>
      <c r="Q560" s="1976"/>
      <c r="R560" s="1976"/>
      <c r="S560" s="1976"/>
      <c r="T560" s="1976"/>
      <c r="U560" s="1926"/>
      <c r="V560" s="1926"/>
      <c r="W560" s="1926">
        <f t="shared" ref="W560" si="846">O560</f>
        <v>5.53E-4</v>
      </c>
      <c r="X560" s="1952">
        <f>'MFMR Deemed Table '!N290</f>
        <v>19</v>
      </c>
      <c r="Y560" s="1952"/>
      <c r="Z560" s="1952">
        <f t="shared" ref="Z560" si="847">Y560+X560</f>
        <v>19</v>
      </c>
      <c r="AA560" s="1951">
        <f>'MFMR Deemed Table '!BB290</f>
        <v>1.1312272112292412</v>
      </c>
      <c r="AB560" s="2426">
        <f>'MFMR Deemed Table '!P290</f>
        <v>2.0299999999999998</v>
      </c>
      <c r="AC560" s="2432">
        <f t="shared" ref="AC560" si="848">AE560+AF560</f>
        <v>2.167429201316998</v>
      </c>
      <c r="AD560" s="2432">
        <f t="shared" ref="AD560" si="849">AG560+AH560</f>
        <v>0</v>
      </c>
      <c r="AE560" s="2452">
        <f>'MFMR Deemed Table '!BD290</f>
        <v>2.167429201316998</v>
      </c>
      <c r="AF560" s="1982"/>
      <c r="AG560" s="1982"/>
      <c r="AH560" s="1982"/>
      <c r="AI560" s="2450" t="str">
        <f>'MFMR Deemed Table '!Q290</f>
        <v>per measure</v>
      </c>
      <c r="AM560" s="2433">
        <f t="shared" ref="AM560" si="850">VLOOKUP(C560,$AS$10:$AT$33,2,FALSE)</f>
        <v>1.4925290000000001E-4</v>
      </c>
      <c r="AN560" s="100">
        <f t="shared" ref="AN560" si="851">AM560*I560</f>
        <v>5.5223573000000011E-4</v>
      </c>
      <c r="AO560" s="2437">
        <f t="shared" ref="AO560" si="852">AN560-O560</f>
        <v>-7.6426999999989163E-7</v>
      </c>
    </row>
    <row r="561" spans="1:41" s="1930" customFormat="1" x14ac:dyDescent="0.25">
      <c r="A561" s="103" t="str">
        <f t="shared" si="775"/>
        <v>501450</v>
      </c>
      <c r="B561" s="1960" t="str">
        <f>'MFMR Deemed Table '!C291</f>
        <v>501450_2021_12_</v>
      </c>
      <c r="C561" s="1962" t="str">
        <f>'MFMR Deemed Table '!G291</f>
        <v>Lighting RES</v>
      </c>
      <c r="D561" s="1962"/>
      <c r="E561" s="1962"/>
      <c r="F561" s="1962"/>
      <c r="G561" s="1962" t="str">
        <f>'MFMR Deemed Table '!E291</f>
        <v>LED Nightlights</v>
      </c>
      <c r="H561" s="63" t="str">
        <f>'MFMR Deemed Table '!D291</f>
        <v>MFMR</v>
      </c>
      <c r="I561" s="2438">
        <f>'MFMR Deemed Table '!F291</f>
        <v>27.18</v>
      </c>
      <c r="J561" s="2438"/>
      <c r="K561" s="2439"/>
      <c r="L561" s="2439"/>
      <c r="M561" s="2439"/>
      <c r="N561" s="2439"/>
      <c r="O561" s="2440">
        <f>'MFMR Deemed Table '!M291</f>
        <v>4.0559999999999997E-3</v>
      </c>
      <c r="P561" s="2440"/>
      <c r="Q561" s="2441"/>
      <c r="R561" s="2441"/>
      <c r="S561" s="2441"/>
      <c r="T561" s="2441"/>
      <c r="U561" s="1819"/>
      <c r="V561" s="1819"/>
      <c r="W561" s="1819">
        <f t="shared" si="840"/>
        <v>4.0559999999999997E-3</v>
      </c>
      <c r="X561" s="68">
        <f>'MFMR Deemed Table '!N291</f>
        <v>19</v>
      </c>
      <c r="Y561" s="68"/>
      <c r="Z561" s="68">
        <f t="shared" si="841"/>
        <v>19</v>
      </c>
      <c r="AA561" s="62">
        <f>'MFMR Deemed Table '!BB291</f>
        <v>5.0355719137118085</v>
      </c>
      <c r="AB561" s="839">
        <f>'MFMR Deemed Table '!P291</f>
        <v>3.35</v>
      </c>
      <c r="AC561" s="3617">
        <f t="shared" si="842"/>
        <v>15.921817754539461</v>
      </c>
      <c r="AD561" s="3617">
        <f t="shared" si="843"/>
        <v>0</v>
      </c>
      <c r="AE561" s="1661">
        <f>'MFMR Deemed Table '!BD291</f>
        <v>15.921817754539461</v>
      </c>
      <c r="AF561" s="2453"/>
      <c r="AG561" s="2453"/>
      <c r="AH561" s="2453"/>
      <c r="AI561" s="3634" t="str">
        <f>'MFMR Deemed Table '!Q291</f>
        <v>per measure</v>
      </c>
      <c r="AM561" s="1972">
        <f t="shared" si="837"/>
        <v>1.4925290000000001E-4</v>
      </c>
      <c r="AN561" s="1930">
        <f t="shared" si="844"/>
        <v>4.0566938220000003E-3</v>
      </c>
      <c r="AO561" s="1971">
        <f t="shared" si="845"/>
        <v>6.9382200000057959E-7</v>
      </c>
    </row>
    <row r="562" spans="1:41" x14ac:dyDescent="0.25">
      <c r="A562" s="103" t="str">
        <f t="shared" si="775"/>
        <v>501500</v>
      </c>
      <c r="B562" s="1960" t="str">
        <f>'MFMR Deemed Table '!C371</f>
        <v>501500_2021_12_</v>
      </c>
      <c r="C562" s="1962" t="str">
        <f>'MFMR Deemed Table '!G371</f>
        <v>Water Heating RES</v>
      </c>
      <c r="D562" s="1962"/>
      <c r="E562" s="1962"/>
      <c r="F562" s="1962"/>
      <c r="G562" s="1962" t="str">
        <f>'MFMR Deemed Table '!E371</f>
        <v>Faucet Aerators (Kitchen) MFMR</v>
      </c>
      <c r="H562" s="63" t="str">
        <f>'MFMR Deemed Table '!D371</f>
        <v>MFMR</v>
      </c>
      <c r="I562" s="2438">
        <f>'MFMR Deemed Table '!F371</f>
        <v>115.98</v>
      </c>
      <c r="J562" s="2438"/>
      <c r="K562" s="2439"/>
      <c r="L562" s="2439"/>
      <c r="M562" s="2439"/>
      <c r="N562" s="2439"/>
      <c r="O562" s="2440">
        <f>'MFMR Deemed Table '!J371</f>
        <v>1.0291E-2</v>
      </c>
      <c r="P562" s="2440"/>
      <c r="Q562" s="2441"/>
      <c r="R562" s="2441"/>
      <c r="S562" s="2441"/>
      <c r="T562" s="2441"/>
      <c r="U562" s="1819"/>
      <c r="V562" s="1819">
        <f t="shared" ref="V562:V570" si="853">O562</f>
        <v>1.0291E-2</v>
      </c>
      <c r="W562" s="1819"/>
      <c r="X562" s="68">
        <f>'MFMR Deemed Table '!K371</f>
        <v>10</v>
      </c>
      <c r="Y562" s="68"/>
      <c r="Z562" s="68">
        <f t="shared" si="733"/>
        <v>10</v>
      </c>
      <c r="AA562" s="62">
        <f>'MFMR Deemed Table '!BB371</f>
        <v>5.1806769101660191</v>
      </c>
      <c r="AB562" s="3635">
        <f>'MFMR Deemed Table '!L371</f>
        <v>8</v>
      </c>
      <c r="AC562" s="3617">
        <f t="shared" si="824"/>
        <v>39.117900218337091</v>
      </c>
      <c r="AD562" s="3617">
        <f t="shared" si="825"/>
        <v>0</v>
      </c>
      <c r="AE562" s="1661">
        <f>'MFMR Deemed Table '!BD371</f>
        <v>39.117900218337091</v>
      </c>
      <c r="AF562" s="2453"/>
      <c r="AG562" s="2453"/>
      <c r="AH562" s="2453"/>
      <c r="AI562" s="3636" t="str">
        <f>'MFMR Deemed Table '!M371</f>
        <v>per measure</v>
      </c>
      <c r="AJ562" s="1930"/>
      <c r="AK562" s="1930"/>
      <c r="AL562" s="1930"/>
      <c r="AM562" s="1972">
        <f t="shared" si="837"/>
        <v>8.8731800000000003E-5</v>
      </c>
      <c r="AN562" s="1930">
        <f t="shared" si="791"/>
        <v>1.0291114164E-2</v>
      </c>
      <c r="AO562" s="1971">
        <f t="shared" si="790"/>
        <v>1.1416400000005544E-7</v>
      </c>
    </row>
    <row r="563" spans="1:41" x14ac:dyDescent="0.25">
      <c r="A563" s="103" t="str">
        <f t="shared" si="775"/>
        <v>501550</v>
      </c>
      <c r="B563" s="1960" t="str">
        <f>'MFMR Deemed Table '!C406</f>
        <v>501550_2021_12_</v>
      </c>
      <c r="C563" s="1962" t="str">
        <f>'MFMR Deemed Table '!G406</f>
        <v>Water Heating RES</v>
      </c>
      <c r="D563" s="1962"/>
      <c r="E563" s="1962"/>
      <c r="F563" s="1962"/>
      <c r="G563" s="1962" t="str">
        <f>'MFMR Deemed Table '!E406</f>
        <v>Faucet Aerators (Bathroom) MFMR</v>
      </c>
      <c r="H563" s="63" t="str">
        <f>'MFMR Deemed Table '!D406</f>
        <v>MFMR</v>
      </c>
      <c r="I563" s="2438">
        <f>'MFMR Deemed Table '!F406</f>
        <v>33.5</v>
      </c>
      <c r="J563" s="2438"/>
      <c r="K563" s="2439"/>
      <c r="L563" s="2439"/>
      <c r="M563" s="2439"/>
      <c r="N563" s="2439"/>
      <c r="O563" s="2440">
        <f>'MFMR Deemed Table '!J406</f>
        <v>2.9729999999999999E-3</v>
      </c>
      <c r="P563" s="2440"/>
      <c r="Q563" s="2441"/>
      <c r="R563" s="2441"/>
      <c r="S563" s="2441"/>
      <c r="T563" s="2441"/>
      <c r="U563" s="1819"/>
      <c r="V563" s="1819">
        <f t="shared" si="853"/>
        <v>2.9729999999999999E-3</v>
      </c>
      <c r="W563" s="1819"/>
      <c r="X563" s="68">
        <f>'MFMR Deemed Table '!K406</f>
        <v>10</v>
      </c>
      <c r="Y563" s="68"/>
      <c r="Z563" s="68">
        <f t="shared" si="733"/>
        <v>10</v>
      </c>
      <c r="AA563" s="62">
        <f>'MFMR Deemed Table '!BB406</f>
        <v>1.4964017631536612</v>
      </c>
      <c r="AB563" s="839">
        <f>'MFMR Deemed Table '!L406</f>
        <v>8</v>
      </c>
      <c r="AC563" s="3617">
        <f t="shared" si="824"/>
        <v>11.298927895450012</v>
      </c>
      <c r="AD563" s="3617">
        <f t="shared" si="825"/>
        <v>0</v>
      </c>
      <c r="AE563" s="1661">
        <f>'MFMR Deemed Table '!BD406</f>
        <v>11.298927895450012</v>
      </c>
      <c r="AF563" s="2453"/>
      <c r="AG563" s="2453"/>
      <c r="AH563" s="2453"/>
      <c r="AI563" s="3636" t="str">
        <f>'MFMR Deemed Table '!M406</f>
        <v>per measure</v>
      </c>
      <c r="AJ563" s="1930"/>
      <c r="AK563" s="1930"/>
      <c r="AL563" s="1930"/>
      <c r="AM563" s="1972">
        <f t="shared" si="837"/>
        <v>8.8731800000000003E-5</v>
      </c>
      <c r="AN563" s="1930">
        <f t="shared" si="791"/>
        <v>2.9725152999999999E-3</v>
      </c>
      <c r="AO563" s="1971">
        <f t="shared" si="790"/>
        <v>-4.8470000000005314E-7</v>
      </c>
    </row>
    <row r="564" spans="1:41" x14ac:dyDescent="0.25">
      <c r="A564" s="103" t="str">
        <f t="shared" si="775"/>
        <v>501600</v>
      </c>
      <c r="B564" s="1960" t="str">
        <f>'MFMR Deemed Table '!C440</f>
        <v>501600_2021_12_</v>
      </c>
      <c r="C564" s="1962" t="str">
        <f>'MFMR Deemed Table '!G440</f>
        <v>Water Heating RES</v>
      </c>
      <c r="D564" s="1962"/>
      <c r="E564" s="1962"/>
      <c r="F564" s="1962"/>
      <c r="G564" s="1962" t="str">
        <f>'MFMR Deemed Table '!E440</f>
        <v>Low Flow Showerhead MFMR</v>
      </c>
      <c r="H564" s="63" t="str">
        <f>'MFMR Deemed Table '!D440</f>
        <v>MFMR</v>
      </c>
      <c r="I564" s="2438">
        <f>'MFMR Deemed Table '!F440</f>
        <v>382.24</v>
      </c>
      <c r="J564" s="2438"/>
      <c r="K564" s="2439"/>
      <c r="L564" s="2439"/>
      <c r="M564" s="2439"/>
      <c r="N564" s="2439"/>
      <c r="O564" s="2440">
        <f>'MFMR Deemed Table '!J440</f>
        <v>3.3917000000000003E-2</v>
      </c>
      <c r="P564" s="2440"/>
      <c r="Q564" s="2441"/>
      <c r="R564" s="2441"/>
      <c r="S564" s="2441"/>
      <c r="T564" s="2441"/>
      <c r="U564" s="1819"/>
      <c r="V564" s="1819">
        <f t="shared" si="853"/>
        <v>3.3917000000000003E-2</v>
      </c>
      <c r="W564" s="1819"/>
      <c r="X564" s="68">
        <f>'MFMR Deemed Table '!K440</f>
        <v>10</v>
      </c>
      <c r="Y564" s="68"/>
      <c r="Z564" s="68">
        <f t="shared" si="733"/>
        <v>10</v>
      </c>
      <c r="AA564" s="62">
        <f>'MFMR Deemed Table '!BB440</f>
        <v>19.513334241291442</v>
      </c>
      <c r="AB564" s="839">
        <f>'MFMR Deemed Table '!L440</f>
        <v>7</v>
      </c>
      <c r="AC564" s="3617">
        <f t="shared" si="824"/>
        <v>128.92245369423321</v>
      </c>
      <c r="AD564" s="3617">
        <f t="shared" si="825"/>
        <v>0</v>
      </c>
      <c r="AE564" s="1661">
        <f>'MFMR Deemed Table '!BD440</f>
        <v>128.92245369423321</v>
      </c>
      <c r="AF564" s="2453"/>
      <c r="AG564" s="2453"/>
      <c r="AH564" s="2453"/>
      <c r="AI564" s="3636" t="str">
        <f>'MFMR Deemed Table '!M440</f>
        <v>per measure</v>
      </c>
      <c r="AJ564" s="1930"/>
      <c r="AK564" s="1930"/>
      <c r="AL564" s="1930"/>
      <c r="AM564" s="1972">
        <f t="shared" si="837"/>
        <v>8.8731800000000003E-5</v>
      </c>
      <c r="AN564" s="1930">
        <f t="shared" si="791"/>
        <v>3.3916843232000005E-2</v>
      </c>
      <c r="AO564" s="1971">
        <f t="shared" si="790"/>
        <v>-1.5676799999808644E-7</v>
      </c>
    </row>
    <row r="565" spans="1:41" x14ac:dyDescent="0.25">
      <c r="A565" s="103" t="str">
        <f t="shared" si="775"/>
        <v>501650</v>
      </c>
      <c r="B565" s="684" t="str">
        <f>'MFMR Deemed Table '!C475</f>
        <v>501650_2019_12_</v>
      </c>
      <c r="C565" s="1962" t="str">
        <f>'MFMR Deemed Table '!G475</f>
        <v>Miscellaneous RES</v>
      </c>
      <c r="D565" s="1962"/>
      <c r="E565" s="1962"/>
      <c r="F565" s="1962"/>
      <c r="G565" s="1962" t="str">
        <f>'MFMR Deemed Table '!E475</f>
        <v>Advanced Tier 1 Power Strips / TOS/NC/DI - Home Office</v>
      </c>
      <c r="H565" s="63" t="str">
        <f>'MFMR Deemed Table '!D475</f>
        <v>MFMR</v>
      </c>
      <c r="I565" s="2438">
        <f>'MFMR Deemed Table '!F475</f>
        <v>29.45</v>
      </c>
      <c r="J565" s="2438"/>
      <c r="K565" s="2439"/>
      <c r="L565" s="2439"/>
      <c r="M565" s="2439"/>
      <c r="N565" s="2439"/>
      <c r="O565" s="2440">
        <f>'MFMR Deemed Table '!I475</f>
        <v>3.382E-3</v>
      </c>
      <c r="P565" s="2440"/>
      <c r="Q565" s="2441"/>
      <c r="R565" s="2441"/>
      <c r="S565" s="2441"/>
      <c r="T565" s="2441"/>
      <c r="U565" s="1819"/>
      <c r="V565" s="1819">
        <f t="shared" si="853"/>
        <v>3.382E-3</v>
      </c>
      <c r="W565" s="1819"/>
      <c r="X565" s="68">
        <f>'MFMR Deemed Table '!J475</f>
        <v>10</v>
      </c>
      <c r="Y565" s="68"/>
      <c r="Z565" s="68">
        <f t="shared" si="733"/>
        <v>10</v>
      </c>
      <c r="AA565" s="62">
        <f>'MFMR Deemed Table '!BB475</f>
        <v>0.53798242483706482</v>
      </c>
      <c r="AB565" s="839">
        <f>'MFMR Deemed Table '!K475</f>
        <v>20</v>
      </c>
      <c r="AC565" s="3617">
        <f t="shared" si="824"/>
        <v>10.155402073375456</v>
      </c>
      <c r="AD565" s="3617">
        <f t="shared" si="825"/>
        <v>0</v>
      </c>
      <c r="AE565" s="1661">
        <f>'MFMR Deemed Table '!BD475</f>
        <v>10.155402073375456</v>
      </c>
      <c r="AF565" s="2453"/>
      <c r="AG565" s="2453"/>
      <c r="AH565" s="2453"/>
      <c r="AI565" s="684" t="str">
        <f>'MFMR Deemed Table '!L475</f>
        <v>per measure</v>
      </c>
      <c r="AJ565" s="1930"/>
      <c r="AK565" s="1930"/>
      <c r="AL565" s="1930"/>
      <c r="AM565" s="1972">
        <f t="shared" si="837"/>
        <v>1.148238E-4</v>
      </c>
      <c r="AN565" s="1930">
        <f t="shared" ref="AN565:AN588" si="854">AM565*I565</f>
        <v>3.3815609099999999E-3</v>
      </c>
      <c r="AO565" s="1971">
        <f t="shared" si="790"/>
        <v>-4.3909000000015574E-7</v>
      </c>
    </row>
    <row r="566" spans="1:41" x14ac:dyDescent="0.25">
      <c r="A566" s="103" t="str">
        <f t="shared" si="775"/>
        <v>501700</v>
      </c>
      <c r="B566" s="684" t="str">
        <f>'MFMR Deemed Table '!C476</f>
        <v>501700_2019_12_</v>
      </c>
      <c r="C566" s="1962" t="str">
        <f>'MFMR Deemed Table '!G476</f>
        <v>Miscellaneous RES</v>
      </c>
      <c r="D566" s="1962"/>
      <c r="E566" s="1962"/>
      <c r="F566" s="1962"/>
      <c r="G566" s="1962" t="str">
        <f>'MFMR Deemed Table '!E476</f>
        <v>Advanced Tier 1 Power Strips / Kits - Home Office</v>
      </c>
      <c r="H566" s="63" t="str">
        <f>'MFMR Deemed Table '!D476</f>
        <v>MFMR</v>
      </c>
      <c r="I566" s="2438">
        <f>'MFMR Deemed Table '!F476</f>
        <v>29.08</v>
      </c>
      <c r="J566" s="2438"/>
      <c r="K566" s="2439"/>
      <c r="L566" s="2439"/>
      <c r="M566" s="2439"/>
      <c r="N566" s="2439"/>
      <c r="O566" s="2440">
        <f>'MFMR Deemed Table '!I476</f>
        <v>3.339E-3</v>
      </c>
      <c r="P566" s="2440"/>
      <c r="Q566" s="2441"/>
      <c r="R566" s="2441"/>
      <c r="S566" s="2441"/>
      <c r="T566" s="2441"/>
      <c r="U566" s="1819"/>
      <c r="V566" s="1819">
        <f t="shared" si="853"/>
        <v>3.339E-3</v>
      </c>
      <c r="W566" s="1819"/>
      <c r="X566" s="68">
        <f>'MFMR Deemed Table '!J476</f>
        <v>10</v>
      </c>
      <c r="Y566" s="68"/>
      <c r="Z566" s="68">
        <f t="shared" si="733"/>
        <v>10</v>
      </c>
      <c r="AA566" s="62">
        <f>'MFMR Deemed Table '!BB476</f>
        <v>0.53122339267442598</v>
      </c>
      <c r="AB566" s="839">
        <f>'MFMR Deemed Table '!K476</f>
        <v>20</v>
      </c>
      <c r="AC566" s="3617">
        <f t="shared" si="824"/>
        <v>10.027812981112334</v>
      </c>
      <c r="AD566" s="3617">
        <f t="shared" si="825"/>
        <v>0</v>
      </c>
      <c r="AE566" s="1661">
        <f>'MFMR Deemed Table '!BD476</f>
        <v>10.027812981112334</v>
      </c>
      <c r="AF566" s="2453"/>
      <c r="AG566" s="2453"/>
      <c r="AH566" s="2453"/>
      <c r="AI566" s="684" t="str">
        <f>'MFMR Deemed Table '!L476</f>
        <v>per measure</v>
      </c>
      <c r="AJ566" s="1930"/>
      <c r="AK566" s="1930"/>
      <c r="AL566" s="1930"/>
      <c r="AM566" s="1972">
        <f t="shared" si="837"/>
        <v>1.148238E-4</v>
      </c>
      <c r="AN566" s="1930">
        <f t="shared" si="854"/>
        <v>3.3390761039999999E-3</v>
      </c>
      <c r="AO566" s="1971">
        <f t="shared" si="790"/>
        <v>7.6103999999913713E-8</v>
      </c>
    </row>
    <row r="567" spans="1:41" x14ac:dyDescent="0.25">
      <c r="A567" s="103" t="str">
        <f t="shared" si="775"/>
        <v>501750</v>
      </c>
      <c r="B567" s="684" t="str">
        <f>'MFMR Deemed Table '!C477</f>
        <v>501750_2019_12_</v>
      </c>
      <c r="C567" s="1962" t="str">
        <f>'MFMR Deemed Table '!G477</f>
        <v>Miscellaneous RES</v>
      </c>
      <c r="D567" s="1962"/>
      <c r="E567" s="1962"/>
      <c r="F567" s="1962"/>
      <c r="G567" s="1962" t="str">
        <f>'MFMR Deemed Table '!E477</f>
        <v>Advanced Tier 1 Power Strips / TOS/NC/DI - Home Entertainment</v>
      </c>
      <c r="H567" s="63" t="str">
        <f>'MFMR Deemed Table '!D477</f>
        <v>MFMR</v>
      </c>
      <c r="I567" s="2438">
        <f>'MFMR Deemed Table '!F477</f>
        <v>71.349999999999994</v>
      </c>
      <c r="J567" s="2438"/>
      <c r="K567" s="2439"/>
      <c r="L567" s="2439"/>
      <c r="M567" s="2439"/>
      <c r="N567" s="2439"/>
      <c r="O567" s="2440">
        <f>'MFMR Deemed Table '!I477</f>
        <v>8.1930000000000006E-3</v>
      </c>
      <c r="P567" s="2440"/>
      <c r="Q567" s="2441"/>
      <c r="R567" s="2441"/>
      <c r="S567" s="2441"/>
      <c r="T567" s="2441"/>
      <c r="U567" s="1819"/>
      <c r="V567" s="1819">
        <f t="shared" si="853"/>
        <v>8.1930000000000006E-3</v>
      </c>
      <c r="W567" s="1819"/>
      <c r="X567" s="68">
        <f>'MFMR Deemed Table '!J477</f>
        <v>10</v>
      </c>
      <c r="Y567" s="68"/>
      <c r="Z567" s="68">
        <f t="shared" si="733"/>
        <v>10</v>
      </c>
      <c r="AA567" s="62">
        <f>'MFMR Deemed Table '!BB477</f>
        <v>1.3033971481196798</v>
      </c>
      <c r="AB567" s="839">
        <f>'MFMR Deemed Table '!K477</f>
        <v>20</v>
      </c>
      <c r="AC567" s="3617">
        <f t="shared" si="824"/>
        <v>24.604004683712688</v>
      </c>
      <c r="AD567" s="3617">
        <f t="shared" si="825"/>
        <v>0</v>
      </c>
      <c r="AE567" s="1661">
        <f>'MFMR Deemed Table '!BD477</f>
        <v>24.604004683712688</v>
      </c>
      <c r="AF567" s="2453"/>
      <c r="AG567" s="2453"/>
      <c r="AH567" s="2453"/>
      <c r="AI567" s="684" t="str">
        <f>'MFMR Deemed Table '!L477</f>
        <v>per measure</v>
      </c>
      <c r="AJ567" s="1930"/>
      <c r="AK567" s="1930"/>
      <c r="AL567" s="1930"/>
      <c r="AM567" s="1972">
        <f t="shared" si="837"/>
        <v>1.148238E-4</v>
      </c>
      <c r="AN567" s="1930">
        <f t="shared" si="854"/>
        <v>8.1926781299999987E-3</v>
      </c>
      <c r="AO567" s="1971">
        <f t="shared" si="790"/>
        <v>-3.2187000000190313E-7</v>
      </c>
    </row>
    <row r="568" spans="1:41" x14ac:dyDescent="0.25">
      <c r="A568" s="103" t="str">
        <f t="shared" si="775"/>
        <v>501800</v>
      </c>
      <c r="B568" s="684" t="str">
        <f>'MFMR Deemed Table '!C478</f>
        <v>501800_2019_12_</v>
      </c>
      <c r="C568" s="1962" t="str">
        <f>'MFMR Deemed Table '!G478</f>
        <v>Miscellaneous RES</v>
      </c>
      <c r="D568" s="1962"/>
      <c r="E568" s="1962"/>
      <c r="F568" s="1962"/>
      <c r="G568" s="1962" t="str">
        <f>'MFMR Deemed Table '!E478</f>
        <v>Advanced Tier 1 Power Strips / Kits - Home Entertainment</v>
      </c>
      <c r="H568" s="63" t="str">
        <f>'MFMR Deemed Table '!D478</f>
        <v>MFMR</v>
      </c>
      <c r="I568" s="2438">
        <f>'MFMR Deemed Table '!F478</f>
        <v>70.44</v>
      </c>
      <c r="J568" s="2438"/>
      <c r="K568" s="2439"/>
      <c r="L568" s="2439"/>
      <c r="M568" s="2439"/>
      <c r="N568" s="2439"/>
      <c r="O568" s="2440">
        <f>'MFMR Deemed Table '!I478</f>
        <v>8.0879999999999997E-3</v>
      </c>
      <c r="P568" s="2440"/>
      <c r="Q568" s="2441"/>
      <c r="R568" s="2441"/>
      <c r="S568" s="2441"/>
      <c r="T568" s="2441"/>
      <c r="U568" s="1819"/>
      <c r="V568" s="1819">
        <f t="shared" si="853"/>
        <v>8.0879999999999997E-3</v>
      </c>
      <c r="W568" s="1819"/>
      <c r="X568" s="68">
        <f>'MFMR Deemed Table '!J478</f>
        <v>10</v>
      </c>
      <c r="Y568" s="68"/>
      <c r="Z568" s="68">
        <f t="shared" si="733"/>
        <v>10</v>
      </c>
      <c r="AA568" s="62">
        <f>'MFMR Deemed Table '!BB478</f>
        <v>1.2867735825304871</v>
      </c>
      <c r="AB568" s="839">
        <f>'MFMR Deemed Table '!K478</f>
        <v>20</v>
      </c>
      <c r="AC568" s="3617">
        <f t="shared" si="824"/>
        <v>24.290204483822311</v>
      </c>
      <c r="AD568" s="3617">
        <f t="shared" si="825"/>
        <v>0</v>
      </c>
      <c r="AE568" s="1661">
        <f>'MFMR Deemed Table '!BD478</f>
        <v>24.290204483822311</v>
      </c>
      <c r="AF568" s="2453"/>
      <c r="AG568" s="2453"/>
      <c r="AH568" s="2453"/>
      <c r="AI568" s="684" t="str">
        <f>'MFMR Deemed Table '!L478</f>
        <v>per measure</v>
      </c>
      <c r="AJ568" s="1930"/>
      <c r="AK568" s="1930"/>
      <c r="AL568" s="1930"/>
      <c r="AM568" s="1972">
        <f t="shared" si="837"/>
        <v>1.148238E-4</v>
      </c>
      <c r="AN568" s="1930">
        <f t="shared" si="854"/>
        <v>8.0881884719999995E-3</v>
      </c>
      <c r="AO568" s="1971">
        <f t="shared" si="790"/>
        <v>1.8847199999977304E-7</v>
      </c>
    </row>
    <row r="569" spans="1:41" x14ac:dyDescent="0.25">
      <c r="A569" s="103" t="str">
        <f t="shared" si="775"/>
        <v>501850</v>
      </c>
      <c r="B569" s="684" t="str">
        <f>'MFMR Deemed Table '!C479</f>
        <v>501850_2019_12_</v>
      </c>
      <c r="C569" s="1962" t="str">
        <f>'MFMR Deemed Table '!G479</f>
        <v>Miscellaneous RES</v>
      </c>
      <c r="D569" s="1962"/>
      <c r="E569" s="1962"/>
      <c r="F569" s="1962"/>
      <c r="G569" s="1962" t="str">
        <f>'MFMR Deemed Table '!E479</f>
        <v>Advanced Tier 1 Power Strips / TOS/NC/DI - Unknown Location</v>
      </c>
      <c r="H569" s="63" t="str">
        <f>'MFMR Deemed Table '!D479</f>
        <v>MFMR</v>
      </c>
      <c r="I569" s="2438">
        <f>'MFMR Deemed Table '!F479</f>
        <v>56.26</v>
      </c>
      <c r="J569" s="2438"/>
      <c r="K569" s="2439"/>
      <c r="L569" s="2439"/>
      <c r="M569" s="2439"/>
      <c r="N569" s="2439"/>
      <c r="O569" s="2440">
        <f>'MFMR Deemed Table '!I479</f>
        <v>6.4599999999999996E-3</v>
      </c>
      <c r="P569" s="2440"/>
      <c r="Q569" s="2441"/>
      <c r="R569" s="2441"/>
      <c r="S569" s="2441"/>
      <c r="T569" s="2441"/>
      <c r="U569" s="1819"/>
      <c r="V569" s="1819">
        <f t="shared" si="853"/>
        <v>6.4599999999999996E-3</v>
      </c>
      <c r="W569" s="1819"/>
      <c r="X569" s="68">
        <f>'MFMR Deemed Table '!J479</f>
        <v>10</v>
      </c>
      <c r="Y569" s="68"/>
      <c r="Z569" s="68">
        <f>Y569+X569</f>
        <v>10</v>
      </c>
      <c r="AA569" s="62">
        <f>'MFMR Deemed Table '!BB479</f>
        <v>1.0277382418109766</v>
      </c>
      <c r="AB569" s="839">
        <f>'MFMR Deemed Table '!K479</f>
        <v>20</v>
      </c>
      <c r="AC569" s="3617">
        <f t="shared" si="824"/>
        <v>19.400438731684314</v>
      </c>
      <c r="AD569" s="3617">
        <f t="shared" si="825"/>
        <v>0</v>
      </c>
      <c r="AE569" s="1661">
        <f>'MFMR Deemed Table '!BD479</f>
        <v>19.400438731684314</v>
      </c>
      <c r="AF569" s="2453"/>
      <c r="AG569" s="2453"/>
      <c r="AH569" s="2453"/>
      <c r="AI569" s="684" t="str">
        <f>'MFMR Deemed Table '!L479</f>
        <v>per measure</v>
      </c>
      <c r="AJ569" s="1930"/>
      <c r="AK569" s="1930"/>
      <c r="AL569" s="1930"/>
      <c r="AM569" s="1972">
        <f t="shared" si="837"/>
        <v>1.148238E-4</v>
      </c>
      <c r="AN569" s="1930">
        <f t="shared" si="854"/>
        <v>6.4599869879999995E-3</v>
      </c>
      <c r="AO569" s="1971">
        <f t="shared" si="790"/>
        <v>-1.3012000000048318E-8</v>
      </c>
    </row>
    <row r="570" spans="1:41" x14ac:dyDescent="0.25">
      <c r="A570" s="103" t="str">
        <f t="shared" si="775"/>
        <v>501900</v>
      </c>
      <c r="B570" s="684" t="str">
        <f>'MFMR Deemed Table '!C480</f>
        <v>501900_2019_12_</v>
      </c>
      <c r="C570" s="1962" t="str">
        <f>'MFMR Deemed Table '!G480</f>
        <v>Miscellaneous RES</v>
      </c>
      <c r="D570" s="1962"/>
      <c r="E570" s="1962"/>
      <c r="F570" s="1962"/>
      <c r="G570" s="1962" t="str">
        <f>'MFMR Deemed Table '!E480</f>
        <v>Advanced Tier 1 Power  / Kits - Unknown Location</v>
      </c>
      <c r="H570" s="63" t="str">
        <f>'MFMR Deemed Table '!D480</f>
        <v>MFMR</v>
      </c>
      <c r="I570" s="2438">
        <f>'MFMR Deemed Table '!F480</f>
        <v>50.59</v>
      </c>
      <c r="J570" s="2438"/>
      <c r="K570" s="2439"/>
      <c r="L570" s="2439"/>
      <c r="M570" s="2439"/>
      <c r="N570" s="2439"/>
      <c r="O570" s="2440">
        <f>'MFMR Deemed Table '!I480</f>
        <v>5.8089999999999999E-3</v>
      </c>
      <c r="P570" s="2440"/>
      <c r="Q570" s="2441"/>
      <c r="R570" s="2441"/>
      <c r="S570" s="2441"/>
      <c r="T570" s="2441"/>
      <c r="U570" s="1819"/>
      <c r="V570" s="1819">
        <f t="shared" si="853"/>
        <v>5.8089999999999999E-3</v>
      </c>
      <c r="W570" s="1819"/>
      <c r="X570" s="68">
        <f>'MFMR Deemed Table '!J480</f>
        <v>10</v>
      </c>
      <c r="Y570" s="68"/>
      <c r="Z570" s="68">
        <f>Y570+X570</f>
        <v>10</v>
      </c>
      <c r="AA570" s="62">
        <f>'MFMR Deemed Table '!BB480</f>
        <v>0.92416064083215987</v>
      </c>
      <c r="AB570" s="839">
        <f>'MFMR Deemed Table '!K480</f>
        <v>20</v>
      </c>
      <c r="AC570" s="3617">
        <f t="shared" si="824"/>
        <v>17.445222101598109</v>
      </c>
      <c r="AD570" s="3617">
        <f t="shared" si="825"/>
        <v>0</v>
      </c>
      <c r="AE570" s="1661">
        <f>'MFMR Deemed Table '!BD480</f>
        <v>17.445222101598109</v>
      </c>
      <c r="AF570" s="2453"/>
      <c r="AG570" s="2453"/>
      <c r="AH570" s="2453"/>
      <c r="AI570" s="684" t="str">
        <f>'MFMR Deemed Table '!L480</f>
        <v>per measure</v>
      </c>
      <c r="AJ570" s="1930"/>
      <c r="AK570" s="1930"/>
      <c r="AL570" s="1930"/>
      <c r="AM570" s="1972">
        <f t="shared" si="837"/>
        <v>1.148238E-4</v>
      </c>
      <c r="AN570" s="1930">
        <f t="shared" si="854"/>
        <v>5.8089360420000005E-3</v>
      </c>
      <c r="AO570" s="1971">
        <f t="shared" si="790"/>
        <v>-6.3957999999440796E-8</v>
      </c>
    </row>
    <row r="571" spans="1:41" x14ac:dyDescent="0.25">
      <c r="A571" s="103" t="str">
        <f t="shared" si="775"/>
        <v>501950</v>
      </c>
      <c r="B571" s="684" t="str">
        <f>'MFMR Deemed Table '!C508</f>
        <v>501950_2019_12_</v>
      </c>
      <c r="C571" s="1962" t="str">
        <f>'MFMR Deemed Table '!G508</f>
        <v>Miscellaneous RES</v>
      </c>
      <c r="D571" s="1962"/>
      <c r="E571" s="1962"/>
      <c r="F571" s="1962"/>
      <c r="G571" s="1962" t="str">
        <f>'MFMR Deemed Table '!E508</f>
        <v>Advanced Tier 2 Power Strips  -  A</v>
      </c>
      <c r="H571" s="63" t="str">
        <f>'MFMR Deemed Table '!D508</f>
        <v>MFMR</v>
      </c>
      <c r="I571" s="2438">
        <f>'MFMR Deemed Table '!F508</f>
        <v>237.6</v>
      </c>
      <c r="J571" s="2438"/>
      <c r="K571" s="2439"/>
      <c r="L571" s="2439"/>
      <c r="M571" s="2439"/>
      <c r="N571" s="2439"/>
      <c r="O571" s="2440">
        <f>'MFMR Deemed Table '!I508</f>
        <v>2.7282000000000001E-2</v>
      </c>
      <c r="P571" s="2440"/>
      <c r="Q571" s="2441"/>
      <c r="R571" s="2441"/>
      <c r="S571" s="2441"/>
      <c r="T571" s="2441"/>
      <c r="U571" s="1819"/>
      <c r="V571" s="1819">
        <f t="shared" ref="V571:V579" si="855">O571</f>
        <v>2.7282000000000001E-2</v>
      </c>
      <c r="W571" s="1819"/>
      <c r="X571" s="68">
        <f>'MFMR Deemed Table '!J508</f>
        <v>10</v>
      </c>
      <c r="Y571" s="68"/>
      <c r="Z571" s="68">
        <f>Y571+X571</f>
        <v>10</v>
      </c>
      <c r="AA571" s="62">
        <f>'MFMR Deemed Table '!BB508</f>
        <v>2.8935964717891705</v>
      </c>
      <c r="AB571" s="839">
        <f>'MFMR Deemed Table '!K508</f>
        <v>30</v>
      </c>
      <c r="AC571" s="3617">
        <f t="shared" si="824"/>
        <v>81.932887355993486</v>
      </c>
      <c r="AD571" s="3617">
        <f t="shared" si="825"/>
        <v>0</v>
      </c>
      <c r="AE571" s="1661">
        <f>'MFMR Deemed Table '!BD508</f>
        <v>81.932887355993486</v>
      </c>
      <c r="AF571" s="2453"/>
      <c r="AG571" s="2453"/>
      <c r="AH571" s="2453"/>
      <c r="AI571" s="684" t="str">
        <f>'MFMR Deemed Table '!L508</f>
        <v>per measure</v>
      </c>
      <c r="AJ571" s="1930"/>
      <c r="AK571" s="1930"/>
      <c r="AL571" s="1930"/>
      <c r="AM571" s="1972">
        <f t="shared" si="837"/>
        <v>1.148238E-4</v>
      </c>
      <c r="AN571" s="1930">
        <f t="shared" si="854"/>
        <v>2.728213488E-2</v>
      </c>
      <c r="AO571" s="1971">
        <f t="shared" si="790"/>
        <v>1.348799999988104E-7</v>
      </c>
    </row>
    <row r="572" spans="1:41" x14ac:dyDescent="0.25">
      <c r="A572" s="103" t="str">
        <f t="shared" si="775"/>
        <v>502000</v>
      </c>
      <c r="B572" s="684" t="str">
        <f>'MFMR Deemed Table '!C509</f>
        <v>502000_2019_12_</v>
      </c>
      <c r="C572" s="1962" t="str">
        <f>'MFMR Deemed Table '!G509</f>
        <v>Miscellaneous RES</v>
      </c>
      <c r="D572" s="1962"/>
      <c r="E572" s="1962"/>
      <c r="F572" s="1962"/>
      <c r="G572" s="1962" t="str">
        <f>'MFMR Deemed Table '!E509</f>
        <v>Advanced Tier 2 Power Strips -  B</v>
      </c>
      <c r="H572" s="63" t="str">
        <f>'MFMR Deemed Table '!D509</f>
        <v>MFMR</v>
      </c>
      <c r="I572" s="2438">
        <f>'MFMR Deemed Table '!F509</f>
        <v>216</v>
      </c>
      <c r="J572" s="2438"/>
      <c r="K572" s="2439"/>
      <c r="L572" s="2439"/>
      <c r="M572" s="2439"/>
      <c r="N572" s="2439"/>
      <c r="O572" s="2440">
        <f>'MFMR Deemed Table '!I509</f>
        <v>2.4802000000000001E-2</v>
      </c>
      <c r="P572" s="2440"/>
      <c r="Q572" s="2441"/>
      <c r="R572" s="2441"/>
      <c r="S572" s="2441"/>
      <c r="T572" s="2441"/>
      <c r="U572" s="1819"/>
      <c r="V572" s="1819">
        <f t="shared" si="855"/>
        <v>2.4802000000000001E-2</v>
      </c>
      <c r="W572" s="1819"/>
      <c r="X572" s="68">
        <f>'MFMR Deemed Table '!J509</f>
        <v>10</v>
      </c>
      <c r="Y572" s="68"/>
      <c r="Z572" s="68">
        <f t="shared" ref="Z572:Z591" si="856">Y572+X572</f>
        <v>10</v>
      </c>
      <c r="AA572" s="62">
        <f>'MFMR Deemed Table '!BB509</f>
        <v>2.6305422470810638</v>
      </c>
      <c r="AB572" s="839">
        <f>'MFMR Deemed Table '!K509</f>
        <v>30</v>
      </c>
      <c r="AC572" s="3617">
        <f t="shared" si="824"/>
        <v>74.484443050903167</v>
      </c>
      <c r="AD572" s="3617">
        <f t="shared" si="825"/>
        <v>0</v>
      </c>
      <c r="AE572" s="1661">
        <f>'MFMR Deemed Table '!BD509</f>
        <v>74.484443050903167</v>
      </c>
      <c r="AF572" s="2453"/>
      <c r="AG572" s="2453"/>
      <c r="AH572" s="2453"/>
      <c r="AI572" s="684" t="str">
        <f>'MFMR Deemed Table '!L509</f>
        <v>per measure</v>
      </c>
      <c r="AJ572" s="1930"/>
      <c r="AK572" s="1930"/>
      <c r="AL572" s="1930"/>
      <c r="AM572" s="1972">
        <f t="shared" si="837"/>
        <v>1.148238E-4</v>
      </c>
      <c r="AN572" s="1930">
        <f t="shared" si="854"/>
        <v>2.4801940799999998E-2</v>
      </c>
      <c r="AO572" s="1971">
        <f t="shared" si="790"/>
        <v>-5.9200000002840314E-8</v>
      </c>
    </row>
    <row r="573" spans="1:41" x14ac:dyDescent="0.25">
      <c r="A573" s="103" t="str">
        <f t="shared" si="775"/>
        <v>502050</v>
      </c>
      <c r="B573" s="684" t="str">
        <f>'MFMR Deemed Table '!C510</f>
        <v>502050_2019_12_</v>
      </c>
      <c r="C573" s="1962" t="str">
        <f>'MFMR Deemed Table '!G510</f>
        <v>Miscellaneous RES</v>
      </c>
      <c r="D573" s="1962"/>
      <c r="E573" s="1962"/>
      <c r="F573" s="1962"/>
      <c r="G573" s="1962" t="str">
        <f>'MFMR Deemed Table '!E510</f>
        <v>Advanced Tier 2 Power Strips -  C</v>
      </c>
      <c r="H573" s="63" t="str">
        <f>'MFMR Deemed Table '!D510</f>
        <v>MFMR</v>
      </c>
      <c r="I573" s="2438">
        <f>'MFMR Deemed Table '!F510</f>
        <v>194.4</v>
      </c>
      <c r="J573" s="2438"/>
      <c r="K573" s="2439"/>
      <c r="L573" s="2439"/>
      <c r="M573" s="2439"/>
      <c r="N573" s="2439"/>
      <c r="O573" s="2440">
        <f>'MFMR Deemed Table '!I510</f>
        <v>2.2322000000000002E-2</v>
      </c>
      <c r="P573" s="2440"/>
      <c r="Q573" s="2441"/>
      <c r="R573" s="2441"/>
      <c r="S573" s="2441"/>
      <c r="T573" s="2441"/>
      <c r="U573" s="1819"/>
      <c r="V573" s="1819">
        <f t="shared" si="855"/>
        <v>2.2322000000000002E-2</v>
      </c>
      <c r="W573" s="1819"/>
      <c r="X573" s="68">
        <f>'MFMR Deemed Table '!J510</f>
        <v>10</v>
      </c>
      <c r="Y573" s="68"/>
      <c r="Z573" s="68">
        <f t="shared" si="856"/>
        <v>10</v>
      </c>
      <c r="AA573" s="62">
        <f>'MFMR Deemed Table '!BB510</f>
        <v>2.3674880223729571</v>
      </c>
      <c r="AB573" s="839">
        <f>'MFMR Deemed Table '!K510</f>
        <v>30</v>
      </c>
      <c r="AC573" s="3617">
        <f t="shared" si="824"/>
        <v>67.035998745812847</v>
      </c>
      <c r="AD573" s="3617">
        <f t="shared" si="825"/>
        <v>0</v>
      </c>
      <c r="AE573" s="1661">
        <f>'MFMR Deemed Table '!BD510</f>
        <v>67.035998745812847</v>
      </c>
      <c r="AF573" s="2453"/>
      <c r="AG573" s="2453"/>
      <c r="AH573" s="2453"/>
      <c r="AI573" s="684" t="str">
        <f>'MFMR Deemed Table '!L510</f>
        <v>per measure</v>
      </c>
      <c r="AJ573" s="1930"/>
      <c r="AK573" s="1930"/>
      <c r="AL573" s="1930"/>
      <c r="AM573" s="1972">
        <f t="shared" si="837"/>
        <v>1.148238E-4</v>
      </c>
      <c r="AN573" s="1930">
        <f t="shared" si="854"/>
        <v>2.2321746720000001E-2</v>
      </c>
      <c r="AO573" s="1971">
        <f t="shared" si="790"/>
        <v>-2.5328000000102158E-7</v>
      </c>
    </row>
    <row r="574" spans="1:41" x14ac:dyDescent="0.25">
      <c r="A574" s="103" t="str">
        <f t="shared" si="775"/>
        <v>502100</v>
      </c>
      <c r="B574" s="684" t="str">
        <f>'MFMR Deemed Table '!C511</f>
        <v>502100_2019_12_</v>
      </c>
      <c r="C574" s="1962" t="str">
        <f>'MFMR Deemed Table '!G511</f>
        <v>Miscellaneous RES</v>
      </c>
      <c r="D574" s="1962"/>
      <c r="E574" s="1962"/>
      <c r="F574" s="1962"/>
      <c r="G574" s="1962" t="str">
        <f>'MFMR Deemed Table '!E511</f>
        <v>Advanced Tier 2 Power Strips -  D</v>
      </c>
      <c r="H574" s="63" t="str">
        <f>'MFMR Deemed Table '!D511</f>
        <v>MFMR</v>
      </c>
      <c r="I574" s="2438">
        <f>'MFMR Deemed Table '!F511</f>
        <v>172.8</v>
      </c>
      <c r="J574" s="2438"/>
      <c r="K574" s="2439"/>
      <c r="L574" s="2439"/>
      <c r="M574" s="2439"/>
      <c r="N574" s="2439"/>
      <c r="O574" s="2440">
        <f>'MFMR Deemed Table '!I511</f>
        <v>1.9841999999999999E-2</v>
      </c>
      <c r="P574" s="2440"/>
      <c r="Q574" s="2441"/>
      <c r="R574" s="2441"/>
      <c r="S574" s="2441"/>
      <c r="T574" s="2441"/>
      <c r="U574" s="1819"/>
      <c r="V574" s="1819">
        <f t="shared" si="855"/>
        <v>1.9841999999999999E-2</v>
      </c>
      <c r="W574" s="1819"/>
      <c r="X574" s="68">
        <f>'MFMR Deemed Table '!J511</f>
        <v>10</v>
      </c>
      <c r="Y574" s="68"/>
      <c r="Z574" s="68">
        <f t="shared" si="856"/>
        <v>10</v>
      </c>
      <c r="AA574" s="62">
        <f>'MFMR Deemed Table '!BB511</f>
        <v>2.1044337976648513</v>
      </c>
      <c r="AB574" s="839">
        <f>'MFMR Deemed Table '!K511</f>
        <v>30</v>
      </c>
      <c r="AC574" s="3617">
        <f t="shared" si="824"/>
        <v>59.587554440722535</v>
      </c>
      <c r="AD574" s="3617">
        <f t="shared" si="825"/>
        <v>0</v>
      </c>
      <c r="AE574" s="1661">
        <f>'MFMR Deemed Table '!BD511</f>
        <v>59.587554440722535</v>
      </c>
      <c r="AF574" s="2453"/>
      <c r="AG574" s="2453"/>
      <c r="AH574" s="2453"/>
      <c r="AI574" s="684" t="str">
        <f>'MFMR Deemed Table '!L511</f>
        <v>per measure</v>
      </c>
      <c r="AJ574" s="1930"/>
      <c r="AK574" s="1930"/>
      <c r="AL574" s="1930"/>
      <c r="AM574" s="1972">
        <f t="shared" si="837"/>
        <v>1.148238E-4</v>
      </c>
      <c r="AN574" s="1930">
        <f t="shared" si="854"/>
        <v>1.9841552639999999E-2</v>
      </c>
      <c r="AO574" s="1971">
        <f t="shared" si="790"/>
        <v>-4.4735999999920284E-7</v>
      </c>
    </row>
    <row r="575" spans="1:41" x14ac:dyDescent="0.25">
      <c r="A575" s="103" t="str">
        <f t="shared" si="775"/>
        <v>502150</v>
      </c>
      <c r="B575" s="684" t="str">
        <f>'MFMR Deemed Table '!C512</f>
        <v>502150_2019_12_</v>
      </c>
      <c r="C575" s="1962" t="str">
        <f>'MFMR Deemed Table '!G512</f>
        <v>Miscellaneous RES</v>
      </c>
      <c r="D575" s="1962"/>
      <c r="E575" s="1962"/>
      <c r="F575" s="1962"/>
      <c r="G575" s="1962" t="str">
        <f>'MFMR Deemed Table '!E512</f>
        <v>Advanced Tier 2 Power Strips -  E</v>
      </c>
      <c r="H575" s="63" t="str">
        <f>'MFMR Deemed Table '!D512</f>
        <v>MFMR</v>
      </c>
      <c r="I575" s="2438">
        <f>'MFMR Deemed Table '!F512</f>
        <v>151.19999999999999</v>
      </c>
      <c r="J575" s="2438"/>
      <c r="K575" s="2439"/>
      <c r="L575" s="2439"/>
      <c r="M575" s="2439"/>
      <c r="N575" s="2439"/>
      <c r="O575" s="2440">
        <f>'MFMR Deemed Table '!I512</f>
        <v>1.7361000000000001E-2</v>
      </c>
      <c r="P575" s="2440"/>
      <c r="Q575" s="2441"/>
      <c r="R575" s="2441"/>
      <c r="S575" s="2441"/>
      <c r="T575" s="2441"/>
      <c r="U575" s="1819"/>
      <c r="V575" s="1819">
        <f t="shared" si="855"/>
        <v>1.7361000000000001E-2</v>
      </c>
      <c r="W575" s="1819"/>
      <c r="X575" s="68">
        <f>'MFMR Deemed Table '!J512</f>
        <v>10</v>
      </c>
      <c r="Y575" s="68"/>
      <c r="Z575" s="68">
        <f t="shared" si="856"/>
        <v>10</v>
      </c>
      <c r="AA575" s="62">
        <f>'MFMR Deemed Table '!BB512</f>
        <v>1.8413795729567446</v>
      </c>
      <c r="AB575" s="839">
        <f>'MFMR Deemed Table '!K512</f>
        <v>30</v>
      </c>
      <c r="AC575" s="3617">
        <f t="shared" si="824"/>
        <v>52.139110135632215</v>
      </c>
      <c r="AD575" s="3617">
        <f t="shared" si="825"/>
        <v>0</v>
      </c>
      <c r="AE575" s="1661">
        <f>'MFMR Deemed Table '!BD512</f>
        <v>52.139110135632215</v>
      </c>
      <c r="AF575" s="2453"/>
      <c r="AG575" s="2453"/>
      <c r="AH575" s="2453"/>
      <c r="AI575" s="684" t="str">
        <f>'MFMR Deemed Table '!L512</f>
        <v>per measure</v>
      </c>
      <c r="AJ575" s="1930"/>
      <c r="AK575" s="1930"/>
      <c r="AL575" s="1930"/>
      <c r="AM575" s="1972">
        <f t="shared" si="837"/>
        <v>1.148238E-4</v>
      </c>
      <c r="AN575" s="1930">
        <f t="shared" si="854"/>
        <v>1.7361358559999998E-2</v>
      </c>
      <c r="AO575" s="1971">
        <f t="shared" si="790"/>
        <v>3.5855999999667709E-7</v>
      </c>
    </row>
    <row r="576" spans="1:41" x14ac:dyDescent="0.25">
      <c r="A576" s="103" t="str">
        <f t="shared" si="775"/>
        <v>502200</v>
      </c>
      <c r="B576" s="684" t="str">
        <f>'MFMR Deemed Table '!C513</f>
        <v>502200_2019_12_</v>
      </c>
      <c r="C576" s="1962" t="str">
        <f>'MFMR Deemed Table '!G513</f>
        <v>Miscellaneous RES</v>
      </c>
      <c r="D576" s="1962"/>
      <c r="E576" s="1962"/>
      <c r="F576" s="1962"/>
      <c r="G576" s="1962" t="str">
        <f>'MFMR Deemed Table '!E513</f>
        <v>Advanced Tier 2 Power Strips -  F</v>
      </c>
      <c r="H576" s="63" t="str">
        <f>'MFMR Deemed Table '!D513</f>
        <v>MFMR</v>
      </c>
      <c r="I576" s="2438">
        <f>'MFMR Deemed Table '!F513</f>
        <v>129.6</v>
      </c>
      <c r="J576" s="2438"/>
      <c r="K576" s="2439"/>
      <c r="L576" s="2439"/>
      <c r="M576" s="2439"/>
      <c r="N576" s="2439"/>
      <c r="O576" s="2440">
        <f>'MFMR Deemed Table '!I513</f>
        <v>1.4881E-2</v>
      </c>
      <c r="P576" s="2440"/>
      <c r="Q576" s="2441"/>
      <c r="R576" s="2441"/>
      <c r="S576" s="2441"/>
      <c r="T576" s="2441"/>
      <c r="U576" s="1819"/>
      <c r="V576" s="1819">
        <f t="shared" si="855"/>
        <v>1.4881E-2</v>
      </c>
      <c r="W576" s="1819"/>
      <c r="X576" s="68">
        <f>'MFMR Deemed Table '!J513</f>
        <v>10</v>
      </c>
      <c r="Y576" s="68"/>
      <c r="Z576" s="68">
        <f t="shared" si="856"/>
        <v>10</v>
      </c>
      <c r="AA576" s="62">
        <f>'MFMR Deemed Table '!BB513</f>
        <v>1.5783253482486381</v>
      </c>
      <c r="AB576" s="839">
        <f>'MFMR Deemed Table '!K513</f>
        <v>30</v>
      </c>
      <c r="AC576" s="3617">
        <f t="shared" si="824"/>
        <v>44.690665830541896</v>
      </c>
      <c r="AD576" s="3617">
        <f t="shared" si="825"/>
        <v>0</v>
      </c>
      <c r="AE576" s="1661">
        <f>'MFMR Deemed Table '!BD513</f>
        <v>44.690665830541896</v>
      </c>
      <c r="AF576" s="2453"/>
      <c r="AG576" s="2453"/>
      <c r="AH576" s="2453"/>
      <c r="AI576" s="684" t="str">
        <f>'MFMR Deemed Table '!L513</f>
        <v>per measure</v>
      </c>
      <c r="AJ576" s="1930"/>
      <c r="AK576" s="1930"/>
      <c r="AL576" s="1930"/>
      <c r="AM576" s="1972">
        <f t="shared" si="837"/>
        <v>1.148238E-4</v>
      </c>
      <c r="AN576" s="1930">
        <f t="shared" si="854"/>
        <v>1.4881164479999999E-2</v>
      </c>
      <c r="AO576" s="1971">
        <f t="shared" si="790"/>
        <v>1.6447999999849583E-7</v>
      </c>
    </row>
    <row r="577" spans="1:41" x14ac:dyDescent="0.25">
      <c r="A577" s="103" t="str">
        <f t="shared" si="775"/>
        <v>502250</v>
      </c>
      <c r="B577" s="684" t="str">
        <f>'MFMR Deemed Table '!C514</f>
        <v>502250_2019_12_</v>
      </c>
      <c r="C577" s="1962" t="str">
        <f>'MFMR Deemed Table '!G514</f>
        <v>Miscellaneous RES</v>
      </c>
      <c r="D577" s="1962"/>
      <c r="E577" s="1962"/>
      <c r="F577" s="1962"/>
      <c r="G577" s="1962" t="str">
        <f>'MFMR Deemed Table '!E514</f>
        <v>Advanced Tier 2 Power Strips -  G</v>
      </c>
      <c r="H577" s="63" t="str">
        <f>'MFMR Deemed Table '!D514</f>
        <v>MFMR</v>
      </c>
      <c r="I577" s="2438">
        <f>'MFMR Deemed Table '!F514</f>
        <v>108</v>
      </c>
      <c r="J577" s="2438"/>
      <c r="K577" s="2439"/>
      <c r="L577" s="2439"/>
      <c r="M577" s="2439"/>
      <c r="N577" s="2439"/>
      <c r="O577" s="2440">
        <f>'MFMR Deemed Table '!I514</f>
        <v>1.2401000000000001E-2</v>
      </c>
      <c r="P577" s="2440"/>
      <c r="Q577" s="2441"/>
      <c r="R577" s="2441"/>
      <c r="S577" s="2441"/>
      <c r="T577" s="2441"/>
      <c r="U577" s="1819"/>
      <c r="V577" s="1819">
        <f t="shared" si="855"/>
        <v>1.2401000000000001E-2</v>
      </c>
      <c r="W577" s="1819"/>
      <c r="X577" s="68">
        <f>'MFMR Deemed Table '!J514</f>
        <v>10</v>
      </c>
      <c r="Y577" s="68"/>
      <c r="Z577" s="68">
        <f t="shared" si="856"/>
        <v>10</v>
      </c>
      <c r="AA577" s="62">
        <f>'MFMR Deemed Table '!BB514</f>
        <v>1.3152711235405319</v>
      </c>
      <c r="AB577" s="839">
        <f>'MFMR Deemed Table '!K514</f>
        <v>30</v>
      </c>
      <c r="AC577" s="3617">
        <f t="shared" si="824"/>
        <v>37.242221525451583</v>
      </c>
      <c r="AD577" s="3617">
        <f t="shared" si="825"/>
        <v>0</v>
      </c>
      <c r="AE577" s="1661">
        <f>'MFMR Deemed Table '!BD514</f>
        <v>37.242221525451583</v>
      </c>
      <c r="AF577" s="2453"/>
      <c r="AG577" s="2453"/>
      <c r="AH577" s="2453"/>
      <c r="AI577" s="684" t="str">
        <f>'MFMR Deemed Table '!L514</f>
        <v>per measure</v>
      </c>
      <c r="AJ577" s="1930"/>
      <c r="AK577" s="1930"/>
      <c r="AL577" s="1930"/>
      <c r="AM577" s="1972">
        <f t="shared" si="837"/>
        <v>1.148238E-4</v>
      </c>
      <c r="AN577" s="1930">
        <f t="shared" si="854"/>
        <v>1.2400970399999999E-2</v>
      </c>
      <c r="AO577" s="1971">
        <f t="shared" si="790"/>
        <v>-2.9600000001420157E-8</v>
      </c>
    </row>
    <row r="578" spans="1:41" x14ac:dyDescent="0.25">
      <c r="A578" s="103" t="str">
        <f t="shared" si="775"/>
        <v>502300</v>
      </c>
      <c r="B578" s="684" t="str">
        <f>'MFMR Deemed Table '!C515</f>
        <v>502300_2019_12_</v>
      </c>
      <c r="C578" s="1962" t="str">
        <f>'MFMR Deemed Table '!G515</f>
        <v>Miscellaneous RES</v>
      </c>
      <c r="D578" s="1962"/>
      <c r="E578" s="1962"/>
      <c r="F578" s="1962"/>
      <c r="G578" s="1962" t="str">
        <f>'MFMR Deemed Table '!E515</f>
        <v>Advanced Tier 2 Power Strips -  H</v>
      </c>
      <c r="H578" s="63" t="str">
        <f>'MFMR Deemed Table '!D515</f>
        <v>MFMR</v>
      </c>
      <c r="I578" s="2438">
        <f>'MFMR Deemed Table '!F515</f>
        <v>86.4</v>
      </c>
      <c r="J578" s="2438"/>
      <c r="K578" s="2439"/>
      <c r="L578" s="2439"/>
      <c r="M578" s="2439"/>
      <c r="N578" s="2439"/>
      <c r="O578" s="2440">
        <f>'MFMR Deemed Table '!I515</f>
        <v>9.9209999999999993E-3</v>
      </c>
      <c r="P578" s="2440"/>
      <c r="Q578" s="2441"/>
      <c r="R578" s="2441"/>
      <c r="S578" s="2441"/>
      <c r="T578" s="2441"/>
      <c r="U578" s="1819"/>
      <c r="V578" s="1819">
        <f t="shared" si="855"/>
        <v>9.9209999999999993E-3</v>
      </c>
      <c r="W578" s="1819"/>
      <c r="X578" s="68">
        <f>'MFMR Deemed Table '!J515</f>
        <v>10</v>
      </c>
      <c r="Y578" s="68"/>
      <c r="Z578" s="68">
        <f t="shared" si="856"/>
        <v>10</v>
      </c>
      <c r="AA578" s="62">
        <f>'MFMR Deemed Table '!BB515</f>
        <v>1.0522168988324256</v>
      </c>
      <c r="AB578" s="839">
        <f>'MFMR Deemed Table '!K515</f>
        <v>30</v>
      </c>
      <c r="AC578" s="3617">
        <f t="shared" si="824"/>
        <v>29.793777220361267</v>
      </c>
      <c r="AD578" s="3617">
        <f t="shared" si="825"/>
        <v>0</v>
      </c>
      <c r="AE578" s="1661">
        <f>'MFMR Deemed Table '!BD515</f>
        <v>29.793777220361267</v>
      </c>
      <c r="AF578" s="2453"/>
      <c r="AG578" s="2453"/>
      <c r="AH578" s="2453"/>
      <c r="AI578" s="684" t="str">
        <f>'MFMR Deemed Table '!L515</f>
        <v>per measure</v>
      </c>
      <c r="AJ578" s="1930"/>
      <c r="AK578" s="1930"/>
      <c r="AL578" s="1930"/>
      <c r="AM578" s="1972">
        <f t="shared" si="837"/>
        <v>1.148238E-4</v>
      </c>
      <c r="AN578" s="1930">
        <f t="shared" si="854"/>
        <v>9.9207763199999997E-3</v>
      </c>
      <c r="AO578" s="1971">
        <f t="shared" si="790"/>
        <v>-2.2367999999960142E-7</v>
      </c>
    </row>
    <row r="579" spans="1:41" x14ac:dyDescent="0.25">
      <c r="A579" s="103" t="str">
        <f t="shared" si="775"/>
        <v>502350</v>
      </c>
      <c r="B579" s="684" t="str">
        <f>'MFMR Deemed Table '!C516</f>
        <v>502350_2019_12_</v>
      </c>
      <c r="C579" s="1962" t="str">
        <f>'MFMR Deemed Table '!G516</f>
        <v>Miscellaneous RES</v>
      </c>
      <c r="D579" s="1962"/>
      <c r="E579" s="1962"/>
      <c r="F579" s="1962"/>
      <c r="G579" s="1962" t="str">
        <f>'MFMR Deemed Table '!E516</f>
        <v>Advanced Tier 2 Power Strips / TOS/NC / Average</v>
      </c>
      <c r="H579" s="63" t="str">
        <f>'MFMR Deemed Table '!D516</f>
        <v>MFMR</v>
      </c>
      <c r="I579" s="2438">
        <f>'MFMR Deemed Table '!F516</f>
        <v>162</v>
      </c>
      <c r="J579" s="2438"/>
      <c r="K579" s="2439"/>
      <c r="L579" s="2439"/>
      <c r="M579" s="2439"/>
      <c r="N579" s="2439"/>
      <c r="O579" s="2440">
        <f>'MFMR Deemed Table '!I516</f>
        <v>1.8600999999999999E-2</v>
      </c>
      <c r="P579" s="2440"/>
      <c r="Q579" s="2441"/>
      <c r="R579" s="2441"/>
      <c r="S579" s="2441"/>
      <c r="T579" s="2441"/>
      <c r="U579" s="1819"/>
      <c r="V579" s="1819">
        <f t="shared" si="855"/>
        <v>1.8600999999999999E-2</v>
      </c>
      <c r="W579" s="1819"/>
      <c r="X579" s="68">
        <f>'MFMR Deemed Table '!J516</f>
        <v>10</v>
      </c>
      <c r="Y579" s="68"/>
      <c r="Z579" s="68">
        <f t="shared" si="856"/>
        <v>10</v>
      </c>
      <c r="AA579" s="62">
        <f>'MFMR Deemed Table '!BB516</f>
        <v>1.9729066853107977</v>
      </c>
      <c r="AB579" s="839">
        <f>'MFMR Deemed Table '!K516</f>
        <v>30</v>
      </c>
      <c r="AC579" s="3617">
        <f t="shared" si="824"/>
        <v>55.863332288177375</v>
      </c>
      <c r="AD579" s="3617">
        <f t="shared" si="825"/>
        <v>0</v>
      </c>
      <c r="AE579" s="1661">
        <f>'MFMR Deemed Table '!BD516</f>
        <v>55.863332288177375</v>
      </c>
      <c r="AF579" s="2453"/>
      <c r="AG579" s="2453"/>
      <c r="AH579" s="2453"/>
      <c r="AI579" s="684" t="str">
        <f>'MFMR Deemed Table '!L516</f>
        <v>per measure</v>
      </c>
      <c r="AJ579" s="1930"/>
      <c r="AK579" s="1930"/>
      <c r="AL579" s="1930"/>
      <c r="AM579" s="1972">
        <f t="shared" si="837"/>
        <v>1.148238E-4</v>
      </c>
      <c r="AN579" s="1930">
        <f t="shared" si="854"/>
        <v>1.86014556E-2</v>
      </c>
      <c r="AO579" s="1971">
        <f t="shared" si="790"/>
        <v>4.5560000000097189E-7</v>
      </c>
    </row>
    <row r="580" spans="1:41" x14ac:dyDescent="0.25">
      <c r="A580" s="103" t="str">
        <f t="shared" si="775"/>
        <v>502400</v>
      </c>
      <c r="B580" s="1960" t="str">
        <f>'MFMR Deemed Table '!C541</f>
        <v>502400_2021_12_</v>
      </c>
      <c r="C580" s="1962" t="str">
        <f>'MFMR Deemed Table '!G541</f>
        <v>Pool Spa RES</v>
      </c>
      <c r="D580" s="1962"/>
      <c r="E580" s="1962"/>
      <c r="F580" s="1962"/>
      <c r="G580" s="1962" t="str">
        <f>'MFMR Deemed Table '!E541</f>
        <v>Variable Speed Pool Pump - ROF</v>
      </c>
      <c r="H580" s="63" t="str">
        <f>'MFMR Deemed Table '!D541</f>
        <v>MFMR</v>
      </c>
      <c r="I580" s="2438">
        <f>'MFMR Deemed Table '!F541</f>
        <v>315.20999999999998</v>
      </c>
      <c r="J580" s="2438"/>
      <c r="K580" s="2439"/>
      <c r="L580" s="2439"/>
      <c r="M580" s="2439"/>
      <c r="N580" s="2439"/>
      <c r="O580" s="2440">
        <f>'MFMR Deemed Table '!L541</f>
        <v>7.4215000000000003E-2</v>
      </c>
      <c r="P580" s="2440"/>
      <c r="Q580" s="2441"/>
      <c r="R580" s="2441"/>
      <c r="S580" s="2441"/>
      <c r="T580" s="2441"/>
      <c r="U580" s="1819"/>
      <c r="V580" s="1819">
        <f>O580</f>
        <v>7.4215000000000003E-2</v>
      </c>
      <c r="W580" s="1819"/>
      <c r="X580" s="68">
        <f>'MFMR Deemed Table '!M541</f>
        <v>10</v>
      </c>
      <c r="Y580" s="68"/>
      <c r="Z580" s="68">
        <f t="shared" si="856"/>
        <v>10</v>
      </c>
      <c r="AA580" s="62">
        <f>'MFMR Deemed Table '!BB541</f>
        <v>0.44392548917598218</v>
      </c>
      <c r="AB580" s="839">
        <f>'MFMR Deemed Table '!N541</f>
        <v>314</v>
      </c>
      <c r="AC580" s="3617">
        <f t="shared" si="824"/>
        <v>131.56451496107445</v>
      </c>
      <c r="AD580" s="3617">
        <f t="shared" si="825"/>
        <v>0</v>
      </c>
      <c r="AE580" s="1661">
        <f>'MFMR Deemed Table '!BD541</f>
        <v>131.56451496107445</v>
      </c>
      <c r="AF580" s="2453"/>
      <c r="AG580" s="2453"/>
      <c r="AH580" s="2453"/>
      <c r="AI580" s="3626" t="str">
        <f>'MFMR Deemed Table '!O541</f>
        <v>per measure</v>
      </c>
      <c r="AJ580" s="1930"/>
      <c r="AK580" s="1930"/>
      <c r="AL580" s="1930"/>
      <c r="AM580" s="1972">
        <f t="shared" si="837"/>
        <v>2.3544589999999999E-4</v>
      </c>
      <c r="AN580" s="1930">
        <f t="shared" si="854"/>
        <v>7.4214902138999991E-2</v>
      </c>
      <c r="AO580" s="1971">
        <f t="shared" si="790"/>
        <v>-9.786100001185627E-8</v>
      </c>
    </row>
    <row r="581" spans="1:41" s="100" customFormat="1" x14ac:dyDescent="0.25">
      <c r="A581" s="103" t="str">
        <f t="shared" si="775"/>
        <v>502401</v>
      </c>
      <c r="B581" s="1960" t="str">
        <f>'MFMR Deemed Table '!C542</f>
        <v>502401_2021_12_</v>
      </c>
      <c r="C581" s="1958" t="str">
        <f>'MFMR Deemed Table '!G542</f>
        <v>Pool Spa RES</v>
      </c>
      <c r="D581" s="1958"/>
      <c r="E581" s="1958"/>
      <c r="F581" s="1958"/>
      <c r="G581" s="1958" t="str">
        <f>'MFMR Deemed Table '!E542</f>
        <v>Variable Speed Pool Pump - ER</v>
      </c>
      <c r="H581" s="1975" t="str">
        <f>'MFMR Deemed Table '!D542</f>
        <v>MFMR</v>
      </c>
      <c r="I581" s="1973">
        <f>'MFMR Deemed Table '!F542</f>
        <v>1478.34</v>
      </c>
      <c r="J581" s="1973"/>
      <c r="K581" s="1963"/>
      <c r="L581" s="1963"/>
      <c r="M581" s="1963"/>
      <c r="N581" s="1963"/>
      <c r="O581" s="1974">
        <f>'MFMR Deemed Table '!L542</f>
        <v>0.34806900000000002</v>
      </c>
      <c r="P581" s="1974"/>
      <c r="Q581" s="1976"/>
      <c r="R581" s="1976"/>
      <c r="S581" s="1976"/>
      <c r="T581" s="1976"/>
      <c r="U581" s="1926"/>
      <c r="V581" s="1926">
        <f>O581</f>
        <v>0.34806900000000002</v>
      </c>
      <c r="W581" s="1926"/>
      <c r="X581" s="1952">
        <f>'MFMR Deemed Table '!M542</f>
        <v>10</v>
      </c>
      <c r="Y581" s="1952"/>
      <c r="Z581" s="1952">
        <f t="shared" ref="Z581" si="857">Y581+X581</f>
        <v>10</v>
      </c>
      <c r="AA581" s="1951">
        <f>'MFMR Deemed Table '!BB542</f>
        <v>1.1908079530400344</v>
      </c>
      <c r="AB581" s="2426">
        <f>'MFMR Deemed Table '!N542</f>
        <v>549</v>
      </c>
      <c r="AC581" s="2432">
        <f t="shared" ref="AC581" si="858">AE581+AF581</f>
        <v>617.03970384047079</v>
      </c>
      <c r="AD581" s="2432">
        <f t="shared" ref="AD581" si="859">AG581+AH581</f>
        <v>0</v>
      </c>
      <c r="AE581" s="2452">
        <f>'MFMR Deemed Table '!BD542</f>
        <v>617.03970384047079</v>
      </c>
      <c r="AF581" s="1982"/>
      <c r="AG581" s="1982"/>
      <c r="AH581" s="1982"/>
      <c r="AI581" s="3656" t="str">
        <f>'MFMR Deemed Table '!O542</f>
        <v>per measure</v>
      </c>
      <c r="AM581" s="2433">
        <f t="shared" ref="AM581" si="860">VLOOKUP(C581,$AS$10:$AT$33,2,FALSE)</f>
        <v>2.3544589999999999E-4</v>
      </c>
      <c r="AN581" s="100">
        <f t="shared" ref="AN581" si="861">AM581*I581</f>
        <v>0.34806909180599999</v>
      </c>
      <c r="AO581" s="2437">
        <f t="shared" ref="AO581" si="862">AN581-O581</f>
        <v>9.1805999968830321E-8</v>
      </c>
    </row>
    <row r="582" spans="1:41" x14ac:dyDescent="0.25">
      <c r="A582" s="103" t="str">
        <f t="shared" si="775"/>
        <v>502450</v>
      </c>
      <c r="B582" s="684" t="str">
        <f>'MFMR Deemed Table '!C590</f>
        <v>502450_2019_12_</v>
      </c>
      <c r="C582" s="1962" t="str">
        <f>'MFMR Deemed Table '!G590</f>
        <v>Refrigeration RES</v>
      </c>
      <c r="D582" s="1962" t="str">
        <f>'MFMR Deemed Table '!G591</f>
        <v>Refrigeration RES ER2</v>
      </c>
      <c r="E582" s="1962"/>
      <c r="F582" s="1962"/>
      <c r="G582" s="1962" t="str">
        <f>'MFMR Deemed Table '!E590</f>
        <v>Refrigerator - early replacement ER1 (full cost)   -  MFMR</v>
      </c>
      <c r="H582" s="63" t="str">
        <f>'MFMR Deemed Table '!D590</f>
        <v>MFMR</v>
      </c>
      <c r="I582" s="2438">
        <f>'MFMR Deemed Table '!F590</f>
        <v>564.66</v>
      </c>
      <c r="J582" s="2438">
        <f>'MFMR Deemed Table '!F591</f>
        <v>46.72</v>
      </c>
      <c r="K582" s="2439"/>
      <c r="L582" s="2439"/>
      <c r="M582" s="2439"/>
      <c r="N582" s="2439"/>
      <c r="O582" s="2440">
        <f>'MFMR Deemed Table '!I590</f>
        <v>7.2621000000000005E-2</v>
      </c>
      <c r="P582" s="2440">
        <f>'MFMR Deemed Table '!I591</f>
        <v>6.0089999999999996E-3</v>
      </c>
      <c r="Q582" s="2441"/>
      <c r="R582" s="2441"/>
      <c r="S582" s="2441"/>
      <c r="T582" s="2441"/>
      <c r="U582" s="1819"/>
      <c r="V582" s="1819"/>
      <c r="W582" s="1821">
        <f>P582</f>
        <v>6.0089999999999996E-3</v>
      </c>
      <c r="X582" s="68">
        <f>'MFMR Deemed Table '!J590</f>
        <v>6</v>
      </c>
      <c r="Y582" s="68">
        <f>'MFMR Deemed Table '!J591</f>
        <v>11</v>
      </c>
      <c r="Z582" s="68">
        <f t="shared" si="856"/>
        <v>17</v>
      </c>
      <c r="AA582" s="62">
        <f>'MFMR Deemed Table '!BB590</f>
        <v>0.18847747808723556</v>
      </c>
      <c r="AB582" s="839">
        <f>'MFMR Deemed Table '!K590</f>
        <v>753</v>
      </c>
      <c r="AC582" s="3617">
        <f t="shared" si="824"/>
        <v>117.12499089042501</v>
      </c>
      <c r="AD582" s="3617">
        <f t="shared" si="825"/>
        <v>16.828327655765037</v>
      </c>
      <c r="AE582" s="1661">
        <f>'MFMR Deemed Table '!BD590</f>
        <v>117.12499089042501</v>
      </c>
      <c r="AF582" s="2453"/>
      <c r="AG582" s="3623">
        <f>'MFMR Deemed Table '!BD591</f>
        <v>16.828327655765037</v>
      </c>
      <c r="AH582" s="2453"/>
      <c r="AI582" s="684" t="str">
        <f>'MFMR Deemed Table '!L590</f>
        <v>per measure</v>
      </c>
      <c r="AJ582" s="1930"/>
      <c r="AK582" s="1930"/>
      <c r="AL582" s="1930"/>
      <c r="AM582" s="1972">
        <f t="shared" si="837"/>
        <v>1.286107E-4</v>
      </c>
      <c r="AN582" s="1930">
        <f t="shared" si="854"/>
        <v>7.262131786199999E-2</v>
      </c>
      <c r="AO582" s="1971">
        <f t="shared" si="790"/>
        <v>3.1786199998495857E-7</v>
      </c>
    </row>
    <row r="583" spans="1:41" x14ac:dyDescent="0.25">
      <c r="A583" s="103" t="str">
        <f t="shared" si="775"/>
        <v>550050</v>
      </c>
      <c r="B583" s="684" t="str">
        <f>'Appliance Recycle Deemed Table'!C7</f>
        <v>550050_2019_12_</v>
      </c>
      <c r="C583" s="1962" t="str">
        <f>'Appliance Recycle Deemed Table'!G7</f>
        <v>Refrigeration RES</v>
      </c>
      <c r="D583" s="1962"/>
      <c r="E583" s="1962"/>
      <c r="F583" s="1962"/>
      <c r="G583" s="1962" t="str">
        <f>'Appliance Recycle Deemed Table'!E7</f>
        <v>Refrigerator recycling (pre-1990)</v>
      </c>
      <c r="H583" s="63" t="str">
        <f>'Appliance Recycle Deemed Table'!D7</f>
        <v>Appliance Recycling</v>
      </c>
      <c r="I583" s="2438">
        <f>'Appliance Recycle Deemed Table'!F7</f>
        <v>1020.32</v>
      </c>
      <c r="J583" s="2438"/>
      <c r="K583" s="2439"/>
      <c r="L583" s="2439"/>
      <c r="M583" s="2439"/>
      <c r="N583" s="2439"/>
      <c r="O583" s="2440">
        <f>'Appliance Recycle Deemed Table'!I7</f>
        <v>0.13122400000000001</v>
      </c>
      <c r="P583" s="2440"/>
      <c r="Q583" s="2441"/>
      <c r="R583" s="2441"/>
      <c r="S583" s="2441"/>
      <c r="T583" s="2441"/>
      <c r="U583" s="1819">
        <f t="shared" ref="U583:U588" si="863">O583</f>
        <v>0.13122400000000001</v>
      </c>
      <c r="V583" s="1819">
        <v>0</v>
      </c>
      <c r="W583" s="1819">
        <v>0</v>
      </c>
      <c r="X583" s="68">
        <f>'Appliance Recycle Deemed Table'!J7</f>
        <v>8</v>
      </c>
      <c r="Y583" s="68"/>
      <c r="Z583" s="68">
        <f t="shared" si="856"/>
        <v>8</v>
      </c>
      <c r="AA583" s="62">
        <f>'Appliance Recycle Deemed Table'!BB7</f>
        <v>2.1507741668167357</v>
      </c>
      <c r="AB583" s="839">
        <f>'Appliance Recycle Deemed Table'!K7</f>
        <v>140</v>
      </c>
      <c r="AC583" s="3617">
        <f t="shared" si="824"/>
        <v>284.19856852698723</v>
      </c>
      <c r="AD583" s="3617">
        <f t="shared" si="825"/>
        <v>0</v>
      </c>
      <c r="AE583" s="1661">
        <f>'Appliance Recycle Deemed Table'!BD7</f>
        <v>284.19856852698723</v>
      </c>
      <c r="AF583" s="2453"/>
      <c r="AG583" s="2453"/>
      <c r="AH583" s="2453"/>
      <c r="AI583" s="684" t="str">
        <f>'Appliance Recycle Deemed Table'!L7</f>
        <v>per measure</v>
      </c>
      <c r="AJ583" s="1930"/>
      <c r="AK583" s="1930"/>
      <c r="AL583" s="1930"/>
      <c r="AM583" s="1972">
        <f t="shared" si="837"/>
        <v>1.286107E-4</v>
      </c>
      <c r="AN583" s="1930">
        <f t="shared" si="854"/>
        <v>0.131224069424</v>
      </c>
      <c r="AO583" s="1971">
        <f t="shared" si="790"/>
        <v>6.9423999993212249E-8</v>
      </c>
    </row>
    <row r="584" spans="1:41" x14ac:dyDescent="0.25">
      <c r="A584" s="103" t="str">
        <f t="shared" si="775"/>
        <v>550100</v>
      </c>
      <c r="B584" s="684" t="str">
        <f>'Appliance Recycle Deemed Table'!C8</f>
        <v>550100_2019_12_</v>
      </c>
      <c r="C584" s="1962" t="str">
        <f>'Appliance Recycle Deemed Table'!G8</f>
        <v>Refrigeration RES</v>
      </c>
      <c r="D584" s="1962"/>
      <c r="E584" s="1962"/>
      <c r="F584" s="1962"/>
      <c r="G584" s="1962" t="str">
        <f>'Appliance Recycle Deemed Table'!E8</f>
        <v>Refrigerator recycling (post-1990)</v>
      </c>
      <c r="H584" s="63" t="str">
        <f>'Appliance Recycle Deemed Table'!D8</f>
        <v>Appliance Recycling</v>
      </c>
      <c r="I584" s="2438">
        <f>'Appliance Recycle Deemed Table'!F8</f>
        <v>520</v>
      </c>
      <c r="J584" s="2438"/>
      <c r="K584" s="2439"/>
      <c r="L584" s="2439"/>
      <c r="M584" s="2439"/>
      <c r="N584" s="2439"/>
      <c r="O584" s="2440">
        <f>'Appliance Recycle Deemed Table'!I8</f>
        <v>6.6878000000000007E-2</v>
      </c>
      <c r="P584" s="2440"/>
      <c r="Q584" s="2441"/>
      <c r="R584" s="2441"/>
      <c r="S584" s="2441"/>
      <c r="T584" s="2441"/>
      <c r="U584" s="1819">
        <f t="shared" si="863"/>
        <v>6.6878000000000007E-2</v>
      </c>
      <c r="V584" s="1819">
        <v>0</v>
      </c>
      <c r="W584" s="1819">
        <v>0</v>
      </c>
      <c r="X584" s="68">
        <f>'Appliance Recycle Deemed Table'!J8</f>
        <v>8</v>
      </c>
      <c r="Y584" s="68"/>
      <c r="Z584" s="68">
        <f t="shared" si="856"/>
        <v>8</v>
      </c>
      <c r="AA584" s="62">
        <f>'Appliance Recycle Deemed Table'!BB8</f>
        <v>1.0961292209745006</v>
      </c>
      <c r="AB584" s="839">
        <f>'Appliance Recycle Deemed Table'!K8</f>
        <v>140</v>
      </c>
      <c r="AC584" s="3617">
        <f t="shared" si="824"/>
        <v>144.8401047063993</v>
      </c>
      <c r="AD584" s="3617">
        <f t="shared" si="825"/>
        <v>0</v>
      </c>
      <c r="AE584" s="1661">
        <f>'Appliance Recycle Deemed Table'!BD8</f>
        <v>144.8401047063993</v>
      </c>
      <c r="AF584" s="2453"/>
      <c r="AG584" s="2453"/>
      <c r="AH584" s="2453"/>
      <c r="AI584" s="684" t="str">
        <f>'Appliance Recycle Deemed Table'!L8</f>
        <v>per measure</v>
      </c>
      <c r="AJ584" s="1930"/>
      <c r="AK584" s="1930"/>
      <c r="AL584" s="1930"/>
      <c r="AM584" s="1972">
        <f t="shared" si="837"/>
        <v>1.286107E-4</v>
      </c>
      <c r="AN584" s="1930">
        <f t="shared" si="854"/>
        <v>6.6877564E-2</v>
      </c>
      <c r="AO584" s="1971">
        <f t="shared" si="790"/>
        <v>-4.3600000000643124E-7</v>
      </c>
    </row>
    <row r="585" spans="1:41" x14ac:dyDescent="0.25">
      <c r="A585" s="103" t="str">
        <f t="shared" si="775"/>
        <v>550150</v>
      </c>
      <c r="B585" s="684" t="str">
        <f>'Appliance Recycle Deemed Table'!C22</f>
        <v>550150_2019_12_</v>
      </c>
      <c r="C585" s="1962" t="str">
        <f>'Appliance Recycle Deemed Table'!G22</f>
        <v>Freezer RES</v>
      </c>
      <c r="D585" s="1962"/>
      <c r="E585" s="1962"/>
      <c r="F585" s="1962"/>
      <c r="G585" s="1962" t="str">
        <f>'Appliance Recycle Deemed Table'!E22</f>
        <v>Freezer recycling</v>
      </c>
      <c r="H585" s="63" t="str">
        <f>'Appliance Recycle Deemed Table'!D22</f>
        <v>Appliance Recycling</v>
      </c>
      <c r="I585" s="2438">
        <f>'Appliance Recycle Deemed Table'!F22</f>
        <v>825.22</v>
      </c>
      <c r="J585" s="2438"/>
      <c r="K585" s="2439"/>
      <c r="L585" s="2439"/>
      <c r="M585" s="2439"/>
      <c r="N585" s="2439"/>
      <c r="O585" s="2440">
        <f>'Appliance Recycle Deemed Table'!I22</f>
        <v>0.13910900000000001</v>
      </c>
      <c r="P585" s="2440"/>
      <c r="Q585" s="2441"/>
      <c r="R585" s="2441"/>
      <c r="S585" s="2441"/>
      <c r="T585" s="2441"/>
      <c r="U585" s="1819">
        <f t="shared" si="863"/>
        <v>0.13910900000000001</v>
      </c>
      <c r="V585" s="1819">
        <v>0</v>
      </c>
      <c r="W585" s="1819">
        <v>0</v>
      </c>
      <c r="X585" s="68">
        <f>'Appliance Recycle Deemed Table'!J22</f>
        <v>8</v>
      </c>
      <c r="Y585" s="68"/>
      <c r="Z585" s="68">
        <f t="shared" si="856"/>
        <v>8</v>
      </c>
      <c r="AA585" s="62">
        <f>'Appliance Recycle Deemed Table'!BB22</f>
        <v>1.8949194933470492</v>
      </c>
      <c r="AB585" s="839">
        <f>'Appliance Recycle Deemed Table'!K22</f>
        <v>140</v>
      </c>
      <c r="AC585" s="3617">
        <f t="shared" si="824"/>
        <v>250.39049463764687</v>
      </c>
      <c r="AD585" s="3617">
        <f t="shared" si="825"/>
        <v>0</v>
      </c>
      <c r="AE585" s="1661">
        <f>'Appliance Recycle Deemed Table'!BD22</f>
        <v>250.39049463764687</v>
      </c>
      <c r="AF585" s="2453"/>
      <c r="AG585" s="2453"/>
      <c r="AH585" s="2453"/>
      <c r="AI585" s="684" t="str">
        <f>'Appliance Recycle Deemed Table'!L22</f>
        <v>per measure</v>
      </c>
      <c r="AJ585" s="1930"/>
      <c r="AK585" s="1930"/>
      <c r="AL585" s="1930"/>
      <c r="AM585" s="1972">
        <f t="shared" si="837"/>
        <v>1.6857220000000001E-4</v>
      </c>
      <c r="AN585" s="1930">
        <f t="shared" si="854"/>
        <v>0.13910915088400003</v>
      </c>
      <c r="AO585" s="1971">
        <f t="shared" si="790"/>
        <v>1.5088400001639357E-7</v>
      </c>
    </row>
    <row r="586" spans="1:41" x14ac:dyDescent="0.25">
      <c r="A586" s="103" t="str">
        <f t="shared" ref="A586:A649" si="864">LEFT(B586,6)</f>
        <v>550200</v>
      </c>
      <c r="B586" s="684" t="str">
        <f>'Appliance Recycle Deemed Table'!C35</f>
        <v>550200_2019_12_</v>
      </c>
      <c r="C586" s="1962" t="str">
        <f>'Appliance Recycle Deemed Table'!G35</f>
        <v>Cooling RES</v>
      </c>
      <c r="D586" s="1962"/>
      <c r="E586" s="1962"/>
      <c r="F586" s="1962"/>
      <c r="G586" s="1962" t="str">
        <f>'Appliance Recycle Deemed Table'!E35</f>
        <v>Room AC recycling - Primary</v>
      </c>
      <c r="H586" s="63" t="str">
        <f>'Appliance Recycle Deemed Table'!D35</f>
        <v>Appliance Recycling</v>
      </c>
      <c r="I586" s="2438">
        <f>'Appliance Recycle Deemed Table'!F35</f>
        <v>302.52999999999997</v>
      </c>
      <c r="J586" s="2438"/>
      <c r="K586" s="2439"/>
      <c r="L586" s="2439"/>
      <c r="M586" s="2439"/>
      <c r="N586" s="2439"/>
      <c r="O586" s="2440">
        <f>'Appliance Recycle Deemed Table'!I35</f>
        <v>0.28662199999999999</v>
      </c>
      <c r="P586" s="2440"/>
      <c r="Q586" s="2441"/>
      <c r="R586" s="2441"/>
      <c r="S586" s="2441"/>
      <c r="T586" s="2441"/>
      <c r="U586" s="1819">
        <f t="shared" si="863"/>
        <v>0.28662199999999999</v>
      </c>
      <c r="V586" s="1819">
        <v>0</v>
      </c>
      <c r="W586" s="1819">
        <v>0</v>
      </c>
      <c r="X586" s="68">
        <f>'Appliance Recycle Deemed Table'!J35</f>
        <v>4</v>
      </c>
      <c r="Y586" s="68"/>
      <c r="Z586" s="68">
        <f t="shared" si="856"/>
        <v>4</v>
      </c>
      <c r="AA586" s="62">
        <f>'Appliance Recycle Deemed Table'!BB35</f>
        <v>1.8106496480376837</v>
      </c>
      <c r="AB586" s="839">
        <f>'Appliance Recycle Deemed Table'!K35</f>
        <v>64.887118193891098</v>
      </c>
      <c r="AC586" s="3617">
        <f t="shared" si="824"/>
        <v>110.88988930622793</v>
      </c>
      <c r="AD586" s="3617">
        <f t="shared" si="825"/>
        <v>0</v>
      </c>
      <c r="AE586" s="1661">
        <f>'Appliance Recycle Deemed Table'!BD35</f>
        <v>110.88988930622793</v>
      </c>
      <c r="AF586" s="2453"/>
      <c r="AG586" s="2453"/>
      <c r="AH586" s="2453"/>
      <c r="AI586" s="684" t="str">
        <f>'Appliance Recycle Deemed Table'!L35</f>
        <v>per measure</v>
      </c>
      <c r="AJ586" s="1930"/>
      <c r="AK586" s="1930"/>
      <c r="AL586" s="1930"/>
      <c r="AM586" s="1972">
        <f t="shared" si="837"/>
        <v>9.4741810000000004E-4</v>
      </c>
      <c r="AN586" s="1930">
        <f t="shared" si="854"/>
        <v>0.28662239779299997</v>
      </c>
      <c r="AO586" s="1971">
        <f t="shared" si="790"/>
        <v>3.9779299998432549E-7</v>
      </c>
    </row>
    <row r="587" spans="1:41" x14ac:dyDescent="0.25">
      <c r="A587" s="103" t="str">
        <f t="shared" si="864"/>
        <v>550250</v>
      </c>
      <c r="B587" s="684" t="str">
        <f>'Appliance Recycle Deemed Table'!C36</f>
        <v>550250_2019_12_</v>
      </c>
      <c r="C587" s="1962" t="str">
        <f>'Appliance Recycle Deemed Table'!G36</f>
        <v>Cooling RES</v>
      </c>
      <c r="D587" s="1962"/>
      <c r="E587" s="1962"/>
      <c r="F587" s="1962"/>
      <c r="G587" s="1962" t="str">
        <f>'Appliance Recycle Deemed Table'!E36</f>
        <v>Room AC recycling - Secondary</v>
      </c>
      <c r="H587" s="63" t="str">
        <f>'Appliance Recycle Deemed Table'!D36</f>
        <v>Appliance Recycling</v>
      </c>
      <c r="I587" s="2438">
        <f>'Appliance Recycle Deemed Table'!F36</f>
        <v>195.59</v>
      </c>
      <c r="J587" s="2438"/>
      <c r="K587" s="2439"/>
      <c r="L587" s="2439"/>
      <c r="M587" s="2439"/>
      <c r="N587" s="2439"/>
      <c r="O587" s="2440">
        <f>'Appliance Recycle Deemed Table'!I36</f>
        <v>0.185306</v>
      </c>
      <c r="P587" s="2440"/>
      <c r="Q587" s="2441"/>
      <c r="R587" s="2441"/>
      <c r="S587" s="2441"/>
      <c r="T587" s="2441"/>
      <c r="U587" s="1819">
        <f t="shared" si="863"/>
        <v>0.185306</v>
      </c>
      <c r="V587" s="1819">
        <v>0</v>
      </c>
      <c r="W587" s="1819">
        <v>0</v>
      </c>
      <c r="X587" s="68">
        <f>'Appliance Recycle Deemed Table'!J36</f>
        <v>4</v>
      </c>
      <c r="Y587" s="68"/>
      <c r="Z587" s="68">
        <f t="shared" si="856"/>
        <v>4</v>
      </c>
      <c r="AA587" s="62">
        <f>'Appliance Recycle Deemed Table'!BB36</f>
        <v>1.1706110622407384</v>
      </c>
      <c r="AB587" s="839">
        <f>'Appliance Recycle Deemed Table'!K36</f>
        <v>64.887118193891098</v>
      </c>
      <c r="AC587" s="3617">
        <f t="shared" si="824"/>
        <v>71.69190972599452</v>
      </c>
      <c r="AD587" s="3617">
        <f t="shared" si="825"/>
        <v>0</v>
      </c>
      <c r="AE587" s="1661">
        <f>'Appliance Recycle Deemed Table'!BD36</f>
        <v>71.69190972599452</v>
      </c>
      <c r="AF587" s="2453"/>
      <c r="AG587" s="2453"/>
      <c r="AH587" s="2453"/>
      <c r="AI587" s="684" t="str">
        <f>'Appliance Recycle Deemed Table'!L36</f>
        <v>per measure</v>
      </c>
      <c r="AJ587" s="1930"/>
      <c r="AK587" s="1930"/>
      <c r="AL587" s="1930"/>
      <c r="AM587" s="1972">
        <f t="shared" si="837"/>
        <v>9.4741810000000004E-4</v>
      </c>
      <c r="AN587" s="1930">
        <f t="shared" si="854"/>
        <v>0.18530550617900002</v>
      </c>
      <c r="AO587" s="1971">
        <f t="shared" si="790"/>
        <v>-4.9382099998052098E-7</v>
      </c>
    </row>
    <row r="588" spans="1:41" x14ac:dyDescent="0.25">
      <c r="A588" s="103" t="str">
        <f t="shared" si="864"/>
        <v>550300</v>
      </c>
      <c r="B588" s="684" t="str">
        <f>'Appliance Recycle Deemed Table'!C58</f>
        <v>550300_2019_12_</v>
      </c>
      <c r="C588" s="1962" t="str">
        <f>'Appliance Recycle Deemed Table'!G58</f>
        <v>HVAC RES</v>
      </c>
      <c r="D588" s="1962"/>
      <c r="E588" s="1962"/>
      <c r="F588" s="1962"/>
      <c r="G588" s="1962" t="str">
        <f>'Appliance Recycle Deemed Table'!E58</f>
        <v>Dehumidifier Recycling</v>
      </c>
      <c r="H588" s="63" t="str">
        <f>'Appliance Recycle Deemed Table'!D58</f>
        <v>Appliance Recycling</v>
      </c>
      <c r="I588" s="2438">
        <f>'Appliance Recycle Deemed Table'!F58</f>
        <v>139</v>
      </c>
      <c r="J588" s="2438"/>
      <c r="K588" s="2439"/>
      <c r="L588" s="2439"/>
      <c r="M588" s="2439"/>
      <c r="N588" s="2439"/>
      <c r="O588" s="2440">
        <f>'Appliance Recycle Deemed Table'!I58</f>
        <v>6.4784999999999995E-2</v>
      </c>
      <c r="P588" s="2440"/>
      <c r="Q588" s="2441"/>
      <c r="R588" s="2441"/>
      <c r="S588" s="2441"/>
      <c r="T588" s="2441"/>
      <c r="U588" s="1819">
        <f t="shared" si="863"/>
        <v>6.4784999999999995E-2</v>
      </c>
      <c r="V588" s="1819">
        <v>0</v>
      </c>
      <c r="W588" s="1819">
        <v>0</v>
      </c>
      <c r="X588" s="68">
        <f>'Appliance Recycle Deemed Table'!J58</f>
        <v>5</v>
      </c>
      <c r="Y588" s="68"/>
      <c r="Z588" s="68">
        <f t="shared" si="856"/>
        <v>5</v>
      </c>
      <c r="AA588" s="62">
        <f>'Appliance Recycle Deemed Table'!BB58</f>
        <v>1.0378649458641431</v>
      </c>
      <c r="AB588" s="839">
        <f>'Appliance Recycle Deemed Table'!K58</f>
        <v>42.762284196547142</v>
      </c>
      <c r="AC588" s="3617">
        <f t="shared" si="824"/>
        <v>41.889075764678154</v>
      </c>
      <c r="AD588" s="3617">
        <f t="shared" si="825"/>
        <v>0</v>
      </c>
      <c r="AE588" s="1661">
        <f>'Appliance Recycle Deemed Table'!BD58</f>
        <v>41.889075764678154</v>
      </c>
      <c r="AF588" s="2453"/>
      <c r="AG588" s="2453"/>
      <c r="AH588" s="2453"/>
      <c r="AI588" s="684" t="str">
        <f>'Appliance Recycle Deemed Table'!L58</f>
        <v>per measure</v>
      </c>
      <c r="AJ588" s="1930"/>
      <c r="AK588" s="1930"/>
      <c r="AL588" s="1930"/>
      <c r="AM588" s="1972">
        <f t="shared" si="837"/>
        <v>4.6608050000000002E-4</v>
      </c>
      <c r="AN588" s="1930">
        <f t="shared" si="854"/>
        <v>6.4785189500000007E-2</v>
      </c>
      <c r="AO588" s="1971">
        <f t="shared" si="790"/>
        <v>1.8950000001127787E-7</v>
      </c>
    </row>
    <row r="589" spans="1:41" x14ac:dyDescent="0.25">
      <c r="A589" s="103" t="str">
        <f t="shared" si="864"/>
        <v>600050</v>
      </c>
      <c r="B589" s="684" t="str">
        <f>'Demand Response Deemed Table'!C7</f>
        <v>600050_2020_12_</v>
      </c>
      <c r="C589" s="1962" t="str">
        <f>'Demand Response Deemed Table'!G7</f>
        <v>-</v>
      </c>
      <c r="D589" s="1962"/>
      <c r="E589" s="1962"/>
      <c r="F589" s="1962"/>
      <c r="G589" s="1962" t="str">
        <f>'Demand Response Deemed Table'!E7</f>
        <v>Demand Response Advanced Thermostat - with Program-driven Optimization</v>
      </c>
      <c r="H589" s="63" t="str">
        <f>'Demand Response Deemed Table'!D7</f>
        <v>DR</v>
      </c>
      <c r="I589" s="2438">
        <f>'Demand Response Deemed Table'!F7</f>
        <v>55.97</v>
      </c>
      <c r="J589" s="2438"/>
      <c r="K589" s="2439"/>
      <c r="L589" s="2439"/>
      <c r="M589" s="2439"/>
      <c r="N589" s="2439"/>
      <c r="O589" s="2440" t="str">
        <f>'Demand Response Deemed Table'!I7</f>
        <v>-</v>
      </c>
      <c r="P589" s="2440"/>
      <c r="Q589" s="2441"/>
      <c r="R589" s="2441"/>
      <c r="S589" s="2441"/>
      <c r="T589" s="2441"/>
      <c r="U589" s="1819">
        <v>0</v>
      </c>
      <c r="V589" s="1819">
        <v>0</v>
      </c>
      <c r="W589" s="1819">
        <v>0</v>
      </c>
      <c r="X589" s="68">
        <f>'Demand Response Deemed Table'!J7</f>
        <v>11</v>
      </c>
      <c r="Y589" s="68"/>
      <c r="Z589" s="68">
        <f t="shared" si="856"/>
        <v>11</v>
      </c>
      <c r="AA589" s="3637" t="str">
        <f>'Demand Response Deemed Table'!BB7</f>
        <v/>
      </c>
      <c r="AB589" s="839">
        <f>'Demand Response Deemed Table'!K7</f>
        <v>0</v>
      </c>
      <c r="AC589" s="3618">
        <f t="shared" si="824"/>
        <v>0</v>
      </c>
      <c r="AD589" s="3618">
        <f t="shared" si="825"/>
        <v>0</v>
      </c>
      <c r="AE589" s="3633">
        <f>'Demand Response Deemed Table'!BD7</f>
        <v>0</v>
      </c>
      <c r="AF589" s="2453"/>
      <c r="AG589" s="2453"/>
      <c r="AH589" s="2453"/>
      <c r="AI589" s="684" t="str">
        <f>'Demand Response Deemed Table'!L7</f>
        <v>per thermostat</v>
      </c>
      <c r="AJ589" s="1930"/>
      <c r="AK589" s="1930"/>
      <c r="AL589" s="1930"/>
      <c r="AM589" s="1972"/>
      <c r="AN589" s="1930"/>
      <c r="AO589" s="1971"/>
    </row>
    <row r="590" spans="1:41" s="100" customFormat="1" x14ac:dyDescent="0.25">
      <c r="A590" s="103" t="str">
        <f t="shared" si="864"/>
        <v>600100</v>
      </c>
      <c r="B590" s="1960" t="str">
        <f>'Demand Response Deemed Table'!C8</f>
        <v>600100_2021_12_</v>
      </c>
      <c r="C590" s="1958" t="str">
        <f>'Demand Response Deemed Table'!G8</f>
        <v>-</v>
      </c>
      <c r="D590" s="1958"/>
      <c r="E590" s="1958"/>
      <c r="F590" s="1958"/>
      <c r="G590" s="1958" t="str">
        <f>'Demand Response Deemed Table'!E8</f>
        <v>Demand Response Advanced Thermostat - without Program-Driven Optimization</v>
      </c>
      <c r="H590" s="1975" t="str">
        <f>'Demand Response Deemed Table'!D8</f>
        <v>DR</v>
      </c>
      <c r="I590" s="1973">
        <f>'Demand Response Deemed Table'!F8</f>
        <v>0</v>
      </c>
      <c r="J590" s="1973"/>
      <c r="K590" s="1963"/>
      <c r="L590" s="1963"/>
      <c r="M590" s="1963"/>
      <c r="N590" s="1963"/>
      <c r="O590" s="1974" t="str">
        <f>'Demand Response Deemed Table'!I8</f>
        <v>-</v>
      </c>
      <c r="P590" s="1974"/>
      <c r="Q590" s="1976"/>
      <c r="R590" s="1976"/>
      <c r="S590" s="1976"/>
      <c r="T590" s="1976"/>
      <c r="U590" s="1926">
        <v>0</v>
      </c>
      <c r="V590" s="1926">
        <v>0</v>
      </c>
      <c r="W590" s="1926">
        <v>0</v>
      </c>
      <c r="X590" s="1952">
        <f>'Demand Response Deemed Table'!J8</f>
        <v>11</v>
      </c>
      <c r="Y590" s="1952"/>
      <c r="Z590" s="1952">
        <f t="shared" ref="Z590" si="865">Y590+X590</f>
        <v>11</v>
      </c>
      <c r="AA590" s="3657">
        <f>'Demand Response Deemed Table'!BB8</f>
        <v>0</v>
      </c>
      <c r="AB590" s="2426">
        <f>'Demand Response Deemed Table'!K8</f>
        <v>0</v>
      </c>
      <c r="AC590" s="2436">
        <f t="shared" ref="AC590" si="866">AE590+AF590</f>
        <v>0</v>
      </c>
      <c r="AD590" s="2436">
        <f t="shared" ref="AD590" si="867">AG590+AH590</f>
        <v>0</v>
      </c>
      <c r="AE590" s="3658">
        <f>'Demand Response Deemed Table'!BD8</f>
        <v>0</v>
      </c>
      <c r="AF590" s="1982"/>
      <c r="AG590" s="1982"/>
      <c r="AH590" s="1982"/>
      <c r="AI590" s="1960" t="str">
        <f>'Demand Response Deemed Table'!L8</f>
        <v>per thermostat</v>
      </c>
      <c r="AM590" s="2433"/>
      <c r="AO590" s="2437"/>
    </row>
    <row r="591" spans="1:41" x14ac:dyDescent="0.25">
      <c r="A591" s="103" t="str">
        <f t="shared" si="864"/>
        <v>800050</v>
      </c>
      <c r="B591" s="684" t="str">
        <f>'BUS Deemed Savings Table'!C9</f>
        <v>800050_2019_12_</v>
      </c>
      <c r="C591" s="1962" t="str">
        <f>'BUS Deemed Savings Table'!G9</f>
        <v>Lighting BUS</v>
      </c>
      <c r="D591" s="1962"/>
      <c r="E591" s="1962"/>
      <c r="F591" s="1962"/>
      <c r="G591" s="1962" t="str">
        <f>'BUS Deemed Savings Table'!E9</f>
        <v>LED &lt;=11 Watt Lamp Replacing Interior Halogen A 28-52 Watt Lamp</v>
      </c>
      <c r="H591" s="63" t="str">
        <f>'BUS Deemed Savings Table'!D9</f>
        <v>C&amp;I</v>
      </c>
      <c r="I591" s="2438">
        <f>'BUS Deemed Savings Table'!F9</f>
        <v>127.44</v>
      </c>
      <c r="J591" s="2438"/>
      <c r="K591" s="2439"/>
      <c r="L591" s="2439"/>
      <c r="M591" s="2439"/>
      <c r="N591" s="2439"/>
      <c r="O591" s="2440">
        <f>'BUS Deemed Savings Table'!I9</f>
        <v>2.4209000000000001E-2</v>
      </c>
      <c r="P591" s="2440"/>
      <c r="Q591" s="2441"/>
      <c r="R591" s="2441"/>
      <c r="S591" s="2441"/>
      <c r="T591" s="2441"/>
      <c r="U591" s="1822">
        <f>IF(V591+W591&gt;0,0,IF(Z591&gt;0,O591,0))</f>
        <v>0</v>
      </c>
      <c r="V591" s="1822">
        <f>IF(W591&gt;0,0,IF(Z591&gt;9,O591,0))</f>
        <v>2.4209000000000001E-2</v>
      </c>
      <c r="W591" s="1822">
        <f>IF(Z591&gt;14,O591,0)</f>
        <v>0</v>
      </c>
      <c r="X591" s="68">
        <f>'BUS Deemed Savings Table'!J9</f>
        <v>10</v>
      </c>
      <c r="Y591" s="68"/>
      <c r="Z591" s="68">
        <f t="shared" si="856"/>
        <v>10</v>
      </c>
      <c r="AA591" s="62">
        <f>'BUS Deemed Savings Table'!DB9</f>
        <v>3.4066685527418303</v>
      </c>
      <c r="AB591" s="839">
        <f>'BUS Deemed Savings Table'!K9</f>
        <v>15.64</v>
      </c>
      <c r="AC591" s="2451">
        <f t="shared" si="824"/>
        <v>50.288151170252213</v>
      </c>
      <c r="AD591" s="2451">
        <f t="shared" si="825"/>
        <v>0</v>
      </c>
      <c r="AE591" s="1661">
        <f>'BUS Deemed Savings Table'!DD9</f>
        <v>50.288151170252213</v>
      </c>
      <c r="AF591" s="2453"/>
      <c r="AG591" s="2453"/>
      <c r="AH591" s="2453"/>
      <c r="AI591" s="684" t="str">
        <f>'BUS Deemed Savings Table'!L9</f>
        <v>per measure</v>
      </c>
      <c r="AJ591" s="1930"/>
      <c r="AK591" s="1930"/>
      <c r="AL591" s="1930"/>
      <c r="AM591" s="1972">
        <f t="shared" ref="AM591:AM635" si="868">VLOOKUP(C591,$AS$10:$AT$49,2,FALSE)</f>
        <v>1.899635E-4</v>
      </c>
      <c r="AN591" s="1930">
        <f t="shared" ref="AN591:AN635" si="869">AM591*I591</f>
        <v>2.4208948439999999E-2</v>
      </c>
      <c r="AO591" s="1971">
        <f t="shared" ref="AO591:AO635" si="870">AN591-O591</f>
        <v>-5.1560000002143225E-8</v>
      </c>
    </row>
    <row r="592" spans="1:41" x14ac:dyDescent="0.25">
      <c r="A592" s="103" t="str">
        <f t="shared" si="864"/>
        <v>800100</v>
      </c>
      <c r="B592" s="684" t="str">
        <f>'BUS Deemed Savings Table'!C10</f>
        <v>800100_2019_12_</v>
      </c>
      <c r="C592" s="1962" t="str">
        <f>'BUS Deemed Savings Table'!G10</f>
        <v>Lighting BUS</v>
      </c>
      <c r="D592" s="1962"/>
      <c r="E592" s="1962"/>
      <c r="F592" s="1962"/>
      <c r="G592" s="1962" t="str">
        <f>'BUS Deemed Savings Table'!E10</f>
        <v>LED 7-20 Watt Lamp Replacing Interior Halogen 53-70 Watt Lamp</v>
      </c>
      <c r="H592" s="63" t="str">
        <f>'BUS Deemed Savings Table'!D10</f>
        <v>C&amp;I</v>
      </c>
      <c r="I592" s="2438">
        <f>'BUS Deemed Savings Table'!F10</f>
        <v>122.31</v>
      </c>
      <c r="J592" s="2438"/>
      <c r="K592" s="2439"/>
      <c r="L592" s="2439"/>
      <c r="M592" s="2439"/>
      <c r="N592" s="2439"/>
      <c r="O592" s="2440">
        <f>'BUS Deemed Savings Table'!I10</f>
        <v>2.3234000000000001E-2</v>
      </c>
      <c r="P592" s="2440"/>
      <c r="Q592" s="2441"/>
      <c r="R592" s="2441"/>
      <c r="S592" s="2441"/>
      <c r="T592" s="2441"/>
      <c r="U592" s="1822">
        <f t="shared" ref="U592:U606" si="871">IF(V592+W592&gt;0,0,IF(Z592&gt;0,O592,0))</f>
        <v>0</v>
      </c>
      <c r="V592" s="1822">
        <f t="shared" ref="V592:V606" si="872">IF(W592&gt;0,0,IF(Z592&gt;9,O592,0))</f>
        <v>2.3234000000000001E-2</v>
      </c>
      <c r="W592" s="1822">
        <f t="shared" ref="W592:W606" si="873">IF(Z592&gt;14,O592,0)</f>
        <v>0</v>
      </c>
      <c r="X592" s="68">
        <f>'BUS Deemed Savings Table'!J10</f>
        <v>10</v>
      </c>
      <c r="Y592" s="68"/>
      <c r="Z592" s="68">
        <f t="shared" ref="Z592:Z615" si="874">Y592+X592</f>
        <v>10</v>
      </c>
      <c r="AA592" s="62">
        <f>'BUS Deemed Savings Table'!DB10</f>
        <v>2.6036424888125715</v>
      </c>
      <c r="AB592" s="839">
        <f>'BUS Deemed Savings Table'!K10</f>
        <v>19.64</v>
      </c>
      <c r="AC592" s="2451">
        <f t="shared" si="824"/>
        <v>48.263840000263244</v>
      </c>
      <c r="AD592" s="2451">
        <f t="shared" si="825"/>
        <v>0</v>
      </c>
      <c r="AE592" s="1661">
        <f>'BUS Deemed Savings Table'!DD10</f>
        <v>48.263840000263244</v>
      </c>
      <c r="AF592" s="2453"/>
      <c r="AG592" s="2453"/>
      <c r="AH592" s="2453"/>
      <c r="AI592" s="684" t="str">
        <f>'BUS Deemed Savings Table'!L10</f>
        <v>per measure</v>
      </c>
      <c r="AJ592" s="1930"/>
      <c r="AK592" s="1930"/>
      <c r="AL592" s="1930"/>
      <c r="AM592" s="1972">
        <f t="shared" si="868"/>
        <v>1.899635E-4</v>
      </c>
      <c r="AN592" s="1930">
        <f t="shared" si="869"/>
        <v>2.3234435685000002E-2</v>
      </c>
      <c r="AO592" s="1971">
        <f t="shared" si="870"/>
        <v>4.3568500000118471E-7</v>
      </c>
    </row>
    <row r="593" spans="1:41" x14ac:dyDescent="0.25">
      <c r="A593" s="103" t="str">
        <f t="shared" si="864"/>
        <v>800150</v>
      </c>
      <c r="B593" s="684" t="str">
        <f>'BUS Deemed Savings Table'!C11</f>
        <v>800150_2019_12_</v>
      </c>
      <c r="C593" s="1962" t="str">
        <f>'BUS Deemed Savings Table'!G11</f>
        <v>Lighting BUS</v>
      </c>
      <c r="D593" s="1962"/>
      <c r="E593" s="1962"/>
      <c r="F593" s="1962"/>
      <c r="G593" s="1962" t="str">
        <f>'BUS Deemed Savings Table'!E11</f>
        <v>LED &lt;=14 Watt Lamp Replacing Interior Halogen BR/R 45-65 Watt Lamp</v>
      </c>
      <c r="H593" s="63" t="str">
        <f>'BUS Deemed Savings Table'!D11</f>
        <v>C&amp;I</v>
      </c>
      <c r="I593" s="2438">
        <f>'BUS Deemed Savings Table'!F11</f>
        <v>149.32</v>
      </c>
      <c r="J593" s="2438"/>
      <c r="K593" s="2439"/>
      <c r="L593" s="2439"/>
      <c r="M593" s="2439"/>
      <c r="N593" s="2439"/>
      <c r="O593" s="2440">
        <f>'BUS Deemed Savings Table'!I11</f>
        <v>2.8365000000000001E-2</v>
      </c>
      <c r="P593" s="2440"/>
      <c r="Q593" s="2441"/>
      <c r="R593" s="2441"/>
      <c r="S593" s="2441"/>
      <c r="T593" s="2441"/>
      <c r="U593" s="1822">
        <f t="shared" si="871"/>
        <v>0</v>
      </c>
      <c r="V593" s="1822">
        <f t="shared" si="872"/>
        <v>2.8365000000000001E-2</v>
      </c>
      <c r="W593" s="1822">
        <f t="shared" si="873"/>
        <v>0</v>
      </c>
      <c r="X593" s="68">
        <f>'BUS Deemed Savings Table'!J11</f>
        <v>10</v>
      </c>
      <c r="Y593" s="68"/>
      <c r="Z593" s="68">
        <f t="shared" si="874"/>
        <v>10</v>
      </c>
      <c r="AA593" s="62">
        <f>'BUS Deemed Savings Table'!DB11</f>
        <v>1.2933067668219667</v>
      </c>
      <c r="AB593" s="839">
        <f>'BUS Deemed Savings Table'!K11</f>
        <v>48.27</v>
      </c>
      <c r="AC593" s="2451">
        <f t="shared" si="824"/>
        <v>58.922055341667139</v>
      </c>
      <c r="AD593" s="2451">
        <f t="shared" si="825"/>
        <v>0</v>
      </c>
      <c r="AE593" s="1661">
        <f>'BUS Deemed Savings Table'!DD11</f>
        <v>58.922055341667139</v>
      </c>
      <c r="AF593" s="2453"/>
      <c r="AG593" s="2453"/>
      <c r="AH593" s="2453"/>
      <c r="AI593" s="684" t="str">
        <f>'BUS Deemed Savings Table'!L11</f>
        <v>per measure</v>
      </c>
      <c r="AJ593" s="1930"/>
      <c r="AK593" s="1930"/>
      <c r="AL593" s="1930"/>
      <c r="AM593" s="1972">
        <f t="shared" si="868"/>
        <v>1.899635E-4</v>
      </c>
      <c r="AN593" s="1930">
        <f t="shared" si="869"/>
        <v>2.836534982E-2</v>
      </c>
      <c r="AO593" s="1971">
        <f t="shared" si="870"/>
        <v>3.4981999999864066E-7</v>
      </c>
    </row>
    <row r="594" spans="1:41" x14ac:dyDescent="0.25">
      <c r="A594" s="103" t="str">
        <f t="shared" si="864"/>
        <v>800200</v>
      </c>
      <c r="B594" s="684" t="str">
        <f>'BUS Deemed Savings Table'!C12</f>
        <v>800200_2019_12_</v>
      </c>
      <c r="C594" s="1962" t="str">
        <f>'BUS Deemed Savings Table'!G12</f>
        <v>Lighting BUS</v>
      </c>
      <c r="D594" s="1962"/>
      <c r="E594" s="1962"/>
      <c r="F594" s="1962"/>
      <c r="G594" s="1962" t="str">
        <f>'BUS Deemed Savings Table'!E12</f>
        <v>LED &lt;=13 Watt Lamp Replacing Interior Halogen MR-16 35-50 Watt Lamp</v>
      </c>
      <c r="H594" s="63" t="str">
        <f>'BUS Deemed Savings Table'!D12</f>
        <v>C&amp;I</v>
      </c>
      <c r="I594" s="2438">
        <f>'BUS Deemed Savings Table'!F12</f>
        <v>102.74</v>
      </c>
      <c r="J594" s="2438"/>
      <c r="K594" s="2439"/>
      <c r="L594" s="2439"/>
      <c r="M594" s="2439"/>
      <c r="N594" s="2439"/>
      <c r="O594" s="2440">
        <f>'BUS Deemed Savings Table'!I12</f>
        <v>1.9517E-2</v>
      </c>
      <c r="P594" s="2440"/>
      <c r="Q594" s="2441"/>
      <c r="R594" s="2441"/>
      <c r="S594" s="2441"/>
      <c r="T594" s="2441"/>
      <c r="U594" s="1822">
        <f t="shared" si="871"/>
        <v>0</v>
      </c>
      <c r="V594" s="1822">
        <f t="shared" si="872"/>
        <v>1.9517E-2</v>
      </c>
      <c r="W594" s="1822">
        <f t="shared" si="873"/>
        <v>0</v>
      </c>
      <c r="X594" s="68">
        <f>'BUS Deemed Savings Table'!J12</f>
        <v>10</v>
      </c>
      <c r="Y594" s="68"/>
      <c r="Z594" s="68">
        <f t="shared" si="874"/>
        <v>10</v>
      </c>
      <c r="AA594" s="62">
        <f>'BUS Deemed Savings Table'!DB12</f>
        <v>1.17231673282932</v>
      </c>
      <c r="AB594" s="839">
        <f>'BUS Deemed Savings Table'!K12</f>
        <v>36.64</v>
      </c>
      <c r="AC594" s="2451">
        <f t="shared" si="824"/>
        <v>40.541467759194227</v>
      </c>
      <c r="AD594" s="2451">
        <f t="shared" si="825"/>
        <v>0</v>
      </c>
      <c r="AE594" s="1661">
        <f>'BUS Deemed Savings Table'!DD12</f>
        <v>40.541467759194227</v>
      </c>
      <c r="AF594" s="2453"/>
      <c r="AG594" s="2453"/>
      <c r="AH594" s="2453"/>
      <c r="AI594" s="684" t="str">
        <f>'BUS Deemed Savings Table'!L12</f>
        <v>per measure</v>
      </c>
      <c r="AJ594" s="1930"/>
      <c r="AK594" s="1930"/>
      <c r="AL594" s="1930"/>
      <c r="AM594" s="1972">
        <f t="shared" si="868"/>
        <v>1.899635E-4</v>
      </c>
      <c r="AN594" s="1930">
        <f t="shared" si="869"/>
        <v>1.9516849989999998E-2</v>
      </c>
      <c r="AO594" s="1971">
        <f t="shared" si="870"/>
        <v>-1.5001000000167131E-7</v>
      </c>
    </row>
    <row r="595" spans="1:41" x14ac:dyDescent="0.25">
      <c r="A595" s="103" t="str">
        <f t="shared" si="864"/>
        <v>800250</v>
      </c>
      <c r="B595" s="684" t="str">
        <f>'BUS Deemed Savings Table'!C13</f>
        <v>800250_2019_12_</v>
      </c>
      <c r="C595" s="1962" t="str">
        <f>'BUS Deemed Savings Table'!G13</f>
        <v>Lighting BUS</v>
      </c>
      <c r="D595" s="1962"/>
      <c r="E595" s="1962"/>
      <c r="F595" s="1962"/>
      <c r="G595" s="1962" t="str">
        <f>'BUS Deemed Savings Table'!E13</f>
        <v>LED &lt;=20 Watt Lamp Replacing Interior Halogen PAR 48-90 Watt Lamp</v>
      </c>
      <c r="H595" s="63" t="str">
        <f>'BUS Deemed Savings Table'!D13</f>
        <v>C&amp;I</v>
      </c>
      <c r="I595" s="2438">
        <f>'BUS Deemed Savings Table'!F13</f>
        <v>194.02</v>
      </c>
      <c r="J595" s="2438"/>
      <c r="K595" s="2439"/>
      <c r="L595" s="2439"/>
      <c r="M595" s="2439"/>
      <c r="N595" s="2439"/>
      <c r="O595" s="2440">
        <f>'BUS Deemed Savings Table'!I13</f>
        <v>3.6857000000000001E-2</v>
      </c>
      <c r="P595" s="2440"/>
      <c r="Q595" s="2441"/>
      <c r="R595" s="2441"/>
      <c r="S595" s="2441"/>
      <c r="T595" s="2441"/>
      <c r="U595" s="1822">
        <f t="shared" si="871"/>
        <v>0</v>
      </c>
      <c r="V595" s="1822">
        <f t="shared" si="872"/>
        <v>3.6857000000000001E-2</v>
      </c>
      <c r="W595" s="1822">
        <f t="shared" si="873"/>
        <v>0</v>
      </c>
      <c r="X595" s="68">
        <f>'BUS Deemed Savings Table'!J13</f>
        <v>10</v>
      </c>
      <c r="Y595" s="68"/>
      <c r="Z595" s="68">
        <f t="shared" si="874"/>
        <v>10</v>
      </c>
      <c r="AA595" s="62">
        <f>'BUS Deemed Savings Table'!DB13</f>
        <v>1.0867652345729526</v>
      </c>
      <c r="AB595" s="839">
        <f>'BUS Deemed Savings Table'!K13</f>
        <v>74.64</v>
      </c>
      <c r="AC595" s="2451">
        <f t="shared" si="824"/>
        <v>76.560790097711347</v>
      </c>
      <c r="AD595" s="2451">
        <f t="shared" si="825"/>
        <v>0</v>
      </c>
      <c r="AE595" s="1661">
        <f>'BUS Deemed Savings Table'!DD13</f>
        <v>76.560790097711347</v>
      </c>
      <c r="AF595" s="2453"/>
      <c r="AG595" s="2453"/>
      <c r="AH595" s="2453"/>
      <c r="AI595" s="684" t="str">
        <f>'BUS Deemed Savings Table'!L13</f>
        <v>per measure</v>
      </c>
      <c r="AJ595" s="1930"/>
      <c r="AK595" s="1930"/>
      <c r="AL595" s="1930"/>
      <c r="AM595" s="1972">
        <f t="shared" si="868"/>
        <v>1.899635E-4</v>
      </c>
      <c r="AN595" s="1930">
        <f t="shared" si="869"/>
        <v>3.6856718270000005E-2</v>
      </c>
      <c r="AO595" s="1971">
        <f t="shared" si="870"/>
        <v>-2.817299999957612E-7</v>
      </c>
    </row>
    <row r="596" spans="1:41" x14ac:dyDescent="0.25">
      <c r="A596" s="103" t="str">
        <f t="shared" si="864"/>
        <v>800300</v>
      </c>
      <c r="B596" s="684" t="str">
        <f>'BUS Deemed Savings Table'!C14</f>
        <v>800300_2019_12_</v>
      </c>
      <c r="C596" s="1962" t="str">
        <f>'BUS Deemed Savings Table'!G14</f>
        <v>Lighting BUS</v>
      </c>
      <c r="D596" s="1962"/>
      <c r="E596" s="1962"/>
      <c r="F596" s="1962"/>
      <c r="G596" s="1962" t="str">
        <f>'BUS Deemed Savings Table'!E14</f>
        <v>LED &lt;=80 Watt Lamp or Fixture Replacing Interior HID 100-175 Watt Lamp or Fixture</v>
      </c>
      <c r="H596" s="63" t="str">
        <f>'BUS Deemed Savings Table'!D14</f>
        <v>C&amp;I</v>
      </c>
      <c r="I596" s="2438">
        <f>'BUS Deemed Savings Table'!F14</f>
        <v>674.7</v>
      </c>
      <c r="J596" s="2438"/>
      <c r="K596" s="2439"/>
      <c r="L596" s="2439"/>
      <c r="M596" s="2439"/>
      <c r="N596" s="2439"/>
      <c r="O596" s="2440">
        <f>'BUS Deemed Savings Table'!I14</f>
        <v>0.128168</v>
      </c>
      <c r="P596" s="2440"/>
      <c r="Q596" s="2441"/>
      <c r="R596" s="2441"/>
      <c r="S596" s="2441"/>
      <c r="T596" s="2441"/>
      <c r="U596" s="1822">
        <f t="shared" si="871"/>
        <v>0</v>
      </c>
      <c r="V596" s="1822">
        <f t="shared" si="872"/>
        <v>0</v>
      </c>
      <c r="W596" s="1822">
        <f t="shared" si="873"/>
        <v>0.128168</v>
      </c>
      <c r="X596" s="68">
        <f>'BUS Deemed Savings Table'!J14</f>
        <v>15</v>
      </c>
      <c r="Y596" s="68"/>
      <c r="Z596" s="68">
        <f t="shared" si="874"/>
        <v>15</v>
      </c>
      <c r="AA596" s="62">
        <f>'BUS Deemed Savings Table'!DB14</f>
        <v>2.1640705740446124</v>
      </c>
      <c r="AB596" s="839">
        <f>'BUS Deemed Savings Table'!K14</f>
        <v>191.39</v>
      </c>
      <c r="AC596" s="2451">
        <f t="shared" si="824"/>
        <v>390.92163017121118</v>
      </c>
      <c r="AD596" s="2451">
        <f t="shared" si="825"/>
        <v>0</v>
      </c>
      <c r="AE596" s="1661">
        <f>'BUS Deemed Savings Table'!DD14</f>
        <v>390.92163017121118</v>
      </c>
      <c r="AF596" s="2453"/>
      <c r="AG596" s="2453"/>
      <c r="AH596" s="2453"/>
      <c r="AI596" s="684" t="str">
        <f>'BUS Deemed Savings Table'!L14</f>
        <v>per measure</v>
      </c>
      <c r="AJ596" s="1930"/>
      <c r="AK596" s="1930"/>
      <c r="AL596" s="1930"/>
      <c r="AM596" s="1972">
        <f t="shared" si="868"/>
        <v>1.899635E-4</v>
      </c>
      <c r="AN596" s="1930">
        <f t="shared" si="869"/>
        <v>0.12816837345000001</v>
      </c>
      <c r="AO596" s="1971">
        <f t="shared" si="870"/>
        <v>3.7345000000743589E-7</v>
      </c>
    </row>
    <row r="597" spans="1:41" x14ac:dyDescent="0.25">
      <c r="A597" s="103" t="str">
        <f t="shared" si="864"/>
        <v>800350</v>
      </c>
      <c r="B597" s="684" t="str">
        <f>'BUS Deemed Savings Table'!C15</f>
        <v>800350_2019_12_</v>
      </c>
      <c r="C597" s="1962" t="str">
        <f>'BUS Deemed Savings Table'!G15</f>
        <v>Lighting BUS</v>
      </c>
      <c r="D597" s="1962"/>
      <c r="E597" s="1962"/>
      <c r="F597" s="1962"/>
      <c r="G597" s="1962" t="str">
        <f>'BUS Deemed Savings Table'!E15</f>
        <v>LED 62 - 130 Watt Lamp or Fixture Replacing Interior HID 176-300 Watt Lamp or Fixture</v>
      </c>
      <c r="H597" s="63" t="str">
        <f>'BUS Deemed Savings Table'!D15</f>
        <v>C&amp;I</v>
      </c>
      <c r="I597" s="2438">
        <f>'BUS Deemed Savings Table'!F15</f>
        <v>836.44</v>
      </c>
      <c r="J597" s="2438"/>
      <c r="K597" s="2439"/>
      <c r="L597" s="2439"/>
      <c r="M597" s="2439"/>
      <c r="N597" s="2439"/>
      <c r="O597" s="2440">
        <f>'BUS Deemed Savings Table'!I15</f>
        <v>0.15889300000000001</v>
      </c>
      <c r="P597" s="2440"/>
      <c r="Q597" s="2441"/>
      <c r="R597" s="2441"/>
      <c r="S597" s="2441"/>
      <c r="T597" s="2441"/>
      <c r="U597" s="1822">
        <f t="shared" si="871"/>
        <v>0</v>
      </c>
      <c r="V597" s="1822">
        <f t="shared" si="872"/>
        <v>0</v>
      </c>
      <c r="W597" s="1822">
        <f t="shared" si="873"/>
        <v>0.15889300000000001</v>
      </c>
      <c r="X597" s="68">
        <f>'BUS Deemed Savings Table'!J15</f>
        <v>15</v>
      </c>
      <c r="Y597" s="68"/>
      <c r="Z597" s="68">
        <f t="shared" si="874"/>
        <v>15</v>
      </c>
      <c r="AA597" s="62">
        <f>'BUS Deemed Savings Table'!DB15</f>
        <v>2.1976956462293855</v>
      </c>
      <c r="AB597" s="839">
        <f>'BUS Deemed Savings Table'!K15</f>
        <v>233.64</v>
      </c>
      <c r="AC597" s="2451">
        <f t="shared" si="824"/>
        <v>484.6338940868651</v>
      </c>
      <c r="AD597" s="2451">
        <f t="shared" si="825"/>
        <v>0</v>
      </c>
      <c r="AE597" s="1661">
        <f>'BUS Deemed Savings Table'!DD15</f>
        <v>484.6338940868651</v>
      </c>
      <c r="AF597" s="2453"/>
      <c r="AG597" s="2453"/>
      <c r="AH597" s="2453"/>
      <c r="AI597" s="684" t="str">
        <f>'BUS Deemed Savings Table'!L15</f>
        <v>per measure</v>
      </c>
      <c r="AJ597" s="1930"/>
      <c r="AK597" s="1930"/>
      <c r="AL597" s="1930"/>
      <c r="AM597" s="1972">
        <f t="shared" si="868"/>
        <v>1.899635E-4</v>
      </c>
      <c r="AN597" s="1930">
        <f t="shared" si="869"/>
        <v>0.15889306994000002</v>
      </c>
      <c r="AO597" s="1971">
        <f t="shared" si="870"/>
        <v>6.994000001370182E-8</v>
      </c>
    </row>
    <row r="598" spans="1:41" x14ac:dyDescent="0.25">
      <c r="A598" s="103" t="str">
        <f t="shared" si="864"/>
        <v>800400</v>
      </c>
      <c r="B598" s="684" t="str">
        <f>'BUS Deemed Savings Table'!C16</f>
        <v>800400_2019_12_</v>
      </c>
      <c r="C598" s="1962" t="str">
        <f>'BUS Deemed Savings Table'!G16</f>
        <v>Lighting BUS</v>
      </c>
      <c r="D598" s="1962"/>
      <c r="E598" s="1962"/>
      <c r="F598" s="1962"/>
      <c r="G598" s="1962" t="str">
        <f>'BUS Deemed Savings Table'!E16</f>
        <v>LED 85 - 225 Watt Lamp or Fixture Replacing Interior HID 301-500 Watt Lamp or Fixture</v>
      </c>
      <c r="H598" s="63" t="str">
        <f>'BUS Deemed Savings Table'!D16</f>
        <v>C&amp;I</v>
      </c>
      <c r="I598" s="2438">
        <f>'BUS Deemed Savings Table'!F16</f>
        <v>1030.8</v>
      </c>
      <c r="J598" s="2438"/>
      <c r="K598" s="2439"/>
      <c r="L598" s="2439"/>
      <c r="M598" s="2439"/>
      <c r="N598" s="2439"/>
      <c r="O598" s="2440">
        <f>'BUS Deemed Savings Table'!I16</f>
        <v>0.19581399999999999</v>
      </c>
      <c r="P598" s="2440"/>
      <c r="Q598" s="2441"/>
      <c r="R598" s="2441"/>
      <c r="S598" s="2441"/>
      <c r="T598" s="2441"/>
      <c r="U598" s="1822">
        <f t="shared" si="871"/>
        <v>0</v>
      </c>
      <c r="V598" s="1822">
        <f t="shared" si="872"/>
        <v>0</v>
      </c>
      <c r="W598" s="1822">
        <f t="shared" si="873"/>
        <v>0.19581399999999999</v>
      </c>
      <c r="X598" s="68">
        <f>'BUS Deemed Savings Table'!J16</f>
        <v>15</v>
      </c>
      <c r="Y598" s="68"/>
      <c r="Z598" s="68">
        <f t="shared" si="874"/>
        <v>15</v>
      </c>
      <c r="AA598" s="62">
        <f>'BUS Deemed Savings Table'!DB16</f>
        <v>1.749757651612867</v>
      </c>
      <c r="AB598" s="839">
        <f>'BUS Deemed Savings Table'!K16</f>
        <v>361.64</v>
      </c>
      <c r="AC598" s="2451">
        <f t="shared" si="824"/>
        <v>597.24620776713277</v>
      </c>
      <c r="AD598" s="2451">
        <f t="shared" si="825"/>
        <v>0</v>
      </c>
      <c r="AE598" s="1661">
        <f>'BUS Deemed Savings Table'!DD16</f>
        <v>597.24620776713277</v>
      </c>
      <c r="AF598" s="2453"/>
      <c r="AG598" s="2453"/>
      <c r="AH598" s="2453"/>
      <c r="AI598" s="684" t="str">
        <f>'BUS Deemed Savings Table'!L16</f>
        <v>per measure</v>
      </c>
      <c r="AJ598" s="1930"/>
      <c r="AK598" s="1930"/>
      <c r="AL598" s="1930"/>
      <c r="AM598" s="1972">
        <f t="shared" si="868"/>
        <v>1.899635E-4</v>
      </c>
      <c r="AN598" s="1930">
        <f t="shared" si="869"/>
        <v>0.1958143758</v>
      </c>
      <c r="AO598" s="1971">
        <f t="shared" si="870"/>
        <v>3.7580000000758673E-7</v>
      </c>
    </row>
    <row r="599" spans="1:41" x14ac:dyDescent="0.25">
      <c r="A599" s="103" t="str">
        <f t="shared" si="864"/>
        <v>800450</v>
      </c>
      <c r="B599" s="684" t="str">
        <f>'BUS Deemed Savings Table'!C17</f>
        <v>800450_2019_12_</v>
      </c>
      <c r="C599" s="1962" t="str">
        <f>'BUS Deemed Savings Table'!G17</f>
        <v>Ext Lighting BUS</v>
      </c>
      <c r="D599" s="1962"/>
      <c r="E599" s="1962"/>
      <c r="F599" s="1962"/>
      <c r="G599" s="1962" t="str">
        <f>'BUS Deemed Savings Table'!E17</f>
        <v>LED &lt;=80 Watt Lamp or Fixture Replacing Garage or Exterior &lt;24/7 HID 100-175 Watt Lamp or Fixture</v>
      </c>
      <c r="H599" s="63" t="str">
        <f>'BUS Deemed Savings Table'!D17</f>
        <v>C&amp;I</v>
      </c>
      <c r="I599" s="2438">
        <f>'BUS Deemed Savings Table'!F17</f>
        <v>432.55</v>
      </c>
      <c r="J599" s="2438"/>
      <c r="K599" s="2439"/>
      <c r="L599" s="2439"/>
      <c r="M599" s="2439"/>
      <c r="N599" s="2439"/>
      <c r="O599" s="2440">
        <f>'BUS Deemed Savings Table'!I17</f>
        <v>2.4290000000000002E-3</v>
      </c>
      <c r="P599" s="2440"/>
      <c r="Q599" s="2441"/>
      <c r="R599" s="2441"/>
      <c r="S599" s="2441"/>
      <c r="T599" s="2441"/>
      <c r="U599" s="1822">
        <f t="shared" si="871"/>
        <v>0</v>
      </c>
      <c r="V599" s="1822">
        <f t="shared" si="872"/>
        <v>0</v>
      </c>
      <c r="W599" s="1822">
        <f t="shared" si="873"/>
        <v>2.4290000000000002E-3</v>
      </c>
      <c r="X599" s="68">
        <f>'BUS Deemed Savings Table'!J17</f>
        <v>15</v>
      </c>
      <c r="Y599" s="68"/>
      <c r="Z599" s="68">
        <f t="shared" si="874"/>
        <v>15</v>
      </c>
      <c r="AA599" s="62">
        <f>'BUS Deemed Savings Table'!DB17</f>
        <v>0.79338099713007215</v>
      </c>
      <c r="AB599" s="839">
        <f>'BUS Deemed Savings Table'!K17</f>
        <v>191.39</v>
      </c>
      <c r="AC599" s="2451">
        <f t="shared" si="824"/>
        <v>143.31778106722462</v>
      </c>
      <c r="AD599" s="2451">
        <f t="shared" si="825"/>
        <v>0</v>
      </c>
      <c r="AE599" s="1661">
        <f>'BUS Deemed Savings Table'!DD17</f>
        <v>143.31778106722462</v>
      </c>
      <c r="AF599" s="2453"/>
      <c r="AG599" s="2453"/>
      <c r="AH599" s="2453"/>
      <c r="AI599" s="684" t="str">
        <f>'BUS Deemed Savings Table'!L17</f>
        <v>per measure</v>
      </c>
      <c r="AJ599" s="1930"/>
      <c r="AK599" s="1930"/>
      <c r="AL599" s="1930"/>
      <c r="AM599" s="1972">
        <f t="shared" si="868"/>
        <v>5.6160000000000001E-6</v>
      </c>
      <c r="AN599" s="1930">
        <f t="shared" si="869"/>
        <v>2.4292008000000001E-3</v>
      </c>
      <c r="AO599" s="1971">
        <f t="shared" si="870"/>
        <v>2.0079999999995241E-7</v>
      </c>
    </row>
    <row r="600" spans="1:41" x14ac:dyDescent="0.25">
      <c r="A600" s="103" t="str">
        <f t="shared" si="864"/>
        <v>800500</v>
      </c>
      <c r="B600" s="684" t="str">
        <f>'BUS Deemed Savings Table'!C18</f>
        <v>800500_2019_12_</v>
      </c>
      <c r="C600" s="1962" t="str">
        <f>'BUS Deemed Savings Table'!G18</f>
        <v>Ext Lighting BUS</v>
      </c>
      <c r="D600" s="1962"/>
      <c r="E600" s="1962"/>
      <c r="F600" s="1962"/>
      <c r="G600" s="1962" t="str">
        <f>'BUS Deemed Savings Table'!E18</f>
        <v>LED 62 - 130 Watt Lamp or Fixture Replacing Garage or Exterior &lt;24/7 HID 176-300 Watt Lamp or Fixture</v>
      </c>
      <c r="H600" s="63" t="str">
        <f>'BUS Deemed Savings Table'!D18</f>
        <v>C&amp;I</v>
      </c>
      <c r="I600" s="2438">
        <f>'BUS Deemed Savings Table'!F18</f>
        <v>823.73</v>
      </c>
      <c r="J600" s="2438"/>
      <c r="K600" s="2439"/>
      <c r="L600" s="2439"/>
      <c r="M600" s="2439"/>
      <c r="N600" s="2439"/>
      <c r="O600" s="2440">
        <f>'BUS Deemed Savings Table'!I18</f>
        <v>4.6259999999999999E-3</v>
      </c>
      <c r="P600" s="2440"/>
      <c r="Q600" s="2441"/>
      <c r="R600" s="2441"/>
      <c r="S600" s="2441"/>
      <c r="T600" s="2441"/>
      <c r="U600" s="1822">
        <f t="shared" si="871"/>
        <v>0</v>
      </c>
      <c r="V600" s="1822">
        <f t="shared" si="872"/>
        <v>0</v>
      </c>
      <c r="W600" s="1822">
        <f t="shared" si="873"/>
        <v>4.6259999999999999E-3</v>
      </c>
      <c r="X600" s="68">
        <f>'BUS Deemed Savings Table'!J18</f>
        <v>15</v>
      </c>
      <c r="Y600" s="68"/>
      <c r="Z600" s="68">
        <f t="shared" si="874"/>
        <v>15</v>
      </c>
      <c r="AA600" s="62">
        <f>'BUS Deemed Savings Table'!DB18</f>
        <v>1.2376629940971284</v>
      </c>
      <c r="AB600" s="839">
        <f>'BUS Deemed Savings Table'!K18</f>
        <v>233.64</v>
      </c>
      <c r="AC600" s="2451">
        <f t="shared" si="824"/>
        <v>272.92834539013973</v>
      </c>
      <c r="AD600" s="2451">
        <f t="shared" si="825"/>
        <v>0</v>
      </c>
      <c r="AE600" s="1661">
        <f>'BUS Deemed Savings Table'!DD18</f>
        <v>272.92834539013973</v>
      </c>
      <c r="AF600" s="2453"/>
      <c r="AG600" s="2453"/>
      <c r="AH600" s="2453"/>
      <c r="AI600" s="684" t="str">
        <f>'BUS Deemed Savings Table'!L18</f>
        <v>per measure</v>
      </c>
      <c r="AJ600" s="1930"/>
      <c r="AK600" s="1930"/>
      <c r="AL600" s="1930"/>
      <c r="AM600" s="1972">
        <f t="shared" si="868"/>
        <v>5.6160000000000001E-6</v>
      </c>
      <c r="AN600" s="1930">
        <f t="shared" si="869"/>
        <v>4.6260676800000001E-3</v>
      </c>
      <c r="AO600" s="1971">
        <f t="shared" si="870"/>
        <v>6.7680000000180929E-8</v>
      </c>
    </row>
    <row r="601" spans="1:41" x14ac:dyDescent="0.25">
      <c r="A601" s="103" t="str">
        <f t="shared" si="864"/>
        <v>800550</v>
      </c>
      <c r="B601" s="684" t="str">
        <f>'BUS Deemed Savings Table'!C19</f>
        <v>800550_2019_12_</v>
      </c>
      <c r="C601" s="1962" t="str">
        <f>'BUS Deemed Savings Table'!G19</f>
        <v>Ext Lighting BUS</v>
      </c>
      <c r="D601" s="1962"/>
      <c r="E601" s="1962"/>
      <c r="F601" s="1962"/>
      <c r="G601" s="1962" t="str">
        <f>'BUS Deemed Savings Table'!E19</f>
        <v>LED 85 - 225 Watt Lamp or Fixture Replacing Garage or Exterior &lt;24/7 HID 301-500 Watt Lamp or Fixture</v>
      </c>
      <c r="H601" s="63" t="str">
        <f>'BUS Deemed Savings Table'!D19</f>
        <v>C&amp;I</v>
      </c>
      <c r="I601" s="2438">
        <f>'BUS Deemed Savings Table'!F19</f>
        <v>1507.33</v>
      </c>
      <c r="J601" s="2438"/>
      <c r="K601" s="2439"/>
      <c r="L601" s="2439"/>
      <c r="M601" s="2439"/>
      <c r="N601" s="2439"/>
      <c r="O601" s="2440">
        <f>'BUS Deemed Savings Table'!I19</f>
        <v>8.4650000000000003E-3</v>
      </c>
      <c r="P601" s="2440"/>
      <c r="Q601" s="2441"/>
      <c r="R601" s="2441"/>
      <c r="S601" s="2441"/>
      <c r="T601" s="2441"/>
      <c r="U601" s="1822">
        <f t="shared" si="871"/>
        <v>0</v>
      </c>
      <c r="V601" s="1822">
        <f t="shared" si="872"/>
        <v>0</v>
      </c>
      <c r="W601" s="1822">
        <f t="shared" si="873"/>
        <v>8.4650000000000003E-3</v>
      </c>
      <c r="X601" s="68">
        <f>'BUS Deemed Savings Table'!J19</f>
        <v>15</v>
      </c>
      <c r="Y601" s="68"/>
      <c r="Z601" s="68">
        <f t="shared" si="874"/>
        <v>15</v>
      </c>
      <c r="AA601" s="62">
        <f>'BUS Deemed Savings Table'!DB19</f>
        <v>1.4631761132252104</v>
      </c>
      <c r="AB601" s="839">
        <f>'BUS Deemed Savings Table'!K19</f>
        <v>361.64</v>
      </c>
      <c r="AC601" s="2451">
        <f t="shared" si="824"/>
        <v>499.42709729756018</v>
      </c>
      <c r="AD601" s="2451">
        <f t="shared" si="825"/>
        <v>0</v>
      </c>
      <c r="AE601" s="1661">
        <f>'BUS Deemed Savings Table'!DD19</f>
        <v>499.42709729756018</v>
      </c>
      <c r="AF601" s="2453"/>
      <c r="AG601" s="2453"/>
      <c r="AH601" s="2453"/>
      <c r="AI601" s="684" t="str">
        <f>'BUS Deemed Savings Table'!L19</f>
        <v>per measure</v>
      </c>
      <c r="AJ601" s="1930"/>
      <c r="AK601" s="1930"/>
      <c r="AL601" s="1930"/>
      <c r="AM601" s="1972">
        <f t="shared" si="868"/>
        <v>5.6160000000000001E-6</v>
      </c>
      <c r="AN601" s="1930">
        <f t="shared" si="869"/>
        <v>8.4651652799999991E-3</v>
      </c>
      <c r="AO601" s="1971">
        <f t="shared" si="870"/>
        <v>1.6527999999876863E-7</v>
      </c>
    </row>
    <row r="602" spans="1:41" x14ac:dyDescent="0.25">
      <c r="A602" s="103" t="str">
        <f t="shared" si="864"/>
        <v>800600</v>
      </c>
      <c r="B602" s="684" t="str">
        <f>'BUS Deemed Savings Table'!C20</f>
        <v>800600_2019_12_</v>
      </c>
      <c r="C602" s="1962" t="str">
        <f>'BUS Deemed Savings Table'!G20</f>
        <v>Miscellaneous BUS</v>
      </c>
      <c r="D602" s="1962"/>
      <c r="E602" s="1962"/>
      <c r="F602" s="1962"/>
      <c r="G602" s="1962" t="str">
        <f>'BUS Deemed Savings Table'!E20</f>
        <v>LED &lt;=80 Watt Lamp or Fixture Replacing Garage or Exterior 24/7 HID 100-175 Watt Lamp or Fixture Misc.</v>
      </c>
      <c r="H602" s="63" t="str">
        <f>'BUS Deemed Savings Table'!D20</f>
        <v>C&amp;I</v>
      </c>
      <c r="I602" s="2438">
        <f>'BUS Deemed Savings Table'!F20</f>
        <v>679.28</v>
      </c>
      <c r="J602" s="2438"/>
      <c r="K602" s="2439"/>
      <c r="L602" s="2439"/>
      <c r="M602" s="2439"/>
      <c r="N602" s="2439"/>
      <c r="O602" s="2440">
        <f>'BUS Deemed Savings Table'!I20</f>
        <v>9.3702999999999995E-2</v>
      </c>
      <c r="P602" s="2440"/>
      <c r="Q602" s="2441"/>
      <c r="R602" s="2441"/>
      <c r="S602" s="2441"/>
      <c r="T602" s="2441"/>
      <c r="U602" s="1822">
        <f t="shared" si="871"/>
        <v>0</v>
      </c>
      <c r="V602" s="1822">
        <f t="shared" si="872"/>
        <v>0</v>
      </c>
      <c r="W602" s="1822">
        <f t="shared" si="873"/>
        <v>9.3702999999999995E-2</v>
      </c>
      <c r="X602" s="68">
        <f>'BUS Deemed Savings Table'!J20</f>
        <v>15</v>
      </c>
      <c r="Y602" s="68"/>
      <c r="Z602" s="68">
        <f t="shared" si="874"/>
        <v>15</v>
      </c>
      <c r="AA602" s="62">
        <f>'BUS Deemed Savings Table'!DB20</f>
        <v>2.0160104307797662</v>
      </c>
      <c r="AB602" s="839">
        <f>'BUS Deemed Savings Table'!K20</f>
        <v>191.39</v>
      </c>
      <c r="AC602" s="2451">
        <f t="shared" si="824"/>
        <v>364.17577758087714</v>
      </c>
      <c r="AD602" s="2451">
        <f t="shared" si="825"/>
        <v>0</v>
      </c>
      <c r="AE602" s="1661">
        <f>'BUS Deemed Savings Table'!DD20</f>
        <v>364.17577758087714</v>
      </c>
      <c r="AF602" s="2453"/>
      <c r="AG602" s="2453"/>
      <c r="AH602" s="2453"/>
      <c r="AI602" s="684" t="str">
        <f>'BUS Deemed Savings Table'!L20</f>
        <v>per measure</v>
      </c>
      <c r="AJ602" s="1930"/>
      <c r="AK602" s="1930"/>
      <c r="AL602" s="1930"/>
      <c r="AM602" s="1972">
        <f t="shared" si="868"/>
        <v>1.379439E-4</v>
      </c>
      <c r="AN602" s="1930">
        <f t="shared" si="869"/>
        <v>9.3702532391999993E-2</v>
      </c>
      <c r="AO602" s="1971">
        <f t="shared" si="870"/>
        <v>-4.6760800000156255E-7</v>
      </c>
    </row>
    <row r="603" spans="1:41" x14ac:dyDescent="0.25">
      <c r="A603" s="103" t="str">
        <f t="shared" si="864"/>
        <v>800650</v>
      </c>
      <c r="B603" s="684" t="str">
        <f>'BUS Deemed Savings Table'!C21</f>
        <v>800650_2019_12_</v>
      </c>
      <c r="C603" s="1962" t="str">
        <f>'BUS Deemed Savings Table'!G21</f>
        <v>Miscellaneous BUS</v>
      </c>
      <c r="D603" s="1962"/>
      <c r="E603" s="1962"/>
      <c r="F603" s="1962"/>
      <c r="G603" s="1962" t="str">
        <f>'BUS Deemed Savings Table'!E21</f>
        <v>LED 62 - 130 Watt Lamp or Fixture Replacing Garage or Exterior 24/7 HID 176-300 Watt Lamp or Fixture Misc.</v>
      </c>
      <c r="H603" s="63" t="str">
        <f>'BUS Deemed Savings Table'!D21</f>
        <v>C&amp;I</v>
      </c>
      <c r="I603" s="2438">
        <f>'BUS Deemed Savings Table'!F21</f>
        <v>1436.89</v>
      </c>
      <c r="J603" s="2438"/>
      <c r="K603" s="2439"/>
      <c r="L603" s="2439"/>
      <c r="M603" s="2439"/>
      <c r="N603" s="2439"/>
      <c r="O603" s="2440">
        <f>'BUS Deemed Savings Table'!I21</f>
        <v>0.19821</v>
      </c>
      <c r="P603" s="2440"/>
      <c r="Q603" s="2441"/>
      <c r="R603" s="2441"/>
      <c r="S603" s="2441"/>
      <c r="T603" s="2441"/>
      <c r="U603" s="1822">
        <f t="shared" si="871"/>
        <v>0</v>
      </c>
      <c r="V603" s="1822">
        <f t="shared" si="872"/>
        <v>0</v>
      </c>
      <c r="W603" s="1822">
        <f t="shared" si="873"/>
        <v>0.19821</v>
      </c>
      <c r="X603" s="68">
        <f>'BUS Deemed Savings Table'!J21</f>
        <v>15</v>
      </c>
      <c r="Y603" s="68"/>
      <c r="Z603" s="68">
        <f t="shared" si="874"/>
        <v>15</v>
      </c>
      <c r="AA603" s="62">
        <f>'BUS Deemed Savings Table'!DB21</f>
        <v>3.493329200512902</v>
      </c>
      <c r="AB603" s="839">
        <f>'BUS Deemed Savings Table'!K21</f>
        <v>233.64</v>
      </c>
      <c r="AC603" s="2451">
        <f t="shared" si="824"/>
        <v>770.34585597719138</v>
      </c>
      <c r="AD603" s="2451">
        <f t="shared" si="825"/>
        <v>0</v>
      </c>
      <c r="AE603" s="1661">
        <f>'BUS Deemed Savings Table'!DD21</f>
        <v>770.34585597719138</v>
      </c>
      <c r="AF603" s="2453"/>
      <c r="AG603" s="2453"/>
      <c r="AH603" s="2453"/>
      <c r="AI603" s="684" t="str">
        <f>'BUS Deemed Savings Table'!L21</f>
        <v>per measure</v>
      </c>
      <c r="AJ603" s="1930"/>
      <c r="AK603" s="1930"/>
      <c r="AL603" s="1930"/>
      <c r="AM603" s="1972">
        <f t="shared" si="868"/>
        <v>1.379439E-4</v>
      </c>
      <c r="AN603" s="1930">
        <f t="shared" si="869"/>
        <v>0.19821021047100001</v>
      </c>
      <c r="AO603" s="1971">
        <f t="shared" si="870"/>
        <v>2.1047100001725383E-7</v>
      </c>
    </row>
    <row r="604" spans="1:41" x14ac:dyDescent="0.25">
      <c r="A604" s="103" t="str">
        <f t="shared" si="864"/>
        <v>800700</v>
      </c>
      <c r="B604" s="684" t="str">
        <f>'BUS Deemed Savings Table'!C22</f>
        <v>800700_2019_12_</v>
      </c>
      <c r="C604" s="1962" t="str">
        <f>'BUS Deemed Savings Table'!G22</f>
        <v>Miscellaneous BUS</v>
      </c>
      <c r="D604" s="1962"/>
      <c r="E604" s="1962"/>
      <c r="F604" s="1962"/>
      <c r="G604" s="1962" t="str">
        <f>'BUS Deemed Savings Table'!E22</f>
        <v xml:space="preserve">LED 85 - 225 Watt Lamp or Fixture Replacing Garage or Exterior 24/7 HID 301-500 Watt Lamp or Fixture Misc. </v>
      </c>
      <c r="H604" s="63" t="str">
        <f>'BUS Deemed Savings Table'!D22</f>
        <v>C&amp;I</v>
      </c>
      <c r="I604" s="2438">
        <f>'BUS Deemed Savings Table'!F22</f>
        <v>2576.13</v>
      </c>
      <c r="J604" s="2438"/>
      <c r="K604" s="2439"/>
      <c r="L604" s="2439"/>
      <c r="M604" s="2439"/>
      <c r="N604" s="2439"/>
      <c r="O604" s="2440">
        <f>'BUS Deemed Savings Table'!I22</f>
        <v>0.35536099999999998</v>
      </c>
      <c r="P604" s="2440"/>
      <c r="Q604" s="2441"/>
      <c r="R604" s="2441"/>
      <c r="S604" s="2441"/>
      <c r="T604" s="2441"/>
      <c r="U604" s="1822">
        <f t="shared" si="871"/>
        <v>0</v>
      </c>
      <c r="V604" s="1822">
        <f t="shared" si="872"/>
        <v>0</v>
      </c>
      <c r="W604" s="1822">
        <f t="shared" si="873"/>
        <v>0.35536099999999998</v>
      </c>
      <c r="X604" s="68">
        <f>'BUS Deemed Savings Table'!J22</f>
        <v>15</v>
      </c>
      <c r="Y604" s="68"/>
      <c r="Z604" s="68">
        <f t="shared" si="874"/>
        <v>15</v>
      </c>
      <c r="AA604" s="62">
        <f>'BUS Deemed Savings Table'!DB22</f>
        <v>4.0462666916832903</v>
      </c>
      <c r="AB604" s="839">
        <f>'BUS Deemed Savings Table'!K22</f>
        <v>361.64</v>
      </c>
      <c r="AC604" s="2451">
        <f t="shared" si="824"/>
        <v>1381.1155133368052</v>
      </c>
      <c r="AD604" s="2451">
        <f t="shared" si="825"/>
        <v>0</v>
      </c>
      <c r="AE604" s="1661">
        <f>'BUS Deemed Savings Table'!DD22</f>
        <v>1381.1155133368052</v>
      </c>
      <c r="AF604" s="2453"/>
      <c r="AG604" s="2453"/>
      <c r="AH604" s="2453"/>
      <c r="AI604" s="684" t="str">
        <f>'BUS Deemed Savings Table'!L22</f>
        <v>per measure</v>
      </c>
      <c r="AJ604" s="1930"/>
      <c r="AK604" s="1930"/>
      <c r="AL604" s="1930"/>
      <c r="AM604" s="1972">
        <f t="shared" si="868"/>
        <v>1.379439E-4</v>
      </c>
      <c r="AN604" s="1930">
        <f t="shared" si="869"/>
        <v>0.35536141910700003</v>
      </c>
      <c r="AO604" s="1971">
        <f t="shared" si="870"/>
        <v>4.1910700004921253E-7</v>
      </c>
    </row>
    <row r="605" spans="1:41" x14ac:dyDescent="0.25">
      <c r="A605" s="103" t="str">
        <f t="shared" si="864"/>
        <v>800750</v>
      </c>
      <c r="B605" s="684" t="str">
        <f>'BUS Deemed Savings Table'!C23</f>
        <v>800750_2019_12_</v>
      </c>
      <c r="C605" s="1962" t="str">
        <f>'BUS Deemed Savings Table'!G23</f>
        <v>Lighting BUS</v>
      </c>
      <c r="D605" s="1962"/>
      <c r="E605" s="1962"/>
      <c r="F605" s="1962"/>
      <c r="G605" s="1962" t="str">
        <f>'BUS Deemed Savings Table'!E23</f>
        <v>LED or Electroluminescent Replacing Interior Incandescent/CFL Exit Sign</v>
      </c>
      <c r="H605" s="63" t="str">
        <f>'BUS Deemed Savings Table'!D23</f>
        <v>C&amp;I</v>
      </c>
      <c r="I605" s="2438">
        <f>'BUS Deemed Savings Table'!F23</f>
        <v>231.38</v>
      </c>
      <c r="J605" s="2438"/>
      <c r="K605" s="2439"/>
      <c r="L605" s="2439"/>
      <c r="M605" s="2439"/>
      <c r="N605" s="2439"/>
      <c r="O605" s="2440">
        <f>'BUS Deemed Savings Table'!I23</f>
        <v>4.3954E-2</v>
      </c>
      <c r="P605" s="2440"/>
      <c r="Q605" s="2441"/>
      <c r="R605" s="2441"/>
      <c r="S605" s="2441"/>
      <c r="T605" s="2441"/>
      <c r="U605" s="1822">
        <f t="shared" si="871"/>
        <v>4.3954E-2</v>
      </c>
      <c r="V605" s="1822">
        <f t="shared" si="872"/>
        <v>0</v>
      </c>
      <c r="W605" s="1822">
        <f t="shared" si="873"/>
        <v>0</v>
      </c>
      <c r="X605" s="68">
        <f>'BUS Deemed Savings Table'!J23</f>
        <v>7</v>
      </c>
      <c r="Y605" s="68"/>
      <c r="Z605" s="68">
        <f t="shared" si="874"/>
        <v>7</v>
      </c>
      <c r="AA605" s="62">
        <f>'BUS Deemed Savings Table'!DB23</f>
        <v>1.4876682493412743</v>
      </c>
      <c r="AB605" s="839">
        <f>'BUS Deemed Savings Table'!K23</f>
        <v>45.25</v>
      </c>
      <c r="AC605" s="2451">
        <f t="shared" si="824"/>
        <v>63.536562796312083</v>
      </c>
      <c r="AD605" s="2451">
        <f t="shared" si="825"/>
        <v>0</v>
      </c>
      <c r="AE605" s="1661">
        <f>'BUS Deemed Savings Table'!DD23</f>
        <v>63.536562796312083</v>
      </c>
      <c r="AF605" s="2453"/>
      <c r="AG605" s="2453"/>
      <c r="AH605" s="2453"/>
      <c r="AI605" s="684" t="str">
        <f>'BUS Deemed Savings Table'!L23</f>
        <v>per measure</v>
      </c>
      <c r="AJ605" s="1930"/>
      <c r="AK605" s="1930"/>
      <c r="AL605" s="1930"/>
      <c r="AM605" s="1972">
        <f t="shared" si="868"/>
        <v>1.899635E-4</v>
      </c>
      <c r="AN605" s="1930">
        <f t="shared" si="869"/>
        <v>4.3953754630000001E-2</v>
      </c>
      <c r="AO605" s="1971">
        <f t="shared" si="870"/>
        <v>-2.4536999999880127E-7</v>
      </c>
    </row>
    <row r="606" spans="1:41" x14ac:dyDescent="0.25">
      <c r="A606" s="103" t="str">
        <f t="shared" si="864"/>
        <v>800800</v>
      </c>
      <c r="B606" s="684" t="str">
        <f>'BUS Deemed Savings Table'!C24</f>
        <v>800800_2020_12_</v>
      </c>
      <c r="C606" s="1962" t="str">
        <f>'BUS Deemed Savings Table'!G24</f>
        <v>Lighting BUS</v>
      </c>
      <c r="D606" s="1962"/>
      <c r="E606" s="1962"/>
      <c r="F606" s="1962"/>
      <c r="G606" s="1962" t="str">
        <f>'BUS Deemed Savings Table'!E24</f>
        <v xml:space="preserve">LED Replacing Interior T5 Fluorescent (Type A / Hybrid) </v>
      </c>
      <c r="H606" s="63" t="str">
        <f>'BUS Deemed Savings Table'!D24</f>
        <v>C&amp;I</v>
      </c>
      <c r="I606" s="2438">
        <f>'BUS Deemed Savings Table'!F24</f>
        <v>350.14</v>
      </c>
      <c r="J606" s="2438"/>
      <c r="K606" s="2439"/>
      <c r="L606" s="2439"/>
      <c r="M606" s="2439"/>
      <c r="N606" s="2439"/>
      <c r="O606" s="2440">
        <f>'BUS Deemed Savings Table'!I24</f>
        <v>6.6514000000000004E-2</v>
      </c>
      <c r="P606" s="2440"/>
      <c r="Q606" s="2441"/>
      <c r="R606" s="2441"/>
      <c r="S606" s="2441"/>
      <c r="T606" s="2441"/>
      <c r="U606" s="1822">
        <f t="shared" si="871"/>
        <v>0</v>
      </c>
      <c r="V606" s="1822">
        <f t="shared" si="872"/>
        <v>6.6514000000000004E-2</v>
      </c>
      <c r="W606" s="1822">
        <f t="shared" si="873"/>
        <v>0</v>
      </c>
      <c r="X606" s="68">
        <f>'BUS Deemed Savings Table'!J24</f>
        <v>10</v>
      </c>
      <c r="Y606" s="68"/>
      <c r="Z606" s="68">
        <f t="shared" si="874"/>
        <v>10</v>
      </c>
      <c r="AA606" s="62">
        <f>'BUS Deemed Savings Table'!DB24</f>
        <v>4.9388336167012783</v>
      </c>
      <c r="AB606" s="839">
        <f>'BUS Deemed Savings Table'!K24</f>
        <v>29.64</v>
      </c>
      <c r="AC606" s="2451">
        <f t="shared" ref="AC606:AC685" si="875">AE606+AF606</f>
        <v>138.16614289667379</v>
      </c>
      <c r="AD606" s="2451">
        <f t="shared" ref="AD606:AD685" si="876">AG606+AH606</f>
        <v>0</v>
      </c>
      <c r="AE606" s="1661">
        <f>'BUS Deemed Savings Table'!DD24</f>
        <v>138.16614289667379</v>
      </c>
      <c r="AF606" s="2453"/>
      <c r="AG606" s="2453"/>
      <c r="AH606" s="2453"/>
      <c r="AI606" s="684" t="str">
        <f>'BUS Deemed Savings Table'!L24</f>
        <v>per measure</v>
      </c>
      <c r="AJ606" s="1930"/>
      <c r="AK606" s="1930"/>
      <c r="AL606" s="1930"/>
      <c r="AM606" s="1972">
        <f t="shared" si="868"/>
        <v>1.899635E-4</v>
      </c>
      <c r="AN606" s="1930">
        <f t="shared" si="869"/>
        <v>6.6513819890000006E-2</v>
      </c>
      <c r="AO606" s="1971">
        <f t="shared" si="870"/>
        <v>-1.8010999999762412E-7</v>
      </c>
    </row>
    <row r="607" spans="1:41" s="100" customFormat="1" x14ac:dyDescent="0.25">
      <c r="A607" s="103" t="str">
        <f t="shared" si="864"/>
        <v>800801</v>
      </c>
      <c r="B607" s="684" t="str">
        <f>'BUS Deemed Savings Table'!C25</f>
        <v>800801_2020_12_</v>
      </c>
      <c r="C607" s="1962" t="str">
        <f>'BUS Deemed Savings Table'!G25</f>
        <v>Lighting BUS</v>
      </c>
      <c r="D607" s="1962"/>
      <c r="E607" s="1962"/>
      <c r="F607" s="1962"/>
      <c r="G607" s="1962" t="str">
        <f>'BUS Deemed Savings Table'!E25</f>
        <v>LED Replacing Interior T5 Fluorescent (Type B, Kits, and Fixtures)</v>
      </c>
      <c r="H607" s="63" t="str">
        <f>'BUS Deemed Savings Table'!D25</f>
        <v>C&amp;I</v>
      </c>
      <c r="I607" s="2438">
        <f>'BUS Deemed Savings Table'!F25</f>
        <v>476.95</v>
      </c>
      <c r="J607" s="2438"/>
      <c r="K607" s="2439"/>
      <c r="L607" s="2439"/>
      <c r="M607" s="2439"/>
      <c r="N607" s="2439"/>
      <c r="O607" s="2440">
        <f>'BUS Deemed Savings Table'!I25</f>
        <v>9.0603000000000003E-2</v>
      </c>
      <c r="P607" s="2440"/>
      <c r="Q607" s="2441"/>
      <c r="R607" s="2441"/>
      <c r="S607" s="2441"/>
      <c r="T607" s="2441"/>
      <c r="U607" s="1926">
        <f t="shared" ref="U607" si="877">IF(V607+W607&gt;0,0,IF(Z607&gt;0,O607,0))</f>
        <v>0</v>
      </c>
      <c r="V607" s="1926">
        <f t="shared" ref="V607" si="878">IF(W607&gt;0,0,IF(Z607&gt;9,O607,0))</f>
        <v>0</v>
      </c>
      <c r="W607" s="1926">
        <f t="shared" ref="W607" si="879">IF(Z607&gt;14,O607,0)</f>
        <v>9.0603000000000003E-2</v>
      </c>
      <c r="X607" s="68">
        <f>'BUS Deemed Savings Table'!J25</f>
        <v>15</v>
      </c>
      <c r="Y607" s="68"/>
      <c r="Z607" s="68">
        <f t="shared" ref="Z607" si="880">Y607+X607</f>
        <v>15</v>
      </c>
      <c r="AA607" s="62">
        <f>'BUS Deemed Savings Table'!DB25</f>
        <v>9.8781270090657394</v>
      </c>
      <c r="AB607" s="839">
        <f>'BUS Deemed Savings Table'!K25</f>
        <v>29.64</v>
      </c>
      <c r="AC607" s="2451">
        <f t="shared" ref="AC607" si="881">AE607+AF607</f>
        <v>276.34514822907835</v>
      </c>
      <c r="AD607" s="2451">
        <f t="shared" ref="AD607" si="882">AG607+AH607</f>
        <v>0</v>
      </c>
      <c r="AE607" s="1661">
        <f>'BUS Deemed Savings Table'!DD25</f>
        <v>276.34514822907835</v>
      </c>
      <c r="AF607" s="2453"/>
      <c r="AG607" s="2453"/>
      <c r="AH607" s="2453"/>
      <c r="AI607" s="684" t="str">
        <f>'BUS Deemed Savings Table'!L25</f>
        <v>per measure</v>
      </c>
      <c r="AM607" s="2433">
        <f t="shared" ref="AM607" si="883">VLOOKUP(C607,$AS$10:$AT$49,2,FALSE)</f>
        <v>1.899635E-4</v>
      </c>
      <c r="AN607" s="100">
        <f t="shared" ref="AN607" si="884">AM607*I607</f>
        <v>9.0603091324999996E-2</v>
      </c>
      <c r="AO607" s="2437">
        <f t="shared" ref="AO607" si="885">AN607-O607</f>
        <v>9.1324999992870026E-8</v>
      </c>
    </row>
    <row r="608" spans="1:41" s="100" customFormat="1" x14ac:dyDescent="0.25">
      <c r="A608" s="103" t="str">
        <f t="shared" si="864"/>
        <v>800802</v>
      </c>
      <c r="B608" s="1960" t="str">
        <f>'BUS Deemed Savings Table'!C26</f>
        <v>800802_2021_12_</v>
      </c>
      <c r="C608" s="1958" t="str">
        <f>'BUS Deemed Savings Table'!G26</f>
        <v>Lighting BUS</v>
      </c>
      <c r="D608" s="1958"/>
      <c r="E608" s="1958"/>
      <c r="F608" s="1958"/>
      <c r="G608" s="1958" t="str">
        <f>'BUS Deemed Savings Table'!E26</f>
        <v>LED Replacing Interior T5 Fluorescent (Type C)</v>
      </c>
      <c r="H608" s="1975" t="str">
        <f>'BUS Deemed Savings Table'!D26</f>
        <v>C&amp;I</v>
      </c>
      <c r="I608" s="1973">
        <f>'BUS Deemed Savings Table'!F26</f>
        <v>370.51</v>
      </c>
      <c r="J608" s="1973"/>
      <c r="K608" s="1963"/>
      <c r="L608" s="1963"/>
      <c r="M608" s="1963"/>
      <c r="N608" s="1963"/>
      <c r="O608" s="1974">
        <f>'BUS Deemed Savings Table'!I26</f>
        <v>14.766935999999999</v>
      </c>
      <c r="P608" s="1974"/>
      <c r="Q608" s="1976"/>
      <c r="R608" s="1976"/>
      <c r="S608" s="1976"/>
      <c r="T608" s="1976"/>
      <c r="U608" s="1926">
        <f t="shared" ref="U608" si="886">IF(V608+W608&gt;0,0,IF(Z608&gt;0,O608,0))</f>
        <v>0</v>
      </c>
      <c r="V608" s="1926">
        <f t="shared" ref="V608" si="887">IF(W608&gt;0,0,IF(Z608&gt;9,O608,0))</f>
        <v>14.766935999999999</v>
      </c>
      <c r="W608" s="1926">
        <f t="shared" ref="W608" si="888">IF(Z608&gt;14,O608,0)</f>
        <v>0</v>
      </c>
      <c r="X608" s="1952">
        <f>'BUS Deemed Savings Table'!J26</f>
        <v>11</v>
      </c>
      <c r="Y608" s="1952"/>
      <c r="Z608" s="1952">
        <f t="shared" ref="Z608" si="889">Y608+X608</f>
        <v>11</v>
      </c>
      <c r="AA608" s="1951">
        <f>'BUS Deemed Savings Table'!DB26</f>
        <v>5.7429179895653952</v>
      </c>
      <c r="AB608" s="2426">
        <f>'BUS Deemed Savings Table'!K26</f>
        <v>29.64</v>
      </c>
      <c r="AC608" s="1927">
        <f t="shared" ref="AC608" si="890">AE608+AF608</f>
        <v>160.66077320501964</v>
      </c>
      <c r="AD608" s="1927">
        <f t="shared" ref="AD608" si="891">AG608+AH608</f>
        <v>0</v>
      </c>
      <c r="AE608" s="2452">
        <f>'BUS Deemed Savings Table'!DD26</f>
        <v>160.66077320501964</v>
      </c>
      <c r="AF608" s="1982"/>
      <c r="AG608" s="1982"/>
      <c r="AH608" s="1982"/>
      <c r="AI608" s="1960" t="str">
        <f>'BUS Deemed Savings Table'!L26</f>
        <v>per measure</v>
      </c>
      <c r="AM608" s="2433">
        <f t="shared" ref="AM608" si="892">VLOOKUP(C608,$AS$10:$AT$49,2,FALSE)</f>
        <v>1.899635E-4</v>
      </c>
      <c r="AN608" s="100">
        <f t="shared" ref="AN608" si="893">AM608*I608</f>
        <v>7.0383376385000002E-2</v>
      </c>
      <c r="AO608" s="2437">
        <f t="shared" ref="AO608" si="894">AN608-O608</f>
        <v>-14.696552623615</v>
      </c>
    </row>
    <row r="609" spans="1:41" x14ac:dyDescent="0.25">
      <c r="A609" s="103" t="str">
        <f t="shared" si="864"/>
        <v>800850</v>
      </c>
      <c r="B609" s="684" t="str">
        <f>'BUS Deemed Savings Table'!C27</f>
        <v>800850_2020_12_</v>
      </c>
      <c r="C609" s="1962" t="str">
        <f>'BUS Deemed Savings Table'!G27</f>
        <v>Lighting BUS</v>
      </c>
      <c r="D609" s="1962"/>
      <c r="E609" s="1962"/>
      <c r="F609" s="1962"/>
      <c r="G609" s="1962" t="str">
        <f>'BUS Deemed Savings Table'!E27</f>
        <v xml:space="preserve">LED Replacing Interior T8 Fluorescent (Type A / Hybrid) </v>
      </c>
      <c r="H609" s="63" t="str">
        <f>'BUS Deemed Savings Table'!D27</f>
        <v>C&amp;I</v>
      </c>
      <c r="I609" s="2438">
        <f>'BUS Deemed Savings Table'!F27</f>
        <v>208.33</v>
      </c>
      <c r="J609" s="2438"/>
      <c r="K609" s="2439"/>
      <c r="L609" s="2439"/>
      <c r="M609" s="2439"/>
      <c r="N609" s="2439"/>
      <c r="O609" s="2440">
        <f>'BUS Deemed Savings Table'!I27</f>
        <v>3.9574999999999999E-2</v>
      </c>
      <c r="P609" s="2440"/>
      <c r="Q609" s="2441"/>
      <c r="R609" s="2441"/>
      <c r="S609" s="2441"/>
      <c r="T609" s="2441"/>
      <c r="U609" s="1822">
        <f t="shared" ref="U609:U639" si="895">IF(V609+W609&gt;0,0,IF(Z609&gt;0,O609,0))</f>
        <v>0</v>
      </c>
      <c r="V609" s="1822">
        <f t="shared" ref="V609:V639" si="896">IF(W609&gt;0,0,IF(Z609&gt;9,O609,0))</f>
        <v>3.9574999999999999E-2</v>
      </c>
      <c r="W609" s="1822">
        <f t="shared" ref="W609:W639" si="897">IF(Z609&gt;14,O609,0)</f>
        <v>0</v>
      </c>
      <c r="X609" s="68">
        <f>'BUS Deemed Savings Table'!J27</f>
        <v>10</v>
      </c>
      <c r="Y609" s="68"/>
      <c r="Z609" s="68">
        <f t="shared" si="874"/>
        <v>10</v>
      </c>
      <c r="AA609" s="62">
        <f>'BUS Deemed Savings Table'!DB27</f>
        <v>2.938559454410743</v>
      </c>
      <c r="AB609" s="839">
        <f>'BUS Deemed Savings Table'!K27</f>
        <v>29.64</v>
      </c>
      <c r="AC609" s="2451">
        <f t="shared" si="875"/>
        <v>82.207552835049</v>
      </c>
      <c r="AD609" s="2451">
        <f t="shared" si="876"/>
        <v>0</v>
      </c>
      <c r="AE609" s="1661">
        <f>'BUS Deemed Savings Table'!DD27</f>
        <v>82.207552835049</v>
      </c>
      <c r="AF609" s="2453"/>
      <c r="AG609" s="2453"/>
      <c r="AH609" s="2453"/>
      <c r="AI609" s="684" t="str">
        <f>'BUS Deemed Savings Table'!L27</f>
        <v>per measure</v>
      </c>
      <c r="AJ609" s="1930"/>
      <c r="AK609" s="1930"/>
      <c r="AL609" s="1930"/>
      <c r="AM609" s="1972">
        <f t="shared" si="868"/>
        <v>1.899635E-4</v>
      </c>
      <c r="AN609" s="1930">
        <f t="shared" si="869"/>
        <v>3.9575095955E-2</v>
      </c>
      <c r="AO609" s="1971">
        <f t="shared" si="870"/>
        <v>9.5955000001257673E-8</v>
      </c>
    </row>
    <row r="610" spans="1:41" s="100" customFormat="1" x14ac:dyDescent="0.25">
      <c r="A610" s="103" t="str">
        <f t="shared" si="864"/>
        <v>800851</v>
      </c>
      <c r="B610" s="684" t="str">
        <f>'BUS Deemed Savings Table'!C28</f>
        <v>800851_2020_12_</v>
      </c>
      <c r="C610" s="1962" t="str">
        <f>'BUS Deemed Savings Table'!G28</f>
        <v>Lighting BUS</v>
      </c>
      <c r="D610" s="1962"/>
      <c r="E610" s="1962"/>
      <c r="F610" s="1962"/>
      <c r="G610" s="1962" t="str">
        <f>'BUS Deemed Savings Table'!E28</f>
        <v>LED Replacting Interior T8 Fluorescent (Type B, Kits, and Fixtures)</v>
      </c>
      <c r="H610" s="63" t="str">
        <f>'BUS Deemed Savings Table'!D28</f>
        <v>C&amp;I</v>
      </c>
      <c r="I610" s="2438">
        <f>'BUS Deemed Savings Table'!F28</f>
        <v>209</v>
      </c>
      <c r="J610" s="2438"/>
      <c r="K610" s="2439"/>
      <c r="L610" s="2439"/>
      <c r="M610" s="2439"/>
      <c r="N610" s="2439"/>
      <c r="O610" s="2440">
        <f>'BUS Deemed Savings Table'!I28</f>
        <v>3.9702000000000001E-2</v>
      </c>
      <c r="P610" s="2440"/>
      <c r="Q610" s="2441"/>
      <c r="R610" s="2441"/>
      <c r="S610" s="2441"/>
      <c r="T610" s="2441"/>
      <c r="U610" s="1926">
        <f t="shared" si="895"/>
        <v>0</v>
      </c>
      <c r="V610" s="1926">
        <f t="shared" si="896"/>
        <v>0</v>
      </c>
      <c r="W610" s="1926">
        <f t="shared" si="897"/>
        <v>3.9702000000000001E-2</v>
      </c>
      <c r="X610" s="68">
        <f>'BUS Deemed Savings Table'!J28</f>
        <v>15</v>
      </c>
      <c r="Y610" s="68"/>
      <c r="Z610" s="68">
        <f t="shared" si="874"/>
        <v>15</v>
      </c>
      <c r="AA610" s="62">
        <f>'BUS Deemed Savings Table'!DB28</f>
        <v>4.3286058179992448</v>
      </c>
      <c r="AB610" s="839">
        <f>'BUS Deemed Savings Table'!K28</f>
        <v>29.64</v>
      </c>
      <c r="AC610" s="2451">
        <f t="shared" si="875"/>
        <v>121.09473944832241</v>
      </c>
      <c r="AD610" s="2451">
        <f t="shared" si="876"/>
        <v>0</v>
      </c>
      <c r="AE610" s="1661">
        <f>'BUS Deemed Savings Table'!DD28</f>
        <v>121.09473944832241</v>
      </c>
      <c r="AF610" s="2453"/>
      <c r="AG610" s="2453"/>
      <c r="AH610" s="2453"/>
      <c r="AI610" s="684" t="str">
        <f>'BUS Deemed Savings Table'!L28</f>
        <v>per measure</v>
      </c>
      <c r="AM610" s="2433">
        <f t="shared" si="868"/>
        <v>1.899635E-4</v>
      </c>
      <c r="AN610" s="100">
        <f t="shared" si="869"/>
        <v>3.97023715E-2</v>
      </c>
      <c r="AO610" s="2437">
        <f t="shared" si="870"/>
        <v>3.7149999999874783E-7</v>
      </c>
    </row>
    <row r="611" spans="1:41" s="100" customFormat="1" x14ac:dyDescent="0.25">
      <c r="A611" s="103" t="str">
        <f t="shared" si="864"/>
        <v>800852</v>
      </c>
      <c r="B611" s="1960" t="str">
        <f>'BUS Deemed Savings Table'!C29</f>
        <v>800852_2021_12_</v>
      </c>
      <c r="C611" s="1958" t="str">
        <f>'BUS Deemed Savings Table'!G29</f>
        <v>Lighting BUS</v>
      </c>
      <c r="D611" s="1958"/>
      <c r="E611" s="1958"/>
      <c r="F611" s="1958"/>
      <c r="G611" s="1958" t="str">
        <f>'BUS Deemed Savings Table'!E29</f>
        <v>LED Replacting Interior T8 Fluorescent (Type C)</v>
      </c>
      <c r="H611" s="1975" t="str">
        <f>'BUS Deemed Savings Table'!D29</f>
        <v>C&amp;I</v>
      </c>
      <c r="I611" s="1973">
        <f>'BUS Deemed Savings Table'!F29</f>
        <v>263.39</v>
      </c>
      <c r="J611" s="1973"/>
      <c r="K611" s="1963"/>
      <c r="L611" s="1963"/>
      <c r="M611" s="1963"/>
      <c r="N611" s="1963"/>
      <c r="O611" s="1974">
        <f>'BUS Deemed Savings Table'!I29</f>
        <v>14.766935999999999</v>
      </c>
      <c r="P611" s="1974"/>
      <c r="Q611" s="1976"/>
      <c r="R611" s="1976"/>
      <c r="S611" s="1976"/>
      <c r="T611" s="1976"/>
      <c r="U611" s="1926">
        <f t="shared" ref="U611" si="898">IF(V611+W611&gt;0,0,IF(Z611&gt;0,O611,0))</f>
        <v>0</v>
      </c>
      <c r="V611" s="1926">
        <f t="shared" ref="V611" si="899">IF(W611&gt;0,0,IF(Z611&gt;9,O611,0))</f>
        <v>14.766935999999999</v>
      </c>
      <c r="W611" s="1926">
        <f t="shared" ref="W611" si="900">IF(Z611&gt;14,O611,0)</f>
        <v>0</v>
      </c>
      <c r="X611" s="1952">
        <f>'BUS Deemed Savings Table'!J29</f>
        <v>11</v>
      </c>
      <c r="Y611" s="1952"/>
      <c r="Z611" s="1952">
        <f t="shared" ref="Z611" si="901">Y611+X611</f>
        <v>11</v>
      </c>
      <c r="AA611" s="1951">
        <f>'BUS Deemed Savings Table'!DB29</f>
        <v>4.0825542340871488</v>
      </c>
      <c r="AB611" s="2426">
        <f>'BUS Deemed Savings Table'!K29</f>
        <v>29.64</v>
      </c>
      <c r="AC611" s="1927">
        <f t="shared" ref="AC611" si="902">AE611+AF611</f>
        <v>114.21133317446257</v>
      </c>
      <c r="AD611" s="1927">
        <f t="shared" ref="AD611" si="903">AG611+AH611</f>
        <v>0</v>
      </c>
      <c r="AE611" s="2452">
        <f>'BUS Deemed Savings Table'!DD29</f>
        <v>114.21133317446257</v>
      </c>
      <c r="AF611" s="1982"/>
      <c r="AG611" s="1982"/>
      <c r="AH611" s="1982"/>
      <c r="AI611" s="1960" t="str">
        <f>'BUS Deemed Savings Table'!L29</f>
        <v>per measure</v>
      </c>
      <c r="AM611" s="2433">
        <f t="shared" ref="AM611" si="904">VLOOKUP(C611,$AS$10:$AT$49,2,FALSE)</f>
        <v>1.899635E-4</v>
      </c>
      <c r="AN611" s="100">
        <f t="shared" ref="AN611" si="905">AM611*I611</f>
        <v>5.0034486264999997E-2</v>
      </c>
      <c r="AO611" s="2437">
        <f t="shared" ref="AO611" si="906">AN611-O611</f>
        <v>-14.716901513734999</v>
      </c>
    </row>
    <row r="612" spans="1:41" x14ac:dyDescent="0.25">
      <c r="A612" s="103" t="str">
        <f t="shared" si="864"/>
        <v>800900</v>
      </c>
      <c r="B612" s="684" t="str">
        <f>'BUS Deemed Savings Table'!C30</f>
        <v>800900_2020_12_</v>
      </c>
      <c r="C612" s="1962" t="str">
        <f>'BUS Deemed Savings Table'!G30</f>
        <v>Lighting BUS</v>
      </c>
      <c r="D612" s="1962"/>
      <c r="E612" s="1962"/>
      <c r="F612" s="1962"/>
      <c r="G612" s="1962" t="str">
        <f>'BUS Deemed Savings Table'!E30</f>
        <v xml:space="preserve">LED Replacing Interior T12 Fluorescent (Type A / Hybrid) </v>
      </c>
      <c r="H612" s="63" t="str">
        <f>'BUS Deemed Savings Table'!D30</f>
        <v>C&amp;I</v>
      </c>
      <c r="I612" s="2438">
        <f>'BUS Deemed Savings Table'!F30</f>
        <v>224.23</v>
      </c>
      <c r="J612" s="2438"/>
      <c r="K612" s="2439"/>
      <c r="L612" s="2439"/>
      <c r="M612" s="2439"/>
      <c r="N612" s="2439"/>
      <c r="O612" s="2440">
        <f>'BUS Deemed Savings Table'!I30</f>
        <v>4.2596000000000002E-2</v>
      </c>
      <c r="P612" s="2440"/>
      <c r="Q612" s="2441"/>
      <c r="R612" s="2441"/>
      <c r="S612" s="2441"/>
      <c r="T612" s="2441"/>
      <c r="U612" s="1822">
        <f t="shared" si="895"/>
        <v>0</v>
      </c>
      <c r="V612" s="1822">
        <f t="shared" si="896"/>
        <v>4.2596000000000002E-2</v>
      </c>
      <c r="W612" s="1822">
        <f t="shared" si="897"/>
        <v>0</v>
      </c>
      <c r="X612" s="68">
        <f>'BUS Deemed Savings Table'!J30</f>
        <v>10</v>
      </c>
      <c r="Y612" s="68"/>
      <c r="Z612" s="68">
        <f t="shared" si="874"/>
        <v>10</v>
      </c>
      <c r="AA612" s="62">
        <f>'BUS Deemed Savings Table'!DB30</f>
        <v>3.1628339003625054</v>
      </c>
      <c r="AB612" s="839">
        <f>'BUS Deemed Savings Table'!K30</f>
        <v>29.64</v>
      </c>
      <c r="AC612" s="2451">
        <f t="shared" si="875"/>
        <v>88.481733654313032</v>
      </c>
      <c r="AD612" s="2451">
        <f t="shared" si="876"/>
        <v>0</v>
      </c>
      <c r="AE612" s="1661">
        <f>'BUS Deemed Savings Table'!DD30</f>
        <v>88.481733654313032</v>
      </c>
      <c r="AF612" s="2453"/>
      <c r="AG612" s="2453"/>
      <c r="AH612" s="2453"/>
      <c r="AI612" s="684" t="str">
        <f>'BUS Deemed Savings Table'!L30</f>
        <v>per measure</v>
      </c>
      <c r="AJ612" s="1930"/>
      <c r="AK612" s="1930"/>
      <c r="AL612" s="1930"/>
      <c r="AM612" s="1972">
        <f t="shared" si="868"/>
        <v>1.899635E-4</v>
      </c>
      <c r="AN612" s="1930">
        <f t="shared" si="869"/>
        <v>4.2595515605000002E-2</v>
      </c>
      <c r="AO612" s="1971">
        <f t="shared" si="870"/>
        <v>-4.8439499999997082E-7</v>
      </c>
    </row>
    <row r="613" spans="1:41" s="100" customFormat="1" x14ac:dyDescent="0.25">
      <c r="A613" s="103" t="str">
        <f t="shared" si="864"/>
        <v>800901</v>
      </c>
      <c r="B613" s="684" t="str">
        <f>'BUS Deemed Savings Table'!C31</f>
        <v>800901_2020_12_</v>
      </c>
      <c r="C613" s="1962" t="str">
        <f>'BUS Deemed Savings Table'!G31</f>
        <v>Lighting BUS</v>
      </c>
      <c r="D613" s="1962"/>
      <c r="E613" s="1962"/>
      <c r="F613" s="1962"/>
      <c r="G613" s="1962" t="str">
        <f>'BUS Deemed Savings Table'!E31</f>
        <v xml:space="preserve">LED Replacing Interior T12 Fluorescent (Type B, Kits, and Fixtures) </v>
      </c>
      <c r="H613" s="63" t="str">
        <f>'BUS Deemed Savings Table'!D31</f>
        <v>C&amp;I</v>
      </c>
      <c r="I613" s="2438">
        <f>'BUS Deemed Savings Table'!F31</f>
        <v>273.82</v>
      </c>
      <c r="J613" s="2438"/>
      <c r="K613" s="2439"/>
      <c r="L613" s="2439"/>
      <c r="M613" s="2439"/>
      <c r="N613" s="2439"/>
      <c r="O613" s="2440">
        <f>'BUS Deemed Savings Table'!I31</f>
        <v>5.2016E-2</v>
      </c>
      <c r="P613" s="2440"/>
      <c r="Q613" s="2441"/>
      <c r="R613" s="2441"/>
      <c r="S613" s="2441"/>
      <c r="T613" s="2441"/>
      <c r="U613" s="1926">
        <f t="shared" si="895"/>
        <v>0</v>
      </c>
      <c r="V613" s="1926">
        <f t="shared" si="896"/>
        <v>0</v>
      </c>
      <c r="W613" s="1926">
        <f t="shared" si="897"/>
        <v>5.2016E-2</v>
      </c>
      <c r="X613" s="68">
        <f>'BUS Deemed Savings Table'!J31</f>
        <v>15</v>
      </c>
      <c r="Y613" s="68"/>
      <c r="Z613" s="68">
        <f t="shared" si="874"/>
        <v>15</v>
      </c>
      <c r="AA613" s="62">
        <f>'BUS Deemed Savings Table'!DB31</f>
        <v>5.671094952557671</v>
      </c>
      <c r="AB613" s="839">
        <f>'BUS Deemed Savings Table'!K31</f>
        <v>29.64</v>
      </c>
      <c r="AC613" s="2451">
        <f t="shared" si="875"/>
        <v>158.65149069731888</v>
      </c>
      <c r="AD613" s="2451">
        <f t="shared" si="876"/>
        <v>0</v>
      </c>
      <c r="AE613" s="1661">
        <f>'BUS Deemed Savings Table'!DD31</f>
        <v>158.65149069731888</v>
      </c>
      <c r="AF613" s="2453"/>
      <c r="AG613" s="2453"/>
      <c r="AH613" s="2453"/>
      <c r="AI613" s="684" t="str">
        <f>'BUS Deemed Savings Table'!L31</f>
        <v>per measure</v>
      </c>
      <c r="AM613" s="2433">
        <f t="shared" si="868"/>
        <v>1.899635E-4</v>
      </c>
      <c r="AN613" s="100">
        <f t="shared" si="869"/>
        <v>5.2015805569999997E-2</v>
      </c>
      <c r="AO613" s="2437">
        <f t="shared" si="870"/>
        <v>-1.9443000000285426E-7</v>
      </c>
    </row>
    <row r="614" spans="1:41" s="100" customFormat="1" x14ac:dyDescent="0.25">
      <c r="A614" s="103" t="str">
        <f t="shared" si="864"/>
        <v>800902</v>
      </c>
      <c r="B614" s="1960" t="str">
        <f>'BUS Deemed Savings Table'!C32</f>
        <v>800902_2021_12_</v>
      </c>
      <c r="C614" s="1958" t="str">
        <f>'BUS Deemed Savings Table'!G32</f>
        <v>Lighting BUS</v>
      </c>
      <c r="D614" s="1958"/>
      <c r="E614" s="1958"/>
      <c r="F614" s="1958"/>
      <c r="G614" s="1958" t="str">
        <f>'BUS Deemed Savings Table'!E32</f>
        <v>LED Replacing Interior T12 Fluorescent (Type C)</v>
      </c>
      <c r="H614" s="1975" t="str">
        <f>'BUS Deemed Savings Table'!D32</f>
        <v>C&amp;I</v>
      </c>
      <c r="I614" s="1973">
        <f>'BUS Deemed Savings Table'!F32</f>
        <v>174.97</v>
      </c>
      <c r="J614" s="1973"/>
      <c r="K614" s="1963"/>
      <c r="L614" s="1963"/>
      <c r="M614" s="1963"/>
      <c r="N614" s="1963"/>
      <c r="O614" s="1974">
        <f>'BUS Deemed Savings Table'!I32</f>
        <v>14.766935999999999</v>
      </c>
      <c r="P614" s="1974"/>
      <c r="Q614" s="1976"/>
      <c r="R614" s="1976"/>
      <c r="S614" s="1976"/>
      <c r="T614" s="1976"/>
      <c r="U614" s="1926">
        <f t="shared" ref="U614" si="907">IF(V614+W614&gt;0,0,IF(Z614&gt;0,O614,0))</f>
        <v>0</v>
      </c>
      <c r="V614" s="1926">
        <f t="shared" ref="V614" si="908">IF(W614&gt;0,0,IF(Z614&gt;9,O614,0))</f>
        <v>14.766935999999999</v>
      </c>
      <c r="W614" s="1926">
        <f t="shared" ref="W614" si="909">IF(Z614&gt;14,O614,0)</f>
        <v>0</v>
      </c>
      <c r="X614" s="1952">
        <f>'BUS Deemed Savings Table'!J32</f>
        <v>11</v>
      </c>
      <c r="Y614" s="1952"/>
      <c r="Z614" s="1952">
        <f t="shared" ref="Z614" si="910">Y614+X614</f>
        <v>11</v>
      </c>
      <c r="AA614" s="1951">
        <f>'BUS Deemed Savings Table'!DB32</f>
        <v>2.7120411342048993</v>
      </c>
      <c r="AB614" s="2426">
        <f>'BUS Deemed Savings Table'!K32</f>
        <v>29.64</v>
      </c>
      <c r="AC614" s="1927">
        <f t="shared" ref="AC614" si="911">AE614+AF614</f>
        <v>75.870598601069574</v>
      </c>
      <c r="AD614" s="1927">
        <f t="shared" ref="AD614" si="912">AG614+AH614</f>
        <v>0</v>
      </c>
      <c r="AE614" s="2452">
        <f>'BUS Deemed Savings Table'!DD32</f>
        <v>75.870598601069574</v>
      </c>
      <c r="AF614" s="1982"/>
      <c r="AG614" s="1982"/>
      <c r="AH614" s="1982"/>
      <c r="AI614" s="1960" t="str">
        <f>'BUS Deemed Savings Table'!L32</f>
        <v>per measure</v>
      </c>
      <c r="AM614" s="2433">
        <f t="shared" ref="AM614" si="913">VLOOKUP(C614,$AS$10:$AT$49,2,FALSE)</f>
        <v>1.899635E-4</v>
      </c>
      <c r="AN614" s="100">
        <f t="shared" ref="AN614" si="914">AM614*I614</f>
        <v>3.3237913595000002E-2</v>
      </c>
      <c r="AO614" s="2437">
        <f t="shared" ref="AO614" si="915">AN614-O614</f>
        <v>-14.733698086404999</v>
      </c>
    </row>
    <row r="615" spans="1:41" x14ac:dyDescent="0.25">
      <c r="A615" s="103" t="str">
        <f t="shared" si="864"/>
        <v>800950</v>
      </c>
      <c r="B615" s="684" t="str">
        <f>'BUS Deemed Savings Table'!C33</f>
        <v>800950_2019_12_</v>
      </c>
      <c r="C615" s="1962" t="str">
        <f>'BUS Deemed Savings Table'!G33</f>
        <v>Lighting BUS</v>
      </c>
      <c r="D615" s="1962"/>
      <c r="E615" s="1962"/>
      <c r="F615" s="1962"/>
      <c r="G615" s="1962" t="str">
        <f>'BUS Deemed Savings Table'!E33</f>
        <v>LED Specialty Lamp</v>
      </c>
      <c r="H615" s="63" t="str">
        <f>'BUS Deemed Savings Table'!D33</f>
        <v>C&amp;I</v>
      </c>
      <c r="I615" s="2438">
        <f>'BUS Deemed Savings Table'!F33</f>
        <v>99.04</v>
      </c>
      <c r="J615" s="2438"/>
      <c r="K615" s="2439"/>
      <c r="L615" s="2439"/>
      <c r="M615" s="2439"/>
      <c r="N615" s="2439"/>
      <c r="O615" s="2440">
        <f>'BUS Deemed Savings Table'!I33</f>
        <v>1.8814000000000001E-2</v>
      </c>
      <c r="P615" s="2440"/>
      <c r="Q615" s="2441"/>
      <c r="R615" s="2441"/>
      <c r="S615" s="2441"/>
      <c r="T615" s="2441"/>
      <c r="U615" s="1822">
        <f t="shared" si="895"/>
        <v>0</v>
      </c>
      <c r="V615" s="1822">
        <f t="shared" si="896"/>
        <v>1.8814000000000001E-2</v>
      </c>
      <c r="W615" s="1822">
        <f t="shared" si="897"/>
        <v>0</v>
      </c>
      <c r="X615" s="68">
        <f>'BUS Deemed Savings Table'!J33</f>
        <v>10</v>
      </c>
      <c r="Y615" s="68"/>
      <c r="Z615" s="68">
        <f t="shared" si="874"/>
        <v>10</v>
      </c>
      <c r="AA615" s="62">
        <f>'BUS Deemed Savings Table'!DB33</f>
        <v>3.467904843958451</v>
      </c>
      <c r="AB615" s="839">
        <f>'BUS Deemed Savings Table'!K33</f>
        <v>11.94</v>
      </c>
      <c r="AC615" s="2451">
        <f t="shared" si="875"/>
        <v>39.081438260371776</v>
      </c>
      <c r="AD615" s="2451">
        <f t="shared" si="876"/>
        <v>0</v>
      </c>
      <c r="AE615" s="1661">
        <f>'BUS Deemed Savings Table'!DD33</f>
        <v>39.081438260371776</v>
      </c>
      <c r="AF615" s="2453"/>
      <c r="AG615" s="2453"/>
      <c r="AH615" s="2453"/>
      <c r="AI615" s="684" t="str">
        <f>'BUS Deemed Savings Table'!L33</f>
        <v>per measure</v>
      </c>
      <c r="AJ615" s="1930"/>
      <c r="AK615" s="1930"/>
      <c r="AL615" s="1930"/>
      <c r="AM615" s="1972">
        <f t="shared" si="868"/>
        <v>1.899635E-4</v>
      </c>
      <c r="AN615" s="1930">
        <f t="shared" si="869"/>
        <v>1.8813985040000002E-2</v>
      </c>
      <c r="AO615" s="1971">
        <f t="shared" si="870"/>
        <v>-1.4959999999203388E-8</v>
      </c>
    </row>
    <row r="616" spans="1:41" s="100" customFormat="1" x14ac:dyDescent="0.25">
      <c r="A616" s="103" t="str">
        <f t="shared" si="864"/>
        <v>800980</v>
      </c>
      <c r="B616" s="1960" t="str">
        <f>'BUS Deemed Savings Table'!C34</f>
        <v>800980_2021_12</v>
      </c>
      <c r="C616" s="1958" t="str">
        <f>'BUS Deemed Savings Table'!G34</f>
        <v>Lighting BUS</v>
      </c>
      <c r="D616" s="1958"/>
      <c r="E616" s="1958"/>
      <c r="F616" s="1958"/>
      <c r="G616" s="1958" t="str">
        <f>'BUS Deemed Savings Table'!E34</f>
        <v>LED Lighting Redesign</v>
      </c>
      <c r="H616" s="1975" t="str">
        <f>'BUS Deemed Savings Table'!D34</f>
        <v>C&amp;I</v>
      </c>
      <c r="I616" s="1973">
        <f>'BUS Deemed Savings Table'!F34</f>
        <v>77736.87</v>
      </c>
      <c r="J616" s="1973"/>
      <c r="K616" s="1963"/>
      <c r="L616" s="1963"/>
      <c r="M616" s="1963"/>
      <c r="N616" s="1963"/>
      <c r="O616" s="1974">
        <f>'BUS Deemed Savings Table'!I34</f>
        <v>14.766935999999999</v>
      </c>
      <c r="P616" s="1974"/>
      <c r="Q616" s="1976"/>
      <c r="R616" s="1976"/>
      <c r="S616" s="1976"/>
      <c r="T616" s="1976"/>
      <c r="U616" s="1926">
        <f t="shared" ref="U616" si="916">IF(V616+W616&gt;0,0,IF(Z616&gt;0,O616,0))</f>
        <v>0</v>
      </c>
      <c r="V616" s="1926">
        <f t="shared" ref="V616" si="917">IF(W616&gt;0,0,IF(Z616&gt;9,O616,0))</f>
        <v>0</v>
      </c>
      <c r="W616" s="1926">
        <f t="shared" ref="W616" si="918">IF(Z616&gt;14,O616,0)</f>
        <v>14.766935999999999</v>
      </c>
      <c r="X616" s="1952">
        <f>'BUS Deemed Savings Table'!J34</f>
        <v>15</v>
      </c>
      <c r="Y616" s="1952"/>
      <c r="Z616" s="1952">
        <f t="shared" ref="Z616" si="919">Y616+X616</f>
        <v>15</v>
      </c>
      <c r="AA616" s="1951">
        <f>'BUS Deemed Savings Table'!DB34</f>
        <v>4.7720721608898131</v>
      </c>
      <c r="AB616" s="2426">
        <f>'BUS Deemed Savings Table'!K34</f>
        <v>10000</v>
      </c>
      <c r="AC616" s="1927">
        <f t="shared" ref="AC616" si="920">AE616+AF616</f>
        <v>45040.794345349816</v>
      </c>
      <c r="AD616" s="1927">
        <f t="shared" ref="AD616" si="921">AG616+AH616</f>
        <v>0</v>
      </c>
      <c r="AE616" s="2452">
        <f>'BUS Deemed Savings Table'!DD34</f>
        <v>45040.794345349816</v>
      </c>
      <c r="AF616" s="1982"/>
      <c r="AG616" s="1982"/>
      <c r="AH616" s="1982"/>
      <c r="AI616" s="1960" t="str">
        <f>'BUS Deemed Savings Table'!L34</f>
        <v>per project</v>
      </c>
      <c r="AM616" s="2433">
        <f t="shared" ref="AM616" si="922">VLOOKUP(C616,$AS$10:$AT$49,2,FALSE)</f>
        <v>1.899635E-4</v>
      </c>
      <c r="AN616" s="100">
        <f t="shared" ref="AN616" si="923">AM616*I616</f>
        <v>14.767167904244999</v>
      </c>
      <c r="AO616" s="2437">
        <f t="shared" ref="AO616" si="924">AN616-O616</f>
        <v>2.3190424500008078E-4</v>
      </c>
    </row>
    <row r="617" spans="1:41" s="100" customFormat="1" x14ac:dyDescent="0.25">
      <c r="A617" s="103" t="str">
        <f t="shared" si="864"/>
        <v>800990</v>
      </c>
      <c r="B617" s="1960" t="str">
        <f>'BUS Deemed Savings Table'!C80</f>
        <v>800990_2021_12</v>
      </c>
      <c r="C617" s="1958" t="str">
        <f>'BUS Deemed Savings Table'!G80</f>
        <v>Lighting BUS</v>
      </c>
      <c r="D617" s="1958"/>
      <c r="E617" s="1958"/>
      <c r="F617" s="1958"/>
      <c r="G617" s="1958" t="str">
        <f>'BUS Deemed Savings Table'!E80</f>
        <v>Lighting Power Density</v>
      </c>
      <c r="H617" s="1975" t="str">
        <f>'BUS Deemed Savings Table'!D80</f>
        <v>C&amp;I</v>
      </c>
      <c r="I617" s="1973">
        <f>'BUS Deemed Savings Table'!F80</f>
        <v>0.71778419999999976</v>
      </c>
      <c r="J617" s="1973"/>
      <c r="K617" s="1963"/>
      <c r="L617" s="1963"/>
      <c r="M617" s="1963"/>
      <c r="N617" s="1963"/>
      <c r="O617" s="1974">
        <f>'BUS Deemed Savings Table'!I80</f>
        <v>1.36E-4</v>
      </c>
      <c r="P617" s="1974"/>
      <c r="Q617" s="1976"/>
      <c r="R617" s="1976"/>
      <c r="S617" s="1976"/>
      <c r="T617" s="1976"/>
      <c r="U617" s="1926">
        <f t="shared" ref="U617" si="925">IF(V617+W617&gt;0,0,IF(Z617&gt;0,O617,0))</f>
        <v>0</v>
      </c>
      <c r="V617" s="1926">
        <f t="shared" ref="V617" si="926">IF(W617&gt;0,0,IF(Z617&gt;9,O617,0))</f>
        <v>0</v>
      </c>
      <c r="W617" s="1926">
        <f t="shared" ref="W617" si="927">IF(Z617&gt;14,O617,0)</f>
        <v>1.36E-4</v>
      </c>
      <c r="X617" s="1952">
        <f>'BUS Deemed Savings Table'!J80</f>
        <v>15</v>
      </c>
      <c r="Y617" s="1952"/>
      <c r="Z617" s="1952">
        <f t="shared" ref="Z617" si="928">Y617+X617</f>
        <v>15</v>
      </c>
      <c r="AA617" s="1951">
        <f>'BUS Deemed Savings Table'!DB80</f>
        <v>2.0028626397244524</v>
      </c>
      <c r="AB617" s="2426">
        <f>'BUS Deemed Savings Table'!K80</f>
        <v>0.22</v>
      </c>
      <c r="AC617" s="1927">
        <f t="shared" ref="AC617" si="929">AE617+AF617</f>
        <v>0.41588464439771539</v>
      </c>
      <c r="AD617" s="1927">
        <f t="shared" ref="AD617" si="930">AG617+AH617</f>
        <v>0</v>
      </c>
      <c r="AE617" s="2452">
        <f>'BUS Deemed Savings Table'!DD80</f>
        <v>0.41588464439771539</v>
      </c>
      <c r="AF617" s="1982"/>
      <c r="AG617" s="1982"/>
      <c r="AH617" s="1982"/>
      <c r="AI617" s="1960" t="str">
        <f>'BUS Deemed Savings Table'!L80</f>
        <v>per sqft</v>
      </c>
      <c r="AM617" s="2433">
        <f t="shared" ref="AM617" si="931">VLOOKUP(C617,$AS$10:$AT$49,2,FALSE)</f>
        <v>1.899635E-4</v>
      </c>
      <c r="AN617" s="100">
        <f t="shared" ref="AN617" si="932">AM617*I617</f>
        <v>1.3635279887669997E-4</v>
      </c>
      <c r="AO617" s="2437">
        <f t="shared" ref="AO617" si="933">AN617-O617</f>
        <v>3.5279887669996683E-7</v>
      </c>
    </row>
    <row r="618" spans="1:41" s="123" customFormat="1" x14ac:dyDescent="0.25">
      <c r="A618" s="103" t="str">
        <f t="shared" si="864"/>
        <v>801010</v>
      </c>
      <c r="B618" s="684" t="str">
        <f>'BUS Deemed Savings Table'!C98</f>
        <v>801010_2020_07</v>
      </c>
      <c r="C618" s="1962" t="str">
        <f>'BUS Deemed Savings Table'!G98</f>
        <v>Lighting BUS</v>
      </c>
      <c r="D618" s="1962"/>
      <c r="E618" s="1962"/>
      <c r="F618" s="1962"/>
      <c r="G618" s="1962" t="str">
        <f>'BUS Deemed Savings Table'!E98</f>
        <v>Fixture Mounted Occupancy Sensor Controlling &gt; 60 Watts</v>
      </c>
      <c r="H618" s="63" t="str">
        <f>'BUS Deemed Savings Table'!D98</f>
        <v>C&amp;I</v>
      </c>
      <c r="I618" s="2438">
        <f>'BUS Deemed Savings Table'!F98</f>
        <v>118.87</v>
      </c>
      <c r="J618" s="2438"/>
      <c r="K618" s="2439"/>
      <c r="L618" s="2439"/>
      <c r="M618" s="2439"/>
      <c r="N618" s="2439"/>
      <c r="O618" s="2440">
        <f>'BUS Deemed Savings Table'!I98</f>
        <v>2.2581E-2</v>
      </c>
      <c r="P618" s="2440"/>
      <c r="Q618" s="2441"/>
      <c r="R618" s="2441"/>
      <c r="S618" s="2441"/>
      <c r="T618" s="2441"/>
      <c r="U618" s="2442">
        <f t="shared" ref="U618" si="934">IF(V618+W618&gt;0,0,IF(Z618&gt;0,O618,0))</f>
        <v>0</v>
      </c>
      <c r="V618" s="2442">
        <f t="shared" ref="V618" si="935">IF(W618&gt;0,0,IF(Z618&gt;9,O618,0))</f>
        <v>2.2581E-2</v>
      </c>
      <c r="W618" s="2442">
        <f t="shared" ref="W618" si="936">IF(Z618&gt;14,O618,0)</f>
        <v>0</v>
      </c>
      <c r="X618" s="68">
        <f>'BUS Deemed Savings Table'!J98</f>
        <v>10</v>
      </c>
      <c r="Y618" s="68"/>
      <c r="Z618" s="68">
        <f t="shared" ref="Z618:Z628" si="937">Y618+X618</f>
        <v>10</v>
      </c>
      <c r="AA618" s="62">
        <f>'BUS Deemed Savings Table'!DB98</f>
        <v>1.1043852976772599</v>
      </c>
      <c r="AB618" s="839">
        <f>'BUS Deemed Savings Table'!K98</f>
        <v>45</v>
      </c>
      <c r="AC618" s="2451">
        <f t="shared" ref="AC618" si="938">AE618+AF618</f>
        <v>46.906407168925618</v>
      </c>
      <c r="AD618" s="2451">
        <f t="shared" ref="AD618" si="939">AG618+AH618</f>
        <v>0</v>
      </c>
      <c r="AE618" s="1661">
        <f>'BUS Deemed Savings Table'!DD98</f>
        <v>46.906407168925618</v>
      </c>
      <c r="AF618" s="2453"/>
      <c r="AG618" s="2453"/>
      <c r="AH618" s="2453"/>
      <c r="AI618" s="684" t="str">
        <f>'BUS Deemed Savings Table'!L98</f>
        <v>per measure</v>
      </c>
      <c r="AM618" s="2443">
        <f t="shared" ref="AM618" si="940">VLOOKUP(C618,$AS$10:$AT$49,2,FALSE)</f>
        <v>1.899635E-4</v>
      </c>
      <c r="AN618" s="123">
        <f t="shared" ref="AN618" si="941">AM618*I618</f>
        <v>2.2580961245000003E-2</v>
      </c>
      <c r="AO618" s="2444">
        <f t="shared" ref="AO618" si="942">AN618-O618</f>
        <v>-3.8754999997364648E-8</v>
      </c>
    </row>
    <row r="619" spans="1:41" s="123" customFormat="1" x14ac:dyDescent="0.25">
      <c r="A619" s="103" t="str">
        <f t="shared" si="864"/>
        <v>801020</v>
      </c>
      <c r="B619" s="684" t="str">
        <f>'BUS Deemed Savings Table'!C99</f>
        <v>801020_2020_07</v>
      </c>
      <c r="C619" s="1962" t="str">
        <f>'BUS Deemed Savings Table'!G99</f>
        <v>Lighting BUS</v>
      </c>
      <c r="D619" s="1962"/>
      <c r="E619" s="1962"/>
      <c r="F619" s="1962"/>
      <c r="G619" s="1962" t="str">
        <f>'BUS Deemed Savings Table'!E99</f>
        <v>Remote Mounted Occupancy Sensor Controlling &gt; 150 Watts</v>
      </c>
      <c r="H619" s="63" t="str">
        <f>'BUS Deemed Savings Table'!D99</f>
        <v>C&amp;I</v>
      </c>
      <c r="I619" s="2438">
        <f>'BUS Deemed Savings Table'!F99</f>
        <v>291.13</v>
      </c>
      <c r="J619" s="2438"/>
      <c r="K619" s="2439"/>
      <c r="L619" s="2439"/>
      <c r="M619" s="2439"/>
      <c r="N619" s="2439"/>
      <c r="O619" s="2440">
        <f>'BUS Deemed Savings Table'!I99</f>
        <v>5.5303999999999999E-2</v>
      </c>
      <c r="P619" s="2440"/>
      <c r="Q619" s="2441"/>
      <c r="R619" s="2441"/>
      <c r="S619" s="2441"/>
      <c r="T619" s="2441"/>
      <c r="U619" s="2442">
        <f t="shared" ref="U619" si="943">IF(V619+W619&gt;0,0,IF(Z619&gt;0,O619,0))</f>
        <v>0</v>
      </c>
      <c r="V619" s="2442">
        <f t="shared" ref="V619" si="944">IF(W619&gt;0,0,IF(Z619&gt;9,O619,0))</f>
        <v>5.5303999999999999E-2</v>
      </c>
      <c r="W619" s="2442">
        <f t="shared" ref="W619" si="945">IF(Z619&gt;14,O619,0)</f>
        <v>0</v>
      </c>
      <c r="X619" s="68">
        <f>'BUS Deemed Savings Table'!J99</f>
        <v>10</v>
      </c>
      <c r="Y619" s="68"/>
      <c r="Z619" s="68">
        <f t="shared" si="937"/>
        <v>10</v>
      </c>
      <c r="AA619" s="62">
        <f>'BUS Deemed Savings Table'!DB99</f>
        <v>1.1592004171884556</v>
      </c>
      <c r="AB619" s="839">
        <f>'BUS Deemed Savings Table'!K99</f>
        <v>105</v>
      </c>
      <c r="AC619" s="2451">
        <f t="shared" ref="AC619" si="946">AE619+AF619</f>
        <v>114.88064540329195</v>
      </c>
      <c r="AD619" s="2451">
        <f t="shared" ref="AD619" si="947">AG619+AH619</f>
        <v>0</v>
      </c>
      <c r="AE619" s="1661">
        <f>'BUS Deemed Savings Table'!DD99</f>
        <v>114.88064540329195</v>
      </c>
      <c r="AF619" s="2453"/>
      <c r="AG619" s="2453"/>
      <c r="AH619" s="2453"/>
      <c r="AI619" s="684" t="str">
        <f>'BUS Deemed Savings Table'!L99</f>
        <v>per measure</v>
      </c>
      <c r="AM619" s="2443">
        <f t="shared" ref="AM619" si="948">VLOOKUP(C619,$AS$10:$AT$49,2,FALSE)</f>
        <v>1.899635E-4</v>
      </c>
      <c r="AN619" s="123">
        <f t="shared" ref="AN619" si="949">AM619*I619</f>
        <v>5.5304073755000002E-2</v>
      </c>
      <c r="AO619" s="2444">
        <f t="shared" ref="AO619" si="950">AN619-O619</f>
        <v>7.3755000003228322E-8</v>
      </c>
    </row>
    <row r="620" spans="1:41" s="100" customFormat="1" x14ac:dyDescent="0.25">
      <c r="A620" s="103" t="str">
        <f t="shared" si="864"/>
        <v>801225</v>
      </c>
      <c r="B620" s="684" t="str">
        <f>'BUS Deemed Savings Table'!C119</f>
        <v>801225_2020_12_</v>
      </c>
      <c r="C620" s="1962" t="str">
        <f>'BUS Deemed Savings Table'!G119</f>
        <v>Lighting BUS</v>
      </c>
      <c r="D620" s="1962"/>
      <c r="E620" s="1962"/>
      <c r="F620" s="1962"/>
      <c r="G620" s="1962" t="str">
        <f>'BUS Deemed Savings Table'!E119</f>
        <v>LED Retrofit Kit with Network Controls Replacing Interior T5 Fluorescent</v>
      </c>
      <c r="H620" s="63" t="str">
        <f>'BUS Deemed Savings Table'!D119</f>
        <v>C&amp;I</v>
      </c>
      <c r="I620" s="2438">
        <f>'BUS Deemed Savings Table'!F119</f>
        <v>177.5967703311523</v>
      </c>
      <c r="J620" s="2438"/>
      <c r="K620" s="2439"/>
      <c r="L620" s="2439"/>
      <c r="M620" s="2439"/>
      <c r="N620" s="2439"/>
      <c r="O620" s="2440">
        <f>'BUS Deemed Savings Table'!I119</f>
        <v>3.3737000000000003E-2</v>
      </c>
      <c r="P620" s="2440"/>
      <c r="Q620" s="2441"/>
      <c r="R620" s="2441"/>
      <c r="S620" s="2441"/>
      <c r="T620" s="2441"/>
      <c r="U620" s="1926">
        <f t="shared" ref="U620" si="951">IF(V620+W620&gt;0,0,IF(Z620&gt;0,O620,0))</f>
        <v>0</v>
      </c>
      <c r="V620" s="1926">
        <f t="shared" ref="V620" si="952">IF(W620&gt;0,0,IF(Z620&gt;9,O620,0))</f>
        <v>0</v>
      </c>
      <c r="W620" s="1926">
        <f t="shared" ref="W620" si="953">IF(Z620&gt;14,O620,0)</f>
        <v>3.3737000000000003E-2</v>
      </c>
      <c r="X620" s="68">
        <f>'BUS Deemed Savings Table'!J119</f>
        <v>15</v>
      </c>
      <c r="Y620" s="68"/>
      <c r="Z620" s="68">
        <f t="shared" ref="Z620" si="954">Y620+X620</f>
        <v>15</v>
      </c>
      <c r="AA620" s="62">
        <f>'BUS Deemed Savings Table'!DB119</f>
        <v>1.9552047814802895</v>
      </c>
      <c r="AB620" s="839">
        <f>'BUS Deemed Savings Table'!K119</f>
        <v>55.76</v>
      </c>
      <c r="AC620" s="2451">
        <f t="shared" ref="AC620" si="955">AE620+AF620</f>
        <v>102.89968722542797</v>
      </c>
      <c r="AD620" s="2451">
        <f t="shared" ref="AD620" si="956">AG620+AH620</f>
        <v>0</v>
      </c>
      <c r="AE620" s="1661">
        <f>'BUS Deemed Savings Table'!DD119</f>
        <v>102.89968722542797</v>
      </c>
      <c r="AF620" s="2453"/>
      <c r="AG620" s="2453"/>
      <c r="AH620" s="2453"/>
      <c r="AI620" s="684" t="str">
        <f>'BUS Deemed Savings Table'!L119</f>
        <v>per measure</v>
      </c>
      <c r="AM620" s="2433">
        <f t="shared" ref="AM620" si="957">VLOOKUP(C620,$AS$10:$AT$49,2,FALSE)</f>
        <v>1.899635E-4</v>
      </c>
      <c r="AN620" s="100">
        <f t="shared" ref="AN620" si="958">AM620*I620</f>
        <v>3.3736904080801849E-2</v>
      </c>
      <c r="AO620" s="2437">
        <f t="shared" ref="AO620" si="959">AN620-O620</f>
        <v>-9.5919198153660012E-8</v>
      </c>
    </row>
    <row r="621" spans="1:41" s="100" customFormat="1" x14ac:dyDescent="0.25">
      <c r="A621" s="103" t="str">
        <f t="shared" si="864"/>
        <v>801227</v>
      </c>
      <c r="B621" s="684" t="str">
        <f>'BUS Deemed Savings Table'!C120</f>
        <v>801227_2020_12_</v>
      </c>
      <c r="C621" s="1962" t="str">
        <f>'BUS Deemed Savings Table'!G120</f>
        <v>Lighting BUS</v>
      </c>
      <c r="D621" s="1962"/>
      <c r="E621" s="1962"/>
      <c r="F621" s="1962"/>
      <c r="G621" s="1962" t="str">
        <f>'BUS Deemed Savings Table'!E120</f>
        <v>LED Fixture with Network Controls Replacing Interior T5 Fluorescent</v>
      </c>
      <c r="H621" s="63" t="str">
        <f>'BUS Deemed Savings Table'!D120</f>
        <v>C&amp;I</v>
      </c>
      <c r="I621" s="2438">
        <f>'BUS Deemed Savings Table'!F120</f>
        <v>177.5967703311523</v>
      </c>
      <c r="J621" s="2438"/>
      <c r="K621" s="2439"/>
      <c r="L621" s="2439"/>
      <c r="M621" s="2439"/>
      <c r="N621" s="2439"/>
      <c r="O621" s="2440">
        <f>'BUS Deemed Savings Table'!I120</f>
        <v>3.3737000000000003E-2</v>
      </c>
      <c r="P621" s="2440"/>
      <c r="Q621" s="2441"/>
      <c r="R621" s="2441"/>
      <c r="S621" s="2441"/>
      <c r="T621" s="2441"/>
      <c r="U621" s="1926">
        <f t="shared" ref="U621:U627" si="960">IF(V621+W621&gt;0,0,IF(Z621&gt;0,O621,0))</f>
        <v>0</v>
      </c>
      <c r="V621" s="1926">
        <f t="shared" ref="V621:V627" si="961">IF(W621&gt;0,0,IF(Z621&gt;9,O621,0))</f>
        <v>0</v>
      </c>
      <c r="W621" s="1926">
        <f t="shared" ref="W621:W627" si="962">IF(Z621&gt;14,O621,0)</f>
        <v>3.3737000000000003E-2</v>
      </c>
      <c r="X621" s="68">
        <f>'BUS Deemed Savings Table'!J120</f>
        <v>15</v>
      </c>
      <c r="Y621" s="68"/>
      <c r="Z621" s="68">
        <f t="shared" ref="Z621:Z627" si="963">Y621+X621</f>
        <v>15</v>
      </c>
      <c r="AA621" s="62">
        <f>'BUS Deemed Savings Table'!DB120</f>
        <v>1.9552047814802895</v>
      </c>
      <c r="AB621" s="839">
        <f>'BUS Deemed Savings Table'!K120</f>
        <v>55.76</v>
      </c>
      <c r="AC621" s="2451">
        <f t="shared" ref="AC621:AC627" si="964">AE621+AF621</f>
        <v>102.89968722542797</v>
      </c>
      <c r="AD621" s="2451">
        <f t="shared" ref="AD621:AD627" si="965">AG621+AH621</f>
        <v>0</v>
      </c>
      <c r="AE621" s="1661">
        <f>'BUS Deemed Savings Table'!DD120</f>
        <v>102.89968722542797</v>
      </c>
      <c r="AF621" s="2453"/>
      <c r="AG621" s="2453"/>
      <c r="AH621" s="2453"/>
      <c r="AI621" s="684" t="str">
        <f>'BUS Deemed Savings Table'!L120</f>
        <v>per measure</v>
      </c>
      <c r="AM621" s="2433">
        <f t="shared" ref="AM621:AM627" si="966">VLOOKUP(C621,$AS$10:$AT$49,2,FALSE)</f>
        <v>1.899635E-4</v>
      </c>
      <c r="AN621" s="100">
        <f t="shared" ref="AN621:AN627" si="967">AM621*I621</f>
        <v>3.3736904080801849E-2</v>
      </c>
      <c r="AO621" s="2437">
        <f t="shared" ref="AO621:AO627" si="968">AN621-O621</f>
        <v>-9.5919198153660012E-8</v>
      </c>
    </row>
    <row r="622" spans="1:41" s="100" customFormat="1" x14ac:dyDescent="0.25">
      <c r="A622" s="103" t="str">
        <f t="shared" si="864"/>
        <v>801229</v>
      </c>
      <c r="B622" s="684" t="str">
        <f>'BUS Deemed Savings Table'!C121</f>
        <v>801229_2020_12_</v>
      </c>
      <c r="C622" s="1962" t="str">
        <f>'BUS Deemed Savings Table'!G121</f>
        <v>Lighting BUS</v>
      </c>
      <c r="D622" s="1962"/>
      <c r="E622" s="1962"/>
      <c r="F622" s="1962"/>
      <c r="G622" s="1962" t="str">
        <f>'BUS Deemed Savings Table'!E121</f>
        <v>LED Retrofit Kit with Network Controls Replacing Interior T8 Fluorescent</v>
      </c>
      <c r="H622" s="63" t="str">
        <f>'BUS Deemed Savings Table'!D121</f>
        <v>C&amp;I</v>
      </c>
      <c r="I622" s="2438">
        <f>'BUS Deemed Savings Table'!F121</f>
        <v>69.207472169124159</v>
      </c>
      <c r="J622" s="2438"/>
      <c r="K622" s="2439"/>
      <c r="L622" s="2439"/>
      <c r="M622" s="2439"/>
      <c r="N622" s="2439"/>
      <c r="O622" s="2440">
        <f>'BUS Deemed Savings Table'!I121</f>
        <v>1.3147000000000001E-2</v>
      </c>
      <c r="P622" s="2440"/>
      <c r="Q622" s="2441"/>
      <c r="R622" s="2441"/>
      <c r="S622" s="2441"/>
      <c r="T622" s="2441"/>
      <c r="U622" s="1926">
        <f t="shared" si="960"/>
        <v>0</v>
      </c>
      <c r="V622" s="1926">
        <f t="shared" si="961"/>
        <v>0</v>
      </c>
      <c r="W622" s="1926">
        <f t="shared" si="962"/>
        <v>1.3147000000000001E-2</v>
      </c>
      <c r="X622" s="68">
        <f>'BUS Deemed Savings Table'!J121</f>
        <v>15</v>
      </c>
      <c r="Y622" s="68"/>
      <c r="Z622" s="68">
        <f t="shared" si="963"/>
        <v>15</v>
      </c>
      <c r="AA622" s="62">
        <f>'BUS Deemed Savings Table'!DB121</f>
        <v>0.76192140345189607</v>
      </c>
      <c r="AB622" s="839">
        <f>'BUS Deemed Savings Table'!K121</f>
        <v>55.76</v>
      </c>
      <c r="AC622" s="2451">
        <f t="shared" si="964"/>
        <v>40.098855551182368</v>
      </c>
      <c r="AD622" s="2451">
        <f t="shared" si="965"/>
        <v>0</v>
      </c>
      <c r="AE622" s="1661">
        <f>'BUS Deemed Savings Table'!DD121</f>
        <v>40.098855551182368</v>
      </c>
      <c r="AF622" s="2453"/>
      <c r="AG622" s="2453"/>
      <c r="AH622" s="2453"/>
      <c r="AI622" s="684" t="str">
        <f>'BUS Deemed Savings Table'!L121</f>
        <v>per measure</v>
      </c>
      <c r="AM622" s="2433">
        <f t="shared" si="966"/>
        <v>1.899635E-4</v>
      </c>
      <c r="AN622" s="100">
        <f t="shared" si="967"/>
        <v>1.3146893639399417E-2</v>
      </c>
      <c r="AO622" s="2437">
        <f t="shared" si="968"/>
        <v>-1.0636060058383245E-7</v>
      </c>
    </row>
    <row r="623" spans="1:41" s="100" customFormat="1" x14ac:dyDescent="0.25">
      <c r="A623" s="103" t="str">
        <f t="shared" si="864"/>
        <v>801231</v>
      </c>
      <c r="B623" s="684" t="str">
        <f>'BUS Deemed Savings Table'!C122</f>
        <v>801231_2020_12_</v>
      </c>
      <c r="C623" s="1962" t="str">
        <f>'BUS Deemed Savings Table'!G122</f>
        <v>Lighting BUS</v>
      </c>
      <c r="D623" s="1962"/>
      <c r="E623" s="1962"/>
      <c r="F623" s="1962"/>
      <c r="G623" s="1962" t="str">
        <f>'BUS Deemed Savings Table'!E122</f>
        <v>LED Fixture with Network Controls Replacing Interior T8 Fluorescent</v>
      </c>
      <c r="H623" s="63" t="str">
        <f>'BUS Deemed Savings Table'!D122</f>
        <v>C&amp;I</v>
      </c>
      <c r="I623" s="2438">
        <f>'BUS Deemed Savings Table'!F122</f>
        <v>69.207472169124159</v>
      </c>
      <c r="J623" s="2438"/>
      <c r="K623" s="2439"/>
      <c r="L623" s="2439"/>
      <c r="M623" s="2439"/>
      <c r="N623" s="2439"/>
      <c r="O623" s="2440">
        <f>'BUS Deemed Savings Table'!I122</f>
        <v>1.3147000000000001E-2</v>
      </c>
      <c r="P623" s="2440"/>
      <c r="Q623" s="2441"/>
      <c r="R623" s="2441"/>
      <c r="S623" s="2441"/>
      <c r="T623" s="2441"/>
      <c r="U623" s="1926">
        <f t="shared" si="960"/>
        <v>0</v>
      </c>
      <c r="V623" s="1926">
        <f t="shared" si="961"/>
        <v>0</v>
      </c>
      <c r="W623" s="1926">
        <f t="shared" si="962"/>
        <v>1.3147000000000001E-2</v>
      </c>
      <c r="X623" s="68">
        <f>'BUS Deemed Savings Table'!J122</f>
        <v>15</v>
      </c>
      <c r="Y623" s="68"/>
      <c r="Z623" s="68">
        <f t="shared" si="963"/>
        <v>15</v>
      </c>
      <c r="AA623" s="62">
        <f>'BUS Deemed Savings Table'!DB122</f>
        <v>0.76192140345189607</v>
      </c>
      <c r="AB623" s="839">
        <f>'BUS Deemed Savings Table'!K122</f>
        <v>55.76</v>
      </c>
      <c r="AC623" s="2451">
        <f t="shared" si="964"/>
        <v>40.098855551182368</v>
      </c>
      <c r="AD623" s="2451">
        <f t="shared" si="965"/>
        <v>0</v>
      </c>
      <c r="AE623" s="1661">
        <f>'BUS Deemed Savings Table'!DD122</f>
        <v>40.098855551182368</v>
      </c>
      <c r="AF623" s="2453"/>
      <c r="AG623" s="2453"/>
      <c r="AH623" s="2453"/>
      <c r="AI623" s="684" t="str">
        <f>'BUS Deemed Savings Table'!L122</f>
        <v>per measure</v>
      </c>
      <c r="AM623" s="2433">
        <f t="shared" si="966"/>
        <v>1.899635E-4</v>
      </c>
      <c r="AN623" s="100">
        <f t="shared" si="967"/>
        <v>1.3146893639399417E-2</v>
      </c>
      <c r="AO623" s="2437">
        <f t="shared" si="968"/>
        <v>-1.0636060058383245E-7</v>
      </c>
    </row>
    <row r="624" spans="1:41" s="100" customFormat="1" x14ac:dyDescent="0.25">
      <c r="A624" s="103" t="str">
        <f t="shared" si="864"/>
        <v>801233</v>
      </c>
      <c r="B624" s="684" t="str">
        <f>'BUS Deemed Savings Table'!C123</f>
        <v>801233_2020_12_</v>
      </c>
      <c r="C624" s="1962" t="str">
        <f>'BUS Deemed Savings Table'!G123</f>
        <v>Lighting BUS</v>
      </c>
      <c r="D624" s="1962"/>
      <c r="E624" s="1962"/>
      <c r="F624" s="1962"/>
      <c r="G624" s="1962" t="str">
        <f>'BUS Deemed Savings Table'!E123</f>
        <v>LED Retrofit Kit with Network Controls Replacing Interior T12 Fluorescent</v>
      </c>
      <c r="H624" s="63" t="str">
        <f>'BUS Deemed Savings Table'!D123</f>
        <v>C&amp;I</v>
      </c>
      <c r="I624" s="2438">
        <f>'BUS Deemed Savings Table'!F123</f>
        <v>79.815333965362584</v>
      </c>
      <c r="J624" s="2438"/>
      <c r="K624" s="2439"/>
      <c r="L624" s="2439"/>
      <c r="M624" s="2439"/>
      <c r="N624" s="2439"/>
      <c r="O624" s="2440">
        <f>'BUS Deemed Savings Table'!I123</f>
        <v>1.5162E-2</v>
      </c>
      <c r="P624" s="2440"/>
      <c r="Q624" s="2441"/>
      <c r="R624" s="2441"/>
      <c r="S624" s="2441"/>
      <c r="T624" s="2441"/>
      <c r="U624" s="1926">
        <f t="shared" si="960"/>
        <v>0</v>
      </c>
      <c r="V624" s="1926">
        <f t="shared" si="961"/>
        <v>0</v>
      </c>
      <c r="W624" s="1926">
        <f t="shared" si="962"/>
        <v>1.5162E-2</v>
      </c>
      <c r="X624" s="68">
        <f>'BUS Deemed Savings Table'!J123</f>
        <v>15</v>
      </c>
      <c r="Y624" s="68"/>
      <c r="Z624" s="68">
        <f t="shared" si="963"/>
        <v>15</v>
      </c>
      <c r="AA624" s="62">
        <f>'BUS Deemed Savings Table'!DB123</f>
        <v>0.87870585885958186</v>
      </c>
      <c r="AB624" s="839">
        <f>'BUS Deemed Savings Table'!K123</f>
        <v>55.76</v>
      </c>
      <c r="AC624" s="2451">
        <f t="shared" si="964"/>
        <v>46.245057753667083</v>
      </c>
      <c r="AD624" s="2451">
        <f t="shared" si="965"/>
        <v>0</v>
      </c>
      <c r="AE624" s="1661">
        <f>'BUS Deemed Savings Table'!DD123</f>
        <v>46.245057753667083</v>
      </c>
      <c r="AF624" s="2453"/>
      <c r="AG624" s="2453"/>
      <c r="AH624" s="2453"/>
      <c r="AI624" s="684" t="str">
        <f>'BUS Deemed Savings Table'!L123</f>
        <v>per measure</v>
      </c>
      <c r="AM624" s="2433">
        <f t="shared" si="966"/>
        <v>1.899635E-4</v>
      </c>
      <c r="AN624" s="100">
        <f t="shared" si="967"/>
        <v>1.5162000193729156E-2</v>
      </c>
      <c r="AO624" s="2437">
        <f t="shared" si="968"/>
        <v>1.9372915598114826E-10</v>
      </c>
    </row>
    <row r="625" spans="1:41" s="100" customFormat="1" x14ac:dyDescent="0.25">
      <c r="A625" s="103" t="str">
        <f t="shared" si="864"/>
        <v>801235</v>
      </c>
      <c r="B625" s="684" t="str">
        <f>'BUS Deemed Savings Table'!C124</f>
        <v>801235_2020_12_</v>
      </c>
      <c r="C625" s="1962" t="str">
        <f>'BUS Deemed Savings Table'!G124</f>
        <v>Lighting BUS</v>
      </c>
      <c r="D625" s="1962"/>
      <c r="E625" s="1962"/>
      <c r="F625" s="1962"/>
      <c r="G625" s="1962" t="str">
        <f>'BUS Deemed Savings Table'!E124</f>
        <v>LED Fixture with Network Controls Replacing Interior T12 Fluorescent</v>
      </c>
      <c r="H625" s="63" t="str">
        <f>'BUS Deemed Savings Table'!D124</f>
        <v>C&amp;I</v>
      </c>
      <c r="I625" s="2438">
        <f>'BUS Deemed Savings Table'!F124</f>
        <v>79.815333965362584</v>
      </c>
      <c r="J625" s="2438"/>
      <c r="K625" s="2439"/>
      <c r="L625" s="2439"/>
      <c r="M625" s="2439"/>
      <c r="N625" s="2439"/>
      <c r="O625" s="2440">
        <f>'BUS Deemed Savings Table'!I124</f>
        <v>1.5162E-2</v>
      </c>
      <c r="P625" s="2440"/>
      <c r="Q625" s="2441"/>
      <c r="R625" s="2441"/>
      <c r="S625" s="2441"/>
      <c r="T625" s="2441"/>
      <c r="U625" s="1926">
        <f t="shared" si="960"/>
        <v>0</v>
      </c>
      <c r="V625" s="1926">
        <f t="shared" si="961"/>
        <v>0</v>
      </c>
      <c r="W625" s="1926">
        <f t="shared" si="962"/>
        <v>1.5162E-2</v>
      </c>
      <c r="X625" s="68">
        <f>'BUS Deemed Savings Table'!J124</f>
        <v>15</v>
      </c>
      <c r="Y625" s="68"/>
      <c r="Z625" s="68">
        <f t="shared" si="963"/>
        <v>15</v>
      </c>
      <c r="AA625" s="62">
        <f>'BUS Deemed Savings Table'!DB124</f>
        <v>0.87870585885958186</v>
      </c>
      <c r="AB625" s="839">
        <f>'BUS Deemed Savings Table'!K124</f>
        <v>55.76</v>
      </c>
      <c r="AC625" s="2451">
        <f t="shared" si="964"/>
        <v>46.245057753667083</v>
      </c>
      <c r="AD625" s="2451">
        <f t="shared" si="965"/>
        <v>0</v>
      </c>
      <c r="AE625" s="1661">
        <f>'BUS Deemed Savings Table'!DD124</f>
        <v>46.245057753667083</v>
      </c>
      <c r="AF625" s="2453"/>
      <c r="AG625" s="2453"/>
      <c r="AH625" s="2453"/>
      <c r="AI625" s="684" t="str">
        <f>'BUS Deemed Savings Table'!L124</f>
        <v>per measure</v>
      </c>
      <c r="AM625" s="2433">
        <f t="shared" si="966"/>
        <v>1.899635E-4</v>
      </c>
      <c r="AN625" s="100">
        <f t="shared" si="967"/>
        <v>1.5162000193729156E-2</v>
      </c>
      <c r="AO625" s="2437">
        <f t="shared" si="968"/>
        <v>1.9372915598114826E-10</v>
      </c>
    </row>
    <row r="626" spans="1:41" s="100" customFormat="1" x14ac:dyDescent="0.25">
      <c r="A626" s="103" t="str">
        <f t="shared" si="864"/>
        <v>801237</v>
      </c>
      <c r="B626" s="684" t="str">
        <f>'BUS Deemed Savings Table'!C125</f>
        <v>801237_2020_12_</v>
      </c>
      <c r="C626" s="1962" t="str">
        <f>'BUS Deemed Savings Table'!G125</f>
        <v>Lighting BUS</v>
      </c>
      <c r="D626" s="1962"/>
      <c r="E626" s="1962"/>
      <c r="F626" s="1962"/>
      <c r="G626" s="1962" t="str">
        <f>'BUS Deemed Savings Table'!E125</f>
        <v>LED Retrofit Kit with Network Controls Replacing Interior HID</v>
      </c>
      <c r="H626" s="63" t="str">
        <f>'BUS Deemed Savings Table'!D125</f>
        <v>C&amp;I</v>
      </c>
      <c r="I626" s="2438">
        <f>'BUS Deemed Savings Table'!F125</f>
        <v>1069.5293520362497</v>
      </c>
      <c r="J626" s="2438"/>
      <c r="K626" s="2439"/>
      <c r="L626" s="2439"/>
      <c r="M626" s="2439"/>
      <c r="N626" s="2439"/>
      <c r="O626" s="2440">
        <f>'BUS Deemed Savings Table'!I125</f>
        <v>0.20317199999999999</v>
      </c>
      <c r="P626" s="2440"/>
      <c r="Q626" s="2441"/>
      <c r="R626" s="2441"/>
      <c r="S626" s="2441"/>
      <c r="T626" s="2441"/>
      <c r="U626" s="1926">
        <f t="shared" si="960"/>
        <v>0</v>
      </c>
      <c r="V626" s="1926">
        <f t="shared" si="961"/>
        <v>0</v>
      </c>
      <c r="W626" s="1926">
        <f t="shared" si="962"/>
        <v>0.20317199999999999</v>
      </c>
      <c r="X626" s="68">
        <f>'BUS Deemed Savings Table'!J125</f>
        <v>15</v>
      </c>
      <c r="Y626" s="68"/>
      <c r="Z626" s="68">
        <f t="shared" si="963"/>
        <v>15</v>
      </c>
      <c r="AA626" s="62">
        <f>'BUS Deemed Savings Table'!DB125</f>
        <v>1.7903505082307816</v>
      </c>
      <c r="AB626" s="839">
        <f>'BUS Deemed Savings Table'!K125</f>
        <v>366.72</v>
      </c>
      <c r="AC626" s="2451">
        <f t="shared" si="964"/>
        <v>619.68602017781234</v>
      </c>
      <c r="AD626" s="2451">
        <f t="shared" si="965"/>
        <v>0</v>
      </c>
      <c r="AE626" s="1661">
        <f>'BUS Deemed Savings Table'!DD125</f>
        <v>619.68602017781234</v>
      </c>
      <c r="AF626" s="2453"/>
      <c r="AG626" s="2453"/>
      <c r="AH626" s="2453"/>
      <c r="AI626" s="684" t="str">
        <f>'BUS Deemed Savings Table'!L125</f>
        <v>per measure</v>
      </c>
      <c r="AM626" s="2433">
        <f t="shared" si="966"/>
        <v>1.899635E-4</v>
      </c>
      <c r="AN626" s="100">
        <f t="shared" si="967"/>
        <v>0.20317153906553814</v>
      </c>
      <c r="AO626" s="2437">
        <f t="shared" si="968"/>
        <v>-4.609344618489164E-7</v>
      </c>
    </row>
    <row r="627" spans="1:41" s="100" customFormat="1" x14ac:dyDescent="0.25">
      <c r="A627" s="103" t="str">
        <f t="shared" si="864"/>
        <v>801239</v>
      </c>
      <c r="B627" s="684" t="str">
        <f>'BUS Deemed Savings Table'!C126</f>
        <v>801239_2020_12_</v>
      </c>
      <c r="C627" s="1962" t="str">
        <f>'BUS Deemed Savings Table'!G126</f>
        <v>Lighting BUS</v>
      </c>
      <c r="D627" s="1962"/>
      <c r="E627" s="1962"/>
      <c r="F627" s="1962"/>
      <c r="G627" s="1962" t="str">
        <f>'BUS Deemed Savings Table'!E126</f>
        <v>LED Fixture with Network Controls Replacing Interior HID</v>
      </c>
      <c r="H627" s="63" t="str">
        <f>'BUS Deemed Savings Table'!D126</f>
        <v>C&amp;I</v>
      </c>
      <c r="I627" s="2438">
        <f>'BUS Deemed Savings Table'!F126</f>
        <v>1069.5293520362497</v>
      </c>
      <c r="J627" s="2438"/>
      <c r="K627" s="2439"/>
      <c r="L627" s="2439"/>
      <c r="M627" s="2439"/>
      <c r="N627" s="2439"/>
      <c r="O627" s="2440">
        <f>'BUS Deemed Savings Table'!I126</f>
        <v>0.20317199999999999</v>
      </c>
      <c r="P627" s="2440"/>
      <c r="Q627" s="2441"/>
      <c r="R627" s="2441"/>
      <c r="S627" s="2441"/>
      <c r="T627" s="2441"/>
      <c r="U627" s="1926">
        <f t="shared" si="960"/>
        <v>0</v>
      </c>
      <c r="V627" s="1926">
        <f t="shared" si="961"/>
        <v>0</v>
      </c>
      <c r="W627" s="1926">
        <f t="shared" si="962"/>
        <v>0.20317199999999999</v>
      </c>
      <c r="X627" s="68">
        <f>'BUS Deemed Savings Table'!J126</f>
        <v>15</v>
      </c>
      <c r="Y627" s="68"/>
      <c r="Z627" s="68">
        <f t="shared" si="963"/>
        <v>15</v>
      </c>
      <c r="AA627" s="62">
        <f>'BUS Deemed Savings Table'!DB126</f>
        <v>1.7903505082307816</v>
      </c>
      <c r="AB627" s="839">
        <f>'BUS Deemed Savings Table'!K126</f>
        <v>366.72</v>
      </c>
      <c r="AC627" s="2451">
        <f t="shared" si="964"/>
        <v>619.68602017781234</v>
      </c>
      <c r="AD627" s="2451">
        <f t="shared" si="965"/>
        <v>0</v>
      </c>
      <c r="AE627" s="1661">
        <f>'BUS Deemed Savings Table'!DD126</f>
        <v>619.68602017781234</v>
      </c>
      <c r="AF627" s="2453"/>
      <c r="AG627" s="2453"/>
      <c r="AH627" s="2453"/>
      <c r="AI627" s="684" t="str">
        <f>'BUS Deemed Savings Table'!L126</f>
        <v>per measure</v>
      </c>
      <c r="AM627" s="2433">
        <f t="shared" si="966"/>
        <v>1.899635E-4</v>
      </c>
      <c r="AN627" s="100">
        <f t="shared" si="967"/>
        <v>0.20317153906553814</v>
      </c>
      <c r="AO627" s="2437">
        <f t="shared" si="968"/>
        <v>-4.609344618489164E-7</v>
      </c>
    </row>
    <row r="628" spans="1:41" x14ac:dyDescent="0.25">
      <c r="A628" s="103" t="str">
        <f t="shared" si="864"/>
        <v>801250</v>
      </c>
      <c r="B628" s="684" t="str">
        <f>'BUS Deemed Savings Table'!C152</f>
        <v>801250_2019_12_</v>
      </c>
      <c r="C628" s="1962" t="str">
        <f>'BUS Deemed Savings Table'!G152</f>
        <v>Refrigeration BUS</v>
      </c>
      <c r="D628" s="1962"/>
      <c r="E628" s="1962"/>
      <c r="F628" s="1962"/>
      <c r="G628" s="1962" t="str">
        <f>'BUS Deemed Savings Table'!E152</f>
        <v>0 &lt; V &lt; 15 - Vertical Closed - Solid Door Refrigerator</v>
      </c>
      <c r="H628" s="63" t="str">
        <f>'BUS Deemed Savings Table'!D152</f>
        <v>C&amp;I</v>
      </c>
      <c r="I628" s="2438">
        <f>'BUS Deemed Savings Table'!F152</f>
        <v>379.86</v>
      </c>
      <c r="J628" s="2438"/>
      <c r="K628" s="2439"/>
      <c r="L628" s="2439"/>
      <c r="M628" s="2439"/>
      <c r="N628" s="2439"/>
      <c r="O628" s="2440">
        <f>'BUS Deemed Savings Table'!I152</f>
        <v>5.1561999999999997E-2</v>
      </c>
      <c r="P628" s="2440"/>
      <c r="Q628" s="2441"/>
      <c r="R628" s="2441"/>
      <c r="S628" s="2441"/>
      <c r="T628" s="2441"/>
      <c r="U628" s="1822">
        <f t="shared" si="895"/>
        <v>0</v>
      </c>
      <c r="V628" s="1822">
        <f t="shared" si="896"/>
        <v>5.1561999999999997E-2</v>
      </c>
      <c r="W628" s="1822">
        <f t="shared" si="897"/>
        <v>0</v>
      </c>
      <c r="X628" s="68">
        <f>'BUS Deemed Savings Table'!J152</f>
        <v>12</v>
      </c>
      <c r="Y628" s="68"/>
      <c r="Z628" s="68">
        <f t="shared" si="937"/>
        <v>12</v>
      </c>
      <c r="AA628" s="62">
        <f>'BUS Deemed Savings Table'!DB152</f>
        <v>1.1662829576096756</v>
      </c>
      <c r="AB628" s="839">
        <f>'BUS Deemed Savings Table'!K152</f>
        <v>150</v>
      </c>
      <c r="AC628" s="2451">
        <f t="shared" si="875"/>
        <v>165.11792698579643</v>
      </c>
      <c r="AD628" s="2451">
        <f t="shared" si="876"/>
        <v>0</v>
      </c>
      <c r="AE628" s="1661">
        <f>'BUS Deemed Savings Table'!DD152</f>
        <v>165.11792698579643</v>
      </c>
      <c r="AF628" s="2453"/>
      <c r="AG628" s="2453"/>
      <c r="AH628" s="2453"/>
      <c r="AI628" s="684" t="str">
        <f>'BUS Deemed Savings Table'!L152</f>
        <v>per measure</v>
      </c>
      <c r="AJ628" s="1930"/>
      <c r="AK628" s="1930"/>
      <c r="AL628" s="1930"/>
      <c r="AM628" s="1972">
        <f t="shared" si="868"/>
        <v>1.3573829999999999E-4</v>
      </c>
      <c r="AN628" s="1930">
        <f t="shared" si="869"/>
        <v>5.1561550637999998E-2</v>
      </c>
      <c r="AO628" s="1971">
        <f t="shared" si="870"/>
        <v>-4.493619999990095E-7</v>
      </c>
    </row>
    <row r="629" spans="1:41" x14ac:dyDescent="0.25">
      <c r="A629" s="103" t="str">
        <f t="shared" si="864"/>
        <v>801300</v>
      </c>
      <c r="B629" s="684" t="str">
        <f>'BUS Deemed Savings Table'!C153</f>
        <v>801300_2019_12_</v>
      </c>
      <c r="C629" s="1962" t="str">
        <f>'BUS Deemed Savings Table'!G153</f>
        <v>Refrigeration BUS</v>
      </c>
      <c r="D629" s="1962"/>
      <c r="E629" s="1962"/>
      <c r="F629" s="1962"/>
      <c r="G629" s="1962" t="str">
        <f>'BUS Deemed Savings Table'!E153</f>
        <v>15 ≤ V &lt; 30 - Vertical Closed - Solid Door Refrigerator</v>
      </c>
      <c r="H629" s="63" t="str">
        <f>'BUS Deemed Savings Table'!D153</f>
        <v>C&amp;I</v>
      </c>
      <c r="I629" s="2438">
        <f>'BUS Deemed Savings Table'!F153</f>
        <v>626.4</v>
      </c>
      <c r="J629" s="2438"/>
      <c r="K629" s="2439"/>
      <c r="L629" s="2439"/>
      <c r="M629" s="2439"/>
      <c r="N629" s="2439"/>
      <c r="O629" s="2440">
        <f>'BUS Deemed Savings Table'!I153</f>
        <v>8.5026000000000004E-2</v>
      </c>
      <c r="P629" s="2440"/>
      <c r="Q629" s="2441"/>
      <c r="R629" s="2441"/>
      <c r="S629" s="2441"/>
      <c r="T629" s="2441"/>
      <c r="U629" s="1822">
        <f t="shared" si="895"/>
        <v>0</v>
      </c>
      <c r="V629" s="1822">
        <f t="shared" si="896"/>
        <v>8.5026000000000004E-2</v>
      </c>
      <c r="W629" s="1822">
        <f t="shared" si="897"/>
        <v>0</v>
      </c>
      <c r="X629" s="68">
        <f>'BUS Deemed Savings Table'!J153</f>
        <v>12</v>
      </c>
      <c r="Y629" s="68"/>
      <c r="Z629" s="68">
        <f t="shared" ref="Z629:Z643" si="969">Y629+X629</f>
        <v>12</v>
      </c>
      <c r="AA629" s="62">
        <f>'BUS Deemed Savings Table'!DB153</f>
        <v>0.72121272769576361</v>
      </c>
      <c r="AB629" s="839">
        <f>'BUS Deemed Savings Table'!K153</f>
        <v>400</v>
      </c>
      <c r="AC629" s="2451">
        <f t="shared" si="875"/>
        <v>272.2841822353048</v>
      </c>
      <c r="AD629" s="2451">
        <f t="shared" si="876"/>
        <v>0</v>
      </c>
      <c r="AE629" s="1661">
        <f>'BUS Deemed Savings Table'!DD153</f>
        <v>272.2841822353048</v>
      </c>
      <c r="AF629" s="2453"/>
      <c r="AG629" s="2453"/>
      <c r="AH629" s="2453"/>
      <c r="AI629" s="684" t="str">
        <f>'BUS Deemed Savings Table'!L153</f>
        <v>per measure</v>
      </c>
      <c r="AJ629" s="1930"/>
      <c r="AK629" s="1930"/>
      <c r="AL629" s="1930"/>
      <c r="AM629" s="1972">
        <f t="shared" si="868"/>
        <v>1.3573829999999999E-4</v>
      </c>
      <c r="AN629" s="1930">
        <f t="shared" si="869"/>
        <v>8.5026471119999988E-2</v>
      </c>
      <c r="AO629" s="1971">
        <f t="shared" si="870"/>
        <v>4.7111999998405985E-7</v>
      </c>
    </row>
    <row r="630" spans="1:41" x14ac:dyDescent="0.25">
      <c r="A630" s="103" t="str">
        <f t="shared" si="864"/>
        <v>801350</v>
      </c>
      <c r="B630" s="684" t="str">
        <f>'BUS Deemed Savings Table'!C154</f>
        <v>801350_2019_12_</v>
      </c>
      <c r="C630" s="1962" t="str">
        <f>'BUS Deemed Savings Table'!G154</f>
        <v>Refrigeration BUS</v>
      </c>
      <c r="D630" s="1962"/>
      <c r="E630" s="1962"/>
      <c r="F630" s="1962"/>
      <c r="G630" s="1962" t="str">
        <f>'BUS Deemed Savings Table'!E154</f>
        <v>30 ≤ V &lt; 50 - Vertical Closed - Solid Door Refrigerator</v>
      </c>
      <c r="H630" s="63" t="str">
        <f>'BUS Deemed Savings Table'!D154</f>
        <v>C&amp;I</v>
      </c>
      <c r="I630" s="2438">
        <f>'BUS Deemed Savings Table'!F154</f>
        <v>982.52</v>
      </c>
      <c r="J630" s="2438"/>
      <c r="K630" s="2439"/>
      <c r="L630" s="2439"/>
      <c r="M630" s="2439"/>
      <c r="N630" s="2439"/>
      <c r="O630" s="2440">
        <f>'BUS Deemed Savings Table'!I154</f>
        <v>0.13336600000000001</v>
      </c>
      <c r="P630" s="2440"/>
      <c r="Q630" s="2441"/>
      <c r="R630" s="2441"/>
      <c r="S630" s="2441"/>
      <c r="T630" s="2441"/>
      <c r="U630" s="1822">
        <f t="shared" si="895"/>
        <v>0</v>
      </c>
      <c r="V630" s="1822">
        <f t="shared" si="896"/>
        <v>0.13336600000000001</v>
      </c>
      <c r="W630" s="1822">
        <f t="shared" si="897"/>
        <v>0</v>
      </c>
      <c r="X630" s="68">
        <f>'BUS Deemed Savings Table'!J154</f>
        <v>12</v>
      </c>
      <c r="Y630" s="68"/>
      <c r="Z630" s="68">
        <f t="shared" si="969"/>
        <v>12</v>
      </c>
      <c r="AA630" s="62">
        <f>'BUS Deemed Savings Table'!DB154</f>
        <v>0.82271674122331551</v>
      </c>
      <c r="AB630" s="839">
        <f>'BUS Deemed Savings Table'!K154</f>
        <v>550</v>
      </c>
      <c r="AC630" s="2451">
        <f t="shared" si="875"/>
        <v>427.08278213574658</v>
      </c>
      <c r="AD630" s="2451">
        <f t="shared" si="876"/>
        <v>0</v>
      </c>
      <c r="AE630" s="1661">
        <f>'BUS Deemed Savings Table'!DD154</f>
        <v>427.08278213574658</v>
      </c>
      <c r="AF630" s="2453"/>
      <c r="AG630" s="2453"/>
      <c r="AH630" s="2453"/>
      <c r="AI630" s="684" t="str">
        <f>'BUS Deemed Savings Table'!L154</f>
        <v>per measure</v>
      </c>
      <c r="AJ630" s="1930"/>
      <c r="AK630" s="1930"/>
      <c r="AL630" s="1930"/>
      <c r="AM630" s="1972">
        <f t="shared" si="868"/>
        <v>1.3573829999999999E-4</v>
      </c>
      <c r="AN630" s="1930">
        <f t="shared" si="869"/>
        <v>0.133365594516</v>
      </c>
      <c r="AO630" s="1971">
        <f t="shared" si="870"/>
        <v>-4.0548400001561014E-7</v>
      </c>
    </row>
    <row r="631" spans="1:41" x14ac:dyDescent="0.25">
      <c r="A631" s="103" t="str">
        <f t="shared" si="864"/>
        <v>801400</v>
      </c>
      <c r="B631" s="684" t="str">
        <f>'BUS Deemed Savings Table'!C155</f>
        <v>801400_2019_12_</v>
      </c>
      <c r="C631" s="1962" t="str">
        <f>'BUS Deemed Savings Table'!G155</f>
        <v>Refrigeration BUS</v>
      </c>
      <c r="D631" s="1962"/>
      <c r="E631" s="1962"/>
      <c r="F631" s="1962"/>
      <c r="G631" s="1962" t="str">
        <f>'BUS Deemed Savings Table'!E155</f>
        <v>V ≥ 50 - Vertical Closed - Solid Door Refrigerator</v>
      </c>
      <c r="H631" s="63" t="str">
        <f>'BUS Deemed Savings Table'!D155</f>
        <v>C&amp;I</v>
      </c>
      <c r="I631" s="2438">
        <f>'BUS Deemed Savings Table'!F155</f>
        <v>1311.25</v>
      </c>
      <c r="J631" s="2438"/>
      <c r="K631" s="2439"/>
      <c r="L631" s="2439"/>
      <c r="M631" s="2439"/>
      <c r="N631" s="2439"/>
      <c r="O631" s="2440">
        <f>'BUS Deemed Savings Table'!I155</f>
        <v>0.17798700000000001</v>
      </c>
      <c r="P631" s="2440"/>
      <c r="Q631" s="2441"/>
      <c r="R631" s="2441"/>
      <c r="S631" s="2441"/>
      <c r="T631" s="2441"/>
      <c r="U631" s="1822">
        <f t="shared" si="895"/>
        <v>0</v>
      </c>
      <c r="V631" s="1822">
        <f t="shared" si="896"/>
        <v>0.17798700000000001</v>
      </c>
      <c r="W631" s="1822">
        <f t="shared" si="897"/>
        <v>0</v>
      </c>
      <c r="X631" s="68">
        <f>'BUS Deemed Savings Table'!J155</f>
        <v>12</v>
      </c>
      <c r="Y631" s="68"/>
      <c r="Z631" s="68">
        <f t="shared" si="969"/>
        <v>12</v>
      </c>
      <c r="AA631" s="62">
        <f>'BUS Deemed Savings Table'!DB155</f>
        <v>0.86269858528650811</v>
      </c>
      <c r="AB631" s="839">
        <f>'BUS Deemed Savings Table'!K155</f>
        <v>700</v>
      </c>
      <c r="AC631" s="2451">
        <f t="shared" si="875"/>
        <v>569.97546927848566</v>
      </c>
      <c r="AD631" s="2451">
        <f t="shared" si="876"/>
        <v>0</v>
      </c>
      <c r="AE631" s="1661">
        <f>'BUS Deemed Savings Table'!DD155</f>
        <v>569.97546927848566</v>
      </c>
      <c r="AF631" s="2453"/>
      <c r="AG631" s="2453"/>
      <c r="AH631" s="2453"/>
      <c r="AI631" s="684" t="str">
        <f>'BUS Deemed Savings Table'!L155</f>
        <v>per measure</v>
      </c>
      <c r="AJ631" s="1930"/>
      <c r="AK631" s="1930"/>
      <c r="AL631" s="1930"/>
      <c r="AM631" s="1972">
        <f t="shared" si="868"/>
        <v>1.3573829999999999E-4</v>
      </c>
      <c r="AN631" s="1930">
        <f t="shared" si="869"/>
        <v>0.17798684587499999</v>
      </c>
      <c r="AO631" s="1971">
        <f t="shared" si="870"/>
        <v>-1.5412500001255047E-7</v>
      </c>
    </row>
    <row r="632" spans="1:41" x14ac:dyDescent="0.25">
      <c r="A632" s="103" t="str">
        <f t="shared" si="864"/>
        <v>801450</v>
      </c>
      <c r="B632" s="684" t="str">
        <f>'BUS Deemed Savings Table'!C156</f>
        <v>801450_2019_12_</v>
      </c>
      <c r="C632" s="1962" t="str">
        <f>'BUS Deemed Savings Table'!G156</f>
        <v>Refrigeration BUS</v>
      </c>
      <c r="D632" s="1962"/>
      <c r="E632" s="1962"/>
      <c r="F632" s="1962"/>
      <c r="G632" s="1962" t="str">
        <f>'BUS Deemed Savings Table'!E156</f>
        <v>0 &lt; V &lt; 15 - Vertical Closed - Glass Door Refrigerator</v>
      </c>
      <c r="H632" s="63" t="str">
        <f>'BUS Deemed Savings Table'!D156</f>
        <v>C&amp;I</v>
      </c>
      <c r="I632" s="2438">
        <f>'BUS Deemed Savings Table'!F156</f>
        <v>354.29</v>
      </c>
      <c r="J632" s="2438"/>
      <c r="K632" s="2439"/>
      <c r="L632" s="2439"/>
      <c r="M632" s="2439"/>
      <c r="N632" s="2439"/>
      <c r="O632" s="2440">
        <f>'BUS Deemed Savings Table'!I156</f>
        <v>4.8091000000000002E-2</v>
      </c>
      <c r="P632" s="2440"/>
      <c r="Q632" s="2441"/>
      <c r="R632" s="2441"/>
      <c r="S632" s="2441"/>
      <c r="T632" s="2441"/>
      <c r="U632" s="1822">
        <f t="shared" si="895"/>
        <v>0</v>
      </c>
      <c r="V632" s="1822">
        <f t="shared" si="896"/>
        <v>4.8091000000000002E-2</v>
      </c>
      <c r="W632" s="1822">
        <f t="shared" si="897"/>
        <v>0</v>
      </c>
      <c r="X632" s="68">
        <f>'BUS Deemed Savings Table'!J156</f>
        <v>12</v>
      </c>
      <c r="Y632" s="68"/>
      <c r="Z632" s="68">
        <f t="shared" si="969"/>
        <v>12</v>
      </c>
      <c r="AA632" s="62">
        <f>'BUS Deemed Savings Table'!DB156</f>
        <v>0.652665280447847</v>
      </c>
      <c r="AB632" s="839">
        <f>'BUS Deemed Savings Table'!K156</f>
        <v>250</v>
      </c>
      <c r="AC632" s="2451">
        <f t="shared" si="875"/>
        <v>154.00313365923714</v>
      </c>
      <c r="AD632" s="2451">
        <f t="shared" si="876"/>
        <v>0</v>
      </c>
      <c r="AE632" s="1661">
        <f>'BUS Deemed Savings Table'!DD156</f>
        <v>154.00313365923714</v>
      </c>
      <c r="AF632" s="2453"/>
      <c r="AG632" s="2453"/>
      <c r="AH632" s="2453"/>
      <c r="AI632" s="684" t="str">
        <f>'BUS Deemed Savings Table'!L156</f>
        <v>per measure</v>
      </c>
      <c r="AJ632" s="1930"/>
      <c r="AK632" s="1930"/>
      <c r="AL632" s="1930"/>
      <c r="AM632" s="1972">
        <f t="shared" si="868"/>
        <v>1.3573829999999999E-4</v>
      </c>
      <c r="AN632" s="1930">
        <f t="shared" si="869"/>
        <v>4.8090722306999997E-2</v>
      </c>
      <c r="AO632" s="1971">
        <f t="shared" si="870"/>
        <v>-2.7769300000451969E-7</v>
      </c>
    </row>
    <row r="633" spans="1:41" x14ac:dyDescent="0.25">
      <c r="A633" s="103" t="str">
        <f t="shared" si="864"/>
        <v>801500</v>
      </c>
      <c r="B633" s="684" t="str">
        <f>'BUS Deemed Savings Table'!C157</f>
        <v>801500_2019_12_</v>
      </c>
      <c r="C633" s="1962" t="str">
        <f>'BUS Deemed Savings Table'!G157</f>
        <v>Refrigeration BUS</v>
      </c>
      <c r="D633" s="1962"/>
      <c r="E633" s="1962"/>
      <c r="F633" s="1962"/>
      <c r="G633" s="1962" t="str">
        <f>'BUS Deemed Savings Table'!E157</f>
        <v>15 ≤ V &lt; 30 - Vertical Closed - Glass Door Refrigerator</v>
      </c>
      <c r="H633" s="63" t="str">
        <f>'BUS Deemed Savings Table'!D157</f>
        <v>C&amp;I</v>
      </c>
      <c r="I633" s="2438">
        <f>'BUS Deemed Savings Table'!F157</f>
        <v>217.32</v>
      </c>
      <c r="J633" s="2438"/>
      <c r="K633" s="2439"/>
      <c r="L633" s="2439"/>
      <c r="M633" s="2439"/>
      <c r="N633" s="2439"/>
      <c r="O633" s="2440">
        <f>'BUS Deemed Savings Table'!I157</f>
        <v>2.9499000000000001E-2</v>
      </c>
      <c r="P633" s="2440"/>
      <c r="Q633" s="2441"/>
      <c r="R633" s="2441"/>
      <c r="S633" s="2441"/>
      <c r="T633" s="2441"/>
      <c r="U633" s="1822">
        <f t="shared" si="895"/>
        <v>0</v>
      </c>
      <c r="V633" s="1822">
        <f t="shared" si="896"/>
        <v>2.9499000000000001E-2</v>
      </c>
      <c r="W633" s="1822">
        <f t="shared" si="897"/>
        <v>0</v>
      </c>
      <c r="X633" s="68">
        <f>'BUS Deemed Savings Table'!J157</f>
        <v>12</v>
      </c>
      <c r="Y633" s="68"/>
      <c r="Z633" s="68">
        <f t="shared" si="969"/>
        <v>12</v>
      </c>
      <c r="AA633" s="62">
        <f>'BUS Deemed Savings Table'!DB157</f>
        <v>0.20017107277502344</v>
      </c>
      <c r="AB633" s="839">
        <f>'BUS Deemed Savings Table'!K157</f>
        <v>500</v>
      </c>
      <c r="AC633" s="2451">
        <f t="shared" si="875"/>
        <v>94.464876250600952</v>
      </c>
      <c r="AD633" s="2451">
        <f t="shared" si="876"/>
        <v>0</v>
      </c>
      <c r="AE633" s="1661">
        <f>'BUS Deemed Savings Table'!DD157</f>
        <v>94.464876250600952</v>
      </c>
      <c r="AF633" s="2453"/>
      <c r="AG633" s="2453"/>
      <c r="AH633" s="2453"/>
      <c r="AI633" s="684" t="str">
        <f>'BUS Deemed Savings Table'!L157</f>
        <v>per measure</v>
      </c>
      <c r="AJ633" s="1930"/>
      <c r="AK633" s="1930"/>
      <c r="AL633" s="1930"/>
      <c r="AM633" s="1972">
        <f t="shared" si="868"/>
        <v>1.3573829999999999E-4</v>
      </c>
      <c r="AN633" s="1930">
        <f t="shared" si="869"/>
        <v>2.9498647355999996E-2</v>
      </c>
      <c r="AO633" s="1971">
        <f t="shared" si="870"/>
        <v>-3.5264400000470375E-7</v>
      </c>
    </row>
    <row r="634" spans="1:41" x14ac:dyDescent="0.25">
      <c r="A634" s="103" t="str">
        <f t="shared" si="864"/>
        <v>801550</v>
      </c>
      <c r="B634" s="684" t="str">
        <f>'BUS Deemed Savings Table'!C158</f>
        <v>801550_2019_12_</v>
      </c>
      <c r="C634" s="1962" t="str">
        <f>'BUS Deemed Savings Table'!G158</f>
        <v>Refrigeration BUS</v>
      </c>
      <c r="D634" s="1962"/>
      <c r="E634" s="1962"/>
      <c r="F634" s="1962"/>
      <c r="G634" s="1962" t="str">
        <f>'BUS Deemed Savings Table'!E158</f>
        <v>30 ≤ V &lt; 50 - Vertical Closed - Glass Door Refrigerator</v>
      </c>
      <c r="H634" s="63" t="str">
        <f>'BUS Deemed Savings Table'!D158</f>
        <v>C&amp;I</v>
      </c>
      <c r="I634" s="2438">
        <f>'BUS Deemed Savings Table'!F158</f>
        <v>226.46</v>
      </c>
      <c r="J634" s="2438"/>
      <c r="K634" s="2439"/>
      <c r="L634" s="2439"/>
      <c r="M634" s="2439"/>
      <c r="N634" s="2439"/>
      <c r="O634" s="2440">
        <f>'BUS Deemed Savings Table'!I158</f>
        <v>3.0738999999999999E-2</v>
      </c>
      <c r="P634" s="2440"/>
      <c r="Q634" s="2441"/>
      <c r="R634" s="2441"/>
      <c r="S634" s="2441"/>
      <c r="T634" s="2441"/>
      <c r="U634" s="1822">
        <f t="shared" si="895"/>
        <v>0</v>
      </c>
      <c r="V634" s="1822">
        <f t="shared" si="896"/>
        <v>3.0738999999999999E-2</v>
      </c>
      <c r="W634" s="1822">
        <f t="shared" si="897"/>
        <v>0</v>
      </c>
      <c r="X634" s="68">
        <f>'BUS Deemed Savings Table'!J158</f>
        <v>12</v>
      </c>
      <c r="Y634" s="68"/>
      <c r="Z634" s="68">
        <f t="shared" si="969"/>
        <v>12</v>
      </c>
      <c r="AA634" s="62">
        <f>'BUS Deemed Savings Table'!DB158</f>
        <v>7.9797179307600316E-2</v>
      </c>
      <c r="AB634" s="839">
        <f>'BUS Deemed Savings Table'!K158</f>
        <v>1307</v>
      </c>
      <c r="AC634" s="2451">
        <f t="shared" si="875"/>
        <v>98.437860646563095</v>
      </c>
      <c r="AD634" s="2451">
        <f t="shared" si="876"/>
        <v>0</v>
      </c>
      <c r="AE634" s="1661">
        <f>'BUS Deemed Savings Table'!DD158</f>
        <v>98.437860646563095</v>
      </c>
      <c r="AF634" s="2453"/>
      <c r="AG634" s="2453"/>
      <c r="AH634" s="2453"/>
      <c r="AI634" s="684" t="str">
        <f>'BUS Deemed Savings Table'!L158</f>
        <v>per measure</v>
      </c>
      <c r="AJ634" s="1930"/>
      <c r="AK634" s="1930"/>
      <c r="AL634" s="1930"/>
      <c r="AM634" s="1972">
        <f t="shared" si="868"/>
        <v>1.3573829999999999E-4</v>
      </c>
      <c r="AN634" s="1930">
        <f t="shared" si="869"/>
        <v>3.0739295417999999E-2</v>
      </c>
      <c r="AO634" s="1971">
        <f t="shared" si="870"/>
        <v>2.9541800000004725E-7</v>
      </c>
    </row>
    <row r="635" spans="1:41" x14ac:dyDescent="0.25">
      <c r="A635" s="103" t="str">
        <f t="shared" si="864"/>
        <v>801600</v>
      </c>
      <c r="B635" s="684" t="str">
        <f>'BUS Deemed Savings Table'!C159</f>
        <v>801600_2019_12_</v>
      </c>
      <c r="C635" s="1962" t="str">
        <f>'BUS Deemed Savings Table'!G159</f>
        <v>Refrigeration BUS</v>
      </c>
      <c r="D635" s="1962"/>
      <c r="E635" s="1962"/>
      <c r="F635" s="1962"/>
      <c r="G635" s="1962" t="str">
        <f>'BUS Deemed Savings Table'!E159</f>
        <v>V ≥ 50 - Vertical Closed - Glass Door Refrigerator</v>
      </c>
      <c r="H635" s="63" t="str">
        <f>'BUS Deemed Savings Table'!D159</f>
        <v>C&amp;I</v>
      </c>
      <c r="I635" s="2438">
        <f>'BUS Deemed Savings Table'!F159</f>
        <v>372.56</v>
      </c>
      <c r="J635" s="2438"/>
      <c r="K635" s="2439"/>
      <c r="L635" s="2439"/>
      <c r="M635" s="2439"/>
      <c r="N635" s="2439"/>
      <c r="O635" s="2440">
        <f>'BUS Deemed Savings Table'!I159</f>
        <v>5.0570999999999998E-2</v>
      </c>
      <c r="P635" s="2440"/>
      <c r="Q635" s="2441"/>
      <c r="R635" s="2441"/>
      <c r="S635" s="2441"/>
      <c r="T635" s="2441"/>
      <c r="U635" s="1822">
        <f t="shared" si="895"/>
        <v>0</v>
      </c>
      <c r="V635" s="1822">
        <f t="shared" si="896"/>
        <v>5.0570999999999998E-2</v>
      </c>
      <c r="W635" s="1822">
        <f t="shared" si="897"/>
        <v>0</v>
      </c>
      <c r="X635" s="68">
        <f>'BUS Deemed Savings Table'!J159</f>
        <v>12</v>
      </c>
      <c r="Y635" s="68"/>
      <c r="Z635" s="68">
        <f t="shared" si="969"/>
        <v>12</v>
      </c>
      <c r="AA635" s="62">
        <f>'BUS Deemed Savings Table'!DB159</f>
        <v>7.4600203739889417E-2</v>
      </c>
      <c r="AB635" s="839">
        <f>'BUS Deemed Savings Table'!K159</f>
        <v>2300</v>
      </c>
      <c r="AC635" s="2451">
        <f t="shared" si="875"/>
        <v>161.94475564110019</v>
      </c>
      <c r="AD635" s="2451">
        <f t="shared" si="876"/>
        <v>0</v>
      </c>
      <c r="AE635" s="1661">
        <f>'BUS Deemed Savings Table'!DD159</f>
        <v>161.94475564110019</v>
      </c>
      <c r="AF635" s="2453"/>
      <c r="AG635" s="2453"/>
      <c r="AH635" s="2453"/>
      <c r="AI635" s="684" t="str">
        <f>'BUS Deemed Savings Table'!L159</f>
        <v>per measure</v>
      </c>
      <c r="AJ635" s="1930"/>
      <c r="AK635" s="1930"/>
      <c r="AL635" s="1930"/>
      <c r="AM635" s="1972">
        <f t="shared" si="868"/>
        <v>1.3573829999999999E-4</v>
      </c>
      <c r="AN635" s="1930">
        <f t="shared" si="869"/>
        <v>5.0570661047999996E-2</v>
      </c>
      <c r="AO635" s="1971">
        <f t="shared" si="870"/>
        <v>-3.3895200000216841E-7</v>
      </c>
    </row>
    <row r="636" spans="1:41" x14ac:dyDescent="0.25">
      <c r="A636" s="103" t="str">
        <f t="shared" si="864"/>
        <v>801650</v>
      </c>
      <c r="B636" s="684" t="str">
        <f>'BUS Deemed Savings Table'!C160</f>
        <v>801650_2019_12_</v>
      </c>
      <c r="C636" s="1962" t="str">
        <f>'BUS Deemed Savings Table'!G160</f>
        <v>Refrigeration BUS</v>
      </c>
      <c r="D636" s="1962"/>
      <c r="E636" s="1962"/>
      <c r="F636" s="1962"/>
      <c r="G636" s="1962" t="str">
        <f>'BUS Deemed Savings Table'!E160</f>
        <v>Horizontal Closed - Solid or Glass Door Refrigerator  - All Volumes</v>
      </c>
      <c r="H636" s="63" t="str">
        <f>'BUS Deemed Savings Table'!D160</f>
        <v>C&amp;I</v>
      </c>
      <c r="I636" s="2438">
        <f>'BUS Deemed Savings Table'!F160</f>
        <v>1219.94</v>
      </c>
      <c r="J636" s="2438"/>
      <c r="K636" s="2439"/>
      <c r="L636" s="2439"/>
      <c r="M636" s="2439"/>
      <c r="N636" s="2439"/>
      <c r="O636" s="2440">
        <f>'BUS Deemed Savings Table'!I160</f>
        <v>0.16559299999999999</v>
      </c>
      <c r="P636" s="2440"/>
      <c r="Q636" s="2441"/>
      <c r="R636" s="2441"/>
      <c r="S636" s="2441"/>
      <c r="T636" s="2441"/>
      <c r="U636" s="1822">
        <f t="shared" si="895"/>
        <v>0</v>
      </c>
      <c r="V636" s="1822">
        <f t="shared" si="896"/>
        <v>0.16559299999999999</v>
      </c>
      <c r="W636" s="1822">
        <f t="shared" si="897"/>
        <v>0</v>
      </c>
      <c r="X636" s="68">
        <f>'BUS Deemed Savings Table'!J160</f>
        <v>12</v>
      </c>
      <c r="Y636" s="68"/>
      <c r="Z636" s="68">
        <f t="shared" si="969"/>
        <v>12</v>
      </c>
      <c r="AA636" s="62">
        <f>'BUS Deemed Savings Table'!DB160</f>
        <v>1.070165121967001</v>
      </c>
      <c r="AB636" s="839">
        <f>'BUS Deemed Savings Table'!K160</f>
        <v>525</v>
      </c>
      <c r="AC636" s="2451">
        <f t="shared" si="875"/>
        <v>530.28474660941527</v>
      </c>
      <c r="AD636" s="2451">
        <f t="shared" si="876"/>
        <v>0</v>
      </c>
      <c r="AE636" s="1661">
        <f>'BUS Deemed Savings Table'!DD160</f>
        <v>530.28474660941527</v>
      </c>
      <c r="AF636" s="2453"/>
      <c r="AG636" s="2453"/>
      <c r="AH636" s="2453"/>
      <c r="AI636" s="684" t="str">
        <f>'BUS Deemed Savings Table'!L160</f>
        <v>per measure</v>
      </c>
      <c r="AJ636" s="1930"/>
      <c r="AK636" s="1930"/>
      <c r="AL636" s="1930"/>
      <c r="AM636" s="1972">
        <f t="shared" ref="AM636:AM669" si="970">VLOOKUP(C636,$AS$10:$AT$49,2,FALSE)</f>
        <v>1.3573829999999999E-4</v>
      </c>
      <c r="AN636" s="1930">
        <f t="shared" ref="AN636:AN663" si="971">AM636*I636</f>
        <v>0.165592581702</v>
      </c>
      <c r="AO636" s="1971">
        <f t="shared" ref="AO636:AO669" si="972">AN636-O636</f>
        <v>-4.1829799998782669E-7</v>
      </c>
    </row>
    <row r="637" spans="1:41" x14ac:dyDescent="0.25">
      <c r="A637" s="103" t="str">
        <f t="shared" si="864"/>
        <v>801700</v>
      </c>
      <c r="B637" s="684" t="str">
        <f>'BUS Deemed Savings Table'!C161</f>
        <v>801700_2019_12_</v>
      </c>
      <c r="C637" s="1962" t="str">
        <f>'BUS Deemed Savings Table'!G161</f>
        <v>Refrigeration BUS</v>
      </c>
      <c r="D637" s="1962"/>
      <c r="E637" s="1962"/>
      <c r="F637" s="1962"/>
      <c r="G637" s="1962" t="str">
        <f>'BUS Deemed Savings Table'!E161</f>
        <v>0 &lt; V &lt; 15 - Vertical Closed - Solid Door Freezer</v>
      </c>
      <c r="H637" s="63" t="str">
        <f>'BUS Deemed Savings Table'!D161</f>
        <v>C&amp;I</v>
      </c>
      <c r="I637" s="2438">
        <f>'BUS Deemed Savings Table'!F161</f>
        <v>348.81</v>
      </c>
      <c r="J637" s="2438"/>
      <c r="K637" s="2439"/>
      <c r="L637" s="2439"/>
      <c r="M637" s="2439"/>
      <c r="N637" s="2439"/>
      <c r="O637" s="2440">
        <f>'BUS Deemed Savings Table'!I161</f>
        <v>4.7347E-2</v>
      </c>
      <c r="P637" s="2440"/>
      <c r="Q637" s="2441"/>
      <c r="R637" s="2441"/>
      <c r="S637" s="2441"/>
      <c r="T637" s="2441"/>
      <c r="U637" s="1822">
        <f t="shared" si="895"/>
        <v>0</v>
      </c>
      <c r="V637" s="1822">
        <f t="shared" si="896"/>
        <v>4.7347E-2</v>
      </c>
      <c r="W637" s="1822">
        <f t="shared" si="897"/>
        <v>0</v>
      </c>
      <c r="X637" s="68">
        <f>'BUS Deemed Savings Table'!J161</f>
        <v>12</v>
      </c>
      <c r="Y637" s="68"/>
      <c r="Z637" s="68">
        <f t="shared" si="969"/>
        <v>12</v>
      </c>
      <c r="AA637" s="62">
        <f>'BUS Deemed Savings Table'!DB161</f>
        <v>1.0709502407303504</v>
      </c>
      <c r="AB637" s="839">
        <f>'BUS Deemed Savings Table'!K161</f>
        <v>150</v>
      </c>
      <c r="AC637" s="2451">
        <f t="shared" si="875"/>
        <v>151.62108174568434</v>
      </c>
      <c r="AD637" s="2451">
        <f t="shared" si="876"/>
        <v>0</v>
      </c>
      <c r="AE637" s="1661">
        <f>'BUS Deemed Savings Table'!DD161</f>
        <v>151.62108174568434</v>
      </c>
      <c r="AF637" s="2453"/>
      <c r="AG637" s="2453"/>
      <c r="AH637" s="2453"/>
      <c r="AI637" s="684" t="str">
        <f>'BUS Deemed Savings Table'!L161</f>
        <v>per measure</v>
      </c>
      <c r="AJ637" s="1930"/>
      <c r="AK637" s="1930"/>
      <c r="AL637" s="1930"/>
      <c r="AM637" s="1972">
        <f t="shared" si="970"/>
        <v>1.3573829999999999E-4</v>
      </c>
      <c r="AN637" s="1930">
        <f t="shared" si="971"/>
        <v>4.7346876422999999E-2</v>
      </c>
      <c r="AO637" s="1971">
        <f t="shared" si="972"/>
        <v>-1.2357700000104055E-7</v>
      </c>
    </row>
    <row r="638" spans="1:41" x14ac:dyDescent="0.25">
      <c r="A638" s="103" t="str">
        <f t="shared" si="864"/>
        <v>801750</v>
      </c>
      <c r="B638" s="684" t="str">
        <f>'BUS Deemed Savings Table'!C162</f>
        <v>801750_2019_12_</v>
      </c>
      <c r="C638" s="1962" t="str">
        <f>'BUS Deemed Savings Table'!G162</f>
        <v>Refrigeration BUS</v>
      </c>
      <c r="D638" s="1962"/>
      <c r="E638" s="1962"/>
      <c r="F638" s="1962"/>
      <c r="G638" s="1962" t="str">
        <f>'BUS Deemed Savings Table'!E162</f>
        <v>15 ≤ V &lt; 30 - Vertical Closed - Solid Door Freezer</v>
      </c>
      <c r="H638" s="63" t="str">
        <f>'BUS Deemed Savings Table'!D162</f>
        <v>C&amp;I</v>
      </c>
      <c r="I638" s="2438">
        <f>'BUS Deemed Savings Table'!F162</f>
        <v>1307.5999999999999</v>
      </c>
      <c r="J638" s="2438"/>
      <c r="K638" s="2439"/>
      <c r="L638" s="2439"/>
      <c r="M638" s="2439"/>
      <c r="N638" s="2439"/>
      <c r="O638" s="2440">
        <f>'BUS Deemed Savings Table'!I162</f>
        <v>0.17749100000000001</v>
      </c>
      <c r="P638" s="2440"/>
      <c r="Q638" s="2441"/>
      <c r="R638" s="2441"/>
      <c r="S638" s="2441"/>
      <c r="T638" s="2441"/>
      <c r="U638" s="1822">
        <f t="shared" si="895"/>
        <v>0</v>
      </c>
      <c r="V638" s="1822">
        <f t="shared" si="896"/>
        <v>0.17749100000000001</v>
      </c>
      <c r="W638" s="1822">
        <f t="shared" si="897"/>
        <v>0</v>
      </c>
      <c r="X638" s="68">
        <f>'BUS Deemed Savings Table'!J162</f>
        <v>12</v>
      </c>
      <c r="Y638" s="68"/>
      <c r="Z638" s="68">
        <f t="shared" si="969"/>
        <v>12</v>
      </c>
      <c r="AA638" s="62">
        <f>'BUS Deemed Savings Table'!DB162</f>
        <v>1.5055200554517567</v>
      </c>
      <c r="AB638" s="839">
        <f>'BUS Deemed Savings Table'!K162</f>
        <v>400</v>
      </c>
      <c r="AC638" s="2451">
        <f t="shared" si="875"/>
        <v>568.38888360613748</v>
      </c>
      <c r="AD638" s="2451">
        <f t="shared" si="876"/>
        <v>0</v>
      </c>
      <c r="AE638" s="1661">
        <f>'BUS Deemed Savings Table'!DD162</f>
        <v>568.38888360613748</v>
      </c>
      <c r="AF638" s="2453"/>
      <c r="AG638" s="2453"/>
      <c r="AH638" s="2453"/>
      <c r="AI638" s="684" t="str">
        <f>'BUS Deemed Savings Table'!L162</f>
        <v>per measure</v>
      </c>
      <c r="AJ638" s="1930"/>
      <c r="AK638" s="1930"/>
      <c r="AL638" s="1930"/>
      <c r="AM638" s="1972">
        <f t="shared" si="970"/>
        <v>1.3573829999999999E-4</v>
      </c>
      <c r="AN638" s="1930">
        <f t="shared" si="971"/>
        <v>0.17749140107999997</v>
      </c>
      <c r="AO638" s="1971">
        <f t="shared" si="972"/>
        <v>4.0107999996208399E-7</v>
      </c>
    </row>
    <row r="639" spans="1:41" x14ac:dyDescent="0.25">
      <c r="A639" s="103" t="str">
        <f t="shared" si="864"/>
        <v>801800</v>
      </c>
      <c r="B639" s="684" t="str">
        <f>'BUS Deemed Savings Table'!C163</f>
        <v>801800_2019_12_</v>
      </c>
      <c r="C639" s="1962" t="str">
        <f>'BUS Deemed Savings Table'!G163</f>
        <v>Refrigeration BUS</v>
      </c>
      <c r="D639" s="1962"/>
      <c r="E639" s="1962"/>
      <c r="F639" s="1962"/>
      <c r="G639" s="1962" t="str">
        <f>'BUS Deemed Savings Table'!E163</f>
        <v>30 ≤ V &lt; 50 - Vertical Closed - Solid Door Freezer</v>
      </c>
      <c r="H639" s="63" t="str">
        <f>'BUS Deemed Savings Table'!D163</f>
        <v>C&amp;I</v>
      </c>
      <c r="I639" s="2438">
        <f>'BUS Deemed Savings Table'!F163</f>
        <v>2403.35</v>
      </c>
      <c r="J639" s="2438"/>
      <c r="K639" s="2439"/>
      <c r="L639" s="2439"/>
      <c r="M639" s="2439"/>
      <c r="N639" s="2439"/>
      <c r="O639" s="2440">
        <f>'BUS Deemed Savings Table'!I163</f>
        <v>0.32622699999999999</v>
      </c>
      <c r="P639" s="2440"/>
      <c r="Q639" s="2441"/>
      <c r="R639" s="2441"/>
      <c r="S639" s="2441"/>
      <c r="T639" s="2441"/>
      <c r="U639" s="1822">
        <f t="shared" si="895"/>
        <v>0</v>
      </c>
      <c r="V639" s="1822">
        <f t="shared" si="896"/>
        <v>0.32622699999999999</v>
      </c>
      <c r="W639" s="1822">
        <f t="shared" si="897"/>
        <v>0</v>
      </c>
      <c r="X639" s="68">
        <f>'BUS Deemed Savings Table'!J163</f>
        <v>12</v>
      </c>
      <c r="Y639" s="68"/>
      <c r="Z639" s="68">
        <f t="shared" si="969"/>
        <v>12</v>
      </c>
      <c r="AA639" s="62">
        <f>'BUS Deemed Savings Table'!DB163</f>
        <v>2.0124539755109874</v>
      </c>
      <c r="AB639" s="839">
        <f>'BUS Deemed Savings Table'!K163</f>
        <v>550</v>
      </c>
      <c r="AC639" s="2451">
        <f t="shared" si="875"/>
        <v>1044.6905960651657</v>
      </c>
      <c r="AD639" s="2451">
        <f t="shared" si="876"/>
        <v>0</v>
      </c>
      <c r="AE639" s="1661">
        <f>'BUS Deemed Savings Table'!DD163</f>
        <v>1044.6905960651657</v>
      </c>
      <c r="AF639" s="2453"/>
      <c r="AG639" s="2453"/>
      <c r="AH639" s="2453"/>
      <c r="AI639" s="684" t="str">
        <f>'BUS Deemed Savings Table'!L163</f>
        <v>per measure</v>
      </c>
      <c r="AJ639" s="1930"/>
      <c r="AK639" s="1930"/>
      <c r="AL639" s="1930"/>
      <c r="AM639" s="1972">
        <f t="shared" si="970"/>
        <v>1.3573829999999999E-4</v>
      </c>
      <c r="AN639" s="1930">
        <f t="shared" si="971"/>
        <v>0.32622664330499995</v>
      </c>
      <c r="AO639" s="1971">
        <f t="shared" si="972"/>
        <v>-3.5669500003665533E-7</v>
      </c>
    </row>
    <row r="640" spans="1:41" x14ac:dyDescent="0.25">
      <c r="A640" s="103" t="str">
        <f t="shared" si="864"/>
        <v>801850</v>
      </c>
      <c r="B640" s="684" t="str">
        <f>'BUS Deemed Savings Table'!C164</f>
        <v>801850_2019_12_</v>
      </c>
      <c r="C640" s="1962" t="str">
        <f>'BUS Deemed Savings Table'!G164</f>
        <v>Refrigeration BUS</v>
      </c>
      <c r="D640" s="1962"/>
      <c r="E640" s="1962"/>
      <c r="F640" s="1962"/>
      <c r="G640" s="1962" t="str">
        <f>'BUS Deemed Savings Table'!E164</f>
        <v>V ≥ 50 - Vertical Closed - Solid Door Freezer</v>
      </c>
      <c r="H640" s="63" t="str">
        <f>'BUS Deemed Savings Table'!D164</f>
        <v>C&amp;I</v>
      </c>
      <c r="I640" s="2438">
        <f>'BUS Deemed Savings Table'!F164</f>
        <v>2951.22</v>
      </c>
      <c r="J640" s="2438"/>
      <c r="K640" s="2439"/>
      <c r="L640" s="2439"/>
      <c r="M640" s="2439"/>
      <c r="N640" s="2439"/>
      <c r="O640" s="2440">
        <f>'BUS Deemed Savings Table'!I164</f>
        <v>0.40059400000000001</v>
      </c>
      <c r="P640" s="2440"/>
      <c r="Q640" s="2441"/>
      <c r="R640" s="2441"/>
      <c r="S640" s="2441"/>
      <c r="T640" s="2441"/>
      <c r="U640" s="1822">
        <f>IF(V640+W640&gt;0,0,IF(Z640&gt;0,O640,0))</f>
        <v>0</v>
      </c>
      <c r="V640" s="1822">
        <f>IF(W640&gt;0,0,IF(Z640&gt;9,O640,0))</f>
        <v>0.40059400000000001</v>
      </c>
      <c r="W640" s="1822">
        <f>IF(Z640&gt;14,O640,0)</f>
        <v>0</v>
      </c>
      <c r="X640" s="68">
        <f>'BUS Deemed Savings Table'!J164</f>
        <v>12</v>
      </c>
      <c r="Y640" s="68"/>
      <c r="Z640" s="68">
        <f t="shared" si="969"/>
        <v>12</v>
      </c>
      <c r="AA640" s="62">
        <f>'BUS Deemed Savings Table'!DB164</f>
        <v>1.9416688799765476</v>
      </c>
      <c r="AB640" s="839">
        <f>'BUS Deemed Savings Table'!K164</f>
        <v>700</v>
      </c>
      <c r="AC640" s="2451">
        <f t="shared" si="875"/>
        <v>1282.839278889649</v>
      </c>
      <c r="AD640" s="2451">
        <f t="shared" si="876"/>
        <v>0</v>
      </c>
      <c r="AE640" s="1661">
        <f>'BUS Deemed Savings Table'!DD164</f>
        <v>1282.839278889649</v>
      </c>
      <c r="AF640" s="2453"/>
      <c r="AG640" s="2453"/>
      <c r="AH640" s="2453"/>
      <c r="AI640" s="684" t="str">
        <f>'BUS Deemed Savings Table'!L164</f>
        <v>per measure</v>
      </c>
      <c r="AJ640" s="1930"/>
      <c r="AK640" s="1930"/>
      <c r="AL640" s="1930"/>
      <c r="AM640" s="1972">
        <f t="shared" si="970"/>
        <v>1.3573829999999999E-4</v>
      </c>
      <c r="AN640" s="1930">
        <f t="shared" si="971"/>
        <v>0.40059358572599996</v>
      </c>
      <c r="AO640" s="1971">
        <f t="shared" si="972"/>
        <v>-4.1427400004900861E-7</v>
      </c>
    </row>
    <row r="641" spans="1:41" x14ac:dyDescent="0.25">
      <c r="A641" s="103" t="str">
        <f t="shared" si="864"/>
        <v>801900</v>
      </c>
      <c r="B641" s="684" t="str">
        <f>'BUS Deemed Savings Table'!C165</f>
        <v>801900_2019_12_</v>
      </c>
      <c r="C641" s="1962" t="str">
        <f>'BUS Deemed Savings Table'!G165</f>
        <v>Refrigeration BUS</v>
      </c>
      <c r="D641" s="1962"/>
      <c r="E641" s="1962"/>
      <c r="F641" s="1962"/>
      <c r="G641" s="1962" t="str">
        <f>'BUS Deemed Savings Table'!E165</f>
        <v>0 &lt; V &lt; 15 - Vertical Closed - Glass Door Freezer</v>
      </c>
      <c r="H641" s="63" t="str">
        <f>'BUS Deemed Savings Table'!D165</f>
        <v>C&amp;I</v>
      </c>
      <c r="I641" s="2438">
        <f>'BUS Deemed Savings Table'!F165</f>
        <v>1429.95</v>
      </c>
      <c r="J641" s="2438"/>
      <c r="K641" s="2439"/>
      <c r="L641" s="2439"/>
      <c r="M641" s="2439"/>
      <c r="N641" s="2439"/>
      <c r="O641" s="2440">
        <f>'BUS Deemed Savings Table'!I165</f>
        <v>0.19409899999999999</v>
      </c>
      <c r="P641" s="2440"/>
      <c r="Q641" s="2441"/>
      <c r="R641" s="2441"/>
      <c r="S641" s="2441"/>
      <c r="T641" s="2441"/>
      <c r="U641" s="1822">
        <f t="shared" ref="U641:U664" si="973">IF(V641+W641&gt;0,0,IF(Z641&gt;0,O641,0))</f>
        <v>0</v>
      </c>
      <c r="V641" s="1822">
        <f t="shared" ref="V641:V664" si="974">IF(W641&gt;0,0,IF(Z641&gt;9,O641,0))</f>
        <v>0.19409899999999999</v>
      </c>
      <c r="W641" s="1822">
        <f t="shared" ref="W641:W664" si="975">IF(Z641&gt;14,O641,0)</f>
        <v>0</v>
      </c>
      <c r="X641" s="68">
        <f>'BUS Deemed Savings Table'!J165</f>
        <v>12</v>
      </c>
      <c r="Y641" s="68"/>
      <c r="Z641" s="68">
        <f t="shared" si="969"/>
        <v>12</v>
      </c>
      <c r="AA641" s="62">
        <f>'BUS Deemed Savings Table'!DB165</f>
        <v>2.9934347497055533</v>
      </c>
      <c r="AB641" s="839">
        <f>'BUS Deemed Savings Table'!K165</f>
        <v>220</v>
      </c>
      <c r="AC641" s="2451">
        <f t="shared" si="875"/>
        <v>621.57210470525877</v>
      </c>
      <c r="AD641" s="2451">
        <f t="shared" si="876"/>
        <v>0</v>
      </c>
      <c r="AE641" s="1661">
        <f>'BUS Deemed Savings Table'!DD165</f>
        <v>621.57210470525877</v>
      </c>
      <c r="AF641" s="2453"/>
      <c r="AG641" s="2453"/>
      <c r="AH641" s="2453"/>
      <c r="AI641" s="684" t="str">
        <f>'BUS Deemed Savings Table'!L165</f>
        <v>per measure</v>
      </c>
      <c r="AJ641" s="1930"/>
      <c r="AK641" s="1930"/>
      <c r="AL641" s="1930"/>
      <c r="AM641" s="1972">
        <f t="shared" si="970"/>
        <v>1.3573829999999999E-4</v>
      </c>
      <c r="AN641" s="1930">
        <f t="shared" si="971"/>
        <v>0.19409898208499998</v>
      </c>
      <c r="AO641" s="1971">
        <f t="shared" si="972"/>
        <v>-1.7915000011248239E-8</v>
      </c>
    </row>
    <row r="642" spans="1:41" x14ac:dyDescent="0.25">
      <c r="A642" s="103" t="str">
        <f t="shared" si="864"/>
        <v>801950</v>
      </c>
      <c r="B642" s="684" t="str">
        <f>'BUS Deemed Savings Table'!C166</f>
        <v>801950_2019_12_</v>
      </c>
      <c r="C642" s="1962" t="str">
        <f>'BUS Deemed Savings Table'!G166</f>
        <v>Refrigeration BUS</v>
      </c>
      <c r="D642" s="1962"/>
      <c r="E642" s="1962"/>
      <c r="F642" s="1962"/>
      <c r="G642" s="1962" t="str">
        <f>'BUS Deemed Savings Table'!E166</f>
        <v>15 ≤ V &lt; 30 - Vertical Closed - Glass Door Freezer</v>
      </c>
      <c r="H642" s="63" t="str">
        <f>'BUS Deemed Savings Table'!D166</f>
        <v>C&amp;I</v>
      </c>
      <c r="I642" s="2438">
        <f>'BUS Deemed Savings Table'!F166</f>
        <v>3186.81</v>
      </c>
      <c r="J642" s="2438"/>
      <c r="K642" s="2439"/>
      <c r="L642" s="2439"/>
      <c r="M642" s="2439"/>
      <c r="N642" s="2439"/>
      <c r="O642" s="2440">
        <f>'BUS Deemed Savings Table'!I166</f>
        <v>0.43257200000000001</v>
      </c>
      <c r="P642" s="2440"/>
      <c r="Q642" s="2441"/>
      <c r="R642" s="2441"/>
      <c r="S642" s="2441"/>
      <c r="T642" s="2441"/>
      <c r="U642" s="1822">
        <f t="shared" si="973"/>
        <v>0</v>
      </c>
      <c r="V642" s="1822">
        <f t="shared" si="974"/>
        <v>0.43257200000000001</v>
      </c>
      <c r="W642" s="1822">
        <f t="shared" si="975"/>
        <v>0</v>
      </c>
      <c r="X642" s="68">
        <f>'BUS Deemed Savings Table'!J166</f>
        <v>12</v>
      </c>
      <c r="Y642" s="68"/>
      <c r="Z642" s="68">
        <f t="shared" si="969"/>
        <v>12</v>
      </c>
      <c r="AA642" s="62">
        <f>'BUS Deemed Savings Table'!DB166</f>
        <v>1.5449135798535569</v>
      </c>
      <c r="AB642" s="839">
        <f>'BUS Deemed Savings Table'!K166</f>
        <v>950</v>
      </c>
      <c r="AC642" s="2451">
        <f t="shared" si="875"/>
        <v>1385.2457771221132</v>
      </c>
      <c r="AD642" s="2451">
        <f t="shared" si="876"/>
        <v>0</v>
      </c>
      <c r="AE642" s="1661">
        <f>'BUS Deemed Savings Table'!DD166</f>
        <v>1385.2457771221132</v>
      </c>
      <c r="AF642" s="2453"/>
      <c r="AG642" s="2453"/>
      <c r="AH642" s="2453"/>
      <c r="AI642" s="684" t="str">
        <f>'BUS Deemed Savings Table'!L166</f>
        <v>per measure</v>
      </c>
      <c r="AJ642" s="1930"/>
      <c r="AK642" s="1930"/>
      <c r="AL642" s="1930"/>
      <c r="AM642" s="1972">
        <f t="shared" si="970"/>
        <v>1.3573829999999999E-4</v>
      </c>
      <c r="AN642" s="1930">
        <f t="shared" si="971"/>
        <v>0.43257217182299995</v>
      </c>
      <c r="AO642" s="1971">
        <f t="shared" si="972"/>
        <v>1.7182299993923067E-7</v>
      </c>
    </row>
    <row r="643" spans="1:41" x14ac:dyDescent="0.25">
      <c r="A643" s="103" t="str">
        <f t="shared" si="864"/>
        <v>802000</v>
      </c>
      <c r="B643" s="684" t="str">
        <f>'BUS Deemed Savings Table'!C167</f>
        <v>802000_2019_12_</v>
      </c>
      <c r="C643" s="1962" t="str">
        <f>'BUS Deemed Savings Table'!G167</f>
        <v>Refrigeration BUS</v>
      </c>
      <c r="D643" s="1962"/>
      <c r="E643" s="1962"/>
      <c r="F643" s="1962"/>
      <c r="G643" s="1962" t="str">
        <f>'BUS Deemed Savings Table'!E167</f>
        <v>30 ≤ V &lt; 50 - Vertical Closed - Glass Door Freezer</v>
      </c>
      <c r="H643" s="63" t="str">
        <f>'BUS Deemed Savings Table'!D167</f>
        <v>C&amp;I</v>
      </c>
      <c r="I643" s="2438">
        <f>'BUS Deemed Savings Table'!F167</f>
        <v>5150.03</v>
      </c>
      <c r="J643" s="2438"/>
      <c r="K643" s="2439"/>
      <c r="L643" s="2439"/>
      <c r="M643" s="2439"/>
      <c r="N643" s="2439"/>
      <c r="O643" s="2440">
        <f>'BUS Deemed Savings Table'!I167</f>
        <v>0.69905600000000001</v>
      </c>
      <c r="P643" s="2440"/>
      <c r="Q643" s="2441"/>
      <c r="R643" s="2441"/>
      <c r="S643" s="2441"/>
      <c r="T643" s="2441"/>
      <c r="U643" s="1822">
        <f t="shared" si="973"/>
        <v>0</v>
      </c>
      <c r="V643" s="1822">
        <f t="shared" si="974"/>
        <v>0.69905600000000001</v>
      </c>
      <c r="W643" s="1822">
        <f t="shared" si="975"/>
        <v>0</v>
      </c>
      <c r="X643" s="68">
        <f>'BUS Deemed Savings Table'!J167</f>
        <v>12</v>
      </c>
      <c r="Y643" s="68"/>
      <c r="Z643" s="68">
        <f t="shared" si="969"/>
        <v>12</v>
      </c>
      <c r="AA643" s="62">
        <f>'BUS Deemed Savings Table'!DB167</f>
        <v>1.8147039978341466</v>
      </c>
      <c r="AB643" s="839">
        <f>'BUS Deemed Savings Table'!K167</f>
        <v>1307</v>
      </c>
      <c r="AC643" s="2451">
        <f t="shared" si="875"/>
        <v>2238.6202219624629</v>
      </c>
      <c r="AD643" s="2451">
        <f t="shared" si="876"/>
        <v>0</v>
      </c>
      <c r="AE643" s="1661">
        <f>'BUS Deemed Savings Table'!DD167</f>
        <v>2238.6202219624629</v>
      </c>
      <c r="AF643" s="2453"/>
      <c r="AG643" s="2453"/>
      <c r="AH643" s="2453"/>
      <c r="AI643" s="684" t="str">
        <f>'BUS Deemed Savings Table'!L167</f>
        <v>per measure</v>
      </c>
      <c r="AJ643" s="1930"/>
      <c r="AK643" s="1930"/>
      <c r="AL643" s="1930"/>
      <c r="AM643" s="1972">
        <f t="shared" si="970"/>
        <v>1.3573829999999999E-4</v>
      </c>
      <c r="AN643" s="1930">
        <f t="shared" si="971"/>
        <v>0.69905631714899985</v>
      </c>
      <c r="AO643" s="1971">
        <f t="shared" si="972"/>
        <v>3.171489998399224E-7</v>
      </c>
    </row>
    <row r="644" spans="1:41" x14ac:dyDescent="0.25">
      <c r="A644" s="103" t="str">
        <f t="shared" si="864"/>
        <v>802050</v>
      </c>
      <c r="B644" s="684" t="str">
        <f>'BUS Deemed Savings Table'!C168</f>
        <v>802050_2019_12_</v>
      </c>
      <c r="C644" s="1962" t="str">
        <f>'BUS Deemed Savings Table'!G168</f>
        <v>Refrigeration BUS</v>
      </c>
      <c r="D644" s="1962"/>
      <c r="E644" s="1962"/>
      <c r="F644" s="1962"/>
      <c r="G644" s="1962" t="str">
        <f>'BUS Deemed Savings Table'!E168</f>
        <v>V ≥ 50 - Vertical Closed - Glass Door Freezer</v>
      </c>
      <c r="H644" s="63" t="str">
        <f>'BUS Deemed Savings Table'!D168</f>
        <v>C&amp;I</v>
      </c>
      <c r="I644" s="2438">
        <f>'BUS Deemed Savings Table'!F168</f>
        <v>5884.18</v>
      </c>
      <c r="J644" s="2438"/>
      <c r="K644" s="2439"/>
      <c r="L644" s="2439"/>
      <c r="M644" s="2439"/>
      <c r="N644" s="2439"/>
      <c r="O644" s="2440">
        <f>'BUS Deemed Savings Table'!I168</f>
        <v>0.798709</v>
      </c>
      <c r="P644" s="2440"/>
      <c r="Q644" s="2441"/>
      <c r="R644" s="2441"/>
      <c r="S644" s="2441"/>
      <c r="T644" s="2441"/>
      <c r="U644" s="1822">
        <f t="shared" si="973"/>
        <v>0</v>
      </c>
      <c r="V644" s="1822">
        <f t="shared" si="974"/>
        <v>0.798709</v>
      </c>
      <c r="W644" s="1822">
        <f t="shared" si="975"/>
        <v>0</v>
      </c>
      <c r="X644" s="68">
        <f>'BUS Deemed Savings Table'!J168</f>
        <v>12</v>
      </c>
      <c r="Y644" s="68"/>
      <c r="Z644" s="68">
        <f t="shared" ref="Z644:Z675" si="976">Y644+X644</f>
        <v>12</v>
      </c>
      <c r="AA644" s="62">
        <f>'BUS Deemed Savings Table'!DB168</f>
        <v>1.1782290821402794</v>
      </c>
      <c r="AB644" s="839">
        <f>'BUS Deemed Savings Table'!K168</f>
        <v>2300</v>
      </c>
      <c r="AC644" s="2451">
        <f t="shared" si="875"/>
        <v>2557.7412826074965</v>
      </c>
      <c r="AD644" s="2451">
        <f t="shared" si="876"/>
        <v>0</v>
      </c>
      <c r="AE644" s="1661">
        <f>'BUS Deemed Savings Table'!DD168</f>
        <v>2557.7412826074965</v>
      </c>
      <c r="AF644" s="2453"/>
      <c r="AG644" s="2453"/>
      <c r="AH644" s="2453"/>
      <c r="AI644" s="684" t="str">
        <f>'BUS Deemed Savings Table'!L168</f>
        <v>per measure</v>
      </c>
      <c r="AJ644" s="1930"/>
      <c r="AK644" s="1930"/>
      <c r="AL644" s="1930"/>
      <c r="AM644" s="1972">
        <f t="shared" si="970"/>
        <v>1.3573829999999999E-4</v>
      </c>
      <c r="AN644" s="1930">
        <f t="shared" si="971"/>
        <v>0.79870859009399997</v>
      </c>
      <c r="AO644" s="1971">
        <f t="shared" si="972"/>
        <v>-4.099060000317678E-7</v>
      </c>
    </row>
    <row r="645" spans="1:41" x14ac:dyDescent="0.25">
      <c r="A645" s="103" t="str">
        <f t="shared" si="864"/>
        <v>802100</v>
      </c>
      <c r="B645" s="684" t="str">
        <f>'BUS Deemed Savings Table'!C169</f>
        <v>802100_2019_12_</v>
      </c>
      <c r="C645" s="1962" t="str">
        <f>'BUS Deemed Savings Table'!G169</f>
        <v>Refrigeration BUS</v>
      </c>
      <c r="D645" s="1962"/>
      <c r="E645" s="1962"/>
      <c r="F645" s="1962"/>
      <c r="G645" s="1962" t="str">
        <f>'BUS Deemed Savings Table'!E169</f>
        <v>Horizontal Closed - Solid or Glass Door Freezer  - All Volumes</v>
      </c>
      <c r="H645" s="63" t="str">
        <f>'BUS Deemed Savings Table'!D169</f>
        <v>C&amp;I</v>
      </c>
      <c r="I645" s="2438">
        <f>'BUS Deemed Savings Table'!F169</f>
        <v>5265.08</v>
      </c>
      <c r="J645" s="2438"/>
      <c r="K645" s="2439"/>
      <c r="L645" s="2439"/>
      <c r="M645" s="2439"/>
      <c r="N645" s="2439"/>
      <c r="O645" s="2440">
        <f>'BUS Deemed Savings Table'!I169</f>
        <v>0.714673</v>
      </c>
      <c r="P645" s="2440"/>
      <c r="Q645" s="2441"/>
      <c r="R645" s="2441"/>
      <c r="S645" s="2441"/>
      <c r="T645" s="2441"/>
      <c r="U645" s="1822">
        <f t="shared" si="973"/>
        <v>0</v>
      </c>
      <c r="V645" s="1822">
        <f t="shared" si="974"/>
        <v>0.714673</v>
      </c>
      <c r="W645" s="1822">
        <f t="shared" si="975"/>
        <v>0</v>
      </c>
      <c r="X645" s="68">
        <f>'BUS Deemed Savings Table'!J169</f>
        <v>12</v>
      </c>
      <c r="Y645" s="68"/>
      <c r="Z645" s="68">
        <f t="shared" si="976"/>
        <v>12</v>
      </c>
      <c r="AA645" s="62">
        <f>'BUS Deemed Savings Table'!DB169</f>
        <v>4.0753004586286439</v>
      </c>
      <c r="AB645" s="839">
        <f>'BUS Deemed Savings Table'!K169</f>
        <v>595</v>
      </c>
      <c r="AC645" s="2451">
        <f t="shared" si="875"/>
        <v>2288.6302717168878</v>
      </c>
      <c r="AD645" s="2451">
        <f t="shared" si="876"/>
        <v>0</v>
      </c>
      <c r="AE645" s="1661">
        <f>'BUS Deemed Savings Table'!DD169</f>
        <v>2288.6302717168878</v>
      </c>
      <c r="AF645" s="2453"/>
      <c r="AG645" s="2453"/>
      <c r="AH645" s="2453"/>
      <c r="AI645" s="684" t="str">
        <f>'BUS Deemed Savings Table'!L169</f>
        <v>per measure</v>
      </c>
      <c r="AJ645" s="1930"/>
      <c r="AK645" s="1930"/>
      <c r="AL645" s="1930"/>
      <c r="AM645" s="1972">
        <f t="shared" si="970"/>
        <v>1.3573829999999999E-4</v>
      </c>
      <c r="AN645" s="1930">
        <f t="shared" si="971"/>
        <v>0.71467300856399996</v>
      </c>
      <c r="AO645" s="1971">
        <f t="shared" si="972"/>
        <v>8.5639999536368805E-9</v>
      </c>
    </row>
    <row r="646" spans="1:41" x14ac:dyDescent="0.25">
      <c r="A646" s="103" t="str">
        <f t="shared" si="864"/>
        <v>802150</v>
      </c>
      <c r="B646" s="684" t="str">
        <f>'BUS Deemed Savings Table'!C197</f>
        <v>802150_2019_12_</v>
      </c>
      <c r="C646" s="1962" t="str">
        <f>'BUS Deemed Savings Table'!G197</f>
        <v>Refrigeration BUS</v>
      </c>
      <c r="D646" s="1962"/>
      <c r="E646" s="1962"/>
      <c r="F646" s="1962"/>
      <c r="G646" s="1962" t="str">
        <f>'BUS Deemed Savings Table'!E197</f>
        <v>Anti-Sweat Heater Controls Refrigerator</v>
      </c>
      <c r="H646" s="63" t="str">
        <f>'BUS Deemed Savings Table'!D197</f>
        <v>C&amp;I</v>
      </c>
      <c r="I646" s="2438">
        <f>'BUS Deemed Savings Table'!F197</f>
        <v>668.14</v>
      </c>
      <c r="J646" s="2438"/>
      <c r="K646" s="2439"/>
      <c r="L646" s="2439"/>
      <c r="M646" s="2439"/>
      <c r="N646" s="2439"/>
      <c r="O646" s="2440">
        <f>'BUS Deemed Savings Table'!I197</f>
        <v>9.0691999999999995E-2</v>
      </c>
      <c r="P646" s="2440"/>
      <c r="Q646" s="2441"/>
      <c r="R646" s="2441"/>
      <c r="S646" s="2441"/>
      <c r="T646" s="2441"/>
      <c r="U646" s="1822">
        <f t="shared" si="973"/>
        <v>0</v>
      </c>
      <c r="V646" s="1822">
        <f t="shared" si="974"/>
        <v>9.0691999999999995E-2</v>
      </c>
      <c r="W646" s="1822">
        <f t="shared" si="975"/>
        <v>0</v>
      </c>
      <c r="X646" s="68">
        <f>'BUS Deemed Savings Table'!J197</f>
        <v>12</v>
      </c>
      <c r="Y646" s="68"/>
      <c r="Z646" s="68">
        <f t="shared" si="976"/>
        <v>12</v>
      </c>
      <c r="AA646" s="62">
        <f>'BUS Deemed Savings Table'!DB197</f>
        <v>2.0378027787616295</v>
      </c>
      <c r="AB646" s="839">
        <f>'BUS Deemed Savings Table'!K197</f>
        <v>151</v>
      </c>
      <c r="AC646" s="2451">
        <f t="shared" si="875"/>
        <v>290.42776743086932</v>
      </c>
      <c r="AD646" s="2451">
        <f t="shared" si="876"/>
        <v>0</v>
      </c>
      <c r="AE646" s="1661">
        <f>'BUS Deemed Savings Table'!DD197</f>
        <v>290.42776743086932</v>
      </c>
      <c r="AF646" s="2453"/>
      <c r="AG646" s="2453"/>
      <c r="AH646" s="2453"/>
      <c r="AI646" s="684" t="str">
        <f>'BUS Deemed Savings Table'!L197</f>
        <v>per door</v>
      </c>
      <c r="AJ646" s="1930"/>
      <c r="AK646" s="1930"/>
      <c r="AL646" s="1930"/>
      <c r="AM646" s="1972">
        <f t="shared" si="970"/>
        <v>1.3573829999999999E-4</v>
      </c>
      <c r="AN646" s="1930">
        <f t="shared" si="971"/>
        <v>9.0692187761999984E-2</v>
      </c>
      <c r="AO646" s="1971">
        <f t="shared" si="972"/>
        <v>1.8776199998959964E-7</v>
      </c>
    </row>
    <row r="647" spans="1:41" x14ac:dyDescent="0.25">
      <c r="A647" s="103" t="str">
        <f t="shared" si="864"/>
        <v>802200</v>
      </c>
      <c r="B647" s="684" t="str">
        <f>'BUS Deemed Savings Table'!C198</f>
        <v>802200_2019_12_</v>
      </c>
      <c r="C647" s="1962" t="str">
        <f>'BUS Deemed Savings Table'!G198</f>
        <v>Refrigeration BUS</v>
      </c>
      <c r="D647" s="1962"/>
      <c r="E647" s="1962"/>
      <c r="F647" s="1962"/>
      <c r="G647" s="1962" t="str">
        <f>'BUS Deemed Savings Table'!E198</f>
        <v>Anti-Sweat Heater Controls Freezer</v>
      </c>
      <c r="H647" s="63" t="str">
        <f>'BUS Deemed Savings Table'!D198</f>
        <v>C&amp;I</v>
      </c>
      <c r="I647" s="2438">
        <f>'BUS Deemed Savings Table'!F198</f>
        <v>770.93</v>
      </c>
      <c r="J647" s="2438"/>
      <c r="K647" s="2439"/>
      <c r="L647" s="2439"/>
      <c r="M647" s="2439"/>
      <c r="N647" s="2439"/>
      <c r="O647" s="2440">
        <f>'BUS Deemed Savings Table'!I198</f>
        <v>0.104645</v>
      </c>
      <c r="P647" s="2440"/>
      <c r="Q647" s="2441"/>
      <c r="R647" s="2441"/>
      <c r="S647" s="2441"/>
      <c r="T647" s="2441"/>
      <c r="U647" s="1822">
        <f t="shared" si="973"/>
        <v>0</v>
      </c>
      <c r="V647" s="1822">
        <f t="shared" si="974"/>
        <v>0.104645</v>
      </c>
      <c r="W647" s="1822">
        <f t="shared" si="975"/>
        <v>0</v>
      </c>
      <c r="X647" s="68">
        <f>'BUS Deemed Savings Table'!J198</f>
        <v>12</v>
      </c>
      <c r="Y647" s="68"/>
      <c r="Z647" s="68">
        <f t="shared" si="976"/>
        <v>12</v>
      </c>
      <c r="AA647" s="62">
        <f>'BUS Deemed Savings Table'!DB198</f>
        <v>2.3513085524451509</v>
      </c>
      <c r="AB647" s="839">
        <f>'BUS Deemed Savings Table'!K198</f>
        <v>151</v>
      </c>
      <c r="AC647" s="2451">
        <f t="shared" si="875"/>
        <v>335.10862805022913</v>
      </c>
      <c r="AD647" s="2451">
        <f t="shared" si="876"/>
        <v>0</v>
      </c>
      <c r="AE647" s="1661">
        <f>'BUS Deemed Savings Table'!DD198</f>
        <v>335.10862805022913</v>
      </c>
      <c r="AF647" s="2453"/>
      <c r="AG647" s="2453"/>
      <c r="AH647" s="2453"/>
      <c r="AI647" s="684" t="str">
        <f>'BUS Deemed Savings Table'!L198</f>
        <v>per door</v>
      </c>
      <c r="AJ647" s="1930"/>
      <c r="AK647" s="1930"/>
      <c r="AL647" s="1930"/>
      <c r="AM647" s="1972">
        <f t="shared" si="970"/>
        <v>1.3573829999999999E-4</v>
      </c>
      <c r="AN647" s="1930">
        <f t="shared" si="971"/>
        <v>0.10464472761899998</v>
      </c>
      <c r="AO647" s="1971">
        <f t="shared" si="972"/>
        <v>-2.723810000188065E-7</v>
      </c>
    </row>
    <row r="648" spans="1:41" x14ac:dyDescent="0.25">
      <c r="A648" s="103" t="str">
        <f t="shared" si="864"/>
        <v>802250</v>
      </c>
      <c r="B648" s="684" t="str">
        <f>'BUS Deemed Savings Table'!C217</f>
        <v>802250_2019_12_</v>
      </c>
      <c r="C648" s="1962" t="str">
        <f>'BUS Deemed Savings Table'!G217</f>
        <v>Water Heating BUS</v>
      </c>
      <c r="D648" s="1962"/>
      <c r="E648" s="1962"/>
      <c r="F648" s="1962"/>
      <c r="G648" s="1962" t="str">
        <f>'BUS Deemed Savings Table'!E217</f>
        <v>Heat Pump Water Heater w/ 98% Efficiency 2.9-14.6 kW (10 to 50 MBH)</v>
      </c>
      <c r="H648" s="63" t="str">
        <f>'BUS Deemed Savings Table'!D217</f>
        <v>C&amp;I</v>
      </c>
      <c r="I648" s="2438">
        <f>'BUS Deemed Savings Table'!F217</f>
        <v>21156</v>
      </c>
      <c r="J648" s="2438"/>
      <c r="K648" s="2439"/>
      <c r="L648" s="2439"/>
      <c r="M648" s="2439"/>
      <c r="N648" s="2439"/>
      <c r="O648" s="2440">
        <f>'BUS Deemed Savings Table'!I217</f>
        <v>3.8325049999999998</v>
      </c>
      <c r="P648" s="2440"/>
      <c r="Q648" s="2441"/>
      <c r="R648" s="2441"/>
      <c r="S648" s="2441"/>
      <c r="T648" s="2441"/>
      <c r="U648" s="1822">
        <f t="shared" si="973"/>
        <v>0</v>
      </c>
      <c r="V648" s="1822">
        <f t="shared" si="974"/>
        <v>0</v>
      </c>
      <c r="W648" s="1822">
        <f t="shared" si="975"/>
        <v>3.8325049999999998</v>
      </c>
      <c r="X648" s="68">
        <f>'BUS Deemed Savings Table'!J217</f>
        <v>15</v>
      </c>
      <c r="Y648" s="68"/>
      <c r="Z648" s="68">
        <f t="shared" si="976"/>
        <v>15</v>
      </c>
      <c r="AA648" s="62">
        <f>'BUS Deemed Savings Table'!DB217</f>
        <v>3.5430180315223572</v>
      </c>
      <c r="AB648" s="839">
        <f>'BUS Deemed Savings Table'!K217</f>
        <v>4000</v>
      </c>
      <c r="AC648" s="2451">
        <f t="shared" si="875"/>
        <v>13376.188887295353</v>
      </c>
      <c r="AD648" s="2451">
        <f t="shared" si="876"/>
        <v>0</v>
      </c>
      <c r="AE648" s="1661">
        <f>'BUS Deemed Savings Table'!DD217</f>
        <v>13376.188887295353</v>
      </c>
      <c r="AF648" s="2453"/>
      <c r="AG648" s="2453"/>
      <c r="AH648" s="2453"/>
      <c r="AI648" s="684" t="str">
        <f>'BUS Deemed Savings Table'!L217</f>
        <v>per measure</v>
      </c>
      <c r="AJ648" s="1930"/>
      <c r="AK648" s="1930"/>
      <c r="AL648" s="1930"/>
      <c r="AM648" s="1972">
        <f t="shared" si="970"/>
        <v>1.811545E-4</v>
      </c>
      <c r="AN648" s="1930">
        <f t="shared" si="971"/>
        <v>3.8325046020000002</v>
      </c>
      <c r="AO648" s="1971">
        <f t="shared" si="972"/>
        <v>-3.9799999962397692E-7</v>
      </c>
    </row>
    <row r="649" spans="1:41" x14ac:dyDescent="0.25">
      <c r="A649" s="103" t="str">
        <f t="shared" si="864"/>
        <v>802300</v>
      </c>
      <c r="B649" s="684" t="str">
        <f>'BUS Deemed Savings Table'!C218</f>
        <v>802300_2019_12_</v>
      </c>
      <c r="C649" s="1962" t="str">
        <f>'BUS Deemed Savings Table'!G218</f>
        <v>Water Heating BUS</v>
      </c>
      <c r="D649" s="1962"/>
      <c r="E649" s="1962"/>
      <c r="F649" s="1962"/>
      <c r="G649" s="1962" t="str">
        <f>'BUS Deemed Savings Table'!E218</f>
        <v>Heat Pump Water Heater w/ 98% Efficiency 14.7-29.3 kW (50 to 100 MBH)</v>
      </c>
      <c r="H649" s="63" t="str">
        <f>'BUS Deemed Savings Table'!D218</f>
        <v>C&amp;I</v>
      </c>
      <c r="I649" s="2438">
        <f>'BUS Deemed Savings Table'!F218</f>
        <v>52890</v>
      </c>
      <c r="J649" s="2438"/>
      <c r="K649" s="2439"/>
      <c r="L649" s="2439"/>
      <c r="M649" s="2439"/>
      <c r="N649" s="2439"/>
      <c r="O649" s="2440">
        <f>'BUS Deemed Savings Table'!I218</f>
        <v>9.5812620000000006</v>
      </c>
      <c r="P649" s="2440"/>
      <c r="Q649" s="2441"/>
      <c r="R649" s="2441"/>
      <c r="S649" s="2441"/>
      <c r="T649" s="2441"/>
      <c r="U649" s="1822">
        <f t="shared" si="973"/>
        <v>0</v>
      </c>
      <c r="V649" s="1822">
        <f t="shared" si="974"/>
        <v>0</v>
      </c>
      <c r="W649" s="1822">
        <f t="shared" si="975"/>
        <v>9.5812620000000006</v>
      </c>
      <c r="X649" s="68">
        <f>'BUS Deemed Savings Table'!J218</f>
        <v>15</v>
      </c>
      <c r="Y649" s="68"/>
      <c r="Z649" s="68">
        <f t="shared" si="976"/>
        <v>15</v>
      </c>
      <c r="AA649" s="62">
        <f>'BUS Deemed Savings Table'!DB218</f>
        <v>5.0614543307462245</v>
      </c>
      <c r="AB649" s="839">
        <f>'BUS Deemed Savings Table'!K218</f>
        <v>7000</v>
      </c>
      <c r="AC649" s="2451">
        <f t="shared" si="875"/>
        <v>33440.472218238385</v>
      </c>
      <c r="AD649" s="2451">
        <f t="shared" si="876"/>
        <v>0</v>
      </c>
      <c r="AE649" s="1661">
        <f>'BUS Deemed Savings Table'!DD218</f>
        <v>33440.472218238385</v>
      </c>
      <c r="AF649" s="2453"/>
      <c r="AG649" s="2453"/>
      <c r="AH649" s="2453"/>
      <c r="AI649" s="684" t="str">
        <f>'BUS Deemed Savings Table'!L218</f>
        <v>per measure</v>
      </c>
      <c r="AJ649" s="1930"/>
      <c r="AK649" s="1930"/>
      <c r="AL649" s="1930"/>
      <c r="AM649" s="1972">
        <f t="shared" si="970"/>
        <v>1.811545E-4</v>
      </c>
      <c r="AN649" s="1930">
        <f t="shared" si="971"/>
        <v>9.5812615050000005</v>
      </c>
      <c r="AO649" s="1971">
        <f t="shared" si="972"/>
        <v>-4.9500000010027634E-7</v>
      </c>
    </row>
    <row r="650" spans="1:41" x14ac:dyDescent="0.25">
      <c r="A650" s="103" t="str">
        <f t="shared" ref="A650:A713" si="977">LEFT(B650,6)</f>
        <v>802350</v>
      </c>
      <c r="B650" s="684" t="str">
        <f>'BUS Deemed Savings Table'!C219</f>
        <v>802350_2019_12_</v>
      </c>
      <c r="C650" s="1962" t="str">
        <f>'BUS Deemed Savings Table'!G219</f>
        <v>Water Heating BUS</v>
      </c>
      <c r="D650" s="1962"/>
      <c r="E650" s="1962"/>
      <c r="F650" s="1962"/>
      <c r="G650" s="1962" t="str">
        <f>'BUS Deemed Savings Table'!E219</f>
        <v>Heat Pump Water Heater w/ 98% Efficiency 29.4-87.9 kW (100 to 300 MBH)</v>
      </c>
      <c r="H650" s="63" t="str">
        <f>'BUS Deemed Savings Table'!D219</f>
        <v>C&amp;I</v>
      </c>
      <c r="I650" s="2438">
        <f>'BUS Deemed Savings Table'!F219</f>
        <v>141041</v>
      </c>
      <c r="J650" s="2438"/>
      <c r="K650" s="2439"/>
      <c r="L650" s="2439"/>
      <c r="M650" s="2439"/>
      <c r="N650" s="2439"/>
      <c r="O650" s="2440">
        <f>'BUS Deemed Savings Table'!I219</f>
        <v>25.550211999999998</v>
      </c>
      <c r="P650" s="2440"/>
      <c r="Q650" s="2441"/>
      <c r="R650" s="2441"/>
      <c r="S650" s="2441"/>
      <c r="T650" s="2441"/>
      <c r="U650" s="1822">
        <f t="shared" si="973"/>
        <v>0</v>
      </c>
      <c r="V650" s="1822">
        <f t="shared" si="974"/>
        <v>0</v>
      </c>
      <c r="W650" s="1822">
        <f t="shared" si="975"/>
        <v>25.550211999999998</v>
      </c>
      <c r="X650" s="68">
        <f>'BUS Deemed Savings Table'!J219</f>
        <v>15</v>
      </c>
      <c r="Y650" s="68"/>
      <c r="Z650" s="68">
        <f t="shared" si="976"/>
        <v>15</v>
      </c>
      <c r="AA650" s="62">
        <f>'BUS Deemed Savings Table'!DB219</f>
        <v>9.4481150724890295</v>
      </c>
      <c r="AB650" s="839">
        <f>'BUS Deemed Savings Table'!K219</f>
        <v>10000</v>
      </c>
      <c r="AC650" s="2451">
        <f t="shared" si="875"/>
        <v>89175.224846522207</v>
      </c>
      <c r="AD650" s="2451">
        <f t="shared" si="876"/>
        <v>0</v>
      </c>
      <c r="AE650" s="1661">
        <f>'BUS Deemed Savings Table'!DD219</f>
        <v>89175.224846522207</v>
      </c>
      <c r="AF650" s="2453"/>
      <c r="AG650" s="2453"/>
      <c r="AH650" s="2453"/>
      <c r="AI650" s="684" t="str">
        <f>'BUS Deemed Savings Table'!L219</f>
        <v>per measure</v>
      </c>
      <c r="AJ650" s="1930"/>
      <c r="AK650" s="1930"/>
      <c r="AL650" s="1930"/>
      <c r="AM650" s="1972">
        <f t="shared" si="970"/>
        <v>1.811545E-4</v>
      </c>
      <c r="AN650" s="1930">
        <f t="shared" si="971"/>
        <v>25.550211834500001</v>
      </c>
      <c r="AO650" s="1971">
        <f t="shared" si="972"/>
        <v>-1.6549999770631985E-7</v>
      </c>
    </row>
    <row r="651" spans="1:41" x14ac:dyDescent="0.25">
      <c r="A651" s="103" t="str">
        <f t="shared" si="977"/>
        <v>802400</v>
      </c>
      <c r="B651" s="684" t="str">
        <f>'BUS Deemed Savings Table'!C220</f>
        <v>802400_2019_12_</v>
      </c>
      <c r="C651" s="1962" t="str">
        <f>'BUS Deemed Savings Table'!G220</f>
        <v>Water Heating BUS</v>
      </c>
      <c r="D651" s="1962"/>
      <c r="E651" s="1962"/>
      <c r="F651" s="1962"/>
      <c r="G651" s="1962" t="str">
        <f>'BUS Deemed Savings Table'!E220</f>
        <v>Heat Pump Water Heater w/ 98% Efficiency 88-146.5 kW (300 to 500 MBH)</v>
      </c>
      <c r="H651" s="63" t="str">
        <f>'BUS Deemed Savings Table'!D220</f>
        <v>C&amp;I</v>
      </c>
      <c r="I651" s="2438">
        <f>'BUS Deemed Savings Table'!F220</f>
        <v>282081</v>
      </c>
      <c r="J651" s="2438"/>
      <c r="K651" s="2439"/>
      <c r="L651" s="2439"/>
      <c r="M651" s="2439"/>
      <c r="N651" s="2439"/>
      <c r="O651" s="2440">
        <f>'BUS Deemed Savings Table'!I220</f>
        <v>51.100242999999999</v>
      </c>
      <c r="P651" s="2440"/>
      <c r="Q651" s="2441"/>
      <c r="R651" s="2441"/>
      <c r="S651" s="2441"/>
      <c r="T651" s="2441"/>
      <c r="U651" s="1822">
        <f t="shared" si="973"/>
        <v>0</v>
      </c>
      <c r="V651" s="1822">
        <f t="shared" si="974"/>
        <v>0</v>
      </c>
      <c r="W651" s="1822">
        <f t="shared" si="975"/>
        <v>51.100242999999999</v>
      </c>
      <c r="X651" s="68">
        <f>'BUS Deemed Savings Table'!J220</f>
        <v>15</v>
      </c>
      <c r="Y651" s="68"/>
      <c r="Z651" s="68">
        <f t="shared" si="976"/>
        <v>15</v>
      </c>
      <c r="AA651" s="62">
        <f>'BUS Deemed Savings Table'!DB220</f>
        <v>13.497259397534748</v>
      </c>
      <c r="AB651" s="839">
        <f>'BUS Deemed Savings Table'!K220</f>
        <v>14000</v>
      </c>
      <c r="AC651" s="2451">
        <f t="shared" si="875"/>
        <v>178349.81742849122</v>
      </c>
      <c r="AD651" s="2451">
        <f t="shared" si="876"/>
        <v>0</v>
      </c>
      <c r="AE651" s="1661">
        <f>'BUS Deemed Savings Table'!DD220</f>
        <v>178349.81742849122</v>
      </c>
      <c r="AF651" s="2453"/>
      <c r="AG651" s="2453"/>
      <c r="AH651" s="2453"/>
      <c r="AI651" s="684" t="str">
        <f>'BUS Deemed Savings Table'!L220</f>
        <v>per measure</v>
      </c>
      <c r="AJ651" s="1930"/>
      <c r="AK651" s="1930"/>
      <c r="AL651" s="1930"/>
      <c r="AM651" s="1972">
        <f t="shared" si="970"/>
        <v>1.811545E-4</v>
      </c>
      <c r="AN651" s="1930">
        <f t="shared" si="971"/>
        <v>51.100242514500003</v>
      </c>
      <c r="AO651" s="1971">
        <f t="shared" si="972"/>
        <v>-4.8549999576152914E-7</v>
      </c>
    </row>
    <row r="652" spans="1:41" x14ac:dyDescent="0.25">
      <c r="A652" s="103" t="str">
        <f t="shared" si="977"/>
        <v>802450</v>
      </c>
      <c r="B652" s="684" t="str">
        <f>'BUS Deemed Savings Table'!C221</f>
        <v>802450_2019_12_</v>
      </c>
      <c r="C652" s="1962" t="str">
        <f>'BUS Deemed Savings Table'!G221</f>
        <v>Water Heating BUS</v>
      </c>
      <c r="D652" s="1962"/>
      <c r="E652" s="1962"/>
      <c r="F652" s="1962"/>
      <c r="G652" s="1962" t="str">
        <f>'BUS Deemed Savings Table'!E221</f>
        <v>Heat Pump Water Heater w/ 98% Efficiency &gt;146.6 kW (above 500 MBH)</v>
      </c>
      <c r="H652" s="63" t="str">
        <f>'BUS Deemed Savings Table'!D221</f>
        <v>C&amp;I</v>
      </c>
      <c r="I652" s="2438">
        <f>'BUS Deemed Savings Table'!F221</f>
        <v>423122</v>
      </c>
      <c r="J652" s="2438"/>
      <c r="K652" s="2439"/>
      <c r="L652" s="2439"/>
      <c r="M652" s="2439"/>
      <c r="N652" s="2439"/>
      <c r="O652" s="2440">
        <f>'BUS Deemed Savings Table'!I221</f>
        <v>76.650453999999996</v>
      </c>
      <c r="P652" s="2440"/>
      <c r="Q652" s="2441"/>
      <c r="R652" s="2441"/>
      <c r="S652" s="2441"/>
      <c r="T652" s="2441"/>
      <c r="U652" s="1822">
        <f t="shared" si="973"/>
        <v>0</v>
      </c>
      <c r="V652" s="1822">
        <f t="shared" si="974"/>
        <v>0</v>
      </c>
      <c r="W652" s="1822">
        <f t="shared" si="975"/>
        <v>76.650453999999996</v>
      </c>
      <c r="X652" s="68">
        <f>'BUS Deemed Savings Table'!J221</f>
        <v>15</v>
      </c>
      <c r="Y652" s="68"/>
      <c r="Z652" s="68">
        <f t="shared" si="976"/>
        <v>15</v>
      </c>
      <c r="AA652" s="62">
        <f>'BUS Deemed Savings Table'!DB221</f>
        <v>15.746821238354265</v>
      </c>
      <c r="AB652" s="839">
        <f>'BUS Deemed Savings Table'!K221</f>
        <v>18000</v>
      </c>
      <c r="AC652" s="2451">
        <f t="shared" si="875"/>
        <v>267525.04227501346</v>
      </c>
      <c r="AD652" s="2451">
        <f t="shared" si="876"/>
        <v>0</v>
      </c>
      <c r="AE652" s="1661">
        <f>'BUS Deemed Savings Table'!DD221</f>
        <v>267525.04227501346</v>
      </c>
      <c r="AF652" s="2453"/>
      <c r="AG652" s="2453"/>
      <c r="AH652" s="2453"/>
      <c r="AI652" s="684" t="str">
        <f>'BUS Deemed Savings Table'!L221</f>
        <v>per measure</v>
      </c>
      <c r="AJ652" s="1930"/>
      <c r="AK652" s="1930"/>
      <c r="AL652" s="1930"/>
      <c r="AM652" s="1972">
        <f t="shared" si="970"/>
        <v>1.811545E-4</v>
      </c>
      <c r="AN652" s="1930">
        <f t="shared" si="971"/>
        <v>76.650454349</v>
      </c>
      <c r="AO652" s="1971">
        <f t="shared" si="972"/>
        <v>3.4900000400739373E-7</v>
      </c>
    </row>
    <row r="653" spans="1:41" x14ac:dyDescent="0.25">
      <c r="A653" s="103" t="str">
        <f t="shared" si="977"/>
        <v>802500</v>
      </c>
      <c r="B653" s="684" t="str">
        <f>'BUS Deemed Savings Table'!C241</f>
        <v>802500_2019_12_</v>
      </c>
      <c r="C653" s="1962" t="str">
        <f>'BUS Deemed Savings Table'!G241</f>
        <v>Water Heating BUS</v>
      </c>
      <c r="D653" s="1962"/>
      <c r="E653" s="1962"/>
      <c r="F653" s="1962"/>
      <c r="G653" s="1962" t="str">
        <f>'BUS Deemed Savings Table'!E241</f>
        <v>Pool Heater Heat Pump (Uncovered)</v>
      </c>
      <c r="H653" s="63" t="str">
        <f>'BUS Deemed Savings Table'!D241</f>
        <v>C&amp;I</v>
      </c>
      <c r="I653" s="2438">
        <f>'BUS Deemed Savings Table'!F241</f>
        <v>35272.879999999997</v>
      </c>
      <c r="J653" s="2438"/>
      <c r="K653" s="2439"/>
      <c r="L653" s="2439"/>
      <c r="M653" s="2439"/>
      <c r="N653" s="2439"/>
      <c r="O653" s="2440">
        <f>'BUS Deemed Savings Table'!I241</f>
        <v>6.3898409999999997</v>
      </c>
      <c r="P653" s="2440"/>
      <c r="Q653" s="2441"/>
      <c r="R653" s="2441"/>
      <c r="S653" s="2441"/>
      <c r="T653" s="2441"/>
      <c r="U653" s="1822">
        <f t="shared" si="973"/>
        <v>0</v>
      </c>
      <c r="V653" s="1822">
        <f t="shared" si="974"/>
        <v>0</v>
      </c>
      <c r="W653" s="1822">
        <f t="shared" si="975"/>
        <v>6.3898409999999997</v>
      </c>
      <c r="X653" s="68">
        <f>'BUS Deemed Savings Table'!J241</f>
        <v>15</v>
      </c>
      <c r="Y653" s="68"/>
      <c r="Z653" s="68">
        <f t="shared" si="976"/>
        <v>15</v>
      </c>
      <c r="AA653" s="62">
        <f>'BUS Deemed Savings Table'!DB241</f>
        <v>23.62874831985712</v>
      </c>
      <c r="AB653" s="839">
        <f>'BUS Deemed Savings Table'!K241</f>
        <v>1000</v>
      </c>
      <c r="AC653" s="2451">
        <f t="shared" si="875"/>
        <v>22301.791712937345</v>
      </c>
      <c r="AD653" s="2451">
        <f t="shared" si="876"/>
        <v>0</v>
      </c>
      <c r="AE653" s="1661">
        <f>'BUS Deemed Savings Table'!DD241</f>
        <v>22301.791712937345</v>
      </c>
      <c r="AF653" s="2453"/>
      <c r="AG653" s="2453"/>
      <c r="AH653" s="2453"/>
      <c r="AI653" s="684" t="str">
        <f>'BUS Deemed Savings Table'!L241</f>
        <v>per measure</v>
      </c>
      <c r="AJ653" s="1930"/>
      <c r="AK653" s="1930"/>
      <c r="AL653" s="1930"/>
      <c r="AM653" s="1972">
        <f t="shared" si="970"/>
        <v>1.811545E-4</v>
      </c>
      <c r="AN653" s="1930">
        <f t="shared" si="971"/>
        <v>6.38984093996</v>
      </c>
      <c r="AO653" s="1971">
        <f t="shared" si="972"/>
        <v>-6.0039999638661357E-8</v>
      </c>
    </row>
    <row r="654" spans="1:41" x14ac:dyDescent="0.25">
      <c r="A654" s="103" t="str">
        <f t="shared" si="977"/>
        <v>802550</v>
      </c>
      <c r="B654" s="684" t="str">
        <f>'BUS Deemed Savings Table'!C242</f>
        <v>802550_2019_12_</v>
      </c>
      <c r="C654" s="1962" t="str">
        <f>'BUS Deemed Savings Table'!G242</f>
        <v>Water Heating BUS</v>
      </c>
      <c r="D654" s="1962"/>
      <c r="E654" s="1962"/>
      <c r="F654" s="1962"/>
      <c r="G654" s="1962" t="str">
        <f>'BUS Deemed Savings Table'!E242</f>
        <v>Pool Heater Heat Pump (Covered)</v>
      </c>
      <c r="H654" s="63" t="str">
        <f>'BUS Deemed Savings Table'!D242</f>
        <v>C&amp;I</v>
      </c>
      <c r="I654" s="2438">
        <f>'BUS Deemed Savings Table'!F242</f>
        <v>6206.88</v>
      </c>
      <c r="J654" s="2438"/>
      <c r="K654" s="2439"/>
      <c r="L654" s="2439"/>
      <c r="M654" s="2439"/>
      <c r="N654" s="2439"/>
      <c r="O654" s="2440">
        <f>'BUS Deemed Savings Table'!I242</f>
        <v>1.124404</v>
      </c>
      <c r="P654" s="2440"/>
      <c r="Q654" s="2441"/>
      <c r="R654" s="2441"/>
      <c r="S654" s="2441"/>
      <c r="T654" s="2441"/>
      <c r="U654" s="1822">
        <f t="shared" si="973"/>
        <v>0</v>
      </c>
      <c r="V654" s="1822">
        <f t="shared" si="974"/>
        <v>0</v>
      </c>
      <c r="W654" s="1822">
        <f t="shared" si="975"/>
        <v>1.124404</v>
      </c>
      <c r="X654" s="68">
        <f>'BUS Deemed Savings Table'!J242</f>
        <v>15</v>
      </c>
      <c r="Y654" s="68"/>
      <c r="Z654" s="68">
        <f t="shared" si="976"/>
        <v>15</v>
      </c>
      <c r="AA654" s="62">
        <f>'BUS Deemed Savings Table'!DB242</f>
        <v>4.1578914273956302</v>
      </c>
      <c r="AB654" s="839">
        <f>'BUS Deemed Savings Table'!K242</f>
        <v>1000</v>
      </c>
      <c r="AC654" s="2451">
        <f t="shared" si="875"/>
        <v>3924.3902099062102</v>
      </c>
      <c r="AD654" s="2451">
        <f t="shared" si="876"/>
        <v>0</v>
      </c>
      <c r="AE654" s="1661">
        <f>'BUS Deemed Savings Table'!DD242</f>
        <v>3924.3902099062102</v>
      </c>
      <c r="AF654" s="2453"/>
      <c r="AG654" s="2453"/>
      <c r="AH654" s="2453"/>
      <c r="AI654" s="684" t="str">
        <f>'BUS Deemed Savings Table'!L242</f>
        <v>per measure</v>
      </c>
      <c r="AJ654" s="1930"/>
      <c r="AK654" s="1930"/>
      <c r="AL654" s="1930"/>
      <c r="AM654" s="1972">
        <f t="shared" si="970"/>
        <v>1.811545E-4</v>
      </c>
      <c r="AN654" s="1930">
        <f t="shared" si="971"/>
        <v>1.1244042429600001</v>
      </c>
      <c r="AO654" s="1971">
        <f t="shared" si="972"/>
        <v>2.4296000011858609E-7</v>
      </c>
    </row>
    <row r="655" spans="1:41" x14ac:dyDescent="0.25">
      <c r="A655" s="103" t="str">
        <f t="shared" si="977"/>
        <v>802600</v>
      </c>
      <c r="B655" s="684" t="str">
        <f>'BUS Deemed Savings Table'!C259</f>
        <v>802600_2019_12_</v>
      </c>
      <c r="C655" s="1962" t="str">
        <f>'BUS Deemed Savings Table'!G259</f>
        <v>Motors BUS</v>
      </c>
      <c r="D655" s="1962"/>
      <c r="E655" s="1962"/>
      <c r="F655" s="1962"/>
      <c r="G655" s="1962" t="str">
        <f>'BUS Deemed Savings Table'!E259</f>
        <v>Pool Pump w/ Variable Frequency Drive</v>
      </c>
      <c r="H655" s="63" t="str">
        <f>'BUS Deemed Savings Table'!D259</f>
        <v>C&amp;I</v>
      </c>
      <c r="I655" s="2438">
        <f>'BUS Deemed Savings Table'!F259</f>
        <v>1747</v>
      </c>
      <c r="J655" s="2438"/>
      <c r="K655" s="2439"/>
      <c r="L655" s="2439"/>
      <c r="M655" s="2439"/>
      <c r="N655" s="2439"/>
      <c r="O655" s="2440">
        <f>'BUS Deemed Savings Table'!I259</f>
        <v>0.24098800000000001</v>
      </c>
      <c r="P655" s="2440"/>
      <c r="Q655" s="2441"/>
      <c r="R655" s="2441"/>
      <c r="S655" s="2441"/>
      <c r="T655" s="2441"/>
      <c r="U655" s="1822">
        <f t="shared" si="973"/>
        <v>0</v>
      </c>
      <c r="V655" s="1822">
        <f t="shared" si="974"/>
        <v>0.24098800000000001</v>
      </c>
      <c r="W655" s="1822">
        <f t="shared" si="975"/>
        <v>0</v>
      </c>
      <c r="X655" s="68">
        <f>'BUS Deemed Savings Table'!J259</f>
        <v>10</v>
      </c>
      <c r="Y655" s="68"/>
      <c r="Z655" s="68">
        <f t="shared" si="976"/>
        <v>10</v>
      </c>
      <c r="AA655" s="62">
        <f>'BUS Deemed Savings Table'!DB259</f>
        <v>2.7488935804935717</v>
      </c>
      <c r="AB655" s="839">
        <f>'BUS Deemed Savings Table'!K259</f>
        <v>246</v>
      </c>
      <c r="AC655" s="2451">
        <f t="shared" si="875"/>
        <v>638.2518365280024</v>
      </c>
      <c r="AD655" s="2451">
        <f t="shared" si="876"/>
        <v>0</v>
      </c>
      <c r="AE655" s="1661">
        <f>'BUS Deemed Savings Table'!DD259</f>
        <v>638.2518365280024</v>
      </c>
      <c r="AF655" s="2453"/>
      <c r="AG655" s="2453"/>
      <c r="AH655" s="2453"/>
      <c r="AI655" s="684" t="str">
        <f>'BUS Deemed Savings Table'!L259</f>
        <v>per measure</v>
      </c>
      <c r="AJ655" s="1930"/>
      <c r="AK655" s="1930"/>
      <c r="AL655" s="1930"/>
      <c r="AM655" s="1972">
        <f t="shared" si="970"/>
        <v>1.379439E-4</v>
      </c>
      <c r="AN655" s="1930">
        <f t="shared" si="971"/>
        <v>0.24098799330000001</v>
      </c>
      <c r="AO655" s="1971">
        <f t="shared" si="972"/>
        <v>-6.6999999992489734E-9</v>
      </c>
    </row>
    <row r="656" spans="1:41" x14ac:dyDescent="0.25">
      <c r="A656" s="103" t="str">
        <f t="shared" si="977"/>
        <v>802650</v>
      </c>
      <c r="B656" s="684" t="str">
        <f>'BUS Deemed Savings Table'!C273</f>
        <v>802650_2019_12_</v>
      </c>
      <c r="C656" s="1962" t="str">
        <f>'BUS Deemed Savings Table'!G273</f>
        <v>Motors BUS</v>
      </c>
      <c r="D656" s="1962"/>
      <c r="E656" s="1962"/>
      <c r="F656" s="1962"/>
      <c r="G656" s="1962" t="str">
        <f>'BUS Deemed Savings Table'!E273</f>
        <v>Pool Pump Timer</v>
      </c>
      <c r="H656" s="63" t="str">
        <f>'BUS Deemed Savings Table'!D273</f>
        <v>C&amp;I</v>
      </c>
      <c r="I656" s="2438">
        <f>'BUS Deemed Savings Table'!F273</f>
        <v>601.28</v>
      </c>
      <c r="J656" s="2438"/>
      <c r="K656" s="2439"/>
      <c r="L656" s="2439"/>
      <c r="M656" s="2439"/>
      <c r="N656" s="2439"/>
      <c r="O656" s="2440">
        <f>'BUS Deemed Savings Table'!I273</f>
        <v>8.2943000000000003E-2</v>
      </c>
      <c r="P656" s="2440"/>
      <c r="Q656" s="2441"/>
      <c r="R656" s="2441"/>
      <c r="S656" s="2441"/>
      <c r="T656" s="2441"/>
      <c r="U656" s="1822">
        <f t="shared" si="973"/>
        <v>0</v>
      </c>
      <c r="V656" s="1822">
        <f t="shared" si="974"/>
        <v>8.2943000000000003E-2</v>
      </c>
      <c r="W656" s="1822">
        <f t="shared" si="975"/>
        <v>0</v>
      </c>
      <c r="X656" s="68">
        <f>'BUS Deemed Savings Table'!J273</f>
        <v>10</v>
      </c>
      <c r="Y656" s="68"/>
      <c r="Z656" s="68">
        <f t="shared" si="976"/>
        <v>10</v>
      </c>
      <c r="AA656" s="62">
        <f>'BUS Deemed Savings Table'!DB273</f>
        <v>2.3274313914795477</v>
      </c>
      <c r="AB656" s="839">
        <f>'BUS Deemed Savings Table'!K273</f>
        <v>100</v>
      </c>
      <c r="AC656" s="2451">
        <f t="shared" si="875"/>
        <v>219.67261835578549</v>
      </c>
      <c r="AD656" s="2451">
        <f t="shared" si="876"/>
        <v>0</v>
      </c>
      <c r="AE656" s="1661">
        <f>'BUS Deemed Savings Table'!DD273</f>
        <v>219.67261835578549</v>
      </c>
      <c r="AF656" s="2453"/>
      <c r="AG656" s="2453"/>
      <c r="AH656" s="2453"/>
      <c r="AI656" s="684" t="str">
        <f>'BUS Deemed Savings Table'!L273</f>
        <v>per measure</v>
      </c>
      <c r="AJ656" s="1930"/>
      <c r="AK656" s="1930"/>
      <c r="AL656" s="1930"/>
      <c r="AM656" s="1972">
        <f t="shared" si="970"/>
        <v>1.379439E-4</v>
      </c>
      <c r="AN656" s="1930">
        <f t="shared" si="971"/>
        <v>8.2942908191999995E-2</v>
      </c>
      <c r="AO656" s="1971">
        <f t="shared" si="972"/>
        <v>-9.1808000007853607E-8</v>
      </c>
    </row>
    <row r="657" spans="1:41" x14ac:dyDescent="0.25">
      <c r="A657" s="103" t="str">
        <f t="shared" si="977"/>
        <v>802700</v>
      </c>
      <c r="B657" s="684" t="str">
        <f>'BUS Deemed Savings Table'!C289</f>
        <v>802700_2019_12_</v>
      </c>
      <c r="C657" s="1962" t="str">
        <f>'BUS Deemed Savings Table'!G289</f>
        <v>Cooking BUS</v>
      </c>
      <c r="D657" s="1962"/>
      <c r="E657" s="1962"/>
      <c r="F657" s="1962"/>
      <c r="G657" s="1962" t="str">
        <f>'BUS Deemed Savings Table'!E289</f>
        <v>3 Pan ENERGY STAR Steam Cooker</v>
      </c>
      <c r="H657" s="63" t="str">
        <f>'BUS Deemed Savings Table'!D289</f>
        <v>C&amp;I</v>
      </c>
      <c r="I657" s="2438">
        <f>'BUS Deemed Savings Table'!F289</f>
        <v>7856.31</v>
      </c>
      <c r="J657" s="2438"/>
      <c r="K657" s="2439"/>
      <c r="L657" s="2439"/>
      <c r="M657" s="2439"/>
      <c r="N657" s="2439"/>
      <c r="O657" s="2440">
        <f>'BUS Deemed Savings Table'!I289</f>
        <v>1.5704359999999999</v>
      </c>
      <c r="P657" s="2440"/>
      <c r="Q657" s="2441"/>
      <c r="R657" s="2441"/>
      <c r="S657" s="2441"/>
      <c r="T657" s="2441"/>
      <c r="U657" s="1822">
        <f t="shared" si="973"/>
        <v>0</v>
      </c>
      <c r="V657" s="1822">
        <f t="shared" si="974"/>
        <v>1.5704359999999999</v>
      </c>
      <c r="W657" s="1822">
        <f t="shared" si="975"/>
        <v>0</v>
      </c>
      <c r="X657" s="68">
        <f>'BUS Deemed Savings Table'!J289</f>
        <v>12</v>
      </c>
      <c r="Y657" s="68"/>
      <c r="Z657" s="68">
        <f t="shared" si="976"/>
        <v>12</v>
      </c>
      <c r="AA657" s="62">
        <f>'BUS Deemed Savings Table'!DB289</f>
        <v>1.0172947267638794</v>
      </c>
      <c r="AB657" s="839">
        <f>'BUS Deemed Savings Table'!K289</f>
        <v>4150</v>
      </c>
      <c r="AC657" s="2451">
        <f t="shared" si="875"/>
        <v>3984.6843945918822</v>
      </c>
      <c r="AD657" s="2451">
        <f t="shared" si="876"/>
        <v>0</v>
      </c>
      <c r="AE657" s="1661">
        <f>'BUS Deemed Savings Table'!DD289</f>
        <v>3984.6843945918822</v>
      </c>
      <c r="AF657" s="2453"/>
      <c r="AG657" s="2453"/>
      <c r="AH657" s="2453"/>
      <c r="AI657" s="684" t="str">
        <f>'BUS Deemed Savings Table'!L289</f>
        <v>per measure</v>
      </c>
      <c r="AJ657" s="1930"/>
      <c r="AK657" s="1930"/>
      <c r="AL657" s="1930"/>
      <c r="AM657" s="1972">
        <f t="shared" si="970"/>
        <v>1.998949E-4</v>
      </c>
      <c r="AN657" s="1930">
        <f t="shared" si="971"/>
        <v>1.5704363018190002</v>
      </c>
      <c r="AO657" s="1971">
        <f t="shared" si="972"/>
        <v>3.0181900023684705E-7</v>
      </c>
    </row>
    <row r="658" spans="1:41" x14ac:dyDescent="0.25">
      <c r="A658" s="103" t="str">
        <f t="shared" si="977"/>
        <v>802750</v>
      </c>
      <c r="B658" s="684" t="str">
        <f>'BUS Deemed Savings Table'!C290</f>
        <v>802750_2019_12_</v>
      </c>
      <c r="C658" s="1962" t="str">
        <f>'BUS Deemed Savings Table'!G290</f>
        <v>Cooking BUS</v>
      </c>
      <c r="D658" s="1962"/>
      <c r="E658" s="1962"/>
      <c r="F658" s="1962"/>
      <c r="G658" s="1962" t="str">
        <f>'BUS Deemed Savings Table'!E290</f>
        <v>4 Pan ENERGY STAR Steam Cooker</v>
      </c>
      <c r="H658" s="63" t="str">
        <f>'BUS Deemed Savings Table'!D290</f>
        <v>C&amp;I</v>
      </c>
      <c r="I658" s="2438">
        <f>'BUS Deemed Savings Table'!F290</f>
        <v>9213.5</v>
      </c>
      <c r="J658" s="2438"/>
      <c r="K658" s="2439"/>
      <c r="L658" s="2439"/>
      <c r="M658" s="2439"/>
      <c r="N658" s="2439"/>
      <c r="O658" s="2440">
        <f>'BUS Deemed Savings Table'!I290</f>
        <v>1.8417319999999999</v>
      </c>
      <c r="P658" s="2440"/>
      <c r="Q658" s="2441"/>
      <c r="R658" s="2441"/>
      <c r="S658" s="2441"/>
      <c r="T658" s="2441"/>
      <c r="U658" s="1822">
        <f t="shared" si="973"/>
        <v>0</v>
      </c>
      <c r="V658" s="1822">
        <f t="shared" si="974"/>
        <v>1.8417319999999999</v>
      </c>
      <c r="W658" s="1822">
        <f t="shared" si="975"/>
        <v>0</v>
      </c>
      <c r="X658" s="68">
        <f>'BUS Deemed Savings Table'!J290</f>
        <v>12</v>
      </c>
      <c r="Y658" s="68"/>
      <c r="Z658" s="68">
        <f t="shared" si="976"/>
        <v>12</v>
      </c>
      <c r="AA658" s="62">
        <f>'BUS Deemed Savings Table'!DB290</f>
        <v>1.1930340026092405</v>
      </c>
      <c r="AB658" s="839">
        <f>'BUS Deemed Savings Table'!K290</f>
        <v>4150</v>
      </c>
      <c r="AC658" s="2451">
        <f t="shared" si="875"/>
        <v>4673.0449370725319</v>
      </c>
      <c r="AD658" s="2451">
        <f t="shared" si="876"/>
        <v>0</v>
      </c>
      <c r="AE658" s="1661">
        <f>'BUS Deemed Savings Table'!DD290</f>
        <v>4673.0449370725319</v>
      </c>
      <c r="AF658" s="2453"/>
      <c r="AG658" s="2453"/>
      <c r="AH658" s="2453"/>
      <c r="AI658" s="684" t="str">
        <f>'BUS Deemed Savings Table'!L290</f>
        <v>per measure</v>
      </c>
      <c r="AJ658" s="1930"/>
      <c r="AK658" s="1930"/>
      <c r="AL658" s="1930"/>
      <c r="AM658" s="1972">
        <f t="shared" si="970"/>
        <v>1.998949E-4</v>
      </c>
      <c r="AN658" s="1930">
        <f t="shared" si="971"/>
        <v>1.8417316611500001</v>
      </c>
      <c r="AO658" s="1971">
        <f t="shared" si="972"/>
        <v>-3.3884999983690989E-7</v>
      </c>
    </row>
    <row r="659" spans="1:41" x14ac:dyDescent="0.25">
      <c r="A659" s="103" t="str">
        <f t="shared" si="977"/>
        <v>802800</v>
      </c>
      <c r="B659" s="684" t="str">
        <f>'BUS Deemed Savings Table'!C291</f>
        <v>802800_2019_12_</v>
      </c>
      <c r="C659" s="1962" t="str">
        <f>'BUS Deemed Savings Table'!G291</f>
        <v>Cooking BUS</v>
      </c>
      <c r="D659" s="1962"/>
      <c r="E659" s="1962"/>
      <c r="F659" s="1962"/>
      <c r="G659" s="1962" t="str">
        <f>'BUS Deemed Savings Table'!E291</f>
        <v>5 Pan ENERGY STAR Steam Cooker</v>
      </c>
      <c r="H659" s="63" t="str">
        <f>'BUS Deemed Savings Table'!D291</f>
        <v>C&amp;I</v>
      </c>
      <c r="I659" s="2438">
        <f>'BUS Deemed Savings Table'!F291</f>
        <v>10512.97</v>
      </c>
      <c r="J659" s="2438"/>
      <c r="K659" s="2439"/>
      <c r="L659" s="2439"/>
      <c r="M659" s="2439"/>
      <c r="N659" s="2439"/>
      <c r="O659" s="2440">
        <f>'BUS Deemed Savings Table'!I291</f>
        <v>2.1014889999999999</v>
      </c>
      <c r="P659" s="2440"/>
      <c r="Q659" s="2441"/>
      <c r="R659" s="2441"/>
      <c r="S659" s="2441"/>
      <c r="T659" s="2441"/>
      <c r="U659" s="1822">
        <f t="shared" si="973"/>
        <v>0</v>
      </c>
      <c r="V659" s="1822">
        <f t="shared" si="974"/>
        <v>2.1014889999999999</v>
      </c>
      <c r="W659" s="1822">
        <f t="shared" si="975"/>
        <v>0</v>
      </c>
      <c r="X659" s="68">
        <f>'BUS Deemed Savings Table'!J291</f>
        <v>12</v>
      </c>
      <c r="Y659" s="68"/>
      <c r="Z659" s="68">
        <f t="shared" si="976"/>
        <v>12</v>
      </c>
      <c r="AA659" s="62">
        <f>'BUS Deemed Savings Table'!DB291</f>
        <v>1.3612992541825437</v>
      </c>
      <c r="AB659" s="839">
        <f>'BUS Deemed Savings Table'!K291</f>
        <v>4150</v>
      </c>
      <c r="AC659" s="2451">
        <f t="shared" si="875"/>
        <v>5332.1301603185993</v>
      </c>
      <c r="AD659" s="2451">
        <f t="shared" si="876"/>
        <v>0</v>
      </c>
      <c r="AE659" s="1661">
        <f>'BUS Deemed Savings Table'!DD291</f>
        <v>5332.1301603185993</v>
      </c>
      <c r="AF659" s="2453"/>
      <c r="AG659" s="2453"/>
      <c r="AH659" s="2453"/>
      <c r="AI659" s="684" t="str">
        <f>'BUS Deemed Savings Table'!L291</f>
        <v>per measure</v>
      </c>
      <c r="AJ659" s="1930"/>
      <c r="AK659" s="1930"/>
      <c r="AL659" s="1930"/>
      <c r="AM659" s="1972">
        <f t="shared" si="970"/>
        <v>1.998949E-4</v>
      </c>
      <c r="AN659" s="1930">
        <f t="shared" si="971"/>
        <v>2.1014890868529998</v>
      </c>
      <c r="AO659" s="1971">
        <f t="shared" si="972"/>
        <v>8.6852999903186401E-8</v>
      </c>
    </row>
    <row r="660" spans="1:41" x14ac:dyDescent="0.25">
      <c r="A660" s="103" t="str">
        <f t="shared" si="977"/>
        <v>802850</v>
      </c>
      <c r="B660" s="684" t="str">
        <f>'BUS Deemed Savings Table'!C292</f>
        <v>802850_2019_12_</v>
      </c>
      <c r="C660" s="1962" t="str">
        <f>'BUS Deemed Savings Table'!G292</f>
        <v>Cooking BUS</v>
      </c>
      <c r="D660" s="1962"/>
      <c r="E660" s="1962"/>
      <c r="F660" s="1962"/>
      <c r="G660" s="1962" t="str">
        <f>'BUS Deemed Savings Table'!E292</f>
        <v>6 Pan ENERGY STAR Steam Cooker</v>
      </c>
      <c r="H660" s="63" t="str">
        <f>'BUS Deemed Savings Table'!D292</f>
        <v>C&amp;I</v>
      </c>
      <c r="I660" s="2438">
        <f>'BUS Deemed Savings Table'!F292</f>
        <v>11818.65</v>
      </c>
      <c r="J660" s="2438"/>
      <c r="K660" s="2439"/>
      <c r="L660" s="2439"/>
      <c r="M660" s="2439"/>
      <c r="N660" s="2439"/>
      <c r="O660" s="2440">
        <f>'BUS Deemed Savings Table'!I292</f>
        <v>2.3624879999999999</v>
      </c>
      <c r="P660" s="2440"/>
      <c r="Q660" s="2441"/>
      <c r="R660" s="2441"/>
      <c r="S660" s="2441"/>
      <c r="T660" s="2441"/>
      <c r="U660" s="1822">
        <f t="shared" si="973"/>
        <v>0</v>
      </c>
      <c r="V660" s="1822">
        <f t="shared" si="974"/>
        <v>2.3624879999999999</v>
      </c>
      <c r="W660" s="1822">
        <f t="shared" si="975"/>
        <v>0</v>
      </c>
      <c r="X660" s="68">
        <f>'BUS Deemed Savings Table'!J292</f>
        <v>12</v>
      </c>
      <c r="Y660" s="68"/>
      <c r="Z660" s="68">
        <f t="shared" si="976"/>
        <v>12</v>
      </c>
      <c r="AA660" s="62">
        <f>'BUS Deemed Savings Table'!DB292</f>
        <v>1.5303686237518535</v>
      </c>
      <c r="AB660" s="839">
        <f>'BUS Deemed Savings Table'!K292</f>
        <v>4150</v>
      </c>
      <c r="AC660" s="2451">
        <f t="shared" si="875"/>
        <v>5994.3650670789912</v>
      </c>
      <c r="AD660" s="2451">
        <f t="shared" si="876"/>
        <v>0</v>
      </c>
      <c r="AE660" s="1661">
        <f>'BUS Deemed Savings Table'!DD292</f>
        <v>5994.3650670789912</v>
      </c>
      <c r="AF660" s="2453"/>
      <c r="AG660" s="2453"/>
      <c r="AH660" s="2453"/>
      <c r="AI660" s="684" t="str">
        <f>'BUS Deemed Savings Table'!L292</f>
        <v>per measure</v>
      </c>
      <c r="AJ660" s="1930"/>
      <c r="AK660" s="1930"/>
      <c r="AL660" s="1930"/>
      <c r="AM660" s="1972">
        <f t="shared" si="970"/>
        <v>1.998949E-4</v>
      </c>
      <c r="AN660" s="1930">
        <f t="shared" si="971"/>
        <v>2.3624878598849999</v>
      </c>
      <c r="AO660" s="1971">
        <f t="shared" si="972"/>
        <v>-1.4011500004684763E-7</v>
      </c>
    </row>
    <row r="661" spans="1:41" x14ac:dyDescent="0.25">
      <c r="A661" s="103" t="str">
        <f t="shared" si="977"/>
        <v>802900</v>
      </c>
      <c r="B661" s="684" t="str">
        <f>'BUS Deemed Savings Table'!C311</f>
        <v>802900_2019_12_</v>
      </c>
      <c r="C661" s="1962" t="str">
        <f>'BUS Deemed Savings Table'!G311</f>
        <v>Cooking BUS</v>
      </c>
      <c r="D661" s="1962"/>
      <c r="E661" s="1962"/>
      <c r="F661" s="1962"/>
      <c r="G661" s="1962" t="str">
        <f>'BUS Deemed Savings Table'!E311</f>
        <v>ENERGY STAR Hot Holding Cabinet (0 &lt; V &lt;13)</v>
      </c>
      <c r="H661" s="63" t="str">
        <f>'BUS Deemed Savings Table'!D311</f>
        <v>C&amp;I</v>
      </c>
      <c r="I661" s="2438">
        <f>'BUS Deemed Savings Table'!F311</f>
        <v>709.5</v>
      </c>
      <c r="J661" s="2438"/>
      <c r="K661" s="2439"/>
      <c r="L661" s="2439"/>
      <c r="M661" s="2439"/>
      <c r="N661" s="2439"/>
      <c r="O661" s="2440">
        <f>'BUS Deemed Savings Table'!I311</f>
        <v>0.14182500000000001</v>
      </c>
      <c r="P661" s="2440"/>
      <c r="Q661" s="2441"/>
      <c r="R661" s="2441"/>
      <c r="S661" s="2441"/>
      <c r="T661" s="2441"/>
      <c r="U661" s="1822">
        <f t="shared" si="973"/>
        <v>0</v>
      </c>
      <c r="V661" s="1822">
        <f t="shared" si="974"/>
        <v>0.14182500000000001</v>
      </c>
      <c r="W661" s="1822">
        <f t="shared" si="975"/>
        <v>0</v>
      </c>
      <c r="X661" s="68">
        <f>'BUS Deemed Savings Table'!J311</f>
        <v>12</v>
      </c>
      <c r="Y661" s="68"/>
      <c r="Z661" s="68">
        <f t="shared" si="976"/>
        <v>12</v>
      </c>
      <c r="AA661" s="62">
        <f>'BUS Deemed Savings Table'!DB311</f>
        <v>0.21383428302465121</v>
      </c>
      <c r="AB661" s="839">
        <f>'BUS Deemed Savings Table'!K311</f>
        <v>1783</v>
      </c>
      <c r="AC661" s="2451">
        <f t="shared" si="875"/>
        <v>359.85514547706754</v>
      </c>
      <c r="AD661" s="2451">
        <f t="shared" si="876"/>
        <v>0</v>
      </c>
      <c r="AE661" s="1661">
        <f>'BUS Deemed Savings Table'!DD311</f>
        <v>359.85514547706754</v>
      </c>
      <c r="AF661" s="2453"/>
      <c r="AG661" s="2453"/>
      <c r="AH661" s="2453"/>
      <c r="AI661" s="684" t="str">
        <f>'BUS Deemed Savings Table'!L311</f>
        <v>per measure</v>
      </c>
      <c r="AJ661" s="1930"/>
      <c r="AK661" s="1930"/>
      <c r="AL661" s="1930"/>
      <c r="AM661" s="1972">
        <f t="shared" si="970"/>
        <v>1.998949E-4</v>
      </c>
      <c r="AN661" s="1930">
        <f t="shared" si="971"/>
        <v>0.14182543154999999</v>
      </c>
      <c r="AO661" s="1971">
        <f t="shared" si="972"/>
        <v>4.3154999998518129E-7</v>
      </c>
    </row>
    <row r="662" spans="1:41" x14ac:dyDescent="0.25">
      <c r="A662" s="103" t="str">
        <f t="shared" si="977"/>
        <v>802950</v>
      </c>
      <c r="B662" s="684" t="str">
        <f>'BUS Deemed Savings Table'!C312</f>
        <v>802950_2019_12_</v>
      </c>
      <c r="C662" s="1962" t="str">
        <f>'BUS Deemed Savings Table'!G312</f>
        <v>Cooking BUS</v>
      </c>
      <c r="D662" s="1962"/>
      <c r="E662" s="1962"/>
      <c r="F662" s="1962"/>
      <c r="G662" s="1962" t="str">
        <f>'BUS Deemed Savings Table'!E312</f>
        <v>ENERGY STAR Hot Holding Cabinet (13 ≤ V &lt;28)</v>
      </c>
      <c r="H662" s="63" t="str">
        <f>'BUS Deemed Savings Table'!D312</f>
        <v>C&amp;I</v>
      </c>
      <c r="I662" s="2438">
        <f>'BUS Deemed Savings Table'!F312</f>
        <v>2772.25</v>
      </c>
      <c r="J662" s="2438"/>
      <c r="K662" s="2439"/>
      <c r="L662" s="2439"/>
      <c r="M662" s="2439"/>
      <c r="N662" s="2439"/>
      <c r="O662" s="2440">
        <f>'BUS Deemed Savings Table'!I312</f>
        <v>0.55415899999999996</v>
      </c>
      <c r="P662" s="2440"/>
      <c r="Q662" s="2441"/>
      <c r="R662" s="2441"/>
      <c r="S662" s="2441"/>
      <c r="T662" s="2441"/>
      <c r="U662" s="1822">
        <f t="shared" si="973"/>
        <v>0</v>
      </c>
      <c r="V662" s="1822">
        <f t="shared" si="974"/>
        <v>0.55415899999999996</v>
      </c>
      <c r="W662" s="1822">
        <f t="shared" si="975"/>
        <v>0</v>
      </c>
      <c r="X662" s="68">
        <f>'BUS Deemed Savings Table'!J312</f>
        <v>12</v>
      </c>
      <c r="Y662" s="68"/>
      <c r="Z662" s="68">
        <f t="shared" si="976"/>
        <v>12</v>
      </c>
      <c r="AA662" s="62">
        <f>'BUS Deemed Savings Table'!DB312</f>
        <v>0.83552091770978054</v>
      </c>
      <c r="AB662" s="839">
        <f>'BUS Deemed Savings Table'!K312</f>
        <v>1783</v>
      </c>
      <c r="AC662" s="2451">
        <f t="shared" si="875"/>
        <v>1406.0724835078231</v>
      </c>
      <c r="AD662" s="2451">
        <f t="shared" si="876"/>
        <v>0</v>
      </c>
      <c r="AE662" s="1661">
        <f>'BUS Deemed Savings Table'!DD312</f>
        <v>1406.0724835078231</v>
      </c>
      <c r="AF662" s="2453"/>
      <c r="AG662" s="2453"/>
      <c r="AH662" s="2453"/>
      <c r="AI662" s="684" t="str">
        <f>'BUS Deemed Savings Table'!L312</f>
        <v>per measure</v>
      </c>
      <c r="AJ662" s="1930"/>
      <c r="AK662" s="1930"/>
      <c r="AL662" s="1930"/>
      <c r="AM662" s="1972">
        <f t="shared" si="970"/>
        <v>1.998949E-4</v>
      </c>
      <c r="AN662" s="1930">
        <f t="shared" si="971"/>
        <v>0.55415863652499997</v>
      </c>
      <c r="AO662" s="1971">
        <f t="shared" si="972"/>
        <v>-3.6347499998701238E-7</v>
      </c>
    </row>
    <row r="663" spans="1:41" x14ac:dyDescent="0.25">
      <c r="A663" s="103" t="str">
        <f t="shared" si="977"/>
        <v>803000</v>
      </c>
      <c r="B663" s="684" t="str">
        <f>'BUS Deemed Savings Table'!C313</f>
        <v>803000_2019_12_</v>
      </c>
      <c r="C663" s="1962" t="str">
        <f>'BUS Deemed Savings Table'!G313</f>
        <v>Cooking BUS</v>
      </c>
      <c r="D663" s="1962"/>
      <c r="E663" s="1962"/>
      <c r="F663" s="1962"/>
      <c r="G663" s="1962" t="str">
        <f>'BUS Deemed Savings Table'!E313</f>
        <v>ENERGY STAR Hot Holding Cabinet (28 ≤ V)</v>
      </c>
      <c r="H663" s="63" t="str">
        <f>'BUS Deemed Savings Table'!D313</f>
        <v>C&amp;I</v>
      </c>
      <c r="I663" s="2438">
        <f>'BUS Deemed Savings Table'!F313</f>
        <v>4438.34</v>
      </c>
      <c r="J663" s="2438"/>
      <c r="K663" s="2439"/>
      <c r="L663" s="2439"/>
      <c r="M663" s="2439"/>
      <c r="N663" s="2439"/>
      <c r="O663" s="2440">
        <f>'BUS Deemed Savings Table'!I313</f>
        <v>0.88720200000000005</v>
      </c>
      <c r="P663" s="2440"/>
      <c r="Q663" s="2441"/>
      <c r="R663" s="2441"/>
      <c r="S663" s="2441"/>
      <c r="T663" s="2441"/>
      <c r="U663" s="1822">
        <f t="shared" si="973"/>
        <v>0</v>
      </c>
      <c r="V663" s="1822">
        <f t="shared" si="974"/>
        <v>0.88720200000000005</v>
      </c>
      <c r="W663" s="1822">
        <f t="shared" si="975"/>
        <v>0</v>
      </c>
      <c r="X663" s="68">
        <f>'BUS Deemed Savings Table'!J313</f>
        <v>12</v>
      </c>
      <c r="Y663" s="68"/>
      <c r="Z663" s="68">
        <f t="shared" si="976"/>
        <v>12</v>
      </c>
      <c r="AA663" s="62">
        <f>'BUS Deemed Savings Table'!DB313</f>
        <v>1.3376592695132212</v>
      </c>
      <c r="AB663" s="839">
        <f>'BUS Deemed Savings Table'!K313</f>
        <v>1783</v>
      </c>
      <c r="AC663" s="2451">
        <f t="shared" si="875"/>
        <v>2251.1056890439577</v>
      </c>
      <c r="AD663" s="2451">
        <f t="shared" si="876"/>
        <v>0</v>
      </c>
      <c r="AE663" s="1661">
        <f>'BUS Deemed Savings Table'!DD313</f>
        <v>2251.1056890439577</v>
      </c>
      <c r="AF663" s="2453"/>
      <c r="AG663" s="2453"/>
      <c r="AH663" s="2453"/>
      <c r="AI663" s="684" t="str">
        <f>'BUS Deemed Savings Table'!L313</f>
        <v>per measure</v>
      </c>
      <c r="AJ663" s="1930"/>
      <c r="AK663" s="1930"/>
      <c r="AL663" s="1930"/>
      <c r="AM663" s="1972">
        <f t="shared" si="970"/>
        <v>1.998949E-4</v>
      </c>
      <c r="AN663" s="1930">
        <f t="shared" si="971"/>
        <v>0.88720153046600003</v>
      </c>
      <c r="AO663" s="1971">
        <f t="shared" si="972"/>
        <v>-4.6953400001381596E-7</v>
      </c>
    </row>
    <row r="664" spans="1:41" x14ac:dyDescent="0.25">
      <c r="A664" s="103" t="str">
        <f t="shared" si="977"/>
        <v>803050</v>
      </c>
      <c r="B664" s="684" t="str">
        <f>'BUS Deemed Savings Table'!C331</f>
        <v>803050_2019_12_</v>
      </c>
      <c r="C664" s="1962" t="str">
        <f>'BUS Deemed Savings Table'!I331</f>
        <v>Cooling BUS</v>
      </c>
      <c r="D664" s="1962" t="str">
        <f>'BUS Deemed Savings Table'!J331</f>
        <v>Heating BUS</v>
      </c>
      <c r="E664" s="1962"/>
      <c r="F664" s="1962"/>
      <c r="G664" s="1962" t="str">
        <f>'BUS Deemed Savings Table'!E331</f>
        <v>Learning Thermostat</v>
      </c>
      <c r="H664" s="63" t="str">
        <f>'BUS Deemed Savings Table'!D331</f>
        <v>C&amp;I</v>
      </c>
      <c r="I664" s="2438">
        <f>K664+L664</f>
        <v>438.34117233294256</v>
      </c>
      <c r="J664" s="2438">
        <f>S664+T664</f>
        <v>0</v>
      </c>
      <c r="K664" s="3602">
        <f>'BUS Deemed Savings Table'!F331</f>
        <v>205.34</v>
      </c>
      <c r="L664" s="1962">
        <f>'BUS Deemed Savings Table'!G331</f>
        <v>233.00117233294256</v>
      </c>
      <c r="M664" s="2439"/>
      <c r="N664" s="2439"/>
      <c r="O664" s="2440">
        <f>Q664+R664</f>
        <v>0.187</v>
      </c>
      <c r="P664" s="2440">
        <f>S664+T664</f>
        <v>0</v>
      </c>
      <c r="Q664" s="2441">
        <f>'BUS Deemed Savings Table'!L331</f>
        <v>0.187</v>
      </c>
      <c r="R664" s="2441">
        <v>0</v>
      </c>
      <c r="S664" s="2441"/>
      <c r="T664" s="2441"/>
      <c r="U664" s="1822">
        <f t="shared" si="973"/>
        <v>0</v>
      </c>
      <c r="V664" s="1822">
        <f t="shared" si="974"/>
        <v>0.187</v>
      </c>
      <c r="W664" s="1822">
        <f t="shared" si="975"/>
        <v>0</v>
      </c>
      <c r="X664" s="68">
        <f>'BUS Deemed Savings Table'!M331</f>
        <v>10</v>
      </c>
      <c r="Y664" s="68"/>
      <c r="Z664" s="68">
        <f t="shared" si="976"/>
        <v>10</v>
      </c>
      <c r="AA664" s="62">
        <f>'BUS Deemed Savings Table'!DB331</f>
        <v>0.93461733145643167</v>
      </c>
      <c r="AB664" s="839">
        <f>'BUS Deemed Savings Table'!N331</f>
        <v>224</v>
      </c>
      <c r="AC664" s="2451">
        <f t="shared" si="875"/>
        <v>197.59724610310587</v>
      </c>
      <c r="AD664" s="2451">
        <f t="shared" si="876"/>
        <v>0</v>
      </c>
      <c r="AE664" s="1661">
        <f>'BUS Deemed Savings Table'!DD331</f>
        <v>197.59724610310587</v>
      </c>
      <c r="AF664" s="2453"/>
      <c r="AG664" s="2453"/>
      <c r="AH664" s="2453"/>
      <c r="AI664" s="3626" t="str">
        <f>'BUS Deemed Savings Table'!O331</f>
        <v>per measure</v>
      </c>
      <c r="AJ664" s="1930"/>
      <c r="AK664" s="1930"/>
      <c r="AL664" s="1930"/>
      <c r="AM664" s="1972">
        <f t="shared" si="970"/>
        <v>9.1068400000000004E-4</v>
      </c>
      <c r="AN664" s="1803">
        <f>AM664*K664</f>
        <v>0.18699985256000001</v>
      </c>
      <c r="AO664" s="1971">
        <f t="shared" si="972"/>
        <v>-1.4743999998678703E-7</v>
      </c>
    </row>
    <row r="665" spans="1:41" x14ac:dyDescent="0.25">
      <c r="A665" s="103" t="str">
        <f t="shared" si="977"/>
        <v>803100</v>
      </c>
      <c r="B665" s="684" t="str">
        <f>'BUS Deemed Savings Table'!C345</f>
        <v>803100_2020_07_</v>
      </c>
      <c r="C665" s="1962" t="str">
        <f>'BUS Deemed Savings Table'!G345</f>
        <v>Cooling BUS</v>
      </c>
      <c r="D665" s="1962"/>
      <c r="E665" s="1962"/>
      <c r="F665" s="1962"/>
      <c r="G665" s="1962" t="str">
        <f>'BUS Deemed Savings Table'!E345</f>
        <v>VFD on Chilled Water Pump &gt;= 1HP</v>
      </c>
      <c r="H665" s="63" t="str">
        <f>'BUS Deemed Savings Table'!D345</f>
        <v>C&amp;I</v>
      </c>
      <c r="I665" s="2438">
        <f>'BUS Deemed Savings Table'!F345</f>
        <v>1289.6400000000001</v>
      </c>
      <c r="J665" s="2438"/>
      <c r="K665" s="2439"/>
      <c r="L665" s="2439"/>
      <c r="M665" s="2439"/>
      <c r="N665" s="2439"/>
      <c r="O665" s="2440">
        <f>'BUS Deemed Savings Table'!I345</f>
        <v>1.174455</v>
      </c>
      <c r="P665" s="2440"/>
      <c r="Q665" s="2441"/>
      <c r="R665" s="2441"/>
      <c r="S665" s="2441"/>
      <c r="T665" s="2441"/>
      <c r="U665" s="1822">
        <f>IF(V665+W665&gt;0,0,IF(Z665&gt;0,O665,0))</f>
        <v>0</v>
      </c>
      <c r="V665" s="1822">
        <f>IF(W665&gt;0,0,IF(Z665&gt;9,O665,0))</f>
        <v>0</v>
      </c>
      <c r="W665" s="1822">
        <f>IF(Z665&gt;14,O665,0)</f>
        <v>1.174455</v>
      </c>
      <c r="X665" s="68">
        <f>'BUS Deemed Savings Table'!J345</f>
        <v>15</v>
      </c>
      <c r="Y665" s="68"/>
      <c r="Z665" s="68">
        <f t="shared" si="976"/>
        <v>15</v>
      </c>
      <c r="AA665" s="62">
        <f>'BUS Deemed Savings Table'!DB345</f>
        <v>10.881786166946494</v>
      </c>
      <c r="AB665" s="839">
        <f>'BUS Deemed Savings Table'!K345</f>
        <v>179</v>
      </c>
      <c r="AC665" s="2451">
        <f t="shared" si="875"/>
        <v>1838.4518394369252</v>
      </c>
      <c r="AD665" s="2451">
        <f t="shared" si="876"/>
        <v>0</v>
      </c>
      <c r="AE665" s="1661">
        <f>'BUS Deemed Savings Table'!DD345</f>
        <v>1838.4518394369252</v>
      </c>
      <c r="AF665" s="2453"/>
      <c r="AG665" s="2453"/>
      <c r="AH665" s="2453"/>
      <c r="AI665" s="3638" t="str">
        <f>'BUS Deemed Savings Table'!L345</f>
        <v>per Hp</v>
      </c>
      <c r="AJ665" s="1930"/>
      <c r="AK665" s="1930"/>
      <c r="AL665" s="1930"/>
      <c r="AM665" s="1972">
        <f t="shared" si="970"/>
        <v>9.1068400000000004E-4</v>
      </c>
      <c r="AN665" s="1930">
        <f t="shared" ref="AN665:AN674" si="978">AM665*I665</f>
        <v>1.1744545137600002</v>
      </c>
      <c r="AO665" s="1971">
        <f t="shared" si="972"/>
        <v>-4.862399998195599E-7</v>
      </c>
    </row>
    <row r="666" spans="1:41" x14ac:dyDescent="0.25">
      <c r="A666" s="103" t="str">
        <f t="shared" si="977"/>
        <v>803150</v>
      </c>
      <c r="B666" s="684" t="str">
        <f>'BUS Deemed Savings Table'!C346</f>
        <v>803150_2020_07_</v>
      </c>
      <c r="C666" s="1962" t="str">
        <f>'BUS Deemed Savings Table'!G346</f>
        <v>HVAC BUS</v>
      </c>
      <c r="D666" s="1962"/>
      <c r="E666" s="1962"/>
      <c r="F666" s="1962"/>
      <c r="G666" s="1962" t="str">
        <f>'BUS Deemed Savings Table'!E346</f>
        <v>VFD on Hot Water Pump &gt;= 1HP</v>
      </c>
      <c r="H666" s="63" t="str">
        <f>'BUS Deemed Savings Table'!D346</f>
        <v>C&amp;I</v>
      </c>
      <c r="I666" s="2438">
        <f>'BUS Deemed Savings Table'!F346</f>
        <v>1696.57</v>
      </c>
      <c r="J666" s="2438"/>
      <c r="K666" s="2439"/>
      <c r="L666" s="2439"/>
      <c r="M666" s="2439"/>
      <c r="N666" s="2439"/>
      <c r="O666" s="2440">
        <f>'BUS Deemed Savings Table'!I346</f>
        <v>0.75324800000000003</v>
      </c>
      <c r="P666" s="2440"/>
      <c r="Q666" s="2441"/>
      <c r="R666" s="2441"/>
      <c r="S666" s="2441"/>
      <c r="T666" s="2441"/>
      <c r="U666" s="1822">
        <f t="shared" ref="U666:U703" si="979">IF(V666+W666&gt;0,0,IF(Z666&gt;0,O666,0))</f>
        <v>0</v>
      </c>
      <c r="V666" s="1822">
        <f t="shared" ref="V666:V703" si="980">IF(W666&gt;0,0,IF(Z666&gt;9,O666,0))</f>
        <v>0</v>
      </c>
      <c r="W666" s="1822">
        <f t="shared" ref="W666:W703" si="981">IF(Z666&gt;14,O666,0)</f>
        <v>0.75324800000000003</v>
      </c>
      <c r="X666" s="68">
        <f>'BUS Deemed Savings Table'!J346</f>
        <v>15</v>
      </c>
      <c r="Y666" s="68"/>
      <c r="Z666" s="68">
        <f t="shared" si="976"/>
        <v>15</v>
      </c>
      <c r="AA666" s="62">
        <f>'BUS Deemed Savings Table'!DB346</f>
        <v>9.0833950189584112</v>
      </c>
      <c r="AB666" s="839">
        <f>'BUS Deemed Savings Table'!K346</f>
        <v>179</v>
      </c>
      <c r="AC666" s="2451">
        <f t="shared" si="875"/>
        <v>1534.6179409094434</v>
      </c>
      <c r="AD666" s="2451">
        <f t="shared" si="876"/>
        <v>0</v>
      </c>
      <c r="AE666" s="1661">
        <f>'BUS Deemed Savings Table'!DD346</f>
        <v>1534.6179409094434</v>
      </c>
      <c r="AF666" s="2453"/>
      <c r="AG666" s="2453"/>
      <c r="AH666" s="2453"/>
      <c r="AI666" s="3638" t="str">
        <f>'BUS Deemed Savings Table'!L346</f>
        <v>per Hp</v>
      </c>
      <c r="AJ666" s="1930"/>
      <c r="AK666" s="1930"/>
      <c r="AL666" s="1930"/>
      <c r="AM666" s="1972">
        <f t="shared" si="970"/>
        <v>4.4398300000000001E-4</v>
      </c>
      <c r="AN666" s="1930">
        <f t="shared" si="978"/>
        <v>0.75324823830999998</v>
      </c>
      <c r="AO666" s="1971">
        <f t="shared" si="972"/>
        <v>2.3830999995588797E-7</v>
      </c>
    </row>
    <row r="667" spans="1:41" x14ac:dyDescent="0.25">
      <c r="A667" s="103" t="str">
        <f t="shared" si="977"/>
        <v>803155</v>
      </c>
      <c r="B667" s="684" t="str">
        <f>'BUS Deemed Savings Table'!C347</f>
        <v>803155_2020_07_</v>
      </c>
      <c r="C667" s="1962" t="str">
        <f>'BUS Deemed Savings Table'!G347</f>
        <v>Cooling BUS</v>
      </c>
      <c r="D667" s="1962"/>
      <c r="E667" s="1962"/>
      <c r="F667" s="1962"/>
      <c r="G667" s="1962" t="str">
        <f>'BUS Deemed Savings Table'!E347</f>
        <v>VFD on Condenser Water Pump &gt;= 1HP</v>
      </c>
      <c r="H667" s="63" t="str">
        <f>'BUS Deemed Savings Table'!D347</f>
        <v>C&amp;I</v>
      </c>
      <c r="I667" s="2438">
        <f>'BUS Deemed Savings Table'!F347</f>
        <v>1289.6400000000001</v>
      </c>
      <c r="J667" s="2438"/>
      <c r="K667" s="2439"/>
      <c r="L667" s="2439"/>
      <c r="M667" s="2439"/>
      <c r="N667" s="2439"/>
      <c r="O667" s="2440">
        <f>'BUS Deemed Savings Table'!I347</f>
        <v>1.174455</v>
      </c>
      <c r="P667" s="2440"/>
      <c r="Q667" s="2441"/>
      <c r="R667" s="2441"/>
      <c r="S667" s="2441"/>
      <c r="T667" s="2441"/>
      <c r="U667" s="1926">
        <f t="shared" ref="U667" si="982">IF(V667+W667&gt;0,0,IF(Z667&gt;0,O667,0))</f>
        <v>0</v>
      </c>
      <c r="V667" s="1926">
        <f t="shared" ref="V667" si="983">IF(W667&gt;0,0,IF(Z667&gt;9,O667,0))</f>
        <v>0</v>
      </c>
      <c r="W667" s="1926">
        <f t="shared" ref="W667" si="984">IF(Z667&gt;14,O667,0)</f>
        <v>1.174455</v>
      </c>
      <c r="X667" s="68">
        <f>'BUS Deemed Savings Table'!J347</f>
        <v>15</v>
      </c>
      <c r="Y667" s="68"/>
      <c r="Z667" s="68">
        <f t="shared" ref="Z667" si="985">Y667+X667</f>
        <v>15</v>
      </c>
      <c r="AA667" s="62">
        <f>'BUS Deemed Savings Table'!DB347</f>
        <v>10.881786166946494</v>
      </c>
      <c r="AB667" s="839">
        <f>'BUS Deemed Savings Table'!K347</f>
        <v>179</v>
      </c>
      <c r="AC667" s="2451">
        <f t="shared" ref="AC667" si="986">AE667+AF667</f>
        <v>1838.4518394369252</v>
      </c>
      <c r="AD667" s="2451">
        <f t="shared" ref="AD667" si="987">AG667+AH667</f>
        <v>0</v>
      </c>
      <c r="AE667" s="1661">
        <f>'BUS Deemed Savings Table'!DD347</f>
        <v>1838.4518394369252</v>
      </c>
      <c r="AF667" s="2453"/>
      <c r="AG667" s="2453"/>
      <c r="AH667" s="2453"/>
      <c r="AI667" s="3638" t="str">
        <f>'BUS Deemed Savings Table'!L347</f>
        <v>per Hp</v>
      </c>
      <c r="AJ667" s="1930"/>
      <c r="AK667" s="1930"/>
      <c r="AL667" s="1930"/>
      <c r="AM667" s="1972">
        <f t="shared" ref="AM667" si="988">VLOOKUP(C667,$AS$10:$AT$49,2,FALSE)</f>
        <v>9.1068400000000004E-4</v>
      </c>
      <c r="AN667" s="1930">
        <f t="shared" ref="AN667" si="989">AM667*I667</f>
        <v>1.1744545137600002</v>
      </c>
      <c r="AO667" s="1971">
        <f t="shared" ref="AO667" si="990">AN667-O667</f>
        <v>-4.862399998195599E-7</v>
      </c>
    </row>
    <row r="668" spans="1:41" x14ac:dyDescent="0.25">
      <c r="A668" s="103" t="str">
        <f t="shared" si="977"/>
        <v>803160</v>
      </c>
      <c r="B668" s="684" t="str">
        <f>'BUS Deemed Savings Table'!C348</f>
        <v>803160_2020_07_</v>
      </c>
      <c r="C668" s="1962" t="str">
        <f>'BUS Deemed Savings Table'!G348</f>
        <v>HVAC BUS</v>
      </c>
      <c r="D668" s="1962"/>
      <c r="E668" s="1962"/>
      <c r="F668" s="1962"/>
      <c r="G668" s="1962" t="str">
        <f>'BUS Deemed Savings Table'!E348</f>
        <v>VFD on Cooling Tower Fan &gt;= 1HP</v>
      </c>
      <c r="H668" s="63" t="str">
        <f>'BUS Deemed Savings Table'!D348</f>
        <v>C&amp;I</v>
      </c>
      <c r="I668" s="2438">
        <f>'BUS Deemed Savings Table'!F348</f>
        <v>479.48</v>
      </c>
      <c r="J668" s="2438"/>
      <c r="K668" s="2439"/>
      <c r="L668" s="2439"/>
      <c r="M668" s="2439"/>
      <c r="N668" s="2439"/>
      <c r="O668" s="2440">
        <f>'BUS Deemed Savings Table'!I348</f>
        <v>0.21288099999999999</v>
      </c>
      <c r="P668" s="2440"/>
      <c r="Q668" s="2441"/>
      <c r="R668" s="2441"/>
      <c r="S668" s="2441"/>
      <c r="T668" s="2441"/>
      <c r="U668" s="1926">
        <f t="shared" ref="U668" si="991">IF(V668+W668&gt;0,0,IF(Z668&gt;0,O668,0))</f>
        <v>0</v>
      </c>
      <c r="V668" s="1926">
        <f t="shared" ref="V668" si="992">IF(W668&gt;0,0,IF(Z668&gt;9,O668,0))</f>
        <v>0</v>
      </c>
      <c r="W668" s="1926">
        <f t="shared" ref="W668" si="993">IF(Z668&gt;14,O668,0)</f>
        <v>0.21288099999999999</v>
      </c>
      <c r="X668" s="68">
        <f>'BUS Deemed Savings Table'!J348</f>
        <v>15</v>
      </c>
      <c r="Y668" s="68"/>
      <c r="Z668" s="68">
        <f t="shared" ref="Z668" si="994">Y668+X668</f>
        <v>15</v>
      </c>
      <c r="AA668" s="62">
        <f>'BUS Deemed Savings Table'!DB348</f>
        <v>2.5671244002252656</v>
      </c>
      <c r="AB668" s="839">
        <f>'BUS Deemed Savings Table'!K348</f>
        <v>179</v>
      </c>
      <c r="AC668" s="2451">
        <f t="shared" ref="AC668" si="995">AE668+AF668</f>
        <v>433.70954944815713</v>
      </c>
      <c r="AD668" s="2451">
        <f t="shared" ref="AD668" si="996">AG668+AH668</f>
        <v>0</v>
      </c>
      <c r="AE668" s="1661">
        <f>'BUS Deemed Savings Table'!DD348</f>
        <v>433.70954944815713</v>
      </c>
      <c r="AF668" s="2453"/>
      <c r="AG668" s="2453"/>
      <c r="AH668" s="2453"/>
      <c r="AI668" s="3638" t="str">
        <f>'BUS Deemed Savings Table'!L348</f>
        <v>per Hp</v>
      </c>
      <c r="AJ668" s="1930"/>
      <c r="AK668" s="1930"/>
      <c r="AL668" s="1930"/>
      <c r="AM668" s="1972">
        <f t="shared" ref="AM668" si="997">VLOOKUP(C668,$AS$10:$AT$49,2,FALSE)</f>
        <v>4.4398300000000001E-4</v>
      </c>
      <c r="AN668" s="1930">
        <f t="shared" ref="AN668" si="998">AM668*I668</f>
        <v>0.21288096884000002</v>
      </c>
      <c r="AO668" s="1971">
        <f t="shared" ref="AO668" si="999">AN668-O668</f>
        <v>-3.1159999969165852E-8</v>
      </c>
    </row>
    <row r="669" spans="1:41" x14ac:dyDescent="0.25">
      <c r="A669" s="103" t="str">
        <f t="shared" si="977"/>
        <v>803200</v>
      </c>
      <c r="B669" s="684" t="str">
        <f>'BUS Deemed Savings Table'!C365</f>
        <v>803200_2020_07_</v>
      </c>
      <c r="C669" s="1962" t="str">
        <f>'BUS Deemed Savings Table'!G365</f>
        <v>HVAC BUS</v>
      </c>
      <c r="D669" s="1962"/>
      <c r="E669" s="1962"/>
      <c r="F669" s="1962"/>
      <c r="G669" s="1962" t="str">
        <f>'BUS Deemed Savings Table'!E365</f>
        <v xml:space="preserve"> VFD on HVAC Fans &gt;= 1HP </v>
      </c>
      <c r="H669" s="63" t="str">
        <f>'BUS Deemed Savings Table'!D365</f>
        <v>C&amp;I</v>
      </c>
      <c r="I669" s="2438">
        <f>'BUS Deemed Savings Table'!F365</f>
        <v>939.75</v>
      </c>
      <c r="J669" s="2438"/>
      <c r="K669" s="2439"/>
      <c r="L669" s="2439"/>
      <c r="M669" s="2439"/>
      <c r="N669" s="2439"/>
      <c r="O669" s="2440">
        <f>'BUS Deemed Savings Table'!I365</f>
        <v>0.41723300000000002</v>
      </c>
      <c r="P669" s="2440"/>
      <c r="Q669" s="2441"/>
      <c r="R669" s="2441"/>
      <c r="S669" s="2441"/>
      <c r="T669" s="2441"/>
      <c r="U669" s="1822">
        <f t="shared" si="979"/>
        <v>0</v>
      </c>
      <c r="V669" s="1822">
        <f t="shared" si="980"/>
        <v>0</v>
      </c>
      <c r="W669" s="1822">
        <f t="shared" si="981"/>
        <v>0.41723300000000002</v>
      </c>
      <c r="X669" s="68">
        <f>'BUS Deemed Savings Table'!J365</f>
        <v>15</v>
      </c>
      <c r="Y669" s="68"/>
      <c r="Z669" s="68">
        <f t="shared" si="976"/>
        <v>15</v>
      </c>
      <c r="AA669" s="62">
        <f>'BUS Deemed Savings Table'!DB365</f>
        <v>5.3608357561588678</v>
      </c>
      <c r="AB669" s="839">
        <f>'BUS Deemed Savings Table'!K365</f>
        <v>168</v>
      </c>
      <c r="AC669" s="2451">
        <f t="shared" si="875"/>
        <v>850.04285704076426</v>
      </c>
      <c r="AD669" s="2451">
        <f t="shared" si="876"/>
        <v>0</v>
      </c>
      <c r="AE669" s="1661">
        <f>'BUS Deemed Savings Table'!DD365</f>
        <v>850.04285704076426</v>
      </c>
      <c r="AF669" s="2453"/>
      <c r="AG669" s="2453"/>
      <c r="AH669" s="2453"/>
      <c r="AI669" s="3638" t="str">
        <f>'BUS Deemed Savings Table'!L365</f>
        <v>per Hp</v>
      </c>
      <c r="AJ669" s="1930"/>
      <c r="AK669" s="1930"/>
      <c r="AL669" s="1930"/>
      <c r="AM669" s="1972">
        <f t="shared" si="970"/>
        <v>4.4398300000000001E-4</v>
      </c>
      <c r="AN669" s="1930">
        <f t="shared" si="978"/>
        <v>0.41723302425000003</v>
      </c>
      <c r="AO669" s="1971">
        <f t="shared" si="972"/>
        <v>2.4250000008052552E-8</v>
      </c>
    </row>
    <row r="670" spans="1:41" x14ac:dyDescent="0.25">
      <c r="A670" s="103" t="str">
        <f t="shared" si="977"/>
        <v>803250</v>
      </c>
      <c r="B670" s="684" t="str">
        <f>'BUS Deemed Savings Table'!C395</f>
        <v>803250_2020_07_</v>
      </c>
      <c r="C670" s="1962" t="str">
        <f>'BUS Deemed Savings Table'!G395</f>
        <v>Cooling BUS</v>
      </c>
      <c r="D670" s="1962"/>
      <c r="E670" s="1962"/>
      <c r="F670" s="1962"/>
      <c r="G670" s="1962" t="str">
        <f>'BUS Deemed Savings Table'!E395</f>
        <v>Single Packag or Split Sytem Unitary AC_DX 135 - 240kbtu</v>
      </c>
      <c r="H670" s="63" t="str">
        <f>'BUS Deemed Savings Table'!D395</f>
        <v>C&amp;I</v>
      </c>
      <c r="I670" s="2438">
        <f t="shared" ref="I670:I675" si="1000">K670+L670</f>
        <v>153.77000000000001</v>
      </c>
      <c r="J670" s="2438">
        <f t="shared" ref="J670:J675" si="1001">S670+T670</f>
        <v>0</v>
      </c>
      <c r="K670" s="2439">
        <f>'BUS Deemed Savings Table'!F395</f>
        <v>153.77000000000001</v>
      </c>
      <c r="L670" s="2439"/>
      <c r="M670" s="2439"/>
      <c r="N670" s="2439"/>
      <c r="O670" s="2440">
        <f t="shared" ref="O670:O675" si="1002">Q670+R670</f>
        <v>0.14003599999999999</v>
      </c>
      <c r="P670" s="2440">
        <f t="shared" ref="P670:P675" si="1003">S670+T670</f>
        <v>0</v>
      </c>
      <c r="Q670" s="2440">
        <f>'BUS Deemed Savings Table'!I395</f>
        <v>0.14003599999999999</v>
      </c>
      <c r="R670" s="2441">
        <v>0</v>
      </c>
      <c r="S670" s="2441"/>
      <c r="T670" s="2441"/>
      <c r="U670" s="1822">
        <f t="shared" si="979"/>
        <v>0</v>
      </c>
      <c r="V670" s="1822">
        <f t="shared" si="980"/>
        <v>0</v>
      </c>
      <c r="W670" s="1822">
        <f t="shared" si="981"/>
        <v>0.14003599999999999</v>
      </c>
      <c r="X670" s="68">
        <f>'BUS Deemed Savings Table'!J395</f>
        <v>15</v>
      </c>
      <c r="Y670" s="68"/>
      <c r="Z670" s="68">
        <f t="shared" si="976"/>
        <v>15</v>
      </c>
      <c r="AA670" s="62">
        <f>'BUS Deemed Savings Table'!DB395</f>
        <v>2.3225032903876577</v>
      </c>
      <c r="AB670" s="839">
        <f>'BUS Deemed Savings Table'!K395</f>
        <v>100</v>
      </c>
      <c r="AC670" s="2451">
        <f t="shared" si="875"/>
        <v>219.20748375532395</v>
      </c>
      <c r="AD670" s="2451">
        <f t="shared" si="876"/>
        <v>0</v>
      </c>
      <c r="AE670" s="1661">
        <f>'BUS Deemed Savings Table'!DD395</f>
        <v>219.20748375532395</v>
      </c>
      <c r="AF670" s="2453"/>
      <c r="AG670" s="2453"/>
      <c r="AH670" s="2453"/>
      <c r="AI670" s="3638" t="str">
        <f>'BUS Deemed Savings Table'!L395</f>
        <v>per ton</v>
      </c>
      <c r="AJ670" s="1930"/>
      <c r="AK670" s="1930"/>
      <c r="AL670" s="1930"/>
      <c r="AM670" s="1972">
        <f t="shared" ref="AM670:AM702" si="1004">VLOOKUP(C670,$AS$10:$AT$49,2,FALSE)</f>
        <v>9.1068400000000004E-4</v>
      </c>
      <c r="AN670" s="1930">
        <f t="shared" si="978"/>
        <v>0.14003587868</v>
      </c>
      <c r="AO670" s="1971">
        <f t="shared" ref="AO670:AO702" si="1005">AN670-O670</f>
        <v>-1.2131999999054344E-7</v>
      </c>
    </row>
    <row r="671" spans="1:41" x14ac:dyDescent="0.25">
      <c r="A671" s="103" t="str">
        <f t="shared" si="977"/>
        <v>803300</v>
      </c>
      <c r="B671" s="684" t="str">
        <f>'BUS Deemed Savings Table'!C396</f>
        <v>803300_2020_07_</v>
      </c>
      <c r="C671" s="1962" t="str">
        <f>'BUS Deemed Savings Table'!G396</f>
        <v>Cooling BUS</v>
      </c>
      <c r="D671" s="1962"/>
      <c r="E671" s="1962"/>
      <c r="F671" s="1962"/>
      <c r="G671" s="1962" t="str">
        <f>'BUS Deemed Savings Table'!E396</f>
        <v>Single Packag or Split Sytem Unitary AC_DX 240 - 760kbtu</v>
      </c>
      <c r="H671" s="63" t="str">
        <f>'BUS Deemed Savings Table'!D396</f>
        <v>C&amp;I</v>
      </c>
      <c r="I671" s="2438">
        <f t="shared" si="1000"/>
        <v>167.94</v>
      </c>
      <c r="J671" s="2438">
        <f t="shared" si="1001"/>
        <v>0</v>
      </c>
      <c r="K671" s="2439">
        <f>'BUS Deemed Savings Table'!F396</f>
        <v>167.94</v>
      </c>
      <c r="L671" s="2439"/>
      <c r="M671" s="2439"/>
      <c r="N671" s="2439"/>
      <c r="O671" s="2440">
        <f t="shared" si="1002"/>
        <v>0.15293999999999999</v>
      </c>
      <c r="P671" s="2440">
        <f t="shared" si="1003"/>
        <v>0</v>
      </c>
      <c r="Q671" s="2440">
        <f>'BUS Deemed Savings Table'!I396</f>
        <v>0.15293999999999999</v>
      </c>
      <c r="R671" s="2441">
        <v>0</v>
      </c>
      <c r="S671" s="2441"/>
      <c r="T671" s="2441"/>
      <c r="U671" s="1822">
        <f t="shared" si="979"/>
        <v>0</v>
      </c>
      <c r="V671" s="1822">
        <f t="shared" si="980"/>
        <v>0</v>
      </c>
      <c r="W671" s="1822">
        <f t="shared" si="981"/>
        <v>0.15293999999999999</v>
      </c>
      <c r="X671" s="68">
        <f>'BUS Deemed Savings Table'!J396</f>
        <v>15</v>
      </c>
      <c r="Y671" s="68"/>
      <c r="Z671" s="68">
        <f t="shared" si="976"/>
        <v>15</v>
      </c>
      <c r="AA671" s="62">
        <f>'BUS Deemed Savings Table'!DB396</f>
        <v>2.5365233959010416</v>
      </c>
      <c r="AB671" s="839">
        <f>'BUS Deemed Savings Table'!K396</f>
        <v>100</v>
      </c>
      <c r="AC671" s="2451">
        <f t="shared" si="875"/>
        <v>239.4075880982578</v>
      </c>
      <c r="AD671" s="2451">
        <f t="shared" si="876"/>
        <v>0</v>
      </c>
      <c r="AE671" s="1661">
        <f>'BUS Deemed Savings Table'!DD396</f>
        <v>239.4075880982578</v>
      </c>
      <c r="AF671" s="2453"/>
      <c r="AG671" s="2453"/>
      <c r="AH671" s="2453"/>
      <c r="AI671" s="3638" t="str">
        <f>'BUS Deemed Savings Table'!L396</f>
        <v>per ton</v>
      </c>
      <c r="AJ671" s="1930"/>
      <c r="AK671" s="1930"/>
      <c r="AL671" s="1930"/>
      <c r="AM671" s="1972">
        <f t="shared" si="1004"/>
        <v>9.1068400000000004E-4</v>
      </c>
      <c r="AN671" s="1930">
        <f t="shared" si="978"/>
        <v>0.15294027096000001</v>
      </c>
      <c r="AO671" s="1971">
        <f t="shared" si="1005"/>
        <v>2.709600000205814E-7</v>
      </c>
    </row>
    <row r="672" spans="1:41" x14ac:dyDescent="0.25">
      <c r="A672" s="103" t="str">
        <f t="shared" si="977"/>
        <v>803350</v>
      </c>
      <c r="B672" s="684" t="str">
        <f>'BUS Deemed Savings Table'!C397</f>
        <v>803350_2020_07_</v>
      </c>
      <c r="C672" s="1962" t="str">
        <f>'BUS Deemed Savings Table'!G397</f>
        <v>Cooling BUS</v>
      </c>
      <c r="D672" s="1962"/>
      <c r="E672" s="1962"/>
      <c r="F672" s="1962"/>
      <c r="G672" s="1962" t="str">
        <f>'BUS Deemed Savings Table'!E397</f>
        <v>Single Packag or Split Sytem Unitary AC_DX 65 -135kbtu</v>
      </c>
      <c r="H672" s="63" t="str">
        <f>'BUS Deemed Savings Table'!D397</f>
        <v>C&amp;I</v>
      </c>
      <c r="I672" s="2438">
        <f t="shared" si="1000"/>
        <v>148.68</v>
      </c>
      <c r="J672" s="2438">
        <f t="shared" si="1001"/>
        <v>0</v>
      </c>
      <c r="K672" s="2439">
        <f>'BUS Deemed Savings Table'!F397</f>
        <v>148.68</v>
      </c>
      <c r="L672" s="2439"/>
      <c r="M672" s="2439"/>
      <c r="N672" s="2439"/>
      <c r="O672" s="2440">
        <f t="shared" si="1002"/>
        <v>0.13539999999999999</v>
      </c>
      <c r="P672" s="2440">
        <f t="shared" si="1003"/>
        <v>0</v>
      </c>
      <c r="Q672" s="2440">
        <f>'BUS Deemed Savings Table'!I397</f>
        <v>0.13539999999999999</v>
      </c>
      <c r="R672" s="2441">
        <v>0</v>
      </c>
      <c r="S672" s="2441"/>
      <c r="T672" s="2441"/>
      <c r="U672" s="1822">
        <f t="shared" si="979"/>
        <v>0</v>
      </c>
      <c r="V672" s="1822">
        <f t="shared" si="980"/>
        <v>0</v>
      </c>
      <c r="W672" s="1822">
        <f t="shared" si="981"/>
        <v>0.13539999999999999</v>
      </c>
      <c r="X672" s="68">
        <f>'BUS Deemed Savings Table'!J397</f>
        <v>15</v>
      </c>
      <c r="Y672" s="68"/>
      <c r="Z672" s="68">
        <f t="shared" si="976"/>
        <v>15</v>
      </c>
      <c r="AA672" s="62">
        <f>'BUS Deemed Savings Table'!DB397</f>
        <v>2.2456252143775566</v>
      </c>
      <c r="AB672" s="839">
        <f>'BUS Deemed Savings Table'!K397</f>
        <v>100</v>
      </c>
      <c r="AC672" s="2451">
        <f t="shared" si="875"/>
        <v>211.95141239995814</v>
      </c>
      <c r="AD672" s="2451">
        <f t="shared" si="876"/>
        <v>0</v>
      </c>
      <c r="AE672" s="1661">
        <f>'BUS Deemed Savings Table'!DD397</f>
        <v>211.95141239995814</v>
      </c>
      <c r="AF672" s="2453"/>
      <c r="AG672" s="2453"/>
      <c r="AH672" s="2453"/>
      <c r="AI672" s="3638" t="str">
        <f>'BUS Deemed Savings Table'!L397</f>
        <v>per ton</v>
      </c>
      <c r="AJ672" s="1930"/>
      <c r="AK672" s="1930"/>
      <c r="AL672" s="1930"/>
      <c r="AM672" s="1972">
        <f t="shared" si="1004"/>
        <v>9.1068400000000004E-4</v>
      </c>
      <c r="AN672" s="1930">
        <f t="shared" si="978"/>
        <v>0.13540049712000002</v>
      </c>
      <c r="AO672" s="1971">
        <f t="shared" si="1005"/>
        <v>4.9712000002588574E-7</v>
      </c>
    </row>
    <row r="673" spans="1:41" x14ac:dyDescent="0.25">
      <c r="A673" s="103" t="str">
        <f t="shared" si="977"/>
        <v>803400</v>
      </c>
      <c r="B673" s="684" t="str">
        <f>'BUS Deemed Savings Table'!C398</f>
        <v>803400_2020_07_</v>
      </c>
      <c r="C673" s="1962" t="str">
        <f>'BUS Deemed Savings Table'!G398</f>
        <v>Cooling BUS</v>
      </c>
      <c r="D673" s="1962"/>
      <c r="E673" s="1962"/>
      <c r="F673" s="1962"/>
      <c r="G673" s="1962" t="str">
        <f>'BUS Deemed Savings Table'!E398</f>
        <v>Single Packag or Split Sytem Unitary AC_DX &gt;760kbtu</v>
      </c>
      <c r="H673" s="63" t="str">
        <f>'BUS Deemed Savings Table'!D398</f>
        <v>C&amp;I</v>
      </c>
      <c r="I673" s="2438">
        <f t="shared" si="1000"/>
        <v>167.52</v>
      </c>
      <c r="J673" s="2438">
        <f t="shared" si="1001"/>
        <v>0</v>
      </c>
      <c r="K673" s="2439">
        <f>'BUS Deemed Savings Table'!F398</f>
        <v>167.52</v>
      </c>
      <c r="L673" s="2439"/>
      <c r="M673" s="2439"/>
      <c r="N673" s="2439"/>
      <c r="O673" s="2440">
        <f t="shared" si="1002"/>
        <v>0.152558</v>
      </c>
      <c r="P673" s="2440">
        <f t="shared" si="1003"/>
        <v>0</v>
      </c>
      <c r="Q673" s="2440">
        <f>'BUS Deemed Savings Table'!I398</f>
        <v>0.152558</v>
      </c>
      <c r="R673" s="2441">
        <v>0</v>
      </c>
      <c r="S673" s="2441"/>
      <c r="T673" s="2441"/>
      <c r="U673" s="1822">
        <f t="shared" si="979"/>
        <v>0</v>
      </c>
      <c r="V673" s="1822">
        <f t="shared" si="980"/>
        <v>0</v>
      </c>
      <c r="W673" s="1822">
        <f t="shared" si="981"/>
        <v>0.152558</v>
      </c>
      <c r="X673" s="68">
        <f>'BUS Deemed Savings Table'!J398</f>
        <v>15</v>
      </c>
      <c r="Y673" s="68"/>
      <c r="Z673" s="68">
        <f t="shared" si="976"/>
        <v>15</v>
      </c>
      <c r="AA673" s="62">
        <f>'BUS Deemed Savings Table'!DB398</f>
        <v>2.5301798218491278</v>
      </c>
      <c r="AB673" s="839">
        <f>'BUS Deemed Savings Table'!K398</f>
        <v>100</v>
      </c>
      <c r="AC673" s="2451">
        <f t="shared" si="875"/>
        <v>238.8088552948681</v>
      </c>
      <c r="AD673" s="2451">
        <f t="shared" si="876"/>
        <v>0</v>
      </c>
      <c r="AE673" s="1661">
        <f>'BUS Deemed Savings Table'!DD398</f>
        <v>238.8088552948681</v>
      </c>
      <c r="AF673" s="2453"/>
      <c r="AG673" s="2453"/>
      <c r="AH673" s="2453"/>
      <c r="AI673" s="3638" t="str">
        <f>'BUS Deemed Savings Table'!L398</f>
        <v>per ton</v>
      </c>
      <c r="AJ673" s="1930"/>
      <c r="AK673" s="1930"/>
      <c r="AL673" s="1930"/>
      <c r="AM673" s="1972">
        <f t="shared" si="1004"/>
        <v>9.1068400000000004E-4</v>
      </c>
      <c r="AN673" s="1930">
        <f t="shared" si="978"/>
        <v>0.15255778368</v>
      </c>
      <c r="AO673" s="1971">
        <f t="shared" si="1005"/>
        <v>-2.1631999999605078E-7</v>
      </c>
    </row>
    <row r="674" spans="1:41" x14ac:dyDescent="0.25">
      <c r="A674" s="103" t="str">
        <f t="shared" si="977"/>
        <v>803450</v>
      </c>
      <c r="B674" s="684" t="str">
        <f>'BUS Deemed Savings Table'!C399</f>
        <v>803450_2020_07_</v>
      </c>
      <c r="C674" s="1962" t="str">
        <f>'BUS Deemed Savings Table'!G399</f>
        <v>Cooling BUS</v>
      </c>
      <c r="D674" s="1962"/>
      <c r="E674" s="1962"/>
      <c r="F674" s="1962"/>
      <c r="G674" s="1962" t="str">
        <f>'BUS Deemed Savings Table'!E399</f>
        <v>Single Packag or Split Sytem Unitary AC_DX &lt;65kbtu</v>
      </c>
      <c r="H674" s="63" t="str">
        <f>'BUS Deemed Savings Table'!D399</f>
        <v>C&amp;I</v>
      </c>
      <c r="I674" s="2438">
        <f t="shared" si="1000"/>
        <v>129.6</v>
      </c>
      <c r="J674" s="2438">
        <f t="shared" si="1001"/>
        <v>0</v>
      </c>
      <c r="K674" s="2439">
        <f>'BUS Deemed Savings Table'!F399</f>
        <v>129.6</v>
      </c>
      <c r="L674" s="2439"/>
      <c r="M674" s="2439"/>
      <c r="N674" s="2439"/>
      <c r="O674" s="2440">
        <f t="shared" si="1002"/>
        <v>0.118025</v>
      </c>
      <c r="P674" s="2440">
        <f t="shared" si="1003"/>
        <v>0</v>
      </c>
      <c r="Q674" s="2440">
        <f>'BUS Deemed Savings Table'!I399</f>
        <v>0.118025</v>
      </c>
      <c r="R674" s="2441">
        <v>0</v>
      </c>
      <c r="S674" s="2441"/>
      <c r="T674" s="2441"/>
      <c r="U674" s="1822">
        <f t="shared" si="979"/>
        <v>0</v>
      </c>
      <c r="V674" s="1822">
        <f t="shared" si="980"/>
        <v>0</v>
      </c>
      <c r="W674" s="1822">
        <f t="shared" si="981"/>
        <v>0.118025</v>
      </c>
      <c r="X674" s="68">
        <f>'BUS Deemed Savings Table'!J399</f>
        <v>15</v>
      </c>
      <c r="Y674" s="68"/>
      <c r="Z674" s="68">
        <f t="shared" si="976"/>
        <v>15</v>
      </c>
      <c r="AA674" s="62">
        <f>'BUS Deemed Savings Table'!DB399</f>
        <v>1.9574457074477492</v>
      </c>
      <c r="AB674" s="839">
        <f>'BUS Deemed Savings Table'!K399</f>
        <v>100</v>
      </c>
      <c r="AC674" s="2451">
        <f t="shared" si="875"/>
        <v>184.75183647453977</v>
      </c>
      <c r="AD674" s="2451">
        <f t="shared" si="876"/>
        <v>0</v>
      </c>
      <c r="AE674" s="1661">
        <f>'BUS Deemed Savings Table'!DD399</f>
        <v>184.75183647453977</v>
      </c>
      <c r="AF674" s="2453"/>
      <c r="AG674" s="2453"/>
      <c r="AH674" s="2453"/>
      <c r="AI674" s="3638" t="str">
        <f>'BUS Deemed Savings Table'!L399</f>
        <v>per ton</v>
      </c>
      <c r="AJ674" s="1930"/>
      <c r="AK674" s="1930"/>
      <c r="AL674" s="1930"/>
      <c r="AM674" s="1972">
        <f t="shared" si="1004"/>
        <v>9.1068400000000004E-4</v>
      </c>
      <c r="AN674" s="1930">
        <f t="shared" si="978"/>
        <v>0.1180246464</v>
      </c>
      <c r="AO674" s="1971">
        <f t="shared" si="1005"/>
        <v>-3.5360000000261849E-7</v>
      </c>
    </row>
    <row r="675" spans="1:41" x14ac:dyDescent="0.25">
      <c r="A675" s="103" t="str">
        <f t="shared" si="977"/>
        <v>803500</v>
      </c>
      <c r="B675" s="684" t="str">
        <f>'BUS Deemed Savings Table'!C417</f>
        <v>803500_2019_12_</v>
      </c>
      <c r="C675" s="1962" t="str">
        <f>'BUS Deemed Savings Table'!I417</f>
        <v>Cooling BUS</v>
      </c>
      <c r="D675" s="1962" t="str">
        <f>'BUS Deemed Savings Table'!J417</f>
        <v>Heating BUS</v>
      </c>
      <c r="E675" s="1962"/>
      <c r="F675" s="1962"/>
      <c r="G675" s="1962" t="str">
        <f>'BUS Deemed Savings Table'!E417</f>
        <v>GSHP &lt;135kbtu; ≥17EER</v>
      </c>
      <c r="H675" s="63" t="str">
        <f>'BUS Deemed Savings Table'!D417</f>
        <v>C&amp;I</v>
      </c>
      <c r="I675" s="2438">
        <f t="shared" si="1000"/>
        <v>64.7</v>
      </c>
      <c r="J675" s="2438">
        <f t="shared" si="1001"/>
        <v>0</v>
      </c>
      <c r="K675" s="2439">
        <f>'BUS Deemed Savings Table'!F417</f>
        <v>36.71</v>
      </c>
      <c r="L675" s="2439">
        <f>'BUS Deemed Savings Table'!G417</f>
        <v>27.99</v>
      </c>
      <c r="M675" s="2439"/>
      <c r="N675" s="2439"/>
      <c r="O675" s="2440">
        <f t="shared" si="1002"/>
        <v>3.3431000000000002E-2</v>
      </c>
      <c r="P675" s="2440">
        <f t="shared" si="1003"/>
        <v>0</v>
      </c>
      <c r="Q675" s="2441">
        <f>'BUS Deemed Savings Table'!L417</f>
        <v>3.3431000000000002E-2</v>
      </c>
      <c r="R675" s="2441">
        <v>0</v>
      </c>
      <c r="S675" s="2441"/>
      <c r="T675" s="2441"/>
      <c r="U675" s="1822">
        <f t="shared" si="979"/>
        <v>0</v>
      </c>
      <c r="V675" s="1822">
        <f t="shared" si="980"/>
        <v>0</v>
      </c>
      <c r="W675" s="1822">
        <f t="shared" si="981"/>
        <v>3.3431000000000002E-2</v>
      </c>
      <c r="X675" s="68">
        <f>'BUS Deemed Savings Table'!M417</f>
        <v>15</v>
      </c>
      <c r="Y675" s="68"/>
      <c r="Z675" s="68">
        <f t="shared" si="976"/>
        <v>15</v>
      </c>
      <c r="AA675" s="62">
        <f>'BUS Deemed Savings Table'!DB417</f>
        <v>0.37254962167027522</v>
      </c>
      <c r="AB675" s="839">
        <f>'BUS Deemed Savings Table'!N417</f>
        <v>180</v>
      </c>
      <c r="AC675" s="2451">
        <f t="shared" si="875"/>
        <v>52.332098124848422</v>
      </c>
      <c r="AD675" s="2451">
        <f t="shared" si="876"/>
        <v>0</v>
      </c>
      <c r="AE675" s="1661">
        <f>'BUS Deemed Savings Table'!DD417</f>
        <v>52.332098124848422</v>
      </c>
      <c r="AF675" s="2453"/>
      <c r="AG675" s="2453"/>
      <c r="AH675" s="2453"/>
      <c r="AI675" s="3639" t="str">
        <f>'BUS Deemed Savings Table'!O417</f>
        <v>per ton</v>
      </c>
      <c r="AJ675" s="1930"/>
      <c r="AK675" s="1930"/>
      <c r="AL675" s="1930"/>
      <c r="AM675" s="1972">
        <f t="shared" si="1004"/>
        <v>9.1068400000000004E-4</v>
      </c>
      <c r="AN675" s="1803">
        <f t="shared" ref="AN675:AN680" si="1006">AM675*K675</f>
        <v>3.3431209640000001E-2</v>
      </c>
      <c r="AO675" s="1971">
        <f t="shared" si="1005"/>
        <v>2.0963999999845662E-7</v>
      </c>
    </row>
    <row r="676" spans="1:41" x14ac:dyDescent="0.25">
      <c r="A676" s="103" t="str">
        <f t="shared" si="977"/>
        <v>803550</v>
      </c>
      <c r="B676" s="684" t="str">
        <f>'BUS Deemed Savings Table'!C418</f>
        <v>803550_2019_12_</v>
      </c>
      <c r="C676" s="1962" t="str">
        <f>'BUS Deemed Savings Table'!I418</f>
        <v>Cooling BUS</v>
      </c>
      <c r="D676" s="1962" t="str">
        <f>'BUS Deemed Savings Table'!J418</f>
        <v>Heating BUS</v>
      </c>
      <c r="E676" s="1962"/>
      <c r="F676" s="1962"/>
      <c r="G676" s="1962" t="str">
        <f>'BUS Deemed Savings Table'!E418</f>
        <v>GSHP &lt;135kbtu; ≥19EER</v>
      </c>
      <c r="H676" s="63" t="str">
        <f>'BUS Deemed Savings Table'!D418</f>
        <v>C&amp;I</v>
      </c>
      <c r="I676" s="2438">
        <f t="shared" ref="I676:I681" si="1007">K676+L676</f>
        <v>142.94</v>
      </c>
      <c r="J676" s="2438">
        <f t="shared" ref="J676:J681" si="1008">S676+T676</f>
        <v>0</v>
      </c>
      <c r="K676" s="2439">
        <f>'BUS Deemed Savings Table'!F418</f>
        <v>114.95</v>
      </c>
      <c r="L676" s="2439">
        <f>'BUS Deemed Savings Table'!G418</f>
        <v>27.99</v>
      </c>
      <c r="M676" s="2439"/>
      <c r="N676" s="2439"/>
      <c r="O676" s="2440">
        <f t="shared" ref="O676:O681" si="1009">Q676+R676</f>
        <v>0.104683</v>
      </c>
      <c r="P676" s="2440">
        <f t="shared" ref="P676:P681" si="1010">S676+T676</f>
        <v>0</v>
      </c>
      <c r="Q676" s="2441">
        <f>'BUS Deemed Savings Table'!L418</f>
        <v>0.104683</v>
      </c>
      <c r="R676" s="2441">
        <v>0</v>
      </c>
      <c r="S676" s="2441"/>
      <c r="T676" s="2441"/>
      <c r="U676" s="1822">
        <f t="shared" si="979"/>
        <v>0</v>
      </c>
      <c r="V676" s="1822">
        <f t="shared" si="980"/>
        <v>0</v>
      </c>
      <c r="W676" s="1822">
        <f t="shared" si="981"/>
        <v>0.104683</v>
      </c>
      <c r="X676" s="68">
        <f>'BUS Deemed Savings Table'!M418</f>
        <v>15</v>
      </c>
      <c r="Y676" s="68"/>
      <c r="Z676" s="68">
        <f t="shared" ref="Z676:Z683" si="1011">Y676+X676</f>
        <v>15</v>
      </c>
      <c r="AA676" s="62">
        <f>'BUS Deemed Savings Table'!DB418</f>
        <v>1.0290591902175654</v>
      </c>
      <c r="AB676" s="839">
        <f>'BUS Deemed Savings Table'!N418</f>
        <v>180</v>
      </c>
      <c r="AC676" s="2451">
        <f t="shared" si="875"/>
        <v>163.8674660705891</v>
      </c>
      <c r="AD676" s="2451">
        <f t="shared" si="876"/>
        <v>0</v>
      </c>
      <c r="AE676" s="1661">
        <f>'BUS Deemed Savings Table'!DD418</f>
        <v>163.8674660705891</v>
      </c>
      <c r="AF676" s="2453"/>
      <c r="AG676" s="2453"/>
      <c r="AH676" s="2453"/>
      <c r="AI676" s="3639" t="str">
        <f>'BUS Deemed Savings Table'!O418</f>
        <v>per ton</v>
      </c>
      <c r="AJ676" s="1930"/>
      <c r="AK676" s="1930"/>
      <c r="AL676" s="1930"/>
      <c r="AM676" s="1972">
        <f t="shared" si="1004"/>
        <v>9.1068400000000004E-4</v>
      </c>
      <c r="AN676" s="1803">
        <f t="shared" si="1006"/>
        <v>0.10468312580000001</v>
      </c>
      <c r="AO676" s="1971">
        <f t="shared" si="1005"/>
        <v>1.258000000142756E-7</v>
      </c>
    </row>
    <row r="677" spans="1:41" x14ac:dyDescent="0.25">
      <c r="A677" s="103" t="str">
        <f t="shared" si="977"/>
        <v>803600</v>
      </c>
      <c r="B677" s="684" t="str">
        <f>'BUS Deemed Savings Table'!C419</f>
        <v>803600_2020_07_</v>
      </c>
      <c r="C677" s="1962" t="str">
        <f>'BUS Deemed Savings Table'!I419</f>
        <v>Cooling BUS</v>
      </c>
      <c r="D677" s="1962" t="str">
        <f>'BUS Deemed Savings Table'!J419</f>
        <v>Heating BUS</v>
      </c>
      <c r="E677" s="1962"/>
      <c r="F677" s="1962"/>
      <c r="G677" s="1962" t="str">
        <f>'BUS Deemed Savings Table'!E419</f>
        <v>ASHP 65 - 135kbtu</v>
      </c>
      <c r="H677" s="63" t="str">
        <f>'BUS Deemed Savings Table'!D419</f>
        <v>C&amp;I</v>
      </c>
      <c r="I677" s="2438">
        <f t="shared" si="1007"/>
        <v>340.37</v>
      </c>
      <c r="J677" s="2438">
        <f t="shared" si="1008"/>
        <v>0</v>
      </c>
      <c r="K677" s="2439">
        <f>'BUS Deemed Savings Table'!F419</f>
        <v>117.33</v>
      </c>
      <c r="L677" s="2439">
        <f>'BUS Deemed Savings Table'!G419</f>
        <v>223.04</v>
      </c>
      <c r="M677" s="2439"/>
      <c r="N677" s="2439"/>
      <c r="O677" s="2440">
        <f t="shared" si="1009"/>
        <v>0.106851</v>
      </c>
      <c r="P677" s="2440">
        <f t="shared" si="1010"/>
        <v>0</v>
      </c>
      <c r="Q677" s="2441">
        <f>'BUS Deemed Savings Table'!L419</f>
        <v>0.106851</v>
      </c>
      <c r="R677" s="2441">
        <v>0</v>
      </c>
      <c r="S677" s="2441"/>
      <c r="T677" s="2441"/>
      <c r="U677" s="1822">
        <f t="shared" si="979"/>
        <v>0</v>
      </c>
      <c r="V677" s="1822">
        <f t="shared" si="980"/>
        <v>0</v>
      </c>
      <c r="W677" s="1822">
        <f t="shared" si="981"/>
        <v>0.106851</v>
      </c>
      <c r="X677" s="68">
        <f>'BUS Deemed Savings Table'!M419</f>
        <v>15</v>
      </c>
      <c r="Y677" s="68"/>
      <c r="Z677" s="68">
        <f t="shared" si="1011"/>
        <v>15</v>
      </c>
      <c r="AA677" s="62">
        <f>'BUS Deemed Savings Table'!DB419</f>
        <v>2.6975175104237503</v>
      </c>
      <c r="AB677" s="839">
        <f>'BUS Deemed Savings Table'!N419</f>
        <v>100</v>
      </c>
      <c r="AC677" s="2451">
        <f t="shared" si="875"/>
        <v>167.26028528979748</v>
      </c>
      <c r="AD677" s="2451">
        <f t="shared" si="876"/>
        <v>0</v>
      </c>
      <c r="AE677" s="1661">
        <f>'BUS Deemed Savings Table'!DD419</f>
        <v>167.26028528979748</v>
      </c>
      <c r="AF677" s="2453"/>
      <c r="AG677" s="2453"/>
      <c r="AH677" s="2453"/>
      <c r="AI677" s="3639" t="str">
        <f>'BUS Deemed Savings Table'!O419</f>
        <v>per ton</v>
      </c>
      <c r="AJ677" s="1930"/>
      <c r="AK677" s="1930"/>
      <c r="AL677" s="1930"/>
      <c r="AM677" s="1972">
        <f t="shared" si="1004"/>
        <v>9.1068400000000004E-4</v>
      </c>
      <c r="AN677" s="1803">
        <f t="shared" si="1006"/>
        <v>0.10685055372</v>
      </c>
      <c r="AO677" s="1971">
        <f t="shared" si="1005"/>
        <v>-4.4627999999657941E-7</v>
      </c>
    </row>
    <row r="678" spans="1:41" x14ac:dyDescent="0.25">
      <c r="A678" s="103" t="str">
        <f t="shared" si="977"/>
        <v>803650</v>
      </c>
      <c r="B678" s="684" t="str">
        <f>'BUS Deemed Savings Table'!C420</f>
        <v>803650_2020_07_</v>
      </c>
      <c r="C678" s="1962" t="str">
        <f>'BUS Deemed Savings Table'!I420</f>
        <v>Cooling BUS</v>
      </c>
      <c r="D678" s="1962" t="str">
        <f>'BUS Deemed Savings Table'!J420</f>
        <v>Heating BUS</v>
      </c>
      <c r="E678" s="1962"/>
      <c r="F678" s="1962"/>
      <c r="G678" s="1962" t="str">
        <f>'BUS Deemed Savings Table'!E420</f>
        <v>ASHP 135 - 240kbtu</v>
      </c>
      <c r="H678" s="63" t="str">
        <f>'BUS Deemed Savings Table'!D420</f>
        <v>C&amp;I</v>
      </c>
      <c r="I678" s="2438">
        <f t="shared" si="1007"/>
        <v>393.13</v>
      </c>
      <c r="J678" s="2438">
        <f t="shared" si="1008"/>
        <v>0</v>
      </c>
      <c r="K678" s="2439">
        <f>'BUS Deemed Savings Table'!F420</f>
        <v>127.93</v>
      </c>
      <c r="L678" s="2439">
        <f>'BUS Deemed Savings Table'!G420</f>
        <v>265.2</v>
      </c>
      <c r="M678" s="2439"/>
      <c r="N678" s="2439"/>
      <c r="O678" s="2440">
        <f t="shared" si="1009"/>
        <v>0.116504</v>
      </c>
      <c r="P678" s="2440">
        <f t="shared" si="1010"/>
        <v>0</v>
      </c>
      <c r="Q678" s="2441">
        <f>'BUS Deemed Savings Table'!L420</f>
        <v>0.116504</v>
      </c>
      <c r="R678" s="2441">
        <v>0</v>
      </c>
      <c r="S678" s="2441"/>
      <c r="T678" s="2441"/>
      <c r="U678" s="1822">
        <f t="shared" si="979"/>
        <v>0</v>
      </c>
      <c r="V678" s="1822">
        <f t="shared" si="980"/>
        <v>0</v>
      </c>
      <c r="W678" s="1822">
        <f t="shared" si="981"/>
        <v>0.116504</v>
      </c>
      <c r="X678" s="68">
        <f>'BUS Deemed Savings Table'!M420</f>
        <v>15</v>
      </c>
      <c r="Y678" s="68"/>
      <c r="Z678" s="68">
        <f t="shared" si="1011"/>
        <v>15</v>
      </c>
      <c r="AA678" s="62">
        <f>'BUS Deemed Savings Table'!DB420</f>
        <v>3.0325394219905535</v>
      </c>
      <c r="AB678" s="839">
        <f>'BUS Deemed Savings Table'!N420</f>
        <v>100</v>
      </c>
      <c r="AC678" s="2451">
        <f t="shared" si="875"/>
        <v>182.3711608039188</v>
      </c>
      <c r="AD678" s="2451">
        <f t="shared" si="876"/>
        <v>0</v>
      </c>
      <c r="AE678" s="1661">
        <f>'BUS Deemed Savings Table'!DD420</f>
        <v>182.3711608039188</v>
      </c>
      <c r="AF678" s="2453"/>
      <c r="AG678" s="2453"/>
      <c r="AH678" s="2453"/>
      <c r="AI678" s="3639" t="str">
        <f>'BUS Deemed Savings Table'!O420</f>
        <v>per ton</v>
      </c>
      <c r="AJ678" s="1930"/>
      <c r="AK678" s="1930"/>
      <c r="AL678" s="1930"/>
      <c r="AM678" s="1972">
        <f t="shared" si="1004"/>
        <v>9.1068400000000004E-4</v>
      </c>
      <c r="AN678" s="1803">
        <f t="shared" si="1006"/>
        <v>0.11650380412000001</v>
      </c>
      <c r="AO678" s="1971">
        <f t="shared" si="1005"/>
        <v>-1.9587999998404992E-7</v>
      </c>
    </row>
    <row r="679" spans="1:41" x14ac:dyDescent="0.25">
      <c r="A679" s="103" t="str">
        <f t="shared" si="977"/>
        <v>803700</v>
      </c>
      <c r="B679" s="684" t="str">
        <f>'BUS Deemed Savings Table'!C421</f>
        <v>803700_2020_07_</v>
      </c>
      <c r="C679" s="1962" t="str">
        <f>'BUS Deemed Savings Table'!I421</f>
        <v>Cooling BUS</v>
      </c>
      <c r="D679" s="1962" t="str">
        <f>'BUS Deemed Savings Table'!J421</f>
        <v>Heating BUS</v>
      </c>
      <c r="E679" s="1962"/>
      <c r="F679" s="1962"/>
      <c r="G679" s="1962" t="str">
        <f>'BUS Deemed Savings Table'!E421</f>
        <v>ASHP &gt;240kbtu</v>
      </c>
      <c r="H679" s="63" t="str">
        <f>'BUS Deemed Savings Table'!D421</f>
        <v>C&amp;I</v>
      </c>
      <c r="I679" s="2438">
        <f t="shared" si="1007"/>
        <v>411.45</v>
      </c>
      <c r="J679" s="2438">
        <f t="shared" si="1008"/>
        <v>0</v>
      </c>
      <c r="K679" s="2439">
        <f>'BUS Deemed Savings Table'!F421</f>
        <v>146.25</v>
      </c>
      <c r="L679" s="2439">
        <f>'BUS Deemed Savings Table'!G421</f>
        <v>265.2</v>
      </c>
      <c r="M679" s="2439"/>
      <c r="N679" s="2439"/>
      <c r="O679" s="2440">
        <f t="shared" si="1009"/>
        <v>0.133188</v>
      </c>
      <c r="P679" s="2440">
        <f t="shared" si="1010"/>
        <v>0</v>
      </c>
      <c r="Q679" s="2441">
        <f>'BUS Deemed Savings Table'!L421</f>
        <v>0.133188</v>
      </c>
      <c r="R679" s="2441">
        <v>0</v>
      </c>
      <c r="S679" s="2441"/>
      <c r="T679" s="2441"/>
      <c r="U679" s="1822">
        <f t="shared" si="979"/>
        <v>0</v>
      </c>
      <c r="V679" s="1822">
        <f t="shared" si="980"/>
        <v>0</v>
      </c>
      <c r="W679" s="1822">
        <f t="shared" si="981"/>
        <v>0.133188</v>
      </c>
      <c r="X679" s="68">
        <f>'BUS Deemed Savings Table'!M421</f>
        <v>15</v>
      </c>
      <c r="Y679" s="68"/>
      <c r="Z679" s="68">
        <f t="shared" si="1011"/>
        <v>15</v>
      </c>
      <c r="AA679" s="62">
        <f>'BUS Deemed Savings Table'!DB421</f>
        <v>3.3092400806359445</v>
      </c>
      <c r="AB679" s="839">
        <f>'BUS Deemed Savings Table'!N421</f>
        <v>100</v>
      </c>
      <c r="AC679" s="2451">
        <f t="shared" si="875"/>
        <v>208.48731546606052</v>
      </c>
      <c r="AD679" s="2451">
        <f t="shared" si="876"/>
        <v>0</v>
      </c>
      <c r="AE679" s="1661">
        <f>'BUS Deemed Savings Table'!DD421</f>
        <v>208.48731546606052</v>
      </c>
      <c r="AF679" s="2453"/>
      <c r="AG679" s="2453"/>
      <c r="AH679" s="2453"/>
      <c r="AI679" s="3639" t="str">
        <f>'BUS Deemed Savings Table'!O421</f>
        <v>per ton</v>
      </c>
      <c r="AJ679" s="1930"/>
      <c r="AK679" s="1930"/>
      <c r="AL679" s="1930"/>
      <c r="AM679" s="1972">
        <f t="shared" si="1004"/>
        <v>9.1068400000000004E-4</v>
      </c>
      <c r="AN679" s="1803">
        <f t="shared" si="1006"/>
        <v>0.133187535</v>
      </c>
      <c r="AO679" s="1971">
        <f t="shared" si="1005"/>
        <v>-4.6500000000504471E-7</v>
      </c>
    </row>
    <row r="680" spans="1:41" x14ac:dyDescent="0.25">
      <c r="A680" s="103" t="str">
        <f t="shared" si="977"/>
        <v>803750</v>
      </c>
      <c r="B680" s="684" t="str">
        <f>'BUS Deemed Savings Table'!C422</f>
        <v>803750_2020_07_</v>
      </c>
      <c r="C680" s="1962" t="str">
        <f>'BUS Deemed Savings Table'!I422</f>
        <v>Cooling BUS</v>
      </c>
      <c r="D680" s="1962" t="str">
        <f>'BUS Deemed Savings Table'!J422</f>
        <v>Heating BUS</v>
      </c>
      <c r="E680" s="1962"/>
      <c r="F680" s="1962"/>
      <c r="G680" s="1962" t="str">
        <f>'BUS Deemed Savings Table'!E422</f>
        <v>ASHP &lt;65kbtu</v>
      </c>
      <c r="H680" s="63" t="str">
        <f>'BUS Deemed Savings Table'!D422</f>
        <v>C&amp;I</v>
      </c>
      <c r="I680" s="2438">
        <f t="shared" si="1007"/>
        <v>329.25</v>
      </c>
      <c r="J680" s="2438">
        <f t="shared" si="1008"/>
        <v>0</v>
      </c>
      <c r="K680" s="2439">
        <f>'BUS Deemed Savings Table'!F422</f>
        <v>106.52</v>
      </c>
      <c r="L680" s="2439">
        <f>'BUS Deemed Savings Table'!G422</f>
        <v>222.73</v>
      </c>
      <c r="M680" s="2439"/>
      <c r="N680" s="2439"/>
      <c r="O680" s="2440">
        <f t="shared" si="1009"/>
        <v>9.7005999999999995E-2</v>
      </c>
      <c r="P680" s="2440">
        <f t="shared" si="1010"/>
        <v>0</v>
      </c>
      <c r="Q680" s="2441">
        <f>'BUS Deemed Savings Table'!L422</f>
        <v>9.7005999999999995E-2</v>
      </c>
      <c r="R680" s="2441">
        <v>0</v>
      </c>
      <c r="S680" s="2441"/>
      <c r="T680" s="2441"/>
      <c r="U680" s="1822">
        <f t="shared" si="979"/>
        <v>0</v>
      </c>
      <c r="V680" s="1822">
        <f t="shared" si="980"/>
        <v>0</v>
      </c>
      <c r="W680" s="1822">
        <f t="shared" si="981"/>
        <v>9.7005999999999995E-2</v>
      </c>
      <c r="X680" s="68">
        <f>'BUS Deemed Savings Table'!M422</f>
        <v>15</v>
      </c>
      <c r="Y680" s="68"/>
      <c r="Z680" s="68">
        <f t="shared" si="1011"/>
        <v>15</v>
      </c>
      <c r="AA680" s="62">
        <f>'BUS Deemed Savings Table'!DB422</f>
        <v>2.5329598047852757</v>
      </c>
      <c r="AB680" s="839">
        <f>'BUS Deemed Savings Table'!N422</f>
        <v>100</v>
      </c>
      <c r="AC680" s="2451">
        <f t="shared" si="875"/>
        <v>151.85004337398129</v>
      </c>
      <c r="AD680" s="2451">
        <f t="shared" si="876"/>
        <v>0</v>
      </c>
      <c r="AE680" s="1661">
        <f>'BUS Deemed Savings Table'!DD422</f>
        <v>151.85004337398129</v>
      </c>
      <c r="AF680" s="2453"/>
      <c r="AG680" s="2453"/>
      <c r="AH680" s="2453"/>
      <c r="AI680" s="3639" t="str">
        <f>'BUS Deemed Savings Table'!O422</f>
        <v>per ton</v>
      </c>
      <c r="AJ680" s="1930"/>
      <c r="AK680" s="1930"/>
      <c r="AL680" s="1930"/>
      <c r="AM680" s="1972">
        <f t="shared" si="1004"/>
        <v>9.1068400000000004E-4</v>
      </c>
      <c r="AN680" s="1803">
        <f t="shared" si="1006"/>
        <v>9.7006059680000006E-2</v>
      </c>
      <c r="AO680" s="1971">
        <f t="shared" si="1005"/>
        <v>5.9680000011330669E-8</v>
      </c>
    </row>
    <row r="681" spans="1:41" x14ac:dyDescent="0.25">
      <c r="A681" s="103" t="str">
        <f t="shared" si="977"/>
        <v>803800</v>
      </c>
      <c r="B681" s="684" t="str">
        <f>'BUS Deemed Savings Table'!C442</f>
        <v>803800_2019_12_</v>
      </c>
      <c r="C681" s="1962" t="str">
        <f>'BUS Deemed Savings Table'!G442</f>
        <v>Cooling BUS</v>
      </c>
      <c r="D681" s="1962"/>
      <c r="E681" s="1962"/>
      <c r="F681" s="1962"/>
      <c r="G681" s="1962" t="str">
        <f>'BUS Deemed Savings Table'!E442</f>
        <v>Air Cooled Chiller</v>
      </c>
      <c r="H681" s="63" t="str">
        <f>'BUS Deemed Savings Table'!D442</f>
        <v>C&amp;I</v>
      </c>
      <c r="I681" s="2438">
        <f t="shared" si="1007"/>
        <v>411</v>
      </c>
      <c r="J681" s="2438">
        <f t="shared" si="1008"/>
        <v>0</v>
      </c>
      <c r="K681" s="2439">
        <f>'BUS Deemed Savings Table'!F442</f>
        <v>411</v>
      </c>
      <c r="L681" s="2439"/>
      <c r="M681" s="2439"/>
      <c r="N681" s="2439"/>
      <c r="O681" s="2440">
        <f t="shared" si="1009"/>
        <v>0.37429099999999998</v>
      </c>
      <c r="P681" s="2440">
        <f t="shared" si="1010"/>
        <v>0</v>
      </c>
      <c r="Q681" s="2440">
        <f>'BUS Deemed Savings Table'!I442</f>
        <v>0.37429099999999998</v>
      </c>
      <c r="R681" s="2441">
        <v>0</v>
      </c>
      <c r="S681" s="2441"/>
      <c r="T681" s="2441"/>
      <c r="U681" s="1822">
        <f t="shared" si="979"/>
        <v>0</v>
      </c>
      <c r="V681" s="1822">
        <f t="shared" si="980"/>
        <v>0</v>
      </c>
      <c r="W681" s="1822">
        <f t="shared" si="981"/>
        <v>0.37429099999999998</v>
      </c>
      <c r="X681" s="68">
        <f>'BUS Deemed Savings Table'!J442</f>
        <v>20</v>
      </c>
      <c r="Y681" s="68"/>
      <c r="Z681" s="68">
        <f t="shared" si="1011"/>
        <v>20</v>
      </c>
      <c r="AA681" s="62">
        <f>'BUS Deemed Savings Table'!DB442</f>
        <v>7.3595302367685331</v>
      </c>
      <c r="AB681" s="839">
        <f>'BUS Deemed Savings Table'!K442</f>
        <v>106.23</v>
      </c>
      <c r="AC681" s="2451">
        <f t="shared" si="875"/>
        <v>737.89796795839663</v>
      </c>
      <c r="AD681" s="2451">
        <f t="shared" si="876"/>
        <v>0</v>
      </c>
      <c r="AE681" s="1661">
        <f>'BUS Deemed Savings Table'!DD442</f>
        <v>737.89796795839663</v>
      </c>
      <c r="AF681" s="2453"/>
      <c r="AG681" s="2453"/>
      <c r="AH681" s="2453"/>
      <c r="AI681" s="3638" t="str">
        <f>'BUS Deemed Savings Table'!L442</f>
        <v>per ton</v>
      </c>
      <c r="AJ681" s="1930"/>
      <c r="AK681" s="1930"/>
      <c r="AL681" s="1930"/>
      <c r="AM681" s="1972">
        <f t="shared" si="1004"/>
        <v>9.1068400000000004E-4</v>
      </c>
      <c r="AN681" s="1930">
        <f t="shared" ref="AN681:AN732" si="1012">AM681*I681</f>
        <v>0.37429112400000003</v>
      </c>
      <c r="AO681" s="1971">
        <f t="shared" si="1005"/>
        <v>1.2400000004575418E-7</v>
      </c>
    </row>
    <row r="682" spans="1:41" s="100" customFormat="1" x14ac:dyDescent="0.25">
      <c r="A682" s="103" t="str">
        <f t="shared" si="977"/>
        <v>803810</v>
      </c>
      <c r="B682" s="1960" t="str">
        <f>'BUS Deemed Savings Table'!C443</f>
        <v>803810_2021_12_</v>
      </c>
      <c r="C682" s="1958" t="str">
        <f>'BUS Deemed Savings Table'!G443</f>
        <v>Cooling BUS</v>
      </c>
      <c r="D682" s="1958"/>
      <c r="E682" s="1958"/>
      <c r="F682" s="1958"/>
      <c r="G682" s="1958" t="str">
        <f>'BUS Deemed Savings Table'!E443</f>
        <v>Water Cooled Chiller</v>
      </c>
      <c r="H682" s="1975" t="str">
        <f>'BUS Deemed Savings Table'!D443</f>
        <v>C&amp;I</v>
      </c>
      <c r="I682" s="1973">
        <f t="shared" ref="I682" si="1013">K682+L682</f>
        <v>122.15</v>
      </c>
      <c r="J682" s="1973">
        <f t="shared" ref="J682" si="1014">S682+T682</f>
        <v>0</v>
      </c>
      <c r="K682" s="1963">
        <f>'BUS Deemed Savings Table'!F443</f>
        <v>122.15</v>
      </c>
      <c r="L682" s="1963"/>
      <c r="M682" s="1963"/>
      <c r="N682" s="1963"/>
      <c r="O682" s="1974">
        <f t="shared" ref="O682" si="1015">Q682+R682</f>
        <v>0.11124000000000001</v>
      </c>
      <c r="P682" s="1974">
        <f t="shared" ref="P682" si="1016">S682+T682</f>
        <v>0</v>
      </c>
      <c r="Q682" s="1974">
        <f>'BUS Deemed Savings Table'!I443</f>
        <v>0.11124000000000001</v>
      </c>
      <c r="R682" s="1976">
        <v>0</v>
      </c>
      <c r="S682" s="1976"/>
      <c r="T682" s="1976"/>
      <c r="U682" s="1926">
        <f t="shared" ref="U682" si="1017">IF(V682+W682&gt;0,0,IF(Z682&gt;0,O682,0))</f>
        <v>0</v>
      </c>
      <c r="V682" s="1926">
        <f t="shared" ref="V682" si="1018">IF(W682&gt;0,0,IF(Z682&gt;9,O682,0))</f>
        <v>0</v>
      </c>
      <c r="W682" s="1926">
        <f t="shared" ref="W682" si="1019">IF(Z682&gt;14,O682,0)</f>
        <v>0.11124000000000001</v>
      </c>
      <c r="X682" s="1952">
        <f>'BUS Deemed Savings Table'!J443</f>
        <v>20</v>
      </c>
      <c r="Y682" s="1952"/>
      <c r="Z682" s="1952">
        <f t="shared" ref="Z682" si="1020">Y682+X682</f>
        <v>20</v>
      </c>
      <c r="AA682" s="1951">
        <f>'BUS Deemed Savings Table'!DB443</f>
        <v>2.1872667114872901</v>
      </c>
      <c r="AB682" s="2426">
        <f>'BUS Deemed Savings Table'!K443</f>
        <v>106.23</v>
      </c>
      <c r="AC682" s="1927">
        <f t="shared" ref="AC682" si="1021">AE682+AF682</f>
        <v>219.30471237498332</v>
      </c>
      <c r="AD682" s="1927">
        <f t="shared" ref="AD682" si="1022">AG682+AH682</f>
        <v>0</v>
      </c>
      <c r="AE682" s="2452">
        <f>'BUS Deemed Savings Table'!DD443</f>
        <v>219.30471237498332</v>
      </c>
      <c r="AF682" s="1982"/>
      <c r="AG682" s="1982"/>
      <c r="AH682" s="1982"/>
      <c r="AI682" s="1929" t="str">
        <f>'BUS Deemed Savings Table'!L443</f>
        <v>per ton</v>
      </c>
      <c r="AM682" s="2433">
        <f t="shared" ref="AM682" si="1023">VLOOKUP(C682,$AS$10:$AT$49,2,FALSE)</f>
        <v>9.1068400000000004E-4</v>
      </c>
      <c r="AN682" s="100">
        <f t="shared" ref="AN682" si="1024">AM682*I682</f>
        <v>0.11124005060000001</v>
      </c>
      <c r="AO682" s="2437">
        <f t="shared" ref="AO682" si="1025">AN682-O682</f>
        <v>5.0600000009448642E-8</v>
      </c>
    </row>
    <row r="683" spans="1:41" x14ac:dyDescent="0.25">
      <c r="A683" s="103" t="str">
        <f t="shared" si="977"/>
        <v>803850</v>
      </c>
      <c r="B683" s="684" t="str">
        <f>'BUS Deemed Savings Table'!C462</f>
        <v>803850_2019_12_</v>
      </c>
      <c r="C683" s="1962" t="str">
        <f>'BUS Deemed Savings Table'!G462</f>
        <v>Miscellaneous BUS</v>
      </c>
      <c r="D683" s="1962"/>
      <c r="E683" s="1962"/>
      <c r="F683" s="1962"/>
      <c r="G683" s="1962" t="str">
        <f>'BUS Deemed Savings Table'!E462</f>
        <v>Clothes Washer (Electric DHW; Electric Dryer)</v>
      </c>
      <c r="H683" s="63" t="str">
        <f>'BUS Deemed Savings Table'!D462</f>
        <v>C&amp;I</v>
      </c>
      <c r="I683" s="2438">
        <f>'BUS Deemed Savings Table'!F462</f>
        <v>907.62</v>
      </c>
      <c r="J683" s="2438"/>
      <c r="K683" s="2439"/>
      <c r="L683" s="2439"/>
      <c r="M683" s="2439"/>
      <c r="N683" s="2439"/>
      <c r="O683" s="2440">
        <f>'BUS Deemed Savings Table'!I462</f>
        <v>0.12520100000000001</v>
      </c>
      <c r="P683" s="2440"/>
      <c r="Q683" s="2441"/>
      <c r="R683" s="2441"/>
      <c r="S683" s="2441"/>
      <c r="T683" s="2441"/>
      <c r="U683" s="1822">
        <f t="shared" si="979"/>
        <v>0</v>
      </c>
      <c r="V683" s="1822">
        <f t="shared" si="980"/>
        <v>0.12520100000000001</v>
      </c>
      <c r="W683" s="1822">
        <f t="shared" si="981"/>
        <v>0</v>
      </c>
      <c r="X683" s="68">
        <f>'BUS Deemed Savings Table'!J462</f>
        <v>11</v>
      </c>
      <c r="Y683" s="68"/>
      <c r="Z683" s="68">
        <f t="shared" si="1011"/>
        <v>11</v>
      </c>
      <c r="AA683" s="62">
        <f>'BUS Deemed Savings Table'!DB462</f>
        <v>1.9297176618985081</v>
      </c>
      <c r="AB683" s="839">
        <f>'BUS Deemed Savings Table'!K462</f>
        <v>200</v>
      </c>
      <c r="AC683" s="2451">
        <f t="shared" si="875"/>
        <v>364.26949729089341</v>
      </c>
      <c r="AD683" s="2451">
        <f t="shared" si="876"/>
        <v>0</v>
      </c>
      <c r="AE683" s="1661">
        <f>'BUS Deemed Savings Table'!DD462</f>
        <v>364.26949729089341</v>
      </c>
      <c r="AF683" s="2453"/>
      <c r="AG683" s="2453"/>
      <c r="AH683" s="2453"/>
      <c r="AI683" s="3638" t="str">
        <f>'BUS Deemed Savings Table'!L462</f>
        <v>per measure</v>
      </c>
      <c r="AJ683" s="1930"/>
      <c r="AK683" s="1930"/>
      <c r="AL683" s="1930"/>
      <c r="AM683" s="1972">
        <f t="shared" si="1004"/>
        <v>1.379439E-4</v>
      </c>
      <c r="AN683" s="1930">
        <f t="shared" si="1012"/>
        <v>0.125200642518</v>
      </c>
      <c r="AO683" s="1971">
        <f t="shared" si="1005"/>
        <v>-3.5748200000185193E-7</v>
      </c>
    </row>
    <row r="684" spans="1:41" x14ac:dyDescent="0.25">
      <c r="A684" s="103" t="str">
        <f t="shared" si="977"/>
        <v>803900</v>
      </c>
      <c r="B684" s="684" t="str">
        <f>'BUS Deemed Savings Table'!C463</f>
        <v>803900_2019_12_</v>
      </c>
      <c r="C684" s="1962" t="str">
        <f>'BUS Deemed Savings Table'!G463</f>
        <v>Miscellaneous BUS</v>
      </c>
      <c r="D684" s="1962"/>
      <c r="E684" s="1962"/>
      <c r="F684" s="1962"/>
      <c r="G684" s="1962" t="str">
        <f>'BUS Deemed Savings Table'!E463</f>
        <v>Clothes Washer (Gas DHW; Electric Dryer)</v>
      </c>
      <c r="H684" s="63" t="str">
        <f>'BUS Deemed Savings Table'!D463</f>
        <v>C&amp;I</v>
      </c>
      <c r="I684" s="2438">
        <f>'BUS Deemed Savings Table'!F463</f>
        <v>308.41000000000003</v>
      </c>
      <c r="J684" s="2438"/>
      <c r="K684" s="2439"/>
      <c r="L684" s="2439"/>
      <c r="M684" s="2439"/>
      <c r="N684" s="2439"/>
      <c r="O684" s="2440">
        <f>'BUS Deemed Savings Table'!I463</f>
        <v>4.2542999999999997E-2</v>
      </c>
      <c r="P684" s="2440"/>
      <c r="Q684" s="2441"/>
      <c r="R684" s="2441"/>
      <c r="S684" s="2441"/>
      <c r="T684" s="2441"/>
      <c r="U684" s="1822">
        <f t="shared" si="979"/>
        <v>0</v>
      </c>
      <c r="V684" s="1822">
        <f t="shared" si="980"/>
        <v>4.2542999999999997E-2</v>
      </c>
      <c r="W684" s="1822">
        <f t="shared" si="981"/>
        <v>0</v>
      </c>
      <c r="X684" s="68">
        <f>'BUS Deemed Savings Table'!J463</f>
        <v>11</v>
      </c>
      <c r="Y684" s="68"/>
      <c r="Z684" s="68">
        <f t="shared" ref="Z684:Z692" si="1026">Y684+X684</f>
        <v>11</v>
      </c>
      <c r="AA684" s="62">
        <f>'BUS Deemed Savings Table'!DB463</f>
        <v>0.65571960083087522</v>
      </c>
      <c r="AB684" s="839">
        <f>'BUS Deemed Savings Table'!K463</f>
        <v>200</v>
      </c>
      <c r="AC684" s="2451">
        <f t="shared" si="875"/>
        <v>123.77906575382258</v>
      </c>
      <c r="AD684" s="2451">
        <f t="shared" si="876"/>
        <v>0</v>
      </c>
      <c r="AE684" s="1661">
        <f>'BUS Deemed Savings Table'!DD463</f>
        <v>123.77906575382258</v>
      </c>
      <c r="AF684" s="2453"/>
      <c r="AG684" s="2453"/>
      <c r="AH684" s="2453"/>
      <c r="AI684" s="3638" t="str">
        <f>'BUS Deemed Savings Table'!L463</f>
        <v>per measure</v>
      </c>
      <c r="AJ684" s="1930"/>
      <c r="AK684" s="1930"/>
      <c r="AL684" s="1930"/>
      <c r="AM684" s="1972">
        <f t="shared" si="1004"/>
        <v>1.379439E-4</v>
      </c>
      <c r="AN684" s="1930">
        <f t="shared" si="1012"/>
        <v>4.2543278199000001E-2</v>
      </c>
      <c r="AO684" s="1971">
        <f t="shared" si="1005"/>
        <v>2.7819900000336517E-7</v>
      </c>
    </row>
    <row r="685" spans="1:41" x14ac:dyDescent="0.25">
      <c r="A685" s="103" t="str">
        <f t="shared" si="977"/>
        <v>803950</v>
      </c>
      <c r="B685" s="684" t="str">
        <f>'BUS Deemed Savings Table'!C464</f>
        <v>803950_2019_12_</v>
      </c>
      <c r="C685" s="1962" t="str">
        <f>'BUS Deemed Savings Table'!G464</f>
        <v>Miscellaneous BUS</v>
      </c>
      <c r="D685" s="1962"/>
      <c r="E685" s="1962"/>
      <c r="F685" s="1962"/>
      <c r="G685" s="1962" t="str">
        <f>'BUS Deemed Savings Table'!E464</f>
        <v>Clothes Washer (Electric DHW; Gas Dryer)</v>
      </c>
      <c r="H685" s="63" t="str">
        <f>'BUS Deemed Savings Table'!D464</f>
        <v>C&amp;I</v>
      </c>
      <c r="I685" s="2438">
        <f>'BUS Deemed Savings Table'!F464</f>
        <v>750.78</v>
      </c>
      <c r="J685" s="2438"/>
      <c r="K685" s="2439"/>
      <c r="L685" s="2439"/>
      <c r="M685" s="2439"/>
      <c r="N685" s="2439"/>
      <c r="O685" s="2440">
        <f>'BUS Deemed Savings Table'!I464</f>
        <v>0.10356600000000001</v>
      </c>
      <c r="P685" s="2440"/>
      <c r="Q685" s="2441"/>
      <c r="R685" s="2441"/>
      <c r="S685" s="2441"/>
      <c r="T685" s="2441"/>
      <c r="U685" s="1822">
        <f t="shared" si="979"/>
        <v>0</v>
      </c>
      <c r="V685" s="1822">
        <f t="shared" si="980"/>
        <v>0.10356600000000001</v>
      </c>
      <c r="W685" s="1822">
        <f t="shared" si="981"/>
        <v>0</v>
      </c>
      <c r="X685" s="68">
        <f>'BUS Deemed Savings Table'!J464</f>
        <v>11</v>
      </c>
      <c r="Y685" s="68"/>
      <c r="Z685" s="68">
        <f t="shared" si="1026"/>
        <v>11</v>
      </c>
      <c r="AA685" s="62">
        <f>'BUS Deemed Savings Table'!DB464</f>
        <v>1.5962555102357394</v>
      </c>
      <c r="AB685" s="839">
        <f>'BUS Deemed Savings Table'!K464</f>
        <v>200</v>
      </c>
      <c r="AC685" s="2451">
        <f t="shared" si="875"/>
        <v>301.32241816625566</v>
      </c>
      <c r="AD685" s="2451">
        <f t="shared" si="876"/>
        <v>0</v>
      </c>
      <c r="AE685" s="1661">
        <f>'BUS Deemed Savings Table'!DD464</f>
        <v>301.32241816625566</v>
      </c>
      <c r="AF685" s="2453"/>
      <c r="AG685" s="2453"/>
      <c r="AH685" s="2453"/>
      <c r="AI685" s="3638" t="str">
        <f>'BUS Deemed Savings Table'!L464</f>
        <v>per measure</v>
      </c>
      <c r="AJ685" s="1930"/>
      <c r="AK685" s="1930"/>
      <c r="AL685" s="1930"/>
      <c r="AM685" s="1972">
        <f t="shared" si="1004"/>
        <v>1.379439E-4</v>
      </c>
      <c r="AN685" s="1930">
        <f t="shared" si="1012"/>
        <v>0.103565521242</v>
      </c>
      <c r="AO685" s="1971">
        <f t="shared" si="1005"/>
        <v>-4.7875800000818369E-7</v>
      </c>
    </row>
    <row r="686" spans="1:41" x14ac:dyDescent="0.25">
      <c r="A686" s="103" t="str">
        <f t="shared" si="977"/>
        <v>804000</v>
      </c>
      <c r="B686" s="684" t="str">
        <f>'BUS Deemed Savings Table'!C465</f>
        <v>804000_2019_12_</v>
      </c>
      <c r="C686" s="1962" t="str">
        <f>'BUS Deemed Savings Table'!G465</f>
        <v>Miscellaneous BUS</v>
      </c>
      <c r="D686" s="1962"/>
      <c r="E686" s="1962"/>
      <c r="F686" s="1962"/>
      <c r="G686" s="1962" t="str">
        <f>'BUS Deemed Savings Table'!E465</f>
        <v>Clothes Washer (Gas DHW; Gas Dryer)</v>
      </c>
      <c r="H686" s="63" t="str">
        <f>'BUS Deemed Savings Table'!D465</f>
        <v>C&amp;I</v>
      </c>
      <c r="I686" s="2438">
        <f>'BUS Deemed Savings Table'!F465</f>
        <v>151.57</v>
      </c>
      <c r="J686" s="2438"/>
      <c r="K686" s="2439"/>
      <c r="L686" s="2439"/>
      <c r="M686" s="2439"/>
      <c r="N686" s="2439"/>
      <c r="O686" s="2440">
        <f>'BUS Deemed Savings Table'!I465</f>
        <v>2.0908E-2</v>
      </c>
      <c r="P686" s="2440"/>
      <c r="Q686" s="2441"/>
      <c r="R686" s="2441"/>
      <c r="S686" s="2441"/>
      <c r="T686" s="2441"/>
      <c r="U686" s="1822">
        <f t="shared" si="979"/>
        <v>0</v>
      </c>
      <c r="V686" s="1822">
        <f t="shared" si="980"/>
        <v>2.0908E-2</v>
      </c>
      <c r="W686" s="1822">
        <f t="shared" si="981"/>
        <v>0</v>
      </c>
      <c r="X686" s="68">
        <f>'BUS Deemed Savings Table'!J465</f>
        <v>11</v>
      </c>
      <c r="Y686" s="68"/>
      <c r="Z686" s="68">
        <f t="shared" si="1026"/>
        <v>11</v>
      </c>
      <c r="AA686" s="62">
        <f>'BUS Deemed Savings Table'!DB465</f>
        <v>0.32225744916810656</v>
      </c>
      <c r="AB686" s="839">
        <f>'BUS Deemed Savings Table'!K465</f>
        <v>200</v>
      </c>
      <c r="AC686" s="2451">
        <f t="shared" ref="AC686:AC728" si="1027">AE686+AF686</f>
        <v>60.831986629184811</v>
      </c>
      <c r="AD686" s="2451">
        <f t="shared" ref="AD686:AD728" si="1028">AG686+AH686</f>
        <v>0</v>
      </c>
      <c r="AE686" s="1661">
        <f>'BUS Deemed Savings Table'!DD465</f>
        <v>60.831986629184811</v>
      </c>
      <c r="AF686" s="2453"/>
      <c r="AG686" s="2453"/>
      <c r="AH686" s="2453"/>
      <c r="AI686" s="3638" t="str">
        <f>'BUS Deemed Savings Table'!L465</f>
        <v>per measure</v>
      </c>
      <c r="AJ686" s="1930"/>
      <c r="AK686" s="1930"/>
      <c r="AL686" s="1930"/>
      <c r="AM686" s="1972">
        <f t="shared" si="1004"/>
        <v>1.379439E-4</v>
      </c>
      <c r="AN686" s="1930">
        <f t="shared" si="1012"/>
        <v>2.0908156923E-2</v>
      </c>
      <c r="AO686" s="1971">
        <f t="shared" si="1005"/>
        <v>1.5692300000050285E-7</v>
      </c>
    </row>
    <row r="687" spans="1:41" x14ac:dyDescent="0.25">
      <c r="A687" s="103" t="str">
        <f t="shared" si="977"/>
        <v>804050</v>
      </c>
      <c r="B687" s="684" t="str">
        <f>'BUS Deemed Savings Table'!C482</f>
        <v>804050_2019_12_</v>
      </c>
      <c r="C687" s="1962" t="str">
        <f>'BUS Deemed Savings Table'!G482</f>
        <v>Miscellaneous BUS</v>
      </c>
      <c r="D687" s="1962"/>
      <c r="E687" s="1962"/>
      <c r="F687" s="1962"/>
      <c r="G687" s="1962" t="str">
        <f>'BUS Deemed Savings Table'!E482</f>
        <v>Clothes Dryer Vented Electric, Standard (≥ 4.4 ft3)</v>
      </c>
      <c r="H687" s="63" t="str">
        <f>'BUS Deemed Savings Table'!D482</f>
        <v>C&amp;I</v>
      </c>
      <c r="I687" s="2438">
        <f>'BUS Deemed Savings Table'!F482</f>
        <v>840.73</v>
      </c>
      <c r="J687" s="2438"/>
      <c r="K687" s="2439"/>
      <c r="L687" s="2439"/>
      <c r="M687" s="2439"/>
      <c r="N687" s="2439"/>
      <c r="O687" s="2440">
        <f>'BUS Deemed Savings Table'!I482</f>
        <v>0.11597399999999999</v>
      </c>
      <c r="P687" s="2440"/>
      <c r="Q687" s="2441"/>
      <c r="R687" s="2441"/>
      <c r="S687" s="2441"/>
      <c r="T687" s="2441"/>
      <c r="U687" s="1822">
        <f t="shared" si="979"/>
        <v>0</v>
      </c>
      <c r="V687" s="1822">
        <f t="shared" si="980"/>
        <v>0.11597399999999999</v>
      </c>
      <c r="W687" s="1822">
        <f t="shared" si="981"/>
        <v>0</v>
      </c>
      <c r="X687" s="68">
        <f>'BUS Deemed Savings Table'!J482</f>
        <v>14</v>
      </c>
      <c r="Y687" s="68"/>
      <c r="Z687" s="68">
        <f t="shared" si="1026"/>
        <v>14</v>
      </c>
      <c r="AA687" s="62">
        <f>'BUS Deemed Savings Table'!DB482</f>
        <v>5.9917958609290851</v>
      </c>
      <c r="AB687" s="839">
        <f>'BUS Deemed Savings Table'!K482</f>
        <v>75</v>
      </c>
      <c r="AC687" s="2451">
        <f t="shared" si="1027"/>
        <v>424.14789010824103</v>
      </c>
      <c r="AD687" s="2451">
        <f t="shared" si="1028"/>
        <v>0</v>
      </c>
      <c r="AE687" s="1661">
        <f>'BUS Deemed Savings Table'!DD482</f>
        <v>424.14789010824103</v>
      </c>
      <c r="AF687" s="2453"/>
      <c r="AG687" s="2453"/>
      <c r="AH687" s="2453"/>
      <c r="AI687" s="3638" t="str">
        <f>'BUS Deemed Savings Table'!L482</f>
        <v>per measure</v>
      </c>
      <c r="AJ687" s="1930"/>
      <c r="AK687" s="1930"/>
      <c r="AL687" s="1930"/>
      <c r="AM687" s="1972">
        <f t="shared" si="1004"/>
        <v>1.379439E-4</v>
      </c>
      <c r="AN687" s="1930">
        <f t="shared" si="1012"/>
        <v>0.115973575047</v>
      </c>
      <c r="AO687" s="1971">
        <f t="shared" si="1005"/>
        <v>-4.2495299999723013E-7</v>
      </c>
    </row>
    <row r="688" spans="1:41" x14ac:dyDescent="0.25">
      <c r="A688" s="103" t="str">
        <f t="shared" si="977"/>
        <v>804100</v>
      </c>
      <c r="B688" s="684" t="str">
        <f>'BUS Deemed Savings Table'!C483</f>
        <v>804100_2019_12_</v>
      </c>
      <c r="C688" s="1962" t="str">
        <f>'BUS Deemed Savings Table'!G483</f>
        <v>Miscellaneous BUS</v>
      </c>
      <c r="D688" s="1962"/>
      <c r="E688" s="1962"/>
      <c r="F688" s="1962"/>
      <c r="G688" s="1962" t="str">
        <f>'BUS Deemed Savings Table'!E483</f>
        <v>Clothes Dryer Vented Electric, Compact (120V) (&lt; 4.4 ft3)</v>
      </c>
      <c r="H688" s="63" t="str">
        <f>'BUS Deemed Savings Table'!D483</f>
        <v>C&amp;I</v>
      </c>
      <c r="I688" s="2438">
        <f>'BUS Deemed Savings Table'!F483</f>
        <v>307.27999999999997</v>
      </c>
      <c r="J688" s="2438"/>
      <c r="K688" s="2439"/>
      <c r="L688" s="2439"/>
      <c r="M688" s="2439"/>
      <c r="N688" s="2439"/>
      <c r="O688" s="2440">
        <f>'BUS Deemed Savings Table'!I483</f>
        <v>4.2387000000000001E-2</v>
      </c>
      <c r="P688" s="2440"/>
      <c r="Q688" s="2441"/>
      <c r="R688" s="2441"/>
      <c r="S688" s="2441"/>
      <c r="T688" s="2441"/>
      <c r="U688" s="1822">
        <f t="shared" si="979"/>
        <v>0</v>
      </c>
      <c r="V688" s="1822">
        <f t="shared" si="980"/>
        <v>4.2387000000000001E-2</v>
      </c>
      <c r="W688" s="1822">
        <f t="shared" si="981"/>
        <v>0</v>
      </c>
      <c r="X688" s="68">
        <f>'BUS Deemed Savings Table'!J483</f>
        <v>14</v>
      </c>
      <c r="Y688" s="68"/>
      <c r="Z688" s="68">
        <f t="shared" si="1026"/>
        <v>14</v>
      </c>
      <c r="AA688" s="62">
        <f>'BUS Deemed Savings Table'!DB483</f>
        <v>1.564252012406131</v>
      </c>
      <c r="AB688" s="839">
        <f>'BUS Deemed Savings Table'!K483</f>
        <v>105</v>
      </c>
      <c r="AC688" s="2451">
        <f t="shared" si="1027"/>
        <v>155.02261567026309</v>
      </c>
      <c r="AD688" s="2451">
        <f t="shared" si="1028"/>
        <v>0</v>
      </c>
      <c r="AE688" s="1661">
        <f>'BUS Deemed Savings Table'!DD483</f>
        <v>155.02261567026309</v>
      </c>
      <c r="AF688" s="2453"/>
      <c r="AG688" s="2453"/>
      <c r="AH688" s="2453"/>
      <c r="AI688" s="3638" t="str">
        <f>'BUS Deemed Savings Table'!L483</f>
        <v>per measure</v>
      </c>
      <c r="AJ688" s="1930"/>
      <c r="AK688" s="1930"/>
      <c r="AL688" s="1930"/>
      <c r="AM688" s="1972">
        <f t="shared" si="1004"/>
        <v>1.379439E-4</v>
      </c>
      <c r="AN688" s="1930">
        <f t="shared" si="1012"/>
        <v>4.2387401591999996E-2</v>
      </c>
      <c r="AO688" s="1971">
        <f t="shared" si="1005"/>
        <v>4.0159199999473261E-7</v>
      </c>
    </row>
    <row r="689" spans="1:41" x14ac:dyDescent="0.25">
      <c r="A689" s="103" t="str">
        <f t="shared" si="977"/>
        <v>804150</v>
      </c>
      <c r="B689" s="684" t="str">
        <f>'BUS Deemed Savings Table'!C484</f>
        <v>804150_2019_12_</v>
      </c>
      <c r="C689" s="1962" t="str">
        <f>'BUS Deemed Savings Table'!G484</f>
        <v>Miscellaneous BUS</v>
      </c>
      <c r="D689" s="1962"/>
      <c r="E689" s="1962"/>
      <c r="F689" s="1962"/>
      <c r="G689" s="1962" t="str">
        <f>'BUS Deemed Savings Table'!E484</f>
        <v>Clothes Dryer Vented Electric, Compact (240V) (&lt;4.4 ft3)</v>
      </c>
      <c r="H689" s="63" t="str">
        <f>'BUS Deemed Savings Table'!D484</f>
        <v>C&amp;I</v>
      </c>
      <c r="I689" s="2438">
        <f>'BUS Deemed Savings Table'!F484</f>
        <v>340.11</v>
      </c>
      <c r="J689" s="2438"/>
      <c r="K689" s="2439"/>
      <c r="L689" s="2439"/>
      <c r="M689" s="2439"/>
      <c r="N689" s="2439"/>
      <c r="O689" s="2440">
        <f>'BUS Deemed Savings Table'!I484</f>
        <v>4.6915999999999999E-2</v>
      </c>
      <c r="P689" s="2440"/>
      <c r="Q689" s="2441"/>
      <c r="R689" s="2441"/>
      <c r="S689" s="2441"/>
      <c r="T689" s="2441"/>
      <c r="U689" s="1822">
        <f t="shared" si="979"/>
        <v>0</v>
      </c>
      <c r="V689" s="1822">
        <f t="shared" si="980"/>
        <v>4.6915999999999999E-2</v>
      </c>
      <c r="W689" s="1822">
        <f t="shared" si="981"/>
        <v>0</v>
      </c>
      <c r="X689" s="68">
        <f>'BUS Deemed Savings Table'!J484</f>
        <v>14</v>
      </c>
      <c r="Y689" s="68"/>
      <c r="Z689" s="68">
        <f t="shared" si="1026"/>
        <v>14</v>
      </c>
      <c r="AA689" s="62">
        <f>'BUS Deemed Savings Table'!DB484</f>
        <v>1.7313777399747763</v>
      </c>
      <c r="AB689" s="839">
        <f>'BUS Deemed Savings Table'!K484</f>
        <v>105</v>
      </c>
      <c r="AC689" s="2451">
        <f t="shared" si="1027"/>
        <v>171.58533524997782</v>
      </c>
      <c r="AD689" s="2451">
        <f t="shared" si="1028"/>
        <v>0</v>
      </c>
      <c r="AE689" s="1661">
        <f>'BUS Deemed Savings Table'!DD484</f>
        <v>171.58533524997782</v>
      </c>
      <c r="AF689" s="2453"/>
      <c r="AG689" s="2453"/>
      <c r="AH689" s="2453"/>
      <c r="AI689" s="3638" t="str">
        <f>'BUS Deemed Savings Table'!L484</f>
        <v>per measure</v>
      </c>
      <c r="AJ689" s="1930"/>
      <c r="AK689" s="1930"/>
      <c r="AL689" s="1930"/>
      <c r="AM689" s="1972">
        <f t="shared" si="1004"/>
        <v>1.379439E-4</v>
      </c>
      <c r="AN689" s="1930">
        <f t="shared" si="1012"/>
        <v>4.6916099829000003E-2</v>
      </c>
      <c r="AO689" s="1971">
        <f t="shared" si="1005"/>
        <v>9.982900000399253E-8</v>
      </c>
    </row>
    <row r="690" spans="1:41" x14ac:dyDescent="0.25">
      <c r="A690" s="103" t="str">
        <f t="shared" si="977"/>
        <v>804200</v>
      </c>
      <c r="B690" s="684" t="str">
        <f>'BUS Deemed Savings Table'!C485</f>
        <v>804200_2019_12_</v>
      </c>
      <c r="C690" s="1962" t="str">
        <f>'BUS Deemed Savings Table'!G485</f>
        <v>Miscellaneous BUS</v>
      </c>
      <c r="D690" s="1962"/>
      <c r="E690" s="1962"/>
      <c r="F690" s="1962"/>
      <c r="G690" s="1962" t="str">
        <f>'BUS Deemed Savings Table'!E485</f>
        <v>Clothes Dryer Ventless Electric, Compact (240V) (&lt;4.4 ft3)</v>
      </c>
      <c r="H690" s="63" t="str">
        <f>'BUS Deemed Savings Table'!D485</f>
        <v>C&amp;I</v>
      </c>
      <c r="I690" s="2438">
        <f>'BUS Deemed Savings Table'!F485</f>
        <v>428.66</v>
      </c>
      <c r="J690" s="2438"/>
      <c r="K690" s="2439"/>
      <c r="L690" s="2439"/>
      <c r="M690" s="2439"/>
      <c r="N690" s="2439"/>
      <c r="O690" s="2440">
        <f>'BUS Deemed Savings Table'!I485</f>
        <v>5.9131000000000003E-2</v>
      </c>
      <c r="P690" s="2440"/>
      <c r="Q690" s="2441"/>
      <c r="R690" s="2441"/>
      <c r="S690" s="2441"/>
      <c r="T690" s="2441"/>
      <c r="U690" s="1822">
        <f t="shared" si="979"/>
        <v>0</v>
      </c>
      <c r="V690" s="1822">
        <f t="shared" si="980"/>
        <v>5.9131000000000003E-2</v>
      </c>
      <c r="W690" s="1822">
        <f t="shared" si="981"/>
        <v>0</v>
      </c>
      <c r="X690" s="68">
        <f>'BUS Deemed Savings Table'!J485</f>
        <v>14</v>
      </c>
      <c r="Y690" s="68"/>
      <c r="Z690" s="68">
        <f t="shared" si="1026"/>
        <v>14</v>
      </c>
      <c r="AA690" s="62">
        <f>'BUS Deemed Savings Table'!DB485</f>
        <v>2.1821539561247469</v>
      </c>
      <c r="AB690" s="839">
        <f>'BUS Deemed Savings Table'!K485</f>
        <v>105</v>
      </c>
      <c r="AC690" s="2451">
        <f t="shared" si="1027"/>
        <v>216.25876865795036</v>
      </c>
      <c r="AD690" s="2451">
        <f t="shared" si="1028"/>
        <v>0</v>
      </c>
      <c r="AE690" s="1661">
        <f>'BUS Deemed Savings Table'!DD485</f>
        <v>216.25876865795036</v>
      </c>
      <c r="AF690" s="2453"/>
      <c r="AG690" s="2453"/>
      <c r="AH690" s="2453"/>
      <c r="AI690" s="3638" t="str">
        <f>'BUS Deemed Savings Table'!L485</f>
        <v>per measure</v>
      </c>
      <c r="AJ690" s="1930"/>
      <c r="AK690" s="1930"/>
      <c r="AL690" s="1930"/>
      <c r="AM690" s="1972">
        <f t="shared" si="1004"/>
        <v>1.379439E-4</v>
      </c>
      <c r="AN690" s="1930">
        <f t="shared" si="1012"/>
        <v>5.9131032174000002E-2</v>
      </c>
      <c r="AO690" s="1971">
        <f t="shared" si="1005"/>
        <v>3.2173999998941216E-8</v>
      </c>
    </row>
    <row r="691" spans="1:41" x14ac:dyDescent="0.25">
      <c r="A691" s="103" t="str">
        <f t="shared" si="977"/>
        <v>804250</v>
      </c>
      <c r="B691" s="684" t="str">
        <f>'BUS Deemed Savings Table'!C486</f>
        <v>804250_2019_12_</v>
      </c>
      <c r="C691" s="1962" t="str">
        <f>'BUS Deemed Savings Table'!G486</f>
        <v>Miscellaneous BUS</v>
      </c>
      <c r="D691" s="1962"/>
      <c r="E691" s="1962"/>
      <c r="F691" s="1962"/>
      <c r="G691" s="1962" t="str">
        <f>'BUS Deemed Savings Table'!E486</f>
        <v>Clothes Dryer Vented Gas</v>
      </c>
      <c r="H691" s="63" t="str">
        <f>'BUS Deemed Savings Table'!D486</f>
        <v>C&amp;I</v>
      </c>
      <c r="I691" s="2438">
        <f>'BUS Deemed Savings Table'!F486</f>
        <v>40.57</v>
      </c>
      <c r="J691" s="2438"/>
      <c r="K691" s="2439"/>
      <c r="L691" s="2439"/>
      <c r="M691" s="2439"/>
      <c r="N691" s="2439"/>
      <c r="O691" s="2440">
        <f>'BUS Deemed Savings Table'!I486</f>
        <v>5.5960000000000003E-3</v>
      </c>
      <c r="P691" s="2440"/>
      <c r="Q691" s="2441"/>
      <c r="R691" s="2441"/>
      <c r="S691" s="2441"/>
      <c r="T691" s="2441"/>
      <c r="U691" s="1822">
        <f t="shared" si="979"/>
        <v>0</v>
      </c>
      <c r="V691" s="1822">
        <f t="shared" si="980"/>
        <v>5.5960000000000003E-3</v>
      </c>
      <c r="W691" s="1822">
        <f t="shared" si="981"/>
        <v>0</v>
      </c>
      <c r="X691" s="68">
        <f>'BUS Deemed Savings Table'!J486</f>
        <v>14</v>
      </c>
      <c r="Y691" s="68"/>
      <c r="Z691" s="68">
        <f t="shared" si="1026"/>
        <v>14</v>
      </c>
      <c r="AA691" s="62">
        <f>'BUS Deemed Savings Table'!DB486</f>
        <v>0.28913819903880317</v>
      </c>
      <c r="AB691" s="839">
        <f>'BUS Deemed Savings Table'!K486</f>
        <v>75</v>
      </c>
      <c r="AC691" s="2451">
        <f t="shared" si="1027"/>
        <v>20.467545944228632</v>
      </c>
      <c r="AD691" s="2451">
        <f t="shared" si="1028"/>
        <v>0</v>
      </c>
      <c r="AE691" s="1661">
        <f>'BUS Deemed Savings Table'!DD486</f>
        <v>20.467545944228632</v>
      </c>
      <c r="AF691" s="2453"/>
      <c r="AG691" s="2453"/>
      <c r="AH691" s="2453"/>
      <c r="AI691" s="3638" t="str">
        <f>'BUS Deemed Savings Table'!L486</f>
        <v>per measure</v>
      </c>
      <c r="AJ691" s="1930"/>
      <c r="AK691" s="1930"/>
      <c r="AL691" s="1930"/>
      <c r="AM691" s="1972">
        <f t="shared" si="1004"/>
        <v>1.379439E-4</v>
      </c>
      <c r="AN691" s="1930">
        <f t="shared" si="1012"/>
        <v>5.5963840229999997E-3</v>
      </c>
      <c r="AO691" s="1971">
        <f t="shared" si="1005"/>
        <v>3.8402299999944906E-7</v>
      </c>
    </row>
    <row r="692" spans="1:41" x14ac:dyDescent="0.25">
      <c r="A692" s="103" t="str">
        <f t="shared" si="977"/>
        <v>804300</v>
      </c>
      <c r="B692" s="684" t="str">
        <f>'BUS Deemed Savings Table'!C506</f>
        <v>804300_2019_12_</v>
      </c>
      <c r="C692" s="1962" t="str">
        <f>'BUS Deemed Savings Table'!G506</f>
        <v>Air Comp BUS</v>
      </c>
      <c r="D692" s="1962"/>
      <c r="E692" s="1962"/>
      <c r="F692" s="1962"/>
      <c r="G692" s="1962" t="str">
        <f>'BUS Deemed Savings Table'!E506</f>
        <v>No Loss Condensate Drain (Reciprocating - On/off Control)</v>
      </c>
      <c r="H692" s="63" t="str">
        <f>'BUS Deemed Savings Table'!D506</f>
        <v>C&amp;I</v>
      </c>
      <c r="I692" s="2438">
        <f>'BUS Deemed Savings Table'!F506</f>
        <v>3272.26</v>
      </c>
      <c r="J692" s="2438"/>
      <c r="K692" s="2439"/>
      <c r="L692" s="2439"/>
      <c r="M692" s="2439"/>
      <c r="N692" s="2439"/>
      <c r="O692" s="2440">
        <f>'BUS Deemed Savings Table'!I506</f>
        <v>0.45138800000000001</v>
      </c>
      <c r="P692" s="2440"/>
      <c r="Q692" s="2441"/>
      <c r="R692" s="2441"/>
      <c r="S692" s="2441"/>
      <c r="T692" s="2441"/>
      <c r="U692" s="1822">
        <f t="shared" si="979"/>
        <v>0</v>
      </c>
      <c r="V692" s="1822">
        <f t="shared" si="980"/>
        <v>0.45138800000000001</v>
      </c>
      <c r="W692" s="1822">
        <f t="shared" si="981"/>
        <v>0</v>
      </c>
      <c r="X692" s="68">
        <f>'BUS Deemed Savings Table'!J506</f>
        <v>13</v>
      </c>
      <c r="Y692" s="68"/>
      <c r="Z692" s="68">
        <f t="shared" si="1026"/>
        <v>13</v>
      </c>
      <c r="AA692" s="62">
        <f>'BUS Deemed Savings Table'!DB506</f>
        <v>2.3362622986271173</v>
      </c>
      <c r="AB692" s="839">
        <f>'BUS Deemed Savings Table'!K506</f>
        <v>700</v>
      </c>
      <c r="AC692" s="2451">
        <f t="shared" si="1027"/>
        <v>1543.5428117404265</v>
      </c>
      <c r="AD692" s="2451">
        <f t="shared" si="1028"/>
        <v>0</v>
      </c>
      <c r="AE692" s="1661">
        <f>'BUS Deemed Savings Table'!DD506</f>
        <v>1543.5428117404265</v>
      </c>
      <c r="AF692" s="2453"/>
      <c r="AG692" s="2453"/>
      <c r="AH692" s="2453"/>
      <c r="AI692" s="3638" t="str">
        <f>'BUS Deemed Savings Table'!L506</f>
        <v>per measure</v>
      </c>
      <c r="AJ692" s="1930"/>
      <c r="AK692" s="1930"/>
      <c r="AL692" s="1930"/>
      <c r="AM692" s="1972">
        <f t="shared" si="1004"/>
        <v>1.379439E-4</v>
      </c>
      <c r="AN692" s="1930">
        <f t="shared" si="1012"/>
        <v>0.451388306214</v>
      </c>
      <c r="AO692" s="1971">
        <f t="shared" si="1005"/>
        <v>3.0621399998986831E-7</v>
      </c>
    </row>
    <row r="693" spans="1:41" x14ac:dyDescent="0.25">
      <c r="A693" s="103" t="str">
        <f t="shared" si="977"/>
        <v>804350</v>
      </c>
      <c r="B693" s="684" t="str">
        <f>'BUS Deemed Savings Table'!C507</f>
        <v>804350_2019_12_</v>
      </c>
      <c r="C693" s="1962" t="str">
        <f>'BUS Deemed Savings Table'!G507</f>
        <v>Air Comp BUS</v>
      </c>
      <c r="D693" s="1962"/>
      <c r="E693" s="1962"/>
      <c r="F693" s="1962"/>
      <c r="G693" s="1962" t="str">
        <f>'BUS Deemed Savings Table'!E507</f>
        <v>No Loss Condensate Drain (Reciprocating - Load/Unload)</v>
      </c>
      <c r="H693" s="63" t="str">
        <f>'BUS Deemed Savings Table'!D507</f>
        <v>C&amp;I</v>
      </c>
      <c r="I693" s="2438">
        <f>'BUS Deemed Savings Table'!F507</f>
        <v>2418.62</v>
      </c>
      <c r="J693" s="2438"/>
      <c r="K693" s="2439"/>
      <c r="L693" s="2439"/>
      <c r="M693" s="2439"/>
      <c r="N693" s="2439"/>
      <c r="O693" s="2440">
        <f>'BUS Deemed Savings Table'!I507</f>
        <v>0.33363399999999999</v>
      </c>
      <c r="P693" s="2440"/>
      <c r="Q693" s="2441"/>
      <c r="R693" s="2441"/>
      <c r="S693" s="2441"/>
      <c r="T693" s="2441"/>
      <c r="U693" s="1822">
        <f t="shared" si="979"/>
        <v>0</v>
      </c>
      <c r="V693" s="1822">
        <f t="shared" si="980"/>
        <v>0.33363399999999999</v>
      </c>
      <c r="W693" s="1822">
        <f t="shared" si="981"/>
        <v>0</v>
      </c>
      <c r="X693" s="68">
        <f>'BUS Deemed Savings Table'!J507</f>
        <v>13</v>
      </c>
      <c r="Y693" s="68"/>
      <c r="Z693" s="68">
        <f t="shared" ref="Z693:Z699" si="1029">Y693+X693</f>
        <v>13</v>
      </c>
      <c r="AA693" s="62">
        <f>'BUS Deemed Savings Table'!DB507</f>
        <v>1.7267976018731757</v>
      </c>
      <c r="AB693" s="839">
        <f>'BUS Deemed Savings Table'!K507</f>
        <v>700</v>
      </c>
      <c r="AC693" s="2451">
        <f t="shared" si="1027"/>
        <v>1140.8761881181904</v>
      </c>
      <c r="AD693" s="2451">
        <f t="shared" si="1028"/>
        <v>0</v>
      </c>
      <c r="AE693" s="1661">
        <f>'BUS Deemed Savings Table'!DD507</f>
        <v>1140.8761881181904</v>
      </c>
      <c r="AF693" s="2453"/>
      <c r="AG693" s="2453"/>
      <c r="AH693" s="2453"/>
      <c r="AI693" s="3638" t="str">
        <f>'BUS Deemed Savings Table'!L507</f>
        <v>per measure</v>
      </c>
      <c r="AJ693" s="1930"/>
      <c r="AK693" s="1930"/>
      <c r="AL693" s="1930"/>
      <c r="AM693" s="1972">
        <f t="shared" si="1004"/>
        <v>1.379439E-4</v>
      </c>
      <c r="AN693" s="1930">
        <f t="shared" si="1012"/>
        <v>0.33363387541799999</v>
      </c>
      <c r="AO693" s="1971">
        <f t="shared" si="1005"/>
        <v>-1.24581999993989E-7</v>
      </c>
    </row>
    <row r="694" spans="1:41" x14ac:dyDescent="0.25">
      <c r="A694" s="103" t="str">
        <f t="shared" si="977"/>
        <v>804400</v>
      </c>
      <c r="B694" s="684" t="str">
        <f>'BUS Deemed Savings Table'!C508</f>
        <v>804400_2019_12_</v>
      </c>
      <c r="C694" s="1962" t="str">
        <f>'BUS Deemed Savings Table'!G508</f>
        <v>Air Comp BUS</v>
      </c>
      <c r="D694" s="1962"/>
      <c r="E694" s="1962"/>
      <c r="F694" s="1962"/>
      <c r="G694" s="1962" t="str">
        <f>'BUS Deemed Savings Table'!E508</f>
        <v>No Loss Condensate Drain (Screw - Load/Unload)</v>
      </c>
      <c r="H694" s="63" t="str">
        <f>'BUS Deemed Savings Table'!D508</f>
        <v>C&amp;I</v>
      </c>
      <c r="I694" s="2438">
        <f>'BUS Deemed Savings Table'!F508</f>
        <v>2703.17</v>
      </c>
      <c r="J694" s="2438"/>
      <c r="K694" s="2439"/>
      <c r="L694" s="2439"/>
      <c r="M694" s="2439"/>
      <c r="N694" s="2439"/>
      <c r="O694" s="2440">
        <f>'BUS Deemed Savings Table'!I508</f>
        <v>0.372886</v>
      </c>
      <c r="P694" s="2440"/>
      <c r="Q694" s="2441"/>
      <c r="R694" s="2441"/>
      <c r="S694" s="2441"/>
      <c r="T694" s="2441"/>
      <c r="U694" s="1822">
        <f t="shared" si="979"/>
        <v>0</v>
      </c>
      <c r="V694" s="1822">
        <f t="shared" si="980"/>
        <v>0.372886</v>
      </c>
      <c r="W694" s="1822">
        <f t="shared" si="981"/>
        <v>0</v>
      </c>
      <c r="X694" s="68">
        <f>'BUS Deemed Savings Table'!J508</f>
        <v>13</v>
      </c>
      <c r="Y694" s="68"/>
      <c r="Z694" s="68">
        <f t="shared" si="1029"/>
        <v>13</v>
      </c>
      <c r="AA694" s="62">
        <f>'BUS Deemed Savings Table'!DB508</f>
        <v>1.9299548806573634</v>
      </c>
      <c r="AB694" s="839">
        <f>'BUS Deemed Savings Table'!K508</f>
        <v>700</v>
      </c>
      <c r="AC694" s="2451">
        <f t="shared" si="1027"/>
        <v>1275.0999683437037</v>
      </c>
      <c r="AD694" s="2451">
        <f t="shared" si="1028"/>
        <v>0</v>
      </c>
      <c r="AE694" s="1661">
        <f>'BUS Deemed Savings Table'!DD508</f>
        <v>1275.0999683437037</v>
      </c>
      <c r="AF694" s="2453"/>
      <c r="AG694" s="2453"/>
      <c r="AH694" s="2453"/>
      <c r="AI694" s="3638" t="str">
        <f>'BUS Deemed Savings Table'!L508</f>
        <v>per measure</v>
      </c>
      <c r="AJ694" s="1930"/>
      <c r="AK694" s="1930"/>
      <c r="AL694" s="1930"/>
      <c r="AM694" s="1972">
        <f t="shared" si="1004"/>
        <v>1.379439E-4</v>
      </c>
      <c r="AN694" s="1930">
        <f t="shared" si="1012"/>
        <v>0.37288581216299999</v>
      </c>
      <c r="AO694" s="1971">
        <f t="shared" si="1005"/>
        <v>-1.8783700000968295E-7</v>
      </c>
    </row>
    <row r="695" spans="1:41" x14ac:dyDescent="0.25">
      <c r="A695" s="103" t="str">
        <f t="shared" si="977"/>
        <v>804450</v>
      </c>
      <c r="B695" s="684" t="str">
        <f>'BUS Deemed Savings Table'!C509</f>
        <v>804450_2019_12_</v>
      </c>
      <c r="C695" s="1962" t="str">
        <f>'BUS Deemed Savings Table'!G509</f>
        <v>Air Comp BUS</v>
      </c>
      <c r="D695" s="1962"/>
      <c r="E695" s="1962"/>
      <c r="F695" s="1962"/>
      <c r="G695" s="1962" t="str">
        <f>'BUS Deemed Savings Table'!E509</f>
        <v>No Loss Condensate Drain (Screw - Inlet Modulation)</v>
      </c>
      <c r="H695" s="63" t="str">
        <f>'BUS Deemed Savings Table'!D509</f>
        <v>C&amp;I</v>
      </c>
      <c r="I695" s="2438">
        <f>'BUS Deemed Savings Table'!F509</f>
        <v>978.12</v>
      </c>
      <c r="J695" s="2438"/>
      <c r="K695" s="2439"/>
      <c r="L695" s="2439"/>
      <c r="M695" s="2439"/>
      <c r="N695" s="2439"/>
      <c r="O695" s="2440">
        <f>'BUS Deemed Savings Table'!I509</f>
        <v>0.13492599999999999</v>
      </c>
      <c r="P695" s="2440"/>
      <c r="Q695" s="2441"/>
      <c r="R695" s="2441"/>
      <c r="S695" s="2441"/>
      <c r="T695" s="2441"/>
      <c r="U695" s="1822">
        <f t="shared" si="979"/>
        <v>0</v>
      </c>
      <c r="V695" s="1822">
        <f t="shared" si="980"/>
        <v>0.13492599999999999</v>
      </c>
      <c r="W695" s="1822">
        <f t="shared" si="981"/>
        <v>0</v>
      </c>
      <c r="X695" s="68">
        <f>'BUS Deemed Savings Table'!J509</f>
        <v>13</v>
      </c>
      <c r="Y695" s="68"/>
      <c r="Z695" s="68">
        <f t="shared" si="1029"/>
        <v>13</v>
      </c>
      <c r="AA695" s="62">
        <f>'BUS Deemed Savings Table'!DB509</f>
        <v>0.69833842039848781</v>
      </c>
      <c r="AB695" s="839">
        <f>'BUS Deemed Savings Table'!K509</f>
        <v>700</v>
      </c>
      <c r="AC695" s="2451">
        <f t="shared" si="1027"/>
        <v>461.38451560069973</v>
      </c>
      <c r="AD695" s="2451">
        <f t="shared" si="1028"/>
        <v>0</v>
      </c>
      <c r="AE695" s="1661">
        <f>'BUS Deemed Savings Table'!DD509</f>
        <v>461.38451560069973</v>
      </c>
      <c r="AF695" s="2453"/>
      <c r="AG695" s="2453"/>
      <c r="AH695" s="2453"/>
      <c r="AI695" s="3638" t="str">
        <f>'BUS Deemed Savings Table'!L509</f>
        <v>per measure</v>
      </c>
      <c r="AJ695" s="1930"/>
      <c r="AK695" s="1930"/>
      <c r="AL695" s="1930"/>
      <c r="AM695" s="1972">
        <f t="shared" si="1004"/>
        <v>1.379439E-4</v>
      </c>
      <c r="AN695" s="1930">
        <f t="shared" si="1012"/>
        <v>0.13492568746799999</v>
      </c>
      <c r="AO695" s="1971">
        <f t="shared" si="1005"/>
        <v>-3.1253200000191939E-7</v>
      </c>
    </row>
    <row r="696" spans="1:41" x14ac:dyDescent="0.25">
      <c r="A696" s="103" t="str">
        <f t="shared" si="977"/>
        <v>804500</v>
      </c>
      <c r="B696" s="684" t="str">
        <f>'BUS Deemed Savings Table'!C510</f>
        <v>804500_2019_12_</v>
      </c>
      <c r="C696" s="1962" t="str">
        <f>'BUS Deemed Savings Table'!G510</f>
        <v>Air Comp BUS</v>
      </c>
      <c r="D696" s="1962"/>
      <c r="E696" s="1962"/>
      <c r="F696" s="1962"/>
      <c r="G696" s="1962" t="str">
        <f>'BUS Deemed Savings Table'!E510</f>
        <v>No Loss Condensate Drain (Screw - Inlet Modulation w/ Unloading)</v>
      </c>
      <c r="H696" s="63" t="str">
        <f>'BUS Deemed Savings Table'!D510</f>
        <v>C&amp;I</v>
      </c>
      <c r="I696" s="2438">
        <f>'BUS Deemed Savings Table'!F510</f>
        <v>978.12</v>
      </c>
      <c r="J696" s="2438"/>
      <c r="K696" s="2439"/>
      <c r="L696" s="2439"/>
      <c r="M696" s="2439"/>
      <c r="N696" s="2439"/>
      <c r="O696" s="2440">
        <f>'BUS Deemed Savings Table'!I510</f>
        <v>0.13492599999999999</v>
      </c>
      <c r="P696" s="2440"/>
      <c r="Q696" s="2441"/>
      <c r="R696" s="2441"/>
      <c r="S696" s="2441"/>
      <c r="T696" s="2441"/>
      <c r="U696" s="1822">
        <f t="shared" si="979"/>
        <v>0</v>
      </c>
      <c r="V696" s="1822">
        <f t="shared" si="980"/>
        <v>0.13492599999999999</v>
      </c>
      <c r="W696" s="1822">
        <f t="shared" si="981"/>
        <v>0</v>
      </c>
      <c r="X696" s="68">
        <f>'BUS Deemed Savings Table'!J510</f>
        <v>13</v>
      </c>
      <c r="Y696" s="68"/>
      <c r="Z696" s="68">
        <f t="shared" si="1029"/>
        <v>13</v>
      </c>
      <c r="AA696" s="62">
        <f>'BUS Deemed Savings Table'!DB510</f>
        <v>0.69833842039848781</v>
      </c>
      <c r="AB696" s="839">
        <f>'BUS Deemed Savings Table'!K510</f>
        <v>700</v>
      </c>
      <c r="AC696" s="2451">
        <f t="shared" si="1027"/>
        <v>461.38451560069973</v>
      </c>
      <c r="AD696" s="2451">
        <f t="shared" si="1028"/>
        <v>0</v>
      </c>
      <c r="AE696" s="1661">
        <f>'BUS Deemed Savings Table'!DD510</f>
        <v>461.38451560069973</v>
      </c>
      <c r="AF696" s="2453"/>
      <c r="AG696" s="2453"/>
      <c r="AH696" s="2453"/>
      <c r="AI696" s="3638" t="str">
        <f>'BUS Deemed Savings Table'!L510</f>
        <v>per measure</v>
      </c>
      <c r="AJ696" s="1930"/>
      <c r="AK696" s="1930"/>
      <c r="AL696" s="1930"/>
      <c r="AM696" s="1972">
        <f t="shared" si="1004"/>
        <v>1.379439E-4</v>
      </c>
      <c r="AN696" s="1930">
        <f t="shared" si="1012"/>
        <v>0.13492568746799999</v>
      </c>
      <c r="AO696" s="1971">
        <f t="shared" si="1005"/>
        <v>-3.1253200000191939E-7</v>
      </c>
    </row>
    <row r="697" spans="1:41" x14ac:dyDescent="0.25">
      <c r="A697" s="103" t="str">
        <f t="shared" si="977"/>
        <v>804550</v>
      </c>
      <c r="B697" s="684" t="str">
        <f>'BUS Deemed Savings Table'!C511</f>
        <v>804550_2019_12_</v>
      </c>
      <c r="C697" s="1962" t="str">
        <f>'BUS Deemed Savings Table'!G511</f>
        <v>Air Comp BUS</v>
      </c>
      <c r="D697" s="1962"/>
      <c r="E697" s="1962"/>
      <c r="F697" s="1962"/>
      <c r="G697" s="1962" t="str">
        <f>'BUS Deemed Savings Table'!E511</f>
        <v>No Loss Condensate Drain (Screw - Variable Displacement)</v>
      </c>
      <c r="H697" s="63" t="str">
        <f>'BUS Deemed Savings Table'!D511</f>
        <v>C&amp;I</v>
      </c>
      <c r="I697" s="2438">
        <f>'BUS Deemed Savings Table'!F511</f>
        <v>2720.95</v>
      </c>
      <c r="J697" s="2438"/>
      <c r="K697" s="2439"/>
      <c r="L697" s="2439"/>
      <c r="M697" s="2439"/>
      <c r="N697" s="2439"/>
      <c r="O697" s="2440">
        <f>'BUS Deemed Savings Table'!I511</f>
        <v>0.375338</v>
      </c>
      <c r="P697" s="2440"/>
      <c r="Q697" s="2441"/>
      <c r="R697" s="2441"/>
      <c r="S697" s="2441"/>
      <c r="T697" s="2441"/>
      <c r="U697" s="1822">
        <f t="shared" si="979"/>
        <v>0</v>
      </c>
      <c r="V697" s="1822">
        <f t="shared" si="980"/>
        <v>0.375338</v>
      </c>
      <c r="W697" s="1822">
        <f t="shared" si="981"/>
        <v>0</v>
      </c>
      <c r="X697" s="68">
        <f>'BUS Deemed Savings Table'!J511</f>
        <v>13</v>
      </c>
      <c r="Y697" s="68"/>
      <c r="Z697" s="68">
        <f t="shared" si="1029"/>
        <v>13</v>
      </c>
      <c r="AA697" s="62">
        <f>'BUS Deemed Savings Table'!DB511</f>
        <v>1.9426490870069779</v>
      </c>
      <c r="AB697" s="839">
        <f>'BUS Deemed Savings Table'!K511</f>
        <v>700</v>
      </c>
      <c r="AC697" s="2451">
        <f t="shared" si="1027"/>
        <v>1283.4868908965402</v>
      </c>
      <c r="AD697" s="2451">
        <f t="shared" si="1028"/>
        <v>0</v>
      </c>
      <c r="AE697" s="1661">
        <f>'BUS Deemed Savings Table'!DD511</f>
        <v>1283.4868908965402</v>
      </c>
      <c r="AF697" s="2453"/>
      <c r="AG697" s="2453"/>
      <c r="AH697" s="2453"/>
      <c r="AI697" s="3638" t="str">
        <f>'BUS Deemed Savings Table'!L511</f>
        <v>per measure</v>
      </c>
      <c r="AJ697" s="1930"/>
      <c r="AK697" s="1930"/>
      <c r="AL697" s="1930"/>
      <c r="AM697" s="1972">
        <f t="shared" si="1004"/>
        <v>1.379439E-4</v>
      </c>
      <c r="AN697" s="1930">
        <f t="shared" si="1012"/>
        <v>0.37533845470499999</v>
      </c>
      <c r="AO697" s="1971">
        <f t="shared" si="1005"/>
        <v>4.5470499998589986E-7</v>
      </c>
    </row>
    <row r="698" spans="1:41" x14ac:dyDescent="0.25">
      <c r="A698" s="103" t="str">
        <f t="shared" si="977"/>
        <v>804600</v>
      </c>
      <c r="B698" s="684" t="str">
        <f>'BUS Deemed Savings Table'!C512</f>
        <v>804600_2019_12_</v>
      </c>
      <c r="C698" s="1962" t="str">
        <f>'BUS Deemed Savings Table'!G512</f>
        <v>Air Comp BUS</v>
      </c>
      <c r="D698" s="1962"/>
      <c r="E698" s="1962"/>
      <c r="F698" s="1962"/>
      <c r="G698" s="1962" t="str">
        <f>'BUS Deemed Savings Table'!E512</f>
        <v>No Loss Condensate Drain (Screw - VFD)</v>
      </c>
      <c r="H698" s="63" t="str">
        <f>'BUS Deemed Savings Table'!D512</f>
        <v>C&amp;I</v>
      </c>
      <c r="I698" s="2438">
        <f>'BUS Deemed Savings Table'!F512</f>
        <v>3165.55</v>
      </c>
      <c r="J698" s="2438"/>
      <c r="K698" s="2439"/>
      <c r="L698" s="2439"/>
      <c r="M698" s="2439"/>
      <c r="N698" s="2439"/>
      <c r="O698" s="2440">
        <f>'BUS Deemed Savings Table'!I512</f>
        <v>0.436668</v>
      </c>
      <c r="P698" s="2440"/>
      <c r="Q698" s="2441"/>
      <c r="R698" s="2441"/>
      <c r="S698" s="2441"/>
      <c r="T698" s="2441"/>
      <c r="U698" s="1822">
        <f t="shared" si="979"/>
        <v>0</v>
      </c>
      <c r="V698" s="1822">
        <f t="shared" si="980"/>
        <v>0.436668</v>
      </c>
      <c r="W698" s="1822">
        <f t="shared" si="981"/>
        <v>0</v>
      </c>
      <c r="X698" s="68">
        <f>'BUS Deemed Savings Table'!J512</f>
        <v>13</v>
      </c>
      <c r="Y698" s="68"/>
      <c r="Z698" s="68">
        <f t="shared" si="1029"/>
        <v>13</v>
      </c>
      <c r="AA698" s="62">
        <f>'BUS Deemed Savings Table'!DB512</f>
        <v>2.2600756417335637</v>
      </c>
      <c r="AB698" s="839">
        <f>'BUS Deemed Savings Table'!K512</f>
        <v>700</v>
      </c>
      <c r="AC698" s="2451">
        <f t="shared" si="1027"/>
        <v>1493.2071252604949</v>
      </c>
      <c r="AD698" s="2451">
        <f t="shared" si="1028"/>
        <v>0</v>
      </c>
      <c r="AE698" s="1661">
        <f>'BUS Deemed Savings Table'!DD512</f>
        <v>1493.2071252604949</v>
      </c>
      <c r="AF698" s="2453"/>
      <c r="AG698" s="2453"/>
      <c r="AH698" s="2453"/>
      <c r="AI698" s="3638" t="str">
        <f>'BUS Deemed Savings Table'!L512</f>
        <v>per measure</v>
      </c>
      <c r="AJ698" s="1930"/>
      <c r="AK698" s="1930"/>
      <c r="AL698" s="1930"/>
      <c r="AM698" s="1972">
        <f t="shared" si="1004"/>
        <v>1.379439E-4</v>
      </c>
      <c r="AN698" s="1930">
        <f t="shared" si="1012"/>
        <v>0.436668312645</v>
      </c>
      <c r="AO698" s="1971">
        <f t="shared" si="1005"/>
        <v>3.1264500000016682E-7</v>
      </c>
    </row>
    <row r="699" spans="1:41" x14ac:dyDescent="0.25">
      <c r="A699" s="103" t="str">
        <f t="shared" si="977"/>
        <v>804650</v>
      </c>
      <c r="B699" s="684" t="str">
        <f>'BUS Deemed Savings Table'!C532</f>
        <v>804650_2019_12_</v>
      </c>
      <c r="C699" s="1962" t="str">
        <f>'BUS Deemed Savings Table'!G532</f>
        <v>Air Comp BUS</v>
      </c>
      <c r="D699" s="1962"/>
      <c r="E699" s="1962"/>
      <c r="F699" s="1962"/>
      <c r="G699" s="1962" t="str">
        <f>'BUS Deemed Savings Table'!E532</f>
        <v>Compressed Air Nozzle (Reciprocating - On/off Control)</v>
      </c>
      <c r="H699" s="63" t="str">
        <f>'BUS Deemed Savings Table'!D532</f>
        <v>C&amp;I</v>
      </c>
      <c r="I699" s="2438">
        <f>'BUS Deemed Savings Table'!F532</f>
        <v>1547.21</v>
      </c>
      <c r="J699" s="2438"/>
      <c r="K699" s="2439"/>
      <c r="L699" s="2439"/>
      <c r="M699" s="2439"/>
      <c r="N699" s="2439"/>
      <c r="O699" s="2440">
        <f>'BUS Deemed Savings Table'!I532</f>
        <v>0.21342800000000001</v>
      </c>
      <c r="P699" s="2440"/>
      <c r="Q699" s="2441"/>
      <c r="R699" s="2441"/>
      <c r="S699" s="2441"/>
      <c r="T699" s="2441"/>
      <c r="U699" s="1822">
        <f t="shared" si="979"/>
        <v>0</v>
      </c>
      <c r="V699" s="1822">
        <f t="shared" si="980"/>
        <v>0</v>
      </c>
      <c r="W699" s="1822">
        <f t="shared" si="981"/>
        <v>0.21342800000000001</v>
      </c>
      <c r="X699" s="68">
        <f>'BUS Deemed Savings Table'!J532</f>
        <v>15</v>
      </c>
      <c r="Y699" s="68"/>
      <c r="Z699" s="68">
        <f t="shared" si="1029"/>
        <v>15</v>
      </c>
      <c r="AA699" s="62">
        <f>'BUS Deemed Savings Table'!DB532</f>
        <v>11.413575812861211</v>
      </c>
      <c r="AB699" s="839">
        <f>'BUS Deemed Savings Table'!K532</f>
        <v>77</v>
      </c>
      <c r="AC699" s="2451">
        <f t="shared" si="1027"/>
        <v>829.49064425702056</v>
      </c>
      <c r="AD699" s="2451">
        <f t="shared" si="1028"/>
        <v>0</v>
      </c>
      <c r="AE699" s="1661">
        <f>'BUS Deemed Savings Table'!DD532</f>
        <v>829.49064425702056</v>
      </c>
      <c r="AF699" s="2453"/>
      <c r="AG699" s="2453"/>
      <c r="AH699" s="2453"/>
      <c r="AI699" s="3638" t="str">
        <f>'BUS Deemed Savings Table'!L532</f>
        <v>per measure</v>
      </c>
      <c r="AJ699" s="1930"/>
      <c r="AK699" s="1930"/>
      <c r="AL699" s="1930"/>
      <c r="AM699" s="1972">
        <f t="shared" si="1004"/>
        <v>1.379439E-4</v>
      </c>
      <c r="AN699" s="1930">
        <f t="shared" si="1012"/>
        <v>0.213428181519</v>
      </c>
      <c r="AO699" s="1971">
        <f t="shared" si="1005"/>
        <v>1.8151899999763188E-7</v>
      </c>
    </row>
    <row r="700" spans="1:41" x14ac:dyDescent="0.25">
      <c r="A700" s="103" t="str">
        <f t="shared" si="977"/>
        <v>804700</v>
      </c>
      <c r="B700" s="684" t="str">
        <f>'BUS Deemed Savings Table'!C533</f>
        <v>804700_2019_12_</v>
      </c>
      <c r="C700" s="1962" t="str">
        <f>'BUS Deemed Savings Table'!G533</f>
        <v>Air Comp BUS</v>
      </c>
      <c r="D700" s="1962"/>
      <c r="E700" s="1962"/>
      <c r="F700" s="1962"/>
      <c r="G700" s="1962" t="str">
        <f>'BUS Deemed Savings Table'!E533</f>
        <v>Compressed Air Nozzle (Reciprocating - Load/Unload)</v>
      </c>
      <c r="H700" s="63" t="str">
        <f>'BUS Deemed Savings Table'!D533</f>
        <v>C&amp;I</v>
      </c>
      <c r="I700" s="2438">
        <f>'BUS Deemed Savings Table'!F533</f>
        <v>1203.3800000000001</v>
      </c>
      <c r="J700" s="2438"/>
      <c r="K700" s="2439"/>
      <c r="L700" s="2439"/>
      <c r="M700" s="2439"/>
      <c r="N700" s="2439"/>
      <c r="O700" s="2440">
        <f>'BUS Deemed Savings Table'!I533</f>
        <v>0.16599900000000001</v>
      </c>
      <c r="P700" s="2440"/>
      <c r="Q700" s="2441"/>
      <c r="R700" s="2441"/>
      <c r="S700" s="2441"/>
      <c r="T700" s="2441"/>
      <c r="U700" s="1822">
        <f t="shared" si="979"/>
        <v>0</v>
      </c>
      <c r="V700" s="1822">
        <f t="shared" si="980"/>
        <v>0</v>
      </c>
      <c r="W700" s="1822">
        <f t="shared" si="981"/>
        <v>0.16599900000000001</v>
      </c>
      <c r="X700" s="68">
        <f>'BUS Deemed Savings Table'!J533</f>
        <v>15</v>
      </c>
      <c r="Y700" s="68"/>
      <c r="Z700" s="68">
        <f t="shared" ref="Z700:Z706" si="1030">Y700+X700</f>
        <v>15</v>
      </c>
      <c r="AA700" s="62">
        <f>'BUS Deemed Savings Table'!DB533</f>
        <v>8.8771846495827482</v>
      </c>
      <c r="AB700" s="839">
        <f>'BUS Deemed Savings Table'!K533</f>
        <v>77</v>
      </c>
      <c r="AC700" s="2451">
        <f t="shared" si="1027"/>
        <v>645.15641153173351</v>
      </c>
      <c r="AD700" s="2451">
        <f t="shared" si="1028"/>
        <v>0</v>
      </c>
      <c r="AE700" s="1661">
        <f>'BUS Deemed Savings Table'!DD533</f>
        <v>645.15641153173351</v>
      </c>
      <c r="AF700" s="2453"/>
      <c r="AG700" s="2453"/>
      <c r="AH700" s="2453"/>
      <c r="AI700" s="3638" t="str">
        <f>'BUS Deemed Savings Table'!L533</f>
        <v>per measure</v>
      </c>
      <c r="AJ700" s="1930"/>
      <c r="AK700" s="1930"/>
      <c r="AL700" s="1930"/>
      <c r="AM700" s="1972">
        <f t="shared" si="1004"/>
        <v>1.379439E-4</v>
      </c>
      <c r="AN700" s="1930">
        <f t="shared" si="1012"/>
        <v>0.165998930382</v>
      </c>
      <c r="AO700" s="1971">
        <f t="shared" si="1005"/>
        <v>-6.9618000003712766E-8</v>
      </c>
    </row>
    <row r="701" spans="1:41" x14ac:dyDescent="0.25">
      <c r="A701" s="103" t="str">
        <f t="shared" si="977"/>
        <v>804750</v>
      </c>
      <c r="B701" s="684" t="str">
        <f>'BUS Deemed Savings Table'!C534</f>
        <v>804750_2019_12_</v>
      </c>
      <c r="C701" s="1962" t="str">
        <f>'BUS Deemed Savings Table'!G534</f>
        <v>Air Comp BUS</v>
      </c>
      <c r="D701" s="1962"/>
      <c r="E701" s="1962"/>
      <c r="F701" s="1962"/>
      <c r="G701" s="1962" t="str">
        <f>'BUS Deemed Savings Table'!E534</f>
        <v>Compressed Air Nozzle (Screw - Load/Unload)</v>
      </c>
      <c r="H701" s="63" t="str">
        <f>'BUS Deemed Savings Table'!D534</f>
        <v>C&amp;I</v>
      </c>
      <c r="I701" s="2438">
        <f>'BUS Deemed Savings Table'!F534</f>
        <v>1289.3399999999999</v>
      </c>
      <c r="J701" s="2438"/>
      <c r="K701" s="2439"/>
      <c r="L701" s="2439"/>
      <c r="M701" s="2439"/>
      <c r="N701" s="2439"/>
      <c r="O701" s="2440">
        <f>'BUS Deemed Savings Table'!I534</f>
        <v>0.17785699999999999</v>
      </c>
      <c r="P701" s="2440"/>
      <c r="Q701" s="2441"/>
      <c r="R701" s="2441"/>
      <c r="S701" s="2441"/>
      <c r="T701" s="2441"/>
      <c r="U701" s="1822">
        <f t="shared" si="979"/>
        <v>0</v>
      </c>
      <c r="V701" s="1822">
        <f t="shared" si="980"/>
        <v>0</v>
      </c>
      <c r="W701" s="1822">
        <f t="shared" si="981"/>
        <v>0.17785699999999999</v>
      </c>
      <c r="X701" s="68">
        <f>'BUS Deemed Savings Table'!J534</f>
        <v>15</v>
      </c>
      <c r="Y701" s="68"/>
      <c r="Z701" s="68">
        <f t="shared" si="1030"/>
        <v>15</v>
      </c>
      <c r="AA701" s="62">
        <f>'BUS Deemed Savings Table'!DB534</f>
        <v>9.5113008825915504</v>
      </c>
      <c r="AB701" s="839">
        <f>'BUS Deemed Savings Table'!K534</f>
        <v>77</v>
      </c>
      <c r="AC701" s="2451">
        <f t="shared" si="1027"/>
        <v>691.24131001373235</v>
      </c>
      <c r="AD701" s="2451">
        <f t="shared" si="1028"/>
        <v>0</v>
      </c>
      <c r="AE701" s="1661">
        <f>'BUS Deemed Savings Table'!DD534</f>
        <v>691.24131001373235</v>
      </c>
      <c r="AF701" s="2453"/>
      <c r="AG701" s="2453"/>
      <c r="AH701" s="2453"/>
      <c r="AI701" s="3638" t="str">
        <f>'BUS Deemed Savings Table'!L534</f>
        <v>per measure</v>
      </c>
      <c r="AJ701" s="1930"/>
      <c r="AK701" s="1930"/>
      <c r="AL701" s="1930"/>
      <c r="AM701" s="1972">
        <f t="shared" si="1004"/>
        <v>1.379439E-4</v>
      </c>
      <c r="AN701" s="1930">
        <f t="shared" si="1012"/>
        <v>0.17785658802599999</v>
      </c>
      <c r="AO701" s="1971">
        <f t="shared" si="1005"/>
        <v>-4.1197399999748363E-7</v>
      </c>
    </row>
    <row r="702" spans="1:41" x14ac:dyDescent="0.25">
      <c r="A702" s="103" t="str">
        <f t="shared" si="977"/>
        <v>804800</v>
      </c>
      <c r="B702" s="684" t="str">
        <f>'BUS Deemed Savings Table'!C535</f>
        <v>804800_2019_12_</v>
      </c>
      <c r="C702" s="1962" t="str">
        <f>'BUS Deemed Savings Table'!G535</f>
        <v>Air Comp BUS</v>
      </c>
      <c r="D702" s="1962"/>
      <c r="E702" s="1962"/>
      <c r="F702" s="1962"/>
      <c r="G702" s="1962" t="str">
        <f>'BUS Deemed Savings Table'!E535</f>
        <v>Compressed Air Nozzle (Screw - Inlet Modulation)</v>
      </c>
      <c r="H702" s="63" t="str">
        <f>'BUS Deemed Savings Table'!D535</f>
        <v>C&amp;I</v>
      </c>
      <c r="I702" s="2438">
        <f>'BUS Deemed Savings Table'!F535</f>
        <v>515.74</v>
      </c>
      <c r="J702" s="2438"/>
      <c r="K702" s="2439"/>
      <c r="L702" s="2439"/>
      <c r="M702" s="2439"/>
      <c r="N702" s="2439"/>
      <c r="O702" s="2440">
        <f>'BUS Deemed Savings Table'!I535</f>
        <v>7.1142999999999998E-2</v>
      </c>
      <c r="P702" s="2440"/>
      <c r="Q702" s="2441"/>
      <c r="R702" s="2441"/>
      <c r="S702" s="2441"/>
      <c r="T702" s="2441"/>
      <c r="U702" s="1822">
        <f t="shared" si="979"/>
        <v>0</v>
      </c>
      <c r="V702" s="1822">
        <f t="shared" si="980"/>
        <v>0</v>
      </c>
      <c r="W702" s="1822">
        <f t="shared" si="981"/>
        <v>7.1142999999999998E-2</v>
      </c>
      <c r="X702" s="68">
        <f>'BUS Deemed Savings Table'!J535</f>
        <v>15</v>
      </c>
      <c r="Y702" s="68"/>
      <c r="Z702" s="68">
        <f t="shared" si="1030"/>
        <v>15</v>
      </c>
      <c r="AA702" s="62">
        <f>'BUS Deemed Savings Table'!DB535</f>
        <v>3.8045498605393195</v>
      </c>
      <c r="AB702" s="839">
        <f>'BUS Deemed Savings Table'!K535</f>
        <v>77</v>
      </c>
      <c r="AC702" s="2451">
        <f t="shared" si="1027"/>
        <v>276.49866848657632</v>
      </c>
      <c r="AD702" s="2451">
        <f t="shared" si="1028"/>
        <v>0</v>
      </c>
      <c r="AE702" s="1661">
        <f>'BUS Deemed Savings Table'!DD535</f>
        <v>276.49866848657632</v>
      </c>
      <c r="AF702" s="2453"/>
      <c r="AG702" s="2453"/>
      <c r="AH702" s="2453"/>
      <c r="AI702" s="3638" t="str">
        <f>'BUS Deemed Savings Table'!L535</f>
        <v>per measure</v>
      </c>
      <c r="AJ702" s="1930"/>
      <c r="AK702" s="1930"/>
      <c r="AL702" s="1930"/>
      <c r="AM702" s="1972">
        <f t="shared" si="1004"/>
        <v>1.379439E-4</v>
      </c>
      <c r="AN702" s="1930">
        <f t="shared" si="1012"/>
        <v>7.1143186986000001E-2</v>
      </c>
      <c r="AO702" s="1971">
        <f t="shared" si="1005"/>
        <v>1.8698600000310872E-7</v>
      </c>
    </row>
    <row r="703" spans="1:41" x14ac:dyDescent="0.25">
      <c r="A703" s="103" t="str">
        <f t="shared" si="977"/>
        <v>804850</v>
      </c>
      <c r="B703" s="684" t="str">
        <f>'BUS Deemed Savings Table'!C536</f>
        <v>804850_2019_12_</v>
      </c>
      <c r="C703" s="1962" t="str">
        <f>'BUS Deemed Savings Table'!G536</f>
        <v>Air Comp BUS</v>
      </c>
      <c r="D703" s="1962"/>
      <c r="E703" s="1962"/>
      <c r="F703" s="1962"/>
      <c r="G703" s="1962" t="str">
        <f>'BUS Deemed Savings Table'!E536</f>
        <v>Compressed Air Nozzle (Screw - Inlet Modulation w/ Unloading)</v>
      </c>
      <c r="H703" s="63" t="str">
        <f>'BUS Deemed Savings Table'!D536</f>
        <v>C&amp;I</v>
      </c>
      <c r="I703" s="2438">
        <f>'BUS Deemed Savings Table'!F536</f>
        <v>515.74</v>
      </c>
      <c r="J703" s="2438"/>
      <c r="K703" s="2439"/>
      <c r="L703" s="2439"/>
      <c r="M703" s="2439"/>
      <c r="N703" s="2439"/>
      <c r="O703" s="2440">
        <f>'BUS Deemed Savings Table'!I536</f>
        <v>7.1142999999999998E-2</v>
      </c>
      <c r="P703" s="2440"/>
      <c r="Q703" s="2441"/>
      <c r="R703" s="2441"/>
      <c r="S703" s="2441"/>
      <c r="T703" s="2441"/>
      <c r="U703" s="1822">
        <f t="shared" si="979"/>
        <v>0</v>
      </c>
      <c r="V703" s="1822">
        <f t="shared" si="980"/>
        <v>0</v>
      </c>
      <c r="W703" s="1822">
        <f t="shared" si="981"/>
        <v>7.1142999999999998E-2</v>
      </c>
      <c r="X703" s="68">
        <f>'BUS Deemed Savings Table'!J536</f>
        <v>15</v>
      </c>
      <c r="Y703" s="68"/>
      <c r="Z703" s="68">
        <f t="shared" si="1030"/>
        <v>15</v>
      </c>
      <c r="AA703" s="62">
        <f>'BUS Deemed Savings Table'!DB536</f>
        <v>3.8045498605393195</v>
      </c>
      <c r="AB703" s="839">
        <f>'BUS Deemed Savings Table'!K536</f>
        <v>77</v>
      </c>
      <c r="AC703" s="2451">
        <f t="shared" si="1027"/>
        <v>276.49866848657632</v>
      </c>
      <c r="AD703" s="2451">
        <f t="shared" si="1028"/>
        <v>0</v>
      </c>
      <c r="AE703" s="1661">
        <f>'BUS Deemed Savings Table'!DD536</f>
        <v>276.49866848657632</v>
      </c>
      <c r="AF703" s="2453"/>
      <c r="AG703" s="2453"/>
      <c r="AH703" s="2453"/>
      <c r="AI703" s="3638" t="str">
        <f>'BUS Deemed Savings Table'!L536</f>
        <v>per measure</v>
      </c>
      <c r="AJ703" s="1930"/>
      <c r="AK703" s="1930"/>
      <c r="AL703" s="1930"/>
      <c r="AM703" s="1972">
        <f t="shared" ref="AM703:AM732" si="1031">VLOOKUP(C703,$AS$10:$AT$49,2,FALSE)</f>
        <v>1.379439E-4</v>
      </c>
      <c r="AN703" s="1930">
        <f t="shared" si="1012"/>
        <v>7.1143186986000001E-2</v>
      </c>
      <c r="AO703" s="1971">
        <f t="shared" ref="AO703:AO724" si="1032">AN703-O703</f>
        <v>1.8698600000310872E-7</v>
      </c>
    </row>
    <row r="704" spans="1:41" x14ac:dyDescent="0.25">
      <c r="A704" s="103" t="str">
        <f t="shared" si="977"/>
        <v>804900</v>
      </c>
      <c r="B704" s="684" t="str">
        <f>'BUS Deemed Savings Table'!C537</f>
        <v>804900_2019_12_</v>
      </c>
      <c r="C704" s="1962" t="str">
        <f>'BUS Deemed Savings Table'!G537</f>
        <v>Air Comp BUS</v>
      </c>
      <c r="D704" s="1962"/>
      <c r="E704" s="1962"/>
      <c r="F704" s="1962"/>
      <c r="G704" s="1962" t="str">
        <f>'BUS Deemed Savings Table'!E537</f>
        <v>Compressed Air Nozzle (Screw - Variable Displacement)</v>
      </c>
      <c r="H704" s="63" t="str">
        <f>'BUS Deemed Savings Table'!D537</f>
        <v>C&amp;I</v>
      </c>
      <c r="I704" s="2438">
        <f>'BUS Deemed Savings Table'!F537</f>
        <v>1289.3399999999999</v>
      </c>
      <c r="J704" s="2438"/>
      <c r="K704" s="2439"/>
      <c r="L704" s="2439"/>
      <c r="M704" s="2439"/>
      <c r="N704" s="2439"/>
      <c r="O704" s="2440">
        <f>'BUS Deemed Savings Table'!I537</f>
        <v>0.17785699999999999</v>
      </c>
      <c r="P704" s="2440"/>
      <c r="Q704" s="2441"/>
      <c r="R704" s="2441"/>
      <c r="S704" s="2441"/>
      <c r="T704" s="2441"/>
      <c r="U704" s="1822">
        <f>IF(V704+W704&gt;0,0,IF(Z704&gt;0,O704,0))</f>
        <v>0</v>
      </c>
      <c r="V704" s="1822">
        <f>IF(W704&gt;0,0,IF(Z704&gt;9,O704,0))</f>
        <v>0</v>
      </c>
      <c r="W704" s="1822">
        <f>IF(Z704&gt;14,O704,0)</f>
        <v>0.17785699999999999</v>
      </c>
      <c r="X704" s="68">
        <f>'BUS Deemed Savings Table'!J537</f>
        <v>15</v>
      </c>
      <c r="Y704" s="68"/>
      <c r="Z704" s="68">
        <f t="shared" si="1030"/>
        <v>15</v>
      </c>
      <c r="AA704" s="62">
        <f>'BUS Deemed Savings Table'!DB537</f>
        <v>9.5113008825915504</v>
      </c>
      <c r="AB704" s="839">
        <f>'BUS Deemed Savings Table'!K537</f>
        <v>77</v>
      </c>
      <c r="AC704" s="2451">
        <f t="shared" si="1027"/>
        <v>691.24131001373235</v>
      </c>
      <c r="AD704" s="2451">
        <f t="shared" si="1028"/>
        <v>0</v>
      </c>
      <c r="AE704" s="1661">
        <f>'BUS Deemed Savings Table'!DD537</f>
        <v>691.24131001373235</v>
      </c>
      <c r="AF704" s="2453"/>
      <c r="AG704" s="2453"/>
      <c r="AH704" s="2453"/>
      <c r="AI704" s="3638" t="str">
        <f>'BUS Deemed Savings Table'!L537</f>
        <v>per measure</v>
      </c>
      <c r="AJ704" s="1930"/>
      <c r="AK704" s="1930"/>
      <c r="AL704" s="1930"/>
      <c r="AM704" s="1972">
        <f t="shared" si="1031"/>
        <v>1.379439E-4</v>
      </c>
      <c r="AN704" s="1930">
        <f t="shared" si="1012"/>
        <v>0.17785658802599999</v>
      </c>
      <c r="AO704" s="1971">
        <f t="shared" si="1032"/>
        <v>-4.1197399999748363E-7</v>
      </c>
    </row>
    <row r="705" spans="1:42" x14ac:dyDescent="0.25">
      <c r="A705" s="103" t="str">
        <f t="shared" si="977"/>
        <v>804950</v>
      </c>
      <c r="B705" s="684" t="str">
        <f>'BUS Deemed Savings Table'!C538</f>
        <v>804950_2019_12_</v>
      </c>
      <c r="C705" s="1962" t="str">
        <f>'BUS Deemed Savings Table'!G538</f>
        <v>Air Comp BUS</v>
      </c>
      <c r="D705" s="1962"/>
      <c r="E705" s="1962"/>
      <c r="F705" s="1962"/>
      <c r="G705" s="1962" t="str">
        <f>'BUS Deemed Savings Table'!E538</f>
        <v>Compressed Air Nozzle (Screw - VFD)</v>
      </c>
      <c r="H705" s="63" t="str">
        <f>'BUS Deemed Savings Table'!D538</f>
        <v>C&amp;I</v>
      </c>
      <c r="I705" s="2438">
        <f>'BUS Deemed Savings Table'!F538</f>
        <v>1547.21</v>
      </c>
      <c r="J705" s="2438"/>
      <c r="K705" s="2439"/>
      <c r="L705" s="2439"/>
      <c r="M705" s="2439"/>
      <c r="N705" s="2439"/>
      <c r="O705" s="2440">
        <f>'BUS Deemed Savings Table'!I538</f>
        <v>0.21342800000000001</v>
      </c>
      <c r="P705" s="2440"/>
      <c r="Q705" s="2441"/>
      <c r="R705" s="2441"/>
      <c r="S705" s="2441"/>
      <c r="T705" s="2441"/>
      <c r="U705" s="1822">
        <f>IF(V705+W705&gt;0,0,IF(Z705&gt;0,O705,0))</f>
        <v>0</v>
      </c>
      <c r="V705" s="1822">
        <f>IF(W705&gt;0,0,IF(Z705&gt;9,O705,0))</f>
        <v>0</v>
      </c>
      <c r="W705" s="1822">
        <f>IF(Z705&gt;14,O705,0)</f>
        <v>0.21342800000000001</v>
      </c>
      <c r="X705" s="68">
        <f>'BUS Deemed Savings Table'!J538</f>
        <v>15</v>
      </c>
      <c r="Y705" s="68"/>
      <c r="Z705" s="68">
        <f t="shared" si="1030"/>
        <v>15</v>
      </c>
      <c r="AA705" s="62">
        <f>'BUS Deemed Savings Table'!DB538</f>
        <v>11.413575812861211</v>
      </c>
      <c r="AB705" s="839">
        <f>'BUS Deemed Savings Table'!K538</f>
        <v>77</v>
      </c>
      <c r="AC705" s="2451">
        <f t="shared" si="1027"/>
        <v>829.49064425702056</v>
      </c>
      <c r="AD705" s="2451">
        <f t="shared" si="1028"/>
        <v>0</v>
      </c>
      <c r="AE705" s="1661">
        <f>'BUS Deemed Savings Table'!DD538</f>
        <v>829.49064425702056</v>
      </c>
      <c r="AF705" s="2453"/>
      <c r="AG705" s="2453"/>
      <c r="AH705" s="2453"/>
      <c r="AI705" s="3638" t="str">
        <f>'BUS Deemed Savings Table'!L538</f>
        <v>per measure</v>
      </c>
      <c r="AJ705" s="1930"/>
      <c r="AK705" s="1930"/>
      <c r="AL705" s="1930"/>
      <c r="AM705" s="1972">
        <f t="shared" si="1031"/>
        <v>1.379439E-4</v>
      </c>
      <c r="AN705" s="1930">
        <f t="shared" si="1012"/>
        <v>0.213428181519</v>
      </c>
      <c r="AO705" s="1971">
        <f t="shared" si="1032"/>
        <v>1.8151899999763188E-7</v>
      </c>
    </row>
    <row r="706" spans="1:42" x14ac:dyDescent="0.25">
      <c r="A706" s="103" t="str">
        <f t="shared" si="977"/>
        <v>805000</v>
      </c>
      <c r="B706" s="684" t="str">
        <f>'BUS Deemed Savings Table'!C558</f>
        <v>805000_2020_07_</v>
      </c>
      <c r="C706" s="1962" t="str">
        <f>'BUS Deemed Savings Table'!G558</f>
        <v>Air Comp BUS</v>
      </c>
      <c r="D706" s="1962"/>
      <c r="E706" s="1962"/>
      <c r="F706" s="1962"/>
      <c r="G706" s="1962" t="str">
        <f>'BUS Deemed Savings Table'!E558</f>
        <v>VSD Air Compressor 5-40 HP</v>
      </c>
      <c r="H706" s="63" t="str">
        <f>'BUS Deemed Savings Table'!D558</f>
        <v>C&amp;I</v>
      </c>
      <c r="I706" s="2438">
        <f>'BUS Deemed Savings Table'!F558</f>
        <v>987.01</v>
      </c>
      <c r="J706" s="2438"/>
      <c r="K706" s="2439"/>
      <c r="L706" s="2439"/>
      <c r="M706" s="2439"/>
      <c r="N706" s="2439"/>
      <c r="O706" s="2440">
        <f>'BUS Deemed Savings Table'!I558</f>
        <v>0.136152</v>
      </c>
      <c r="P706" s="2440"/>
      <c r="Q706" s="2441"/>
      <c r="R706" s="2441"/>
      <c r="S706" s="2441"/>
      <c r="T706" s="2441"/>
      <c r="U706" s="1822">
        <f>IF(V706+W706&gt;0,0,IF(Z706&gt;0,O706,0))</f>
        <v>0</v>
      </c>
      <c r="V706" s="1822">
        <f>IF(W706&gt;0,0,IF(Z706&gt;9,O706,0))</f>
        <v>0.136152</v>
      </c>
      <c r="W706" s="1822">
        <f>IF(Z706&gt;14,O706,0)</f>
        <v>0</v>
      </c>
      <c r="X706" s="68">
        <f>'BUS Deemed Savings Table'!J558</f>
        <v>10</v>
      </c>
      <c r="Y706" s="68"/>
      <c r="Z706" s="68">
        <f t="shared" si="1030"/>
        <v>10</v>
      </c>
      <c r="AA706" s="62">
        <f>'BUS Deemed Savings Table'!DB558</f>
        <v>1.0381828809157441</v>
      </c>
      <c r="AB706" s="839" t="str">
        <f>'BUS Deemed Savings Table'!K558</f>
        <v>"=(127*HPcomp)+1446"</v>
      </c>
      <c r="AC706" s="2451">
        <f t="shared" si="1027"/>
        <v>2163.5750835884496</v>
      </c>
      <c r="AD706" s="2451">
        <f t="shared" si="1028"/>
        <v>0</v>
      </c>
      <c r="AE706" s="1661">
        <f>'BUS Deemed Savings Table'!DD558</f>
        <v>2163.5750835884496</v>
      </c>
      <c r="AF706" s="2453"/>
      <c r="AG706" s="2453"/>
      <c r="AH706" s="2453"/>
      <c r="AI706" s="3638" t="str">
        <f>'BUS Deemed Savings Table'!L558</f>
        <v>per HP</v>
      </c>
      <c r="AJ706" s="1930"/>
      <c r="AK706" s="1930"/>
      <c r="AL706" s="1930"/>
      <c r="AM706" s="1972">
        <f t="shared" si="1031"/>
        <v>1.379439E-4</v>
      </c>
      <c r="AN706" s="1930">
        <f t="shared" si="1012"/>
        <v>0.13615200873899999</v>
      </c>
      <c r="AO706" s="1971">
        <f t="shared" si="1032"/>
        <v>8.738999995872021E-9</v>
      </c>
    </row>
    <row r="707" spans="1:42" x14ac:dyDescent="0.25">
      <c r="A707" s="103" t="str">
        <f t="shared" si="977"/>
        <v>805050</v>
      </c>
      <c r="B707" s="684" t="str">
        <f>'BUS Deemed Savings Table'!C574</f>
        <v>805050_2019_12_</v>
      </c>
      <c r="C707" s="1962" t="str">
        <f>'BUS Deemed Savings Table'!G574</f>
        <v>Cooking BUS</v>
      </c>
      <c r="D707" s="1962"/>
      <c r="E707" s="1962"/>
      <c r="F707" s="1962"/>
      <c r="G707" s="1962" t="str">
        <f>'BUS Deemed Savings Table'!E574</f>
        <v>Combination Oven (Pan Capacity &lt; 15)</v>
      </c>
      <c r="H707" s="63" t="str">
        <f>'BUS Deemed Savings Table'!D574</f>
        <v>C&amp;I</v>
      </c>
      <c r="I707" s="2438">
        <f>'BUS Deemed Savings Table'!F574</f>
        <v>6372.3</v>
      </c>
      <c r="J707" s="2438"/>
      <c r="K707" s="2439"/>
      <c r="L707" s="2439"/>
      <c r="M707" s="2439"/>
      <c r="N707" s="2439"/>
      <c r="O707" s="2440">
        <f>'BUS Deemed Savings Table'!I574</f>
        <v>1.27379</v>
      </c>
      <c r="P707" s="2440"/>
      <c r="Q707" s="2441"/>
      <c r="R707" s="2441"/>
      <c r="S707" s="2441"/>
      <c r="T707" s="2441"/>
      <c r="U707" s="1822">
        <f t="shared" ref="U707:U723" si="1033">IF(V707+W707&gt;0,0,IF(Z707&gt;0,O707,0))</f>
        <v>0</v>
      </c>
      <c r="V707" s="1822">
        <f t="shared" ref="V707:V723" si="1034">IF(W707&gt;0,0,IF(Z707&gt;9,O707,0))</f>
        <v>1.27379</v>
      </c>
      <c r="W707" s="1822">
        <f t="shared" ref="W707:W723" si="1035">IF(Z707&gt;14,O707,0)</f>
        <v>0</v>
      </c>
      <c r="X707" s="68">
        <f>'BUS Deemed Savings Table'!J574</f>
        <v>12</v>
      </c>
      <c r="Y707" s="68"/>
      <c r="Z707" s="68">
        <f t="shared" ref="Z707:Z728" si="1036">Y707+X707</f>
        <v>12</v>
      </c>
      <c r="AA707" s="62">
        <f>'BUS Deemed Savings Table'!DB574</f>
        <v>0.79635009510895882</v>
      </c>
      <c r="AB707" s="839">
        <f>'BUS Deemed Savings Table'!K574</f>
        <v>4300</v>
      </c>
      <c r="AC707" s="2451">
        <f t="shared" si="1027"/>
        <v>3232.0013298428717</v>
      </c>
      <c r="AD707" s="2451">
        <f t="shared" si="1028"/>
        <v>0</v>
      </c>
      <c r="AE707" s="1661">
        <f>'BUS Deemed Savings Table'!DD574</f>
        <v>3232.0013298428717</v>
      </c>
      <c r="AF707" s="2453"/>
      <c r="AG707" s="2453"/>
      <c r="AH707" s="2453"/>
      <c r="AI707" s="3638" t="str">
        <f>'BUS Deemed Savings Table'!L574</f>
        <v>per measure</v>
      </c>
      <c r="AJ707" s="1930"/>
      <c r="AK707" s="1930"/>
      <c r="AL707" s="1930"/>
      <c r="AM707" s="1972">
        <f t="shared" si="1031"/>
        <v>1.998949E-4</v>
      </c>
      <c r="AN707" s="1930">
        <f t="shared" si="1012"/>
        <v>1.27379027127</v>
      </c>
      <c r="AO707" s="1971">
        <f t="shared" si="1032"/>
        <v>2.7127000001847534E-7</v>
      </c>
    </row>
    <row r="708" spans="1:42" x14ac:dyDescent="0.25">
      <c r="A708" s="103" t="str">
        <f t="shared" si="977"/>
        <v>805100</v>
      </c>
      <c r="B708" s="684" t="str">
        <f>'BUS Deemed Savings Table'!C575</f>
        <v>805100_2019_12_</v>
      </c>
      <c r="C708" s="1962" t="str">
        <f>'BUS Deemed Savings Table'!G575</f>
        <v>Cooking BUS</v>
      </c>
      <c r="D708" s="1962"/>
      <c r="E708" s="1962"/>
      <c r="F708" s="1962"/>
      <c r="G708" s="1962" t="str">
        <f>'BUS Deemed Savings Table'!E575</f>
        <v>Combination Oven (Pan Capacity ≥ 15)</v>
      </c>
      <c r="H708" s="63" t="str">
        <f>'BUS Deemed Savings Table'!D575</f>
        <v>C&amp;I</v>
      </c>
      <c r="I708" s="2438">
        <f>'BUS Deemed Savings Table'!F575</f>
        <v>11743.62</v>
      </c>
      <c r="J708" s="2438"/>
      <c r="K708" s="2439"/>
      <c r="L708" s="2439"/>
      <c r="M708" s="2439"/>
      <c r="N708" s="2439"/>
      <c r="O708" s="2440">
        <f>'BUS Deemed Savings Table'!I575</f>
        <v>2.3474900000000001</v>
      </c>
      <c r="P708" s="2440"/>
      <c r="Q708" s="2441"/>
      <c r="R708" s="2441"/>
      <c r="S708" s="2441"/>
      <c r="T708" s="2441"/>
      <c r="U708" s="1822">
        <f t="shared" si="1033"/>
        <v>0</v>
      </c>
      <c r="V708" s="1822">
        <f t="shared" si="1034"/>
        <v>2.3474900000000001</v>
      </c>
      <c r="W708" s="1822">
        <f t="shared" si="1035"/>
        <v>0</v>
      </c>
      <c r="X708" s="68">
        <f>'BUS Deemed Savings Table'!J575</f>
        <v>12</v>
      </c>
      <c r="Y708" s="68"/>
      <c r="Z708" s="68">
        <f t="shared" si="1036"/>
        <v>12</v>
      </c>
      <c r="AA708" s="62">
        <f>'BUS Deemed Savings Table'!DB575</f>
        <v>1.4676071283403906</v>
      </c>
      <c r="AB708" s="839">
        <f>'BUS Deemed Savings Table'!K575</f>
        <v>4300</v>
      </c>
      <c r="AC708" s="2451">
        <f t="shared" si="1027"/>
        <v>5956.3101952465113</v>
      </c>
      <c r="AD708" s="2451">
        <f t="shared" si="1028"/>
        <v>0</v>
      </c>
      <c r="AE708" s="1661">
        <f>'BUS Deemed Savings Table'!DD575</f>
        <v>5956.3101952465113</v>
      </c>
      <c r="AF708" s="2453"/>
      <c r="AG708" s="2453"/>
      <c r="AH708" s="2453"/>
      <c r="AI708" s="3638" t="str">
        <f>'BUS Deemed Savings Table'!L575</f>
        <v>per measure</v>
      </c>
      <c r="AJ708" s="1930"/>
      <c r="AK708" s="1930"/>
      <c r="AL708" s="1930"/>
      <c r="AM708" s="1972">
        <f t="shared" si="1031"/>
        <v>1.998949E-4</v>
      </c>
      <c r="AN708" s="1930">
        <f t="shared" si="1012"/>
        <v>2.3474897455380002</v>
      </c>
      <c r="AO708" s="1971">
        <f t="shared" si="1032"/>
        <v>-2.544619999156339E-7</v>
      </c>
    </row>
    <row r="709" spans="1:42" x14ac:dyDescent="0.25">
      <c r="A709" s="103" t="str">
        <f t="shared" si="977"/>
        <v>805150</v>
      </c>
      <c r="B709" s="684" t="str">
        <f>'BUS Deemed Savings Table'!C597</f>
        <v>805150_2019_12_</v>
      </c>
      <c r="C709" s="1962" t="str">
        <f>'BUS Deemed Savings Table'!G597</f>
        <v>Cooking BUS</v>
      </c>
      <c r="D709" s="1962"/>
      <c r="E709" s="1962"/>
      <c r="F709" s="1962"/>
      <c r="G709" s="1962" t="str">
        <f>'BUS Deemed Savings Table'!E597</f>
        <v>Standard Open Deep-Fat Fryer</v>
      </c>
      <c r="H709" s="63" t="str">
        <f>'BUS Deemed Savings Table'!D597</f>
        <v>C&amp;I</v>
      </c>
      <c r="I709" s="2438">
        <f>'BUS Deemed Savings Table'!F597</f>
        <v>952.31</v>
      </c>
      <c r="J709" s="2438"/>
      <c r="K709" s="2439"/>
      <c r="L709" s="2439"/>
      <c r="M709" s="2439"/>
      <c r="N709" s="2439"/>
      <c r="O709" s="2440">
        <f>'BUS Deemed Savings Table'!I597</f>
        <v>0.190362</v>
      </c>
      <c r="P709" s="2440"/>
      <c r="Q709" s="2441"/>
      <c r="R709" s="2441"/>
      <c r="S709" s="2441"/>
      <c r="T709" s="2441"/>
      <c r="U709" s="1822">
        <f t="shared" si="1033"/>
        <v>0</v>
      </c>
      <c r="V709" s="1822">
        <f t="shared" si="1034"/>
        <v>0.190362</v>
      </c>
      <c r="W709" s="1822">
        <f t="shared" si="1035"/>
        <v>0</v>
      </c>
      <c r="X709" s="68">
        <f>'BUS Deemed Savings Table'!J597</f>
        <v>12</v>
      </c>
      <c r="Y709" s="68"/>
      <c r="Z709" s="68">
        <f t="shared" si="1036"/>
        <v>12</v>
      </c>
      <c r="AA709" s="62">
        <f>'BUS Deemed Savings Table'!DB597</f>
        <v>2.4368866470541128</v>
      </c>
      <c r="AB709" s="839">
        <f>'BUS Deemed Savings Table'!K597</f>
        <v>210</v>
      </c>
      <c r="AC709" s="2451">
        <f t="shared" si="1027"/>
        <v>483.00726369170707</v>
      </c>
      <c r="AD709" s="2451">
        <f t="shared" si="1028"/>
        <v>0</v>
      </c>
      <c r="AE709" s="1661">
        <f>'BUS Deemed Savings Table'!DD597</f>
        <v>483.00726369170707</v>
      </c>
      <c r="AF709" s="2453"/>
      <c r="AG709" s="2453"/>
      <c r="AH709" s="2453"/>
      <c r="AI709" s="3638" t="str">
        <f>'BUS Deemed Savings Table'!L597</f>
        <v>per measure</v>
      </c>
      <c r="AJ709" s="1930"/>
      <c r="AK709" s="1930"/>
      <c r="AL709" s="1930"/>
      <c r="AM709" s="1972">
        <f t="shared" si="1031"/>
        <v>1.998949E-4</v>
      </c>
      <c r="AN709" s="1930">
        <f t="shared" si="1012"/>
        <v>0.19036191221899998</v>
      </c>
      <c r="AO709" s="1971">
        <f t="shared" si="1032"/>
        <v>-8.7781000024378386E-8</v>
      </c>
    </row>
    <row r="710" spans="1:42" x14ac:dyDescent="0.25">
      <c r="A710" s="103" t="str">
        <f t="shared" si="977"/>
        <v>805200</v>
      </c>
      <c r="B710" s="684" t="str">
        <f>'BUS Deemed Savings Table'!C598</f>
        <v>805200_2019_12_</v>
      </c>
      <c r="C710" s="1962" t="str">
        <f>'BUS Deemed Savings Table'!G598</f>
        <v>Cooking BUS</v>
      </c>
      <c r="D710" s="1962"/>
      <c r="E710" s="1962"/>
      <c r="F710" s="1962"/>
      <c r="G710" s="1962" t="str">
        <f>'BUS Deemed Savings Table'!E598</f>
        <v>Large Vat Open Deep-Fat Fryer</v>
      </c>
      <c r="H710" s="63" t="str">
        <f>'BUS Deemed Savings Table'!D598</f>
        <v>C&amp;I</v>
      </c>
      <c r="I710" s="2438">
        <f>'BUS Deemed Savings Table'!F598</f>
        <v>2537.84</v>
      </c>
      <c r="J710" s="2438"/>
      <c r="K710" s="2439"/>
      <c r="L710" s="2439"/>
      <c r="M710" s="2439"/>
      <c r="N710" s="2439"/>
      <c r="O710" s="2440">
        <f>'BUS Deemed Savings Table'!I598</f>
        <v>0.507301</v>
      </c>
      <c r="P710" s="2440"/>
      <c r="Q710" s="2441"/>
      <c r="R710" s="2441"/>
      <c r="S710" s="2441"/>
      <c r="T710" s="2441"/>
      <c r="U710" s="1822">
        <f t="shared" si="1033"/>
        <v>0</v>
      </c>
      <c r="V710" s="1822">
        <f t="shared" si="1034"/>
        <v>0.507301</v>
      </c>
      <c r="W710" s="1822">
        <f t="shared" si="1035"/>
        <v>0</v>
      </c>
      <c r="X710" s="68">
        <f>'BUS Deemed Savings Table'!J598</f>
        <v>12</v>
      </c>
      <c r="Y710" s="68"/>
      <c r="Z710" s="68">
        <f t="shared" si="1036"/>
        <v>12</v>
      </c>
      <c r="AA710" s="3640"/>
      <c r="AB710" s="839">
        <f>'BUS Deemed Savings Table'!K598</f>
        <v>0</v>
      </c>
      <c r="AC710" s="2451">
        <f t="shared" si="1027"/>
        <v>1287.1808067618338</v>
      </c>
      <c r="AD710" s="2451">
        <f t="shared" si="1028"/>
        <v>0</v>
      </c>
      <c r="AE710" s="1661">
        <f>'BUS Deemed Savings Table'!DD598</f>
        <v>1287.1808067618338</v>
      </c>
      <c r="AF710" s="2453"/>
      <c r="AG710" s="2453"/>
      <c r="AH710" s="2453"/>
      <c r="AI710" s="3638" t="str">
        <f>'BUS Deemed Savings Table'!L598</f>
        <v>per measure</v>
      </c>
      <c r="AJ710" s="1930"/>
      <c r="AK710" s="1930"/>
      <c r="AL710" s="1930"/>
      <c r="AM710" s="1972">
        <f t="shared" si="1031"/>
        <v>1.998949E-4</v>
      </c>
      <c r="AN710" s="1930">
        <f t="shared" si="1012"/>
        <v>0.50730127301600003</v>
      </c>
      <c r="AO710" s="1971">
        <f t="shared" si="1032"/>
        <v>2.7301600002971327E-7</v>
      </c>
    </row>
    <row r="711" spans="1:42" x14ac:dyDescent="0.25">
      <c r="A711" s="103" t="str">
        <f t="shared" si="977"/>
        <v>805250</v>
      </c>
      <c r="B711" s="684" t="str">
        <f>'BUS Deemed Savings Table'!C615</f>
        <v>805250_2019_12_</v>
      </c>
      <c r="C711" s="1962" t="str">
        <f>'BUS Deemed Savings Table'!G615</f>
        <v>Cooking BUS</v>
      </c>
      <c r="D711" s="1962"/>
      <c r="E711" s="1962"/>
      <c r="F711" s="1962"/>
      <c r="G711" s="1962" t="str">
        <f>'BUS Deemed Savings Table'!E615</f>
        <v>Convection Oven (Full Size)</v>
      </c>
      <c r="H711" s="63" t="str">
        <f>'BUS Deemed Savings Table'!D615</f>
        <v>C&amp;I</v>
      </c>
      <c r="I711" s="2438">
        <f>'BUS Deemed Savings Table'!F615</f>
        <v>1938.47</v>
      </c>
      <c r="J711" s="2438"/>
      <c r="K711" s="2439"/>
      <c r="L711" s="2439"/>
      <c r="M711" s="2439"/>
      <c r="N711" s="2439"/>
      <c r="O711" s="2440">
        <f>'BUS Deemed Savings Table'!I615</f>
        <v>0.38749</v>
      </c>
      <c r="P711" s="2440"/>
      <c r="Q711" s="2441"/>
      <c r="R711" s="2441"/>
      <c r="S711" s="2441"/>
      <c r="T711" s="2441"/>
      <c r="U711" s="1822">
        <f t="shared" si="1033"/>
        <v>0</v>
      </c>
      <c r="V711" s="1822">
        <f t="shared" si="1034"/>
        <v>0.38749</v>
      </c>
      <c r="W711" s="1822">
        <f t="shared" si="1035"/>
        <v>0</v>
      </c>
      <c r="X711" s="68">
        <f>'BUS Deemed Savings Table'!J615</f>
        <v>12</v>
      </c>
      <c r="Y711" s="68"/>
      <c r="Z711" s="68">
        <f t="shared" si="1036"/>
        <v>12</v>
      </c>
      <c r="AA711" s="3640"/>
      <c r="AB711" s="839">
        <f>'BUS Deemed Savings Table'!K615</f>
        <v>0</v>
      </c>
      <c r="AC711" s="2451">
        <f t="shared" si="1027"/>
        <v>983.18309211124892</v>
      </c>
      <c r="AD711" s="2451">
        <f t="shared" si="1028"/>
        <v>0</v>
      </c>
      <c r="AE711" s="1661">
        <f>'BUS Deemed Savings Table'!DD615</f>
        <v>983.18309211124892</v>
      </c>
      <c r="AF711" s="2453"/>
      <c r="AG711" s="2453"/>
      <c r="AH711" s="2453"/>
      <c r="AI711" s="3638" t="str">
        <f>'BUS Deemed Savings Table'!L615</f>
        <v>per measure</v>
      </c>
      <c r="AJ711" s="1930"/>
      <c r="AK711" s="1930"/>
      <c r="AL711" s="1930"/>
      <c r="AM711" s="1972">
        <f t="shared" si="1031"/>
        <v>1.998949E-4</v>
      </c>
      <c r="AN711" s="1930">
        <f t="shared" si="1012"/>
        <v>0.38749026680300003</v>
      </c>
      <c r="AO711" s="1971">
        <f t="shared" si="1032"/>
        <v>2.6680300002634993E-7</v>
      </c>
    </row>
    <row r="712" spans="1:42" x14ac:dyDescent="0.25">
      <c r="A712" s="103" t="str">
        <f t="shared" si="977"/>
        <v>805300</v>
      </c>
      <c r="B712" s="684" t="str">
        <f>'BUS Deemed Savings Table'!C616</f>
        <v>805300_2019_12_</v>
      </c>
      <c r="C712" s="1962" t="str">
        <f>'BUS Deemed Savings Table'!G616</f>
        <v>Cooking BUS</v>
      </c>
      <c r="D712" s="1962"/>
      <c r="E712" s="1962"/>
      <c r="F712" s="1962"/>
      <c r="G712" s="1962" t="str">
        <f>'BUS Deemed Savings Table'!E616</f>
        <v>Convection Oven (Half Size)</v>
      </c>
      <c r="H712" s="63" t="str">
        <f>'BUS Deemed Savings Table'!D616</f>
        <v>C&amp;I</v>
      </c>
      <c r="I712" s="2438">
        <f>'BUS Deemed Savings Table'!F616</f>
        <v>192.11</v>
      </c>
      <c r="J712" s="2438"/>
      <c r="K712" s="2439"/>
      <c r="L712" s="2439"/>
      <c r="M712" s="2439"/>
      <c r="N712" s="2439"/>
      <c r="O712" s="2440">
        <f>'BUS Deemed Savings Table'!I616</f>
        <v>3.8401999999999999E-2</v>
      </c>
      <c r="P712" s="2440"/>
      <c r="Q712" s="2441"/>
      <c r="R712" s="2441"/>
      <c r="S712" s="2441"/>
      <c r="T712" s="2441"/>
      <c r="U712" s="1822">
        <f t="shared" si="1033"/>
        <v>0</v>
      </c>
      <c r="V712" s="1822">
        <f t="shared" si="1034"/>
        <v>3.8401999999999999E-2</v>
      </c>
      <c r="W712" s="1822">
        <f t="shared" si="1035"/>
        <v>0</v>
      </c>
      <c r="X712" s="68">
        <f>'BUS Deemed Savings Table'!J616</f>
        <v>12</v>
      </c>
      <c r="Y712" s="68"/>
      <c r="Z712" s="68">
        <f t="shared" si="1036"/>
        <v>12</v>
      </c>
      <c r="AA712" s="3640"/>
      <c r="AB712" s="839">
        <f>'BUS Deemed Savings Table'!K616</f>
        <v>0</v>
      </c>
      <c r="AC712" s="2451">
        <f t="shared" si="1027"/>
        <v>97.437310778857565</v>
      </c>
      <c r="AD712" s="2451">
        <f t="shared" si="1028"/>
        <v>0</v>
      </c>
      <c r="AE712" s="1661">
        <f>'BUS Deemed Savings Table'!DD616</f>
        <v>97.437310778857565</v>
      </c>
      <c r="AF712" s="2453"/>
      <c r="AG712" s="2453"/>
      <c r="AH712" s="2453"/>
      <c r="AI712" s="3638" t="str">
        <f>'BUS Deemed Savings Table'!L616</f>
        <v>per measure</v>
      </c>
      <c r="AJ712" s="1930"/>
      <c r="AK712" s="1930"/>
      <c r="AL712" s="1930"/>
      <c r="AM712" s="1972">
        <f t="shared" si="1031"/>
        <v>1.998949E-4</v>
      </c>
      <c r="AN712" s="1930">
        <f t="shared" si="1012"/>
        <v>3.8401809239000002E-2</v>
      </c>
      <c r="AO712" s="1971">
        <f t="shared" si="1032"/>
        <v>-1.907609999962645E-7</v>
      </c>
    </row>
    <row r="713" spans="1:42" x14ac:dyDescent="0.25">
      <c r="A713" s="103" t="str">
        <f t="shared" si="977"/>
        <v>805350</v>
      </c>
      <c r="B713" s="684" t="str">
        <f>'BUS Deemed Savings Table'!C633</f>
        <v>805350_2019_12_</v>
      </c>
      <c r="C713" s="1962" t="str">
        <f>'BUS Deemed Savings Table'!G633</f>
        <v>Cooking BUS</v>
      </c>
      <c r="D713" s="1962"/>
      <c r="E713" s="1962"/>
      <c r="F713" s="1962"/>
      <c r="G713" s="1962" t="str">
        <f>'BUS Deemed Savings Table'!E633</f>
        <v>Griddle</v>
      </c>
      <c r="H713" s="63" t="str">
        <f>'BUS Deemed Savings Table'!D633</f>
        <v>C&amp;I</v>
      </c>
      <c r="I713" s="2438">
        <f>'BUS Deemed Savings Table'!F633</f>
        <v>1910.38</v>
      </c>
      <c r="J713" s="2438"/>
      <c r="K713" s="2439"/>
      <c r="L713" s="2439"/>
      <c r="M713" s="2439"/>
      <c r="N713" s="2439"/>
      <c r="O713" s="2440">
        <f>'BUS Deemed Savings Table'!I633</f>
        <v>0.38187500000000002</v>
      </c>
      <c r="P713" s="2440"/>
      <c r="Q713" s="2441"/>
      <c r="R713" s="2441"/>
      <c r="S713" s="2441"/>
      <c r="T713" s="2441"/>
      <c r="U713" s="1822">
        <f t="shared" si="1033"/>
        <v>0</v>
      </c>
      <c r="V713" s="1822">
        <f t="shared" si="1034"/>
        <v>0.38187500000000002</v>
      </c>
      <c r="W713" s="1822">
        <f t="shared" si="1035"/>
        <v>0</v>
      </c>
      <c r="X713" s="68">
        <f>'BUS Deemed Savings Table'!J633</f>
        <v>12</v>
      </c>
      <c r="Y713" s="68"/>
      <c r="Z713" s="68">
        <f t="shared" si="1036"/>
        <v>12</v>
      </c>
      <c r="AA713" s="3640"/>
      <c r="AB713" s="839">
        <f>'BUS Deemed Savings Table'!K633</f>
        <v>0</v>
      </c>
      <c r="AC713" s="2451">
        <f t="shared" si="1027"/>
        <v>968.93597296191729</v>
      </c>
      <c r="AD713" s="2451">
        <f t="shared" si="1028"/>
        <v>0</v>
      </c>
      <c r="AE713" s="1661">
        <f>'BUS Deemed Savings Table'!DD633</f>
        <v>968.93597296191729</v>
      </c>
      <c r="AF713" s="2453"/>
      <c r="AG713" s="2453"/>
      <c r="AH713" s="2453"/>
      <c r="AI713" s="3638" t="str">
        <f>'BUS Deemed Savings Table'!L633</f>
        <v>per measure</v>
      </c>
      <c r="AJ713" s="1930"/>
      <c r="AK713" s="1930"/>
      <c r="AL713" s="1930"/>
      <c r="AM713" s="1972">
        <f t="shared" si="1031"/>
        <v>1.998949E-4</v>
      </c>
      <c r="AN713" s="1930">
        <f t="shared" si="1012"/>
        <v>0.381875219062</v>
      </c>
      <c r="AO713" s="1971">
        <f t="shared" si="1032"/>
        <v>2.1906199998422693E-7</v>
      </c>
    </row>
    <row r="714" spans="1:42" s="1930" customFormat="1" x14ac:dyDescent="0.25">
      <c r="A714" s="103" t="str">
        <f t="shared" ref="A714:A732" si="1037">LEFT(B714,6)</f>
        <v>805405</v>
      </c>
      <c r="B714" s="684" t="str">
        <f>'BUS Deemed Savings Table'!C649</f>
        <v>805405_2020_07_</v>
      </c>
      <c r="C714" s="1962" t="str">
        <f>'BUS Deemed Savings Table'!G649</f>
        <v>Cooking BUS</v>
      </c>
      <c r="D714" s="1962"/>
      <c r="E714" s="1962"/>
      <c r="F714" s="1962"/>
      <c r="G714" s="1962" t="str">
        <f>'BUS Deemed Savings Table'!E649</f>
        <v>Kitchen Demand Ventilation Controls, Retrofit</v>
      </c>
      <c r="H714" s="63" t="str">
        <f>'BUS Deemed Savings Table'!D649</f>
        <v>C&amp;I</v>
      </c>
      <c r="I714" s="2438">
        <f>'BUS Deemed Savings Table'!F649</f>
        <v>4197</v>
      </c>
      <c r="J714" s="2438"/>
      <c r="K714" s="2439"/>
      <c r="L714" s="2439"/>
      <c r="M714" s="2439"/>
      <c r="N714" s="2439"/>
      <c r="O714" s="2440">
        <f>'BUS Deemed Savings Table'!I649</f>
        <v>0.83895889530000001</v>
      </c>
      <c r="P714" s="2440"/>
      <c r="Q714" s="2441"/>
      <c r="R714" s="2441"/>
      <c r="S714" s="2441"/>
      <c r="T714" s="2441"/>
      <c r="U714" s="1926">
        <f t="shared" ref="U714" si="1038">IF(V714+W714&gt;0,0,IF(Z714&gt;0,O714,0))</f>
        <v>0</v>
      </c>
      <c r="V714" s="1926">
        <f t="shared" ref="V714" si="1039">IF(W714&gt;0,0,IF(Z714&gt;9,O714,0))</f>
        <v>0</v>
      </c>
      <c r="W714" s="1926">
        <f t="shared" ref="W714" si="1040">IF(Z714&gt;14,O714,0)</f>
        <v>0.83895889530000001</v>
      </c>
      <c r="X714" s="68">
        <f>'BUS Deemed Savings Table'!J649</f>
        <v>15</v>
      </c>
      <c r="Y714" s="68"/>
      <c r="Z714" s="68">
        <f t="shared" ref="Z714" si="1041">Y714+X714</f>
        <v>15</v>
      </c>
      <c r="AA714" s="62">
        <f>'BUS Deemed Savings Table'!DB649</f>
        <v>1.3891185390100806</v>
      </c>
      <c r="AB714" s="839">
        <f>'BUS Deemed Savings Table'!K649</f>
        <v>1991</v>
      </c>
      <c r="AC714" s="2451">
        <f t="shared" ref="AC714" si="1042">AE714+AF714</f>
        <v>2610.4153007730724</v>
      </c>
      <c r="AD714" s="2451">
        <f t="shared" ref="AD714" si="1043">AG714+AH714</f>
        <v>0</v>
      </c>
      <c r="AE714" s="1661">
        <f>'BUS Deemed Savings Table'!DD649</f>
        <v>2610.4153007730724</v>
      </c>
      <c r="AF714" s="2453"/>
      <c r="AG714" s="2453"/>
      <c r="AH714" s="2453"/>
      <c r="AI714" s="3638" t="str">
        <f>'BUS Deemed Savings Table'!L649</f>
        <v>per HP</v>
      </c>
      <c r="AM714" s="1972">
        <f t="shared" ref="AM714" si="1044">VLOOKUP(C714,$AS$10:$AT$49,2,FALSE)</f>
        <v>1.998949E-4</v>
      </c>
      <c r="AN714" s="1930">
        <f t="shared" ref="AN714" si="1045">AM714*I714</f>
        <v>0.83895889530000001</v>
      </c>
      <c r="AO714" s="1971">
        <f t="shared" ref="AO714" si="1046">AN714-O714</f>
        <v>0</v>
      </c>
    </row>
    <row r="715" spans="1:42" s="1930" customFormat="1" x14ac:dyDescent="0.25">
      <c r="A715" s="103" t="str">
        <f t="shared" si="1037"/>
        <v>805410</v>
      </c>
      <c r="B715" s="684" t="str">
        <f>'BUS Deemed Savings Table'!C650</f>
        <v>805410_2020_07_</v>
      </c>
      <c r="C715" s="1962" t="str">
        <f>'BUS Deemed Savings Table'!G650</f>
        <v>Cooking BUS</v>
      </c>
      <c r="D715" s="1962"/>
      <c r="E715" s="1962"/>
      <c r="F715" s="1962"/>
      <c r="G715" s="1962" t="str">
        <f>'BUS Deemed Savings Table'!E650</f>
        <v>Kitchen Demand Ventilation Controls, New</v>
      </c>
      <c r="H715" s="63" t="str">
        <f>'BUS Deemed Savings Table'!D650</f>
        <v>C&amp;I</v>
      </c>
      <c r="I715" s="2438">
        <f>'BUS Deemed Savings Table'!F650</f>
        <v>4197</v>
      </c>
      <c r="J715" s="2438"/>
      <c r="K715" s="2439"/>
      <c r="L715" s="2439"/>
      <c r="M715" s="2439"/>
      <c r="N715" s="2439"/>
      <c r="O715" s="2440">
        <f>'BUS Deemed Savings Table'!I650</f>
        <v>0.83895889530000001</v>
      </c>
      <c r="P715" s="2440"/>
      <c r="Q715" s="2441"/>
      <c r="R715" s="2441"/>
      <c r="S715" s="2441"/>
      <c r="T715" s="2441"/>
      <c r="U715" s="1926">
        <f t="shared" ref="U715" si="1047">IF(V715+W715&gt;0,0,IF(Z715&gt;0,O715,0))</f>
        <v>0</v>
      </c>
      <c r="V715" s="1926">
        <f t="shared" ref="V715" si="1048">IF(W715&gt;0,0,IF(Z715&gt;9,O715,0))</f>
        <v>0</v>
      </c>
      <c r="W715" s="1926">
        <f t="shared" ref="W715" si="1049">IF(Z715&gt;14,O715,0)</f>
        <v>0.83895889530000001</v>
      </c>
      <c r="X715" s="68">
        <f>'BUS Deemed Savings Table'!J650</f>
        <v>15</v>
      </c>
      <c r="Y715" s="68"/>
      <c r="Z715" s="68">
        <f t="shared" ref="Z715" si="1050">Y715+X715</f>
        <v>15</v>
      </c>
      <c r="AA715" s="62">
        <f>'BUS Deemed Savings Table'!DB650</f>
        <v>1.3891185390100806</v>
      </c>
      <c r="AB715" s="839">
        <f>'BUS Deemed Savings Table'!K650</f>
        <v>1991</v>
      </c>
      <c r="AC715" s="2451">
        <f t="shared" ref="AC715" si="1051">AE715+AF715</f>
        <v>2610.4153007730724</v>
      </c>
      <c r="AD715" s="2451">
        <f t="shared" ref="AD715" si="1052">AG715+AH715</f>
        <v>0</v>
      </c>
      <c r="AE715" s="1661">
        <f>'BUS Deemed Savings Table'!DD650</f>
        <v>2610.4153007730724</v>
      </c>
      <c r="AF715" s="2453"/>
      <c r="AG715" s="2453"/>
      <c r="AH715" s="2453"/>
      <c r="AI715" s="3638" t="str">
        <f>'BUS Deemed Savings Table'!L650</f>
        <v>per HP</v>
      </c>
      <c r="AM715" s="1972">
        <f t="shared" ref="AM715" si="1053">VLOOKUP(C715,$AS$10:$AT$49,2,FALSE)</f>
        <v>1.998949E-4</v>
      </c>
      <c r="AN715" s="1930">
        <f t="shared" ref="AN715" si="1054">AM715*I715</f>
        <v>0.83895889530000001</v>
      </c>
      <c r="AO715" s="1971">
        <f t="shared" ref="AO715" si="1055">AN715-O715</f>
        <v>0</v>
      </c>
    </row>
    <row r="716" spans="1:42" x14ac:dyDescent="0.25">
      <c r="A716" s="103" t="str">
        <f t="shared" si="1037"/>
        <v>805450</v>
      </c>
      <c r="B716" s="684" t="str">
        <f>'BUS Deemed Savings Table'!C667</f>
        <v>805450_2019_12_</v>
      </c>
      <c r="C716" s="1962" t="str">
        <f>'BUS Deemed Savings Table'!G667</f>
        <v>Cooking BUS</v>
      </c>
      <c r="D716" s="1962"/>
      <c r="E716" s="1962"/>
      <c r="F716" s="1962"/>
      <c r="G716" s="1962" t="str">
        <f>'BUS Deemed Savings Table'!E667</f>
        <v>Pre-Rinse Spray Valve</v>
      </c>
      <c r="H716" s="63" t="str">
        <f>'BUS Deemed Savings Table'!D667</f>
        <v>C&amp;I</v>
      </c>
      <c r="I716" s="2438">
        <f>'BUS Deemed Savings Table'!F667</f>
        <v>5786.53</v>
      </c>
      <c r="J716" s="2438"/>
      <c r="K716" s="2439"/>
      <c r="L716" s="2439"/>
      <c r="M716" s="2439"/>
      <c r="N716" s="2439"/>
      <c r="O716" s="2440">
        <f>'BUS Deemed Savings Table'!I667</f>
        <v>1.156698</v>
      </c>
      <c r="P716" s="2440"/>
      <c r="Q716" s="2441"/>
      <c r="R716" s="2441"/>
      <c r="S716" s="2441"/>
      <c r="T716" s="2441"/>
      <c r="U716" s="1822">
        <f t="shared" si="1033"/>
        <v>1.156698</v>
      </c>
      <c r="V716" s="1822">
        <f t="shared" si="1034"/>
        <v>0</v>
      </c>
      <c r="W716" s="1822">
        <f t="shared" si="1035"/>
        <v>0</v>
      </c>
      <c r="X716" s="68">
        <f>'BUS Deemed Savings Table'!J667</f>
        <v>5</v>
      </c>
      <c r="Y716" s="68"/>
      <c r="Z716" s="68">
        <f t="shared" si="1036"/>
        <v>5</v>
      </c>
      <c r="AA716" s="62">
        <f>'BUS Deemed Savings Table'!DB667</f>
        <v>13.620824362026044</v>
      </c>
      <c r="AB716" s="839">
        <f>'BUS Deemed Savings Table'!K667</f>
        <v>92.9</v>
      </c>
      <c r="AC716" s="2451">
        <f t="shared" si="1027"/>
        <v>1194.3129619936003</v>
      </c>
      <c r="AD716" s="2451">
        <f t="shared" si="1028"/>
        <v>0</v>
      </c>
      <c r="AE716" s="1661">
        <f>'BUS Deemed Savings Table'!DD667</f>
        <v>1194.3129619936003</v>
      </c>
      <c r="AF716" s="2453"/>
      <c r="AG716" s="2453"/>
      <c r="AH716" s="2453"/>
      <c r="AI716" s="3638" t="str">
        <f>'BUS Deemed Savings Table'!L667</f>
        <v>per measure</v>
      </c>
      <c r="AJ716" s="1930"/>
      <c r="AK716" s="1930"/>
      <c r="AL716" s="1930"/>
      <c r="AM716" s="1972">
        <f t="shared" si="1031"/>
        <v>1.998949E-4</v>
      </c>
      <c r="AN716" s="1930">
        <f t="shared" si="1012"/>
        <v>1.1566978356969999</v>
      </c>
      <c r="AO716" s="1971">
        <f t="shared" si="1032"/>
        <v>-1.643030000941792E-7</v>
      </c>
    </row>
    <row r="717" spans="1:42" x14ac:dyDescent="0.25">
      <c r="A717" s="103" t="str">
        <f t="shared" si="1037"/>
        <v>805500</v>
      </c>
      <c r="B717" s="684" t="str">
        <f>'BUS Deemed Savings Table'!C683</f>
        <v>805500_2019_12_</v>
      </c>
      <c r="C717" s="1962" t="str">
        <f>'BUS Deemed Savings Table'!G683</f>
        <v>Water Heating BUS</v>
      </c>
      <c r="D717" s="1962"/>
      <c r="E717" s="1962"/>
      <c r="F717" s="1962"/>
      <c r="G717" s="1962" t="str">
        <f>'BUS Deemed Savings Table'!E683</f>
        <v>Low Flow Faucet Aerator</v>
      </c>
      <c r="H717" s="63" t="str">
        <f>'BUS Deemed Savings Table'!D683</f>
        <v>C&amp;I</v>
      </c>
      <c r="I717" s="2438">
        <f>'BUS Deemed Savings Table'!F683</f>
        <v>86.63</v>
      </c>
      <c r="J717" s="2438"/>
      <c r="K717" s="2439"/>
      <c r="L717" s="2439"/>
      <c r="M717" s="2439"/>
      <c r="N717" s="2439"/>
      <c r="O717" s="2440">
        <f>'BUS Deemed Savings Table'!I683</f>
        <v>1.5692999999999999E-2</v>
      </c>
      <c r="P717" s="2440"/>
      <c r="Q717" s="2441"/>
      <c r="R717" s="2441"/>
      <c r="S717" s="2441"/>
      <c r="T717" s="2441"/>
      <c r="U717" s="1822">
        <f t="shared" si="1033"/>
        <v>1.5692999999999999E-2</v>
      </c>
      <c r="V717" s="1822">
        <f t="shared" si="1034"/>
        <v>0</v>
      </c>
      <c r="W717" s="1822">
        <f t="shared" si="1035"/>
        <v>0</v>
      </c>
      <c r="X717" s="68">
        <f>'BUS Deemed Savings Table'!J683</f>
        <v>9</v>
      </c>
      <c r="Y717" s="68"/>
      <c r="Z717" s="68">
        <f t="shared" si="1036"/>
        <v>9</v>
      </c>
      <c r="AA717" s="62">
        <f>'BUS Deemed Savings Table'!DB683</f>
        <v>4.4408857087525675</v>
      </c>
      <c r="AB717" s="839">
        <f>'BUS Deemed Savings Table'!K683</f>
        <v>8</v>
      </c>
      <c r="AC717" s="2451">
        <f t="shared" si="1027"/>
        <v>33.531935507334154</v>
      </c>
      <c r="AD717" s="2451">
        <f t="shared" si="1028"/>
        <v>0</v>
      </c>
      <c r="AE717" s="1661">
        <f>'BUS Deemed Savings Table'!DD683</f>
        <v>33.531935507334154</v>
      </c>
      <c r="AF717" s="2453"/>
      <c r="AG717" s="2453"/>
      <c r="AH717" s="2453"/>
      <c r="AI717" s="3638" t="str">
        <f>'BUS Deemed Savings Table'!L683</f>
        <v>per measure</v>
      </c>
      <c r="AJ717" s="1930"/>
      <c r="AK717" s="1930"/>
      <c r="AL717" s="1930"/>
      <c r="AM717" s="1972">
        <f t="shared" si="1031"/>
        <v>1.811545E-4</v>
      </c>
      <c r="AN717" s="1930">
        <f t="shared" si="1012"/>
        <v>1.5693414334999999E-2</v>
      </c>
      <c r="AO717" s="1971">
        <f t="shared" si="1032"/>
        <v>4.1433500000062629E-7</v>
      </c>
    </row>
    <row r="718" spans="1:42" x14ac:dyDescent="0.25">
      <c r="A718" s="103" t="str">
        <f t="shared" si="1037"/>
        <v>805550</v>
      </c>
      <c r="B718" s="684" t="str">
        <f>'BUS Deemed Savings Table'!C699</f>
        <v>805550_2019_12_</v>
      </c>
      <c r="C718" s="1962" t="str">
        <f>'BUS Deemed Savings Table'!G699</f>
        <v>Miscellaneous BUS</v>
      </c>
      <c r="D718" s="1962"/>
      <c r="E718" s="1962"/>
      <c r="F718" s="1962"/>
      <c r="G718" s="1962" t="str">
        <f>'BUS Deemed Savings Table'!E699</f>
        <v>Circulator Pump</v>
      </c>
      <c r="H718" s="63" t="str">
        <f>'BUS Deemed Savings Table'!D699</f>
        <v>C&amp;I</v>
      </c>
      <c r="I718" s="2438">
        <f>'BUS Deemed Savings Table'!F699</f>
        <v>651</v>
      </c>
      <c r="J718" s="2438"/>
      <c r="K718" s="2439"/>
      <c r="L718" s="2439"/>
      <c r="M718" s="2439"/>
      <c r="N718" s="2439"/>
      <c r="O718" s="2440">
        <f>'BUS Deemed Savings Table'!I699</f>
        <v>8.9801000000000006E-2</v>
      </c>
      <c r="P718" s="2440"/>
      <c r="Q718" s="2441"/>
      <c r="R718" s="2441"/>
      <c r="S718" s="2441"/>
      <c r="T718" s="2441"/>
      <c r="U718" s="1822">
        <f t="shared" si="1033"/>
        <v>0</v>
      </c>
      <c r="V718" s="1822">
        <f t="shared" si="1034"/>
        <v>0</v>
      </c>
      <c r="W718" s="1822">
        <f t="shared" si="1035"/>
        <v>8.9801000000000006E-2</v>
      </c>
      <c r="X718" s="68">
        <f>'BUS Deemed Savings Table'!J699</f>
        <v>15</v>
      </c>
      <c r="Y718" s="68"/>
      <c r="Z718" s="68">
        <f t="shared" si="1036"/>
        <v>15</v>
      </c>
      <c r="AA718" s="62">
        <f>'BUS Deemed Savings Table'!DB699</f>
        <v>0.30815053912703838</v>
      </c>
      <c r="AB718" s="839">
        <f>'BUS Deemed Savings Table'!K699</f>
        <v>1200</v>
      </c>
      <c r="AC718" s="2451">
        <f t="shared" si="1027"/>
        <v>349.01429632132704</v>
      </c>
      <c r="AD718" s="2451">
        <f t="shared" si="1028"/>
        <v>0</v>
      </c>
      <c r="AE718" s="1661">
        <f>'BUS Deemed Savings Table'!DD699</f>
        <v>349.01429632132704</v>
      </c>
      <c r="AF718" s="2453"/>
      <c r="AG718" s="2453"/>
      <c r="AH718" s="2453"/>
      <c r="AI718" s="3638" t="str">
        <f>'BUS Deemed Savings Table'!L699</f>
        <v>per measure</v>
      </c>
      <c r="AJ718" s="1930"/>
      <c r="AK718" s="1930"/>
      <c r="AL718" s="1930"/>
      <c r="AM718" s="1972">
        <f t="shared" si="1031"/>
        <v>1.379439E-4</v>
      </c>
      <c r="AN718" s="1930">
        <f t="shared" si="1012"/>
        <v>8.9801478899999995E-2</v>
      </c>
      <c r="AO718" s="1971">
        <f t="shared" si="1032"/>
        <v>4.7889999998940169E-7</v>
      </c>
    </row>
    <row r="719" spans="1:42" x14ac:dyDescent="0.25">
      <c r="A719" s="103" t="str">
        <f t="shared" si="1037"/>
        <v>805600</v>
      </c>
      <c r="B719" s="684" t="str">
        <f>'BUS Deemed Savings Table'!C715</f>
        <v>805600_2019_12_</v>
      </c>
      <c r="C719" s="1962" t="str">
        <f>'BUS Deemed Savings Table'!G715</f>
        <v>Cooling BUS</v>
      </c>
      <c r="D719" s="1962"/>
      <c r="E719" s="1962"/>
      <c r="F719" s="1962"/>
      <c r="G719" s="1962" t="str">
        <f>'BUS Deemed Savings Table'!E715</f>
        <v>Small Commercial Programmable Thermostats</v>
      </c>
      <c r="H719" s="63" t="str">
        <f>'BUS Deemed Savings Table'!D715</f>
        <v>C&amp;I</v>
      </c>
      <c r="I719" s="2438">
        <f>'BUS Deemed Savings Table'!F715</f>
        <v>0.03</v>
      </c>
      <c r="J719" s="2438"/>
      <c r="K719" s="3600"/>
      <c r="L719" s="2439"/>
      <c r="M719" s="2439"/>
      <c r="N719" s="2439"/>
      <c r="O719" s="2440">
        <f>'BUS Deemed Savings Table'!I715</f>
        <v>2.6999999999999999E-5</v>
      </c>
      <c r="P719" s="2440"/>
      <c r="Q719" s="2441"/>
      <c r="R719" s="2441"/>
      <c r="S719" s="2441"/>
      <c r="T719" s="2441"/>
      <c r="U719" s="1822">
        <f t="shared" si="1033"/>
        <v>2.6999999999999999E-5</v>
      </c>
      <c r="V719" s="1822">
        <f t="shared" si="1034"/>
        <v>0</v>
      </c>
      <c r="W719" s="1822">
        <f t="shared" si="1035"/>
        <v>0</v>
      </c>
      <c r="X719" s="68">
        <f>'BUS Deemed Savings Table'!J715</f>
        <v>8</v>
      </c>
      <c r="Y719" s="68"/>
      <c r="Z719" s="68">
        <f t="shared" si="1036"/>
        <v>8</v>
      </c>
      <c r="AA719" s="62">
        <f>'BUS Deemed Savings Table'!DB715</f>
        <v>1.3267360914294256E-4</v>
      </c>
      <c r="AB719" s="839">
        <f>'BUS Deemed Savings Table'!K715</f>
        <v>181</v>
      </c>
      <c r="AC719" s="2451">
        <f t="shared" si="1027"/>
        <v>2.2665335776189333E-2</v>
      </c>
      <c r="AD719" s="2451">
        <f t="shared" si="1028"/>
        <v>0</v>
      </c>
      <c r="AE719" s="1661">
        <f>'BUS Deemed Savings Table'!DD715</f>
        <v>2.2665335776189333E-2</v>
      </c>
      <c r="AF719" s="2453"/>
      <c r="AG719" s="2453"/>
      <c r="AH719" s="2453"/>
      <c r="AI719" s="3638" t="str">
        <f>'BUS Deemed Savings Table'!L715</f>
        <v>per measure</v>
      </c>
      <c r="AJ719" s="1930"/>
      <c r="AK719" s="1930"/>
      <c r="AL719" s="1930"/>
      <c r="AM719" s="1972">
        <f t="shared" si="1031"/>
        <v>9.1068400000000004E-4</v>
      </c>
      <c r="AN719" s="1930">
        <f t="shared" si="1012"/>
        <v>2.7320520000000002E-5</v>
      </c>
      <c r="AO719" s="1971">
        <f t="shared" si="1032"/>
        <v>3.2052000000000282E-7</v>
      </c>
    </row>
    <row r="720" spans="1:42" x14ac:dyDescent="0.25">
      <c r="A720" s="103" t="str">
        <f t="shared" si="1037"/>
        <v>805650</v>
      </c>
      <c r="B720" s="684" t="str">
        <f>'BUS Deemed Savings Table'!C731</f>
        <v>805650_2019_12_</v>
      </c>
      <c r="C720" s="1962" t="str">
        <f>'BUS Deemed Savings Table'!G731</f>
        <v>Cooling BUS</v>
      </c>
      <c r="D720" s="1962"/>
      <c r="E720" s="1962"/>
      <c r="F720" s="1962"/>
      <c r="G720" s="1962" t="str">
        <f>'BUS Deemed Savings Table'!E731</f>
        <v>Demand Controlled Ventillation (Gas Heat)</v>
      </c>
      <c r="H720" s="63" t="str">
        <f>'BUS Deemed Savings Table'!D731</f>
        <v>C&amp;I</v>
      </c>
      <c r="I720" s="2438">
        <f>'BUS Deemed Savings Table'!F731</f>
        <v>0.67</v>
      </c>
      <c r="J720" s="2438"/>
      <c r="K720" s="3600"/>
      <c r="L720" s="2439"/>
      <c r="M720" s="2439"/>
      <c r="N720" s="2439"/>
      <c r="O720" s="2440">
        <f>'BUS Deemed Savings Table'!I731</f>
        <v>6.0999999999999997E-4</v>
      </c>
      <c r="P720" s="2440"/>
      <c r="Q720" s="2441"/>
      <c r="R720" s="2441"/>
      <c r="S720" s="2441"/>
      <c r="T720" s="2441"/>
      <c r="U720" s="1822">
        <f t="shared" si="1033"/>
        <v>0</v>
      </c>
      <c r="V720" s="1822">
        <f t="shared" si="1034"/>
        <v>6.0999999999999997E-4</v>
      </c>
      <c r="W720" s="1822">
        <f t="shared" si="1035"/>
        <v>0</v>
      </c>
      <c r="X720" s="68">
        <f>'BUS Deemed Savings Table'!J731</f>
        <v>10</v>
      </c>
      <c r="Y720" s="68"/>
      <c r="Z720" s="68">
        <f t="shared" si="1036"/>
        <v>10</v>
      </c>
      <c r="AA720" s="3640"/>
      <c r="AB720" s="839" t="str">
        <f>'BUS Deemed Savings Table'!K731</f>
        <v>Actual</v>
      </c>
      <c r="AC720" s="2451">
        <f t="shared" si="1027"/>
        <v>0.64473631483919813</v>
      </c>
      <c r="AD720" s="2451">
        <f t="shared" si="1028"/>
        <v>0</v>
      </c>
      <c r="AE720" s="1661">
        <f>'BUS Deemed Savings Table'!DD731</f>
        <v>0.64473631483919813</v>
      </c>
      <c r="AF720" s="2453"/>
      <c r="AG720" s="2453"/>
      <c r="AH720" s="2453"/>
      <c r="AI720" s="3638" t="str">
        <f>'BUS Deemed Savings Table'!L731</f>
        <v>per sq. ft.</v>
      </c>
      <c r="AJ720" s="1930"/>
      <c r="AK720" s="1930"/>
      <c r="AL720" s="1930"/>
      <c r="AM720" s="1972">
        <f t="shared" si="1031"/>
        <v>9.1068400000000004E-4</v>
      </c>
      <c r="AN720" s="1930">
        <f t="shared" si="1012"/>
        <v>6.1015828000000004E-4</v>
      </c>
      <c r="AO720" s="1971">
        <f t="shared" si="1032"/>
        <v>1.5828000000006788E-7</v>
      </c>
      <c r="AP720" s="1930"/>
    </row>
    <row r="721" spans="1:42" x14ac:dyDescent="0.25">
      <c r="A721" s="103" t="str">
        <f t="shared" si="1037"/>
        <v>805700</v>
      </c>
      <c r="B721" s="684" t="str">
        <f>'BUS Deemed Savings Table'!C732</f>
        <v>805700_2019_12_</v>
      </c>
      <c r="C721" s="1962" t="str">
        <f>'BUS Deemed Savings Table'!G732</f>
        <v>Cooling BUS</v>
      </c>
      <c r="D721" s="1962"/>
      <c r="E721" s="1962"/>
      <c r="F721" s="1962"/>
      <c r="G721" s="1962" t="str">
        <f>'BUS Deemed Savings Table'!E732</f>
        <v>Demand Controlled Ventillation (Electric Heat)</v>
      </c>
      <c r="H721" s="63" t="str">
        <f>'BUS Deemed Savings Table'!D732</f>
        <v>C&amp;I</v>
      </c>
      <c r="I721" s="2438">
        <f>'BUS Deemed Savings Table'!F732</f>
        <v>1.9</v>
      </c>
      <c r="J721" s="2438"/>
      <c r="K721" s="3600"/>
      <c r="L721" s="2439"/>
      <c r="M721" s="2439"/>
      <c r="N721" s="2439"/>
      <c r="O721" s="2440">
        <f>'BUS Deemed Savings Table'!I732</f>
        <v>1.73E-3</v>
      </c>
      <c r="P721" s="2440"/>
      <c r="Q721" s="2441"/>
      <c r="R721" s="2441"/>
      <c r="S721" s="2441"/>
      <c r="T721" s="2441"/>
      <c r="U721" s="1822">
        <f t="shared" si="1033"/>
        <v>0</v>
      </c>
      <c r="V721" s="1822">
        <f t="shared" si="1034"/>
        <v>1.73E-3</v>
      </c>
      <c r="W721" s="1822">
        <f t="shared" si="1035"/>
        <v>0</v>
      </c>
      <c r="X721" s="68">
        <f>'BUS Deemed Savings Table'!J732</f>
        <v>10</v>
      </c>
      <c r="Y721" s="68"/>
      <c r="Z721" s="68">
        <f t="shared" si="1036"/>
        <v>10</v>
      </c>
      <c r="AA721" s="3640"/>
      <c r="AB721" s="839" t="str">
        <f>'BUS Deemed Savings Table'!K732</f>
        <v>Actual</v>
      </c>
      <c r="AC721" s="2451">
        <f t="shared" si="1027"/>
        <v>1.8283567137230989</v>
      </c>
      <c r="AD721" s="2451">
        <f t="shared" si="1028"/>
        <v>0</v>
      </c>
      <c r="AE721" s="1661">
        <f>'BUS Deemed Savings Table'!DD732</f>
        <v>1.8283567137230989</v>
      </c>
      <c r="AF721" s="2453"/>
      <c r="AG721" s="2453"/>
      <c r="AH721" s="2453"/>
      <c r="AI721" s="3638" t="str">
        <f>'BUS Deemed Savings Table'!L732</f>
        <v>per sq. ft.</v>
      </c>
      <c r="AJ721" s="1930"/>
      <c r="AK721" s="1930"/>
      <c r="AL721" s="1930"/>
      <c r="AM721" s="1972">
        <f t="shared" si="1031"/>
        <v>9.1068400000000004E-4</v>
      </c>
      <c r="AN721" s="1930">
        <f t="shared" si="1012"/>
        <v>1.7302996E-3</v>
      </c>
      <c r="AO721" s="1971">
        <f t="shared" si="1032"/>
        <v>2.9960000000003352E-7</v>
      </c>
      <c r="AP721" s="1930"/>
    </row>
    <row r="722" spans="1:42" x14ac:dyDescent="0.25">
      <c r="A722" s="103" t="str">
        <f t="shared" si="1037"/>
        <v>805750</v>
      </c>
      <c r="B722" s="684" t="str">
        <f>'BUS Deemed Savings Table'!C733</f>
        <v>805750_2019_12_</v>
      </c>
      <c r="C722" s="1962" t="str">
        <f>'BUS Deemed Savings Table'!G733</f>
        <v>Cooling BUS</v>
      </c>
      <c r="D722" s="1962"/>
      <c r="E722" s="1962"/>
      <c r="F722" s="1962"/>
      <c r="G722" s="1962" t="str">
        <f>'BUS Deemed Savings Table'!E733</f>
        <v>Demand Controlled Ventillation (Heat Pump)</v>
      </c>
      <c r="H722" s="63" t="str">
        <f>'BUS Deemed Savings Table'!D733</f>
        <v>C&amp;I</v>
      </c>
      <c r="I722" s="2438">
        <f>'BUS Deemed Savings Table'!F733</f>
        <v>1.08</v>
      </c>
      <c r="J722" s="2438"/>
      <c r="K722" s="3600"/>
      <c r="L722" s="2439"/>
      <c r="M722" s="2439"/>
      <c r="N722" s="2439"/>
      <c r="O722" s="2440">
        <f>'BUS Deemed Savings Table'!I733</f>
        <v>9.8400000000000007E-4</v>
      </c>
      <c r="P722" s="2440"/>
      <c r="Q722" s="2441"/>
      <c r="R722" s="2441"/>
      <c r="S722" s="2441"/>
      <c r="T722" s="2441"/>
      <c r="U722" s="1822">
        <f t="shared" si="1033"/>
        <v>0</v>
      </c>
      <c r="V722" s="1822">
        <f t="shared" si="1034"/>
        <v>9.8400000000000007E-4</v>
      </c>
      <c r="W722" s="1822">
        <f t="shared" si="1035"/>
        <v>0</v>
      </c>
      <c r="X722" s="68">
        <f>'BUS Deemed Savings Table'!J733</f>
        <v>10</v>
      </c>
      <c r="Y722" s="68"/>
      <c r="Z722" s="68">
        <f t="shared" si="1036"/>
        <v>10</v>
      </c>
      <c r="AA722" s="3640"/>
      <c r="AB722" s="839" t="str">
        <f>'BUS Deemed Savings Table'!K733</f>
        <v>Actual</v>
      </c>
      <c r="AC722" s="2451">
        <f t="shared" si="1027"/>
        <v>1.0392764478004985</v>
      </c>
      <c r="AD722" s="2451">
        <f t="shared" si="1028"/>
        <v>0</v>
      </c>
      <c r="AE722" s="1661">
        <f>'BUS Deemed Savings Table'!DD733</f>
        <v>1.0392764478004985</v>
      </c>
      <c r="AF722" s="2453"/>
      <c r="AG722" s="2453"/>
      <c r="AH722" s="2453"/>
      <c r="AI722" s="3638" t="str">
        <f>'BUS Deemed Savings Table'!L733</f>
        <v>per sq. ft.</v>
      </c>
      <c r="AJ722" s="1930"/>
      <c r="AK722" s="1930"/>
      <c r="AL722" s="1930"/>
      <c r="AM722" s="1972">
        <f t="shared" si="1031"/>
        <v>9.1068400000000004E-4</v>
      </c>
      <c r="AN722" s="1930">
        <f t="shared" si="1012"/>
        <v>9.8353872000000011E-4</v>
      </c>
      <c r="AO722" s="1971">
        <f t="shared" si="1032"/>
        <v>-4.6127999999995978E-7</v>
      </c>
      <c r="AP722" s="1930"/>
    </row>
    <row r="723" spans="1:42" x14ac:dyDescent="0.25">
      <c r="A723" s="103" t="str">
        <f t="shared" si="1037"/>
        <v>805800</v>
      </c>
      <c r="B723" s="684" t="str">
        <f>'BUS Deemed Savings Table'!C751</f>
        <v>805800_2019_12_</v>
      </c>
      <c r="C723" s="1962" t="str">
        <f>'BUS Deemed Savings Table'!G751</f>
        <v>HVAC BUS</v>
      </c>
      <c r="D723" s="1962"/>
      <c r="E723" s="1962"/>
      <c r="F723" s="1962"/>
      <c r="G723" s="1962" t="str">
        <f>'BUS Deemed Savings Table'!E751</f>
        <v>Advanced RTU Controls</v>
      </c>
      <c r="H723" s="63" t="str">
        <f>'BUS Deemed Savings Table'!D751</f>
        <v>C&amp;I</v>
      </c>
      <c r="I723" s="2438">
        <f>'BUS Deemed Savings Table'!F751</f>
        <v>3779.33</v>
      </c>
      <c r="J723" s="2438"/>
      <c r="K723" s="2439"/>
      <c r="L723" s="2439"/>
      <c r="M723" s="2439"/>
      <c r="N723" s="2439"/>
      <c r="O723" s="2440">
        <f>'BUS Deemed Savings Table'!I751</f>
        <v>1.6779580000000001</v>
      </c>
      <c r="P723" s="2440"/>
      <c r="Q723" s="2441"/>
      <c r="R723" s="2441"/>
      <c r="S723" s="2441"/>
      <c r="T723" s="2441"/>
      <c r="U723" s="1822">
        <f t="shared" si="1033"/>
        <v>0</v>
      </c>
      <c r="V723" s="1822">
        <f t="shared" si="1034"/>
        <v>0</v>
      </c>
      <c r="W723" s="1822">
        <f t="shared" si="1035"/>
        <v>1.6779580000000001</v>
      </c>
      <c r="X723" s="68">
        <f>'BUS Deemed Savings Table'!J751</f>
        <v>15</v>
      </c>
      <c r="Y723" s="68"/>
      <c r="Z723" s="68">
        <f t="shared" si="1036"/>
        <v>15</v>
      </c>
      <c r="AA723" s="62">
        <f>'BUS Deemed Savings Table'!DB751</f>
        <v>0.89697006475682783</v>
      </c>
      <c r="AB723" s="839">
        <f>'BUS Deemed Savings Table'!K751</f>
        <v>4038</v>
      </c>
      <c r="AC723" s="2451">
        <f t="shared" si="1027"/>
        <v>3418.5607564776501</v>
      </c>
      <c r="AD723" s="2451">
        <f t="shared" si="1028"/>
        <v>0</v>
      </c>
      <c r="AE723" s="1661">
        <f>'BUS Deemed Savings Table'!DD751</f>
        <v>3418.5607564776501</v>
      </c>
      <c r="AF723" s="2453"/>
      <c r="AG723" s="2453"/>
      <c r="AH723" s="2453"/>
      <c r="AI723" s="3638" t="str">
        <f>'BUS Deemed Savings Table'!L751</f>
        <v>per measure</v>
      </c>
      <c r="AJ723" s="1930"/>
      <c r="AK723" s="1930"/>
      <c r="AL723" s="1930"/>
      <c r="AM723" s="1972">
        <f t="shared" si="1031"/>
        <v>4.4398300000000001E-4</v>
      </c>
      <c r="AN723" s="1930">
        <f t="shared" si="1012"/>
        <v>1.6779582713900001</v>
      </c>
      <c r="AO723" s="1971">
        <f t="shared" si="1032"/>
        <v>2.7139000002840419E-7</v>
      </c>
      <c r="AP723" s="1930"/>
    </row>
    <row r="724" spans="1:42" x14ac:dyDescent="0.25">
      <c r="A724" s="103" t="str">
        <f t="shared" si="1037"/>
        <v>805850</v>
      </c>
      <c r="B724" s="684" t="str">
        <f>'BUS Deemed Savings Table'!C767</f>
        <v>805850_2019_12_</v>
      </c>
      <c r="C724" s="1962" t="str">
        <f>'BUS Deemed Savings Table'!H767</f>
        <v>Cooling BUS</v>
      </c>
      <c r="D724" s="1962"/>
      <c r="E724" s="1962"/>
      <c r="F724" s="1962"/>
      <c r="G724" s="1962" t="str">
        <f>'BUS Deemed Savings Table'!E767</f>
        <v>PTAC</v>
      </c>
      <c r="H724" s="63" t="str">
        <f>'BUS Deemed Savings Table'!D767</f>
        <v>C&amp;I</v>
      </c>
      <c r="I724" s="2438">
        <f>'BUS Deemed Savings Table'!F767</f>
        <v>411.27</v>
      </c>
      <c r="J724" s="2438">
        <f>'BUS Deemed Savings Table'!G767</f>
        <v>10.53878231859869</v>
      </c>
      <c r="K724" s="2439"/>
      <c r="L724" s="2439"/>
      <c r="M724" s="2439"/>
      <c r="N724" s="2439"/>
      <c r="O724" s="2440">
        <f>'BUS Deemed Savings Table'!J767</f>
        <v>0.37453700000000001</v>
      </c>
      <c r="P724" s="2440">
        <f>'BUS Deemed Savings Table'!K767</f>
        <v>9.5969999999999996E-3</v>
      </c>
      <c r="Q724" s="2441"/>
      <c r="R724" s="2441"/>
      <c r="S724" s="2441"/>
      <c r="T724" s="2441"/>
      <c r="U724" s="1821">
        <f>IF(V724+W724&gt;0,0,IF(Z724&gt;0,P724,0))</f>
        <v>0</v>
      </c>
      <c r="V724" s="1821">
        <f>IF(W724&gt;0,0,IF(Z724&gt;9,P724,0))</f>
        <v>0</v>
      </c>
      <c r="W724" s="1821">
        <f>IF(Z724&gt;14,P724,0)</f>
        <v>9.5969999999999996E-3</v>
      </c>
      <c r="X724" s="68">
        <f>'BUS Deemed Savings Table'!L767</f>
        <v>15</v>
      </c>
      <c r="Y724" s="68"/>
      <c r="Z724" s="68">
        <f t="shared" si="1036"/>
        <v>15</v>
      </c>
      <c r="AA724" s="62">
        <f>'BUS Deemed Savings Table'!DB767</f>
        <v>0.59328732895135117</v>
      </c>
      <c r="AB724" s="839">
        <f>'BUS Deemed Savings Table'!M767</f>
        <v>1047</v>
      </c>
      <c r="AC724" s="2451">
        <f t="shared" si="1027"/>
        <v>586.28771440496894</v>
      </c>
      <c r="AD724" s="2451">
        <f t="shared" si="1028"/>
        <v>0</v>
      </c>
      <c r="AE724" s="1661">
        <f>'BUS Deemed Savings Table'!DD767</f>
        <v>586.28771440496894</v>
      </c>
      <c r="AF724" s="2453"/>
      <c r="AG724" s="2453"/>
      <c r="AH724" s="2453"/>
      <c r="AI724" s="3641" t="str">
        <f>'BUS Deemed Savings Table'!N767</f>
        <v>per ton</v>
      </c>
      <c r="AJ724" s="1930"/>
      <c r="AK724" s="1930"/>
      <c r="AL724" s="1930"/>
      <c r="AM724" s="1808">
        <f t="shared" si="1031"/>
        <v>9.1068400000000004E-4</v>
      </c>
      <c r="AN724" s="1809">
        <f t="shared" si="1012"/>
        <v>0.37453700868000001</v>
      </c>
      <c r="AO724" s="1807">
        <f t="shared" si="1032"/>
        <v>8.6799999965414543E-9</v>
      </c>
      <c r="AP724" s="1930"/>
    </row>
    <row r="725" spans="1:42" x14ac:dyDescent="0.25">
      <c r="A725" s="103" t="str">
        <f t="shared" si="1037"/>
        <v>805900</v>
      </c>
      <c r="B725" s="684" t="str">
        <f>'BUS Deemed Savings Table'!C768</f>
        <v>805900_2019_12_</v>
      </c>
      <c r="C725" s="1962" t="str">
        <f>'BUS Deemed Savings Table'!H768</f>
        <v>Cooling BUS</v>
      </c>
      <c r="D725" s="1962"/>
      <c r="E725" s="1962"/>
      <c r="F725" s="1962"/>
      <c r="G725" s="1962" t="str">
        <f>'BUS Deemed Savings Table'!E768</f>
        <v>PTHP</v>
      </c>
      <c r="H725" s="63" t="str">
        <f>'BUS Deemed Savings Table'!D768</f>
        <v>C&amp;I</v>
      </c>
      <c r="I725" s="2438">
        <f>'BUS Deemed Savings Table'!F768</f>
        <v>715.42</v>
      </c>
      <c r="J725" s="2438">
        <f>'BUS Deemed Savings Table'!G768</f>
        <v>177.09378296037951</v>
      </c>
      <c r="K725" s="2439"/>
      <c r="L725" s="2439"/>
      <c r="M725" s="2439"/>
      <c r="N725" s="2439"/>
      <c r="O725" s="2440">
        <f>'BUS Deemed Savings Table'!J768</f>
        <v>0.37453599999999998</v>
      </c>
      <c r="P725" s="2440">
        <f>'BUS Deemed Savings Table'!K768</f>
        <v>1.9373000000000001E-2</v>
      </c>
      <c r="Q725" s="2441"/>
      <c r="R725" s="2441"/>
      <c r="S725" s="2441"/>
      <c r="T725" s="2441"/>
      <c r="U725" s="1821">
        <f>IF(V725+W725&gt;0,0,IF(Z725&gt;0,P725,0))</f>
        <v>0</v>
      </c>
      <c r="V725" s="1821">
        <f>IF(W725&gt;0,0,IF(Z725&gt;9,P725,0))</f>
        <v>0</v>
      </c>
      <c r="W725" s="1821">
        <f>IF(Z725&gt;14,P725,0)</f>
        <v>1.9373000000000001E-2</v>
      </c>
      <c r="X725" s="68">
        <f>'BUS Deemed Savings Table'!L768</f>
        <v>15</v>
      </c>
      <c r="Y725" s="68"/>
      <c r="Z725" s="68">
        <f t="shared" si="1036"/>
        <v>15</v>
      </c>
      <c r="AA725" s="62">
        <f>'BUS Deemed Savings Table'!DB768</f>
        <v>1.032046151867084</v>
      </c>
      <c r="AB725" s="839">
        <f>'BUS Deemed Savings Table'!M768</f>
        <v>1047</v>
      </c>
      <c r="AC725" s="2451">
        <f t="shared" si="1027"/>
        <v>1019.8700528596855</v>
      </c>
      <c r="AD725" s="2451">
        <f t="shared" si="1028"/>
        <v>0</v>
      </c>
      <c r="AE725" s="1661">
        <f>'BUS Deemed Savings Table'!DD768</f>
        <v>1019.8700528596855</v>
      </c>
      <c r="AF725" s="2453"/>
      <c r="AG725" s="2453"/>
      <c r="AH725" s="2453"/>
      <c r="AI725" s="3641" t="str">
        <f>'BUS Deemed Savings Table'!N768</f>
        <v>per ton</v>
      </c>
      <c r="AJ725" s="1930"/>
      <c r="AK725" s="1930"/>
      <c r="AL725" s="1930"/>
      <c r="AM725" s="1808">
        <f t="shared" si="1031"/>
        <v>9.1068400000000004E-4</v>
      </c>
      <c r="AN725" s="1809">
        <f t="shared" si="1012"/>
        <v>0.65152154728</v>
      </c>
      <c r="AO725" s="1807">
        <f>AN725-P725</f>
        <v>0.63214854728000003</v>
      </c>
      <c r="AP725" s="1930" t="s">
        <v>4089</v>
      </c>
    </row>
    <row r="726" spans="1:42" x14ac:dyDescent="0.25">
      <c r="A726" s="103" t="str">
        <f t="shared" si="1037"/>
        <v>805950</v>
      </c>
      <c r="B726" s="684" t="str">
        <f>'BUS Deemed Savings Table'!C785</f>
        <v>805950_2019_12_</v>
      </c>
      <c r="C726" s="1962" t="str">
        <f>'BUS Deemed Savings Table'!G785</f>
        <v>Refrigeration BUS</v>
      </c>
      <c r="D726" s="1962"/>
      <c r="E726" s="1962"/>
      <c r="F726" s="1962"/>
      <c r="G726" s="1962" t="str">
        <f>'BUS Deemed Savings Table'!E785</f>
        <v>Refrigerated Beverage Vending Machine (Class A)</v>
      </c>
      <c r="H726" s="63" t="str">
        <f>'BUS Deemed Savings Table'!D785</f>
        <v>C&amp;I</v>
      </c>
      <c r="I726" s="2438">
        <f>'BUS Deemed Savings Table'!F785</f>
        <v>0.13</v>
      </c>
      <c r="J726" s="2438"/>
      <c r="K726" s="2439"/>
      <c r="L726" s="2439"/>
      <c r="M726" s="2439"/>
      <c r="N726" s="2439"/>
      <c r="O726" s="2440">
        <f>'BUS Deemed Savings Table'!I785</f>
        <v>1.8E-5</v>
      </c>
      <c r="P726" s="2440"/>
      <c r="Q726" s="2441"/>
      <c r="R726" s="2441"/>
      <c r="S726" s="2441"/>
      <c r="T726" s="2441"/>
      <c r="U726" s="1822">
        <f t="shared" ref="U726:U732" si="1056">IF(V726+W726&gt;0,0,IF(Z726&gt;0,O726,0))</f>
        <v>0</v>
      </c>
      <c r="V726" s="1822">
        <f t="shared" ref="V726:V732" si="1057">IF(W726&gt;0,0,IF(Z726&gt;9,O726,0))</f>
        <v>1.8E-5</v>
      </c>
      <c r="W726" s="1822">
        <f t="shared" ref="W726:W732" si="1058">IF(Z726&gt;14,O726,0)</f>
        <v>0</v>
      </c>
      <c r="X726" s="68">
        <f>'BUS Deemed Savings Table'!J785</f>
        <v>12</v>
      </c>
      <c r="Y726" s="68"/>
      <c r="Z726" s="68">
        <f t="shared" si="1036"/>
        <v>12</v>
      </c>
      <c r="AA726" s="62">
        <f>'BUS Deemed Savings Table'!DB785</f>
        <v>4.2764848841657214E-4</v>
      </c>
      <c r="AB726" s="839">
        <f>'BUS Deemed Savings Table'!K785</f>
        <v>140</v>
      </c>
      <c r="AC726" s="2451">
        <f t="shared" si="1027"/>
        <v>5.6508530795960445E-2</v>
      </c>
      <c r="AD726" s="2451">
        <f t="shared" si="1028"/>
        <v>0</v>
      </c>
      <c r="AE726" s="1661">
        <f>'BUS Deemed Savings Table'!DD785</f>
        <v>5.6508530795960445E-2</v>
      </c>
      <c r="AF726" s="2453"/>
      <c r="AG726" s="2453"/>
      <c r="AH726" s="2453"/>
      <c r="AI726" s="3638" t="str">
        <f>'BUS Deemed Savings Table'!L785</f>
        <v>per measure</v>
      </c>
      <c r="AJ726" s="1930"/>
      <c r="AK726" s="1930"/>
      <c r="AL726" s="1930"/>
      <c r="AM726" s="1972">
        <f t="shared" si="1031"/>
        <v>1.3573829999999999E-4</v>
      </c>
      <c r="AN726" s="100">
        <f t="shared" si="1012"/>
        <v>1.7645978999999999E-5</v>
      </c>
      <c r="AO726" s="1971">
        <f t="shared" ref="AO726:AO732" si="1059">AN726-O726</f>
        <v>-3.5402100000000113E-7</v>
      </c>
      <c r="AP726" s="1930"/>
    </row>
    <row r="727" spans="1:42" x14ac:dyDescent="0.25">
      <c r="A727" s="103" t="str">
        <f t="shared" si="1037"/>
        <v>806000</v>
      </c>
      <c r="B727" s="684" t="str">
        <f>'BUS Deemed Savings Table'!C786</f>
        <v>806000_2019_12_</v>
      </c>
      <c r="C727" s="1962" t="str">
        <f>'BUS Deemed Savings Table'!G786</f>
        <v>Refrigeration BUS</v>
      </c>
      <c r="D727" s="1962"/>
      <c r="E727" s="1962"/>
      <c r="F727" s="1962"/>
      <c r="G727" s="1962" t="str">
        <f>'BUS Deemed Savings Table'!E786</f>
        <v>Refrigerated Beverage Vending Machine (Class B)</v>
      </c>
      <c r="H727" s="63" t="str">
        <f>'BUS Deemed Savings Table'!D786</f>
        <v>C&amp;I</v>
      </c>
      <c r="I727" s="2438">
        <f>'BUS Deemed Savings Table'!F786</f>
        <v>0.32</v>
      </c>
      <c r="J727" s="2438"/>
      <c r="K727" s="2439"/>
      <c r="L727" s="2439"/>
      <c r="M727" s="2439"/>
      <c r="N727" s="2439"/>
      <c r="O727" s="2440">
        <f>'BUS Deemed Savings Table'!I786</f>
        <v>4.3000000000000002E-5</v>
      </c>
      <c r="P727" s="2440"/>
      <c r="Q727" s="2441"/>
      <c r="R727" s="2441"/>
      <c r="S727" s="2441"/>
      <c r="T727" s="2441"/>
      <c r="U727" s="1822">
        <f t="shared" si="1056"/>
        <v>0</v>
      </c>
      <c r="V727" s="1822">
        <f t="shared" si="1057"/>
        <v>4.3000000000000002E-5</v>
      </c>
      <c r="W727" s="1822">
        <f t="shared" si="1058"/>
        <v>0</v>
      </c>
      <c r="X727" s="68">
        <f>'BUS Deemed Savings Table'!J786</f>
        <v>12</v>
      </c>
      <c r="Y727" s="68"/>
      <c r="Z727" s="68">
        <f t="shared" si="1036"/>
        <v>12</v>
      </c>
      <c r="AA727" s="62">
        <f>'BUS Deemed Savings Table'!DB786</f>
        <v>1.0526732022561776E-3</v>
      </c>
      <c r="AB727" s="839">
        <f>'BUS Deemed Savings Table'!K786</f>
        <v>140</v>
      </c>
      <c r="AC727" s="2451">
        <f t="shared" si="1027"/>
        <v>0.13909792195928725</v>
      </c>
      <c r="AD727" s="2451">
        <f t="shared" si="1028"/>
        <v>0</v>
      </c>
      <c r="AE727" s="1661">
        <f>'BUS Deemed Savings Table'!DD786</f>
        <v>0.13909792195928725</v>
      </c>
      <c r="AF727" s="2453"/>
      <c r="AG727" s="2453"/>
      <c r="AH727" s="2453"/>
      <c r="AI727" s="3638" t="str">
        <f>'BUS Deemed Savings Table'!L786</f>
        <v>per measure</v>
      </c>
      <c r="AJ727" s="1930"/>
      <c r="AK727" s="1930"/>
      <c r="AL727" s="1930"/>
      <c r="AM727" s="1972">
        <f t="shared" si="1031"/>
        <v>1.3573829999999999E-4</v>
      </c>
      <c r="AN727" s="1930">
        <f t="shared" si="1012"/>
        <v>4.3436255999999996E-5</v>
      </c>
      <c r="AO727" s="1971">
        <f t="shared" si="1059"/>
        <v>4.3625599999999408E-7</v>
      </c>
      <c r="AP727" s="1930"/>
    </row>
    <row r="728" spans="1:42" x14ac:dyDescent="0.25">
      <c r="A728" s="103" t="str">
        <f t="shared" si="1037"/>
        <v>806050</v>
      </c>
      <c r="B728" s="684" t="str">
        <f>'BUS Deemed Savings Table'!C803</f>
        <v>806050_2019_12_</v>
      </c>
      <c r="C728" s="1962" t="str">
        <f>'BUS Deemed Savings Table'!G803</f>
        <v>Miscellaneous BUS</v>
      </c>
      <c r="D728" s="1962"/>
      <c r="E728" s="1962"/>
      <c r="F728" s="1962"/>
      <c r="G728" s="1962" t="str">
        <f>'BUS Deemed Savings Table'!E803</f>
        <v>ECM for Walk-in &amp; Reach-in Coolers/Freezers</v>
      </c>
      <c r="H728" s="63" t="str">
        <f>'BUS Deemed Savings Table'!D803</f>
        <v>C&amp;I</v>
      </c>
      <c r="I728" s="2438">
        <f>'BUS Deemed Savings Table'!F803</f>
        <v>1409</v>
      </c>
      <c r="J728" s="2438"/>
      <c r="K728" s="2439"/>
      <c r="L728" s="2439"/>
      <c r="M728" s="2439"/>
      <c r="N728" s="2439"/>
      <c r="O728" s="2440">
        <f>'BUS Deemed Savings Table'!I803</f>
        <v>0.19436300000000001</v>
      </c>
      <c r="P728" s="2440"/>
      <c r="Q728" s="2441"/>
      <c r="R728" s="2441"/>
      <c r="S728" s="2441"/>
      <c r="T728" s="2441"/>
      <c r="U728" s="1822">
        <f t="shared" si="1056"/>
        <v>0</v>
      </c>
      <c r="V728" s="1822">
        <f t="shared" si="1057"/>
        <v>0</v>
      </c>
      <c r="W728" s="1822">
        <f t="shared" si="1058"/>
        <v>0.19436300000000001</v>
      </c>
      <c r="X728" s="68">
        <f>'BUS Deemed Savings Table'!J803</f>
        <v>15</v>
      </c>
      <c r="Y728" s="68"/>
      <c r="Z728" s="68">
        <f t="shared" si="1036"/>
        <v>15</v>
      </c>
      <c r="AA728" s="62">
        <f>'BUS Deemed Savings Table'!DB803</f>
        <v>4.5216913705641595</v>
      </c>
      <c r="AB728" s="839">
        <f>'BUS Deemed Savings Table'!K803</f>
        <v>177</v>
      </c>
      <c r="AC728" s="2451">
        <f t="shared" si="1027"/>
        <v>755.39346162327149</v>
      </c>
      <c r="AD728" s="2451">
        <f t="shared" si="1028"/>
        <v>0</v>
      </c>
      <c r="AE728" s="1661">
        <f>'BUS Deemed Savings Table'!DD803</f>
        <v>755.39346162327149</v>
      </c>
      <c r="AF728" s="2453"/>
      <c r="AG728" s="2453"/>
      <c r="AH728" s="2453"/>
      <c r="AI728" s="3638" t="str">
        <f>'BUS Deemed Savings Table'!L803</f>
        <v>per motor</v>
      </c>
      <c r="AJ728" s="1930"/>
      <c r="AK728" s="1930"/>
      <c r="AL728" s="1930"/>
      <c r="AM728" s="1972">
        <f t="shared" si="1031"/>
        <v>1.379439E-4</v>
      </c>
      <c r="AN728" s="1930">
        <f t="shared" si="1012"/>
        <v>0.19436295510000001</v>
      </c>
      <c r="AO728" s="1971">
        <f t="shared" si="1059"/>
        <v>-4.4899999995795525E-8</v>
      </c>
      <c r="AP728" s="1930"/>
    </row>
    <row r="729" spans="1:42" s="1930" customFormat="1" x14ac:dyDescent="0.25">
      <c r="A729" s="103" t="str">
        <f t="shared" si="1037"/>
        <v>806100</v>
      </c>
      <c r="B729" s="684" t="str">
        <f>'BUS Deemed Savings Table'!C819</f>
        <v>806100_2020_07_</v>
      </c>
      <c r="C729" s="1962" t="str">
        <f>'BUS Deemed Savings Table'!G819</f>
        <v>HVAC BUS</v>
      </c>
      <c r="D729" s="1962"/>
      <c r="E729" s="1962"/>
      <c r="F729" s="1962"/>
      <c r="G729" s="1962" t="str">
        <f>'BUS Deemed Savings Table'!E819</f>
        <v>High Volume Low Speed Fan, 20</v>
      </c>
      <c r="H729" s="63" t="str">
        <f>'BUS Deemed Savings Table'!D819</f>
        <v>C&amp;I</v>
      </c>
      <c r="I729" s="2438">
        <f>'BUS Deemed Savings Table'!F819</f>
        <v>6577</v>
      </c>
      <c r="J729" s="2438"/>
      <c r="K729" s="2439"/>
      <c r="L729" s="2439"/>
      <c r="M729" s="2439"/>
      <c r="N729" s="2439"/>
      <c r="O729" s="2440">
        <f>'BUS Deemed Savings Table'!I819</f>
        <v>2.9200761910000002</v>
      </c>
      <c r="P729" s="2440"/>
      <c r="Q729" s="2441"/>
      <c r="R729" s="2441"/>
      <c r="S729" s="2441"/>
      <c r="T729" s="2441"/>
      <c r="U729" s="1926">
        <f t="shared" si="1056"/>
        <v>0</v>
      </c>
      <c r="V729" s="1926">
        <f t="shared" si="1057"/>
        <v>2.9200761910000002</v>
      </c>
      <c r="W729" s="1926">
        <f t="shared" si="1058"/>
        <v>0</v>
      </c>
      <c r="X729" s="68">
        <f>'BUS Deemed Savings Table'!J819</f>
        <v>10</v>
      </c>
      <c r="Y729" s="68"/>
      <c r="Z729" s="68">
        <f>Y729+X729</f>
        <v>10</v>
      </c>
      <c r="AA729" s="62">
        <f>'BUS Deemed Savings Table'!DB819</f>
        <v>1.0290050862607221</v>
      </c>
      <c r="AB729" s="839">
        <f>'BUS Deemed Savings Table'!K819</f>
        <v>4150</v>
      </c>
      <c r="AC729" s="2451">
        <f>AE729+AF729</f>
        <v>4030.5531929985805</v>
      </c>
      <c r="AD729" s="2451">
        <f>AG729+AH729</f>
        <v>0</v>
      </c>
      <c r="AE729" s="1661">
        <f>'BUS Deemed Savings Table'!DD819</f>
        <v>4030.5531929985805</v>
      </c>
      <c r="AF729" s="2453"/>
      <c r="AG729" s="2453"/>
      <c r="AH729" s="2453"/>
      <c r="AI729" s="3638" t="str">
        <f>'BUS Deemed Savings Table'!L819</f>
        <v>per measure</v>
      </c>
      <c r="AM729" s="1972">
        <f>VLOOKUP(C729,$AS$10:$AT$49,2,FALSE)</f>
        <v>4.4398300000000001E-4</v>
      </c>
      <c r="AN729" s="1930">
        <f>AM729*I729</f>
        <v>2.9200761910000002</v>
      </c>
      <c r="AO729" s="1971">
        <f t="shared" si="1059"/>
        <v>0</v>
      </c>
    </row>
    <row r="730" spans="1:42" s="1930" customFormat="1" x14ac:dyDescent="0.25">
      <c r="A730" s="103" t="str">
        <f t="shared" si="1037"/>
        <v>806110</v>
      </c>
      <c r="B730" s="684" t="str">
        <f>'BUS Deemed Savings Table'!C820</f>
        <v>806110_2020_07_</v>
      </c>
      <c r="C730" s="1962" t="str">
        <f>'BUS Deemed Savings Table'!G820</f>
        <v>HVAC BUS</v>
      </c>
      <c r="D730" s="1962"/>
      <c r="E730" s="1962"/>
      <c r="F730" s="1962"/>
      <c r="G730" s="1962" t="str">
        <f>'BUS Deemed Savings Table'!E820</f>
        <v>High Volume Low Speed Fan, 22</v>
      </c>
      <c r="H730" s="63" t="str">
        <f>'BUS Deemed Savings Table'!D820</f>
        <v>C&amp;I</v>
      </c>
      <c r="I730" s="2438">
        <f>'BUS Deemed Savings Table'!F820</f>
        <v>8543</v>
      </c>
      <c r="J730" s="2438"/>
      <c r="K730" s="2439"/>
      <c r="L730" s="2439"/>
      <c r="M730" s="2439"/>
      <c r="N730" s="2439"/>
      <c r="O730" s="2440">
        <f>'BUS Deemed Savings Table'!I820</f>
        <v>3.7929467690000003</v>
      </c>
      <c r="P730" s="2440"/>
      <c r="Q730" s="2441"/>
      <c r="R730" s="2441"/>
      <c r="S730" s="2441"/>
      <c r="T730" s="2441"/>
      <c r="U730" s="1926">
        <f t="shared" si="1056"/>
        <v>0</v>
      </c>
      <c r="V730" s="1926">
        <f t="shared" si="1057"/>
        <v>3.7929467690000003</v>
      </c>
      <c r="W730" s="1926">
        <f t="shared" si="1058"/>
        <v>0</v>
      </c>
      <c r="X730" s="68">
        <f>'BUS Deemed Savings Table'!J820</f>
        <v>10</v>
      </c>
      <c r="Y730" s="68"/>
      <c r="Z730" s="68">
        <f>Y730+X730</f>
        <v>10</v>
      </c>
      <c r="AA730" s="62">
        <f>'BUS Deemed Savings Table'!DB820</f>
        <v>1.3270029883569243</v>
      </c>
      <c r="AB730" s="839">
        <f>'BUS Deemed Savings Table'!K820</f>
        <v>4180</v>
      </c>
      <c r="AC730" s="2451">
        <f>AE730+AF730</f>
        <v>5235.3680899782385</v>
      </c>
      <c r="AD730" s="2451">
        <f>AG730+AH730</f>
        <v>0</v>
      </c>
      <c r="AE730" s="1661">
        <f>'BUS Deemed Savings Table'!DD820</f>
        <v>5235.3680899782385</v>
      </c>
      <c r="AF730" s="2453"/>
      <c r="AG730" s="2453"/>
      <c r="AH730" s="2453"/>
      <c r="AI730" s="3638" t="str">
        <f>'BUS Deemed Savings Table'!L820</f>
        <v>per measure</v>
      </c>
      <c r="AM730" s="1972">
        <f>VLOOKUP(C730,$AS$10:$AT$49,2,FALSE)</f>
        <v>4.4398300000000001E-4</v>
      </c>
      <c r="AN730" s="1930">
        <f>AM730*I730</f>
        <v>3.7929467690000003</v>
      </c>
      <c r="AO730" s="1971">
        <f t="shared" si="1059"/>
        <v>0</v>
      </c>
    </row>
    <row r="731" spans="1:42" s="1930" customFormat="1" x14ac:dyDescent="0.25">
      <c r="A731" s="103" t="str">
        <f t="shared" si="1037"/>
        <v>806120</v>
      </c>
      <c r="B731" s="684" t="str">
        <f>'BUS Deemed Savings Table'!C821</f>
        <v>806120_2020_07_</v>
      </c>
      <c r="C731" s="1962" t="str">
        <f>'BUS Deemed Savings Table'!G821</f>
        <v>HVAC BUS</v>
      </c>
      <c r="D731" s="1962"/>
      <c r="E731" s="1962"/>
      <c r="F731" s="1962"/>
      <c r="G731" s="1962" t="str">
        <f>'BUS Deemed Savings Table'!E821</f>
        <v>High Volume Low Speed Fan, 24</v>
      </c>
      <c r="H731" s="63" t="str">
        <f>'BUS Deemed Savings Table'!D821</f>
        <v>C&amp;I</v>
      </c>
      <c r="I731" s="2438">
        <f>'BUS Deemed Savings Table'!F821</f>
        <v>10018</v>
      </c>
      <c r="J731" s="2438"/>
      <c r="K731" s="2439"/>
      <c r="L731" s="2439"/>
      <c r="M731" s="2439"/>
      <c r="N731" s="2439"/>
      <c r="O731" s="2440">
        <f>'BUS Deemed Savings Table'!I821</f>
        <v>4.4478216939999999</v>
      </c>
      <c r="P731" s="2440"/>
      <c r="Q731" s="2441"/>
      <c r="R731" s="2441"/>
      <c r="S731" s="2441"/>
      <c r="T731" s="2441"/>
      <c r="U731" s="1926">
        <f t="shared" si="1056"/>
        <v>0</v>
      </c>
      <c r="V731" s="1926">
        <f t="shared" si="1057"/>
        <v>4.4478216939999999</v>
      </c>
      <c r="W731" s="1926">
        <f t="shared" si="1058"/>
        <v>0</v>
      </c>
      <c r="X731" s="68">
        <f>'BUS Deemed Savings Table'!J821</f>
        <v>10</v>
      </c>
      <c r="Y731" s="68"/>
      <c r="Z731" s="68">
        <f>Y731+X731</f>
        <v>10</v>
      </c>
      <c r="AA731" s="62">
        <f>'BUS Deemed Savings Table'!DB821</f>
        <v>1.5395439463061122</v>
      </c>
      <c r="AB731" s="839">
        <f>'BUS Deemed Savings Table'!K821</f>
        <v>4225</v>
      </c>
      <c r="AC731" s="2451">
        <f>AE731+AF731</f>
        <v>6139.2856754538207</v>
      </c>
      <c r="AD731" s="2451">
        <f>AG731+AH731</f>
        <v>0</v>
      </c>
      <c r="AE731" s="1661">
        <f>'BUS Deemed Savings Table'!DD821</f>
        <v>6139.2856754538207</v>
      </c>
      <c r="AF731" s="2453"/>
      <c r="AG731" s="2453"/>
      <c r="AH731" s="2453"/>
      <c r="AI731" s="3638" t="str">
        <f>'BUS Deemed Savings Table'!L821</f>
        <v>per measure</v>
      </c>
      <c r="AM731" s="1972">
        <f>VLOOKUP(C731,$AS$10:$AT$49,2,FALSE)</f>
        <v>4.4398300000000001E-4</v>
      </c>
      <c r="AN731" s="1930">
        <f>AM731*I731</f>
        <v>4.4478216939999999</v>
      </c>
      <c r="AO731" s="1971">
        <f t="shared" si="1059"/>
        <v>0</v>
      </c>
    </row>
    <row r="732" spans="1:42" x14ac:dyDescent="0.25">
      <c r="A732" s="103" t="str">
        <f t="shared" si="1037"/>
        <v>999999</v>
      </c>
      <c r="B732" s="684" t="str">
        <f>'BUS Deemed Savings Table'!C834</f>
        <v>999999_2019_12</v>
      </c>
      <c r="C732" s="1962" t="str">
        <f>'BUS Deemed Savings Table'!G834</f>
        <v>Variable</v>
      </c>
      <c r="D732" s="1962"/>
      <c r="E732" s="1962"/>
      <c r="F732" s="1962"/>
      <c r="G732" s="1962" t="str">
        <f>'BUS Deemed Savings Table'!E834</f>
        <v>Custom</v>
      </c>
      <c r="H732" s="63" t="str">
        <f>'BUS Deemed Savings Table'!D834</f>
        <v>C&amp;I</v>
      </c>
      <c r="I732" s="2438" t="str">
        <f>'BUS Deemed Savings Table'!F834</f>
        <v>Custom</v>
      </c>
      <c r="J732" s="2438"/>
      <c r="K732" s="2439"/>
      <c r="L732" s="2439"/>
      <c r="M732" s="2439"/>
      <c r="N732" s="2439"/>
      <c r="O732" s="2440" t="str">
        <f>'BUS Deemed Savings Table'!I834</f>
        <v>Custom</v>
      </c>
      <c r="P732" s="2440"/>
      <c r="Q732" s="2441"/>
      <c r="R732" s="2441"/>
      <c r="S732" s="2441"/>
      <c r="T732" s="2441"/>
      <c r="U732" s="1822" t="e">
        <f t="shared" si="1056"/>
        <v>#VALUE!</v>
      </c>
      <c r="V732" s="1822">
        <f t="shared" si="1057"/>
        <v>0</v>
      </c>
      <c r="W732" s="1822" t="str">
        <f t="shared" si="1058"/>
        <v>Custom</v>
      </c>
      <c r="X732" s="68" t="str">
        <f>'BUS Deemed Savings Table'!J834</f>
        <v>Custom</v>
      </c>
      <c r="Y732" s="68"/>
      <c r="Z732" s="68" t="s">
        <v>4090</v>
      </c>
      <c r="AA732" s="62" t="s">
        <v>4090</v>
      </c>
      <c r="AB732" s="839" t="s">
        <v>4090</v>
      </c>
      <c r="AC732" s="3642" t="s">
        <v>4090</v>
      </c>
      <c r="AD732" s="2451" t="s">
        <v>4090</v>
      </c>
      <c r="AE732" s="1661"/>
      <c r="AF732" s="2453"/>
      <c r="AG732" s="2453"/>
      <c r="AH732" s="2453"/>
      <c r="AI732" s="3638" t="str">
        <f>'BUS Deemed Savings Table'!L834</f>
        <v>Custom</v>
      </c>
      <c r="AJ732" s="1930"/>
      <c r="AK732" s="1930"/>
      <c r="AL732" s="1930"/>
      <c r="AM732" s="1972" t="e">
        <f t="shared" si="1031"/>
        <v>#N/A</v>
      </c>
      <c r="AN732" s="1930" t="e">
        <f t="shared" si="1012"/>
        <v>#N/A</v>
      </c>
      <c r="AO732" s="1971" t="e">
        <f t="shared" si="1059"/>
        <v>#N/A</v>
      </c>
      <c r="AP732" s="1930"/>
    </row>
    <row r="738" spans="27:27" x14ac:dyDescent="0.25">
      <c r="AA738" s="3643"/>
    </row>
    <row r="739" spans="27:27" x14ac:dyDescent="0.25">
      <c r="AA739" s="3643"/>
    </row>
    <row r="740" spans="27:27" x14ac:dyDescent="0.25">
      <c r="AA740" s="3643"/>
    </row>
  </sheetData>
  <autoFilter ref="B8:AU732"/>
  <mergeCells count="18">
    <mergeCell ref="K6:N6"/>
    <mergeCell ref="Q6:T6"/>
    <mergeCell ref="B1:AH3"/>
    <mergeCell ref="AE6:AE7"/>
    <mergeCell ref="AF6:AF7"/>
    <mergeCell ref="AG6:AG7"/>
    <mergeCell ref="AH6:AH7"/>
    <mergeCell ref="AC6:AC7"/>
    <mergeCell ref="AD6:AD7"/>
    <mergeCell ref="B6:B7"/>
    <mergeCell ref="AB6:AB7"/>
    <mergeCell ref="W6:W7"/>
    <mergeCell ref="AA6:AA7"/>
    <mergeCell ref="V6:V7"/>
    <mergeCell ref="X6:Z6"/>
    <mergeCell ref="H6:H7"/>
    <mergeCell ref="U6:U7"/>
    <mergeCell ref="C6:F6"/>
  </mergeCells>
  <conditionalFormatting sqref="D7:F8 D4:F5">
    <cfRule type="containsText" dxfId="116" priority="979" operator="containsText" text="ER2">
      <formula>NOT(ISERROR(SEARCH("ER2",D4)))</formula>
    </cfRule>
    <cfRule type="containsText" dxfId="115" priority="980" operator="containsText" text="ER1">
      <formula>NOT(ISERROR(SEARCH("ER1",D4)))</formula>
    </cfRule>
  </conditionalFormatting>
  <conditionalFormatting sqref="D7:F16 D48:F49 E111:F112 E115:F117 E119:F120 E123:F123 E125:F126 E129:F129 E131:F132 E135:F135 D121:F122 D118:F118 D113:F114 D136:F136 D133:F134 D130:F130 D127:F128 D124:F124 E36:F47 D166:F166 E167:F168 E170:F170 E172:F173 D174:F175 E176:F179 E182:F183 E195:F195 E199:F199 E205:F206 E213:F214 E219:F222 E229:F233 E248:F250 E259:F261 E265:F265 E267:F267 E269:F269 E295:F295 E303:F305 E310:F319 E398:F408 D412:F412 E428:F439 D440:F449 E481:F482 D483:F506 E544:F544 E582:F582 D583:F589 D545:F554 E137:F140 D320:F331 D4:F5 D628:F645 D733:F1048576 D19:F31 D61:F65 D68:F72 D82:F82 D84:F84 D86:F86 D88:F88 D90:F90 D92:F92 D94:F94 D96:F96 D98:F98 D100:F101 D103:F104 D106:F106 D109:F110 E165:F165 D379:F385 D388:F397 D414:F415 D420:F427 D451:F462 D464:F466 D470:F470 D475:F476 D478:F479 D523:F527 D472:F473 D557:F558 D562:F580 D609:F609 D612:F612 D615:F615 D75:F77 D33:F33 D35:F35 D51:F59 E186:F192 E201:F201 E236:F238 E241:F243 D335:F375 D532:F543 D591:F606">
    <cfRule type="containsText" dxfId="114" priority="978" operator="containsText" text="ER2">
      <formula>NOT(ISERROR(SEARCH("ER2",D4)))</formula>
    </cfRule>
  </conditionalFormatting>
  <conditionalFormatting sqref="D646:F664">
    <cfRule type="containsText" dxfId="113" priority="973" operator="containsText" text="ER2">
      <formula>NOT(ISERROR(SEARCH("ER2",D646)))</formula>
    </cfRule>
  </conditionalFormatting>
  <conditionalFormatting sqref="D665:F666 D669:F680">
    <cfRule type="containsText" dxfId="112" priority="971" operator="containsText" text="ER2">
      <formula>NOT(ISERROR(SEARCH("ER2",D665)))</formula>
    </cfRule>
  </conditionalFormatting>
  <conditionalFormatting sqref="D681:F681">
    <cfRule type="containsText" dxfId="111" priority="969" operator="containsText" text="ER2">
      <formula>NOT(ISERROR(SEARCH("ER2",D681)))</formula>
    </cfRule>
  </conditionalFormatting>
  <conditionalFormatting sqref="D683:F706">
    <cfRule type="containsText" dxfId="110" priority="967" operator="containsText" text="ER2">
      <formula>NOT(ISERROR(SEARCH("ER2",D683)))</formula>
    </cfRule>
  </conditionalFormatting>
  <conditionalFormatting sqref="D707:F713 D716:F725">
    <cfRule type="containsText" dxfId="109" priority="965" operator="containsText" text="ER2">
      <formula>NOT(ISERROR(SEARCH("ER2",D707)))</formula>
    </cfRule>
  </conditionalFormatting>
  <conditionalFormatting sqref="D726:F728">
    <cfRule type="containsText" dxfId="108" priority="963" operator="containsText" text="ER2">
      <formula>NOT(ISERROR(SEARCH("ER2",D726)))</formula>
    </cfRule>
  </conditionalFormatting>
  <conditionalFormatting sqref="D732:F732">
    <cfRule type="containsText" dxfId="107" priority="961" operator="containsText" text="ER2">
      <formula>NOT(ISERROR(SEARCH("ER2",D732)))</formula>
    </cfRule>
  </conditionalFormatting>
  <conditionalFormatting sqref="C562">
    <cfRule type="duplicateValues" dxfId="106" priority="960"/>
  </conditionalFormatting>
  <conditionalFormatting sqref="D618:F618">
    <cfRule type="containsText" dxfId="105" priority="940" operator="containsText" text="ER2">
      <formula>NOT(ISERROR(SEARCH("ER2",D618)))</formula>
    </cfRule>
  </conditionalFormatting>
  <conditionalFormatting sqref="D619:F619">
    <cfRule type="containsText" dxfId="104" priority="937" operator="containsText" text="ER2">
      <formula>NOT(ISERROR(SEARCH("ER2",D619)))</formula>
    </cfRule>
  </conditionalFormatting>
  <conditionalFormatting sqref="D667:F667">
    <cfRule type="containsText" dxfId="103" priority="934" operator="containsText" text="ER2">
      <formula>NOT(ISERROR(SEARCH("ER2",D667)))</formula>
    </cfRule>
  </conditionalFormatting>
  <conditionalFormatting sqref="D668:F668">
    <cfRule type="containsText" dxfId="102" priority="931" operator="containsText" text="ER2">
      <formula>NOT(ISERROR(SEARCH("ER2",D668)))</formula>
    </cfRule>
  </conditionalFormatting>
  <conditionalFormatting sqref="D714:F714">
    <cfRule type="containsText" dxfId="101" priority="928" operator="containsText" text="ER2">
      <formula>NOT(ISERROR(SEARCH("ER2",D714)))</formula>
    </cfRule>
  </conditionalFormatting>
  <conditionalFormatting sqref="D715:F715">
    <cfRule type="containsText" dxfId="100" priority="925" operator="containsText" text="ER2">
      <formula>NOT(ISERROR(SEARCH("ER2",D715)))</formula>
    </cfRule>
  </conditionalFormatting>
  <conditionalFormatting sqref="D729:F729">
    <cfRule type="containsText" dxfId="99" priority="919" operator="containsText" text="ER2">
      <formula>NOT(ISERROR(SEARCH("ER2",D729)))</formula>
    </cfRule>
  </conditionalFormatting>
  <conditionalFormatting sqref="D730:F730">
    <cfRule type="containsText" dxfId="98" priority="916" operator="containsText" text="ER2">
      <formula>NOT(ISERROR(SEARCH("ER2",D730)))</formula>
    </cfRule>
  </conditionalFormatting>
  <conditionalFormatting sqref="D731:F731">
    <cfRule type="containsText" dxfId="97" priority="913" operator="containsText" text="ER2">
      <formula>NOT(ISERROR(SEARCH("ER2",D731)))</formula>
    </cfRule>
  </conditionalFormatting>
  <conditionalFormatting sqref="D17:F17">
    <cfRule type="containsText" dxfId="96" priority="907" operator="containsText" text="ER2">
      <formula>NOT(ISERROR(SEARCH("ER2",D17)))</formula>
    </cfRule>
  </conditionalFormatting>
  <conditionalFormatting sqref="D18:F18">
    <cfRule type="containsText" dxfId="95" priority="904" operator="containsText" text="ER2">
      <formula>NOT(ISERROR(SEARCH("ER2",D18)))</formula>
    </cfRule>
  </conditionalFormatting>
  <conditionalFormatting sqref="D60:F60">
    <cfRule type="containsText" dxfId="94" priority="901" operator="containsText" text="ER2">
      <formula>NOT(ISERROR(SEARCH("ER2",D60)))</formula>
    </cfRule>
  </conditionalFormatting>
  <conditionalFormatting sqref="D66:F66">
    <cfRule type="containsText" dxfId="93" priority="898" operator="containsText" text="ER2">
      <formula>NOT(ISERROR(SEARCH("ER2",D66)))</formula>
    </cfRule>
  </conditionalFormatting>
  <conditionalFormatting sqref="D67:F67">
    <cfRule type="containsText" dxfId="92" priority="895" operator="containsText" text="ER2">
      <formula>NOT(ISERROR(SEARCH("ER2",D67)))</formula>
    </cfRule>
  </conditionalFormatting>
  <conditionalFormatting sqref="D78:F78">
    <cfRule type="containsText" dxfId="91" priority="892" operator="containsText" text="ER2">
      <formula>NOT(ISERROR(SEARCH("ER2",D78)))</formula>
    </cfRule>
  </conditionalFormatting>
  <conditionalFormatting sqref="D79:F79">
    <cfRule type="containsText" dxfId="90" priority="889" operator="containsText" text="ER2">
      <formula>NOT(ISERROR(SEARCH("ER2",D79)))</formula>
    </cfRule>
  </conditionalFormatting>
  <conditionalFormatting sqref="D80:F80">
    <cfRule type="containsText" dxfId="89" priority="886" operator="containsText" text="ER2">
      <formula>NOT(ISERROR(SEARCH("ER2",D80)))</formula>
    </cfRule>
  </conditionalFormatting>
  <conditionalFormatting sqref="D83:F83">
    <cfRule type="containsText" dxfId="88" priority="883" operator="containsText" text="ER2">
      <formula>NOT(ISERROR(SEARCH("ER2",D83)))</formula>
    </cfRule>
  </conditionalFormatting>
  <conditionalFormatting sqref="D85:F85">
    <cfRule type="containsText" dxfId="87" priority="880" operator="containsText" text="ER2">
      <formula>NOT(ISERROR(SEARCH("ER2",D85)))</formula>
    </cfRule>
  </conditionalFormatting>
  <conditionalFormatting sqref="D87:F87">
    <cfRule type="containsText" dxfId="86" priority="877" operator="containsText" text="ER2">
      <formula>NOT(ISERROR(SEARCH("ER2",D87)))</formula>
    </cfRule>
  </conditionalFormatting>
  <conditionalFormatting sqref="D89:F89">
    <cfRule type="containsText" dxfId="85" priority="874" operator="containsText" text="ER2">
      <formula>NOT(ISERROR(SEARCH("ER2",D89)))</formula>
    </cfRule>
  </conditionalFormatting>
  <conditionalFormatting sqref="D91:F91">
    <cfRule type="containsText" dxfId="84" priority="871" operator="containsText" text="ER2">
      <formula>NOT(ISERROR(SEARCH("ER2",D91)))</formula>
    </cfRule>
  </conditionalFormatting>
  <conditionalFormatting sqref="D93:F93">
    <cfRule type="containsText" dxfId="83" priority="868" operator="containsText" text="ER2">
      <formula>NOT(ISERROR(SEARCH("ER2",D93)))</formula>
    </cfRule>
  </conditionalFormatting>
  <conditionalFormatting sqref="D95:F95">
    <cfRule type="containsText" dxfId="82" priority="865" operator="containsText" text="ER2">
      <formula>NOT(ISERROR(SEARCH("ER2",D95)))</formula>
    </cfRule>
  </conditionalFormatting>
  <conditionalFormatting sqref="D97:F97">
    <cfRule type="containsText" dxfId="81" priority="862" operator="containsText" text="ER2">
      <formula>NOT(ISERROR(SEARCH("ER2",D97)))</formula>
    </cfRule>
  </conditionalFormatting>
  <conditionalFormatting sqref="D99:F99">
    <cfRule type="containsText" dxfId="80" priority="859" operator="containsText" text="ER2">
      <formula>NOT(ISERROR(SEARCH("ER2",D99)))</formula>
    </cfRule>
  </conditionalFormatting>
  <conditionalFormatting sqref="D102:F102">
    <cfRule type="containsText" dxfId="79" priority="856" operator="containsText" text="ER2">
      <formula>NOT(ISERROR(SEARCH("ER2",D102)))</formula>
    </cfRule>
  </conditionalFormatting>
  <conditionalFormatting sqref="D105:F105">
    <cfRule type="containsText" dxfId="78" priority="853" operator="containsText" text="ER2">
      <formula>NOT(ISERROR(SEARCH("ER2",D105)))</formula>
    </cfRule>
  </conditionalFormatting>
  <conditionalFormatting sqref="D108:F108">
    <cfRule type="containsText" dxfId="77" priority="847" operator="containsText" text="ER2">
      <formula>NOT(ISERROR(SEARCH("ER2",D108)))</formula>
    </cfRule>
  </conditionalFormatting>
  <conditionalFormatting sqref="E141:F164">
    <cfRule type="containsText" dxfId="76" priority="844" operator="containsText" text="ER2">
      <formula>NOT(ISERROR(SEARCH("ER2",E141)))</formula>
    </cfRule>
  </conditionalFormatting>
  <conditionalFormatting sqref="D376:F378">
    <cfRule type="containsText" dxfId="75" priority="841" operator="containsText" text="ER2">
      <formula>NOT(ISERROR(SEARCH("ER2",D376)))</formula>
    </cfRule>
  </conditionalFormatting>
  <conditionalFormatting sqref="D386:F386">
    <cfRule type="containsText" dxfId="74" priority="838" operator="containsText" text="ER2">
      <formula>NOT(ISERROR(SEARCH("ER2",D386)))</formula>
    </cfRule>
  </conditionalFormatting>
  <conditionalFormatting sqref="D387:F387">
    <cfRule type="containsText" dxfId="73" priority="835" operator="containsText" text="ER2">
      <formula>NOT(ISERROR(SEARCH("ER2",D387)))</formula>
    </cfRule>
  </conditionalFormatting>
  <conditionalFormatting sqref="D413:F413">
    <cfRule type="containsText" dxfId="72" priority="832" operator="containsText" text="ER2">
      <formula>NOT(ISERROR(SEARCH("ER2",D413)))</formula>
    </cfRule>
  </conditionalFormatting>
  <conditionalFormatting sqref="D417:F417">
    <cfRule type="containsText" dxfId="71" priority="829" operator="containsText" text="ER2">
      <formula>NOT(ISERROR(SEARCH("ER2",D417)))</formula>
    </cfRule>
  </conditionalFormatting>
  <conditionalFormatting sqref="D416:F416">
    <cfRule type="containsText" dxfId="70" priority="826" operator="containsText" text="ER2">
      <formula>NOT(ISERROR(SEARCH("ER2",D416)))</formula>
    </cfRule>
  </conditionalFormatting>
  <conditionalFormatting sqref="D418:F419">
    <cfRule type="containsText" dxfId="69" priority="823" operator="containsText" text="ER2">
      <formula>NOT(ISERROR(SEARCH("ER2",D418)))</formula>
    </cfRule>
  </conditionalFormatting>
  <conditionalFormatting sqref="D450:F450">
    <cfRule type="containsText" dxfId="68" priority="820" operator="containsText" text="ER2">
      <formula>NOT(ISERROR(SEARCH("ER2",D450)))</formula>
    </cfRule>
  </conditionalFormatting>
  <conditionalFormatting sqref="D463:F463">
    <cfRule type="containsText" dxfId="67" priority="817" operator="containsText" text="ER2">
      <formula>NOT(ISERROR(SEARCH("ER2",D463)))</formula>
    </cfRule>
  </conditionalFormatting>
  <conditionalFormatting sqref="D468:F468">
    <cfRule type="containsText" dxfId="66" priority="814" operator="containsText" text="ER2">
      <formula>NOT(ISERROR(SEARCH("ER2",D468)))</formula>
    </cfRule>
  </conditionalFormatting>
  <conditionalFormatting sqref="D474:F474">
    <cfRule type="containsText" dxfId="65" priority="811" operator="containsText" text="ER2">
      <formula>NOT(ISERROR(SEARCH("ER2",D474)))</formula>
    </cfRule>
  </conditionalFormatting>
  <conditionalFormatting sqref="D477:F477">
    <cfRule type="containsText" dxfId="64" priority="808" operator="containsText" text="ER2">
      <formula>NOT(ISERROR(SEARCH("ER2",D477)))</formula>
    </cfRule>
  </conditionalFormatting>
  <conditionalFormatting sqref="D480:F480">
    <cfRule type="containsText" dxfId="63" priority="805" operator="containsText" text="ER2">
      <formula>NOT(ISERROR(SEARCH("ER2",D480)))</formula>
    </cfRule>
  </conditionalFormatting>
  <conditionalFormatting sqref="D507:F507">
    <cfRule type="containsText" dxfId="62" priority="784" operator="containsText" text="ER2">
      <formula>NOT(ISERROR(SEARCH("ER2",D507)))</formula>
    </cfRule>
  </conditionalFormatting>
  <conditionalFormatting sqref="D517:F519">
    <cfRule type="containsText" dxfId="61" priority="769" operator="containsText" text="ER2">
      <formula>NOT(ISERROR(SEARCH("ER2",D517)))</formula>
    </cfRule>
  </conditionalFormatting>
  <conditionalFormatting sqref="D508:F511">
    <cfRule type="containsText" dxfId="60" priority="778" operator="containsText" text="ER2">
      <formula>NOT(ISERROR(SEARCH("ER2",D508)))</formula>
    </cfRule>
  </conditionalFormatting>
  <conditionalFormatting sqref="D512:F516">
    <cfRule type="containsText" dxfId="59" priority="772" operator="containsText" text="ER2">
      <formula>NOT(ISERROR(SEARCH("ER2",D512)))</formula>
    </cfRule>
  </conditionalFormatting>
  <conditionalFormatting sqref="D471:F471">
    <cfRule type="containsText" dxfId="58" priority="766" operator="containsText" text="ER2">
      <formula>NOT(ISERROR(SEARCH("ER2",D471)))</formula>
    </cfRule>
  </conditionalFormatting>
  <conditionalFormatting sqref="D522:F522">
    <cfRule type="containsText" dxfId="57" priority="763" operator="containsText" text="ER2">
      <formula>NOT(ISERROR(SEARCH("ER2",D522)))</formula>
    </cfRule>
  </conditionalFormatting>
  <conditionalFormatting sqref="D521:F521">
    <cfRule type="containsText" dxfId="56" priority="760" operator="containsText" text="ER2">
      <formula>NOT(ISERROR(SEARCH("ER2",D521)))</formula>
    </cfRule>
  </conditionalFormatting>
  <conditionalFormatting sqref="D520:F520">
    <cfRule type="containsText" dxfId="55" priority="757" operator="containsText" text="ER2">
      <formula>NOT(ISERROR(SEARCH("ER2",D520)))</formula>
    </cfRule>
  </conditionalFormatting>
  <conditionalFormatting sqref="D555:F555">
    <cfRule type="containsText" dxfId="54" priority="754" operator="containsText" text="ER2">
      <formula>NOT(ISERROR(SEARCH("ER2",D555)))</formula>
    </cfRule>
  </conditionalFormatting>
  <conditionalFormatting sqref="D556:F556">
    <cfRule type="containsText" dxfId="53" priority="751" operator="containsText" text="ER2">
      <formula>NOT(ISERROR(SEARCH("ER2",D556)))</formula>
    </cfRule>
  </conditionalFormatting>
  <conditionalFormatting sqref="D559:F559">
    <cfRule type="containsText" dxfId="52" priority="748" operator="containsText" text="ER2">
      <formula>NOT(ISERROR(SEARCH("ER2",D559)))</formula>
    </cfRule>
  </conditionalFormatting>
  <conditionalFormatting sqref="D607:F607">
    <cfRule type="containsText" dxfId="51" priority="745" operator="containsText" text="ER2">
      <formula>NOT(ISERROR(SEARCH("ER2",D607)))</formula>
    </cfRule>
  </conditionalFormatting>
  <conditionalFormatting sqref="D610:F610">
    <cfRule type="containsText" dxfId="50" priority="742" operator="containsText" text="ER2">
      <formula>NOT(ISERROR(SEARCH("ER2",D610)))</formula>
    </cfRule>
  </conditionalFormatting>
  <conditionalFormatting sqref="D613:F613">
    <cfRule type="containsText" dxfId="49" priority="739" operator="containsText" text="ER2">
      <formula>NOT(ISERROR(SEARCH("ER2",D613)))</formula>
    </cfRule>
  </conditionalFormatting>
  <conditionalFormatting sqref="D620:F620">
    <cfRule type="containsText" dxfId="48" priority="730" operator="containsText" text="ER2">
      <formula>NOT(ISERROR(SEARCH("ER2",D620)))</formula>
    </cfRule>
  </conditionalFormatting>
  <conditionalFormatting sqref="D621:F627">
    <cfRule type="containsText" dxfId="47" priority="727" operator="containsText" text="ER2">
      <formula>NOT(ISERROR(SEARCH("ER2",D621)))</formula>
    </cfRule>
  </conditionalFormatting>
  <conditionalFormatting sqref="D73:F73">
    <cfRule type="containsText" dxfId="46" priority="723" operator="containsText" text="ER2">
      <formula>NOT(ISERROR(SEARCH("ER2",D73)))</formula>
    </cfRule>
  </conditionalFormatting>
  <conditionalFormatting sqref="D74:F74">
    <cfRule type="containsText" dxfId="45" priority="719" operator="containsText" text="ER2">
      <formula>NOT(ISERROR(SEARCH("ER2",D74)))</formula>
    </cfRule>
  </conditionalFormatting>
  <conditionalFormatting sqref="D561:F561">
    <cfRule type="containsText" dxfId="44" priority="715" operator="containsText" text="ER2">
      <formula>NOT(ISERROR(SEARCH("ER2",D561)))</formula>
    </cfRule>
  </conditionalFormatting>
  <conditionalFormatting sqref="D107:F107">
    <cfRule type="containsText" dxfId="43" priority="711" operator="containsText" text="ER2">
      <formula>NOT(ISERROR(SEARCH("ER2",D107)))</formula>
    </cfRule>
  </conditionalFormatting>
  <conditionalFormatting sqref="D32:F32">
    <cfRule type="containsText" dxfId="42" priority="707" operator="containsText" text="ER2">
      <formula>NOT(ISERROR(SEARCH("ER2",D32)))</formula>
    </cfRule>
  </conditionalFormatting>
  <conditionalFormatting sqref="D34:F34">
    <cfRule type="containsText" dxfId="41" priority="703" operator="containsText" text="ER2">
      <formula>NOT(ISERROR(SEARCH("ER2",D34)))</formula>
    </cfRule>
  </conditionalFormatting>
  <conditionalFormatting sqref="D50:F50">
    <cfRule type="containsText" dxfId="40" priority="699" operator="containsText" text="ER2">
      <formula>NOT(ISERROR(SEARCH("ER2",D50)))</formula>
    </cfRule>
  </conditionalFormatting>
  <conditionalFormatting sqref="D81:F81">
    <cfRule type="containsText" dxfId="39" priority="695" operator="containsText" text="ER2">
      <formula>NOT(ISERROR(SEARCH("ER2",D81)))</formula>
    </cfRule>
  </conditionalFormatting>
  <conditionalFormatting sqref="E200:F200">
    <cfRule type="containsText" dxfId="38" priority="669" operator="containsText" text="ER2">
      <formula>NOT(ISERROR(SEARCH("ER2",E200)))</formula>
    </cfRule>
  </conditionalFormatting>
  <conditionalFormatting sqref="E215:F215">
    <cfRule type="containsText" dxfId="37" priority="613" operator="containsText" text="ER2">
      <formula>NOT(ISERROR(SEARCH("ER2",E215)))</formula>
    </cfRule>
  </conditionalFormatting>
  <conditionalFormatting sqref="E216:F216">
    <cfRule type="containsText" dxfId="36" priority="605" operator="containsText" text="ER2">
      <formula>NOT(ISERROR(SEARCH("ER2",E216)))</formula>
    </cfRule>
  </conditionalFormatting>
  <conditionalFormatting sqref="E223:F223">
    <cfRule type="containsText" dxfId="35" priority="597" operator="containsText" text="ER2">
      <formula>NOT(ISERROR(SEARCH("ER2",E223)))</formula>
    </cfRule>
  </conditionalFormatting>
  <conditionalFormatting sqref="E224:F224">
    <cfRule type="containsText" dxfId="34" priority="589" operator="containsText" text="ER2">
      <formula>NOT(ISERROR(SEARCH("ER2",E224)))</formula>
    </cfRule>
  </conditionalFormatting>
  <conditionalFormatting sqref="E234:F234">
    <cfRule type="containsText" dxfId="33" priority="549" operator="containsText" text="ER2">
      <formula>NOT(ISERROR(SEARCH("ER2",E234)))</formula>
    </cfRule>
  </conditionalFormatting>
  <conditionalFormatting sqref="E235:F235">
    <cfRule type="containsText" dxfId="32" priority="541" operator="containsText" text="ER2">
      <formula>NOT(ISERROR(SEARCH("ER2",E235)))</formula>
    </cfRule>
  </conditionalFormatting>
  <conditionalFormatting sqref="E239:F239">
    <cfRule type="containsText" dxfId="31" priority="533" operator="containsText" text="ER2">
      <formula>NOT(ISERROR(SEARCH("ER2",E239)))</formula>
    </cfRule>
  </conditionalFormatting>
  <conditionalFormatting sqref="E240:F240">
    <cfRule type="containsText" dxfId="30" priority="525" operator="containsText" text="ER2">
      <formula>NOT(ISERROR(SEARCH("ER2",E240)))</formula>
    </cfRule>
  </conditionalFormatting>
  <conditionalFormatting sqref="E244:F244">
    <cfRule type="containsText" dxfId="29" priority="517" operator="containsText" text="ER2">
      <formula>NOT(ISERROR(SEARCH("ER2",E244)))</formula>
    </cfRule>
  </conditionalFormatting>
  <conditionalFormatting sqref="E245:F245">
    <cfRule type="containsText" dxfId="28" priority="509" operator="containsText" text="ER2">
      <formula>NOT(ISERROR(SEARCH("ER2",E245)))</formula>
    </cfRule>
  </conditionalFormatting>
  <conditionalFormatting sqref="E251:F251">
    <cfRule type="containsText" dxfId="27" priority="485" operator="containsText" text="ER2">
      <formula>NOT(ISERROR(SEARCH("ER2",E251)))</formula>
    </cfRule>
  </conditionalFormatting>
  <conditionalFormatting sqref="E252:F252">
    <cfRule type="containsText" dxfId="26" priority="477" operator="containsText" text="ER2">
      <formula>NOT(ISERROR(SEARCH("ER2",E252)))</formula>
    </cfRule>
  </conditionalFormatting>
  <conditionalFormatting sqref="E262:F262">
    <cfRule type="containsText" dxfId="25" priority="421" operator="containsText" text="ER2">
      <formula>NOT(ISERROR(SEARCH("ER2",E262)))</formula>
    </cfRule>
  </conditionalFormatting>
  <conditionalFormatting sqref="E263:F263">
    <cfRule type="containsText" dxfId="24" priority="413" operator="containsText" text="ER2">
      <formula>NOT(ISERROR(SEARCH("ER2",E263)))</formula>
    </cfRule>
  </conditionalFormatting>
  <conditionalFormatting sqref="E306:F306">
    <cfRule type="containsText" dxfId="23" priority="229" operator="containsText" text="ER2">
      <formula>NOT(ISERROR(SEARCH("ER2",E306)))</formula>
    </cfRule>
  </conditionalFormatting>
  <conditionalFormatting sqref="E307:F307">
    <cfRule type="containsText" dxfId="22" priority="221" operator="containsText" text="ER2">
      <formula>NOT(ISERROR(SEARCH("ER2",E307)))</formula>
    </cfRule>
  </conditionalFormatting>
  <conditionalFormatting sqref="D332:F332">
    <cfRule type="containsText" dxfId="21" priority="217" operator="containsText" text="ER2">
      <formula>NOT(ISERROR(SEARCH("ER2",D332)))</formula>
    </cfRule>
  </conditionalFormatting>
  <conditionalFormatting sqref="D333:F333">
    <cfRule type="containsText" dxfId="20" priority="213" operator="containsText" text="ER2">
      <formula>NOT(ISERROR(SEARCH("ER2",D333)))</formula>
    </cfRule>
  </conditionalFormatting>
  <conditionalFormatting sqref="D334:F334">
    <cfRule type="containsText" dxfId="19" priority="209" operator="containsText" text="ER2">
      <formula>NOT(ISERROR(SEARCH("ER2",D334)))</formula>
    </cfRule>
  </conditionalFormatting>
  <conditionalFormatting sqref="E409:F409">
    <cfRule type="containsText" dxfId="18" priority="201" operator="containsText" text="ER2">
      <formula>NOT(ISERROR(SEARCH("ER2",E409)))</formula>
    </cfRule>
  </conditionalFormatting>
  <conditionalFormatting sqref="E410:F410">
    <cfRule type="containsText" dxfId="17" priority="193" operator="containsText" text="ER2">
      <formula>NOT(ISERROR(SEARCH("ER2",E410)))</formula>
    </cfRule>
  </conditionalFormatting>
  <conditionalFormatting sqref="E411:F411">
    <cfRule type="containsText" dxfId="16" priority="185" operator="containsText" text="ER2">
      <formula>NOT(ISERROR(SEARCH("ER2",E411)))</formula>
    </cfRule>
  </conditionalFormatting>
  <conditionalFormatting sqref="D467:F467">
    <cfRule type="containsText" dxfId="15" priority="181" operator="containsText" text="ER2">
      <formula>NOT(ISERROR(SEARCH("ER2",D467)))</formula>
    </cfRule>
  </conditionalFormatting>
  <conditionalFormatting sqref="D469:F469">
    <cfRule type="containsText" dxfId="14" priority="177" operator="containsText" text="ER2">
      <formula>NOT(ISERROR(SEARCH("ER2",D469)))</formula>
    </cfRule>
  </conditionalFormatting>
  <conditionalFormatting sqref="D528:F528">
    <cfRule type="containsText" dxfId="13" priority="173" operator="containsText" text="ER2">
      <formula>NOT(ISERROR(SEARCH("ER2",D528)))</formula>
    </cfRule>
  </conditionalFormatting>
  <conditionalFormatting sqref="D529:F529">
    <cfRule type="containsText" dxfId="12" priority="169" operator="containsText" text="ER2">
      <formula>NOT(ISERROR(SEARCH("ER2",D529)))</formula>
    </cfRule>
  </conditionalFormatting>
  <conditionalFormatting sqref="E530:F530">
    <cfRule type="containsText" dxfId="11" priority="53" operator="containsText" text="ER2">
      <formula>NOT(ISERROR(SEARCH("ER2",E530)))</formula>
    </cfRule>
  </conditionalFormatting>
  <conditionalFormatting sqref="E531:F531">
    <cfRule type="containsText" dxfId="10" priority="45" operator="containsText" text="ER2">
      <formula>NOT(ISERROR(SEARCH("ER2",E531)))</formula>
    </cfRule>
  </conditionalFormatting>
  <conditionalFormatting sqref="D560:F560">
    <cfRule type="containsText" dxfId="9" priority="37" operator="containsText" text="ER2">
      <formula>NOT(ISERROR(SEARCH("ER2",D560)))</formula>
    </cfRule>
  </conditionalFormatting>
  <conditionalFormatting sqref="D581:F581">
    <cfRule type="containsText" dxfId="8" priority="33" operator="containsText" text="ER2">
      <formula>NOT(ISERROR(SEARCH("ER2",D581)))</formula>
    </cfRule>
  </conditionalFormatting>
  <conditionalFormatting sqref="D590:F590">
    <cfRule type="containsText" dxfId="7" priority="29" operator="containsText" text="ER2">
      <formula>NOT(ISERROR(SEARCH("ER2",D590)))</formula>
    </cfRule>
  </conditionalFormatting>
  <conditionalFormatting sqref="D608:F608">
    <cfRule type="containsText" dxfId="6" priority="25" operator="containsText" text="ER2">
      <formula>NOT(ISERROR(SEARCH("ER2",D608)))</formula>
    </cfRule>
  </conditionalFormatting>
  <conditionalFormatting sqref="D611:F611">
    <cfRule type="containsText" dxfId="5" priority="21" operator="containsText" text="ER2">
      <formula>NOT(ISERROR(SEARCH("ER2",D611)))</formula>
    </cfRule>
  </conditionalFormatting>
  <conditionalFormatting sqref="D614:F614">
    <cfRule type="containsText" dxfId="4" priority="17" operator="containsText" text="ER2">
      <formula>NOT(ISERROR(SEARCH("ER2",D614)))</formula>
    </cfRule>
  </conditionalFormatting>
  <conditionalFormatting sqref="D616:F616">
    <cfRule type="containsText" dxfId="3" priority="13" operator="containsText" text="ER2">
      <formula>NOT(ISERROR(SEARCH("ER2",D616)))</formula>
    </cfRule>
  </conditionalFormatting>
  <conditionalFormatting sqref="D617:F617">
    <cfRule type="containsText" dxfId="2" priority="9" operator="containsText" text="ER2">
      <formula>NOT(ISERROR(SEARCH("ER2",D617)))</formula>
    </cfRule>
  </conditionalFormatting>
  <conditionalFormatting sqref="D682:F682">
    <cfRule type="containsText" dxfId="1" priority="5" operator="containsText" text="ER2">
      <formula>NOT(ISERROR(SEARCH("ER2",D682)))</formula>
    </cfRule>
  </conditionalFormatting>
  <conditionalFormatting sqref="A9:A732">
    <cfRule type="duplicateValues" dxfId="0" priority="2"/>
  </conditionalFormatting>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857"/>
  <sheetViews>
    <sheetView workbookViewId="0">
      <selection sqref="A1:H1"/>
    </sheetView>
  </sheetViews>
  <sheetFormatPr defaultRowHeight="15" x14ac:dyDescent="0.25"/>
  <cols>
    <col min="1" max="1" width="53.140625" style="422" customWidth="1"/>
    <col min="2" max="9" width="9.140625" style="422"/>
  </cols>
  <sheetData>
    <row r="1" spans="1:32" x14ac:dyDescent="0.25">
      <c r="A1" s="3676"/>
      <c r="B1" s="3676"/>
      <c r="C1" s="3676"/>
      <c r="D1" s="3676"/>
      <c r="E1" s="3676"/>
      <c r="F1" s="3676"/>
      <c r="G1" s="3676"/>
      <c r="H1" s="3676"/>
      <c r="I1" s="1930"/>
      <c r="J1" s="103"/>
      <c r="K1" s="422" t="s">
        <v>871</v>
      </c>
      <c r="L1" s="1930"/>
      <c r="M1" s="1930"/>
      <c r="N1" s="1930"/>
      <c r="O1" s="1930"/>
      <c r="P1" s="1930"/>
      <c r="Q1" s="1930"/>
      <c r="R1" s="1930"/>
      <c r="S1" s="1930"/>
      <c r="T1" s="1930"/>
      <c r="U1" s="1930"/>
      <c r="V1" s="1930"/>
      <c r="W1" s="1930"/>
      <c r="X1" s="1930"/>
      <c r="Y1" s="1930"/>
      <c r="Z1" s="1930"/>
      <c r="AA1" s="1930"/>
      <c r="AB1" s="1930"/>
      <c r="AC1" s="1930"/>
      <c r="AD1" s="1930"/>
      <c r="AE1" s="1930"/>
      <c r="AF1" s="1255"/>
    </row>
    <row r="2" spans="1:32" s="422" customFormat="1" x14ac:dyDescent="0.25">
      <c r="A2" s="422" t="s">
        <v>566</v>
      </c>
      <c r="B2" s="4546" t="s">
        <v>3192</v>
      </c>
      <c r="C2" s="4546"/>
      <c r="D2" s="4546"/>
      <c r="E2" s="4546"/>
      <c r="F2" s="4546"/>
      <c r="G2" s="4546"/>
      <c r="K2" s="1264">
        <v>1.0595E-2</v>
      </c>
    </row>
    <row r="3" spans="1:32" s="422" customFormat="1" x14ac:dyDescent="0.25">
      <c r="B3" s="422">
        <v>2019</v>
      </c>
      <c r="C3" s="422">
        <v>2020</v>
      </c>
      <c r="D3" s="422">
        <v>2021</v>
      </c>
      <c r="E3" s="422">
        <v>2022</v>
      </c>
      <c r="F3" s="422">
        <v>2023</v>
      </c>
      <c r="G3" s="422">
        <v>2024</v>
      </c>
    </row>
    <row r="4" spans="1:32" s="422" customFormat="1" x14ac:dyDescent="0.25">
      <c r="A4" s="1265" t="s">
        <v>3193</v>
      </c>
      <c r="B4" s="422">
        <v>3.5014999700269167E-2</v>
      </c>
      <c r="C4" s="422">
        <v>3.5102422286076608E-2</v>
      </c>
      <c r="D4" s="422">
        <v>3.5109104017373043E-2</v>
      </c>
      <c r="E4" s="422">
        <v>3.5730994133360415E-2</v>
      </c>
      <c r="F4" s="422">
        <v>3.6692248129435182E-2</v>
      </c>
      <c r="G4" s="422">
        <v>3.6765213204623164E-2</v>
      </c>
    </row>
    <row r="5" spans="1:32" s="422" customFormat="1" x14ac:dyDescent="0.25">
      <c r="A5" s="1265" t="s">
        <v>3194</v>
      </c>
      <c r="B5" s="422">
        <v>0.3639934789573992</v>
      </c>
      <c r="C5" s="422">
        <v>0.36534163510475237</v>
      </c>
      <c r="D5" s="422">
        <v>0.36624340227805086</v>
      </c>
      <c r="E5" s="422">
        <v>0.3671115602459194</v>
      </c>
      <c r="F5" s="422">
        <v>0.36576290998144079</v>
      </c>
      <c r="G5" s="422">
        <v>0.36186476173270998</v>
      </c>
    </row>
    <row r="6" spans="1:32" s="422" customFormat="1" x14ac:dyDescent="0.25">
      <c r="A6" s="1265" t="s">
        <v>3195</v>
      </c>
      <c r="B6" s="422">
        <v>0.40035663480502154</v>
      </c>
      <c r="C6" s="422">
        <v>0.40134582456412754</v>
      </c>
      <c r="D6" s="422">
        <v>0.4022206642632925</v>
      </c>
      <c r="E6" s="422">
        <v>0.40149390411480129</v>
      </c>
      <c r="F6" s="422">
        <v>0.39855700986214526</v>
      </c>
      <c r="G6" s="422">
        <v>0.39348550228064694</v>
      </c>
    </row>
    <row r="7" spans="1:32" s="422" customFormat="1" x14ac:dyDescent="0.25">
      <c r="A7" s="1265" t="s">
        <v>3196</v>
      </c>
      <c r="B7" s="422">
        <v>0.43636082426439682</v>
      </c>
      <c r="C7" s="422">
        <v>0.43732308654936936</v>
      </c>
      <c r="D7" s="422">
        <v>0.43660300813217434</v>
      </c>
      <c r="E7" s="422">
        <v>0.43428800399550566</v>
      </c>
      <c r="F7" s="422">
        <v>0.43017775041008216</v>
      </c>
      <c r="G7" s="422">
        <v>0.42397793006072676</v>
      </c>
    </row>
    <row r="8" spans="1:32" s="422" customFormat="1" x14ac:dyDescent="0.25">
      <c r="A8" s="1265" t="s">
        <v>3197</v>
      </c>
      <c r="B8" s="422">
        <v>0.47233808624963858</v>
      </c>
      <c r="C8" s="422">
        <v>0.47170543041825108</v>
      </c>
      <c r="D8" s="422">
        <v>0.46939710801287859</v>
      </c>
      <c r="E8" s="422">
        <v>0.4659087445434425</v>
      </c>
      <c r="F8" s="422">
        <v>0.46067017819016187</v>
      </c>
      <c r="G8" s="422">
        <v>0.45331397875642143</v>
      </c>
    </row>
    <row r="9" spans="1:32" s="422" customFormat="1" x14ac:dyDescent="0.25">
      <c r="A9" s="1265" t="s">
        <v>3198</v>
      </c>
      <c r="B9" s="422">
        <v>0.50672043011852042</v>
      </c>
      <c r="C9" s="422">
        <v>0.50449953029895567</v>
      </c>
      <c r="D9" s="422">
        <v>0.50101784856081555</v>
      </c>
      <c r="E9" s="422">
        <v>0.49640117232352232</v>
      </c>
      <c r="F9" s="422">
        <v>0.49000622688585671</v>
      </c>
      <c r="G9" s="422">
        <v>0.48164200473963714</v>
      </c>
    </row>
    <row r="10" spans="1:32" s="422" customFormat="1" x14ac:dyDescent="0.25">
      <c r="A10" s="1265" t="s">
        <v>3199</v>
      </c>
      <c r="B10" s="422">
        <v>0.53951452999922478</v>
      </c>
      <c r="C10" s="422">
        <v>0.53612027084689251</v>
      </c>
      <c r="D10" s="422">
        <v>0.53151027634089532</v>
      </c>
      <c r="E10" s="422">
        <v>0.52573722101921705</v>
      </c>
      <c r="F10" s="422">
        <v>0.51833425286907242</v>
      </c>
      <c r="G10" s="422">
        <v>0.50899876952210266</v>
      </c>
    </row>
    <row r="11" spans="1:32" s="422" customFormat="1" x14ac:dyDescent="0.25">
      <c r="A11" s="1265" t="s">
        <v>3200</v>
      </c>
      <c r="B11" s="422">
        <v>0.57113527054716173</v>
      </c>
      <c r="C11" s="422">
        <v>0.56661269862697239</v>
      </c>
      <c r="D11" s="422">
        <v>0.56084632503659015</v>
      </c>
      <c r="E11" s="422">
        <v>0.55406524700243276</v>
      </c>
      <c r="F11" s="422">
        <v>0.54569101765153794</v>
      </c>
      <c r="G11" s="422">
        <v>0.53541960218170159</v>
      </c>
    </row>
    <row r="12" spans="1:32" s="422" customFormat="1" x14ac:dyDescent="0.25">
      <c r="A12" s="1265" t="s">
        <v>3201</v>
      </c>
      <c r="B12" s="422">
        <v>0.60162769832724172</v>
      </c>
      <c r="C12" s="422">
        <v>0.59594874732266723</v>
      </c>
      <c r="D12" s="422">
        <v>0.58917435101980575</v>
      </c>
      <c r="E12" s="422">
        <v>0.58142201178489827</v>
      </c>
      <c r="F12" s="422">
        <v>0.57211185031113665</v>
      </c>
      <c r="G12" s="422">
        <v>0.56093845893074112</v>
      </c>
    </row>
    <row r="13" spans="1:32" s="422" customFormat="1" x14ac:dyDescent="0.25">
      <c r="A13" s="1265" t="s">
        <v>3202</v>
      </c>
      <c r="B13" s="422">
        <v>0.63096374702293623</v>
      </c>
      <c r="C13" s="422">
        <v>0.62427677330588272</v>
      </c>
      <c r="D13" s="422">
        <v>0.61653111580227149</v>
      </c>
      <c r="E13" s="422">
        <v>0.60784284444449721</v>
      </c>
      <c r="F13" s="422">
        <v>0.59763070706017662</v>
      </c>
      <c r="G13" s="422">
        <v>0.58558798006281754</v>
      </c>
    </row>
    <row r="14" spans="1:32" s="422" customFormat="1" x14ac:dyDescent="0.25">
      <c r="A14" s="1265" t="s">
        <v>3203</v>
      </c>
      <c r="B14" s="422">
        <v>0.65929177300615205</v>
      </c>
      <c r="C14" s="422">
        <v>0.65163353808834845</v>
      </c>
      <c r="D14" s="422">
        <v>0.6429519484618702</v>
      </c>
      <c r="E14" s="422">
        <v>0.63336170119353685</v>
      </c>
      <c r="F14" s="422">
        <v>0.62228022819225259</v>
      </c>
      <c r="G14" s="422">
        <v>0.60939954439885236</v>
      </c>
    </row>
    <row r="15" spans="1:32" s="422" customFormat="1" x14ac:dyDescent="0.25">
      <c r="A15" s="1265" t="s">
        <v>3204</v>
      </c>
      <c r="B15" s="422">
        <v>7.0117421986345782E-2</v>
      </c>
      <c r="C15" s="422">
        <v>7.0211526303449664E-2</v>
      </c>
      <c r="D15" s="422">
        <v>7.0840098150733485E-2</v>
      </c>
      <c r="E15" s="422">
        <v>7.242324226279559E-2</v>
      </c>
      <c r="F15" s="422">
        <v>7.3457461334058338E-2</v>
      </c>
      <c r="G15" s="422">
        <v>7.44997656753595E-2</v>
      </c>
    </row>
    <row r="16" spans="1:32" s="422" customFormat="1" x14ac:dyDescent="0.25">
      <c r="A16" s="1265" t="s">
        <v>3205</v>
      </c>
      <c r="B16" s="422">
        <v>0.68664853778861767</v>
      </c>
      <c r="C16" s="422">
        <v>0.67805437074794728</v>
      </c>
      <c r="D16" s="422">
        <v>0.66847080521090985</v>
      </c>
      <c r="E16" s="422">
        <v>0.65801122232561315</v>
      </c>
      <c r="F16" s="422">
        <v>0.64609179252828741</v>
      </c>
      <c r="G16" s="422">
        <v>0.63240332134715693</v>
      </c>
    </row>
    <row r="17" spans="1:7" s="422" customFormat="1" x14ac:dyDescent="0.25">
      <c r="A17" s="1265" t="s">
        <v>3206</v>
      </c>
      <c r="B17" s="422">
        <v>0.71306937044821639</v>
      </c>
      <c r="C17" s="422">
        <v>0.70357322749698692</v>
      </c>
      <c r="D17" s="422">
        <v>0.69312032634298604</v>
      </c>
      <c r="E17" s="422">
        <v>0.68182278666164786</v>
      </c>
      <c r="F17" s="422">
        <v>0.6690955694765921</v>
      </c>
      <c r="G17" s="422">
        <v>0.65411523918415981</v>
      </c>
    </row>
    <row r="18" spans="1:7" s="422" customFormat="1" x14ac:dyDescent="0.25">
      <c r="A18" s="1265" t="s">
        <v>3207</v>
      </c>
      <c r="B18" s="422">
        <v>0.73858822719725603</v>
      </c>
      <c r="C18" s="422">
        <v>0.72822274862906344</v>
      </c>
      <c r="D18" s="422">
        <v>0.71693189067902097</v>
      </c>
      <c r="E18" s="422">
        <v>0.70482656360995255</v>
      </c>
      <c r="F18" s="422">
        <v>0.69080748731359487</v>
      </c>
      <c r="G18" s="422">
        <v>0.67460784686420039</v>
      </c>
    </row>
    <row r="19" spans="1:7" s="422" customFormat="1" x14ac:dyDescent="0.25">
      <c r="A19" s="1265" t="s">
        <v>3208</v>
      </c>
      <c r="B19" s="422">
        <v>0.76323774832933233</v>
      </c>
      <c r="C19" s="422">
        <v>0.75203431296509815</v>
      </c>
      <c r="D19" s="422">
        <v>0.73993566762732554</v>
      </c>
      <c r="E19" s="422">
        <v>0.72653848144695543</v>
      </c>
      <c r="F19" s="422">
        <v>0.71130009499363567</v>
      </c>
      <c r="G19" s="422">
        <v>0.69394961909642372</v>
      </c>
    </row>
    <row r="20" spans="1:7" s="422" customFormat="1" x14ac:dyDescent="0.25">
      <c r="A20" s="1265" t="s">
        <v>3209</v>
      </c>
      <c r="B20" s="422">
        <v>0.78704931266536726</v>
      </c>
      <c r="C20" s="422">
        <v>0.77503808991340262</v>
      </c>
      <c r="D20" s="422">
        <v>0.76164758546432854</v>
      </c>
      <c r="E20" s="422">
        <v>0.74703108912699612</v>
      </c>
      <c r="F20" s="422">
        <v>0.730641867225859</v>
      </c>
      <c r="G20" s="422">
        <v>0.71220518514854569</v>
      </c>
    </row>
    <row r="21" spans="1:7" s="422" customFormat="1" x14ac:dyDescent="0.25">
      <c r="A21" s="1265" t="s">
        <v>3210</v>
      </c>
      <c r="B21" s="422">
        <v>0.81005308961367184</v>
      </c>
      <c r="C21" s="422">
        <v>0.79675000775040572</v>
      </c>
      <c r="D21" s="422">
        <v>0.782140193144369</v>
      </c>
      <c r="E21" s="422">
        <v>0.76637286135921945</v>
      </c>
      <c r="F21" s="422">
        <v>0.74889743327798086</v>
      </c>
      <c r="G21" s="422">
        <v>0.72943554480132711</v>
      </c>
    </row>
    <row r="22" spans="1:7" s="422" customFormat="1" x14ac:dyDescent="0.25">
      <c r="A22" s="1265" t="s">
        <v>3211</v>
      </c>
      <c r="B22" s="422">
        <v>0.83176500745067472</v>
      </c>
      <c r="C22" s="422">
        <v>0.81724261543044641</v>
      </c>
      <c r="D22" s="422">
        <v>0.80148196537659211</v>
      </c>
      <c r="E22" s="422">
        <v>0.78462842741134131</v>
      </c>
      <c r="F22" s="422">
        <v>0.76612779293076227</v>
      </c>
      <c r="G22" s="422">
        <v>0.74569827217535378</v>
      </c>
    </row>
    <row r="23" spans="1:7" s="422" customFormat="1" x14ac:dyDescent="0.25">
      <c r="A23" s="1265" t="s">
        <v>3212</v>
      </c>
      <c r="B23" s="422">
        <v>0.85225761513071552</v>
      </c>
      <c r="C23" s="422">
        <v>0.83658438766266952</v>
      </c>
      <c r="D23" s="422">
        <v>0.81973753142871408</v>
      </c>
      <c r="E23" s="422">
        <v>0.80185878706412284</v>
      </c>
      <c r="F23" s="422">
        <v>0.78239052030478906</v>
      </c>
      <c r="G23" s="422">
        <v>0.76104770811119804</v>
      </c>
    </row>
    <row r="24" spans="1:7" s="422" customFormat="1" x14ac:dyDescent="0.25">
      <c r="A24" s="1265" t="s">
        <v>3213</v>
      </c>
      <c r="B24" s="422">
        <v>0.87159938736293863</v>
      </c>
      <c r="C24" s="422">
        <v>0.85483995371479149</v>
      </c>
      <c r="D24" s="422">
        <v>0.83696789108149583</v>
      </c>
      <c r="E24" s="422">
        <v>0.8181215144381494</v>
      </c>
      <c r="F24" s="422">
        <v>0.79773995624063332</v>
      </c>
      <c r="G24" s="422">
        <v>0.77553514174578453</v>
      </c>
    </row>
    <row r="25" spans="1:7" s="422" customFormat="1" x14ac:dyDescent="0.25">
      <c r="A25" s="1265" t="s">
        <v>3214</v>
      </c>
      <c r="B25" s="422">
        <v>0.88985495341506049</v>
      </c>
      <c r="C25" s="422">
        <v>0.8720703133675729</v>
      </c>
      <c r="D25" s="422">
        <v>0.85323061845552273</v>
      </c>
      <c r="E25" s="422">
        <v>0.83347095037399377</v>
      </c>
      <c r="F25" s="422">
        <v>0.8122273898752197</v>
      </c>
      <c r="G25" s="422">
        <v>0.78920898189168953</v>
      </c>
    </row>
    <row r="26" spans="1:7" s="422" customFormat="1" x14ac:dyDescent="0.25">
      <c r="A26" s="1265" t="s">
        <v>3215</v>
      </c>
      <c r="B26" s="422">
        <v>0.10522652600371882</v>
      </c>
      <c r="C26" s="422">
        <v>0.10594252043681002</v>
      </c>
      <c r="D26" s="422">
        <v>0.10753234628016867</v>
      </c>
      <c r="E26" s="422">
        <v>0.1091884554674188</v>
      </c>
      <c r="F26" s="422">
        <v>0.11119201380479471</v>
      </c>
      <c r="G26" s="422">
        <v>0.11208641015990928</v>
      </c>
    </row>
    <row r="27" spans="1:7" s="422" customFormat="1" x14ac:dyDescent="0.25">
      <c r="A27" s="1265" t="s">
        <v>3216</v>
      </c>
      <c r="B27" s="422">
        <v>0.90708531306784213</v>
      </c>
      <c r="C27" s="422">
        <v>0.8883330407415998</v>
      </c>
      <c r="D27" s="422">
        <v>0.86858005439136687</v>
      </c>
      <c r="E27" s="422">
        <v>0.84795838400857992</v>
      </c>
      <c r="F27" s="422">
        <v>0.82590123002112459</v>
      </c>
      <c r="G27" s="422">
        <v>0.80211491879202435</v>
      </c>
    </row>
    <row r="28" spans="1:7" s="422" customFormat="1" x14ac:dyDescent="0.25">
      <c r="A28" s="1265" t="s">
        <v>3217</v>
      </c>
      <c r="B28" s="422">
        <v>0.14095752013707916</v>
      </c>
      <c r="C28" s="422">
        <v>0.14263476856624518</v>
      </c>
      <c r="D28" s="422">
        <v>0.14429755948479178</v>
      </c>
      <c r="E28" s="422">
        <v>0.1469230079381551</v>
      </c>
      <c r="F28" s="422">
        <v>0.14877865828934445</v>
      </c>
      <c r="G28" s="422">
        <v>0.14938848076454975</v>
      </c>
    </row>
    <row r="29" spans="1:7" s="422" customFormat="1" x14ac:dyDescent="0.25">
      <c r="A29" s="1265" t="s">
        <v>3218</v>
      </c>
      <c r="B29" s="422">
        <v>0.17764976826651435</v>
      </c>
      <c r="C29" s="422">
        <v>0.17939998177086824</v>
      </c>
      <c r="D29" s="422">
        <v>0.18203211195552818</v>
      </c>
      <c r="E29" s="422">
        <v>0.1845096524227049</v>
      </c>
      <c r="F29" s="422">
        <v>0.18608072889398491</v>
      </c>
      <c r="G29" s="422">
        <v>0.18634371069088468</v>
      </c>
    </row>
    <row r="30" spans="1:7" s="422" customFormat="1" x14ac:dyDescent="0.25">
      <c r="A30" s="1265" t="s">
        <v>3219</v>
      </c>
      <c r="B30" s="422">
        <v>0.21441498147113744</v>
      </c>
      <c r="C30" s="422">
        <v>0.21713453424160467</v>
      </c>
      <c r="D30" s="422">
        <v>0.21961875644007792</v>
      </c>
      <c r="E30" s="422">
        <v>0.22181172302734531</v>
      </c>
      <c r="F30" s="422">
        <v>0.22303595882031985</v>
      </c>
      <c r="G30" s="422">
        <v>0.2227068665385068</v>
      </c>
    </row>
    <row r="31" spans="1:7" s="422" customFormat="1" x14ac:dyDescent="0.25">
      <c r="A31" s="1265" t="s">
        <v>3220</v>
      </c>
      <c r="B31" s="422">
        <v>0.25214953394187384</v>
      </c>
      <c r="C31" s="422">
        <v>0.25472117872615457</v>
      </c>
      <c r="D31" s="422">
        <v>0.25692082704471841</v>
      </c>
      <c r="E31" s="422">
        <v>0.2587669529536803</v>
      </c>
      <c r="F31" s="422">
        <v>0.25939911466794202</v>
      </c>
      <c r="G31" s="422">
        <v>0.25871105599788213</v>
      </c>
    </row>
    <row r="32" spans="1:7" s="422" customFormat="1" x14ac:dyDescent="0.25">
      <c r="A32" s="1265" t="s">
        <v>3221</v>
      </c>
      <c r="B32" s="422">
        <v>0.28973617842642374</v>
      </c>
      <c r="C32" s="422">
        <v>0.2920232493307951</v>
      </c>
      <c r="D32" s="422">
        <v>0.29387605697105329</v>
      </c>
      <c r="E32" s="422">
        <v>0.29513010880130247</v>
      </c>
      <c r="F32" s="422">
        <v>0.2954033041273173</v>
      </c>
      <c r="G32" s="422">
        <v>0.29468831798312378</v>
      </c>
    </row>
    <row r="33" spans="1:7" s="422" customFormat="1" x14ac:dyDescent="0.25">
      <c r="A33" s="1265" t="s">
        <v>3222</v>
      </c>
      <c r="B33" s="422">
        <v>0.32703824903106427</v>
      </c>
      <c r="C33" s="422">
        <v>0.32897847925713014</v>
      </c>
      <c r="D33" s="422">
        <v>0.33023921281867546</v>
      </c>
      <c r="E33" s="422">
        <v>0.3311342982606777</v>
      </c>
      <c r="F33" s="422">
        <v>0.33138056611255901</v>
      </c>
      <c r="G33" s="422">
        <v>0.32907066185200567</v>
      </c>
    </row>
    <row r="34" spans="1:7" s="422" customFormat="1" x14ac:dyDescent="0.25">
      <c r="A34" s="1265" t="s">
        <v>3223</v>
      </c>
      <c r="B34" s="422">
        <v>3.3438309176011372E-2</v>
      </c>
      <c r="C34" s="422">
        <v>3.3456327221288204E-2</v>
      </c>
      <c r="D34" s="422">
        <v>3.3400128686320647E-2</v>
      </c>
      <c r="E34" s="422">
        <v>3.3860491055699923E-2</v>
      </c>
      <c r="F34" s="422">
        <v>3.4672211900371966E-2</v>
      </c>
      <c r="G34" s="422">
        <v>3.4646614766468235E-2</v>
      </c>
    </row>
    <row r="35" spans="1:7" s="422" customFormat="1" x14ac:dyDescent="0.25">
      <c r="A35" s="1265" t="s">
        <v>3224</v>
      </c>
      <c r="B35" s="422">
        <v>0.3441075622907816</v>
      </c>
      <c r="C35" s="422">
        <v>0.34483538449492207</v>
      </c>
      <c r="D35" s="422">
        <v>0.34524136521337867</v>
      </c>
      <c r="E35" s="422">
        <v>0.34573540875181619</v>
      </c>
      <c r="F35" s="422">
        <v>0.34427037989480286</v>
      </c>
      <c r="G35" s="422">
        <v>0.34050294590337671</v>
      </c>
    </row>
    <row r="36" spans="1:7" s="422" customFormat="1" x14ac:dyDescent="0.25">
      <c r="A36" s="1265" t="s">
        <v>3225</v>
      </c>
      <c r="B36" s="422">
        <v>0.37827369367093355</v>
      </c>
      <c r="C36" s="422">
        <v>0.37869769243466694</v>
      </c>
      <c r="D36" s="422">
        <v>0.37913553743813688</v>
      </c>
      <c r="E36" s="422">
        <v>0.37813087095050268</v>
      </c>
      <c r="F36" s="422">
        <v>0.37517515780374866</v>
      </c>
      <c r="G36" s="422">
        <v>0.37032190793101255</v>
      </c>
    </row>
    <row r="37" spans="1:7" s="422" customFormat="1" x14ac:dyDescent="0.25">
      <c r="A37" s="1265" t="s">
        <v>3226</v>
      </c>
      <c r="B37" s="422">
        <v>0.41213600161067826</v>
      </c>
      <c r="C37" s="422">
        <v>0.4125918646594251</v>
      </c>
      <c r="D37" s="422">
        <v>0.41153099963682338</v>
      </c>
      <c r="E37" s="422">
        <v>0.40903564885944849</v>
      </c>
      <c r="F37" s="422">
        <v>0.4049941198313845</v>
      </c>
      <c r="G37" s="422">
        <v>0.39909549705204023</v>
      </c>
    </row>
    <row r="38" spans="1:7" s="422" customFormat="1" x14ac:dyDescent="0.25">
      <c r="A38" s="1265" t="s">
        <v>3227</v>
      </c>
      <c r="B38" s="422">
        <v>0.44603017383543647</v>
      </c>
      <c r="C38" s="422">
        <v>0.4449873268581116</v>
      </c>
      <c r="D38" s="422">
        <v>0.44243577754576929</v>
      </c>
      <c r="E38" s="422">
        <v>0.43885461088708444</v>
      </c>
      <c r="F38" s="422">
        <v>0.43376770895241218</v>
      </c>
      <c r="G38" s="422">
        <v>0.42679128770801916</v>
      </c>
    </row>
    <row r="39" spans="1:7" s="422" customFormat="1" x14ac:dyDescent="0.25">
      <c r="A39" s="1265" t="s">
        <v>3228</v>
      </c>
      <c r="B39" s="422">
        <v>0.47842563603412297</v>
      </c>
      <c r="C39" s="422">
        <v>0.47589210476705757</v>
      </c>
      <c r="D39" s="422">
        <v>0.47225473957340514</v>
      </c>
      <c r="E39" s="422">
        <v>0.46762820000811206</v>
      </c>
      <c r="F39" s="422">
        <v>0.46146349960839117</v>
      </c>
      <c r="G39" s="422">
        <v>0.45354919387381853</v>
      </c>
    </row>
    <row r="40" spans="1:7" s="422" customFormat="1" x14ac:dyDescent="0.25">
      <c r="A40" s="1265" t="s">
        <v>3229</v>
      </c>
      <c r="B40" s="422">
        <v>0.50933041394306877</v>
      </c>
      <c r="C40" s="422">
        <v>0.50571106679469324</v>
      </c>
      <c r="D40" s="422">
        <v>0.5010283286944327</v>
      </c>
      <c r="E40" s="422">
        <v>0.49532399066409105</v>
      </c>
      <c r="F40" s="422">
        <v>0.48822140577419049</v>
      </c>
      <c r="G40" s="422">
        <v>0.47940283772104697</v>
      </c>
    </row>
    <row r="41" spans="1:7" s="422" customFormat="1" x14ac:dyDescent="0.25">
      <c r="A41" s="1265" t="s">
        <v>3230</v>
      </c>
      <c r="B41" s="422">
        <v>0.53914937597070456</v>
      </c>
      <c r="C41" s="422">
        <v>0.53448465591572092</v>
      </c>
      <c r="D41" s="422">
        <v>0.52872411935041186</v>
      </c>
      <c r="E41" s="422">
        <v>0.52208189682989037</v>
      </c>
      <c r="F41" s="422">
        <v>0.51407504962141903</v>
      </c>
      <c r="G41" s="422">
        <v>0.50438455457787157</v>
      </c>
    </row>
    <row r="42" spans="1:7" s="422" customFormat="1" x14ac:dyDescent="0.25">
      <c r="A42" s="1265" t="s">
        <v>3231</v>
      </c>
      <c r="B42" s="422">
        <v>0.56792296509173235</v>
      </c>
      <c r="C42" s="422">
        <v>0.56218044657169997</v>
      </c>
      <c r="D42" s="422">
        <v>0.55548202551621106</v>
      </c>
      <c r="E42" s="422">
        <v>0.54793554067711892</v>
      </c>
      <c r="F42" s="422">
        <v>0.53905676647824341</v>
      </c>
      <c r="G42" s="422">
        <v>0.52852544556765302</v>
      </c>
    </row>
    <row r="43" spans="1:7" s="422" customFormat="1" x14ac:dyDescent="0.25">
      <c r="A43" s="1265" t="s">
        <v>3232</v>
      </c>
      <c r="B43" s="422">
        <v>0.59561875574771128</v>
      </c>
      <c r="C43" s="422">
        <v>0.58893835273749928</v>
      </c>
      <c r="D43" s="422">
        <v>0.58133566936343961</v>
      </c>
      <c r="E43" s="422">
        <v>0.5729172575339434</v>
      </c>
      <c r="F43" s="422">
        <v>0.56319765746802497</v>
      </c>
      <c r="G43" s="422">
        <v>0.55185542796208786</v>
      </c>
    </row>
    <row r="44" spans="1:7" s="422" customFormat="1" x14ac:dyDescent="0.25">
      <c r="A44" s="1265" t="s">
        <v>3233</v>
      </c>
      <c r="B44" s="422">
        <v>0.62237666191351071</v>
      </c>
      <c r="C44" s="422">
        <v>0.61479199658472794</v>
      </c>
      <c r="D44" s="422">
        <v>0.6063173862202641</v>
      </c>
      <c r="E44" s="422">
        <v>0.59705814852372485</v>
      </c>
      <c r="F44" s="422">
        <v>0.58652763986245982</v>
      </c>
      <c r="G44" s="422">
        <v>0.57440328335294677</v>
      </c>
    </row>
    <row r="45" spans="1:7" s="422" customFormat="1" x14ac:dyDescent="0.25">
      <c r="A45" s="1265" t="s">
        <v>3234</v>
      </c>
      <c r="B45" s="422">
        <v>6.6894636397299589E-2</v>
      </c>
      <c r="C45" s="422">
        <v>6.6856455907608858E-2</v>
      </c>
      <c r="D45" s="422">
        <v>6.7260619742020578E-2</v>
      </c>
      <c r="E45" s="422">
        <v>6.8532702956071889E-2</v>
      </c>
      <c r="F45" s="422">
        <v>6.931882666684018E-2</v>
      </c>
      <c r="G45" s="422">
        <v>7.0181337018230414E-2</v>
      </c>
    </row>
    <row r="46" spans="1:7" s="422" customFormat="1" x14ac:dyDescent="0.25">
      <c r="A46" s="1265" t="s">
        <v>3235</v>
      </c>
      <c r="B46" s="422">
        <v>0.64823030576073903</v>
      </c>
      <c r="C46" s="422">
        <v>0.63977371344155232</v>
      </c>
      <c r="D46" s="422">
        <v>0.63045827721004566</v>
      </c>
      <c r="E46" s="422">
        <v>0.6203881309181597</v>
      </c>
      <c r="F46" s="422">
        <v>0.6090754952533185</v>
      </c>
      <c r="G46" s="422">
        <v>0.5961967037415864</v>
      </c>
    </row>
    <row r="47" spans="1:7" s="422" customFormat="1" x14ac:dyDescent="0.25">
      <c r="A47" s="1265" t="s">
        <v>3236</v>
      </c>
      <c r="B47" s="422">
        <v>0.67321202261756374</v>
      </c>
      <c r="C47" s="422">
        <v>0.66391460443133388</v>
      </c>
      <c r="D47" s="422">
        <v>0.65378825960448017</v>
      </c>
      <c r="E47" s="422">
        <v>0.64293598630901849</v>
      </c>
      <c r="F47" s="422">
        <v>0.63086891564195835</v>
      </c>
      <c r="G47" s="422">
        <v>0.61676623690689059</v>
      </c>
    </row>
    <row r="48" spans="1:7" s="422" customFormat="1" x14ac:dyDescent="0.25">
      <c r="A48" s="1265" t="s">
        <v>3237</v>
      </c>
      <c r="B48" s="422">
        <v>0.69735291360734497</v>
      </c>
      <c r="C48" s="422">
        <v>0.68724458682576861</v>
      </c>
      <c r="D48" s="422">
        <v>0.67633611499533919</v>
      </c>
      <c r="E48" s="422">
        <v>0.66472940669765823</v>
      </c>
      <c r="F48" s="422">
        <v>0.65143844880726254</v>
      </c>
      <c r="G48" s="422">
        <v>0.63618061459948549</v>
      </c>
    </row>
    <row r="49" spans="1:7" s="422" customFormat="1" x14ac:dyDescent="0.25">
      <c r="A49" s="1265" t="s">
        <v>3238</v>
      </c>
      <c r="B49" s="422">
        <v>0.72068289600177993</v>
      </c>
      <c r="C49" s="422">
        <v>0.70979244221662741</v>
      </c>
      <c r="D49" s="422">
        <v>0.69812953538397893</v>
      </c>
      <c r="E49" s="422">
        <v>0.68529893986296231</v>
      </c>
      <c r="F49" s="422">
        <v>0.67085282649985722</v>
      </c>
      <c r="G49" s="422">
        <v>0.65450470869348698</v>
      </c>
    </row>
    <row r="50" spans="1:7" s="422" customFormat="1" x14ac:dyDescent="0.25">
      <c r="A50" s="1265" t="s">
        <v>3239</v>
      </c>
      <c r="B50" s="422">
        <v>0.74323075139263894</v>
      </c>
      <c r="C50" s="422">
        <v>0.73158586260526703</v>
      </c>
      <c r="D50" s="422">
        <v>0.71869906854928312</v>
      </c>
      <c r="E50" s="422">
        <v>0.70471331755555722</v>
      </c>
      <c r="F50" s="422">
        <v>0.68917692059385882</v>
      </c>
      <c r="G50" s="422">
        <v>0.67179974795162922</v>
      </c>
    </row>
    <row r="51" spans="1:7" s="422" customFormat="1" x14ac:dyDescent="0.25">
      <c r="A51" s="1265" t="s">
        <v>3240</v>
      </c>
      <c r="B51" s="422">
        <v>0.76502417178127868</v>
      </c>
      <c r="C51" s="422">
        <v>0.75215539577057122</v>
      </c>
      <c r="D51" s="422">
        <v>0.73811344624187769</v>
      </c>
      <c r="E51" s="422">
        <v>0.72303741164955881</v>
      </c>
      <c r="F51" s="422">
        <v>0.70647195985200117</v>
      </c>
      <c r="G51" s="422">
        <v>0.68812352261717158</v>
      </c>
    </row>
    <row r="52" spans="1:7" s="422" customFormat="1" x14ac:dyDescent="0.25">
      <c r="A52" s="1265" t="s">
        <v>3241</v>
      </c>
      <c r="B52" s="422">
        <v>0.10029476508362022</v>
      </c>
      <c r="C52" s="422">
        <v>0.10071694696330878</v>
      </c>
      <c r="D52" s="422">
        <v>0.10193283164239253</v>
      </c>
      <c r="E52" s="422">
        <v>0.10317931772254012</v>
      </c>
      <c r="F52" s="422">
        <v>0.10485354891860241</v>
      </c>
      <c r="G52" s="422">
        <v>0.10552170156561409</v>
      </c>
    </row>
    <row r="53" spans="1:7" s="422" customFormat="1" x14ac:dyDescent="0.25">
      <c r="A53" s="1265" t="s">
        <v>3242</v>
      </c>
      <c r="B53" s="422">
        <v>0.13415525613932014</v>
      </c>
      <c r="C53" s="422">
        <v>0.13538915886368075</v>
      </c>
      <c r="D53" s="422">
        <v>0.13657944640886077</v>
      </c>
      <c r="E53" s="422">
        <v>0.13871403997430234</v>
      </c>
      <c r="F53" s="422">
        <v>0.14019391346598606</v>
      </c>
      <c r="G53" s="422">
        <v>0.14056579402639685</v>
      </c>
    </row>
    <row r="54" spans="1:7" s="422" customFormat="1" x14ac:dyDescent="0.25">
      <c r="A54" s="1265" t="s">
        <v>3243</v>
      </c>
      <c r="B54" s="422">
        <v>0.16882746803969206</v>
      </c>
      <c r="C54" s="422">
        <v>0.17003577363014899</v>
      </c>
      <c r="D54" s="422">
        <v>0.17211416866062296</v>
      </c>
      <c r="E54" s="422">
        <v>0.174054404521686</v>
      </c>
      <c r="F54" s="422">
        <v>0.17523800592676886</v>
      </c>
      <c r="G54" s="422">
        <v>0.17528009425108945</v>
      </c>
    </row>
    <row r="55" spans="1:7" s="422" customFormat="1" x14ac:dyDescent="0.25">
      <c r="A55" s="1265" t="s">
        <v>3244</v>
      </c>
      <c r="B55" s="422">
        <v>0.20347408280616033</v>
      </c>
      <c r="C55" s="422">
        <v>0.2055704958819112</v>
      </c>
      <c r="D55" s="422">
        <v>0.20745453320800664</v>
      </c>
      <c r="E55" s="422">
        <v>0.20909849698246874</v>
      </c>
      <c r="F55" s="422">
        <v>0.20995230615146143</v>
      </c>
      <c r="G55" s="422">
        <v>0.2094462256312413</v>
      </c>
    </row>
    <row r="56" spans="1:7" s="422" customFormat="1" x14ac:dyDescent="0.25">
      <c r="A56" s="1265" t="s">
        <v>3245</v>
      </c>
      <c r="B56" s="422">
        <v>0.2390088050579226</v>
      </c>
      <c r="C56" s="422">
        <v>0.24091086042929485</v>
      </c>
      <c r="D56" s="422">
        <v>0.24249862566878938</v>
      </c>
      <c r="E56" s="422">
        <v>0.24381279720716137</v>
      </c>
      <c r="F56" s="422">
        <v>0.24411843753161333</v>
      </c>
      <c r="G56" s="422">
        <v>0.24330853357098611</v>
      </c>
    </row>
    <row r="57" spans="1:7" s="422" customFormat="1" x14ac:dyDescent="0.25">
      <c r="A57" s="1265" t="s">
        <v>3246</v>
      </c>
      <c r="B57" s="422">
        <v>0.27434916960530625</v>
      </c>
      <c r="C57" s="422">
        <v>0.27595495289007765</v>
      </c>
      <c r="D57" s="422">
        <v>0.27721292589348207</v>
      </c>
      <c r="E57" s="422">
        <v>0.27797892858731316</v>
      </c>
      <c r="F57" s="422">
        <v>0.27798074547135815</v>
      </c>
      <c r="G57" s="422">
        <v>0.2772027057957443</v>
      </c>
    </row>
    <row r="58" spans="1:7" s="422" customFormat="1" x14ac:dyDescent="0.25">
      <c r="A58" s="1265" t="s">
        <v>3247</v>
      </c>
      <c r="B58" s="422">
        <v>0.30939326206608897</v>
      </c>
      <c r="C58" s="422">
        <v>0.31066925311477023</v>
      </c>
      <c r="D58" s="422">
        <v>0.31137905727363385</v>
      </c>
      <c r="E58" s="422">
        <v>0.31184123652705803</v>
      </c>
      <c r="F58" s="422">
        <v>0.31187491769611625</v>
      </c>
      <c r="G58" s="422">
        <v>0.30959816799443096</v>
      </c>
    </row>
    <row r="59" spans="1:7" s="422" customFormat="1" x14ac:dyDescent="0.25">
      <c r="A59" s="1265" t="s">
        <v>3248</v>
      </c>
      <c r="B59" s="422">
        <v>5.2302450723593706E-2</v>
      </c>
      <c r="C59" s="422">
        <v>5.3516434947454998E-2</v>
      </c>
      <c r="D59" s="422">
        <v>5.4562013278680065E-2</v>
      </c>
      <c r="E59" s="422">
        <v>5.7700578563194146E-2</v>
      </c>
      <c r="F59" s="422">
        <v>6.0894682043841263E-2</v>
      </c>
      <c r="G59" s="422">
        <v>6.2580360976253677E-2</v>
      </c>
    </row>
    <row r="60" spans="1:7" s="422" customFormat="1" x14ac:dyDescent="0.25">
      <c r="A60" s="1265" t="s">
        <v>3249</v>
      </c>
      <c r="B60" s="422">
        <v>0.60155069553984886</v>
      </c>
      <c r="C60" s="422">
        <v>0.61282548167836104</v>
      </c>
      <c r="D60" s="422">
        <v>0.62170504347935851</v>
      </c>
      <c r="E60" s="422">
        <v>0.62854595247265532</v>
      </c>
      <c r="F60" s="422">
        <v>0.6294623146341648</v>
      </c>
      <c r="G60" s="422">
        <v>0.62438122055082956</v>
      </c>
    </row>
    <row r="61" spans="1:7" s="422" customFormat="1" x14ac:dyDescent="0.25">
      <c r="A61" s="1265" t="s">
        <v>3250</v>
      </c>
      <c r="B61" s="422">
        <v>0.66512793240195489</v>
      </c>
      <c r="C61" s="422">
        <v>0.67522147842681346</v>
      </c>
      <c r="D61" s="422">
        <v>0.68310796575133537</v>
      </c>
      <c r="E61" s="422">
        <v>0.68716289319735879</v>
      </c>
      <c r="F61" s="422">
        <v>0.68527590259467086</v>
      </c>
      <c r="G61" s="422">
        <v>0.67786777245521912</v>
      </c>
    </row>
    <row r="62" spans="1:7" s="422" customFormat="1" x14ac:dyDescent="0.25">
      <c r="A62" s="1265" t="s">
        <v>3251</v>
      </c>
      <c r="B62" s="422">
        <v>0.7275239291504072</v>
      </c>
      <c r="C62" s="422">
        <v>0.73662440069879043</v>
      </c>
      <c r="D62" s="422">
        <v>0.74172490647603895</v>
      </c>
      <c r="E62" s="422">
        <v>0.74297648115786497</v>
      </c>
      <c r="F62" s="422">
        <v>0.73876245449906031</v>
      </c>
      <c r="G62" s="422">
        <v>0.72913719067073757</v>
      </c>
    </row>
    <row r="63" spans="1:7" s="422" customFormat="1" x14ac:dyDescent="0.25">
      <c r="A63" s="1265" t="s">
        <v>3252</v>
      </c>
      <c r="B63" s="422">
        <v>0.78892685142238417</v>
      </c>
      <c r="C63" s="422">
        <v>0.7952413414234939</v>
      </c>
      <c r="D63" s="422">
        <v>0.79753849443654512</v>
      </c>
      <c r="E63" s="422">
        <v>0.79646303306225463</v>
      </c>
      <c r="F63" s="422">
        <v>0.79003187271457864</v>
      </c>
      <c r="G63" s="422">
        <v>0.7782406052180092</v>
      </c>
    </row>
    <row r="64" spans="1:7" s="422" customFormat="1" x14ac:dyDescent="0.25">
      <c r="A64" s="1265" t="s">
        <v>3253</v>
      </c>
      <c r="B64" s="422">
        <v>0.84754379214708753</v>
      </c>
      <c r="C64" s="422">
        <v>0.85105492938400007</v>
      </c>
      <c r="D64" s="422">
        <v>0.85102504634093468</v>
      </c>
      <c r="E64" s="422">
        <v>0.84773245127777275</v>
      </c>
      <c r="F64" s="422">
        <v>0.83913528726185049</v>
      </c>
      <c r="G64" s="422">
        <v>0.82542877780438428</v>
      </c>
    </row>
    <row r="65" spans="1:7" s="422" customFormat="1" x14ac:dyDescent="0.25">
      <c r="A65" s="1265" t="s">
        <v>3254</v>
      </c>
      <c r="B65" s="422">
        <v>0.90335738010759381</v>
      </c>
      <c r="C65" s="422">
        <v>0.90454148128838974</v>
      </c>
      <c r="D65" s="422">
        <v>0.90229446455645279</v>
      </c>
      <c r="E65" s="422">
        <v>0.89683586582504438</v>
      </c>
      <c r="F65" s="422">
        <v>0.88632345984822536</v>
      </c>
      <c r="G65" s="422">
        <v>0.87078117780645814</v>
      </c>
    </row>
    <row r="66" spans="1:7" s="422" customFormat="1" x14ac:dyDescent="0.25">
      <c r="A66" s="1265" t="s">
        <v>3255</v>
      </c>
      <c r="B66" s="422">
        <v>0.95684393201198348</v>
      </c>
      <c r="C66" s="422">
        <v>0.95581089950390785</v>
      </c>
      <c r="D66" s="422">
        <v>0.95139787910372442</v>
      </c>
      <c r="E66" s="422">
        <v>0.9440240384114198</v>
      </c>
      <c r="F66" s="422">
        <v>0.93167585985029933</v>
      </c>
      <c r="G66" s="422">
        <v>0.91437379304180677</v>
      </c>
    </row>
    <row r="67" spans="1:7" s="422" customFormat="1" x14ac:dyDescent="0.25">
      <c r="A67" s="1265" t="s">
        <v>3256</v>
      </c>
      <c r="B67" s="422">
        <v>1.0081133502275017</v>
      </c>
      <c r="C67" s="422">
        <v>1.0049143140511796</v>
      </c>
      <c r="D67" s="422">
        <v>0.99858605169009973</v>
      </c>
      <c r="E67" s="422">
        <v>0.98937643841349354</v>
      </c>
      <c r="F67" s="422">
        <v>0.97526847508564818</v>
      </c>
      <c r="G67" s="422">
        <v>0.95627928903422388</v>
      </c>
    </row>
    <row r="68" spans="1:7" s="422" customFormat="1" x14ac:dyDescent="0.25">
      <c r="A68" s="1265" t="s">
        <v>3257</v>
      </c>
      <c r="B68" s="422">
        <v>1.0572167647747732</v>
      </c>
      <c r="C68" s="422">
        <v>1.0521024866375548</v>
      </c>
      <c r="D68" s="422">
        <v>1.0439384516921737</v>
      </c>
      <c r="E68" s="422">
        <v>1.0329690536488423</v>
      </c>
      <c r="F68" s="422">
        <v>1.0171739710780652</v>
      </c>
      <c r="G68" s="422">
        <v>0.99656716075785778</v>
      </c>
    </row>
    <row r="69" spans="1:7" s="422" customFormat="1" x14ac:dyDescent="0.25">
      <c r="A69" s="1265" t="s">
        <v>3258</v>
      </c>
      <c r="B69" s="422">
        <v>1.1044049373611484</v>
      </c>
      <c r="C69" s="422">
        <v>1.0974548866396285</v>
      </c>
      <c r="D69" s="422">
        <v>1.0875310669275224</v>
      </c>
      <c r="E69" s="422">
        <v>1.0748745496412593</v>
      </c>
      <c r="F69" s="422">
        <v>1.0574618428016991</v>
      </c>
      <c r="G69" s="422">
        <v>1.0353038772233758</v>
      </c>
    </row>
    <row r="70" spans="1:7" s="422" customFormat="1" x14ac:dyDescent="0.25">
      <c r="A70" s="1265" t="s">
        <v>3259</v>
      </c>
      <c r="B70" s="422">
        <v>0.1058188856710487</v>
      </c>
      <c r="C70" s="422">
        <v>0.10807844822613502</v>
      </c>
      <c r="D70" s="422">
        <v>0.1122625918418742</v>
      </c>
      <c r="E70" s="422">
        <v>0.1185952606070354</v>
      </c>
      <c r="F70" s="422">
        <v>0.12347504302009493</v>
      </c>
      <c r="G70" s="422">
        <v>0.12723058958792277</v>
      </c>
    </row>
    <row r="71" spans="1:7" s="422" customFormat="1" x14ac:dyDescent="0.25">
      <c r="A71" s="1265" t="s">
        <v>3260</v>
      </c>
      <c r="B71" s="422">
        <v>1.1497573373632222</v>
      </c>
      <c r="C71" s="422">
        <v>1.1410475018749775</v>
      </c>
      <c r="D71" s="422">
        <v>1.1294365629199394</v>
      </c>
      <c r="E71" s="422">
        <v>1.115162421364893</v>
      </c>
      <c r="F71" s="422">
        <v>1.096198559267217</v>
      </c>
      <c r="G71" s="422">
        <v>1.0725530192514849</v>
      </c>
    </row>
    <row r="72" spans="1:7" s="422" customFormat="1" x14ac:dyDescent="0.25">
      <c r="A72" s="1265" t="s">
        <v>3261</v>
      </c>
      <c r="B72" s="422">
        <v>1.1933499525985711</v>
      </c>
      <c r="C72" s="422">
        <v>1.1829529978673945</v>
      </c>
      <c r="D72" s="422">
        <v>1.1697244346435731</v>
      </c>
      <c r="E72" s="422">
        <v>1.1538991378304113</v>
      </c>
      <c r="F72" s="422">
        <v>1.1334477012953259</v>
      </c>
      <c r="G72" s="422">
        <v>1.1077103029023665</v>
      </c>
    </row>
    <row r="73" spans="1:7" s="422" customFormat="1" x14ac:dyDescent="0.25">
      <c r="A73" s="1265" t="s">
        <v>3262</v>
      </c>
      <c r="B73" s="422">
        <v>1.2352554485909883</v>
      </c>
      <c r="C73" s="422">
        <v>1.2232408695910282</v>
      </c>
      <c r="D73" s="422">
        <v>1.2084611511090912</v>
      </c>
      <c r="E73" s="422">
        <v>1.19114827985852</v>
      </c>
      <c r="F73" s="422">
        <v>1.1686049849462075</v>
      </c>
      <c r="G73" s="422">
        <v>1.1408932039414241</v>
      </c>
    </row>
    <row r="74" spans="1:7" s="422" customFormat="1" x14ac:dyDescent="0.25">
      <c r="A74" s="1265" t="s">
        <v>3263</v>
      </c>
      <c r="B74" s="422">
        <v>1.275543320314622</v>
      </c>
      <c r="C74" s="422">
        <v>1.2619775860565463</v>
      </c>
      <c r="D74" s="422">
        <v>1.2457102931372002</v>
      </c>
      <c r="E74" s="422">
        <v>1.2263055635094018</v>
      </c>
      <c r="F74" s="422">
        <v>1.2017878859852655</v>
      </c>
      <c r="G74" s="422">
        <v>1.1722126008636116</v>
      </c>
    </row>
    <row r="75" spans="1:7" s="422" customFormat="1" x14ac:dyDescent="0.25">
      <c r="A75" s="1265" t="s">
        <v>3264</v>
      </c>
      <c r="B75" s="422">
        <v>1.3142800367801399</v>
      </c>
      <c r="C75" s="422">
        <v>1.2992267280846554</v>
      </c>
      <c r="D75" s="422">
        <v>1.2808675767880819</v>
      </c>
      <c r="E75" s="422">
        <v>1.2594884645484596</v>
      </c>
      <c r="F75" s="422">
        <v>1.233107282907453</v>
      </c>
      <c r="G75" s="422">
        <v>1.2017731453866769</v>
      </c>
    </row>
    <row r="76" spans="1:7" s="422" customFormat="1" x14ac:dyDescent="0.25">
      <c r="A76" s="1265" t="s">
        <v>3265</v>
      </c>
      <c r="B76" s="422">
        <v>1.3515291788082491</v>
      </c>
      <c r="C76" s="422">
        <v>1.3343840117355372</v>
      </c>
      <c r="D76" s="422">
        <v>1.3140504778271396</v>
      </c>
      <c r="E76" s="422">
        <v>1.2908078614706471</v>
      </c>
      <c r="F76" s="422">
        <v>1.2626678274305183</v>
      </c>
      <c r="G76" s="422">
        <v>1.2296736121380365</v>
      </c>
    </row>
    <row r="77" spans="1:7" s="422" customFormat="1" x14ac:dyDescent="0.25">
      <c r="A77" s="1265" t="s">
        <v>3266</v>
      </c>
      <c r="B77" s="422">
        <v>1.3866864624591311</v>
      </c>
      <c r="C77" s="422">
        <v>1.3675669127745949</v>
      </c>
      <c r="D77" s="422">
        <v>1.3453698747493275</v>
      </c>
      <c r="E77" s="422">
        <v>1.3203684059937124</v>
      </c>
      <c r="F77" s="422">
        <v>1.2905682941818775</v>
      </c>
      <c r="G77" s="422">
        <v>1.256007228703736</v>
      </c>
    </row>
    <row r="78" spans="1:7" s="422" customFormat="1" x14ac:dyDescent="0.25">
      <c r="A78" s="1265" t="s">
        <v>3267</v>
      </c>
      <c r="B78" s="422">
        <v>1.4198693634981883</v>
      </c>
      <c r="C78" s="422">
        <v>1.3988863096967821</v>
      </c>
      <c r="D78" s="422">
        <v>1.3749304192723923</v>
      </c>
      <c r="E78" s="422">
        <v>1.3482688727450713</v>
      </c>
      <c r="F78" s="422">
        <v>1.3169019107475775</v>
      </c>
      <c r="G78" s="422">
        <v>1.2808619871423395</v>
      </c>
    </row>
    <row r="79" spans="1:7" s="422" customFormat="1" x14ac:dyDescent="0.25">
      <c r="A79" s="1265" t="s">
        <v>3268</v>
      </c>
      <c r="B79" s="422">
        <v>1.4511887604203759</v>
      </c>
      <c r="C79" s="422">
        <v>1.4284468542198472</v>
      </c>
      <c r="D79" s="422">
        <v>1.4028308860237515</v>
      </c>
      <c r="E79" s="422">
        <v>1.3746024893107718</v>
      </c>
      <c r="F79" s="422">
        <v>1.3417566691861809</v>
      </c>
      <c r="G79" s="422">
        <v>1.3043209380046363</v>
      </c>
    </row>
    <row r="80" spans="1:7" s="422" customFormat="1" x14ac:dyDescent="0.25">
      <c r="A80" s="1265" t="s">
        <v>3269</v>
      </c>
      <c r="B80" s="422">
        <v>1.480749304943441</v>
      </c>
      <c r="C80" s="422">
        <v>1.4563473209712066</v>
      </c>
      <c r="D80" s="422">
        <v>1.4291645025894519</v>
      </c>
      <c r="E80" s="422">
        <v>1.399457247749375</v>
      </c>
      <c r="F80" s="422">
        <v>1.3652156200484775</v>
      </c>
      <c r="G80" s="422">
        <v>1.3264624678416315</v>
      </c>
    </row>
    <row r="81" spans="1:7" s="422" customFormat="1" x14ac:dyDescent="0.25">
      <c r="A81" s="1265" t="s">
        <v>3270</v>
      </c>
      <c r="B81" s="422">
        <v>0.16038089894972868</v>
      </c>
      <c r="C81" s="422">
        <v>0.1657790267893291</v>
      </c>
      <c r="D81" s="422">
        <v>0.17315727388571547</v>
      </c>
      <c r="E81" s="422">
        <v>0.18117562158328909</v>
      </c>
      <c r="F81" s="422">
        <v>0.18812527163176401</v>
      </c>
      <c r="G81" s="422">
        <v>0.19253877659377019</v>
      </c>
    </row>
    <row r="82" spans="1:7" s="422" customFormat="1" x14ac:dyDescent="0.25">
      <c r="A82" s="1265" t="s">
        <v>3271</v>
      </c>
      <c r="B82" s="422">
        <v>1.5086497716948006</v>
      </c>
      <c r="C82" s="422">
        <v>1.482680937536907</v>
      </c>
      <c r="D82" s="422">
        <v>1.4540192610280549</v>
      </c>
      <c r="E82" s="422">
        <v>1.4229161986116714</v>
      </c>
      <c r="F82" s="422">
        <v>1.3873571498854729</v>
      </c>
      <c r="G82" s="422">
        <v>1.3473605611280832</v>
      </c>
    </row>
    <row r="83" spans="1:7" s="422" customFormat="1" x14ac:dyDescent="0.25">
      <c r="A83" s="1265" t="s">
        <v>3272</v>
      </c>
      <c r="B83" s="422">
        <v>0.21808147751292284</v>
      </c>
      <c r="C83" s="422">
        <v>0.22667370883317028</v>
      </c>
      <c r="D83" s="422">
        <v>0.23573763486196914</v>
      </c>
      <c r="E83" s="422">
        <v>0.24582585019495815</v>
      </c>
      <c r="F83" s="422">
        <v>0.25343345863761141</v>
      </c>
      <c r="G83" s="422">
        <v>0.25782753372878886</v>
      </c>
    </row>
    <row r="84" spans="1:7" s="422" customFormat="1" x14ac:dyDescent="0.25">
      <c r="A84" s="1265" t="s">
        <v>3273</v>
      </c>
      <c r="B84" s="422">
        <v>0.27897615955676403</v>
      </c>
      <c r="C84" s="422">
        <v>0.28925406980942386</v>
      </c>
      <c r="D84" s="422">
        <v>0.30038786347363822</v>
      </c>
      <c r="E84" s="422">
        <v>0.31113403720080557</v>
      </c>
      <c r="F84" s="422">
        <v>0.31872221577263016</v>
      </c>
      <c r="G84" s="422">
        <v>0.32257453598308466</v>
      </c>
    </row>
    <row r="85" spans="1:7" s="422" customFormat="1" x14ac:dyDescent="0.25">
      <c r="A85" s="1265" t="s">
        <v>3274</v>
      </c>
      <c r="B85" s="422">
        <v>0.34155652053301766</v>
      </c>
      <c r="C85" s="422">
        <v>0.35390429842109306</v>
      </c>
      <c r="D85" s="422">
        <v>0.36569605047948561</v>
      </c>
      <c r="E85" s="422">
        <v>0.37642279433582426</v>
      </c>
      <c r="F85" s="422">
        <v>0.38346921802692591</v>
      </c>
      <c r="G85" s="422">
        <v>0.38615177284519064</v>
      </c>
    </row>
    <row r="86" spans="1:7" s="422" customFormat="1" x14ac:dyDescent="0.25">
      <c r="A86" s="1265" t="s">
        <v>3275</v>
      </c>
      <c r="B86" s="422">
        <v>0.40620674914468674</v>
      </c>
      <c r="C86" s="422">
        <v>0.41921248542694051</v>
      </c>
      <c r="D86" s="422">
        <v>0.43098480761450442</v>
      </c>
      <c r="E86" s="422">
        <v>0.44116979659012001</v>
      </c>
      <c r="F86" s="422">
        <v>0.44704645488903194</v>
      </c>
      <c r="G86" s="422">
        <v>0.44854776959364301</v>
      </c>
    </row>
    <row r="87" spans="1:7" s="422" customFormat="1" x14ac:dyDescent="0.25">
      <c r="A87" s="1265" t="s">
        <v>3276</v>
      </c>
      <c r="B87" s="422">
        <v>0.47151493615053425</v>
      </c>
      <c r="C87" s="422">
        <v>0.48450124256195926</v>
      </c>
      <c r="D87" s="422">
        <v>0.49573180986880017</v>
      </c>
      <c r="E87" s="422">
        <v>0.50474703345222605</v>
      </c>
      <c r="F87" s="422">
        <v>0.50944245163748425</v>
      </c>
      <c r="G87" s="422">
        <v>0.50995069186561981</v>
      </c>
    </row>
    <row r="88" spans="1:7" s="422" customFormat="1" x14ac:dyDescent="0.25">
      <c r="A88" s="1265" t="s">
        <v>3277</v>
      </c>
      <c r="B88" s="422">
        <v>0.536803693285553</v>
      </c>
      <c r="C88" s="422">
        <v>0.54924824481625512</v>
      </c>
      <c r="D88" s="422">
        <v>0.5593090467309062</v>
      </c>
      <c r="E88" s="422">
        <v>0.56714303020067847</v>
      </c>
      <c r="F88" s="422">
        <v>0.57084537390946111</v>
      </c>
      <c r="G88" s="422">
        <v>0.5685676325903235</v>
      </c>
    </row>
    <row r="89" spans="1:7" s="422" customFormat="1" x14ac:dyDescent="0.25">
      <c r="A89" s="1265" t="s">
        <v>3278</v>
      </c>
      <c r="B89" s="422">
        <v>5.4354218725356576E-2</v>
      </c>
      <c r="C89" s="422">
        <v>5.5654468775423134E-2</v>
      </c>
      <c r="D89" s="422">
        <v>5.6778001557869384E-2</v>
      </c>
      <c r="E89" s="422">
        <v>6.0118502402044444E-2</v>
      </c>
      <c r="F89" s="422">
        <v>6.3500620567258331E-2</v>
      </c>
      <c r="G89" s="422">
        <v>6.5308663997247496E-2</v>
      </c>
    </row>
    <row r="90" spans="1:7" s="422" customFormat="1" x14ac:dyDescent="0.25">
      <c r="A90" s="1265" t="s">
        <v>3279</v>
      </c>
      <c r="B90" s="422">
        <v>0.62721218525158584</v>
      </c>
      <c r="C90" s="422">
        <v>0.63925958985862807</v>
      </c>
      <c r="D90" s="422">
        <v>0.64875615811663234</v>
      </c>
      <c r="E90" s="422">
        <v>0.65606317567893235</v>
      </c>
      <c r="F90" s="422">
        <v>0.65712002330777652</v>
      </c>
      <c r="G90" s="422">
        <v>0.65186605583539525</v>
      </c>
    </row>
    <row r="91" spans="1:7" s="422" customFormat="1" x14ac:dyDescent="0.25">
      <c r="A91" s="1265" t="s">
        <v>3280</v>
      </c>
      <c r="B91" s="422">
        <v>0.69361380858398469</v>
      </c>
      <c r="C91" s="422">
        <v>0.70441062689205547</v>
      </c>
      <c r="D91" s="422">
        <v>0.71284117723680196</v>
      </c>
      <c r="E91" s="422">
        <v>0.71723852570982105</v>
      </c>
      <c r="F91" s="422">
        <v>0.7153666764026535</v>
      </c>
      <c r="G91" s="422">
        <v>0.70767389920934209</v>
      </c>
    </row>
    <row r="92" spans="1:7" s="422" customFormat="1" x14ac:dyDescent="0.25">
      <c r="A92" s="1265" t="s">
        <v>3281</v>
      </c>
      <c r="B92" s="422">
        <v>0.75876484561741186</v>
      </c>
      <c r="C92" s="422">
        <v>0.76849564601222509</v>
      </c>
      <c r="D92" s="422">
        <v>0.77401652726769044</v>
      </c>
      <c r="E92" s="422">
        <v>0.77548517880469769</v>
      </c>
      <c r="F92" s="422">
        <v>0.77117451977660034</v>
      </c>
      <c r="G92" s="422">
        <v>0.76115866658709597</v>
      </c>
    </row>
    <row r="93" spans="1:7" s="422" customFormat="1" x14ac:dyDescent="0.25">
      <c r="A93" s="1265" t="s">
        <v>3282</v>
      </c>
      <c r="B93" s="422">
        <v>0.82284986473758159</v>
      </c>
      <c r="C93" s="422">
        <v>0.82967099604311367</v>
      </c>
      <c r="D93" s="422">
        <v>0.83226318036256719</v>
      </c>
      <c r="E93" s="422">
        <v>0.83129302217864487</v>
      </c>
      <c r="F93" s="422">
        <v>0.82465928715435433</v>
      </c>
      <c r="G93" s="422">
        <v>0.8123768127696912</v>
      </c>
    </row>
    <row r="94" spans="1:7" s="422" customFormat="1" x14ac:dyDescent="0.25">
      <c r="A94" s="1265" t="s">
        <v>3283</v>
      </c>
      <c r="B94" s="422">
        <v>0.88402521476847018</v>
      </c>
      <c r="C94" s="422">
        <v>0.88791764913799043</v>
      </c>
      <c r="D94" s="422">
        <v>0.88807102373651414</v>
      </c>
      <c r="E94" s="422">
        <v>0.88477778955639885</v>
      </c>
      <c r="F94" s="422">
        <v>0.87587743333694978</v>
      </c>
      <c r="G94" s="422">
        <v>0.86158997662867232</v>
      </c>
    </row>
    <row r="95" spans="1:7" s="422" customFormat="1" x14ac:dyDescent="0.25">
      <c r="A95" s="1265" t="s">
        <v>3284</v>
      </c>
      <c r="B95" s="422">
        <v>0.94227186786334705</v>
      </c>
      <c r="C95" s="422">
        <v>0.94372549251193749</v>
      </c>
      <c r="D95" s="422">
        <v>0.94155579111426835</v>
      </c>
      <c r="E95" s="422">
        <v>0.93599593573899431</v>
      </c>
      <c r="F95" s="422">
        <v>0.92509059719593068</v>
      </c>
      <c r="G95" s="422">
        <v>0.90888162097355174</v>
      </c>
    </row>
    <row r="96" spans="1:7" s="422" customFormat="1" x14ac:dyDescent="0.25">
      <c r="A96" s="1265" t="s">
        <v>3285</v>
      </c>
      <c r="B96" s="422">
        <v>0.99807971123729389</v>
      </c>
      <c r="C96" s="422">
        <v>0.99721025988969125</v>
      </c>
      <c r="D96" s="422">
        <v>0.99277393729686347</v>
      </c>
      <c r="E96" s="422">
        <v>0.9852090995979752</v>
      </c>
      <c r="F96" s="422">
        <v>0.97238224154080999</v>
      </c>
      <c r="G96" s="422">
        <v>0.95433154261399855</v>
      </c>
    </row>
    <row r="97" spans="1:7" s="422" customFormat="1" x14ac:dyDescent="0.25">
      <c r="A97" s="1265" t="s">
        <v>3286</v>
      </c>
      <c r="B97" s="422">
        <v>1.051564478615048</v>
      </c>
      <c r="C97" s="422">
        <v>1.0484284060722866</v>
      </c>
      <c r="D97" s="422">
        <v>1.0419871011558446</v>
      </c>
      <c r="E97" s="422">
        <v>1.0325007439428546</v>
      </c>
      <c r="F97" s="422">
        <v>1.0178321631812568</v>
      </c>
      <c r="G97" s="422">
        <v>0.99801604037986824</v>
      </c>
    </row>
    <row r="98" spans="1:7" s="422" customFormat="1" x14ac:dyDescent="0.25">
      <c r="A98" s="1265" t="s">
        <v>3287</v>
      </c>
      <c r="B98" s="422">
        <v>1.1027826247976433</v>
      </c>
      <c r="C98" s="422">
        <v>1.0976415699312678</v>
      </c>
      <c r="D98" s="422">
        <v>1.089278745500724</v>
      </c>
      <c r="E98" s="422">
        <v>1.0779506655833015</v>
      </c>
      <c r="F98" s="422">
        <v>1.0615166609471267</v>
      </c>
      <c r="G98" s="422">
        <v>1.0400080751964915</v>
      </c>
    </row>
    <row r="99" spans="1:7" s="422" customFormat="1" x14ac:dyDescent="0.25">
      <c r="A99" s="1265" t="s">
        <v>3288</v>
      </c>
      <c r="B99" s="422">
        <v>1.1519957886566243</v>
      </c>
      <c r="C99" s="422">
        <v>1.144933214276147</v>
      </c>
      <c r="D99" s="422">
        <v>1.1347286671411707</v>
      </c>
      <c r="E99" s="422">
        <v>1.121635163349171</v>
      </c>
      <c r="F99" s="422">
        <v>1.1035086957637499</v>
      </c>
      <c r="G99" s="422">
        <v>1.0803774225991196</v>
      </c>
    </row>
    <row r="100" spans="1:7" s="422" customFormat="1" x14ac:dyDescent="0.25">
      <c r="A100" s="1265" t="s">
        <v>3289</v>
      </c>
      <c r="B100" s="422">
        <v>0.11000868750077969</v>
      </c>
      <c r="C100" s="422">
        <v>0.11243247033329253</v>
      </c>
      <c r="D100" s="422">
        <v>0.11689650395991383</v>
      </c>
      <c r="E100" s="422">
        <v>0.12361912296930279</v>
      </c>
      <c r="F100" s="422">
        <v>0.12880928456450585</v>
      </c>
      <c r="G100" s="422">
        <v>0.13279057791867291</v>
      </c>
    </row>
    <row r="101" spans="1:7" s="422" customFormat="1" x14ac:dyDescent="0.25">
      <c r="A101" s="1265" t="s">
        <v>3290</v>
      </c>
      <c r="B101" s="422">
        <v>1.1992874330015035</v>
      </c>
      <c r="C101" s="422">
        <v>1.1903831359165937</v>
      </c>
      <c r="D101" s="422">
        <v>1.1784131649070404</v>
      </c>
      <c r="E101" s="422">
        <v>1.1636271981657942</v>
      </c>
      <c r="F101" s="422">
        <v>1.143878043166378</v>
      </c>
      <c r="G101" s="422">
        <v>1.1191908180515968</v>
      </c>
    </row>
    <row r="102" spans="1:7" s="422" customFormat="1" x14ac:dyDescent="0.25">
      <c r="A102" s="1265" t="s">
        <v>3291</v>
      </c>
      <c r="B102" s="422">
        <v>1.2447373546419505</v>
      </c>
      <c r="C102" s="422">
        <v>1.2340676336824634</v>
      </c>
      <c r="D102" s="422">
        <v>1.220405199723664</v>
      </c>
      <c r="E102" s="422">
        <v>1.2039965455684223</v>
      </c>
      <c r="F102" s="422">
        <v>1.1826914386188552</v>
      </c>
      <c r="G102" s="422">
        <v>1.1558245088986727</v>
      </c>
    </row>
    <row r="103" spans="1:7" s="422" customFormat="1" x14ac:dyDescent="0.25">
      <c r="A103" s="1265" t="s">
        <v>3292</v>
      </c>
      <c r="B103" s="422">
        <v>1.2884218524078201</v>
      </c>
      <c r="C103" s="422">
        <v>1.2760596684990868</v>
      </c>
      <c r="D103" s="422">
        <v>1.2607745471262919</v>
      </c>
      <c r="E103" s="422">
        <v>1.2428099410208997</v>
      </c>
      <c r="F103" s="422">
        <v>1.2193251294659313</v>
      </c>
      <c r="G103" s="422">
        <v>1.1904009042238981</v>
      </c>
    </row>
    <row r="104" spans="1:7" s="422" customFormat="1" x14ac:dyDescent="0.25">
      <c r="A104" s="1265" t="s">
        <v>3293</v>
      </c>
      <c r="B104" s="422">
        <v>1.3304138872244435</v>
      </c>
      <c r="C104" s="422">
        <v>1.3164290159017149</v>
      </c>
      <c r="D104" s="422">
        <v>1.2995879425787691</v>
      </c>
      <c r="E104" s="422">
        <v>1.2794436318679758</v>
      </c>
      <c r="F104" s="422">
        <v>1.2539015247911565</v>
      </c>
      <c r="G104" s="422">
        <v>1.2230355387923033</v>
      </c>
    </row>
    <row r="105" spans="1:7" s="422" customFormat="1" x14ac:dyDescent="0.25">
      <c r="A105" s="1265" t="s">
        <v>3294</v>
      </c>
      <c r="B105" s="422">
        <v>1.3707832346270716</v>
      </c>
      <c r="C105" s="422">
        <v>1.3552424113541923</v>
      </c>
      <c r="D105" s="422">
        <v>1.3362216334258448</v>
      </c>
      <c r="E105" s="422">
        <v>1.3140200271932008</v>
      </c>
      <c r="F105" s="422">
        <v>1.2865361593595614</v>
      </c>
      <c r="G105" s="422">
        <v>1.2538374591022652</v>
      </c>
    </row>
    <row r="106" spans="1:7" s="422" customFormat="1" x14ac:dyDescent="0.25">
      <c r="A106" s="1265" t="s">
        <v>3295</v>
      </c>
      <c r="B106" s="422">
        <v>1.4095966300795486</v>
      </c>
      <c r="C106" s="422">
        <v>1.391876102201268</v>
      </c>
      <c r="D106" s="422">
        <v>1.3707980287510704</v>
      </c>
      <c r="E106" s="422">
        <v>1.346654661761606</v>
      </c>
      <c r="F106" s="422">
        <v>1.3173380796695238</v>
      </c>
      <c r="G106" s="422">
        <v>1.2829095877572558</v>
      </c>
    </row>
    <row r="107" spans="1:7" s="422" customFormat="1" x14ac:dyDescent="0.25">
      <c r="A107" s="1265" t="s">
        <v>3296</v>
      </c>
      <c r="B107" s="422">
        <v>0.16678668905864907</v>
      </c>
      <c r="C107" s="422">
        <v>0.17255097273533698</v>
      </c>
      <c r="D107" s="422">
        <v>0.18039712452717216</v>
      </c>
      <c r="E107" s="422">
        <v>0.18892778696655027</v>
      </c>
      <c r="F107" s="422">
        <v>0.19629119848593124</v>
      </c>
      <c r="G107" s="422">
        <v>0.20098760938011298</v>
      </c>
    </row>
    <row r="108" spans="1:7" s="422" customFormat="1" x14ac:dyDescent="0.25">
      <c r="A108" s="1265" t="s">
        <v>3297</v>
      </c>
      <c r="B108" s="422">
        <v>0.22690519146069354</v>
      </c>
      <c r="C108" s="422">
        <v>0.23605159330259531</v>
      </c>
      <c r="D108" s="422">
        <v>0.24570578852441965</v>
      </c>
      <c r="E108" s="422">
        <v>0.25640970088797571</v>
      </c>
      <c r="F108" s="422">
        <v>0.26448822994737131</v>
      </c>
      <c r="G108" s="422">
        <v>0.2691789171608106</v>
      </c>
    </row>
    <row r="109" spans="1:7" s="422" customFormat="1" x14ac:dyDescent="0.25">
      <c r="A109" s="1265" t="s">
        <v>3298</v>
      </c>
      <c r="B109" s="422">
        <v>0.2904058120279519</v>
      </c>
      <c r="C109" s="422">
        <v>0.30136025729984284</v>
      </c>
      <c r="D109" s="422">
        <v>0.31318770244584504</v>
      </c>
      <c r="E109" s="422">
        <v>0.32460673234941584</v>
      </c>
      <c r="F109" s="422">
        <v>0.33267953772806891</v>
      </c>
      <c r="G109" s="422">
        <v>0.33680637322363394</v>
      </c>
    </row>
    <row r="110" spans="1:7" s="422" customFormat="1" x14ac:dyDescent="0.25">
      <c r="A110" s="1265" t="s">
        <v>3299</v>
      </c>
      <c r="B110" s="422">
        <v>0.35571447602519934</v>
      </c>
      <c r="C110" s="422">
        <v>0.36884217122126828</v>
      </c>
      <c r="D110" s="422">
        <v>0.38138473390728506</v>
      </c>
      <c r="E110" s="422">
        <v>0.39279804013011338</v>
      </c>
      <c r="F110" s="422">
        <v>0.40030699379089241</v>
      </c>
      <c r="G110" s="422">
        <v>0.40320799655603273</v>
      </c>
    </row>
    <row r="111" spans="1:7" s="422" customFormat="1" x14ac:dyDescent="0.25">
      <c r="A111" s="1265" t="s">
        <v>3300</v>
      </c>
      <c r="B111" s="422">
        <v>0.42319638994662484</v>
      </c>
      <c r="C111" s="422">
        <v>0.43703920268270829</v>
      </c>
      <c r="D111" s="422">
        <v>0.44957604168798271</v>
      </c>
      <c r="E111" s="422">
        <v>0.46042549619293677</v>
      </c>
      <c r="F111" s="422">
        <v>0.46670861712329109</v>
      </c>
      <c r="G111" s="422">
        <v>0.46835903358946002</v>
      </c>
    </row>
    <row r="112" spans="1:7" s="422" customFormat="1" x14ac:dyDescent="0.25">
      <c r="A112" s="1265" t="s">
        <v>3301</v>
      </c>
      <c r="B112" s="422">
        <v>0.49139342140806486</v>
      </c>
      <c r="C112" s="422">
        <v>0.50523051046340595</v>
      </c>
      <c r="D112" s="422">
        <v>0.5172034977508061</v>
      </c>
      <c r="E112" s="422">
        <v>0.52682711952533567</v>
      </c>
      <c r="F112" s="422">
        <v>0.53185965415671843</v>
      </c>
      <c r="G112" s="422">
        <v>0.53244405270962969</v>
      </c>
    </row>
    <row r="113" spans="1:7" s="422" customFormat="1" x14ac:dyDescent="0.25">
      <c r="A113" s="1265" t="s">
        <v>3302</v>
      </c>
      <c r="B113" s="422">
        <v>0.55958472918876256</v>
      </c>
      <c r="C113" s="422">
        <v>0.57285796652622933</v>
      </c>
      <c r="D113" s="422">
        <v>0.58360512108320495</v>
      </c>
      <c r="E113" s="422">
        <v>0.59197815655876285</v>
      </c>
      <c r="F113" s="422">
        <v>0.59594467327688805</v>
      </c>
      <c r="G113" s="422">
        <v>0.59361940274051828</v>
      </c>
    </row>
    <row r="114" spans="1:7" s="422" customFormat="1" x14ac:dyDescent="0.25">
      <c r="A114" s="1265" t="s">
        <v>3303</v>
      </c>
      <c r="B114" s="422">
        <v>3.91956813789721E-2</v>
      </c>
      <c r="C114" s="422">
        <v>3.937304636582889E-2</v>
      </c>
      <c r="D114" s="422">
        <v>3.945652237943411E-2</v>
      </c>
      <c r="E114" s="422">
        <v>4.0314816762107873E-2</v>
      </c>
      <c r="F114" s="422">
        <v>4.1519870228215142E-2</v>
      </c>
      <c r="G114" s="422">
        <v>4.1717251220526781E-2</v>
      </c>
    </row>
    <row r="115" spans="1:7" s="422" customFormat="1" x14ac:dyDescent="0.25">
      <c r="A115" s="1265" t="s">
        <v>3304</v>
      </c>
      <c r="B115" s="422">
        <v>0.41169829046887413</v>
      </c>
      <c r="C115" s="422">
        <v>0.41388702505649649</v>
      </c>
      <c r="D115" s="422">
        <v>0.41544923259055555</v>
      </c>
      <c r="E115" s="422">
        <v>0.41682789726854408</v>
      </c>
      <c r="F115" s="422">
        <v>0.41553330132338623</v>
      </c>
      <c r="G115" s="422">
        <v>0.41122415031182757</v>
      </c>
    </row>
    <row r="116" spans="1:7" s="422" customFormat="1" x14ac:dyDescent="0.25">
      <c r="A116" s="1265" t="s">
        <v>3305</v>
      </c>
      <c r="B116" s="422">
        <v>0.45308270643546861</v>
      </c>
      <c r="C116" s="422">
        <v>0.45482227895638461</v>
      </c>
      <c r="D116" s="422">
        <v>0.45628441964797811</v>
      </c>
      <c r="E116" s="422">
        <v>0.45584811808549408</v>
      </c>
      <c r="F116" s="422">
        <v>0.45274402054004259</v>
      </c>
      <c r="G116" s="422">
        <v>0.44707926500537787</v>
      </c>
    </row>
    <row r="117" spans="1:7" s="422" customFormat="1" x14ac:dyDescent="0.25">
      <c r="A117" s="1265" t="s">
        <v>3306</v>
      </c>
      <c r="B117" s="422">
        <v>0.49401796033535661</v>
      </c>
      <c r="C117" s="422">
        <v>0.49565746601380695</v>
      </c>
      <c r="D117" s="422">
        <v>0.49530464046492817</v>
      </c>
      <c r="E117" s="422">
        <v>0.4930588373021505</v>
      </c>
      <c r="F117" s="422">
        <v>0.488599135233593</v>
      </c>
      <c r="G117" s="422">
        <v>0.48163232747227369</v>
      </c>
    </row>
    <row r="118" spans="1:7" s="422" customFormat="1" x14ac:dyDescent="0.25">
      <c r="A118" s="1265" t="s">
        <v>3307</v>
      </c>
      <c r="B118" s="422">
        <v>0.53485314739277912</v>
      </c>
      <c r="C118" s="422">
        <v>0.53467768683075712</v>
      </c>
      <c r="D118" s="422">
        <v>0.53251535968158459</v>
      </c>
      <c r="E118" s="422">
        <v>0.5289139519957009</v>
      </c>
      <c r="F118" s="422">
        <v>0.52315219770048882</v>
      </c>
      <c r="G118" s="422">
        <v>0.5148587489932428</v>
      </c>
    </row>
    <row r="119" spans="1:7" s="422" customFormat="1" x14ac:dyDescent="0.25">
      <c r="A119" s="1265" t="s">
        <v>3308</v>
      </c>
      <c r="B119" s="422">
        <v>0.57387336820972912</v>
      </c>
      <c r="C119" s="422">
        <v>0.57188840604741364</v>
      </c>
      <c r="D119" s="422">
        <v>0.5683704743751351</v>
      </c>
      <c r="E119" s="422">
        <v>0.56346701446259673</v>
      </c>
      <c r="F119" s="422">
        <v>0.55637861922145804</v>
      </c>
      <c r="G119" s="422">
        <v>0.54692673907309586</v>
      </c>
    </row>
    <row r="120" spans="1:7" s="422" customFormat="1" x14ac:dyDescent="0.25">
      <c r="A120" s="1265" t="s">
        <v>3309</v>
      </c>
      <c r="B120" s="422">
        <v>0.61108408742638565</v>
      </c>
      <c r="C120" s="422">
        <v>0.60774352074096383</v>
      </c>
      <c r="D120" s="422">
        <v>0.60292353684203093</v>
      </c>
      <c r="E120" s="422">
        <v>0.59669343598356595</v>
      </c>
      <c r="F120" s="422">
        <v>0.5884466093013111</v>
      </c>
      <c r="G120" s="422">
        <v>0.57787925061217049</v>
      </c>
    </row>
    <row r="121" spans="1:7" s="422" customFormat="1" x14ac:dyDescent="0.25">
      <c r="A121" s="1265" t="s">
        <v>3310</v>
      </c>
      <c r="B121" s="422">
        <v>0.64693920211993594</v>
      </c>
      <c r="C121" s="422">
        <v>0.64229658320785965</v>
      </c>
      <c r="D121" s="422">
        <v>0.63614995836300003</v>
      </c>
      <c r="E121" s="422">
        <v>0.628761426063419</v>
      </c>
      <c r="F121" s="422">
        <v>0.61939912084038573</v>
      </c>
      <c r="G121" s="422">
        <v>0.6077575345738262</v>
      </c>
    </row>
    <row r="122" spans="1:7" s="422" customFormat="1" x14ac:dyDescent="0.25">
      <c r="A122" s="1265" t="s">
        <v>3311</v>
      </c>
      <c r="B122" s="422">
        <v>0.68149226458683165</v>
      </c>
      <c r="C122" s="422">
        <v>0.67552300472882898</v>
      </c>
      <c r="D122" s="422">
        <v>0.66821794844285298</v>
      </c>
      <c r="E122" s="422">
        <v>0.65971393760249353</v>
      </c>
      <c r="F122" s="422">
        <v>0.64927740480204121</v>
      </c>
      <c r="G122" s="422">
        <v>0.63660121182294571</v>
      </c>
    </row>
    <row r="123" spans="1:7" s="422" customFormat="1" x14ac:dyDescent="0.25">
      <c r="A123" s="1265" t="s">
        <v>3312</v>
      </c>
      <c r="B123" s="422">
        <v>0.7147186861078012</v>
      </c>
      <c r="C123" s="422">
        <v>0.70759099480868204</v>
      </c>
      <c r="D123" s="422">
        <v>0.69917045998192762</v>
      </c>
      <c r="E123" s="422">
        <v>0.68959222156414912</v>
      </c>
      <c r="F123" s="422">
        <v>0.67812108205116084</v>
      </c>
      <c r="G123" s="422">
        <v>0.66444834176546363</v>
      </c>
    </row>
    <row r="124" spans="1:7" s="422" customFormat="1" x14ac:dyDescent="0.25">
      <c r="A124" s="1265" t="s">
        <v>3313</v>
      </c>
      <c r="B124" s="422">
        <v>0.74678667618765404</v>
      </c>
      <c r="C124" s="422">
        <v>0.73854350634775678</v>
      </c>
      <c r="D124" s="422">
        <v>0.7290487439435831</v>
      </c>
      <c r="E124" s="422">
        <v>0.71843589881326897</v>
      </c>
      <c r="F124" s="422">
        <v>0.70596821199367887</v>
      </c>
      <c r="G124" s="422">
        <v>0.69133548793732025</v>
      </c>
    </row>
    <row r="125" spans="1:7" s="422" customFormat="1" x14ac:dyDescent="0.25">
      <c r="A125" s="1265" t="s">
        <v>3314</v>
      </c>
      <c r="B125" s="422">
        <v>7.8568727744800976E-2</v>
      </c>
      <c r="C125" s="422">
        <v>7.8829568745263007E-2</v>
      </c>
      <c r="D125" s="422">
        <v>7.9771339141541983E-2</v>
      </c>
      <c r="E125" s="422">
        <v>8.1834686990323036E-2</v>
      </c>
      <c r="F125" s="422">
        <v>8.323712144874193E-2</v>
      </c>
      <c r="G125" s="422">
        <v>8.4565219123947266E-2</v>
      </c>
    </row>
    <row r="126" spans="1:7" s="422" customFormat="1" x14ac:dyDescent="0.25">
      <c r="A126" s="1265" t="s">
        <v>3315</v>
      </c>
      <c r="B126" s="422">
        <v>0.77773918772672868</v>
      </c>
      <c r="C126" s="422">
        <v>0.76842179030941193</v>
      </c>
      <c r="D126" s="422">
        <v>0.75789242119270284</v>
      </c>
      <c r="E126" s="422">
        <v>0.74628302875578667</v>
      </c>
      <c r="F126" s="422">
        <v>0.73285535816553538</v>
      </c>
      <c r="G126" s="422">
        <v>0.71729778068416283</v>
      </c>
    </row>
    <row r="127" spans="1:7" s="422" customFormat="1" x14ac:dyDescent="0.25">
      <c r="A127" s="1265" t="s">
        <v>3316</v>
      </c>
      <c r="B127" s="422">
        <v>0.80761747168838416</v>
      </c>
      <c r="C127" s="422">
        <v>0.79726546755853167</v>
      </c>
      <c r="D127" s="422">
        <v>0.78573955113522076</v>
      </c>
      <c r="E127" s="422">
        <v>0.77317017492764328</v>
      </c>
      <c r="F127" s="422">
        <v>0.75881765091237807</v>
      </c>
      <c r="G127" s="422">
        <v>0.74180206831686035</v>
      </c>
    </row>
    <row r="128" spans="1:7" s="422" customFormat="1" x14ac:dyDescent="0.25">
      <c r="A128" s="1265" t="s">
        <v>3317</v>
      </c>
      <c r="B128" s="422">
        <v>0.83646114893750378</v>
      </c>
      <c r="C128" s="422">
        <v>0.82511259750104959</v>
      </c>
      <c r="D128" s="422">
        <v>0.81262669730707726</v>
      </c>
      <c r="E128" s="422">
        <v>0.79913246767448598</v>
      </c>
      <c r="F128" s="422">
        <v>0.78332193854507537</v>
      </c>
      <c r="G128" s="422">
        <v>0.76493023031091145</v>
      </c>
    </row>
    <row r="129" spans="1:7" s="422" customFormat="1" x14ac:dyDescent="0.25">
      <c r="A129" s="1265" t="s">
        <v>3318</v>
      </c>
      <c r="B129" s="422">
        <v>0.86430827888002193</v>
      </c>
      <c r="C129" s="422">
        <v>0.85199974367290632</v>
      </c>
      <c r="D129" s="422">
        <v>0.83858899005392029</v>
      </c>
      <c r="E129" s="422">
        <v>0.8236367553071835</v>
      </c>
      <c r="F129" s="422">
        <v>0.8064501005391268</v>
      </c>
      <c r="G129" s="422">
        <v>0.78675954790793956</v>
      </c>
    </row>
    <row r="130" spans="1:7" s="422" customFormat="1" x14ac:dyDescent="0.25">
      <c r="A130" s="1265" t="s">
        <v>3319</v>
      </c>
      <c r="B130" s="422">
        <v>0.8911954250518781</v>
      </c>
      <c r="C130" s="422">
        <v>0.87796203641974901</v>
      </c>
      <c r="D130" s="422">
        <v>0.86309327768661737</v>
      </c>
      <c r="E130" s="422">
        <v>0.8467649173012346</v>
      </c>
      <c r="F130" s="422">
        <v>0.82827941813615458</v>
      </c>
      <c r="G130" s="422">
        <v>0.80736296234590843</v>
      </c>
    </row>
    <row r="131" spans="1:7" s="422" customFormat="1" x14ac:dyDescent="0.25">
      <c r="A131" s="1265" t="s">
        <v>3320</v>
      </c>
      <c r="B131" s="422">
        <v>0.91715771779872124</v>
      </c>
      <c r="C131" s="422">
        <v>0.90246632405244631</v>
      </c>
      <c r="D131" s="422">
        <v>0.88622143968066858</v>
      </c>
      <c r="E131" s="422">
        <v>0.86859423489826248</v>
      </c>
      <c r="F131" s="422">
        <v>0.84888283257412334</v>
      </c>
      <c r="G131" s="422">
        <v>0.8268093185875024</v>
      </c>
    </row>
    <row r="132" spans="1:7" s="422" customFormat="1" x14ac:dyDescent="0.25">
      <c r="A132" s="1265" t="s">
        <v>3321</v>
      </c>
      <c r="B132" s="422">
        <v>0.11802525012423508</v>
      </c>
      <c r="C132" s="422">
        <v>0.11914438550737085</v>
      </c>
      <c r="D132" s="422">
        <v>0.12129120936975714</v>
      </c>
      <c r="E132" s="422">
        <v>0.12355193821084981</v>
      </c>
      <c r="F132" s="422">
        <v>0.12608508935216239</v>
      </c>
      <c r="G132" s="422">
        <v>0.12731211598657674</v>
      </c>
    </row>
    <row r="133" spans="1:7" s="422" customFormat="1" x14ac:dyDescent="0.25">
      <c r="A133" s="1265" t="s">
        <v>3322</v>
      </c>
      <c r="B133" s="422">
        <v>0.15834006688634297</v>
      </c>
      <c r="C133" s="422">
        <v>0.16066425573558599</v>
      </c>
      <c r="D133" s="422">
        <v>0.16300846059028393</v>
      </c>
      <c r="E133" s="422">
        <v>0.16639990611427022</v>
      </c>
      <c r="F133" s="422">
        <v>0.1688319862147919</v>
      </c>
      <c r="G133" s="422">
        <v>0.16977022948918605</v>
      </c>
    </row>
    <row r="134" spans="1:7" s="422" customFormat="1" x14ac:dyDescent="0.25">
      <c r="A134" s="1265" t="s">
        <v>3323</v>
      </c>
      <c r="B134" s="422">
        <v>0.19985993711455813</v>
      </c>
      <c r="C134" s="422">
        <v>0.20238150695611282</v>
      </c>
      <c r="D134" s="422">
        <v>0.20585642849370434</v>
      </c>
      <c r="E134" s="422">
        <v>0.20914680297689972</v>
      </c>
      <c r="F134" s="422">
        <v>0.21129009971740118</v>
      </c>
      <c r="G134" s="422">
        <v>0.21183835335431597</v>
      </c>
    </row>
    <row r="135" spans="1:7" s="422" customFormat="1" x14ac:dyDescent="0.25">
      <c r="A135" s="1265" t="s">
        <v>3324</v>
      </c>
      <c r="B135" s="422">
        <v>0.2415771883350849</v>
      </c>
      <c r="C135" s="422">
        <v>0.24522947485953325</v>
      </c>
      <c r="D135" s="422">
        <v>0.24860332535633384</v>
      </c>
      <c r="E135" s="422">
        <v>0.25160491647950911</v>
      </c>
      <c r="F135" s="422">
        <v>0.25335822358253113</v>
      </c>
      <c r="G135" s="422">
        <v>0.25322276932091048</v>
      </c>
    </row>
    <row r="136" spans="1:7" s="422" customFormat="1" x14ac:dyDescent="0.25">
      <c r="A136" s="1265" t="s">
        <v>3325</v>
      </c>
      <c r="B136" s="422">
        <v>0.28442515623850539</v>
      </c>
      <c r="C136" s="422">
        <v>0.28797637172216278</v>
      </c>
      <c r="D136" s="422">
        <v>0.2910614388589432</v>
      </c>
      <c r="E136" s="422">
        <v>0.29367304034463904</v>
      </c>
      <c r="F136" s="422">
        <v>0.29474263954912561</v>
      </c>
      <c r="G136" s="422">
        <v>0.29415802322079854</v>
      </c>
    </row>
    <row r="137" spans="1:7" s="422" customFormat="1" x14ac:dyDescent="0.25">
      <c r="A137" s="1265" t="s">
        <v>3326</v>
      </c>
      <c r="B137" s="422">
        <v>0.3271720531011349</v>
      </c>
      <c r="C137" s="422">
        <v>0.33043448522477203</v>
      </c>
      <c r="D137" s="422">
        <v>0.33312956272407307</v>
      </c>
      <c r="E137" s="422">
        <v>0.33505745631123346</v>
      </c>
      <c r="F137" s="422">
        <v>0.33567789344901366</v>
      </c>
      <c r="G137" s="422">
        <v>0.33499321027822099</v>
      </c>
    </row>
    <row r="138" spans="1:7" s="422" customFormat="1" x14ac:dyDescent="0.25">
      <c r="A138" s="1265" t="s">
        <v>3327</v>
      </c>
      <c r="B138" s="422">
        <v>0.36963016660374426</v>
      </c>
      <c r="C138" s="422">
        <v>0.37250260908990196</v>
      </c>
      <c r="D138" s="422">
        <v>0.3745139786906676</v>
      </c>
      <c r="E138" s="422">
        <v>0.37599271021112152</v>
      </c>
      <c r="F138" s="422">
        <v>0.37651308050643623</v>
      </c>
      <c r="G138" s="422">
        <v>0.37401343109517099</v>
      </c>
    </row>
    <row r="139" spans="1:7" s="422" customFormat="1" x14ac:dyDescent="0.25">
      <c r="A139" s="1265" t="s">
        <v>3328</v>
      </c>
      <c r="B139" s="422">
        <v>3.717270026740057E-2</v>
      </c>
      <c r="C139" s="422">
        <v>3.7260788802700673E-2</v>
      </c>
      <c r="D139" s="422">
        <v>3.7263369366945936E-2</v>
      </c>
      <c r="E139" s="422">
        <v>3.7913952583004541E-2</v>
      </c>
      <c r="F139" s="422">
        <v>3.8926779014634247E-2</v>
      </c>
      <c r="G139" s="422">
        <v>3.8997369484853335E-2</v>
      </c>
    </row>
    <row r="140" spans="1:7" s="422" customFormat="1" x14ac:dyDescent="0.25">
      <c r="A140" s="1265" t="s">
        <v>3329</v>
      </c>
      <c r="B140" s="422">
        <v>0.3861714612897893</v>
      </c>
      <c r="C140" s="422">
        <v>0.38756233622430547</v>
      </c>
      <c r="D140" s="422">
        <v>0.3884868469165455</v>
      </c>
      <c r="E140" s="422">
        <v>0.38938434256491317</v>
      </c>
      <c r="F140" s="422">
        <v>0.38793981347271622</v>
      </c>
      <c r="G140" s="422">
        <v>0.38379822097069716</v>
      </c>
    </row>
    <row r="141" spans="1:7" s="422" customFormat="1" x14ac:dyDescent="0.25">
      <c r="A141" s="1265" t="s">
        <v>3330</v>
      </c>
      <c r="B141" s="422">
        <v>0.42473503649170596</v>
      </c>
      <c r="C141" s="422">
        <v>0.42574763571924618</v>
      </c>
      <c r="D141" s="422">
        <v>0.42664771193185913</v>
      </c>
      <c r="E141" s="422">
        <v>0.42585376605572084</v>
      </c>
      <c r="F141" s="422">
        <v>0.42272499998533136</v>
      </c>
      <c r="G141" s="422">
        <v>0.41734024617586168</v>
      </c>
    </row>
    <row r="142" spans="1:7" s="422" customFormat="1" x14ac:dyDescent="0.25">
      <c r="A142" s="1265" t="s">
        <v>3331</v>
      </c>
      <c r="B142" s="422">
        <v>0.46292033598664667</v>
      </c>
      <c r="C142" s="422">
        <v>0.46390850073455975</v>
      </c>
      <c r="D142" s="422">
        <v>0.46311713542266691</v>
      </c>
      <c r="E142" s="422">
        <v>0.46063895256833587</v>
      </c>
      <c r="F142" s="422">
        <v>0.456267025190496</v>
      </c>
      <c r="G142" s="422">
        <v>0.44968674679638199</v>
      </c>
    </row>
    <row r="143" spans="1:7" s="422" customFormat="1" x14ac:dyDescent="0.25">
      <c r="A143" s="1265" t="s">
        <v>3332</v>
      </c>
      <c r="B143" s="422">
        <v>0.5010812010019603</v>
      </c>
      <c r="C143" s="422">
        <v>0.50037792422536753</v>
      </c>
      <c r="D143" s="422">
        <v>0.49790232193528189</v>
      </c>
      <c r="E143" s="422">
        <v>0.49418097777350051</v>
      </c>
      <c r="F143" s="422">
        <v>0.48861352581101619</v>
      </c>
      <c r="G143" s="422">
        <v>0.48080752150290035</v>
      </c>
    </row>
    <row r="144" spans="1:7" s="422" customFormat="1" x14ac:dyDescent="0.25">
      <c r="A144" s="1265" t="s">
        <v>3333</v>
      </c>
      <c r="B144" s="422">
        <v>0.53755062449276803</v>
      </c>
      <c r="C144" s="422">
        <v>0.53516311073798262</v>
      </c>
      <c r="D144" s="422">
        <v>0.53144434714044642</v>
      </c>
      <c r="E144" s="422">
        <v>0.5265274783940207</v>
      </c>
      <c r="F144" s="422">
        <v>0.51973430051753466</v>
      </c>
      <c r="G144" s="422">
        <v>0.51085994163948656</v>
      </c>
    </row>
    <row r="145" spans="1:7" x14ac:dyDescent="0.25">
      <c r="A145" s="1265" t="s">
        <v>3334</v>
      </c>
      <c r="B145" s="422">
        <v>0.57233581100538333</v>
      </c>
      <c r="C145" s="422">
        <v>0.56870513594314709</v>
      </c>
      <c r="D145" s="422">
        <v>0.56379084776096666</v>
      </c>
      <c r="E145" s="422">
        <v>0.55764825310053912</v>
      </c>
      <c r="F145" s="422">
        <v>0.54978672065412093</v>
      </c>
      <c r="G145" s="422">
        <v>0.53988292702330209</v>
      </c>
    </row>
    <row r="146" spans="1:7" x14ac:dyDescent="0.25">
      <c r="A146" s="1265" t="s">
        <v>3335</v>
      </c>
      <c r="B146" s="422">
        <v>0.6058778362105478</v>
      </c>
      <c r="C146" s="422">
        <v>0.60105163656366745</v>
      </c>
      <c r="D146" s="422">
        <v>0.59491162246748508</v>
      </c>
      <c r="E146" s="422">
        <v>0.58770067323712538</v>
      </c>
      <c r="F146" s="422">
        <v>0.57880970603793647</v>
      </c>
      <c r="G146" s="422">
        <v>0.56791388261572229</v>
      </c>
    </row>
    <row r="147" spans="1:7" x14ac:dyDescent="0.25">
      <c r="A147" s="1265" t="s">
        <v>3336</v>
      </c>
      <c r="B147" s="422">
        <v>0.63822433683106805</v>
      </c>
      <c r="C147" s="422">
        <v>0.63217241127018586</v>
      </c>
      <c r="D147" s="422">
        <v>0.62496404260407135</v>
      </c>
      <c r="E147" s="422">
        <v>0.61672365862094092</v>
      </c>
      <c r="F147" s="422">
        <v>0.60684066163035666</v>
      </c>
      <c r="G147" s="422">
        <v>0.5949887614550351</v>
      </c>
    </row>
    <row r="148" spans="1:7" x14ac:dyDescent="0.25">
      <c r="A148" s="1265" t="s">
        <v>3337</v>
      </c>
      <c r="B148" s="422">
        <v>0.66934511153758625</v>
      </c>
      <c r="C148" s="422">
        <v>0.66222483140677191</v>
      </c>
      <c r="D148" s="422">
        <v>0.65398702798788677</v>
      </c>
      <c r="E148" s="422">
        <v>0.644754614213361</v>
      </c>
      <c r="F148" s="422">
        <v>0.63391554046966936</v>
      </c>
      <c r="G148" s="422">
        <v>0.621142124821912</v>
      </c>
    </row>
    <row r="149" spans="1:7" x14ac:dyDescent="0.25">
      <c r="A149" s="1265" t="s">
        <v>3338</v>
      </c>
      <c r="B149" s="422">
        <v>0.69939753167417273</v>
      </c>
      <c r="C149" s="422">
        <v>0.69124781679058778</v>
      </c>
      <c r="D149" s="422">
        <v>0.68201798358030696</v>
      </c>
      <c r="E149" s="422">
        <v>0.67182949305267381</v>
      </c>
      <c r="F149" s="422">
        <v>0.66006890383654637</v>
      </c>
      <c r="G149" s="422">
        <v>0.64640719976485861</v>
      </c>
    </row>
    <row r="150" spans="1:7" x14ac:dyDescent="0.25">
      <c r="A150" s="1265" t="s">
        <v>3339</v>
      </c>
      <c r="B150" s="422">
        <v>7.4433489070101222E-2</v>
      </c>
      <c r="C150" s="422">
        <v>7.4524158169646623E-2</v>
      </c>
      <c r="D150" s="422">
        <v>7.5177321949950485E-2</v>
      </c>
      <c r="E150" s="422">
        <v>7.6840731597638795E-2</v>
      </c>
      <c r="F150" s="422">
        <v>7.7924148499487575E-2</v>
      </c>
      <c r="G150" s="422">
        <v>7.9021100708241657E-2</v>
      </c>
    </row>
    <row r="151" spans="1:7" x14ac:dyDescent="0.25">
      <c r="A151" s="1265" t="s">
        <v>3340</v>
      </c>
      <c r="B151" s="422">
        <v>0.72842051705798827</v>
      </c>
      <c r="C151" s="422">
        <v>0.71927877238300764</v>
      </c>
      <c r="D151" s="422">
        <v>0.70909286241961988</v>
      </c>
      <c r="E151" s="422">
        <v>0.69798285641955082</v>
      </c>
      <c r="F151" s="422">
        <v>0.68533397877949287</v>
      </c>
      <c r="G151" s="422">
        <v>0.67081593410681906</v>
      </c>
    </row>
    <row r="152" spans="1:7" x14ac:dyDescent="0.25">
      <c r="A152" s="1265" t="s">
        <v>3341</v>
      </c>
      <c r="B152" s="422">
        <v>0.75645147265040824</v>
      </c>
      <c r="C152" s="422">
        <v>0.74635365122232056</v>
      </c>
      <c r="D152" s="422">
        <v>0.73524622578649668</v>
      </c>
      <c r="E152" s="422">
        <v>0.72324793136249765</v>
      </c>
      <c r="F152" s="422">
        <v>0.70974271312145332</v>
      </c>
      <c r="G152" s="422">
        <v>0.69385390894585697</v>
      </c>
    </row>
    <row r="153" spans="1:7" x14ac:dyDescent="0.25">
      <c r="A153" s="1265" t="s">
        <v>3342</v>
      </c>
      <c r="B153" s="422">
        <v>0.78352635148972105</v>
      </c>
      <c r="C153" s="422">
        <v>0.77250701458919735</v>
      </c>
      <c r="D153" s="422">
        <v>0.76051130072944328</v>
      </c>
      <c r="E153" s="422">
        <v>0.7476566657044581</v>
      </c>
      <c r="F153" s="422">
        <v>0.73278068796049112</v>
      </c>
      <c r="G153" s="422">
        <v>0.71559810416911107</v>
      </c>
    </row>
    <row r="154" spans="1:7" x14ac:dyDescent="0.25">
      <c r="A154" s="1265" t="s">
        <v>3343</v>
      </c>
      <c r="B154" s="422">
        <v>0.80967971485659784</v>
      </c>
      <c r="C154" s="422">
        <v>0.79777208953214385</v>
      </c>
      <c r="D154" s="422">
        <v>0.78492003507140373</v>
      </c>
      <c r="E154" s="422">
        <v>0.77069464054349546</v>
      </c>
      <c r="F154" s="422">
        <v>0.75452488318374522</v>
      </c>
      <c r="G154" s="422">
        <v>0.73612117658369736</v>
      </c>
    </row>
    <row r="155" spans="1:7" x14ac:dyDescent="0.25">
      <c r="A155" s="1265" t="s">
        <v>3344</v>
      </c>
      <c r="B155" s="422">
        <v>0.83494478979954445</v>
      </c>
      <c r="C155" s="422">
        <v>0.82218082387410441</v>
      </c>
      <c r="D155" s="422">
        <v>0.80795800991044153</v>
      </c>
      <c r="E155" s="422">
        <v>0.79243883576674967</v>
      </c>
      <c r="F155" s="422">
        <v>0.7750479555983314</v>
      </c>
      <c r="G155" s="422">
        <v>0.75549170269468002</v>
      </c>
    </row>
    <row r="156" spans="1:7" x14ac:dyDescent="0.25">
      <c r="A156" s="1265" t="s">
        <v>3345</v>
      </c>
      <c r="B156" s="422">
        <v>0.85935352414150512</v>
      </c>
      <c r="C156" s="422">
        <v>0.84521879871314221</v>
      </c>
      <c r="D156" s="422">
        <v>0.82970220513369575</v>
      </c>
      <c r="E156" s="422">
        <v>0.81296190818133596</v>
      </c>
      <c r="F156" s="422">
        <v>0.79441848170931428</v>
      </c>
      <c r="G156" s="422">
        <v>0.77377440784898199</v>
      </c>
    </row>
    <row r="157" spans="1:7" x14ac:dyDescent="0.25">
      <c r="A157" s="1265" t="s">
        <v>3346</v>
      </c>
      <c r="B157" s="422">
        <v>0.11169685843704717</v>
      </c>
      <c r="C157" s="422">
        <v>0.11243811075265117</v>
      </c>
      <c r="D157" s="422">
        <v>0.11410410096458473</v>
      </c>
      <c r="E157" s="422">
        <v>0.1158381010824921</v>
      </c>
      <c r="F157" s="422">
        <v>0.11794787972287593</v>
      </c>
      <c r="G157" s="422">
        <v>0.11888397951768309</v>
      </c>
    </row>
    <row r="158" spans="1:7" x14ac:dyDescent="0.25">
      <c r="A158" s="1265" t="s">
        <v>3347</v>
      </c>
      <c r="B158" s="422">
        <v>0.14961081102005172</v>
      </c>
      <c r="C158" s="422">
        <v>0.15136488976728543</v>
      </c>
      <c r="D158" s="422">
        <v>0.15310147044943806</v>
      </c>
      <c r="E158" s="422">
        <v>0.15586183230588047</v>
      </c>
      <c r="F158" s="422">
        <v>0.15781075853231735</v>
      </c>
      <c r="G158" s="422">
        <v>0.15844298068256429</v>
      </c>
    </row>
    <row r="159" spans="1:7" x14ac:dyDescent="0.25">
      <c r="A159" s="1265" t="s">
        <v>3348</v>
      </c>
      <c r="B159" s="422">
        <v>0.18853759003468595</v>
      </c>
      <c r="C159" s="422">
        <v>0.19036225925213873</v>
      </c>
      <c r="D159" s="422">
        <v>0.19312520167282637</v>
      </c>
      <c r="E159" s="422">
        <v>0.19572471111532189</v>
      </c>
      <c r="F159" s="422">
        <v>0.19736975969719855</v>
      </c>
      <c r="G159" s="422">
        <v>0.19763387125510329</v>
      </c>
    </row>
    <row r="160" spans="1:7" x14ac:dyDescent="0.25">
      <c r="A160" s="1265" t="s">
        <v>3349</v>
      </c>
      <c r="B160" s="422">
        <v>0.22753495951953934</v>
      </c>
      <c r="C160" s="422">
        <v>0.23038599047552705</v>
      </c>
      <c r="D160" s="422">
        <v>0.23298808048226788</v>
      </c>
      <c r="E160" s="422">
        <v>0.23528371228020312</v>
      </c>
      <c r="F160" s="422">
        <v>0.23656065026973755</v>
      </c>
      <c r="G160" s="422">
        <v>0.23619744645701998</v>
      </c>
    </row>
    <row r="161" spans="1:8" x14ac:dyDescent="0.25">
      <c r="A161" s="1265" t="s">
        <v>3350</v>
      </c>
      <c r="B161" s="422">
        <v>0.26755869074292765</v>
      </c>
      <c r="C161" s="422">
        <v>0.27024886928496861</v>
      </c>
      <c r="D161" s="422">
        <v>0.27254708164714903</v>
      </c>
      <c r="E161" s="422">
        <v>0.27447460285274217</v>
      </c>
      <c r="F161" s="422">
        <v>0.27512422547165422</v>
      </c>
      <c r="G161" s="422">
        <v>0.27438274595196077</v>
      </c>
    </row>
    <row r="162" spans="1:8" x14ac:dyDescent="0.25">
      <c r="A162" s="1265" t="s">
        <v>3351</v>
      </c>
      <c r="B162" s="422">
        <v>0.3074215695523691</v>
      </c>
      <c r="C162" s="422">
        <v>0.3098078704498497</v>
      </c>
      <c r="D162" s="422">
        <v>0.31173797221968808</v>
      </c>
      <c r="E162" s="422">
        <v>0.31303817805465872</v>
      </c>
      <c r="F162" s="422">
        <v>0.31330952496659503</v>
      </c>
      <c r="G162" s="422">
        <v>0.3125436109672744</v>
      </c>
    </row>
    <row r="163" spans="1:8" x14ac:dyDescent="0.25">
      <c r="A163" s="1265" t="s">
        <v>3352</v>
      </c>
      <c r="B163" s="422">
        <v>0.34698057071725025</v>
      </c>
      <c r="C163" s="422">
        <v>0.34899876102238869</v>
      </c>
      <c r="D163" s="422">
        <v>0.35030154742160469</v>
      </c>
      <c r="E163" s="422">
        <v>0.35122347754959954</v>
      </c>
      <c r="F163" s="422">
        <v>0.3514703899819086</v>
      </c>
      <c r="G163" s="422">
        <v>0.34901303445808202</v>
      </c>
    </row>
    <row r="164" spans="1:8" x14ac:dyDescent="0.25">
      <c r="A164" s="1266" t="s">
        <v>3353</v>
      </c>
      <c r="B164" s="1267">
        <v>3.4451814216411712E-2</v>
      </c>
      <c r="C164" s="1267">
        <v>3.450926719767191E-2</v>
      </c>
      <c r="D164" s="1267">
        <v>3.4488538255103847E-2</v>
      </c>
      <c r="E164" s="1267">
        <v>3.5042169404842165E-2</v>
      </c>
      <c r="F164" s="1267">
        <v>3.5941606421003816E-2</v>
      </c>
      <c r="G164" s="1267">
        <v>3.5971828991200987E-2</v>
      </c>
      <c r="H164" s="1267"/>
    </row>
    <row r="165" spans="1:8" x14ac:dyDescent="0.25">
      <c r="A165" s="1265" t="s">
        <v>3354</v>
      </c>
      <c r="B165" s="422">
        <v>0.35661382075334941</v>
      </c>
      <c r="C165" s="422">
        <v>0.35769612903942405</v>
      </c>
      <c r="D165" s="422">
        <v>0.35838479805823353</v>
      </c>
      <c r="E165" s="422">
        <v>0.35909282330252068</v>
      </c>
      <c r="F165" s="422">
        <v>0.35768859364680061</v>
      </c>
      <c r="G165" s="422">
        <v>0.35383359082802979</v>
      </c>
    </row>
    <row r="166" spans="1:8" x14ac:dyDescent="0.25">
      <c r="A166" s="1265" t="s">
        <v>3355</v>
      </c>
      <c r="B166" s="422">
        <v>0.39214794325583574</v>
      </c>
      <c r="C166" s="422">
        <v>0.39289406525590542</v>
      </c>
      <c r="D166" s="422">
        <v>0.39358136155762441</v>
      </c>
      <c r="E166" s="422">
        <v>0.39273076305164278</v>
      </c>
      <c r="F166" s="422">
        <v>0.38977519724903359</v>
      </c>
      <c r="G166" s="422">
        <v>0.38478085065742612</v>
      </c>
    </row>
    <row r="167" spans="1:8" x14ac:dyDescent="0.25">
      <c r="A167" s="1265" t="s">
        <v>3356</v>
      </c>
      <c r="B167" s="422">
        <v>0.42734587947231717</v>
      </c>
      <c r="C167" s="422">
        <v>0.42809062875529635</v>
      </c>
      <c r="D167" s="422">
        <v>0.42721930130674657</v>
      </c>
      <c r="E167" s="422">
        <v>0.42481736665387571</v>
      </c>
      <c r="F167" s="422">
        <v>0.42072245707842998</v>
      </c>
      <c r="G167" s="422">
        <v>0.41463196519749235</v>
      </c>
    </row>
    <row r="168" spans="1:8" x14ac:dyDescent="0.25">
      <c r="A168" s="1265" t="s">
        <v>3357</v>
      </c>
      <c r="B168" s="422">
        <v>0.4625424429717081</v>
      </c>
      <c r="C168" s="422">
        <v>0.46172856850441851</v>
      </c>
      <c r="D168" s="422">
        <v>0.4593059049089796</v>
      </c>
      <c r="E168" s="422">
        <v>0.45576462648327204</v>
      </c>
      <c r="F168" s="422">
        <v>0.45057357161849637</v>
      </c>
      <c r="G168" s="422">
        <v>0.4433568662379942</v>
      </c>
    </row>
    <row r="169" spans="1:8" x14ac:dyDescent="0.25">
      <c r="A169" s="1265" t="s">
        <v>3358</v>
      </c>
      <c r="B169" s="422">
        <v>0.49618038272083015</v>
      </c>
      <c r="C169" s="422">
        <v>0.49381517210665155</v>
      </c>
      <c r="D169" s="422">
        <v>0.49025316473837588</v>
      </c>
      <c r="E169" s="422">
        <v>0.48561574102333843</v>
      </c>
      <c r="F169" s="422">
        <v>0.47929847265899805</v>
      </c>
      <c r="G169" s="422">
        <v>0.47110075518856426</v>
      </c>
    </row>
    <row r="170" spans="1:8" x14ac:dyDescent="0.25">
      <c r="A170" s="1265" t="s">
        <v>3359</v>
      </c>
      <c r="B170" s="422">
        <v>0.52826698632306313</v>
      </c>
      <c r="C170" s="422">
        <v>0.52476243193604788</v>
      </c>
      <c r="D170" s="422">
        <v>0.52010427927844227</v>
      </c>
      <c r="E170" s="422">
        <v>0.51434064206384011</v>
      </c>
      <c r="F170" s="422">
        <v>0.50704236160956806</v>
      </c>
      <c r="G170" s="422">
        <v>0.49789915481696817</v>
      </c>
    </row>
    <row r="171" spans="1:8" x14ac:dyDescent="0.25">
      <c r="A171" s="1265" t="s">
        <v>3360</v>
      </c>
      <c r="B171" s="422">
        <v>0.55921424615245952</v>
      </c>
      <c r="C171" s="422">
        <v>0.55461354647611438</v>
      </c>
      <c r="D171" s="422">
        <v>0.54882918031894401</v>
      </c>
      <c r="E171" s="422">
        <v>0.54208453101441034</v>
      </c>
      <c r="F171" s="422">
        <v>0.53384076123797186</v>
      </c>
      <c r="G171" s="422">
        <v>0.52378621387560098</v>
      </c>
    </row>
    <row r="172" spans="1:8" x14ac:dyDescent="0.25">
      <c r="A172" s="1265" t="s">
        <v>3361</v>
      </c>
      <c r="B172" s="422">
        <v>0.58906536069252591</v>
      </c>
      <c r="C172" s="422">
        <v>0.58333844751661612</v>
      </c>
      <c r="D172" s="422">
        <v>0.57657306926951413</v>
      </c>
      <c r="E172" s="422">
        <v>0.56888293064281392</v>
      </c>
      <c r="F172" s="422">
        <v>0.55972782029660473</v>
      </c>
      <c r="G172" s="422">
        <v>0.54879476385855519</v>
      </c>
    </row>
    <row r="173" spans="1:8" x14ac:dyDescent="0.25">
      <c r="A173" s="1265" t="s">
        <v>3362</v>
      </c>
      <c r="B173" s="422">
        <v>0.61779026173302753</v>
      </c>
      <c r="C173" s="422">
        <v>0.61108233646718579</v>
      </c>
      <c r="D173" s="422">
        <v>0.60337146889791793</v>
      </c>
      <c r="E173" s="422">
        <v>0.59476998970144701</v>
      </c>
      <c r="F173" s="422">
        <v>0.58473637027955894</v>
      </c>
      <c r="G173" s="422">
        <v>0.57295637327450188</v>
      </c>
    </row>
    <row r="174" spans="1:8" x14ac:dyDescent="0.25">
      <c r="A174" s="1265" t="s">
        <v>3363</v>
      </c>
      <c r="B174" s="422">
        <v>0.64553415068359787</v>
      </c>
      <c r="C174" s="422">
        <v>0.63788073609558982</v>
      </c>
      <c r="D174" s="422">
        <v>0.62925852795655079</v>
      </c>
      <c r="E174" s="422">
        <v>0.61977853968440122</v>
      </c>
      <c r="F174" s="422">
        <v>0.60889797969550563</v>
      </c>
      <c r="G174" s="422">
        <v>0.59630139954920203</v>
      </c>
    </row>
    <row r="175" spans="1:8" x14ac:dyDescent="0.25">
      <c r="A175" s="1265" t="s">
        <v>3364</v>
      </c>
      <c r="B175" s="422">
        <v>6.8961081414083608E-2</v>
      </c>
      <c r="C175" s="422">
        <v>6.8997805452775743E-2</v>
      </c>
      <c r="D175" s="422">
        <v>6.9530707659946026E-2</v>
      </c>
      <c r="E175" s="422">
        <v>7.0983775825845988E-2</v>
      </c>
      <c r="F175" s="422">
        <v>7.191343541220481E-2</v>
      </c>
      <c r="G175" s="422">
        <v>7.288100875276475E-2</v>
      </c>
    </row>
    <row r="176" spans="1:8" x14ac:dyDescent="0.25">
      <c r="A176" s="1265" t="s">
        <v>3365</v>
      </c>
      <c r="B176" s="422">
        <v>0.67233255031200145</v>
      </c>
      <c r="C176" s="422">
        <v>0.66376779515422257</v>
      </c>
      <c r="D176" s="422">
        <v>0.654267077939505</v>
      </c>
      <c r="E176" s="422">
        <v>0.64394014910034791</v>
      </c>
      <c r="F176" s="422">
        <v>0.63224300597020566</v>
      </c>
      <c r="G176" s="422">
        <v>0.61885903866606806</v>
      </c>
    </row>
    <row r="177" spans="1:7" x14ac:dyDescent="0.25">
      <c r="A177" s="1265" t="s">
        <v>3366</v>
      </c>
      <c r="B177" s="422">
        <v>0.69821960937063443</v>
      </c>
      <c r="C177" s="422">
        <v>0.68877634513717689</v>
      </c>
      <c r="D177" s="422">
        <v>0.67842868735545148</v>
      </c>
      <c r="E177" s="422">
        <v>0.66728517537504783</v>
      </c>
      <c r="F177" s="422">
        <v>0.6548006450870717</v>
      </c>
      <c r="G177" s="422">
        <v>0.64014987313219929</v>
      </c>
    </row>
    <row r="178" spans="1:7" x14ac:dyDescent="0.25">
      <c r="A178" s="1265" t="s">
        <v>3367</v>
      </c>
      <c r="B178" s="422">
        <v>0.72322815935358853</v>
      </c>
      <c r="C178" s="422">
        <v>0.71293795455312359</v>
      </c>
      <c r="D178" s="422">
        <v>0.70177371363015173</v>
      </c>
      <c r="E178" s="422">
        <v>0.68984281449191398</v>
      </c>
      <c r="F178" s="422">
        <v>0.67609147955320326</v>
      </c>
      <c r="G178" s="422">
        <v>0.66024504487937385</v>
      </c>
    </row>
    <row r="179" spans="1:7" x14ac:dyDescent="0.25">
      <c r="A179" s="1265" t="s">
        <v>3368</v>
      </c>
      <c r="B179" s="422">
        <v>0.74738976876953522</v>
      </c>
      <c r="C179" s="422">
        <v>0.73628298082782373</v>
      </c>
      <c r="D179" s="422">
        <v>0.72433135274701788</v>
      </c>
      <c r="E179" s="422">
        <v>0.71113364895804543</v>
      </c>
      <c r="F179" s="422">
        <v>0.69618665130037771</v>
      </c>
      <c r="G179" s="422">
        <v>0.67921170061054381</v>
      </c>
    </row>
    <row r="180" spans="1:7" x14ac:dyDescent="0.25">
      <c r="A180" s="1268" t="s">
        <v>3369</v>
      </c>
      <c r="B180" s="422">
        <v>0.77073479504423537</v>
      </c>
      <c r="C180" s="422">
        <v>0.75884061994468976</v>
      </c>
      <c r="D180" s="422">
        <v>0.7456221872131491</v>
      </c>
      <c r="E180" s="422">
        <v>0.73122882070521944</v>
      </c>
      <c r="F180" s="422">
        <v>0.71515330703154745</v>
      </c>
      <c r="G180" s="422">
        <v>0.69711321616615474</v>
      </c>
    </row>
    <row r="181" spans="1:7" x14ac:dyDescent="0.25">
      <c r="A181" s="1265" t="s">
        <v>3370</v>
      </c>
      <c r="B181" s="422">
        <v>0.79329243416110162</v>
      </c>
      <c r="C181" s="422">
        <v>0.78013145441082132</v>
      </c>
      <c r="D181" s="422">
        <v>0.765717358960324</v>
      </c>
      <c r="E181" s="422">
        <v>0.75019547643638984</v>
      </c>
      <c r="F181" s="422">
        <v>0.73305482258715848</v>
      </c>
      <c r="G181" s="422">
        <v>0.7140094082903744</v>
      </c>
    </row>
    <row r="182" spans="1:7" x14ac:dyDescent="0.25">
      <c r="A182" s="1265" t="s">
        <v>3371</v>
      </c>
      <c r="B182" s="422">
        <v>0.10344961966918746</v>
      </c>
      <c r="C182" s="422">
        <v>0.10403997485761787</v>
      </c>
      <c r="D182" s="422">
        <v>0.10547231408094981</v>
      </c>
      <c r="E182" s="422">
        <v>0.10695560481704697</v>
      </c>
      <c r="F182" s="422">
        <v>0.10882261517376859</v>
      </c>
      <c r="G182" s="422">
        <v>0.10962148782058445</v>
      </c>
    </row>
    <row r="183" spans="1:7" x14ac:dyDescent="0.25">
      <c r="A183" s="1265" t="s">
        <v>3372</v>
      </c>
      <c r="B183" s="422">
        <v>0.13849178907402962</v>
      </c>
      <c r="C183" s="422">
        <v>0.13998158127862173</v>
      </c>
      <c r="D183" s="422">
        <v>0.14144414307215081</v>
      </c>
      <c r="E183" s="422">
        <v>0.14386478457861074</v>
      </c>
      <c r="F183" s="422">
        <v>0.14556309424158825</v>
      </c>
      <c r="G183" s="422">
        <v>0.14607127549206472</v>
      </c>
    </row>
    <row r="184" spans="1:7" x14ac:dyDescent="0.25">
      <c r="A184" s="1265" t="s">
        <v>3373</v>
      </c>
      <c r="B184" s="422">
        <v>0.17443339549503337</v>
      </c>
      <c r="C184" s="422">
        <v>0.17595341026982272</v>
      </c>
      <c r="D184" s="422">
        <v>0.17835332283371463</v>
      </c>
      <c r="E184" s="422">
        <v>0.18060526364643043</v>
      </c>
      <c r="F184" s="422">
        <v>0.18201288191306847</v>
      </c>
      <c r="G184" s="422">
        <v>0.1821804252583159</v>
      </c>
    </row>
    <row r="185" spans="1:7" x14ac:dyDescent="0.25">
      <c r="A185" s="1265" t="s">
        <v>3374</v>
      </c>
      <c r="B185" s="422">
        <v>0.21040522448623444</v>
      </c>
      <c r="C185" s="422">
        <v>0.21286259003138655</v>
      </c>
      <c r="D185" s="422">
        <v>0.21509380190153429</v>
      </c>
      <c r="E185" s="422">
        <v>0.2170550513179107</v>
      </c>
      <c r="F185" s="422">
        <v>0.21812203167931971</v>
      </c>
      <c r="G185" s="422">
        <v>0.21771454776080226</v>
      </c>
    </row>
    <row r="186" spans="1:7" x14ac:dyDescent="0.25">
      <c r="A186" s="1265" t="s">
        <v>3375</v>
      </c>
      <c r="B186" s="422">
        <v>0.24731440424779824</v>
      </c>
      <c r="C186" s="422">
        <v>0.24960306909920615</v>
      </c>
      <c r="D186" s="422">
        <v>0.25154358957301454</v>
      </c>
      <c r="E186" s="422">
        <v>0.25316420108416182</v>
      </c>
      <c r="F186" s="422">
        <v>0.25365615418180615</v>
      </c>
      <c r="G186" s="422">
        <v>0.25291248397728372</v>
      </c>
    </row>
    <row r="187" spans="1:7" x14ac:dyDescent="0.25">
      <c r="A187" s="1265" t="s">
        <v>3376</v>
      </c>
      <c r="B187" s="422">
        <v>0.28405488331561796</v>
      </c>
      <c r="C187" s="422">
        <v>0.28605285677068643</v>
      </c>
      <c r="D187" s="422">
        <v>0.28765273933926566</v>
      </c>
      <c r="E187" s="422">
        <v>0.28869832358664838</v>
      </c>
      <c r="F187" s="422">
        <v>0.28885409039828752</v>
      </c>
      <c r="G187" s="422">
        <v>0.28810904747667471</v>
      </c>
    </row>
    <row r="188" spans="1:7" x14ac:dyDescent="0.25">
      <c r="A188" s="1265" t="s">
        <v>3377</v>
      </c>
      <c r="B188" s="422">
        <v>0.32050467098709806</v>
      </c>
      <c r="C188" s="422">
        <v>0.32216200653693755</v>
      </c>
      <c r="D188" s="422">
        <v>0.32318686184175222</v>
      </c>
      <c r="E188" s="422">
        <v>0.32389625980312975</v>
      </c>
      <c r="F188" s="422">
        <v>0.3240506538976784</v>
      </c>
      <c r="G188" s="422">
        <v>0.32174698722579675</v>
      </c>
    </row>
    <row r="189" spans="1:7" x14ac:dyDescent="0.25">
      <c r="A189" s="1265" t="s">
        <v>3378</v>
      </c>
      <c r="B189" s="422">
        <v>3.9747968207380593E-2</v>
      </c>
      <c r="C189" s="422">
        <v>3.9986997605038738E-2</v>
      </c>
      <c r="D189" s="422">
        <v>4.0128204583551298E-2</v>
      </c>
      <c r="E189" s="422">
        <v>4.1119262723228071E-2</v>
      </c>
      <c r="F189" s="422">
        <v>4.2437316042793924E-2</v>
      </c>
      <c r="G189" s="422">
        <v>4.2723582414039327E-2</v>
      </c>
    </row>
    <row r="190" spans="1:7" x14ac:dyDescent="0.25">
      <c r="A190" s="1265" t="s">
        <v>3379</v>
      </c>
      <c r="B190" s="422">
        <v>0.42065844549038622</v>
      </c>
      <c r="C190" s="422">
        <v>0.42338377172833563</v>
      </c>
      <c r="D190" s="422">
        <v>0.42537935112783859</v>
      </c>
      <c r="E190" s="422">
        <v>0.42708021074596592</v>
      </c>
      <c r="F190" s="422">
        <v>0.42592742980660664</v>
      </c>
      <c r="G190" s="422">
        <v>0.42159806168680364</v>
      </c>
    </row>
    <row r="191" spans="1:7" x14ac:dyDescent="0.25">
      <c r="A191" s="1265" t="s">
        <v>3380</v>
      </c>
      <c r="B191" s="422">
        <v>0.46313173993571627</v>
      </c>
      <c r="C191" s="422">
        <v>0.4653663487328773</v>
      </c>
      <c r="D191" s="422">
        <v>0.46720841532951723</v>
      </c>
      <c r="E191" s="422">
        <v>0.46704669252983477</v>
      </c>
      <c r="F191" s="422">
        <v>0.46403537772959763</v>
      </c>
      <c r="G191" s="422">
        <v>0.45829993712331796</v>
      </c>
    </row>
    <row r="192" spans="1:7" x14ac:dyDescent="0.25">
      <c r="A192" s="1265" t="s">
        <v>3381</v>
      </c>
      <c r="B192" s="422">
        <v>0.50511431694025788</v>
      </c>
      <c r="C192" s="422">
        <v>0.50719541293455606</v>
      </c>
      <c r="D192" s="422">
        <v>0.50717489711338604</v>
      </c>
      <c r="E192" s="422">
        <v>0.50515464045282576</v>
      </c>
      <c r="F192" s="422">
        <v>0.50073725316611173</v>
      </c>
      <c r="G192" s="422">
        <v>0.49365237421811492</v>
      </c>
    </row>
    <row r="193" spans="1:7" x14ac:dyDescent="0.25">
      <c r="A193" s="1265" t="s">
        <v>3382</v>
      </c>
      <c r="B193" s="422">
        <v>0.54694338114193664</v>
      </c>
      <c r="C193" s="422">
        <v>0.54716189471842491</v>
      </c>
      <c r="D193" s="422">
        <v>0.54528284503637681</v>
      </c>
      <c r="E193" s="422">
        <v>0.54185651588933981</v>
      </c>
      <c r="F193" s="422">
        <v>0.5360896902609088</v>
      </c>
      <c r="G193" s="422">
        <v>0.52763551948290255</v>
      </c>
    </row>
    <row r="194" spans="1:7" x14ac:dyDescent="0.25">
      <c r="A194" s="1265" t="s">
        <v>3383</v>
      </c>
      <c r="B194" s="422">
        <v>0.5869098629258056</v>
      </c>
      <c r="C194" s="422">
        <v>0.58526984264141579</v>
      </c>
      <c r="D194" s="422">
        <v>0.58198472047289118</v>
      </c>
      <c r="E194" s="422">
        <v>0.57720895298413677</v>
      </c>
      <c r="F194" s="422">
        <v>0.57007283552569654</v>
      </c>
      <c r="G194" s="422">
        <v>0.56042154499944608</v>
      </c>
    </row>
    <row r="195" spans="1:7" x14ac:dyDescent="0.25">
      <c r="A195" s="1265" t="s">
        <v>3384</v>
      </c>
      <c r="B195" s="422">
        <v>0.62501781084879626</v>
      </c>
      <c r="C195" s="422">
        <v>0.62197171807793006</v>
      </c>
      <c r="D195" s="422">
        <v>0.61733715756768814</v>
      </c>
      <c r="E195" s="422">
        <v>0.61119209824892473</v>
      </c>
      <c r="F195" s="422">
        <v>0.60285886104224007</v>
      </c>
      <c r="G195" s="422">
        <v>0.59205535003357623</v>
      </c>
    </row>
    <row r="196" spans="1:7" x14ac:dyDescent="0.25">
      <c r="A196" s="1265" t="s">
        <v>3385</v>
      </c>
      <c r="B196" s="422">
        <v>0.66171968628531075</v>
      </c>
      <c r="C196" s="422">
        <v>0.65732415517272702</v>
      </c>
      <c r="D196" s="422">
        <v>0.65132030283247588</v>
      </c>
      <c r="E196" s="422">
        <v>0.64397812376546804</v>
      </c>
      <c r="F196" s="422">
        <v>0.63449266607637023</v>
      </c>
      <c r="G196" s="422">
        <v>0.62258003465030165</v>
      </c>
    </row>
    <row r="197" spans="1:7" x14ac:dyDescent="0.25">
      <c r="A197" s="1265" t="s">
        <v>3386</v>
      </c>
      <c r="B197" s="422">
        <v>0.69707212338010771</v>
      </c>
      <c r="C197" s="422">
        <v>0.69130730043751465</v>
      </c>
      <c r="D197" s="422">
        <v>0.6841063283490193</v>
      </c>
      <c r="E197" s="422">
        <v>0.67561192879959819</v>
      </c>
      <c r="F197" s="422">
        <v>0.66501735069309564</v>
      </c>
      <c r="G197" s="422">
        <v>0.65203697640298741</v>
      </c>
    </row>
    <row r="198" spans="1:7" x14ac:dyDescent="0.25">
      <c r="A198" s="1265" t="s">
        <v>3387</v>
      </c>
      <c r="B198" s="422">
        <v>0.73105526864489523</v>
      </c>
      <c r="C198" s="422">
        <v>0.72409332595405829</v>
      </c>
      <c r="D198" s="422">
        <v>0.71574013338314946</v>
      </c>
      <c r="E198" s="422">
        <v>0.70613661341632361</v>
      </c>
      <c r="F198" s="422">
        <v>0.6944742924457814</v>
      </c>
      <c r="G198" s="422">
        <v>0.68046590358158343</v>
      </c>
    </row>
    <row r="199" spans="1:7" x14ac:dyDescent="0.25">
      <c r="A199" s="1265" t="s">
        <v>3388</v>
      </c>
      <c r="B199" s="422">
        <v>0.76384129416143864</v>
      </c>
      <c r="C199" s="422">
        <v>0.75572713098818833</v>
      </c>
      <c r="D199" s="422">
        <v>0.74626481799987499</v>
      </c>
      <c r="E199" s="422">
        <v>0.73559355516900948</v>
      </c>
      <c r="F199" s="422">
        <v>0.72290321962437731</v>
      </c>
      <c r="G199" s="422">
        <v>0.70790496518039636</v>
      </c>
    </row>
    <row r="200" spans="1:7" x14ac:dyDescent="0.25">
      <c r="A200" s="1265" t="s">
        <v>3389</v>
      </c>
      <c r="B200" s="422">
        <v>7.9734965812419331E-2</v>
      </c>
      <c r="C200" s="422">
        <v>8.0115202188590015E-2</v>
      </c>
      <c r="D200" s="422">
        <v>8.124746730677937E-2</v>
      </c>
      <c r="E200" s="422">
        <v>8.3556578766021988E-2</v>
      </c>
      <c r="F200" s="422">
        <v>8.5160898456833251E-2</v>
      </c>
      <c r="G200" s="422">
        <v>8.6627779044681399E-2</v>
      </c>
    </row>
    <row r="201" spans="1:7" x14ac:dyDescent="0.25">
      <c r="A201" s="1265" t="s">
        <v>3390</v>
      </c>
      <c r="B201" s="422">
        <v>0.79547509919556902</v>
      </c>
      <c r="C201" s="422">
        <v>0.78625181560491408</v>
      </c>
      <c r="D201" s="422">
        <v>0.77572175975256064</v>
      </c>
      <c r="E201" s="422">
        <v>0.76402248234760517</v>
      </c>
      <c r="F201" s="422">
        <v>0.75034228122319047</v>
      </c>
      <c r="G201" s="422">
        <v>0.73439079773820126</v>
      </c>
    </row>
    <row r="202" spans="1:7" x14ac:dyDescent="0.25">
      <c r="A202" s="1265" t="s">
        <v>3391</v>
      </c>
      <c r="B202" s="422">
        <v>0.82599978381229433</v>
      </c>
      <c r="C202" s="422">
        <v>0.81570875735759962</v>
      </c>
      <c r="D202" s="422">
        <v>0.80415068693115688</v>
      </c>
      <c r="E202" s="422">
        <v>0.79146154394641832</v>
      </c>
      <c r="F202" s="422">
        <v>0.77682811378099503</v>
      </c>
      <c r="G202" s="422">
        <v>0.75938922393716757</v>
      </c>
    </row>
    <row r="203" spans="1:7" x14ac:dyDescent="0.25">
      <c r="A203" s="1265" t="s">
        <v>3392</v>
      </c>
      <c r="B203" s="422">
        <v>0.85545672556498031</v>
      </c>
      <c r="C203" s="422">
        <v>0.84413768453619575</v>
      </c>
      <c r="D203" s="422">
        <v>0.83158974852996992</v>
      </c>
      <c r="E203" s="422">
        <v>0.81794737650422322</v>
      </c>
      <c r="F203" s="422">
        <v>0.80182653997996156</v>
      </c>
      <c r="G203" s="422">
        <v>0.7829837743845165</v>
      </c>
    </row>
    <row r="204" spans="1:7" x14ac:dyDescent="0.25">
      <c r="A204" s="1265" t="s">
        <v>3393</v>
      </c>
      <c r="B204" s="422">
        <v>0.88388565274357611</v>
      </c>
      <c r="C204" s="422">
        <v>0.87157674613500846</v>
      </c>
      <c r="D204" s="422">
        <v>0.85807558108777449</v>
      </c>
      <c r="E204" s="422">
        <v>0.84294580270318931</v>
      </c>
      <c r="F204" s="422">
        <v>0.82542109042731049</v>
      </c>
      <c r="G204" s="422">
        <v>0.80525328872840429</v>
      </c>
    </row>
    <row r="205" spans="1:7" x14ac:dyDescent="0.25">
      <c r="A205" s="1265" t="s">
        <v>3394</v>
      </c>
      <c r="B205" s="422">
        <v>0.91132471434238915</v>
      </c>
      <c r="C205" s="422">
        <v>0.89806257869281325</v>
      </c>
      <c r="D205" s="422">
        <v>0.88307400728674101</v>
      </c>
      <c r="E205" s="422">
        <v>0.86654035315053868</v>
      </c>
      <c r="F205" s="422">
        <v>0.84769060477119818</v>
      </c>
      <c r="G205" s="422">
        <v>0.82627217909545281</v>
      </c>
    </row>
    <row r="206" spans="1:7" x14ac:dyDescent="0.25">
      <c r="A206" s="1265" t="s">
        <v>3395</v>
      </c>
      <c r="B206" s="422">
        <v>0.93781054690019405</v>
      </c>
      <c r="C206" s="422">
        <v>0.92306100489177967</v>
      </c>
      <c r="D206" s="422">
        <v>0.90666855773408983</v>
      </c>
      <c r="E206" s="422">
        <v>0.88880986749442636</v>
      </c>
      <c r="F206" s="422">
        <v>0.86870949513824658</v>
      </c>
      <c r="G206" s="422">
        <v>0.84611067873400714</v>
      </c>
    </row>
    <row r="207" spans="1:7" x14ac:dyDescent="0.25">
      <c r="A207" s="1265" t="s">
        <v>3396</v>
      </c>
      <c r="B207" s="422">
        <v>0.96280897309916025</v>
      </c>
      <c r="C207" s="422">
        <v>0.94665555533912871</v>
      </c>
      <c r="D207" s="422">
        <v>0.92893807207797763</v>
      </c>
      <c r="E207" s="422">
        <v>0.90982875786147455</v>
      </c>
      <c r="F207" s="422">
        <v>0.88854799477680102</v>
      </c>
      <c r="G207" s="422">
        <v>0.8648350766939451</v>
      </c>
    </row>
    <row r="208" spans="1:7" x14ac:dyDescent="0.25">
      <c r="A208" s="1265" t="s">
        <v>3397</v>
      </c>
      <c r="B208" s="422">
        <v>0.98640352354650918</v>
      </c>
      <c r="C208" s="422">
        <v>0.96892506968301639</v>
      </c>
      <c r="D208" s="422">
        <v>0.94995696244502603</v>
      </c>
      <c r="E208" s="422">
        <v>0.92966725750002888</v>
      </c>
      <c r="F208" s="422">
        <v>0.90727239273673899</v>
      </c>
      <c r="G208" s="422">
        <v>0.88250793932720406</v>
      </c>
    </row>
    <row r="209" spans="1:7" x14ac:dyDescent="0.25">
      <c r="A209" s="1265" t="s">
        <v>3398</v>
      </c>
      <c r="B209" s="422">
        <v>1.0086730378903972</v>
      </c>
      <c r="C209" s="422">
        <v>0.98994396005006446</v>
      </c>
      <c r="D209" s="422">
        <v>0.96979546208358014</v>
      </c>
      <c r="E209" s="422">
        <v>0.94839165545996695</v>
      </c>
      <c r="F209" s="422">
        <v>0.92494525536999816</v>
      </c>
      <c r="G209" s="422">
        <v>0.89918831934915688</v>
      </c>
    </row>
    <row r="210" spans="1:7" x14ac:dyDescent="0.25">
      <c r="A210" s="1265" t="s">
        <v>3399</v>
      </c>
      <c r="B210" s="422">
        <v>1.0296919282574455</v>
      </c>
      <c r="C210" s="422">
        <v>1.0097824596886191</v>
      </c>
      <c r="D210" s="422">
        <v>0.98851986004351822</v>
      </c>
      <c r="E210" s="422">
        <v>0.96606451809322613</v>
      </c>
      <c r="F210" s="422">
        <v>0.94162563539195132</v>
      </c>
      <c r="G210" s="422">
        <v>0.91493195315940068</v>
      </c>
    </row>
    <row r="211" spans="1:7" x14ac:dyDescent="0.25">
      <c r="A211" s="1265" t="s">
        <v>3400</v>
      </c>
      <c r="B211" s="422">
        <v>0.11986317039597059</v>
      </c>
      <c r="C211" s="422">
        <v>0.12123446491181801</v>
      </c>
      <c r="D211" s="422">
        <v>0.12368478334957329</v>
      </c>
      <c r="E211" s="422">
        <v>0.12628016118006133</v>
      </c>
      <c r="F211" s="422">
        <v>0.1290650950874753</v>
      </c>
      <c r="G211" s="422">
        <v>0.13047747736266463</v>
      </c>
    </row>
    <row r="212" spans="1:7" x14ac:dyDescent="0.25">
      <c r="A212" s="1265" t="s">
        <v>3401</v>
      </c>
      <c r="B212" s="422">
        <v>1.0495304278959998</v>
      </c>
      <c r="C212" s="422">
        <v>1.028506857648557</v>
      </c>
      <c r="D212" s="422">
        <v>1.0061927226767775</v>
      </c>
      <c r="E212" s="422">
        <v>0.98274489811517918</v>
      </c>
      <c r="F212" s="422">
        <v>0.95736926920219445</v>
      </c>
      <c r="G212" s="422">
        <v>0.9297914470812918</v>
      </c>
    </row>
    <row r="213" spans="1:7" x14ac:dyDescent="0.25">
      <c r="A213" s="1265" t="s">
        <v>3402</v>
      </c>
      <c r="B213" s="422">
        <v>0.16098243311919863</v>
      </c>
      <c r="C213" s="422">
        <v>0.16367178095461191</v>
      </c>
      <c r="D213" s="422">
        <v>0.16640836576361262</v>
      </c>
      <c r="E213" s="422">
        <v>0.17018435781070335</v>
      </c>
      <c r="F213" s="422">
        <v>0.17291479340545857</v>
      </c>
      <c r="G213" s="422">
        <v>0.1740564756541832</v>
      </c>
    </row>
    <row r="214" spans="1:7" x14ac:dyDescent="0.25">
      <c r="A214" s="1265" t="s">
        <v>3403</v>
      </c>
      <c r="B214" s="422">
        <v>0.20341974916199249</v>
      </c>
      <c r="C214" s="422">
        <v>0.20639536336865105</v>
      </c>
      <c r="D214" s="422">
        <v>0.21031256239425467</v>
      </c>
      <c r="E214" s="422">
        <v>0.21403405612868662</v>
      </c>
      <c r="F214" s="422">
        <v>0.21649379169697711</v>
      </c>
      <c r="G214" s="422">
        <v>0.21723869632839363</v>
      </c>
    </row>
    <row r="215" spans="1:7" x14ac:dyDescent="0.25">
      <c r="A215" s="1265" t="s">
        <v>3404</v>
      </c>
      <c r="B215" s="422">
        <v>0.24614333157603172</v>
      </c>
      <c r="C215" s="422">
        <v>0.25029955999929321</v>
      </c>
      <c r="D215" s="422">
        <v>0.25416226071223796</v>
      </c>
      <c r="E215" s="422">
        <v>0.25761305442020521</v>
      </c>
      <c r="F215" s="422">
        <v>0.25967601237118748</v>
      </c>
      <c r="G215" s="422">
        <v>0.25971199077372353</v>
      </c>
    </row>
    <row r="216" spans="1:7" x14ac:dyDescent="0.25">
      <c r="A216" s="1265" t="s">
        <v>3405</v>
      </c>
      <c r="B216" s="422">
        <v>0.29004752820667379</v>
      </c>
      <c r="C216" s="422">
        <v>0.29414925831727651</v>
      </c>
      <c r="D216" s="422">
        <v>0.29774125900375653</v>
      </c>
      <c r="E216" s="422">
        <v>0.30079527509441562</v>
      </c>
      <c r="F216" s="422">
        <v>0.30214930681651736</v>
      </c>
      <c r="G216" s="422">
        <v>0.30169456777826531</v>
      </c>
    </row>
    <row r="217" spans="1:7" x14ac:dyDescent="0.25">
      <c r="A217" s="1265" t="s">
        <v>3406</v>
      </c>
      <c r="B217" s="422">
        <v>0.33389722652465709</v>
      </c>
      <c r="C217" s="422">
        <v>0.33772825660879519</v>
      </c>
      <c r="D217" s="422">
        <v>0.34092347967796688</v>
      </c>
      <c r="E217" s="422">
        <v>0.34326856953974549</v>
      </c>
      <c r="F217" s="422">
        <v>0.34413188382105919</v>
      </c>
      <c r="G217" s="422">
        <v>0.34352363197994401</v>
      </c>
    </row>
    <row r="218" spans="1:7" x14ac:dyDescent="0.25">
      <c r="A218" s="1265" t="s">
        <v>3407</v>
      </c>
      <c r="B218" s="422">
        <v>0.37747622481617576</v>
      </c>
      <c r="C218" s="422">
        <v>0.38091047728300559</v>
      </c>
      <c r="D218" s="422">
        <v>0.38339677412329681</v>
      </c>
      <c r="E218" s="422">
        <v>0.38525114654428738</v>
      </c>
      <c r="F218" s="422">
        <v>0.38596094802273795</v>
      </c>
      <c r="G218" s="422">
        <v>0.38349011376381276</v>
      </c>
    </row>
    <row r="219" spans="1:7" x14ac:dyDescent="0.25">
      <c r="A219" s="1265" t="s">
        <v>3408</v>
      </c>
      <c r="B219" s="422">
        <v>3.7885285092751478E-2</v>
      </c>
      <c r="C219" s="422">
        <v>3.8072136295361297E-2</v>
      </c>
      <c r="D219" s="422">
        <v>3.816755725143825E-2</v>
      </c>
      <c r="E219" s="422">
        <v>3.9028598382114157E-2</v>
      </c>
      <c r="F219" s="422">
        <v>4.0218382987637122E-2</v>
      </c>
      <c r="G219" s="422">
        <v>4.043160014055372E-2</v>
      </c>
    </row>
    <row r="220" spans="1:7" x14ac:dyDescent="0.25">
      <c r="A220" s="1265" t="s">
        <v>3409</v>
      </c>
      <c r="B220" s="422">
        <v>0.39875745757589326</v>
      </c>
      <c r="C220" s="422">
        <v>0.40100479499457614</v>
      </c>
      <c r="D220" s="422">
        <v>0.40262195710814502</v>
      </c>
      <c r="E220" s="422">
        <v>0.40403341854635999</v>
      </c>
      <c r="F220" s="422">
        <v>0.40282380755898056</v>
      </c>
      <c r="G220" s="422">
        <v>0.39866927358368565</v>
      </c>
    </row>
    <row r="221" spans="1:7" x14ac:dyDescent="0.25">
      <c r="A221" s="1265" t="s">
        <v>3410</v>
      </c>
      <c r="B221" s="422">
        <v>0.43889008008732766</v>
      </c>
      <c r="C221" s="422">
        <v>0.44069409340350629</v>
      </c>
      <c r="D221" s="422">
        <v>0.44220097579779816</v>
      </c>
      <c r="E221" s="422">
        <v>0.44185240594109476</v>
      </c>
      <c r="F221" s="422">
        <v>0.43888765657132284</v>
      </c>
      <c r="G221" s="422">
        <v>0.43341466602184309</v>
      </c>
    </row>
    <row r="222" spans="1:7" x14ac:dyDescent="0.25">
      <c r="A222" s="1265" t="s">
        <v>3411</v>
      </c>
      <c r="B222" s="422">
        <v>0.47857937849625781</v>
      </c>
      <c r="C222" s="422">
        <v>0.48027311209315959</v>
      </c>
      <c r="D222" s="422">
        <v>0.48001996319253293</v>
      </c>
      <c r="E222" s="422">
        <v>0.47791625495343698</v>
      </c>
      <c r="F222" s="422">
        <v>0.47363304900948017</v>
      </c>
      <c r="G222" s="422">
        <v>0.46689397019933465</v>
      </c>
    </row>
    <row r="223" spans="1:7" x14ac:dyDescent="0.25">
      <c r="A223" s="1265" t="s">
        <v>3412</v>
      </c>
      <c r="B223" s="422">
        <v>0.51815839718591117</v>
      </c>
      <c r="C223" s="422">
        <v>0.51809209948789436</v>
      </c>
      <c r="D223" s="422">
        <v>0.5160838122048752</v>
      </c>
      <c r="E223" s="422">
        <v>0.51266164739159437</v>
      </c>
      <c r="F223" s="422">
        <v>0.5071123531869719</v>
      </c>
      <c r="G223" s="422">
        <v>0.49908474352215476</v>
      </c>
    </row>
    <row r="224" spans="1:7" x14ac:dyDescent="0.25">
      <c r="A224" s="1265" t="s">
        <v>3413</v>
      </c>
      <c r="B224" s="422">
        <v>0.55597738458064583</v>
      </c>
      <c r="C224" s="422">
        <v>0.55415594850023642</v>
      </c>
      <c r="D224" s="422">
        <v>0.55082920464303264</v>
      </c>
      <c r="E224" s="422">
        <v>0.54614095156908582</v>
      </c>
      <c r="F224" s="422">
        <v>0.53930312650979184</v>
      </c>
      <c r="G224" s="422">
        <v>0.53014998680413183</v>
      </c>
    </row>
    <row r="225" spans="1:8" x14ac:dyDescent="0.25">
      <c r="A225" s="1265" t="s">
        <v>3414</v>
      </c>
      <c r="B225" s="422">
        <v>0.59204123359298799</v>
      </c>
      <c r="C225" s="422">
        <v>0.58890134093839386</v>
      </c>
      <c r="D225" s="422">
        <v>0.58430850882052443</v>
      </c>
      <c r="E225" s="422">
        <v>0.57833172489190598</v>
      </c>
      <c r="F225" s="422">
        <v>0.57036836979176886</v>
      </c>
      <c r="G225" s="422">
        <v>0.56013156637993844</v>
      </c>
    </row>
    <row r="226" spans="1:8" x14ac:dyDescent="0.25">
      <c r="A226" s="1265" t="s">
        <v>3415</v>
      </c>
      <c r="B226" s="422">
        <v>0.62678662603114543</v>
      </c>
      <c r="C226" s="422">
        <v>0.62238064511588553</v>
      </c>
      <c r="D226" s="422">
        <v>0.61649928214334415</v>
      </c>
      <c r="E226" s="422">
        <v>0.60939696817388289</v>
      </c>
      <c r="F226" s="422">
        <v>0.60034994936757546</v>
      </c>
      <c r="G226" s="422">
        <v>0.5890696844523895</v>
      </c>
    </row>
    <row r="227" spans="1:8" x14ac:dyDescent="0.25">
      <c r="A227" s="1265" t="s">
        <v>3416</v>
      </c>
      <c r="B227" s="422">
        <v>0.66026593020863711</v>
      </c>
      <c r="C227" s="422">
        <v>0.65457141843870559</v>
      </c>
      <c r="D227" s="422">
        <v>0.64756452542532128</v>
      </c>
      <c r="E227" s="422">
        <v>0.6393785477496895</v>
      </c>
      <c r="F227" s="422">
        <v>0.62928806744002652</v>
      </c>
      <c r="G227" s="422">
        <v>0.61700294952935908</v>
      </c>
    </row>
    <row r="228" spans="1:8" x14ac:dyDescent="0.25">
      <c r="A228" s="1265" t="s">
        <v>3417</v>
      </c>
      <c r="B228" s="422">
        <v>0.69245670353145705</v>
      </c>
      <c r="C228" s="422">
        <v>0.68563666172068272</v>
      </c>
      <c r="D228" s="422">
        <v>0.67754610500112789</v>
      </c>
      <c r="E228" s="422">
        <v>0.66831666582214055</v>
      </c>
      <c r="F228" s="422">
        <v>0.65722133251699633</v>
      </c>
      <c r="G228" s="422">
        <v>0.64396844371736806</v>
      </c>
    </row>
    <row r="229" spans="1:8" x14ac:dyDescent="0.25">
      <c r="A229" s="1265" t="s">
        <v>3418</v>
      </c>
      <c r="B229" s="422">
        <v>0.72352194681343429</v>
      </c>
      <c r="C229" s="422">
        <v>0.7156182412964891</v>
      </c>
      <c r="D229" s="422">
        <v>0.70648422307357883</v>
      </c>
      <c r="E229" s="422">
        <v>0.69624993089911058</v>
      </c>
      <c r="F229" s="422">
        <v>0.68418682670500519</v>
      </c>
      <c r="G229" s="422">
        <v>0.67000178701788615</v>
      </c>
    </row>
    <row r="230" spans="1:8" x14ac:dyDescent="0.25">
      <c r="A230" s="1265" t="s">
        <v>3419</v>
      </c>
      <c r="B230" s="422">
        <v>7.5957421388112789E-2</v>
      </c>
      <c r="C230" s="422">
        <v>7.6239693546799547E-2</v>
      </c>
      <c r="D230" s="422">
        <v>7.7196155633552394E-2</v>
      </c>
      <c r="E230" s="422">
        <v>7.9246981369751279E-2</v>
      </c>
      <c r="F230" s="422">
        <v>8.0649983128190841E-2</v>
      </c>
      <c r="G230" s="422">
        <v>8.1964964519931155E-2</v>
      </c>
    </row>
    <row r="231" spans="1:8" x14ac:dyDescent="0.25">
      <c r="A231" s="1268" t="s">
        <v>3420</v>
      </c>
      <c r="B231" s="422">
        <v>0.75350352638924067</v>
      </c>
      <c r="C231" s="422">
        <v>0.74455635936894016</v>
      </c>
      <c r="D231" s="422">
        <v>0.73441748815054886</v>
      </c>
      <c r="E231" s="422">
        <v>0.72321542508711922</v>
      </c>
      <c r="F231" s="422">
        <v>0.71022017000552329</v>
      </c>
      <c r="G231" s="422">
        <v>0.69513719876541846</v>
      </c>
    </row>
    <row r="232" spans="1:8" x14ac:dyDescent="0.25">
      <c r="A232" s="1265" t="s">
        <v>3421</v>
      </c>
      <c r="B232" s="422">
        <v>0.78244164446169184</v>
      </c>
      <c r="C232" s="422">
        <v>0.77248962444590996</v>
      </c>
      <c r="D232" s="422">
        <v>0.76138298233855761</v>
      </c>
      <c r="E232" s="422">
        <v>0.74924876838763743</v>
      </c>
      <c r="F232" s="422">
        <v>0.7353555817530556</v>
      </c>
      <c r="G232" s="422">
        <v>0.71886104184945065</v>
      </c>
    </row>
    <row r="233" spans="1:8" x14ac:dyDescent="0.25">
      <c r="A233" s="1265" t="s">
        <v>3422</v>
      </c>
      <c r="B233" s="422">
        <v>0.81037490953866143</v>
      </c>
      <c r="C233" s="422">
        <v>0.79945511863391916</v>
      </c>
      <c r="D233" s="422">
        <v>0.78741632563907571</v>
      </c>
      <c r="E233" s="422">
        <v>0.77438418013516985</v>
      </c>
      <c r="F233" s="422">
        <v>0.7590794248370879</v>
      </c>
      <c r="G233" s="422">
        <v>0.74125258794103388</v>
      </c>
    </row>
    <row r="234" spans="1:8" x14ac:dyDescent="0.25">
      <c r="A234" s="1265" t="s">
        <v>3423</v>
      </c>
      <c r="B234" s="422">
        <v>0.83734040372667051</v>
      </c>
      <c r="C234" s="422">
        <v>0.82548846193443692</v>
      </c>
      <c r="D234" s="422">
        <v>0.81255173738660791</v>
      </c>
      <c r="E234" s="422">
        <v>0.79810802321920193</v>
      </c>
      <c r="F234" s="422">
        <v>0.78147097092867124</v>
      </c>
      <c r="G234" s="422">
        <v>0.76238665692789864</v>
      </c>
    </row>
    <row r="235" spans="1:8" x14ac:dyDescent="0.25">
      <c r="A235" s="1265" t="s">
        <v>3424</v>
      </c>
      <c r="B235" s="422">
        <v>0.86337374702718861</v>
      </c>
      <c r="C235" s="422">
        <v>0.85062387368196934</v>
      </c>
      <c r="D235" s="422">
        <v>0.83627558047064043</v>
      </c>
      <c r="E235" s="422">
        <v>0.82049956931078527</v>
      </c>
      <c r="F235" s="422">
        <v>0.80260503991553578</v>
      </c>
      <c r="G235" s="422">
        <v>0.78233386692022011</v>
      </c>
    </row>
    <row r="236" spans="1:8" x14ac:dyDescent="0.25">
      <c r="A236" s="1268" t="s">
        <v>3425</v>
      </c>
      <c r="B236" s="422">
        <v>0.8885091587747207</v>
      </c>
      <c r="C236" s="422">
        <v>0.87434771676600165</v>
      </c>
      <c r="D236" s="422">
        <v>0.85866712656222344</v>
      </c>
      <c r="E236" s="422">
        <v>0.84163363829764992</v>
      </c>
      <c r="F236" s="422">
        <v>0.82255224990785736</v>
      </c>
      <c r="G236" s="422">
        <v>0.80116087021641791</v>
      </c>
      <c r="H236" s="422" t="s">
        <v>3426</v>
      </c>
    </row>
    <row r="237" spans="1:8" x14ac:dyDescent="0.25">
      <c r="A237" s="1265" t="s">
        <v>3427</v>
      </c>
      <c r="B237" s="422">
        <v>0.11412497863955105</v>
      </c>
      <c r="C237" s="422">
        <v>0.1152682919289137</v>
      </c>
      <c r="D237" s="422">
        <v>0.11741453862118954</v>
      </c>
      <c r="E237" s="422">
        <v>0.119678581510305</v>
      </c>
      <c r="F237" s="422">
        <v>0.12218334750756828</v>
      </c>
      <c r="G237" s="422">
        <v>0.12341314279445373</v>
      </c>
    </row>
    <row r="238" spans="1:8" x14ac:dyDescent="0.25">
      <c r="A238" s="1265" t="s">
        <v>3428</v>
      </c>
      <c r="B238" s="422">
        <v>0.15315357702166515</v>
      </c>
      <c r="C238" s="422">
        <v>0.15548667491655083</v>
      </c>
      <c r="D238" s="422">
        <v>0.15784613876174325</v>
      </c>
      <c r="E238" s="422">
        <v>0.16121194588968243</v>
      </c>
      <c r="F238" s="422">
        <v>0.16363152578209084</v>
      </c>
      <c r="G238" s="422">
        <v>0.16458796432916326</v>
      </c>
    </row>
    <row r="239" spans="1:8" x14ac:dyDescent="0.25">
      <c r="A239" s="1265" t="s">
        <v>3429</v>
      </c>
      <c r="B239" s="422">
        <v>0.19337196000930229</v>
      </c>
      <c r="C239" s="422">
        <v>0.19591827505710455</v>
      </c>
      <c r="D239" s="422">
        <v>0.19937950314112074</v>
      </c>
      <c r="E239" s="422">
        <v>0.20266012416420504</v>
      </c>
      <c r="F239" s="422">
        <v>0.20480634731680036</v>
      </c>
      <c r="G239" s="422">
        <v>0.20538549756659102</v>
      </c>
    </row>
    <row r="240" spans="1:8" x14ac:dyDescent="0.25">
      <c r="A240" s="1265" t="s">
        <v>3430</v>
      </c>
      <c r="B240" s="422">
        <v>0.23380356014985601</v>
      </c>
      <c r="C240" s="422">
        <v>0.23745163943648198</v>
      </c>
      <c r="D240" s="422">
        <v>0.24082768141564323</v>
      </c>
      <c r="E240" s="422">
        <v>0.24383494569891451</v>
      </c>
      <c r="F240" s="422">
        <v>0.24560388055422808</v>
      </c>
      <c r="G240" s="422">
        <v>0.24551812007802537</v>
      </c>
    </row>
    <row r="241" spans="1:7" x14ac:dyDescent="0.25">
      <c r="A241" s="1265" t="s">
        <v>3431</v>
      </c>
      <c r="B241" s="422">
        <v>0.27533692452923347</v>
      </c>
      <c r="C241" s="422">
        <v>0.27889981771100458</v>
      </c>
      <c r="D241" s="422">
        <v>0.28200250295035278</v>
      </c>
      <c r="E241" s="422">
        <v>0.28463247893634225</v>
      </c>
      <c r="F241" s="422">
        <v>0.28573650306566239</v>
      </c>
      <c r="G241" s="422">
        <v>0.28520741848695552</v>
      </c>
    </row>
    <row r="242" spans="1:7" x14ac:dyDescent="0.25">
      <c r="A242" s="1265" t="s">
        <v>3432</v>
      </c>
      <c r="B242" s="422">
        <v>0.31678510280375605</v>
      </c>
      <c r="C242" s="422">
        <v>0.32007463924571405</v>
      </c>
      <c r="D242" s="422">
        <v>0.32280003618778047</v>
      </c>
      <c r="E242" s="422">
        <v>0.32476510144777654</v>
      </c>
      <c r="F242" s="422">
        <v>0.3254258014745926</v>
      </c>
      <c r="G242" s="422">
        <v>0.32478643717660877</v>
      </c>
    </row>
    <row r="243" spans="1:7" x14ac:dyDescent="0.25">
      <c r="A243" s="1266" t="s">
        <v>3433</v>
      </c>
      <c r="B243" s="1267">
        <v>0.35795992433846552</v>
      </c>
      <c r="C243" s="1267">
        <v>0.36087217248314174</v>
      </c>
      <c r="D243" s="1267">
        <v>0.36293265869921482</v>
      </c>
      <c r="E243" s="1267">
        <v>0.36445439985670675</v>
      </c>
      <c r="F243" s="1267">
        <v>0.36500482016424585</v>
      </c>
      <c r="G243" s="1267">
        <v>0.36260542457134348</v>
      </c>
    </row>
    <row r="244" spans="1:7" x14ac:dyDescent="0.25">
      <c r="A244" s="1265" t="s">
        <v>3434</v>
      </c>
      <c r="B244" s="422">
        <v>7.576844372977809E-2</v>
      </c>
      <c r="C244" s="422">
        <v>7.8730095978199272E-2</v>
      </c>
      <c r="D244" s="422">
        <v>8.1394706267130079E-2</v>
      </c>
      <c r="E244" s="422">
        <v>8.8394991704787609E-2</v>
      </c>
      <c r="F244" s="422">
        <v>9.497452830336614E-2</v>
      </c>
      <c r="G244" s="422">
        <v>9.916725281861194E-2</v>
      </c>
    </row>
    <row r="245" spans="1:7" x14ac:dyDescent="0.25">
      <c r="A245" s="1265" t="s">
        <v>3435</v>
      </c>
      <c r="B245" s="422">
        <v>0.93567627915464513</v>
      </c>
      <c r="C245" s="422">
        <v>0.96229300722268374</v>
      </c>
      <c r="D245" s="422">
        <v>0.98352061150802861</v>
      </c>
      <c r="E245" s="422">
        <v>0.99958693538078425</v>
      </c>
      <c r="F245" s="422">
        <v>1.0041688488469895</v>
      </c>
      <c r="G245" s="422">
        <v>0.99763157703030902</v>
      </c>
    </row>
    <row r="246" spans="1:7" x14ac:dyDescent="0.25">
      <c r="A246" s="1265" t="s">
        <v>3436</v>
      </c>
      <c r="B246" s="422">
        <v>1.0380614509524619</v>
      </c>
      <c r="C246" s="422">
        <v>1.062250707486228</v>
      </c>
      <c r="D246" s="422">
        <v>1.0809816416479143</v>
      </c>
      <c r="E246" s="422">
        <v>1.0925638405517772</v>
      </c>
      <c r="F246" s="422">
        <v>1.0926061053336753</v>
      </c>
      <c r="G246" s="422">
        <v>1.0820599715315462</v>
      </c>
    </row>
    <row r="247" spans="1:7" x14ac:dyDescent="0.25">
      <c r="A247" s="1265" t="s">
        <v>3437</v>
      </c>
      <c r="B247" s="422">
        <v>1.1380191512160058</v>
      </c>
      <c r="C247" s="422">
        <v>1.1597117376261135</v>
      </c>
      <c r="D247" s="422">
        <v>1.1739585468189073</v>
      </c>
      <c r="E247" s="422">
        <v>1.1810010970384628</v>
      </c>
      <c r="F247" s="422">
        <v>1.1770344998349125</v>
      </c>
      <c r="G247" s="422">
        <v>1.162686035351127</v>
      </c>
    </row>
    <row r="248" spans="1:7" x14ac:dyDescent="0.25">
      <c r="A248" s="1265" t="s">
        <v>3438</v>
      </c>
      <c r="B248" s="422">
        <v>1.2354801813558915</v>
      </c>
      <c r="C248" s="422">
        <v>1.2526886427971062</v>
      </c>
      <c r="D248" s="422">
        <v>1.2623958033055929</v>
      </c>
      <c r="E248" s="422">
        <v>1.2654294915397</v>
      </c>
      <c r="F248" s="422">
        <v>1.2576605636544933</v>
      </c>
      <c r="G248" s="422">
        <v>1.2396871642607117</v>
      </c>
    </row>
    <row r="249" spans="1:7" x14ac:dyDescent="0.25">
      <c r="A249" s="1265" t="s">
        <v>3439</v>
      </c>
      <c r="B249" s="422">
        <v>1.3284570865268843</v>
      </c>
      <c r="C249" s="422">
        <v>1.3411258992837918</v>
      </c>
      <c r="D249" s="422">
        <v>1.3468241978068298</v>
      </c>
      <c r="E249" s="422">
        <v>1.346055555359281</v>
      </c>
      <c r="F249" s="422">
        <v>1.334661692564078</v>
      </c>
      <c r="G249" s="422">
        <v>1.313459005162168</v>
      </c>
    </row>
    <row r="250" spans="1:7" x14ac:dyDescent="0.25">
      <c r="A250" s="1265" t="s">
        <v>3440</v>
      </c>
      <c r="B250" s="422">
        <v>1.4168943430135703</v>
      </c>
      <c r="C250" s="422">
        <v>1.4255542937850292</v>
      </c>
      <c r="D250" s="422">
        <v>1.4274502616264111</v>
      </c>
      <c r="E250" s="422">
        <v>1.4230566842688654</v>
      </c>
      <c r="F250" s="422">
        <v>1.408433533465534</v>
      </c>
      <c r="G250" s="422">
        <v>1.3841439513716194</v>
      </c>
    </row>
    <row r="251" spans="1:7" x14ac:dyDescent="0.25">
      <c r="A251" s="1265" t="s">
        <v>3441</v>
      </c>
      <c r="B251" s="422">
        <v>1.5013227375148073</v>
      </c>
      <c r="C251" s="422">
        <v>1.5061803576046104</v>
      </c>
      <c r="D251" s="422">
        <v>1.5044513905359957</v>
      </c>
      <c r="E251" s="422">
        <v>1.4968285251703217</v>
      </c>
      <c r="F251" s="422">
        <v>1.4791184796749859</v>
      </c>
      <c r="G251" s="422">
        <v>1.4518778625601338</v>
      </c>
    </row>
    <row r="252" spans="1:7" x14ac:dyDescent="0.25">
      <c r="A252" s="1265" t="s">
        <v>3442</v>
      </c>
      <c r="B252" s="422">
        <v>1.5819488013343883</v>
      </c>
      <c r="C252" s="422">
        <v>1.5831814865141947</v>
      </c>
      <c r="D252" s="422">
        <v>1.5782232314374518</v>
      </c>
      <c r="E252" s="422">
        <v>1.5675134713797731</v>
      </c>
      <c r="F252" s="422">
        <v>1.5468523908635001</v>
      </c>
      <c r="G252" s="422">
        <v>1.5167903735214132</v>
      </c>
    </row>
    <row r="253" spans="1:7" x14ac:dyDescent="0.25">
      <c r="A253" s="1265" t="s">
        <v>3443</v>
      </c>
      <c r="B253" s="422">
        <v>1.658949930243973</v>
      </c>
      <c r="C253" s="422">
        <v>1.6569533274156509</v>
      </c>
      <c r="D253" s="422">
        <v>1.6489081776469035</v>
      </c>
      <c r="E253" s="422">
        <v>1.6352473825682876</v>
      </c>
      <c r="F253" s="422">
        <v>1.6117649018247793</v>
      </c>
      <c r="G253" s="422">
        <v>1.5790051880404785</v>
      </c>
    </row>
    <row r="254" spans="1:7" x14ac:dyDescent="0.25">
      <c r="A254" s="1265" t="s">
        <v>3444</v>
      </c>
      <c r="B254" s="422">
        <v>1.732721771145429</v>
      </c>
      <c r="C254" s="422">
        <v>1.7276382736251024</v>
      </c>
      <c r="D254" s="422">
        <v>1.7166420888354179</v>
      </c>
      <c r="E254" s="422">
        <v>1.7001598935295665</v>
      </c>
      <c r="F254" s="422">
        <v>1.6739797163438448</v>
      </c>
      <c r="G254" s="422">
        <v>1.6386403585926184</v>
      </c>
    </row>
    <row r="255" spans="1:7" x14ac:dyDescent="0.25">
      <c r="A255" s="1265" t="s">
        <v>3445</v>
      </c>
      <c r="B255" s="422">
        <v>0.15449853970797733</v>
      </c>
      <c r="C255" s="422">
        <v>0.1601248022453293</v>
      </c>
      <c r="D255" s="422">
        <v>0.16978969797191767</v>
      </c>
      <c r="E255" s="422">
        <v>0.18336952000815376</v>
      </c>
      <c r="F255" s="422">
        <v>0.19414178112197811</v>
      </c>
      <c r="G255" s="422">
        <v>0.20202365024765728</v>
      </c>
    </row>
    <row r="256" spans="1:7" x14ac:dyDescent="0.25">
      <c r="A256" s="1265" t="s">
        <v>3446</v>
      </c>
      <c r="B256" s="422">
        <v>1.8034067173548805</v>
      </c>
      <c r="C256" s="422">
        <v>1.795372184813617</v>
      </c>
      <c r="D256" s="422">
        <v>1.7815545997966968</v>
      </c>
      <c r="E256" s="422">
        <v>1.7623747080486323</v>
      </c>
      <c r="F256" s="422">
        <v>1.7336148868959846</v>
      </c>
      <c r="G256" s="422">
        <v>1.6958085525658135</v>
      </c>
    </row>
    <row r="257" spans="1:7" x14ac:dyDescent="0.25">
      <c r="A257" s="1265" t="s">
        <v>3447</v>
      </c>
      <c r="B257" s="422">
        <v>1.8711406285433951</v>
      </c>
      <c r="C257" s="422">
        <v>1.8602846957748964</v>
      </c>
      <c r="D257" s="422">
        <v>1.8437694143157621</v>
      </c>
      <c r="E257" s="422">
        <v>1.8220098786007719</v>
      </c>
      <c r="F257" s="422">
        <v>1.7907830808691798</v>
      </c>
      <c r="G257" s="422">
        <v>1.7497662627811938</v>
      </c>
    </row>
    <row r="258" spans="1:7" x14ac:dyDescent="0.25">
      <c r="A258" s="1265" t="s">
        <v>3448</v>
      </c>
      <c r="B258" s="422">
        <v>1.9360531395046743</v>
      </c>
      <c r="C258" s="422">
        <v>1.9224995102939615</v>
      </c>
      <c r="D258" s="422">
        <v>1.9034045848679022</v>
      </c>
      <c r="E258" s="422">
        <v>1.8791780725739675</v>
      </c>
      <c r="F258" s="422">
        <v>1.8447407910845599</v>
      </c>
      <c r="G258" s="422">
        <v>1.8006937854007128</v>
      </c>
    </row>
    <row r="259" spans="1:7" x14ac:dyDescent="0.25">
      <c r="A259" s="1265" t="s">
        <v>3449</v>
      </c>
      <c r="B259" s="422">
        <v>1.9982679540237398</v>
      </c>
      <c r="C259" s="422">
        <v>1.9821346808461016</v>
      </c>
      <c r="D259" s="422">
        <v>1.9605727788410976</v>
      </c>
      <c r="E259" s="422">
        <v>1.9331357827893476</v>
      </c>
      <c r="F259" s="422">
        <v>1.8956683137040791</v>
      </c>
      <c r="G259" s="422">
        <v>1.8487612914125287</v>
      </c>
    </row>
    <row r="260" spans="1:7" x14ac:dyDescent="0.25">
      <c r="A260" s="1265" t="s">
        <v>3450</v>
      </c>
      <c r="B260" s="422">
        <v>2.0579031245758794</v>
      </c>
      <c r="C260" s="422">
        <v>2.0393028748192963</v>
      </c>
      <c r="D260" s="422">
        <v>2.0145304890564777</v>
      </c>
      <c r="E260" s="422">
        <v>1.9840633054088663</v>
      </c>
      <c r="F260" s="422">
        <v>1.9437358197158947</v>
      </c>
      <c r="G260" s="422">
        <v>1.8941293952462388</v>
      </c>
    </row>
    <row r="261" spans="1:7" x14ac:dyDescent="0.25">
      <c r="A261" s="1265" t="s">
        <v>3451</v>
      </c>
      <c r="B261" s="422">
        <v>2.1150713185490746</v>
      </c>
      <c r="C261" s="422">
        <v>2.093260585034677</v>
      </c>
      <c r="D261" s="422">
        <v>2.0654580116759966</v>
      </c>
      <c r="E261" s="422">
        <v>2.0321308114206822</v>
      </c>
      <c r="F261" s="422">
        <v>1.9891039235496049</v>
      </c>
      <c r="G261" s="422">
        <v>1.9369496914554978</v>
      </c>
    </row>
    <row r="262" spans="1:7" x14ac:dyDescent="0.25">
      <c r="A262" s="1265" t="s">
        <v>3452</v>
      </c>
      <c r="B262" s="422">
        <v>2.1690290287644549</v>
      </c>
      <c r="C262" s="422">
        <v>2.144188107654196</v>
      </c>
      <c r="D262" s="422">
        <v>2.1135255176878123</v>
      </c>
      <c r="E262" s="422">
        <v>2.0774989152543926</v>
      </c>
      <c r="F262" s="422">
        <v>2.0319242197588636</v>
      </c>
      <c r="G262" s="422">
        <v>1.9773652612613111</v>
      </c>
    </row>
    <row r="263" spans="1:7" x14ac:dyDescent="0.25">
      <c r="A263" s="1265" t="s">
        <v>3453</v>
      </c>
      <c r="B263" s="422">
        <v>2.2199565513839739</v>
      </c>
      <c r="C263" s="422">
        <v>2.1922556136660116</v>
      </c>
      <c r="D263" s="422">
        <v>2.1588936215215226</v>
      </c>
      <c r="E263" s="422">
        <v>2.1203192114636518</v>
      </c>
      <c r="F263" s="422">
        <v>2.0723397895646771</v>
      </c>
      <c r="G263" s="422">
        <v>2.0155111506485817</v>
      </c>
    </row>
    <row r="264" spans="1:7" x14ac:dyDescent="0.25">
      <c r="A264" s="1265" t="s">
        <v>3454</v>
      </c>
      <c r="B264" s="422">
        <v>2.2680240573957895</v>
      </c>
      <c r="C264" s="422">
        <v>2.2376237174997216</v>
      </c>
      <c r="D264" s="422">
        <v>2.2017139177307818</v>
      </c>
      <c r="E264" s="422">
        <v>2.1607347812694648</v>
      </c>
      <c r="F264" s="422">
        <v>2.1104856789519477</v>
      </c>
      <c r="G264" s="422">
        <v>2.0515148216134431</v>
      </c>
    </row>
    <row r="265" spans="1:7" x14ac:dyDescent="0.25">
      <c r="A265" s="1265" t="s">
        <v>3455</v>
      </c>
      <c r="B265" s="422">
        <v>2.3133921612294994</v>
      </c>
      <c r="C265" s="422">
        <v>2.2804440137089808</v>
      </c>
      <c r="D265" s="422">
        <v>2.2421294875365949</v>
      </c>
      <c r="E265" s="422">
        <v>2.1988806706567354</v>
      </c>
      <c r="F265" s="422">
        <v>2.1464893499168092</v>
      </c>
      <c r="G265" s="422">
        <v>2.0854965780691876</v>
      </c>
    </row>
    <row r="266" spans="1:7" x14ac:dyDescent="0.25">
      <c r="A266" s="1265" t="s">
        <v>3456</v>
      </c>
      <c r="B266" s="422">
        <v>0.23589324597510736</v>
      </c>
      <c r="C266" s="422">
        <v>0.24851979395011686</v>
      </c>
      <c r="D266" s="422">
        <v>0.26476422627528384</v>
      </c>
      <c r="E266" s="422">
        <v>0.2825367728267657</v>
      </c>
      <c r="F266" s="422">
        <v>0.29699817855102345</v>
      </c>
      <c r="G266" s="422">
        <v>0.3068091220162622</v>
      </c>
    </row>
    <row r="267" spans="1:7" x14ac:dyDescent="0.25">
      <c r="A267" s="1265" t="s">
        <v>3457</v>
      </c>
      <c r="B267" s="422">
        <v>2.3562124574387582</v>
      </c>
      <c r="C267" s="422">
        <v>2.3208595835147943</v>
      </c>
      <c r="D267" s="422">
        <v>2.2802753769238655</v>
      </c>
      <c r="E267" s="422">
        <v>2.2348843416215969</v>
      </c>
      <c r="F267" s="422">
        <v>2.1804711063725541</v>
      </c>
      <c r="G267" s="422">
        <v>2.1175699678339299</v>
      </c>
    </row>
    <row r="268" spans="1:7" x14ac:dyDescent="0.25">
      <c r="A268" s="1265" t="s">
        <v>3458</v>
      </c>
      <c r="B268" s="422">
        <v>0.32428823767989495</v>
      </c>
      <c r="C268" s="422">
        <v>0.34349432225348292</v>
      </c>
      <c r="D268" s="422">
        <v>0.36393147909389578</v>
      </c>
      <c r="E268" s="422">
        <v>0.38539317025581105</v>
      </c>
      <c r="F268" s="422">
        <v>0.40178365031962837</v>
      </c>
      <c r="G268" s="422">
        <v>0.41201687028616152</v>
      </c>
    </row>
    <row r="269" spans="1:7" x14ac:dyDescent="0.25">
      <c r="A269" s="1265" t="s">
        <v>3459</v>
      </c>
      <c r="B269" s="422">
        <v>0.41926276598326107</v>
      </c>
      <c r="C269" s="422">
        <v>0.44266157507209475</v>
      </c>
      <c r="D269" s="422">
        <v>0.46678787652294118</v>
      </c>
      <c r="E269" s="422">
        <v>0.49017864202441591</v>
      </c>
      <c r="F269" s="422">
        <v>0.50699139858952769</v>
      </c>
      <c r="G269" s="422">
        <v>0.51641351317138429</v>
      </c>
    </row>
    <row r="270" spans="1:7" x14ac:dyDescent="0.25">
      <c r="A270" s="1265" t="s">
        <v>3460</v>
      </c>
      <c r="B270" s="422">
        <v>0.51843001880187289</v>
      </c>
      <c r="C270" s="422">
        <v>0.54551797250114009</v>
      </c>
      <c r="D270" s="422">
        <v>0.57157334829154605</v>
      </c>
      <c r="E270" s="422">
        <v>0.59538639029431528</v>
      </c>
      <c r="F270" s="422">
        <v>0.61138804147475023</v>
      </c>
      <c r="G270" s="422">
        <v>0.61879868496920065</v>
      </c>
    </row>
    <row r="271" spans="1:7" x14ac:dyDescent="0.25">
      <c r="A271" s="1265" t="s">
        <v>3461</v>
      </c>
      <c r="B271" s="422">
        <v>0.62128641623091818</v>
      </c>
      <c r="C271" s="422">
        <v>0.65030344426974507</v>
      </c>
      <c r="D271" s="422">
        <v>0.67678109656144536</v>
      </c>
      <c r="E271" s="422">
        <v>0.69978303317953794</v>
      </c>
      <c r="F271" s="422">
        <v>0.71377321327256671</v>
      </c>
      <c r="G271" s="422">
        <v>0.71875638523274488</v>
      </c>
    </row>
    <row r="272" spans="1:7" x14ac:dyDescent="0.25">
      <c r="A272" s="1265" t="s">
        <v>3462</v>
      </c>
      <c r="B272" s="422">
        <v>0.72607188799952316</v>
      </c>
      <c r="C272" s="422">
        <v>0.75551119253964449</v>
      </c>
      <c r="D272" s="422">
        <v>0.78117773944666802</v>
      </c>
      <c r="E272" s="422">
        <v>0.80216820497735442</v>
      </c>
      <c r="F272" s="422">
        <v>0.81373091353611104</v>
      </c>
      <c r="G272" s="422">
        <v>0.81621741537263048</v>
      </c>
    </row>
    <row r="273" spans="1:8" x14ac:dyDescent="0.25">
      <c r="A273" s="1265" t="s">
        <v>3463</v>
      </c>
      <c r="B273" s="422">
        <v>0.83127963626942269</v>
      </c>
      <c r="C273" s="422">
        <v>0.85990783542486715</v>
      </c>
      <c r="D273" s="422">
        <v>0.88356291124448449</v>
      </c>
      <c r="E273" s="422">
        <v>0.90212590524089853</v>
      </c>
      <c r="F273" s="422">
        <v>0.91119194367599665</v>
      </c>
      <c r="G273" s="422">
        <v>0.90919432054362337</v>
      </c>
    </row>
    <row r="274" spans="1:8" x14ac:dyDescent="0.25">
      <c r="A274" s="1265" t="s">
        <v>3464</v>
      </c>
      <c r="B274" s="422">
        <v>8.1093085955725827E-2</v>
      </c>
      <c r="C274" s="422">
        <v>8.4176020041897531E-2</v>
      </c>
      <c r="D274" s="422">
        <v>8.6944869452387677E-2</v>
      </c>
      <c r="E274" s="422">
        <v>9.4259969511387903E-2</v>
      </c>
      <c r="F274" s="422">
        <v>0.10116093620877811</v>
      </c>
      <c r="G274" s="422">
        <v>0.1055219126631208</v>
      </c>
    </row>
    <row r="275" spans="1:8" x14ac:dyDescent="0.25">
      <c r="A275" s="1265" t="s">
        <v>3465</v>
      </c>
      <c r="B275" s="422">
        <v>0.99679383169168057</v>
      </c>
      <c r="C275" s="422">
        <v>1.0245386616514565</v>
      </c>
      <c r="D275" s="422">
        <v>1.0466542039767455</v>
      </c>
      <c r="E275" s="422">
        <v>1.0634051565465423</v>
      </c>
      <c r="F275" s="422">
        <v>1.0680741174237278</v>
      </c>
      <c r="G275" s="422">
        <v>1.0610179860153881</v>
      </c>
    </row>
    <row r="276" spans="1:8" x14ac:dyDescent="0.25">
      <c r="A276" s="1265" t="s">
        <v>3466</v>
      </c>
      <c r="B276" s="422">
        <v>1.1056317476071822</v>
      </c>
      <c r="C276" s="422">
        <v>1.1308302240186432</v>
      </c>
      <c r="D276" s="422">
        <v>1.1503500259989301</v>
      </c>
      <c r="E276" s="422">
        <v>1.162334086935116</v>
      </c>
      <c r="F276" s="422">
        <v>1.1621789222241665</v>
      </c>
      <c r="G276" s="422">
        <v>1.1508782487149734</v>
      </c>
    </row>
    <row r="277" spans="1:8" x14ac:dyDescent="0.25">
      <c r="A277" s="1265" t="s">
        <v>3467</v>
      </c>
      <c r="B277" s="422">
        <v>1.2119233099743689</v>
      </c>
      <c r="C277" s="422">
        <v>1.2345260460408276</v>
      </c>
      <c r="D277" s="422">
        <v>1.2492789563875035</v>
      </c>
      <c r="E277" s="422">
        <v>1.2564388917355542</v>
      </c>
      <c r="F277" s="422">
        <v>1.2520391849237515</v>
      </c>
      <c r="G277" s="422">
        <v>1.2367115984390566</v>
      </c>
    </row>
    <row r="278" spans="1:8" x14ac:dyDescent="0.25">
      <c r="A278" s="1265" t="s">
        <v>3468</v>
      </c>
      <c r="B278" s="422">
        <v>1.3156191319965536</v>
      </c>
      <c r="C278" s="422">
        <v>1.3334549764294008</v>
      </c>
      <c r="D278" s="422">
        <v>1.3433837611879418</v>
      </c>
      <c r="E278" s="422">
        <v>1.3462991544351395</v>
      </c>
      <c r="F278" s="422">
        <v>1.3378725346478348</v>
      </c>
      <c r="G278" s="422">
        <v>1.3187004380409586</v>
      </c>
    </row>
    <row r="279" spans="1:8" x14ac:dyDescent="0.25">
      <c r="A279" s="1265" t="s">
        <v>3469</v>
      </c>
      <c r="B279" s="422">
        <v>1.4145480623851268</v>
      </c>
      <c r="C279" s="422">
        <v>1.4275597812298395</v>
      </c>
      <c r="D279" s="422">
        <v>1.433244023887527</v>
      </c>
      <c r="E279" s="422">
        <v>1.4321325041592228</v>
      </c>
      <c r="F279" s="422">
        <v>1.4198613742497368</v>
      </c>
      <c r="G279" s="422">
        <v>1.3972658810669263</v>
      </c>
    </row>
    <row r="280" spans="1:8" x14ac:dyDescent="0.25">
      <c r="A280" s="1265" t="s">
        <v>3470</v>
      </c>
      <c r="B280" s="422">
        <v>1.5086528671855652</v>
      </c>
      <c r="C280" s="422">
        <v>1.5174200439294245</v>
      </c>
      <c r="D280" s="422">
        <v>1.5190773736116105</v>
      </c>
      <c r="E280" s="422">
        <v>1.5141213437611247</v>
      </c>
      <c r="F280" s="422">
        <v>1.4984268172757043</v>
      </c>
      <c r="G280" s="422">
        <v>1.4725583588912452</v>
      </c>
    </row>
    <row r="281" spans="1:8" x14ac:dyDescent="0.25">
      <c r="A281" s="1265" t="s">
        <v>3471</v>
      </c>
      <c r="B281" s="422">
        <v>1.5985131298851507</v>
      </c>
      <c r="C281" s="422">
        <v>1.6032533936535081</v>
      </c>
      <c r="D281" s="422">
        <v>1.6010662132135123</v>
      </c>
      <c r="E281" s="422">
        <v>1.5926867867870924</v>
      </c>
      <c r="F281" s="422">
        <v>1.5737192951000234</v>
      </c>
      <c r="G281" s="422">
        <v>1.5447214176618578</v>
      </c>
    </row>
    <row r="282" spans="1:8" x14ac:dyDescent="0.25">
      <c r="A282" s="1265" t="s">
        <v>3472</v>
      </c>
      <c r="B282" s="422">
        <v>1.6843464796092338</v>
      </c>
      <c r="C282" s="422">
        <v>1.6852422332554098</v>
      </c>
      <c r="D282" s="422">
        <v>1.6796316562394802</v>
      </c>
      <c r="E282" s="422">
        <v>1.6679792646114113</v>
      </c>
      <c r="F282" s="422">
        <v>1.6458823538706358</v>
      </c>
      <c r="G282" s="422">
        <v>1.6138920431323149</v>
      </c>
    </row>
    <row r="283" spans="1:8" x14ac:dyDescent="0.25">
      <c r="A283" s="1265" t="s">
        <v>3473</v>
      </c>
      <c r="B283" s="422">
        <v>1.7663353192111355</v>
      </c>
      <c r="C283" s="422">
        <v>1.7638076762813775</v>
      </c>
      <c r="D283" s="422">
        <v>1.7549241340637989</v>
      </c>
      <c r="E283" s="422">
        <v>1.7401423233820239</v>
      </c>
      <c r="F283" s="422">
        <v>1.7150529793410931</v>
      </c>
      <c r="G283" s="422">
        <v>1.6802009698367157</v>
      </c>
    </row>
    <row r="284" spans="1:8" x14ac:dyDescent="0.25">
      <c r="A284" s="1268" t="s">
        <v>3474</v>
      </c>
      <c r="B284" s="338">
        <v>1.8449007622371034</v>
      </c>
      <c r="C284" s="338">
        <v>1.8391001541056962</v>
      </c>
      <c r="D284" s="338">
        <v>1.8270871928344115</v>
      </c>
      <c r="E284" s="338">
        <v>1.8093129488524808</v>
      </c>
      <c r="F284" s="338">
        <v>1.7813619060454939</v>
      </c>
      <c r="G284" s="338">
        <v>1.7437729753734845</v>
      </c>
      <c r="H284" s="422" t="s">
        <v>3426</v>
      </c>
    </row>
    <row r="285" spans="1:8" x14ac:dyDescent="0.25">
      <c r="A285" s="1268" t="s">
        <v>3475</v>
      </c>
      <c r="B285" s="338">
        <v>0.16526910599762337</v>
      </c>
      <c r="C285" s="338">
        <v>0.17112088949428522</v>
      </c>
      <c r="D285" s="338">
        <v>0.18120483896377559</v>
      </c>
      <c r="E285" s="338">
        <v>0.19542090572016602</v>
      </c>
      <c r="F285" s="338">
        <v>0.20668284887189892</v>
      </c>
      <c r="G285" s="338">
        <v>0.21494236772055608</v>
      </c>
    </row>
    <row r="286" spans="1:8" x14ac:dyDescent="0.25">
      <c r="A286" s="1266" t="s">
        <v>3476</v>
      </c>
      <c r="B286" s="338">
        <v>1.9201932400614221</v>
      </c>
      <c r="C286" s="338">
        <v>1.911263212876309</v>
      </c>
      <c r="D286" s="338">
        <v>1.8962578183048684</v>
      </c>
      <c r="E286" s="338">
        <v>1.8756218755568814</v>
      </c>
      <c r="F286" s="338">
        <v>1.8449339115822627</v>
      </c>
      <c r="G286" s="338">
        <v>1.8047271605259847</v>
      </c>
    </row>
    <row r="287" spans="1:8" x14ac:dyDescent="0.25">
      <c r="A287" s="1268" t="s">
        <v>3477</v>
      </c>
      <c r="B287" s="422">
        <v>1.9923562988320351</v>
      </c>
      <c r="C287" s="422">
        <v>1.9804338383467663</v>
      </c>
      <c r="D287" s="422">
        <v>1.9625667450092694</v>
      </c>
      <c r="E287" s="422">
        <v>1.9391938810936504</v>
      </c>
      <c r="F287" s="422">
        <v>1.9058880967347627</v>
      </c>
      <c r="G287" s="422">
        <v>1.8622582460875707</v>
      </c>
    </row>
    <row r="288" spans="1:8" x14ac:dyDescent="0.25">
      <c r="A288" s="1268" t="s">
        <v>3478</v>
      </c>
      <c r="B288" s="422">
        <v>2.0615269243024921</v>
      </c>
      <c r="C288" s="422">
        <v>2.0467427650511669</v>
      </c>
      <c r="D288" s="422">
        <v>2.0261387505460378</v>
      </c>
      <c r="E288" s="422">
        <v>2.0001480662461506</v>
      </c>
      <c r="F288" s="422">
        <v>1.9634191822963487</v>
      </c>
      <c r="G288" s="422">
        <v>1.916558468420356</v>
      </c>
    </row>
    <row r="289" spans="1:7" x14ac:dyDescent="0.25">
      <c r="A289" s="1265" t="s">
        <v>3479</v>
      </c>
      <c r="B289" s="422">
        <v>2.1278358510068931</v>
      </c>
      <c r="C289" s="422">
        <v>2.1103147705879359</v>
      </c>
      <c r="D289" s="422">
        <v>2.0870929356985379</v>
      </c>
      <c r="E289" s="422">
        <v>2.0576791518077369</v>
      </c>
      <c r="F289" s="422">
        <v>2.0177194046291342</v>
      </c>
      <c r="G289" s="422">
        <v>1.9678092681681478</v>
      </c>
    </row>
    <row r="290" spans="1:7" x14ac:dyDescent="0.25">
      <c r="A290" s="1265" t="s">
        <v>3480</v>
      </c>
      <c r="B290" s="422">
        <v>2.1914078565436617</v>
      </c>
      <c r="C290" s="422">
        <v>2.1712689557404357</v>
      </c>
      <c r="D290" s="422">
        <v>2.1446240212601246</v>
      </c>
      <c r="E290" s="422">
        <v>2.1119793741405219</v>
      </c>
      <c r="F290" s="422">
        <v>2.0689702043769258</v>
      </c>
      <c r="G290" s="422">
        <v>2.0161818965284986</v>
      </c>
    </row>
    <row r="291" spans="1:7" x14ac:dyDescent="0.25">
      <c r="A291" s="1265" t="s">
        <v>3481</v>
      </c>
      <c r="B291" s="422">
        <v>2.2523620416961618</v>
      </c>
      <c r="C291" s="422">
        <v>2.2288000413020219</v>
      </c>
      <c r="D291" s="422">
        <v>2.1989242435929097</v>
      </c>
      <c r="E291" s="422">
        <v>2.1632301738883135</v>
      </c>
      <c r="F291" s="422">
        <v>2.1173428327372767</v>
      </c>
      <c r="G291" s="422">
        <v>2.0618379874773907</v>
      </c>
    </row>
    <row r="292" spans="1:7" x14ac:dyDescent="0.25">
      <c r="A292" s="1265" t="s">
        <v>3482</v>
      </c>
      <c r="B292" s="422">
        <v>0.25221397545001101</v>
      </c>
      <c r="C292" s="422">
        <v>0.2653808590056731</v>
      </c>
      <c r="D292" s="422">
        <v>0.28236577517255373</v>
      </c>
      <c r="E292" s="422">
        <v>0.30094281838328679</v>
      </c>
      <c r="F292" s="422">
        <v>0.31610330392933417</v>
      </c>
      <c r="G292" s="422">
        <v>0.32635700843931365</v>
      </c>
    </row>
    <row r="293" spans="1:7" x14ac:dyDescent="0.25">
      <c r="A293" s="1265" t="s">
        <v>3483</v>
      </c>
      <c r="B293" s="422">
        <v>0.34647394496139894</v>
      </c>
      <c r="C293" s="422">
        <v>0.36654179521445124</v>
      </c>
      <c r="D293" s="422">
        <v>0.38788768783567457</v>
      </c>
      <c r="E293" s="422">
        <v>0.4103632734407221</v>
      </c>
      <c r="F293" s="422">
        <v>0.42751794464809179</v>
      </c>
      <c r="G293" s="422">
        <v>0.43819108359301318</v>
      </c>
    </row>
    <row r="294" spans="1:7" x14ac:dyDescent="0.25">
      <c r="A294" s="1265" t="s">
        <v>3484</v>
      </c>
      <c r="B294" s="422">
        <v>0.44763488117017702</v>
      </c>
      <c r="C294" s="422">
        <v>0.47206370787757213</v>
      </c>
      <c r="D294" s="422">
        <v>0.49730814289310982</v>
      </c>
      <c r="E294" s="422">
        <v>0.52177791415947983</v>
      </c>
      <c r="F294" s="422">
        <v>0.53935201980179137</v>
      </c>
      <c r="G294" s="422">
        <v>0.54915895052150332</v>
      </c>
    </row>
    <row r="295" spans="1:7" x14ac:dyDescent="0.25">
      <c r="A295" s="1265" t="s">
        <v>3485</v>
      </c>
      <c r="B295" s="422">
        <v>0.55315679383329786</v>
      </c>
      <c r="C295" s="422">
        <v>0.58148416293500738</v>
      </c>
      <c r="D295" s="422">
        <v>0.60872278361186738</v>
      </c>
      <c r="E295" s="422">
        <v>0.63361198931317941</v>
      </c>
      <c r="F295" s="422">
        <v>0.65031988673028129</v>
      </c>
      <c r="G295" s="422">
        <v>0.65799686643700528</v>
      </c>
    </row>
    <row r="296" spans="1:7" x14ac:dyDescent="0.25">
      <c r="A296" s="1265" t="s">
        <v>3486</v>
      </c>
      <c r="B296" s="422">
        <v>0.66257724889073311</v>
      </c>
      <c r="C296" s="422">
        <v>0.69289880365376488</v>
      </c>
      <c r="D296" s="422">
        <v>0.72055685876556685</v>
      </c>
      <c r="E296" s="422">
        <v>0.74457985624166934</v>
      </c>
      <c r="F296" s="422">
        <v>0.75915780264578336</v>
      </c>
      <c r="G296" s="422">
        <v>0.76428842880419179</v>
      </c>
    </row>
    <row r="297" spans="1:7" x14ac:dyDescent="0.25">
      <c r="A297" s="1265" t="s">
        <v>3487</v>
      </c>
      <c r="B297" s="422">
        <v>0.77399188960949084</v>
      </c>
      <c r="C297" s="422">
        <v>0.80473287880746436</v>
      </c>
      <c r="D297" s="422">
        <v>0.831524725694057</v>
      </c>
      <c r="E297" s="422">
        <v>0.85341777215717118</v>
      </c>
      <c r="F297" s="422">
        <v>0.86544936501296987</v>
      </c>
      <c r="G297" s="422">
        <v>0.86798425082637642</v>
      </c>
    </row>
    <row r="298" spans="1:7" x14ac:dyDescent="0.25">
      <c r="A298" s="1265" t="s">
        <v>3488</v>
      </c>
      <c r="B298" s="422">
        <v>0.88582596476319042</v>
      </c>
      <c r="C298" s="422">
        <v>0.9157007457359545</v>
      </c>
      <c r="D298" s="422">
        <v>0.94036264160955885</v>
      </c>
      <c r="E298" s="422">
        <v>0.9597093345243578</v>
      </c>
      <c r="F298" s="422">
        <v>0.96914518703515451</v>
      </c>
      <c r="G298" s="422">
        <v>0.96691318121494974</v>
      </c>
    </row>
    <row r="299" spans="1:7" x14ac:dyDescent="0.25">
      <c r="A299" s="1265" t="s">
        <v>3489</v>
      </c>
      <c r="B299" s="422">
        <v>1.213178525377838</v>
      </c>
      <c r="C299" s="422">
        <v>1.1823235133463703</v>
      </c>
      <c r="D299" s="422">
        <v>1.1462013504519315</v>
      </c>
      <c r="E299" s="422">
        <v>1.1065303340688444</v>
      </c>
      <c r="F299" s="422">
        <v>1.0647330926108114</v>
      </c>
      <c r="G299" s="422">
        <v>1.0222041033997105</v>
      </c>
    </row>
    <row r="300" spans="1:7" x14ac:dyDescent="0.25">
      <c r="A300" s="1265" t="s">
        <v>3490</v>
      </c>
      <c r="B300" s="422">
        <v>3.4458099003643931E-2</v>
      </c>
      <c r="C300" s="422">
        <v>3.4364822096079328E-2</v>
      </c>
      <c r="D300" s="422">
        <v>3.4200000004807309E-2</v>
      </c>
      <c r="E300" s="422">
        <v>3.4446290967585627E-2</v>
      </c>
      <c r="F300" s="422">
        <v>3.5101253573201846E-2</v>
      </c>
      <c r="G300" s="422">
        <v>3.4912106662713001E-2</v>
      </c>
    </row>
    <row r="301" spans="1:7" x14ac:dyDescent="0.25">
      <c r="A301" s="1265" t="s">
        <v>3491</v>
      </c>
      <c r="B301" s="422">
        <v>0.34863011618912554</v>
      </c>
      <c r="C301" s="422">
        <v>0.34842407608228865</v>
      </c>
      <c r="D301" s="422">
        <v>0.34806481472394191</v>
      </c>
      <c r="E301" s="422">
        <v>0.34800157898010498</v>
      </c>
      <c r="F301" s="422">
        <v>0.34618930348356497</v>
      </c>
      <c r="G301" s="422">
        <v>0.34223040957906609</v>
      </c>
    </row>
    <row r="302" spans="1:7" x14ac:dyDescent="0.25">
      <c r="A302" s="1265" t="s">
        <v>3492</v>
      </c>
      <c r="B302" s="422">
        <v>0.3828821750859327</v>
      </c>
      <c r="C302" s="422">
        <v>0.38242963682002129</v>
      </c>
      <c r="D302" s="422">
        <v>0.38220157898491236</v>
      </c>
      <c r="E302" s="422">
        <v>0.38063559445115053</v>
      </c>
      <c r="F302" s="422">
        <v>0.37733166315226796</v>
      </c>
      <c r="G302" s="422">
        <v>0.372313133552655</v>
      </c>
    </row>
    <row r="303" spans="1:7" x14ac:dyDescent="0.25">
      <c r="A303" s="1265" t="s">
        <v>3493</v>
      </c>
      <c r="B303" s="422">
        <v>0.41688773582366528</v>
      </c>
      <c r="C303" s="422">
        <v>0.41656640108099174</v>
      </c>
      <c r="D303" s="422">
        <v>0.41483559445595791</v>
      </c>
      <c r="E303" s="422">
        <v>0.41177795411985363</v>
      </c>
      <c r="F303" s="422">
        <v>0.40741438712585676</v>
      </c>
      <c r="G303" s="422">
        <v>0.40137349881113132</v>
      </c>
    </row>
    <row r="304" spans="1:7" x14ac:dyDescent="0.25">
      <c r="A304" s="1265" t="s">
        <v>3494</v>
      </c>
      <c r="B304" s="422">
        <v>0.45102450008463563</v>
      </c>
      <c r="C304" s="422">
        <v>0.44920041655203713</v>
      </c>
      <c r="D304" s="422">
        <v>0.44597795412466085</v>
      </c>
      <c r="E304" s="422">
        <v>0.44186067809344232</v>
      </c>
      <c r="F304" s="422">
        <v>0.43647475238433314</v>
      </c>
      <c r="G304" s="422">
        <v>0.4293684845811977</v>
      </c>
    </row>
    <row r="305" spans="1:7" x14ac:dyDescent="0.25">
      <c r="A305" s="1265" t="s">
        <v>3495</v>
      </c>
      <c r="B305" s="422">
        <v>0.48365851555568123</v>
      </c>
      <c r="C305" s="422">
        <v>0.48034277622074023</v>
      </c>
      <c r="D305" s="422">
        <v>0.47606067809824965</v>
      </c>
      <c r="E305" s="422">
        <v>0.47092104335191876</v>
      </c>
      <c r="F305" s="422">
        <v>0.4644697381543994</v>
      </c>
      <c r="G305" s="422">
        <v>0.45643926161426579</v>
      </c>
    </row>
    <row r="306" spans="1:7" x14ac:dyDescent="0.25">
      <c r="A306" s="1265" t="s">
        <v>3496</v>
      </c>
      <c r="B306" s="422">
        <v>0.51480087522438422</v>
      </c>
      <c r="C306" s="422">
        <v>0.51042550019432897</v>
      </c>
      <c r="D306" s="422">
        <v>0.50512104335672603</v>
      </c>
      <c r="E306" s="422">
        <v>0.49891602912198524</v>
      </c>
      <c r="F306" s="422">
        <v>0.49154051518746772</v>
      </c>
      <c r="G306" s="422">
        <v>0.48261794222728632</v>
      </c>
    </row>
    <row r="307" spans="1:7" x14ac:dyDescent="0.25">
      <c r="A307" s="1265" t="s">
        <v>3497</v>
      </c>
      <c r="B307" s="422">
        <v>0.54488359919797291</v>
      </c>
      <c r="C307" s="422">
        <v>0.53948586545280541</v>
      </c>
      <c r="D307" s="422">
        <v>0.53311602912679246</v>
      </c>
      <c r="E307" s="422">
        <v>0.52598680615505311</v>
      </c>
      <c r="F307" s="422">
        <v>0.51771919580048809</v>
      </c>
      <c r="G307" s="422">
        <v>0.50793545117978722</v>
      </c>
    </row>
    <row r="308" spans="1:7" x14ac:dyDescent="0.25">
      <c r="A308" s="1265" t="s">
        <v>3498</v>
      </c>
      <c r="B308" s="422">
        <v>0.57394396445644924</v>
      </c>
      <c r="C308" s="422">
        <v>0.56748085122287195</v>
      </c>
      <c r="D308" s="422">
        <v>0.56018680615986061</v>
      </c>
      <c r="E308" s="422">
        <v>0.55216548676807375</v>
      </c>
      <c r="F308" s="422">
        <v>0.54303670475298915</v>
      </c>
      <c r="G308" s="422">
        <v>0.53242157266178769</v>
      </c>
    </row>
    <row r="309" spans="1:7" x14ac:dyDescent="0.25">
      <c r="A309" s="1265" t="s">
        <v>3499</v>
      </c>
      <c r="B309" s="422">
        <v>0.60193895022651567</v>
      </c>
      <c r="C309" s="422">
        <v>0.59455162825593999</v>
      </c>
      <c r="D309" s="422">
        <v>0.58636548677288114</v>
      </c>
      <c r="E309" s="422">
        <v>0.57748299572057471</v>
      </c>
      <c r="F309" s="422">
        <v>0.56752282623498973</v>
      </c>
      <c r="G309" s="422">
        <v>0.55610499529872426</v>
      </c>
    </row>
    <row r="310" spans="1:7" x14ac:dyDescent="0.25">
      <c r="A310" s="1265" t="s">
        <v>3500</v>
      </c>
      <c r="B310" s="422">
        <v>0.62900972725958393</v>
      </c>
      <c r="C310" s="422">
        <v>0.62073030886896041</v>
      </c>
      <c r="D310" s="422">
        <v>0.61168299572538232</v>
      </c>
      <c r="E310" s="422">
        <v>0.60196911720257529</v>
      </c>
      <c r="F310" s="422">
        <v>0.59120624887192608</v>
      </c>
      <c r="G310" s="422">
        <v>0.57901335526176034</v>
      </c>
    </row>
    <row r="311" spans="1:7" x14ac:dyDescent="0.25">
      <c r="A311" s="1265" t="s">
        <v>3501</v>
      </c>
      <c r="B311" s="422">
        <v>6.8822921099723267E-2</v>
      </c>
      <c r="C311" s="422">
        <v>6.8564822100886644E-2</v>
      </c>
      <c r="D311" s="422">
        <v>6.8646290972392943E-2</v>
      </c>
      <c r="E311" s="422">
        <v>6.9547544540787459E-2</v>
      </c>
      <c r="F311" s="422">
        <v>7.001336023591484E-2</v>
      </c>
      <c r="G311" s="422">
        <v>7.0675199123869048E-2</v>
      </c>
    </row>
    <row r="312" spans="1:7" x14ac:dyDescent="0.25">
      <c r="A312" s="1265" t="s">
        <v>3502</v>
      </c>
      <c r="B312" s="422">
        <v>0.65518840787260424</v>
      </c>
      <c r="C312" s="422">
        <v>0.64604781782146148</v>
      </c>
      <c r="D312" s="422">
        <v>0.63616911720738256</v>
      </c>
      <c r="E312" s="422">
        <v>0.62565253983951186</v>
      </c>
      <c r="F312" s="422">
        <v>0.61411460883496216</v>
      </c>
      <c r="G312" s="422">
        <v>0.60117327756774575</v>
      </c>
    </row>
    <row r="313" spans="1:7" x14ac:dyDescent="0.25">
      <c r="A313" s="1265" t="s">
        <v>3503</v>
      </c>
      <c r="B313" s="422">
        <v>0.68050591682510531</v>
      </c>
      <c r="C313" s="422">
        <v>0.67053393930346195</v>
      </c>
      <c r="D313" s="422">
        <v>0.65985253984431924</v>
      </c>
      <c r="E313" s="422">
        <v>0.64856089980254772</v>
      </c>
      <c r="F313" s="422">
        <v>0.63627453114094767</v>
      </c>
      <c r="G313" s="422">
        <v>0.62208873042851542</v>
      </c>
    </row>
    <row r="314" spans="1:7" x14ac:dyDescent="0.25">
      <c r="A314" s="1265" t="s">
        <v>3504</v>
      </c>
      <c r="B314" s="422">
        <v>0.70499203830710588</v>
      </c>
      <c r="C314" s="422">
        <v>0.69421736194039818</v>
      </c>
      <c r="D314" s="422">
        <v>0.68276089980735521</v>
      </c>
      <c r="E314" s="422">
        <v>0.67072082210853323</v>
      </c>
      <c r="F314" s="422">
        <v>0.65718998400171724</v>
      </c>
      <c r="G314" s="422">
        <v>0.64182960146274826</v>
      </c>
    </row>
    <row r="315" spans="1:7" x14ac:dyDescent="0.25">
      <c r="A315" s="1265" t="s">
        <v>3505</v>
      </c>
      <c r="B315" s="422">
        <v>0.72867546094404223</v>
      </c>
      <c r="C315" s="422">
        <v>0.7171257219034346</v>
      </c>
      <c r="D315" s="422">
        <v>0.70492082211334051</v>
      </c>
      <c r="E315" s="422">
        <v>0.69163627496930291</v>
      </c>
      <c r="F315" s="422">
        <v>0.6769308550359503</v>
      </c>
      <c r="G315" s="422">
        <v>0.66046185350072162</v>
      </c>
    </row>
    <row r="316" spans="1:7" x14ac:dyDescent="0.25">
      <c r="A316" s="1265" t="s">
        <v>3506</v>
      </c>
      <c r="B316" s="422">
        <v>0.75158382090707831</v>
      </c>
      <c r="C316" s="422">
        <v>0.73928564420942</v>
      </c>
      <c r="D316" s="422">
        <v>0.72583627497411041</v>
      </c>
      <c r="E316" s="422">
        <v>0.71137714600353574</v>
      </c>
      <c r="F316" s="422">
        <v>0.69556310707392333</v>
      </c>
      <c r="G316" s="422">
        <v>0.67804774499479747</v>
      </c>
    </row>
    <row r="317" spans="1:7" x14ac:dyDescent="0.25">
      <c r="A317" s="1265" t="s">
        <v>3507</v>
      </c>
      <c r="B317" s="422">
        <v>0.77374374321306372</v>
      </c>
      <c r="C317" s="422">
        <v>0.76020109707018957</v>
      </c>
      <c r="D317" s="422">
        <v>0.74557714600834302</v>
      </c>
      <c r="E317" s="422">
        <v>0.73000939804150911</v>
      </c>
      <c r="F317" s="422">
        <v>0.71314899856799951</v>
      </c>
      <c r="G317" s="422">
        <v>0.69464603805197145</v>
      </c>
    </row>
    <row r="318" spans="1:7" x14ac:dyDescent="0.25">
      <c r="A318" s="1265" t="s">
        <v>3508</v>
      </c>
      <c r="B318" s="422">
        <v>0.10302292110453058</v>
      </c>
      <c r="C318" s="422">
        <v>0.10301111306847227</v>
      </c>
      <c r="D318" s="422">
        <v>0.1037475445455948</v>
      </c>
      <c r="E318" s="422">
        <v>0.10445965120350051</v>
      </c>
      <c r="F318" s="422">
        <v>0.10577645269707089</v>
      </c>
      <c r="G318" s="422">
        <v>0.1061472743827464</v>
      </c>
    </row>
    <row r="319" spans="1:7" x14ac:dyDescent="0.25">
      <c r="A319" s="1265" t="s">
        <v>3509</v>
      </c>
      <c r="B319" s="422">
        <v>0.13746921207211618</v>
      </c>
      <c r="C319" s="422">
        <v>0.13811236664167414</v>
      </c>
      <c r="D319" s="422">
        <v>0.13865965120830778</v>
      </c>
      <c r="E319" s="422">
        <v>0.14022274366465656</v>
      </c>
      <c r="F319" s="422">
        <v>0.14124852795594828</v>
      </c>
      <c r="G319" s="422">
        <v>0.14127216555901961</v>
      </c>
    </row>
    <row r="320" spans="1:7" x14ac:dyDescent="0.25">
      <c r="A320" s="1265" t="s">
        <v>3510</v>
      </c>
      <c r="B320" s="422">
        <v>0.17257046564531808</v>
      </c>
      <c r="C320" s="422">
        <v>0.17302447330438708</v>
      </c>
      <c r="D320" s="422">
        <v>0.17442274366946389</v>
      </c>
      <c r="E320" s="422">
        <v>0.17569481892353386</v>
      </c>
      <c r="F320" s="422">
        <v>0.17637341913222152</v>
      </c>
      <c r="G320" s="422">
        <v>0.17605965054380748</v>
      </c>
    </row>
    <row r="321" spans="1:7" x14ac:dyDescent="0.25">
      <c r="A321" s="1265" t="s">
        <v>3511</v>
      </c>
      <c r="B321" s="422">
        <v>0.2074825723080311</v>
      </c>
      <c r="C321" s="422">
        <v>0.20878756576554319</v>
      </c>
      <c r="D321" s="422">
        <v>0.20989481892834119</v>
      </c>
      <c r="E321" s="422">
        <v>0.2108197100998071</v>
      </c>
      <c r="F321" s="422">
        <v>0.21116090411700933</v>
      </c>
      <c r="G321" s="422">
        <v>0.2103117094406145</v>
      </c>
    </row>
    <row r="322" spans="1:7" x14ac:dyDescent="0.25">
      <c r="A322" s="1265" t="s">
        <v>3512</v>
      </c>
      <c r="B322" s="422">
        <v>0.2432456647691871</v>
      </c>
      <c r="C322" s="422">
        <v>0.24425964102442063</v>
      </c>
      <c r="D322" s="422">
        <v>0.2450197101046144</v>
      </c>
      <c r="E322" s="422">
        <v>0.24560719508459494</v>
      </c>
      <c r="F322" s="422">
        <v>0.24541296301381629</v>
      </c>
      <c r="G322" s="422">
        <v>0.24431727017834717</v>
      </c>
    </row>
    <row r="323" spans="1:7" x14ac:dyDescent="0.25">
      <c r="A323" s="1265" t="s">
        <v>3513</v>
      </c>
      <c r="B323" s="422">
        <v>0.27871774002806443</v>
      </c>
      <c r="C323" s="422">
        <v>0.2793845322006937</v>
      </c>
      <c r="D323" s="422">
        <v>0.27980719508940227</v>
      </c>
      <c r="E323" s="422">
        <v>0.2798592539814021</v>
      </c>
      <c r="F323" s="422">
        <v>0.27941852375154902</v>
      </c>
      <c r="G323" s="422">
        <v>0.2784540344393176</v>
      </c>
    </row>
    <row r="324" spans="1:7" x14ac:dyDescent="0.25">
      <c r="A324" s="1265" t="s">
        <v>3514</v>
      </c>
      <c r="B324" s="422">
        <v>0.31384263120433775</v>
      </c>
      <c r="C324" s="422">
        <v>0.3141720171854816</v>
      </c>
      <c r="D324" s="422">
        <v>0.31405925398620937</v>
      </c>
      <c r="E324" s="422">
        <v>0.31386481471913469</v>
      </c>
      <c r="F324" s="422">
        <v>0.31355528801251942</v>
      </c>
      <c r="G324" s="422">
        <v>0.3110880499103631</v>
      </c>
    </row>
    <row r="325" spans="1:7" x14ac:dyDescent="0.25">
      <c r="A325" s="1265" t="s">
        <v>3515</v>
      </c>
      <c r="B325" s="422">
        <v>2.4213665561361217E-2</v>
      </c>
      <c r="C325" s="422">
        <v>2.3862537816079953E-2</v>
      </c>
      <c r="D325" s="422">
        <v>2.3473735878724866E-2</v>
      </c>
      <c r="E325" s="422">
        <v>2.3064347665253428E-2</v>
      </c>
      <c r="F325" s="422">
        <v>2.3061114129068354E-2</v>
      </c>
      <c r="G325" s="422">
        <v>2.2512588281626368E-2</v>
      </c>
    </row>
    <row r="326" spans="1:7" x14ac:dyDescent="0.25">
      <c r="A326" s="1265" t="s">
        <v>3516</v>
      </c>
      <c r="B326" s="422">
        <v>0.22973335540982898</v>
      </c>
      <c r="C326" s="422">
        <v>0.22714738236709153</v>
      </c>
      <c r="D326" s="422">
        <v>0.22490935615039021</v>
      </c>
      <c r="E326" s="422">
        <v>0.22340349858875491</v>
      </c>
      <c r="F326" s="422">
        <v>0.22135744490103995</v>
      </c>
      <c r="G326" s="422">
        <v>0.21838004233566516</v>
      </c>
    </row>
    <row r="327" spans="1:7" x14ac:dyDescent="0.25">
      <c r="A327" s="1265" t="s">
        <v>3517</v>
      </c>
      <c r="B327" s="422">
        <v>0.25136104792845276</v>
      </c>
      <c r="C327" s="422">
        <v>0.24877189396647018</v>
      </c>
      <c r="D327" s="422">
        <v>0.24687723446747981</v>
      </c>
      <c r="E327" s="422">
        <v>0.24442179256629337</v>
      </c>
      <c r="F327" s="422">
        <v>0.24144115646473349</v>
      </c>
      <c r="G327" s="422">
        <v>0.23787055226309756</v>
      </c>
    </row>
    <row r="328" spans="1:7" x14ac:dyDescent="0.25">
      <c r="A328" s="1265" t="s">
        <v>3518</v>
      </c>
      <c r="B328" s="422">
        <v>0.27298555952783149</v>
      </c>
      <c r="C328" s="422">
        <v>0.27073977228355989</v>
      </c>
      <c r="D328" s="422">
        <v>0.26789552844501835</v>
      </c>
      <c r="E328" s="422">
        <v>0.26450550412998686</v>
      </c>
      <c r="F328" s="422">
        <v>0.26093166639216581</v>
      </c>
      <c r="G328" s="422">
        <v>0.25678282164775501</v>
      </c>
    </row>
    <row r="329" spans="1:7" x14ac:dyDescent="0.25">
      <c r="A329" s="1265" t="s">
        <v>3519</v>
      </c>
      <c r="B329" s="422">
        <v>0.29495343784492112</v>
      </c>
      <c r="C329" s="422">
        <v>0.29175806626109818</v>
      </c>
      <c r="D329" s="422">
        <v>0.28797924000871183</v>
      </c>
      <c r="E329" s="422">
        <v>0.28399601405741925</v>
      </c>
      <c r="F329" s="422">
        <v>0.27984393577682332</v>
      </c>
      <c r="G329" s="422">
        <v>0.27506209121365105</v>
      </c>
    </row>
    <row r="330" spans="1:7" x14ac:dyDescent="0.25">
      <c r="A330" s="1265" t="s">
        <v>3520</v>
      </c>
      <c r="B330" s="422">
        <v>0.31597173182245941</v>
      </c>
      <c r="C330" s="422">
        <v>0.31184177782479172</v>
      </c>
      <c r="D330" s="422">
        <v>0.30746974993614429</v>
      </c>
      <c r="E330" s="422">
        <v>0.30290828344207676</v>
      </c>
      <c r="F330" s="422">
        <v>0.29812320534271936</v>
      </c>
      <c r="G330" s="422">
        <v>0.29279987509564936</v>
      </c>
    </row>
    <row r="331" spans="1:7" x14ac:dyDescent="0.25">
      <c r="A331" s="1265" t="s">
        <v>3521</v>
      </c>
      <c r="B331" s="422">
        <v>0.33605544338615312</v>
      </c>
      <c r="C331" s="422">
        <v>0.33133228775222429</v>
      </c>
      <c r="D331" s="422">
        <v>0.32638201932080174</v>
      </c>
      <c r="E331" s="422">
        <v>0.3211875530079728</v>
      </c>
      <c r="F331" s="422">
        <v>0.31586098922471778</v>
      </c>
      <c r="G331" s="422">
        <v>0.31001226510234819</v>
      </c>
    </row>
    <row r="332" spans="1:7" x14ac:dyDescent="0.25">
      <c r="A332" s="1265" t="s">
        <v>3522</v>
      </c>
      <c r="B332" s="422">
        <v>0.35554595331358563</v>
      </c>
      <c r="C332" s="422">
        <v>0.3502445571368818</v>
      </c>
      <c r="D332" s="422">
        <v>0.34466128888669778</v>
      </c>
      <c r="E332" s="422">
        <v>0.33892533688997123</v>
      </c>
      <c r="F332" s="422">
        <v>0.33307337923141639</v>
      </c>
      <c r="G332" s="422">
        <v>0.32671487227221091</v>
      </c>
    </row>
    <row r="333" spans="1:7" x14ac:dyDescent="0.25">
      <c r="A333" s="1265" t="s">
        <v>3523</v>
      </c>
      <c r="B333" s="422">
        <v>0.37445822269824308</v>
      </c>
      <c r="C333" s="422">
        <v>0.36852382670277778</v>
      </c>
      <c r="D333" s="422">
        <v>0.3623990727686961</v>
      </c>
      <c r="E333" s="422">
        <v>0.35613772689666995</v>
      </c>
      <c r="F333" s="422">
        <v>0.34977598640127916</v>
      </c>
      <c r="G333" s="422">
        <v>0.34292284136434625</v>
      </c>
    </row>
    <row r="334" spans="1:7" x14ac:dyDescent="0.25">
      <c r="A334" s="1265" t="s">
        <v>3524</v>
      </c>
      <c r="B334" s="422">
        <v>0.39273749226413884</v>
      </c>
      <c r="C334" s="422">
        <v>0.38626161058477615</v>
      </c>
      <c r="D334" s="422">
        <v>0.37961146277539481</v>
      </c>
      <c r="E334" s="422">
        <v>0.37284033406653266</v>
      </c>
      <c r="F334" s="422">
        <v>0.36598395549341456</v>
      </c>
      <c r="G334" s="422">
        <v>0.35865086490623926</v>
      </c>
    </row>
    <row r="335" spans="1:7" x14ac:dyDescent="0.25">
      <c r="A335" s="1265" t="s">
        <v>3525</v>
      </c>
      <c r="B335" s="422">
        <v>0.41047527614613755</v>
      </c>
      <c r="C335" s="422">
        <v>0.40347400059147465</v>
      </c>
      <c r="D335" s="422">
        <v>0.39631406994525747</v>
      </c>
      <c r="E335" s="422">
        <v>0.38904830315866806</v>
      </c>
      <c r="F335" s="422">
        <v>0.38171197903530768</v>
      </c>
      <c r="G335" s="422">
        <v>0.37391319681228774</v>
      </c>
    </row>
    <row r="336" spans="1:7" x14ac:dyDescent="0.25">
      <c r="A336" s="1265" t="s">
        <v>3526</v>
      </c>
      <c r="B336" s="422">
        <v>4.8076203377441173E-2</v>
      </c>
      <c r="C336" s="422">
        <v>4.7336273694804809E-2</v>
      </c>
      <c r="D336" s="422">
        <v>4.6538083543978287E-2</v>
      </c>
      <c r="E336" s="422">
        <v>4.6125461794321788E-2</v>
      </c>
      <c r="F336" s="422">
        <v>4.5573702410694736E-2</v>
      </c>
      <c r="G336" s="422">
        <v>4.5459218286158967E-2</v>
      </c>
    </row>
    <row r="337" spans="1:7" x14ac:dyDescent="0.25">
      <c r="A337" s="1265" t="s">
        <v>3527</v>
      </c>
      <c r="B337" s="422">
        <v>0.4276876661528361</v>
      </c>
      <c r="C337" s="422">
        <v>0.42017660776133764</v>
      </c>
      <c r="D337" s="422">
        <v>0.41252203903739282</v>
      </c>
      <c r="E337" s="422">
        <v>0.40477632670056096</v>
      </c>
      <c r="F337" s="422">
        <v>0.39697431094135621</v>
      </c>
      <c r="G337" s="422">
        <v>0.38872366558655463</v>
      </c>
    </row>
    <row r="338" spans="1:7" x14ac:dyDescent="0.25">
      <c r="A338" s="1265" t="s">
        <v>3528</v>
      </c>
      <c r="B338" s="422">
        <v>0.4443902733226987</v>
      </c>
      <c r="C338" s="422">
        <v>0.43638457685347321</v>
      </c>
      <c r="D338" s="422">
        <v>0.42825006257928594</v>
      </c>
      <c r="E338" s="422">
        <v>0.42003865860660949</v>
      </c>
      <c r="F338" s="422">
        <v>0.41178477971562299</v>
      </c>
      <c r="G338" s="422">
        <v>0.40270239968213462</v>
      </c>
    </row>
    <row r="339" spans="1:7" x14ac:dyDescent="0.25">
      <c r="A339" s="1265" t="s">
        <v>3529</v>
      </c>
      <c r="B339" s="422">
        <v>0.46059824241483427</v>
      </c>
      <c r="C339" s="422">
        <v>0.45211260039536594</v>
      </c>
      <c r="D339" s="422">
        <v>0.44351239448533442</v>
      </c>
      <c r="E339" s="422">
        <v>0.4348491273808765</v>
      </c>
      <c r="F339" s="422">
        <v>0.42576351381120303</v>
      </c>
      <c r="G339" s="422">
        <v>0.41589610812534356</v>
      </c>
    </row>
    <row r="340" spans="1:7" x14ac:dyDescent="0.25">
      <c r="A340" s="1265" t="s">
        <v>3530</v>
      </c>
      <c r="B340" s="422">
        <v>0.47632626595672722</v>
      </c>
      <c r="C340" s="422">
        <v>0.46737493230141458</v>
      </c>
      <c r="D340" s="422">
        <v>0.45832286325960131</v>
      </c>
      <c r="E340" s="422">
        <v>0.44882786147645637</v>
      </c>
      <c r="F340" s="422">
        <v>0.43895722225441203</v>
      </c>
      <c r="G340" s="422">
        <v>0.42834887683059031</v>
      </c>
    </row>
    <row r="341" spans="1:7" x14ac:dyDescent="0.25">
      <c r="A341" s="1265" t="s">
        <v>3531</v>
      </c>
      <c r="B341" s="422">
        <v>0.4915885978627757</v>
      </c>
      <c r="C341" s="422">
        <v>0.48218540107568147</v>
      </c>
      <c r="D341" s="422">
        <v>0.47230159735518118</v>
      </c>
      <c r="E341" s="422">
        <v>0.46202156991966536</v>
      </c>
      <c r="F341" s="422">
        <v>0.45140999095965856</v>
      </c>
      <c r="G341" s="422">
        <v>0.44010231591057786</v>
      </c>
    </row>
    <row r="342" spans="1:7" x14ac:dyDescent="0.25">
      <c r="A342" s="1265" t="s">
        <v>3532</v>
      </c>
      <c r="B342" s="422">
        <v>0.50639906663704248</v>
      </c>
      <c r="C342" s="422">
        <v>0.4961641351712614</v>
      </c>
      <c r="D342" s="422">
        <v>0.48549530579839018</v>
      </c>
      <c r="E342" s="422">
        <v>0.47447433862491212</v>
      </c>
      <c r="F342" s="422">
        <v>0.46316343003964611</v>
      </c>
      <c r="G342" s="422">
        <v>0.45119569871377502</v>
      </c>
    </row>
    <row r="343" spans="1:7" x14ac:dyDescent="0.25">
      <c r="A343" s="1265" t="s">
        <v>3533</v>
      </c>
      <c r="B343" s="422">
        <v>0.52037780073262263</v>
      </c>
      <c r="C343" s="422">
        <v>0.50935784361447012</v>
      </c>
      <c r="D343" s="422">
        <v>0.49794807450363693</v>
      </c>
      <c r="E343" s="422">
        <v>0.48622777770489967</v>
      </c>
      <c r="F343" s="422">
        <v>0.47425681284284354</v>
      </c>
      <c r="G343" s="422">
        <v>0.46166609305374423</v>
      </c>
    </row>
    <row r="344" spans="1:7" x14ac:dyDescent="0.25">
      <c r="A344" s="1265" t="s">
        <v>3534</v>
      </c>
      <c r="B344" s="422">
        <v>0.53357150917583163</v>
      </c>
      <c r="C344" s="422">
        <v>0.52181061231971715</v>
      </c>
      <c r="D344" s="422">
        <v>0.50970151358362437</v>
      </c>
      <c r="E344" s="422">
        <v>0.49732116050809699</v>
      </c>
      <c r="F344" s="422">
        <v>0.48472720718281281</v>
      </c>
      <c r="G344" s="422">
        <v>0.47154848506881664</v>
      </c>
    </row>
    <row r="345" spans="1:7" x14ac:dyDescent="0.25">
      <c r="A345" s="1265" t="s">
        <v>3535</v>
      </c>
      <c r="B345" s="422">
        <v>0.54602427788107832</v>
      </c>
      <c r="C345" s="422">
        <v>0.53356405139970464</v>
      </c>
      <c r="D345" s="422">
        <v>0.52079489638682186</v>
      </c>
      <c r="E345" s="422">
        <v>0.50779155484806615</v>
      </c>
      <c r="F345" s="422">
        <v>0.49460959919788494</v>
      </c>
      <c r="G345" s="422">
        <v>0.48087589612598725</v>
      </c>
    </row>
    <row r="346" spans="1:7" x14ac:dyDescent="0.25">
      <c r="A346" s="1265" t="s">
        <v>3536</v>
      </c>
      <c r="B346" s="422">
        <v>0.55777771696106582</v>
      </c>
      <c r="C346" s="422">
        <v>0.54465743420290191</v>
      </c>
      <c r="D346" s="422">
        <v>0.53126529072679085</v>
      </c>
      <c r="E346" s="422">
        <v>0.51767394686313828</v>
      </c>
      <c r="F346" s="422">
        <v>0.50393701025505555</v>
      </c>
      <c r="G346" s="422">
        <v>0.48967949315965464</v>
      </c>
    </row>
    <row r="347" spans="1:7" x14ac:dyDescent="0.25">
      <c r="A347" s="1265" t="s">
        <v>3537</v>
      </c>
      <c r="B347" s="422">
        <v>7.1549939256166026E-2</v>
      </c>
      <c r="C347" s="422">
        <v>7.0400621360058174E-2</v>
      </c>
      <c r="D347" s="422">
        <v>6.9599197673046648E-2</v>
      </c>
      <c r="E347" s="422">
        <v>6.8638050075948157E-2</v>
      </c>
      <c r="F347" s="422">
        <v>6.85203324152273E-2</v>
      </c>
      <c r="G347" s="422">
        <v>6.7969676838309095E-2</v>
      </c>
    </row>
    <row r="348" spans="1:7" x14ac:dyDescent="0.25">
      <c r="A348" s="1265" t="s">
        <v>3538</v>
      </c>
      <c r="B348" s="422">
        <v>0.56887109976426309</v>
      </c>
      <c r="C348" s="422">
        <v>0.55512782854287079</v>
      </c>
      <c r="D348" s="422">
        <v>0.5411476827418632</v>
      </c>
      <c r="E348" s="422">
        <v>0.527001357920309</v>
      </c>
      <c r="F348" s="422">
        <v>0.51274060728872306</v>
      </c>
      <c r="G348" s="422">
        <v>0.49798869281389502</v>
      </c>
    </row>
    <row r="349" spans="1:7" x14ac:dyDescent="0.25">
      <c r="A349" s="1265" t="s">
        <v>3539</v>
      </c>
      <c r="B349" s="422">
        <v>9.4614286921419377E-2</v>
      </c>
      <c r="C349" s="422">
        <v>9.346173548912648E-2</v>
      </c>
      <c r="D349" s="422">
        <v>9.2111785954672981E-2</v>
      </c>
      <c r="E349" s="422">
        <v>9.1584680080480749E-2</v>
      </c>
      <c r="F349" s="422">
        <v>9.1030790967377442E-2</v>
      </c>
      <c r="G349" s="422">
        <v>9.0129242912776131E-2</v>
      </c>
    </row>
    <row r="350" spans="1:7" x14ac:dyDescent="0.25">
      <c r="A350" s="1265" t="s">
        <v>3540</v>
      </c>
      <c r="B350" s="422">
        <v>0.1176754010504877</v>
      </c>
      <c r="C350" s="422">
        <v>0.11597432377075274</v>
      </c>
      <c r="D350" s="422">
        <v>0.1150584159592056</v>
      </c>
      <c r="E350" s="422">
        <v>0.11409513863263079</v>
      </c>
      <c r="F350" s="422">
        <v>0.11319035704184451</v>
      </c>
      <c r="G350" s="422">
        <v>0.1120579543593411</v>
      </c>
    </row>
    <row r="351" spans="1:7" x14ac:dyDescent="0.25">
      <c r="A351" s="1265" t="s">
        <v>3541</v>
      </c>
      <c r="B351" s="422">
        <v>0.14018798933211396</v>
      </c>
      <c r="C351" s="422">
        <v>0.13892095377528541</v>
      </c>
      <c r="D351" s="422">
        <v>0.13756887451135569</v>
      </c>
      <c r="E351" s="422">
        <v>0.13625470470709797</v>
      </c>
      <c r="F351" s="422">
        <v>0.13511906848840938</v>
      </c>
      <c r="G351" s="422">
        <v>0.13368564687796483</v>
      </c>
    </row>
    <row r="352" spans="1:7" x14ac:dyDescent="0.25">
      <c r="A352" s="1265" t="s">
        <v>3542</v>
      </c>
      <c r="B352" s="422">
        <v>0.16313461933664658</v>
      </c>
      <c r="C352" s="422">
        <v>0.16143141232743555</v>
      </c>
      <c r="D352" s="422">
        <v>0.15972844058582283</v>
      </c>
      <c r="E352" s="422">
        <v>0.15818341615366283</v>
      </c>
      <c r="F352" s="422">
        <v>0.15674676100703316</v>
      </c>
      <c r="G352" s="422">
        <v>0.15531015847734356</v>
      </c>
    </row>
    <row r="353" spans="1:7" x14ac:dyDescent="0.25">
      <c r="A353" s="1265" t="s">
        <v>3543</v>
      </c>
      <c r="B353" s="422">
        <v>0.18564507788879681</v>
      </c>
      <c r="C353" s="422">
        <v>0.18359097840190275</v>
      </c>
      <c r="D353" s="422">
        <v>0.18165715203238769</v>
      </c>
      <c r="E353" s="422">
        <v>0.17981110867228667</v>
      </c>
      <c r="F353" s="422">
        <v>0.17837127260641186</v>
      </c>
      <c r="G353" s="422">
        <v>0.17727803679443313</v>
      </c>
    </row>
    <row r="354" spans="1:7" x14ac:dyDescent="0.25">
      <c r="A354" s="1265" t="s">
        <v>3544</v>
      </c>
      <c r="B354" s="422">
        <v>0.20780464396326398</v>
      </c>
      <c r="C354" s="422">
        <v>0.20551968984846772</v>
      </c>
      <c r="D354" s="422">
        <v>0.20328484455101151</v>
      </c>
      <c r="E354" s="422">
        <v>0.20143562027166542</v>
      </c>
      <c r="F354" s="422">
        <v>0.20033915092350146</v>
      </c>
      <c r="G354" s="422">
        <v>0.19829633077197154</v>
      </c>
    </row>
    <row r="355" spans="1:7" x14ac:dyDescent="0.25">
      <c r="A355" s="1265" t="s">
        <v>3545</v>
      </c>
      <c r="B355" s="422">
        <v>3.6122076649032366E-2</v>
      </c>
      <c r="C355" s="422">
        <v>3.626085779504358E-2</v>
      </c>
      <c r="D355" s="422">
        <v>3.6314201187105023E-2</v>
      </c>
      <c r="E355" s="422">
        <v>3.7054864222734227E-2</v>
      </c>
      <c r="F355" s="422">
        <v>3.8125375039845942E-2</v>
      </c>
      <c r="G355" s="422">
        <v>3.8271367462228589E-2</v>
      </c>
    </row>
    <row r="356" spans="1:7" x14ac:dyDescent="0.25">
      <c r="A356" s="1265" t="s">
        <v>3546</v>
      </c>
      <c r="B356" s="422">
        <v>0.37809663680705019</v>
      </c>
      <c r="C356" s="422">
        <v>0.37990280922825781</v>
      </c>
      <c r="D356" s="422">
        <v>0.38117095186879191</v>
      </c>
      <c r="E356" s="422">
        <v>0.3823152332993317</v>
      </c>
      <c r="F356" s="422">
        <v>0.38105540250885189</v>
      </c>
      <c r="G356" s="422">
        <v>0.3770672705400111</v>
      </c>
    </row>
    <row r="357" spans="1:7" x14ac:dyDescent="0.25">
      <c r="A357" s="1265" t="s">
        <v>3547</v>
      </c>
      <c r="B357" s="422">
        <v>0.4160248858772902</v>
      </c>
      <c r="C357" s="422">
        <v>0.41743180966383553</v>
      </c>
      <c r="D357" s="422">
        <v>0.41862943448643675</v>
      </c>
      <c r="E357" s="422">
        <v>0.41811026673158613</v>
      </c>
      <c r="F357" s="422">
        <v>0.41519264557985691</v>
      </c>
      <c r="G357" s="422">
        <v>0.40996829324908513</v>
      </c>
    </row>
    <row r="358" spans="1:7" x14ac:dyDescent="0.25">
      <c r="A358" s="1265" t="s">
        <v>3548</v>
      </c>
      <c r="B358" s="422">
        <v>0.45355388631286792</v>
      </c>
      <c r="C358" s="422">
        <v>0.45489029228148031</v>
      </c>
      <c r="D358" s="422">
        <v>0.45442446791869112</v>
      </c>
      <c r="E358" s="422">
        <v>0.4522475098025911</v>
      </c>
      <c r="F358" s="422">
        <v>0.44809366828893121</v>
      </c>
      <c r="G358" s="422">
        <v>0.44168147787668149</v>
      </c>
    </row>
    <row r="359" spans="1:7" x14ac:dyDescent="0.25">
      <c r="A359" s="1265" t="s">
        <v>3549</v>
      </c>
      <c r="B359" s="422">
        <v>0.4910123689305127</v>
      </c>
      <c r="C359" s="422">
        <v>0.49068532571373458</v>
      </c>
      <c r="D359" s="422">
        <v>0.48856171098969609</v>
      </c>
      <c r="E359" s="422">
        <v>0.48514853251166534</v>
      </c>
      <c r="F359" s="422">
        <v>0.47980685291652736</v>
      </c>
      <c r="G359" s="422">
        <v>0.47218204450506895</v>
      </c>
    </row>
    <row r="360" spans="1:7" x14ac:dyDescent="0.25">
      <c r="A360" s="1265" t="s">
        <v>3550</v>
      </c>
      <c r="B360" s="422">
        <v>0.52680740236276702</v>
      </c>
      <c r="C360" s="422">
        <v>0.52482256878473954</v>
      </c>
      <c r="D360" s="422">
        <v>0.52146273369877028</v>
      </c>
      <c r="E360" s="422">
        <v>0.51686171713926177</v>
      </c>
      <c r="F360" s="422">
        <v>0.51030741954491499</v>
      </c>
      <c r="G360" s="422">
        <v>0.5016243480332645</v>
      </c>
    </row>
    <row r="361" spans="1:7" x14ac:dyDescent="0.25">
      <c r="A361" s="1265" t="s">
        <v>3551</v>
      </c>
      <c r="B361" s="422">
        <v>0.56094464543377209</v>
      </c>
      <c r="C361" s="422">
        <v>0.5577235914938139</v>
      </c>
      <c r="D361" s="422">
        <v>0.5531759183263667</v>
      </c>
      <c r="E361" s="422">
        <v>0.54736228376764906</v>
      </c>
      <c r="F361" s="422">
        <v>0.53974972307311053</v>
      </c>
      <c r="G361" s="422">
        <v>0.53004741379327502</v>
      </c>
    </row>
    <row r="362" spans="1:7" x14ac:dyDescent="0.25">
      <c r="A362" s="1265" t="s">
        <v>3552</v>
      </c>
      <c r="B362" s="422">
        <v>0.59384566814284634</v>
      </c>
      <c r="C362" s="422">
        <v>0.58943677612141032</v>
      </c>
      <c r="D362" s="422">
        <v>0.58367648495475422</v>
      </c>
      <c r="E362" s="422">
        <v>0.57680458729584472</v>
      </c>
      <c r="F362" s="422">
        <v>0.56817278883312117</v>
      </c>
      <c r="G362" s="422">
        <v>0.55748872920402937</v>
      </c>
    </row>
    <row r="363" spans="1:7" x14ac:dyDescent="0.25">
      <c r="A363" s="1265" t="s">
        <v>3553</v>
      </c>
      <c r="B363" s="422">
        <v>0.62555885277044265</v>
      </c>
      <c r="C363" s="422">
        <v>0.61993734274979784</v>
      </c>
      <c r="D363" s="422">
        <v>0.61311878848294965</v>
      </c>
      <c r="E363" s="422">
        <v>0.60522765305585535</v>
      </c>
      <c r="F363" s="422">
        <v>0.5956141042438754</v>
      </c>
      <c r="G363" s="422">
        <v>0.58398430837566984</v>
      </c>
    </row>
    <row r="364" spans="1:7" x14ac:dyDescent="0.25">
      <c r="A364" s="1265" t="s">
        <v>3554</v>
      </c>
      <c r="B364" s="422">
        <v>0.65605941939883017</v>
      </c>
      <c r="C364" s="422">
        <v>0.64937964627799316</v>
      </c>
      <c r="D364" s="422">
        <v>0.64154185424296029</v>
      </c>
      <c r="E364" s="422">
        <v>0.63266896846660947</v>
      </c>
      <c r="F364" s="422">
        <v>0.62210968341551576</v>
      </c>
      <c r="G364" s="422">
        <v>0.60956875384784248</v>
      </c>
    </row>
    <row r="365" spans="1:7" x14ac:dyDescent="0.25">
      <c r="A365" s="1265" t="s">
        <v>3555</v>
      </c>
      <c r="B365" s="422">
        <v>0.68550172292702571</v>
      </c>
      <c r="C365" s="422">
        <v>0.6778027120380038</v>
      </c>
      <c r="D365" s="422">
        <v>0.6689831696537144</v>
      </c>
      <c r="E365" s="422">
        <v>0.65916454763824994</v>
      </c>
      <c r="F365" s="422">
        <v>0.64769412888768862</v>
      </c>
      <c r="G365" s="422">
        <v>0.6342753155945805</v>
      </c>
    </row>
    <row r="366" spans="1:7" x14ac:dyDescent="0.25">
      <c r="A366" s="1265" t="s">
        <v>3556</v>
      </c>
      <c r="B366" s="422">
        <v>7.2382934444075953E-2</v>
      </c>
      <c r="C366" s="422">
        <v>7.2575058982148583E-2</v>
      </c>
      <c r="D366" s="422">
        <v>7.3369065409839257E-2</v>
      </c>
      <c r="E366" s="422">
        <v>7.5180239262580176E-2</v>
      </c>
      <c r="F366" s="422">
        <v>7.6396742502074538E-2</v>
      </c>
      <c r="G366" s="422">
        <v>7.7570618791081722E-2</v>
      </c>
    </row>
    <row r="367" spans="1:7" x14ac:dyDescent="0.25">
      <c r="A367" s="1265" t="s">
        <v>3557</v>
      </c>
      <c r="B367" s="422">
        <v>0.71392478868703624</v>
      </c>
      <c r="C367" s="422">
        <v>0.70524402744875803</v>
      </c>
      <c r="D367" s="422">
        <v>0.69547874882535488</v>
      </c>
      <c r="E367" s="422">
        <v>0.68474899311042281</v>
      </c>
      <c r="F367" s="422">
        <v>0.67240069063442631</v>
      </c>
      <c r="G367" s="422">
        <v>0.65813594742205828</v>
      </c>
    </row>
    <row r="368" spans="1:7" x14ac:dyDescent="0.25">
      <c r="A368" s="1265" t="s">
        <v>3558</v>
      </c>
      <c r="B368" s="422">
        <v>0.74136610409779047</v>
      </c>
      <c r="C368" s="422">
        <v>0.73173960662039839</v>
      </c>
      <c r="D368" s="422">
        <v>0.72106319429752774</v>
      </c>
      <c r="E368" s="422">
        <v>0.70945555485716061</v>
      </c>
      <c r="F368" s="422">
        <v>0.69626132246190409</v>
      </c>
      <c r="G368" s="422">
        <v>0.6806566003974972</v>
      </c>
    </row>
    <row r="369" spans="1:7" x14ac:dyDescent="0.25">
      <c r="A369" s="1265" t="s">
        <v>3559</v>
      </c>
      <c r="B369" s="422">
        <v>0.76786168326943083</v>
      </c>
      <c r="C369" s="422">
        <v>0.75732405209257114</v>
      </c>
      <c r="D369" s="422">
        <v>0.74576975604426576</v>
      </c>
      <c r="E369" s="422">
        <v>0.73331618668463827</v>
      </c>
      <c r="F369" s="422">
        <v>0.71878197543734301</v>
      </c>
      <c r="G369" s="422">
        <v>0.70191252581084207</v>
      </c>
    </row>
    <row r="370" spans="1:7" x14ac:dyDescent="0.25">
      <c r="A370" s="1265" t="s">
        <v>3560</v>
      </c>
      <c r="B370" s="422">
        <v>0.7934461287416037</v>
      </c>
      <c r="C370" s="422">
        <v>0.78203061383930916</v>
      </c>
      <c r="D370" s="422">
        <v>0.76963038787174332</v>
      </c>
      <c r="E370" s="422">
        <v>0.75583683966007731</v>
      </c>
      <c r="F370" s="422">
        <v>0.7400379008506881</v>
      </c>
      <c r="G370" s="422">
        <v>0.72197474894755254</v>
      </c>
    </row>
    <row r="371" spans="1:7" x14ac:dyDescent="0.25">
      <c r="A371" s="1265" t="s">
        <v>3561</v>
      </c>
      <c r="B371" s="422">
        <v>0.81815269048834172</v>
      </c>
      <c r="C371" s="422">
        <v>0.80589124566678694</v>
      </c>
      <c r="D371" s="422">
        <v>0.79215104084718213</v>
      </c>
      <c r="E371" s="422">
        <v>0.77709276507342218</v>
      </c>
      <c r="F371" s="422">
        <v>0.76010012398739857</v>
      </c>
      <c r="G371" s="422">
        <v>0.7409103064149527</v>
      </c>
    </row>
    <row r="372" spans="1:7" x14ac:dyDescent="0.25">
      <c r="A372" s="1265" t="s">
        <v>3562</v>
      </c>
      <c r="B372" s="422">
        <v>0.84201332231581927</v>
      </c>
      <c r="C372" s="422">
        <v>0.82841189864222564</v>
      </c>
      <c r="D372" s="422">
        <v>0.81340696626052711</v>
      </c>
      <c r="E372" s="422">
        <v>0.79715498821013298</v>
      </c>
      <c r="F372" s="422">
        <v>0.77903568145479873</v>
      </c>
      <c r="G372" s="422">
        <v>0.7587824701406729</v>
      </c>
    </row>
    <row r="373" spans="1:7" x14ac:dyDescent="0.25">
      <c r="A373" s="1265" t="s">
        <v>3563</v>
      </c>
      <c r="B373" s="422">
        <v>0.10869713563118096</v>
      </c>
      <c r="C373" s="422">
        <v>0.10962992320488282</v>
      </c>
      <c r="D373" s="422">
        <v>0.11149444044968521</v>
      </c>
      <c r="E373" s="422">
        <v>0.11345160672480875</v>
      </c>
      <c r="F373" s="422">
        <v>0.11569599383092767</v>
      </c>
      <c r="G373" s="422">
        <v>0.11675670721259412</v>
      </c>
    </row>
    <row r="374" spans="1:7" x14ac:dyDescent="0.25">
      <c r="A374" s="1265" t="s">
        <v>3564</v>
      </c>
      <c r="B374" s="422">
        <v>0.14575199985391521</v>
      </c>
      <c r="C374" s="422">
        <v>0.1477552982447288</v>
      </c>
      <c r="D374" s="422">
        <v>0.14976580791191382</v>
      </c>
      <c r="E374" s="422">
        <v>0.15275085805366193</v>
      </c>
      <c r="F374" s="422">
        <v>0.15488208225244007</v>
      </c>
      <c r="G374" s="422">
        <v>0.15566741889451516</v>
      </c>
    </row>
    <row r="375" spans="1:7" x14ac:dyDescent="0.25">
      <c r="A375" s="1265" t="s">
        <v>3565</v>
      </c>
      <c r="B375" s="422">
        <v>0.18387737489376116</v>
      </c>
      <c r="C375" s="422">
        <v>0.18602666570695736</v>
      </c>
      <c r="D375" s="422">
        <v>0.18906505924076694</v>
      </c>
      <c r="E375" s="422">
        <v>0.19193694647517426</v>
      </c>
      <c r="F375" s="422">
        <v>0.19379279393436108</v>
      </c>
      <c r="G375" s="422">
        <v>0.19421926191328903</v>
      </c>
    </row>
    <row r="376" spans="1:7" x14ac:dyDescent="0.25">
      <c r="A376" s="1265" t="s">
        <v>3566</v>
      </c>
      <c r="B376" s="422">
        <v>0.22214874235598975</v>
      </c>
      <c r="C376" s="422">
        <v>0.22532591703581051</v>
      </c>
      <c r="D376" s="422">
        <v>0.22825114766227927</v>
      </c>
      <c r="E376" s="422">
        <v>0.23084765815709535</v>
      </c>
      <c r="F376" s="422">
        <v>0.23234463695313495</v>
      </c>
      <c r="G376" s="422">
        <v>0.23214751098352907</v>
      </c>
    </row>
    <row r="377" spans="1:7" x14ac:dyDescent="0.25">
      <c r="A377" s="1265" t="s">
        <v>3567</v>
      </c>
      <c r="B377" s="422">
        <v>0.26144799368484289</v>
      </c>
      <c r="C377" s="422">
        <v>0.26451200545732279</v>
      </c>
      <c r="D377" s="422">
        <v>0.26716185934420034</v>
      </c>
      <c r="E377" s="422">
        <v>0.26939950117586919</v>
      </c>
      <c r="F377" s="422">
        <v>0.27027288602337496</v>
      </c>
      <c r="G377" s="422">
        <v>0.2696765114191067</v>
      </c>
    </row>
    <row r="378" spans="1:7" x14ac:dyDescent="0.25">
      <c r="A378" s="1265" t="s">
        <v>3568</v>
      </c>
      <c r="B378" s="422">
        <v>0.30063408210635523</v>
      </c>
      <c r="C378" s="422">
        <v>0.3034227171392439</v>
      </c>
      <c r="D378" s="422">
        <v>0.30571370236297429</v>
      </c>
      <c r="E378" s="422">
        <v>0.30732775024610914</v>
      </c>
      <c r="F378" s="422">
        <v>0.30780188645895262</v>
      </c>
      <c r="G378" s="422">
        <v>0.30713499403675149</v>
      </c>
    </row>
    <row r="379" spans="1:7" x14ac:dyDescent="0.25">
      <c r="A379" s="1265" t="s">
        <v>3569</v>
      </c>
      <c r="B379" s="422">
        <v>0.33954479378827634</v>
      </c>
      <c r="C379" s="422">
        <v>0.3419745601580178</v>
      </c>
      <c r="D379" s="422">
        <v>0.34364195143321419</v>
      </c>
      <c r="E379" s="422">
        <v>0.34485675068168692</v>
      </c>
      <c r="F379" s="422">
        <v>0.34526036907659746</v>
      </c>
      <c r="G379" s="422">
        <v>0.34293002746900586</v>
      </c>
    </row>
    <row r="380" spans="1:7" x14ac:dyDescent="0.25">
      <c r="A380" s="1265" t="s">
        <v>3570</v>
      </c>
      <c r="B380" s="422">
        <v>2.8711085945445445E-2</v>
      </c>
      <c r="C380" s="422">
        <v>2.8281444308629423E-2</v>
      </c>
      <c r="D380" s="422">
        <v>2.7807717555929819E-2</v>
      </c>
      <c r="E380" s="422">
        <v>2.7295172683934162E-2</v>
      </c>
      <c r="F380" s="422">
        <v>2.7269760630525015E-2</v>
      </c>
      <c r="G380" s="422">
        <v>2.6600002578003462E-2</v>
      </c>
    </row>
    <row r="381" spans="1:7" x14ac:dyDescent="0.25">
      <c r="A381" s="1265" t="s">
        <v>3571</v>
      </c>
      <c r="B381" s="422">
        <v>0.27169385635865551</v>
      </c>
      <c r="C381" s="422">
        <v>0.26851391344104353</v>
      </c>
      <c r="D381" s="422">
        <v>0.26576775661917879</v>
      </c>
      <c r="E381" s="422">
        <v>0.26391416352010849</v>
      </c>
      <c r="F381" s="422">
        <v>0.26145210960725412</v>
      </c>
      <c r="G381" s="422">
        <v>0.25791258595960698</v>
      </c>
    </row>
    <row r="382" spans="1:7" x14ac:dyDescent="0.25">
      <c r="A382" s="1265" t="s">
        <v>3572</v>
      </c>
      <c r="B382" s="422">
        <v>0.29722499938648905</v>
      </c>
      <c r="C382" s="422">
        <v>0.29404920092780823</v>
      </c>
      <c r="D382" s="422">
        <v>0.29172188107603836</v>
      </c>
      <c r="E382" s="422">
        <v>0.28874728229118829</v>
      </c>
      <c r="F382" s="422">
        <v>0.28518234659013203</v>
      </c>
      <c r="G382" s="422">
        <v>0.28094648951617002</v>
      </c>
    </row>
    <row r="383" spans="1:7" x14ac:dyDescent="0.25">
      <c r="A383" s="1265" t="s">
        <v>3573</v>
      </c>
      <c r="B383" s="422">
        <v>0.32276028687325375</v>
      </c>
      <c r="C383" s="422">
        <v>0.32000332538466797</v>
      </c>
      <c r="D383" s="422">
        <v>0.31655499984711805</v>
      </c>
      <c r="E383" s="422">
        <v>0.31247751927406614</v>
      </c>
      <c r="F383" s="422">
        <v>0.30821625014669518</v>
      </c>
      <c r="G383" s="422">
        <v>0.3033012766061654</v>
      </c>
    </row>
    <row r="384" spans="1:7" x14ac:dyDescent="0.25">
      <c r="A384" s="1265" t="s">
        <v>3574</v>
      </c>
      <c r="B384" s="422">
        <v>0.34871441133011333</v>
      </c>
      <c r="C384" s="422">
        <v>0.34483644415574755</v>
      </c>
      <c r="D384" s="422">
        <v>0.3402852368299959</v>
      </c>
      <c r="E384" s="422">
        <v>0.33551142283062924</v>
      </c>
      <c r="F384" s="422">
        <v>0.33057103723669046</v>
      </c>
      <c r="G384" s="422">
        <v>0.32491087504907085</v>
      </c>
    </row>
    <row r="385" spans="1:8" x14ac:dyDescent="0.25">
      <c r="A385" s="1265" t="s">
        <v>3575</v>
      </c>
      <c r="B385" s="422">
        <v>0.37354753010119307</v>
      </c>
      <c r="C385" s="422">
        <v>0.36856668113862551</v>
      </c>
      <c r="D385" s="422">
        <v>0.36331914038655916</v>
      </c>
      <c r="E385" s="422">
        <v>0.35786620992062462</v>
      </c>
      <c r="F385" s="422">
        <v>0.35218063567959584</v>
      </c>
      <c r="G385" s="422">
        <v>0.34588343886371914</v>
      </c>
    </row>
    <row r="386" spans="1:8" x14ac:dyDescent="0.25">
      <c r="A386" s="1265" t="s">
        <v>3576</v>
      </c>
      <c r="B386" s="422">
        <v>0.39727776708407081</v>
      </c>
      <c r="C386" s="422">
        <v>0.39160058469518882</v>
      </c>
      <c r="D386" s="422">
        <v>0.38567392747655449</v>
      </c>
      <c r="E386" s="422">
        <v>0.37947580836353006</v>
      </c>
      <c r="F386" s="422">
        <v>0.37315319949424419</v>
      </c>
      <c r="G386" s="422">
        <v>0.3662377473494422</v>
      </c>
    </row>
    <row r="387" spans="1:8" x14ac:dyDescent="0.25">
      <c r="A387" s="1265" t="s">
        <v>3577</v>
      </c>
      <c r="B387" s="422">
        <v>0.42031167064063413</v>
      </c>
      <c r="C387" s="422">
        <v>0.4139553717851841</v>
      </c>
      <c r="D387" s="422">
        <v>0.40728352591945988</v>
      </c>
      <c r="E387" s="422">
        <v>0.40044837217817836</v>
      </c>
      <c r="F387" s="422">
        <v>0.39350750797996725</v>
      </c>
      <c r="G387" s="422">
        <v>0.38599202620602174</v>
      </c>
    </row>
    <row r="388" spans="1:8" x14ac:dyDescent="0.25">
      <c r="A388" s="1265" t="s">
        <v>3578</v>
      </c>
      <c r="B388" s="422">
        <v>0.44266645773062946</v>
      </c>
      <c r="C388" s="422">
        <v>0.4355649702280896</v>
      </c>
      <c r="D388" s="422">
        <v>0.42825608973410823</v>
      </c>
      <c r="E388" s="422">
        <v>0.42080268066390142</v>
      </c>
      <c r="F388" s="422">
        <v>0.41326178683654691</v>
      </c>
      <c r="G388" s="422">
        <v>0.40516396385338671</v>
      </c>
    </row>
    <row r="389" spans="1:8" x14ac:dyDescent="0.25">
      <c r="A389" s="1268" t="s">
        <v>3579</v>
      </c>
      <c r="B389" s="338">
        <v>0.46427605617353479</v>
      </c>
      <c r="C389" s="338">
        <v>0.45653753404273772</v>
      </c>
      <c r="D389" s="338">
        <v>0.44861039821983112</v>
      </c>
      <c r="E389" s="338">
        <v>0.44055695952048096</v>
      </c>
      <c r="F389" s="338">
        <v>0.43243372448391182</v>
      </c>
      <c r="G389" s="338">
        <v>0.42377072727021586</v>
      </c>
      <c r="H389" s="422" t="s">
        <v>3426</v>
      </c>
    </row>
    <row r="390" spans="1:8" x14ac:dyDescent="0.25">
      <c r="A390" s="1269" t="s">
        <v>3580</v>
      </c>
      <c r="B390" s="1270">
        <v>0.48524861998818325</v>
      </c>
      <c r="C390" s="1270">
        <v>0.47689184252846067</v>
      </c>
      <c r="D390" s="1270">
        <v>0.46836467707641088</v>
      </c>
      <c r="E390" s="1270">
        <v>0.45972889716784593</v>
      </c>
      <c r="F390" s="1270">
        <v>0.45104048790074092</v>
      </c>
      <c r="G390" s="1270">
        <v>0.44182897736563265</v>
      </c>
      <c r="H390" s="422" t="s">
        <v>3581</v>
      </c>
    </row>
    <row r="391" spans="1:8" x14ac:dyDescent="0.25">
      <c r="A391" s="1265" t="s">
        <v>3582</v>
      </c>
      <c r="B391" s="422">
        <v>5.6992530254074879E-2</v>
      </c>
      <c r="C391" s="422">
        <v>5.6089161864559249E-2</v>
      </c>
      <c r="D391" s="422">
        <v>5.5102890239863971E-2</v>
      </c>
      <c r="E391" s="422">
        <v>5.4564933314459177E-2</v>
      </c>
      <c r="F391" s="422">
        <v>5.3869763208528473E-2</v>
      </c>
      <c r="G391" s="422">
        <v>5.3707032566663537E-2</v>
      </c>
    </row>
    <row r="392" spans="1:8" x14ac:dyDescent="0.25">
      <c r="A392" s="1265" t="s">
        <v>3583</v>
      </c>
      <c r="B392" s="422">
        <v>0.50560292847390609</v>
      </c>
      <c r="C392" s="422">
        <v>0.49664612138504061</v>
      </c>
      <c r="D392" s="422">
        <v>0.48753661472377574</v>
      </c>
      <c r="E392" s="422">
        <v>0.47833566058467514</v>
      </c>
      <c r="F392" s="422">
        <v>0.4690987379961577</v>
      </c>
      <c r="G392" s="422">
        <v>0.4593548838977527</v>
      </c>
    </row>
    <row r="393" spans="1:8" x14ac:dyDescent="0.25">
      <c r="A393" s="1265" t="s">
        <v>3584</v>
      </c>
      <c r="B393" s="422">
        <v>0.52535720733048585</v>
      </c>
      <c r="C393" s="422">
        <v>0.5158180590324053</v>
      </c>
      <c r="D393" s="422">
        <v>0.50614337814060484</v>
      </c>
      <c r="E393" s="422">
        <v>0.4963939106800917</v>
      </c>
      <c r="F393" s="422">
        <v>0.48662464452827758</v>
      </c>
      <c r="G393" s="422">
        <v>0.4758965606623774</v>
      </c>
    </row>
    <row r="394" spans="1:8" x14ac:dyDescent="0.25">
      <c r="A394" s="1265" t="s">
        <v>3585</v>
      </c>
      <c r="B394" s="422">
        <v>0.54452914497785099</v>
      </c>
      <c r="C394" s="422">
        <v>0.5344248224492345</v>
      </c>
      <c r="D394" s="422">
        <v>0.52420162823602146</v>
      </c>
      <c r="E394" s="422">
        <v>0.51391981721221169</v>
      </c>
      <c r="F394" s="422">
        <v>0.5031663212929024</v>
      </c>
      <c r="G394" s="422">
        <v>0.49150928059123522</v>
      </c>
    </row>
    <row r="395" spans="1:8" x14ac:dyDescent="0.25">
      <c r="A395" s="1265" t="s">
        <v>3586</v>
      </c>
      <c r="B395" s="422">
        <v>0.56313590839467997</v>
      </c>
      <c r="C395" s="422">
        <v>0.55248307254465123</v>
      </c>
      <c r="D395" s="422">
        <v>0.54172753476814151</v>
      </c>
      <c r="E395" s="422">
        <v>0.53046149397683651</v>
      </c>
      <c r="F395" s="422">
        <v>0.51877904122176022</v>
      </c>
      <c r="G395" s="422">
        <v>0.50624521256750488</v>
      </c>
    </row>
    <row r="396" spans="1:8" x14ac:dyDescent="0.25">
      <c r="A396" s="1265" t="s">
        <v>3587</v>
      </c>
      <c r="B396" s="422">
        <v>0.58119415849009659</v>
      </c>
      <c r="C396" s="422">
        <v>0.57000897907677106</v>
      </c>
      <c r="D396" s="422">
        <v>0.55826921153276621</v>
      </c>
      <c r="E396" s="422">
        <v>0.54607421390569455</v>
      </c>
      <c r="F396" s="422">
        <v>0.53351497319802976</v>
      </c>
      <c r="G396" s="422">
        <v>0.52015359574472975</v>
      </c>
    </row>
    <row r="397" spans="1:8" x14ac:dyDescent="0.25">
      <c r="A397" s="1265" t="s">
        <v>3588</v>
      </c>
      <c r="B397" s="422">
        <v>0.59872006502221653</v>
      </c>
      <c r="C397" s="422">
        <v>0.58655065584139598</v>
      </c>
      <c r="D397" s="422">
        <v>0.57388193146162425</v>
      </c>
      <c r="E397" s="422">
        <v>0.56081014588196421</v>
      </c>
      <c r="F397" s="422">
        <v>0.54742335637525474</v>
      </c>
      <c r="G397" s="422">
        <v>0.5332809040762303</v>
      </c>
    </row>
    <row r="398" spans="1:8" x14ac:dyDescent="0.25">
      <c r="A398" s="1265" t="s">
        <v>3589</v>
      </c>
      <c r="B398" s="422">
        <v>0.61526174178684134</v>
      </c>
      <c r="C398" s="422">
        <v>0.60216337577025403</v>
      </c>
      <c r="D398" s="422">
        <v>0.58861786343789391</v>
      </c>
      <c r="E398" s="422">
        <v>0.57471852905918897</v>
      </c>
      <c r="F398" s="422">
        <v>0.56055066470675541</v>
      </c>
      <c r="G398" s="422">
        <v>0.54567100160478232</v>
      </c>
    </row>
    <row r="399" spans="1:8" x14ac:dyDescent="0.25">
      <c r="A399" s="1265" t="s">
        <v>3590</v>
      </c>
      <c r="B399" s="422">
        <v>0.63087446171569928</v>
      </c>
      <c r="C399" s="422">
        <v>0.61689930774652346</v>
      </c>
      <c r="D399" s="422">
        <v>0.60252624661511889</v>
      </c>
      <c r="E399" s="422">
        <v>0.58784583739068952</v>
      </c>
      <c r="F399" s="422">
        <v>0.57294076223530732</v>
      </c>
      <c r="G399" s="422">
        <v>0.55736528903144733</v>
      </c>
    </row>
    <row r="400" spans="1:8" x14ac:dyDescent="0.25">
      <c r="A400" s="1265" t="s">
        <v>3591</v>
      </c>
      <c r="B400" s="422">
        <v>0.64561039369196904</v>
      </c>
      <c r="C400" s="422">
        <v>0.63080769092374833</v>
      </c>
      <c r="D400" s="422">
        <v>0.61565355494661944</v>
      </c>
      <c r="E400" s="422">
        <v>0.60023593491924132</v>
      </c>
      <c r="F400" s="422">
        <v>0.58463504966197233</v>
      </c>
      <c r="G400" s="422">
        <v>0.56840284205331149</v>
      </c>
    </row>
    <row r="401" spans="1:7" x14ac:dyDescent="0.25">
      <c r="A401" s="1265" t="s">
        <v>3592</v>
      </c>
      <c r="B401" s="422">
        <v>0.65951877686919391</v>
      </c>
      <c r="C401" s="422">
        <v>0.643934999255249</v>
      </c>
      <c r="D401" s="422">
        <v>0.62804365247517124</v>
      </c>
      <c r="E401" s="422">
        <v>0.61193022234590644</v>
      </c>
      <c r="F401" s="422">
        <v>0.59567260268383648</v>
      </c>
      <c r="G401" s="422">
        <v>0.57882054193237165</v>
      </c>
    </row>
    <row r="402" spans="1:7" x14ac:dyDescent="0.25">
      <c r="A402" s="1265" t="s">
        <v>3593</v>
      </c>
      <c r="B402" s="422">
        <v>8.4800247810004684E-2</v>
      </c>
      <c r="C402" s="422">
        <v>8.3384334548493325E-2</v>
      </c>
      <c r="D402" s="422">
        <v>8.2372650870389003E-2</v>
      </c>
      <c r="E402" s="422">
        <v>8.1164935892462653E-2</v>
      </c>
      <c r="F402" s="422">
        <v>8.0976793197188576E-2</v>
      </c>
      <c r="G402" s="422">
        <v>8.0286091077043709E-2</v>
      </c>
    </row>
    <row r="403" spans="1:7" x14ac:dyDescent="0.25">
      <c r="A403" s="1265" t="s">
        <v>3594</v>
      </c>
      <c r="B403" s="422">
        <v>0.67264608520069447</v>
      </c>
      <c r="C403" s="422">
        <v>0.6563250967838008</v>
      </c>
      <c r="D403" s="422">
        <v>0.63973793990183647</v>
      </c>
      <c r="E403" s="422">
        <v>0.62296777536777093</v>
      </c>
      <c r="F403" s="422">
        <v>0.60609030256289664</v>
      </c>
      <c r="G403" s="422">
        <v>0.58865319873186228</v>
      </c>
    </row>
    <row r="404" spans="1:7" x14ac:dyDescent="0.25">
      <c r="A404" s="422" t="s">
        <v>3595</v>
      </c>
      <c r="B404" s="422">
        <v>0.11209542049393874</v>
      </c>
      <c r="C404" s="422">
        <v>0.11065409517901832</v>
      </c>
      <c r="D404" s="422">
        <v>0.10897265344839244</v>
      </c>
      <c r="E404" s="422">
        <v>0.10827196588112273</v>
      </c>
      <c r="F404" s="422">
        <v>0.10755585170756872</v>
      </c>
      <c r="G404" s="422">
        <v>0.10644410455120169</v>
      </c>
    </row>
    <row r="405" spans="1:7" x14ac:dyDescent="0.25">
      <c r="A405" s="422" t="s">
        <v>3596</v>
      </c>
      <c r="B405" s="422">
        <v>0.13936518112446378</v>
      </c>
      <c r="C405" s="422">
        <v>0.13725409775702166</v>
      </c>
      <c r="D405" s="422">
        <v>0.13607968343705262</v>
      </c>
      <c r="E405" s="422">
        <v>0.1348510243915029</v>
      </c>
      <c r="F405" s="422">
        <v>0.13371386518172676</v>
      </c>
      <c r="G405" s="422">
        <v>0.13232867523419153</v>
      </c>
    </row>
    <row r="406" spans="1:7" x14ac:dyDescent="0.25">
      <c r="A406" s="422" t="s">
        <v>3597</v>
      </c>
      <c r="B406" s="422">
        <v>0.1659651837024671</v>
      </c>
      <c r="C406" s="422">
        <v>0.16436112774568185</v>
      </c>
      <c r="D406" s="422">
        <v>0.16265874194743268</v>
      </c>
      <c r="E406" s="422">
        <v>0.1610090378656609</v>
      </c>
      <c r="F406" s="422">
        <v>0.15959843586471653</v>
      </c>
      <c r="G406" s="422">
        <v>0.15785981826202503</v>
      </c>
    </row>
    <row r="407" spans="1:7" x14ac:dyDescent="0.25">
      <c r="A407" s="422" t="s">
        <v>3598</v>
      </c>
      <c r="B407" s="422">
        <v>0.19307221369112723</v>
      </c>
      <c r="C407" s="422">
        <v>0.19094018625606199</v>
      </c>
      <c r="D407" s="422">
        <v>0.18881675542159071</v>
      </c>
      <c r="E407" s="422">
        <v>0.18689360854865067</v>
      </c>
      <c r="F407" s="422">
        <v>0.18512957889255005</v>
      </c>
      <c r="G407" s="422">
        <v>0.18339510574878973</v>
      </c>
    </row>
    <row r="408" spans="1:7" x14ac:dyDescent="0.25">
      <c r="A408" s="422" t="s">
        <v>3599</v>
      </c>
      <c r="B408" s="422">
        <v>0.21965127220150746</v>
      </c>
      <c r="C408" s="422">
        <v>0.2170981997302201</v>
      </c>
      <c r="D408" s="422">
        <v>0.21470132610458045</v>
      </c>
      <c r="E408" s="422">
        <v>0.21242475157648424</v>
      </c>
      <c r="F408" s="422">
        <v>0.21066486637931484</v>
      </c>
      <c r="G408" s="422">
        <v>0.20934923020564936</v>
      </c>
    </row>
    <row r="409" spans="1:7" x14ac:dyDescent="0.25">
      <c r="A409" s="1265" t="s">
        <v>3600</v>
      </c>
      <c r="B409" s="422">
        <v>0.24580928567566562</v>
      </c>
      <c r="C409" s="422">
        <v>0.24298277041321004</v>
      </c>
      <c r="D409" s="422">
        <v>0.24023246913241403</v>
      </c>
      <c r="E409" s="422">
        <v>0.23796003906324886</v>
      </c>
      <c r="F409" s="422">
        <v>0.23661899083617441</v>
      </c>
      <c r="G409" s="422">
        <v>0.23418234897672904</v>
      </c>
    </row>
    <row r="410" spans="1:7" x14ac:dyDescent="0.25">
      <c r="A410" s="1265" t="s">
        <v>3601</v>
      </c>
      <c r="B410" s="422">
        <v>2.9055626477660589E-2</v>
      </c>
      <c r="C410" s="422">
        <v>2.8620829028957427E-2</v>
      </c>
      <c r="D410" s="422">
        <v>2.8141417431462687E-2</v>
      </c>
      <c r="E410" s="422">
        <v>2.7622721887098967E-2</v>
      </c>
      <c r="F410" s="422">
        <v>2.7597004882409931E-2</v>
      </c>
      <c r="G410" s="422">
        <v>2.6919209558281518E-2</v>
      </c>
    </row>
    <row r="411" spans="1:7" x14ac:dyDescent="0.25">
      <c r="A411" s="1265" t="s">
        <v>3602</v>
      </c>
      <c r="B411" s="422">
        <v>0.2749542536159123</v>
      </c>
      <c r="C411" s="422">
        <v>0.27173615055251799</v>
      </c>
      <c r="D411" s="422">
        <v>0.268957039131348</v>
      </c>
      <c r="E411" s="422">
        <v>0.26708120243083133</v>
      </c>
      <c r="F411" s="422">
        <v>0.26458960322780262</v>
      </c>
      <c r="G411" s="422">
        <v>0.26100760437167103</v>
      </c>
    </row>
    <row r="412" spans="1:7" x14ac:dyDescent="0.25">
      <c r="A412" s="1265" t="s">
        <v>3603</v>
      </c>
      <c r="B412" s="422">
        <v>0.30079177703017845</v>
      </c>
      <c r="C412" s="422">
        <v>0.2975778681603054</v>
      </c>
      <c r="D412" s="422">
        <v>0.29522261986229409</v>
      </c>
      <c r="E412" s="422">
        <v>0.29221232511490164</v>
      </c>
      <c r="F412" s="422">
        <v>0.28860460925408093</v>
      </c>
      <c r="G412" s="422">
        <v>0.28431792078859941</v>
      </c>
    </row>
    <row r="413" spans="1:7" x14ac:dyDescent="0.25">
      <c r="A413" s="1265" t="s">
        <v>3604</v>
      </c>
      <c r="B413" s="422">
        <v>0.32663349463796604</v>
      </c>
      <c r="C413" s="422">
        <v>0.32384344889125144</v>
      </c>
      <c r="D413" s="422">
        <v>0.32035374254636423</v>
      </c>
      <c r="E413" s="422">
        <v>0.31622733114117996</v>
      </c>
      <c r="F413" s="422">
        <v>0.31191492567100926</v>
      </c>
      <c r="G413" s="422">
        <v>0.30694097116393948</v>
      </c>
    </row>
    <row r="414" spans="1:7" x14ac:dyDescent="0.25">
      <c r="A414" s="1265" t="s">
        <v>3605</v>
      </c>
      <c r="B414" s="422">
        <v>0.35289907536891207</v>
      </c>
      <c r="C414" s="422">
        <v>0.34897457157532158</v>
      </c>
      <c r="D414" s="422">
        <v>0.34436874857264271</v>
      </c>
      <c r="E414" s="422">
        <v>0.33953764755810834</v>
      </c>
      <c r="F414" s="422">
        <v>0.33453797604634949</v>
      </c>
      <c r="G414" s="422">
        <v>0.32880989043374165</v>
      </c>
    </row>
    <row r="415" spans="1:7" x14ac:dyDescent="0.25">
      <c r="A415" s="1265" t="s">
        <v>3606</v>
      </c>
      <c r="B415" s="422">
        <v>0.37803019805298216</v>
      </c>
      <c r="C415" s="422">
        <v>0.37298957760160001</v>
      </c>
      <c r="D415" s="422">
        <v>0.36767906498957093</v>
      </c>
      <c r="E415" s="422">
        <v>0.36216069793344846</v>
      </c>
      <c r="F415" s="422">
        <v>0.35640689531615144</v>
      </c>
      <c r="G415" s="422">
        <v>0.35003413049331999</v>
      </c>
    </row>
    <row r="416" spans="1:7" x14ac:dyDescent="0.25">
      <c r="A416" s="422" t="s">
        <v>3607</v>
      </c>
      <c r="B416" s="422">
        <v>0.40204520407926059</v>
      </c>
      <c r="C416" s="422">
        <v>0.3962998940185285</v>
      </c>
      <c r="D416" s="422">
        <v>0.39030211536491116</v>
      </c>
      <c r="E416" s="422">
        <v>0.38402961720325057</v>
      </c>
      <c r="F416" s="422">
        <v>0.3776311353757299</v>
      </c>
      <c r="G416" s="422">
        <v>0.37063269599850462</v>
      </c>
    </row>
    <row r="417" spans="1:7" x14ac:dyDescent="0.25">
      <c r="A417" s="422" t="s">
        <v>3608</v>
      </c>
      <c r="B417" s="422">
        <v>0.42535552049618897</v>
      </c>
      <c r="C417" s="422">
        <v>0.41892294439386862</v>
      </c>
      <c r="D417" s="422">
        <v>0.41217103463471311</v>
      </c>
      <c r="E417" s="422">
        <v>0.4052538572628287</v>
      </c>
      <c r="F417" s="422">
        <v>0.39822970088091458</v>
      </c>
      <c r="G417" s="422">
        <v>0.39062403136223656</v>
      </c>
    </row>
    <row r="418" spans="1:7" x14ac:dyDescent="0.25">
      <c r="A418" s="422" t="s">
        <v>3609</v>
      </c>
      <c r="B418" s="422">
        <v>0.44797857087152915</v>
      </c>
      <c r="C418" s="422">
        <v>0.44079186366367057</v>
      </c>
      <c r="D418" s="422">
        <v>0.43339527469429173</v>
      </c>
      <c r="E418" s="422">
        <v>0.42585242276801349</v>
      </c>
      <c r="F418" s="422">
        <v>0.41822103624464635</v>
      </c>
      <c r="G418" s="422">
        <v>0.41002603727010439</v>
      </c>
    </row>
    <row r="419" spans="1:7" x14ac:dyDescent="0.25">
      <c r="A419" s="422" t="s">
        <v>3610</v>
      </c>
      <c r="B419" s="422">
        <v>0.46984749014133109</v>
      </c>
      <c r="C419" s="422">
        <v>0.46201610372324903</v>
      </c>
      <c r="D419" s="422">
        <v>0.4539938401994762</v>
      </c>
      <c r="E419" s="422">
        <v>0.44584375813174543</v>
      </c>
      <c r="F419" s="422">
        <v>0.43762304215251413</v>
      </c>
      <c r="G419" s="422">
        <v>0.42885608670901615</v>
      </c>
    </row>
    <row r="420" spans="1:7" x14ac:dyDescent="0.25">
      <c r="A420" s="422" t="s">
        <v>3611</v>
      </c>
      <c r="B420" s="422">
        <v>0.4910717302009095</v>
      </c>
      <c r="C420" s="422">
        <v>0.4826146692284336</v>
      </c>
      <c r="D420" s="422">
        <v>0.47398517556320813</v>
      </c>
      <c r="E420" s="422">
        <v>0.46524576403961321</v>
      </c>
      <c r="F420" s="422">
        <v>0.45645309159142616</v>
      </c>
      <c r="G420" s="422">
        <v>0.44713104052335778</v>
      </c>
    </row>
    <row r="421" spans="1:7" x14ac:dyDescent="0.25">
      <c r="A421" s="422" t="s">
        <v>3612</v>
      </c>
      <c r="B421" s="422">
        <v>5.7676455506617999E-2</v>
      </c>
      <c r="C421" s="422">
        <v>5.6762246460420121E-2</v>
      </c>
      <c r="D421" s="422">
        <v>5.5764139318561647E-2</v>
      </c>
      <c r="E421" s="422">
        <v>5.5219726769508912E-2</v>
      </c>
      <c r="F421" s="422">
        <v>5.4516214440691442E-2</v>
      </c>
      <c r="G421" s="422">
        <v>5.435153098861021E-2</v>
      </c>
    </row>
    <row r="422" spans="1:7" x14ac:dyDescent="0.25">
      <c r="A422" s="422" t="s">
        <v>3613</v>
      </c>
      <c r="B422" s="422">
        <v>0.51167029570609424</v>
      </c>
      <c r="C422" s="422">
        <v>0.50260600459216553</v>
      </c>
      <c r="D422" s="422">
        <v>0.4933871814710758</v>
      </c>
      <c r="E422" s="422">
        <v>0.48407581347852524</v>
      </c>
      <c r="F422" s="422">
        <v>0.47472804540576774</v>
      </c>
      <c r="G422" s="422">
        <v>0.46486726251256638</v>
      </c>
    </row>
    <row r="423" spans="1:7" x14ac:dyDescent="0.25">
      <c r="A423" s="422" t="s">
        <v>3614</v>
      </c>
      <c r="B423" s="422">
        <v>0.53166163106982622</v>
      </c>
      <c r="C423" s="422">
        <v>0.5220080105000332</v>
      </c>
      <c r="D423" s="422">
        <v>0.51221723090998783</v>
      </c>
      <c r="E423" s="422">
        <v>0.50235076729286665</v>
      </c>
      <c r="F423" s="422">
        <v>0.4924642673949764</v>
      </c>
      <c r="G423" s="422">
        <v>0.48160744371993669</v>
      </c>
    </row>
    <row r="424" spans="1:7" x14ac:dyDescent="0.25">
      <c r="A424" s="422" t="s">
        <v>3615</v>
      </c>
      <c r="B424" s="422">
        <v>0.551063636977694</v>
      </c>
      <c r="C424" s="422">
        <v>0.54083805993894529</v>
      </c>
      <c r="D424" s="422">
        <v>0.53049218472432957</v>
      </c>
      <c r="E424" s="422">
        <v>0.52008698928207531</v>
      </c>
      <c r="F424" s="422">
        <v>0.5092044486023467</v>
      </c>
      <c r="G424" s="422">
        <v>0.49740752036681746</v>
      </c>
    </row>
    <row r="425" spans="1:7" x14ac:dyDescent="0.25">
      <c r="A425" s="422" t="s">
        <v>3616</v>
      </c>
      <c r="B425" s="422">
        <v>0.56989368641660609</v>
      </c>
      <c r="C425" s="422">
        <v>0.55911301375328681</v>
      </c>
      <c r="D425" s="422">
        <v>0.54822840671353801</v>
      </c>
      <c r="E425" s="422">
        <v>0.53682717048944562</v>
      </c>
      <c r="F425" s="422">
        <v>0.52500452524922736</v>
      </c>
      <c r="G425" s="422">
        <v>0.51232028737661528</v>
      </c>
    </row>
    <row r="426" spans="1:7" x14ac:dyDescent="0.25">
      <c r="A426" s="422" t="s">
        <v>3617</v>
      </c>
      <c r="B426" s="422">
        <v>0.58816864023094728</v>
      </c>
      <c r="C426" s="422">
        <v>0.57684923574249547</v>
      </c>
      <c r="D426" s="422">
        <v>0.56496858792090832</v>
      </c>
      <c r="E426" s="422">
        <v>0.5526272471363266</v>
      </c>
      <c r="F426" s="422">
        <v>0.53991729225902529</v>
      </c>
      <c r="G426" s="422">
        <v>0.52639557478557975</v>
      </c>
    </row>
    <row r="427" spans="1:7" x14ac:dyDescent="0.25">
      <c r="A427" s="422" t="s">
        <v>3618</v>
      </c>
      <c r="B427" s="422">
        <v>0.60590486222015605</v>
      </c>
      <c r="C427" s="422">
        <v>0.59358941694986567</v>
      </c>
      <c r="D427" s="422">
        <v>0.58076866456778919</v>
      </c>
      <c r="E427" s="422">
        <v>0.56754001414612409</v>
      </c>
      <c r="F427" s="422">
        <v>0.55399257966798954</v>
      </c>
      <c r="G427" s="422">
        <v>0.53968041424661273</v>
      </c>
    </row>
    <row r="428" spans="1:7" x14ac:dyDescent="0.25">
      <c r="A428" s="422" t="s">
        <v>3619</v>
      </c>
      <c r="B428" s="422">
        <v>8.5817872938080728E-2</v>
      </c>
      <c r="C428" s="422">
        <v>8.438496834751906E-2</v>
      </c>
      <c r="D428" s="422">
        <v>8.3361144200971585E-2</v>
      </c>
      <c r="E428" s="422">
        <v>8.2138936327790416E-2</v>
      </c>
      <c r="F428" s="422">
        <v>8.1948535871020148E-2</v>
      </c>
      <c r="G428" s="422">
        <v>8.1249545144985225E-2</v>
      </c>
    </row>
    <row r="429" spans="1:7" x14ac:dyDescent="0.25">
      <c r="A429" s="422" t="s">
        <v>3620</v>
      </c>
      <c r="B429" s="422">
        <v>0.11344059482517968</v>
      </c>
      <c r="C429" s="422">
        <v>0.11198197322992906</v>
      </c>
      <c r="D429" s="422">
        <v>0.1102803537592531</v>
      </c>
      <c r="E429" s="422">
        <v>0.1095712577581191</v>
      </c>
      <c r="F429" s="422">
        <v>0.10884655002739518</v>
      </c>
      <c r="G429" s="422">
        <v>0.10772146161470397</v>
      </c>
    </row>
    <row r="430" spans="1:7" x14ac:dyDescent="0.25">
      <c r="A430" s="422" t="s">
        <v>3621</v>
      </c>
      <c r="B430" s="422">
        <v>0.14103759970758961</v>
      </c>
      <c r="C430" s="422">
        <v>0.13890118278821054</v>
      </c>
      <c r="D430" s="422">
        <v>0.13771267518958183</v>
      </c>
      <c r="E430" s="422">
        <v>0.13646927191449409</v>
      </c>
      <c r="F430" s="422">
        <v>0.1353184664971139</v>
      </c>
      <c r="G430" s="422">
        <v>0.13391665390832266</v>
      </c>
    </row>
    <row r="431" spans="1:7" x14ac:dyDescent="0.25">
      <c r="A431" s="422" t="s">
        <v>3622</v>
      </c>
      <c r="B431" s="422">
        <v>0.16795680926587117</v>
      </c>
      <c r="C431" s="422">
        <v>0.16633350421853921</v>
      </c>
      <c r="D431" s="422">
        <v>0.16461068934595682</v>
      </c>
      <c r="E431" s="422">
        <v>0.16294118838421287</v>
      </c>
      <c r="F431" s="422">
        <v>0.16151365879073259</v>
      </c>
      <c r="G431" s="422">
        <v>0.15975417732258898</v>
      </c>
    </row>
    <row r="432" spans="1:7" x14ac:dyDescent="0.25">
      <c r="A432" s="422" t="s">
        <v>3623</v>
      </c>
      <c r="B432" s="422">
        <v>0.19538913069619981</v>
      </c>
      <c r="C432" s="422">
        <v>0.19323151837491434</v>
      </c>
      <c r="D432" s="422">
        <v>0.19108260581567552</v>
      </c>
      <c r="E432" s="422">
        <v>0.18913638067783153</v>
      </c>
      <c r="F432" s="422">
        <v>0.18735118220499888</v>
      </c>
      <c r="G432" s="422">
        <v>0.18559589493037651</v>
      </c>
    </row>
    <row r="433" spans="1:7" x14ac:dyDescent="0.25">
      <c r="A433" s="422" t="s">
        <v>3624</v>
      </c>
      <c r="B433" s="422">
        <v>0.22228714485257492</v>
      </c>
      <c r="C433" s="422">
        <v>0.21970343484463309</v>
      </c>
      <c r="D433" s="422">
        <v>0.21727779810929429</v>
      </c>
      <c r="E433" s="422">
        <v>0.21497390409209788</v>
      </c>
      <c r="F433" s="422">
        <v>0.2131928998127863</v>
      </c>
      <c r="G433" s="422">
        <v>0.21186147566132246</v>
      </c>
    </row>
    <row r="434" spans="1:7" x14ac:dyDescent="0.25">
      <c r="A434" s="422" t="s">
        <v>3625</v>
      </c>
      <c r="B434" s="422">
        <v>0.24875906132229367</v>
      </c>
      <c r="C434" s="422">
        <v>0.24589862713825164</v>
      </c>
      <c r="D434" s="422">
        <v>0.24311532152356055</v>
      </c>
      <c r="E434" s="422">
        <v>0.24081562169988532</v>
      </c>
      <c r="F434" s="422">
        <v>0.23945848054373245</v>
      </c>
      <c r="G434" s="422">
        <v>0.23699259834539271</v>
      </c>
    </row>
    <row r="435" spans="1:7" x14ac:dyDescent="0.25">
      <c r="A435" s="422" t="s">
        <v>3626</v>
      </c>
      <c r="B435" s="422">
        <v>0.30189068087546012</v>
      </c>
      <c r="C435" s="422">
        <v>0.29568259950470982</v>
      </c>
      <c r="D435" s="422">
        <v>0.28938315085351951</v>
      </c>
      <c r="E435" s="422">
        <v>0.28290256974753253</v>
      </c>
      <c r="F435" s="422">
        <v>0.2761093833617817</v>
      </c>
      <c r="G435" s="422">
        <v>0.26910190938642736</v>
      </c>
    </row>
    <row r="436" spans="1:7" x14ac:dyDescent="0.25">
      <c r="A436" s="422" t="s">
        <v>3627</v>
      </c>
      <c r="B436" s="422">
        <v>5.2302450723593706E-2</v>
      </c>
      <c r="C436" s="422">
        <v>5.3516434947454998E-2</v>
      </c>
      <c r="D436" s="422">
        <v>5.4562013278680065E-2</v>
      </c>
      <c r="E436" s="422">
        <v>5.7700578563194146E-2</v>
      </c>
      <c r="F436" s="422">
        <v>6.0894682043841263E-2</v>
      </c>
      <c r="G436" s="422">
        <v>6.2580360976253677E-2</v>
      </c>
    </row>
    <row r="437" spans="1:7" x14ac:dyDescent="0.25">
      <c r="A437" s="422" t="s">
        <v>3628</v>
      </c>
      <c r="B437" s="422">
        <v>0.60155069553984886</v>
      </c>
      <c r="C437" s="422">
        <v>0.61282548167836104</v>
      </c>
      <c r="D437" s="422">
        <v>0.62170504347935851</v>
      </c>
      <c r="E437" s="422">
        <v>0.62854595247265532</v>
      </c>
      <c r="F437" s="422">
        <v>0.6294623146341648</v>
      </c>
      <c r="G437" s="422">
        <v>0.62438122055082956</v>
      </c>
    </row>
    <row r="438" spans="1:7" x14ac:dyDescent="0.25">
      <c r="A438" s="422" t="s">
        <v>3629</v>
      </c>
      <c r="B438" s="422">
        <v>0.66512793240195489</v>
      </c>
      <c r="C438" s="422">
        <v>0.67522147842681346</v>
      </c>
      <c r="D438" s="422">
        <v>0.68310796575133537</v>
      </c>
      <c r="E438" s="422">
        <v>0.68716289319735879</v>
      </c>
      <c r="F438" s="422">
        <v>0.68527590259467086</v>
      </c>
      <c r="G438" s="422">
        <v>0.67786777245521912</v>
      </c>
    </row>
    <row r="439" spans="1:7" x14ac:dyDescent="0.25">
      <c r="A439" s="422" t="s">
        <v>3630</v>
      </c>
      <c r="B439" s="422">
        <v>0.7275239291504072</v>
      </c>
      <c r="C439" s="422">
        <v>0.73662440069879043</v>
      </c>
      <c r="D439" s="422">
        <v>0.74172490647603895</v>
      </c>
      <c r="E439" s="422">
        <v>0.74297648115786497</v>
      </c>
      <c r="F439" s="422">
        <v>0.73876245449906031</v>
      </c>
      <c r="G439" s="422">
        <v>0.72913719067073757</v>
      </c>
    </row>
    <row r="440" spans="1:7" x14ac:dyDescent="0.25">
      <c r="A440" s="422" t="s">
        <v>3631</v>
      </c>
      <c r="B440" s="422">
        <v>0.78892685142238417</v>
      </c>
      <c r="C440" s="422">
        <v>0.7952413414234939</v>
      </c>
      <c r="D440" s="422">
        <v>0.79753849443654512</v>
      </c>
      <c r="E440" s="422">
        <v>0.79646303306225463</v>
      </c>
      <c r="F440" s="422">
        <v>0.79003187271457864</v>
      </c>
      <c r="G440" s="422">
        <v>0.7782406052180092</v>
      </c>
    </row>
    <row r="441" spans="1:7" x14ac:dyDescent="0.25">
      <c r="A441" s="422" t="s">
        <v>3632</v>
      </c>
      <c r="B441" s="422">
        <v>0.84754379214708753</v>
      </c>
      <c r="C441" s="422">
        <v>0.85105492938400007</v>
      </c>
      <c r="D441" s="422">
        <v>0.85102504634093468</v>
      </c>
      <c r="E441" s="422">
        <v>0.84773245127777275</v>
      </c>
      <c r="F441" s="422">
        <v>0.83913528726185049</v>
      </c>
      <c r="G441" s="422">
        <v>0.82542877780438428</v>
      </c>
    </row>
    <row r="442" spans="1:7" x14ac:dyDescent="0.25">
      <c r="A442" s="422" t="s">
        <v>3633</v>
      </c>
      <c r="B442" s="422">
        <v>0.90335738010759381</v>
      </c>
      <c r="C442" s="422">
        <v>0.90454148128838974</v>
      </c>
      <c r="D442" s="422">
        <v>0.90229446455645279</v>
      </c>
      <c r="E442" s="422">
        <v>0.89683586582504438</v>
      </c>
      <c r="F442" s="422">
        <v>0.88632345984822536</v>
      </c>
      <c r="G442" s="422">
        <v>0.87078117780645814</v>
      </c>
    </row>
    <row r="443" spans="1:7" x14ac:dyDescent="0.25">
      <c r="A443" s="422" t="s">
        <v>3634</v>
      </c>
      <c r="B443" s="422">
        <v>0.95684393201198348</v>
      </c>
      <c r="C443" s="422">
        <v>0.95581089950390785</v>
      </c>
      <c r="D443" s="422">
        <v>0.95139787910372442</v>
      </c>
      <c r="E443" s="422">
        <v>0.9440240384114198</v>
      </c>
      <c r="F443" s="422">
        <v>0.93167585985029933</v>
      </c>
      <c r="G443" s="422">
        <v>0.91437379304180677</v>
      </c>
    </row>
    <row r="444" spans="1:7" x14ac:dyDescent="0.25">
      <c r="A444" s="422" t="s">
        <v>3635</v>
      </c>
      <c r="B444" s="422">
        <v>1.0081133502275017</v>
      </c>
      <c r="C444" s="422">
        <v>1.0049143140511796</v>
      </c>
      <c r="D444" s="422">
        <v>0.99858605169009973</v>
      </c>
      <c r="E444" s="422">
        <v>0.98937643841349354</v>
      </c>
      <c r="F444" s="422">
        <v>0.97526847508564818</v>
      </c>
      <c r="G444" s="422">
        <v>0.95627928903422388</v>
      </c>
    </row>
    <row r="445" spans="1:7" x14ac:dyDescent="0.25">
      <c r="A445" s="422" t="s">
        <v>3636</v>
      </c>
      <c r="B445" s="422">
        <v>1.0572167647747732</v>
      </c>
      <c r="C445" s="422">
        <v>1.0521024866375548</v>
      </c>
      <c r="D445" s="422">
        <v>1.0439384516921737</v>
      </c>
      <c r="E445" s="422">
        <v>1.0329690536488423</v>
      </c>
      <c r="F445" s="422">
        <v>1.0171739710780652</v>
      </c>
      <c r="G445" s="422">
        <v>0.99656716075785778</v>
      </c>
    </row>
    <row r="446" spans="1:7" x14ac:dyDescent="0.25">
      <c r="A446" s="422" t="s">
        <v>3637</v>
      </c>
      <c r="B446" s="422">
        <v>1.1044049373611484</v>
      </c>
      <c r="C446" s="422">
        <v>1.0974548866396285</v>
      </c>
      <c r="D446" s="422">
        <v>1.0875310669275224</v>
      </c>
      <c r="E446" s="422">
        <v>1.0748745496412593</v>
      </c>
      <c r="F446" s="422">
        <v>1.0574618428016991</v>
      </c>
      <c r="G446" s="422">
        <v>1.0353038772233758</v>
      </c>
    </row>
    <row r="447" spans="1:7" x14ac:dyDescent="0.25">
      <c r="A447" s="422" t="s">
        <v>3638</v>
      </c>
      <c r="B447" s="422">
        <v>0.1058188856710487</v>
      </c>
      <c r="C447" s="422">
        <v>0.10807844822613502</v>
      </c>
      <c r="D447" s="422">
        <v>0.1122625918418742</v>
      </c>
      <c r="E447" s="422">
        <v>0.1185952606070354</v>
      </c>
      <c r="F447" s="422">
        <v>0.12347504302009493</v>
      </c>
      <c r="G447" s="422">
        <v>0.12723058958792277</v>
      </c>
    </row>
    <row r="448" spans="1:7" x14ac:dyDescent="0.25">
      <c r="A448" s="422" t="s">
        <v>3639</v>
      </c>
      <c r="B448" s="422">
        <v>1.1497573373632222</v>
      </c>
      <c r="C448" s="422">
        <v>1.1410475018749775</v>
      </c>
      <c r="D448" s="422">
        <v>1.1294365629199394</v>
      </c>
      <c r="E448" s="422">
        <v>1.115162421364893</v>
      </c>
      <c r="F448" s="422">
        <v>1.096198559267217</v>
      </c>
      <c r="G448" s="422">
        <v>1.0725530192514849</v>
      </c>
    </row>
    <row r="449" spans="1:7" x14ac:dyDescent="0.25">
      <c r="A449" s="422" t="s">
        <v>3640</v>
      </c>
      <c r="B449" s="422">
        <v>1.1933499525985711</v>
      </c>
      <c r="C449" s="422">
        <v>1.1829529978673945</v>
      </c>
      <c r="D449" s="422">
        <v>1.1697244346435731</v>
      </c>
      <c r="E449" s="422">
        <v>1.1538991378304113</v>
      </c>
      <c r="F449" s="422">
        <v>1.1334477012953259</v>
      </c>
      <c r="G449" s="422">
        <v>1.1077103029023665</v>
      </c>
    </row>
    <row r="450" spans="1:7" x14ac:dyDescent="0.25">
      <c r="A450" s="422" t="s">
        <v>3641</v>
      </c>
      <c r="B450" s="422">
        <v>1.2352554485909883</v>
      </c>
      <c r="C450" s="422">
        <v>1.2232408695910282</v>
      </c>
      <c r="D450" s="422">
        <v>1.2084611511090912</v>
      </c>
      <c r="E450" s="422">
        <v>1.19114827985852</v>
      </c>
      <c r="F450" s="422">
        <v>1.1686049849462075</v>
      </c>
      <c r="G450" s="422">
        <v>1.1408932039414241</v>
      </c>
    </row>
    <row r="451" spans="1:7" x14ac:dyDescent="0.25">
      <c r="A451" s="422" t="s">
        <v>3642</v>
      </c>
      <c r="B451" s="422">
        <v>1.275543320314622</v>
      </c>
      <c r="C451" s="422">
        <v>1.2619775860565463</v>
      </c>
      <c r="D451" s="422">
        <v>1.2457102931372002</v>
      </c>
      <c r="E451" s="422">
        <v>1.2263055635094018</v>
      </c>
      <c r="F451" s="422">
        <v>1.2017878859852655</v>
      </c>
      <c r="G451" s="422">
        <v>1.1722126008636116</v>
      </c>
    </row>
    <row r="452" spans="1:7" x14ac:dyDescent="0.25">
      <c r="A452" s="422" t="s">
        <v>3643</v>
      </c>
      <c r="B452" s="422">
        <v>1.3142800367801399</v>
      </c>
      <c r="C452" s="422">
        <v>1.2992267280846554</v>
      </c>
      <c r="D452" s="422">
        <v>1.2808675767880819</v>
      </c>
      <c r="E452" s="422">
        <v>1.2594884645484596</v>
      </c>
      <c r="F452" s="422">
        <v>1.233107282907453</v>
      </c>
      <c r="G452" s="422">
        <v>1.2017731453866769</v>
      </c>
    </row>
    <row r="453" spans="1:7" x14ac:dyDescent="0.25">
      <c r="A453" s="422" t="s">
        <v>3644</v>
      </c>
      <c r="B453" s="422">
        <v>1.3515291788082491</v>
      </c>
      <c r="C453" s="422">
        <v>1.3343840117355372</v>
      </c>
      <c r="D453" s="422">
        <v>1.3140504778271396</v>
      </c>
      <c r="E453" s="422">
        <v>1.2908078614706471</v>
      </c>
      <c r="F453" s="422">
        <v>1.2626678274305183</v>
      </c>
      <c r="G453" s="422">
        <v>1.2296736121380365</v>
      </c>
    </row>
    <row r="454" spans="1:7" x14ac:dyDescent="0.25">
      <c r="A454" s="422" t="s">
        <v>3645</v>
      </c>
      <c r="B454" s="422">
        <v>1.3866864624591311</v>
      </c>
      <c r="C454" s="422">
        <v>1.3675669127745949</v>
      </c>
      <c r="D454" s="422">
        <v>1.3453698747493275</v>
      </c>
      <c r="E454" s="422">
        <v>1.3203684059937124</v>
      </c>
      <c r="F454" s="422">
        <v>1.2905682941818775</v>
      </c>
      <c r="G454" s="422">
        <v>1.256007228703736</v>
      </c>
    </row>
    <row r="455" spans="1:7" x14ac:dyDescent="0.25">
      <c r="A455" s="422" t="s">
        <v>3646</v>
      </c>
      <c r="B455" s="422">
        <v>1.4198693634981883</v>
      </c>
      <c r="C455" s="422">
        <v>1.3988863096967821</v>
      </c>
      <c r="D455" s="422">
        <v>1.3749304192723923</v>
      </c>
      <c r="E455" s="422">
        <v>1.3482688727450713</v>
      </c>
      <c r="F455" s="422">
        <v>1.3169019107475775</v>
      </c>
      <c r="G455" s="422">
        <v>1.2808619871423395</v>
      </c>
    </row>
    <row r="456" spans="1:7" x14ac:dyDescent="0.25">
      <c r="A456" s="422" t="s">
        <v>3647</v>
      </c>
      <c r="B456" s="422">
        <v>1.4511887604203759</v>
      </c>
      <c r="C456" s="422">
        <v>1.4284468542198472</v>
      </c>
      <c r="D456" s="422">
        <v>1.4028308860237515</v>
      </c>
      <c r="E456" s="422">
        <v>1.3746024893107718</v>
      </c>
      <c r="F456" s="422">
        <v>1.3417566691861809</v>
      </c>
      <c r="G456" s="422">
        <v>1.3043209380046363</v>
      </c>
    </row>
    <row r="457" spans="1:7" x14ac:dyDescent="0.25">
      <c r="A457" s="422" t="s">
        <v>3648</v>
      </c>
      <c r="B457" s="422">
        <v>1.480749304943441</v>
      </c>
      <c r="C457" s="422">
        <v>1.4563473209712066</v>
      </c>
      <c r="D457" s="422">
        <v>1.4291645025894519</v>
      </c>
      <c r="E457" s="422">
        <v>1.399457247749375</v>
      </c>
      <c r="F457" s="422">
        <v>1.3652156200484775</v>
      </c>
      <c r="G457" s="422">
        <v>1.3264624678416315</v>
      </c>
    </row>
    <row r="458" spans="1:7" x14ac:dyDescent="0.25">
      <c r="A458" s="422" t="s">
        <v>3649</v>
      </c>
      <c r="B458" s="422">
        <v>0.16038089894972868</v>
      </c>
      <c r="C458" s="422">
        <v>0.1657790267893291</v>
      </c>
      <c r="D458" s="422">
        <v>0.17315727388571547</v>
      </c>
      <c r="E458" s="422">
        <v>0.18117562158328909</v>
      </c>
      <c r="F458" s="422">
        <v>0.18812527163176401</v>
      </c>
      <c r="G458" s="422">
        <v>0.19253877659377019</v>
      </c>
    </row>
    <row r="459" spans="1:7" x14ac:dyDescent="0.25">
      <c r="A459" s="422" t="s">
        <v>3650</v>
      </c>
      <c r="B459" s="422">
        <v>1.5086497716948006</v>
      </c>
      <c r="C459" s="422">
        <v>1.482680937536907</v>
      </c>
      <c r="D459" s="422">
        <v>1.4540192610280549</v>
      </c>
      <c r="E459" s="422">
        <v>1.4229161986116714</v>
      </c>
      <c r="F459" s="422">
        <v>1.3873571498854729</v>
      </c>
      <c r="G459" s="422">
        <v>1.3473605611280832</v>
      </c>
    </row>
    <row r="460" spans="1:7" x14ac:dyDescent="0.25">
      <c r="A460" s="422" t="s">
        <v>3651</v>
      </c>
      <c r="B460" s="422">
        <v>0.21808147751292284</v>
      </c>
      <c r="C460" s="422">
        <v>0.22667370883317028</v>
      </c>
      <c r="D460" s="422">
        <v>0.23573763486196914</v>
      </c>
      <c r="E460" s="422">
        <v>0.24582585019495815</v>
      </c>
      <c r="F460" s="422">
        <v>0.25343345863761141</v>
      </c>
      <c r="G460" s="422">
        <v>0.25782753372878886</v>
      </c>
    </row>
    <row r="461" spans="1:7" x14ac:dyDescent="0.25">
      <c r="A461" s="422" t="s">
        <v>3652</v>
      </c>
      <c r="B461" s="422">
        <v>0.27897615955676403</v>
      </c>
      <c r="C461" s="422">
        <v>0.28925406980942386</v>
      </c>
      <c r="D461" s="422">
        <v>0.30038786347363822</v>
      </c>
      <c r="E461" s="422">
        <v>0.31113403720080557</v>
      </c>
      <c r="F461" s="422">
        <v>0.31872221577263016</v>
      </c>
      <c r="G461" s="422">
        <v>0.32257453598308466</v>
      </c>
    </row>
    <row r="462" spans="1:7" x14ac:dyDescent="0.25">
      <c r="A462" s="422" t="s">
        <v>3653</v>
      </c>
      <c r="B462" s="422">
        <v>0.34155652053301766</v>
      </c>
      <c r="C462" s="422">
        <v>0.35390429842109306</v>
      </c>
      <c r="D462" s="422">
        <v>0.36569605047948561</v>
      </c>
      <c r="E462" s="422">
        <v>0.37642279433582426</v>
      </c>
      <c r="F462" s="422">
        <v>0.38346921802692591</v>
      </c>
      <c r="G462" s="422">
        <v>0.38615177284519064</v>
      </c>
    </row>
    <row r="463" spans="1:7" x14ac:dyDescent="0.25">
      <c r="A463" s="422" t="s">
        <v>3654</v>
      </c>
      <c r="B463" s="422">
        <v>0.40620674914468674</v>
      </c>
      <c r="C463" s="422">
        <v>0.41921248542694051</v>
      </c>
      <c r="D463" s="422">
        <v>0.43098480761450442</v>
      </c>
      <c r="E463" s="422">
        <v>0.44116979659012001</v>
      </c>
      <c r="F463" s="422">
        <v>0.44704645488903194</v>
      </c>
      <c r="G463" s="422">
        <v>0.44854776959364301</v>
      </c>
    </row>
    <row r="464" spans="1:7" x14ac:dyDescent="0.25">
      <c r="A464" s="422" t="s">
        <v>3655</v>
      </c>
      <c r="B464" s="422">
        <v>0.47151493615053425</v>
      </c>
      <c r="C464" s="422">
        <v>0.48450124256195926</v>
      </c>
      <c r="D464" s="422">
        <v>0.49573180986880017</v>
      </c>
      <c r="E464" s="422">
        <v>0.50474703345222605</v>
      </c>
      <c r="F464" s="422">
        <v>0.50944245163748425</v>
      </c>
      <c r="G464" s="422">
        <v>0.50995069186561981</v>
      </c>
    </row>
    <row r="465" spans="1:7" x14ac:dyDescent="0.25">
      <c r="A465" s="422" t="s">
        <v>3656</v>
      </c>
      <c r="B465" s="422">
        <v>0.536803693285553</v>
      </c>
      <c r="C465" s="422">
        <v>0.54924824481625512</v>
      </c>
      <c r="D465" s="422">
        <v>0.5593090467309062</v>
      </c>
      <c r="E465" s="422">
        <v>0.56714303020067847</v>
      </c>
      <c r="F465" s="422">
        <v>0.57084537390946111</v>
      </c>
      <c r="G465" s="422">
        <v>0.5685676325903235</v>
      </c>
    </row>
    <row r="466" spans="1:7" x14ac:dyDescent="0.25">
      <c r="A466" s="422" t="s">
        <v>3657</v>
      </c>
      <c r="B466" s="422">
        <v>5.4354218725356576E-2</v>
      </c>
      <c r="C466" s="422">
        <v>5.5654468775423134E-2</v>
      </c>
      <c r="D466" s="422">
        <v>5.6778001557869384E-2</v>
      </c>
      <c r="E466" s="422">
        <v>6.0118502402044444E-2</v>
      </c>
      <c r="F466" s="422">
        <v>6.3500620567258331E-2</v>
      </c>
      <c r="G466" s="422">
        <v>6.5308663997247496E-2</v>
      </c>
    </row>
    <row r="467" spans="1:7" x14ac:dyDescent="0.25">
      <c r="A467" s="422" t="s">
        <v>3658</v>
      </c>
      <c r="B467" s="422">
        <v>0.62721218525158584</v>
      </c>
      <c r="C467" s="422">
        <v>0.63925958985862807</v>
      </c>
      <c r="D467" s="422">
        <v>0.64875615811663234</v>
      </c>
      <c r="E467" s="422">
        <v>0.65606317567893235</v>
      </c>
      <c r="F467" s="422">
        <v>0.65712002330777652</v>
      </c>
      <c r="G467" s="422">
        <v>0.65186605583539525</v>
      </c>
    </row>
    <row r="468" spans="1:7" x14ac:dyDescent="0.25">
      <c r="A468" s="422" t="s">
        <v>3659</v>
      </c>
      <c r="B468" s="422">
        <v>0.69361380858398469</v>
      </c>
      <c r="C468" s="422">
        <v>0.70441062689205547</v>
      </c>
      <c r="D468" s="422">
        <v>0.71284117723680196</v>
      </c>
      <c r="E468" s="422">
        <v>0.71723852570982105</v>
      </c>
      <c r="F468" s="422">
        <v>0.7153666764026535</v>
      </c>
      <c r="G468" s="422">
        <v>0.70767389920934209</v>
      </c>
    </row>
    <row r="469" spans="1:7" x14ac:dyDescent="0.25">
      <c r="A469" s="422" t="s">
        <v>3660</v>
      </c>
      <c r="B469" s="422">
        <v>0.75876484561741186</v>
      </c>
      <c r="C469" s="422">
        <v>0.76849564601222509</v>
      </c>
      <c r="D469" s="422">
        <v>0.77401652726769044</v>
      </c>
      <c r="E469" s="422">
        <v>0.77548517880469769</v>
      </c>
      <c r="F469" s="422">
        <v>0.77117451977660034</v>
      </c>
      <c r="G469" s="422">
        <v>0.76115866658709597</v>
      </c>
    </row>
    <row r="470" spans="1:7" x14ac:dyDescent="0.25">
      <c r="A470" s="422" t="s">
        <v>3661</v>
      </c>
      <c r="B470" s="422">
        <v>0.82284986473758159</v>
      </c>
      <c r="C470" s="422">
        <v>0.82967099604311367</v>
      </c>
      <c r="D470" s="422">
        <v>0.83226318036256719</v>
      </c>
      <c r="E470" s="422">
        <v>0.83129302217864487</v>
      </c>
      <c r="F470" s="422">
        <v>0.82465928715435433</v>
      </c>
      <c r="G470" s="422">
        <v>0.8123768127696912</v>
      </c>
    </row>
    <row r="471" spans="1:7" x14ac:dyDescent="0.25">
      <c r="A471" s="422" t="s">
        <v>3662</v>
      </c>
      <c r="B471" s="422">
        <v>0.88402521476847018</v>
      </c>
      <c r="C471" s="422">
        <v>0.88791764913799043</v>
      </c>
      <c r="D471" s="422">
        <v>0.88807102373651414</v>
      </c>
      <c r="E471" s="422">
        <v>0.88477778955639885</v>
      </c>
      <c r="F471" s="422">
        <v>0.87587743333694978</v>
      </c>
      <c r="G471" s="422">
        <v>0.86158997662867232</v>
      </c>
    </row>
    <row r="472" spans="1:7" x14ac:dyDescent="0.25">
      <c r="A472" s="422" t="s">
        <v>3663</v>
      </c>
      <c r="B472" s="422">
        <v>0.94227186786334705</v>
      </c>
      <c r="C472" s="422">
        <v>0.94372549251193749</v>
      </c>
      <c r="D472" s="422">
        <v>0.94155579111426835</v>
      </c>
      <c r="E472" s="422">
        <v>0.93599593573899431</v>
      </c>
      <c r="F472" s="422">
        <v>0.92509059719593068</v>
      </c>
      <c r="G472" s="422">
        <v>0.90888162097355174</v>
      </c>
    </row>
    <row r="473" spans="1:7" x14ac:dyDescent="0.25">
      <c r="A473" s="422" t="s">
        <v>3664</v>
      </c>
      <c r="B473" s="422">
        <v>0.99807971123729389</v>
      </c>
      <c r="C473" s="422">
        <v>0.99721025988969125</v>
      </c>
      <c r="D473" s="422">
        <v>0.99277393729686347</v>
      </c>
      <c r="E473" s="422">
        <v>0.9852090995979752</v>
      </c>
      <c r="F473" s="422">
        <v>0.97238224154080999</v>
      </c>
      <c r="G473" s="422">
        <v>0.95433154261399855</v>
      </c>
    </row>
    <row r="474" spans="1:7" x14ac:dyDescent="0.25">
      <c r="A474" s="422" t="s">
        <v>3665</v>
      </c>
      <c r="B474" s="422">
        <v>1.051564478615048</v>
      </c>
      <c r="C474" s="422">
        <v>1.0484284060722866</v>
      </c>
      <c r="D474" s="422">
        <v>1.0419871011558446</v>
      </c>
      <c r="E474" s="422">
        <v>1.0325007439428546</v>
      </c>
      <c r="F474" s="422">
        <v>1.0178321631812568</v>
      </c>
      <c r="G474" s="422">
        <v>0.99801604037986824</v>
      </c>
    </row>
    <row r="475" spans="1:7" x14ac:dyDescent="0.25">
      <c r="A475" s="422" t="s">
        <v>3666</v>
      </c>
      <c r="B475" s="422">
        <v>1.1027826247976433</v>
      </c>
      <c r="C475" s="422">
        <v>1.0976415699312678</v>
      </c>
      <c r="D475" s="422">
        <v>1.089278745500724</v>
      </c>
      <c r="E475" s="422">
        <v>1.0779506655833015</v>
      </c>
      <c r="F475" s="422">
        <v>1.0615166609471267</v>
      </c>
      <c r="G475" s="422">
        <v>1.0400080751964915</v>
      </c>
    </row>
    <row r="476" spans="1:7" x14ac:dyDescent="0.25">
      <c r="A476" s="422" t="s">
        <v>3667</v>
      </c>
      <c r="B476" s="422">
        <v>1.1519957886566243</v>
      </c>
      <c r="C476" s="422">
        <v>1.144933214276147</v>
      </c>
      <c r="D476" s="422">
        <v>1.1347286671411707</v>
      </c>
      <c r="E476" s="422">
        <v>1.121635163349171</v>
      </c>
      <c r="F476" s="422">
        <v>1.1035086957637499</v>
      </c>
      <c r="G476" s="422">
        <v>1.0803774225991196</v>
      </c>
    </row>
    <row r="477" spans="1:7" x14ac:dyDescent="0.25">
      <c r="A477" s="422" t="s">
        <v>3668</v>
      </c>
      <c r="B477" s="422">
        <v>0.11000868750077969</v>
      </c>
      <c r="C477" s="422">
        <v>0.11243247033329253</v>
      </c>
      <c r="D477" s="422">
        <v>0.11689650395991383</v>
      </c>
      <c r="E477" s="422">
        <v>0.12361912296930279</v>
      </c>
      <c r="F477" s="422">
        <v>0.12880928456450585</v>
      </c>
      <c r="G477" s="422">
        <v>0.13279057791867291</v>
      </c>
    </row>
    <row r="478" spans="1:7" x14ac:dyDescent="0.25">
      <c r="A478" s="422" t="s">
        <v>3669</v>
      </c>
      <c r="B478" s="422">
        <v>1.1992874330015035</v>
      </c>
      <c r="C478" s="422">
        <v>1.1903831359165937</v>
      </c>
      <c r="D478" s="422">
        <v>1.1784131649070404</v>
      </c>
      <c r="E478" s="422">
        <v>1.1636271981657942</v>
      </c>
      <c r="F478" s="422">
        <v>1.143878043166378</v>
      </c>
      <c r="G478" s="422">
        <v>1.1191908180515968</v>
      </c>
    </row>
    <row r="479" spans="1:7" x14ac:dyDescent="0.25">
      <c r="A479" s="422" t="s">
        <v>3670</v>
      </c>
      <c r="B479" s="422">
        <v>1.2447373546419505</v>
      </c>
      <c r="C479" s="422">
        <v>1.2340676336824634</v>
      </c>
      <c r="D479" s="422">
        <v>1.220405199723664</v>
      </c>
      <c r="E479" s="422">
        <v>1.2039965455684223</v>
      </c>
      <c r="F479" s="422">
        <v>1.1826914386188552</v>
      </c>
      <c r="G479" s="422">
        <v>1.1558245088986727</v>
      </c>
    </row>
    <row r="480" spans="1:7" x14ac:dyDescent="0.25">
      <c r="A480" s="422" t="s">
        <v>3671</v>
      </c>
      <c r="B480" s="422">
        <v>1.2884218524078201</v>
      </c>
      <c r="C480" s="422">
        <v>1.2760596684990868</v>
      </c>
      <c r="D480" s="422">
        <v>1.2607745471262919</v>
      </c>
      <c r="E480" s="422">
        <v>1.2428099410208997</v>
      </c>
      <c r="F480" s="422">
        <v>1.2193251294659313</v>
      </c>
      <c r="G480" s="422">
        <v>1.1904009042238981</v>
      </c>
    </row>
    <row r="481" spans="1:7" x14ac:dyDescent="0.25">
      <c r="A481" s="422" t="s">
        <v>3672</v>
      </c>
      <c r="B481" s="422">
        <v>1.3304138872244435</v>
      </c>
      <c r="C481" s="422">
        <v>1.3164290159017149</v>
      </c>
      <c r="D481" s="422">
        <v>1.2995879425787691</v>
      </c>
      <c r="E481" s="422">
        <v>1.2794436318679758</v>
      </c>
      <c r="F481" s="422">
        <v>1.2539015247911565</v>
      </c>
      <c r="G481" s="422">
        <v>1.2230355387923033</v>
      </c>
    </row>
    <row r="482" spans="1:7" x14ac:dyDescent="0.25">
      <c r="A482" s="422" t="s">
        <v>3673</v>
      </c>
      <c r="B482" s="422">
        <v>1.3707832346270716</v>
      </c>
      <c r="C482" s="422">
        <v>1.3552424113541923</v>
      </c>
      <c r="D482" s="422">
        <v>1.3362216334258448</v>
      </c>
      <c r="E482" s="422">
        <v>1.3140200271932008</v>
      </c>
      <c r="F482" s="422">
        <v>1.2865361593595614</v>
      </c>
      <c r="G482" s="422">
        <v>1.2538374591022652</v>
      </c>
    </row>
    <row r="483" spans="1:7" x14ac:dyDescent="0.25">
      <c r="A483" s="422" t="s">
        <v>3674</v>
      </c>
      <c r="B483" s="422">
        <v>1.4095966300795486</v>
      </c>
      <c r="C483" s="422">
        <v>1.391876102201268</v>
      </c>
      <c r="D483" s="422">
        <v>1.3707980287510704</v>
      </c>
      <c r="E483" s="422">
        <v>1.346654661761606</v>
      </c>
      <c r="F483" s="422">
        <v>1.3173380796695238</v>
      </c>
      <c r="G483" s="422">
        <v>1.2829095877572558</v>
      </c>
    </row>
    <row r="484" spans="1:7" x14ac:dyDescent="0.25">
      <c r="A484" s="422" t="s">
        <v>3675</v>
      </c>
      <c r="B484" s="422">
        <v>0.16678668905864907</v>
      </c>
      <c r="C484" s="422">
        <v>0.17255097273533698</v>
      </c>
      <c r="D484" s="422">
        <v>0.18039712452717216</v>
      </c>
      <c r="E484" s="422">
        <v>0.18892778696655027</v>
      </c>
      <c r="F484" s="422">
        <v>0.19629119848593124</v>
      </c>
      <c r="G484" s="422">
        <v>0.20098760938011298</v>
      </c>
    </row>
    <row r="485" spans="1:7" x14ac:dyDescent="0.25">
      <c r="A485" s="422" t="s">
        <v>3676</v>
      </c>
      <c r="B485" s="422">
        <v>0.22690519146069354</v>
      </c>
      <c r="C485" s="422">
        <v>0.23605159330259531</v>
      </c>
      <c r="D485" s="422">
        <v>0.24570578852441965</v>
      </c>
      <c r="E485" s="422">
        <v>0.25640970088797571</v>
      </c>
      <c r="F485" s="422">
        <v>0.26448822994737131</v>
      </c>
      <c r="G485" s="422">
        <v>0.2691789171608106</v>
      </c>
    </row>
    <row r="486" spans="1:7" x14ac:dyDescent="0.25">
      <c r="A486" s="422" t="s">
        <v>3677</v>
      </c>
      <c r="B486" s="422">
        <v>0.2904058120279519</v>
      </c>
      <c r="C486" s="422">
        <v>0.30136025729984284</v>
      </c>
      <c r="D486" s="422">
        <v>0.31318770244584504</v>
      </c>
      <c r="E486" s="422">
        <v>0.32460673234941584</v>
      </c>
      <c r="F486" s="422">
        <v>0.33267953772806891</v>
      </c>
      <c r="G486" s="422">
        <v>0.33680637322363394</v>
      </c>
    </row>
    <row r="487" spans="1:7" x14ac:dyDescent="0.25">
      <c r="A487" s="422" t="s">
        <v>3678</v>
      </c>
      <c r="B487" s="422">
        <v>0.35571447602519934</v>
      </c>
      <c r="C487" s="422">
        <v>0.36884217122126828</v>
      </c>
      <c r="D487" s="422">
        <v>0.38138473390728506</v>
      </c>
      <c r="E487" s="422">
        <v>0.39279804013011338</v>
      </c>
      <c r="F487" s="422">
        <v>0.40030699379089241</v>
      </c>
      <c r="G487" s="422">
        <v>0.40320799655603273</v>
      </c>
    </row>
    <row r="488" spans="1:7" x14ac:dyDescent="0.25">
      <c r="A488" s="422" t="s">
        <v>3679</v>
      </c>
      <c r="B488" s="422">
        <v>0.42319638994662484</v>
      </c>
      <c r="C488" s="422">
        <v>0.43703920268270829</v>
      </c>
      <c r="D488" s="422">
        <v>0.44957604168798271</v>
      </c>
      <c r="E488" s="422">
        <v>0.46042549619293677</v>
      </c>
      <c r="F488" s="422">
        <v>0.46670861712329109</v>
      </c>
      <c r="G488" s="422">
        <v>0.46835903358946002</v>
      </c>
    </row>
    <row r="489" spans="1:7" x14ac:dyDescent="0.25">
      <c r="A489" s="422" t="s">
        <v>3680</v>
      </c>
      <c r="B489" s="422">
        <v>0.49139342140806486</v>
      </c>
      <c r="C489" s="422">
        <v>0.50523051046340595</v>
      </c>
      <c r="D489" s="422">
        <v>0.5172034977508061</v>
      </c>
      <c r="E489" s="422">
        <v>0.52682711952533567</v>
      </c>
      <c r="F489" s="422">
        <v>0.53185965415671843</v>
      </c>
      <c r="G489" s="422">
        <v>0.53244405270962969</v>
      </c>
    </row>
    <row r="490" spans="1:7" x14ac:dyDescent="0.25">
      <c r="A490" s="422" t="s">
        <v>3681</v>
      </c>
      <c r="B490" s="422">
        <v>0.55958472918876256</v>
      </c>
      <c r="C490" s="422">
        <v>0.57285796652622933</v>
      </c>
      <c r="D490" s="422">
        <v>0.58360512108320495</v>
      </c>
      <c r="E490" s="422">
        <v>0.59197815655876285</v>
      </c>
      <c r="F490" s="422">
        <v>0.59594467327688805</v>
      </c>
      <c r="G490" s="422">
        <v>0.59361940274051828</v>
      </c>
    </row>
    <row r="491" spans="1:7" x14ac:dyDescent="0.25">
      <c r="A491" s="422" t="s">
        <v>3682</v>
      </c>
      <c r="B491" s="422">
        <v>0.74706814877244387</v>
      </c>
      <c r="C491" s="422">
        <v>0.72879939870999932</v>
      </c>
      <c r="D491" s="422">
        <v>0.7078940115934389</v>
      </c>
      <c r="E491" s="422">
        <v>0.685152625453188</v>
      </c>
      <c r="F491" s="422">
        <v>0.66120966715623419</v>
      </c>
      <c r="G491" s="422">
        <v>0.63680007864045907</v>
      </c>
    </row>
    <row r="492" spans="1:7" x14ac:dyDescent="0.25">
      <c r="A492" s="422" t="s">
        <v>3683</v>
      </c>
      <c r="B492" s="422">
        <v>3.7401184561200604E-2</v>
      </c>
      <c r="C492" s="422">
        <v>3.7565013643518552E-2</v>
      </c>
      <c r="D492" s="422">
        <v>3.7639491222037802E-2</v>
      </c>
      <c r="E492" s="422">
        <v>3.8447444955417055E-2</v>
      </c>
      <c r="F492" s="422">
        <v>3.9588538384301125E-2</v>
      </c>
      <c r="G492" s="422">
        <v>3.9769001265501015E-2</v>
      </c>
    </row>
    <row r="493" spans="1:7" x14ac:dyDescent="0.25">
      <c r="A493" s="422" t="s">
        <v>3684</v>
      </c>
      <c r="B493" s="422">
        <v>0.39256033270699014</v>
      </c>
      <c r="C493" s="422">
        <v>0.39460256724931114</v>
      </c>
      <c r="D493" s="422">
        <v>0.39605559903905296</v>
      </c>
      <c r="E493" s="422">
        <v>0.39734343080192563</v>
      </c>
      <c r="F493" s="422">
        <v>0.39609345484980274</v>
      </c>
      <c r="G493" s="422">
        <v>0.39197788260661648</v>
      </c>
    </row>
    <row r="494" spans="1:7" x14ac:dyDescent="0.25">
      <c r="A494" s="422" t="s">
        <v>3685</v>
      </c>
      <c r="B494" s="422">
        <v>0.43200375181051187</v>
      </c>
      <c r="C494" s="422">
        <v>0.43362061268257174</v>
      </c>
      <c r="D494" s="422">
        <v>0.43498292202396349</v>
      </c>
      <c r="E494" s="422">
        <v>0.43454089980521965</v>
      </c>
      <c r="F494" s="422">
        <v>0.43156642099091774</v>
      </c>
      <c r="G494" s="422">
        <v>0.42616017901157899</v>
      </c>
    </row>
    <row r="495" spans="1:7" x14ac:dyDescent="0.25">
      <c r="A495" s="422" t="s">
        <v>3686</v>
      </c>
      <c r="B495" s="422">
        <v>0.47102179724377224</v>
      </c>
      <c r="C495" s="422">
        <v>0.47254793566748216</v>
      </c>
      <c r="D495" s="422">
        <v>0.47218039102725751</v>
      </c>
      <c r="E495" s="422">
        <v>0.47001386594633465</v>
      </c>
      <c r="F495" s="422">
        <v>0.46574871739588014</v>
      </c>
      <c r="G495" s="422">
        <v>0.45910269316776953</v>
      </c>
    </row>
    <row r="496" spans="1:7" x14ac:dyDescent="0.25">
      <c r="A496" s="422" t="s">
        <v>3687</v>
      </c>
      <c r="B496" s="422">
        <v>0.50994912022868277</v>
      </c>
      <c r="C496" s="422">
        <v>0.50974540467077611</v>
      </c>
      <c r="D496" s="422">
        <v>0.50765335716837245</v>
      </c>
      <c r="E496" s="422">
        <v>0.50419616235129705</v>
      </c>
      <c r="F496" s="422">
        <v>0.49869123155207062</v>
      </c>
      <c r="G496" s="422">
        <v>0.49078149695647688</v>
      </c>
    </row>
    <row r="497" spans="1:7" x14ac:dyDescent="0.25">
      <c r="A497" s="422" t="s">
        <v>3688</v>
      </c>
      <c r="B497" s="422">
        <v>0.54714658923197657</v>
      </c>
      <c r="C497" s="422">
        <v>0.54521837081189128</v>
      </c>
      <c r="D497" s="422">
        <v>0.54183565357333496</v>
      </c>
      <c r="E497" s="422">
        <v>0.5371386765074877</v>
      </c>
      <c r="F497" s="422">
        <v>0.53037003534077787</v>
      </c>
      <c r="G497" s="422">
        <v>0.52135695298298779</v>
      </c>
    </row>
    <row r="498" spans="1:7" x14ac:dyDescent="0.25">
      <c r="A498" s="422" t="s">
        <v>3689</v>
      </c>
      <c r="B498" s="422">
        <v>0.58261955537309196</v>
      </c>
      <c r="C498" s="422">
        <v>0.57940066721685368</v>
      </c>
      <c r="D498" s="422">
        <v>0.57477816772952561</v>
      </c>
      <c r="E498" s="422">
        <v>0.56881748029619494</v>
      </c>
      <c r="F498" s="422">
        <v>0.56094549136728877</v>
      </c>
      <c r="G498" s="422">
        <v>0.55086992487503483</v>
      </c>
    </row>
    <row r="499" spans="1:7" x14ac:dyDescent="0.25">
      <c r="A499" s="422" t="s">
        <v>3690</v>
      </c>
      <c r="B499" s="422">
        <v>0.61680185177805436</v>
      </c>
      <c r="C499" s="422">
        <v>0.61234318137304433</v>
      </c>
      <c r="D499" s="422">
        <v>0.60645697151823286</v>
      </c>
      <c r="E499" s="422">
        <v>0.59939293632270596</v>
      </c>
      <c r="F499" s="422">
        <v>0.59045846325933593</v>
      </c>
      <c r="G499" s="422">
        <v>0.57935965895101105</v>
      </c>
    </row>
    <row r="500" spans="1:7" x14ac:dyDescent="0.25">
      <c r="A500" s="422" t="s">
        <v>3691</v>
      </c>
      <c r="B500" s="422">
        <v>0.64974436593424489</v>
      </c>
      <c r="C500" s="422">
        <v>0.64402198516175146</v>
      </c>
      <c r="D500" s="422">
        <v>0.63703242754474354</v>
      </c>
      <c r="E500" s="422">
        <v>0.62890590821475323</v>
      </c>
      <c r="F500" s="422">
        <v>0.61894819733531237</v>
      </c>
      <c r="G500" s="422">
        <v>0.60686385241814378</v>
      </c>
    </row>
    <row r="501" spans="1:7" x14ac:dyDescent="0.25">
      <c r="A501" s="422" t="s">
        <v>3692</v>
      </c>
      <c r="B501" s="422">
        <v>0.68142316972295203</v>
      </c>
      <c r="C501" s="422">
        <v>0.67459744118826248</v>
      </c>
      <c r="D501" s="422">
        <v>0.66654539943679081</v>
      </c>
      <c r="E501" s="422">
        <v>0.65739564229072922</v>
      </c>
      <c r="F501" s="422">
        <v>0.6464523908024451</v>
      </c>
      <c r="G501" s="422">
        <v>0.63341871853617371</v>
      </c>
    </row>
    <row r="502" spans="1:7" x14ac:dyDescent="0.25">
      <c r="A502" s="422" t="s">
        <v>3693</v>
      </c>
      <c r="B502" s="422">
        <v>0.71199862574946293</v>
      </c>
      <c r="C502" s="422">
        <v>0.70411041308030953</v>
      </c>
      <c r="D502" s="422">
        <v>0.69503513351276702</v>
      </c>
      <c r="E502" s="422">
        <v>0.68489983575786195</v>
      </c>
      <c r="F502" s="422">
        <v>0.67300725692047481</v>
      </c>
      <c r="G502" s="422">
        <v>0.65905904888723477</v>
      </c>
    </row>
    <row r="503" spans="1:7" x14ac:dyDescent="0.25">
      <c r="A503" s="422" t="s">
        <v>3694</v>
      </c>
      <c r="B503" s="422">
        <v>7.496619820471917E-2</v>
      </c>
      <c r="C503" s="422">
        <v>7.5204504865556299E-2</v>
      </c>
      <c r="D503" s="422">
        <v>7.6086936177454836E-2</v>
      </c>
      <c r="E503" s="422">
        <v>7.8035983339718173E-2</v>
      </c>
      <c r="F503" s="422">
        <v>7.9357539649802133E-2</v>
      </c>
      <c r="G503" s="422">
        <v>8.0613842636113278E-2</v>
      </c>
    </row>
    <row r="504" spans="1:7" x14ac:dyDescent="0.25">
      <c r="A504" s="422" t="s">
        <v>3695</v>
      </c>
      <c r="B504" s="422">
        <v>0.74151159764151009</v>
      </c>
      <c r="C504" s="422">
        <v>0.73260014715628574</v>
      </c>
      <c r="D504" s="422">
        <v>0.72253932697989987</v>
      </c>
      <c r="E504" s="422">
        <v>0.71145470187589188</v>
      </c>
      <c r="F504" s="422">
        <v>0.69864758727153575</v>
      </c>
      <c r="G504" s="422">
        <v>0.68381827288591346</v>
      </c>
    </row>
    <row r="505" spans="1:7" x14ac:dyDescent="0.25">
      <c r="A505" s="422" t="s">
        <v>3696</v>
      </c>
      <c r="B505" s="422">
        <v>0.77000133171748653</v>
      </c>
      <c r="C505" s="422">
        <v>0.76010434062341881</v>
      </c>
      <c r="D505" s="422">
        <v>0.74909419309792957</v>
      </c>
      <c r="E505" s="422">
        <v>0.73709503222695272</v>
      </c>
      <c r="F505" s="422">
        <v>0.72340681127021456</v>
      </c>
      <c r="G505" s="422">
        <v>0.70718705438537466</v>
      </c>
    </row>
    <row r="506" spans="1:7" x14ac:dyDescent="0.25">
      <c r="A506" s="422" t="s">
        <v>3697</v>
      </c>
      <c r="B506" s="422">
        <v>0.79750552518461915</v>
      </c>
      <c r="C506" s="422">
        <v>0.78665920674144829</v>
      </c>
      <c r="D506" s="422">
        <v>0.77473452344899074</v>
      </c>
      <c r="E506" s="422">
        <v>0.76185425622563185</v>
      </c>
      <c r="F506" s="422">
        <v>0.74677559276967576</v>
      </c>
      <c r="G506" s="422">
        <v>0.72924347864159078</v>
      </c>
    </row>
    <row r="507" spans="1:7" x14ac:dyDescent="0.25">
      <c r="A507" s="422" t="s">
        <v>3698</v>
      </c>
      <c r="B507" s="422">
        <v>0.82406039130264908</v>
      </c>
      <c r="C507" s="422">
        <v>0.81229953709250946</v>
      </c>
      <c r="D507" s="422">
        <v>0.79949374744766954</v>
      </c>
      <c r="E507" s="422">
        <v>0.78522303772509283</v>
      </c>
      <c r="F507" s="422">
        <v>0.76883201702589199</v>
      </c>
      <c r="G507" s="422">
        <v>0.75006124575458377</v>
      </c>
    </row>
    <row r="508" spans="1:7" x14ac:dyDescent="0.25">
      <c r="A508" s="422" t="s">
        <v>3699</v>
      </c>
      <c r="B508" s="422">
        <v>0.84970072165370991</v>
      </c>
      <c r="C508" s="422">
        <v>0.83705876109118826</v>
      </c>
      <c r="D508" s="422">
        <v>0.82286252894713074</v>
      </c>
      <c r="E508" s="422">
        <v>0.80727946198130907</v>
      </c>
      <c r="F508" s="422">
        <v>0.78964978413888509</v>
      </c>
      <c r="G508" s="422">
        <v>0.76970991693249158</v>
      </c>
    </row>
    <row r="509" spans="1:7" x14ac:dyDescent="0.25">
      <c r="A509" s="422" t="s">
        <v>3700</v>
      </c>
      <c r="B509" s="422">
        <v>0.87445994565238916</v>
      </c>
      <c r="C509" s="422">
        <v>0.86042754259064935</v>
      </c>
      <c r="D509" s="422">
        <v>0.84491895320334665</v>
      </c>
      <c r="E509" s="422">
        <v>0.82809722909430206</v>
      </c>
      <c r="F509" s="422">
        <v>0.80929845531679256</v>
      </c>
      <c r="G509" s="422">
        <v>0.78825514692579723</v>
      </c>
    </row>
    <row r="510" spans="1:7" x14ac:dyDescent="0.25">
      <c r="A510" s="422" t="s">
        <v>3701</v>
      </c>
      <c r="B510" s="422">
        <v>0.89782872715185003</v>
      </c>
      <c r="C510" s="422">
        <v>0.88248396684686559</v>
      </c>
      <c r="D510" s="422">
        <v>0.86573672031633986</v>
      </c>
      <c r="E510" s="422">
        <v>0.84774590027220942</v>
      </c>
      <c r="F510" s="422">
        <v>0.82784368531009844</v>
      </c>
      <c r="G510" s="422">
        <v>0.80575890340838918</v>
      </c>
    </row>
    <row r="511" spans="1:7" x14ac:dyDescent="0.25">
      <c r="A511" s="422" t="s">
        <v>3702</v>
      </c>
      <c r="B511" s="422">
        <v>0.91988515140806626</v>
      </c>
      <c r="C511" s="422">
        <v>0.90330173395985858</v>
      </c>
      <c r="D511" s="422">
        <v>0.88538539149424755</v>
      </c>
      <c r="E511" s="422">
        <v>0.86629113026551563</v>
      </c>
      <c r="F511" s="422">
        <v>0.84534744179269006</v>
      </c>
      <c r="G511" s="422">
        <v>0.82227967403848967</v>
      </c>
    </row>
    <row r="512" spans="1:7" x14ac:dyDescent="0.25">
      <c r="A512" s="422" t="s">
        <v>3703</v>
      </c>
      <c r="B512" s="422">
        <v>0.94070291852105925</v>
      </c>
      <c r="C512" s="422">
        <v>0.92295040513776605</v>
      </c>
      <c r="D512" s="422">
        <v>0.90393062148755354</v>
      </c>
      <c r="E512" s="422">
        <v>0.88379488674810736</v>
      </c>
      <c r="F512" s="422">
        <v>0.86186821242279088</v>
      </c>
      <c r="G512" s="422">
        <v>0.83787266189134557</v>
      </c>
    </row>
    <row r="513" spans="1:7" x14ac:dyDescent="0.25">
      <c r="A513" s="422" t="s">
        <v>3704</v>
      </c>
      <c r="B513" s="422">
        <v>0.96035158969896706</v>
      </c>
      <c r="C513" s="422">
        <v>0.94149563513107204</v>
      </c>
      <c r="D513" s="422">
        <v>0.92143437797014494</v>
      </c>
      <c r="E513" s="422">
        <v>0.90031565737820796</v>
      </c>
      <c r="F513" s="422">
        <v>0.87746120027564645</v>
      </c>
      <c r="G513" s="422">
        <v>0.852589969916693</v>
      </c>
    </row>
    <row r="514" spans="1:7" x14ac:dyDescent="0.25">
      <c r="A514" s="422" t="s">
        <v>3705</v>
      </c>
      <c r="B514" s="422">
        <v>0.1126056894267569</v>
      </c>
      <c r="C514" s="422">
        <v>0.11365194982097329</v>
      </c>
      <c r="D514" s="422">
        <v>0.11567547456175596</v>
      </c>
      <c r="E514" s="422">
        <v>0.1178049846052192</v>
      </c>
      <c r="F514" s="422">
        <v>0.12020238102041439</v>
      </c>
      <c r="G514" s="422">
        <v>0.12135784698494112</v>
      </c>
    </row>
    <row r="515" spans="1:7" x14ac:dyDescent="0.25">
      <c r="A515" s="422" t="s">
        <v>3706</v>
      </c>
      <c r="B515" s="422">
        <v>0.97889681969227271</v>
      </c>
      <c r="C515" s="422">
        <v>0.95899939161366365</v>
      </c>
      <c r="D515" s="422">
        <v>0.93795514860024587</v>
      </c>
      <c r="E515" s="422">
        <v>0.91590864523106363</v>
      </c>
      <c r="F515" s="422">
        <v>0.89217850830099421</v>
      </c>
      <c r="G515" s="422">
        <v>0.86648077503736121</v>
      </c>
    </row>
    <row r="516" spans="1:7" x14ac:dyDescent="0.25">
      <c r="A516" s="422" t="s">
        <v>3707</v>
      </c>
      <c r="B516" s="422">
        <v>0.15105313438217394</v>
      </c>
      <c r="C516" s="422">
        <v>0.15324048820527439</v>
      </c>
      <c r="D516" s="422">
        <v>0.15544447582725698</v>
      </c>
      <c r="E516" s="422">
        <v>0.15864982597583144</v>
      </c>
      <c r="F516" s="422">
        <v>0.16094638536924225</v>
      </c>
      <c r="G516" s="422">
        <v>0.1618242616604246</v>
      </c>
    </row>
    <row r="517" spans="1:7" x14ac:dyDescent="0.25">
      <c r="A517" s="422" t="s">
        <v>3708</v>
      </c>
      <c r="B517" s="422">
        <v>0.19064167276647506</v>
      </c>
      <c r="C517" s="422">
        <v>0.19300948947077526</v>
      </c>
      <c r="D517" s="422">
        <v>0.19628931719786924</v>
      </c>
      <c r="E517" s="422">
        <v>0.19939383032465932</v>
      </c>
      <c r="F517" s="422">
        <v>0.20141280004472573</v>
      </c>
      <c r="G517" s="422">
        <v>0.201918659940515</v>
      </c>
    </row>
    <row r="518" spans="1:7" x14ac:dyDescent="0.25">
      <c r="A518" s="422" t="s">
        <v>3709</v>
      </c>
      <c r="B518" s="422">
        <v>0.2304106740319759</v>
      </c>
      <c r="C518" s="422">
        <v>0.23385433084138757</v>
      </c>
      <c r="D518" s="422">
        <v>0.23703332154669715</v>
      </c>
      <c r="E518" s="422">
        <v>0.23986024500014275</v>
      </c>
      <c r="F518" s="422">
        <v>0.2415071983248161</v>
      </c>
      <c r="G518" s="422">
        <v>0.24136207904403642</v>
      </c>
    </row>
    <row r="519" spans="1:7" x14ac:dyDescent="0.25">
      <c r="A519" s="422" t="s">
        <v>3710</v>
      </c>
      <c r="B519" s="422">
        <v>0.27125551540258819</v>
      </c>
      <c r="C519" s="422">
        <v>0.27459833519021559</v>
      </c>
      <c r="D519" s="422">
        <v>0.27749973622218049</v>
      </c>
      <c r="E519" s="422">
        <v>0.27995464328023317</v>
      </c>
      <c r="F519" s="422">
        <v>0.28095061742833755</v>
      </c>
      <c r="G519" s="422">
        <v>0.28038012447729704</v>
      </c>
    </row>
    <row r="520" spans="1:7" x14ac:dyDescent="0.25">
      <c r="A520" s="422" t="s">
        <v>3711</v>
      </c>
      <c r="B520" s="422">
        <v>0.31199951975141604</v>
      </c>
      <c r="C520" s="422">
        <v>0.3150647498656991</v>
      </c>
      <c r="D520" s="422">
        <v>0.31759413450227097</v>
      </c>
      <c r="E520" s="422">
        <v>0.31939806238375468</v>
      </c>
      <c r="F520" s="422">
        <v>0.31996866286159814</v>
      </c>
      <c r="G520" s="422">
        <v>0.31930744746220746</v>
      </c>
    </row>
    <row r="521" spans="1:7" x14ac:dyDescent="0.25">
      <c r="A521" s="422" t="s">
        <v>3712</v>
      </c>
      <c r="B521" s="422">
        <v>0.35246593442689972</v>
      </c>
      <c r="C521" s="422">
        <v>0.35515914814578964</v>
      </c>
      <c r="D521" s="422">
        <v>0.35703755360579248</v>
      </c>
      <c r="E521" s="422">
        <v>0.35841610781701533</v>
      </c>
      <c r="F521" s="422">
        <v>0.35889598584650861</v>
      </c>
      <c r="G521" s="422">
        <v>0.35650491646550153</v>
      </c>
    </row>
    <row r="522" spans="1:7" x14ac:dyDescent="0.25">
      <c r="A522" s="422" t="s">
        <v>3713</v>
      </c>
      <c r="B522" s="422">
        <v>3.2834156147711076E-2</v>
      </c>
      <c r="C522" s="422">
        <v>3.269564623937065E-2</v>
      </c>
      <c r="D522" s="422">
        <v>3.2491152672673523E-2</v>
      </c>
      <c r="E522" s="422">
        <v>3.2624616121028641E-2</v>
      </c>
      <c r="F522" s="422">
        <v>3.3168168141949235E-2</v>
      </c>
      <c r="G522" s="422">
        <v>3.2915709497118646E-2</v>
      </c>
    </row>
    <row r="523" spans="1:7" x14ac:dyDescent="0.25">
      <c r="A523" s="422" t="s">
        <v>3714</v>
      </c>
      <c r="B523" s="422">
        <v>0.32954992955223872</v>
      </c>
      <c r="C523" s="422">
        <v>0.3289293657235462</v>
      </c>
      <c r="D523" s="422">
        <v>0.32824197925468562</v>
      </c>
      <c r="E523" s="422">
        <v>0.32792775529022916</v>
      </c>
      <c r="F523" s="422">
        <v>0.32606663028678556</v>
      </c>
      <c r="G523" s="422">
        <v>0.32226033829535183</v>
      </c>
    </row>
    <row r="524" spans="1:7" x14ac:dyDescent="0.25">
      <c r="A524" s="422" t="s">
        <v>3715</v>
      </c>
      <c r="B524" s="422">
        <v>0.36176352187125727</v>
      </c>
      <c r="C524" s="422">
        <v>0.36093762549405639</v>
      </c>
      <c r="D524" s="422">
        <v>0.36041890796290266</v>
      </c>
      <c r="E524" s="422">
        <v>0.35869124640781413</v>
      </c>
      <c r="F524" s="422">
        <v>0.35542850643730112</v>
      </c>
      <c r="G524" s="422">
        <v>0.35063882840314808</v>
      </c>
    </row>
    <row r="525" spans="1:7" x14ac:dyDescent="0.25">
      <c r="A525" s="422" t="s">
        <v>3716</v>
      </c>
      <c r="B525" s="422">
        <v>0.39377178164176735</v>
      </c>
      <c r="C525" s="422">
        <v>0.39311455420227326</v>
      </c>
      <c r="D525" s="422">
        <v>0.39118239908048763</v>
      </c>
      <c r="E525" s="422">
        <v>0.38805312255832969</v>
      </c>
      <c r="F525" s="422">
        <v>0.3838069965450972</v>
      </c>
      <c r="G525" s="422">
        <v>0.37806750049814319</v>
      </c>
    </row>
    <row r="526" spans="1:7" x14ac:dyDescent="0.25">
      <c r="A526" s="422" t="s">
        <v>3717</v>
      </c>
      <c r="B526" s="422">
        <v>0.42594871034998438</v>
      </c>
      <c r="C526" s="422">
        <v>0.42387804531985829</v>
      </c>
      <c r="D526" s="422">
        <v>0.42054427523100324</v>
      </c>
      <c r="E526" s="422">
        <v>0.41643161266612594</v>
      </c>
      <c r="F526" s="422">
        <v>0.41123566864009237</v>
      </c>
      <c r="G526" s="422">
        <v>0.40450109866478257</v>
      </c>
    </row>
    <row r="527" spans="1:7" x14ac:dyDescent="0.25">
      <c r="A527" s="422" t="s">
        <v>3718</v>
      </c>
      <c r="B527" s="422">
        <v>0.45671220146756952</v>
      </c>
      <c r="C527" s="422">
        <v>0.45323992147037401</v>
      </c>
      <c r="D527" s="422">
        <v>0.44892276533879932</v>
      </c>
      <c r="E527" s="422">
        <v>0.44386028476112099</v>
      </c>
      <c r="F527" s="422">
        <v>0.43766926680673163</v>
      </c>
      <c r="G527" s="422">
        <v>0.43007280479959997</v>
      </c>
    </row>
    <row r="528" spans="1:7" x14ac:dyDescent="0.25">
      <c r="A528" s="422" t="s">
        <v>3719</v>
      </c>
      <c r="B528" s="422">
        <v>0.48607407761808508</v>
      </c>
      <c r="C528" s="422">
        <v>0.48161841157817004</v>
      </c>
      <c r="D528" s="422">
        <v>0.47635143743379449</v>
      </c>
      <c r="E528" s="422">
        <v>0.47029388292776036</v>
      </c>
      <c r="F528" s="422">
        <v>0.4632409729415492</v>
      </c>
      <c r="G528" s="422">
        <v>0.45481209285659896</v>
      </c>
    </row>
    <row r="529" spans="1:7" x14ac:dyDescent="0.25">
      <c r="A529" s="422" t="s">
        <v>3720</v>
      </c>
      <c r="B529" s="422">
        <v>0.5144525677258811</v>
      </c>
      <c r="C529" s="422">
        <v>0.5090470836731652</v>
      </c>
      <c r="D529" s="422">
        <v>0.50278503560043397</v>
      </c>
      <c r="E529" s="422">
        <v>0.49586558906257805</v>
      </c>
      <c r="F529" s="422">
        <v>0.4879802609985483</v>
      </c>
      <c r="G529" s="422">
        <v>0.47874736667056927</v>
      </c>
    </row>
    <row r="530" spans="1:7" x14ac:dyDescent="0.25">
      <c r="A530" s="422" t="s">
        <v>3721</v>
      </c>
      <c r="B530" s="422">
        <v>0.54188123982087633</v>
      </c>
      <c r="C530" s="422">
        <v>0.53548068183980446</v>
      </c>
      <c r="D530" s="422">
        <v>0.52835674173525138</v>
      </c>
      <c r="E530" s="422">
        <v>0.52060487711957681</v>
      </c>
      <c r="F530" s="422">
        <v>0.5119155348125185</v>
      </c>
      <c r="G530" s="422">
        <v>0.50190600151079723</v>
      </c>
    </row>
    <row r="531" spans="1:7" x14ac:dyDescent="0.25">
      <c r="A531" s="422" t="s">
        <v>3722</v>
      </c>
      <c r="B531" s="422">
        <v>0.56831483798751581</v>
      </c>
      <c r="C531" s="422">
        <v>0.56105238797462198</v>
      </c>
      <c r="D531" s="422">
        <v>0.55309602979225048</v>
      </c>
      <c r="E531" s="422">
        <v>0.54454015093354713</v>
      </c>
      <c r="F531" s="422">
        <v>0.53507416965274646</v>
      </c>
      <c r="G531" s="422">
        <v>0.52431438391040741</v>
      </c>
    </row>
    <row r="532" spans="1:7" x14ac:dyDescent="0.25">
      <c r="A532" s="422" t="s">
        <v>3723</v>
      </c>
      <c r="B532" s="422">
        <v>0.59388654412233322</v>
      </c>
      <c r="C532" s="422">
        <v>0.58579167603162108</v>
      </c>
      <c r="D532" s="422">
        <v>0.57703130360622046</v>
      </c>
      <c r="E532" s="422">
        <v>0.56769878577377497</v>
      </c>
      <c r="F532" s="422">
        <v>0.55748255205235664</v>
      </c>
      <c r="G532" s="422">
        <v>0.54599794984715255</v>
      </c>
    </row>
    <row r="533" spans="1:7" x14ac:dyDescent="0.25">
      <c r="A533" s="422" t="s">
        <v>3724</v>
      </c>
      <c r="B533" s="422">
        <v>6.552980238708174E-2</v>
      </c>
      <c r="C533" s="422">
        <v>6.518679891204418E-2</v>
      </c>
      <c r="D533" s="422">
        <v>6.511576879370215E-2</v>
      </c>
      <c r="E533" s="422">
        <v>6.5792784262977855E-2</v>
      </c>
      <c r="F533" s="422">
        <v>6.6083877639067867E-2</v>
      </c>
      <c r="G533" s="422">
        <v>6.661380885325402E-2</v>
      </c>
    </row>
    <row r="534" spans="1:7" x14ac:dyDescent="0.25">
      <c r="A534" s="422" t="s">
        <v>3725</v>
      </c>
      <c r="B534" s="422">
        <v>0.6186258321793322</v>
      </c>
      <c r="C534" s="422">
        <v>0.60972694984559139</v>
      </c>
      <c r="D534" s="422">
        <v>0.60018993844644875</v>
      </c>
      <c r="E534" s="422">
        <v>0.59010716817338538</v>
      </c>
      <c r="F534" s="422">
        <v>0.57916611798910189</v>
      </c>
      <c r="G534" s="422">
        <v>0.56698122134798834</v>
      </c>
    </row>
    <row r="535" spans="1:7" x14ac:dyDescent="0.25">
      <c r="A535" s="422" t="s">
        <v>3726</v>
      </c>
      <c r="B535" s="422">
        <v>0.6425611059933023</v>
      </c>
      <c r="C535" s="422">
        <v>0.63288558468581912</v>
      </c>
      <c r="D535" s="422">
        <v>0.62259832084605882</v>
      </c>
      <c r="E535" s="422">
        <v>0.61179073411013041</v>
      </c>
      <c r="F535" s="422">
        <v>0.60014938948993768</v>
      </c>
      <c r="G535" s="422">
        <v>0.58678610242475637</v>
      </c>
    </row>
    <row r="536" spans="1:7" x14ac:dyDescent="0.25">
      <c r="A536" s="422" t="s">
        <v>3727</v>
      </c>
      <c r="B536" s="422">
        <v>0.66571974083353047</v>
      </c>
      <c r="C536" s="422">
        <v>0.65529396708542964</v>
      </c>
      <c r="D536" s="422">
        <v>0.64428188678280396</v>
      </c>
      <c r="E536" s="422">
        <v>0.63277400561096631</v>
      </c>
      <c r="F536" s="422">
        <v>0.61995427056670571</v>
      </c>
      <c r="G536" s="422">
        <v>0.60547876979310777</v>
      </c>
    </row>
    <row r="537" spans="1:7" x14ac:dyDescent="0.25">
      <c r="A537" s="422" t="s">
        <v>3728</v>
      </c>
      <c r="B537" s="422">
        <v>0.68812812323314054</v>
      </c>
      <c r="C537" s="422">
        <v>0.67697753302217467</v>
      </c>
      <c r="D537" s="422">
        <v>0.66526515828363975</v>
      </c>
      <c r="E537" s="422">
        <v>0.65257888668773456</v>
      </c>
      <c r="F537" s="422">
        <v>0.63864693793505689</v>
      </c>
      <c r="G537" s="422">
        <v>0.62312168377928157</v>
      </c>
    </row>
    <row r="538" spans="1:7" x14ac:dyDescent="0.25">
      <c r="A538" s="422" t="s">
        <v>3729</v>
      </c>
      <c r="B538" s="422">
        <v>0.7098116891698858</v>
      </c>
      <c r="C538" s="422">
        <v>0.69796080452301046</v>
      </c>
      <c r="D538" s="422">
        <v>0.68507003936040778</v>
      </c>
      <c r="E538" s="422">
        <v>0.67127155405608552</v>
      </c>
      <c r="F538" s="422">
        <v>0.65628985192123068</v>
      </c>
      <c r="G538" s="422">
        <v>0.63977379702720416</v>
      </c>
    </row>
    <row r="539" spans="1:7" x14ac:dyDescent="0.25">
      <c r="A539" s="422" t="s">
        <v>3730</v>
      </c>
      <c r="B539" s="422">
        <v>0.73079496067072158</v>
      </c>
      <c r="C539" s="422">
        <v>0.7177656855997786</v>
      </c>
      <c r="D539" s="422">
        <v>0.70376270672875929</v>
      </c>
      <c r="E539" s="422">
        <v>0.68891446804225931</v>
      </c>
      <c r="F539" s="422">
        <v>0.67294196516915328</v>
      </c>
      <c r="G539" s="422">
        <v>0.655490751484894</v>
      </c>
    </row>
    <row r="540" spans="1:7" x14ac:dyDescent="0.25">
      <c r="A540" s="422" t="s">
        <v>3731</v>
      </c>
      <c r="B540" s="422">
        <v>9.8020955059755235E-2</v>
      </c>
      <c r="C540" s="422">
        <v>9.7811415033072779E-2</v>
      </c>
      <c r="D540" s="422">
        <v>9.8283936935651378E-2</v>
      </c>
      <c r="E540" s="422">
        <v>9.8708493760096522E-2</v>
      </c>
      <c r="F540" s="422">
        <v>9.9781976995203248E-2</v>
      </c>
      <c r="G540" s="422">
        <v>9.9994345373185856E-2</v>
      </c>
    </row>
    <row r="541" spans="1:7" x14ac:dyDescent="0.25">
      <c r="A541" s="422" t="s">
        <v>3732</v>
      </c>
      <c r="B541" s="422">
        <v>0.1306455711807839</v>
      </c>
      <c r="C541" s="422">
        <v>0.13097958317502204</v>
      </c>
      <c r="D541" s="422">
        <v>0.13119964643277005</v>
      </c>
      <c r="E541" s="422">
        <v>0.13240659311623187</v>
      </c>
      <c r="F541" s="422">
        <v>0.13316251351513506</v>
      </c>
      <c r="G541" s="422">
        <v>0.13302547802445883</v>
      </c>
    </row>
    <row r="542" spans="1:7" x14ac:dyDescent="0.25">
      <c r="A542" s="422" t="s">
        <v>3733</v>
      </c>
      <c r="B542" s="422">
        <v>0.16381373932273313</v>
      </c>
      <c r="C542" s="422">
        <v>0.16389529267214067</v>
      </c>
      <c r="D542" s="422">
        <v>0.16489774578890545</v>
      </c>
      <c r="E542" s="422">
        <v>0.16578712963616371</v>
      </c>
      <c r="F542" s="422">
        <v>0.16619364616640805</v>
      </c>
      <c r="G542" s="422">
        <v>0.1657361902295055</v>
      </c>
    </row>
    <row r="543" spans="1:7" x14ac:dyDescent="0.25">
      <c r="A543" s="422" t="s">
        <v>3734</v>
      </c>
      <c r="B543" s="422">
        <v>0.19672944881985172</v>
      </c>
      <c r="C543" s="422">
        <v>0.19759339202827608</v>
      </c>
      <c r="D543" s="422">
        <v>0.19827828230883729</v>
      </c>
      <c r="E543" s="422">
        <v>0.19881826228743668</v>
      </c>
      <c r="F543" s="422">
        <v>0.19890435837145476</v>
      </c>
      <c r="G543" s="422">
        <v>0.19794978254852416</v>
      </c>
    </row>
    <row r="544" spans="1:7" x14ac:dyDescent="0.25">
      <c r="A544" s="422" t="s">
        <v>3735</v>
      </c>
      <c r="B544" s="422">
        <v>0.23042754817598715</v>
      </c>
      <c r="C544" s="422">
        <v>0.23097392854820789</v>
      </c>
      <c r="D544" s="422">
        <v>0.23130941496011023</v>
      </c>
      <c r="E544" s="422">
        <v>0.23152897449248339</v>
      </c>
      <c r="F544" s="422">
        <v>0.23111795069047331</v>
      </c>
      <c r="G544" s="422">
        <v>0.22995804231903422</v>
      </c>
    </row>
    <row r="545" spans="1:7" x14ac:dyDescent="0.25">
      <c r="A545" s="422" t="s">
        <v>3736</v>
      </c>
      <c r="B545" s="422">
        <v>0.26380808469591893</v>
      </c>
      <c r="C545" s="422">
        <v>0.26400506119948086</v>
      </c>
      <c r="D545" s="422">
        <v>0.26402012716515688</v>
      </c>
      <c r="E545" s="422">
        <v>0.26374256681150199</v>
      </c>
      <c r="F545" s="422">
        <v>0.26312621046098345</v>
      </c>
      <c r="G545" s="422">
        <v>0.2621349710272512</v>
      </c>
    </row>
    <row r="546" spans="1:7" x14ac:dyDescent="0.25">
      <c r="A546" s="422" t="s">
        <v>3737</v>
      </c>
      <c r="B546" s="422">
        <v>0.29683921734719193</v>
      </c>
      <c r="C546" s="422">
        <v>0.29671577340452754</v>
      </c>
      <c r="D546" s="422">
        <v>0.29623371948417543</v>
      </c>
      <c r="E546" s="422">
        <v>0.29575082658201213</v>
      </c>
      <c r="F546" s="422">
        <v>0.29530313916920042</v>
      </c>
      <c r="G546" s="422">
        <v>0.29289846214483622</v>
      </c>
    </row>
    <row r="547" spans="1:7" x14ac:dyDescent="0.25">
      <c r="A547" s="422" t="s">
        <v>3738</v>
      </c>
      <c r="B547" s="422">
        <v>3.5014999700269167E-2</v>
      </c>
      <c r="C547" s="422">
        <v>3.5102422286076608E-2</v>
      </c>
      <c r="D547" s="422">
        <v>3.5109104017373043E-2</v>
      </c>
      <c r="E547" s="422">
        <v>3.5730994133360415E-2</v>
      </c>
      <c r="F547" s="422">
        <v>3.6692248129435182E-2</v>
      </c>
      <c r="G547" s="422">
        <v>3.6765213204623164E-2</v>
      </c>
    </row>
    <row r="548" spans="1:7" x14ac:dyDescent="0.25">
      <c r="A548" s="422" t="s">
        <v>3739</v>
      </c>
      <c r="B548" s="422">
        <v>0.3639934789573992</v>
      </c>
      <c r="C548" s="422">
        <v>0.36534163510475237</v>
      </c>
      <c r="D548" s="422">
        <v>0.36624340227805086</v>
      </c>
      <c r="E548" s="422">
        <v>0.3671115602459194</v>
      </c>
      <c r="F548" s="422">
        <v>0.36576290998144079</v>
      </c>
      <c r="G548" s="422">
        <v>0.36186476173270998</v>
      </c>
    </row>
    <row r="549" spans="1:7" x14ac:dyDescent="0.25">
      <c r="A549" s="422" t="s">
        <v>3740</v>
      </c>
      <c r="B549" s="422">
        <v>0.40035663480502154</v>
      </c>
      <c r="C549" s="422">
        <v>0.40134582456412754</v>
      </c>
      <c r="D549" s="422">
        <v>0.4022206642632925</v>
      </c>
      <c r="E549" s="422">
        <v>0.40149390411480129</v>
      </c>
      <c r="F549" s="422">
        <v>0.39855700986214526</v>
      </c>
      <c r="G549" s="422">
        <v>0.39348550228064694</v>
      </c>
    </row>
    <row r="550" spans="1:7" x14ac:dyDescent="0.25">
      <c r="A550" s="422" t="s">
        <v>3741</v>
      </c>
      <c r="B550" s="422">
        <v>0.43636082426439682</v>
      </c>
      <c r="C550" s="422">
        <v>0.43732308654936936</v>
      </c>
      <c r="D550" s="422">
        <v>0.43660300813217434</v>
      </c>
      <c r="E550" s="422">
        <v>0.43428800399550566</v>
      </c>
      <c r="F550" s="422">
        <v>0.43017775041008216</v>
      </c>
      <c r="G550" s="422">
        <v>0.42397793006072676</v>
      </c>
    </row>
    <row r="551" spans="1:7" x14ac:dyDescent="0.25">
      <c r="A551" s="422" t="s">
        <v>3742</v>
      </c>
      <c r="B551" s="422">
        <v>0.47233808624963858</v>
      </c>
      <c r="C551" s="422">
        <v>0.47170543041825108</v>
      </c>
      <c r="D551" s="422">
        <v>0.46939710801287859</v>
      </c>
      <c r="E551" s="422">
        <v>0.4659087445434425</v>
      </c>
      <c r="F551" s="422">
        <v>0.46067017819016187</v>
      </c>
      <c r="G551" s="422">
        <v>0.45331397875642143</v>
      </c>
    </row>
    <row r="552" spans="1:7" x14ac:dyDescent="0.25">
      <c r="A552" s="422" t="s">
        <v>3743</v>
      </c>
      <c r="B552" s="422">
        <v>0.50672043011852042</v>
      </c>
      <c r="C552" s="422">
        <v>0.50449953029895567</v>
      </c>
      <c r="D552" s="422">
        <v>0.50101784856081555</v>
      </c>
      <c r="E552" s="422">
        <v>0.49640117232352232</v>
      </c>
      <c r="F552" s="422">
        <v>0.49000622688585671</v>
      </c>
      <c r="G552" s="422">
        <v>0.48164200473963714</v>
      </c>
    </row>
    <row r="553" spans="1:7" x14ac:dyDescent="0.25">
      <c r="A553" s="422" t="s">
        <v>3744</v>
      </c>
      <c r="B553" s="422">
        <v>0.53951452999922478</v>
      </c>
      <c r="C553" s="422">
        <v>0.53612027084689251</v>
      </c>
      <c r="D553" s="422">
        <v>0.53151027634089532</v>
      </c>
      <c r="E553" s="422">
        <v>0.52573722101921705</v>
      </c>
      <c r="F553" s="422">
        <v>0.51833425286907242</v>
      </c>
      <c r="G553" s="422">
        <v>0.50899876952210266</v>
      </c>
    </row>
    <row r="554" spans="1:7" x14ac:dyDescent="0.25">
      <c r="A554" s="422" t="s">
        <v>3745</v>
      </c>
      <c r="B554" s="422">
        <v>0.57113527054716173</v>
      </c>
      <c r="C554" s="422">
        <v>0.56661269862697239</v>
      </c>
      <c r="D554" s="422">
        <v>0.56084632503659015</v>
      </c>
      <c r="E554" s="422">
        <v>0.55406524700243276</v>
      </c>
      <c r="F554" s="422">
        <v>0.54569101765153794</v>
      </c>
      <c r="G554" s="422">
        <v>0.53541960218170159</v>
      </c>
    </row>
    <row r="555" spans="1:7" x14ac:dyDescent="0.25">
      <c r="A555" s="422" t="s">
        <v>3746</v>
      </c>
      <c r="B555" s="422">
        <v>0.60162769832724172</v>
      </c>
      <c r="C555" s="422">
        <v>0.59594874732266723</v>
      </c>
      <c r="D555" s="422">
        <v>0.58917435101980575</v>
      </c>
      <c r="E555" s="422">
        <v>0.58142201178489827</v>
      </c>
      <c r="F555" s="422">
        <v>0.57211185031113665</v>
      </c>
      <c r="G555" s="422">
        <v>0.56093845893074112</v>
      </c>
    </row>
    <row r="556" spans="1:7" x14ac:dyDescent="0.25">
      <c r="A556" s="422" t="s">
        <v>3747</v>
      </c>
      <c r="B556" s="422">
        <v>0.63096374702293623</v>
      </c>
      <c r="C556" s="422">
        <v>0.62427677330588272</v>
      </c>
      <c r="D556" s="422">
        <v>0.61653111580227149</v>
      </c>
      <c r="E556" s="422">
        <v>0.60784284444449721</v>
      </c>
      <c r="F556" s="422">
        <v>0.59763070706017662</v>
      </c>
      <c r="G556" s="422">
        <v>0.58558798006281754</v>
      </c>
    </row>
    <row r="557" spans="1:7" x14ac:dyDescent="0.25">
      <c r="A557" s="422" t="s">
        <v>3748</v>
      </c>
      <c r="B557" s="422">
        <v>0.65929177300615205</v>
      </c>
      <c r="C557" s="422">
        <v>0.65163353808834845</v>
      </c>
      <c r="D557" s="422">
        <v>0.6429519484618702</v>
      </c>
      <c r="E557" s="422">
        <v>0.63336170119353685</v>
      </c>
      <c r="F557" s="422">
        <v>0.62228022819225259</v>
      </c>
      <c r="G557" s="422">
        <v>0.60939954439885236</v>
      </c>
    </row>
    <row r="558" spans="1:7" x14ac:dyDescent="0.25">
      <c r="A558" s="422" t="s">
        <v>3749</v>
      </c>
      <c r="B558" s="422">
        <v>7.0117421986345782E-2</v>
      </c>
      <c r="C558" s="422">
        <v>7.0211526303449664E-2</v>
      </c>
      <c r="D558" s="422">
        <v>7.0840098150733485E-2</v>
      </c>
      <c r="E558" s="422">
        <v>7.242324226279559E-2</v>
      </c>
      <c r="F558" s="422">
        <v>7.3457461334058338E-2</v>
      </c>
      <c r="G558" s="422">
        <v>7.44997656753595E-2</v>
      </c>
    </row>
    <row r="559" spans="1:7" x14ac:dyDescent="0.25">
      <c r="A559" s="422" t="s">
        <v>3750</v>
      </c>
      <c r="B559" s="422">
        <v>0.68664853778861767</v>
      </c>
      <c r="C559" s="422">
        <v>0.67805437074794728</v>
      </c>
      <c r="D559" s="422">
        <v>0.66847080521090985</v>
      </c>
      <c r="E559" s="422">
        <v>0.65801122232561315</v>
      </c>
      <c r="F559" s="422">
        <v>0.64609179252828741</v>
      </c>
      <c r="G559" s="422">
        <v>0.63240332134715693</v>
      </c>
    </row>
    <row r="560" spans="1:7" x14ac:dyDescent="0.25">
      <c r="A560" s="422" t="s">
        <v>3751</v>
      </c>
      <c r="B560" s="422">
        <v>0.71306937044821639</v>
      </c>
      <c r="C560" s="422">
        <v>0.70357322749698692</v>
      </c>
      <c r="D560" s="422">
        <v>0.69312032634298604</v>
      </c>
      <c r="E560" s="422">
        <v>0.68182278666164786</v>
      </c>
      <c r="F560" s="422">
        <v>0.6690955694765921</v>
      </c>
      <c r="G560" s="422">
        <v>0.65411523918415981</v>
      </c>
    </row>
    <row r="561" spans="1:7" x14ac:dyDescent="0.25">
      <c r="A561" s="422" t="s">
        <v>3752</v>
      </c>
      <c r="B561" s="422">
        <v>0.73858822719725603</v>
      </c>
      <c r="C561" s="422">
        <v>0.72822274862906344</v>
      </c>
      <c r="D561" s="422">
        <v>0.71693189067902097</v>
      </c>
      <c r="E561" s="422">
        <v>0.70482656360995255</v>
      </c>
      <c r="F561" s="422">
        <v>0.69080748731359487</v>
      </c>
      <c r="G561" s="422">
        <v>0.67460784686420039</v>
      </c>
    </row>
    <row r="562" spans="1:7" x14ac:dyDescent="0.25">
      <c r="A562" s="422" t="s">
        <v>3753</v>
      </c>
      <c r="B562" s="422">
        <v>0.76323774832933233</v>
      </c>
      <c r="C562" s="422">
        <v>0.75203431296509815</v>
      </c>
      <c r="D562" s="422">
        <v>0.73993566762732554</v>
      </c>
      <c r="E562" s="422">
        <v>0.72653848144695543</v>
      </c>
      <c r="F562" s="422">
        <v>0.71130009499363567</v>
      </c>
      <c r="G562" s="422">
        <v>0.69394961909642372</v>
      </c>
    </row>
    <row r="563" spans="1:7" x14ac:dyDescent="0.25">
      <c r="A563" s="422" t="s">
        <v>3754</v>
      </c>
      <c r="B563" s="422">
        <v>0.78704931266536726</v>
      </c>
      <c r="C563" s="422">
        <v>0.77503808991340262</v>
      </c>
      <c r="D563" s="422">
        <v>0.76164758546432854</v>
      </c>
      <c r="E563" s="422">
        <v>0.74703108912699612</v>
      </c>
      <c r="F563" s="422">
        <v>0.730641867225859</v>
      </c>
      <c r="G563" s="422">
        <v>0.71220518514854569</v>
      </c>
    </row>
    <row r="564" spans="1:7" x14ac:dyDescent="0.25">
      <c r="A564" s="422" t="s">
        <v>3755</v>
      </c>
      <c r="B564" s="422">
        <v>0.81005308961367184</v>
      </c>
      <c r="C564" s="422">
        <v>0.79675000775040572</v>
      </c>
      <c r="D564" s="422">
        <v>0.782140193144369</v>
      </c>
      <c r="E564" s="422">
        <v>0.76637286135921945</v>
      </c>
      <c r="F564" s="422">
        <v>0.74889743327798086</v>
      </c>
      <c r="G564" s="422">
        <v>0.72943554480132711</v>
      </c>
    </row>
    <row r="565" spans="1:7" x14ac:dyDescent="0.25">
      <c r="A565" s="422" t="s">
        <v>3756</v>
      </c>
      <c r="B565" s="422">
        <v>0.83176500745067472</v>
      </c>
      <c r="C565" s="422">
        <v>0.81724261543044641</v>
      </c>
      <c r="D565" s="422">
        <v>0.80148196537659211</v>
      </c>
      <c r="E565" s="422">
        <v>0.78462842741134131</v>
      </c>
      <c r="F565" s="422">
        <v>0.76612779293076227</v>
      </c>
      <c r="G565" s="422">
        <v>0.74569827217535378</v>
      </c>
    </row>
    <row r="566" spans="1:7" x14ac:dyDescent="0.25">
      <c r="A566" s="422" t="s">
        <v>3757</v>
      </c>
      <c r="B566" s="422">
        <v>0.85225761513071552</v>
      </c>
      <c r="C566" s="422">
        <v>0.83658438766266952</v>
      </c>
      <c r="D566" s="422">
        <v>0.81973753142871408</v>
      </c>
      <c r="E566" s="422">
        <v>0.80185878706412284</v>
      </c>
      <c r="F566" s="422">
        <v>0.78239052030478906</v>
      </c>
      <c r="G566" s="422">
        <v>0.76104770811119804</v>
      </c>
    </row>
    <row r="567" spans="1:7" x14ac:dyDescent="0.25">
      <c r="A567" s="422" t="s">
        <v>3758</v>
      </c>
      <c r="B567" s="422">
        <v>0.87159938736293863</v>
      </c>
      <c r="C567" s="422">
        <v>0.85483995371479149</v>
      </c>
      <c r="D567" s="422">
        <v>0.83696789108149583</v>
      </c>
      <c r="E567" s="422">
        <v>0.8181215144381494</v>
      </c>
      <c r="F567" s="422">
        <v>0.79773995624063332</v>
      </c>
      <c r="G567" s="422">
        <v>0.77553514174578453</v>
      </c>
    </row>
    <row r="568" spans="1:7" x14ac:dyDescent="0.25">
      <c r="A568" s="422" t="s">
        <v>3759</v>
      </c>
      <c r="B568" s="422">
        <v>0.88985495341506049</v>
      </c>
      <c r="C568" s="422">
        <v>0.8720703133675729</v>
      </c>
      <c r="D568" s="422">
        <v>0.85323061845552273</v>
      </c>
      <c r="E568" s="422">
        <v>0.83347095037399377</v>
      </c>
      <c r="F568" s="422">
        <v>0.8122273898752197</v>
      </c>
      <c r="G568" s="422">
        <v>0.78920898189168953</v>
      </c>
    </row>
    <row r="569" spans="1:7" x14ac:dyDescent="0.25">
      <c r="A569" s="422" t="s">
        <v>3760</v>
      </c>
      <c r="B569" s="422">
        <v>0.10522652600371882</v>
      </c>
      <c r="C569" s="422">
        <v>0.10594252043681002</v>
      </c>
      <c r="D569" s="422">
        <v>0.10753234628016867</v>
      </c>
      <c r="E569" s="422">
        <v>0.1091884554674188</v>
      </c>
      <c r="F569" s="422">
        <v>0.11119201380479471</v>
      </c>
      <c r="G569" s="422">
        <v>0.11208641015990928</v>
      </c>
    </row>
    <row r="570" spans="1:7" x14ac:dyDescent="0.25">
      <c r="A570" s="422" t="s">
        <v>3761</v>
      </c>
      <c r="B570" s="422">
        <v>0.90708531306784213</v>
      </c>
      <c r="C570" s="422">
        <v>0.8883330407415998</v>
      </c>
      <c r="D570" s="422">
        <v>0.86858005439136687</v>
      </c>
      <c r="E570" s="422">
        <v>0.84795838400857992</v>
      </c>
      <c r="F570" s="422">
        <v>0.82590123002112459</v>
      </c>
      <c r="G570" s="422">
        <v>0.80211491879202435</v>
      </c>
    </row>
    <row r="571" spans="1:7" x14ac:dyDescent="0.25">
      <c r="A571" s="422" t="s">
        <v>3762</v>
      </c>
      <c r="B571" s="422">
        <v>0.14095752013707916</v>
      </c>
      <c r="C571" s="422">
        <v>0.14263476856624518</v>
      </c>
      <c r="D571" s="422">
        <v>0.14429755948479178</v>
      </c>
      <c r="E571" s="422">
        <v>0.1469230079381551</v>
      </c>
      <c r="F571" s="422">
        <v>0.14877865828934445</v>
      </c>
      <c r="G571" s="422">
        <v>0.14938848076454975</v>
      </c>
    </row>
    <row r="572" spans="1:7" x14ac:dyDescent="0.25">
      <c r="A572" s="422" t="s">
        <v>3763</v>
      </c>
      <c r="B572" s="422">
        <v>0.17764976826651435</v>
      </c>
      <c r="C572" s="422">
        <v>0.17939998177086824</v>
      </c>
      <c r="D572" s="422">
        <v>0.18203211195552818</v>
      </c>
      <c r="E572" s="422">
        <v>0.1845096524227049</v>
      </c>
      <c r="F572" s="422">
        <v>0.18608072889398491</v>
      </c>
      <c r="G572" s="422">
        <v>0.18634371069088468</v>
      </c>
    </row>
    <row r="573" spans="1:7" x14ac:dyDescent="0.25">
      <c r="A573" s="422" t="s">
        <v>3764</v>
      </c>
      <c r="B573" s="422">
        <v>0.21441498147113744</v>
      </c>
      <c r="C573" s="422">
        <v>0.21713453424160467</v>
      </c>
      <c r="D573" s="422">
        <v>0.21961875644007792</v>
      </c>
      <c r="E573" s="422">
        <v>0.22181172302734531</v>
      </c>
      <c r="F573" s="422">
        <v>0.22303595882031985</v>
      </c>
      <c r="G573" s="422">
        <v>0.2227068665385068</v>
      </c>
    </row>
    <row r="574" spans="1:7" x14ac:dyDescent="0.25">
      <c r="A574" s="422" t="s">
        <v>3765</v>
      </c>
      <c r="B574" s="422">
        <v>0.25214953394187384</v>
      </c>
      <c r="C574" s="422">
        <v>0.25472117872615457</v>
      </c>
      <c r="D574" s="422">
        <v>0.25692082704471841</v>
      </c>
      <c r="E574" s="422">
        <v>0.2587669529536803</v>
      </c>
      <c r="F574" s="422">
        <v>0.25939911466794202</v>
      </c>
      <c r="G574" s="422">
        <v>0.25871105599788213</v>
      </c>
    </row>
    <row r="575" spans="1:7" x14ac:dyDescent="0.25">
      <c r="A575" s="422" t="s">
        <v>3766</v>
      </c>
      <c r="B575" s="422">
        <v>0.28973617842642374</v>
      </c>
      <c r="C575" s="422">
        <v>0.2920232493307951</v>
      </c>
      <c r="D575" s="422">
        <v>0.29387605697105329</v>
      </c>
      <c r="E575" s="422">
        <v>0.29513010880130247</v>
      </c>
      <c r="F575" s="422">
        <v>0.2954033041273173</v>
      </c>
      <c r="G575" s="422">
        <v>0.29468831798312378</v>
      </c>
    </row>
    <row r="576" spans="1:7" x14ac:dyDescent="0.25">
      <c r="A576" s="422" t="s">
        <v>3767</v>
      </c>
      <c r="B576" s="422">
        <v>0.32703824903106427</v>
      </c>
      <c r="C576" s="422">
        <v>0.32897847925713014</v>
      </c>
      <c r="D576" s="422">
        <v>0.33023921281867546</v>
      </c>
      <c r="E576" s="422">
        <v>0.3311342982606777</v>
      </c>
      <c r="F576" s="422">
        <v>0.33138056611255901</v>
      </c>
      <c r="G576" s="422">
        <v>0.32907066185200567</v>
      </c>
    </row>
    <row r="577" spans="1:7" x14ac:dyDescent="0.25">
      <c r="A577" s="422" t="s">
        <v>3768</v>
      </c>
      <c r="B577" s="422">
        <v>3.3438309176011372E-2</v>
      </c>
      <c r="C577" s="422">
        <v>3.3456327221288204E-2</v>
      </c>
      <c r="D577" s="422">
        <v>3.3400128686320647E-2</v>
      </c>
      <c r="E577" s="422">
        <v>3.3860491055699923E-2</v>
      </c>
      <c r="F577" s="422">
        <v>3.4672211900371966E-2</v>
      </c>
      <c r="G577" s="422">
        <v>3.4646614766468235E-2</v>
      </c>
    </row>
    <row r="578" spans="1:7" x14ac:dyDescent="0.25">
      <c r="A578" s="422" t="s">
        <v>3769</v>
      </c>
      <c r="B578" s="422">
        <v>0.3441075622907816</v>
      </c>
      <c r="C578" s="422">
        <v>0.34483538449492207</v>
      </c>
      <c r="D578" s="422">
        <v>0.34524136521337867</v>
      </c>
      <c r="E578" s="422">
        <v>0.34573540875181619</v>
      </c>
      <c r="F578" s="422">
        <v>0.34427037989480286</v>
      </c>
      <c r="G578" s="422">
        <v>0.34050294590337671</v>
      </c>
    </row>
    <row r="579" spans="1:7" x14ac:dyDescent="0.25">
      <c r="A579" s="422" t="s">
        <v>3770</v>
      </c>
      <c r="B579" s="422">
        <v>0.37827369367093355</v>
      </c>
      <c r="C579" s="422">
        <v>0.37869769243466694</v>
      </c>
      <c r="D579" s="422">
        <v>0.37913553743813688</v>
      </c>
      <c r="E579" s="422">
        <v>0.37813087095050268</v>
      </c>
      <c r="F579" s="422">
        <v>0.37517515780374866</v>
      </c>
      <c r="G579" s="422">
        <v>0.37032190793101255</v>
      </c>
    </row>
    <row r="580" spans="1:7" x14ac:dyDescent="0.25">
      <c r="A580" s="422" t="s">
        <v>3771</v>
      </c>
      <c r="B580" s="422">
        <v>0.41213600161067826</v>
      </c>
      <c r="C580" s="422">
        <v>0.4125918646594251</v>
      </c>
      <c r="D580" s="422">
        <v>0.41153099963682338</v>
      </c>
      <c r="E580" s="422">
        <v>0.40903564885944849</v>
      </c>
      <c r="F580" s="422">
        <v>0.4049941198313845</v>
      </c>
      <c r="G580" s="422">
        <v>0.39909549705204023</v>
      </c>
    </row>
    <row r="581" spans="1:7" x14ac:dyDescent="0.25">
      <c r="A581" s="422" t="s">
        <v>3772</v>
      </c>
      <c r="B581" s="422">
        <v>0.44603017383543647</v>
      </c>
      <c r="C581" s="422">
        <v>0.4449873268581116</v>
      </c>
      <c r="D581" s="422">
        <v>0.44243577754576929</v>
      </c>
      <c r="E581" s="422">
        <v>0.43885461088708444</v>
      </c>
      <c r="F581" s="422">
        <v>0.43376770895241218</v>
      </c>
      <c r="G581" s="422">
        <v>0.42679128770801916</v>
      </c>
    </row>
    <row r="582" spans="1:7" x14ac:dyDescent="0.25">
      <c r="A582" s="422" t="s">
        <v>3773</v>
      </c>
      <c r="B582" s="422">
        <v>0.47842563603412297</v>
      </c>
      <c r="C582" s="422">
        <v>0.47589210476705757</v>
      </c>
      <c r="D582" s="422">
        <v>0.47225473957340514</v>
      </c>
      <c r="E582" s="422">
        <v>0.46762820000811206</v>
      </c>
      <c r="F582" s="422">
        <v>0.46146349960839117</v>
      </c>
      <c r="G582" s="422">
        <v>0.45354919387381853</v>
      </c>
    </row>
    <row r="583" spans="1:7" x14ac:dyDescent="0.25">
      <c r="A583" s="422" t="s">
        <v>3774</v>
      </c>
      <c r="B583" s="422">
        <v>0.50933041394306877</v>
      </c>
      <c r="C583" s="422">
        <v>0.50571106679469324</v>
      </c>
      <c r="D583" s="422">
        <v>0.5010283286944327</v>
      </c>
      <c r="E583" s="422">
        <v>0.49532399066409105</v>
      </c>
      <c r="F583" s="422">
        <v>0.48822140577419049</v>
      </c>
      <c r="G583" s="422">
        <v>0.47940283772104697</v>
      </c>
    </row>
    <row r="584" spans="1:7" x14ac:dyDescent="0.25">
      <c r="A584" s="422" t="s">
        <v>3775</v>
      </c>
      <c r="B584" s="422">
        <v>0.53914937597070456</v>
      </c>
      <c r="C584" s="422">
        <v>0.53448465591572092</v>
      </c>
      <c r="D584" s="422">
        <v>0.52872411935041186</v>
      </c>
      <c r="E584" s="422">
        <v>0.52208189682989037</v>
      </c>
      <c r="F584" s="422">
        <v>0.51407504962141903</v>
      </c>
      <c r="G584" s="422">
        <v>0.50438455457787157</v>
      </c>
    </row>
    <row r="585" spans="1:7" x14ac:dyDescent="0.25">
      <c r="A585" s="422" t="s">
        <v>3776</v>
      </c>
      <c r="B585" s="422">
        <v>0.56792296509173235</v>
      </c>
      <c r="C585" s="422">
        <v>0.56218044657169997</v>
      </c>
      <c r="D585" s="422">
        <v>0.55548202551621106</v>
      </c>
      <c r="E585" s="422">
        <v>0.54793554067711892</v>
      </c>
      <c r="F585" s="422">
        <v>0.53905676647824341</v>
      </c>
      <c r="G585" s="422">
        <v>0.52852544556765302</v>
      </c>
    </row>
    <row r="586" spans="1:7" x14ac:dyDescent="0.25">
      <c r="A586" s="422" t="s">
        <v>3777</v>
      </c>
      <c r="B586" s="422">
        <v>0.59561875574771128</v>
      </c>
      <c r="C586" s="422">
        <v>0.58893835273749928</v>
      </c>
      <c r="D586" s="422">
        <v>0.58133566936343961</v>
      </c>
      <c r="E586" s="422">
        <v>0.5729172575339434</v>
      </c>
      <c r="F586" s="422">
        <v>0.56319765746802497</v>
      </c>
      <c r="G586" s="422">
        <v>0.55185542796208786</v>
      </c>
    </row>
    <row r="587" spans="1:7" x14ac:dyDescent="0.25">
      <c r="A587" s="422" t="s">
        <v>3778</v>
      </c>
      <c r="B587" s="422">
        <v>0.62237666191351071</v>
      </c>
      <c r="C587" s="422">
        <v>0.61479199658472794</v>
      </c>
      <c r="D587" s="422">
        <v>0.6063173862202641</v>
      </c>
      <c r="E587" s="422">
        <v>0.59705814852372485</v>
      </c>
      <c r="F587" s="422">
        <v>0.58652763986245982</v>
      </c>
      <c r="G587" s="422">
        <v>0.57440328335294677</v>
      </c>
    </row>
    <row r="588" spans="1:7" x14ac:dyDescent="0.25">
      <c r="A588" s="422" t="s">
        <v>3779</v>
      </c>
      <c r="B588" s="422">
        <v>6.6894636397299589E-2</v>
      </c>
      <c r="C588" s="422">
        <v>6.6856455907608858E-2</v>
      </c>
      <c r="D588" s="422">
        <v>6.7260619742020578E-2</v>
      </c>
      <c r="E588" s="422">
        <v>6.8532702956071889E-2</v>
      </c>
      <c r="F588" s="422">
        <v>6.931882666684018E-2</v>
      </c>
      <c r="G588" s="422">
        <v>7.0181337018230414E-2</v>
      </c>
    </row>
    <row r="589" spans="1:7" x14ac:dyDescent="0.25">
      <c r="A589" s="422" t="s">
        <v>3780</v>
      </c>
      <c r="B589" s="422">
        <v>0.64823030576073903</v>
      </c>
      <c r="C589" s="422">
        <v>0.63977371344155232</v>
      </c>
      <c r="D589" s="422">
        <v>0.63045827721004566</v>
      </c>
      <c r="E589" s="422">
        <v>0.6203881309181597</v>
      </c>
      <c r="F589" s="422">
        <v>0.6090754952533185</v>
      </c>
      <c r="G589" s="422">
        <v>0.5961967037415864</v>
      </c>
    </row>
    <row r="590" spans="1:7" x14ac:dyDescent="0.25">
      <c r="A590" s="422" t="s">
        <v>3781</v>
      </c>
      <c r="B590" s="422">
        <v>0.67321202261756374</v>
      </c>
      <c r="C590" s="422">
        <v>0.66391460443133388</v>
      </c>
      <c r="D590" s="422">
        <v>0.65378825960448017</v>
      </c>
      <c r="E590" s="422">
        <v>0.64293598630901849</v>
      </c>
      <c r="F590" s="422">
        <v>0.63086891564195835</v>
      </c>
      <c r="G590" s="422">
        <v>0.61676623690689059</v>
      </c>
    </row>
    <row r="591" spans="1:7" x14ac:dyDescent="0.25">
      <c r="A591" s="422" t="s">
        <v>3782</v>
      </c>
      <c r="B591" s="422">
        <v>0.69735291360734497</v>
      </c>
      <c r="C591" s="422">
        <v>0.68724458682576861</v>
      </c>
      <c r="D591" s="422">
        <v>0.67633611499533919</v>
      </c>
      <c r="E591" s="422">
        <v>0.66472940669765823</v>
      </c>
      <c r="F591" s="422">
        <v>0.65143844880726254</v>
      </c>
      <c r="G591" s="422">
        <v>0.63618061459948549</v>
      </c>
    </row>
    <row r="592" spans="1:7" x14ac:dyDescent="0.25">
      <c r="A592" s="422" t="s">
        <v>3783</v>
      </c>
      <c r="B592" s="422">
        <v>0.72068289600177993</v>
      </c>
      <c r="C592" s="422">
        <v>0.70979244221662741</v>
      </c>
      <c r="D592" s="422">
        <v>0.69812953538397893</v>
      </c>
      <c r="E592" s="422">
        <v>0.68529893986296231</v>
      </c>
      <c r="F592" s="422">
        <v>0.67085282649985722</v>
      </c>
      <c r="G592" s="422">
        <v>0.65450470869348698</v>
      </c>
    </row>
    <row r="593" spans="1:7" x14ac:dyDescent="0.25">
      <c r="A593" s="422" t="s">
        <v>3784</v>
      </c>
      <c r="B593" s="422">
        <v>0.74323075139263894</v>
      </c>
      <c r="C593" s="422">
        <v>0.73158586260526703</v>
      </c>
      <c r="D593" s="422">
        <v>0.71869906854928312</v>
      </c>
      <c r="E593" s="422">
        <v>0.70471331755555722</v>
      </c>
      <c r="F593" s="422">
        <v>0.68917692059385882</v>
      </c>
      <c r="G593" s="422">
        <v>0.67179974795162922</v>
      </c>
    </row>
    <row r="594" spans="1:7" x14ac:dyDescent="0.25">
      <c r="A594" s="422" t="s">
        <v>3785</v>
      </c>
      <c r="B594" s="422">
        <v>0.76502417178127868</v>
      </c>
      <c r="C594" s="422">
        <v>0.75215539577057122</v>
      </c>
      <c r="D594" s="422">
        <v>0.73811344624187769</v>
      </c>
      <c r="E594" s="422">
        <v>0.72303741164955881</v>
      </c>
      <c r="F594" s="422">
        <v>0.70647195985200117</v>
      </c>
      <c r="G594" s="422">
        <v>0.68812352261717158</v>
      </c>
    </row>
    <row r="595" spans="1:7" x14ac:dyDescent="0.25">
      <c r="A595" s="422" t="s">
        <v>3786</v>
      </c>
      <c r="B595" s="422">
        <v>0.10029476508362022</v>
      </c>
      <c r="C595" s="422">
        <v>0.10071694696330878</v>
      </c>
      <c r="D595" s="422">
        <v>0.10193283164239253</v>
      </c>
      <c r="E595" s="422">
        <v>0.10317931772254012</v>
      </c>
      <c r="F595" s="422">
        <v>0.10485354891860241</v>
      </c>
      <c r="G595" s="422">
        <v>0.10552170156561409</v>
      </c>
    </row>
    <row r="596" spans="1:7" x14ac:dyDescent="0.25">
      <c r="A596" s="422" t="s">
        <v>3787</v>
      </c>
      <c r="B596" s="422">
        <v>0.13415525613932014</v>
      </c>
      <c r="C596" s="422">
        <v>0.13538915886368075</v>
      </c>
      <c r="D596" s="422">
        <v>0.13657944640886077</v>
      </c>
      <c r="E596" s="422">
        <v>0.13871403997430234</v>
      </c>
      <c r="F596" s="422">
        <v>0.14019391346598606</v>
      </c>
      <c r="G596" s="422">
        <v>0.14056579402639685</v>
      </c>
    </row>
    <row r="597" spans="1:7" x14ac:dyDescent="0.25">
      <c r="A597" s="422" t="s">
        <v>3788</v>
      </c>
      <c r="B597" s="422">
        <v>0.16882746803969206</v>
      </c>
      <c r="C597" s="422">
        <v>0.17003577363014899</v>
      </c>
      <c r="D597" s="422">
        <v>0.17211416866062296</v>
      </c>
      <c r="E597" s="422">
        <v>0.174054404521686</v>
      </c>
      <c r="F597" s="422">
        <v>0.17523800592676886</v>
      </c>
      <c r="G597" s="422">
        <v>0.17528009425108945</v>
      </c>
    </row>
    <row r="598" spans="1:7" x14ac:dyDescent="0.25">
      <c r="A598" s="422" t="s">
        <v>3789</v>
      </c>
      <c r="B598" s="422">
        <v>0.20347408280616033</v>
      </c>
      <c r="C598" s="422">
        <v>0.2055704958819112</v>
      </c>
      <c r="D598" s="422">
        <v>0.20745453320800664</v>
      </c>
      <c r="E598" s="422">
        <v>0.20909849698246874</v>
      </c>
      <c r="F598" s="422">
        <v>0.20995230615146143</v>
      </c>
      <c r="G598" s="422">
        <v>0.2094462256312413</v>
      </c>
    </row>
    <row r="599" spans="1:7" x14ac:dyDescent="0.25">
      <c r="A599" s="422" t="s">
        <v>3790</v>
      </c>
      <c r="B599" s="422">
        <v>0.2390088050579226</v>
      </c>
      <c r="C599" s="422">
        <v>0.24091086042929485</v>
      </c>
      <c r="D599" s="422">
        <v>0.24249862566878938</v>
      </c>
      <c r="E599" s="422">
        <v>0.24381279720716137</v>
      </c>
      <c r="F599" s="422">
        <v>0.24411843753161333</v>
      </c>
      <c r="G599" s="422">
        <v>0.24330853357098611</v>
      </c>
    </row>
    <row r="600" spans="1:7" x14ac:dyDescent="0.25">
      <c r="A600" s="422" t="s">
        <v>3791</v>
      </c>
      <c r="B600" s="422">
        <v>0.27434916960530625</v>
      </c>
      <c r="C600" s="422">
        <v>0.27595495289007765</v>
      </c>
      <c r="D600" s="422">
        <v>0.27721292589348207</v>
      </c>
      <c r="E600" s="422">
        <v>0.27797892858731316</v>
      </c>
      <c r="F600" s="422">
        <v>0.27798074547135815</v>
      </c>
      <c r="G600" s="422">
        <v>0.2772027057957443</v>
      </c>
    </row>
    <row r="601" spans="1:7" x14ac:dyDescent="0.25">
      <c r="A601" s="422" t="s">
        <v>3792</v>
      </c>
      <c r="B601" s="422">
        <v>0.30939326206608897</v>
      </c>
      <c r="C601" s="422">
        <v>0.31066925311477023</v>
      </c>
      <c r="D601" s="422">
        <v>0.31137905727363385</v>
      </c>
      <c r="E601" s="422">
        <v>0.31184123652705803</v>
      </c>
      <c r="F601" s="422">
        <v>0.31187491769611625</v>
      </c>
      <c r="G601" s="422">
        <v>0.30959816799443096</v>
      </c>
    </row>
    <row r="602" spans="1:7" x14ac:dyDescent="0.25">
      <c r="A602" s="422" t="s">
        <v>3793</v>
      </c>
      <c r="B602" s="422">
        <v>3.5014999700269167E-2</v>
      </c>
      <c r="C602" s="422">
        <v>3.5102422286076608E-2</v>
      </c>
      <c r="D602" s="422">
        <v>3.5109104017373043E-2</v>
      </c>
      <c r="E602" s="422">
        <v>3.5730994133360415E-2</v>
      </c>
      <c r="F602" s="422">
        <v>3.6692248129435182E-2</v>
      </c>
      <c r="G602" s="422">
        <v>3.6765213204623164E-2</v>
      </c>
    </row>
    <row r="603" spans="1:7" x14ac:dyDescent="0.25">
      <c r="A603" s="422" t="s">
        <v>3794</v>
      </c>
      <c r="B603" s="422">
        <v>0.3639934789573992</v>
      </c>
      <c r="C603" s="422">
        <v>0.36534163510475237</v>
      </c>
      <c r="D603" s="422">
        <v>0.36624340227805086</v>
      </c>
      <c r="E603" s="422">
        <v>0.3671115602459194</v>
      </c>
      <c r="F603" s="422">
        <v>0.36576290998144079</v>
      </c>
      <c r="G603" s="422">
        <v>0.36186476173270998</v>
      </c>
    </row>
    <row r="604" spans="1:7" x14ac:dyDescent="0.25">
      <c r="A604" s="422" t="s">
        <v>3795</v>
      </c>
      <c r="B604" s="422">
        <v>0.40035663480502154</v>
      </c>
      <c r="C604" s="422">
        <v>0.40134582456412754</v>
      </c>
      <c r="D604" s="422">
        <v>0.4022206642632925</v>
      </c>
      <c r="E604" s="422">
        <v>0.40149390411480129</v>
      </c>
      <c r="F604" s="422">
        <v>0.39855700986214526</v>
      </c>
      <c r="G604" s="422">
        <v>0.39348550228064694</v>
      </c>
    </row>
    <row r="605" spans="1:7" x14ac:dyDescent="0.25">
      <c r="A605" s="422" t="s">
        <v>3796</v>
      </c>
      <c r="B605" s="422">
        <v>0.43636082426439682</v>
      </c>
      <c r="C605" s="422">
        <v>0.43732308654936936</v>
      </c>
      <c r="D605" s="422">
        <v>0.43660300813217434</v>
      </c>
      <c r="E605" s="422">
        <v>0.43428800399550566</v>
      </c>
      <c r="F605" s="422">
        <v>0.43017775041008216</v>
      </c>
      <c r="G605" s="422">
        <v>0.42397793006072676</v>
      </c>
    </row>
    <row r="606" spans="1:7" x14ac:dyDescent="0.25">
      <c r="A606" s="422" t="s">
        <v>3797</v>
      </c>
      <c r="B606" s="422">
        <v>0.47233808624963858</v>
      </c>
      <c r="C606" s="422">
        <v>0.47170543041825108</v>
      </c>
      <c r="D606" s="422">
        <v>0.46939710801287859</v>
      </c>
      <c r="E606" s="422">
        <v>0.4659087445434425</v>
      </c>
      <c r="F606" s="422">
        <v>0.46067017819016187</v>
      </c>
      <c r="G606" s="422">
        <v>0.45331397875642143</v>
      </c>
    </row>
    <row r="607" spans="1:7" x14ac:dyDescent="0.25">
      <c r="A607" s="422" t="s">
        <v>3798</v>
      </c>
      <c r="B607" s="422">
        <v>0.50672043011852042</v>
      </c>
      <c r="C607" s="422">
        <v>0.50449953029895567</v>
      </c>
      <c r="D607" s="422">
        <v>0.50101784856081555</v>
      </c>
      <c r="E607" s="422">
        <v>0.49640117232352232</v>
      </c>
      <c r="F607" s="422">
        <v>0.49000622688585671</v>
      </c>
      <c r="G607" s="422">
        <v>0.48164200473963714</v>
      </c>
    </row>
    <row r="608" spans="1:7" x14ac:dyDescent="0.25">
      <c r="A608" s="422" t="s">
        <v>3799</v>
      </c>
      <c r="B608" s="422">
        <v>0.53951452999922478</v>
      </c>
      <c r="C608" s="422">
        <v>0.53612027084689251</v>
      </c>
      <c r="D608" s="422">
        <v>0.53151027634089532</v>
      </c>
      <c r="E608" s="422">
        <v>0.52573722101921705</v>
      </c>
      <c r="F608" s="422">
        <v>0.51833425286907242</v>
      </c>
      <c r="G608" s="422">
        <v>0.50899876952210266</v>
      </c>
    </row>
    <row r="609" spans="1:7" x14ac:dyDescent="0.25">
      <c r="A609" s="422" t="s">
        <v>3800</v>
      </c>
      <c r="B609" s="422">
        <v>0.57113527054716173</v>
      </c>
      <c r="C609" s="422">
        <v>0.56661269862697239</v>
      </c>
      <c r="D609" s="422">
        <v>0.56084632503659015</v>
      </c>
      <c r="E609" s="422">
        <v>0.55406524700243276</v>
      </c>
      <c r="F609" s="422">
        <v>0.54569101765153794</v>
      </c>
      <c r="G609" s="422">
        <v>0.53541960218170159</v>
      </c>
    </row>
    <row r="610" spans="1:7" x14ac:dyDescent="0.25">
      <c r="A610" s="422" t="s">
        <v>3801</v>
      </c>
      <c r="B610" s="422">
        <v>0.60162769832724172</v>
      </c>
      <c r="C610" s="422">
        <v>0.59594874732266723</v>
      </c>
      <c r="D610" s="422">
        <v>0.58917435101980575</v>
      </c>
      <c r="E610" s="422">
        <v>0.58142201178489827</v>
      </c>
      <c r="F610" s="422">
        <v>0.57211185031113665</v>
      </c>
      <c r="G610" s="422">
        <v>0.56093845893074112</v>
      </c>
    </row>
    <row r="611" spans="1:7" x14ac:dyDescent="0.25">
      <c r="A611" s="422" t="s">
        <v>3802</v>
      </c>
      <c r="B611" s="422">
        <v>0.63096374702293623</v>
      </c>
      <c r="C611" s="422">
        <v>0.62427677330588272</v>
      </c>
      <c r="D611" s="422">
        <v>0.61653111580227149</v>
      </c>
      <c r="E611" s="422">
        <v>0.60784284444449721</v>
      </c>
      <c r="F611" s="422">
        <v>0.59763070706017662</v>
      </c>
      <c r="G611" s="422">
        <v>0.58558798006281754</v>
      </c>
    </row>
    <row r="612" spans="1:7" x14ac:dyDescent="0.25">
      <c r="A612" s="422" t="s">
        <v>3803</v>
      </c>
      <c r="B612" s="422">
        <v>0.65929177300615205</v>
      </c>
      <c r="C612" s="422">
        <v>0.65163353808834845</v>
      </c>
      <c r="D612" s="422">
        <v>0.6429519484618702</v>
      </c>
      <c r="E612" s="422">
        <v>0.63336170119353685</v>
      </c>
      <c r="F612" s="422">
        <v>0.62228022819225259</v>
      </c>
      <c r="G612" s="422">
        <v>0.60939954439885236</v>
      </c>
    </row>
    <row r="613" spans="1:7" x14ac:dyDescent="0.25">
      <c r="A613" s="422" t="s">
        <v>3804</v>
      </c>
      <c r="B613" s="422">
        <v>7.0117421986345782E-2</v>
      </c>
      <c r="C613" s="422">
        <v>7.0211526303449664E-2</v>
      </c>
      <c r="D613" s="422">
        <v>7.0840098150733485E-2</v>
      </c>
      <c r="E613" s="422">
        <v>7.242324226279559E-2</v>
      </c>
      <c r="F613" s="422">
        <v>7.3457461334058338E-2</v>
      </c>
      <c r="G613" s="422">
        <v>7.44997656753595E-2</v>
      </c>
    </row>
    <row r="614" spans="1:7" x14ac:dyDescent="0.25">
      <c r="A614" s="422" t="s">
        <v>3805</v>
      </c>
      <c r="B614" s="422">
        <v>0.68664853778861767</v>
      </c>
      <c r="C614" s="422">
        <v>0.67805437074794728</v>
      </c>
      <c r="D614" s="422">
        <v>0.66847080521090985</v>
      </c>
      <c r="E614" s="422">
        <v>0.65801122232561315</v>
      </c>
      <c r="F614" s="422">
        <v>0.64609179252828741</v>
      </c>
      <c r="G614" s="422">
        <v>0.63240332134715693</v>
      </c>
    </row>
    <row r="615" spans="1:7" x14ac:dyDescent="0.25">
      <c r="A615" s="422" t="s">
        <v>3806</v>
      </c>
      <c r="B615" s="422">
        <v>0.71306937044821639</v>
      </c>
      <c r="C615" s="422">
        <v>0.70357322749698692</v>
      </c>
      <c r="D615" s="422">
        <v>0.69312032634298604</v>
      </c>
      <c r="E615" s="422">
        <v>0.68182278666164786</v>
      </c>
      <c r="F615" s="422">
        <v>0.6690955694765921</v>
      </c>
      <c r="G615" s="422">
        <v>0.65411523918415981</v>
      </c>
    </row>
    <row r="616" spans="1:7" x14ac:dyDescent="0.25">
      <c r="A616" s="422" t="s">
        <v>3807</v>
      </c>
      <c r="B616" s="422">
        <v>0.73858822719725603</v>
      </c>
      <c r="C616" s="422">
        <v>0.72822274862906344</v>
      </c>
      <c r="D616" s="422">
        <v>0.71693189067902097</v>
      </c>
      <c r="E616" s="422">
        <v>0.70482656360995255</v>
      </c>
      <c r="F616" s="422">
        <v>0.69080748731359487</v>
      </c>
      <c r="G616" s="422">
        <v>0.67460784686420039</v>
      </c>
    </row>
    <row r="617" spans="1:7" x14ac:dyDescent="0.25">
      <c r="A617" s="422" t="s">
        <v>3808</v>
      </c>
      <c r="B617" s="422">
        <v>0.76323774832933233</v>
      </c>
      <c r="C617" s="422">
        <v>0.75203431296509815</v>
      </c>
      <c r="D617" s="422">
        <v>0.73993566762732554</v>
      </c>
      <c r="E617" s="422">
        <v>0.72653848144695543</v>
      </c>
      <c r="F617" s="422">
        <v>0.71130009499363567</v>
      </c>
      <c r="G617" s="422">
        <v>0.69394961909642372</v>
      </c>
    </row>
    <row r="618" spans="1:7" x14ac:dyDescent="0.25">
      <c r="A618" s="422" t="s">
        <v>3809</v>
      </c>
      <c r="B618" s="422">
        <v>0.78704931266536726</v>
      </c>
      <c r="C618" s="422">
        <v>0.77503808991340262</v>
      </c>
      <c r="D618" s="422">
        <v>0.76164758546432854</v>
      </c>
      <c r="E618" s="422">
        <v>0.74703108912699612</v>
      </c>
      <c r="F618" s="422">
        <v>0.730641867225859</v>
      </c>
      <c r="G618" s="422">
        <v>0.71220518514854569</v>
      </c>
    </row>
    <row r="619" spans="1:7" x14ac:dyDescent="0.25">
      <c r="A619" s="422" t="s">
        <v>3810</v>
      </c>
      <c r="B619" s="422">
        <v>0.81005308961367184</v>
      </c>
      <c r="C619" s="422">
        <v>0.79675000775040572</v>
      </c>
      <c r="D619" s="422">
        <v>0.782140193144369</v>
      </c>
      <c r="E619" s="422">
        <v>0.76637286135921945</v>
      </c>
      <c r="F619" s="422">
        <v>0.74889743327798086</v>
      </c>
      <c r="G619" s="422">
        <v>0.72943554480132711</v>
      </c>
    </row>
    <row r="620" spans="1:7" x14ac:dyDescent="0.25">
      <c r="A620" s="422" t="s">
        <v>3811</v>
      </c>
      <c r="B620" s="422">
        <v>0.83176500745067472</v>
      </c>
      <c r="C620" s="422">
        <v>0.81724261543044641</v>
      </c>
      <c r="D620" s="422">
        <v>0.80148196537659211</v>
      </c>
      <c r="E620" s="422">
        <v>0.78462842741134131</v>
      </c>
      <c r="F620" s="422">
        <v>0.76612779293076227</v>
      </c>
      <c r="G620" s="422">
        <v>0.74569827217535378</v>
      </c>
    </row>
    <row r="621" spans="1:7" x14ac:dyDescent="0.25">
      <c r="A621" s="422" t="s">
        <v>3812</v>
      </c>
      <c r="B621" s="422">
        <v>0.85225761513071552</v>
      </c>
      <c r="C621" s="422">
        <v>0.83658438766266952</v>
      </c>
      <c r="D621" s="422">
        <v>0.81973753142871408</v>
      </c>
      <c r="E621" s="422">
        <v>0.80185878706412284</v>
      </c>
      <c r="F621" s="422">
        <v>0.78239052030478906</v>
      </c>
      <c r="G621" s="422">
        <v>0.76104770811119804</v>
      </c>
    </row>
    <row r="622" spans="1:7" x14ac:dyDescent="0.25">
      <c r="A622" s="422" t="s">
        <v>3813</v>
      </c>
      <c r="B622" s="422">
        <v>0.87159938736293863</v>
      </c>
      <c r="C622" s="422">
        <v>0.85483995371479149</v>
      </c>
      <c r="D622" s="422">
        <v>0.83696789108149583</v>
      </c>
      <c r="E622" s="422">
        <v>0.8181215144381494</v>
      </c>
      <c r="F622" s="422">
        <v>0.79773995624063332</v>
      </c>
      <c r="G622" s="422">
        <v>0.77553514174578453</v>
      </c>
    </row>
    <row r="623" spans="1:7" x14ac:dyDescent="0.25">
      <c r="A623" s="422" t="s">
        <v>3814</v>
      </c>
      <c r="B623" s="422">
        <v>0.88985495341506049</v>
      </c>
      <c r="C623" s="422">
        <v>0.8720703133675729</v>
      </c>
      <c r="D623" s="422">
        <v>0.85323061845552273</v>
      </c>
      <c r="E623" s="422">
        <v>0.83347095037399377</v>
      </c>
      <c r="F623" s="422">
        <v>0.8122273898752197</v>
      </c>
      <c r="G623" s="422">
        <v>0.78920898189168953</v>
      </c>
    </row>
    <row r="624" spans="1:7" x14ac:dyDescent="0.25">
      <c r="A624" s="422" t="s">
        <v>3815</v>
      </c>
      <c r="B624" s="422">
        <v>0.10522652600371882</v>
      </c>
      <c r="C624" s="422">
        <v>0.10594252043681002</v>
      </c>
      <c r="D624" s="422">
        <v>0.10753234628016867</v>
      </c>
      <c r="E624" s="422">
        <v>0.1091884554674188</v>
      </c>
      <c r="F624" s="422">
        <v>0.11119201380479471</v>
      </c>
      <c r="G624" s="422">
        <v>0.11208641015990928</v>
      </c>
    </row>
    <row r="625" spans="1:7" x14ac:dyDescent="0.25">
      <c r="A625" s="422" t="s">
        <v>3816</v>
      </c>
      <c r="B625" s="422">
        <v>0.90708531306784213</v>
      </c>
      <c r="C625" s="422">
        <v>0.8883330407415998</v>
      </c>
      <c r="D625" s="422">
        <v>0.86858005439136687</v>
      </c>
      <c r="E625" s="422">
        <v>0.84795838400857992</v>
      </c>
      <c r="F625" s="422">
        <v>0.82590123002112459</v>
      </c>
      <c r="G625" s="422">
        <v>0.80211491879202435</v>
      </c>
    </row>
    <row r="626" spans="1:7" x14ac:dyDescent="0.25">
      <c r="A626" s="422" t="s">
        <v>3817</v>
      </c>
      <c r="B626" s="422">
        <v>0.14095752013707916</v>
      </c>
      <c r="C626" s="422">
        <v>0.14263476856624518</v>
      </c>
      <c r="D626" s="422">
        <v>0.14429755948479178</v>
      </c>
      <c r="E626" s="422">
        <v>0.1469230079381551</v>
      </c>
      <c r="F626" s="422">
        <v>0.14877865828934445</v>
      </c>
      <c r="G626" s="422">
        <v>0.14938848076454975</v>
      </c>
    </row>
    <row r="627" spans="1:7" x14ac:dyDescent="0.25">
      <c r="A627" s="422" t="s">
        <v>3818</v>
      </c>
      <c r="B627" s="422">
        <v>0.17764976826651435</v>
      </c>
      <c r="C627" s="422">
        <v>0.17939998177086824</v>
      </c>
      <c r="D627" s="422">
        <v>0.18203211195552818</v>
      </c>
      <c r="E627" s="422">
        <v>0.1845096524227049</v>
      </c>
      <c r="F627" s="422">
        <v>0.18608072889398491</v>
      </c>
      <c r="G627" s="422">
        <v>0.18634371069088468</v>
      </c>
    </row>
    <row r="628" spans="1:7" x14ac:dyDescent="0.25">
      <c r="A628" s="422" t="s">
        <v>3819</v>
      </c>
      <c r="B628" s="422">
        <v>0.21441498147113744</v>
      </c>
      <c r="C628" s="422">
        <v>0.21713453424160467</v>
      </c>
      <c r="D628" s="422">
        <v>0.21961875644007792</v>
      </c>
      <c r="E628" s="422">
        <v>0.22181172302734531</v>
      </c>
      <c r="F628" s="422">
        <v>0.22303595882031985</v>
      </c>
      <c r="G628" s="422">
        <v>0.2227068665385068</v>
      </c>
    </row>
    <row r="629" spans="1:7" x14ac:dyDescent="0.25">
      <c r="A629" s="422" t="s">
        <v>3820</v>
      </c>
      <c r="B629" s="422">
        <v>0.25214953394187384</v>
      </c>
      <c r="C629" s="422">
        <v>0.25472117872615457</v>
      </c>
      <c r="D629" s="422">
        <v>0.25692082704471841</v>
      </c>
      <c r="E629" s="422">
        <v>0.2587669529536803</v>
      </c>
      <c r="F629" s="422">
        <v>0.25939911466794202</v>
      </c>
      <c r="G629" s="422">
        <v>0.25871105599788213</v>
      </c>
    </row>
    <row r="630" spans="1:7" x14ac:dyDescent="0.25">
      <c r="A630" s="422" t="s">
        <v>3821</v>
      </c>
      <c r="B630" s="422">
        <v>0.28973617842642374</v>
      </c>
      <c r="C630" s="422">
        <v>0.2920232493307951</v>
      </c>
      <c r="D630" s="422">
        <v>0.29387605697105329</v>
      </c>
      <c r="E630" s="422">
        <v>0.29513010880130247</v>
      </c>
      <c r="F630" s="422">
        <v>0.2954033041273173</v>
      </c>
      <c r="G630" s="422">
        <v>0.29468831798312378</v>
      </c>
    </row>
    <row r="631" spans="1:7" x14ac:dyDescent="0.25">
      <c r="A631" s="422" t="s">
        <v>3822</v>
      </c>
      <c r="B631" s="422">
        <v>0.32703824903106427</v>
      </c>
      <c r="C631" s="422">
        <v>0.32897847925713014</v>
      </c>
      <c r="D631" s="422">
        <v>0.33023921281867546</v>
      </c>
      <c r="E631" s="422">
        <v>0.3311342982606777</v>
      </c>
      <c r="F631" s="422">
        <v>0.33138056611255901</v>
      </c>
      <c r="G631" s="422">
        <v>0.32907066185200567</v>
      </c>
    </row>
    <row r="632" spans="1:7" x14ac:dyDescent="0.25">
      <c r="A632" s="422" t="s">
        <v>3823</v>
      </c>
      <c r="B632" s="422">
        <v>3.419975326308685E-2</v>
      </c>
      <c r="C632" s="422">
        <v>3.4254719537800668E-2</v>
      </c>
      <c r="D632" s="422">
        <v>3.423216706618025E-2</v>
      </c>
      <c r="E632" s="422">
        <v>3.4777533236919358E-2</v>
      </c>
      <c r="F632" s="422">
        <v>3.566703614762113E-2</v>
      </c>
      <c r="G632" s="422">
        <v>3.5694030388953836E-2</v>
      </c>
    </row>
    <row r="633" spans="1:7" x14ac:dyDescent="0.25">
      <c r="A633" s="422" t="s">
        <v>3824</v>
      </c>
      <c r="B633" s="422">
        <v>0.35389438215467883</v>
      </c>
      <c r="C633" s="422">
        <v>0.35495110842039379</v>
      </c>
      <c r="D633" s="422">
        <v>0.3556203720692</v>
      </c>
      <c r="E633" s="422">
        <v>0.35631264288523662</v>
      </c>
      <c r="F633" s="422">
        <v>0.35491309702715612</v>
      </c>
      <c r="G633" s="422">
        <v>0.35108488418613637</v>
      </c>
    </row>
    <row r="634" spans="1:7" x14ac:dyDescent="0.25">
      <c r="A634" s="422" t="s">
        <v>3825</v>
      </c>
      <c r="B634" s="422">
        <v>0.38915086168348056</v>
      </c>
      <c r="C634" s="422">
        <v>0.38987509160700057</v>
      </c>
      <c r="D634" s="422">
        <v>0.39054480995141694</v>
      </c>
      <c r="E634" s="422">
        <v>0.38969063026407541</v>
      </c>
      <c r="F634" s="422">
        <v>0.3867519203337576</v>
      </c>
      <c r="G634" s="422">
        <v>0.38179379503261507</v>
      </c>
    </row>
    <row r="635" spans="1:7" x14ac:dyDescent="0.25">
      <c r="A635" s="422" t="s">
        <v>3826</v>
      </c>
      <c r="B635" s="422">
        <v>0.42407484487008734</v>
      </c>
      <c r="C635" s="422">
        <v>0.4247995294892174</v>
      </c>
      <c r="D635" s="422">
        <v>0.42392279733025562</v>
      </c>
      <c r="E635" s="422">
        <v>0.42152945357067712</v>
      </c>
      <c r="F635" s="422">
        <v>0.41746083118023619</v>
      </c>
      <c r="G635" s="422">
        <v>0.41141559456749488</v>
      </c>
    </row>
    <row r="636" spans="1:7" x14ac:dyDescent="0.25">
      <c r="A636" s="422" t="s">
        <v>3827</v>
      </c>
      <c r="B636" s="422">
        <v>0.45899928275230439</v>
      </c>
      <c r="C636" s="422">
        <v>0.45817751686805613</v>
      </c>
      <c r="D636" s="422">
        <v>0.45576162063685732</v>
      </c>
      <c r="E636" s="422">
        <v>0.4522383644171557</v>
      </c>
      <c r="F636" s="422">
        <v>0.447082630715116</v>
      </c>
      <c r="G636" s="422">
        <v>0.43992025708997695</v>
      </c>
    </row>
    <row r="637" spans="1:7" x14ac:dyDescent="0.25">
      <c r="A637" s="422" t="s">
        <v>3828</v>
      </c>
      <c r="B637" s="422">
        <v>0.49237727013114296</v>
      </c>
      <c r="C637" s="422">
        <v>0.49001634017465767</v>
      </c>
      <c r="D637" s="422">
        <v>0.48647053148333591</v>
      </c>
      <c r="E637" s="422">
        <v>0.48186016395203529</v>
      </c>
      <c r="F637" s="422">
        <v>0.47558729323759813</v>
      </c>
      <c r="G637" s="422">
        <v>0.46745186605210109</v>
      </c>
    </row>
    <row r="638" spans="1:7" x14ac:dyDescent="0.25">
      <c r="A638" s="422" t="s">
        <v>3829</v>
      </c>
      <c r="B638" s="422">
        <v>0.52421609343774445</v>
      </c>
      <c r="C638" s="422">
        <v>0.5207252510211362</v>
      </c>
      <c r="D638" s="422">
        <v>0.5160923310182155</v>
      </c>
      <c r="E638" s="422">
        <v>0.51036482647451753</v>
      </c>
      <c r="F638" s="422">
        <v>0.50311890219972222</v>
      </c>
      <c r="G638" s="422">
        <v>0.49404563748565544</v>
      </c>
    </row>
    <row r="639" spans="1:7" x14ac:dyDescent="0.25">
      <c r="A639" s="422" t="s">
        <v>3830</v>
      </c>
      <c r="B639" s="422">
        <v>0.55492500428422309</v>
      </c>
      <c r="C639" s="422">
        <v>0.55034705055601607</v>
      </c>
      <c r="D639" s="422">
        <v>0.54459699354069768</v>
      </c>
      <c r="E639" s="422">
        <v>0.53789643543664156</v>
      </c>
      <c r="F639" s="422">
        <v>0.52971267363327657</v>
      </c>
      <c r="G639" s="422">
        <v>0.51973542601922906</v>
      </c>
    </row>
    <row r="640" spans="1:7" x14ac:dyDescent="0.25">
      <c r="A640" s="422" t="s">
        <v>3831</v>
      </c>
      <c r="B640" s="422">
        <v>0.58454680381910273</v>
      </c>
      <c r="C640" s="422">
        <v>0.57885171307849803</v>
      </c>
      <c r="D640" s="422">
        <v>0.57212860250282194</v>
      </c>
      <c r="E640" s="422">
        <v>0.56449020687019591</v>
      </c>
      <c r="F640" s="422">
        <v>0.5554024621668503</v>
      </c>
      <c r="G640" s="422">
        <v>0.54455378108596753</v>
      </c>
    </row>
    <row r="641" spans="1:7" x14ac:dyDescent="0.25">
      <c r="A641" s="422" t="s">
        <v>3832</v>
      </c>
      <c r="B641" s="422">
        <v>0.61305146634158503</v>
      </c>
      <c r="C641" s="422">
        <v>0.60638332204062217</v>
      </c>
      <c r="D641" s="422">
        <v>0.59872237393637617</v>
      </c>
      <c r="E641" s="422">
        <v>0.59017999540376964</v>
      </c>
      <c r="F641" s="422">
        <v>0.58022081723358887</v>
      </c>
      <c r="G641" s="422">
        <v>0.56853200067219434</v>
      </c>
    </row>
    <row r="642" spans="1:7" x14ac:dyDescent="0.25">
      <c r="A642" s="422" t="s">
        <v>3833</v>
      </c>
      <c r="B642" s="422">
        <v>0.64058307530370906</v>
      </c>
      <c r="C642" s="422">
        <v>0.63297709347417652</v>
      </c>
      <c r="D642" s="422">
        <v>0.62441216246994979</v>
      </c>
      <c r="E642" s="422">
        <v>0.61499835047050799</v>
      </c>
      <c r="F642" s="422">
        <v>0.60419903681981546</v>
      </c>
      <c r="G642" s="422">
        <v>0.5917001827195314</v>
      </c>
    </row>
    <row r="643" spans="1:7" x14ac:dyDescent="0.25">
      <c r="A643" s="422" t="s">
        <v>3834</v>
      </c>
      <c r="B643" s="422">
        <v>6.8454472800887511E-2</v>
      </c>
      <c r="C643" s="422">
        <v>6.8486886603980904E-2</v>
      </c>
      <c r="D643" s="422">
        <v>6.9009700303099636E-2</v>
      </c>
      <c r="E643" s="422">
        <v>7.0444569384540495E-2</v>
      </c>
      <c r="F643" s="422">
        <v>7.136106653657498E-2</v>
      </c>
      <c r="G643" s="422">
        <v>7.2317367335536786E-2</v>
      </c>
    </row>
    <row r="644" spans="1:7" x14ac:dyDescent="0.25">
      <c r="A644" s="422" t="s">
        <v>3835</v>
      </c>
      <c r="B644" s="422">
        <v>0.6671768467372633</v>
      </c>
      <c r="C644" s="422">
        <v>0.65866688200775014</v>
      </c>
      <c r="D644" s="422">
        <v>0.64923051753668826</v>
      </c>
      <c r="E644" s="422">
        <v>0.63897657005673458</v>
      </c>
      <c r="F644" s="422">
        <v>0.62736721886715263</v>
      </c>
      <c r="G644" s="422">
        <v>0.61408727428781762</v>
      </c>
    </row>
    <row r="645" spans="1:7" x14ac:dyDescent="0.25">
      <c r="A645" s="422" t="s">
        <v>3836</v>
      </c>
      <c r="B645" s="422">
        <v>0.69286663527083692</v>
      </c>
      <c r="C645" s="422">
        <v>0.68348523707448861</v>
      </c>
      <c r="D645" s="422">
        <v>0.67320873712291496</v>
      </c>
      <c r="E645" s="422">
        <v>0.66214475210407187</v>
      </c>
      <c r="F645" s="422">
        <v>0.64975431043543874</v>
      </c>
      <c r="G645" s="422">
        <v>0.63521713891102283</v>
      </c>
    </row>
    <row r="646" spans="1:7" x14ac:dyDescent="0.25">
      <c r="A646" s="422" t="s">
        <v>3837</v>
      </c>
      <c r="B646" s="422">
        <v>0.71768499033757549</v>
      </c>
      <c r="C646" s="422">
        <v>0.70746345666071531</v>
      </c>
      <c r="D646" s="422">
        <v>0.69637691917025246</v>
      </c>
      <c r="E646" s="422">
        <v>0.6845318436723582</v>
      </c>
      <c r="F646" s="422">
        <v>0.67088417505864417</v>
      </c>
      <c r="G646" s="422">
        <v>0.65516038065071658</v>
      </c>
    </row>
    <row r="647" spans="1:7" x14ac:dyDescent="0.25">
      <c r="A647" s="422" t="s">
        <v>3838</v>
      </c>
      <c r="B647" s="422">
        <v>0.74166320992380208</v>
      </c>
      <c r="C647" s="422">
        <v>0.73063163870805248</v>
      </c>
      <c r="D647" s="422">
        <v>0.71876401073853824</v>
      </c>
      <c r="E647" s="422">
        <v>0.70566170829556341</v>
      </c>
      <c r="F647" s="422">
        <v>0.69082741679833792</v>
      </c>
      <c r="G647" s="422">
        <v>0.67398363854566112</v>
      </c>
    </row>
    <row r="648" spans="1:7" x14ac:dyDescent="0.25">
      <c r="A648" s="422" t="s">
        <v>3839</v>
      </c>
      <c r="B648" s="422">
        <v>0.76483139197113936</v>
      </c>
      <c r="C648" s="422">
        <v>0.75301873027633859</v>
      </c>
      <c r="D648" s="422">
        <v>0.73989387536174367</v>
      </c>
      <c r="E648" s="422">
        <v>0.72560495003525727</v>
      </c>
      <c r="F648" s="422">
        <v>0.70965067469328236</v>
      </c>
      <c r="G648" s="422">
        <v>0.69174980928180496</v>
      </c>
    </row>
    <row r="649" spans="1:7" x14ac:dyDescent="0.25">
      <c r="A649" s="422" t="s">
        <v>3840</v>
      </c>
      <c r="B649" s="422">
        <v>0.78721848353942536</v>
      </c>
      <c r="C649" s="422">
        <v>0.77414859489954402</v>
      </c>
      <c r="D649" s="422">
        <v>0.75983711710143742</v>
      </c>
      <c r="E649" s="422">
        <v>0.74442820793020159</v>
      </c>
      <c r="F649" s="422">
        <v>0.72741684542942597</v>
      </c>
      <c r="G649" s="422">
        <v>0.70851825735744811</v>
      </c>
    </row>
    <row r="650" spans="1:7" x14ac:dyDescent="0.25">
      <c r="A650" s="422" t="s">
        <v>3841</v>
      </c>
      <c r="B650" s="422">
        <v>0.8083483481626309</v>
      </c>
      <c r="C650" s="422">
        <v>0.79409183663923766</v>
      </c>
      <c r="D650" s="422">
        <v>0.77866037499638197</v>
      </c>
      <c r="E650" s="422">
        <v>0.76219437866634543</v>
      </c>
      <c r="F650" s="422">
        <v>0.74418529350506923</v>
      </c>
      <c r="G650" s="422">
        <v>0.72434501344583224</v>
      </c>
    </row>
    <row r="651" spans="1:7" x14ac:dyDescent="0.25">
      <c r="A651" s="422" t="s">
        <v>3842</v>
      </c>
      <c r="B651" s="422">
        <v>0.82829158990232432</v>
      </c>
      <c r="C651" s="422">
        <v>0.81291509453418187</v>
      </c>
      <c r="D651" s="422">
        <v>0.79642654573252569</v>
      </c>
      <c r="E651" s="422">
        <v>0.77896282674198858</v>
      </c>
      <c r="F651" s="422">
        <v>0.76001204959345348</v>
      </c>
      <c r="G651" s="422">
        <v>0.73928296161797402</v>
      </c>
    </row>
    <row r="652" spans="1:7" x14ac:dyDescent="0.25">
      <c r="A652" s="422" t="s">
        <v>3843</v>
      </c>
      <c r="B652" s="422">
        <v>0.84711484779726887</v>
      </c>
      <c r="C652" s="422">
        <v>0.83068126527032593</v>
      </c>
      <c r="D652" s="422">
        <v>0.81319499380816884</v>
      </c>
      <c r="E652" s="422">
        <v>0.79478958283037282</v>
      </c>
      <c r="F652" s="422">
        <v>0.77494999776559526</v>
      </c>
      <c r="G652" s="422">
        <v>0.75338201605133115</v>
      </c>
    </row>
    <row r="653" spans="1:7" x14ac:dyDescent="0.25">
      <c r="A653" s="422" t="s">
        <v>3844</v>
      </c>
      <c r="B653" s="422">
        <v>0.8648810185334127</v>
      </c>
      <c r="C653" s="422">
        <v>0.84744971334596897</v>
      </c>
      <c r="D653" s="422">
        <v>0.82902174989655308</v>
      </c>
      <c r="E653" s="422">
        <v>0.80972753100251482</v>
      </c>
      <c r="F653" s="422">
        <v>0.78904905219895238</v>
      </c>
      <c r="G653" s="422">
        <v>0.76668928781476409</v>
      </c>
    </row>
    <row r="654" spans="1:7" x14ac:dyDescent="0.25">
      <c r="A654" s="422" t="s">
        <v>3845</v>
      </c>
      <c r="B654" s="422">
        <v>0.10268663986706771</v>
      </c>
      <c r="C654" s="422">
        <v>0.10326441984090018</v>
      </c>
      <c r="D654" s="422">
        <v>0.10467673645072074</v>
      </c>
      <c r="E654" s="422">
        <v>0.10613859977349435</v>
      </c>
      <c r="F654" s="422">
        <v>0.1079844034831579</v>
      </c>
      <c r="G654" s="422">
        <v>0.108771561555967</v>
      </c>
    </row>
    <row r="655" spans="1:7" x14ac:dyDescent="0.25">
      <c r="A655" s="422" t="s">
        <v>3846</v>
      </c>
      <c r="B655" s="422">
        <v>0.88164946660905597</v>
      </c>
      <c r="C655" s="422">
        <v>0.86327646943435321</v>
      </c>
      <c r="D655" s="422">
        <v>0.84395969806869475</v>
      </c>
      <c r="E655" s="422">
        <v>0.82382658543587173</v>
      </c>
      <c r="F655" s="422">
        <v>0.80235632396238521</v>
      </c>
      <c r="G655" s="422">
        <v>0.77924924228709347</v>
      </c>
    </row>
    <row r="656" spans="1:7" x14ac:dyDescent="0.25">
      <c r="A656" s="422" t="s">
        <v>3847</v>
      </c>
      <c r="B656" s="422">
        <v>0.13746417310398698</v>
      </c>
      <c r="C656" s="422">
        <v>0.13893145598852119</v>
      </c>
      <c r="D656" s="422">
        <v>0.14037076683967459</v>
      </c>
      <c r="E656" s="422">
        <v>0.14276193672007728</v>
      </c>
      <c r="F656" s="422">
        <v>0.14443859770358808</v>
      </c>
      <c r="G656" s="422">
        <v>0.14493641749571073</v>
      </c>
    </row>
    <row r="657" spans="1:7" x14ac:dyDescent="0.25">
      <c r="A657" s="422" t="s">
        <v>3848</v>
      </c>
      <c r="B657" s="422">
        <v>0.17313120925160808</v>
      </c>
      <c r="C657" s="422">
        <v>0.17462548637747491</v>
      </c>
      <c r="D657" s="422">
        <v>0.17699410378625755</v>
      </c>
      <c r="E657" s="422">
        <v>0.17921613094050742</v>
      </c>
      <c r="F657" s="422">
        <v>0.18060345364333186</v>
      </c>
      <c r="G657" s="422">
        <v>0.18076317290307087</v>
      </c>
    </row>
    <row r="658" spans="1:7" x14ac:dyDescent="0.25">
      <c r="A658" s="422" t="s">
        <v>3849</v>
      </c>
      <c r="B658" s="422">
        <v>0.20882523964056179</v>
      </c>
      <c r="C658" s="422">
        <v>0.21124882332405787</v>
      </c>
      <c r="D658" s="422">
        <v>0.2134482980066878</v>
      </c>
      <c r="E658" s="422">
        <v>0.21538098688025126</v>
      </c>
      <c r="F658" s="422">
        <v>0.21643020905069196</v>
      </c>
      <c r="G658" s="422">
        <v>0.21601965243187246</v>
      </c>
    </row>
    <row r="659" spans="1:7" x14ac:dyDescent="0.25">
      <c r="A659" s="422" t="s">
        <v>3850</v>
      </c>
      <c r="B659" s="422">
        <v>0.24544857658714475</v>
      </c>
      <c r="C659" s="422">
        <v>0.24770301754448815</v>
      </c>
      <c r="D659" s="422">
        <v>0.24961315394643147</v>
      </c>
      <c r="E659" s="422">
        <v>0.25120774228761128</v>
      </c>
      <c r="F659" s="422">
        <v>0.25168668857949361</v>
      </c>
      <c r="G659" s="422">
        <v>0.25094363561847932</v>
      </c>
    </row>
    <row r="660" spans="1:7" x14ac:dyDescent="0.25">
      <c r="A660" s="422" t="s">
        <v>3851</v>
      </c>
      <c r="B660" s="422">
        <v>0.28190277080757492</v>
      </c>
      <c r="C660" s="422">
        <v>0.28386787348423193</v>
      </c>
      <c r="D660" s="422">
        <v>0.28543990935379154</v>
      </c>
      <c r="E660" s="422">
        <v>0.28646422181641296</v>
      </c>
      <c r="F660" s="422">
        <v>0.28661067176610039</v>
      </c>
      <c r="G660" s="422">
        <v>0.28586807350069621</v>
      </c>
    </row>
    <row r="661" spans="1:7" x14ac:dyDescent="0.25">
      <c r="A661" s="422" t="s">
        <v>3852</v>
      </c>
      <c r="B661" s="422">
        <v>0.31806762674731881</v>
      </c>
      <c r="C661" s="422">
        <v>0.319694628891592</v>
      </c>
      <c r="D661" s="422">
        <v>0.32069638888259322</v>
      </c>
      <c r="E661" s="422">
        <v>0.32138820500301973</v>
      </c>
      <c r="F661" s="422">
        <v>0.32153510964831716</v>
      </c>
      <c r="G661" s="422">
        <v>0.31924606087953494</v>
      </c>
    </row>
    <row r="662" spans="1:7" x14ac:dyDescent="0.25">
      <c r="A662" s="422" t="s">
        <v>3853</v>
      </c>
      <c r="B662" s="422">
        <v>3.900450834593347E-2</v>
      </c>
      <c r="C662" s="422">
        <v>3.9270098870587293E-2</v>
      </c>
      <c r="D662" s="422">
        <v>3.9438327478778568E-2</v>
      </c>
      <c r="E662" s="422">
        <v>4.0474139594376582E-2</v>
      </c>
      <c r="F662" s="422">
        <v>4.1817901843913111E-2</v>
      </c>
      <c r="G662" s="422">
        <v>4.2143975204004147E-2</v>
      </c>
    </row>
    <row r="663" spans="1:7" x14ac:dyDescent="0.25">
      <c r="A663" s="422" t="s">
        <v>3854</v>
      </c>
      <c r="B663" s="422">
        <v>0.41444725295697593</v>
      </c>
      <c r="C663" s="422">
        <v>0.41738686894792187</v>
      </c>
      <c r="D663" s="422">
        <v>0.41956087934135144</v>
      </c>
      <c r="E663" s="422">
        <v>0.42138872695335411</v>
      </c>
      <c r="F663" s="422">
        <v>0.42034145724711219</v>
      </c>
      <c r="G663" s="422">
        <v>0.4161143098020455</v>
      </c>
    </row>
    <row r="664" spans="1:7" x14ac:dyDescent="0.25">
      <c r="A664" s="422" t="s">
        <v>3855</v>
      </c>
      <c r="B664" s="422">
        <v>0.45639137729385548</v>
      </c>
      <c r="C664" s="422">
        <v>0.4588309782119388</v>
      </c>
      <c r="D664" s="422">
        <v>0.46082705443213251</v>
      </c>
      <c r="E664" s="422">
        <v>0.46081559684148887</v>
      </c>
      <c r="F664" s="422">
        <v>0.4579322116459586</v>
      </c>
      <c r="G664" s="422">
        <v>0.45230883957333001</v>
      </c>
    </row>
    <row r="665" spans="1:7" x14ac:dyDescent="0.25">
      <c r="A665" s="422" t="s">
        <v>3856</v>
      </c>
      <c r="B665" s="422">
        <v>0.49783548655787219</v>
      </c>
      <c r="C665" s="422">
        <v>0.50009715330271987</v>
      </c>
      <c r="D665" s="422">
        <v>0.50025392432026738</v>
      </c>
      <c r="E665" s="422">
        <v>0.49840635124033528</v>
      </c>
      <c r="F665" s="422">
        <v>0.49412674141724311</v>
      </c>
      <c r="G665" s="422">
        <v>0.48716394020372888</v>
      </c>
    </row>
    <row r="666" spans="1:7" x14ac:dyDescent="0.25">
      <c r="A666" s="422" t="s">
        <v>3857</v>
      </c>
      <c r="B666" s="422">
        <v>0.53910166164865336</v>
      </c>
      <c r="C666" s="422">
        <v>0.53952402319085457</v>
      </c>
      <c r="D666" s="422">
        <v>0.53784467871911379</v>
      </c>
      <c r="E666" s="422">
        <v>0.53460088101161984</v>
      </c>
      <c r="F666" s="422">
        <v>0.5289818420476422</v>
      </c>
      <c r="G666" s="422">
        <v>0.52066279488884148</v>
      </c>
    </row>
    <row r="667" spans="1:7" x14ac:dyDescent="0.25">
      <c r="A667" s="422" t="s">
        <v>3858</v>
      </c>
      <c r="B667" s="422">
        <v>0.57852853153678818</v>
      </c>
      <c r="C667" s="422">
        <v>0.57711477758970109</v>
      </c>
      <c r="D667" s="422">
        <v>0.57403920849039813</v>
      </c>
      <c r="E667" s="422">
        <v>0.56945598164201872</v>
      </c>
      <c r="F667" s="422">
        <v>0.5624806967327548</v>
      </c>
      <c r="G667" s="422">
        <v>0.5529751905641348</v>
      </c>
    </row>
    <row r="668" spans="1:7" x14ac:dyDescent="0.25">
      <c r="A668" s="422" t="s">
        <v>3859</v>
      </c>
      <c r="B668" s="422">
        <v>0.61611928593563459</v>
      </c>
      <c r="C668" s="422">
        <v>0.61330930736098555</v>
      </c>
      <c r="D668" s="422">
        <v>0.60889430912079712</v>
      </c>
      <c r="E668" s="422">
        <v>0.60295483632713109</v>
      </c>
      <c r="F668" s="422">
        <v>0.59479309240804779</v>
      </c>
      <c r="G668" s="422">
        <v>0.58414589010700479</v>
      </c>
    </row>
    <row r="669" spans="1:7" x14ac:dyDescent="0.25">
      <c r="A669" s="422" t="s">
        <v>3860</v>
      </c>
      <c r="B669" s="422">
        <v>0.65231381570691882</v>
      </c>
      <c r="C669" s="422">
        <v>0.64816440799138453</v>
      </c>
      <c r="D669" s="422">
        <v>0.64239316380590972</v>
      </c>
      <c r="E669" s="422">
        <v>0.6352672320024243</v>
      </c>
      <c r="F669" s="422">
        <v>0.62596379195091811</v>
      </c>
      <c r="G669" s="422">
        <v>0.61421785241032634</v>
      </c>
    </row>
    <row r="670" spans="1:7" x14ac:dyDescent="0.25">
      <c r="A670" s="422" t="s">
        <v>3861</v>
      </c>
      <c r="B670" s="422">
        <v>0.68716891633731791</v>
      </c>
      <c r="C670" s="422">
        <v>0.68166326267649713</v>
      </c>
      <c r="D670" s="422">
        <v>0.67470555948120303</v>
      </c>
      <c r="E670" s="422">
        <v>0.66643793154529463</v>
      </c>
      <c r="F670" s="422">
        <v>0.65603575425423943</v>
      </c>
      <c r="G670" s="422">
        <v>0.64323230965045641</v>
      </c>
    </row>
    <row r="671" spans="1:7" x14ac:dyDescent="0.25">
      <c r="A671" s="422" t="s">
        <v>3862</v>
      </c>
      <c r="B671" s="422">
        <v>0.72066777102243063</v>
      </c>
      <c r="C671" s="422">
        <v>0.71397565835179011</v>
      </c>
      <c r="D671" s="422">
        <v>0.70587625902407325</v>
      </c>
      <c r="E671" s="422">
        <v>0.69650989384861606</v>
      </c>
      <c r="F671" s="422">
        <v>0.68505021149436962</v>
      </c>
      <c r="G671" s="422">
        <v>0.67122884107538128</v>
      </c>
    </row>
    <row r="672" spans="1:7" x14ac:dyDescent="0.25">
      <c r="A672" s="422" t="s">
        <v>3863</v>
      </c>
      <c r="B672" s="422">
        <v>0.75298016669772361</v>
      </c>
      <c r="C672" s="422">
        <v>0.74514635789466044</v>
      </c>
      <c r="D672" s="422">
        <v>0.73594822132739468</v>
      </c>
      <c r="E672" s="422">
        <v>0.72552435108874624</v>
      </c>
      <c r="F672" s="422">
        <v>0.71304674291929449</v>
      </c>
      <c r="G672" s="422">
        <v>0.69824544347573214</v>
      </c>
    </row>
    <row r="673" spans="1:7" x14ac:dyDescent="0.25">
      <c r="A673" s="422" t="s">
        <v>3864</v>
      </c>
      <c r="B673" s="422">
        <v>7.8274607216520756E-2</v>
      </c>
      <c r="C673" s="422">
        <v>7.8708426349365868E-2</v>
      </c>
      <c r="D673" s="422">
        <v>7.991246707315515E-2</v>
      </c>
      <c r="E673" s="422">
        <v>8.2292041438289693E-2</v>
      </c>
      <c r="F673" s="422">
        <v>8.3961877047917258E-2</v>
      </c>
      <c r="G673" s="422">
        <v>8.5464296645025264E-2</v>
      </c>
    </row>
    <row r="674" spans="1:7" x14ac:dyDescent="0.25">
      <c r="A674" s="422" t="s">
        <v>3865</v>
      </c>
      <c r="B674" s="422">
        <v>0.78415086624059394</v>
      </c>
      <c r="C674" s="422">
        <v>0.77521832019798176</v>
      </c>
      <c r="D674" s="422">
        <v>0.76496267856752476</v>
      </c>
      <c r="E674" s="422">
        <v>0.753520882513671</v>
      </c>
      <c r="F674" s="422">
        <v>0.74006334531964524</v>
      </c>
      <c r="G674" s="422">
        <v>0.72431859849359037</v>
      </c>
    </row>
    <row r="675" spans="1:7" x14ac:dyDescent="0.25">
      <c r="A675" s="422" t="s">
        <v>3866</v>
      </c>
      <c r="B675" s="422">
        <v>0.81422282854391537</v>
      </c>
      <c r="C675" s="422">
        <v>0.80423277743811217</v>
      </c>
      <c r="D675" s="422">
        <v>0.79295920999244962</v>
      </c>
      <c r="E675" s="422">
        <v>0.78053748491402175</v>
      </c>
      <c r="F675" s="422">
        <v>0.7661365003375038</v>
      </c>
      <c r="G675" s="422">
        <v>0.7489275225312102</v>
      </c>
    </row>
    <row r="676" spans="1:7" x14ac:dyDescent="0.25">
      <c r="A676" s="422" t="s">
        <v>3867</v>
      </c>
      <c r="B676" s="422">
        <v>0.84323728578404544</v>
      </c>
      <c r="C676" s="422">
        <v>0.83222930886303692</v>
      </c>
      <c r="D676" s="422">
        <v>0.81997581239280048</v>
      </c>
      <c r="E676" s="422">
        <v>0.80661063993188009</v>
      </c>
      <c r="F676" s="422">
        <v>0.79074542437512363</v>
      </c>
      <c r="G676" s="422">
        <v>0.77215444469979932</v>
      </c>
    </row>
    <row r="677" spans="1:7" x14ac:dyDescent="0.25">
      <c r="A677" s="422" t="s">
        <v>3868</v>
      </c>
      <c r="B677" s="422">
        <v>0.87123381720897042</v>
      </c>
      <c r="C677" s="422">
        <v>0.85924591126338767</v>
      </c>
      <c r="D677" s="422">
        <v>0.84604896741065871</v>
      </c>
      <c r="E677" s="422">
        <v>0.83121956396950003</v>
      </c>
      <c r="F677" s="422">
        <v>0.81397234654371231</v>
      </c>
      <c r="G677" s="422">
        <v>0.79407697624164797</v>
      </c>
    </row>
    <row r="678" spans="1:7" x14ac:dyDescent="0.25">
      <c r="A678" s="422" t="s">
        <v>3869</v>
      </c>
      <c r="B678" s="422">
        <v>0.89825041960932117</v>
      </c>
      <c r="C678" s="422">
        <v>0.88531906628124613</v>
      </c>
      <c r="D678" s="422">
        <v>0.87065789144827854</v>
      </c>
      <c r="E678" s="422">
        <v>0.85444648613808882</v>
      </c>
      <c r="F678" s="422">
        <v>0.83589487808556129</v>
      </c>
      <c r="G678" s="422">
        <v>0.81476836986302503</v>
      </c>
    </row>
    <row r="679" spans="1:7" x14ac:dyDescent="0.25">
      <c r="A679" s="422" t="s">
        <v>3870</v>
      </c>
      <c r="B679" s="422">
        <v>0.92432357462717929</v>
      </c>
      <c r="C679" s="422">
        <v>0.90992799031886595</v>
      </c>
      <c r="D679" s="422">
        <v>0.89388481361686745</v>
      </c>
      <c r="E679" s="422">
        <v>0.8763690176799378</v>
      </c>
      <c r="F679" s="422">
        <v>0.85658627170693824</v>
      </c>
      <c r="G679" s="422">
        <v>0.83429776450330517</v>
      </c>
    </row>
    <row r="680" spans="1:7" x14ac:dyDescent="0.25">
      <c r="A680" s="422" t="s">
        <v>3871</v>
      </c>
      <c r="B680" s="422">
        <v>0.11771293469529932</v>
      </c>
      <c r="C680" s="422">
        <v>0.11918256594374244</v>
      </c>
      <c r="D680" s="422">
        <v>0.12173036891706826</v>
      </c>
      <c r="E680" s="422">
        <v>0.12443601664229383</v>
      </c>
      <c r="F680" s="422">
        <v>0.1272821984889384</v>
      </c>
      <c r="G680" s="422">
        <v>0.12875631335976317</v>
      </c>
    </row>
    <row r="681" spans="1:7" x14ac:dyDescent="0.25">
      <c r="A681" s="422" t="s">
        <v>3872</v>
      </c>
      <c r="B681" s="422">
        <v>0.15818707428967593</v>
      </c>
      <c r="C681" s="422">
        <v>0.16100046778765553</v>
      </c>
      <c r="D681" s="422">
        <v>0.16387434412107243</v>
      </c>
      <c r="E681" s="422">
        <v>0.16775633808331503</v>
      </c>
      <c r="F681" s="422">
        <v>0.17057421520367627</v>
      </c>
      <c r="G681" s="422">
        <v>0.17179431220971925</v>
      </c>
    </row>
    <row r="682" spans="1:7" x14ac:dyDescent="0.25">
      <c r="A682" s="422" t="s">
        <v>3873</v>
      </c>
      <c r="B682" s="422">
        <v>0.200004976133589</v>
      </c>
      <c r="C682" s="422">
        <v>0.20314444299165971</v>
      </c>
      <c r="D682" s="422">
        <v>0.20719466556209354</v>
      </c>
      <c r="E682" s="422">
        <v>0.21104835479805287</v>
      </c>
      <c r="F682" s="422">
        <v>0.21361221405363237</v>
      </c>
      <c r="G682" s="422">
        <v>0.21444227682338704</v>
      </c>
    </row>
    <row r="683" spans="1:7" x14ac:dyDescent="0.25">
      <c r="A683" s="422" t="s">
        <v>3874</v>
      </c>
      <c r="B683" s="422">
        <v>0.24214895133759318</v>
      </c>
      <c r="C683" s="422">
        <v>0.24646476443268087</v>
      </c>
      <c r="D683" s="422">
        <v>0.25048668227683146</v>
      </c>
      <c r="E683" s="422">
        <v>0.25408635364800891</v>
      </c>
      <c r="F683" s="422">
        <v>0.25626017866730016</v>
      </c>
      <c r="G683" s="422">
        <v>0.25638640116026629</v>
      </c>
    </row>
    <row r="684" spans="1:7" x14ac:dyDescent="0.25">
      <c r="A684" s="422" t="s">
        <v>3875</v>
      </c>
      <c r="B684" s="422">
        <v>0.28546927277861428</v>
      </c>
      <c r="C684" s="422">
        <v>0.28975678114741871</v>
      </c>
      <c r="D684" s="422">
        <v>0.29352468112678753</v>
      </c>
      <c r="E684" s="422">
        <v>0.29673431826167673</v>
      </c>
      <c r="F684" s="422">
        <v>0.29820430300417944</v>
      </c>
      <c r="G684" s="422">
        <v>0.29783051042428321</v>
      </c>
    </row>
    <row r="685" spans="1:7" x14ac:dyDescent="0.25">
      <c r="A685" s="422" t="s">
        <v>3876</v>
      </c>
      <c r="B685" s="422">
        <v>0.32876128949335226</v>
      </c>
      <c r="C685" s="422">
        <v>0.33279477999737483</v>
      </c>
      <c r="D685" s="422">
        <v>0.33617264574045524</v>
      </c>
      <c r="E685" s="422">
        <v>0.33867844259855601</v>
      </c>
      <c r="F685" s="422">
        <v>0.33964841226819631</v>
      </c>
      <c r="G685" s="422">
        <v>0.33909668551506428</v>
      </c>
    </row>
    <row r="686" spans="1:7" x14ac:dyDescent="0.25">
      <c r="A686" s="422" t="s">
        <v>3877</v>
      </c>
      <c r="B686" s="422">
        <v>0.37179928834330833</v>
      </c>
      <c r="C686" s="422">
        <v>0.37544274461104254</v>
      </c>
      <c r="D686" s="422">
        <v>0.37811677007733457</v>
      </c>
      <c r="E686" s="422">
        <v>0.38012255186257293</v>
      </c>
      <c r="F686" s="422">
        <v>0.38091458735897743</v>
      </c>
      <c r="G686" s="422">
        <v>0.37852355540319915</v>
      </c>
    </row>
    <row r="687" spans="1:7" x14ac:dyDescent="0.25">
      <c r="A687" s="422" t="s">
        <v>3878</v>
      </c>
      <c r="B687" s="422">
        <v>3.419975326308685E-2</v>
      </c>
      <c r="C687" s="422">
        <v>3.4254719537800668E-2</v>
      </c>
      <c r="D687" s="422">
        <v>3.423216706618025E-2</v>
      </c>
      <c r="E687" s="422">
        <v>3.4777533236919358E-2</v>
      </c>
      <c r="F687" s="422">
        <v>3.566703614762113E-2</v>
      </c>
      <c r="G687" s="422">
        <v>3.5694030388953836E-2</v>
      </c>
    </row>
    <row r="688" spans="1:7" x14ac:dyDescent="0.25">
      <c r="A688" s="422" t="s">
        <v>3879</v>
      </c>
      <c r="B688" s="422">
        <v>0.3639934789573992</v>
      </c>
      <c r="C688" s="422">
        <v>0.36534163510475237</v>
      </c>
      <c r="D688" s="422">
        <v>0.36624340227805086</v>
      </c>
      <c r="E688" s="422">
        <v>0.3671115602459194</v>
      </c>
      <c r="F688" s="422">
        <v>0.36576290998144079</v>
      </c>
      <c r="G688" s="422">
        <v>0.36186476173270998</v>
      </c>
    </row>
    <row r="689" spans="1:7" x14ac:dyDescent="0.25">
      <c r="A689" s="422" t="s">
        <v>3880</v>
      </c>
      <c r="B689" s="422">
        <v>0.40035663480502154</v>
      </c>
      <c r="C689" s="422">
        <v>0.40134582456412754</v>
      </c>
      <c r="D689" s="422">
        <v>0.4022206642632925</v>
      </c>
      <c r="E689" s="422">
        <v>0.40149390411480129</v>
      </c>
      <c r="F689" s="422">
        <v>0.39855700986214526</v>
      </c>
      <c r="G689" s="422">
        <v>0.39348550228064694</v>
      </c>
    </row>
    <row r="690" spans="1:7" x14ac:dyDescent="0.25">
      <c r="A690" s="422" t="s">
        <v>3881</v>
      </c>
      <c r="B690" s="422">
        <v>0.43636082426439682</v>
      </c>
      <c r="C690" s="422">
        <v>0.43732308654936936</v>
      </c>
      <c r="D690" s="422">
        <v>0.43660300813217434</v>
      </c>
      <c r="E690" s="422">
        <v>0.43428800399550566</v>
      </c>
      <c r="F690" s="422">
        <v>0.43017775041008216</v>
      </c>
      <c r="G690" s="422">
        <v>0.42397793006072676</v>
      </c>
    </row>
    <row r="691" spans="1:7" x14ac:dyDescent="0.25">
      <c r="A691" s="422" t="s">
        <v>3882</v>
      </c>
      <c r="B691" s="422">
        <v>0.47233808624963858</v>
      </c>
      <c r="C691" s="422">
        <v>0.47170543041825108</v>
      </c>
      <c r="D691" s="422">
        <v>0.46939710801287859</v>
      </c>
      <c r="E691" s="422">
        <v>0.4659087445434425</v>
      </c>
      <c r="F691" s="422">
        <v>0.46067017819016187</v>
      </c>
      <c r="G691" s="422">
        <v>0.45331397875642143</v>
      </c>
    </row>
    <row r="692" spans="1:7" x14ac:dyDescent="0.25">
      <c r="A692" s="422" t="s">
        <v>3883</v>
      </c>
      <c r="B692" s="422">
        <v>0.50672043011852042</v>
      </c>
      <c r="C692" s="422">
        <v>0.50449953029895567</v>
      </c>
      <c r="D692" s="422">
        <v>0.50101784856081555</v>
      </c>
      <c r="E692" s="422">
        <v>0.49640117232352232</v>
      </c>
      <c r="F692" s="422">
        <v>0.49000622688585671</v>
      </c>
      <c r="G692" s="422">
        <v>0.48164200473963714</v>
      </c>
    </row>
    <row r="693" spans="1:7" x14ac:dyDescent="0.25">
      <c r="A693" s="422" t="s">
        <v>3884</v>
      </c>
      <c r="B693" s="422">
        <v>0.53951452999922478</v>
      </c>
      <c r="C693" s="422">
        <v>0.53612027084689251</v>
      </c>
      <c r="D693" s="422">
        <v>0.53151027634089532</v>
      </c>
      <c r="E693" s="422">
        <v>0.52573722101921705</v>
      </c>
      <c r="F693" s="422">
        <v>0.51833425286907242</v>
      </c>
      <c r="G693" s="422">
        <v>0.50899876952210266</v>
      </c>
    </row>
    <row r="694" spans="1:7" x14ac:dyDescent="0.25">
      <c r="A694" s="422" t="s">
        <v>3885</v>
      </c>
      <c r="B694" s="422">
        <v>0.57113527054716173</v>
      </c>
      <c r="C694" s="422">
        <v>0.56661269862697239</v>
      </c>
      <c r="D694" s="422">
        <v>0.56084632503659015</v>
      </c>
      <c r="E694" s="422">
        <v>0.55406524700243276</v>
      </c>
      <c r="F694" s="422">
        <v>0.54569101765153794</v>
      </c>
      <c r="G694" s="422">
        <v>0.53541960218170159</v>
      </c>
    </row>
    <row r="695" spans="1:7" x14ac:dyDescent="0.25">
      <c r="A695" s="422" t="s">
        <v>3886</v>
      </c>
      <c r="B695" s="422">
        <v>0.60162769832724172</v>
      </c>
      <c r="C695" s="422">
        <v>0.59594874732266723</v>
      </c>
      <c r="D695" s="422">
        <v>0.58917435101980575</v>
      </c>
      <c r="E695" s="422">
        <v>0.58142201178489827</v>
      </c>
      <c r="F695" s="422">
        <v>0.57211185031113665</v>
      </c>
      <c r="G695" s="422">
        <v>0.56093845893074112</v>
      </c>
    </row>
    <row r="696" spans="1:7" x14ac:dyDescent="0.25">
      <c r="A696" s="422" t="s">
        <v>3887</v>
      </c>
      <c r="B696" s="422">
        <v>0.63096374702293623</v>
      </c>
      <c r="C696" s="422">
        <v>0.62427677330588272</v>
      </c>
      <c r="D696" s="422">
        <v>0.61653111580227149</v>
      </c>
      <c r="E696" s="422">
        <v>0.60784284444449721</v>
      </c>
      <c r="F696" s="422">
        <v>0.59763070706017662</v>
      </c>
      <c r="G696" s="422">
        <v>0.58558798006281754</v>
      </c>
    </row>
    <row r="697" spans="1:7" x14ac:dyDescent="0.25">
      <c r="A697" s="422" t="s">
        <v>3888</v>
      </c>
      <c r="B697" s="422">
        <v>0.65929177300615205</v>
      </c>
      <c r="C697" s="422">
        <v>0.65163353808834845</v>
      </c>
      <c r="D697" s="422">
        <v>0.6429519484618702</v>
      </c>
      <c r="E697" s="422">
        <v>0.63336170119353685</v>
      </c>
      <c r="F697" s="422">
        <v>0.62228022819225259</v>
      </c>
      <c r="G697" s="422">
        <v>0.60939954439885236</v>
      </c>
    </row>
    <row r="698" spans="1:7" x14ac:dyDescent="0.25">
      <c r="A698" s="422" t="s">
        <v>3889</v>
      </c>
      <c r="B698" s="422">
        <v>7.0117421986345782E-2</v>
      </c>
      <c r="C698" s="422">
        <v>7.0211526303449664E-2</v>
      </c>
      <c r="D698" s="422">
        <v>7.0840098150733485E-2</v>
      </c>
      <c r="E698" s="422">
        <v>7.242324226279559E-2</v>
      </c>
      <c r="F698" s="422">
        <v>7.3457461334058338E-2</v>
      </c>
      <c r="G698" s="422">
        <v>7.44997656753595E-2</v>
      </c>
    </row>
    <row r="699" spans="1:7" x14ac:dyDescent="0.25">
      <c r="A699" s="422" t="s">
        <v>3890</v>
      </c>
      <c r="B699" s="422">
        <v>0.68664853778861767</v>
      </c>
      <c r="C699" s="422">
        <v>0.67805437074794728</v>
      </c>
      <c r="D699" s="422">
        <v>0.66847080521090985</v>
      </c>
      <c r="E699" s="422">
        <v>0.65801122232561315</v>
      </c>
      <c r="F699" s="422">
        <v>0.64609179252828741</v>
      </c>
      <c r="G699" s="422">
        <v>0.63240332134715693</v>
      </c>
    </row>
    <row r="700" spans="1:7" x14ac:dyDescent="0.25">
      <c r="A700" s="422" t="s">
        <v>3891</v>
      </c>
      <c r="B700" s="422">
        <v>0.71306937044821639</v>
      </c>
      <c r="C700" s="422">
        <v>0.70357322749698692</v>
      </c>
      <c r="D700" s="422">
        <v>0.69312032634298604</v>
      </c>
      <c r="E700" s="422">
        <v>0.68182278666164786</v>
      </c>
      <c r="F700" s="422">
        <v>0.6690955694765921</v>
      </c>
      <c r="G700" s="422">
        <v>0.65411523918415981</v>
      </c>
    </row>
    <row r="701" spans="1:7" x14ac:dyDescent="0.25">
      <c r="A701" s="422" t="s">
        <v>3892</v>
      </c>
      <c r="B701" s="422">
        <v>0.73858822719725603</v>
      </c>
      <c r="C701" s="422">
        <v>0.72822274862906344</v>
      </c>
      <c r="D701" s="422">
        <v>0.71693189067902097</v>
      </c>
      <c r="E701" s="422">
        <v>0.70482656360995255</v>
      </c>
      <c r="F701" s="422">
        <v>0.69080748731359487</v>
      </c>
      <c r="G701" s="422">
        <v>0.67460784686420039</v>
      </c>
    </row>
    <row r="702" spans="1:7" x14ac:dyDescent="0.25">
      <c r="A702" s="422" t="s">
        <v>3893</v>
      </c>
      <c r="B702" s="422">
        <v>0.76323774832933233</v>
      </c>
      <c r="C702" s="422">
        <v>0.75203431296509815</v>
      </c>
      <c r="D702" s="422">
        <v>0.73993566762732554</v>
      </c>
      <c r="E702" s="422">
        <v>0.72653848144695543</v>
      </c>
      <c r="F702" s="422">
        <v>0.71130009499363567</v>
      </c>
      <c r="G702" s="422">
        <v>0.69394961909642372</v>
      </c>
    </row>
    <row r="703" spans="1:7" x14ac:dyDescent="0.25">
      <c r="A703" s="422" t="s">
        <v>3894</v>
      </c>
      <c r="B703" s="422">
        <v>0.78704931266536726</v>
      </c>
      <c r="C703" s="422">
        <v>0.77503808991340262</v>
      </c>
      <c r="D703" s="422">
        <v>0.76164758546432854</v>
      </c>
      <c r="E703" s="422">
        <v>0.74703108912699612</v>
      </c>
      <c r="F703" s="422">
        <v>0.730641867225859</v>
      </c>
      <c r="G703" s="422">
        <v>0.71220518514854569</v>
      </c>
    </row>
    <row r="704" spans="1:7" x14ac:dyDescent="0.25">
      <c r="A704" s="422" t="s">
        <v>3895</v>
      </c>
      <c r="B704" s="422">
        <v>0.81005308961367184</v>
      </c>
      <c r="C704" s="422">
        <v>0.79675000775040572</v>
      </c>
      <c r="D704" s="422">
        <v>0.782140193144369</v>
      </c>
      <c r="E704" s="422">
        <v>0.76637286135921945</v>
      </c>
      <c r="F704" s="422">
        <v>0.74889743327798086</v>
      </c>
      <c r="G704" s="422">
        <v>0.72943554480132711</v>
      </c>
    </row>
    <row r="705" spans="1:7" x14ac:dyDescent="0.25">
      <c r="A705" s="422" t="s">
        <v>3896</v>
      </c>
      <c r="B705" s="422">
        <v>0.83176500745067472</v>
      </c>
      <c r="C705" s="422">
        <v>0.81724261543044641</v>
      </c>
      <c r="D705" s="422">
        <v>0.80148196537659211</v>
      </c>
      <c r="E705" s="422">
        <v>0.78462842741134131</v>
      </c>
      <c r="F705" s="422">
        <v>0.76612779293076227</v>
      </c>
      <c r="G705" s="422">
        <v>0.74569827217535378</v>
      </c>
    </row>
    <row r="706" spans="1:7" x14ac:dyDescent="0.25">
      <c r="A706" s="422" t="s">
        <v>3897</v>
      </c>
      <c r="B706" s="422">
        <v>0.85225761513071552</v>
      </c>
      <c r="C706" s="422">
        <v>0.83658438766266952</v>
      </c>
      <c r="D706" s="422">
        <v>0.81973753142871408</v>
      </c>
      <c r="E706" s="422">
        <v>0.80185878706412284</v>
      </c>
      <c r="F706" s="422">
        <v>0.78239052030478906</v>
      </c>
      <c r="G706" s="422">
        <v>0.76104770811119804</v>
      </c>
    </row>
    <row r="707" spans="1:7" x14ac:dyDescent="0.25">
      <c r="A707" s="422" t="s">
        <v>3898</v>
      </c>
      <c r="B707" s="422">
        <v>0.87159938736293863</v>
      </c>
      <c r="C707" s="422">
        <v>0.85483995371479149</v>
      </c>
      <c r="D707" s="422">
        <v>0.83696789108149583</v>
      </c>
      <c r="E707" s="422">
        <v>0.8181215144381494</v>
      </c>
      <c r="F707" s="422">
        <v>0.79773995624063332</v>
      </c>
      <c r="G707" s="422">
        <v>0.77553514174578453</v>
      </c>
    </row>
    <row r="708" spans="1:7" x14ac:dyDescent="0.25">
      <c r="A708" s="422" t="s">
        <v>3899</v>
      </c>
      <c r="B708" s="422">
        <v>0.88985495341506049</v>
      </c>
      <c r="C708" s="422">
        <v>0.8720703133675729</v>
      </c>
      <c r="D708" s="422">
        <v>0.85323061845552273</v>
      </c>
      <c r="E708" s="422">
        <v>0.83347095037399377</v>
      </c>
      <c r="F708" s="422">
        <v>0.8122273898752197</v>
      </c>
      <c r="G708" s="422">
        <v>0.78920898189168953</v>
      </c>
    </row>
    <row r="709" spans="1:7" x14ac:dyDescent="0.25">
      <c r="A709" s="422" t="s">
        <v>3900</v>
      </c>
      <c r="B709" s="422">
        <v>0.10522652600371882</v>
      </c>
      <c r="C709" s="422">
        <v>0.10594252043681002</v>
      </c>
      <c r="D709" s="422">
        <v>0.10753234628016867</v>
      </c>
      <c r="E709" s="422">
        <v>0.1091884554674188</v>
      </c>
      <c r="F709" s="422">
        <v>0.11119201380479471</v>
      </c>
      <c r="G709" s="422">
        <v>0.11208641015990928</v>
      </c>
    </row>
    <row r="710" spans="1:7" x14ac:dyDescent="0.25">
      <c r="A710" s="422" t="s">
        <v>3901</v>
      </c>
      <c r="B710" s="422">
        <v>0.90708531306784213</v>
      </c>
      <c r="C710" s="422">
        <v>0.8883330407415998</v>
      </c>
      <c r="D710" s="422">
        <v>0.86858005439136687</v>
      </c>
      <c r="E710" s="422">
        <v>0.84795838400857992</v>
      </c>
      <c r="F710" s="422">
        <v>0.82590123002112459</v>
      </c>
      <c r="G710" s="422">
        <v>0.80211491879202435</v>
      </c>
    </row>
    <row r="711" spans="1:7" x14ac:dyDescent="0.25">
      <c r="A711" s="422" t="s">
        <v>3902</v>
      </c>
      <c r="B711" s="422">
        <v>0.14095752013707916</v>
      </c>
      <c r="C711" s="422">
        <v>0.14263476856624518</v>
      </c>
      <c r="D711" s="422">
        <v>0.14429755948479178</v>
      </c>
      <c r="E711" s="422">
        <v>0.1469230079381551</v>
      </c>
      <c r="F711" s="422">
        <v>0.14877865828934445</v>
      </c>
      <c r="G711" s="422">
        <v>0.14938848076454975</v>
      </c>
    </row>
    <row r="712" spans="1:7" x14ac:dyDescent="0.25">
      <c r="A712" s="422" t="s">
        <v>3903</v>
      </c>
      <c r="B712" s="422">
        <v>0.17764976826651435</v>
      </c>
      <c r="C712" s="422">
        <v>0.17939998177086824</v>
      </c>
      <c r="D712" s="422">
        <v>0.18203211195552818</v>
      </c>
      <c r="E712" s="422">
        <v>0.1845096524227049</v>
      </c>
      <c r="F712" s="422">
        <v>0.18608072889398491</v>
      </c>
      <c r="G712" s="422">
        <v>0.18634371069088468</v>
      </c>
    </row>
    <row r="713" spans="1:7" x14ac:dyDescent="0.25">
      <c r="A713" s="422" t="s">
        <v>3904</v>
      </c>
      <c r="B713" s="422">
        <v>0.21441498147113744</v>
      </c>
      <c r="C713" s="422">
        <v>0.21713453424160467</v>
      </c>
      <c r="D713" s="422">
        <v>0.21961875644007792</v>
      </c>
      <c r="E713" s="422">
        <v>0.22181172302734531</v>
      </c>
      <c r="F713" s="422">
        <v>0.22303595882031985</v>
      </c>
      <c r="G713" s="422">
        <v>0.2227068665385068</v>
      </c>
    </row>
    <row r="714" spans="1:7" x14ac:dyDescent="0.25">
      <c r="A714" s="422" t="s">
        <v>3905</v>
      </c>
      <c r="B714" s="422">
        <v>0.25214953394187384</v>
      </c>
      <c r="C714" s="422">
        <v>0.25472117872615457</v>
      </c>
      <c r="D714" s="422">
        <v>0.25692082704471841</v>
      </c>
      <c r="E714" s="422">
        <v>0.2587669529536803</v>
      </c>
      <c r="F714" s="422">
        <v>0.25939911466794202</v>
      </c>
      <c r="G714" s="422">
        <v>0.25871105599788213</v>
      </c>
    </row>
    <row r="715" spans="1:7" x14ac:dyDescent="0.25">
      <c r="A715" s="422" t="s">
        <v>3906</v>
      </c>
      <c r="B715" s="422">
        <v>0.28973617842642374</v>
      </c>
      <c r="C715" s="422">
        <v>0.2920232493307951</v>
      </c>
      <c r="D715" s="422">
        <v>0.29387605697105329</v>
      </c>
      <c r="E715" s="422">
        <v>0.29513010880130247</v>
      </c>
      <c r="F715" s="422">
        <v>0.2954033041273173</v>
      </c>
      <c r="G715" s="422">
        <v>0.29468831798312378</v>
      </c>
    </row>
    <row r="716" spans="1:7" x14ac:dyDescent="0.25">
      <c r="A716" s="422" t="s">
        <v>3907</v>
      </c>
      <c r="B716" s="422">
        <v>0.32703824903106427</v>
      </c>
      <c r="C716" s="422">
        <v>0.32897847925713014</v>
      </c>
      <c r="D716" s="422">
        <v>0.33023921281867546</v>
      </c>
      <c r="E716" s="422">
        <v>0.3311342982606777</v>
      </c>
      <c r="F716" s="422">
        <v>0.33138056611255901</v>
      </c>
      <c r="G716" s="422">
        <v>0.32907066185200567</v>
      </c>
    </row>
    <row r="717" spans="1:7" x14ac:dyDescent="0.25">
      <c r="A717" s="422" t="s">
        <v>3908</v>
      </c>
      <c r="B717" s="422">
        <v>3.4832681869390612E-2</v>
      </c>
      <c r="C717" s="422">
        <v>3.4914907019592337E-2</v>
      </c>
      <c r="D717" s="422">
        <v>3.4917020958962319E-2</v>
      </c>
      <c r="E717" s="422">
        <v>3.5526000994584785E-2</v>
      </c>
      <c r="F717" s="422">
        <v>3.6474553644474342E-2</v>
      </c>
      <c r="G717" s="422">
        <v>3.6540237340830194E-2</v>
      </c>
    </row>
    <row r="718" spans="1:7" x14ac:dyDescent="0.25">
      <c r="A718" s="422" t="s">
        <v>3909</v>
      </c>
      <c r="B718" s="422">
        <v>0.36184500857750701</v>
      </c>
      <c r="C718" s="422">
        <v>0.36314560787713029</v>
      </c>
      <c r="D718" s="422">
        <v>0.36400970820873269</v>
      </c>
      <c r="E718" s="422">
        <v>0.36484907814421835</v>
      </c>
      <c r="F718" s="422">
        <v>0.36349462117778608</v>
      </c>
      <c r="G718" s="422">
        <v>0.35961352374640493</v>
      </c>
    </row>
    <row r="719" spans="1:7" x14ac:dyDescent="0.25">
      <c r="A719" s="422" t="s">
        <v>3910</v>
      </c>
      <c r="B719" s="422">
        <v>0.39797828974652089</v>
      </c>
      <c r="C719" s="422">
        <v>0.39892461522832473</v>
      </c>
      <c r="D719" s="422">
        <v>0.39976609910318073</v>
      </c>
      <c r="E719" s="422">
        <v>0.39902062217237083</v>
      </c>
      <c r="F719" s="422">
        <v>0.39608807739087926</v>
      </c>
      <c r="G719" s="422">
        <v>0.39104224425900752</v>
      </c>
    </row>
    <row r="720" spans="1:7" x14ac:dyDescent="0.25">
      <c r="A720" s="422" t="s">
        <v>3911</v>
      </c>
      <c r="B720" s="422">
        <v>0.43375729709771543</v>
      </c>
      <c r="C720" s="422">
        <v>0.43468100612277266</v>
      </c>
      <c r="D720" s="422">
        <v>0.43393764313133315</v>
      </c>
      <c r="E720" s="422">
        <v>0.43161407838546417</v>
      </c>
      <c r="F720" s="422">
        <v>0.42751679790348196</v>
      </c>
      <c r="G720" s="422">
        <v>0.42135085454900384</v>
      </c>
    </row>
    <row r="721" spans="1:7" x14ac:dyDescent="0.25">
      <c r="A721" s="422" t="s">
        <v>3912</v>
      </c>
      <c r="B721" s="422">
        <v>0.46951368799216342</v>
      </c>
      <c r="C721" s="422">
        <v>0.4688525501509252</v>
      </c>
      <c r="D721" s="422">
        <v>0.46653109934442633</v>
      </c>
      <c r="E721" s="422">
        <v>0.4630427988980666</v>
      </c>
      <c r="F721" s="422">
        <v>0.45782540819347822</v>
      </c>
      <c r="G721" s="422">
        <v>0.45051102712640084</v>
      </c>
    </row>
    <row r="722" spans="1:7" x14ac:dyDescent="0.25">
      <c r="A722" s="422" t="s">
        <v>3913</v>
      </c>
      <c r="B722" s="422">
        <v>0.50368523202031568</v>
      </c>
      <c r="C722" s="422">
        <v>0.50144600636401837</v>
      </c>
      <c r="D722" s="422">
        <v>0.49795981985702881</v>
      </c>
      <c r="E722" s="422">
        <v>0.49335140918806297</v>
      </c>
      <c r="F722" s="422">
        <v>0.48698558077087523</v>
      </c>
      <c r="G722" s="422">
        <v>0.47867021825741257</v>
      </c>
    </row>
    <row r="723" spans="1:7" x14ac:dyDescent="0.25">
      <c r="A723" s="422" t="s">
        <v>3914</v>
      </c>
      <c r="B723" s="422">
        <v>0.53627868823340907</v>
      </c>
      <c r="C723" s="422">
        <v>0.53287472687662096</v>
      </c>
      <c r="D723" s="422">
        <v>0.5282684301470254</v>
      </c>
      <c r="E723" s="422">
        <v>0.52251158176545998</v>
      </c>
      <c r="F723" s="422">
        <v>0.51514477190188679</v>
      </c>
      <c r="G723" s="422">
        <v>0.50586489054665695</v>
      </c>
    </row>
    <row r="724" spans="1:7" x14ac:dyDescent="0.25">
      <c r="A724" s="422" t="s">
        <v>3915</v>
      </c>
      <c r="B724" s="422">
        <v>0.56770740874601167</v>
      </c>
      <c r="C724" s="422">
        <v>0.56318333716661717</v>
      </c>
      <c r="D724" s="422">
        <v>0.5574286027244223</v>
      </c>
      <c r="E724" s="422">
        <v>0.55067077289647159</v>
      </c>
      <c r="F724" s="422">
        <v>0.54233944419113134</v>
      </c>
      <c r="G724" s="422">
        <v>0.53213008749716184</v>
      </c>
    </row>
    <row r="725" spans="1:7" x14ac:dyDescent="0.25">
      <c r="A725" s="422" t="s">
        <v>3916</v>
      </c>
      <c r="B725" s="422">
        <v>0.59801601903600787</v>
      </c>
      <c r="C725" s="422">
        <v>0.59234350974401428</v>
      </c>
      <c r="D725" s="422">
        <v>0.58558779385543402</v>
      </c>
      <c r="E725" s="422">
        <v>0.57786544518571614</v>
      </c>
      <c r="F725" s="422">
        <v>0.56860464114163634</v>
      </c>
      <c r="G725" s="422">
        <v>0.55749949246081054</v>
      </c>
    </row>
    <row r="726" spans="1:7" x14ac:dyDescent="0.25">
      <c r="A726" s="422" t="s">
        <v>3917</v>
      </c>
      <c r="B726" s="422">
        <v>0.62717619161340488</v>
      </c>
      <c r="C726" s="422">
        <v>0.62050270087502579</v>
      </c>
      <c r="D726" s="422">
        <v>0.61278246614467824</v>
      </c>
      <c r="E726" s="422">
        <v>0.60413064213622114</v>
      </c>
      <c r="F726" s="422">
        <v>0.59397404610528504</v>
      </c>
      <c r="G726" s="422">
        <v>0.58200548499681415</v>
      </c>
    </row>
    <row r="727" spans="1:7" x14ac:dyDescent="0.25">
      <c r="A727" s="422" t="s">
        <v>3918</v>
      </c>
      <c r="B727" s="422">
        <v>0.65533538274441638</v>
      </c>
      <c r="C727" s="422">
        <v>0.64769737316427034</v>
      </c>
      <c r="D727" s="422">
        <v>0.63904766309518335</v>
      </c>
      <c r="E727" s="422">
        <v>0.62950004709986962</v>
      </c>
      <c r="F727" s="422">
        <v>0.61848003864128853</v>
      </c>
      <c r="G727" s="422">
        <v>0.60567919475736076</v>
      </c>
    </row>
    <row r="728" spans="1:7" x14ac:dyDescent="0.25">
      <c r="A728" s="422" t="s">
        <v>3919</v>
      </c>
      <c r="B728" s="422">
        <v>6.9747588888982956E-2</v>
      </c>
      <c r="C728" s="422">
        <v>6.9831927978554628E-2</v>
      </c>
      <c r="D728" s="422">
        <v>7.0443021953547111E-2</v>
      </c>
      <c r="E728" s="422">
        <v>7.2000554639059119E-2</v>
      </c>
      <c r="F728" s="422">
        <v>7.3014790985304542E-2</v>
      </c>
      <c r="G728" s="422">
        <v>7.4042044352924177E-2</v>
      </c>
    </row>
    <row r="729" spans="1:7" x14ac:dyDescent="0.25">
      <c r="A729" s="422" t="s">
        <v>3920</v>
      </c>
      <c r="B729" s="422">
        <v>0.68253005503366104</v>
      </c>
      <c r="C729" s="422">
        <v>0.67396257011477534</v>
      </c>
      <c r="D729" s="422">
        <v>0.66441706805883183</v>
      </c>
      <c r="E729" s="422">
        <v>0.65400603963587334</v>
      </c>
      <c r="F729" s="422">
        <v>0.64215374840183514</v>
      </c>
      <c r="G729" s="422">
        <v>0.62855055301393103</v>
      </c>
    </row>
    <row r="730" spans="1:7" x14ac:dyDescent="0.25">
      <c r="A730" s="422" t="s">
        <v>3921</v>
      </c>
      <c r="B730" s="422">
        <v>0.70879525198416593</v>
      </c>
      <c r="C730" s="422">
        <v>0.69933197507842404</v>
      </c>
      <c r="D730" s="422">
        <v>0.68892306059483555</v>
      </c>
      <c r="E730" s="422">
        <v>0.67767974939641984</v>
      </c>
      <c r="F730" s="422">
        <v>0.66502510665840542</v>
      </c>
      <c r="G730" s="422">
        <v>0.65013748860295462</v>
      </c>
    </row>
    <row r="731" spans="1:7" x14ac:dyDescent="0.25">
      <c r="A731" s="422" t="s">
        <v>3922</v>
      </c>
      <c r="B731" s="422">
        <v>0.73416465694781452</v>
      </c>
      <c r="C731" s="422">
        <v>0.72383796761442754</v>
      </c>
      <c r="D731" s="422">
        <v>0.71259677035538227</v>
      </c>
      <c r="E731" s="422">
        <v>0.70055110765299011</v>
      </c>
      <c r="F731" s="422">
        <v>0.686612042247429</v>
      </c>
      <c r="G731" s="422">
        <v>0.67051213285875788</v>
      </c>
    </row>
    <row r="732" spans="1:7" x14ac:dyDescent="0.25">
      <c r="A732" s="422" t="s">
        <v>3923</v>
      </c>
      <c r="B732" s="422">
        <v>0.75867064948381802</v>
      </c>
      <c r="C732" s="422">
        <v>0.74751167737497415</v>
      </c>
      <c r="D732" s="422">
        <v>0.73546812861195265</v>
      </c>
      <c r="E732" s="422">
        <v>0.72213804324201381</v>
      </c>
      <c r="F732" s="422">
        <v>0.70698668650323204</v>
      </c>
      <c r="G732" s="422">
        <v>0.6897425663234138</v>
      </c>
    </row>
    <row r="733" spans="1:7" x14ac:dyDescent="0.25">
      <c r="A733" s="422" t="s">
        <v>3924</v>
      </c>
      <c r="B733" s="422">
        <v>0.78234435924436463</v>
      </c>
      <c r="C733" s="422">
        <v>0.77038303563154431</v>
      </c>
      <c r="D733" s="422">
        <v>0.75705506420097601</v>
      </c>
      <c r="E733" s="422">
        <v>0.74251268749781696</v>
      </c>
      <c r="F733" s="422">
        <v>0.72621711996788829</v>
      </c>
      <c r="G733" s="422">
        <v>0.70789304623342431</v>
      </c>
    </row>
    <row r="734" spans="1:7" x14ac:dyDescent="0.25">
      <c r="A734" s="422" t="s">
        <v>3925</v>
      </c>
      <c r="B734" s="422">
        <v>0.80521571750093501</v>
      </c>
      <c r="C734" s="422">
        <v>0.79196997122056767</v>
      </c>
      <c r="D734" s="422">
        <v>0.77742970845677917</v>
      </c>
      <c r="E734" s="422">
        <v>0.76174312096247299</v>
      </c>
      <c r="F734" s="422">
        <v>0.74436759987789869</v>
      </c>
      <c r="G734" s="422">
        <v>0.72502422123107468</v>
      </c>
    </row>
    <row r="735" spans="1:7" x14ac:dyDescent="0.25">
      <c r="A735" s="422" t="s">
        <v>3926</v>
      </c>
      <c r="B735" s="422">
        <v>0.82680265308995826</v>
      </c>
      <c r="C735" s="422">
        <v>0.81234461547637093</v>
      </c>
      <c r="D735" s="422">
        <v>0.79666014192143531</v>
      </c>
      <c r="E735" s="422">
        <v>0.77989360087248349</v>
      </c>
      <c r="F735" s="422">
        <v>0.76149877487554885</v>
      </c>
      <c r="G735" s="422">
        <v>0.74119333401790843</v>
      </c>
    </row>
    <row r="736" spans="1:7" x14ac:dyDescent="0.25">
      <c r="A736" s="422" t="s">
        <v>3927</v>
      </c>
      <c r="B736" s="422">
        <v>0.84717729734576153</v>
      </c>
      <c r="C736" s="422">
        <v>0.83157504894102685</v>
      </c>
      <c r="D736" s="422">
        <v>0.8148106218314457</v>
      </c>
      <c r="E736" s="422">
        <v>0.79702477587013376</v>
      </c>
      <c r="F736" s="422">
        <v>0.77766788766238282</v>
      </c>
      <c r="G736" s="422">
        <v>0.75645441262747282</v>
      </c>
    </row>
    <row r="737" spans="1:7" x14ac:dyDescent="0.25">
      <c r="A737" s="422" t="s">
        <v>3928</v>
      </c>
      <c r="B737" s="422">
        <v>0.86640773081041755</v>
      </c>
      <c r="C737" s="422">
        <v>0.84972552885103758</v>
      </c>
      <c r="D737" s="422">
        <v>0.83194179682909597</v>
      </c>
      <c r="E737" s="422">
        <v>0.81319388865696751</v>
      </c>
      <c r="F737" s="422">
        <v>0.7929289662719472</v>
      </c>
      <c r="G737" s="422">
        <v>0.77085845095646266</v>
      </c>
    </row>
    <row r="738" spans="1:7" x14ac:dyDescent="0.25">
      <c r="A738" s="422" t="s">
        <v>3929</v>
      </c>
      <c r="B738" s="422">
        <v>0.88455821072042828</v>
      </c>
      <c r="C738" s="422">
        <v>0.86685670384868752</v>
      </c>
      <c r="D738" s="422">
        <v>0.84811090961593005</v>
      </c>
      <c r="E738" s="422">
        <v>0.82845496726653201</v>
      </c>
      <c r="F738" s="422">
        <v>0.80733300460093715</v>
      </c>
      <c r="G738" s="422">
        <v>0.78445357915749114</v>
      </c>
    </row>
    <row r="739" spans="1:7" x14ac:dyDescent="0.25">
      <c r="A739" s="422" t="s">
        <v>3930</v>
      </c>
      <c r="B739" s="422">
        <v>0.10466460984794526</v>
      </c>
      <c r="C739" s="422">
        <v>0.10535792897313929</v>
      </c>
      <c r="D739" s="422">
        <v>0.10691757559802147</v>
      </c>
      <c r="E739" s="422">
        <v>0.10854079197988929</v>
      </c>
      <c r="F739" s="422">
        <v>0.11051659799739849</v>
      </c>
      <c r="G739" s="422">
        <v>0.11139286644698047</v>
      </c>
    </row>
    <row r="740" spans="1:7" x14ac:dyDescent="0.25">
      <c r="A740" s="422" t="s">
        <v>3931</v>
      </c>
      <c r="B740" s="422">
        <v>0.90168938571807833</v>
      </c>
      <c r="C740" s="422">
        <v>0.88302581663552149</v>
      </c>
      <c r="D740" s="422">
        <v>0.86337198822549432</v>
      </c>
      <c r="E740" s="422">
        <v>0.84285900559552207</v>
      </c>
      <c r="F740" s="422">
        <v>0.82092813280196542</v>
      </c>
      <c r="G740" s="422">
        <v>0.79728522446285099</v>
      </c>
    </row>
    <row r="741" spans="1:7" x14ac:dyDescent="0.25">
      <c r="A741" s="422" t="s">
        <v>3932</v>
      </c>
      <c r="B741" s="422">
        <v>0.1401906108425299</v>
      </c>
      <c r="C741" s="422">
        <v>0.14183248261761353</v>
      </c>
      <c r="D741" s="422">
        <v>0.14345781293885163</v>
      </c>
      <c r="E741" s="422">
        <v>0.14604259899198327</v>
      </c>
      <c r="F741" s="422">
        <v>0.14786742009145482</v>
      </c>
      <c r="G741" s="422">
        <v>0.14845882082255765</v>
      </c>
    </row>
    <row r="742" spans="1:7" x14ac:dyDescent="0.25">
      <c r="A742" s="422" t="s">
        <v>3933</v>
      </c>
      <c r="B742" s="422">
        <v>0.17666516448700414</v>
      </c>
      <c r="C742" s="422">
        <v>0.17837271995844364</v>
      </c>
      <c r="D742" s="422">
        <v>0.18095961995094559</v>
      </c>
      <c r="E742" s="422">
        <v>0.18339342108603959</v>
      </c>
      <c r="F742" s="422">
        <v>0.18493337446703201</v>
      </c>
      <c r="G742" s="422">
        <v>0.18517984409050295</v>
      </c>
    </row>
    <row r="743" spans="1:7" x14ac:dyDescent="0.25">
      <c r="A743" s="422" t="s">
        <v>3934</v>
      </c>
      <c r="B743" s="422">
        <v>0.21320540182783423</v>
      </c>
      <c r="C743" s="422">
        <v>0.21587452697053766</v>
      </c>
      <c r="D743" s="422">
        <v>0.21831044204500191</v>
      </c>
      <c r="E743" s="422">
        <v>0.22045937546161681</v>
      </c>
      <c r="F743" s="422">
        <v>0.2216543977349773</v>
      </c>
      <c r="G743" s="422">
        <v>0.22131312525951677</v>
      </c>
    </row>
    <row r="744" spans="1:7" x14ac:dyDescent="0.25">
      <c r="A744" s="422" t="s">
        <v>3935</v>
      </c>
      <c r="B744" s="422">
        <v>0.25070720883992825</v>
      </c>
      <c r="C744" s="422">
        <v>0.25322534906459393</v>
      </c>
      <c r="D744" s="422">
        <v>0.25537639642057913</v>
      </c>
      <c r="E744" s="422">
        <v>0.25718039872956211</v>
      </c>
      <c r="F744" s="422">
        <v>0.25778767890399107</v>
      </c>
      <c r="G744" s="422">
        <v>0.25709213261071129</v>
      </c>
    </row>
    <row r="745" spans="1:7" x14ac:dyDescent="0.25">
      <c r="A745" s="422" t="s">
        <v>3936</v>
      </c>
      <c r="B745" s="422">
        <v>0.28805803093398458</v>
      </c>
      <c r="C745" s="422">
        <v>0.29029130344017112</v>
      </c>
      <c r="D745" s="422">
        <v>0.29209741968852437</v>
      </c>
      <c r="E745" s="422">
        <v>0.29331367989857587</v>
      </c>
      <c r="F745" s="422">
        <v>0.29356668625518562</v>
      </c>
      <c r="G745" s="422">
        <v>0.29284852350515933</v>
      </c>
    </row>
    <row r="746" spans="1:7" x14ac:dyDescent="0.25">
      <c r="A746" s="422" t="s">
        <v>3937</v>
      </c>
      <c r="B746" s="422">
        <v>0.32512398530956177</v>
      </c>
      <c r="C746" s="422">
        <v>0.32701232670811653</v>
      </c>
      <c r="D746" s="422">
        <v>0.32823070085753825</v>
      </c>
      <c r="E746" s="422">
        <v>0.32909268724977037</v>
      </c>
      <c r="F746" s="422">
        <v>0.32932307714963355</v>
      </c>
      <c r="G746" s="422">
        <v>0.32702006753331175</v>
      </c>
    </row>
    <row r="747" spans="1:7" x14ac:dyDescent="0.25">
      <c r="A747" s="422" t="s">
        <v>3938</v>
      </c>
      <c r="B747" s="422">
        <v>3.3687956244040036E-2</v>
      </c>
      <c r="C747" s="422">
        <v>3.3717849925273644E-2</v>
      </c>
      <c r="D747" s="422">
        <v>3.3672454888449589E-2</v>
      </c>
      <c r="E747" s="422">
        <v>3.416020076406074E-2</v>
      </c>
      <c r="F747" s="422">
        <v>3.4997036642161562E-2</v>
      </c>
      <c r="G747" s="422">
        <v>3.498833544471501E-2</v>
      </c>
    </row>
    <row r="748" spans="1:7" x14ac:dyDescent="0.25">
      <c r="A748" s="422" t="s">
        <v>3939</v>
      </c>
      <c r="B748" s="422">
        <v>0.34730354993461748</v>
      </c>
      <c r="C748" s="422">
        <v>0.34813717037369624</v>
      </c>
      <c r="D748" s="422">
        <v>0.34862781482187805</v>
      </c>
      <c r="E748" s="422">
        <v>0.34918563015063553</v>
      </c>
      <c r="F748" s="422">
        <v>0.34774142613125231</v>
      </c>
      <c r="G748" s="422">
        <v>0.34395390212040783</v>
      </c>
    </row>
    <row r="749" spans="1:7" x14ac:dyDescent="0.25">
      <c r="A749" s="422" t="s">
        <v>3940</v>
      </c>
      <c r="B749" s="422">
        <v>0.38182512661773627</v>
      </c>
      <c r="C749" s="422">
        <v>0.3823456647471517</v>
      </c>
      <c r="D749" s="422">
        <v>0.38285808503908497</v>
      </c>
      <c r="E749" s="422">
        <v>0.38190162689531304</v>
      </c>
      <c r="F749" s="422">
        <v>0.37895093876256952</v>
      </c>
      <c r="G749" s="422">
        <v>0.37406326765453884</v>
      </c>
    </row>
    <row r="750" spans="1:7" x14ac:dyDescent="0.25">
      <c r="A750" s="422" t="s">
        <v>3941</v>
      </c>
      <c r="B750" s="422">
        <v>0.41603362099119173</v>
      </c>
      <c r="C750" s="422">
        <v>0.41657593496435857</v>
      </c>
      <c r="D750" s="422">
        <v>0.41557408178376265</v>
      </c>
      <c r="E750" s="422">
        <v>0.41311113952663014</v>
      </c>
      <c r="F750" s="422">
        <v>0.40906030429670037</v>
      </c>
      <c r="G750" s="422">
        <v>0.40311369284703641</v>
      </c>
    </row>
    <row r="751" spans="1:7" x14ac:dyDescent="0.25">
      <c r="A751" s="422" t="s">
        <v>3942</v>
      </c>
      <c r="B751" s="422">
        <v>0.45026389120839871</v>
      </c>
      <c r="C751" s="422">
        <v>0.44929193170903631</v>
      </c>
      <c r="D751" s="422">
        <v>0.44678359441507981</v>
      </c>
      <c r="E751" s="422">
        <v>0.44322050506076116</v>
      </c>
      <c r="F751" s="422">
        <v>0.43811072948919788</v>
      </c>
      <c r="G751" s="422">
        <v>0.43107351849689213</v>
      </c>
    </row>
    <row r="752" spans="1:7" x14ac:dyDescent="0.25">
      <c r="A752" s="422" t="s">
        <v>3943</v>
      </c>
      <c r="B752" s="422">
        <v>0.48297988795307628</v>
      </c>
      <c r="C752" s="422">
        <v>0.48050144434035347</v>
      </c>
      <c r="D752" s="422">
        <v>0.47689295994921072</v>
      </c>
      <c r="E752" s="422">
        <v>0.47227093025325856</v>
      </c>
      <c r="F752" s="422">
        <v>0.46607055513905365</v>
      </c>
      <c r="G752" s="422">
        <v>0.45808401917241226</v>
      </c>
    </row>
    <row r="753" spans="1:7" x14ac:dyDescent="0.25">
      <c r="A753" s="422" t="s">
        <v>3944</v>
      </c>
      <c r="B753" s="422">
        <v>0.51418940058439333</v>
      </c>
      <c r="C753" s="422">
        <v>0.51061080987448426</v>
      </c>
      <c r="D753" s="422">
        <v>0.50594338514170822</v>
      </c>
      <c r="E753" s="422">
        <v>0.50023075590311439</v>
      </c>
      <c r="F753" s="422">
        <v>0.49308105581457384</v>
      </c>
      <c r="G753" s="422">
        <v>0.48417933420853904</v>
      </c>
    </row>
    <row r="754" spans="1:7" x14ac:dyDescent="0.25">
      <c r="A754" s="422" t="s">
        <v>3945</v>
      </c>
      <c r="B754" s="422">
        <v>0.54429876611852446</v>
      </c>
      <c r="C754" s="422">
        <v>0.53966123506698183</v>
      </c>
      <c r="D754" s="422">
        <v>0.533903210791564</v>
      </c>
      <c r="E754" s="422">
        <v>0.52724125657863463</v>
      </c>
      <c r="F754" s="422">
        <v>0.51917637085070067</v>
      </c>
      <c r="G754" s="422">
        <v>0.5093922919466598</v>
      </c>
    </row>
    <row r="755" spans="1:7" x14ac:dyDescent="0.25">
      <c r="A755" s="422" t="s">
        <v>3946</v>
      </c>
      <c r="B755" s="422">
        <v>0.5733491913110218</v>
      </c>
      <c r="C755" s="422">
        <v>0.56762106071683771</v>
      </c>
      <c r="D755" s="422">
        <v>0.56091371146708435</v>
      </c>
      <c r="E755" s="422">
        <v>0.55333657161476135</v>
      </c>
      <c r="F755" s="422">
        <v>0.5443893285888215</v>
      </c>
      <c r="G755" s="422">
        <v>0.53375446352796163</v>
      </c>
    </row>
    <row r="756" spans="1:7" x14ac:dyDescent="0.25">
      <c r="A756" s="422" t="s">
        <v>3947</v>
      </c>
      <c r="B756" s="422">
        <v>0.60130901696087757</v>
      </c>
      <c r="C756" s="422">
        <v>0.59463156139235784</v>
      </c>
      <c r="D756" s="422">
        <v>0.58700902650321107</v>
      </c>
      <c r="E756" s="422">
        <v>0.57854952935288229</v>
      </c>
      <c r="F756" s="422">
        <v>0.5687515001701231</v>
      </c>
      <c r="G756" s="422">
        <v>0.55729621434515197</v>
      </c>
    </row>
    <row r="757" spans="1:7" x14ac:dyDescent="0.25">
      <c r="A757" s="422" t="s">
        <v>3948</v>
      </c>
      <c r="B757" s="422">
        <v>0.62831951763639782</v>
      </c>
      <c r="C757" s="422">
        <v>0.62072687642848445</v>
      </c>
      <c r="D757" s="422">
        <v>0.61222198424133178</v>
      </c>
      <c r="E757" s="422">
        <v>0.602911700934184</v>
      </c>
      <c r="F757" s="422">
        <v>0.59229325098731356</v>
      </c>
      <c r="G757" s="422">
        <v>0.58004675325940269</v>
      </c>
    </row>
    <row r="758" spans="1:7" x14ac:dyDescent="0.25">
      <c r="A758" s="422" t="s">
        <v>3949</v>
      </c>
      <c r="B758" s="422">
        <v>6.7405806169313687E-2</v>
      </c>
      <c r="C758" s="422">
        <v>6.739030481372324E-2</v>
      </c>
      <c r="D758" s="422">
        <v>6.7832655652510301E-2</v>
      </c>
      <c r="E758" s="422">
        <v>6.9157237406222274E-2</v>
      </c>
      <c r="F758" s="422">
        <v>6.9985372086876552E-2</v>
      </c>
      <c r="G758" s="422">
        <v>7.0878149152606165E-2</v>
      </c>
    </row>
    <row r="759" spans="1:7" x14ac:dyDescent="0.25">
      <c r="A759" s="422" t="s">
        <v>3950</v>
      </c>
      <c r="B759" s="422">
        <v>0.65441483267252465</v>
      </c>
      <c r="C759" s="422">
        <v>0.64593983416660572</v>
      </c>
      <c r="D759" s="422">
        <v>0.6365841558226335</v>
      </c>
      <c r="E759" s="422">
        <v>0.62645345175137424</v>
      </c>
      <c r="F759" s="422">
        <v>0.61504378990156428</v>
      </c>
      <c r="G759" s="422">
        <v>0.60203417968431328</v>
      </c>
    </row>
    <row r="760" spans="1:7" x14ac:dyDescent="0.25">
      <c r="A760" s="422" t="s">
        <v>3951</v>
      </c>
      <c r="B760" s="422">
        <v>0.67962779041064547</v>
      </c>
      <c r="C760" s="422">
        <v>0.67030200574790699</v>
      </c>
      <c r="D760" s="422">
        <v>0.66012590663982385</v>
      </c>
      <c r="E760" s="422">
        <v>0.64920399066562495</v>
      </c>
      <c r="F760" s="422">
        <v>0.63703121632647486</v>
      </c>
      <c r="G760" s="422">
        <v>0.6227868237852201</v>
      </c>
    </row>
    <row r="761" spans="1:7" x14ac:dyDescent="0.25">
      <c r="A761" s="422" t="s">
        <v>3952</v>
      </c>
      <c r="B761" s="422">
        <v>0.7039899619919473</v>
      </c>
      <c r="C761" s="422">
        <v>0.69384375656509745</v>
      </c>
      <c r="D761" s="422">
        <v>0.68287644555407445</v>
      </c>
      <c r="E761" s="422">
        <v>0.67119141709053542</v>
      </c>
      <c r="F761" s="422">
        <v>0.65778386042738146</v>
      </c>
      <c r="G761" s="422">
        <v>0.64237402916597186</v>
      </c>
    </row>
    <row r="762" spans="1:7" x14ac:dyDescent="0.25">
      <c r="A762" s="422" t="s">
        <v>3953</v>
      </c>
      <c r="B762" s="422">
        <v>0.72753171280913753</v>
      </c>
      <c r="C762" s="422">
        <v>0.71659429547934816</v>
      </c>
      <c r="D762" s="422">
        <v>0.70486387197898515</v>
      </c>
      <c r="E762" s="422">
        <v>0.69194406119144214</v>
      </c>
      <c r="F762" s="422">
        <v>0.67737106580813355</v>
      </c>
      <c r="G762" s="422">
        <v>0.66086124519310918</v>
      </c>
    </row>
    <row r="763" spans="1:7" x14ac:dyDescent="0.25">
      <c r="A763" s="422" t="s">
        <v>3954</v>
      </c>
      <c r="B763" s="422">
        <v>0.75028225172338836</v>
      </c>
      <c r="C763" s="422">
        <v>0.73858172190425864</v>
      </c>
      <c r="D763" s="422">
        <v>0.72561651607989175</v>
      </c>
      <c r="E763" s="422">
        <v>0.71153126657219423</v>
      </c>
      <c r="F763" s="422">
        <v>0.69585828183527054</v>
      </c>
      <c r="G763" s="422">
        <v>0.67831024569064313</v>
      </c>
    </row>
    <row r="764" spans="1:7" x14ac:dyDescent="0.25">
      <c r="A764" s="422" t="s">
        <v>3955</v>
      </c>
      <c r="B764" s="422">
        <v>0.77226967814829861</v>
      </c>
      <c r="C764" s="422">
        <v>0.75933436600516546</v>
      </c>
      <c r="D764" s="422">
        <v>0.74520372146064373</v>
      </c>
      <c r="E764" s="422">
        <v>0.73001848259933144</v>
      </c>
      <c r="F764" s="422">
        <v>0.71330728233280483</v>
      </c>
      <c r="G764" s="422">
        <v>0.69477933535325187</v>
      </c>
    </row>
    <row r="765" spans="1:7" x14ac:dyDescent="0.25">
      <c r="A765" s="422" t="s">
        <v>3956</v>
      </c>
      <c r="B765" s="422">
        <v>0.10107826105776327</v>
      </c>
      <c r="C765" s="422">
        <v>0.10155050557778397</v>
      </c>
      <c r="D765" s="422">
        <v>0.10282969229467191</v>
      </c>
      <c r="E765" s="422">
        <v>0.1041455728509373</v>
      </c>
      <c r="F765" s="422">
        <v>0.10587518579476769</v>
      </c>
      <c r="G765" s="422">
        <v>0.10658167889429235</v>
      </c>
    </row>
    <row r="766" spans="1:7" x14ac:dyDescent="0.25">
      <c r="A766" s="422" t="s">
        <v>3957</v>
      </c>
      <c r="B766" s="422">
        <v>0.13523846182182403</v>
      </c>
      <c r="C766" s="422">
        <v>0.13654754221994553</v>
      </c>
      <c r="D766" s="422">
        <v>0.13781802773938687</v>
      </c>
      <c r="E766" s="422">
        <v>0.14003538655882844</v>
      </c>
      <c r="F766" s="422">
        <v>0.14157871553645393</v>
      </c>
      <c r="G766" s="422">
        <v>0.14199112067697625</v>
      </c>
    </row>
    <row r="767" spans="1:7" x14ac:dyDescent="0.25">
      <c r="A767" s="422" t="s">
        <v>3958</v>
      </c>
      <c r="B767" s="422">
        <v>0.17023549846398559</v>
      </c>
      <c r="C767" s="422">
        <v>0.17153587766466052</v>
      </c>
      <c r="D767" s="422">
        <v>0.17370784144727805</v>
      </c>
      <c r="E767" s="422">
        <v>0.17573891630051464</v>
      </c>
      <c r="F767" s="422">
        <v>0.17698815731913781</v>
      </c>
      <c r="G767" s="422">
        <v>0.17706805147063187</v>
      </c>
    </row>
    <row r="768" spans="1:7" x14ac:dyDescent="0.25">
      <c r="A768" s="422" t="s">
        <v>3959</v>
      </c>
      <c r="B768" s="422">
        <v>0.20522383390870055</v>
      </c>
      <c r="C768" s="422">
        <v>0.20742569137255165</v>
      </c>
      <c r="D768" s="422">
        <v>0.20941137118896425</v>
      </c>
      <c r="E768" s="422">
        <v>0.21114835808319854</v>
      </c>
      <c r="F768" s="422">
        <v>0.21206508811279348</v>
      </c>
      <c r="G768" s="422">
        <v>0.21158962815375068</v>
      </c>
    </row>
    <row r="769" spans="1:7" x14ac:dyDescent="0.25">
      <c r="A769" s="422" t="s">
        <v>3960</v>
      </c>
      <c r="B769" s="422">
        <v>0.24111364761659171</v>
      </c>
      <c r="C769" s="422">
        <v>0.2431292211142379</v>
      </c>
      <c r="D769" s="422">
        <v>0.24482081297164804</v>
      </c>
      <c r="E769" s="422">
        <v>0.24622528887685416</v>
      </c>
      <c r="F769" s="422">
        <v>0.24658666479591218</v>
      </c>
      <c r="G769" s="422">
        <v>0.24579812252720615</v>
      </c>
    </row>
    <row r="770" spans="1:7" x14ac:dyDescent="0.25">
      <c r="A770" s="422" t="s">
        <v>3961</v>
      </c>
      <c r="B770" s="422">
        <v>0.27681717735827788</v>
      </c>
      <c r="C770" s="422">
        <v>0.27853866289692175</v>
      </c>
      <c r="D770" s="422">
        <v>0.2798977437653038</v>
      </c>
      <c r="E770" s="422">
        <v>0.28074686555997297</v>
      </c>
      <c r="F770" s="422">
        <v>0.28079515916936776</v>
      </c>
      <c r="G770" s="422">
        <v>0.28002839274441305</v>
      </c>
    </row>
    <row r="771" spans="1:7" x14ac:dyDescent="0.25">
      <c r="A771" s="422" t="s">
        <v>3962</v>
      </c>
      <c r="B771" s="422">
        <v>0.31222661914096178</v>
      </c>
      <c r="C771" s="422">
        <v>0.31361559369057745</v>
      </c>
      <c r="D771" s="422">
        <v>0.31441932044842252</v>
      </c>
      <c r="E771" s="422">
        <v>0.31495535993342844</v>
      </c>
      <c r="F771" s="422">
        <v>0.31502542938657468</v>
      </c>
      <c r="G771" s="422">
        <v>0.31274438948909072</v>
      </c>
    </row>
    <row r="772" spans="1:7" x14ac:dyDescent="0.25">
      <c r="A772" s="422" t="s">
        <v>3963</v>
      </c>
      <c r="B772" s="422">
        <v>0.36812535740232122</v>
      </c>
      <c r="C772" s="422">
        <v>0.36019536934428592</v>
      </c>
      <c r="D772" s="422">
        <v>0.35150234027811994</v>
      </c>
      <c r="E772" s="422">
        <v>0.34218821353156276</v>
      </c>
      <c r="F772" s="422">
        <v>0.33232424047602804</v>
      </c>
      <c r="G772" s="422">
        <v>0.32216483537421087</v>
      </c>
    </row>
    <row r="773" spans="1:7" x14ac:dyDescent="0.25">
      <c r="A773" s="422" t="s">
        <v>3964</v>
      </c>
      <c r="B773" s="422">
        <v>3.3642126884338625E-2</v>
      </c>
      <c r="C773" s="422">
        <v>3.3682164238705396E-2</v>
      </c>
      <c r="D773" s="422">
        <v>3.3646565942484233E-2</v>
      </c>
      <c r="E773" s="422">
        <v>3.4154419666460295E-2</v>
      </c>
      <c r="F773" s="422">
        <v>3.5006645404279141E-2</v>
      </c>
      <c r="G773" s="422">
        <v>3.5012777486289962E-2</v>
      </c>
    </row>
    <row r="774" spans="1:7" x14ac:dyDescent="0.25">
      <c r="A774" s="422" t="s">
        <v>3965</v>
      </c>
      <c r="B774" s="422">
        <v>0.34737486677795454</v>
      </c>
      <c r="C774" s="422">
        <v>0.34829441005661699</v>
      </c>
      <c r="D774" s="422">
        <v>0.34885519592636727</v>
      </c>
      <c r="E774" s="422">
        <v>0.3494643691617057</v>
      </c>
      <c r="F774" s="422">
        <v>0.34804968098878541</v>
      </c>
      <c r="G774" s="422">
        <v>0.34427428114617648</v>
      </c>
    </row>
    <row r="775" spans="1:7" x14ac:dyDescent="0.25">
      <c r="A775" s="422" t="s">
        <v>3966</v>
      </c>
      <c r="B775" s="422">
        <v>0.38193653694095564</v>
      </c>
      <c r="C775" s="422">
        <v>0.38253736016507262</v>
      </c>
      <c r="D775" s="422">
        <v>0.38311093510418998</v>
      </c>
      <c r="E775" s="422">
        <v>0.38220410065524574</v>
      </c>
      <c r="F775" s="422">
        <v>0.37928092655045548</v>
      </c>
      <c r="G775" s="422">
        <v>0.374401476969485</v>
      </c>
    </row>
    <row r="776" spans="1:7" x14ac:dyDescent="0.25">
      <c r="A776" s="422" t="s">
        <v>3967</v>
      </c>
      <c r="B776" s="422">
        <v>0.41617948704941138</v>
      </c>
      <c r="C776" s="422">
        <v>0.41679309934289527</v>
      </c>
      <c r="D776" s="422">
        <v>0.41585066659773001</v>
      </c>
      <c r="E776" s="422">
        <v>0.4134353462169158</v>
      </c>
      <c r="F776" s="422">
        <v>0.40940812237376412</v>
      </c>
      <c r="G776" s="422">
        <v>0.40346617435380761</v>
      </c>
    </row>
    <row r="777" spans="1:7" x14ac:dyDescent="0.25">
      <c r="A777" s="422" t="s">
        <v>3968</v>
      </c>
      <c r="B777" s="422">
        <v>0.45043522622723398</v>
      </c>
      <c r="C777" s="422">
        <v>0.44953283083643519</v>
      </c>
      <c r="D777" s="422">
        <v>0.44708191215940013</v>
      </c>
      <c r="E777" s="422">
        <v>0.44356254204022438</v>
      </c>
      <c r="F777" s="422">
        <v>0.43847281975808694</v>
      </c>
      <c r="G777" s="422">
        <v>0.43143763189974932</v>
      </c>
    </row>
    <row r="778" spans="1:7" x14ac:dyDescent="0.25">
      <c r="A778" s="422" t="s">
        <v>3969</v>
      </c>
      <c r="B778" s="422">
        <v>0.48317495772077396</v>
      </c>
      <c r="C778" s="422">
        <v>0.48076407639810537</v>
      </c>
      <c r="D778" s="422">
        <v>0.47720910798270877</v>
      </c>
      <c r="E778" s="422">
        <v>0.47262723942454704</v>
      </c>
      <c r="F778" s="422">
        <v>0.46644427730402843</v>
      </c>
      <c r="G778" s="422">
        <v>0.4584572060940349</v>
      </c>
    </row>
    <row r="779" spans="1:7" x14ac:dyDescent="0.25">
      <c r="A779" s="422" t="s">
        <v>3970</v>
      </c>
      <c r="B779" s="422">
        <v>0.51440620328244413</v>
      </c>
      <c r="C779" s="422">
        <v>0.51089127222141384</v>
      </c>
      <c r="D779" s="422">
        <v>0.50627380536703126</v>
      </c>
      <c r="E779" s="422">
        <v>0.50059869697048864</v>
      </c>
      <c r="F779" s="422">
        <v>0.49346385149831395</v>
      </c>
      <c r="G779" s="422">
        <v>0.4845592206833283</v>
      </c>
    </row>
    <row r="780" spans="1:7" x14ac:dyDescent="0.25">
      <c r="A780" s="422" t="s">
        <v>3971</v>
      </c>
      <c r="B780" s="422">
        <v>0.54453339910575249</v>
      </c>
      <c r="C780" s="422">
        <v>0.53995596960573666</v>
      </c>
      <c r="D780" s="422">
        <v>0.53424526291297292</v>
      </c>
      <c r="E780" s="422">
        <v>0.52761827116477433</v>
      </c>
      <c r="F780" s="422">
        <v>0.51956586608760746</v>
      </c>
      <c r="G780" s="422">
        <v>0.50977667758979428</v>
      </c>
    </row>
    <row r="781" spans="1:7" x14ac:dyDescent="0.25">
      <c r="A781" s="422" t="s">
        <v>3972</v>
      </c>
      <c r="B781" s="422">
        <v>0.5735980964900752</v>
      </c>
      <c r="C781" s="422">
        <v>0.56792742715167832</v>
      </c>
      <c r="D781" s="422">
        <v>0.56126483710725861</v>
      </c>
      <c r="E781" s="422">
        <v>0.55372028575406773</v>
      </c>
      <c r="F781" s="422">
        <v>0.54478332299407339</v>
      </c>
      <c r="G781" s="422">
        <v>0.53414131129199438</v>
      </c>
    </row>
    <row r="782" spans="1:7" x14ac:dyDescent="0.25">
      <c r="A782" s="422" t="s">
        <v>3973</v>
      </c>
      <c r="B782" s="422">
        <v>0.60156955403601686</v>
      </c>
      <c r="C782" s="422">
        <v>0.59494700134596357</v>
      </c>
      <c r="D782" s="422">
        <v>0.58736685169655189</v>
      </c>
      <c r="E782" s="422">
        <v>0.57893774266053355</v>
      </c>
      <c r="F782" s="422">
        <v>0.56914795669627349</v>
      </c>
      <c r="G782" s="422">
        <v>0.55768364083344701</v>
      </c>
    </row>
    <row r="783" spans="1:7" x14ac:dyDescent="0.25">
      <c r="A783" s="422" t="s">
        <v>3974</v>
      </c>
      <c r="B783" s="422">
        <v>0.62858912823030244</v>
      </c>
      <c r="C783" s="422">
        <v>0.62104901593525708</v>
      </c>
      <c r="D783" s="422">
        <v>0.61258430860301782</v>
      </c>
      <c r="E783" s="422">
        <v>0.60330237636273365</v>
      </c>
      <c r="F783" s="422">
        <v>0.59269028623772613</v>
      </c>
      <c r="G783" s="422">
        <v>0.58043301956727289</v>
      </c>
    </row>
    <row r="784" spans="1:7" x14ac:dyDescent="0.25">
      <c r="A784" s="422" t="s">
        <v>3975</v>
      </c>
      <c r="B784" s="422">
        <v>6.7324291123044028E-2</v>
      </c>
      <c r="C784" s="422">
        <v>6.7328730181189594E-2</v>
      </c>
      <c r="D784" s="422">
        <v>6.7800985608944528E-2</v>
      </c>
      <c r="E784" s="422">
        <v>6.9161065070739436E-2</v>
      </c>
      <c r="F784" s="422">
        <v>7.0019422890569089E-2</v>
      </c>
      <c r="G784" s="422">
        <v>7.0931653411999487E-2</v>
      </c>
    </row>
    <row r="785" spans="1:7" x14ac:dyDescent="0.25">
      <c r="A785" s="422" t="s">
        <v>3976</v>
      </c>
      <c r="B785" s="422">
        <v>0.65469114281959573</v>
      </c>
      <c r="C785" s="422">
        <v>0.64626647284172312</v>
      </c>
      <c r="D785" s="422">
        <v>0.63694894230521804</v>
      </c>
      <c r="E785" s="422">
        <v>0.62684470590418639</v>
      </c>
      <c r="F785" s="422">
        <v>0.615439664971552</v>
      </c>
      <c r="G785" s="422">
        <v>0.60241768274022744</v>
      </c>
    </row>
    <row r="786" spans="1:7" x14ac:dyDescent="0.25">
      <c r="A786" s="422" t="s">
        <v>3977</v>
      </c>
      <c r="B786" s="422">
        <v>0.67990859972606177</v>
      </c>
      <c r="C786" s="422">
        <v>0.67063110654392311</v>
      </c>
      <c r="D786" s="422">
        <v>0.66049127184667067</v>
      </c>
      <c r="E786" s="422">
        <v>0.64959408463801227</v>
      </c>
      <c r="F786" s="422">
        <v>0.63742432814450645</v>
      </c>
      <c r="G786" s="422">
        <v>0.62316771876944366</v>
      </c>
    </row>
    <row r="787" spans="1:7" x14ac:dyDescent="0.25">
      <c r="A787" s="422" t="s">
        <v>3978</v>
      </c>
      <c r="B787" s="422">
        <v>0.70427323342826198</v>
      </c>
      <c r="C787" s="422">
        <v>0.69417343608537596</v>
      </c>
      <c r="D787" s="422">
        <v>0.68324065058049643</v>
      </c>
      <c r="E787" s="422">
        <v>0.67157874781096683</v>
      </c>
      <c r="F787" s="422">
        <v>0.65817436417372266</v>
      </c>
      <c r="G787" s="422">
        <v>0.64275246254406959</v>
      </c>
    </row>
    <row r="788" spans="1:7" x14ac:dyDescent="0.25">
      <c r="A788" s="422" t="s">
        <v>3979</v>
      </c>
      <c r="B788" s="422">
        <v>0.72781556296971439</v>
      </c>
      <c r="C788" s="422">
        <v>0.71692281481920173</v>
      </c>
      <c r="D788" s="422">
        <v>0.7052253137534511</v>
      </c>
      <c r="E788" s="422">
        <v>0.69232878384018304</v>
      </c>
      <c r="F788" s="422">
        <v>0.6777591079483487</v>
      </c>
      <c r="G788" s="422">
        <v>0.66123735520534932</v>
      </c>
    </row>
    <row r="789" spans="1:7" x14ac:dyDescent="0.25">
      <c r="A789" s="422" t="s">
        <v>3980</v>
      </c>
      <c r="B789" s="422">
        <v>0.75056494170354016</v>
      </c>
      <c r="C789" s="422">
        <v>0.73890747799215606</v>
      </c>
      <c r="D789" s="422">
        <v>0.72597534978266731</v>
      </c>
      <c r="E789" s="422">
        <v>0.71191352761480897</v>
      </c>
      <c r="F789" s="422">
        <v>0.69624400060962865</v>
      </c>
      <c r="G789" s="422">
        <v>0.67868416281391952</v>
      </c>
    </row>
    <row r="790" spans="1:7" x14ac:dyDescent="0.25">
      <c r="A790" s="422" t="s">
        <v>3981</v>
      </c>
      <c r="B790" s="422">
        <v>0.77254960487649482</v>
      </c>
      <c r="C790" s="422">
        <v>0.75965751402137249</v>
      </c>
      <c r="D790" s="422">
        <v>0.74556009355729314</v>
      </c>
      <c r="E790" s="422">
        <v>0.73039842027608881</v>
      </c>
      <c r="F790" s="422">
        <v>0.71369080821819852</v>
      </c>
      <c r="G790" s="422">
        <v>0.69515118273706233</v>
      </c>
    </row>
    <row r="791" spans="1:7" x14ac:dyDescent="0.25">
      <c r="A791" s="422" t="s">
        <v>3982</v>
      </c>
      <c r="B791" s="422">
        <v>0.79329964090571115</v>
      </c>
      <c r="C791" s="422">
        <v>0.77924225779599843</v>
      </c>
      <c r="D791" s="422">
        <v>0.76404498621857309</v>
      </c>
      <c r="E791" s="422">
        <v>0.74784522788465879</v>
      </c>
      <c r="F791" s="422">
        <v>0.73015782814134156</v>
      </c>
      <c r="G791" s="422">
        <v>0.71069343844555022</v>
      </c>
    </row>
    <row r="792" spans="1:7" x14ac:dyDescent="0.25">
      <c r="A792" s="422" t="s">
        <v>3983</v>
      </c>
      <c r="B792" s="422">
        <v>0.81288438468033719</v>
      </c>
      <c r="C792" s="422">
        <v>0.79772715045727827</v>
      </c>
      <c r="D792" s="422">
        <v>0.78149179382714296</v>
      </c>
      <c r="E792" s="422">
        <v>0.76431224780780183</v>
      </c>
      <c r="F792" s="422">
        <v>0.74570008384982944</v>
      </c>
      <c r="G792" s="422">
        <v>0.72536286337097533</v>
      </c>
    </row>
    <row r="793" spans="1:7" x14ac:dyDescent="0.25">
      <c r="A793" s="422" t="s">
        <v>3984</v>
      </c>
      <c r="B793" s="422">
        <v>0.83136927734161703</v>
      </c>
      <c r="C793" s="422">
        <v>0.81517395806584825</v>
      </c>
      <c r="D793" s="422">
        <v>0.7979588137502861</v>
      </c>
      <c r="E793" s="422">
        <v>0.77985450351628982</v>
      </c>
      <c r="F793" s="422">
        <v>0.76036950877525455</v>
      </c>
      <c r="G793" s="422">
        <v>0.73920847443791748</v>
      </c>
    </row>
    <row r="794" spans="1:7" x14ac:dyDescent="0.25">
      <c r="A794" s="422" t="s">
        <v>3985</v>
      </c>
      <c r="B794" s="422">
        <v>0.8488160849501869</v>
      </c>
      <c r="C794" s="422">
        <v>0.83164097798899128</v>
      </c>
      <c r="D794" s="422">
        <v>0.81350106945877398</v>
      </c>
      <c r="E794" s="422">
        <v>0.79452392844171504</v>
      </c>
      <c r="F794" s="422">
        <v>0.77421511984219671</v>
      </c>
      <c r="G794" s="422">
        <v>0.75227653585079346</v>
      </c>
    </row>
    <row r="795" spans="1:7" x14ac:dyDescent="0.25">
      <c r="A795" s="422" t="s">
        <v>3986</v>
      </c>
      <c r="B795" s="422">
        <v>0.10097085706552822</v>
      </c>
      <c r="C795" s="422">
        <v>0.10148314984764982</v>
      </c>
      <c r="D795" s="422">
        <v>0.10280763101322364</v>
      </c>
      <c r="E795" s="422">
        <v>0.10417384255702938</v>
      </c>
      <c r="F795" s="422">
        <v>0.1059382988162786</v>
      </c>
      <c r="G795" s="422">
        <v>0.10667276067854461</v>
      </c>
    </row>
    <row r="796" spans="1:7" x14ac:dyDescent="0.25">
      <c r="A796" s="422" t="s">
        <v>3987</v>
      </c>
      <c r="B796" s="422">
        <v>0.86528310487332993</v>
      </c>
      <c r="C796" s="422">
        <v>0.84718323369747928</v>
      </c>
      <c r="D796" s="422">
        <v>0.82817049438419921</v>
      </c>
      <c r="E796" s="422">
        <v>0.80836953950865675</v>
      </c>
      <c r="F796" s="422">
        <v>0.78728318125507268</v>
      </c>
      <c r="G796" s="422">
        <v>0.76461071368267253</v>
      </c>
    </row>
    <row r="797" spans="1:7" x14ac:dyDescent="0.25">
      <c r="A797" s="422" t="s">
        <v>3988</v>
      </c>
      <c r="B797" s="422">
        <v>0.13512527673198846</v>
      </c>
      <c r="C797" s="422">
        <v>0.13648979525192889</v>
      </c>
      <c r="D797" s="422">
        <v>0.13782040849951363</v>
      </c>
      <c r="E797" s="422">
        <v>0.14009271848273891</v>
      </c>
      <c r="F797" s="422">
        <v>0.14167940608282376</v>
      </c>
      <c r="G797" s="422">
        <v>0.14212399324924369</v>
      </c>
    </row>
    <row r="798" spans="1:7" x14ac:dyDescent="0.25">
      <c r="A798" s="422" t="s">
        <v>3989</v>
      </c>
      <c r="B798" s="422">
        <v>0.17013192213626752</v>
      </c>
      <c r="C798" s="422">
        <v>0.17150257273821873</v>
      </c>
      <c r="D798" s="422">
        <v>0.17373928442522313</v>
      </c>
      <c r="E798" s="422">
        <v>0.17583382574928397</v>
      </c>
      <c r="F798" s="422">
        <v>0.17713063865352285</v>
      </c>
      <c r="G798" s="422">
        <v>0.17724294464168699</v>
      </c>
    </row>
    <row r="799" spans="1:7" x14ac:dyDescent="0.25">
      <c r="A799" s="422" t="s">
        <v>3990</v>
      </c>
      <c r="B799" s="422">
        <v>0.20514469962255735</v>
      </c>
      <c r="C799" s="422">
        <v>0.20742144866392834</v>
      </c>
      <c r="D799" s="422">
        <v>0.20948039169176827</v>
      </c>
      <c r="E799" s="422">
        <v>0.21128505831998315</v>
      </c>
      <c r="F799" s="422">
        <v>0.21224959004596614</v>
      </c>
      <c r="G799" s="422">
        <v>0.21180461480468793</v>
      </c>
    </row>
    <row r="800" spans="1:7" x14ac:dyDescent="0.25">
      <c r="A800" s="422" t="s">
        <v>3991</v>
      </c>
      <c r="B800" s="422">
        <v>0.24106357554826691</v>
      </c>
      <c r="C800" s="422">
        <v>0.24316255593047345</v>
      </c>
      <c r="D800" s="422">
        <v>0.24493162426246737</v>
      </c>
      <c r="E800" s="422">
        <v>0.24640400971242638</v>
      </c>
      <c r="F800" s="422">
        <v>0.24681126020896704</v>
      </c>
      <c r="G800" s="422">
        <v>0.24604756491314367</v>
      </c>
    </row>
    <row r="801" spans="1:7" x14ac:dyDescent="0.25">
      <c r="A801" s="422" t="s">
        <v>3992</v>
      </c>
      <c r="B801" s="422">
        <v>0.27680468281481213</v>
      </c>
      <c r="C801" s="422">
        <v>0.27861378850117258</v>
      </c>
      <c r="D801" s="422">
        <v>0.28005057565491065</v>
      </c>
      <c r="E801" s="422">
        <v>0.28096567987542748</v>
      </c>
      <c r="F801" s="422">
        <v>0.28105421031742273</v>
      </c>
      <c r="G801" s="422">
        <v>0.28030330409096632</v>
      </c>
    </row>
    <row r="802" spans="1:7" x14ac:dyDescent="0.25">
      <c r="A802" s="422" t="s">
        <v>3993</v>
      </c>
      <c r="B802" s="422">
        <v>0.31225591538551123</v>
      </c>
      <c r="C802" s="422">
        <v>0.31373273989361589</v>
      </c>
      <c r="D802" s="422">
        <v>0.31461224581791164</v>
      </c>
      <c r="E802" s="422">
        <v>0.31520862998388299</v>
      </c>
      <c r="F802" s="422">
        <v>0.31530994949524543</v>
      </c>
      <c r="G802" s="422">
        <v>0.3130430355845063</v>
      </c>
    </row>
    <row r="803" spans="1:7" x14ac:dyDescent="0.25">
      <c r="A803" s="422" t="s">
        <v>3994</v>
      </c>
      <c r="B803" s="422">
        <v>4.0238415609106792E-2</v>
      </c>
      <c r="C803" s="422">
        <v>4.0507741653339889E-2</v>
      </c>
      <c r="D803" s="422">
        <v>4.0676831631293209E-2</v>
      </c>
      <c r="E803" s="422">
        <v>4.1735894269171271E-2</v>
      </c>
      <c r="F803" s="422">
        <v>4.3114593208887275E-2</v>
      </c>
      <c r="G803" s="422">
        <v>4.3444190756547277E-2</v>
      </c>
    </row>
    <row r="804" spans="1:7" x14ac:dyDescent="0.25">
      <c r="A804" s="422" t="s">
        <v>3995</v>
      </c>
      <c r="B804" s="422">
        <v>0.42730912445516639</v>
      </c>
      <c r="C804" s="422">
        <v>0.43030184596024279</v>
      </c>
      <c r="D804" s="422">
        <v>0.4325121867287901</v>
      </c>
      <c r="E804" s="422">
        <v>0.43437397853950965</v>
      </c>
      <c r="F804" s="422">
        <v>0.43328095461642402</v>
      </c>
      <c r="G804" s="422">
        <v>0.42891688703883707</v>
      </c>
    </row>
    <row r="805" spans="1:7" x14ac:dyDescent="0.25">
      <c r="A805" s="422" t="s">
        <v>3996</v>
      </c>
      <c r="B805" s="422">
        <v>0.47054026156934958</v>
      </c>
      <c r="C805" s="422">
        <v>0.47301992838212992</v>
      </c>
      <c r="D805" s="422">
        <v>0.47505081017080281</v>
      </c>
      <c r="E805" s="422">
        <v>0.47501684888559531</v>
      </c>
      <c r="F805" s="422">
        <v>0.47203148024772412</v>
      </c>
      <c r="G805" s="422">
        <v>0.46622949242767298</v>
      </c>
    </row>
    <row r="806" spans="1:7" x14ac:dyDescent="0.25">
      <c r="A806" s="422" t="s">
        <v>3997</v>
      </c>
      <c r="B806" s="422">
        <v>0.51325834399123682</v>
      </c>
      <c r="C806" s="422">
        <v>0.51555855182414267</v>
      </c>
      <c r="D806" s="422">
        <v>0.51569368051688858</v>
      </c>
      <c r="E806" s="422">
        <v>0.51376737451689547</v>
      </c>
      <c r="F806" s="422">
        <v>0.50934408563656031</v>
      </c>
      <c r="G806" s="422">
        <v>0.50216258623087562</v>
      </c>
    </row>
    <row r="807" spans="1:7" x14ac:dyDescent="0.25">
      <c r="A807" s="422" t="s">
        <v>3998</v>
      </c>
      <c r="B807" s="422">
        <v>0.55579696743324936</v>
      </c>
      <c r="C807" s="422">
        <v>0.55620142217022828</v>
      </c>
      <c r="D807" s="422">
        <v>0.55444420614818868</v>
      </c>
      <c r="E807" s="422">
        <v>0.55107997990573143</v>
      </c>
      <c r="F807" s="422">
        <v>0.54527717943976295</v>
      </c>
      <c r="G807" s="422">
        <v>0.53669841884493941</v>
      </c>
    </row>
    <row r="808" spans="1:7" x14ac:dyDescent="0.25">
      <c r="A808" s="422" t="s">
        <v>3999</v>
      </c>
      <c r="B808" s="422">
        <v>0.59643983777933496</v>
      </c>
      <c r="C808" s="422">
        <v>0.5949519478015286</v>
      </c>
      <c r="D808" s="422">
        <v>0.59175681153702475</v>
      </c>
      <c r="E808" s="422">
        <v>0.58701307370893419</v>
      </c>
      <c r="F808" s="422">
        <v>0.57981301205382652</v>
      </c>
      <c r="G808" s="422">
        <v>0.5700120228173513</v>
      </c>
    </row>
    <row r="809" spans="1:7" x14ac:dyDescent="0.25">
      <c r="A809" s="422" t="s">
        <v>4000</v>
      </c>
      <c r="B809" s="422">
        <v>0.63519036341063528</v>
      </c>
      <c r="C809" s="422">
        <v>0.63226455319036456</v>
      </c>
      <c r="D809" s="422">
        <v>0.62768990534022739</v>
      </c>
      <c r="E809" s="422">
        <v>0.62154890632299797</v>
      </c>
      <c r="F809" s="422">
        <v>0.61312661602623852</v>
      </c>
      <c r="G809" s="422">
        <v>0.60214947132159358</v>
      </c>
    </row>
    <row r="810" spans="1:7" x14ac:dyDescent="0.25">
      <c r="A810" s="422" t="s">
        <v>4001</v>
      </c>
      <c r="B810" s="422">
        <v>0.67250296879947125</v>
      </c>
      <c r="C810" s="422">
        <v>0.6681976469935671</v>
      </c>
      <c r="D810" s="422">
        <v>0.66222573795429107</v>
      </c>
      <c r="E810" s="422">
        <v>0.65486251029540976</v>
      </c>
      <c r="F810" s="422">
        <v>0.64526406453048069</v>
      </c>
      <c r="G810" s="422">
        <v>0.63315498225748601</v>
      </c>
    </row>
    <row r="811" spans="1:7" x14ac:dyDescent="0.25">
      <c r="A811" s="422" t="s">
        <v>4002</v>
      </c>
      <c r="B811" s="422">
        <v>0.70843606260267378</v>
      </c>
      <c r="C811" s="422">
        <v>0.70273347960763066</v>
      </c>
      <c r="D811" s="422">
        <v>0.69553934192670297</v>
      </c>
      <c r="E811" s="422">
        <v>0.68699995879965203</v>
      </c>
      <c r="F811" s="422">
        <v>0.67626957546637323</v>
      </c>
      <c r="G811" s="422">
        <v>0.66307099766082334</v>
      </c>
    </row>
    <row r="812" spans="1:7" x14ac:dyDescent="0.25">
      <c r="A812" s="422" t="s">
        <v>4003</v>
      </c>
      <c r="B812" s="422">
        <v>0.74297189521673745</v>
      </c>
      <c r="C812" s="422">
        <v>0.73604708358004267</v>
      </c>
      <c r="D812" s="422">
        <v>0.72767679043094535</v>
      </c>
      <c r="E812" s="422">
        <v>0.71800546973554447</v>
      </c>
      <c r="F812" s="422">
        <v>0.70618559086971044</v>
      </c>
      <c r="G812" s="422">
        <v>0.69193825953859489</v>
      </c>
    </row>
    <row r="813" spans="1:7" x14ac:dyDescent="0.25">
      <c r="A813" s="422" t="s">
        <v>4004</v>
      </c>
      <c r="B813" s="422">
        <v>0.77628549918914946</v>
      </c>
      <c r="C813" s="422">
        <v>0.76818453208428472</v>
      </c>
      <c r="D813" s="422">
        <v>0.75868230136683779</v>
      </c>
      <c r="E813" s="422">
        <v>0.7479214851388819</v>
      </c>
      <c r="F813" s="422">
        <v>0.73505285274748222</v>
      </c>
      <c r="G813" s="422">
        <v>0.71979588229687996</v>
      </c>
    </row>
    <row r="814" spans="1:7" x14ac:dyDescent="0.25">
      <c r="A814" s="422" t="s">
        <v>4005</v>
      </c>
      <c r="B814" s="422">
        <v>8.0746157262446661E-2</v>
      </c>
      <c r="C814" s="422">
        <v>8.1184573284633049E-2</v>
      </c>
      <c r="D814" s="422">
        <v>8.2412725900464501E-2</v>
      </c>
      <c r="E814" s="422">
        <v>8.4850487478058539E-2</v>
      </c>
      <c r="F814" s="422">
        <v>8.6558783965434538E-2</v>
      </c>
      <c r="G814" s="422">
        <v>8.809926257893555E-2</v>
      </c>
    </row>
    <row r="815" spans="1:7" x14ac:dyDescent="0.25">
      <c r="A815" s="422" t="s">
        <v>4006</v>
      </c>
      <c r="B815" s="422">
        <v>0.80842294769339174</v>
      </c>
      <c r="C815" s="422">
        <v>0.79919004302017727</v>
      </c>
      <c r="D815" s="422">
        <v>0.78859831677017533</v>
      </c>
      <c r="E815" s="422">
        <v>0.77678874701665324</v>
      </c>
      <c r="F815" s="422">
        <v>0.7629104755057674</v>
      </c>
      <c r="G815" s="422">
        <v>0.74668142192048792</v>
      </c>
    </row>
    <row r="816" spans="1:7" x14ac:dyDescent="0.25">
      <c r="A816" s="422" t="s">
        <v>4007</v>
      </c>
      <c r="B816" s="422">
        <v>0.83942845862928406</v>
      </c>
      <c r="C816" s="422">
        <v>0.82910605842351448</v>
      </c>
      <c r="D816" s="422">
        <v>0.81746557864794656</v>
      </c>
      <c r="E816" s="422">
        <v>0.80464636977493853</v>
      </c>
      <c r="F816" s="422">
        <v>0.78979601512937525</v>
      </c>
      <c r="G816" s="422">
        <v>0.77205710820987739</v>
      </c>
    </row>
    <row r="817" spans="1:7" x14ac:dyDescent="0.25">
      <c r="A817" s="422" t="s">
        <v>4008</v>
      </c>
      <c r="B817" s="422">
        <v>0.86934447403262138</v>
      </c>
      <c r="C817" s="422">
        <v>0.85797332030128637</v>
      </c>
      <c r="D817" s="422">
        <v>0.84532320140623152</v>
      </c>
      <c r="E817" s="422">
        <v>0.83153190939854649</v>
      </c>
      <c r="F817" s="422">
        <v>0.81517170141876438</v>
      </c>
      <c r="G817" s="422">
        <v>0.79600773236220312</v>
      </c>
    </row>
    <row r="818" spans="1:7" x14ac:dyDescent="0.25">
      <c r="A818" s="422" t="s">
        <v>4009</v>
      </c>
      <c r="B818" s="422">
        <v>0.89821173591039305</v>
      </c>
      <c r="C818" s="422">
        <v>0.88583094305957144</v>
      </c>
      <c r="D818" s="422">
        <v>0.87220874102983981</v>
      </c>
      <c r="E818" s="422">
        <v>0.85690759568793595</v>
      </c>
      <c r="F818" s="422">
        <v>0.83912232557109057</v>
      </c>
      <c r="G818" s="422">
        <v>0.81861332382263352</v>
      </c>
    </row>
    <row r="819" spans="1:7" x14ac:dyDescent="0.25">
      <c r="A819" s="422" t="s">
        <v>4010</v>
      </c>
      <c r="B819" s="422">
        <v>0.92606935866867823</v>
      </c>
      <c r="C819" s="422">
        <v>0.91271648268317918</v>
      </c>
      <c r="D819" s="422">
        <v>0.89758442731922905</v>
      </c>
      <c r="E819" s="422">
        <v>0.88085821984026169</v>
      </c>
      <c r="F819" s="422">
        <v>0.86172791703152085</v>
      </c>
      <c r="G819" s="422">
        <v>0.83994941769750875</v>
      </c>
    </row>
    <row r="820" spans="1:7" x14ac:dyDescent="0.25">
      <c r="A820" s="422" t="s">
        <v>4011</v>
      </c>
      <c r="B820" s="422">
        <v>0.95295489829228619</v>
      </c>
      <c r="C820" s="422">
        <v>0.93809216897256864</v>
      </c>
      <c r="D820" s="422">
        <v>0.9215350514715549</v>
      </c>
      <c r="E820" s="422">
        <v>0.90346381130069209</v>
      </c>
      <c r="F820" s="422">
        <v>0.88306401090639619</v>
      </c>
      <c r="G820" s="422">
        <v>0.86008730714996295</v>
      </c>
    </row>
    <row r="821" spans="1:7" x14ac:dyDescent="0.25">
      <c r="A821" s="422" t="s">
        <v>4012</v>
      </c>
      <c r="B821" s="422">
        <v>0.97833058458167532</v>
      </c>
      <c r="C821" s="422">
        <v>0.96204279312489449</v>
      </c>
      <c r="D821" s="422">
        <v>0.94414064293198519</v>
      </c>
      <c r="E821" s="422">
        <v>0.92479990517556732</v>
      </c>
      <c r="F821" s="422">
        <v>0.90320190035885006</v>
      </c>
      <c r="G821" s="422">
        <v>0.87909428162136871</v>
      </c>
    </row>
    <row r="822" spans="1:7" x14ac:dyDescent="0.25">
      <c r="A822" s="422" t="s">
        <v>4013</v>
      </c>
      <c r="B822" s="422">
        <v>1.0022812087340012</v>
      </c>
      <c r="C822" s="422">
        <v>0.98464838458532522</v>
      </c>
      <c r="D822" s="422">
        <v>0.96547673680686064</v>
      </c>
      <c r="E822" s="422">
        <v>0.94493779462802152</v>
      </c>
      <c r="F822" s="422">
        <v>0.92220887483025549</v>
      </c>
      <c r="G822" s="422">
        <v>0.89703385167460636</v>
      </c>
    </row>
    <row r="823" spans="1:7" x14ac:dyDescent="0.25">
      <c r="A823" s="422" t="s">
        <v>4014</v>
      </c>
      <c r="B823" s="422">
        <v>1.0248868001944316</v>
      </c>
      <c r="C823" s="422">
        <v>1.0059844784602001</v>
      </c>
      <c r="D823" s="422">
        <v>0.98561462625931462</v>
      </c>
      <c r="E823" s="422">
        <v>0.96394476909942695</v>
      </c>
      <c r="F823" s="422">
        <v>0.94014844488349369</v>
      </c>
      <c r="G823" s="422">
        <v>0.91396596121046114</v>
      </c>
    </row>
    <row r="824" spans="1:7" x14ac:dyDescent="0.25">
      <c r="A824" s="422" t="s">
        <v>4015</v>
      </c>
      <c r="B824" s="422">
        <v>1.0462228940693068</v>
      </c>
      <c r="C824" s="422">
        <v>1.0261223679126543</v>
      </c>
      <c r="D824" s="422">
        <v>1.0046216007307203</v>
      </c>
      <c r="E824" s="422">
        <v>0.98188433915266504</v>
      </c>
      <c r="F824" s="422">
        <v>0.95708055441934847</v>
      </c>
      <c r="G824" s="422">
        <v>0.92994718776624641</v>
      </c>
    </row>
    <row r="825" spans="1:7" x14ac:dyDescent="0.25">
      <c r="A825" s="422" t="s">
        <v>4016</v>
      </c>
      <c r="B825" s="422">
        <v>0.12142298889373983</v>
      </c>
      <c r="C825" s="422">
        <v>0.1229204675538042</v>
      </c>
      <c r="D825" s="422">
        <v>0.12552731910935175</v>
      </c>
      <c r="E825" s="422">
        <v>0.1282946782346058</v>
      </c>
      <c r="F825" s="422">
        <v>0.1312138557878228</v>
      </c>
      <c r="G825" s="422">
        <v>0.13272134868453681</v>
      </c>
    </row>
    <row r="826" spans="1:7" x14ac:dyDescent="0.25">
      <c r="A826" s="422" t="s">
        <v>4017</v>
      </c>
      <c r="B826" s="422">
        <v>1.066360783521761</v>
      </c>
      <c r="C826" s="422">
        <v>1.04512934238406</v>
      </c>
      <c r="D826" s="422">
        <v>1.0225611707839584</v>
      </c>
      <c r="E826" s="422">
        <v>0.99881644868851949</v>
      </c>
      <c r="F826" s="422">
        <v>0.97306178097513374</v>
      </c>
      <c r="G826" s="422">
        <v>0.94503093156594964</v>
      </c>
    </row>
    <row r="827" spans="1:7" x14ac:dyDescent="0.25">
      <c r="A827" s="422" t="s">
        <v>4018</v>
      </c>
      <c r="B827" s="422">
        <v>0.16315888316291102</v>
      </c>
      <c r="C827" s="422">
        <v>0.16603506076269145</v>
      </c>
      <c r="D827" s="422">
        <v>0.16897150986589901</v>
      </c>
      <c r="E827" s="422">
        <v>0.17294975005699409</v>
      </c>
      <c r="F827" s="422">
        <v>0.17583594189342405</v>
      </c>
      <c r="G827" s="422">
        <v>0.17707963388330847</v>
      </c>
    </row>
    <row r="828" spans="1:7" x14ac:dyDescent="0.25">
      <c r="A828" s="422" t="s">
        <v>4019</v>
      </c>
      <c r="B828" s="422">
        <v>0.20627347637179821</v>
      </c>
      <c r="C828" s="422">
        <v>0.20947925151923863</v>
      </c>
      <c r="D828" s="422">
        <v>0.21362658168828733</v>
      </c>
      <c r="E828" s="422">
        <v>0.21757183616259529</v>
      </c>
      <c r="F828" s="422">
        <v>0.22019422709219577</v>
      </c>
      <c r="G828" s="422">
        <v>0.22103564808336817</v>
      </c>
    </row>
    <row r="829" spans="1:7" x14ac:dyDescent="0.25">
      <c r="A829" s="422" t="s">
        <v>4020</v>
      </c>
      <c r="B829" s="422">
        <v>0.24971766712834534</v>
      </c>
      <c r="C829" s="422">
        <v>0.25413432334162683</v>
      </c>
      <c r="D829" s="422">
        <v>0.25824866779388855</v>
      </c>
      <c r="E829" s="422">
        <v>0.26193012136136701</v>
      </c>
      <c r="F829" s="422">
        <v>0.26415024129225545</v>
      </c>
      <c r="G829" s="422">
        <v>0.26426678519755115</v>
      </c>
    </row>
    <row r="830" spans="1:7" x14ac:dyDescent="0.25">
      <c r="A830" s="422" t="s">
        <v>4021</v>
      </c>
      <c r="B830" s="422">
        <v>0.29437273895073368</v>
      </c>
      <c r="C830" s="422">
        <v>0.2987564094472282</v>
      </c>
      <c r="D830" s="422">
        <v>0.30260695299266022</v>
      </c>
      <c r="E830" s="422">
        <v>0.30588613556142674</v>
      </c>
      <c r="F830" s="422">
        <v>0.30738137840643842</v>
      </c>
      <c r="G830" s="422">
        <v>0.30698486761943855</v>
      </c>
    </row>
    <row r="831" spans="1:7" x14ac:dyDescent="0.25">
      <c r="A831" s="422" t="s">
        <v>4022</v>
      </c>
      <c r="B831" s="422">
        <v>0.33899482505633494</v>
      </c>
      <c r="C831" s="422">
        <v>0.34311469464599997</v>
      </c>
      <c r="D831" s="422">
        <v>0.3465629671927199</v>
      </c>
      <c r="E831" s="422">
        <v>0.34911727267560977</v>
      </c>
      <c r="F831" s="422">
        <v>0.35009946082832571</v>
      </c>
      <c r="G831" s="422">
        <v>0.34952349106145109</v>
      </c>
    </row>
    <row r="832" spans="1:7" x14ac:dyDescent="0.25">
      <c r="A832" s="422" t="s">
        <v>4023</v>
      </c>
      <c r="B832" s="422">
        <v>0.38335311025510665</v>
      </c>
      <c r="C832" s="422">
        <v>0.38707070884605971</v>
      </c>
      <c r="D832" s="422">
        <v>0.38979410430690292</v>
      </c>
      <c r="E832" s="422">
        <v>0.39183535509749701</v>
      </c>
      <c r="F832" s="422">
        <v>0.39263808427033831</v>
      </c>
      <c r="G832" s="422">
        <v>0.39016636140753685</v>
      </c>
    </row>
    <row r="833" spans="1:7" x14ac:dyDescent="0.25">
      <c r="A833" s="422" t="s">
        <v>4024</v>
      </c>
      <c r="B833" s="422">
        <v>3.3111544014171858E-2</v>
      </c>
      <c r="C833" s="422">
        <v>3.3061837364456552E-2</v>
      </c>
      <c r="D833" s="422">
        <v>3.2941619788421007E-2</v>
      </c>
      <c r="E833" s="422">
        <v>3.3259715227322087E-2</v>
      </c>
      <c r="F833" s="422">
        <v>3.3953878265273962E-2</v>
      </c>
      <c r="G833" s="422">
        <v>3.3830226629728219E-2</v>
      </c>
    </row>
    <row r="834" spans="1:7" x14ac:dyDescent="0.25">
      <c r="A834" s="422" t="s">
        <v>4025</v>
      </c>
      <c r="B834" s="422">
        <v>0.33713813320463493</v>
      </c>
      <c r="C834" s="422">
        <v>0.33728142971492575</v>
      </c>
      <c r="D834" s="422">
        <v>0.33721379628980003</v>
      </c>
      <c r="E834" s="422">
        <v>0.33735734250343091</v>
      </c>
      <c r="F834" s="422">
        <v>0.33572389458562846</v>
      </c>
      <c r="G834" s="422">
        <v>0.33194703688861693</v>
      </c>
    </row>
    <row r="835" spans="1:7" x14ac:dyDescent="0.25">
      <c r="A835" s="422" t="s">
        <v>4026</v>
      </c>
      <c r="B835" s="422">
        <v>0.37039297372909763</v>
      </c>
      <c r="C835" s="422">
        <v>0.37027563365425659</v>
      </c>
      <c r="D835" s="422">
        <v>0.37029896229185194</v>
      </c>
      <c r="E835" s="422">
        <v>0.36898360981295047</v>
      </c>
      <c r="F835" s="422">
        <v>0.36590091515389095</v>
      </c>
      <c r="G835" s="422">
        <v>0.36108466367295894</v>
      </c>
    </row>
    <row r="836" spans="1:7" x14ac:dyDescent="0.25">
      <c r="A836" s="422" t="s">
        <v>4027</v>
      </c>
      <c r="B836" s="422">
        <v>0.40338717766842863</v>
      </c>
      <c r="C836" s="422">
        <v>0.4033607996563085</v>
      </c>
      <c r="D836" s="422">
        <v>0.4019252296013715</v>
      </c>
      <c r="E836" s="422">
        <v>0.39916063038121297</v>
      </c>
      <c r="F836" s="422">
        <v>0.39503854193823279</v>
      </c>
      <c r="G836" s="422">
        <v>0.38922028740199688</v>
      </c>
    </row>
    <row r="837" spans="1:7" x14ac:dyDescent="0.25">
      <c r="A837" s="422" t="s">
        <v>4028</v>
      </c>
      <c r="B837" s="422">
        <v>0.43647234367048032</v>
      </c>
      <c r="C837" s="422">
        <v>0.43498706696582806</v>
      </c>
      <c r="D837" s="422">
        <v>0.43210225016963411</v>
      </c>
      <c r="E837" s="422">
        <v>0.42829825716555503</v>
      </c>
      <c r="F837" s="422">
        <v>0.4231741656672709</v>
      </c>
      <c r="G837" s="422">
        <v>0.41631599764030375</v>
      </c>
    </row>
    <row r="838" spans="1:7" x14ac:dyDescent="0.25">
      <c r="A838" s="422" t="s">
        <v>4029</v>
      </c>
      <c r="B838" s="422">
        <v>0.46809861097999994</v>
      </c>
      <c r="C838" s="422">
        <v>0.4651640875340905</v>
      </c>
      <c r="D838" s="422">
        <v>0.46123987695397595</v>
      </c>
      <c r="E838" s="422">
        <v>0.45643388089459291</v>
      </c>
      <c r="F838" s="422">
        <v>0.45026987590557765</v>
      </c>
      <c r="G838" s="422">
        <v>0.44250852304097849</v>
      </c>
    </row>
    <row r="839" spans="1:7" x14ac:dyDescent="0.25">
      <c r="A839" s="422" t="s">
        <v>4030</v>
      </c>
      <c r="B839" s="422">
        <v>0.49827563154826243</v>
      </c>
      <c r="C839" s="422">
        <v>0.49430171431843239</v>
      </c>
      <c r="D839" s="422">
        <v>0.48937550068301394</v>
      </c>
      <c r="E839" s="422">
        <v>0.48352959113289967</v>
      </c>
      <c r="F839" s="422">
        <v>0.4764624013062525</v>
      </c>
      <c r="G839" s="422">
        <v>0.46782962604480671</v>
      </c>
    </row>
    <row r="840" spans="1:7" x14ac:dyDescent="0.25">
      <c r="A840" s="422" t="s">
        <v>4031</v>
      </c>
      <c r="B840" s="422">
        <v>0.52741325833260433</v>
      </c>
      <c r="C840" s="422">
        <v>0.5224373380474705</v>
      </c>
      <c r="D840" s="422">
        <v>0.51647121092132076</v>
      </c>
      <c r="E840" s="422">
        <v>0.50972211653357458</v>
      </c>
      <c r="F840" s="422">
        <v>0.50178350431008079</v>
      </c>
      <c r="G840" s="422">
        <v>0.49230987849082442</v>
      </c>
    </row>
    <row r="841" spans="1:7" x14ac:dyDescent="0.25">
      <c r="A841" s="422" t="s">
        <v>4032</v>
      </c>
      <c r="B841" s="422">
        <v>0.55554888206164232</v>
      </c>
      <c r="C841" s="422">
        <v>0.54953304828577731</v>
      </c>
      <c r="D841" s="422">
        <v>0.54266373632199572</v>
      </c>
      <c r="E841" s="422">
        <v>0.53504321953740286</v>
      </c>
      <c r="F841" s="422">
        <v>0.52626375675609838</v>
      </c>
      <c r="G841" s="422">
        <v>0.51597870935824064</v>
      </c>
    </row>
    <row r="842" spans="1:7" x14ac:dyDescent="0.25">
      <c r="A842" s="422" t="s">
        <v>4033</v>
      </c>
      <c r="B842" s="422">
        <v>0.58264459229994925</v>
      </c>
      <c r="C842" s="422">
        <v>0.57572557368645205</v>
      </c>
      <c r="D842" s="422">
        <v>0.56798483932582389</v>
      </c>
      <c r="E842" s="422">
        <v>0.55952347198342045</v>
      </c>
      <c r="F842" s="422">
        <v>0.5499325876235146</v>
      </c>
      <c r="G842" s="422">
        <v>0.53886445046999887</v>
      </c>
    </row>
    <row r="843" spans="1:7" x14ac:dyDescent="0.25">
      <c r="A843" s="422" t="s">
        <v>4034</v>
      </c>
      <c r="B843" s="422">
        <v>0.6088371177006241</v>
      </c>
      <c r="C843" s="422">
        <v>0.60104667669028056</v>
      </c>
      <c r="D843" s="422">
        <v>0.59246509177184159</v>
      </c>
      <c r="E843" s="422">
        <v>0.58319230285083679</v>
      </c>
      <c r="F843" s="422">
        <v>0.57281832873527305</v>
      </c>
      <c r="G843" s="422">
        <v>0.56099438024963522</v>
      </c>
    </row>
    <row r="844" spans="1:7" x14ac:dyDescent="0.25">
      <c r="A844" s="422" t="s">
        <v>4035</v>
      </c>
      <c r="B844" s="422">
        <v>6.617338137862841E-2</v>
      </c>
      <c r="C844" s="422">
        <v>6.6003457152877559E-2</v>
      </c>
      <c r="D844" s="422">
        <v>6.6201335015743101E-2</v>
      </c>
      <c r="E844" s="422">
        <v>6.7213593492596063E-2</v>
      </c>
      <c r="F844" s="422">
        <v>6.7784104895002195E-2</v>
      </c>
      <c r="G844" s="422">
        <v>6.8501104164964646E-2</v>
      </c>
    </row>
    <row r="845" spans="1:7" x14ac:dyDescent="0.25">
      <c r="A845" s="422" t="s">
        <v>4036</v>
      </c>
      <c r="B845" s="422">
        <v>0.63415822070445216</v>
      </c>
      <c r="C845" s="422">
        <v>0.62552692913629793</v>
      </c>
      <c r="D845" s="422">
        <v>0.6161339226392577</v>
      </c>
      <c r="E845" s="422">
        <v>0.60607804396259501</v>
      </c>
      <c r="F845" s="422">
        <v>0.59494825851490929</v>
      </c>
      <c r="G845" s="422">
        <v>0.58239476561881054</v>
      </c>
    </row>
    <row r="846" spans="1:7" x14ac:dyDescent="0.25">
      <c r="A846" s="422" t="s">
        <v>4037</v>
      </c>
      <c r="B846" s="422">
        <v>0.65863847315046975</v>
      </c>
      <c r="C846" s="422">
        <v>0.64919576000371437</v>
      </c>
      <c r="D846" s="422">
        <v>0.63901966375101593</v>
      </c>
      <c r="E846" s="422">
        <v>0.62820797374223114</v>
      </c>
      <c r="F846" s="422">
        <v>0.61634864388408439</v>
      </c>
      <c r="G846" s="422">
        <v>0.60259333604747989</v>
      </c>
    </row>
    <row r="847" spans="1:7" x14ac:dyDescent="0.25">
      <c r="A847" s="422" t="s">
        <v>4038</v>
      </c>
      <c r="B847" s="422">
        <v>0.68230730401788631</v>
      </c>
      <c r="C847" s="422">
        <v>0.6720815011154726</v>
      </c>
      <c r="D847" s="422">
        <v>0.66114959353065228</v>
      </c>
      <c r="E847" s="422">
        <v>0.64960835911140657</v>
      </c>
      <c r="F847" s="422">
        <v>0.63654721431275385</v>
      </c>
      <c r="G847" s="422">
        <v>0.62165758373853175</v>
      </c>
    </row>
    <row r="848" spans="1:7" x14ac:dyDescent="0.25">
      <c r="A848" s="422" t="s">
        <v>4039</v>
      </c>
      <c r="B848" s="422">
        <v>0.70519304512964431</v>
      </c>
      <c r="C848" s="422">
        <v>0.69421143089510862</v>
      </c>
      <c r="D848" s="422">
        <v>0.68254997889982771</v>
      </c>
      <c r="E848" s="422">
        <v>0.66980692954007615</v>
      </c>
      <c r="F848" s="422">
        <v>0.6556114620038056</v>
      </c>
      <c r="G848" s="422">
        <v>0.6396512106295672</v>
      </c>
    </row>
    <row r="849" spans="1:7" x14ac:dyDescent="0.25">
      <c r="A849" s="422" t="s">
        <v>4040</v>
      </c>
      <c r="B849" s="422">
        <v>0.72732297490928066</v>
      </c>
      <c r="C849" s="422">
        <v>0.71561181626428405</v>
      </c>
      <c r="D849" s="422">
        <v>0.70274854932849729</v>
      </c>
      <c r="E849" s="422">
        <v>0.68887117723112801</v>
      </c>
      <c r="F849" s="422">
        <v>0.67360508889484105</v>
      </c>
      <c r="G849" s="422">
        <v>0.65663434124876041</v>
      </c>
    </row>
    <row r="850" spans="1:7" x14ac:dyDescent="0.25">
      <c r="A850" s="422" t="s">
        <v>4041</v>
      </c>
      <c r="B850" s="422">
        <v>0.74872336027845598</v>
      </c>
      <c r="C850" s="422">
        <v>0.73581038669295362</v>
      </c>
      <c r="D850" s="422">
        <v>0.72181279701954881</v>
      </c>
      <c r="E850" s="422">
        <v>0.70686480412216302</v>
      </c>
      <c r="F850" s="422">
        <v>0.69058821951403426</v>
      </c>
      <c r="G850" s="422">
        <v>0.67266372361704097</v>
      </c>
    </row>
    <row r="851" spans="1:7" x14ac:dyDescent="0.25">
      <c r="A851" s="422" t="s">
        <v>4042</v>
      </c>
      <c r="B851" s="422">
        <v>9.9115001167049438E-2</v>
      </c>
      <c r="C851" s="422">
        <v>9.9263172380199632E-2</v>
      </c>
      <c r="D851" s="422">
        <v>0.10015521328101706</v>
      </c>
      <c r="E851" s="422">
        <v>0.10104382012232425</v>
      </c>
      <c r="F851" s="422">
        <v>0.10245498243023865</v>
      </c>
      <c r="G851" s="422">
        <v>0.10292472554817378</v>
      </c>
    </row>
    <row r="852" spans="1:7" x14ac:dyDescent="0.25">
      <c r="A852" s="422" t="s">
        <v>4043</v>
      </c>
      <c r="B852" s="422">
        <v>0.13237471639437151</v>
      </c>
      <c r="C852" s="422">
        <v>0.13321705064547357</v>
      </c>
      <c r="D852" s="422">
        <v>0.1339854399107453</v>
      </c>
      <c r="E852" s="422">
        <v>0.13571469765756072</v>
      </c>
      <c r="F852" s="422">
        <v>0.13687860381344774</v>
      </c>
      <c r="G852" s="422">
        <v>0.1370296787618929</v>
      </c>
    </row>
    <row r="853" spans="1:7" x14ac:dyDescent="0.25">
      <c r="A853" s="422" t="s">
        <v>4044</v>
      </c>
      <c r="B853" s="422">
        <v>0.16632859465964545</v>
      </c>
      <c r="C853" s="422">
        <v>0.1670472772752018</v>
      </c>
      <c r="D853" s="422">
        <v>0.16865631744598175</v>
      </c>
      <c r="E853" s="422">
        <v>0.17013831904076981</v>
      </c>
      <c r="F853" s="422">
        <v>0.17098355702716683</v>
      </c>
      <c r="G853" s="422">
        <v>0.17080953854498937</v>
      </c>
    </row>
    <row r="854" spans="1:7" x14ac:dyDescent="0.25">
      <c r="A854" s="422" t="s">
        <v>4045</v>
      </c>
      <c r="B854" s="422">
        <v>0.20015882128937373</v>
      </c>
      <c r="C854" s="422">
        <v>0.20171815481043828</v>
      </c>
      <c r="D854" s="422">
        <v>0.2030799388291909</v>
      </c>
      <c r="E854" s="422">
        <v>0.20424327225448893</v>
      </c>
      <c r="F854" s="422">
        <v>0.20476341681026339</v>
      </c>
      <c r="G854" s="422">
        <v>0.20406437906945218</v>
      </c>
    </row>
    <row r="855" spans="1:7" x14ac:dyDescent="0.25">
      <c r="A855" s="422" t="s">
        <v>4046</v>
      </c>
      <c r="B855" s="422">
        <v>0.23482969882461013</v>
      </c>
      <c r="C855" s="422">
        <v>0.2361417761936474</v>
      </c>
      <c r="D855" s="422">
        <v>0.23718489204290993</v>
      </c>
      <c r="E855" s="422">
        <v>0.23802313203758543</v>
      </c>
      <c r="F855" s="422">
        <v>0.23801825733472615</v>
      </c>
      <c r="G855" s="422">
        <v>0.23705858300878302</v>
      </c>
    </row>
    <row r="856" spans="1:7" x14ac:dyDescent="0.25">
      <c r="A856" s="422" t="s">
        <v>4047</v>
      </c>
      <c r="B856" s="422">
        <v>0.26925332020781934</v>
      </c>
      <c r="C856" s="422">
        <v>0.27024672940736649</v>
      </c>
      <c r="D856" s="422">
        <v>0.27096475182600654</v>
      </c>
      <c r="E856" s="422">
        <v>0.27127797256204822</v>
      </c>
      <c r="F856" s="422">
        <v>0.27101246127405704</v>
      </c>
      <c r="G856" s="422">
        <v>0.27014374901083482</v>
      </c>
    </row>
    <row r="857" spans="1:7" x14ac:dyDescent="0.25">
      <c r="A857" s="422" t="s">
        <v>4048</v>
      </c>
      <c r="B857" s="422">
        <v>0.30335827342153832</v>
      </c>
      <c r="C857" s="422">
        <v>0.30402658919046305</v>
      </c>
      <c r="D857" s="422">
        <v>0.30421959235046925</v>
      </c>
      <c r="E857" s="422">
        <v>0.30427217650137905</v>
      </c>
      <c r="F857" s="422">
        <v>0.30409762727610889</v>
      </c>
      <c r="G857" s="422">
        <v>0.30177001632035449</v>
      </c>
    </row>
  </sheetData>
  <autoFilter ref="A3:G857"/>
  <mergeCells count="2">
    <mergeCell ref="A1:H1"/>
    <mergeCell ref="B2:G2"/>
  </mergeCells>
  <pageMargins left="0.7" right="0.7" top="0.75" bottom="0.75" header="0.3" footer="0.3"/>
  <pageSetup scale="26"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workbookViewId="0">
      <selection sqref="A1:H1"/>
    </sheetView>
  </sheetViews>
  <sheetFormatPr defaultRowHeight="15" x14ac:dyDescent="0.25"/>
  <cols>
    <col min="1" max="1" width="20.140625" bestFit="1" customWidth="1"/>
    <col min="2" max="2" width="27.140625" style="1263" customWidth="1"/>
  </cols>
  <sheetData>
    <row r="1" spans="1:32" x14ac:dyDescent="0.25">
      <c r="A1" s="3676"/>
      <c r="B1" s="3676"/>
      <c r="C1" s="3676"/>
      <c r="D1" s="3676"/>
      <c r="E1" s="3676"/>
      <c r="F1" s="3676"/>
      <c r="G1" s="3676"/>
      <c r="H1" s="3676"/>
      <c r="I1" s="1930"/>
      <c r="J1" s="103"/>
      <c r="K1" s="1930"/>
      <c r="L1" s="1930"/>
      <c r="M1" s="1930"/>
      <c r="N1" s="1930"/>
      <c r="O1" s="1930"/>
      <c r="P1" s="1930"/>
      <c r="Q1" s="1930"/>
      <c r="R1" s="1930"/>
      <c r="S1" s="1930"/>
      <c r="T1" s="1930"/>
      <c r="U1" s="1930"/>
      <c r="V1" s="1930"/>
      <c r="W1" s="1930"/>
      <c r="X1" s="1930"/>
      <c r="Y1" s="1930"/>
      <c r="Z1" s="1930"/>
      <c r="AA1" s="1930"/>
      <c r="AB1" s="1930"/>
      <c r="AC1" s="1930"/>
      <c r="AD1" s="1930"/>
      <c r="AE1" s="1930"/>
      <c r="AF1" s="1255"/>
    </row>
    <row r="2" spans="1:32" x14ac:dyDescent="0.25">
      <c r="A2" s="1256" t="s">
        <v>2637</v>
      </c>
      <c r="B2" s="1257"/>
      <c r="C2" s="1930"/>
      <c r="D2" s="1930"/>
      <c r="E2" s="1930"/>
      <c r="F2" s="1930"/>
      <c r="G2" s="1930"/>
      <c r="H2" s="1930"/>
      <c r="I2" s="1930"/>
      <c r="J2" s="1930"/>
      <c r="K2" s="1930"/>
      <c r="L2" s="1930"/>
      <c r="M2" s="1930"/>
      <c r="N2" s="1930"/>
      <c r="O2" s="1930"/>
      <c r="P2" s="1930"/>
      <c r="Q2" s="1930"/>
      <c r="R2" s="1930"/>
      <c r="S2" s="1930"/>
      <c r="T2" s="1930"/>
      <c r="U2" s="1930"/>
      <c r="V2" s="1930"/>
      <c r="W2" s="1930"/>
      <c r="X2" s="1930"/>
      <c r="Y2" s="1930"/>
      <c r="Z2" s="1930"/>
      <c r="AA2" s="1930"/>
      <c r="AB2" s="1930"/>
      <c r="AC2" s="1930"/>
      <c r="AD2" s="1930"/>
      <c r="AE2" s="1930"/>
      <c r="AF2" s="1930"/>
    </row>
    <row r="3" spans="1:32" x14ac:dyDescent="0.25">
      <c r="A3" s="1258" t="s">
        <v>4049</v>
      </c>
      <c r="B3" s="1259">
        <v>1.148238E-4</v>
      </c>
      <c r="C3" s="1930"/>
      <c r="D3" s="1930"/>
      <c r="E3" s="1930"/>
      <c r="F3" s="1930"/>
      <c r="G3" s="1930"/>
      <c r="H3" s="1930"/>
      <c r="I3" s="1930"/>
      <c r="J3" s="1930"/>
      <c r="K3" s="1930"/>
      <c r="L3" s="1930"/>
      <c r="M3" s="1930"/>
      <c r="N3" s="1930"/>
      <c r="O3" s="1930"/>
      <c r="P3" s="1930"/>
      <c r="Q3" s="1930"/>
      <c r="R3" s="1930"/>
      <c r="S3" s="1930"/>
      <c r="T3" s="1930"/>
      <c r="U3" s="1930"/>
      <c r="V3" s="1930"/>
      <c r="W3" s="1930"/>
      <c r="X3" s="1930"/>
      <c r="Y3" s="1930"/>
      <c r="Z3" s="1930"/>
      <c r="AA3" s="1930"/>
      <c r="AB3" s="1930"/>
      <c r="AC3" s="1930"/>
      <c r="AD3" s="1930"/>
      <c r="AE3" s="1930"/>
      <c r="AF3" s="1930"/>
    </row>
    <row r="4" spans="1:32" x14ac:dyDescent="0.25">
      <c r="A4" s="1258" t="s">
        <v>1615</v>
      </c>
      <c r="B4" s="1259">
        <v>4.6608050000000002E-4</v>
      </c>
      <c r="C4" s="1930"/>
      <c r="D4" s="1930"/>
      <c r="E4" s="1930"/>
      <c r="F4" s="1930"/>
      <c r="G4" s="1930"/>
      <c r="H4" s="1930"/>
      <c r="I4" s="1930"/>
      <c r="J4" s="1930"/>
      <c r="K4" s="1930"/>
      <c r="L4" s="1930"/>
      <c r="M4" s="1930"/>
      <c r="N4" s="1930"/>
      <c r="O4" s="1930"/>
      <c r="P4" s="1930"/>
      <c r="Q4" s="1930"/>
      <c r="R4" s="1930"/>
      <c r="S4" s="1930"/>
      <c r="T4" s="1930"/>
      <c r="U4" s="1930"/>
      <c r="V4" s="1930"/>
      <c r="W4" s="1930"/>
      <c r="X4" s="1930"/>
      <c r="Y4" s="1930"/>
      <c r="Z4" s="1930"/>
      <c r="AA4" s="1930"/>
      <c r="AB4" s="1930"/>
      <c r="AC4" s="1930"/>
      <c r="AD4" s="1930"/>
      <c r="AE4" s="1930"/>
      <c r="AF4" s="1930"/>
    </row>
    <row r="5" spans="1:32" x14ac:dyDescent="0.25">
      <c r="A5" s="1258" t="s">
        <v>4050</v>
      </c>
      <c r="B5" s="1259">
        <v>1.3539039999999999E-4</v>
      </c>
      <c r="C5" s="1930"/>
      <c r="D5" s="1930"/>
      <c r="E5" s="1930"/>
      <c r="F5" s="1930"/>
      <c r="G5" s="1930"/>
      <c r="H5" s="1930"/>
      <c r="I5" s="1930"/>
      <c r="J5" s="1930"/>
      <c r="K5" s="1930"/>
      <c r="L5" s="1930"/>
      <c r="M5" s="1930"/>
      <c r="N5" s="1930"/>
      <c r="O5" s="1930"/>
      <c r="P5" s="1930"/>
      <c r="Q5" s="1930"/>
      <c r="R5" s="1930"/>
      <c r="S5" s="1930"/>
      <c r="T5" s="1930"/>
      <c r="U5" s="1930"/>
      <c r="V5" s="1930"/>
      <c r="W5" s="1930"/>
      <c r="X5" s="1930"/>
      <c r="Y5" s="1930"/>
      <c r="Z5" s="1930"/>
      <c r="AA5" s="1930"/>
      <c r="AB5" s="1930"/>
      <c r="AC5" s="1930"/>
      <c r="AD5" s="1930"/>
      <c r="AE5" s="1930"/>
      <c r="AF5" s="1930"/>
    </row>
    <row r="6" spans="1:32" x14ac:dyDescent="0.25">
      <c r="A6" s="1258" t="s">
        <v>4051</v>
      </c>
      <c r="B6" s="1259">
        <v>1.1954749999999999E-4</v>
      </c>
      <c r="C6" s="1930"/>
      <c r="D6" s="1930"/>
      <c r="E6" s="1930"/>
      <c r="F6" s="1930"/>
      <c r="G6" s="1930"/>
      <c r="H6" s="1930"/>
      <c r="I6" s="1930"/>
      <c r="J6" s="1930"/>
      <c r="K6" s="1930"/>
      <c r="L6" s="1930"/>
      <c r="M6" s="1930"/>
      <c r="N6" s="1930"/>
      <c r="O6" s="1930"/>
      <c r="P6" s="1930"/>
      <c r="Q6" s="1930"/>
      <c r="R6" s="1930"/>
      <c r="S6" s="1930"/>
      <c r="T6" s="1930"/>
      <c r="U6" s="1930"/>
      <c r="V6" s="1930"/>
      <c r="W6" s="1930"/>
      <c r="X6" s="1930"/>
      <c r="Y6" s="1930"/>
      <c r="Z6" s="1930"/>
      <c r="AA6" s="1930"/>
      <c r="AB6" s="1930"/>
      <c r="AC6" s="1930"/>
      <c r="AD6" s="1930"/>
      <c r="AE6" s="1930"/>
      <c r="AF6" s="1930"/>
    </row>
    <row r="7" spans="1:32" x14ac:dyDescent="0.25">
      <c r="A7" s="1258" t="s">
        <v>4052</v>
      </c>
      <c r="B7" s="1259">
        <v>1.4008870000000001E-4</v>
      </c>
      <c r="C7" s="1930"/>
      <c r="D7" s="1930"/>
      <c r="E7" s="1930"/>
      <c r="F7" s="1930"/>
      <c r="G7" s="1930"/>
      <c r="H7" s="1930"/>
      <c r="I7" s="1930"/>
      <c r="J7" s="1930"/>
      <c r="K7" s="1930"/>
      <c r="L7" s="1930"/>
      <c r="M7" s="1930"/>
      <c r="N7" s="1930"/>
      <c r="O7" s="1930"/>
      <c r="P7" s="1930"/>
      <c r="Q7" s="1930"/>
      <c r="R7" s="1930"/>
      <c r="S7" s="1930"/>
      <c r="T7" s="1930"/>
      <c r="U7" s="1930"/>
      <c r="V7" s="1930"/>
      <c r="W7" s="1930"/>
      <c r="X7" s="1930"/>
      <c r="Y7" s="1930"/>
      <c r="Z7" s="1930"/>
      <c r="AA7" s="1930"/>
      <c r="AB7" s="1930"/>
      <c r="AC7" s="1930"/>
      <c r="AD7" s="1930"/>
      <c r="AE7" s="1930"/>
      <c r="AF7" s="1930"/>
    </row>
    <row r="8" spans="1:32" x14ac:dyDescent="0.25">
      <c r="A8" s="1258" t="s">
        <v>4053</v>
      </c>
      <c r="B8" s="1259">
        <v>2.053256E-4</v>
      </c>
      <c r="C8" s="1930"/>
      <c r="D8" s="1930"/>
      <c r="E8" s="1930"/>
      <c r="F8" s="1930"/>
      <c r="G8" s="1930"/>
      <c r="H8" s="1930"/>
      <c r="I8" s="1930"/>
      <c r="J8" s="1930"/>
      <c r="K8" s="1930"/>
      <c r="L8" s="1930"/>
      <c r="M8" s="1930"/>
      <c r="N8" s="1930"/>
      <c r="O8" s="1930"/>
      <c r="P8" s="1930"/>
      <c r="Q8" s="1930"/>
      <c r="R8" s="1930"/>
      <c r="S8" s="1930"/>
      <c r="T8" s="1930"/>
      <c r="U8" s="1930"/>
      <c r="V8" s="1930"/>
      <c r="W8" s="1930"/>
      <c r="X8" s="1930"/>
      <c r="Y8" s="1930"/>
      <c r="Z8" s="1930"/>
      <c r="AA8" s="1930"/>
      <c r="AB8" s="1930"/>
      <c r="AC8" s="1930"/>
      <c r="AD8" s="1930"/>
      <c r="AE8" s="1930"/>
      <c r="AF8" s="1930"/>
    </row>
    <row r="9" spans="1:32" x14ac:dyDescent="0.25">
      <c r="A9" s="1258" t="s">
        <v>258</v>
      </c>
      <c r="B9" s="1259">
        <v>9.4741810000000004E-4</v>
      </c>
      <c r="C9" s="1930"/>
      <c r="D9" s="1930"/>
      <c r="E9" s="1930"/>
      <c r="F9" s="1930"/>
      <c r="G9" s="1930"/>
      <c r="H9" s="1930"/>
      <c r="I9" s="1930"/>
      <c r="J9" s="1930"/>
      <c r="K9" s="1930"/>
      <c r="L9" s="1930"/>
      <c r="M9" s="1930"/>
      <c r="N9" s="1930"/>
      <c r="O9" s="1930"/>
      <c r="P9" s="1930"/>
      <c r="Q9" s="1930"/>
      <c r="R9" s="1930"/>
      <c r="S9" s="1930"/>
      <c r="T9" s="1930"/>
      <c r="U9" s="1930"/>
      <c r="V9" s="1930"/>
      <c r="W9" s="1930"/>
      <c r="X9" s="1930"/>
      <c r="Y9" s="1930"/>
      <c r="Z9" s="1930"/>
      <c r="AA9" s="1930"/>
      <c r="AB9" s="1930"/>
      <c r="AC9" s="1930"/>
      <c r="AD9" s="1930"/>
      <c r="AE9" s="1930"/>
      <c r="AF9" s="1930"/>
    </row>
    <row r="10" spans="1:32" x14ac:dyDescent="0.25">
      <c r="A10" s="1258" t="s">
        <v>879</v>
      </c>
      <c r="B10" s="1259">
        <v>9.4741810000000004E-4</v>
      </c>
      <c r="C10" s="1930"/>
      <c r="D10" s="1930"/>
      <c r="E10" s="1930"/>
      <c r="F10" s="1930"/>
      <c r="G10" s="1930"/>
      <c r="H10" s="1930"/>
      <c r="I10" s="1930"/>
      <c r="J10" s="1930"/>
      <c r="K10" s="1930"/>
      <c r="L10" s="1930"/>
      <c r="M10" s="1930"/>
      <c r="N10" s="1930"/>
      <c r="O10" s="1930"/>
      <c r="P10" s="1930"/>
      <c r="Q10" s="1930"/>
      <c r="R10" s="1930"/>
      <c r="S10" s="1930"/>
      <c r="T10" s="1930"/>
      <c r="U10" s="1930"/>
      <c r="V10" s="1930"/>
      <c r="W10" s="1930"/>
      <c r="X10" s="1930"/>
      <c r="Y10" s="1930"/>
      <c r="Z10" s="1930"/>
      <c r="AA10" s="1930"/>
      <c r="AB10" s="1930"/>
      <c r="AC10" s="1930"/>
      <c r="AD10" s="1930"/>
      <c r="AE10" s="1930"/>
      <c r="AF10" s="1930"/>
    </row>
    <row r="11" spans="1:32" x14ac:dyDescent="0.25">
      <c r="A11" s="1258" t="s">
        <v>4054</v>
      </c>
      <c r="B11" s="1259">
        <v>8.4921199999999996E-5</v>
      </c>
      <c r="C11" s="1930"/>
      <c r="D11" s="1930"/>
      <c r="E11" s="1930"/>
      <c r="F11" s="1930"/>
      <c r="G11" s="1930"/>
      <c r="H11" s="1930"/>
      <c r="I11" s="1930"/>
      <c r="J11" s="1930"/>
      <c r="K11" s="1930"/>
      <c r="L11" s="1930"/>
      <c r="M11" s="1930"/>
      <c r="N11" s="1930"/>
      <c r="O11" s="1930"/>
      <c r="P11" s="1930"/>
      <c r="Q11" s="1930"/>
      <c r="R11" s="1930"/>
      <c r="S11" s="1930"/>
      <c r="T11" s="1930"/>
      <c r="U11" s="1930"/>
      <c r="V11" s="1930"/>
      <c r="W11" s="1930"/>
      <c r="X11" s="1930"/>
      <c r="Y11" s="1930"/>
      <c r="Z11" s="1930"/>
      <c r="AA11" s="1930"/>
      <c r="AB11" s="1930"/>
      <c r="AC11" s="1930"/>
      <c r="AD11" s="1930"/>
      <c r="AE11" s="1930"/>
      <c r="AF11" s="1930"/>
    </row>
    <row r="12" spans="1:32" x14ac:dyDescent="0.25">
      <c r="A12" s="1258" t="s">
        <v>2590</v>
      </c>
      <c r="B12" s="1259">
        <v>1.6857220000000001E-4</v>
      </c>
      <c r="C12" s="1930"/>
      <c r="D12" s="1930"/>
      <c r="E12" s="1930"/>
      <c r="F12" s="1930"/>
      <c r="G12" s="1930"/>
      <c r="H12" s="1930"/>
      <c r="I12" s="1930"/>
      <c r="J12" s="1930"/>
      <c r="K12" s="1930"/>
      <c r="L12" s="1930"/>
      <c r="M12" s="1930"/>
      <c r="N12" s="1930"/>
      <c r="O12" s="1930"/>
      <c r="P12" s="1930"/>
      <c r="Q12" s="1930"/>
      <c r="R12" s="1930"/>
      <c r="S12" s="1930"/>
      <c r="T12" s="1930"/>
      <c r="U12" s="1930"/>
      <c r="V12" s="1930"/>
      <c r="W12" s="1930"/>
      <c r="X12" s="1930"/>
      <c r="Y12" s="1930"/>
      <c r="Z12" s="1930"/>
      <c r="AA12" s="1930"/>
      <c r="AB12" s="1930"/>
      <c r="AC12" s="1930"/>
      <c r="AD12" s="1930"/>
      <c r="AE12" s="1930"/>
      <c r="AF12" s="1930"/>
    </row>
    <row r="13" spans="1:32" x14ac:dyDescent="0.25">
      <c r="A13" s="1258" t="s">
        <v>4055</v>
      </c>
      <c r="B13" s="1259">
        <v>1.6857220000000001E-4</v>
      </c>
      <c r="C13" s="1930"/>
      <c r="D13" s="1930"/>
      <c r="E13" s="1930"/>
      <c r="F13" s="1930"/>
      <c r="G13" s="1930"/>
      <c r="H13" s="1930"/>
      <c r="I13" s="1930"/>
      <c r="J13" s="1930"/>
      <c r="K13" s="1930"/>
      <c r="L13" s="1930"/>
      <c r="M13" s="1930"/>
      <c r="N13" s="1930"/>
      <c r="O13" s="1930"/>
      <c r="P13" s="1930"/>
      <c r="Q13" s="1930"/>
      <c r="R13" s="1930"/>
      <c r="S13" s="1930"/>
      <c r="T13" s="1930"/>
      <c r="U13" s="1930"/>
      <c r="V13" s="1930"/>
      <c r="W13" s="1930"/>
      <c r="X13" s="1930"/>
      <c r="Y13" s="1930"/>
      <c r="Z13" s="1930"/>
      <c r="AA13" s="1930"/>
      <c r="AB13" s="1930"/>
      <c r="AC13" s="1930"/>
      <c r="AD13" s="1930"/>
      <c r="AE13" s="1930"/>
      <c r="AF13" s="1930"/>
    </row>
    <row r="14" spans="1:32" x14ac:dyDescent="0.25">
      <c r="A14" s="1258" t="s">
        <v>259</v>
      </c>
      <c r="B14" s="1259">
        <v>0</v>
      </c>
      <c r="C14" s="1930"/>
      <c r="D14" s="1930"/>
      <c r="E14" s="1930"/>
      <c r="F14" s="1930"/>
      <c r="G14" s="1930"/>
      <c r="H14" s="1930"/>
      <c r="I14" s="1930"/>
      <c r="J14" s="1930"/>
      <c r="K14" s="1930"/>
      <c r="L14" s="1930"/>
      <c r="M14" s="1930"/>
      <c r="N14" s="1930"/>
      <c r="O14" s="1930"/>
      <c r="P14" s="1930"/>
      <c r="Q14" s="1930"/>
      <c r="R14" s="1930"/>
      <c r="S14" s="1930"/>
      <c r="T14" s="1930"/>
      <c r="U14" s="1930"/>
      <c r="V14" s="1930"/>
      <c r="W14" s="1930"/>
      <c r="X14" s="1930"/>
      <c r="Y14" s="1930"/>
      <c r="Z14" s="1930"/>
      <c r="AA14" s="1930"/>
      <c r="AB14" s="1930"/>
      <c r="AC14" s="1930"/>
      <c r="AD14" s="1930"/>
      <c r="AE14" s="1930"/>
      <c r="AF14" s="1930"/>
    </row>
    <row r="15" spans="1:32" x14ac:dyDescent="0.25">
      <c r="A15" s="1258" t="s">
        <v>1036</v>
      </c>
      <c r="B15" s="1259">
        <v>0</v>
      </c>
      <c r="C15" s="1930"/>
      <c r="D15" s="1930"/>
      <c r="E15" s="1930"/>
      <c r="F15" s="1930"/>
      <c r="G15" s="1930"/>
      <c r="H15" s="1930"/>
      <c r="I15" s="1930"/>
      <c r="J15" s="1930"/>
      <c r="K15" s="1930"/>
      <c r="L15" s="1930"/>
      <c r="M15" s="1930"/>
      <c r="N15" s="1930"/>
      <c r="O15" s="1930"/>
      <c r="P15" s="1930"/>
      <c r="Q15" s="1930"/>
      <c r="R15" s="1930"/>
      <c r="S15" s="1930"/>
      <c r="T15" s="1930"/>
      <c r="U15" s="1930"/>
      <c r="V15" s="1930"/>
      <c r="W15" s="1930"/>
      <c r="X15" s="1930"/>
      <c r="Y15" s="1930"/>
      <c r="Z15" s="1930"/>
      <c r="AA15" s="1930"/>
      <c r="AB15" s="1930"/>
      <c r="AC15" s="1930"/>
      <c r="AD15" s="1930"/>
      <c r="AE15" s="1930"/>
      <c r="AF15" s="1930"/>
    </row>
    <row r="16" spans="1:32" x14ac:dyDescent="0.25">
      <c r="A16" s="1258" t="s">
        <v>438</v>
      </c>
      <c r="B16" s="1259">
        <v>4.6608050000000002E-4</v>
      </c>
      <c r="C16" s="1930"/>
      <c r="D16" s="1930"/>
      <c r="E16" s="1930"/>
      <c r="F16" s="1930"/>
      <c r="G16" s="1930"/>
      <c r="H16" s="1930"/>
      <c r="I16" s="1930"/>
      <c r="J16" s="1930"/>
      <c r="K16" s="1930"/>
      <c r="L16" s="1930"/>
      <c r="M16" s="1930"/>
      <c r="N16" s="1930"/>
      <c r="O16" s="1930"/>
      <c r="P16" s="1930"/>
      <c r="Q16" s="1930"/>
      <c r="R16" s="1930"/>
      <c r="S16" s="1930"/>
      <c r="T16" s="1930"/>
      <c r="U16" s="1930"/>
      <c r="V16" s="1930"/>
      <c r="W16" s="1930"/>
      <c r="X16" s="1930"/>
      <c r="Y16" s="1930"/>
      <c r="Z16" s="1930"/>
      <c r="AA16" s="1930"/>
      <c r="AB16" s="1930"/>
      <c r="AC16" s="1930"/>
      <c r="AD16" s="1930"/>
      <c r="AE16" s="1930"/>
      <c r="AF16" s="1930"/>
    </row>
    <row r="17" spans="1:2" x14ac:dyDescent="0.25">
      <c r="A17" s="1258" t="s">
        <v>2473</v>
      </c>
      <c r="B17" s="1259">
        <v>4.6608050000000002E-4</v>
      </c>
    </row>
    <row r="18" spans="1:2" x14ac:dyDescent="0.25">
      <c r="A18" s="1258" t="s">
        <v>54</v>
      </c>
      <c r="B18" s="1259">
        <v>1.4925290000000001E-4</v>
      </c>
    </row>
    <row r="19" spans="1:2" x14ac:dyDescent="0.25">
      <c r="A19" s="1258" t="s">
        <v>388</v>
      </c>
      <c r="B19" s="1259">
        <v>1.148238E-4</v>
      </c>
    </row>
    <row r="20" spans="1:2" x14ac:dyDescent="0.25">
      <c r="A20" s="1258" t="s">
        <v>338</v>
      </c>
      <c r="B20" s="1259">
        <v>2.3544589999999999E-4</v>
      </c>
    </row>
    <row r="21" spans="1:2" x14ac:dyDescent="0.25">
      <c r="A21" s="1258" t="s">
        <v>2217</v>
      </c>
      <c r="B21" s="1259">
        <v>1.286107E-4</v>
      </c>
    </row>
    <row r="22" spans="1:2" x14ac:dyDescent="0.25">
      <c r="A22" s="1258" t="s">
        <v>2219</v>
      </c>
      <c r="B22" s="1259">
        <v>1.286107E-4</v>
      </c>
    </row>
    <row r="23" spans="1:2" x14ac:dyDescent="0.25">
      <c r="A23" s="1258" t="s">
        <v>184</v>
      </c>
      <c r="B23" s="1259">
        <v>8.8731800000000003E-5</v>
      </c>
    </row>
    <row r="25" spans="1:2" x14ac:dyDescent="0.25">
      <c r="A25" s="1260" t="s">
        <v>4056</v>
      </c>
      <c r="B25" s="1261"/>
    </row>
    <row r="26" spans="1:2" x14ac:dyDescent="0.25">
      <c r="A26" s="160" t="s">
        <v>3014</v>
      </c>
      <c r="B26" s="1262">
        <v>1.379439E-4</v>
      </c>
    </row>
    <row r="27" spans="1:2" x14ac:dyDescent="0.25">
      <c r="A27" s="160" t="s">
        <v>4057</v>
      </c>
      <c r="B27" s="1262">
        <v>4.4398300000000001E-4</v>
      </c>
    </row>
    <row r="28" spans="1:2" x14ac:dyDescent="0.25">
      <c r="A28" s="160" t="s">
        <v>2844</v>
      </c>
      <c r="B28" s="1262">
        <v>1.998949E-4</v>
      </c>
    </row>
    <row r="29" spans="1:2" x14ac:dyDescent="0.25">
      <c r="A29" s="160" t="s">
        <v>2881</v>
      </c>
      <c r="B29" s="1262">
        <v>9.1068400000000004E-4</v>
      </c>
    </row>
    <row r="30" spans="1:2" x14ac:dyDescent="0.25">
      <c r="A30" s="160" t="s">
        <v>2664</v>
      </c>
      <c r="B30" s="1262">
        <v>5.6160000000000001E-6</v>
      </c>
    </row>
    <row r="31" spans="1:2" x14ac:dyDescent="0.25">
      <c r="A31" s="160" t="s">
        <v>2882</v>
      </c>
      <c r="B31" s="1262">
        <v>0</v>
      </c>
    </row>
    <row r="32" spans="1:2" x14ac:dyDescent="0.25">
      <c r="A32" s="160" t="s">
        <v>2897</v>
      </c>
      <c r="B32" s="1262">
        <v>4.4398300000000001E-4</v>
      </c>
    </row>
    <row r="33" spans="1:2" x14ac:dyDescent="0.25">
      <c r="A33" s="160" t="s">
        <v>55</v>
      </c>
      <c r="B33" s="1262">
        <v>1.899635E-4</v>
      </c>
    </row>
    <row r="34" spans="1:2" x14ac:dyDescent="0.25">
      <c r="A34" s="160" t="s">
        <v>2671</v>
      </c>
      <c r="B34" s="1262">
        <v>1.379439E-4</v>
      </c>
    </row>
    <row r="35" spans="1:2" x14ac:dyDescent="0.25">
      <c r="A35" s="160" t="s">
        <v>2835</v>
      </c>
      <c r="B35" s="1262">
        <v>1.379439E-4</v>
      </c>
    </row>
    <row r="36" spans="1:2" x14ac:dyDescent="0.25">
      <c r="A36" s="160" t="s">
        <v>4058</v>
      </c>
      <c r="B36" s="1262">
        <v>1.379439E-4</v>
      </c>
    </row>
    <row r="37" spans="1:2" x14ac:dyDescent="0.25">
      <c r="A37" s="160" t="s">
        <v>2722</v>
      </c>
      <c r="B37" s="1262">
        <v>1.3573829999999999E-4</v>
      </c>
    </row>
    <row r="38" spans="1:2" x14ac:dyDescent="0.25">
      <c r="A38" s="160" t="s">
        <v>2798</v>
      </c>
      <c r="B38" s="1262">
        <v>1.811545E-4</v>
      </c>
    </row>
  </sheetData>
  <mergeCells count="1">
    <mergeCell ref="A1:H1"/>
  </mergeCells>
  <pageMargins left="0.7" right="0.7" top="0.75" bottom="0.75" header="0.3" footer="0.3"/>
  <pageSetup scale="8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2"/>
  <sheetViews>
    <sheetView workbookViewId="0"/>
  </sheetViews>
  <sheetFormatPr defaultRowHeight="15" x14ac:dyDescent="0.25"/>
  <cols>
    <col min="1" max="1" width="22.28515625" style="1930" bestFit="1" customWidth="1"/>
    <col min="2" max="2" width="9.140625" style="1930"/>
    <col min="3" max="4" width="22.28515625" bestFit="1" customWidth="1"/>
    <col min="7" max="8" width="22.28515625" bestFit="1" customWidth="1"/>
    <col min="9" max="9" width="9" customWidth="1"/>
    <col min="10" max="10" width="22.28515625" bestFit="1" customWidth="1"/>
  </cols>
  <sheetData>
    <row r="1" spans="1:12" x14ac:dyDescent="0.25">
      <c r="A1" s="121">
        <f>COUNTA(A3:A1048576)</f>
        <v>660</v>
      </c>
      <c r="C1" s="1930">
        <f>COUNTA(C3:C1048576)</f>
        <v>136</v>
      </c>
      <c r="D1" s="1930">
        <f t="shared" ref="D1:K1" si="0">COUNTA(D3:D1048576)</f>
        <v>24</v>
      </c>
      <c r="E1" s="1930">
        <f t="shared" si="0"/>
        <v>29</v>
      </c>
      <c r="F1" s="1930">
        <f t="shared" si="0"/>
        <v>43</v>
      </c>
      <c r="G1" s="1930">
        <f>COUNTA(G3:G1048576)</f>
        <v>173</v>
      </c>
      <c r="H1" s="1930">
        <f t="shared" si="0"/>
        <v>191</v>
      </c>
      <c r="I1" s="1930">
        <f t="shared" si="0"/>
        <v>1</v>
      </c>
      <c r="J1" s="1930">
        <f t="shared" si="0"/>
        <v>57</v>
      </c>
      <c r="K1" s="1930">
        <f t="shared" si="0"/>
        <v>6</v>
      </c>
      <c r="L1" s="1930">
        <f>COUNTA(L3:L1048576)</f>
        <v>1</v>
      </c>
    </row>
    <row r="2" spans="1:12" x14ac:dyDescent="0.25">
      <c r="A2" s="1930" t="s">
        <v>28</v>
      </c>
      <c r="C2" s="1930" t="s">
        <v>28</v>
      </c>
      <c r="D2" s="1930" t="s">
        <v>28</v>
      </c>
      <c r="E2" s="1930" t="s">
        <v>28</v>
      </c>
      <c r="F2" s="1930" t="s">
        <v>28</v>
      </c>
      <c r="G2" s="1930" t="s">
        <v>28</v>
      </c>
      <c r="H2" s="1930" t="s">
        <v>28</v>
      </c>
      <c r="I2" s="1930" t="s">
        <v>28</v>
      </c>
      <c r="J2" s="1930" t="s">
        <v>28</v>
      </c>
      <c r="K2" s="1930" t="s">
        <v>28</v>
      </c>
      <c r="L2" s="1930"/>
    </row>
    <row r="3" spans="1:12" x14ac:dyDescent="0.25">
      <c r="A3" s="1930" t="s">
        <v>2645</v>
      </c>
      <c r="B3" s="1930" t="str">
        <f>VLOOKUP(A3,' Measure INDEX'!$B$9:$B$732,1,FALSE)</f>
        <v>800050_2019_12_</v>
      </c>
      <c r="C3" s="1930" t="s">
        <v>2645</v>
      </c>
      <c r="D3" s="1930" t="s">
        <v>51</v>
      </c>
      <c r="E3" s="1930" t="s">
        <v>182</v>
      </c>
      <c r="F3" s="1930" t="s">
        <v>508</v>
      </c>
      <c r="G3" s="1930" t="s">
        <v>4091</v>
      </c>
      <c r="H3" s="1930" t="s">
        <v>1574</v>
      </c>
      <c r="I3" s="1930" t="s">
        <v>4092</v>
      </c>
      <c r="J3" s="1930" t="s">
        <v>2405</v>
      </c>
      <c r="K3" s="1930" t="s">
        <v>2576</v>
      </c>
      <c r="L3" s="1930" t="s">
        <v>2623</v>
      </c>
    </row>
    <row r="4" spans="1:12" x14ac:dyDescent="0.25">
      <c r="A4" s="1930" t="s">
        <v>2648</v>
      </c>
      <c r="B4" s="1930" t="str">
        <f>VLOOKUP(A4,' Measure INDEX'!$B$9:$B$732,1,FALSE)</f>
        <v>800100_2019_12_</v>
      </c>
      <c r="C4" s="1930" t="s">
        <v>2648</v>
      </c>
      <c r="D4" s="1930" t="s">
        <v>57</v>
      </c>
      <c r="E4" s="1930" t="s">
        <v>4093</v>
      </c>
      <c r="F4" s="1930" t="s">
        <v>511</v>
      </c>
      <c r="G4" s="1930" t="s">
        <v>4094</v>
      </c>
      <c r="H4" s="1930" t="s">
        <v>1576</v>
      </c>
      <c r="I4" s="1930"/>
      <c r="J4" s="1930" t="s">
        <v>2408</v>
      </c>
      <c r="K4" s="1930" t="s">
        <v>2579</v>
      </c>
      <c r="L4" s="1930"/>
    </row>
    <row r="5" spans="1:12" x14ac:dyDescent="0.25">
      <c r="A5" s="1930" t="s">
        <v>2650</v>
      </c>
      <c r="B5" s="1930" t="str">
        <f>VLOOKUP(A5,' Measure INDEX'!$B$9:$B$732,1,FALSE)</f>
        <v>800150_2019_12_</v>
      </c>
      <c r="C5" s="1930" t="s">
        <v>2650</v>
      </c>
      <c r="D5" s="1930" t="s">
        <v>59</v>
      </c>
      <c r="E5" s="1930" t="s">
        <v>4095</v>
      </c>
      <c r="F5" s="1930" t="s">
        <v>4096</v>
      </c>
      <c r="G5" s="1930" t="s">
        <v>4097</v>
      </c>
      <c r="H5" s="1930" t="s">
        <v>1579</v>
      </c>
      <c r="I5" s="1930"/>
      <c r="J5" s="1930" t="s">
        <v>2410</v>
      </c>
      <c r="K5" s="1930" t="s">
        <v>2588</v>
      </c>
      <c r="L5" s="1930"/>
    </row>
    <row r="6" spans="1:12" x14ac:dyDescent="0.25">
      <c r="A6" s="1930" t="s">
        <v>2652</v>
      </c>
      <c r="B6" s="1930" t="str">
        <f>VLOOKUP(A6,' Measure INDEX'!$B$9:$B$732,1,FALSE)</f>
        <v>800200_2019_12_</v>
      </c>
      <c r="C6" s="1930" t="s">
        <v>2652</v>
      </c>
      <c r="D6" s="1930" t="s">
        <v>61</v>
      </c>
      <c r="E6" s="1930" t="s">
        <v>4098</v>
      </c>
      <c r="F6" s="1930" t="s">
        <v>517</v>
      </c>
      <c r="G6" s="1930" t="s">
        <v>4099</v>
      </c>
      <c r="H6" s="1930" t="s">
        <v>1580</v>
      </c>
      <c r="I6" s="1930"/>
      <c r="J6" s="1930" t="s">
        <v>2412</v>
      </c>
      <c r="K6" s="1930" t="s">
        <v>2592</v>
      </c>
      <c r="L6" s="1930"/>
    </row>
    <row r="7" spans="1:12" x14ac:dyDescent="0.25">
      <c r="A7" s="1930" t="s">
        <v>2654</v>
      </c>
      <c r="B7" s="1930" t="str">
        <f>VLOOKUP(A7,' Measure INDEX'!$B$9:$B$732,1,FALSE)</f>
        <v>800250_2019_12_</v>
      </c>
      <c r="C7" s="1930" t="s">
        <v>2654</v>
      </c>
      <c r="D7" s="1930" t="s">
        <v>63</v>
      </c>
      <c r="E7" s="1930" t="s">
        <v>4100</v>
      </c>
      <c r="F7" s="1930" t="s">
        <v>519</v>
      </c>
      <c r="G7" s="1930" t="s">
        <v>4101</v>
      </c>
      <c r="H7" s="1930" t="s">
        <v>1582</v>
      </c>
      <c r="I7" s="1930"/>
      <c r="J7" s="1930" t="s">
        <v>2413</v>
      </c>
      <c r="K7" s="1930" t="s">
        <v>2594</v>
      </c>
      <c r="L7" s="1930"/>
    </row>
    <row r="8" spans="1:12" x14ac:dyDescent="0.25">
      <c r="A8" s="1930" t="s">
        <v>2656</v>
      </c>
      <c r="B8" s="1930" t="str">
        <f>VLOOKUP(A8,' Measure INDEX'!$B$9:$B$732,1,FALSE)</f>
        <v>800300_2019_12_</v>
      </c>
      <c r="C8" s="1930" t="s">
        <v>2656</v>
      </c>
      <c r="D8" s="1930" t="s">
        <v>65</v>
      </c>
      <c r="E8" s="1930" t="s">
        <v>4102</v>
      </c>
      <c r="F8" s="1930" t="s">
        <v>548</v>
      </c>
      <c r="G8" s="1930" t="s">
        <v>4103</v>
      </c>
      <c r="H8" s="1930" t="s">
        <v>1584</v>
      </c>
      <c r="I8" s="1930"/>
      <c r="J8" s="1930" t="s">
        <v>2415</v>
      </c>
      <c r="K8" s="1930" t="s">
        <v>2610</v>
      </c>
      <c r="L8" s="1930"/>
    </row>
    <row r="9" spans="1:12" x14ac:dyDescent="0.25">
      <c r="A9" s="1930" t="s">
        <v>2658</v>
      </c>
      <c r="B9" s="1930" t="str">
        <f>VLOOKUP(A9,' Measure INDEX'!$B$9:$B$732,1,FALSE)</f>
        <v>800350_2019_12_</v>
      </c>
      <c r="C9" s="1930" t="s">
        <v>2658</v>
      </c>
      <c r="D9" s="1930" t="s">
        <v>67</v>
      </c>
      <c r="E9" s="1930" t="s">
        <v>4104</v>
      </c>
      <c r="F9" s="1930" t="s">
        <v>549</v>
      </c>
      <c r="G9" s="1930" t="s">
        <v>4105</v>
      </c>
      <c r="H9" s="1930" t="s">
        <v>1586</v>
      </c>
      <c r="I9" s="1930"/>
      <c r="J9" s="1930" t="s">
        <v>2416</v>
      </c>
      <c r="K9" s="1930"/>
      <c r="L9" s="1930"/>
    </row>
    <row r="10" spans="1:12" x14ac:dyDescent="0.25">
      <c r="A10" s="1930" t="s">
        <v>2660</v>
      </c>
      <c r="B10" s="1930" t="str">
        <f>VLOOKUP(A10,' Measure INDEX'!$B$9:$B$732,1,FALSE)</f>
        <v>800400_2019_12_</v>
      </c>
      <c r="C10" s="1930" t="s">
        <v>2660</v>
      </c>
      <c r="D10" s="1930" t="s">
        <v>69</v>
      </c>
      <c r="E10" s="1930" t="s">
        <v>4106</v>
      </c>
      <c r="F10" s="1930" t="s">
        <v>550</v>
      </c>
      <c r="G10" s="1930" t="s">
        <v>4107</v>
      </c>
      <c r="H10" s="1930" t="s">
        <v>1588</v>
      </c>
      <c r="I10" s="1930"/>
      <c r="J10" s="1930" t="s">
        <v>2418</v>
      </c>
      <c r="K10" s="1930"/>
      <c r="L10" s="1930"/>
    </row>
    <row r="11" spans="1:12" x14ac:dyDescent="0.25">
      <c r="A11" s="1930" t="s">
        <v>2662</v>
      </c>
      <c r="B11" s="1930" t="str">
        <f>VLOOKUP(A11,' Measure INDEX'!$B$9:$B$732,1,FALSE)</f>
        <v>800450_2019_12_</v>
      </c>
      <c r="C11" s="1930" t="s">
        <v>2662</v>
      </c>
      <c r="D11" s="1930" t="s">
        <v>4108</v>
      </c>
      <c r="E11" s="1930" t="s">
        <v>4109</v>
      </c>
      <c r="F11" s="1930" t="s">
        <v>551</v>
      </c>
      <c r="G11" s="1930" t="s">
        <v>4110</v>
      </c>
      <c r="H11" s="1930" t="s">
        <v>1590</v>
      </c>
      <c r="I11" s="1930"/>
      <c r="J11" s="1930" t="s">
        <v>2424</v>
      </c>
      <c r="K11" s="1930"/>
      <c r="L11" s="1930"/>
    </row>
    <row r="12" spans="1:12" x14ac:dyDescent="0.25">
      <c r="A12" s="1930" t="s">
        <v>2665</v>
      </c>
      <c r="B12" s="1930" t="str">
        <f>VLOOKUP(A12,' Measure INDEX'!$B$9:$B$732,1,FALSE)</f>
        <v>800500_2019_12_</v>
      </c>
      <c r="C12" s="1930" t="s">
        <v>2665</v>
      </c>
      <c r="D12" s="1930" t="s">
        <v>4111</v>
      </c>
      <c r="E12" s="1930" t="s">
        <v>4112</v>
      </c>
      <c r="F12" s="1930" t="s">
        <v>553</v>
      </c>
      <c r="G12" s="1930" t="s">
        <v>4113</v>
      </c>
      <c r="H12" s="1930" t="s">
        <v>1591</v>
      </c>
      <c r="I12" s="1930"/>
      <c r="J12" s="1930" t="s">
        <v>2426</v>
      </c>
      <c r="K12" s="1930"/>
      <c r="L12" s="1930"/>
    </row>
    <row r="13" spans="1:12" x14ac:dyDescent="0.25">
      <c r="A13" s="1930" t="s">
        <v>2667</v>
      </c>
      <c r="B13" s="1930" t="str">
        <f>VLOOKUP(A13,' Measure INDEX'!$B$9:$B$732,1,FALSE)</f>
        <v>800550_2019_12_</v>
      </c>
      <c r="C13" s="1930" t="s">
        <v>2667</v>
      </c>
      <c r="D13" s="1930" t="s">
        <v>75</v>
      </c>
      <c r="E13" s="1930" t="s">
        <v>4114</v>
      </c>
      <c r="F13" s="1930" t="s">
        <v>555</v>
      </c>
      <c r="G13" s="1930" t="s">
        <v>4115</v>
      </c>
      <c r="H13" s="1930" t="s">
        <v>1593</v>
      </c>
      <c r="I13" s="1930"/>
      <c r="J13" s="1930" t="s">
        <v>2428</v>
      </c>
      <c r="K13" s="1930"/>
      <c r="L13" s="1930"/>
    </row>
    <row r="14" spans="1:12" x14ac:dyDescent="0.25">
      <c r="A14" s="1930" t="s">
        <v>2669</v>
      </c>
      <c r="B14" s="1930" t="str">
        <f>VLOOKUP(A14,' Measure INDEX'!$B$9:$B$732,1,FALSE)</f>
        <v>800600_2019_12_</v>
      </c>
      <c r="C14" s="1930" t="s">
        <v>2669</v>
      </c>
      <c r="D14" s="1930" t="s">
        <v>77</v>
      </c>
      <c r="E14" s="1930" t="s">
        <v>4116</v>
      </c>
      <c r="F14" s="1930" t="s">
        <v>556</v>
      </c>
      <c r="G14" s="1930" t="s">
        <v>4117</v>
      </c>
      <c r="H14" s="1930" t="s">
        <v>1595</v>
      </c>
      <c r="I14" s="1930"/>
      <c r="J14" s="1930" t="s">
        <v>2430</v>
      </c>
      <c r="K14" s="1930"/>
      <c r="L14" s="1930"/>
    </row>
    <row r="15" spans="1:12" x14ac:dyDescent="0.25">
      <c r="A15" s="1930" t="s">
        <v>2672</v>
      </c>
      <c r="B15" s="1930" t="str">
        <f>VLOOKUP(A15,' Measure INDEX'!$B$9:$B$732,1,FALSE)</f>
        <v>800650_2019_12_</v>
      </c>
      <c r="C15" s="1930" t="s">
        <v>2672</v>
      </c>
      <c r="D15" s="1930" t="s">
        <v>79</v>
      </c>
      <c r="E15" s="1930" t="s">
        <v>4118</v>
      </c>
      <c r="F15" s="1930" t="s">
        <v>557</v>
      </c>
      <c r="G15" s="1930" t="s">
        <v>4119</v>
      </c>
      <c r="H15" s="1930" t="s">
        <v>1613</v>
      </c>
      <c r="I15" s="1930"/>
      <c r="J15" s="1930" t="s">
        <v>2432</v>
      </c>
      <c r="K15" s="1930"/>
      <c r="L15" s="1930"/>
    </row>
    <row r="16" spans="1:12" x14ac:dyDescent="0.25">
      <c r="A16" s="1930" t="s">
        <v>2674</v>
      </c>
      <c r="B16" s="1930" t="str">
        <f>VLOOKUP(A16,' Measure INDEX'!$B$9:$B$732,1,FALSE)</f>
        <v>800700_2019_12_</v>
      </c>
      <c r="C16" s="1930" t="s">
        <v>2674</v>
      </c>
      <c r="D16" s="1930" t="s">
        <v>81</v>
      </c>
      <c r="E16" s="1930" t="s">
        <v>4120</v>
      </c>
      <c r="F16" s="1930" t="s">
        <v>558</v>
      </c>
      <c r="G16" s="1930" t="s">
        <v>4121</v>
      </c>
      <c r="H16" s="1930" t="s">
        <v>1616</v>
      </c>
      <c r="I16" s="1930"/>
      <c r="J16" s="1930" t="s">
        <v>2434</v>
      </c>
      <c r="K16" s="1930"/>
      <c r="L16" s="1930"/>
    </row>
    <row r="17" spans="1:10" x14ac:dyDescent="0.25">
      <c r="A17" s="1930" t="s">
        <v>2676</v>
      </c>
      <c r="B17" s="1930" t="str">
        <f>VLOOKUP(A17,' Measure INDEX'!$B$9:$B$732,1,FALSE)</f>
        <v>800750_2019_12_</v>
      </c>
      <c r="C17" s="1930" t="s">
        <v>2676</v>
      </c>
      <c r="D17" s="1930" t="s">
        <v>83</v>
      </c>
      <c r="E17" s="1930" t="s">
        <v>4122</v>
      </c>
      <c r="F17" s="1930" t="s">
        <v>560</v>
      </c>
      <c r="G17" s="1930" t="s">
        <v>4123</v>
      </c>
      <c r="H17" s="1930" t="s">
        <v>1618</v>
      </c>
      <c r="I17" s="1930"/>
      <c r="J17" s="1930" t="s">
        <v>2436</v>
      </c>
    </row>
    <row r="18" spans="1:10" x14ac:dyDescent="0.25">
      <c r="A18" s="1930" t="s">
        <v>2678</v>
      </c>
      <c r="B18" s="1930" t="str">
        <f>VLOOKUP(A18,' Measure INDEX'!$B$9:$B$732,1,FALSE)</f>
        <v>800800_2020_12_</v>
      </c>
      <c r="C18" s="1930" t="s">
        <v>2678</v>
      </c>
      <c r="D18" s="1930" t="s">
        <v>85</v>
      </c>
      <c r="E18" s="1930" t="s">
        <v>386</v>
      </c>
      <c r="F18" s="1930" t="s">
        <v>562</v>
      </c>
      <c r="G18" s="1930" t="s">
        <v>4124</v>
      </c>
      <c r="H18" s="1930" t="s">
        <v>1620</v>
      </c>
      <c r="I18" s="1930"/>
      <c r="J18" s="1930" t="s">
        <v>2438</v>
      </c>
    </row>
    <row r="19" spans="1:10" x14ac:dyDescent="0.25">
      <c r="A19" s="1930" t="s">
        <v>2680</v>
      </c>
      <c r="B19" s="1930" t="str">
        <f>VLOOKUP(A19,' Measure INDEX'!$B$9:$B$732,1,FALSE)</f>
        <v>800801_2020_12_</v>
      </c>
      <c r="C19" s="1930" t="s">
        <v>2680</v>
      </c>
      <c r="D19" s="1930" t="s">
        <v>87</v>
      </c>
      <c r="E19" s="1930" t="s">
        <v>389</v>
      </c>
      <c r="F19" s="1930" t="s">
        <v>607</v>
      </c>
      <c r="G19" s="1930" t="s">
        <v>4125</v>
      </c>
      <c r="H19" s="1930" t="s">
        <v>1622</v>
      </c>
      <c r="I19" s="1930"/>
      <c r="J19" s="1930" t="s">
        <v>2440</v>
      </c>
    </row>
    <row r="20" spans="1:10" x14ac:dyDescent="0.25">
      <c r="A20" s="1930" t="s">
        <v>2681</v>
      </c>
      <c r="B20" s="1930" t="str">
        <f>VLOOKUP(A20,' Measure INDEX'!$B$9:$B$732,1,FALSE)</f>
        <v>800850_2020_12_</v>
      </c>
      <c r="C20" s="1930" t="s">
        <v>2681</v>
      </c>
      <c r="D20" s="1930" t="s">
        <v>89</v>
      </c>
      <c r="E20" s="1930" t="s">
        <v>391</v>
      </c>
      <c r="F20" s="1930" t="s">
        <v>609</v>
      </c>
      <c r="G20" s="1930" t="s">
        <v>4126</v>
      </c>
      <c r="H20" s="1930" t="s">
        <v>1624</v>
      </c>
      <c r="I20" s="1930"/>
      <c r="J20" s="1930" t="s">
        <v>2442</v>
      </c>
    </row>
    <row r="21" spans="1:10" x14ac:dyDescent="0.25">
      <c r="A21" s="1930" t="s">
        <v>2683</v>
      </c>
      <c r="B21" s="1930" t="str">
        <f>VLOOKUP(A21,' Measure INDEX'!$B$9:$B$732,1,FALSE)</f>
        <v>800851_2020_12_</v>
      </c>
      <c r="C21" s="1930" t="s">
        <v>2683</v>
      </c>
      <c r="D21" s="1930" t="s">
        <v>91</v>
      </c>
      <c r="E21" s="1930" t="s">
        <v>393</v>
      </c>
      <c r="F21" s="1930" t="s">
        <v>611</v>
      </c>
      <c r="G21" s="1930" t="s">
        <v>4127</v>
      </c>
      <c r="H21" s="1930" t="s">
        <v>1626</v>
      </c>
      <c r="I21" s="1930"/>
      <c r="J21" s="1930" t="s">
        <v>2460</v>
      </c>
    </row>
    <row r="22" spans="1:10" x14ac:dyDescent="0.25">
      <c r="A22" s="1930" t="s">
        <v>2684</v>
      </c>
      <c r="B22" s="1930" t="str">
        <f>VLOOKUP(A22,' Measure INDEX'!$B$9:$B$732,1,FALSE)</f>
        <v>800900_2020_12_</v>
      </c>
      <c r="C22" s="1930" t="s">
        <v>2684</v>
      </c>
      <c r="D22" s="1930" t="s">
        <v>93</v>
      </c>
      <c r="E22" s="1930" t="s">
        <v>395</v>
      </c>
      <c r="F22" s="1930" t="s">
        <v>612</v>
      </c>
      <c r="G22" s="1930" t="s">
        <v>4128</v>
      </c>
      <c r="H22" s="1930" t="s">
        <v>1628</v>
      </c>
      <c r="I22" s="1930"/>
      <c r="J22" s="1930" t="s">
        <v>2462</v>
      </c>
    </row>
    <row r="23" spans="1:10" x14ac:dyDescent="0.25">
      <c r="A23" s="1930" t="s">
        <v>2686</v>
      </c>
      <c r="B23" s="1930" t="str">
        <f>VLOOKUP(A23,' Measure INDEX'!$B$9:$B$732,1,FALSE)</f>
        <v>800901_2020_12_</v>
      </c>
      <c r="C23" s="1930" t="s">
        <v>2686</v>
      </c>
      <c r="D23" s="1930" t="s">
        <v>95</v>
      </c>
      <c r="E23" s="1930" t="s">
        <v>397</v>
      </c>
      <c r="F23" s="1930" t="s">
        <v>664</v>
      </c>
      <c r="G23" s="1930" t="s">
        <v>4129</v>
      </c>
      <c r="H23" s="1930" t="s">
        <v>1645</v>
      </c>
      <c r="I23" s="1930"/>
      <c r="J23" s="1930" t="s">
        <v>4130</v>
      </c>
    </row>
    <row r="24" spans="1:10" x14ac:dyDescent="0.25">
      <c r="A24" s="1930" t="s">
        <v>2687</v>
      </c>
      <c r="B24" s="1930" t="str">
        <f>VLOOKUP(A24,' Measure INDEX'!$B$9:$B$732,1,FALSE)</f>
        <v>800950_2019_12_</v>
      </c>
      <c r="C24" s="1930" t="s">
        <v>2687</v>
      </c>
      <c r="D24" s="1930" t="s">
        <v>97</v>
      </c>
      <c r="E24" s="1930" t="s">
        <v>399</v>
      </c>
      <c r="F24" s="1930" t="s">
        <v>666</v>
      </c>
      <c r="G24" s="1930" t="s">
        <v>4131</v>
      </c>
      <c r="H24" s="1930" t="s">
        <v>1647</v>
      </c>
      <c r="I24" s="1930"/>
      <c r="J24" s="1930" t="s">
        <v>2487</v>
      </c>
    </row>
    <row r="25" spans="1:10" x14ac:dyDescent="0.25">
      <c r="A25" s="1930" t="s">
        <v>2695</v>
      </c>
      <c r="B25" s="1930" t="str">
        <f>VLOOKUP(A25,' Measure INDEX'!$B$9:$B$732,1,FALSE)</f>
        <v>801010_2020_07</v>
      </c>
      <c r="C25" s="1930" t="s">
        <v>2695</v>
      </c>
      <c r="D25" s="1930" t="s">
        <v>99</v>
      </c>
      <c r="E25" s="1930" t="s">
        <v>401</v>
      </c>
      <c r="F25" s="1930" t="s">
        <v>668</v>
      </c>
      <c r="G25" s="1930" t="s">
        <v>4132</v>
      </c>
      <c r="H25" s="1930" t="s">
        <v>1649</v>
      </c>
      <c r="I25" s="1930"/>
      <c r="J25" s="1930" t="s">
        <v>2488</v>
      </c>
    </row>
    <row r="26" spans="1:10" x14ac:dyDescent="0.25">
      <c r="A26" s="1930" t="s">
        <v>2697</v>
      </c>
      <c r="B26" s="1930" t="str">
        <f>VLOOKUP(A26,' Measure INDEX'!$B$9:$B$732,1,FALSE)</f>
        <v>801020_2020_07</v>
      </c>
      <c r="C26" s="1930" t="s">
        <v>2697</v>
      </c>
      <c r="D26" s="1930" t="s">
        <v>103</v>
      </c>
      <c r="E26" s="1930" t="s">
        <v>403</v>
      </c>
      <c r="F26" s="1930" t="s">
        <v>669</v>
      </c>
      <c r="G26" s="1930" t="s">
        <v>4133</v>
      </c>
      <c r="H26" s="1930" t="s">
        <v>1651</v>
      </c>
      <c r="I26" s="1930"/>
      <c r="J26" s="1930" t="s">
        <v>2489</v>
      </c>
    </row>
    <row r="27" spans="1:10" x14ac:dyDescent="0.25">
      <c r="A27" s="1930" t="s">
        <v>2703</v>
      </c>
      <c r="B27" s="1930" t="str">
        <f>VLOOKUP(A27,' Measure INDEX'!$B$9:$B$732,1,FALSE)</f>
        <v>801225_2020_12_</v>
      </c>
      <c r="C27" s="1930" t="s">
        <v>2703</v>
      </c>
      <c r="D27" s="1930"/>
      <c r="E27" s="1930" t="s">
        <v>405</v>
      </c>
      <c r="F27" s="1930" t="s">
        <v>683</v>
      </c>
      <c r="G27" s="1930" t="s">
        <v>4134</v>
      </c>
      <c r="H27" s="1930" t="s">
        <v>1653</v>
      </c>
      <c r="I27" s="1930"/>
      <c r="J27" s="1930" t="s">
        <v>2490</v>
      </c>
    </row>
    <row r="28" spans="1:10" x14ac:dyDescent="0.25">
      <c r="A28" s="1930" t="s">
        <v>2705</v>
      </c>
      <c r="B28" s="1930" t="str">
        <f>VLOOKUP(A28,' Measure INDEX'!$B$9:$B$732,1,FALSE)</f>
        <v>801227_2020_12_</v>
      </c>
      <c r="C28" s="1930" t="s">
        <v>2705</v>
      </c>
      <c r="D28" s="1930"/>
      <c r="E28" s="1930" t="s">
        <v>436</v>
      </c>
      <c r="F28" s="1930" t="s">
        <v>685</v>
      </c>
      <c r="G28" s="1930" t="s">
        <v>4135</v>
      </c>
      <c r="H28" s="1930" t="s">
        <v>1655</v>
      </c>
      <c r="I28" s="1930"/>
      <c r="J28" s="1930" t="s">
        <v>2491</v>
      </c>
    </row>
    <row r="29" spans="1:10" x14ac:dyDescent="0.25">
      <c r="A29" s="1930" t="s">
        <v>2707</v>
      </c>
      <c r="B29" s="1930" t="str">
        <f>VLOOKUP(A29,' Measure INDEX'!$B$9:$B$732,1,FALSE)</f>
        <v>801229_2020_12_</v>
      </c>
      <c r="C29" s="1930" t="s">
        <v>2707</v>
      </c>
      <c r="D29" s="1930"/>
      <c r="E29" s="1930" t="s">
        <v>456</v>
      </c>
      <c r="F29" s="1930" t="s">
        <v>687</v>
      </c>
      <c r="G29" s="1930" t="s">
        <v>4136</v>
      </c>
      <c r="H29" s="1930" t="s">
        <v>1657</v>
      </c>
      <c r="I29" s="1930"/>
      <c r="J29" s="1930" t="s">
        <v>2493</v>
      </c>
    </row>
    <row r="30" spans="1:10" x14ac:dyDescent="0.25">
      <c r="A30" s="1930" t="s">
        <v>2709</v>
      </c>
      <c r="B30" s="1930" t="str">
        <f>VLOOKUP(A30,' Measure INDEX'!$B$9:$B$732,1,FALSE)</f>
        <v>801231_2020_12_</v>
      </c>
      <c r="C30" s="1930" t="s">
        <v>2709</v>
      </c>
      <c r="D30" s="1930"/>
      <c r="E30" s="1930" t="s">
        <v>477</v>
      </c>
      <c r="F30" s="1930" t="s">
        <v>4137</v>
      </c>
      <c r="G30" s="1930" t="s">
        <v>4138</v>
      </c>
      <c r="H30" s="1930" t="s">
        <v>1659</v>
      </c>
      <c r="I30" s="1930"/>
      <c r="J30" s="1930" t="s">
        <v>2495</v>
      </c>
    </row>
    <row r="31" spans="1:10" x14ac:dyDescent="0.25">
      <c r="A31" s="1930" t="s">
        <v>2711</v>
      </c>
      <c r="B31" s="1930" t="str">
        <f>VLOOKUP(A31,' Measure INDEX'!$B$9:$B$732,1,FALSE)</f>
        <v>801233_2020_12_</v>
      </c>
      <c r="C31" s="1930" t="s">
        <v>2711</v>
      </c>
      <c r="D31" s="1930"/>
      <c r="E31" s="1930" t="s">
        <v>479</v>
      </c>
      <c r="F31" s="1930" t="s">
        <v>717</v>
      </c>
      <c r="G31" s="1930" t="s">
        <v>4139</v>
      </c>
      <c r="H31" s="1930" t="s">
        <v>1661</v>
      </c>
      <c r="I31" s="1930"/>
      <c r="J31" s="1930" t="s">
        <v>2496</v>
      </c>
    </row>
    <row r="32" spans="1:10" x14ac:dyDescent="0.25">
      <c r="A32" s="1930" t="s">
        <v>2713</v>
      </c>
      <c r="B32" s="1930" t="str">
        <f>VLOOKUP(A32,' Measure INDEX'!$B$9:$B$732,1,FALSE)</f>
        <v>801235_2020_12_</v>
      </c>
      <c r="C32" s="1930" t="s">
        <v>2713</v>
      </c>
      <c r="D32" s="1930"/>
      <c r="E32" s="1930"/>
      <c r="F32" s="1930" t="s">
        <v>719</v>
      </c>
      <c r="G32" s="1930" t="s">
        <v>4140</v>
      </c>
      <c r="H32" s="1930" t="s">
        <v>1663</v>
      </c>
      <c r="I32" s="1930"/>
      <c r="J32" s="1930" t="s">
        <v>2497</v>
      </c>
    </row>
    <row r="33" spans="1:10" x14ac:dyDescent="0.25">
      <c r="A33" s="1930" t="s">
        <v>2715</v>
      </c>
      <c r="B33" s="1930" t="str">
        <f>VLOOKUP(A33,' Measure INDEX'!$B$9:$B$732,1,FALSE)</f>
        <v>801237_2020_12_</v>
      </c>
      <c r="C33" s="1930" t="s">
        <v>2715</v>
      </c>
      <c r="D33" s="1930"/>
      <c r="E33" s="1930"/>
      <c r="F33" s="1930" t="s">
        <v>721</v>
      </c>
      <c r="G33" s="1930" t="s">
        <v>4141</v>
      </c>
      <c r="H33" s="1930" t="s">
        <v>1665</v>
      </c>
      <c r="I33" s="1930"/>
      <c r="J33" s="1930" t="s">
        <v>2498</v>
      </c>
    </row>
    <row r="34" spans="1:10" x14ac:dyDescent="0.25">
      <c r="A34" s="1930" t="s">
        <v>2717</v>
      </c>
      <c r="B34" s="1930" t="str">
        <f>VLOOKUP(A34,' Measure INDEX'!$B$9:$B$732,1,FALSE)</f>
        <v>801239_2020_12_</v>
      </c>
      <c r="C34" s="1930" t="s">
        <v>2717</v>
      </c>
      <c r="D34" s="1930"/>
      <c r="E34" s="1930"/>
      <c r="F34" s="1930" t="s">
        <v>722</v>
      </c>
      <c r="G34" s="1930" t="s">
        <v>4142</v>
      </c>
      <c r="H34" s="1930" t="s">
        <v>1667</v>
      </c>
      <c r="I34" s="1930"/>
      <c r="J34" s="1930" t="s">
        <v>2499</v>
      </c>
    </row>
    <row r="35" spans="1:10" x14ac:dyDescent="0.25">
      <c r="A35" s="1930" t="s">
        <v>2720</v>
      </c>
      <c r="B35" s="1930" t="str">
        <f>VLOOKUP(A35,' Measure INDEX'!$B$9:$B$732,1,FALSE)</f>
        <v>801250_2019_12_</v>
      </c>
      <c r="C35" s="1930" t="s">
        <v>2720</v>
      </c>
      <c r="D35" s="1930"/>
      <c r="E35" s="1930"/>
      <c r="F35" s="1930" t="s">
        <v>762</v>
      </c>
      <c r="G35" s="1930" t="s">
        <v>4143</v>
      </c>
      <c r="H35" s="1930" t="s">
        <v>1669</v>
      </c>
      <c r="I35" s="1930"/>
      <c r="J35" s="1930" t="s">
        <v>2501</v>
      </c>
    </row>
    <row r="36" spans="1:10" x14ac:dyDescent="0.25">
      <c r="A36" s="1930" t="s">
        <v>2723</v>
      </c>
      <c r="B36" s="1930" t="str">
        <f>VLOOKUP(A36,' Measure INDEX'!$B$9:$B$732,1,FALSE)</f>
        <v>801300_2019_12_</v>
      </c>
      <c r="C36" s="1930" t="s">
        <v>2723</v>
      </c>
      <c r="D36" s="1930"/>
      <c r="E36" s="1930"/>
      <c r="F36" s="1930" t="s">
        <v>765</v>
      </c>
      <c r="G36" s="1930" t="s">
        <v>4144</v>
      </c>
      <c r="H36" s="1930" t="s">
        <v>1671</v>
      </c>
      <c r="I36" s="1930"/>
      <c r="J36" s="1930" t="s">
        <v>2502</v>
      </c>
    </row>
    <row r="37" spans="1:10" x14ac:dyDescent="0.25">
      <c r="A37" s="1930" t="s">
        <v>2725</v>
      </c>
      <c r="B37" s="1930" t="str">
        <f>VLOOKUP(A37,' Measure INDEX'!$B$9:$B$732,1,FALSE)</f>
        <v>801350_2019_12_</v>
      </c>
      <c r="C37" s="1930" t="s">
        <v>2725</v>
      </c>
      <c r="D37" s="1930"/>
      <c r="E37" s="1930"/>
      <c r="F37" s="1930" t="s">
        <v>767</v>
      </c>
      <c r="G37" s="1930" t="s">
        <v>4145</v>
      </c>
      <c r="H37" s="1930" t="s">
        <v>1673</v>
      </c>
      <c r="I37" s="1930"/>
      <c r="J37" s="1930" t="s">
        <v>2503</v>
      </c>
    </row>
    <row r="38" spans="1:10" x14ac:dyDescent="0.25">
      <c r="A38" s="1930" t="s">
        <v>2727</v>
      </c>
      <c r="B38" s="1930" t="str">
        <f>VLOOKUP(A38,' Measure INDEX'!$B$9:$B$732,1,FALSE)</f>
        <v>801400_2019_12_</v>
      </c>
      <c r="C38" s="1930" t="s">
        <v>2727</v>
      </c>
      <c r="D38" s="1930"/>
      <c r="E38" s="1930"/>
      <c r="F38" s="1930" t="s">
        <v>769</v>
      </c>
      <c r="G38" s="1930" t="s">
        <v>4146</v>
      </c>
      <c r="H38" s="1930" t="s">
        <v>1675</v>
      </c>
      <c r="I38" s="1930"/>
      <c r="J38" s="1930" t="s">
        <v>2504</v>
      </c>
    </row>
    <row r="39" spans="1:10" x14ac:dyDescent="0.25">
      <c r="A39" s="1930" t="s">
        <v>2729</v>
      </c>
      <c r="B39" s="1930" t="str">
        <f>VLOOKUP(A39,' Measure INDEX'!$B$9:$B$732,1,FALSE)</f>
        <v>801450_2019_12_</v>
      </c>
      <c r="C39" s="1930" t="s">
        <v>2729</v>
      </c>
      <c r="D39" s="1930"/>
      <c r="E39" s="1930"/>
      <c r="F39" s="1930" t="s">
        <v>771</v>
      </c>
      <c r="G39" s="1930" t="s">
        <v>4147</v>
      </c>
      <c r="H39" s="1930" t="s">
        <v>1677</v>
      </c>
      <c r="I39" s="1930"/>
      <c r="J39" s="1930" t="s">
        <v>4148</v>
      </c>
    </row>
    <row r="40" spans="1:10" x14ac:dyDescent="0.25">
      <c r="A40" s="1930" t="s">
        <v>2731</v>
      </c>
      <c r="B40" s="1930" t="str">
        <f>VLOOKUP(A40,' Measure INDEX'!$B$9:$B$732,1,FALSE)</f>
        <v>801500_2019_12_</v>
      </c>
      <c r="C40" s="1930" t="s">
        <v>2731</v>
      </c>
      <c r="D40" s="1930"/>
      <c r="E40" s="1930"/>
      <c r="F40" s="1930" t="s">
        <v>773</v>
      </c>
      <c r="G40" s="1930" t="s">
        <v>4149</v>
      </c>
      <c r="H40" s="1930" t="s">
        <v>1679</v>
      </c>
      <c r="I40" s="1930"/>
      <c r="J40" s="1930" t="s">
        <v>4150</v>
      </c>
    </row>
    <row r="41" spans="1:10" x14ac:dyDescent="0.25">
      <c r="A41" s="1930" t="s">
        <v>2733</v>
      </c>
      <c r="B41" s="1930" t="str">
        <f>VLOOKUP(A41,' Measure INDEX'!$B$9:$B$732,1,FALSE)</f>
        <v>801550_2019_12_</v>
      </c>
      <c r="C41" s="1930" t="s">
        <v>2733</v>
      </c>
      <c r="D41" s="1930"/>
      <c r="E41" s="1930"/>
      <c r="F41" s="1930" t="s">
        <v>775</v>
      </c>
      <c r="G41" s="1930" t="s">
        <v>4151</v>
      </c>
      <c r="H41" s="1930" t="s">
        <v>1681</v>
      </c>
      <c r="I41" s="1930"/>
      <c r="J41" s="1930" t="s">
        <v>4152</v>
      </c>
    </row>
    <row r="42" spans="1:10" x14ac:dyDescent="0.25">
      <c r="A42" s="1930" t="s">
        <v>2735</v>
      </c>
      <c r="B42" s="1930" t="str">
        <f>VLOOKUP(A42,' Measure INDEX'!$B$9:$B$732,1,FALSE)</f>
        <v>801600_2019_12_</v>
      </c>
      <c r="C42" s="1930" t="s">
        <v>2735</v>
      </c>
      <c r="D42" s="1930"/>
      <c r="E42" s="1930"/>
      <c r="F42" s="1930" t="s">
        <v>777</v>
      </c>
      <c r="G42" s="1930" t="s">
        <v>4153</v>
      </c>
      <c r="H42" s="1930" t="s">
        <v>1683</v>
      </c>
      <c r="I42" s="1930"/>
      <c r="J42" s="1930" t="s">
        <v>4154</v>
      </c>
    </row>
    <row r="43" spans="1:10" x14ac:dyDescent="0.25">
      <c r="A43" s="1930" t="s">
        <v>2737</v>
      </c>
      <c r="B43" s="1930" t="str">
        <f>VLOOKUP(A43,' Measure INDEX'!$B$9:$B$732,1,FALSE)</f>
        <v>801650_2019_12_</v>
      </c>
      <c r="C43" s="1930" t="s">
        <v>2737</v>
      </c>
      <c r="D43" s="1930"/>
      <c r="E43" s="1930"/>
      <c r="F43" s="1930" t="s">
        <v>779</v>
      </c>
      <c r="G43" s="1930" t="s">
        <v>4155</v>
      </c>
      <c r="H43" s="1930" t="s">
        <v>1685</v>
      </c>
      <c r="I43" s="1930"/>
      <c r="J43" s="1930" t="s">
        <v>2534</v>
      </c>
    </row>
    <row r="44" spans="1:10" x14ac:dyDescent="0.25">
      <c r="A44" s="1930" t="s">
        <v>2739</v>
      </c>
      <c r="B44" s="1930" t="str">
        <f>VLOOKUP(A44,' Measure INDEX'!$B$9:$B$732,1,FALSE)</f>
        <v>801700_2019_12_</v>
      </c>
      <c r="C44" s="1930" t="s">
        <v>2739</v>
      </c>
      <c r="D44" s="1930"/>
      <c r="E44" s="1930"/>
      <c r="F44" s="1930" t="s">
        <v>4156</v>
      </c>
      <c r="G44" s="1930" t="s">
        <v>4157</v>
      </c>
      <c r="H44" s="1930" t="s">
        <v>1687</v>
      </c>
      <c r="I44" s="1930"/>
      <c r="J44" s="1930" t="s">
        <v>2536</v>
      </c>
    </row>
    <row r="45" spans="1:10" x14ac:dyDescent="0.25">
      <c r="A45" s="1930" t="s">
        <v>2741</v>
      </c>
      <c r="B45" s="1930" t="str">
        <f>VLOOKUP(A45,' Measure INDEX'!$B$9:$B$732,1,FALSE)</f>
        <v>801750_2019_12_</v>
      </c>
      <c r="C45" s="1930" t="s">
        <v>2741</v>
      </c>
      <c r="D45" s="1930"/>
      <c r="E45" s="1930"/>
      <c r="F45" s="1930" t="s">
        <v>4158</v>
      </c>
      <c r="G45" s="1930" t="s">
        <v>4159</v>
      </c>
      <c r="H45" s="1930" t="s">
        <v>1689</v>
      </c>
      <c r="I45" s="1930"/>
      <c r="J45" s="1930" t="s">
        <v>2537</v>
      </c>
    </row>
    <row r="46" spans="1:10" x14ac:dyDescent="0.25">
      <c r="A46" s="1930" t="s">
        <v>2743</v>
      </c>
      <c r="B46" s="1930" t="str">
        <f>VLOOKUP(A46,' Measure INDEX'!$B$9:$B$732,1,FALSE)</f>
        <v>801800_2019_12_</v>
      </c>
      <c r="C46" s="1930" t="s">
        <v>2743</v>
      </c>
      <c r="D46" s="1930"/>
      <c r="E46" s="1930"/>
      <c r="F46" s="1930"/>
      <c r="G46" s="1930" t="s">
        <v>4160</v>
      </c>
      <c r="H46" s="1930" t="s">
        <v>1691</v>
      </c>
      <c r="I46" s="1930"/>
      <c r="J46" s="1930" t="s">
        <v>2539</v>
      </c>
    </row>
    <row r="47" spans="1:10" x14ac:dyDescent="0.25">
      <c r="A47" s="1930" t="s">
        <v>2745</v>
      </c>
      <c r="B47" s="1930" t="str">
        <f>VLOOKUP(A47,' Measure INDEX'!$B$9:$B$732,1,FALSE)</f>
        <v>801850_2019_12_</v>
      </c>
      <c r="C47" s="1930" t="s">
        <v>2745</v>
      </c>
      <c r="D47" s="1930"/>
      <c r="E47" s="1930"/>
      <c r="F47" s="1930"/>
      <c r="G47" s="1930" t="s">
        <v>4161</v>
      </c>
      <c r="H47" s="1930" t="s">
        <v>1693</v>
      </c>
      <c r="I47" s="1930"/>
      <c r="J47" s="1930" t="s">
        <v>2540</v>
      </c>
    </row>
    <row r="48" spans="1:10" x14ac:dyDescent="0.25">
      <c r="A48" s="1930" t="s">
        <v>2747</v>
      </c>
      <c r="B48" s="1930" t="str">
        <f>VLOOKUP(A48,' Measure INDEX'!$B$9:$B$732,1,FALSE)</f>
        <v>801900_2019_12_</v>
      </c>
      <c r="C48" s="1930" t="s">
        <v>2747</v>
      </c>
      <c r="D48" s="1930"/>
      <c r="E48" s="1930"/>
      <c r="F48" s="1930"/>
      <c r="G48" s="1930" t="s">
        <v>4162</v>
      </c>
      <c r="H48" s="1930" t="s">
        <v>1695</v>
      </c>
      <c r="I48" s="1930"/>
      <c r="J48" s="1930" t="s">
        <v>2542</v>
      </c>
    </row>
    <row r="49" spans="1:10" x14ac:dyDescent="0.25">
      <c r="A49" s="1930" t="s">
        <v>2749</v>
      </c>
      <c r="B49" s="1930" t="str">
        <f>VLOOKUP(A49,' Measure INDEX'!$B$9:$B$732,1,FALSE)</f>
        <v>801950_2019_12_</v>
      </c>
      <c r="C49" s="1930" t="s">
        <v>2749</v>
      </c>
      <c r="D49" s="1930"/>
      <c r="E49" s="1930"/>
      <c r="F49" s="1930"/>
      <c r="G49" s="1930" t="s">
        <v>4163</v>
      </c>
      <c r="H49" s="1930" t="s">
        <v>1697</v>
      </c>
      <c r="I49" s="1930"/>
      <c r="J49" s="1930" t="s">
        <v>2544</v>
      </c>
    </row>
    <row r="50" spans="1:10" x14ac:dyDescent="0.25">
      <c r="A50" s="1930" t="s">
        <v>2751</v>
      </c>
      <c r="B50" s="1930" t="str">
        <f>VLOOKUP(A50,' Measure INDEX'!$B$9:$B$732,1,FALSE)</f>
        <v>802000_2019_12_</v>
      </c>
      <c r="C50" s="1930" t="s">
        <v>2751</v>
      </c>
      <c r="D50" s="1930"/>
      <c r="E50" s="1930"/>
      <c r="F50" s="1930"/>
      <c r="G50" s="1930" t="s">
        <v>4164</v>
      </c>
      <c r="H50" s="1930" t="s">
        <v>1699</v>
      </c>
      <c r="I50" s="1930"/>
      <c r="J50" s="1930" t="s">
        <v>2545</v>
      </c>
    </row>
    <row r="51" spans="1:10" x14ac:dyDescent="0.25">
      <c r="A51" s="1930" t="s">
        <v>2753</v>
      </c>
      <c r="B51" s="1930" t="str">
        <f>VLOOKUP(A51,' Measure INDEX'!$B$9:$B$732,1,FALSE)</f>
        <v>802050_2019_12_</v>
      </c>
      <c r="C51" s="1930" t="s">
        <v>2753</v>
      </c>
      <c r="D51" s="1930"/>
      <c r="E51" s="1930"/>
      <c r="F51" s="1930"/>
      <c r="G51" s="1930" t="s">
        <v>4165</v>
      </c>
      <c r="H51" s="1930" t="s">
        <v>1701</v>
      </c>
      <c r="I51" s="1930"/>
      <c r="J51" s="1930" t="s">
        <v>2546</v>
      </c>
    </row>
    <row r="52" spans="1:10" x14ac:dyDescent="0.25">
      <c r="A52" s="1930" t="s">
        <v>2755</v>
      </c>
      <c r="B52" s="1930" t="str">
        <f>VLOOKUP(A52,' Measure INDEX'!$B$9:$B$732,1,FALSE)</f>
        <v>802100_2019_12_</v>
      </c>
      <c r="C52" s="1930" t="s">
        <v>2755</v>
      </c>
      <c r="D52" s="1930"/>
      <c r="E52" s="1930"/>
      <c r="F52" s="1930"/>
      <c r="G52" s="1930" t="s">
        <v>4166</v>
      </c>
      <c r="H52" s="1930" t="s">
        <v>1703</v>
      </c>
      <c r="I52" s="1930"/>
      <c r="J52" s="1930" t="s">
        <v>2547</v>
      </c>
    </row>
    <row r="53" spans="1:10" x14ac:dyDescent="0.25">
      <c r="A53" s="1930" t="s">
        <v>2785</v>
      </c>
      <c r="B53" s="1930" t="str">
        <f>VLOOKUP(A53,' Measure INDEX'!$B$9:$B$732,1,FALSE)</f>
        <v>802150_2019_12_</v>
      </c>
      <c r="C53" s="1930" t="s">
        <v>2785</v>
      </c>
      <c r="D53" s="1930"/>
      <c r="E53" s="1930"/>
      <c r="F53" s="1930"/>
      <c r="G53" s="1930" t="s">
        <v>4167</v>
      </c>
      <c r="H53" s="1930" t="s">
        <v>1732</v>
      </c>
      <c r="I53" s="1930"/>
      <c r="J53" s="1930" t="s">
        <v>2548</v>
      </c>
    </row>
    <row r="54" spans="1:10" x14ac:dyDescent="0.25">
      <c r="A54" s="1930" t="s">
        <v>2788</v>
      </c>
      <c r="B54" s="1930" t="str">
        <f>VLOOKUP(A54,' Measure INDEX'!$B$9:$B$732,1,FALSE)</f>
        <v>802200_2019_12_</v>
      </c>
      <c r="C54" s="1930" t="s">
        <v>2788</v>
      </c>
      <c r="D54" s="1930"/>
      <c r="E54" s="1930"/>
      <c r="F54" s="1930"/>
      <c r="G54" s="1930" t="s">
        <v>4168</v>
      </c>
      <c r="H54" s="1930" t="s">
        <v>1734</v>
      </c>
      <c r="I54" s="1930"/>
      <c r="J54" s="1930" t="s">
        <v>2549</v>
      </c>
    </row>
    <row r="55" spans="1:10" x14ac:dyDescent="0.25">
      <c r="A55" s="1930" t="s">
        <v>2796</v>
      </c>
      <c r="B55" s="1930" t="str">
        <f>VLOOKUP(A55,' Measure INDEX'!$B$9:$B$732,1,FALSE)</f>
        <v>802250_2019_12_</v>
      </c>
      <c r="C55" s="1930" t="s">
        <v>2796</v>
      </c>
      <c r="D55" s="1930"/>
      <c r="E55" s="1930"/>
      <c r="F55" s="1930"/>
      <c r="G55" s="1930" t="s">
        <v>4169</v>
      </c>
      <c r="H55" s="1930" t="s">
        <v>1736</v>
      </c>
      <c r="I55" s="1930"/>
      <c r="J55" s="1930" t="s">
        <v>2550</v>
      </c>
    </row>
    <row r="56" spans="1:10" x14ac:dyDescent="0.25">
      <c r="A56" s="1930" t="s">
        <v>2799</v>
      </c>
      <c r="B56" s="1930" t="str">
        <f>VLOOKUP(A56,' Measure INDEX'!$B$9:$B$732,1,FALSE)</f>
        <v>802300_2019_12_</v>
      </c>
      <c r="C56" s="1930" t="s">
        <v>2799</v>
      </c>
      <c r="D56" s="1930"/>
      <c r="E56" s="1930"/>
      <c r="F56" s="1930"/>
      <c r="G56" s="1930" t="s">
        <v>4170</v>
      </c>
      <c r="H56" s="1930" t="s">
        <v>1738</v>
      </c>
      <c r="I56" s="1930"/>
      <c r="J56" s="1930" t="s">
        <v>2551</v>
      </c>
    </row>
    <row r="57" spans="1:10" x14ac:dyDescent="0.25">
      <c r="A57" s="1930" t="s">
        <v>2801</v>
      </c>
      <c r="B57" s="1930" t="str">
        <f>VLOOKUP(A57,' Measure INDEX'!$B$9:$B$732,1,FALSE)</f>
        <v>802350_2019_12_</v>
      </c>
      <c r="C57" s="1930" t="s">
        <v>2801</v>
      </c>
      <c r="D57" s="1930"/>
      <c r="E57" s="1930"/>
      <c r="F57" s="1930"/>
      <c r="G57" s="1930" t="s">
        <v>4171</v>
      </c>
      <c r="H57" s="1930" t="s">
        <v>1740</v>
      </c>
      <c r="I57" s="1930"/>
      <c r="J57" s="1930" t="s">
        <v>2552</v>
      </c>
    </row>
    <row r="58" spans="1:10" x14ac:dyDescent="0.25">
      <c r="A58" s="1930" t="s">
        <v>2803</v>
      </c>
      <c r="B58" s="1930" t="str">
        <f>VLOOKUP(A58,' Measure INDEX'!$B$9:$B$732,1,FALSE)</f>
        <v>802400_2019_12_</v>
      </c>
      <c r="C58" s="1930" t="s">
        <v>2803</v>
      </c>
      <c r="D58" s="1930"/>
      <c r="E58" s="1930"/>
      <c r="F58" s="1930"/>
      <c r="G58" s="1930" t="s">
        <v>4172</v>
      </c>
      <c r="H58" s="1930" t="s">
        <v>1742</v>
      </c>
      <c r="I58" s="1930"/>
      <c r="J58" s="1930" t="s">
        <v>2559</v>
      </c>
    </row>
    <row r="59" spans="1:10" x14ac:dyDescent="0.25">
      <c r="A59" s="1930" t="s">
        <v>2805</v>
      </c>
      <c r="B59" s="1930" t="str">
        <f>VLOOKUP(A59,' Measure INDEX'!$B$9:$B$732,1,FALSE)</f>
        <v>802450_2019_12_</v>
      </c>
      <c r="C59" s="1930" t="s">
        <v>2805</v>
      </c>
      <c r="D59" s="1930"/>
      <c r="E59" s="1930"/>
      <c r="F59" s="1930"/>
      <c r="G59" s="1930" t="s">
        <v>4173</v>
      </c>
      <c r="H59" s="1930" t="s">
        <v>1758</v>
      </c>
      <c r="I59" s="1930"/>
      <c r="J59" s="1930" t="s">
        <v>2569</v>
      </c>
    </row>
    <row r="60" spans="1:10" x14ac:dyDescent="0.25">
      <c r="A60" s="1930" t="s">
        <v>2821</v>
      </c>
      <c r="B60" s="1930" t="str">
        <f>VLOOKUP(A60,' Measure INDEX'!$B$9:$B$732,1,FALSE)</f>
        <v>802500_2019_12_</v>
      </c>
      <c r="C60" s="1930" t="s">
        <v>2821</v>
      </c>
      <c r="D60" s="1930"/>
      <c r="E60" s="1930"/>
      <c r="F60" s="1930"/>
      <c r="G60" s="1930" t="s">
        <v>4174</v>
      </c>
      <c r="H60" s="1930" t="s">
        <v>1760</v>
      </c>
      <c r="I60" s="1930"/>
      <c r="J60" s="1930"/>
    </row>
    <row r="61" spans="1:10" x14ac:dyDescent="0.25">
      <c r="A61" s="1930" t="s">
        <v>2823</v>
      </c>
      <c r="B61" s="1930" t="str">
        <f>VLOOKUP(A61,' Measure INDEX'!$B$9:$B$732,1,FALSE)</f>
        <v>802550_2019_12_</v>
      </c>
      <c r="C61" s="1930" t="s">
        <v>2823</v>
      </c>
      <c r="D61" s="1930"/>
      <c r="E61" s="1930"/>
      <c r="F61" s="1930"/>
      <c r="G61" s="1930" t="s">
        <v>4175</v>
      </c>
      <c r="H61" s="1930" t="s">
        <v>1770</v>
      </c>
      <c r="I61" s="1930"/>
      <c r="J61" s="1930"/>
    </row>
    <row r="62" spans="1:10" x14ac:dyDescent="0.25">
      <c r="A62" s="1930" t="s">
        <v>2833</v>
      </c>
      <c r="B62" s="1930" t="str">
        <f>VLOOKUP(A62,' Measure INDEX'!$B$9:$B$732,1,FALSE)</f>
        <v>802600_2019_12_</v>
      </c>
      <c r="C62" s="1930" t="s">
        <v>2833</v>
      </c>
      <c r="D62" s="1930"/>
      <c r="E62" s="1930"/>
      <c r="F62" s="1930"/>
      <c r="G62" s="1930" t="s">
        <v>4176</v>
      </c>
      <c r="H62" s="1930" t="s">
        <v>1772</v>
      </c>
      <c r="I62" s="1930"/>
      <c r="J62" s="1930"/>
    </row>
    <row r="63" spans="1:10" x14ac:dyDescent="0.25">
      <c r="A63" s="1930" t="s">
        <v>2837</v>
      </c>
      <c r="B63" s="1930" t="str">
        <f>VLOOKUP(A63,' Measure INDEX'!$B$9:$B$732,1,FALSE)</f>
        <v>802650_2019_12_</v>
      </c>
      <c r="C63" s="1930" t="s">
        <v>2837</v>
      </c>
      <c r="D63" s="1930"/>
      <c r="E63" s="1930"/>
      <c r="F63" s="1930"/>
      <c r="G63" s="1930" t="s">
        <v>4177</v>
      </c>
      <c r="H63" s="1930" t="s">
        <v>1774</v>
      </c>
      <c r="I63" s="1930"/>
      <c r="J63" s="1930"/>
    </row>
    <row r="64" spans="1:10" x14ac:dyDescent="0.25">
      <c r="A64" s="1930" t="s">
        <v>2842</v>
      </c>
      <c r="B64" s="1930" t="str">
        <f>VLOOKUP(A64,' Measure INDEX'!$B$9:$B$732,1,FALSE)</f>
        <v>802700_2019_12_</v>
      </c>
      <c r="C64" s="1930" t="s">
        <v>2842</v>
      </c>
      <c r="D64" s="1930"/>
      <c r="E64" s="1930"/>
      <c r="F64" s="1930"/>
      <c r="G64" s="1930" t="s">
        <v>4178</v>
      </c>
      <c r="H64" s="1930" t="s">
        <v>1821</v>
      </c>
      <c r="I64" s="1930"/>
      <c r="J64" s="1930"/>
    </row>
    <row r="65" spans="1:8" x14ac:dyDescent="0.25">
      <c r="A65" s="1930" t="s">
        <v>2845</v>
      </c>
      <c r="B65" s="1930" t="str">
        <f>VLOOKUP(A65,' Measure INDEX'!$B$9:$B$732,1,FALSE)</f>
        <v>802750_2019_12_</v>
      </c>
      <c r="C65" s="1930" t="s">
        <v>2845</v>
      </c>
      <c r="D65" s="1930"/>
      <c r="E65" s="1930"/>
      <c r="F65" s="1930"/>
      <c r="G65" s="1930" t="s">
        <v>4179</v>
      </c>
      <c r="H65" s="1930" t="s">
        <v>4180</v>
      </c>
    </row>
    <row r="66" spans="1:8" x14ac:dyDescent="0.25">
      <c r="A66" s="1930" t="s">
        <v>2847</v>
      </c>
      <c r="B66" s="1930" t="str">
        <f>VLOOKUP(A66,' Measure INDEX'!$B$9:$B$732,1,FALSE)</f>
        <v>802800_2019_12_</v>
      </c>
      <c r="C66" s="1930" t="s">
        <v>2847</v>
      </c>
      <c r="D66" s="1930"/>
      <c r="E66" s="1930"/>
      <c r="F66" s="1930"/>
      <c r="G66" s="1930" t="s">
        <v>4181</v>
      </c>
      <c r="H66" s="1930" t="s">
        <v>1825</v>
      </c>
    </row>
    <row r="67" spans="1:8" x14ac:dyDescent="0.25">
      <c r="A67" s="1930" t="s">
        <v>2849</v>
      </c>
      <c r="B67" s="1930" t="str">
        <f>VLOOKUP(A67,' Measure INDEX'!$B$9:$B$732,1,FALSE)</f>
        <v>802850_2019_12_</v>
      </c>
      <c r="C67" s="1930" t="s">
        <v>2849</v>
      </c>
      <c r="D67" s="1930"/>
      <c r="E67" s="1930"/>
      <c r="F67" s="1930"/>
      <c r="G67" s="1930" t="s">
        <v>4182</v>
      </c>
      <c r="H67" s="1930" t="s">
        <v>4183</v>
      </c>
    </row>
    <row r="68" spans="1:8" x14ac:dyDescent="0.25">
      <c r="A68" s="1930" t="s">
        <v>2863</v>
      </c>
      <c r="B68" s="1930" t="str">
        <f>VLOOKUP(A68,' Measure INDEX'!$B$9:$B$732,1,FALSE)</f>
        <v>802900_2019_12_</v>
      </c>
      <c r="C68" s="1930" t="s">
        <v>2863</v>
      </c>
      <c r="D68" s="1930"/>
      <c r="E68" s="1930"/>
      <c r="F68" s="1930"/>
      <c r="G68" s="1930" t="s">
        <v>4184</v>
      </c>
      <c r="H68" s="1930" t="s">
        <v>1829</v>
      </c>
    </row>
    <row r="69" spans="1:8" x14ac:dyDescent="0.25">
      <c r="A69" s="1930" t="s">
        <v>2865</v>
      </c>
      <c r="B69" s="1930" t="str">
        <f>VLOOKUP(A69,' Measure INDEX'!$B$9:$B$732,1,FALSE)</f>
        <v>802950_2019_12_</v>
      </c>
      <c r="C69" s="1930" t="s">
        <v>2865</v>
      </c>
      <c r="D69" s="1930"/>
      <c r="E69" s="1930"/>
      <c r="F69" s="1930"/>
      <c r="G69" s="1930" t="s">
        <v>4185</v>
      </c>
      <c r="H69" s="1930" t="s">
        <v>4186</v>
      </c>
    </row>
    <row r="70" spans="1:8" x14ac:dyDescent="0.25">
      <c r="A70" s="1930" t="s">
        <v>2867</v>
      </c>
      <c r="B70" s="1930" t="str">
        <f>VLOOKUP(A70,' Measure INDEX'!$B$9:$B$732,1,FALSE)</f>
        <v>803000_2019_12_</v>
      </c>
      <c r="C70" s="1930" t="s">
        <v>2867</v>
      </c>
      <c r="D70" s="1930"/>
      <c r="E70" s="1930"/>
      <c r="F70" s="1930"/>
      <c r="G70" s="1930" t="s">
        <v>4187</v>
      </c>
      <c r="H70" s="1930" t="s">
        <v>4188</v>
      </c>
    </row>
    <row r="71" spans="1:8" x14ac:dyDescent="0.25">
      <c r="A71" s="1930" t="s">
        <v>2879</v>
      </c>
      <c r="B71" s="1930" t="str">
        <f>VLOOKUP(A71,' Measure INDEX'!$B$9:$B$732,1,FALSE)</f>
        <v>803050_2019_12_</v>
      </c>
      <c r="C71" s="1930" t="s">
        <v>2879</v>
      </c>
      <c r="D71" s="1930"/>
      <c r="E71" s="1930"/>
      <c r="F71" s="1930"/>
      <c r="G71" s="1930" t="s">
        <v>4189</v>
      </c>
      <c r="H71" s="1930" t="s">
        <v>4190</v>
      </c>
    </row>
    <row r="72" spans="1:8" x14ac:dyDescent="0.25">
      <c r="A72" s="1930" t="s">
        <v>2892</v>
      </c>
      <c r="B72" s="1930" t="str">
        <f>VLOOKUP(A72,' Measure INDEX'!$B$9:$B$732,1,FALSE)</f>
        <v>803100_2020_07_</v>
      </c>
      <c r="C72" s="1930" t="s">
        <v>2892</v>
      </c>
      <c r="D72" s="1930"/>
      <c r="E72" s="1930"/>
      <c r="F72" s="1930"/>
      <c r="G72" s="1930" t="s">
        <v>4191</v>
      </c>
      <c r="H72" s="1930" t="s">
        <v>4192</v>
      </c>
    </row>
    <row r="73" spans="1:8" x14ac:dyDescent="0.25">
      <c r="A73" s="1930" t="s">
        <v>2895</v>
      </c>
      <c r="B73" s="1930" t="str">
        <f>VLOOKUP(A73,' Measure INDEX'!$B$9:$B$732,1,FALSE)</f>
        <v>803150_2020_07_</v>
      </c>
      <c r="C73" s="1930" t="s">
        <v>2895</v>
      </c>
      <c r="D73" s="1930"/>
      <c r="E73" s="1930"/>
      <c r="F73" s="1930"/>
      <c r="G73" s="1930" t="s">
        <v>4193</v>
      </c>
      <c r="H73" s="1930" t="s">
        <v>4194</v>
      </c>
    </row>
    <row r="74" spans="1:8" x14ac:dyDescent="0.25">
      <c r="A74" s="1930" t="s">
        <v>2898</v>
      </c>
      <c r="B74" s="1930" t="str">
        <f>VLOOKUP(A74,' Measure INDEX'!$B$9:$B$732,1,FALSE)</f>
        <v>803155_2020_07_</v>
      </c>
      <c r="C74" s="1930" t="s">
        <v>2898</v>
      </c>
      <c r="D74" s="1930"/>
      <c r="E74" s="1930"/>
      <c r="F74" s="1930"/>
      <c r="G74" s="1930" t="s">
        <v>4195</v>
      </c>
      <c r="H74" s="1930" t="s">
        <v>4196</v>
      </c>
    </row>
    <row r="75" spans="1:8" x14ac:dyDescent="0.25">
      <c r="A75" s="1930" t="s">
        <v>2900</v>
      </c>
      <c r="B75" s="1930" t="str">
        <f>VLOOKUP(A75,' Measure INDEX'!$B$9:$B$732,1,FALSE)</f>
        <v>803160_2020_07_</v>
      </c>
      <c r="C75" s="1930" t="s">
        <v>2900</v>
      </c>
      <c r="D75" s="1930"/>
      <c r="E75" s="1930"/>
      <c r="F75" s="1930"/>
      <c r="G75" s="1930" t="s">
        <v>4197</v>
      </c>
      <c r="H75" s="1930" t="s">
        <v>4198</v>
      </c>
    </row>
    <row r="76" spans="1:8" x14ac:dyDescent="0.25">
      <c r="A76" s="1930" t="s">
        <v>2904</v>
      </c>
      <c r="B76" s="1930" t="str">
        <f>VLOOKUP(A76,' Measure INDEX'!$B$9:$B$732,1,FALSE)</f>
        <v>803200_2020_07_</v>
      </c>
      <c r="C76" s="1930" t="s">
        <v>2904</v>
      </c>
      <c r="D76" s="1930"/>
      <c r="E76" s="1930"/>
      <c r="F76" s="1930"/>
      <c r="G76" s="1930" t="s">
        <v>4199</v>
      </c>
      <c r="H76" s="1930" t="s">
        <v>4200</v>
      </c>
    </row>
    <row r="77" spans="1:8" x14ac:dyDescent="0.25">
      <c r="A77" s="1930" t="s">
        <v>2925</v>
      </c>
      <c r="B77" s="1930" t="str">
        <f>VLOOKUP(A77,' Measure INDEX'!$B$9:$B$732,1,FALSE)</f>
        <v>803250_2020_07_</v>
      </c>
      <c r="C77" s="1930" t="s">
        <v>2925</v>
      </c>
      <c r="D77" s="1930"/>
      <c r="E77" s="1930"/>
      <c r="F77" s="1930"/>
      <c r="G77" s="1930" t="s">
        <v>4201</v>
      </c>
      <c r="H77" s="1930" t="s">
        <v>4202</v>
      </c>
    </row>
    <row r="78" spans="1:8" x14ac:dyDescent="0.25">
      <c r="A78" s="1930" t="s">
        <v>2928</v>
      </c>
      <c r="B78" s="1930" t="str">
        <f>VLOOKUP(A78,' Measure INDEX'!$B$9:$B$732,1,FALSE)</f>
        <v>803300_2020_07_</v>
      </c>
      <c r="C78" s="1930" t="s">
        <v>2928</v>
      </c>
      <c r="D78" s="1930"/>
      <c r="E78" s="1930"/>
      <c r="F78" s="1930"/>
      <c r="G78" s="1930" t="s">
        <v>4203</v>
      </c>
      <c r="H78" s="1930" t="s">
        <v>1888</v>
      </c>
    </row>
    <row r="79" spans="1:8" x14ac:dyDescent="0.25">
      <c r="A79" s="1930" t="s">
        <v>2930</v>
      </c>
      <c r="B79" s="1930" t="str">
        <f>VLOOKUP(A79,' Measure INDEX'!$B$9:$B$732,1,FALSE)</f>
        <v>803350_2020_07_</v>
      </c>
      <c r="C79" s="1930" t="s">
        <v>2930</v>
      </c>
      <c r="D79" s="1930"/>
      <c r="E79" s="1930"/>
      <c r="F79" s="1930"/>
      <c r="G79" s="1930" t="s">
        <v>4204</v>
      </c>
      <c r="H79" s="1930" t="s">
        <v>1890</v>
      </c>
    </row>
    <row r="80" spans="1:8" x14ac:dyDescent="0.25">
      <c r="A80" s="1930" t="s">
        <v>2932</v>
      </c>
      <c r="B80" s="1930" t="str">
        <f>VLOOKUP(A80,' Measure INDEX'!$B$9:$B$732,1,FALSE)</f>
        <v>803400_2020_07_</v>
      </c>
      <c r="C80" s="1930" t="s">
        <v>2932</v>
      </c>
      <c r="D80" s="1930"/>
      <c r="E80" s="1930"/>
      <c r="F80" s="1930"/>
      <c r="G80" s="1930" t="s">
        <v>1132</v>
      </c>
      <c r="H80" s="1930" t="s">
        <v>1891</v>
      </c>
    </row>
    <row r="81" spans="1:8" x14ac:dyDescent="0.25">
      <c r="A81" s="1930" t="s">
        <v>2934</v>
      </c>
      <c r="B81" s="1930" t="str">
        <f>VLOOKUP(A81,' Measure INDEX'!$B$9:$B$732,1,FALSE)</f>
        <v>803450_2020_07_</v>
      </c>
      <c r="C81" s="1930" t="s">
        <v>2934</v>
      </c>
      <c r="D81" s="1930"/>
      <c r="E81" s="1930"/>
      <c r="F81" s="1930"/>
      <c r="G81" s="1930" t="s">
        <v>1136</v>
      </c>
      <c r="H81" s="1930" t="s">
        <v>1893</v>
      </c>
    </row>
    <row r="82" spans="1:8" x14ac:dyDescent="0.25">
      <c r="A82" s="1930" t="s">
        <v>2946</v>
      </c>
      <c r="B82" s="1930" t="str">
        <f>VLOOKUP(A82,' Measure INDEX'!$B$9:$B$732,1,FALSE)</f>
        <v>803500_2019_12_</v>
      </c>
      <c r="C82" s="1930" t="s">
        <v>2946</v>
      </c>
      <c r="D82" s="1930"/>
      <c r="E82" s="1930"/>
      <c r="F82" s="1930"/>
      <c r="G82" s="1930" t="s">
        <v>1138</v>
      </c>
      <c r="H82" s="1930" t="s">
        <v>1895</v>
      </c>
    </row>
    <row r="83" spans="1:8" x14ac:dyDescent="0.25">
      <c r="A83" s="1930" t="s">
        <v>2948</v>
      </c>
      <c r="B83" s="1930" t="str">
        <f>VLOOKUP(A83,' Measure INDEX'!$B$9:$B$732,1,FALSE)</f>
        <v>803550_2019_12_</v>
      </c>
      <c r="C83" s="1930" t="s">
        <v>2948</v>
      </c>
      <c r="D83" s="1930"/>
      <c r="E83" s="1930"/>
      <c r="F83" s="1930"/>
      <c r="G83" s="1930" t="s">
        <v>1140</v>
      </c>
      <c r="H83" s="1930" t="s">
        <v>1896</v>
      </c>
    </row>
    <row r="84" spans="1:8" x14ac:dyDescent="0.25">
      <c r="A84" s="1930" t="s">
        <v>2950</v>
      </c>
      <c r="B84" s="1930" t="str">
        <f>VLOOKUP(A84,' Measure INDEX'!$B$9:$B$732,1,FALSE)</f>
        <v>803600_2020_07_</v>
      </c>
      <c r="C84" s="1930" t="s">
        <v>2950</v>
      </c>
      <c r="D84" s="1930"/>
      <c r="E84" s="1930"/>
      <c r="F84" s="1930"/>
      <c r="G84" s="1930" t="s">
        <v>1142</v>
      </c>
      <c r="H84" s="1930" t="s">
        <v>1898</v>
      </c>
    </row>
    <row r="85" spans="1:8" x14ac:dyDescent="0.25">
      <c r="A85" s="1930" t="s">
        <v>2952</v>
      </c>
      <c r="B85" s="1930" t="str">
        <f>VLOOKUP(A85,' Measure INDEX'!$B$9:$B$732,1,FALSE)</f>
        <v>803650_2020_07_</v>
      </c>
      <c r="C85" s="1930" t="s">
        <v>2952</v>
      </c>
      <c r="D85" s="1930"/>
      <c r="E85" s="1930"/>
      <c r="F85" s="1930"/>
      <c r="G85" s="1930" t="s">
        <v>1144</v>
      </c>
      <c r="H85" s="1930" t="s">
        <v>1900</v>
      </c>
    </row>
    <row r="86" spans="1:8" x14ac:dyDescent="0.25">
      <c r="A86" s="1930" t="s">
        <v>2954</v>
      </c>
      <c r="B86" s="1930" t="str">
        <f>VLOOKUP(A86,' Measure INDEX'!$B$9:$B$732,1,FALSE)</f>
        <v>803700_2020_07_</v>
      </c>
      <c r="C86" s="1930" t="s">
        <v>2954</v>
      </c>
      <c r="D86" s="1930"/>
      <c r="E86" s="1930"/>
      <c r="F86" s="1930"/>
      <c r="G86" s="1930" t="s">
        <v>4205</v>
      </c>
      <c r="H86" s="1930" t="s">
        <v>1901</v>
      </c>
    </row>
    <row r="87" spans="1:8" x14ac:dyDescent="0.25">
      <c r="A87" s="1930" t="s">
        <v>2956</v>
      </c>
      <c r="B87" s="1930" t="str">
        <f>VLOOKUP(A87,' Measure INDEX'!$B$9:$B$732,1,FALSE)</f>
        <v>803750_2020_07_</v>
      </c>
      <c r="C87" s="1930" t="s">
        <v>2956</v>
      </c>
      <c r="D87" s="1930"/>
      <c r="E87" s="1930"/>
      <c r="F87" s="1930"/>
      <c r="G87" s="1930" t="s">
        <v>4206</v>
      </c>
      <c r="H87" s="1930" t="s">
        <v>1903</v>
      </c>
    </row>
    <row r="88" spans="1:8" x14ac:dyDescent="0.25">
      <c r="A88" s="1930" t="s">
        <v>2971</v>
      </c>
      <c r="B88" s="1930" t="str">
        <f>VLOOKUP(A88,' Measure INDEX'!$B$9:$B$732,1,FALSE)</f>
        <v>803800_2019_12_</v>
      </c>
      <c r="C88" s="1930" t="s">
        <v>2971</v>
      </c>
      <c r="D88" s="1930"/>
      <c r="E88" s="1930"/>
      <c r="F88" s="1930"/>
      <c r="G88" s="1930" t="s">
        <v>4207</v>
      </c>
      <c r="H88" s="1930" t="s">
        <v>1905</v>
      </c>
    </row>
    <row r="89" spans="1:8" x14ac:dyDescent="0.25">
      <c r="A89" s="1930" t="s">
        <v>2977</v>
      </c>
      <c r="B89" s="1930" t="str">
        <f>VLOOKUP(A89,' Measure INDEX'!$B$9:$B$732,1,FALSE)</f>
        <v>803850_2019_12_</v>
      </c>
      <c r="C89" s="1930" t="s">
        <v>2977</v>
      </c>
      <c r="D89" s="1930"/>
      <c r="E89" s="1930"/>
      <c r="F89" s="1930"/>
      <c r="G89" s="1930" t="s">
        <v>4208</v>
      </c>
      <c r="H89" s="1930" t="s">
        <v>1924</v>
      </c>
    </row>
    <row r="90" spans="1:8" x14ac:dyDescent="0.25">
      <c r="A90" s="1930" t="s">
        <v>2979</v>
      </c>
      <c r="B90" s="1930" t="str">
        <f>VLOOKUP(A90,' Measure INDEX'!$B$9:$B$732,1,FALSE)</f>
        <v>803900_2019_12_</v>
      </c>
      <c r="C90" s="1930" t="s">
        <v>2979</v>
      </c>
      <c r="D90" s="1930"/>
      <c r="E90" s="1930"/>
      <c r="F90" s="1930"/>
      <c r="G90" s="1930" t="s">
        <v>1191</v>
      </c>
      <c r="H90" s="1930" t="s">
        <v>4209</v>
      </c>
    </row>
    <row r="91" spans="1:8" x14ac:dyDescent="0.25">
      <c r="A91" s="1930" t="s">
        <v>2981</v>
      </c>
      <c r="B91" s="1930" t="str">
        <f>VLOOKUP(A91,' Measure INDEX'!$B$9:$B$732,1,FALSE)</f>
        <v>803950_2019_12_</v>
      </c>
      <c r="C91" s="1930" t="s">
        <v>2981</v>
      </c>
      <c r="D91" s="1930"/>
      <c r="E91" s="1930"/>
      <c r="F91" s="1930"/>
      <c r="G91" s="1930" t="s">
        <v>1199</v>
      </c>
      <c r="H91" s="1930" t="s">
        <v>1929</v>
      </c>
    </row>
    <row r="92" spans="1:8" x14ac:dyDescent="0.25">
      <c r="A92" s="1930" t="s">
        <v>2983</v>
      </c>
      <c r="B92" s="1930" t="str">
        <f>VLOOKUP(A92,' Measure INDEX'!$B$9:$B$732,1,FALSE)</f>
        <v>804000_2019_12_</v>
      </c>
      <c r="C92" s="1930" t="s">
        <v>2983</v>
      </c>
      <c r="D92" s="1930"/>
      <c r="E92" s="1930"/>
      <c r="F92" s="1930"/>
      <c r="G92" s="1930" t="s">
        <v>1203</v>
      </c>
      <c r="H92" s="1930" t="s">
        <v>1932</v>
      </c>
    </row>
    <row r="93" spans="1:8" x14ac:dyDescent="0.25">
      <c r="A93" s="1930" t="s">
        <v>2997</v>
      </c>
      <c r="B93" s="1930" t="str">
        <f>VLOOKUP(A93,' Measure INDEX'!$B$9:$B$732,1,FALSE)</f>
        <v>804050_2019_12_</v>
      </c>
      <c r="C93" s="1930" t="s">
        <v>2997</v>
      </c>
      <c r="D93" s="1930"/>
      <c r="E93" s="1930"/>
      <c r="F93" s="1930"/>
      <c r="G93" s="1930" t="s">
        <v>1208</v>
      </c>
      <c r="H93" s="1930" t="s">
        <v>1952</v>
      </c>
    </row>
    <row r="94" spans="1:8" x14ac:dyDescent="0.25">
      <c r="A94" s="1930" t="s">
        <v>2999</v>
      </c>
      <c r="B94" s="1930" t="str">
        <f>VLOOKUP(A94,' Measure INDEX'!$B$9:$B$732,1,FALSE)</f>
        <v>804100_2019_12_</v>
      </c>
      <c r="C94" s="1930" t="s">
        <v>2999</v>
      </c>
      <c r="D94" s="1930"/>
      <c r="E94" s="1930"/>
      <c r="F94" s="1930"/>
      <c r="G94" s="1930" t="s">
        <v>1211</v>
      </c>
      <c r="H94" s="1930" t="s">
        <v>1954</v>
      </c>
    </row>
    <row r="95" spans="1:8" x14ac:dyDescent="0.25">
      <c r="A95" s="1930" t="s">
        <v>3001</v>
      </c>
      <c r="B95" s="1930" t="str">
        <f>VLOOKUP(A95,' Measure INDEX'!$B$9:$B$732,1,FALSE)</f>
        <v>804150_2019_12_</v>
      </c>
      <c r="C95" s="1930" t="s">
        <v>3001</v>
      </c>
      <c r="D95" s="1930"/>
      <c r="E95" s="1930"/>
      <c r="F95" s="1930"/>
      <c r="G95" s="1930" t="s">
        <v>1218</v>
      </c>
      <c r="H95" s="1930" t="s">
        <v>1956</v>
      </c>
    </row>
    <row r="96" spans="1:8" x14ac:dyDescent="0.25">
      <c r="A96" s="1930" t="s">
        <v>3003</v>
      </c>
      <c r="B96" s="1930" t="str">
        <f>VLOOKUP(A96,' Measure INDEX'!$B$9:$B$732,1,FALSE)</f>
        <v>804200_2019_12_</v>
      </c>
      <c r="C96" s="1930" t="s">
        <v>3003</v>
      </c>
      <c r="D96" s="1930"/>
      <c r="E96" s="1930"/>
      <c r="F96" s="1930"/>
      <c r="G96" s="1930" t="s">
        <v>1222</v>
      </c>
      <c r="H96" s="1930" t="s">
        <v>1958</v>
      </c>
    </row>
    <row r="97" spans="1:8" x14ac:dyDescent="0.25">
      <c r="A97" s="1930" t="s">
        <v>3005</v>
      </c>
      <c r="B97" s="1930" t="str">
        <f>VLOOKUP(A97,' Measure INDEX'!$B$9:$B$732,1,FALSE)</f>
        <v>804250_2019_12_</v>
      </c>
      <c r="C97" s="1930" t="s">
        <v>3005</v>
      </c>
      <c r="D97" s="1930"/>
      <c r="E97" s="1930"/>
      <c r="F97" s="1930"/>
      <c r="G97" s="1930" t="s">
        <v>1225</v>
      </c>
      <c r="H97" s="1930" t="s">
        <v>4210</v>
      </c>
    </row>
    <row r="98" spans="1:8" x14ac:dyDescent="0.25">
      <c r="A98" s="1930" t="s">
        <v>3012</v>
      </c>
      <c r="B98" s="1930" t="str">
        <f>VLOOKUP(A98,' Measure INDEX'!$B$9:$B$732,1,FALSE)</f>
        <v>804300_2019_12_</v>
      </c>
      <c r="C98" s="1930" t="s">
        <v>3012</v>
      </c>
      <c r="D98" s="1930"/>
      <c r="E98" s="1930"/>
      <c r="F98" s="1930"/>
      <c r="G98" s="1930" t="s">
        <v>1228</v>
      </c>
      <c r="H98" s="1930" t="s">
        <v>4211</v>
      </c>
    </row>
    <row r="99" spans="1:8" x14ac:dyDescent="0.25">
      <c r="A99" s="1930" t="s">
        <v>3015</v>
      </c>
      <c r="B99" s="1930" t="str">
        <f>VLOOKUP(A99,' Measure INDEX'!$B$9:$B$732,1,FALSE)</f>
        <v>804350_2019_12_</v>
      </c>
      <c r="C99" s="1930" t="s">
        <v>3015</v>
      </c>
      <c r="D99" s="1930"/>
      <c r="E99" s="1930"/>
      <c r="F99" s="1930"/>
      <c r="G99" s="1930" t="s">
        <v>1232</v>
      </c>
      <c r="H99" s="1930" t="s">
        <v>4212</v>
      </c>
    </row>
    <row r="100" spans="1:8" x14ac:dyDescent="0.25">
      <c r="A100" s="1930" t="s">
        <v>3017</v>
      </c>
      <c r="B100" s="1930" t="str">
        <f>VLOOKUP(A100,' Measure INDEX'!$B$9:$B$732,1,FALSE)</f>
        <v>804400_2019_12_</v>
      </c>
      <c r="C100" s="1930" t="s">
        <v>3017</v>
      </c>
      <c r="D100" s="1930"/>
      <c r="E100" s="1930"/>
      <c r="F100" s="1930"/>
      <c r="G100" s="1930" t="s">
        <v>1236</v>
      </c>
      <c r="H100" s="1930" t="s">
        <v>4213</v>
      </c>
    </row>
    <row r="101" spans="1:8" x14ac:dyDescent="0.25">
      <c r="A101" s="1930" t="s">
        <v>3019</v>
      </c>
      <c r="B101" s="1930" t="str">
        <f>VLOOKUP(A101,' Measure INDEX'!$B$9:$B$732,1,FALSE)</f>
        <v>804450_2019_12_</v>
      </c>
      <c r="C101" s="1930" t="s">
        <v>3019</v>
      </c>
      <c r="D101" s="1930"/>
      <c r="E101" s="1930"/>
      <c r="F101" s="1930"/>
      <c r="G101" s="1930" t="s">
        <v>1240</v>
      </c>
      <c r="H101" s="1930" t="s">
        <v>4214</v>
      </c>
    </row>
    <row r="102" spans="1:8" x14ac:dyDescent="0.25">
      <c r="A102" s="1930" t="s">
        <v>3021</v>
      </c>
      <c r="B102" s="1930" t="str">
        <f>VLOOKUP(A102,' Measure INDEX'!$B$9:$B$732,1,FALSE)</f>
        <v>804500_2019_12_</v>
      </c>
      <c r="C102" s="1930" t="s">
        <v>3021</v>
      </c>
      <c r="D102" s="1930"/>
      <c r="E102" s="1930"/>
      <c r="F102" s="1930"/>
      <c r="G102" s="1930" t="s">
        <v>1250</v>
      </c>
      <c r="H102" s="1930" t="s">
        <v>1989</v>
      </c>
    </row>
    <row r="103" spans="1:8" x14ac:dyDescent="0.25">
      <c r="A103" s="1930" t="s">
        <v>3023</v>
      </c>
      <c r="B103" s="1930" t="str">
        <f>VLOOKUP(A103,' Measure INDEX'!$B$9:$B$732,1,FALSE)</f>
        <v>804550_2019_12_</v>
      </c>
      <c r="C103" s="1930" t="s">
        <v>3023</v>
      </c>
      <c r="D103" s="1930"/>
      <c r="E103" s="1930"/>
      <c r="F103" s="1930"/>
      <c r="G103" s="1930" t="s">
        <v>1252</v>
      </c>
      <c r="H103" s="1930" t="s">
        <v>1991</v>
      </c>
    </row>
    <row r="104" spans="1:8" x14ac:dyDescent="0.25">
      <c r="A104" s="1930" t="s">
        <v>3025</v>
      </c>
      <c r="B104" s="1930" t="str">
        <f>VLOOKUP(A104,' Measure INDEX'!$B$9:$B$732,1,FALSE)</f>
        <v>804600_2019_12_</v>
      </c>
      <c r="C104" s="1930" t="s">
        <v>3025</v>
      </c>
      <c r="D104" s="1930"/>
      <c r="E104" s="1930"/>
      <c r="F104" s="1930"/>
      <c r="G104" s="1930" t="s">
        <v>1258</v>
      </c>
      <c r="H104" s="1930" t="s">
        <v>1993</v>
      </c>
    </row>
    <row r="105" spans="1:8" x14ac:dyDescent="0.25">
      <c r="A105" s="1930" t="s">
        <v>3029</v>
      </c>
      <c r="B105" s="1930" t="str">
        <f>VLOOKUP(A105,' Measure INDEX'!$B$9:$B$732,1,FALSE)</f>
        <v>804650_2019_12_</v>
      </c>
      <c r="C105" s="1930" t="s">
        <v>3029</v>
      </c>
      <c r="D105" s="1930"/>
      <c r="E105" s="1930"/>
      <c r="F105" s="1930"/>
      <c r="G105" s="1930" t="s">
        <v>1262</v>
      </c>
      <c r="H105" s="1930" t="s">
        <v>2007</v>
      </c>
    </row>
    <row r="106" spans="1:8" x14ac:dyDescent="0.25">
      <c r="A106" s="1930" t="s">
        <v>3031</v>
      </c>
      <c r="B106" s="1930" t="str">
        <f>VLOOKUP(A106,' Measure INDEX'!$B$9:$B$732,1,FALSE)</f>
        <v>804700_2019_12_</v>
      </c>
      <c r="C106" s="1930" t="s">
        <v>3031</v>
      </c>
      <c r="D106" s="1930"/>
      <c r="E106" s="1930"/>
      <c r="F106" s="1930"/>
      <c r="G106" s="1930" t="s">
        <v>1266</v>
      </c>
      <c r="H106" s="1930" t="s">
        <v>2009</v>
      </c>
    </row>
    <row r="107" spans="1:8" x14ac:dyDescent="0.25">
      <c r="A107" s="1930" t="s">
        <v>3033</v>
      </c>
      <c r="B107" s="1930" t="str">
        <f>VLOOKUP(A107,' Measure INDEX'!$B$9:$B$732,1,FALSE)</f>
        <v>804750_2019_12_</v>
      </c>
      <c r="C107" s="1930" t="s">
        <v>3033</v>
      </c>
      <c r="D107" s="1930"/>
      <c r="E107" s="1930"/>
      <c r="F107" s="1930"/>
      <c r="G107" s="1930" t="s">
        <v>1269</v>
      </c>
      <c r="H107" s="1930" t="s">
        <v>2010</v>
      </c>
    </row>
    <row r="108" spans="1:8" x14ac:dyDescent="0.25">
      <c r="A108" s="1930" t="s">
        <v>3035</v>
      </c>
      <c r="B108" s="1930" t="str">
        <f>VLOOKUP(A108,' Measure INDEX'!$B$9:$B$732,1,FALSE)</f>
        <v>804800_2019_12_</v>
      </c>
      <c r="C108" s="1930" t="s">
        <v>3035</v>
      </c>
      <c r="D108" s="1930"/>
      <c r="E108" s="1930"/>
      <c r="F108" s="1930"/>
      <c r="G108" s="1930" t="s">
        <v>1272</v>
      </c>
      <c r="H108" s="1930" t="s">
        <v>2012</v>
      </c>
    </row>
    <row r="109" spans="1:8" x14ac:dyDescent="0.25">
      <c r="A109" s="1930" t="s">
        <v>3037</v>
      </c>
      <c r="B109" s="1930" t="str">
        <f>VLOOKUP(A109,' Measure INDEX'!$B$9:$B$732,1,FALSE)</f>
        <v>804850_2019_12_</v>
      </c>
      <c r="C109" s="1930" t="s">
        <v>3037</v>
      </c>
      <c r="D109" s="1930"/>
      <c r="E109" s="1930"/>
      <c r="F109" s="1930"/>
      <c r="G109" s="1930" t="s">
        <v>1274</v>
      </c>
      <c r="H109" s="1930" t="s">
        <v>2014</v>
      </c>
    </row>
    <row r="110" spans="1:8" x14ac:dyDescent="0.25">
      <c r="A110" s="1930" t="s">
        <v>3039</v>
      </c>
      <c r="B110" s="1930" t="str">
        <f>VLOOKUP(A110,' Measure INDEX'!$B$9:$B$732,1,FALSE)</f>
        <v>804900_2019_12_</v>
      </c>
      <c r="C110" s="1930" t="s">
        <v>3039</v>
      </c>
      <c r="D110" s="1930"/>
      <c r="E110" s="1930"/>
      <c r="F110" s="1930"/>
      <c r="G110" s="1930" t="s">
        <v>1280</v>
      </c>
      <c r="H110" s="1930" t="s">
        <v>2015</v>
      </c>
    </row>
    <row r="111" spans="1:8" x14ac:dyDescent="0.25">
      <c r="A111" s="1930" t="s">
        <v>3041</v>
      </c>
      <c r="B111" s="1930" t="str">
        <f>VLOOKUP(A111,' Measure INDEX'!$B$9:$B$732,1,FALSE)</f>
        <v>804950_2019_12_</v>
      </c>
      <c r="C111" s="1930" t="s">
        <v>3041</v>
      </c>
      <c r="D111" s="1930"/>
      <c r="E111" s="1930"/>
      <c r="F111" s="1930"/>
      <c r="G111" s="1930" t="s">
        <v>1284</v>
      </c>
      <c r="H111" s="1930" t="s">
        <v>2017</v>
      </c>
    </row>
    <row r="112" spans="1:8" x14ac:dyDescent="0.25">
      <c r="A112" s="1930" t="s">
        <v>3047</v>
      </c>
      <c r="B112" s="1930" t="str">
        <f>VLOOKUP(A112,' Measure INDEX'!$B$9:$B$732,1,FALSE)</f>
        <v>805000_2020_07_</v>
      </c>
      <c r="C112" s="1930" t="s">
        <v>3047</v>
      </c>
      <c r="D112" s="1930"/>
      <c r="E112" s="1930"/>
      <c r="F112" s="1930"/>
      <c r="G112" s="1930" t="s">
        <v>1294</v>
      </c>
      <c r="H112" s="1930" t="s">
        <v>2019</v>
      </c>
    </row>
    <row r="113" spans="1:8" x14ac:dyDescent="0.25">
      <c r="A113" s="1930" t="s">
        <v>3055</v>
      </c>
      <c r="B113" s="1930" t="str">
        <f>VLOOKUP(A113,' Measure INDEX'!$B$9:$B$732,1,FALSE)</f>
        <v>805050_2019_12_</v>
      </c>
      <c r="C113" s="1930" t="s">
        <v>3055</v>
      </c>
      <c r="D113" s="1930"/>
      <c r="E113" s="1930"/>
      <c r="F113" s="1930"/>
      <c r="G113" s="1930" t="s">
        <v>1297</v>
      </c>
      <c r="H113" s="1930" t="s">
        <v>2020</v>
      </c>
    </row>
    <row r="114" spans="1:8" x14ac:dyDescent="0.25">
      <c r="A114" s="1930" t="s">
        <v>3057</v>
      </c>
      <c r="B114" s="1930" t="str">
        <f>VLOOKUP(A114,' Measure INDEX'!$B$9:$B$732,1,FALSE)</f>
        <v>805100_2019_12_</v>
      </c>
      <c r="C114" s="1930" t="s">
        <v>3057</v>
      </c>
      <c r="D114" s="1930"/>
      <c r="E114" s="1930"/>
      <c r="F114" s="1930"/>
      <c r="G114" s="1930" t="s">
        <v>1300</v>
      </c>
      <c r="H114" s="1930" t="s">
        <v>2022</v>
      </c>
    </row>
    <row r="115" spans="1:8" x14ac:dyDescent="0.25">
      <c r="A115" s="1930" t="s">
        <v>3079</v>
      </c>
      <c r="B115" s="1930" t="str">
        <f>VLOOKUP(A115,' Measure INDEX'!$B$9:$B$732,1,FALSE)</f>
        <v>805150_2019_12_</v>
      </c>
      <c r="C115" s="1930" t="s">
        <v>3079</v>
      </c>
      <c r="D115" s="1930"/>
      <c r="E115" s="1930"/>
      <c r="F115" s="1930"/>
      <c r="G115" s="1930" t="s">
        <v>1303</v>
      </c>
      <c r="H115" s="1930" t="s">
        <v>2024</v>
      </c>
    </row>
    <row r="116" spans="1:8" x14ac:dyDescent="0.25">
      <c r="A116" s="1930" t="s">
        <v>3081</v>
      </c>
      <c r="B116" s="1930" t="str">
        <f>VLOOKUP(A116,' Measure INDEX'!$B$9:$B$732,1,FALSE)</f>
        <v>805200_2019_12_</v>
      </c>
      <c r="C116" s="1930" t="s">
        <v>3081</v>
      </c>
      <c r="D116" s="1930"/>
      <c r="E116" s="1930"/>
      <c r="F116" s="1930"/>
      <c r="G116" s="1930" t="s">
        <v>1305</v>
      </c>
      <c r="H116" s="1930" t="s">
        <v>2025</v>
      </c>
    </row>
    <row r="117" spans="1:8" x14ac:dyDescent="0.25">
      <c r="A117" s="1930" t="s">
        <v>3092</v>
      </c>
      <c r="B117" s="1930" t="str">
        <f>VLOOKUP(A117,' Measure INDEX'!$B$9:$B$732,1,FALSE)</f>
        <v>805250_2019_12_</v>
      </c>
      <c r="C117" s="1930" t="s">
        <v>3092</v>
      </c>
      <c r="D117" s="1930"/>
      <c r="E117" s="1930"/>
      <c r="F117" s="1930"/>
      <c r="G117" s="1930" t="s">
        <v>1311</v>
      </c>
      <c r="H117" s="1930" t="s">
        <v>2044</v>
      </c>
    </row>
    <row r="118" spans="1:8" x14ac:dyDescent="0.25">
      <c r="A118" s="1930" t="s">
        <v>3094</v>
      </c>
      <c r="B118" s="1930" t="str">
        <f>VLOOKUP(A118,' Measure INDEX'!$B$9:$B$732,1,FALSE)</f>
        <v>805300_2019_12_</v>
      </c>
      <c r="C118" s="1930" t="s">
        <v>3094</v>
      </c>
      <c r="D118" s="1930"/>
      <c r="E118" s="1930"/>
      <c r="F118" s="1930"/>
      <c r="G118" s="1930" t="s">
        <v>1314</v>
      </c>
      <c r="H118" s="1930" t="s">
        <v>2046</v>
      </c>
    </row>
    <row r="119" spans="1:8" x14ac:dyDescent="0.25">
      <c r="A119" s="1930" t="s">
        <v>3097</v>
      </c>
      <c r="B119" s="1930" t="str">
        <f>VLOOKUP(A119,' Measure INDEX'!$B$9:$B$732,1,FALSE)</f>
        <v>805350_2019_12_</v>
      </c>
      <c r="C119" s="1930" t="s">
        <v>3097</v>
      </c>
      <c r="D119" s="1930"/>
      <c r="E119" s="1930"/>
      <c r="F119" s="1930"/>
      <c r="G119" s="1930" t="s">
        <v>1317</v>
      </c>
      <c r="H119" s="1930" t="s">
        <v>2059</v>
      </c>
    </row>
    <row r="120" spans="1:8" x14ac:dyDescent="0.25">
      <c r="A120" s="1930" t="s">
        <v>3105</v>
      </c>
      <c r="B120" s="1930" t="str">
        <f>VLOOKUP(A120,' Measure INDEX'!$B$9:$B$732,1,FALSE)</f>
        <v>805405_2020_07_</v>
      </c>
      <c r="C120" s="1930" t="s">
        <v>3105</v>
      </c>
      <c r="D120" s="1930"/>
      <c r="E120" s="1930"/>
      <c r="F120" s="1930"/>
      <c r="G120" s="1930" t="s">
        <v>1324</v>
      </c>
      <c r="H120" s="1930" t="s">
        <v>2074</v>
      </c>
    </row>
    <row r="121" spans="1:8" x14ac:dyDescent="0.25">
      <c r="A121" s="1930" t="s">
        <v>3107</v>
      </c>
      <c r="B121" s="1930" t="str">
        <f>VLOOKUP(A121,' Measure INDEX'!$B$9:$B$732,1,FALSE)</f>
        <v>805410_2020_07_</v>
      </c>
      <c r="C121" s="1930" t="s">
        <v>3107</v>
      </c>
      <c r="D121" s="1930"/>
      <c r="E121" s="1930"/>
      <c r="F121" s="1930"/>
      <c r="G121" s="1930" t="s">
        <v>1327</v>
      </c>
      <c r="H121" s="1930" t="s">
        <v>2086</v>
      </c>
    </row>
    <row r="122" spans="1:8" x14ac:dyDescent="0.25">
      <c r="A122" s="1930" t="s">
        <v>3112</v>
      </c>
      <c r="B122" s="1930" t="str">
        <f>VLOOKUP(A122,' Measure INDEX'!$B$9:$B$732,1,FALSE)</f>
        <v>805450_2019_12_</v>
      </c>
      <c r="C122" s="1930" t="s">
        <v>3112</v>
      </c>
      <c r="D122" s="1930"/>
      <c r="E122" s="1930"/>
      <c r="F122" s="1930"/>
      <c r="G122" s="1930" t="s">
        <v>1330</v>
      </c>
      <c r="H122" s="1930" t="s">
        <v>2097</v>
      </c>
    </row>
    <row r="123" spans="1:8" x14ac:dyDescent="0.25">
      <c r="A123" s="1930" t="s">
        <v>3121</v>
      </c>
      <c r="B123" s="1930" t="str">
        <f>VLOOKUP(A123,' Measure INDEX'!$B$9:$B$732,1,FALSE)</f>
        <v>805500_2019_12_</v>
      </c>
      <c r="C123" s="1930" t="s">
        <v>3121</v>
      </c>
      <c r="D123" s="1930"/>
      <c r="E123" s="1930"/>
      <c r="F123" s="1930"/>
      <c r="G123" s="1930" t="s">
        <v>1336</v>
      </c>
      <c r="H123" s="1930" t="s">
        <v>2100</v>
      </c>
    </row>
    <row r="124" spans="1:8" x14ac:dyDescent="0.25">
      <c r="A124" s="1930" t="s">
        <v>3130</v>
      </c>
      <c r="B124" s="1930" t="str">
        <f>VLOOKUP(A124,' Measure INDEX'!$B$9:$B$732,1,FALSE)</f>
        <v>805550_2019_12_</v>
      </c>
      <c r="C124" s="1930" t="s">
        <v>3130</v>
      </c>
      <c r="D124" s="1930"/>
      <c r="E124" s="1930"/>
      <c r="F124" s="1930"/>
      <c r="G124" s="1930" t="s">
        <v>1343</v>
      </c>
      <c r="H124" s="1930" t="s">
        <v>2102</v>
      </c>
    </row>
    <row r="125" spans="1:8" x14ac:dyDescent="0.25">
      <c r="A125" s="1930" t="s">
        <v>3133</v>
      </c>
      <c r="B125" s="1930" t="str">
        <f>VLOOKUP(A125,' Measure INDEX'!$B$9:$B$732,1,FALSE)</f>
        <v>805600_2019_12_</v>
      </c>
      <c r="C125" s="1930" t="s">
        <v>3133</v>
      </c>
      <c r="D125" s="1930"/>
      <c r="E125" s="1930"/>
      <c r="F125" s="1930"/>
      <c r="G125" s="1930" t="s">
        <v>1346</v>
      </c>
      <c r="H125" s="1930" t="s">
        <v>2104</v>
      </c>
    </row>
    <row r="126" spans="1:8" x14ac:dyDescent="0.25">
      <c r="A126" s="1930" t="s">
        <v>3137</v>
      </c>
      <c r="B126" s="1930" t="str">
        <f>VLOOKUP(A126,' Measure INDEX'!$B$9:$B$732,1,FALSE)</f>
        <v>805650_2019_12_</v>
      </c>
      <c r="C126" s="1930" t="s">
        <v>3137</v>
      </c>
      <c r="D126" s="1930"/>
      <c r="E126" s="1930"/>
      <c r="F126" s="1930"/>
      <c r="G126" s="1930" t="s">
        <v>1348</v>
      </c>
      <c r="H126" s="1930" t="s">
        <v>2106</v>
      </c>
    </row>
    <row r="127" spans="1:8" x14ac:dyDescent="0.25">
      <c r="A127" s="1930" t="s">
        <v>3140</v>
      </c>
      <c r="B127" s="1930" t="str">
        <f>VLOOKUP(A127,' Measure INDEX'!$B$9:$B$732,1,FALSE)</f>
        <v>805700_2019_12_</v>
      </c>
      <c r="C127" s="1930" t="s">
        <v>3140</v>
      </c>
      <c r="D127" s="1930"/>
      <c r="E127" s="1930"/>
      <c r="F127" s="1930"/>
      <c r="G127" s="1930" t="s">
        <v>1354</v>
      </c>
      <c r="H127" s="1930" t="s">
        <v>4215</v>
      </c>
    </row>
    <row r="128" spans="1:8" x14ac:dyDescent="0.25">
      <c r="A128" s="1930" t="s">
        <v>3142</v>
      </c>
      <c r="B128" s="1930" t="str">
        <f>VLOOKUP(A128,' Measure INDEX'!$B$9:$B$732,1,FALSE)</f>
        <v>805750_2019_12_</v>
      </c>
      <c r="C128" s="1930" t="s">
        <v>3142</v>
      </c>
      <c r="D128" s="1930"/>
      <c r="E128" s="1930"/>
      <c r="F128" s="1930"/>
      <c r="G128" s="1930" t="s">
        <v>1361</v>
      </c>
      <c r="H128" s="1930" t="s">
        <v>2110</v>
      </c>
    </row>
    <row r="129" spans="1:8" x14ac:dyDescent="0.25">
      <c r="A129" s="1930" t="s">
        <v>3148</v>
      </c>
      <c r="B129" s="1930" t="str">
        <f>VLOOKUP(A129,' Measure INDEX'!$B$9:$B$732,1,FALSE)</f>
        <v>805800_2019_12_</v>
      </c>
      <c r="C129" s="1930" t="s">
        <v>3148</v>
      </c>
      <c r="D129" s="1930"/>
      <c r="E129" s="1930"/>
      <c r="F129" s="1930"/>
      <c r="G129" s="1930" t="s">
        <v>1364</v>
      </c>
      <c r="H129" s="1930" t="s">
        <v>2112</v>
      </c>
    </row>
    <row r="130" spans="1:8" x14ac:dyDescent="0.25">
      <c r="A130" s="1930" t="s">
        <v>3157</v>
      </c>
      <c r="B130" s="1930" t="str">
        <f>VLOOKUP(A130,' Measure INDEX'!$B$9:$B$732,1,FALSE)</f>
        <v>805850_2019_12_</v>
      </c>
      <c r="C130" s="1930" t="s">
        <v>3157</v>
      </c>
      <c r="D130" s="1930"/>
      <c r="E130" s="1930"/>
      <c r="F130" s="1930"/>
      <c r="G130" s="1930" t="s">
        <v>1373</v>
      </c>
      <c r="H130" s="1930" t="s">
        <v>2114</v>
      </c>
    </row>
    <row r="131" spans="1:8" x14ac:dyDescent="0.25">
      <c r="A131" s="1930" t="s">
        <v>3159</v>
      </c>
      <c r="B131" s="1930" t="str">
        <f>VLOOKUP(A131,' Measure INDEX'!$B$9:$B$732,1,FALSE)</f>
        <v>805900_2019_12_</v>
      </c>
      <c r="C131" s="1930" t="s">
        <v>3159</v>
      </c>
      <c r="D131" s="1930"/>
      <c r="E131" s="1930"/>
      <c r="F131" s="1930"/>
      <c r="G131" s="1930" t="s">
        <v>1376</v>
      </c>
      <c r="H131" s="1930" t="s">
        <v>2116</v>
      </c>
    </row>
    <row r="132" spans="1:8" x14ac:dyDescent="0.25">
      <c r="A132" s="1930" t="s">
        <v>3167</v>
      </c>
      <c r="B132" s="1930" t="str">
        <f>VLOOKUP(A132,' Measure INDEX'!$B$9:$B$732,1,FALSE)</f>
        <v>805950_2019_12_</v>
      </c>
      <c r="C132" s="1930" t="s">
        <v>3167</v>
      </c>
      <c r="D132" s="1930"/>
      <c r="E132" s="1930"/>
      <c r="F132" s="1930"/>
      <c r="G132" s="1930" t="s">
        <v>1378</v>
      </c>
      <c r="H132" s="1930" t="s">
        <v>2118</v>
      </c>
    </row>
    <row r="133" spans="1:8" x14ac:dyDescent="0.25">
      <c r="A133" s="1930" t="s">
        <v>3169</v>
      </c>
      <c r="B133" s="1930" t="str">
        <f>VLOOKUP(A133,' Measure INDEX'!$B$9:$B$732,1,FALSE)</f>
        <v>806000_2019_12_</v>
      </c>
      <c r="C133" s="1930" t="s">
        <v>3169</v>
      </c>
      <c r="D133" s="1930"/>
      <c r="E133" s="1930"/>
      <c r="F133" s="1930"/>
      <c r="G133" s="1930" t="s">
        <v>1384</v>
      </c>
      <c r="H133" s="1930" t="s">
        <v>2120</v>
      </c>
    </row>
    <row r="134" spans="1:8" x14ac:dyDescent="0.25">
      <c r="A134" s="1930" t="s">
        <v>3174</v>
      </c>
      <c r="B134" s="1930" t="str">
        <f>VLOOKUP(A134,' Measure INDEX'!$B$9:$B$732,1,FALSE)</f>
        <v>806050_2019_12_</v>
      </c>
      <c r="C134" s="1930" t="s">
        <v>3174</v>
      </c>
      <c r="D134" s="1930"/>
      <c r="E134" s="1930"/>
      <c r="F134" s="1930"/>
      <c r="G134" s="1930" t="s">
        <v>1388</v>
      </c>
      <c r="H134" s="1930" t="s">
        <v>2122</v>
      </c>
    </row>
    <row r="135" spans="1:8" x14ac:dyDescent="0.25">
      <c r="A135" s="1930" t="s">
        <v>3180</v>
      </c>
      <c r="B135" s="1930" t="str">
        <f>VLOOKUP(A135,' Measure INDEX'!$B$9:$B$732,1,FALSE)</f>
        <v>806100_2020_07_</v>
      </c>
      <c r="C135" s="1930" t="s">
        <v>3180</v>
      </c>
      <c r="D135" s="1930"/>
      <c r="E135" s="1930"/>
      <c r="F135" s="1930"/>
      <c r="G135" s="1930" t="s">
        <v>1391</v>
      </c>
      <c r="H135" s="1930" t="s">
        <v>2124</v>
      </c>
    </row>
    <row r="136" spans="1:8" x14ac:dyDescent="0.25">
      <c r="A136" s="1930" t="s">
        <v>3182</v>
      </c>
      <c r="B136" s="1930" t="str">
        <f>VLOOKUP(A136,' Measure INDEX'!$B$9:$B$732,1,FALSE)</f>
        <v>806110_2020_07_</v>
      </c>
      <c r="C136" s="1930" t="s">
        <v>3182</v>
      </c>
      <c r="D136" s="1930"/>
      <c r="E136" s="1930"/>
      <c r="F136" s="1930"/>
      <c r="G136" s="1930" t="s">
        <v>1395</v>
      </c>
      <c r="H136" s="1930" t="s">
        <v>2126</v>
      </c>
    </row>
    <row r="137" spans="1:8" x14ac:dyDescent="0.25">
      <c r="A137" s="1930" t="s">
        <v>3184</v>
      </c>
      <c r="B137" s="1930" t="str">
        <f>VLOOKUP(A137,' Measure INDEX'!$B$9:$B$732,1,FALSE)</f>
        <v>806120_2020_07_</v>
      </c>
      <c r="C137" s="1930" t="s">
        <v>3184</v>
      </c>
      <c r="D137" s="1930"/>
      <c r="E137" s="1930"/>
      <c r="F137" s="1930"/>
      <c r="G137" s="1930" t="s">
        <v>1398</v>
      </c>
      <c r="H137" s="1930" t="s">
        <v>2128</v>
      </c>
    </row>
    <row r="138" spans="1:8" x14ac:dyDescent="0.25">
      <c r="A138" s="1930" t="s">
        <v>3189</v>
      </c>
      <c r="B138" s="1930" t="str">
        <f>VLOOKUP(A138,' Measure INDEX'!$B$9:$B$732,1,FALSE)</f>
        <v>999999_2019_12</v>
      </c>
      <c r="C138" s="1930" t="s">
        <v>3189</v>
      </c>
      <c r="D138" s="1930"/>
      <c r="E138" s="1930"/>
      <c r="F138" s="1930"/>
      <c r="G138" s="1930" t="s">
        <v>1402</v>
      </c>
      <c r="H138" s="1930" t="s">
        <v>2130</v>
      </c>
    </row>
    <row r="139" spans="1:8" x14ac:dyDescent="0.25">
      <c r="A139" s="1930" t="s">
        <v>51</v>
      </c>
      <c r="B139" s="1930" t="str">
        <f>VLOOKUP(A139,' Measure INDEX'!$B$9:$B$732,1,FALSE)</f>
        <v>200050_2019_12_</v>
      </c>
      <c r="C139" s="1930"/>
      <c r="D139" s="1930"/>
      <c r="E139" s="1930"/>
      <c r="F139" s="1930"/>
      <c r="G139" s="1930" t="s">
        <v>1405</v>
      </c>
      <c r="H139" s="1930" t="s">
        <v>2132</v>
      </c>
    </row>
    <row r="140" spans="1:8" x14ac:dyDescent="0.25">
      <c r="A140" s="1930" t="s">
        <v>57</v>
      </c>
      <c r="B140" s="1930" t="str">
        <f>VLOOKUP(A140,' Measure INDEX'!$B$9:$B$732,1,FALSE)</f>
        <v>200100_2019_12_</v>
      </c>
      <c r="C140" s="1930"/>
      <c r="D140" s="1930"/>
      <c r="E140" s="1930"/>
      <c r="F140" s="1930"/>
      <c r="G140" s="1930" t="s">
        <v>1412</v>
      </c>
      <c r="H140" s="1930" t="s">
        <v>4216</v>
      </c>
    </row>
    <row r="141" spans="1:8" x14ac:dyDescent="0.25">
      <c r="A141" s="1930" t="s">
        <v>59</v>
      </c>
      <c r="B141" s="1930" t="str">
        <f>VLOOKUP(A141,' Measure INDEX'!$B$9:$B$732,1,FALSE)</f>
        <v>200150_2019_12_</v>
      </c>
      <c r="C141" s="1930"/>
      <c r="D141" s="1930"/>
      <c r="E141" s="1930"/>
      <c r="F141" s="1930"/>
      <c r="G141" s="1930" t="s">
        <v>1415</v>
      </c>
      <c r="H141" s="1930" t="s">
        <v>2136</v>
      </c>
    </row>
    <row r="142" spans="1:8" x14ac:dyDescent="0.25">
      <c r="A142" s="1930" t="s">
        <v>61</v>
      </c>
      <c r="B142" s="1930" t="str">
        <f>VLOOKUP(A142,' Measure INDEX'!$B$9:$B$732,1,FALSE)</f>
        <v>200200_2019_12_</v>
      </c>
      <c r="C142" s="1930"/>
      <c r="D142" s="1930"/>
      <c r="E142" s="1930"/>
      <c r="F142" s="1930"/>
      <c r="G142" s="1930" t="s">
        <v>1424</v>
      </c>
      <c r="H142" s="1930" t="s">
        <v>2138</v>
      </c>
    </row>
    <row r="143" spans="1:8" x14ac:dyDescent="0.25">
      <c r="A143" s="1930" t="s">
        <v>63</v>
      </c>
      <c r="B143" s="1930" t="str">
        <f>VLOOKUP(A143,' Measure INDEX'!$B$9:$B$732,1,FALSE)</f>
        <v>200250_2019_12_</v>
      </c>
      <c r="C143" s="1930"/>
      <c r="D143" s="1930"/>
      <c r="E143" s="1930"/>
      <c r="F143" s="1930"/>
      <c r="G143" s="1930" t="s">
        <v>1427</v>
      </c>
      <c r="H143" s="1930" t="s">
        <v>2140</v>
      </c>
    </row>
    <row r="144" spans="1:8" x14ac:dyDescent="0.25">
      <c r="A144" s="1930" t="s">
        <v>65</v>
      </c>
      <c r="B144" s="1930" t="str">
        <f>VLOOKUP(A144,' Measure INDEX'!$B$9:$B$732,1,FALSE)</f>
        <v>200300_2019_12_</v>
      </c>
      <c r="C144" s="1930"/>
      <c r="D144" s="1930"/>
      <c r="E144" s="1930"/>
      <c r="F144" s="1930"/>
      <c r="G144" s="1930" t="s">
        <v>1430</v>
      </c>
      <c r="H144" s="1930" t="s">
        <v>2145</v>
      </c>
    </row>
    <row r="145" spans="1:8" x14ac:dyDescent="0.25">
      <c r="A145" s="1930" t="s">
        <v>67</v>
      </c>
      <c r="B145" s="1930" t="str">
        <f>VLOOKUP(A145,' Measure INDEX'!$B$9:$B$732,1,FALSE)</f>
        <v>200350_2019_12_</v>
      </c>
      <c r="C145" s="1930"/>
      <c r="D145" s="1930"/>
      <c r="E145" s="1930"/>
      <c r="F145" s="1930"/>
      <c r="G145" s="1930" t="s">
        <v>1437</v>
      </c>
      <c r="H145" s="1930" t="s">
        <v>4217</v>
      </c>
    </row>
    <row r="146" spans="1:8" x14ac:dyDescent="0.25">
      <c r="A146" s="1930" t="s">
        <v>69</v>
      </c>
      <c r="B146" s="1930" t="str">
        <f>VLOOKUP(A146,' Measure INDEX'!$B$9:$B$732,1,FALSE)</f>
        <v>200400_2019_12_</v>
      </c>
      <c r="C146" s="1930"/>
      <c r="D146" s="1930"/>
      <c r="E146" s="1930"/>
      <c r="F146" s="1930"/>
      <c r="G146" s="1930" t="s">
        <v>1441</v>
      </c>
      <c r="H146" s="1930" t="s">
        <v>4218</v>
      </c>
    </row>
    <row r="147" spans="1:8" x14ac:dyDescent="0.25">
      <c r="A147" s="1930" t="s">
        <v>4108</v>
      </c>
      <c r="B147" s="1930" t="e">
        <f>VLOOKUP(A147,' Measure INDEX'!$B$9:$B$732,1,FALSE)</f>
        <v>#N/A</v>
      </c>
      <c r="C147" s="1930"/>
      <c r="D147" s="1930"/>
      <c r="E147" s="1930"/>
      <c r="F147" s="1930"/>
      <c r="G147" s="1930" t="s">
        <v>1451</v>
      </c>
      <c r="H147" s="1930" t="s">
        <v>2183</v>
      </c>
    </row>
    <row r="148" spans="1:8" x14ac:dyDescent="0.25">
      <c r="A148" s="1930" t="s">
        <v>4111</v>
      </c>
      <c r="B148" s="1930" t="e">
        <f>VLOOKUP(A148,' Measure INDEX'!$B$9:$B$732,1,FALSE)</f>
        <v>#N/A</v>
      </c>
      <c r="C148" s="1930"/>
      <c r="D148" s="1930"/>
      <c r="E148" s="1930"/>
      <c r="F148" s="1930"/>
      <c r="G148" s="1930" t="s">
        <v>1455</v>
      </c>
      <c r="H148" s="1930" t="s">
        <v>4219</v>
      </c>
    </row>
    <row r="149" spans="1:8" x14ac:dyDescent="0.25">
      <c r="A149" s="1930" t="s">
        <v>75</v>
      </c>
      <c r="B149" s="1930" t="str">
        <f>VLOOKUP(A149,' Measure INDEX'!$B$9:$B$732,1,FALSE)</f>
        <v>200450_2019_12_</v>
      </c>
      <c r="C149" s="1930"/>
      <c r="D149" s="1930"/>
      <c r="E149" s="1930"/>
      <c r="F149" s="1930"/>
      <c r="G149" s="1930" t="s">
        <v>1459</v>
      </c>
      <c r="H149" s="1930" t="s">
        <v>4220</v>
      </c>
    </row>
    <row r="150" spans="1:8" x14ac:dyDescent="0.25">
      <c r="A150" s="1930" t="s">
        <v>77</v>
      </c>
      <c r="B150" s="1930" t="str">
        <f>VLOOKUP(A150,' Measure INDEX'!$B$9:$B$732,1,FALSE)</f>
        <v>200500_2019_12_</v>
      </c>
      <c r="C150" s="1930"/>
      <c r="D150" s="1930"/>
      <c r="E150" s="1930"/>
      <c r="F150" s="1930"/>
      <c r="G150" s="1930" t="s">
        <v>1466</v>
      </c>
      <c r="H150" s="1930" t="s">
        <v>2189</v>
      </c>
    </row>
    <row r="151" spans="1:8" x14ac:dyDescent="0.25">
      <c r="A151" s="1930" t="s">
        <v>79</v>
      </c>
      <c r="B151" s="1930" t="str">
        <f>VLOOKUP(A151,' Measure INDEX'!$B$9:$B$732,1,FALSE)</f>
        <v>200550_2019_12_</v>
      </c>
      <c r="C151" s="1930"/>
      <c r="D151" s="1930"/>
      <c r="E151" s="1930"/>
      <c r="F151" s="1930"/>
      <c r="G151" s="1930" t="s">
        <v>1469</v>
      </c>
      <c r="H151" s="1930" t="s">
        <v>4221</v>
      </c>
    </row>
    <row r="152" spans="1:8" x14ac:dyDescent="0.25">
      <c r="A152" s="1930" t="s">
        <v>81</v>
      </c>
      <c r="B152" s="1930" t="str">
        <f>VLOOKUP(A152,' Measure INDEX'!$B$9:$B$732,1,FALSE)</f>
        <v>200600_2019_12_</v>
      </c>
      <c r="C152" s="1930"/>
      <c r="D152" s="1930"/>
      <c r="E152" s="1930"/>
      <c r="F152" s="1930"/>
      <c r="G152" s="1930" t="s">
        <v>1478</v>
      </c>
      <c r="H152" s="1930" t="s">
        <v>4222</v>
      </c>
    </row>
    <row r="153" spans="1:8" x14ac:dyDescent="0.25">
      <c r="A153" s="1930" t="s">
        <v>83</v>
      </c>
      <c r="B153" s="1930" t="str">
        <f>VLOOKUP(A153,' Measure INDEX'!$B$9:$B$732,1,FALSE)</f>
        <v>200650_2019_12_</v>
      </c>
      <c r="C153" s="1930"/>
      <c r="D153" s="1930"/>
      <c r="E153" s="1930"/>
      <c r="F153" s="1930"/>
      <c r="G153" s="1930" t="s">
        <v>1481</v>
      </c>
      <c r="H153" s="1930" t="s">
        <v>2195</v>
      </c>
    </row>
    <row r="154" spans="1:8" x14ac:dyDescent="0.25">
      <c r="A154" s="1930" t="s">
        <v>85</v>
      </c>
      <c r="B154" s="1930" t="str">
        <f>VLOOKUP(A154,' Measure INDEX'!$B$9:$B$732,1,FALSE)</f>
        <v>200700_2019_12_</v>
      </c>
      <c r="C154" s="1930"/>
      <c r="D154" s="1930"/>
      <c r="E154" s="1930"/>
      <c r="F154" s="1930"/>
      <c r="G154" s="1930" t="s">
        <v>1484</v>
      </c>
      <c r="H154" s="1930" t="s">
        <v>2197</v>
      </c>
    </row>
    <row r="155" spans="1:8" x14ac:dyDescent="0.25">
      <c r="A155" s="1930" t="s">
        <v>87</v>
      </c>
      <c r="B155" s="1930" t="str">
        <f>VLOOKUP(A155,' Measure INDEX'!$B$9:$B$732,1,FALSE)</f>
        <v>200750_2019_12_</v>
      </c>
      <c r="C155" s="1930"/>
      <c r="D155" s="1930"/>
      <c r="E155" s="1930"/>
      <c r="F155" s="1930"/>
      <c r="G155" s="1930" t="s">
        <v>1488</v>
      </c>
      <c r="H155" s="1930" t="s">
        <v>2198</v>
      </c>
    </row>
    <row r="156" spans="1:8" x14ac:dyDescent="0.25">
      <c r="A156" s="1930" t="s">
        <v>89</v>
      </c>
      <c r="B156" s="1930" t="str">
        <f>VLOOKUP(A156,' Measure INDEX'!$B$9:$B$732,1,FALSE)</f>
        <v>200800_2019_12_</v>
      </c>
      <c r="C156" s="1930"/>
      <c r="D156" s="1930"/>
      <c r="E156" s="1930"/>
      <c r="F156" s="1930"/>
      <c r="G156" s="1930" t="s">
        <v>1491</v>
      </c>
      <c r="H156" s="1930" t="s">
        <v>2215</v>
      </c>
    </row>
    <row r="157" spans="1:8" x14ac:dyDescent="0.25">
      <c r="A157" s="1930" t="s">
        <v>91</v>
      </c>
      <c r="B157" s="1930" t="str">
        <f>VLOOKUP(A157,' Measure INDEX'!$B$9:$B$732,1,FALSE)</f>
        <v>200850_2019_12_</v>
      </c>
      <c r="C157" s="1930"/>
      <c r="D157" s="1930"/>
      <c r="E157" s="1930"/>
      <c r="F157" s="1930"/>
      <c r="G157" s="1930" t="s">
        <v>1494</v>
      </c>
      <c r="H157" s="1930" t="s">
        <v>2220</v>
      </c>
    </row>
    <row r="158" spans="1:8" x14ac:dyDescent="0.25">
      <c r="A158" s="1930" t="s">
        <v>93</v>
      </c>
      <c r="B158" s="1930" t="str">
        <f>VLOOKUP(A158,' Measure INDEX'!$B$9:$B$732,1,FALSE)</f>
        <v>200900_2019_12_</v>
      </c>
      <c r="C158" s="1930"/>
      <c r="D158" s="1930"/>
      <c r="E158" s="1930"/>
      <c r="F158" s="1930"/>
      <c r="G158" s="1930" t="s">
        <v>1503</v>
      </c>
      <c r="H158" s="1930" t="s">
        <v>4223</v>
      </c>
    </row>
    <row r="159" spans="1:8" x14ac:dyDescent="0.25">
      <c r="A159" s="1930" t="s">
        <v>95</v>
      </c>
      <c r="B159" s="1930" t="str">
        <f>VLOOKUP(A159,' Measure INDEX'!$B$9:$B$732,1,FALSE)</f>
        <v>200950_2019_12_</v>
      </c>
      <c r="C159" s="1930"/>
      <c r="D159" s="1930"/>
      <c r="E159" s="1930"/>
      <c r="F159" s="1930"/>
      <c r="G159" s="1930" t="s">
        <v>1506</v>
      </c>
      <c r="H159" s="1930" t="s">
        <v>4224</v>
      </c>
    </row>
    <row r="160" spans="1:8" x14ac:dyDescent="0.25">
      <c r="A160" s="1930" t="s">
        <v>97</v>
      </c>
      <c r="B160" s="1930" t="str">
        <f>VLOOKUP(A160,' Measure INDEX'!$B$9:$B$732,1,FALSE)</f>
        <v>201000_2019_12_</v>
      </c>
      <c r="C160" s="1930"/>
      <c r="D160" s="1930"/>
      <c r="E160" s="1930"/>
      <c r="F160" s="1930"/>
      <c r="G160" s="1930" t="s">
        <v>1509</v>
      </c>
      <c r="H160" s="1930" t="s">
        <v>4225</v>
      </c>
    </row>
    <row r="161" spans="1:8" x14ac:dyDescent="0.25">
      <c r="A161" s="1930" t="s">
        <v>99</v>
      </c>
      <c r="B161" s="1930" t="str">
        <f>VLOOKUP(A161,' Measure INDEX'!$B$9:$B$732,1,FALSE)</f>
        <v>201050_2019_12_</v>
      </c>
      <c r="C161" s="1930"/>
      <c r="D161" s="1930"/>
      <c r="E161" s="1930"/>
      <c r="F161" s="1930"/>
      <c r="G161" s="1930" t="s">
        <v>1513</v>
      </c>
      <c r="H161" s="1930" t="s">
        <v>4226</v>
      </c>
    </row>
    <row r="162" spans="1:8" x14ac:dyDescent="0.25">
      <c r="A162" s="1930" t="s">
        <v>103</v>
      </c>
      <c r="B162" s="1930" t="str">
        <f>VLOOKUP(A162,' Measure INDEX'!$B$9:$B$732,1,FALSE)</f>
        <v>201100_2019_12_</v>
      </c>
      <c r="C162" s="1930"/>
      <c r="D162" s="1930"/>
      <c r="E162" s="1930"/>
      <c r="F162" s="1930"/>
      <c r="G162" s="1930" t="s">
        <v>1516</v>
      </c>
      <c r="H162" s="1930" t="s">
        <v>4227</v>
      </c>
    </row>
    <row r="163" spans="1:8" x14ac:dyDescent="0.25">
      <c r="A163" s="1930" t="s">
        <v>182</v>
      </c>
      <c r="B163" s="1930" t="str">
        <f>VLOOKUP(A163,' Measure INDEX'!$B$9:$B$732,1,FALSE)</f>
        <v>250050_2019_12_</v>
      </c>
      <c r="C163" s="1930"/>
      <c r="D163" s="1930"/>
      <c r="E163" s="1930"/>
      <c r="F163" s="1930"/>
      <c r="G163" s="1930" t="s">
        <v>1518</v>
      </c>
      <c r="H163" s="1930" t="s">
        <v>4228</v>
      </c>
    </row>
    <row r="164" spans="1:8" x14ac:dyDescent="0.25">
      <c r="A164" s="1930" t="s">
        <v>4093</v>
      </c>
      <c r="B164" s="1930" t="e">
        <f>VLOOKUP(A164,' Measure INDEX'!$B$9:$B$732,1,FALSE)</f>
        <v>#N/A</v>
      </c>
      <c r="C164" s="1930"/>
      <c r="D164" s="1930"/>
      <c r="E164" s="1930"/>
      <c r="F164" s="1930"/>
      <c r="G164" s="1930" t="s">
        <v>1524</v>
      </c>
      <c r="H164" s="1930" t="s">
        <v>4229</v>
      </c>
    </row>
    <row r="165" spans="1:8" x14ac:dyDescent="0.25">
      <c r="A165" s="1930" t="s">
        <v>4095</v>
      </c>
      <c r="B165" s="1930" t="e">
        <f>VLOOKUP(A165,' Measure INDEX'!$B$9:$B$732,1,FALSE)</f>
        <v>#N/A</v>
      </c>
      <c r="C165" s="1930"/>
      <c r="D165" s="1930"/>
      <c r="E165" s="1930"/>
      <c r="F165" s="1930"/>
      <c r="G165" s="1930" t="s">
        <v>1527</v>
      </c>
      <c r="H165" s="1930" t="s">
        <v>4230</v>
      </c>
    </row>
    <row r="166" spans="1:8" x14ac:dyDescent="0.25">
      <c r="A166" s="1930" t="s">
        <v>4098</v>
      </c>
      <c r="B166" s="1930" t="e">
        <f>VLOOKUP(A166,' Measure INDEX'!$B$9:$B$732,1,FALSE)</f>
        <v>#N/A</v>
      </c>
      <c r="C166" s="1930"/>
      <c r="D166" s="1930"/>
      <c r="E166" s="1930"/>
      <c r="F166" s="1930"/>
      <c r="G166" s="1930" t="s">
        <v>1530</v>
      </c>
      <c r="H166" s="1930" t="s">
        <v>4231</v>
      </c>
    </row>
    <row r="167" spans="1:8" x14ac:dyDescent="0.25">
      <c r="A167" s="1930" t="s">
        <v>4100</v>
      </c>
      <c r="B167" s="1930" t="e">
        <f>VLOOKUP(A167,' Measure INDEX'!$B$9:$B$732,1,FALSE)</f>
        <v>#N/A</v>
      </c>
      <c r="C167" s="1930"/>
      <c r="D167" s="1930"/>
      <c r="E167" s="1930"/>
      <c r="F167" s="1930"/>
      <c r="G167" s="1930" t="s">
        <v>1532</v>
      </c>
      <c r="H167" s="1930" t="s">
        <v>4232</v>
      </c>
    </row>
    <row r="168" spans="1:8" x14ac:dyDescent="0.25">
      <c r="A168" s="1930" t="s">
        <v>4102</v>
      </c>
      <c r="B168" s="1930" t="e">
        <f>VLOOKUP(A168,' Measure INDEX'!$B$9:$B$732,1,FALSE)</f>
        <v>#N/A</v>
      </c>
      <c r="C168" s="1930"/>
      <c r="D168" s="1930"/>
      <c r="E168" s="1930"/>
      <c r="F168" s="1930"/>
      <c r="G168" s="1930" t="s">
        <v>1534</v>
      </c>
      <c r="H168" s="1930" t="s">
        <v>4233</v>
      </c>
    </row>
    <row r="169" spans="1:8" x14ac:dyDescent="0.25">
      <c r="A169" s="1930" t="s">
        <v>4104</v>
      </c>
      <c r="B169" s="1930" t="e">
        <f>VLOOKUP(A169,' Measure INDEX'!$B$9:$B$732,1,FALSE)</f>
        <v>#N/A</v>
      </c>
      <c r="C169" s="1930"/>
      <c r="D169" s="1930"/>
      <c r="E169" s="1930"/>
      <c r="F169" s="1930"/>
      <c r="G169" s="1930" t="s">
        <v>1536</v>
      </c>
      <c r="H169" s="1930" t="s">
        <v>4234</v>
      </c>
    </row>
    <row r="170" spans="1:8" x14ac:dyDescent="0.25">
      <c r="A170" s="1930" t="s">
        <v>4106</v>
      </c>
      <c r="B170" s="1930" t="e">
        <f>VLOOKUP(A170,' Measure INDEX'!$B$9:$B$732,1,FALSE)</f>
        <v>#N/A</v>
      </c>
      <c r="C170" s="1930"/>
      <c r="D170" s="1930"/>
      <c r="E170" s="1930"/>
      <c r="F170" s="1930"/>
      <c r="G170" s="1930" t="s">
        <v>1538</v>
      </c>
      <c r="H170" s="1930" t="s">
        <v>4235</v>
      </c>
    </row>
    <row r="171" spans="1:8" x14ac:dyDescent="0.25">
      <c r="A171" s="1930" t="s">
        <v>4109</v>
      </c>
      <c r="B171" s="1930" t="e">
        <f>VLOOKUP(A171,' Measure INDEX'!$B$9:$B$732,1,FALSE)</f>
        <v>#N/A</v>
      </c>
      <c r="C171" s="1930"/>
      <c r="D171" s="1930"/>
      <c r="E171" s="1930"/>
      <c r="F171" s="1930"/>
      <c r="G171" s="1930" t="s">
        <v>1540</v>
      </c>
      <c r="H171" s="1930" t="s">
        <v>4236</v>
      </c>
    </row>
    <row r="172" spans="1:8" x14ac:dyDescent="0.25">
      <c r="A172" s="1930" t="s">
        <v>4112</v>
      </c>
      <c r="B172" s="1930" t="e">
        <f>VLOOKUP(A172,' Measure INDEX'!$B$9:$B$732,1,FALSE)</f>
        <v>#N/A</v>
      </c>
      <c r="C172" s="1930"/>
      <c r="D172" s="1930"/>
      <c r="E172" s="1930"/>
      <c r="F172" s="1930"/>
      <c r="G172" s="1930" t="s">
        <v>1542</v>
      </c>
      <c r="H172" s="1930" t="s">
        <v>4237</v>
      </c>
    </row>
    <row r="173" spans="1:8" x14ac:dyDescent="0.25">
      <c r="A173" s="1930" t="s">
        <v>4114</v>
      </c>
      <c r="B173" s="1930" t="e">
        <f>VLOOKUP(A173,' Measure INDEX'!$B$9:$B$732,1,FALSE)</f>
        <v>#N/A</v>
      </c>
      <c r="C173" s="1930"/>
      <c r="D173" s="1930"/>
      <c r="E173" s="1930"/>
      <c r="F173" s="1930"/>
      <c r="G173" s="1930" t="s">
        <v>1544</v>
      </c>
      <c r="H173" s="1930" t="s">
        <v>4238</v>
      </c>
    </row>
    <row r="174" spans="1:8" x14ac:dyDescent="0.25">
      <c r="A174" s="1930" t="s">
        <v>4116</v>
      </c>
      <c r="B174" s="1930" t="e">
        <f>VLOOKUP(A174,' Measure INDEX'!$B$9:$B$732,1,FALSE)</f>
        <v>#N/A</v>
      </c>
      <c r="C174" s="1930"/>
      <c r="D174" s="1930"/>
      <c r="E174" s="1930"/>
      <c r="F174" s="1930"/>
      <c r="G174" s="1930" t="s">
        <v>1546</v>
      </c>
      <c r="H174" s="1930" t="s">
        <v>4239</v>
      </c>
    </row>
    <row r="175" spans="1:8" x14ac:dyDescent="0.25">
      <c r="A175" s="1930" t="s">
        <v>4118</v>
      </c>
      <c r="B175" s="1930" t="e">
        <f>VLOOKUP(A175,' Measure INDEX'!$B$9:$B$732,1,FALSE)</f>
        <v>#N/A</v>
      </c>
      <c r="C175" s="1930"/>
      <c r="D175" s="1930"/>
      <c r="E175" s="1930"/>
      <c r="F175" s="1930"/>
      <c r="G175" s="1930" t="s">
        <v>1548</v>
      </c>
      <c r="H175" s="1930" t="s">
        <v>4240</v>
      </c>
    </row>
    <row r="176" spans="1:8" x14ac:dyDescent="0.25">
      <c r="A176" s="1930" t="s">
        <v>4120</v>
      </c>
      <c r="B176" s="1930" t="e">
        <f>VLOOKUP(A176,' Measure INDEX'!$B$9:$B$732,1,FALSE)</f>
        <v>#N/A</v>
      </c>
      <c r="C176" s="1930"/>
      <c r="D176" s="1930"/>
      <c r="E176" s="1930"/>
      <c r="F176" s="1930"/>
      <c r="G176" s="1930"/>
      <c r="H176" s="1930" t="s">
        <v>4241</v>
      </c>
    </row>
    <row r="177" spans="1:8" x14ac:dyDescent="0.25">
      <c r="A177" s="1930" t="s">
        <v>4122</v>
      </c>
      <c r="B177" s="1930" t="e">
        <f>VLOOKUP(A177,' Measure INDEX'!$B$9:$B$732,1,FALSE)</f>
        <v>#N/A</v>
      </c>
      <c r="C177" s="1930"/>
      <c r="D177" s="1930"/>
      <c r="E177" s="1930"/>
      <c r="F177" s="1930"/>
      <c r="G177" s="1930"/>
      <c r="H177" s="1930" t="s">
        <v>4242</v>
      </c>
    </row>
    <row r="178" spans="1:8" x14ac:dyDescent="0.25">
      <c r="A178" s="1930" t="s">
        <v>386</v>
      </c>
      <c r="B178" s="1930" t="str">
        <f>VLOOKUP(A178,' Measure INDEX'!$B$9:$B$732,1,FALSE)</f>
        <v>250600_2019_12_</v>
      </c>
      <c r="C178" s="1930"/>
      <c r="D178" s="1930"/>
      <c r="E178" s="1930"/>
      <c r="F178" s="1930"/>
      <c r="G178" s="1930"/>
      <c r="H178" s="1930" t="s">
        <v>4243</v>
      </c>
    </row>
    <row r="179" spans="1:8" x14ac:dyDescent="0.25">
      <c r="A179" s="1930" t="s">
        <v>389</v>
      </c>
      <c r="B179" s="1930" t="str">
        <f>VLOOKUP(A179,' Measure INDEX'!$B$9:$B$732,1,FALSE)</f>
        <v>250650_2019_12_</v>
      </c>
      <c r="C179" s="1930"/>
      <c r="D179" s="1930"/>
      <c r="E179" s="1930"/>
      <c r="F179" s="1930"/>
      <c r="G179" s="1930"/>
      <c r="H179" s="1930" t="s">
        <v>4244</v>
      </c>
    </row>
    <row r="180" spans="1:8" x14ac:dyDescent="0.25">
      <c r="A180" s="1930" t="s">
        <v>391</v>
      </c>
      <c r="B180" s="1930" t="str">
        <f>VLOOKUP(A180,' Measure INDEX'!$B$9:$B$732,1,FALSE)</f>
        <v>250700_2019_12_</v>
      </c>
      <c r="C180" s="1930"/>
      <c r="D180" s="1930"/>
      <c r="E180" s="1930"/>
      <c r="F180" s="1930"/>
      <c r="G180" s="1930"/>
      <c r="H180" s="1930" t="s">
        <v>4245</v>
      </c>
    </row>
    <row r="181" spans="1:8" x14ac:dyDescent="0.25">
      <c r="A181" s="1930" t="s">
        <v>393</v>
      </c>
      <c r="B181" s="1930" t="str">
        <f>VLOOKUP(A181,' Measure INDEX'!$B$9:$B$732,1,FALSE)</f>
        <v>250750_2019_12_</v>
      </c>
      <c r="C181" s="1930"/>
      <c r="D181" s="1930"/>
      <c r="E181" s="1930"/>
      <c r="F181" s="1930"/>
      <c r="G181" s="1930"/>
      <c r="H181" s="1930" t="s">
        <v>4246</v>
      </c>
    </row>
    <row r="182" spans="1:8" x14ac:dyDescent="0.25">
      <c r="A182" s="1930" t="s">
        <v>395</v>
      </c>
      <c r="B182" s="1930" t="str">
        <f>VLOOKUP(A182,' Measure INDEX'!$B$9:$B$732,1,FALSE)</f>
        <v>250800_2019_12_</v>
      </c>
      <c r="C182" s="1930"/>
      <c r="D182" s="1930"/>
      <c r="E182" s="1930"/>
      <c r="F182" s="1930"/>
      <c r="G182" s="1930"/>
      <c r="H182" s="1930" t="s">
        <v>2340</v>
      </c>
    </row>
    <row r="183" spans="1:8" x14ac:dyDescent="0.25">
      <c r="A183" s="1930" t="s">
        <v>397</v>
      </c>
      <c r="B183" s="1930" t="str">
        <f>VLOOKUP(A183,' Measure INDEX'!$B$9:$B$732,1,FALSE)</f>
        <v>250850_2019_12_</v>
      </c>
      <c r="C183" s="1930"/>
      <c r="D183" s="1930"/>
      <c r="E183" s="1930"/>
      <c r="F183" s="1930"/>
      <c r="G183" s="1930"/>
      <c r="H183" s="1930" t="s">
        <v>2343</v>
      </c>
    </row>
    <row r="184" spans="1:8" x14ac:dyDescent="0.25">
      <c r="A184" s="1930" t="s">
        <v>399</v>
      </c>
      <c r="B184" s="1930" t="str">
        <f>VLOOKUP(A184,' Measure INDEX'!$B$9:$B$732,1,FALSE)</f>
        <v>250900_2019_12_</v>
      </c>
      <c r="C184" s="1930"/>
      <c r="D184" s="1930"/>
      <c r="E184" s="1930"/>
      <c r="F184" s="1930"/>
      <c r="G184" s="1930"/>
      <c r="H184" s="1930" t="s">
        <v>2345</v>
      </c>
    </row>
    <row r="185" spans="1:8" x14ac:dyDescent="0.25">
      <c r="A185" s="1930" t="s">
        <v>401</v>
      </c>
      <c r="B185" s="1930" t="str">
        <f>VLOOKUP(A185,' Measure INDEX'!$B$9:$B$732,1,FALSE)</f>
        <v>250950_2019_12_</v>
      </c>
      <c r="C185" s="1930"/>
      <c r="D185" s="1930"/>
      <c r="E185" s="1930"/>
      <c r="F185" s="1930"/>
      <c r="G185" s="1930"/>
      <c r="H185" s="1930" t="s">
        <v>2347</v>
      </c>
    </row>
    <row r="186" spans="1:8" x14ac:dyDescent="0.25">
      <c r="A186" s="1930" t="s">
        <v>403</v>
      </c>
      <c r="B186" s="1930" t="str">
        <f>VLOOKUP(A186,' Measure INDEX'!$B$9:$B$732,1,FALSE)</f>
        <v>251000_2019_12_</v>
      </c>
      <c r="C186" s="1930"/>
      <c r="D186" s="1930"/>
      <c r="E186" s="1930"/>
      <c r="F186" s="1930"/>
      <c r="G186" s="1930"/>
      <c r="H186" s="1930" t="s">
        <v>2349</v>
      </c>
    </row>
    <row r="187" spans="1:8" x14ac:dyDescent="0.25">
      <c r="A187" s="1930" t="s">
        <v>405</v>
      </c>
      <c r="B187" s="1930" t="str">
        <f>VLOOKUP(A187,' Measure INDEX'!$B$9:$B$732,1,FALSE)</f>
        <v>251001_2020_12_</v>
      </c>
      <c r="C187" s="1930"/>
      <c r="D187" s="1930"/>
      <c r="E187" s="1930"/>
      <c r="F187" s="1930"/>
      <c r="G187" s="1930"/>
      <c r="H187" s="1930" t="s">
        <v>2351</v>
      </c>
    </row>
    <row r="188" spans="1:8" x14ac:dyDescent="0.25">
      <c r="A188" s="1930" t="s">
        <v>436</v>
      </c>
      <c r="B188" s="1930" t="str">
        <f>VLOOKUP(A188,' Measure INDEX'!$B$9:$B$732,1,FALSE)</f>
        <v>251050_2019_12_</v>
      </c>
      <c r="C188" s="1930"/>
      <c r="D188" s="1930"/>
      <c r="E188" s="1930"/>
      <c r="F188" s="1930"/>
      <c r="G188" s="1930"/>
      <c r="H188" s="1930" t="s">
        <v>2353</v>
      </c>
    </row>
    <row r="189" spans="1:8" x14ac:dyDescent="0.25">
      <c r="A189" s="1930" t="s">
        <v>456</v>
      </c>
      <c r="B189" s="1930" t="str">
        <f>VLOOKUP(A189,' Measure INDEX'!$B$9:$B$732,1,FALSE)</f>
        <v>251100_2019_12_</v>
      </c>
      <c r="C189" s="1930"/>
      <c r="D189" s="1930"/>
      <c r="E189" s="1930"/>
      <c r="F189" s="1930"/>
      <c r="G189" s="1930"/>
      <c r="H189" s="1930" t="s">
        <v>2355</v>
      </c>
    </row>
    <row r="190" spans="1:8" x14ac:dyDescent="0.25">
      <c r="A190" s="1930" t="s">
        <v>477</v>
      </c>
      <c r="B190" s="1930" t="str">
        <f>VLOOKUP(A190,' Measure INDEX'!$B$9:$B$732,1,FALSE)</f>
        <v>251150_2019_12_</v>
      </c>
      <c r="C190" s="1930"/>
      <c r="D190" s="1930"/>
      <c r="E190" s="1930"/>
      <c r="F190" s="1930"/>
      <c r="G190" s="1930"/>
      <c r="H190" s="1930" t="s">
        <v>2357</v>
      </c>
    </row>
    <row r="191" spans="1:8" x14ac:dyDescent="0.25">
      <c r="A191" s="1930" t="s">
        <v>479</v>
      </c>
      <c r="B191" s="1930" t="str">
        <f>VLOOKUP(A191,' Measure INDEX'!$B$9:$B$732,1,FALSE)</f>
        <v>251200_2019_12_</v>
      </c>
      <c r="C191" s="1930"/>
      <c r="D191" s="1930"/>
      <c r="E191" s="1930"/>
      <c r="F191" s="1930"/>
      <c r="G191" s="1930"/>
      <c r="H191" s="1930" t="s">
        <v>2359</v>
      </c>
    </row>
    <row r="192" spans="1:8" x14ac:dyDescent="0.25">
      <c r="A192" s="1930" t="s">
        <v>508</v>
      </c>
      <c r="B192" s="1930" t="str">
        <f>VLOOKUP(A192,' Measure INDEX'!$B$9:$B$732,1,FALSE)</f>
        <v>300050_2019_12_</v>
      </c>
      <c r="C192" s="1930"/>
      <c r="D192" s="1930"/>
      <c r="E192" s="1930"/>
      <c r="F192" s="1930"/>
      <c r="G192" s="1930"/>
      <c r="H192" s="1930" t="s">
        <v>2361</v>
      </c>
    </row>
    <row r="193" spans="1:8" x14ac:dyDescent="0.25">
      <c r="A193" s="1930" t="s">
        <v>511</v>
      </c>
      <c r="B193" s="1930" t="str">
        <f>VLOOKUP(A193,' Measure INDEX'!$B$9:$B$732,1,FALSE)</f>
        <v>300051_2020_12_</v>
      </c>
      <c r="C193" s="1930"/>
      <c r="D193" s="1930"/>
      <c r="E193" s="1930"/>
      <c r="F193" s="1930"/>
      <c r="G193" s="1930"/>
      <c r="H193" s="1930" t="s">
        <v>2363</v>
      </c>
    </row>
    <row r="194" spans="1:8" x14ac:dyDescent="0.25">
      <c r="A194" s="1930" t="s">
        <v>4096</v>
      </c>
      <c r="B194" s="1930" t="e">
        <f>VLOOKUP(A194,' Measure INDEX'!$B$9:$B$732,1,FALSE)</f>
        <v>#N/A</v>
      </c>
      <c r="C194" s="1930"/>
      <c r="D194" s="1930"/>
      <c r="E194" s="1930"/>
      <c r="F194" s="1930"/>
      <c r="G194" s="1930"/>
      <c r="H194" s="1930"/>
    </row>
    <row r="195" spans="1:8" x14ac:dyDescent="0.25">
      <c r="A195" s="1930" t="s">
        <v>517</v>
      </c>
      <c r="B195" s="1930" t="str">
        <f>VLOOKUP(A195,' Measure INDEX'!$B$9:$B$732,1,FALSE)</f>
        <v>300100_2019_12_</v>
      </c>
      <c r="C195" s="1930"/>
      <c r="D195" s="1930"/>
      <c r="E195" s="1930"/>
      <c r="F195" s="1930"/>
      <c r="G195" s="1930"/>
      <c r="H195" s="1930"/>
    </row>
    <row r="196" spans="1:8" x14ac:dyDescent="0.25">
      <c r="A196" s="1930" t="s">
        <v>519</v>
      </c>
      <c r="B196" s="1930" t="str">
        <f>VLOOKUP(A196,' Measure INDEX'!$B$9:$B$732,1,FALSE)</f>
        <v>300101_2019_12_</v>
      </c>
      <c r="C196" s="1930"/>
      <c r="D196" s="1930"/>
      <c r="E196" s="1930"/>
      <c r="F196" s="1930"/>
      <c r="G196" s="1930"/>
      <c r="H196" s="1930"/>
    </row>
    <row r="197" spans="1:8" x14ac:dyDescent="0.25">
      <c r="A197" s="1930" t="s">
        <v>548</v>
      </c>
      <c r="B197" s="1930" t="str">
        <f>VLOOKUP(A197,' Measure INDEX'!$B$9:$B$732,1,FALSE)</f>
        <v>300150_2019_12_</v>
      </c>
      <c r="C197" s="1930"/>
      <c r="D197" s="1930"/>
      <c r="E197" s="1930"/>
      <c r="F197" s="1930"/>
      <c r="G197" s="1930"/>
      <c r="H197" s="1930"/>
    </row>
    <row r="198" spans="1:8" x14ac:dyDescent="0.25">
      <c r="A198" s="1930" t="s">
        <v>549</v>
      </c>
      <c r="B198" s="1930" t="str">
        <f>VLOOKUP(A198,' Measure INDEX'!$B$9:$B$732,1,FALSE)</f>
        <v>300200_2019_12_</v>
      </c>
      <c r="C198" s="1930"/>
      <c r="D198" s="1930"/>
      <c r="E198" s="1930"/>
      <c r="F198" s="1930"/>
      <c r="G198" s="1930"/>
      <c r="H198" s="1930"/>
    </row>
    <row r="199" spans="1:8" x14ac:dyDescent="0.25">
      <c r="A199" s="1930" t="s">
        <v>550</v>
      </c>
      <c r="B199" s="1930" t="str">
        <f>VLOOKUP(A199,' Measure INDEX'!$B$9:$B$732,1,FALSE)</f>
        <v>300250_2019_12_</v>
      </c>
      <c r="C199" s="1930"/>
      <c r="D199" s="1930"/>
      <c r="E199" s="1930"/>
      <c r="F199" s="1930"/>
      <c r="G199" s="1930"/>
      <c r="H199" s="1930"/>
    </row>
    <row r="200" spans="1:8" x14ac:dyDescent="0.25">
      <c r="A200" s="1930" t="s">
        <v>551</v>
      </c>
      <c r="B200" s="1930" t="str">
        <f>VLOOKUP(A200,' Measure INDEX'!$B$9:$B$732,1,FALSE)</f>
        <v>300251_2020_12_</v>
      </c>
      <c r="C200" s="1930"/>
      <c r="D200" s="1930"/>
      <c r="E200" s="1930"/>
      <c r="F200" s="1930"/>
      <c r="G200" s="1930"/>
      <c r="H200" s="1930"/>
    </row>
    <row r="201" spans="1:8" x14ac:dyDescent="0.25">
      <c r="A201" s="1930" t="s">
        <v>553</v>
      </c>
      <c r="B201" s="1930" t="str">
        <f>VLOOKUP(A201,' Measure INDEX'!$B$9:$B$732,1,FALSE)</f>
        <v>300260_2020_12_</v>
      </c>
      <c r="C201" s="1930"/>
      <c r="D201" s="1930"/>
      <c r="E201" s="1930"/>
      <c r="F201" s="1930"/>
      <c r="G201" s="1930"/>
      <c r="H201" s="1930"/>
    </row>
    <row r="202" spans="1:8" x14ac:dyDescent="0.25">
      <c r="A202" s="1930" t="s">
        <v>555</v>
      </c>
      <c r="B202" s="1930" t="str">
        <f>VLOOKUP(A202,' Measure INDEX'!$B$9:$B$732,1,FALSE)</f>
        <v>300300_2019_12_</v>
      </c>
      <c r="C202" s="1930"/>
      <c r="D202" s="1930"/>
      <c r="E202" s="1930"/>
      <c r="F202" s="1930"/>
      <c r="G202" s="1930"/>
      <c r="H202" s="1930"/>
    </row>
    <row r="203" spans="1:8" x14ac:dyDescent="0.25">
      <c r="A203" s="1930" t="s">
        <v>556</v>
      </c>
      <c r="B203" s="1930" t="str">
        <f>VLOOKUP(A203,' Measure INDEX'!$B$9:$B$732,1,FALSE)</f>
        <v>300350_2019_12_</v>
      </c>
      <c r="C203" s="1930"/>
      <c r="D203" s="1930"/>
      <c r="E203" s="1930"/>
      <c r="F203" s="1930"/>
      <c r="G203" s="1930"/>
      <c r="H203" s="1930"/>
    </row>
    <row r="204" spans="1:8" x14ac:dyDescent="0.25">
      <c r="A204" s="1930" t="s">
        <v>557</v>
      </c>
      <c r="B204" s="1930" t="str">
        <f>VLOOKUP(A204,' Measure INDEX'!$B$9:$B$732,1,FALSE)</f>
        <v>300400_2019_12_</v>
      </c>
      <c r="C204" s="1930"/>
      <c r="D204" s="1930"/>
      <c r="E204" s="1930"/>
      <c r="F204" s="1930"/>
      <c r="G204" s="1930"/>
      <c r="H204" s="1930"/>
    </row>
    <row r="205" spans="1:8" x14ac:dyDescent="0.25">
      <c r="A205" s="1930" t="s">
        <v>558</v>
      </c>
      <c r="B205" s="1930" t="str">
        <f>VLOOKUP(A205,' Measure INDEX'!$B$9:$B$732,1,FALSE)</f>
        <v>300401_2020_12_</v>
      </c>
      <c r="C205" s="1930"/>
      <c r="D205" s="1930"/>
      <c r="E205" s="1930"/>
      <c r="F205" s="1930"/>
      <c r="G205" s="1930"/>
      <c r="H205" s="1930"/>
    </row>
    <row r="206" spans="1:8" x14ac:dyDescent="0.25">
      <c r="A206" s="1930" t="s">
        <v>560</v>
      </c>
      <c r="B206" s="1930" t="str">
        <f>VLOOKUP(A206,' Measure INDEX'!$B$9:$B$732,1,FALSE)</f>
        <v>300402_2020_12_</v>
      </c>
      <c r="C206" s="1930"/>
      <c r="D206" s="1930"/>
      <c r="E206" s="1930"/>
      <c r="F206" s="1930"/>
      <c r="G206" s="1930"/>
      <c r="H206" s="1930"/>
    </row>
    <row r="207" spans="1:8" x14ac:dyDescent="0.25">
      <c r="A207" s="1930" t="s">
        <v>562</v>
      </c>
      <c r="B207" s="1930" t="str">
        <f>VLOOKUP(A207,' Measure INDEX'!$B$9:$B$732,1,FALSE)</f>
        <v>300403_2020_12_</v>
      </c>
      <c r="C207" s="1930"/>
      <c r="D207" s="1930"/>
      <c r="E207" s="1930"/>
      <c r="F207" s="1930"/>
      <c r="G207" s="1930"/>
      <c r="H207" s="1930"/>
    </row>
    <row r="208" spans="1:8" x14ac:dyDescent="0.25">
      <c r="A208" s="1930" t="s">
        <v>607</v>
      </c>
      <c r="B208" s="1930" t="str">
        <f>VLOOKUP(A208,' Measure INDEX'!$B$9:$B$732,1,FALSE)</f>
        <v>300450_2019_12_</v>
      </c>
      <c r="C208" s="1930"/>
      <c r="D208" s="1930"/>
      <c r="E208" s="1930"/>
      <c r="F208" s="1930"/>
      <c r="G208" s="1930"/>
      <c r="H208" s="1930"/>
    </row>
    <row r="209" spans="1:2" x14ac:dyDescent="0.25">
      <c r="A209" s="1930" t="s">
        <v>609</v>
      </c>
      <c r="B209" s="1930" t="str">
        <f>VLOOKUP(A209,' Measure INDEX'!$B$9:$B$732,1,FALSE)</f>
        <v>300460_2020_12_</v>
      </c>
    </row>
    <row r="210" spans="1:2" x14ac:dyDescent="0.25">
      <c r="A210" s="1930" t="s">
        <v>611</v>
      </c>
      <c r="B210" s="1930" t="str">
        <f>VLOOKUP(A210,' Measure INDEX'!$B$9:$B$732,1,FALSE)</f>
        <v>300500_2019_12_</v>
      </c>
    </row>
    <row r="211" spans="1:2" x14ac:dyDescent="0.25">
      <c r="A211" s="1930" t="s">
        <v>612</v>
      </c>
      <c r="B211" s="1930" t="str">
        <f>VLOOKUP(A211,' Measure INDEX'!$B$9:$B$732,1,FALSE)</f>
        <v>300501_2020_12_</v>
      </c>
    </row>
    <row r="212" spans="1:2" x14ac:dyDescent="0.25">
      <c r="A212" s="1930" t="s">
        <v>664</v>
      </c>
      <c r="B212" s="1930" t="str">
        <f>VLOOKUP(A212,' Measure INDEX'!$B$9:$B$732,1,FALSE)</f>
        <v>300550_2019_12_</v>
      </c>
    </row>
    <row r="213" spans="1:2" x14ac:dyDescent="0.25">
      <c r="A213" s="1930" t="s">
        <v>666</v>
      </c>
      <c r="B213" s="1930" t="str">
        <f>VLOOKUP(A213,' Measure INDEX'!$B$9:$B$732,1,FALSE)</f>
        <v>300560_2020_12_</v>
      </c>
    </row>
    <row r="214" spans="1:2" x14ac:dyDescent="0.25">
      <c r="A214" s="1930" t="s">
        <v>668</v>
      </c>
      <c r="B214" s="1930" t="str">
        <f>VLOOKUP(A214,' Measure INDEX'!$B$9:$B$732,1,FALSE)</f>
        <v>300600_2019_12_</v>
      </c>
    </row>
    <row r="215" spans="1:2" x14ac:dyDescent="0.25">
      <c r="A215" s="1930" t="s">
        <v>669</v>
      </c>
      <c r="B215" s="1930" t="str">
        <f>VLOOKUP(A215,' Measure INDEX'!$B$9:$B$732,1,FALSE)</f>
        <v>300601_2020_12_</v>
      </c>
    </row>
    <row r="216" spans="1:2" x14ac:dyDescent="0.25">
      <c r="A216" s="1930" t="s">
        <v>683</v>
      </c>
      <c r="B216" s="1930" t="str">
        <f>VLOOKUP(A216,' Measure INDEX'!$B$9:$B$732,1,FALSE)</f>
        <v>300650_2019_12_</v>
      </c>
    </row>
    <row r="217" spans="1:2" x14ac:dyDescent="0.25">
      <c r="A217" s="1930" t="s">
        <v>685</v>
      </c>
      <c r="B217" s="1930" t="str">
        <f>VLOOKUP(A217,' Measure INDEX'!$B$9:$B$732,1,FALSE)</f>
        <v>300660_2020_12_</v>
      </c>
    </row>
    <row r="218" spans="1:2" x14ac:dyDescent="0.25">
      <c r="A218" s="1930" t="s">
        <v>687</v>
      </c>
      <c r="B218" s="1930" t="str">
        <f>VLOOKUP(A218,' Measure INDEX'!$B$9:$B$732,1,FALSE)</f>
        <v>300700_2019_12_</v>
      </c>
    </row>
    <row r="219" spans="1:2" x14ac:dyDescent="0.25">
      <c r="A219" s="1930" t="s">
        <v>4137</v>
      </c>
      <c r="B219" s="1930" t="e">
        <f>VLOOKUP(A219,' Measure INDEX'!$B$9:$B$732,1,FALSE)</f>
        <v>#N/A</v>
      </c>
    </row>
    <row r="220" spans="1:2" x14ac:dyDescent="0.25">
      <c r="A220" s="1930" t="s">
        <v>717</v>
      </c>
      <c r="B220" s="1930" t="str">
        <f>VLOOKUP(A220,' Measure INDEX'!$B$9:$B$732,1,FALSE)</f>
        <v>300750_2019_12_</v>
      </c>
    </row>
    <row r="221" spans="1:2" x14ac:dyDescent="0.25">
      <c r="A221" s="1930" t="s">
        <v>719</v>
      </c>
      <c r="B221" s="1930" t="str">
        <f>VLOOKUP(A221,' Measure INDEX'!$B$9:$B$732,1,FALSE)</f>
        <v>300760_2020_12_</v>
      </c>
    </row>
    <row r="222" spans="1:2" x14ac:dyDescent="0.25">
      <c r="A222" s="1930" t="s">
        <v>721</v>
      </c>
      <c r="B222" s="1930" t="str">
        <f>VLOOKUP(A222,' Measure INDEX'!$B$9:$B$732,1,FALSE)</f>
        <v>300800_2019_12_</v>
      </c>
    </row>
    <row r="223" spans="1:2" x14ac:dyDescent="0.25">
      <c r="A223" s="1930" t="s">
        <v>722</v>
      </c>
      <c r="B223" s="1930" t="str">
        <f>VLOOKUP(A223,' Measure INDEX'!$B$9:$B$732,1,FALSE)</f>
        <v>300801_2020_12_</v>
      </c>
    </row>
    <row r="224" spans="1:2" x14ac:dyDescent="0.25">
      <c r="A224" s="1930" t="s">
        <v>762</v>
      </c>
      <c r="B224" s="1930" t="str">
        <f>VLOOKUP(A224,' Measure INDEX'!$B$9:$B$732,1,FALSE)</f>
        <v>300850_2019_12_</v>
      </c>
    </row>
    <row r="225" spans="1:2" x14ac:dyDescent="0.25">
      <c r="A225" s="1930" t="s">
        <v>765</v>
      </c>
      <c r="B225" s="1930" t="str">
        <f>VLOOKUP(A225,' Measure INDEX'!$B$9:$B$732,1,FALSE)</f>
        <v>300851_2020_12_</v>
      </c>
    </row>
    <row r="226" spans="1:2" x14ac:dyDescent="0.25">
      <c r="A226" s="1930" t="s">
        <v>767</v>
      </c>
      <c r="B226" s="1930" t="str">
        <f>VLOOKUP(A226,' Measure INDEX'!$B$9:$B$732,1,FALSE)</f>
        <v>300900_2019_12_</v>
      </c>
    </row>
    <row r="227" spans="1:2" x14ac:dyDescent="0.25">
      <c r="A227" s="1930" t="s">
        <v>769</v>
      </c>
      <c r="B227" s="1930" t="str">
        <f>VLOOKUP(A227,' Measure INDEX'!$B$9:$B$732,1,FALSE)</f>
        <v>300950_2019_12_</v>
      </c>
    </row>
    <row r="228" spans="1:2" x14ac:dyDescent="0.25">
      <c r="A228" s="1930" t="s">
        <v>771</v>
      </c>
      <c r="B228" s="1930" t="str">
        <f>VLOOKUP(A228,' Measure INDEX'!$B$9:$B$732,1,FALSE)</f>
        <v>300951_2020_12_</v>
      </c>
    </row>
    <row r="229" spans="1:2" x14ac:dyDescent="0.25">
      <c r="A229" s="1930" t="s">
        <v>773</v>
      </c>
      <c r="B229" s="1930" t="str">
        <f>VLOOKUP(A229,' Measure INDEX'!$B$9:$B$732,1,FALSE)</f>
        <v>301000_2019_12_</v>
      </c>
    </row>
    <row r="230" spans="1:2" x14ac:dyDescent="0.25">
      <c r="A230" s="1930" t="s">
        <v>775</v>
      </c>
      <c r="B230" s="1930" t="str">
        <f>VLOOKUP(A230,' Measure INDEX'!$B$9:$B$732,1,FALSE)</f>
        <v>301050_2019_12_</v>
      </c>
    </row>
    <row r="231" spans="1:2" x14ac:dyDescent="0.25">
      <c r="A231" s="1930" t="s">
        <v>777</v>
      </c>
      <c r="B231" s="1930" t="str">
        <f>VLOOKUP(A231,' Measure INDEX'!$B$9:$B$732,1,FALSE)</f>
        <v>301051_2020_12_</v>
      </c>
    </row>
    <row r="232" spans="1:2" x14ac:dyDescent="0.25">
      <c r="A232" s="1930" t="s">
        <v>779</v>
      </c>
      <c r="B232" s="1930" t="str">
        <f>VLOOKUP(A232,' Measure INDEX'!$B$9:$B$732,1,FALSE)</f>
        <v>301100_2019_12_</v>
      </c>
    </row>
    <row r="233" spans="1:2" x14ac:dyDescent="0.25">
      <c r="A233" s="1930" t="s">
        <v>4158</v>
      </c>
      <c r="B233" s="1930" t="e">
        <f>VLOOKUP(A233,' Measure INDEX'!$B$9:$B$732,1,FALSE)</f>
        <v>#N/A</v>
      </c>
    </row>
    <row r="234" spans="1:2" x14ac:dyDescent="0.25">
      <c r="A234" s="1930" t="s">
        <v>4091</v>
      </c>
      <c r="B234" s="1930" t="e">
        <f>VLOOKUP(A234,' Measure INDEX'!$B$9:$B$732,1,FALSE)</f>
        <v>#N/A</v>
      </c>
    </row>
    <row r="235" spans="1:2" x14ac:dyDescent="0.25">
      <c r="A235" s="1930" t="s">
        <v>4094</v>
      </c>
      <c r="B235" s="1930" t="e">
        <f>VLOOKUP(A235,' Measure INDEX'!$B$9:$B$732,1,FALSE)</f>
        <v>#N/A</v>
      </c>
    </row>
    <row r="236" spans="1:2" x14ac:dyDescent="0.25">
      <c r="A236" s="1930" t="s">
        <v>4097</v>
      </c>
      <c r="B236" s="1930" t="e">
        <f>VLOOKUP(A236,' Measure INDEX'!$B$9:$B$732,1,FALSE)</f>
        <v>#N/A</v>
      </c>
    </row>
    <row r="237" spans="1:2" x14ac:dyDescent="0.25">
      <c r="A237" s="1930" t="s">
        <v>4099</v>
      </c>
      <c r="B237" s="1930" t="e">
        <f>VLOOKUP(A237,' Measure INDEX'!$B$9:$B$732,1,FALSE)</f>
        <v>#N/A</v>
      </c>
    </row>
    <row r="238" spans="1:2" x14ac:dyDescent="0.25">
      <c r="A238" s="1930" t="s">
        <v>4101</v>
      </c>
      <c r="B238" s="1930" t="e">
        <f>VLOOKUP(A238,' Measure INDEX'!$B$9:$B$732,1,FALSE)</f>
        <v>#N/A</v>
      </c>
    </row>
    <row r="239" spans="1:2" x14ac:dyDescent="0.25">
      <c r="A239" s="1930" t="s">
        <v>4103</v>
      </c>
      <c r="B239" s="1930" t="e">
        <f>VLOOKUP(A239,' Measure INDEX'!$B$9:$B$732,1,FALSE)</f>
        <v>#N/A</v>
      </c>
    </row>
    <row r="240" spans="1:2" x14ac:dyDescent="0.25">
      <c r="A240" s="1930" t="s">
        <v>4105</v>
      </c>
      <c r="B240" s="1930" t="e">
        <f>VLOOKUP(A240,' Measure INDEX'!$B$9:$B$732,1,FALSE)</f>
        <v>#N/A</v>
      </c>
    </row>
    <row r="241" spans="1:2" x14ac:dyDescent="0.25">
      <c r="A241" s="1930" t="s">
        <v>4107</v>
      </c>
      <c r="B241" s="1930" t="e">
        <f>VLOOKUP(A241,' Measure INDEX'!$B$9:$B$732,1,FALSE)</f>
        <v>#N/A</v>
      </c>
    </row>
    <row r="242" spans="1:2" x14ac:dyDescent="0.25">
      <c r="A242" s="1930" t="s">
        <v>4110</v>
      </c>
      <c r="B242" s="1930" t="e">
        <f>VLOOKUP(A242,' Measure INDEX'!$B$9:$B$732,1,FALSE)</f>
        <v>#N/A</v>
      </c>
    </row>
    <row r="243" spans="1:2" x14ac:dyDescent="0.25">
      <c r="A243" s="1930" t="s">
        <v>4113</v>
      </c>
      <c r="B243" s="1930" t="e">
        <f>VLOOKUP(A243,' Measure INDEX'!$B$9:$B$732,1,FALSE)</f>
        <v>#N/A</v>
      </c>
    </row>
    <row r="244" spans="1:2" x14ac:dyDescent="0.25">
      <c r="A244" s="1930" t="s">
        <v>4115</v>
      </c>
      <c r="B244" s="1930" t="e">
        <f>VLOOKUP(A244,' Measure INDEX'!$B$9:$B$732,1,FALSE)</f>
        <v>#N/A</v>
      </c>
    </row>
    <row r="245" spans="1:2" x14ac:dyDescent="0.25">
      <c r="A245" s="1930" t="s">
        <v>4117</v>
      </c>
      <c r="B245" s="1930" t="e">
        <f>VLOOKUP(A245,' Measure INDEX'!$B$9:$B$732,1,FALSE)</f>
        <v>#N/A</v>
      </c>
    </row>
    <row r="246" spans="1:2" x14ac:dyDescent="0.25">
      <c r="A246" s="1930" t="s">
        <v>4119</v>
      </c>
      <c r="B246" s="1930" t="e">
        <f>VLOOKUP(A246,' Measure INDEX'!$B$9:$B$732,1,FALSE)</f>
        <v>#N/A</v>
      </c>
    </row>
    <row r="247" spans="1:2" x14ac:dyDescent="0.25">
      <c r="A247" s="1930" t="s">
        <v>4121</v>
      </c>
      <c r="B247" s="1930" t="e">
        <f>VLOOKUP(A247,' Measure INDEX'!$B$9:$B$732,1,FALSE)</f>
        <v>#N/A</v>
      </c>
    </row>
    <row r="248" spans="1:2" x14ac:dyDescent="0.25">
      <c r="A248" s="1930" t="s">
        <v>4123</v>
      </c>
      <c r="B248" s="1930" t="e">
        <f>VLOOKUP(A248,' Measure INDEX'!$B$9:$B$732,1,FALSE)</f>
        <v>#N/A</v>
      </c>
    </row>
    <row r="249" spans="1:2" x14ac:dyDescent="0.25">
      <c r="A249" s="1930" t="s">
        <v>4124</v>
      </c>
      <c r="B249" s="1930" t="e">
        <f>VLOOKUP(A249,' Measure INDEX'!$B$9:$B$732,1,FALSE)</f>
        <v>#N/A</v>
      </c>
    </row>
    <row r="250" spans="1:2" x14ac:dyDescent="0.25">
      <c r="A250" s="1930" t="s">
        <v>4125</v>
      </c>
      <c r="B250" s="1930" t="e">
        <f>VLOOKUP(A250,' Measure INDEX'!$B$9:$B$732,1,FALSE)</f>
        <v>#N/A</v>
      </c>
    </row>
    <row r="251" spans="1:2" x14ac:dyDescent="0.25">
      <c r="A251" s="1930" t="s">
        <v>4126</v>
      </c>
      <c r="B251" s="1930" t="e">
        <f>VLOOKUP(A251,' Measure INDEX'!$B$9:$B$732,1,FALSE)</f>
        <v>#N/A</v>
      </c>
    </row>
    <row r="252" spans="1:2" x14ac:dyDescent="0.25">
      <c r="A252" s="1930" t="s">
        <v>4127</v>
      </c>
      <c r="B252" s="1930" t="e">
        <f>VLOOKUP(A252,' Measure INDEX'!$B$9:$B$732,1,FALSE)</f>
        <v>#N/A</v>
      </c>
    </row>
    <row r="253" spans="1:2" x14ac:dyDescent="0.25">
      <c r="A253" s="1930" t="s">
        <v>4128</v>
      </c>
      <c r="B253" s="1930" t="e">
        <f>VLOOKUP(A253,' Measure INDEX'!$B$9:$B$732,1,FALSE)</f>
        <v>#N/A</v>
      </c>
    </row>
    <row r="254" spans="1:2" x14ac:dyDescent="0.25">
      <c r="A254" s="1930" t="s">
        <v>4129</v>
      </c>
      <c r="B254" s="1930" t="e">
        <f>VLOOKUP(A254,' Measure INDEX'!$B$9:$B$732,1,FALSE)</f>
        <v>#N/A</v>
      </c>
    </row>
    <row r="255" spans="1:2" x14ac:dyDescent="0.25">
      <c r="A255" s="1930" t="s">
        <v>4131</v>
      </c>
      <c r="B255" s="1930" t="e">
        <f>VLOOKUP(A255,' Measure INDEX'!$B$9:$B$732,1,FALSE)</f>
        <v>#N/A</v>
      </c>
    </row>
    <row r="256" spans="1:2" x14ac:dyDescent="0.25">
      <c r="A256" s="1930" t="s">
        <v>4132</v>
      </c>
      <c r="B256" s="1930" t="e">
        <f>VLOOKUP(A256,' Measure INDEX'!$B$9:$B$732,1,FALSE)</f>
        <v>#N/A</v>
      </c>
    </row>
    <row r="257" spans="1:2" x14ac:dyDescent="0.25">
      <c r="A257" s="1930" t="s">
        <v>4133</v>
      </c>
      <c r="B257" s="1930" t="e">
        <f>VLOOKUP(A257,' Measure INDEX'!$B$9:$B$732,1,FALSE)</f>
        <v>#N/A</v>
      </c>
    </row>
    <row r="258" spans="1:2" x14ac:dyDescent="0.25">
      <c r="A258" s="1930" t="s">
        <v>4134</v>
      </c>
      <c r="B258" s="1930" t="e">
        <f>VLOOKUP(A258,' Measure INDEX'!$B$9:$B$732,1,FALSE)</f>
        <v>#N/A</v>
      </c>
    </row>
    <row r="259" spans="1:2" x14ac:dyDescent="0.25">
      <c r="A259" s="1930" t="s">
        <v>4135</v>
      </c>
      <c r="B259" s="1930" t="e">
        <f>VLOOKUP(A259,' Measure INDEX'!$B$9:$B$732,1,FALSE)</f>
        <v>#N/A</v>
      </c>
    </row>
    <row r="260" spans="1:2" x14ac:dyDescent="0.25">
      <c r="A260" s="1930" t="s">
        <v>4136</v>
      </c>
      <c r="B260" s="1930" t="e">
        <f>VLOOKUP(A260,' Measure INDEX'!$B$9:$B$732,1,FALSE)</f>
        <v>#N/A</v>
      </c>
    </row>
    <row r="261" spans="1:2" x14ac:dyDescent="0.25">
      <c r="A261" s="1930" t="s">
        <v>4138</v>
      </c>
      <c r="B261" s="1930" t="e">
        <f>VLOOKUP(A261,' Measure INDEX'!$B$9:$B$732,1,FALSE)</f>
        <v>#N/A</v>
      </c>
    </row>
    <row r="262" spans="1:2" x14ac:dyDescent="0.25">
      <c r="A262" s="1930" t="s">
        <v>4139</v>
      </c>
      <c r="B262" s="1930" t="e">
        <f>VLOOKUP(A262,' Measure INDEX'!$B$9:$B$732,1,FALSE)</f>
        <v>#N/A</v>
      </c>
    </row>
    <row r="263" spans="1:2" x14ac:dyDescent="0.25">
      <c r="A263" s="1930" t="s">
        <v>4140</v>
      </c>
      <c r="B263" s="1930" t="e">
        <f>VLOOKUP(A263,' Measure INDEX'!$B$9:$B$732,1,FALSE)</f>
        <v>#N/A</v>
      </c>
    </row>
    <row r="264" spans="1:2" x14ac:dyDescent="0.25">
      <c r="A264" s="1930" t="s">
        <v>4141</v>
      </c>
      <c r="B264" s="1930" t="e">
        <f>VLOOKUP(A264,' Measure INDEX'!$B$9:$B$732,1,FALSE)</f>
        <v>#N/A</v>
      </c>
    </row>
    <row r="265" spans="1:2" x14ac:dyDescent="0.25">
      <c r="A265" s="1930" t="s">
        <v>4142</v>
      </c>
      <c r="B265" s="1930" t="e">
        <f>VLOOKUP(A265,' Measure INDEX'!$B$9:$B$732,1,FALSE)</f>
        <v>#N/A</v>
      </c>
    </row>
    <row r="266" spans="1:2" x14ac:dyDescent="0.25">
      <c r="A266" s="1930" t="s">
        <v>4143</v>
      </c>
      <c r="B266" s="1930" t="e">
        <f>VLOOKUP(A266,' Measure INDEX'!$B$9:$B$732,1,FALSE)</f>
        <v>#N/A</v>
      </c>
    </row>
    <row r="267" spans="1:2" x14ac:dyDescent="0.25">
      <c r="A267" s="1930" t="s">
        <v>4144</v>
      </c>
      <c r="B267" s="1930" t="e">
        <f>VLOOKUP(A267,' Measure INDEX'!$B$9:$B$732,1,FALSE)</f>
        <v>#N/A</v>
      </c>
    </row>
    <row r="268" spans="1:2" x14ac:dyDescent="0.25">
      <c r="A268" s="1930" t="s">
        <v>4145</v>
      </c>
      <c r="B268" s="1930" t="e">
        <f>VLOOKUP(A268,' Measure INDEX'!$B$9:$B$732,1,FALSE)</f>
        <v>#N/A</v>
      </c>
    </row>
    <row r="269" spans="1:2" x14ac:dyDescent="0.25">
      <c r="A269" s="1930" t="s">
        <v>4146</v>
      </c>
      <c r="B269" s="1930" t="e">
        <f>VLOOKUP(A269,' Measure INDEX'!$B$9:$B$732,1,FALSE)</f>
        <v>#N/A</v>
      </c>
    </row>
    <row r="270" spans="1:2" x14ac:dyDescent="0.25">
      <c r="A270" s="1930" t="s">
        <v>4147</v>
      </c>
      <c r="B270" s="1930" t="e">
        <f>VLOOKUP(A270,' Measure INDEX'!$B$9:$B$732,1,FALSE)</f>
        <v>#N/A</v>
      </c>
    </row>
    <row r="271" spans="1:2" x14ac:dyDescent="0.25">
      <c r="A271" s="1930" t="s">
        <v>4149</v>
      </c>
      <c r="B271" s="1930" t="e">
        <f>VLOOKUP(A271,' Measure INDEX'!$B$9:$B$732,1,FALSE)</f>
        <v>#N/A</v>
      </c>
    </row>
    <row r="272" spans="1:2" x14ac:dyDescent="0.25">
      <c r="A272" s="1930" t="s">
        <v>4151</v>
      </c>
      <c r="B272" s="1930" t="e">
        <f>VLOOKUP(A272,' Measure INDEX'!$B$9:$B$732,1,FALSE)</f>
        <v>#N/A</v>
      </c>
    </row>
    <row r="273" spans="1:2" x14ac:dyDescent="0.25">
      <c r="A273" s="1930" t="s">
        <v>4153</v>
      </c>
      <c r="B273" s="1930" t="e">
        <f>VLOOKUP(A273,' Measure INDEX'!$B$9:$B$732,1,FALSE)</f>
        <v>#N/A</v>
      </c>
    </row>
    <row r="274" spans="1:2" x14ac:dyDescent="0.25">
      <c r="A274" s="1930" t="s">
        <v>4155</v>
      </c>
      <c r="B274" s="1930" t="e">
        <f>VLOOKUP(A274,' Measure INDEX'!$B$9:$B$732,1,FALSE)</f>
        <v>#N/A</v>
      </c>
    </row>
    <row r="275" spans="1:2" x14ac:dyDescent="0.25">
      <c r="A275" s="1930" t="s">
        <v>4157</v>
      </c>
      <c r="B275" s="1930" t="e">
        <f>VLOOKUP(A275,' Measure INDEX'!$B$9:$B$732,1,FALSE)</f>
        <v>#N/A</v>
      </c>
    </row>
    <row r="276" spans="1:2" x14ac:dyDescent="0.25">
      <c r="A276" s="1930" t="s">
        <v>4159</v>
      </c>
      <c r="B276" s="1930" t="e">
        <f>VLOOKUP(A276,' Measure INDEX'!$B$9:$B$732,1,FALSE)</f>
        <v>#N/A</v>
      </c>
    </row>
    <row r="277" spans="1:2" x14ac:dyDescent="0.25">
      <c r="A277" s="1930" t="s">
        <v>4160</v>
      </c>
      <c r="B277" s="1930" t="e">
        <f>VLOOKUP(A277,' Measure INDEX'!$B$9:$B$732,1,FALSE)</f>
        <v>#N/A</v>
      </c>
    </row>
    <row r="278" spans="1:2" x14ac:dyDescent="0.25">
      <c r="A278" s="1930" t="s">
        <v>4161</v>
      </c>
      <c r="B278" s="1930" t="e">
        <f>VLOOKUP(A278,' Measure INDEX'!$B$9:$B$732,1,FALSE)</f>
        <v>#N/A</v>
      </c>
    </row>
    <row r="279" spans="1:2" x14ac:dyDescent="0.25">
      <c r="A279" s="1930" t="s">
        <v>4162</v>
      </c>
      <c r="B279" s="1930" t="e">
        <f>VLOOKUP(A279,' Measure INDEX'!$B$9:$B$732,1,FALSE)</f>
        <v>#N/A</v>
      </c>
    </row>
    <row r="280" spans="1:2" x14ac:dyDescent="0.25">
      <c r="A280" s="1930" t="s">
        <v>4163</v>
      </c>
      <c r="B280" s="1930" t="e">
        <f>VLOOKUP(A280,' Measure INDEX'!$B$9:$B$732,1,FALSE)</f>
        <v>#N/A</v>
      </c>
    </row>
    <row r="281" spans="1:2" x14ac:dyDescent="0.25">
      <c r="A281" s="1930" t="s">
        <v>4164</v>
      </c>
      <c r="B281" s="1930" t="e">
        <f>VLOOKUP(A281,' Measure INDEX'!$B$9:$B$732,1,FALSE)</f>
        <v>#N/A</v>
      </c>
    </row>
    <row r="282" spans="1:2" x14ac:dyDescent="0.25">
      <c r="A282" s="1930" t="s">
        <v>4165</v>
      </c>
      <c r="B282" s="1930" t="e">
        <f>VLOOKUP(A282,' Measure INDEX'!$B$9:$B$732,1,FALSE)</f>
        <v>#N/A</v>
      </c>
    </row>
    <row r="283" spans="1:2" x14ac:dyDescent="0.25">
      <c r="A283" s="1930" t="s">
        <v>4166</v>
      </c>
      <c r="B283" s="1930" t="e">
        <f>VLOOKUP(A283,' Measure INDEX'!$B$9:$B$732,1,FALSE)</f>
        <v>#N/A</v>
      </c>
    </row>
    <row r="284" spans="1:2" x14ac:dyDescent="0.25">
      <c r="A284" s="1930" t="s">
        <v>4167</v>
      </c>
      <c r="B284" s="1930" t="e">
        <f>VLOOKUP(A284,' Measure INDEX'!$B$9:$B$732,1,FALSE)</f>
        <v>#N/A</v>
      </c>
    </row>
    <row r="285" spans="1:2" x14ac:dyDescent="0.25">
      <c r="A285" s="1930" t="s">
        <v>4168</v>
      </c>
      <c r="B285" s="1930" t="e">
        <f>VLOOKUP(A285,' Measure INDEX'!$B$9:$B$732,1,FALSE)</f>
        <v>#N/A</v>
      </c>
    </row>
    <row r="286" spans="1:2" x14ac:dyDescent="0.25">
      <c r="A286" s="1930" t="s">
        <v>4169</v>
      </c>
      <c r="B286" s="1930" t="e">
        <f>VLOOKUP(A286,' Measure INDEX'!$B$9:$B$732,1,FALSE)</f>
        <v>#N/A</v>
      </c>
    </row>
    <row r="287" spans="1:2" x14ac:dyDescent="0.25">
      <c r="A287" s="1930" t="s">
        <v>4170</v>
      </c>
      <c r="B287" s="1930" t="e">
        <f>VLOOKUP(A287,' Measure INDEX'!$B$9:$B$732,1,FALSE)</f>
        <v>#N/A</v>
      </c>
    </row>
    <row r="288" spans="1:2" x14ac:dyDescent="0.25">
      <c r="A288" s="1930" t="s">
        <v>4171</v>
      </c>
      <c r="B288" s="1930" t="e">
        <f>VLOOKUP(A288,' Measure INDEX'!$B$9:$B$732,1,FALSE)</f>
        <v>#N/A</v>
      </c>
    </row>
    <row r="289" spans="1:2" x14ac:dyDescent="0.25">
      <c r="A289" s="1930" t="s">
        <v>4172</v>
      </c>
      <c r="B289" s="1930" t="e">
        <f>VLOOKUP(A289,' Measure INDEX'!$B$9:$B$732,1,FALSE)</f>
        <v>#N/A</v>
      </c>
    </row>
    <row r="290" spans="1:2" x14ac:dyDescent="0.25">
      <c r="A290" s="1930" t="s">
        <v>4173</v>
      </c>
      <c r="B290" s="1930" t="e">
        <f>VLOOKUP(A290,' Measure INDEX'!$B$9:$B$732,1,FALSE)</f>
        <v>#N/A</v>
      </c>
    </row>
    <row r="291" spans="1:2" x14ac:dyDescent="0.25">
      <c r="A291" s="1930" t="s">
        <v>4174</v>
      </c>
      <c r="B291" s="1930" t="e">
        <f>VLOOKUP(A291,' Measure INDEX'!$B$9:$B$732,1,FALSE)</f>
        <v>#N/A</v>
      </c>
    </row>
    <row r="292" spans="1:2" x14ac:dyDescent="0.25">
      <c r="A292" s="1930" t="s">
        <v>4175</v>
      </c>
      <c r="B292" s="1930" t="e">
        <f>VLOOKUP(A292,' Measure INDEX'!$B$9:$B$732,1,FALSE)</f>
        <v>#N/A</v>
      </c>
    </row>
    <row r="293" spans="1:2" x14ac:dyDescent="0.25">
      <c r="A293" s="1930" t="s">
        <v>4176</v>
      </c>
      <c r="B293" s="1930" t="e">
        <f>VLOOKUP(A293,' Measure INDEX'!$B$9:$B$732,1,FALSE)</f>
        <v>#N/A</v>
      </c>
    </row>
    <row r="294" spans="1:2" x14ac:dyDescent="0.25">
      <c r="A294" s="1930" t="s">
        <v>4177</v>
      </c>
      <c r="B294" s="1930" t="e">
        <f>VLOOKUP(A294,' Measure INDEX'!$B$9:$B$732,1,FALSE)</f>
        <v>#N/A</v>
      </c>
    </row>
    <row r="295" spans="1:2" x14ac:dyDescent="0.25">
      <c r="A295" s="1930" t="s">
        <v>4178</v>
      </c>
      <c r="B295" s="1930" t="e">
        <f>VLOOKUP(A295,' Measure INDEX'!$B$9:$B$732,1,FALSE)</f>
        <v>#N/A</v>
      </c>
    </row>
    <row r="296" spans="1:2" x14ac:dyDescent="0.25">
      <c r="A296" s="1930" t="s">
        <v>4179</v>
      </c>
      <c r="B296" s="1930" t="e">
        <f>VLOOKUP(A296,' Measure INDEX'!$B$9:$B$732,1,FALSE)</f>
        <v>#N/A</v>
      </c>
    </row>
    <row r="297" spans="1:2" x14ac:dyDescent="0.25">
      <c r="A297" s="1930" t="s">
        <v>4181</v>
      </c>
      <c r="B297" s="1930" t="e">
        <f>VLOOKUP(A297,' Measure INDEX'!$B$9:$B$732,1,FALSE)</f>
        <v>#N/A</v>
      </c>
    </row>
    <row r="298" spans="1:2" x14ac:dyDescent="0.25">
      <c r="A298" s="1930" t="s">
        <v>4182</v>
      </c>
      <c r="B298" s="1930" t="e">
        <f>VLOOKUP(A298,' Measure INDEX'!$B$9:$B$732,1,FALSE)</f>
        <v>#N/A</v>
      </c>
    </row>
    <row r="299" spans="1:2" x14ac:dyDescent="0.25">
      <c r="A299" s="1930" t="s">
        <v>4184</v>
      </c>
      <c r="B299" s="1930" t="e">
        <f>VLOOKUP(A299,' Measure INDEX'!$B$9:$B$732,1,FALSE)</f>
        <v>#N/A</v>
      </c>
    </row>
    <row r="300" spans="1:2" x14ac:dyDescent="0.25">
      <c r="A300" s="1930" t="s">
        <v>4185</v>
      </c>
      <c r="B300" s="1930" t="e">
        <f>VLOOKUP(A300,' Measure INDEX'!$B$9:$B$732,1,FALSE)</f>
        <v>#N/A</v>
      </c>
    </row>
    <row r="301" spans="1:2" x14ac:dyDescent="0.25">
      <c r="A301" s="1930" t="s">
        <v>4187</v>
      </c>
      <c r="B301" s="1930" t="e">
        <f>VLOOKUP(A301,' Measure INDEX'!$B$9:$B$732,1,FALSE)</f>
        <v>#N/A</v>
      </c>
    </row>
    <row r="302" spans="1:2" x14ac:dyDescent="0.25">
      <c r="A302" s="1930" t="s">
        <v>4189</v>
      </c>
      <c r="B302" s="1930" t="e">
        <f>VLOOKUP(A302,' Measure INDEX'!$B$9:$B$732,1,FALSE)</f>
        <v>#N/A</v>
      </c>
    </row>
    <row r="303" spans="1:2" x14ac:dyDescent="0.25">
      <c r="A303" s="1930" t="s">
        <v>4191</v>
      </c>
      <c r="B303" s="1930" t="e">
        <f>VLOOKUP(A303,' Measure INDEX'!$B$9:$B$732,1,FALSE)</f>
        <v>#N/A</v>
      </c>
    </row>
    <row r="304" spans="1:2" x14ac:dyDescent="0.25">
      <c r="A304" s="1930" t="s">
        <v>4193</v>
      </c>
      <c r="B304" s="1930" t="e">
        <f>VLOOKUP(A304,' Measure INDEX'!$B$9:$B$732,1,FALSE)</f>
        <v>#N/A</v>
      </c>
    </row>
    <row r="305" spans="1:2" x14ac:dyDescent="0.25">
      <c r="A305" s="1930" t="s">
        <v>4195</v>
      </c>
      <c r="B305" s="1930" t="e">
        <f>VLOOKUP(A305,' Measure INDEX'!$B$9:$B$732,1,FALSE)</f>
        <v>#N/A</v>
      </c>
    </row>
    <row r="306" spans="1:2" x14ac:dyDescent="0.25">
      <c r="A306" s="1930" t="s">
        <v>4197</v>
      </c>
      <c r="B306" s="1930" t="e">
        <f>VLOOKUP(A306,' Measure INDEX'!$B$9:$B$732,1,FALSE)</f>
        <v>#N/A</v>
      </c>
    </row>
    <row r="307" spans="1:2" x14ac:dyDescent="0.25">
      <c r="A307" s="1930" t="s">
        <v>4199</v>
      </c>
      <c r="B307" s="1930" t="e">
        <f>VLOOKUP(A307,' Measure INDEX'!$B$9:$B$732,1,FALSE)</f>
        <v>#N/A</v>
      </c>
    </row>
    <row r="308" spans="1:2" x14ac:dyDescent="0.25">
      <c r="A308" s="1930" t="s">
        <v>4201</v>
      </c>
      <c r="B308" s="1930" t="e">
        <f>VLOOKUP(A308,' Measure INDEX'!$B$9:$B$732,1,FALSE)</f>
        <v>#N/A</v>
      </c>
    </row>
    <row r="309" spans="1:2" x14ac:dyDescent="0.25">
      <c r="A309" s="1930" t="s">
        <v>4203</v>
      </c>
      <c r="B309" s="1930" t="e">
        <f>VLOOKUP(A309,' Measure INDEX'!$B$9:$B$732,1,FALSE)</f>
        <v>#N/A</v>
      </c>
    </row>
    <row r="310" spans="1:2" x14ac:dyDescent="0.25">
      <c r="A310" s="1930" t="s">
        <v>4204</v>
      </c>
      <c r="B310" s="1930" t="e">
        <f>VLOOKUP(A310,' Measure INDEX'!$B$9:$B$732,1,FALSE)</f>
        <v>#N/A</v>
      </c>
    </row>
    <row r="311" spans="1:2" x14ac:dyDescent="0.25">
      <c r="A311" s="1930" t="s">
        <v>1132</v>
      </c>
      <c r="B311" s="1930" t="str">
        <f>VLOOKUP(A311,' Measure INDEX'!$B$9:$B$732,1,FALSE)</f>
        <v>351900_2019_12_</v>
      </c>
    </row>
    <row r="312" spans="1:2" x14ac:dyDescent="0.25">
      <c r="A312" s="1930" t="s">
        <v>1136</v>
      </c>
      <c r="B312" s="1930" t="str">
        <f>VLOOKUP(A312,' Measure INDEX'!$B$9:$B$732,1,FALSE)</f>
        <v>351901_2019_12_</v>
      </c>
    </row>
    <row r="313" spans="1:2" x14ac:dyDescent="0.25">
      <c r="A313" s="1930" t="s">
        <v>1138</v>
      </c>
      <c r="B313" s="1930" t="str">
        <f>VLOOKUP(A313,' Measure INDEX'!$B$9:$B$732,1,FALSE)</f>
        <v>351950_2019_12_</v>
      </c>
    </row>
    <row r="314" spans="1:2" x14ac:dyDescent="0.25">
      <c r="A314" s="1930" t="s">
        <v>1140</v>
      </c>
      <c r="B314" s="1930" t="str">
        <f>VLOOKUP(A314,' Measure INDEX'!$B$9:$B$732,1,FALSE)</f>
        <v>351951_2019_12_</v>
      </c>
    </row>
    <row r="315" spans="1:2" x14ac:dyDescent="0.25">
      <c r="A315" s="1930" t="s">
        <v>1142</v>
      </c>
      <c r="B315" s="1930" t="str">
        <f>VLOOKUP(A315,' Measure INDEX'!$B$9:$B$732,1,FALSE)</f>
        <v>352000_2019_12_</v>
      </c>
    </row>
    <row r="316" spans="1:2" x14ac:dyDescent="0.25">
      <c r="A316" s="1930" t="s">
        <v>1144</v>
      </c>
      <c r="B316" s="1930" t="str">
        <f>VLOOKUP(A316,' Measure INDEX'!$B$9:$B$732,1,FALSE)</f>
        <v>352001_2019_12_</v>
      </c>
    </row>
    <row r="317" spans="1:2" x14ac:dyDescent="0.25">
      <c r="A317" s="1930" t="s">
        <v>4205</v>
      </c>
      <c r="B317" s="1930" t="e">
        <f>VLOOKUP(A317,' Measure INDEX'!$B$9:$B$732,1,FALSE)</f>
        <v>#N/A</v>
      </c>
    </row>
    <row r="318" spans="1:2" x14ac:dyDescent="0.25">
      <c r="A318" s="1930" t="s">
        <v>4206</v>
      </c>
      <c r="B318" s="1930" t="e">
        <f>VLOOKUP(A318,' Measure INDEX'!$B$9:$B$732,1,FALSE)</f>
        <v>#N/A</v>
      </c>
    </row>
    <row r="319" spans="1:2" x14ac:dyDescent="0.25">
      <c r="A319" s="1930" t="s">
        <v>4207</v>
      </c>
      <c r="B319" s="1930" t="e">
        <f>VLOOKUP(A319,' Measure INDEX'!$B$9:$B$732,1,FALSE)</f>
        <v>#N/A</v>
      </c>
    </row>
    <row r="320" spans="1:2" x14ac:dyDescent="0.25">
      <c r="A320" s="1930" t="s">
        <v>4208</v>
      </c>
      <c r="B320" s="1930" t="e">
        <f>VLOOKUP(A320,' Measure INDEX'!$B$9:$B$732,1,FALSE)</f>
        <v>#N/A</v>
      </c>
    </row>
    <row r="321" spans="1:2" x14ac:dyDescent="0.25">
      <c r="A321" s="1930" t="s">
        <v>1191</v>
      </c>
      <c r="B321" s="1930" t="e">
        <f>VLOOKUP(A321,' Measure INDEX'!$B$9:$B$732,1,FALSE)</f>
        <v>#N/A</v>
      </c>
    </row>
    <row r="322" spans="1:2" x14ac:dyDescent="0.25">
      <c r="A322" s="1930" t="s">
        <v>1199</v>
      </c>
      <c r="B322" s="1930" t="e">
        <f>VLOOKUP(A322,' Measure INDEX'!$B$9:$B$732,1,FALSE)</f>
        <v>#N/A</v>
      </c>
    </row>
    <row r="323" spans="1:2" x14ac:dyDescent="0.25">
      <c r="A323" s="1930" t="s">
        <v>1203</v>
      </c>
      <c r="B323" s="1930" t="e">
        <f>VLOOKUP(A323,' Measure INDEX'!$B$9:$B$732,1,FALSE)</f>
        <v>#N/A</v>
      </c>
    </row>
    <row r="324" spans="1:2" x14ac:dyDescent="0.25">
      <c r="A324" s="1930" t="s">
        <v>1208</v>
      </c>
      <c r="B324" s="1930" t="e">
        <f>VLOOKUP(A324,' Measure INDEX'!$B$9:$B$732,1,FALSE)</f>
        <v>#N/A</v>
      </c>
    </row>
    <row r="325" spans="1:2" x14ac:dyDescent="0.25">
      <c r="A325" s="1930" t="s">
        <v>1211</v>
      </c>
      <c r="B325" s="1930" t="e">
        <f>VLOOKUP(A325,' Measure INDEX'!$B$9:$B$732,1,FALSE)</f>
        <v>#N/A</v>
      </c>
    </row>
    <row r="326" spans="1:2" x14ac:dyDescent="0.25">
      <c r="A326" s="1930" t="s">
        <v>1218</v>
      </c>
      <c r="B326" s="1930" t="e">
        <f>VLOOKUP(A326,' Measure INDEX'!$B$9:$B$732,1,FALSE)</f>
        <v>#N/A</v>
      </c>
    </row>
    <row r="327" spans="1:2" x14ac:dyDescent="0.25">
      <c r="A327" s="1930" t="s">
        <v>1222</v>
      </c>
      <c r="B327" s="1930" t="e">
        <f>VLOOKUP(A327,' Measure INDEX'!$B$9:$B$732,1,FALSE)</f>
        <v>#N/A</v>
      </c>
    </row>
    <row r="328" spans="1:2" x14ac:dyDescent="0.25">
      <c r="A328" s="1930" t="s">
        <v>1225</v>
      </c>
      <c r="B328" s="1930" t="e">
        <f>VLOOKUP(A328,' Measure INDEX'!$B$9:$B$732,1,FALSE)</f>
        <v>#N/A</v>
      </c>
    </row>
    <row r="329" spans="1:2" x14ac:dyDescent="0.25">
      <c r="A329" s="1930" t="s">
        <v>1228</v>
      </c>
      <c r="B329" s="1930" t="e">
        <f>VLOOKUP(A329,' Measure INDEX'!$B$9:$B$732,1,FALSE)</f>
        <v>#N/A</v>
      </c>
    </row>
    <row r="330" spans="1:2" x14ac:dyDescent="0.25">
      <c r="A330" s="1930" t="s">
        <v>1232</v>
      </c>
      <c r="B330" s="1930" t="e">
        <f>VLOOKUP(A330,' Measure INDEX'!$B$9:$B$732,1,FALSE)</f>
        <v>#N/A</v>
      </c>
    </row>
    <row r="331" spans="1:2" x14ac:dyDescent="0.25">
      <c r="A331" s="1930" t="s">
        <v>1236</v>
      </c>
      <c r="B331" s="1930" t="e">
        <f>VLOOKUP(A331,' Measure INDEX'!$B$9:$B$732,1,FALSE)</f>
        <v>#N/A</v>
      </c>
    </row>
    <row r="332" spans="1:2" x14ac:dyDescent="0.25">
      <c r="A332" s="1930" t="s">
        <v>1240</v>
      </c>
      <c r="B332" s="1930" t="e">
        <f>VLOOKUP(A332,' Measure INDEX'!$B$9:$B$732,1,FALSE)</f>
        <v>#N/A</v>
      </c>
    </row>
    <row r="333" spans="1:2" x14ac:dyDescent="0.25">
      <c r="A333" s="1930" t="s">
        <v>1250</v>
      </c>
      <c r="B333" s="1930" t="str">
        <f>VLOOKUP(A333,' Measure INDEX'!$B$9:$B$732,1,FALSE)</f>
        <v>352800_2019_12_</v>
      </c>
    </row>
    <row r="334" spans="1:2" x14ac:dyDescent="0.25">
      <c r="A334" s="1930" t="s">
        <v>1252</v>
      </c>
      <c r="B334" s="1930" t="e">
        <f>VLOOKUP(A334,' Measure INDEX'!$B$9:$B$732,1,FALSE)</f>
        <v>#N/A</v>
      </c>
    </row>
    <row r="335" spans="1:2" x14ac:dyDescent="0.25">
      <c r="A335" s="1930" t="s">
        <v>1258</v>
      </c>
      <c r="B335" s="1930" t="e">
        <f>VLOOKUP(A335,' Measure INDEX'!$B$9:$B$732,1,FALSE)</f>
        <v>#N/A</v>
      </c>
    </row>
    <row r="336" spans="1:2" x14ac:dyDescent="0.25">
      <c r="A336" s="1930" t="s">
        <v>1262</v>
      </c>
      <c r="B336" s="1930" t="e">
        <f>VLOOKUP(A336,' Measure INDEX'!$B$9:$B$732,1,FALSE)</f>
        <v>#N/A</v>
      </c>
    </row>
    <row r="337" spans="1:2" x14ac:dyDescent="0.25">
      <c r="A337" s="1930" t="s">
        <v>1266</v>
      </c>
      <c r="B337" s="1930" t="e">
        <f>VLOOKUP(A337,' Measure INDEX'!$B$9:$B$732,1,FALSE)</f>
        <v>#N/A</v>
      </c>
    </row>
    <row r="338" spans="1:2" x14ac:dyDescent="0.25">
      <c r="A338" s="1930" t="s">
        <v>1269</v>
      </c>
      <c r="B338" s="1930" t="e">
        <f>VLOOKUP(A338,' Measure INDEX'!$B$9:$B$732,1,FALSE)</f>
        <v>#N/A</v>
      </c>
    </row>
    <row r="339" spans="1:2" x14ac:dyDescent="0.25">
      <c r="A339" s="1930" t="s">
        <v>1272</v>
      </c>
      <c r="B339" s="1930" t="str">
        <f>VLOOKUP(A339,' Measure INDEX'!$B$9:$B$732,1,FALSE)</f>
        <v>352950_2019_12_</v>
      </c>
    </row>
    <row r="340" spans="1:2" x14ac:dyDescent="0.25">
      <c r="A340" s="1930" t="s">
        <v>1274</v>
      </c>
      <c r="B340" s="1930" t="str">
        <f>VLOOKUP(A340,' Measure INDEX'!$B$9:$B$732,1,FALSE)</f>
        <v>352951_2019_12_</v>
      </c>
    </row>
    <row r="341" spans="1:2" x14ac:dyDescent="0.25">
      <c r="A341" s="1930" t="s">
        <v>1280</v>
      </c>
      <c r="B341" s="1930" t="e">
        <f>VLOOKUP(A341,' Measure INDEX'!$B$9:$B$732,1,FALSE)</f>
        <v>#N/A</v>
      </c>
    </row>
    <row r="342" spans="1:2" x14ac:dyDescent="0.25">
      <c r="A342" s="1930" t="s">
        <v>1284</v>
      </c>
      <c r="B342" s="1930" t="e">
        <f>VLOOKUP(A342,' Measure INDEX'!$B$9:$B$732,1,FALSE)</f>
        <v>#N/A</v>
      </c>
    </row>
    <row r="343" spans="1:2" x14ac:dyDescent="0.25">
      <c r="A343" s="1930" t="s">
        <v>1294</v>
      </c>
      <c r="B343" s="1930" t="e">
        <f>VLOOKUP(A343,' Measure INDEX'!$B$9:$B$732,1,FALSE)</f>
        <v>#N/A</v>
      </c>
    </row>
    <row r="344" spans="1:2" x14ac:dyDescent="0.25">
      <c r="A344" s="1930" t="s">
        <v>1297</v>
      </c>
      <c r="B344" s="1930" t="e">
        <f>VLOOKUP(A344,' Measure INDEX'!$B$9:$B$732,1,FALSE)</f>
        <v>#N/A</v>
      </c>
    </row>
    <row r="345" spans="1:2" x14ac:dyDescent="0.25">
      <c r="A345" s="1930" t="s">
        <v>1300</v>
      </c>
      <c r="B345" s="1930" t="e">
        <f>VLOOKUP(A345,' Measure INDEX'!$B$9:$B$732,1,FALSE)</f>
        <v>#N/A</v>
      </c>
    </row>
    <row r="346" spans="1:2" x14ac:dyDescent="0.25">
      <c r="A346" s="1930" t="s">
        <v>1303</v>
      </c>
      <c r="B346" s="1930" t="str">
        <f>VLOOKUP(A346,' Measure INDEX'!$B$9:$B$732,1,FALSE)</f>
        <v>353150_2019_12_</v>
      </c>
    </row>
    <row r="347" spans="1:2" x14ac:dyDescent="0.25">
      <c r="A347" s="1930" t="s">
        <v>1305</v>
      </c>
      <c r="B347" s="1930" t="str">
        <f>VLOOKUP(A347,' Measure INDEX'!$B$9:$B$732,1,FALSE)</f>
        <v>353151_2019_12_</v>
      </c>
    </row>
    <row r="348" spans="1:2" x14ac:dyDescent="0.25">
      <c r="A348" s="1930" t="s">
        <v>1311</v>
      </c>
      <c r="B348" s="1930" t="e">
        <f>VLOOKUP(A348,' Measure INDEX'!$B$9:$B$732,1,FALSE)</f>
        <v>#N/A</v>
      </c>
    </row>
    <row r="349" spans="1:2" x14ac:dyDescent="0.25">
      <c r="A349" s="1930" t="s">
        <v>1314</v>
      </c>
      <c r="B349" s="1930" t="e">
        <f>VLOOKUP(A349,' Measure INDEX'!$B$9:$B$732,1,FALSE)</f>
        <v>#N/A</v>
      </c>
    </row>
    <row r="350" spans="1:2" x14ac:dyDescent="0.25">
      <c r="A350" s="1930" t="s">
        <v>1317</v>
      </c>
      <c r="B350" s="1930" t="e">
        <f>VLOOKUP(A350,' Measure INDEX'!$B$9:$B$732,1,FALSE)</f>
        <v>#N/A</v>
      </c>
    </row>
    <row r="351" spans="1:2" x14ac:dyDescent="0.25">
      <c r="A351" s="1930" t="s">
        <v>1324</v>
      </c>
      <c r="B351" s="1930" t="e">
        <f>VLOOKUP(A351,' Measure INDEX'!$B$9:$B$732,1,FALSE)</f>
        <v>#N/A</v>
      </c>
    </row>
    <row r="352" spans="1:2" x14ac:dyDescent="0.25">
      <c r="A352" s="1930" t="s">
        <v>1327</v>
      </c>
      <c r="B352" s="1930" t="e">
        <f>VLOOKUP(A352,' Measure INDEX'!$B$9:$B$732,1,FALSE)</f>
        <v>#N/A</v>
      </c>
    </row>
    <row r="353" spans="1:2" x14ac:dyDescent="0.25">
      <c r="A353" s="1930" t="s">
        <v>1330</v>
      </c>
      <c r="B353" s="1930" t="str">
        <f>VLOOKUP(A353,' Measure INDEX'!$B$9:$B$732,1,FALSE)</f>
        <v>353351_2019_12_</v>
      </c>
    </row>
    <row r="354" spans="1:2" x14ac:dyDescent="0.25">
      <c r="A354" s="1930" t="s">
        <v>1336</v>
      </c>
      <c r="B354" s="1930" t="e">
        <f>VLOOKUP(A354,' Measure INDEX'!$B$9:$B$732,1,FALSE)</f>
        <v>#N/A</v>
      </c>
    </row>
    <row r="355" spans="1:2" x14ac:dyDescent="0.25">
      <c r="A355" s="1930" t="s">
        <v>1343</v>
      </c>
      <c r="B355" s="1930" t="e">
        <f>VLOOKUP(A355,' Measure INDEX'!$B$9:$B$732,1,FALSE)</f>
        <v>#N/A</v>
      </c>
    </row>
    <row r="356" spans="1:2" x14ac:dyDescent="0.25">
      <c r="A356" s="1930" t="s">
        <v>1346</v>
      </c>
      <c r="B356" s="1930" t="str">
        <f>VLOOKUP(A356,' Measure INDEX'!$B$9:$B$732,1,FALSE)</f>
        <v>353500_2019_12_</v>
      </c>
    </row>
    <row r="357" spans="1:2" x14ac:dyDescent="0.25">
      <c r="A357" s="1930" t="s">
        <v>1348</v>
      </c>
      <c r="B357" s="1930" t="str">
        <f>VLOOKUP(A357,' Measure INDEX'!$B$9:$B$732,1,FALSE)</f>
        <v>353501_2019_12_</v>
      </c>
    </row>
    <row r="358" spans="1:2" x14ac:dyDescent="0.25">
      <c r="A358" s="1930" t="s">
        <v>1354</v>
      </c>
      <c r="B358" s="1930" t="e">
        <f>VLOOKUP(A358,' Measure INDEX'!$B$9:$B$732,1,FALSE)</f>
        <v>#N/A</v>
      </c>
    </row>
    <row r="359" spans="1:2" x14ac:dyDescent="0.25">
      <c r="A359" s="1930" t="s">
        <v>1361</v>
      </c>
      <c r="B359" s="1930" t="str">
        <f>VLOOKUP(A359,' Measure INDEX'!$B$9:$B$732,1,FALSE)</f>
        <v>353600_2019_12_</v>
      </c>
    </row>
    <row r="360" spans="1:2" x14ac:dyDescent="0.25">
      <c r="A360" s="1930" t="s">
        <v>1364</v>
      </c>
      <c r="B360" s="1930" t="str">
        <f>VLOOKUP(A360,' Measure INDEX'!$B$9:$B$732,1,FALSE)</f>
        <v>353601_2019_12_</v>
      </c>
    </row>
    <row r="361" spans="1:2" x14ac:dyDescent="0.25">
      <c r="A361" s="1930" t="s">
        <v>1373</v>
      </c>
      <c r="B361" s="1930" t="e">
        <f>VLOOKUP(A361,' Measure INDEX'!$B$9:$B$732,1,FALSE)</f>
        <v>#N/A</v>
      </c>
    </row>
    <row r="362" spans="1:2" x14ac:dyDescent="0.25">
      <c r="A362" s="1930" t="s">
        <v>1376</v>
      </c>
      <c r="B362" s="1930" t="str">
        <f>VLOOKUP(A362,' Measure INDEX'!$B$9:$B$732,1,FALSE)</f>
        <v>353700_2019_12_</v>
      </c>
    </row>
    <row r="363" spans="1:2" x14ac:dyDescent="0.25">
      <c r="A363" s="1930" t="s">
        <v>1378</v>
      </c>
      <c r="B363" s="1930" t="str">
        <f>VLOOKUP(A363,' Measure INDEX'!$B$9:$B$732,1,FALSE)</f>
        <v>353701_2019_12_</v>
      </c>
    </row>
    <row r="364" spans="1:2" x14ac:dyDescent="0.25">
      <c r="A364" s="1930" t="s">
        <v>1384</v>
      </c>
      <c r="B364" s="1930" t="e">
        <f>VLOOKUP(A364,' Measure INDEX'!$B$9:$B$732,1,FALSE)</f>
        <v>#N/A</v>
      </c>
    </row>
    <row r="365" spans="1:2" x14ac:dyDescent="0.25">
      <c r="A365" s="1930" t="s">
        <v>1388</v>
      </c>
      <c r="B365" s="1930" t="e">
        <f>VLOOKUP(A365,' Measure INDEX'!$B$9:$B$732,1,FALSE)</f>
        <v>#N/A</v>
      </c>
    </row>
    <row r="366" spans="1:2" x14ac:dyDescent="0.25">
      <c r="A366" s="1930" t="s">
        <v>1391</v>
      </c>
      <c r="B366" s="1930" t="e">
        <f>VLOOKUP(A366,' Measure INDEX'!$B$9:$B$732,1,FALSE)</f>
        <v>#N/A</v>
      </c>
    </row>
    <row r="367" spans="1:2" x14ac:dyDescent="0.25">
      <c r="A367" s="1930" t="s">
        <v>1395</v>
      </c>
      <c r="B367" s="1930" t="e">
        <f>VLOOKUP(A367,' Measure INDEX'!$B$9:$B$732,1,FALSE)</f>
        <v>#N/A</v>
      </c>
    </row>
    <row r="368" spans="1:2" x14ac:dyDescent="0.25">
      <c r="A368" s="1930" t="s">
        <v>1398</v>
      </c>
      <c r="B368" s="1930" t="e">
        <f>VLOOKUP(A368,' Measure INDEX'!$B$9:$B$732,1,FALSE)</f>
        <v>#N/A</v>
      </c>
    </row>
    <row r="369" spans="1:2" x14ac:dyDescent="0.25">
      <c r="A369" s="1930" t="s">
        <v>1402</v>
      </c>
      <c r="B369" s="1930" t="e">
        <f>VLOOKUP(A369,' Measure INDEX'!$B$9:$B$732,1,FALSE)</f>
        <v>#N/A</v>
      </c>
    </row>
    <row r="370" spans="1:2" x14ac:dyDescent="0.25">
      <c r="A370" s="1930" t="s">
        <v>1405</v>
      </c>
      <c r="B370" s="1930" t="e">
        <f>VLOOKUP(A370,' Measure INDEX'!$B$9:$B$732,1,FALSE)</f>
        <v>#N/A</v>
      </c>
    </row>
    <row r="371" spans="1:2" x14ac:dyDescent="0.25">
      <c r="A371" s="1930" t="s">
        <v>1412</v>
      </c>
      <c r="B371" s="1930" t="str">
        <f>VLOOKUP(A371,' Measure INDEX'!$B$9:$B$732,1,FALSE)</f>
        <v>354150_2019_12_</v>
      </c>
    </row>
    <row r="372" spans="1:2" x14ac:dyDescent="0.25">
      <c r="A372" s="1930" t="s">
        <v>1415</v>
      </c>
      <c r="B372" s="1930" t="str">
        <f>VLOOKUP(A372,' Measure INDEX'!$B$9:$B$732,1,FALSE)</f>
        <v>354151_2019_12_</v>
      </c>
    </row>
    <row r="373" spans="1:2" x14ac:dyDescent="0.25">
      <c r="A373" s="1930" t="s">
        <v>1424</v>
      </c>
      <c r="B373" s="1930" t="str">
        <f>VLOOKUP(A373,' Measure INDEX'!$B$9:$B$732,1,FALSE)</f>
        <v>354200_2019_12_</v>
      </c>
    </row>
    <row r="374" spans="1:2" x14ac:dyDescent="0.25">
      <c r="A374" s="1930" t="s">
        <v>1427</v>
      </c>
      <c r="B374" s="1930" t="str">
        <f>VLOOKUP(A374,' Measure INDEX'!$B$9:$B$732,1,FALSE)</f>
        <v>354201_2019_12_</v>
      </c>
    </row>
    <row r="375" spans="1:2" x14ac:dyDescent="0.25">
      <c r="A375" s="1930" t="s">
        <v>1430</v>
      </c>
      <c r="B375" s="1930" t="e">
        <f>VLOOKUP(A375,' Measure INDEX'!$B$9:$B$732,1,FALSE)</f>
        <v>#N/A</v>
      </c>
    </row>
    <row r="376" spans="1:2" x14ac:dyDescent="0.25">
      <c r="A376" s="1930" t="s">
        <v>1437</v>
      </c>
      <c r="B376" s="1930" t="e">
        <f>VLOOKUP(A376,' Measure INDEX'!$B$9:$B$732,1,FALSE)</f>
        <v>#N/A</v>
      </c>
    </row>
    <row r="377" spans="1:2" x14ac:dyDescent="0.25">
      <c r="A377" s="1930" t="s">
        <v>1441</v>
      </c>
      <c r="B377" s="1930" t="e">
        <f>VLOOKUP(A377,' Measure INDEX'!$B$9:$B$732,1,FALSE)</f>
        <v>#N/A</v>
      </c>
    </row>
    <row r="378" spans="1:2" x14ac:dyDescent="0.25">
      <c r="A378" s="1930" t="s">
        <v>1451</v>
      </c>
      <c r="B378" s="1930" t="e">
        <f>VLOOKUP(A378,' Measure INDEX'!$B$9:$B$732,1,FALSE)</f>
        <v>#N/A</v>
      </c>
    </row>
    <row r="379" spans="1:2" x14ac:dyDescent="0.25">
      <c r="A379" s="1930" t="s">
        <v>1455</v>
      </c>
      <c r="B379" s="1930" t="e">
        <f>VLOOKUP(A379,' Measure INDEX'!$B$9:$B$732,1,FALSE)</f>
        <v>#N/A</v>
      </c>
    </row>
    <row r="380" spans="1:2" x14ac:dyDescent="0.25">
      <c r="A380" s="1930" t="s">
        <v>1459</v>
      </c>
      <c r="B380" s="1930" t="e">
        <f>VLOOKUP(A380,' Measure INDEX'!$B$9:$B$732,1,FALSE)</f>
        <v>#N/A</v>
      </c>
    </row>
    <row r="381" spans="1:2" x14ac:dyDescent="0.25">
      <c r="A381" s="1930" t="s">
        <v>1466</v>
      </c>
      <c r="B381" s="1930" t="str">
        <f>VLOOKUP(A381,' Measure INDEX'!$B$9:$B$732,1,FALSE)</f>
        <v>354450_2019_12_</v>
      </c>
    </row>
    <row r="382" spans="1:2" x14ac:dyDescent="0.25">
      <c r="A382" s="1930" t="s">
        <v>1469</v>
      </c>
      <c r="B382" s="1930" t="str">
        <f>VLOOKUP(A382,' Measure INDEX'!$B$9:$B$732,1,FALSE)</f>
        <v>354451_2019_12_</v>
      </c>
    </row>
    <row r="383" spans="1:2" x14ac:dyDescent="0.25">
      <c r="A383" s="1930" t="s">
        <v>1478</v>
      </c>
      <c r="B383" s="1930" t="str">
        <f>VLOOKUP(A383,' Measure INDEX'!$B$9:$B$732,1,FALSE)</f>
        <v>354500_2019_12_</v>
      </c>
    </row>
    <row r="384" spans="1:2" x14ac:dyDescent="0.25">
      <c r="A384" s="1930" t="s">
        <v>1481</v>
      </c>
      <c r="B384" s="1930" t="str">
        <f>VLOOKUP(A384,' Measure INDEX'!$B$9:$B$732,1,FALSE)</f>
        <v>354501_2019_12_</v>
      </c>
    </row>
    <row r="385" spans="1:2" x14ac:dyDescent="0.25">
      <c r="A385" s="1930" t="s">
        <v>1484</v>
      </c>
      <c r="B385" s="1930" t="e">
        <f>VLOOKUP(A385,' Measure INDEX'!$B$9:$B$732,1,FALSE)</f>
        <v>#N/A</v>
      </c>
    </row>
    <row r="386" spans="1:2" x14ac:dyDescent="0.25">
      <c r="A386" s="1930" t="s">
        <v>1488</v>
      </c>
      <c r="B386" s="1930" t="e">
        <f>VLOOKUP(A386,' Measure INDEX'!$B$9:$B$732,1,FALSE)</f>
        <v>#N/A</v>
      </c>
    </row>
    <row r="387" spans="1:2" x14ac:dyDescent="0.25">
      <c r="A387" s="1930" t="s">
        <v>1491</v>
      </c>
      <c r="B387" s="1930" t="str">
        <f>VLOOKUP(A387,' Measure INDEX'!$B$9:$B$732,1,FALSE)</f>
        <v>354650_2019_12_</v>
      </c>
    </row>
    <row r="388" spans="1:2" x14ac:dyDescent="0.25">
      <c r="A388" s="1930" t="s">
        <v>1494</v>
      </c>
      <c r="B388" s="1930" t="str">
        <f>VLOOKUP(A388,' Measure INDEX'!$B$9:$B$732,1,FALSE)</f>
        <v>354651_2019_12_</v>
      </c>
    </row>
    <row r="389" spans="1:2" x14ac:dyDescent="0.25">
      <c r="A389" s="1930" t="s">
        <v>1503</v>
      </c>
      <c r="B389" s="1930" t="str">
        <f>VLOOKUP(A389,' Measure INDEX'!$B$9:$B$732,1,FALSE)</f>
        <v>354700_2019_12_</v>
      </c>
    </row>
    <row r="390" spans="1:2" x14ac:dyDescent="0.25">
      <c r="A390" s="1930" t="s">
        <v>1506</v>
      </c>
      <c r="B390" s="1930" t="str">
        <f>VLOOKUP(A390,' Measure INDEX'!$B$9:$B$732,1,FALSE)</f>
        <v>354701_2019_12_</v>
      </c>
    </row>
    <row r="391" spans="1:2" x14ac:dyDescent="0.25">
      <c r="A391" s="1930" t="s">
        <v>1509</v>
      </c>
      <c r="B391" s="1930" t="e">
        <f>VLOOKUP(A391,' Measure INDEX'!$B$9:$B$732,1,FALSE)</f>
        <v>#N/A</v>
      </c>
    </row>
    <row r="392" spans="1:2" x14ac:dyDescent="0.25">
      <c r="A392" s="1930" t="s">
        <v>1513</v>
      </c>
      <c r="B392" s="1930" t="e">
        <f>VLOOKUP(A392,' Measure INDEX'!$B$9:$B$732,1,FALSE)</f>
        <v>#N/A</v>
      </c>
    </row>
    <row r="393" spans="1:2" x14ac:dyDescent="0.25">
      <c r="A393" s="1930" t="s">
        <v>1516</v>
      </c>
      <c r="B393" s="1930" t="str">
        <f>VLOOKUP(A393,' Measure INDEX'!$B$9:$B$732,1,FALSE)</f>
        <v>354850_2019_12_</v>
      </c>
    </row>
    <row r="394" spans="1:2" x14ac:dyDescent="0.25">
      <c r="A394" s="1930" t="s">
        <v>1518</v>
      </c>
      <c r="B394" s="1930" t="str">
        <f>VLOOKUP(A394,' Measure INDEX'!$B$9:$B$732,1,FALSE)</f>
        <v>354851_2019_12_</v>
      </c>
    </row>
    <row r="395" spans="1:2" x14ac:dyDescent="0.25">
      <c r="A395" s="1930" t="s">
        <v>1524</v>
      </c>
      <c r="B395" s="1930" t="str">
        <f>VLOOKUP(A395,' Measure INDEX'!$B$9:$B$732,1,FALSE)</f>
        <v>354900_2019_12_</v>
      </c>
    </row>
    <row r="396" spans="1:2" x14ac:dyDescent="0.25">
      <c r="A396" s="1930" t="s">
        <v>1527</v>
      </c>
      <c r="B396" s="1930" t="str">
        <f>VLOOKUP(A396,' Measure INDEX'!$B$9:$B$732,1,FALSE)</f>
        <v>354901_2019_12_</v>
      </c>
    </row>
    <row r="397" spans="1:2" x14ac:dyDescent="0.25">
      <c r="A397" s="1930" t="s">
        <v>1530</v>
      </c>
      <c r="B397" s="1930" t="str">
        <f>VLOOKUP(A397,' Measure INDEX'!$B$9:$B$732,1,FALSE)</f>
        <v>354950_2019_12_</v>
      </c>
    </row>
    <row r="398" spans="1:2" x14ac:dyDescent="0.25">
      <c r="A398" s="1930" t="s">
        <v>1532</v>
      </c>
      <c r="B398" s="1930" t="str">
        <f>VLOOKUP(A398,' Measure INDEX'!$B$9:$B$732,1,FALSE)</f>
        <v>354951_2019_12_</v>
      </c>
    </row>
    <row r="399" spans="1:2" x14ac:dyDescent="0.25">
      <c r="A399" s="1930" t="s">
        <v>1534</v>
      </c>
      <c r="B399" s="1930" t="str">
        <f>VLOOKUP(A399,' Measure INDEX'!$B$9:$B$732,1,FALSE)</f>
        <v>355000_2019_12_</v>
      </c>
    </row>
    <row r="400" spans="1:2" x14ac:dyDescent="0.25">
      <c r="A400" s="1930" t="s">
        <v>1536</v>
      </c>
      <c r="B400" s="1930" t="e">
        <f>VLOOKUP(A400,' Measure INDEX'!$B$9:$B$732,1,FALSE)</f>
        <v>#N/A</v>
      </c>
    </row>
    <row r="401" spans="1:2" x14ac:dyDescent="0.25">
      <c r="A401" s="1930" t="s">
        <v>1538</v>
      </c>
      <c r="B401" s="1930" t="str">
        <f>VLOOKUP(A401,' Measure INDEX'!$B$9:$B$732,1,FALSE)</f>
        <v>355050_2019_12_</v>
      </c>
    </row>
    <row r="402" spans="1:2" x14ac:dyDescent="0.25">
      <c r="A402" s="1930" t="s">
        <v>1540</v>
      </c>
      <c r="B402" s="1930" t="str">
        <f>VLOOKUP(A402,' Measure INDEX'!$B$9:$B$732,1,FALSE)</f>
        <v>355051_2019_12_</v>
      </c>
    </row>
    <row r="403" spans="1:2" x14ac:dyDescent="0.25">
      <c r="A403" s="1930" t="s">
        <v>1542</v>
      </c>
      <c r="B403" s="1930" t="str">
        <f>VLOOKUP(A403,' Measure INDEX'!$B$9:$B$732,1,FALSE)</f>
        <v>355100_2019_12_</v>
      </c>
    </row>
    <row r="404" spans="1:2" x14ac:dyDescent="0.25">
      <c r="A404" s="1930" t="s">
        <v>1544</v>
      </c>
      <c r="B404" s="1930" t="str">
        <f>VLOOKUP(A404,' Measure INDEX'!$B$9:$B$732,1,FALSE)</f>
        <v>355101_2019_12_</v>
      </c>
    </row>
    <row r="405" spans="1:2" x14ac:dyDescent="0.25">
      <c r="A405" s="1930" t="s">
        <v>1546</v>
      </c>
      <c r="B405" s="1930" t="str">
        <f>VLOOKUP(A405,' Measure INDEX'!$B$9:$B$732,1,FALSE)</f>
        <v>355150_2019_12_</v>
      </c>
    </row>
    <row r="406" spans="1:2" x14ac:dyDescent="0.25">
      <c r="A406" s="1930" t="s">
        <v>1548</v>
      </c>
      <c r="B406" s="1930" t="str">
        <f>VLOOKUP(A406,' Measure INDEX'!$B$9:$B$732,1,FALSE)</f>
        <v>355151_2019_12_</v>
      </c>
    </row>
    <row r="407" spans="1:2" x14ac:dyDescent="0.25">
      <c r="A407" s="1930" t="s">
        <v>1574</v>
      </c>
      <c r="B407" s="1930" t="str">
        <f>VLOOKUP(A407,' Measure INDEX'!$B$9:$B$732,1,FALSE)</f>
        <v>400050_2019_12_</v>
      </c>
    </row>
    <row r="408" spans="1:2" x14ac:dyDescent="0.25">
      <c r="A408" s="1930" t="s">
        <v>1576</v>
      </c>
      <c r="B408" s="1930" t="str">
        <f>VLOOKUP(A408,' Measure INDEX'!$B$9:$B$732,1,FALSE)</f>
        <v>400100_2019_12_</v>
      </c>
    </row>
    <row r="409" spans="1:2" x14ac:dyDescent="0.25">
      <c r="A409" s="1930" t="s">
        <v>1579</v>
      </c>
      <c r="B409" s="1930" t="str">
        <f>VLOOKUP(A409,' Measure INDEX'!$B$9:$B$732,1,FALSE)</f>
        <v>400101_2019_12_</v>
      </c>
    </row>
    <row r="410" spans="1:2" x14ac:dyDescent="0.25">
      <c r="A410" s="1930" t="s">
        <v>1580</v>
      </c>
      <c r="B410" s="1930" t="str">
        <f>VLOOKUP(A410,' Measure INDEX'!$B$9:$B$732,1,FALSE)</f>
        <v>400150_2019_12_</v>
      </c>
    </row>
    <row r="411" spans="1:2" x14ac:dyDescent="0.25">
      <c r="A411" s="1930" t="s">
        <v>1582</v>
      </c>
      <c r="B411" s="1930" t="str">
        <f>VLOOKUP(A411,' Measure INDEX'!$B$9:$B$732,1,FALSE)</f>
        <v>400200_2019_12_</v>
      </c>
    </row>
    <row r="412" spans="1:2" x14ac:dyDescent="0.25">
      <c r="A412" s="1930" t="s">
        <v>1584</v>
      </c>
      <c r="B412" s="1930" t="str">
        <f>VLOOKUP(A412,' Measure INDEX'!$B$9:$B$732,1,FALSE)</f>
        <v>400201_2019_12_</v>
      </c>
    </row>
    <row r="413" spans="1:2" x14ac:dyDescent="0.25">
      <c r="A413" s="1930" t="s">
        <v>1586</v>
      </c>
      <c r="B413" s="1930" t="str">
        <f>VLOOKUP(A413,' Measure INDEX'!$B$9:$B$732,1,FALSE)</f>
        <v>400250_2019_12_</v>
      </c>
    </row>
    <row r="414" spans="1:2" x14ac:dyDescent="0.25">
      <c r="A414" s="1930" t="s">
        <v>1588</v>
      </c>
      <c r="B414" s="1930" t="str">
        <f>VLOOKUP(A414,' Measure INDEX'!$B$9:$B$732,1,FALSE)</f>
        <v>400300_2019_12_</v>
      </c>
    </row>
    <row r="415" spans="1:2" x14ac:dyDescent="0.25">
      <c r="A415" s="1930" t="s">
        <v>1590</v>
      </c>
      <c r="B415" s="1930" t="str">
        <f>VLOOKUP(A415,' Measure INDEX'!$B$9:$B$732,1,FALSE)</f>
        <v>400301_2019_12_</v>
      </c>
    </row>
    <row r="416" spans="1:2" x14ac:dyDescent="0.25">
      <c r="A416" s="1930" t="s">
        <v>1591</v>
      </c>
      <c r="B416" s="1930" t="str">
        <f>VLOOKUP(A416,' Measure INDEX'!$B$9:$B$732,1,FALSE)</f>
        <v>400350_2019_12_</v>
      </c>
    </row>
    <row r="417" spans="1:2" x14ac:dyDescent="0.25">
      <c r="A417" s="1930" t="s">
        <v>1593</v>
      </c>
      <c r="B417" s="1930" t="str">
        <f>VLOOKUP(A417,' Measure INDEX'!$B$9:$B$732,1,FALSE)</f>
        <v>400400_2019_12_</v>
      </c>
    </row>
    <row r="418" spans="1:2" x14ac:dyDescent="0.25">
      <c r="A418" s="1930" t="s">
        <v>1595</v>
      </c>
      <c r="B418" s="1930" t="str">
        <f>VLOOKUP(A418,' Measure INDEX'!$B$9:$B$732,1,FALSE)</f>
        <v>400401_2019_12_</v>
      </c>
    </row>
    <row r="419" spans="1:2" x14ac:dyDescent="0.25">
      <c r="A419" s="1930" t="s">
        <v>1613</v>
      </c>
      <c r="B419" s="1930" t="str">
        <f>VLOOKUP(A419,' Measure INDEX'!$B$9:$B$732,1,FALSE)</f>
        <v>400450_2019_12_</v>
      </c>
    </row>
    <row r="420" spans="1:2" x14ac:dyDescent="0.25">
      <c r="A420" s="1930" t="s">
        <v>1616</v>
      </c>
      <c r="B420" s="1930" t="str">
        <f>VLOOKUP(A420,' Measure INDEX'!$B$9:$B$732,1,FALSE)</f>
        <v>400500_2019_12_</v>
      </c>
    </row>
    <row r="421" spans="1:2" x14ac:dyDescent="0.25">
      <c r="A421" s="1930" t="s">
        <v>1618</v>
      </c>
      <c r="B421" s="1930" t="str">
        <f>VLOOKUP(A421,' Measure INDEX'!$B$9:$B$732,1,FALSE)</f>
        <v>400550_2019_12_</v>
      </c>
    </row>
    <row r="422" spans="1:2" x14ac:dyDescent="0.25">
      <c r="A422" s="1930" t="s">
        <v>1620</v>
      </c>
      <c r="B422" s="1930" t="str">
        <f>VLOOKUP(A422,' Measure INDEX'!$B$9:$B$732,1,FALSE)</f>
        <v>400551_2019_12_</v>
      </c>
    </row>
    <row r="423" spans="1:2" x14ac:dyDescent="0.25">
      <c r="A423" s="1930" t="s">
        <v>1622</v>
      </c>
      <c r="B423" s="1930" t="str">
        <f>VLOOKUP(A423,' Measure INDEX'!$B$9:$B$732,1,FALSE)</f>
        <v>400600_2019_12_</v>
      </c>
    </row>
    <row r="424" spans="1:2" x14ac:dyDescent="0.25">
      <c r="A424" s="1930" t="s">
        <v>1624</v>
      </c>
      <c r="B424" s="1930" t="str">
        <f>VLOOKUP(A424,' Measure INDEX'!$B$9:$B$732,1,FALSE)</f>
        <v>400650_2019_12_</v>
      </c>
    </row>
    <row r="425" spans="1:2" x14ac:dyDescent="0.25">
      <c r="A425" s="1930" t="s">
        <v>1626</v>
      </c>
      <c r="B425" s="1930" t="str">
        <f>VLOOKUP(A425,' Measure INDEX'!$B$9:$B$732,1,FALSE)</f>
        <v>400651_2019_12_</v>
      </c>
    </row>
    <row r="426" spans="1:2" x14ac:dyDescent="0.25">
      <c r="A426" s="1930" t="s">
        <v>1628</v>
      </c>
      <c r="B426" s="1930" t="str">
        <f>VLOOKUP(A426,' Measure INDEX'!$B$9:$B$732,1,FALSE)</f>
        <v>400652_2019_12_</v>
      </c>
    </row>
    <row r="427" spans="1:2" x14ac:dyDescent="0.25">
      <c r="A427" s="1930" t="s">
        <v>1645</v>
      </c>
      <c r="B427" s="1930" t="str">
        <f>VLOOKUP(A427,' Measure INDEX'!$B$9:$B$732,1,FALSE)</f>
        <v>400700_2019_12_</v>
      </c>
    </row>
    <row r="428" spans="1:2" x14ac:dyDescent="0.25">
      <c r="A428" s="1930" t="s">
        <v>1647</v>
      </c>
      <c r="B428" s="1930" t="str">
        <f>VLOOKUP(A428,' Measure INDEX'!$B$9:$B$732,1,FALSE)</f>
        <v>400750_2019_12_</v>
      </c>
    </row>
    <row r="429" spans="1:2" x14ac:dyDescent="0.25">
      <c r="A429" s="1930" t="s">
        <v>1649</v>
      </c>
      <c r="B429" s="1930" t="str">
        <f>VLOOKUP(A429,' Measure INDEX'!$B$9:$B$732,1,FALSE)</f>
        <v>400800_2019_12_</v>
      </c>
    </row>
    <row r="430" spans="1:2" x14ac:dyDescent="0.25">
      <c r="A430" s="1930" t="s">
        <v>1651</v>
      </c>
      <c r="B430" s="1930" t="str">
        <f>VLOOKUP(A430,' Measure INDEX'!$B$9:$B$732,1,FALSE)</f>
        <v>400850_2019_12_</v>
      </c>
    </row>
    <row r="431" spans="1:2" x14ac:dyDescent="0.25">
      <c r="A431" s="1930" t="s">
        <v>1653</v>
      </c>
      <c r="B431" s="1930" t="str">
        <f>VLOOKUP(A431,' Measure INDEX'!$B$9:$B$732,1,FALSE)</f>
        <v>400900_2019_12_</v>
      </c>
    </row>
    <row r="432" spans="1:2" x14ac:dyDescent="0.25">
      <c r="A432" s="1930" t="s">
        <v>1655</v>
      </c>
      <c r="B432" s="1930" t="str">
        <f>VLOOKUP(A432,' Measure INDEX'!$B$9:$B$732,1,FALSE)</f>
        <v>400950_2019_12_</v>
      </c>
    </row>
    <row r="433" spans="1:2" x14ac:dyDescent="0.25">
      <c r="A433" s="1930" t="s">
        <v>1657</v>
      </c>
      <c r="B433" s="1930" t="str">
        <f>VLOOKUP(A433,' Measure INDEX'!$B$9:$B$732,1,FALSE)</f>
        <v>401000_2019_12_</v>
      </c>
    </row>
    <row r="434" spans="1:2" x14ac:dyDescent="0.25">
      <c r="A434" s="1930" t="s">
        <v>1659</v>
      </c>
      <c r="B434" s="1930" t="str">
        <f>VLOOKUP(A434,' Measure INDEX'!$B$9:$B$732,1,FALSE)</f>
        <v>401050_2019_12_</v>
      </c>
    </row>
    <row r="435" spans="1:2" x14ac:dyDescent="0.25">
      <c r="A435" s="1930" t="s">
        <v>1661</v>
      </c>
      <c r="B435" s="1930" t="str">
        <f>VLOOKUP(A435,' Measure INDEX'!$B$9:$B$732,1,FALSE)</f>
        <v>401100_2019_12_</v>
      </c>
    </row>
    <row r="436" spans="1:2" x14ac:dyDescent="0.25">
      <c r="A436" s="1930" t="s">
        <v>1663</v>
      </c>
      <c r="B436" s="1930" t="str">
        <f>VLOOKUP(A436,' Measure INDEX'!$B$9:$B$732,1,FALSE)</f>
        <v>401150_2019_12_</v>
      </c>
    </row>
    <row r="437" spans="1:2" x14ac:dyDescent="0.25">
      <c r="A437" s="1930" t="s">
        <v>1665</v>
      </c>
      <c r="B437" s="1930" t="str">
        <f>VLOOKUP(A437,' Measure INDEX'!$B$9:$B$732,1,FALSE)</f>
        <v>401200_2019_12_</v>
      </c>
    </row>
    <row r="438" spans="1:2" x14ac:dyDescent="0.25">
      <c r="A438" s="1930" t="s">
        <v>1667</v>
      </c>
      <c r="B438" s="1930" t="str">
        <f>VLOOKUP(A438,' Measure INDEX'!$B$9:$B$732,1,FALSE)</f>
        <v>401250_2019_12_</v>
      </c>
    </row>
    <row r="439" spans="1:2" x14ac:dyDescent="0.25">
      <c r="A439" s="1930" t="s">
        <v>1669</v>
      </c>
      <c r="B439" s="1930" t="str">
        <f>VLOOKUP(A439,' Measure INDEX'!$B$9:$B$732,1,FALSE)</f>
        <v>401300_2019_12_</v>
      </c>
    </row>
    <row r="440" spans="1:2" x14ac:dyDescent="0.25">
      <c r="A440" s="1930" t="s">
        <v>1671</v>
      </c>
      <c r="B440" s="1930" t="str">
        <f>VLOOKUP(A440,' Measure INDEX'!$B$9:$B$732,1,FALSE)</f>
        <v>401350_2019_12_</v>
      </c>
    </row>
    <row r="441" spans="1:2" x14ac:dyDescent="0.25">
      <c r="A441" s="1930" t="s">
        <v>1673</v>
      </c>
      <c r="B441" s="1930" t="str">
        <f>VLOOKUP(A441,' Measure INDEX'!$B$9:$B$732,1,FALSE)</f>
        <v>401400_2019_12_</v>
      </c>
    </row>
    <row r="442" spans="1:2" x14ac:dyDescent="0.25">
      <c r="A442" s="1930" t="s">
        <v>1675</v>
      </c>
      <c r="B442" s="1930" t="str">
        <f>VLOOKUP(A442,' Measure INDEX'!$B$9:$B$732,1,FALSE)</f>
        <v>401450_2019_12_</v>
      </c>
    </row>
    <row r="443" spans="1:2" x14ac:dyDescent="0.25">
      <c r="A443" s="1930" t="s">
        <v>1677</v>
      </c>
      <c r="B443" s="1930" t="str">
        <f>VLOOKUP(A443,' Measure INDEX'!$B$9:$B$732,1,FALSE)</f>
        <v>401500_2019_12_</v>
      </c>
    </row>
    <row r="444" spans="1:2" x14ac:dyDescent="0.25">
      <c r="A444" s="1930" t="s">
        <v>1679</v>
      </c>
      <c r="B444" s="1930" t="str">
        <f>VLOOKUP(A444,' Measure INDEX'!$B$9:$B$732,1,FALSE)</f>
        <v>401550_2019_12_</v>
      </c>
    </row>
    <row r="445" spans="1:2" x14ac:dyDescent="0.25">
      <c r="A445" s="1930" t="s">
        <v>1681</v>
      </c>
      <c r="B445" s="1930" t="str">
        <f>VLOOKUP(A445,' Measure INDEX'!$B$9:$B$732,1,FALSE)</f>
        <v>401600_2019_12_</v>
      </c>
    </row>
    <row r="446" spans="1:2" x14ac:dyDescent="0.25">
      <c r="A446" s="1930" t="s">
        <v>1683</v>
      </c>
      <c r="B446" s="1930" t="str">
        <f>VLOOKUP(A446,' Measure INDEX'!$B$9:$B$732,1,FALSE)</f>
        <v>401650_2019_12_</v>
      </c>
    </row>
    <row r="447" spans="1:2" x14ac:dyDescent="0.25">
      <c r="A447" s="1930" t="s">
        <v>1685</v>
      </c>
      <c r="B447" s="1930" t="str">
        <f>VLOOKUP(A447,' Measure INDEX'!$B$9:$B$732,1,FALSE)</f>
        <v>401700_2019_12_</v>
      </c>
    </row>
    <row r="448" spans="1:2" x14ac:dyDescent="0.25">
      <c r="A448" s="1930" t="s">
        <v>1687</v>
      </c>
      <c r="B448" s="1930" t="str">
        <f>VLOOKUP(A448,' Measure INDEX'!$B$9:$B$732,1,FALSE)</f>
        <v>401750_2019_12_</v>
      </c>
    </row>
    <row r="449" spans="1:2" x14ac:dyDescent="0.25">
      <c r="A449" s="1930" t="s">
        <v>1689</v>
      </c>
      <c r="B449" s="1930" t="str">
        <f>VLOOKUP(A449,' Measure INDEX'!$B$9:$B$732,1,FALSE)</f>
        <v>401800_2019_12_</v>
      </c>
    </row>
    <row r="450" spans="1:2" x14ac:dyDescent="0.25">
      <c r="A450" s="1930" t="s">
        <v>1691</v>
      </c>
      <c r="B450" s="1930" t="str">
        <f>VLOOKUP(A450,' Measure INDEX'!$B$9:$B$732,1,FALSE)</f>
        <v>401850_2019_12_</v>
      </c>
    </row>
    <row r="451" spans="1:2" x14ac:dyDescent="0.25">
      <c r="A451" s="1930" t="s">
        <v>1693</v>
      </c>
      <c r="B451" s="1930" t="str">
        <f>VLOOKUP(A451,' Measure INDEX'!$B$9:$B$732,1,FALSE)</f>
        <v>401900_2019_12_</v>
      </c>
    </row>
    <row r="452" spans="1:2" x14ac:dyDescent="0.25">
      <c r="A452" s="1930" t="s">
        <v>1695</v>
      </c>
      <c r="B452" s="1930" t="str">
        <f>VLOOKUP(A452,' Measure INDEX'!$B$9:$B$732,1,FALSE)</f>
        <v>401950_2019_12_</v>
      </c>
    </row>
    <row r="453" spans="1:2" x14ac:dyDescent="0.25">
      <c r="A453" s="1930" t="s">
        <v>1697</v>
      </c>
      <c r="B453" s="1930" t="str">
        <f>VLOOKUP(A453,' Measure INDEX'!$B$9:$B$732,1,FALSE)</f>
        <v>402000_2019_12_</v>
      </c>
    </row>
    <row r="454" spans="1:2" x14ac:dyDescent="0.25">
      <c r="A454" s="1930" t="s">
        <v>1699</v>
      </c>
      <c r="B454" s="1930" t="str">
        <f>VLOOKUP(A454,' Measure INDEX'!$B$9:$B$732,1,FALSE)</f>
        <v>402050_2019_12_</v>
      </c>
    </row>
    <row r="455" spans="1:2" x14ac:dyDescent="0.25">
      <c r="A455" s="1930" t="s">
        <v>1701</v>
      </c>
      <c r="B455" s="1930" t="str">
        <f>VLOOKUP(A455,' Measure INDEX'!$B$9:$B$732,1,FALSE)</f>
        <v>402100_2019_12_</v>
      </c>
    </row>
    <row r="456" spans="1:2" x14ac:dyDescent="0.25">
      <c r="A456" s="1930" t="s">
        <v>1703</v>
      </c>
      <c r="B456" s="1930" t="str">
        <f>VLOOKUP(A456,' Measure INDEX'!$B$9:$B$732,1,FALSE)</f>
        <v>402150_2019_12_</v>
      </c>
    </row>
    <row r="457" spans="1:2" x14ac:dyDescent="0.25">
      <c r="A457" s="1930" t="s">
        <v>1732</v>
      </c>
      <c r="B457" s="1930" t="str">
        <f>VLOOKUP(A457,' Measure INDEX'!$B$9:$B$732,1,FALSE)</f>
        <v>402200_2019_12_</v>
      </c>
    </row>
    <row r="458" spans="1:2" x14ac:dyDescent="0.25">
      <c r="A458" s="1930" t="s">
        <v>1734</v>
      </c>
      <c r="B458" s="1930" t="str">
        <f>VLOOKUP(A458,' Measure INDEX'!$B$9:$B$732,1,FALSE)</f>
        <v>402201_2019_12_</v>
      </c>
    </row>
    <row r="459" spans="1:2" x14ac:dyDescent="0.25">
      <c r="A459" s="1930" t="s">
        <v>1736</v>
      </c>
      <c r="B459" s="1930" t="str">
        <f>VLOOKUP(A459,' Measure INDEX'!$B$9:$B$732,1,FALSE)</f>
        <v>402202_2019_12_</v>
      </c>
    </row>
    <row r="460" spans="1:2" x14ac:dyDescent="0.25">
      <c r="A460" s="1930" t="s">
        <v>1738</v>
      </c>
      <c r="B460" s="1930" t="str">
        <f>VLOOKUP(A460,' Measure INDEX'!$B$9:$B$732,1,FALSE)</f>
        <v>402203_2020_02_</v>
      </c>
    </row>
    <row r="461" spans="1:2" x14ac:dyDescent="0.25">
      <c r="A461" s="1930" t="s">
        <v>1740</v>
      </c>
      <c r="B461" s="1930" t="str">
        <f>VLOOKUP(A461,' Measure INDEX'!$B$9:$B$732,1,FALSE)</f>
        <v>402204_2020_02_</v>
      </c>
    </row>
    <row r="462" spans="1:2" x14ac:dyDescent="0.25">
      <c r="A462" s="1930" t="s">
        <v>1742</v>
      </c>
      <c r="B462" s="1930" t="str">
        <f>VLOOKUP(A462,' Measure INDEX'!$B$9:$B$732,1,FALSE)</f>
        <v>402205_2020_02_</v>
      </c>
    </row>
    <row r="463" spans="1:2" x14ac:dyDescent="0.25">
      <c r="A463" s="1930" t="s">
        <v>1758</v>
      </c>
      <c r="B463" s="1930" t="str">
        <f>VLOOKUP(A463,' Measure INDEX'!$B$9:$B$732,1,FALSE)</f>
        <v>402250_2019_12_</v>
      </c>
    </row>
    <row r="464" spans="1:2" x14ac:dyDescent="0.25">
      <c r="A464" s="1930" t="s">
        <v>1760</v>
      </c>
      <c r="B464" s="1930" t="str">
        <f>VLOOKUP(A464,' Measure INDEX'!$B$9:$B$732,1,FALSE)</f>
        <v>402251_2019_12_</v>
      </c>
    </row>
    <row r="465" spans="1:2" x14ac:dyDescent="0.25">
      <c r="A465" s="1930" t="s">
        <v>1770</v>
      </c>
      <c r="B465" s="1930" t="str">
        <f>VLOOKUP(A465,' Measure INDEX'!$B$9:$B$732,1,FALSE)</f>
        <v>402300_2019_12_</v>
      </c>
    </row>
    <row r="466" spans="1:2" x14ac:dyDescent="0.25">
      <c r="A466" s="1930" t="s">
        <v>1772</v>
      </c>
      <c r="B466" s="1930" t="str">
        <f>VLOOKUP(A466,' Measure INDEX'!$B$9:$B$732,1,FALSE)</f>
        <v>402350_2019_12_</v>
      </c>
    </row>
    <row r="467" spans="1:2" x14ac:dyDescent="0.25">
      <c r="A467" s="1930" t="s">
        <v>1774</v>
      </c>
      <c r="B467" s="1930" t="str">
        <f>VLOOKUP(A467,' Measure INDEX'!$B$9:$B$732,1,FALSE)</f>
        <v>402400_2019_12_</v>
      </c>
    </row>
    <row r="468" spans="1:2" x14ac:dyDescent="0.25">
      <c r="A468" s="1930" t="s">
        <v>1821</v>
      </c>
      <c r="B468" s="1930" t="str">
        <f>VLOOKUP(A468,' Measure INDEX'!$B$9:$B$732,1,FALSE)</f>
        <v>402450_2019_12_</v>
      </c>
    </row>
    <row r="469" spans="1:2" x14ac:dyDescent="0.25">
      <c r="A469" s="1930" t="s">
        <v>4180</v>
      </c>
      <c r="B469" s="1930" t="e">
        <f>VLOOKUP(A469,' Measure INDEX'!$B$9:$B$732,1,FALSE)</f>
        <v>#N/A</v>
      </c>
    </row>
    <row r="470" spans="1:2" x14ac:dyDescent="0.25">
      <c r="A470" s="1930" t="s">
        <v>1825</v>
      </c>
      <c r="B470" s="1930" t="str">
        <f>VLOOKUP(A470,' Measure INDEX'!$B$9:$B$732,1,FALSE)</f>
        <v>402452_2020_12_</v>
      </c>
    </row>
    <row r="471" spans="1:2" x14ac:dyDescent="0.25">
      <c r="A471" s="1930" t="s">
        <v>4183</v>
      </c>
      <c r="B471" s="1930" t="e">
        <f>VLOOKUP(A471,' Measure INDEX'!$B$9:$B$732,1,FALSE)</f>
        <v>#N/A</v>
      </c>
    </row>
    <row r="472" spans="1:2" x14ac:dyDescent="0.25">
      <c r="A472" s="1930" t="s">
        <v>1829</v>
      </c>
      <c r="B472" s="1930" t="str">
        <f>VLOOKUP(A472,' Measure INDEX'!$B$9:$B$732,1,FALSE)</f>
        <v>402500_2019_12_</v>
      </c>
    </row>
    <row r="473" spans="1:2" x14ac:dyDescent="0.25">
      <c r="A473" s="1930" t="s">
        <v>4186</v>
      </c>
      <c r="B473" s="1930" t="e">
        <f>VLOOKUP(A473,' Measure INDEX'!$B$9:$B$732,1,FALSE)</f>
        <v>#N/A</v>
      </c>
    </row>
    <row r="474" spans="1:2" x14ac:dyDescent="0.25">
      <c r="A474" s="1930" t="s">
        <v>4188</v>
      </c>
      <c r="B474" s="1930" t="e">
        <f>VLOOKUP(A474,' Measure INDEX'!$B$9:$B$732,1,FALSE)</f>
        <v>#N/A</v>
      </c>
    </row>
    <row r="475" spans="1:2" x14ac:dyDescent="0.25">
      <c r="A475" s="1930" t="s">
        <v>4190</v>
      </c>
      <c r="B475" s="1930" t="e">
        <f>VLOOKUP(A475,' Measure INDEX'!$B$9:$B$732,1,FALSE)</f>
        <v>#N/A</v>
      </c>
    </row>
    <row r="476" spans="1:2" x14ac:dyDescent="0.25">
      <c r="A476" s="1930" t="s">
        <v>4192</v>
      </c>
      <c r="B476" s="1930" t="e">
        <f>VLOOKUP(A476,' Measure INDEX'!$B$9:$B$732,1,FALSE)</f>
        <v>#N/A</v>
      </c>
    </row>
    <row r="477" spans="1:2" x14ac:dyDescent="0.25">
      <c r="A477" s="1930" t="s">
        <v>4194</v>
      </c>
      <c r="B477" s="1930" t="e">
        <f>VLOOKUP(A477,' Measure INDEX'!$B$9:$B$732,1,FALSE)</f>
        <v>#N/A</v>
      </c>
    </row>
    <row r="478" spans="1:2" x14ac:dyDescent="0.25">
      <c r="A478" s="1930" t="s">
        <v>4196</v>
      </c>
      <c r="B478" s="1930" t="e">
        <f>VLOOKUP(A478,' Measure INDEX'!$B$9:$B$732,1,FALSE)</f>
        <v>#N/A</v>
      </c>
    </row>
    <row r="479" spans="1:2" x14ac:dyDescent="0.25">
      <c r="A479" s="1930" t="s">
        <v>4198</v>
      </c>
      <c r="B479" s="1930" t="e">
        <f>VLOOKUP(A479,' Measure INDEX'!$B$9:$B$732,1,FALSE)</f>
        <v>#N/A</v>
      </c>
    </row>
    <row r="480" spans="1:2" x14ac:dyDescent="0.25">
      <c r="A480" s="1930" t="s">
        <v>4200</v>
      </c>
      <c r="B480" s="1930" t="e">
        <f>VLOOKUP(A480,' Measure INDEX'!$B$9:$B$732,1,FALSE)</f>
        <v>#N/A</v>
      </c>
    </row>
    <row r="481" spans="1:2" x14ac:dyDescent="0.25">
      <c r="A481" s="1930" t="s">
        <v>4202</v>
      </c>
      <c r="B481" s="1930" t="e">
        <f>VLOOKUP(A481,' Measure INDEX'!$B$9:$B$732,1,FALSE)</f>
        <v>#N/A</v>
      </c>
    </row>
    <row r="482" spans="1:2" x14ac:dyDescent="0.25">
      <c r="A482" s="1930" t="s">
        <v>1888</v>
      </c>
      <c r="B482" s="1930" t="str">
        <f>VLOOKUP(A482,' Measure INDEX'!$B$9:$B$732,1,FALSE)</f>
        <v>402950_2019_12_</v>
      </c>
    </row>
    <row r="483" spans="1:2" x14ac:dyDescent="0.25">
      <c r="A483" s="1930" t="s">
        <v>1890</v>
      </c>
      <c r="B483" s="1930" t="str">
        <f>VLOOKUP(A483,' Measure INDEX'!$B$9:$B$732,1,FALSE)</f>
        <v>403000_2019_12_</v>
      </c>
    </row>
    <row r="484" spans="1:2" x14ac:dyDescent="0.25">
      <c r="A484" s="1930" t="s">
        <v>1891</v>
      </c>
      <c r="B484" s="1930" t="str">
        <f>VLOOKUP(A484,' Measure INDEX'!$B$9:$B$732,1,FALSE)</f>
        <v>403050_2019_12_</v>
      </c>
    </row>
    <row r="485" spans="1:2" x14ac:dyDescent="0.25">
      <c r="A485" s="1930" t="s">
        <v>1893</v>
      </c>
      <c r="B485" s="1930" t="str">
        <f>VLOOKUP(A485,' Measure INDEX'!$B$9:$B$732,1,FALSE)</f>
        <v>403100_2019_12_</v>
      </c>
    </row>
    <row r="486" spans="1:2" x14ac:dyDescent="0.25">
      <c r="A486" s="1930" t="s">
        <v>1895</v>
      </c>
      <c r="B486" s="1930" t="str">
        <f>VLOOKUP(A486,' Measure INDEX'!$B$9:$B$732,1,FALSE)</f>
        <v>403101_2019_12_</v>
      </c>
    </row>
    <row r="487" spans="1:2" x14ac:dyDescent="0.25">
      <c r="A487" s="1930" t="s">
        <v>1896</v>
      </c>
      <c r="B487" s="1930" t="str">
        <f>VLOOKUP(A487,' Measure INDEX'!$B$9:$B$732,1,FALSE)</f>
        <v>403150_2019_12_</v>
      </c>
    </row>
    <row r="488" spans="1:2" x14ac:dyDescent="0.25">
      <c r="A488" s="1930" t="s">
        <v>1898</v>
      </c>
      <c r="B488" s="1930" t="str">
        <f>VLOOKUP(A488,' Measure INDEX'!$B$9:$B$732,1,FALSE)</f>
        <v>403200_2019_12_</v>
      </c>
    </row>
    <row r="489" spans="1:2" x14ac:dyDescent="0.25">
      <c r="A489" s="1930" t="s">
        <v>1900</v>
      </c>
      <c r="B489" s="1930" t="str">
        <f>VLOOKUP(A489,' Measure INDEX'!$B$9:$B$732,1,FALSE)</f>
        <v>403201_2019_12_</v>
      </c>
    </row>
    <row r="490" spans="1:2" x14ac:dyDescent="0.25">
      <c r="A490" s="1930" t="s">
        <v>1901</v>
      </c>
      <c r="B490" s="1930" t="str">
        <f>VLOOKUP(A490,' Measure INDEX'!$B$9:$B$732,1,FALSE)</f>
        <v>403250_2019_12_</v>
      </c>
    </row>
    <row r="491" spans="1:2" x14ac:dyDescent="0.25">
      <c r="A491" s="1930" t="s">
        <v>1903</v>
      </c>
      <c r="B491" s="1930" t="str">
        <f>VLOOKUP(A491,' Measure INDEX'!$B$9:$B$732,1,FALSE)</f>
        <v>403300_2019_12_</v>
      </c>
    </row>
    <row r="492" spans="1:2" x14ac:dyDescent="0.25">
      <c r="A492" s="1930" t="s">
        <v>1905</v>
      </c>
      <c r="B492" s="1930" t="str">
        <f>VLOOKUP(A492,' Measure INDEX'!$B$9:$B$732,1,FALSE)</f>
        <v>403301_2019_12_</v>
      </c>
    </row>
    <row r="493" spans="1:2" x14ac:dyDescent="0.25">
      <c r="A493" s="1930" t="s">
        <v>1924</v>
      </c>
      <c r="B493" s="1930" t="str">
        <f>VLOOKUP(A493,' Measure INDEX'!$B$9:$B$732,1,FALSE)</f>
        <v>403350_2019_12_</v>
      </c>
    </row>
    <row r="494" spans="1:2" x14ac:dyDescent="0.25">
      <c r="A494" s="1930" t="s">
        <v>4209</v>
      </c>
      <c r="B494" s="1930" t="e">
        <f>VLOOKUP(A494,' Measure INDEX'!$B$9:$B$732,1,FALSE)</f>
        <v>#N/A</v>
      </c>
    </row>
    <row r="495" spans="1:2" x14ac:dyDescent="0.25">
      <c r="A495" s="1930" t="s">
        <v>1929</v>
      </c>
      <c r="B495" s="1930" t="str">
        <f>VLOOKUP(A495,' Measure INDEX'!$B$9:$B$732,1,FALSE)</f>
        <v>403400_2019_12_</v>
      </c>
    </row>
    <row r="496" spans="1:2" x14ac:dyDescent="0.25">
      <c r="A496" s="1930" t="s">
        <v>1932</v>
      </c>
      <c r="B496" s="1930" t="str">
        <f>VLOOKUP(A496,' Measure INDEX'!$B$9:$B$732,1,FALSE)</f>
        <v>403450_2019_12_</v>
      </c>
    </row>
    <row r="497" spans="1:2" x14ac:dyDescent="0.25">
      <c r="A497" s="1930" t="s">
        <v>1952</v>
      </c>
      <c r="B497" s="1930" t="str">
        <f>VLOOKUP(A497,' Measure INDEX'!$B$9:$B$732,1,FALSE)</f>
        <v>403470_2020_12_</v>
      </c>
    </row>
    <row r="498" spans="1:2" x14ac:dyDescent="0.25">
      <c r="A498" s="1930" t="s">
        <v>1954</v>
      </c>
      <c r="B498" s="1930" t="str">
        <f>VLOOKUP(A498,' Measure INDEX'!$B$9:$B$732,1,FALSE)</f>
        <v>403471_2020_12_</v>
      </c>
    </row>
    <row r="499" spans="1:2" x14ac:dyDescent="0.25">
      <c r="A499" s="1930" t="s">
        <v>1956</v>
      </c>
      <c r="B499" s="1930" t="str">
        <f>VLOOKUP(A499,' Measure INDEX'!$B$9:$B$732,1,FALSE)</f>
        <v>403480_2020_12_</v>
      </c>
    </row>
    <row r="500" spans="1:2" x14ac:dyDescent="0.25">
      <c r="A500" s="1930" t="s">
        <v>1958</v>
      </c>
      <c r="B500" s="1930" t="str">
        <f>VLOOKUP(A500,' Measure INDEX'!$B$9:$B$732,1,FALSE)</f>
        <v>403481_2020_12_</v>
      </c>
    </row>
    <row r="501" spans="1:2" x14ac:dyDescent="0.25">
      <c r="A501" s="1930" t="s">
        <v>4210</v>
      </c>
      <c r="B501" s="1930" t="e">
        <f>VLOOKUP(A501,' Measure INDEX'!$B$9:$B$732,1,FALSE)</f>
        <v>#N/A</v>
      </c>
    </row>
    <row r="502" spans="1:2" x14ac:dyDescent="0.25">
      <c r="A502" s="1930" t="s">
        <v>4211</v>
      </c>
      <c r="B502" s="1930" t="e">
        <f>VLOOKUP(A502,' Measure INDEX'!$B$9:$B$732,1,FALSE)</f>
        <v>#N/A</v>
      </c>
    </row>
    <row r="503" spans="1:2" x14ac:dyDescent="0.25">
      <c r="A503" s="1930" t="s">
        <v>4212</v>
      </c>
      <c r="B503" s="1930" t="e">
        <f>VLOOKUP(A503,' Measure INDEX'!$B$9:$B$732,1,FALSE)</f>
        <v>#N/A</v>
      </c>
    </row>
    <row r="504" spans="1:2" x14ac:dyDescent="0.25">
      <c r="A504" s="1930" t="s">
        <v>4213</v>
      </c>
      <c r="B504" s="1930" t="e">
        <f>VLOOKUP(A504,' Measure INDEX'!$B$9:$B$732,1,FALSE)</f>
        <v>#N/A</v>
      </c>
    </row>
    <row r="505" spans="1:2" x14ac:dyDescent="0.25">
      <c r="A505" s="1930" t="s">
        <v>4214</v>
      </c>
      <c r="B505" s="1930" t="e">
        <f>VLOOKUP(A505,' Measure INDEX'!$B$9:$B$732,1,FALSE)</f>
        <v>#N/A</v>
      </c>
    </row>
    <row r="506" spans="1:2" x14ac:dyDescent="0.25">
      <c r="A506" s="1930" t="s">
        <v>1989</v>
      </c>
      <c r="B506" s="1930" t="str">
        <f>VLOOKUP(A506,' Measure INDEX'!$B$9:$B$732,1,FALSE)</f>
        <v>403650_2019_12_</v>
      </c>
    </row>
    <row r="507" spans="1:2" x14ac:dyDescent="0.25">
      <c r="A507" s="1930" t="s">
        <v>1991</v>
      </c>
      <c r="B507" s="1930" t="str">
        <f>VLOOKUP(A507,' Measure INDEX'!$B$9:$B$732,1,FALSE)</f>
        <v>403700_2019_12_</v>
      </c>
    </row>
    <row r="508" spans="1:2" x14ac:dyDescent="0.25">
      <c r="A508" s="1930" t="s">
        <v>1993</v>
      </c>
      <c r="B508" s="1930" t="str">
        <f>VLOOKUP(A508,' Measure INDEX'!$B$9:$B$732,1,FALSE)</f>
        <v>403750_2019_12_</v>
      </c>
    </row>
    <row r="509" spans="1:2" x14ac:dyDescent="0.25">
      <c r="A509" s="1930" t="s">
        <v>2007</v>
      </c>
      <c r="B509" s="1930" t="str">
        <f>VLOOKUP(A509,' Measure INDEX'!$B$9:$B$732,1,FALSE)</f>
        <v>403800_2019_12_</v>
      </c>
    </row>
    <row r="510" spans="1:2" x14ac:dyDescent="0.25">
      <c r="A510" s="1930" t="s">
        <v>2009</v>
      </c>
      <c r="B510" s="1930" t="str">
        <f>VLOOKUP(A510,' Measure INDEX'!$B$9:$B$732,1,FALSE)</f>
        <v>403801_2019_12_</v>
      </c>
    </row>
    <row r="511" spans="1:2" x14ac:dyDescent="0.25">
      <c r="A511" s="1930" t="s">
        <v>2010</v>
      </c>
      <c r="B511" s="1930" t="str">
        <f>VLOOKUP(A511,' Measure INDEX'!$B$9:$B$732,1,FALSE)</f>
        <v>403850_2019_12_</v>
      </c>
    </row>
    <row r="512" spans="1:2" x14ac:dyDescent="0.25">
      <c r="A512" s="1930" t="s">
        <v>2012</v>
      </c>
      <c r="B512" s="1930" t="str">
        <f>VLOOKUP(A512,' Measure INDEX'!$B$9:$B$732,1,FALSE)</f>
        <v>403900_2019_12_</v>
      </c>
    </row>
    <row r="513" spans="1:2" x14ac:dyDescent="0.25">
      <c r="A513" s="1930" t="s">
        <v>2014</v>
      </c>
      <c r="B513" s="1930" t="str">
        <f>VLOOKUP(A513,' Measure INDEX'!$B$9:$B$732,1,FALSE)</f>
        <v>403901_2019_12_</v>
      </c>
    </row>
    <row r="514" spans="1:2" x14ac:dyDescent="0.25">
      <c r="A514" s="1930" t="s">
        <v>2015</v>
      </c>
      <c r="B514" s="1930" t="str">
        <f>VLOOKUP(A514,' Measure INDEX'!$B$9:$B$732,1,FALSE)</f>
        <v>403950_2019_12_</v>
      </c>
    </row>
    <row r="515" spans="1:2" x14ac:dyDescent="0.25">
      <c r="A515" s="1930" t="s">
        <v>2017</v>
      </c>
      <c r="B515" s="1930" t="str">
        <f>VLOOKUP(A515,' Measure INDEX'!$B$9:$B$732,1,FALSE)</f>
        <v>404000_2019_12_</v>
      </c>
    </row>
    <row r="516" spans="1:2" x14ac:dyDescent="0.25">
      <c r="A516" s="1930" t="s">
        <v>2019</v>
      </c>
      <c r="B516" s="1930" t="str">
        <f>VLOOKUP(A516,' Measure INDEX'!$B$9:$B$732,1,FALSE)</f>
        <v>404001_2019_12_</v>
      </c>
    </row>
    <row r="517" spans="1:2" x14ac:dyDescent="0.25">
      <c r="A517" s="1930" t="s">
        <v>2020</v>
      </c>
      <c r="B517" s="1930" t="str">
        <f>VLOOKUP(A517,' Measure INDEX'!$B$9:$B$732,1,FALSE)</f>
        <v>404050_2019_12_</v>
      </c>
    </row>
    <row r="518" spans="1:2" x14ac:dyDescent="0.25">
      <c r="A518" s="1930" t="s">
        <v>2022</v>
      </c>
      <c r="B518" s="1930" t="str">
        <f>VLOOKUP(A518,' Measure INDEX'!$B$9:$B$732,1,FALSE)</f>
        <v>404100_2019_12_</v>
      </c>
    </row>
    <row r="519" spans="1:2" x14ac:dyDescent="0.25">
      <c r="A519" s="1930" t="s">
        <v>2024</v>
      </c>
      <c r="B519" s="1930" t="str">
        <f>VLOOKUP(A519,' Measure INDEX'!$B$9:$B$732,1,FALSE)</f>
        <v>404101_2019_12_</v>
      </c>
    </row>
    <row r="520" spans="1:2" x14ac:dyDescent="0.25">
      <c r="A520" s="1930" t="s">
        <v>2025</v>
      </c>
      <c r="B520" s="1930" t="str">
        <f>VLOOKUP(A520,' Measure INDEX'!$B$9:$B$732,1,FALSE)</f>
        <v>404150_2019_12_</v>
      </c>
    </row>
    <row r="521" spans="1:2" x14ac:dyDescent="0.25">
      <c r="A521" s="1930" t="s">
        <v>2044</v>
      </c>
      <c r="B521" s="1930" t="str">
        <f>VLOOKUP(A521,' Measure INDEX'!$B$9:$B$732,1,FALSE)</f>
        <v>404200_2019_12_</v>
      </c>
    </row>
    <row r="522" spans="1:2" x14ac:dyDescent="0.25">
      <c r="A522" s="1930" t="s">
        <v>2046</v>
      </c>
      <c r="B522" s="1930" t="str">
        <f>VLOOKUP(A522,' Measure INDEX'!$B$9:$B$732,1,FALSE)</f>
        <v>404250_2019_12_</v>
      </c>
    </row>
    <row r="523" spans="1:2" x14ac:dyDescent="0.25">
      <c r="A523" s="1930" t="s">
        <v>2059</v>
      </c>
      <c r="B523" s="1930" t="str">
        <f>VLOOKUP(A523,' Measure INDEX'!$B$9:$B$732,1,FALSE)</f>
        <v>404300_2019_12_</v>
      </c>
    </row>
    <row r="524" spans="1:2" x14ac:dyDescent="0.25">
      <c r="A524" s="1930" t="s">
        <v>2074</v>
      </c>
      <c r="B524" s="1930" t="str">
        <f>VLOOKUP(A524,' Measure INDEX'!$B$9:$B$732,1,FALSE)</f>
        <v>404350_2019_12_</v>
      </c>
    </row>
    <row r="525" spans="1:2" x14ac:dyDescent="0.25">
      <c r="A525" s="1930" t="s">
        <v>2086</v>
      </c>
      <c r="B525" s="1930" t="str">
        <f>VLOOKUP(A525,' Measure INDEX'!$B$9:$B$732,1,FALSE)</f>
        <v>404400_2019_12_</v>
      </c>
    </row>
    <row r="526" spans="1:2" x14ac:dyDescent="0.25">
      <c r="A526" s="1930" t="s">
        <v>2097</v>
      </c>
      <c r="B526" s="1930" t="str">
        <f>VLOOKUP(A526,' Measure INDEX'!$B$9:$B$732,1,FALSE)</f>
        <v>404450_2019_12_</v>
      </c>
    </row>
    <row r="527" spans="1:2" x14ac:dyDescent="0.25">
      <c r="A527" s="1930" t="s">
        <v>2100</v>
      </c>
      <c r="B527" s="1930" t="str">
        <f>VLOOKUP(A527,' Measure INDEX'!$B$9:$B$732,1,FALSE)</f>
        <v>404500_2019_12_</v>
      </c>
    </row>
    <row r="528" spans="1:2" x14ac:dyDescent="0.25">
      <c r="A528" s="1930" t="s">
        <v>2102</v>
      </c>
      <c r="B528" s="1930" t="str">
        <f>VLOOKUP(A528,' Measure INDEX'!$B$9:$B$732,1,FALSE)</f>
        <v>404550_2019_12_</v>
      </c>
    </row>
    <row r="529" spans="1:2" x14ac:dyDescent="0.25">
      <c r="A529" s="1930" t="s">
        <v>2104</v>
      </c>
      <c r="B529" s="1930" t="str">
        <f>VLOOKUP(A529,' Measure INDEX'!$B$9:$B$732,1,FALSE)</f>
        <v>404600_2019_12_</v>
      </c>
    </row>
    <row r="530" spans="1:2" x14ac:dyDescent="0.25">
      <c r="A530" s="1930" t="s">
        <v>2106</v>
      </c>
      <c r="B530" s="1930" t="str">
        <f>VLOOKUP(A530,' Measure INDEX'!$B$9:$B$732,1,FALSE)</f>
        <v>404650_2019_12_</v>
      </c>
    </row>
    <row r="531" spans="1:2" x14ac:dyDescent="0.25">
      <c r="A531" s="1930" t="s">
        <v>4215</v>
      </c>
      <c r="B531" s="1930" t="e">
        <f>VLOOKUP(A531,' Measure INDEX'!$B$9:$B$732,1,FALSE)</f>
        <v>#N/A</v>
      </c>
    </row>
    <row r="532" spans="1:2" x14ac:dyDescent="0.25">
      <c r="A532" s="1930" t="s">
        <v>2110</v>
      </c>
      <c r="B532" s="1930" t="str">
        <f>VLOOKUP(A532,' Measure INDEX'!$B$9:$B$732,1,FALSE)</f>
        <v>404700_2019_12_</v>
      </c>
    </row>
    <row r="533" spans="1:2" x14ac:dyDescent="0.25">
      <c r="A533" s="1930" t="s">
        <v>2112</v>
      </c>
      <c r="B533" s="1930" t="str">
        <f>VLOOKUP(A533,' Measure INDEX'!$B$9:$B$732,1,FALSE)</f>
        <v>404750_2019_12_</v>
      </c>
    </row>
    <row r="534" spans="1:2" x14ac:dyDescent="0.25">
      <c r="A534" s="1930" t="s">
        <v>2114</v>
      </c>
      <c r="B534" s="1930" t="str">
        <f>VLOOKUP(A534,' Measure INDEX'!$B$9:$B$732,1,FALSE)</f>
        <v>404800_2019_12_</v>
      </c>
    </row>
    <row r="535" spans="1:2" x14ac:dyDescent="0.25">
      <c r="A535" s="1930" t="s">
        <v>2116</v>
      </c>
      <c r="B535" s="1930" t="str">
        <f>VLOOKUP(A535,' Measure INDEX'!$B$9:$B$732,1,FALSE)</f>
        <v>404850_2019_12_</v>
      </c>
    </row>
    <row r="536" spans="1:2" x14ac:dyDescent="0.25">
      <c r="A536" s="1930" t="s">
        <v>2118</v>
      </c>
      <c r="B536" s="1930" t="str">
        <f>VLOOKUP(A536,' Measure INDEX'!$B$9:$B$732,1,FALSE)</f>
        <v>404900_2019_12_</v>
      </c>
    </row>
    <row r="537" spans="1:2" x14ac:dyDescent="0.25">
      <c r="A537" s="1930" t="s">
        <v>2120</v>
      </c>
      <c r="B537" s="1930" t="str">
        <f>VLOOKUP(A537,' Measure INDEX'!$B$9:$B$732,1,FALSE)</f>
        <v>404950_2019_12_</v>
      </c>
    </row>
    <row r="538" spans="1:2" x14ac:dyDescent="0.25">
      <c r="A538" s="1930" t="s">
        <v>2122</v>
      </c>
      <c r="B538" s="1930" t="str">
        <f>VLOOKUP(A538,' Measure INDEX'!$B$9:$B$732,1,FALSE)</f>
        <v>405000_2019_12_</v>
      </c>
    </row>
    <row r="539" spans="1:2" x14ac:dyDescent="0.25">
      <c r="A539" s="1930" t="s">
        <v>2124</v>
      </c>
      <c r="B539" s="1930" t="str">
        <f>VLOOKUP(A539,' Measure INDEX'!$B$9:$B$732,1,FALSE)</f>
        <v>405050_2019_12_</v>
      </c>
    </row>
    <row r="540" spans="1:2" x14ac:dyDescent="0.25">
      <c r="A540" s="1930" t="s">
        <v>2126</v>
      </c>
      <c r="B540" s="1930" t="str">
        <f>VLOOKUP(A540,' Measure INDEX'!$B$9:$B$732,1,FALSE)</f>
        <v>405100_2019_12_</v>
      </c>
    </row>
    <row r="541" spans="1:2" x14ac:dyDescent="0.25">
      <c r="A541" s="1930" t="s">
        <v>2128</v>
      </c>
      <c r="B541" s="1930" t="str">
        <f>VLOOKUP(A541,' Measure INDEX'!$B$9:$B$732,1,FALSE)</f>
        <v>405150_2019_12_</v>
      </c>
    </row>
    <row r="542" spans="1:2" x14ac:dyDescent="0.25">
      <c r="A542" s="1930" t="s">
        <v>2130</v>
      </c>
      <c r="B542" s="1930" t="str">
        <f>VLOOKUP(A542,' Measure INDEX'!$B$9:$B$732,1,FALSE)</f>
        <v>405200_2019_12_</v>
      </c>
    </row>
    <row r="543" spans="1:2" x14ac:dyDescent="0.25">
      <c r="A543" s="1930" t="s">
        <v>2132</v>
      </c>
      <c r="B543" s="1930" t="str">
        <f>VLOOKUP(A543,' Measure INDEX'!$B$9:$B$732,1,FALSE)</f>
        <v>405250_2019_12_</v>
      </c>
    </row>
    <row r="544" spans="1:2" x14ac:dyDescent="0.25">
      <c r="A544" s="1930" t="s">
        <v>4216</v>
      </c>
      <c r="B544" s="1930" t="e">
        <f>VLOOKUP(A544,' Measure INDEX'!$B$9:$B$732,1,FALSE)</f>
        <v>#N/A</v>
      </c>
    </row>
    <row r="545" spans="1:2" x14ac:dyDescent="0.25">
      <c r="A545" s="1930" t="s">
        <v>2136</v>
      </c>
      <c r="B545" s="1930" t="str">
        <f>VLOOKUP(A545,' Measure INDEX'!$B$9:$B$732,1,FALSE)</f>
        <v>405300_2019_12_</v>
      </c>
    </row>
    <row r="546" spans="1:2" x14ac:dyDescent="0.25">
      <c r="A546" s="1930" t="s">
        <v>2138</v>
      </c>
      <c r="B546" s="1930" t="str">
        <f>VLOOKUP(A546,' Measure INDEX'!$B$9:$B$732,1,FALSE)</f>
        <v>405350_2019_12_</v>
      </c>
    </row>
    <row r="547" spans="1:2" x14ac:dyDescent="0.25">
      <c r="A547" s="1930" t="s">
        <v>2140</v>
      </c>
      <c r="B547" s="1930" t="str">
        <f>VLOOKUP(A547,' Measure INDEX'!$B$9:$B$732,1,FALSE)</f>
        <v>405400_2019_12_</v>
      </c>
    </row>
    <row r="548" spans="1:2" x14ac:dyDescent="0.25">
      <c r="A548" s="1930" t="s">
        <v>2145</v>
      </c>
      <c r="B548" s="1930" t="str">
        <f>VLOOKUP(A548,' Measure INDEX'!$B$9:$B$732,1,FALSE)</f>
        <v>405410_2019_12_</v>
      </c>
    </row>
    <row r="549" spans="1:2" x14ac:dyDescent="0.25">
      <c r="A549" s="1930" t="s">
        <v>4217</v>
      </c>
      <c r="B549" s="1930" t="e">
        <f>VLOOKUP(A549,' Measure INDEX'!$B$9:$B$732,1,FALSE)</f>
        <v>#N/A</v>
      </c>
    </row>
    <row r="550" spans="1:2" x14ac:dyDescent="0.25">
      <c r="A550" s="1930" t="s">
        <v>4218</v>
      </c>
      <c r="B550" s="1930" t="e">
        <f>VLOOKUP(A550,' Measure INDEX'!$B$9:$B$732,1,FALSE)</f>
        <v>#N/A</v>
      </c>
    </row>
    <row r="551" spans="1:2" x14ac:dyDescent="0.25">
      <c r="A551" s="1930" t="s">
        <v>2183</v>
      </c>
      <c r="B551" s="1930" t="str">
        <f>VLOOKUP(A551,' Measure INDEX'!$B$9:$B$732,1,FALSE)</f>
        <v>405500_2019_12_</v>
      </c>
    </row>
    <row r="552" spans="1:2" x14ac:dyDescent="0.25">
      <c r="A552" s="1930" t="s">
        <v>4219</v>
      </c>
      <c r="B552" s="1930" t="e">
        <f>VLOOKUP(A552,' Measure INDEX'!$B$9:$B$732,1,FALSE)</f>
        <v>#N/A</v>
      </c>
    </row>
    <row r="553" spans="1:2" x14ac:dyDescent="0.25">
      <c r="A553" s="1930" t="s">
        <v>4220</v>
      </c>
      <c r="B553" s="1930" t="e">
        <f>VLOOKUP(A553,' Measure INDEX'!$B$9:$B$732,1,FALSE)</f>
        <v>#N/A</v>
      </c>
    </row>
    <row r="554" spans="1:2" x14ac:dyDescent="0.25">
      <c r="A554" s="1930" t="s">
        <v>2189</v>
      </c>
      <c r="B554" s="1930" t="str">
        <f>VLOOKUP(A554,' Measure INDEX'!$B$9:$B$732,1,FALSE)</f>
        <v>405600_2019_12_</v>
      </c>
    </row>
    <row r="555" spans="1:2" x14ac:dyDescent="0.25">
      <c r="A555" s="1930" t="s">
        <v>4221</v>
      </c>
      <c r="B555" s="1930" t="e">
        <f>VLOOKUP(A555,' Measure INDEX'!$B$9:$B$732,1,FALSE)</f>
        <v>#N/A</v>
      </c>
    </row>
    <row r="556" spans="1:2" x14ac:dyDescent="0.25">
      <c r="A556" s="1930" t="s">
        <v>4222</v>
      </c>
      <c r="B556" s="1930" t="e">
        <f>VLOOKUP(A556,' Measure INDEX'!$B$9:$B$732,1,FALSE)</f>
        <v>#N/A</v>
      </c>
    </row>
    <row r="557" spans="1:2" x14ac:dyDescent="0.25">
      <c r="A557" s="1930" t="s">
        <v>2195</v>
      </c>
      <c r="B557" s="1930" t="str">
        <f>VLOOKUP(A557,' Measure INDEX'!$B$9:$B$732,1,FALSE)</f>
        <v>405700_2019_12_</v>
      </c>
    </row>
    <row r="558" spans="1:2" x14ac:dyDescent="0.25">
      <c r="A558" s="1930" t="s">
        <v>2197</v>
      </c>
      <c r="B558" s="1930" t="str">
        <f>VLOOKUP(A558,' Measure INDEX'!$B$9:$B$732,1,FALSE)</f>
        <v>405750_2019_12_</v>
      </c>
    </row>
    <row r="559" spans="1:2" x14ac:dyDescent="0.25">
      <c r="A559" s="1930" t="s">
        <v>2198</v>
      </c>
      <c r="B559" s="1930" t="str">
        <f>VLOOKUP(A559,' Measure INDEX'!$B$9:$B$732,1,FALSE)</f>
        <v>405751_2020_12_</v>
      </c>
    </row>
    <row r="560" spans="1:2" x14ac:dyDescent="0.25">
      <c r="A560" s="1930" t="s">
        <v>2215</v>
      </c>
      <c r="B560" s="1930" t="str">
        <f>VLOOKUP(A560,' Measure INDEX'!$B$9:$B$732,1,FALSE)</f>
        <v>405800_2019_12_</v>
      </c>
    </row>
    <row r="561" spans="1:2" x14ac:dyDescent="0.25">
      <c r="A561" s="1930" t="s">
        <v>2220</v>
      </c>
      <c r="B561" s="1930" t="str">
        <f>VLOOKUP(A561,' Measure INDEX'!$B$9:$B$732,1,FALSE)</f>
        <v>405825_2019_12_</v>
      </c>
    </row>
    <row r="562" spans="1:2" x14ac:dyDescent="0.25">
      <c r="A562" s="1930" t="s">
        <v>4223</v>
      </c>
      <c r="B562" s="1930" t="e">
        <f>VLOOKUP(A562,' Measure INDEX'!$B$9:$B$732,1,FALSE)</f>
        <v>#N/A</v>
      </c>
    </row>
    <row r="563" spans="1:2" x14ac:dyDescent="0.25">
      <c r="A563" s="1930" t="s">
        <v>4224</v>
      </c>
      <c r="B563" s="1930" t="e">
        <f>VLOOKUP(A563,' Measure INDEX'!$B$9:$B$732,1,FALSE)</f>
        <v>#N/A</v>
      </c>
    </row>
    <row r="564" spans="1:2" x14ac:dyDescent="0.25">
      <c r="A564" s="1930" t="s">
        <v>4225</v>
      </c>
      <c r="B564" s="1930" t="e">
        <f>VLOOKUP(A564,' Measure INDEX'!$B$9:$B$732,1,FALSE)</f>
        <v>#N/A</v>
      </c>
    </row>
    <row r="565" spans="1:2" x14ac:dyDescent="0.25">
      <c r="A565" s="1930" t="s">
        <v>4226</v>
      </c>
      <c r="B565" s="1930" t="e">
        <f>VLOOKUP(A565,' Measure INDEX'!$B$9:$B$732,1,FALSE)</f>
        <v>#N/A</v>
      </c>
    </row>
    <row r="566" spans="1:2" x14ac:dyDescent="0.25">
      <c r="A566" s="1930" t="s">
        <v>4227</v>
      </c>
      <c r="B566" s="1930" t="e">
        <f>VLOOKUP(A566,' Measure INDEX'!$B$9:$B$732,1,FALSE)</f>
        <v>#N/A</v>
      </c>
    </row>
    <row r="567" spans="1:2" x14ac:dyDescent="0.25">
      <c r="A567" s="1930" t="s">
        <v>4228</v>
      </c>
      <c r="B567" s="1930" t="e">
        <f>VLOOKUP(A567,' Measure INDEX'!$B$9:$B$732,1,FALSE)</f>
        <v>#N/A</v>
      </c>
    </row>
    <row r="568" spans="1:2" x14ac:dyDescent="0.25">
      <c r="A568" s="1930" t="s">
        <v>4229</v>
      </c>
      <c r="B568" s="1930" t="e">
        <f>VLOOKUP(A568,' Measure INDEX'!$B$9:$B$732,1,FALSE)</f>
        <v>#N/A</v>
      </c>
    </row>
    <row r="569" spans="1:2" x14ac:dyDescent="0.25">
      <c r="A569" s="1930" t="s">
        <v>4230</v>
      </c>
      <c r="B569" s="1930" t="e">
        <f>VLOOKUP(A569,' Measure INDEX'!$B$9:$B$732,1,FALSE)</f>
        <v>#N/A</v>
      </c>
    </row>
    <row r="570" spans="1:2" x14ac:dyDescent="0.25">
      <c r="A570" s="1930" t="s">
        <v>4231</v>
      </c>
      <c r="B570" s="1930" t="e">
        <f>VLOOKUP(A570,' Measure INDEX'!$B$9:$B$732,1,FALSE)</f>
        <v>#N/A</v>
      </c>
    </row>
    <row r="571" spans="1:2" x14ac:dyDescent="0.25">
      <c r="A571" s="1930" t="s">
        <v>4232</v>
      </c>
      <c r="B571" s="1930" t="e">
        <f>VLOOKUP(A571,' Measure INDEX'!$B$9:$B$732,1,FALSE)</f>
        <v>#N/A</v>
      </c>
    </row>
    <row r="572" spans="1:2" x14ac:dyDescent="0.25">
      <c r="A572" s="1930" t="s">
        <v>4233</v>
      </c>
      <c r="B572" s="1930" t="e">
        <f>VLOOKUP(A572,' Measure INDEX'!$B$9:$B$732,1,FALSE)</f>
        <v>#N/A</v>
      </c>
    </row>
    <row r="573" spans="1:2" x14ac:dyDescent="0.25">
      <c r="A573" s="1930" t="s">
        <v>4234</v>
      </c>
      <c r="B573" s="1930" t="e">
        <f>VLOOKUP(A573,' Measure INDEX'!$B$9:$B$732,1,FALSE)</f>
        <v>#N/A</v>
      </c>
    </row>
    <row r="574" spans="1:2" x14ac:dyDescent="0.25">
      <c r="A574" s="1930" t="s">
        <v>4235</v>
      </c>
      <c r="B574" s="1930" t="e">
        <f>VLOOKUP(A574,' Measure INDEX'!$B$9:$B$732,1,FALSE)</f>
        <v>#N/A</v>
      </c>
    </row>
    <row r="575" spans="1:2" x14ac:dyDescent="0.25">
      <c r="A575" s="1930" t="s">
        <v>4236</v>
      </c>
      <c r="B575" s="1930" t="e">
        <f>VLOOKUP(A575,' Measure INDEX'!$B$9:$B$732,1,FALSE)</f>
        <v>#N/A</v>
      </c>
    </row>
    <row r="576" spans="1:2" x14ac:dyDescent="0.25">
      <c r="A576" s="1930" t="s">
        <v>4237</v>
      </c>
      <c r="B576" s="1930" t="e">
        <f>VLOOKUP(A576,' Measure INDEX'!$B$9:$B$732,1,FALSE)</f>
        <v>#N/A</v>
      </c>
    </row>
    <row r="577" spans="1:2" x14ac:dyDescent="0.25">
      <c r="A577" s="1930" t="s">
        <v>4238</v>
      </c>
      <c r="B577" s="1930" t="e">
        <f>VLOOKUP(A577,' Measure INDEX'!$B$9:$B$732,1,FALSE)</f>
        <v>#N/A</v>
      </c>
    </row>
    <row r="578" spans="1:2" x14ac:dyDescent="0.25">
      <c r="A578" s="1930" t="s">
        <v>4239</v>
      </c>
      <c r="B578" s="1930" t="e">
        <f>VLOOKUP(A578,' Measure INDEX'!$B$9:$B$732,1,FALSE)</f>
        <v>#N/A</v>
      </c>
    </row>
    <row r="579" spans="1:2" x14ac:dyDescent="0.25">
      <c r="A579" s="1930" t="s">
        <v>4240</v>
      </c>
      <c r="B579" s="1930" t="e">
        <f>VLOOKUP(A579,' Measure INDEX'!$B$9:$B$732,1,FALSE)</f>
        <v>#N/A</v>
      </c>
    </row>
    <row r="580" spans="1:2" x14ac:dyDescent="0.25">
      <c r="A580" s="1930" t="s">
        <v>4241</v>
      </c>
      <c r="B580" s="1930" t="e">
        <f>VLOOKUP(A580,' Measure INDEX'!$B$9:$B$732,1,FALSE)</f>
        <v>#N/A</v>
      </c>
    </row>
    <row r="581" spans="1:2" x14ac:dyDescent="0.25">
      <c r="A581" s="1930" t="s">
        <v>4242</v>
      </c>
      <c r="B581" s="1930" t="e">
        <f>VLOOKUP(A581,' Measure INDEX'!$B$9:$B$732,1,FALSE)</f>
        <v>#N/A</v>
      </c>
    </row>
    <row r="582" spans="1:2" x14ac:dyDescent="0.25">
      <c r="A582" s="1930" t="s">
        <v>4243</v>
      </c>
      <c r="B582" s="1930" t="e">
        <f>VLOOKUP(A582,' Measure INDEX'!$B$9:$B$732,1,FALSE)</f>
        <v>#N/A</v>
      </c>
    </row>
    <row r="583" spans="1:2" x14ac:dyDescent="0.25">
      <c r="A583" s="1930" t="s">
        <v>4244</v>
      </c>
      <c r="B583" s="1930" t="e">
        <f>VLOOKUP(A583,' Measure INDEX'!$B$9:$B$732,1,FALSE)</f>
        <v>#N/A</v>
      </c>
    </row>
    <row r="584" spans="1:2" x14ac:dyDescent="0.25">
      <c r="A584" s="1930" t="s">
        <v>4245</v>
      </c>
      <c r="B584" s="1930" t="e">
        <f>VLOOKUP(A584,' Measure INDEX'!$B$9:$B$732,1,FALSE)</f>
        <v>#N/A</v>
      </c>
    </row>
    <row r="585" spans="1:2" x14ac:dyDescent="0.25">
      <c r="A585" s="1930" t="s">
        <v>4246</v>
      </c>
      <c r="B585" s="1930" t="e">
        <f>VLOOKUP(A585,' Measure INDEX'!$B$9:$B$732,1,FALSE)</f>
        <v>#N/A</v>
      </c>
    </row>
    <row r="586" spans="1:2" x14ac:dyDescent="0.25">
      <c r="A586" s="1930" t="s">
        <v>2340</v>
      </c>
      <c r="B586" s="1930" t="str">
        <f>VLOOKUP(A586,' Measure INDEX'!$B$9:$B$732,1,FALSE)</f>
        <v>406025_2020_12_</v>
      </c>
    </row>
    <row r="587" spans="1:2" x14ac:dyDescent="0.25">
      <c r="A587" s="1930" t="s">
        <v>2343</v>
      </c>
      <c r="B587" s="1930" t="str">
        <f>VLOOKUP(A587,' Measure INDEX'!$B$9:$B$732,1,FALSE)</f>
        <v>406050_2020_12_</v>
      </c>
    </row>
    <row r="588" spans="1:2" x14ac:dyDescent="0.25">
      <c r="A588" s="1930" t="s">
        <v>2345</v>
      </c>
      <c r="B588" s="1930" t="str">
        <f>VLOOKUP(A588,' Measure INDEX'!$B$9:$B$732,1,FALSE)</f>
        <v>406075_2020_12_</v>
      </c>
    </row>
    <row r="589" spans="1:2" x14ac:dyDescent="0.25">
      <c r="A589" s="1930" t="s">
        <v>2347</v>
      </c>
      <c r="B589" s="1930" t="str">
        <f>VLOOKUP(A589,' Measure INDEX'!$B$9:$B$732,1,FALSE)</f>
        <v>406100_2020_12_</v>
      </c>
    </row>
    <row r="590" spans="1:2" x14ac:dyDescent="0.25">
      <c r="A590" s="1930" t="s">
        <v>2349</v>
      </c>
      <c r="B590" s="1930" t="str">
        <f>VLOOKUP(A590,' Measure INDEX'!$B$9:$B$732,1,FALSE)</f>
        <v>406125_2020_12_</v>
      </c>
    </row>
    <row r="591" spans="1:2" x14ac:dyDescent="0.25">
      <c r="A591" s="1930" t="s">
        <v>2351</v>
      </c>
      <c r="B591" s="1930" t="str">
        <f>VLOOKUP(A591,' Measure INDEX'!$B$9:$B$732,1,FALSE)</f>
        <v>406150_2020_12_</v>
      </c>
    </row>
    <row r="592" spans="1:2" x14ac:dyDescent="0.25">
      <c r="A592" s="1930" t="s">
        <v>2353</v>
      </c>
      <c r="B592" s="1930" t="str">
        <f>VLOOKUP(A592,' Measure INDEX'!$B$9:$B$732,1,FALSE)</f>
        <v>406175_2020_12_</v>
      </c>
    </row>
    <row r="593" spans="1:2" x14ac:dyDescent="0.25">
      <c r="A593" s="1930" t="s">
        <v>2355</v>
      </c>
      <c r="B593" s="1930" t="str">
        <f>VLOOKUP(A593,' Measure INDEX'!$B$9:$B$732,1,FALSE)</f>
        <v>406200_2020_12_</v>
      </c>
    </row>
    <row r="594" spans="1:2" x14ac:dyDescent="0.25">
      <c r="A594" s="1930" t="s">
        <v>2357</v>
      </c>
      <c r="B594" s="1930" t="str">
        <f>VLOOKUP(A594,' Measure INDEX'!$B$9:$B$732,1,FALSE)</f>
        <v>406225_2020_12_</v>
      </c>
    </row>
    <row r="595" spans="1:2" x14ac:dyDescent="0.25">
      <c r="A595" s="1930" t="s">
        <v>2359</v>
      </c>
      <c r="B595" s="1930" t="str">
        <f>VLOOKUP(A595,' Measure INDEX'!$B$9:$B$732,1,FALSE)</f>
        <v>406250_2020_12_</v>
      </c>
    </row>
    <row r="596" spans="1:2" x14ac:dyDescent="0.25">
      <c r="A596" s="1930" t="s">
        <v>2361</v>
      </c>
      <c r="B596" s="1930" t="str">
        <f>VLOOKUP(A596,' Measure INDEX'!$B$9:$B$732,1,FALSE)</f>
        <v>406275_2020_12_</v>
      </c>
    </row>
    <row r="597" spans="1:2" x14ac:dyDescent="0.25">
      <c r="A597" s="1930" t="s">
        <v>2363</v>
      </c>
      <c r="B597" s="1930" t="str">
        <f>VLOOKUP(A597,' Measure INDEX'!$B$9:$B$732,1,FALSE)</f>
        <v>406300_2020_12_</v>
      </c>
    </row>
    <row r="598" spans="1:2" x14ac:dyDescent="0.25">
      <c r="A598" s="1930" t="s">
        <v>4092</v>
      </c>
      <c r="B598" s="1930" t="e">
        <f>VLOOKUP(A598,' Measure INDEX'!$B$9:$B$732,1,FALSE)</f>
        <v>#N/A</v>
      </c>
    </row>
    <row r="599" spans="1:2" x14ac:dyDescent="0.25">
      <c r="A599" s="1930" t="s">
        <v>2405</v>
      </c>
      <c r="B599" s="1930" t="str">
        <f>VLOOKUP(A599,' Measure INDEX'!$B$9:$B$732,1,FALSE)</f>
        <v>500050_2019_12_</v>
      </c>
    </row>
    <row r="600" spans="1:2" x14ac:dyDescent="0.25">
      <c r="A600" s="1930" t="s">
        <v>2408</v>
      </c>
      <c r="B600" s="1930" t="str">
        <f>VLOOKUP(A600,' Measure INDEX'!$B$9:$B$732,1,FALSE)</f>
        <v>500051_2019_12_</v>
      </c>
    </row>
    <row r="601" spans="1:2" x14ac:dyDescent="0.25">
      <c r="A601" s="1930" t="s">
        <v>2410</v>
      </c>
      <c r="B601" s="1930" t="str">
        <f>VLOOKUP(A601,' Measure INDEX'!$B$9:$B$732,1,FALSE)</f>
        <v>500100_2019_12_</v>
      </c>
    </row>
    <row r="602" spans="1:2" x14ac:dyDescent="0.25">
      <c r="A602" s="1930" t="s">
        <v>2412</v>
      </c>
      <c r="B602" s="1930" t="str">
        <f>VLOOKUP(A602,' Measure INDEX'!$B$9:$B$732,1,FALSE)</f>
        <v>500101_2019_12_</v>
      </c>
    </row>
    <row r="603" spans="1:2" x14ac:dyDescent="0.25">
      <c r="A603" s="1930" t="s">
        <v>2413</v>
      </c>
      <c r="B603" s="1930" t="str">
        <f>VLOOKUP(A603,' Measure INDEX'!$B$9:$B$732,1,FALSE)</f>
        <v>500150_2019_12_</v>
      </c>
    </row>
    <row r="604" spans="1:2" x14ac:dyDescent="0.25">
      <c r="A604" s="1930" t="s">
        <v>2415</v>
      </c>
      <c r="B604" s="1930" t="str">
        <f>VLOOKUP(A604,' Measure INDEX'!$B$9:$B$732,1,FALSE)</f>
        <v>500151_2019_12_</v>
      </c>
    </row>
    <row r="605" spans="1:2" x14ac:dyDescent="0.25">
      <c r="A605" s="1930" t="s">
        <v>2416</v>
      </c>
      <c r="B605" s="1930" t="str">
        <f>VLOOKUP(A605,' Measure INDEX'!$B$9:$B$732,1,FALSE)</f>
        <v>500200_2019_12_</v>
      </c>
    </row>
    <row r="606" spans="1:2" x14ac:dyDescent="0.25">
      <c r="A606" s="1930" t="s">
        <v>2418</v>
      </c>
      <c r="B606" s="1930" t="str">
        <f>VLOOKUP(A606,' Measure INDEX'!$B$9:$B$732,1,FALSE)</f>
        <v>500201_2019_12_</v>
      </c>
    </row>
    <row r="607" spans="1:2" x14ac:dyDescent="0.25">
      <c r="A607" s="1930" t="s">
        <v>2424</v>
      </c>
      <c r="B607" s="1930" t="str">
        <f>VLOOKUP(A607,' Measure INDEX'!$B$9:$B$732,1,FALSE)</f>
        <v>500250_2019_12_</v>
      </c>
    </row>
    <row r="608" spans="1:2" x14ac:dyDescent="0.25">
      <c r="A608" s="1930" t="s">
        <v>2426</v>
      </c>
      <c r="B608" s="1930" t="str">
        <f>VLOOKUP(A608,' Measure INDEX'!$B$9:$B$732,1,FALSE)</f>
        <v>500300_2019_12_</v>
      </c>
    </row>
    <row r="609" spans="1:2" x14ac:dyDescent="0.25">
      <c r="A609" s="1930" t="s">
        <v>2428</v>
      </c>
      <c r="B609" s="1930" t="str">
        <f>VLOOKUP(A609,' Measure INDEX'!$B$9:$B$732,1,FALSE)</f>
        <v>500350_2019_12_</v>
      </c>
    </row>
    <row r="610" spans="1:2" x14ac:dyDescent="0.25">
      <c r="A610" s="1930" t="s">
        <v>2430</v>
      </c>
      <c r="B610" s="1930" t="str">
        <f>VLOOKUP(A610,' Measure INDEX'!$B$9:$B$732,1,FALSE)</f>
        <v>500400_2019_12_</v>
      </c>
    </row>
    <row r="611" spans="1:2" x14ac:dyDescent="0.25">
      <c r="A611" s="1930" t="s">
        <v>2432</v>
      </c>
      <c r="B611" s="1930" t="str">
        <f>VLOOKUP(A611,' Measure INDEX'!$B$9:$B$732,1,FALSE)</f>
        <v>500450_2019_12_</v>
      </c>
    </row>
    <row r="612" spans="1:2" x14ac:dyDescent="0.25">
      <c r="A612" s="1930" t="s">
        <v>2434</v>
      </c>
      <c r="B612" s="1930" t="str">
        <f>VLOOKUP(A612,' Measure INDEX'!$B$9:$B$732,1,FALSE)</f>
        <v>500500_2019_12_</v>
      </c>
    </row>
    <row r="613" spans="1:2" x14ac:dyDescent="0.25">
      <c r="A613" s="1930" t="s">
        <v>2436</v>
      </c>
      <c r="B613" s="1930" t="str">
        <f>VLOOKUP(A613,' Measure INDEX'!$B$9:$B$732,1,FALSE)</f>
        <v>500550_2019_12_</v>
      </c>
    </row>
    <row r="614" spans="1:2" x14ac:dyDescent="0.25">
      <c r="A614" s="1930" t="s">
        <v>2438</v>
      </c>
      <c r="B614" s="1930" t="str">
        <f>VLOOKUP(A614,' Measure INDEX'!$B$9:$B$732,1,FALSE)</f>
        <v>500600_2019_12_</v>
      </c>
    </row>
    <row r="615" spans="1:2" x14ac:dyDescent="0.25">
      <c r="A615" s="1930" t="s">
        <v>2440</v>
      </c>
      <c r="B615" s="1930" t="str">
        <f>VLOOKUP(A615,' Measure INDEX'!$B$9:$B$732,1,FALSE)</f>
        <v>500650_2019_12_</v>
      </c>
    </row>
    <row r="616" spans="1:2" x14ac:dyDescent="0.25">
      <c r="A616" s="1930" t="s">
        <v>2442</v>
      </c>
      <c r="B616" s="1930" t="str">
        <f>VLOOKUP(A616,' Measure INDEX'!$B$9:$B$732,1,FALSE)</f>
        <v>500700_2019_12_</v>
      </c>
    </row>
    <row r="617" spans="1:2" x14ac:dyDescent="0.25">
      <c r="A617" s="1930" t="s">
        <v>2460</v>
      </c>
      <c r="B617" s="1930" t="str">
        <f>VLOOKUP(A617,' Measure INDEX'!$B$9:$B$732,1,FALSE)</f>
        <v>500750_2019_12_</v>
      </c>
    </row>
    <row r="618" spans="1:2" x14ac:dyDescent="0.25">
      <c r="A618" s="1930" t="s">
        <v>2462</v>
      </c>
      <c r="B618" s="1930" t="str">
        <f>VLOOKUP(A618,' Measure INDEX'!$B$9:$B$732,1,FALSE)</f>
        <v>500751_2019_12_</v>
      </c>
    </row>
    <row r="619" spans="1:2" x14ac:dyDescent="0.25">
      <c r="A619" s="1930" t="s">
        <v>4130</v>
      </c>
      <c r="B619" s="1930" t="e">
        <f>VLOOKUP(A619,' Measure INDEX'!$B$9:$B$732,1,FALSE)</f>
        <v>#N/A</v>
      </c>
    </row>
    <row r="620" spans="1:2" x14ac:dyDescent="0.25">
      <c r="A620" s="1930" t="s">
        <v>2487</v>
      </c>
      <c r="B620" s="1930" t="str">
        <f>VLOOKUP(A620,' Measure INDEX'!$B$9:$B$732,1,FALSE)</f>
        <v>500850_2019_12_</v>
      </c>
    </row>
    <row r="621" spans="1:2" x14ac:dyDescent="0.25">
      <c r="A621" s="1930" t="s">
        <v>2488</v>
      </c>
      <c r="B621" s="1930" t="str">
        <f>VLOOKUP(A621,' Measure INDEX'!$B$9:$B$732,1,FALSE)</f>
        <v>500900_2019_12_</v>
      </c>
    </row>
    <row r="622" spans="1:2" x14ac:dyDescent="0.25">
      <c r="A622" s="1930" t="s">
        <v>2489</v>
      </c>
      <c r="B622" s="1930" t="str">
        <f>VLOOKUP(A622,' Measure INDEX'!$B$9:$B$732,1,FALSE)</f>
        <v>500950_2019_12_</v>
      </c>
    </row>
    <row r="623" spans="1:2" x14ac:dyDescent="0.25">
      <c r="A623" s="1930" t="s">
        <v>2490</v>
      </c>
      <c r="B623" s="1930" t="str">
        <f>VLOOKUP(A623,' Measure INDEX'!$B$9:$B$732,1,FALSE)</f>
        <v>501000_2019_12_</v>
      </c>
    </row>
    <row r="624" spans="1:2" x14ac:dyDescent="0.25">
      <c r="A624" s="1930" t="s">
        <v>2491</v>
      </c>
      <c r="B624" s="1930" t="str">
        <f>VLOOKUP(A624,' Measure INDEX'!$B$9:$B$732,1,FALSE)</f>
        <v>501050_2019_12_</v>
      </c>
    </row>
    <row r="625" spans="1:2" x14ac:dyDescent="0.25">
      <c r="A625" s="1930" t="s">
        <v>2493</v>
      </c>
      <c r="B625" s="1930" t="str">
        <f>VLOOKUP(A625,' Measure INDEX'!$B$9:$B$732,1,FALSE)</f>
        <v>501100_2019_12_</v>
      </c>
    </row>
    <row r="626" spans="1:2" x14ac:dyDescent="0.25">
      <c r="A626" s="1930" t="s">
        <v>2495</v>
      </c>
      <c r="B626" s="1930" t="str">
        <f>VLOOKUP(A626,' Measure INDEX'!$B$9:$B$732,1,FALSE)</f>
        <v>501150_2019_12_</v>
      </c>
    </row>
    <row r="627" spans="1:2" x14ac:dyDescent="0.25">
      <c r="A627" s="1930" t="s">
        <v>2496</v>
      </c>
      <c r="B627" s="1930" t="str">
        <f>VLOOKUP(A627,' Measure INDEX'!$B$9:$B$732,1,FALSE)</f>
        <v>501200_2019_12_</v>
      </c>
    </row>
    <row r="628" spans="1:2" x14ac:dyDescent="0.25">
      <c r="A628" s="1930" t="s">
        <v>2497</v>
      </c>
      <c r="B628" s="1930" t="str">
        <f>VLOOKUP(A628,' Measure INDEX'!$B$9:$B$732,1,FALSE)</f>
        <v>501250_2019_12_</v>
      </c>
    </row>
    <row r="629" spans="1:2" x14ac:dyDescent="0.25">
      <c r="A629" s="1930" t="s">
        <v>2498</v>
      </c>
      <c r="B629" s="1930" t="str">
        <f>VLOOKUP(A629,' Measure INDEX'!$B$9:$B$732,1,FALSE)</f>
        <v>501300_2019_12_</v>
      </c>
    </row>
    <row r="630" spans="1:2" x14ac:dyDescent="0.25">
      <c r="A630" s="1930" t="s">
        <v>2499</v>
      </c>
      <c r="B630" s="1930" t="str">
        <f>VLOOKUP(A630,' Measure INDEX'!$B$9:$B$732,1,FALSE)</f>
        <v>501310_2020_12_</v>
      </c>
    </row>
    <row r="631" spans="1:2" x14ac:dyDescent="0.25">
      <c r="A631" s="1930" t="s">
        <v>2501</v>
      </c>
      <c r="B631" s="1930" t="str">
        <f>VLOOKUP(A631,' Measure INDEX'!$B$9:$B$732,1,FALSE)</f>
        <v>501311_2020_12_</v>
      </c>
    </row>
    <row r="632" spans="1:2" x14ac:dyDescent="0.25">
      <c r="A632" s="1930" t="s">
        <v>2502</v>
      </c>
      <c r="B632" s="1930" t="str">
        <f>VLOOKUP(A632,' Measure INDEX'!$B$9:$B$732,1,FALSE)</f>
        <v>501350_2019_12_</v>
      </c>
    </row>
    <row r="633" spans="1:2" x14ac:dyDescent="0.25">
      <c r="A633" s="1930" t="s">
        <v>2503</v>
      </c>
      <c r="B633" s="1930" t="str">
        <f>VLOOKUP(A633,' Measure INDEX'!$B$9:$B$732,1,FALSE)</f>
        <v>501400_2019_12_</v>
      </c>
    </row>
    <row r="634" spans="1:2" x14ac:dyDescent="0.25">
      <c r="A634" s="1930" t="s">
        <v>2504</v>
      </c>
      <c r="B634" s="1930" t="str">
        <f>VLOOKUP(A634,' Measure INDEX'!$B$9:$B$732,1,FALSE)</f>
        <v>501401_2019_12_</v>
      </c>
    </row>
    <row r="635" spans="1:2" x14ac:dyDescent="0.25">
      <c r="A635" s="1930" t="s">
        <v>4148</v>
      </c>
      <c r="B635" s="1930" t="e">
        <f>VLOOKUP(A635,' Measure INDEX'!$B$9:$B$732,1,FALSE)</f>
        <v>#N/A</v>
      </c>
    </row>
    <row r="636" spans="1:2" x14ac:dyDescent="0.25">
      <c r="A636" s="1930" t="s">
        <v>4150</v>
      </c>
      <c r="B636" s="1930" t="e">
        <f>VLOOKUP(A636,' Measure INDEX'!$B$9:$B$732,1,FALSE)</f>
        <v>#N/A</v>
      </c>
    </row>
    <row r="637" spans="1:2" x14ac:dyDescent="0.25">
      <c r="A637" s="1930" t="s">
        <v>4152</v>
      </c>
      <c r="B637" s="1930" t="e">
        <f>VLOOKUP(A637,' Measure INDEX'!$B$9:$B$732,1,FALSE)</f>
        <v>#N/A</v>
      </c>
    </row>
    <row r="638" spans="1:2" x14ac:dyDescent="0.25">
      <c r="A638" s="1930" t="s">
        <v>4154</v>
      </c>
      <c r="B638" s="1930" t="e">
        <f>VLOOKUP(A638,' Measure INDEX'!$B$9:$B$732,1,FALSE)</f>
        <v>#N/A</v>
      </c>
    </row>
    <row r="639" spans="1:2" x14ac:dyDescent="0.25">
      <c r="A639" s="1930" t="s">
        <v>2534</v>
      </c>
      <c r="B639" s="1930" t="str">
        <f>VLOOKUP(A639,' Measure INDEX'!$B$9:$B$732,1,FALSE)</f>
        <v>501650_2019_12_</v>
      </c>
    </row>
    <row r="640" spans="1:2" x14ac:dyDescent="0.25">
      <c r="A640" s="1930" t="s">
        <v>2536</v>
      </c>
      <c r="B640" s="1930" t="str">
        <f>VLOOKUP(A640,' Measure INDEX'!$B$9:$B$732,1,FALSE)</f>
        <v>501700_2019_12_</v>
      </c>
    </row>
    <row r="641" spans="1:2" x14ac:dyDescent="0.25">
      <c r="A641" s="1930" t="s">
        <v>2537</v>
      </c>
      <c r="B641" s="1930" t="str">
        <f>VLOOKUP(A641,' Measure INDEX'!$B$9:$B$732,1,FALSE)</f>
        <v>501750_2019_12_</v>
      </c>
    </row>
    <row r="642" spans="1:2" x14ac:dyDescent="0.25">
      <c r="A642" s="1930" t="s">
        <v>2539</v>
      </c>
      <c r="B642" s="1930" t="str">
        <f>VLOOKUP(A642,' Measure INDEX'!$B$9:$B$732,1,FALSE)</f>
        <v>501800_2019_12_</v>
      </c>
    </row>
    <row r="643" spans="1:2" x14ac:dyDescent="0.25">
      <c r="A643" s="1930" t="s">
        <v>2540</v>
      </c>
      <c r="B643" s="1930" t="str">
        <f>VLOOKUP(A643,' Measure INDEX'!$B$9:$B$732,1,FALSE)</f>
        <v>501850_2019_12_</v>
      </c>
    </row>
    <row r="644" spans="1:2" x14ac:dyDescent="0.25">
      <c r="A644" s="1930" t="s">
        <v>2542</v>
      </c>
      <c r="B644" s="1930" t="str">
        <f>VLOOKUP(A644,' Measure INDEX'!$B$9:$B$732,1,FALSE)</f>
        <v>501900_2019_12_</v>
      </c>
    </row>
    <row r="645" spans="1:2" x14ac:dyDescent="0.25">
      <c r="A645" s="1930" t="s">
        <v>2544</v>
      </c>
      <c r="B645" s="1930" t="str">
        <f>VLOOKUP(A645,' Measure INDEX'!$B$9:$B$732,1,FALSE)</f>
        <v>501950_2019_12_</v>
      </c>
    </row>
    <row r="646" spans="1:2" x14ac:dyDescent="0.25">
      <c r="A646" s="1930" t="s">
        <v>2545</v>
      </c>
      <c r="B646" s="1930" t="str">
        <f>VLOOKUP(A646,' Measure INDEX'!$B$9:$B$732,1,FALSE)</f>
        <v>502000_2019_12_</v>
      </c>
    </row>
    <row r="647" spans="1:2" x14ac:dyDescent="0.25">
      <c r="A647" s="1930" t="s">
        <v>2546</v>
      </c>
      <c r="B647" s="1930" t="str">
        <f>VLOOKUP(A647,' Measure INDEX'!$B$9:$B$732,1,FALSE)</f>
        <v>502050_2019_12_</v>
      </c>
    </row>
    <row r="648" spans="1:2" x14ac:dyDescent="0.25">
      <c r="A648" s="1930" t="s">
        <v>2547</v>
      </c>
      <c r="B648" s="1930" t="str">
        <f>VLOOKUP(A648,' Measure INDEX'!$B$9:$B$732,1,FALSE)</f>
        <v>502100_2019_12_</v>
      </c>
    </row>
    <row r="649" spans="1:2" x14ac:dyDescent="0.25">
      <c r="A649" s="1930" t="s">
        <v>2548</v>
      </c>
      <c r="B649" s="1930" t="str">
        <f>VLOOKUP(A649,' Measure INDEX'!$B$9:$B$732,1,FALSE)</f>
        <v>502150_2019_12_</v>
      </c>
    </row>
    <row r="650" spans="1:2" x14ac:dyDescent="0.25">
      <c r="A650" s="1930" t="s">
        <v>2549</v>
      </c>
      <c r="B650" s="1930" t="str">
        <f>VLOOKUP(A650,' Measure INDEX'!$B$9:$B$732,1,FALSE)</f>
        <v>502200_2019_12_</v>
      </c>
    </row>
    <row r="651" spans="1:2" x14ac:dyDescent="0.25">
      <c r="A651" s="1930" t="s">
        <v>2550</v>
      </c>
      <c r="B651" s="1930" t="str">
        <f>VLOOKUP(A651,' Measure INDEX'!$B$9:$B$732,1,FALSE)</f>
        <v>502250_2019_12_</v>
      </c>
    </row>
    <row r="652" spans="1:2" x14ac:dyDescent="0.25">
      <c r="A652" s="1930" t="s">
        <v>2551</v>
      </c>
      <c r="B652" s="1930" t="str">
        <f>VLOOKUP(A652,' Measure INDEX'!$B$9:$B$732,1,FALSE)</f>
        <v>502300_2019_12_</v>
      </c>
    </row>
    <row r="653" spans="1:2" x14ac:dyDescent="0.25">
      <c r="A653" s="1930" t="s">
        <v>2552</v>
      </c>
      <c r="B653" s="1930" t="str">
        <f>VLOOKUP(A653,' Measure INDEX'!$B$9:$B$732,1,FALSE)</f>
        <v>502350_2019_12_</v>
      </c>
    </row>
    <row r="654" spans="1:2" x14ac:dyDescent="0.25">
      <c r="A654" s="1930" t="s">
        <v>2559</v>
      </c>
      <c r="B654" s="1930" t="e">
        <f>VLOOKUP(A654,' Measure INDEX'!$B$9:$B$732,1,FALSE)</f>
        <v>#N/A</v>
      </c>
    </row>
    <row r="655" spans="1:2" x14ac:dyDescent="0.25">
      <c r="A655" s="1930" t="s">
        <v>2569</v>
      </c>
      <c r="B655" s="1930" t="str">
        <f>VLOOKUP(A655,' Measure INDEX'!$B$9:$B$732,1,FALSE)</f>
        <v>502450_2019_12_</v>
      </c>
    </row>
    <row r="656" spans="1:2" x14ac:dyDescent="0.25">
      <c r="A656" s="1930" t="s">
        <v>2576</v>
      </c>
      <c r="B656" s="1930" t="str">
        <f>VLOOKUP(A656,' Measure INDEX'!$B$9:$B$732,1,FALSE)</f>
        <v>550050_2019_12_</v>
      </c>
    </row>
    <row r="657" spans="1:2" x14ac:dyDescent="0.25">
      <c r="A657" s="1930" t="s">
        <v>2579</v>
      </c>
      <c r="B657" s="1930" t="str">
        <f>VLOOKUP(A657,' Measure INDEX'!$B$9:$B$732,1,FALSE)</f>
        <v>550100_2019_12_</v>
      </c>
    </row>
    <row r="658" spans="1:2" x14ac:dyDescent="0.25">
      <c r="A658" s="1930" t="s">
        <v>2588</v>
      </c>
      <c r="B658" s="1930" t="str">
        <f>VLOOKUP(A658,' Measure INDEX'!$B$9:$B$732,1,FALSE)</f>
        <v>550150_2019_12_</v>
      </c>
    </row>
    <row r="659" spans="1:2" x14ac:dyDescent="0.25">
      <c r="A659" s="1930" t="s">
        <v>2592</v>
      </c>
      <c r="B659" s="1930" t="str">
        <f>VLOOKUP(A659,' Measure INDEX'!$B$9:$B$732,1,FALSE)</f>
        <v>550200_2019_12_</v>
      </c>
    </row>
    <row r="660" spans="1:2" x14ac:dyDescent="0.25">
      <c r="A660" s="1930" t="s">
        <v>2594</v>
      </c>
      <c r="B660" s="1930" t="str">
        <f>VLOOKUP(A660,' Measure INDEX'!$B$9:$B$732,1,FALSE)</f>
        <v>550250_2019_12_</v>
      </c>
    </row>
    <row r="661" spans="1:2" x14ac:dyDescent="0.25">
      <c r="A661" s="1930" t="s">
        <v>2610</v>
      </c>
      <c r="B661" s="1930" t="str">
        <f>VLOOKUP(A661,' Measure INDEX'!$B$9:$B$732,1,FALSE)</f>
        <v>550300_2019_12_</v>
      </c>
    </row>
    <row r="662" spans="1:2" x14ac:dyDescent="0.25">
      <c r="A662" s="1930" t="s">
        <v>2623</v>
      </c>
      <c r="B662" s="1930" t="str">
        <f>VLOOKUP(A662,' Measure INDEX'!$B$9:$B$732,1,FALSE)</f>
        <v>600050_2020_12_</v>
      </c>
    </row>
  </sheetData>
  <autoFilter ref="A1:L662"/>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E16"/>
  <sheetViews>
    <sheetView workbookViewId="0"/>
  </sheetViews>
  <sheetFormatPr defaultRowHeight="15" x14ac:dyDescent="0.25"/>
  <cols>
    <col min="1" max="1" width="3" style="103" customWidth="1"/>
    <col min="2" max="2" width="20.5703125" style="1801" customWidth="1"/>
    <col min="3" max="3" width="27.28515625" style="1801" customWidth="1"/>
    <col min="4" max="4" width="19.140625" style="1801" bestFit="1" customWidth="1"/>
    <col min="5" max="5" width="68.28515625" style="1823" customWidth="1"/>
  </cols>
  <sheetData>
    <row r="2" spans="1:5" x14ac:dyDescent="0.25">
      <c r="B2" s="3233" t="s">
        <v>4247</v>
      </c>
      <c r="C2" s="3233"/>
      <c r="D2" s="3233"/>
    </row>
    <row r="3" spans="1:5" x14ac:dyDescent="0.25">
      <c r="B3" s="3233"/>
      <c r="C3" s="3233"/>
      <c r="D3" s="3233"/>
    </row>
    <row r="4" spans="1:5" x14ac:dyDescent="0.25">
      <c r="A4" s="1824" t="s">
        <v>4248</v>
      </c>
      <c r="B4" s="1859" t="s">
        <v>4249</v>
      </c>
      <c r="C4" s="1859" t="s">
        <v>4250</v>
      </c>
      <c r="D4" s="1859" t="s">
        <v>4251</v>
      </c>
      <c r="E4" s="1860" t="s">
        <v>15</v>
      </c>
    </row>
    <row r="5" spans="1:5" x14ac:dyDescent="0.25">
      <c r="A5" s="1863">
        <v>1</v>
      </c>
      <c r="B5" s="1858" t="s">
        <v>4252</v>
      </c>
      <c r="C5" s="1858" t="s">
        <v>4253</v>
      </c>
      <c r="D5" s="1858" t="s">
        <v>4254</v>
      </c>
      <c r="E5" s="3123" t="s">
        <v>4255</v>
      </c>
    </row>
    <row r="6" spans="1:5" x14ac:dyDescent="0.25">
      <c r="A6" s="1863">
        <v>2</v>
      </c>
      <c r="B6" s="1858" t="s">
        <v>2875</v>
      </c>
      <c r="C6" s="1858" t="s">
        <v>4256</v>
      </c>
      <c r="D6" s="1858" t="s">
        <v>4257</v>
      </c>
      <c r="E6" s="3123" t="s">
        <v>4258</v>
      </c>
    </row>
    <row r="7" spans="1:5" x14ac:dyDescent="0.25">
      <c r="A7" s="1863">
        <v>3</v>
      </c>
      <c r="B7" s="1858" t="s">
        <v>2875</v>
      </c>
      <c r="C7" s="1858" t="s">
        <v>4253</v>
      </c>
      <c r="D7" s="1858" t="s">
        <v>4259</v>
      </c>
      <c r="E7" s="3123" t="s">
        <v>4260</v>
      </c>
    </row>
    <row r="8" spans="1:5" ht="81.75" customHeight="1" x14ac:dyDescent="0.25">
      <c r="A8" s="1863">
        <v>4</v>
      </c>
      <c r="B8" s="1858" t="s">
        <v>2875</v>
      </c>
      <c r="C8" s="1858" t="s">
        <v>4253</v>
      </c>
      <c r="D8" s="1858" t="s">
        <v>4261</v>
      </c>
      <c r="E8" s="3123" t="s">
        <v>4262</v>
      </c>
    </row>
    <row r="9" spans="1:5" x14ac:dyDescent="0.25">
      <c r="A9" s="1863">
        <v>5</v>
      </c>
      <c r="B9" s="1858" t="s">
        <v>4263</v>
      </c>
      <c r="C9" s="1858" t="s">
        <v>4253</v>
      </c>
      <c r="D9" s="1858" t="s">
        <v>4264</v>
      </c>
      <c r="E9" s="3123" t="s">
        <v>4260</v>
      </c>
    </row>
    <row r="10" spans="1:5" ht="30" x14ac:dyDescent="0.25">
      <c r="A10" s="1863">
        <v>6</v>
      </c>
      <c r="B10" s="1858" t="s">
        <v>4263</v>
      </c>
      <c r="C10" s="1858" t="s">
        <v>4256</v>
      </c>
      <c r="D10" s="1858" t="s">
        <v>4265</v>
      </c>
      <c r="E10" s="3123" t="s">
        <v>4266</v>
      </c>
    </row>
    <row r="11" spans="1:5" ht="30" x14ac:dyDescent="0.25">
      <c r="A11" s="1863">
        <v>7</v>
      </c>
      <c r="B11" s="1858" t="s">
        <v>4263</v>
      </c>
      <c r="C11" s="1858" t="s">
        <v>4253</v>
      </c>
      <c r="D11" s="1858" t="s">
        <v>4267</v>
      </c>
      <c r="E11" s="3123" t="s">
        <v>4268</v>
      </c>
    </row>
    <row r="12" spans="1:5" x14ac:dyDescent="0.25">
      <c r="A12" s="1863">
        <v>8</v>
      </c>
      <c r="B12" s="1858" t="s">
        <v>2406</v>
      </c>
      <c r="C12" s="1858" t="s">
        <v>4253</v>
      </c>
      <c r="D12" s="1858" t="s">
        <v>4269</v>
      </c>
      <c r="E12" s="3123" t="s">
        <v>4255</v>
      </c>
    </row>
    <row r="13" spans="1:5" x14ac:dyDescent="0.25">
      <c r="A13" s="1863">
        <v>9</v>
      </c>
      <c r="B13" s="1858" t="s">
        <v>2406</v>
      </c>
      <c r="C13" s="1858" t="s">
        <v>4253</v>
      </c>
      <c r="D13" s="1858" t="s">
        <v>4270</v>
      </c>
      <c r="E13" s="3123" t="s">
        <v>4260</v>
      </c>
    </row>
    <row r="14" spans="1:5" x14ac:dyDescent="0.25">
      <c r="A14" s="1864"/>
      <c r="B14" s="1865"/>
      <c r="C14" s="1865"/>
      <c r="D14" s="1865"/>
      <c r="E14" s="1866"/>
    </row>
    <row r="15" spans="1:5" x14ac:dyDescent="0.25">
      <c r="A15" s="1864"/>
      <c r="B15" s="1865"/>
      <c r="C15" s="1865"/>
      <c r="D15" s="1865"/>
      <c r="E15" s="1866"/>
    </row>
    <row r="16" spans="1:5" x14ac:dyDescent="0.25">
      <c r="A16" s="1867"/>
      <c r="B16" s="1868"/>
      <c r="C16" s="1868"/>
      <c r="D16" s="1868"/>
      <c r="E16" s="186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70" zoomScaleNormal="70" workbookViewId="0">
      <selection activeCell="F17" sqref="F17"/>
    </sheetView>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A1" s="1930"/>
      <c r="B1" s="1930"/>
      <c r="C1" s="1930"/>
      <c r="D1" s="3676"/>
      <c r="E1" s="3676"/>
      <c r="F1" s="3677"/>
      <c r="G1" s="3677"/>
      <c r="H1" s="1930"/>
      <c r="I1" s="1930"/>
      <c r="J1" s="1930"/>
      <c r="K1" s="1930"/>
      <c r="L1" s="1930"/>
      <c r="M1" s="1930"/>
    </row>
    <row r="3" spans="1:13" ht="46.5" x14ac:dyDescent="0.7">
      <c r="A3" s="3678" t="s">
        <v>11</v>
      </c>
      <c r="B3" s="3678"/>
      <c r="C3" s="3678"/>
      <c r="D3" s="3678"/>
      <c r="E3" s="3678"/>
      <c r="F3" s="3678"/>
      <c r="G3" s="1"/>
      <c r="H3" s="1"/>
      <c r="I3" s="1"/>
      <c r="J3" s="1"/>
      <c r="K3" s="1"/>
      <c r="L3" s="1"/>
      <c r="M3" s="1"/>
    </row>
    <row r="4" spans="1:13" ht="18.75" customHeight="1" thickBot="1" x14ac:dyDescent="0.6">
      <c r="A4" s="1930"/>
      <c r="B4" s="1930"/>
      <c r="C4" s="1930"/>
      <c r="D4" s="3679"/>
      <c r="E4" s="3679"/>
      <c r="F4" s="3680"/>
      <c r="G4" s="3680"/>
      <c r="H4" s="1930"/>
      <c r="I4" s="1930"/>
      <c r="J4" s="1930"/>
      <c r="K4" s="1930"/>
      <c r="L4" s="1930"/>
      <c r="M4" s="1930"/>
    </row>
    <row r="5" spans="1:13" ht="18.75" x14ac:dyDescent="0.25">
      <c r="A5" s="3681" t="s">
        <v>12</v>
      </c>
      <c r="B5" s="3681" t="s">
        <v>13</v>
      </c>
      <c r="C5" s="3685" t="s">
        <v>14</v>
      </c>
      <c r="D5" s="3686"/>
      <c r="E5" s="3687"/>
      <c r="F5" s="3681" t="s">
        <v>15</v>
      </c>
      <c r="G5" s="1930"/>
      <c r="H5" s="1930"/>
      <c r="I5" s="1930"/>
      <c r="J5" s="1930"/>
      <c r="K5" s="1930"/>
      <c r="L5" s="1930"/>
      <c r="M5" s="1930"/>
    </row>
    <row r="6" spans="1:13" ht="77.25" customHeight="1" x14ac:dyDescent="0.25">
      <c r="A6" s="3682"/>
      <c r="B6" s="3683"/>
      <c r="C6" s="2" t="s">
        <v>16</v>
      </c>
      <c r="D6" s="3" t="s">
        <v>17</v>
      </c>
      <c r="E6" s="4" t="s">
        <v>18</v>
      </c>
      <c r="F6" s="3683"/>
      <c r="G6" s="1930"/>
      <c r="H6" s="1930"/>
      <c r="I6" s="1930"/>
      <c r="J6" s="1930"/>
      <c r="K6" s="1930"/>
      <c r="L6" s="1930"/>
      <c r="M6" s="1930"/>
    </row>
    <row r="7" spans="1:13" ht="15.75" thickBot="1" x14ac:dyDescent="0.3">
      <c r="A7" s="5" t="s">
        <v>19</v>
      </c>
      <c r="B7" s="3684"/>
      <c r="C7" s="6" t="s">
        <v>19</v>
      </c>
      <c r="D7" s="7" t="s">
        <v>19</v>
      </c>
      <c r="E7" s="8" t="s">
        <v>19</v>
      </c>
      <c r="F7" s="3684"/>
      <c r="G7" s="1930"/>
      <c r="H7" s="1930"/>
      <c r="I7" s="1930"/>
      <c r="J7" s="1930"/>
      <c r="K7" s="1930"/>
      <c r="L7" s="1930"/>
      <c r="M7" s="1930"/>
    </row>
    <row r="8" spans="1:13" ht="35.1" customHeight="1" x14ac:dyDescent="0.25">
      <c r="A8" s="9">
        <v>1</v>
      </c>
      <c r="B8" s="10">
        <v>43250</v>
      </c>
      <c r="C8" s="11">
        <v>1</v>
      </c>
      <c r="D8" s="11">
        <v>1</v>
      </c>
      <c r="E8" s="11">
        <v>1</v>
      </c>
      <c r="F8" s="12" t="s">
        <v>20</v>
      </c>
      <c r="G8" s="1930"/>
      <c r="H8" s="1930"/>
      <c r="I8" s="1930"/>
      <c r="J8" s="1930"/>
      <c r="K8" s="1930"/>
      <c r="L8" s="1930"/>
      <c r="M8" s="1930"/>
    </row>
    <row r="9" spans="1:13" ht="47.25" customHeight="1" x14ac:dyDescent="0.25">
      <c r="A9" s="2663">
        <v>2</v>
      </c>
      <c r="B9" s="2668">
        <v>43465</v>
      </c>
      <c r="C9" s="2664">
        <v>1</v>
      </c>
      <c r="D9" s="2664">
        <v>1</v>
      </c>
      <c r="E9" s="2664">
        <v>2</v>
      </c>
      <c r="F9" s="2665" t="s">
        <v>21</v>
      </c>
      <c r="G9" s="1930"/>
      <c r="H9" s="1930"/>
      <c r="I9" s="1930"/>
      <c r="J9" s="1930"/>
      <c r="K9" s="1930"/>
      <c r="L9" s="1930"/>
      <c r="M9" s="1930"/>
    </row>
    <row r="10" spans="1:13" ht="41.25" customHeight="1" x14ac:dyDescent="0.25">
      <c r="A10" s="2663">
        <v>3</v>
      </c>
      <c r="B10" s="2668">
        <v>43831</v>
      </c>
      <c r="C10" s="2664">
        <v>1</v>
      </c>
      <c r="D10" s="2664">
        <v>1</v>
      </c>
      <c r="E10" s="2664">
        <v>3</v>
      </c>
      <c r="F10" s="2665" t="s">
        <v>4411</v>
      </c>
      <c r="G10" s="1930"/>
      <c r="H10" s="1930"/>
      <c r="I10" s="1930"/>
      <c r="J10" s="1930"/>
      <c r="K10" s="1930"/>
      <c r="L10" s="1930"/>
      <c r="M10" s="1930"/>
    </row>
    <row r="11" spans="1:13" ht="35.1" customHeight="1" x14ac:dyDescent="0.25">
      <c r="A11" s="13">
        <v>3.1</v>
      </c>
      <c r="B11" s="1915">
        <v>43867</v>
      </c>
      <c r="C11" s="15">
        <v>1</v>
      </c>
      <c r="D11" s="15">
        <v>1</v>
      </c>
      <c r="E11" s="15">
        <v>3</v>
      </c>
      <c r="F11" s="16" t="s">
        <v>4412</v>
      </c>
      <c r="G11" s="1930"/>
      <c r="H11" s="1930"/>
      <c r="I11" s="1930"/>
      <c r="J11" s="1930"/>
      <c r="K11" s="1930"/>
      <c r="L11" s="1930"/>
      <c r="M11" s="1930"/>
    </row>
    <row r="12" spans="1:13" ht="35.1" customHeight="1" x14ac:dyDescent="0.25">
      <c r="A12" s="13">
        <v>3.2</v>
      </c>
      <c r="B12" s="1915">
        <v>44000</v>
      </c>
      <c r="C12" s="15">
        <v>1</v>
      </c>
      <c r="D12" s="15">
        <v>1.1000000000000001</v>
      </c>
      <c r="E12" s="15">
        <v>3</v>
      </c>
      <c r="F12" s="16" t="s">
        <v>22</v>
      </c>
      <c r="G12" s="1930"/>
      <c r="H12" s="1930"/>
      <c r="I12" s="1930"/>
      <c r="J12" s="1930"/>
      <c r="K12" s="1930"/>
      <c r="L12" s="1930"/>
      <c r="M12" s="1930"/>
    </row>
    <row r="13" spans="1:13" ht="40.5" customHeight="1" x14ac:dyDescent="0.25">
      <c r="A13" s="2663">
        <v>4</v>
      </c>
      <c r="B13" s="2668">
        <v>44197</v>
      </c>
      <c r="C13" s="2664">
        <v>1</v>
      </c>
      <c r="D13" s="2664">
        <v>2</v>
      </c>
      <c r="E13" s="2664">
        <v>4</v>
      </c>
      <c r="F13" s="2665" t="s">
        <v>23</v>
      </c>
      <c r="G13" s="1930"/>
      <c r="H13" s="1930"/>
      <c r="I13" s="1930"/>
      <c r="J13" s="1930"/>
      <c r="K13" s="1930"/>
      <c r="L13" s="1930"/>
      <c r="M13" s="1930"/>
    </row>
    <row r="14" spans="1:13" ht="44.25" customHeight="1" x14ac:dyDescent="0.25">
      <c r="A14" s="3379">
        <v>5</v>
      </c>
      <c r="B14" s="3380">
        <v>44454</v>
      </c>
      <c r="C14" s="3381">
        <v>1</v>
      </c>
      <c r="D14" s="3381">
        <v>3</v>
      </c>
      <c r="E14" s="3381">
        <v>5</v>
      </c>
      <c r="F14" s="3382" t="s">
        <v>4410</v>
      </c>
      <c r="G14" s="1930"/>
      <c r="H14" s="1930"/>
      <c r="I14" s="1930"/>
      <c r="J14" s="1930"/>
      <c r="K14" s="1930"/>
      <c r="L14" s="1930"/>
      <c r="M14" s="1930"/>
    </row>
    <row r="15" spans="1:13" ht="35.1" customHeight="1" x14ac:dyDescent="0.25">
      <c r="A15" s="13"/>
      <c r="B15" s="14"/>
      <c r="C15" s="15"/>
      <c r="D15" s="15"/>
      <c r="E15" s="15"/>
      <c r="F15" s="16"/>
      <c r="G15" s="1930"/>
      <c r="H15" s="1930"/>
      <c r="I15" s="1930"/>
      <c r="J15" s="1930"/>
      <c r="K15" s="1930"/>
      <c r="L15" s="1930"/>
      <c r="M15" s="1930"/>
    </row>
    <row r="16" spans="1:13" ht="35.1" customHeight="1" x14ac:dyDescent="0.25">
      <c r="A16" s="13"/>
      <c r="B16" s="14"/>
      <c r="C16" s="15"/>
      <c r="D16" s="15"/>
      <c r="E16" s="15"/>
      <c r="F16" s="16"/>
      <c r="G16" s="1930"/>
      <c r="H16" s="1930"/>
      <c r="I16" s="1930"/>
      <c r="J16" s="1930"/>
      <c r="K16" s="1930"/>
      <c r="L16" s="1930"/>
      <c r="M16" s="1930"/>
    </row>
    <row r="17" spans="1:6" ht="35.1" customHeight="1" x14ac:dyDescent="0.25">
      <c r="A17" s="13"/>
      <c r="B17" s="14"/>
      <c r="C17" s="15"/>
      <c r="D17" s="15"/>
      <c r="E17" s="15"/>
      <c r="F17" s="16"/>
    </row>
    <row r="18" spans="1:6" ht="35.1" customHeight="1" x14ac:dyDescent="0.25">
      <c r="A18" s="13"/>
      <c r="B18" s="14"/>
      <c r="C18" s="15"/>
      <c r="D18" s="15"/>
      <c r="E18" s="15"/>
      <c r="F18" s="16"/>
    </row>
    <row r="19" spans="1:6" ht="35.1" customHeight="1" x14ac:dyDescent="0.25">
      <c r="A19" s="13"/>
      <c r="B19" s="14"/>
      <c r="C19" s="15"/>
      <c r="D19" s="15"/>
      <c r="E19" s="15"/>
      <c r="F19" s="16"/>
    </row>
    <row r="20" spans="1:6" ht="35.1" customHeight="1" x14ac:dyDescent="0.25">
      <c r="A20" s="13"/>
      <c r="B20" s="14"/>
      <c r="C20" s="15"/>
      <c r="D20" s="15"/>
      <c r="E20" s="15"/>
      <c r="F20" s="16"/>
    </row>
    <row r="21" spans="1:6" ht="35.1" customHeight="1" x14ac:dyDescent="0.25">
      <c r="A21" s="13"/>
      <c r="B21" s="14"/>
      <c r="C21" s="15"/>
      <c r="D21" s="15"/>
      <c r="E21" s="15"/>
      <c r="F21" s="16"/>
    </row>
    <row r="22" spans="1:6" ht="35.1" customHeight="1" x14ac:dyDescent="0.25">
      <c r="A22" s="13"/>
      <c r="B22" s="14"/>
      <c r="C22" s="15"/>
      <c r="D22" s="15"/>
      <c r="E22" s="15"/>
      <c r="F22" s="16"/>
    </row>
    <row r="23" spans="1:6" ht="35.1" customHeight="1" x14ac:dyDescent="0.25">
      <c r="A23" s="13"/>
      <c r="B23" s="14"/>
      <c r="C23" s="15"/>
      <c r="D23" s="15"/>
      <c r="E23" s="15"/>
      <c r="F23" s="16"/>
    </row>
    <row r="24" spans="1:6" ht="35.1" customHeight="1" x14ac:dyDescent="0.25">
      <c r="A24" s="13"/>
      <c r="B24" s="14"/>
      <c r="C24" s="15"/>
      <c r="D24" s="15"/>
      <c r="E24" s="15"/>
      <c r="F24" s="16"/>
    </row>
    <row r="25" spans="1:6" ht="35.1" customHeight="1" x14ac:dyDescent="0.25">
      <c r="A25" s="13"/>
      <c r="B25" s="14"/>
      <c r="C25" s="15"/>
      <c r="D25" s="15"/>
      <c r="E25" s="15"/>
      <c r="F25" s="16"/>
    </row>
    <row r="26" spans="1:6" ht="35.1" customHeight="1" x14ac:dyDescent="0.25">
      <c r="A26" s="13"/>
      <c r="B26" s="14"/>
      <c r="C26" s="15"/>
      <c r="D26" s="15"/>
      <c r="E26" s="15"/>
      <c r="F26" s="16"/>
    </row>
    <row r="27" spans="1:6" ht="35.1" customHeight="1" x14ac:dyDescent="0.25">
      <c r="A27" s="13"/>
      <c r="B27" s="14"/>
      <c r="C27" s="15"/>
      <c r="D27" s="15"/>
      <c r="E27" s="15"/>
      <c r="F27" s="16"/>
    </row>
    <row r="28" spans="1:6" ht="35.1" customHeight="1" x14ac:dyDescent="0.25">
      <c r="A28" s="13"/>
      <c r="B28" s="14"/>
      <c r="C28" s="15"/>
      <c r="D28" s="15"/>
      <c r="E28" s="15"/>
      <c r="F28" s="16"/>
    </row>
    <row r="29" spans="1:6" ht="35.1" customHeight="1" x14ac:dyDescent="0.25">
      <c r="A29" s="13"/>
      <c r="B29" s="14"/>
      <c r="C29" s="15"/>
      <c r="D29" s="15"/>
      <c r="E29" s="15"/>
      <c r="F29" s="16"/>
    </row>
    <row r="30" spans="1:6" ht="35.1" customHeight="1" x14ac:dyDescent="0.25">
      <c r="A30" s="13"/>
      <c r="B30" s="14"/>
      <c r="C30" s="15"/>
      <c r="D30" s="15"/>
      <c r="E30" s="15"/>
      <c r="F30" s="16"/>
    </row>
    <row r="31" spans="1:6" ht="35.1" customHeight="1" x14ac:dyDescent="0.25">
      <c r="A31" s="13"/>
      <c r="B31" s="14"/>
      <c r="C31" s="15"/>
      <c r="D31" s="15"/>
      <c r="E31" s="15"/>
      <c r="F31" s="16"/>
    </row>
    <row r="32" spans="1:6" ht="35.1" customHeight="1" x14ac:dyDescent="0.25">
      <c r="A32" s="13"/>
      <c r="B32" s="14"/>
      <c r="C32" s="15"/>
      <c r="D32" s="15"/>
      <c r="E32" s="15"/>
      <c r="F32" s="16"/>
    </row>
    <row r="33" spans="1:6" ht="35.1" customHeight="1" x14ac:dyDescent="0.25">
      <c r="A33" s="13"/>
      <c r="B33" s="14"/>
      <c r="C33" s="15"/>
      <c r="D33" s="15"/>
      <c r="E33" s="15"/>
      <c r="F33" s="16"/>
    </row>
    <row r="34" spans="1:6" ht="35.1" customHeight="1" x14ac:dyDescent="0.25">
      <c r="A34" s="13"/>
      <c r="B34" s="14"/>
      <c r="C34" s="15"/>
      <c r="D34" s="15"/>
      <c r="E34" s="15"/>
      <c r="F34" s="16"/>
    </row>
    <row r="35" spans="1:6" ht="35.1" customHeight="1" x14ac:dyDescent="0.25">
      <c r="A35" s="13"/>
      <c r="B35" s="14"/>
      <c r="C35" s="15"/>
      <c r="D35" s="15"/>
      <c r="E35" s="15"/>
      <c r="F35" s="16"/>
    </row>
    <row r="36" spans="1:6" ht="35.1" customHeight="1" x14ac:dyDescent="0.25">
      <c r="A36" s="13"/>
      <c r="B36" s="14"/>
      <c r="C36" s="15"/>
      <c r="D36" s="15"/>
      <c r="E36" s="15"/>
      <c r="F36" s="16"/>
    </row>
    <row r="37" spans="1:6" ht="35.1" customHeight="1" x14ac:dyDescent="0.25">
      <c r="A37" s="13"/>
      <c r="B37" s="14"/>
      <c r="C37" s="15"/>
      <c r="D37" s="15"/>
      <c r="E37" s="15"/>
      <c r="F37" s="16"/>
    </row>
    <row r="38" spans="1:6" ht="35.1" customHeight="1" x14ac:dyDescent="0.25">
      <c r="A38" s="13"/>
      <c r="B38" s="14"/>
      <c r="C38" s="15"/>
      <c r="D38" s="15"/>
      <c r="E38" s="15"/>
      <c r="F38" s="16"/>
    </row>
    <row r="39" spans="1:6" ht="35.1" customHeight="1" thickBot="1" x14ac:dyDescent="0.3">
      <c r="A39" s="17"/>
      <c r="B39" s="18"/>
      <c r="C39" s="19"/>
      <c r="D39" s="19"/>
      <c r="E39" s="19"/>
      <c r="F39" s="20"/>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20"/>
  <sheetViews>
    <sheetView zoomScale="70" zoomScaleNormal="70" workbookViewId="0">
      <selection sqref="A1:P1"/>
    </sheetView>
  </sheetViews>
  <sheetFormatPr defaultRowHeight="15" outlineLevelRow="1" x14ac:dyDescent="0.25"/>
  <cols>
    <col min="1" max="1" width="5.85546875" style="123" customWidth="1"/>
    <col min="2" max="2" width="9.140625" style="123"/>
    <col min="3" max="3" width="20.42578125" style="328" bestFit="1" customWidth="1"/>
    <col min="4" max="4" width="14" style="123" customWidth="1"/>
    <col min="5" max="5" width="75" style="123" customWidth="1"/>
    <col min="6" max="6" width="20.42578125" style="123" customWidth="1"/>
    <col min="7" max="7" width="15.5703125" style="123" customWidth="1"/>
    <col min="8" max="8" width="20.85546875" style="123" customWidth="1"/>
    <col min="9" max="9" width="17.42578125" style="123" customWidth="1"/>
    <col min="10" max="11" width="16.85546875" style="123" customWidth="1"/>
    <col min="12" max="13" width="12.7109375" style="123" customWidth="1"/>
    <col min="14" max="14" width="11.7109375" style="123" customWidth="1"/>
    <col min="15" max="15" width="11.42578125" style="123" customWidth="1"/>
    <col min="16" max="17" width="9.140625" style="123" customWidth="1"/>
    <col min="18" max="18" width="15.42578125" style="123" customWidth="1"/>
    <col min="19" max="19" width="13.42578125" style="123" customWidth="1"/>
    <col min="20" max="21" width="9.140625" style="123" customWidth="1"/>
    <col min="22" max="22" width="23.85546875" customWidth="1"/>
    <col min="23" max="27" width="19.28515625" customWidth="1"/>
    <col min="28" max="28" width="16.85546875" bestFit="1" customWidth="1"/>
    <col min="29" max="29" width="16.7109375" bestFit="1" customWidth="1"/>
    <col min="34" max="34" width="14.42578125" bestFit="1"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54" max="54" width="13.140625" bestFit="1" customWidth="1"/>
    <col min="55" max="55" width="25.42578125" bestFit="1" customWidth="1"/>
    <col min="57" max="57" width="16.140625" bestFit="1" customWidth="1"/>
    <col min="61" max="61" width="29.85546875" customWidth="1"/>
    <col min="62" max="62" width="11.140625" bestFit="1" customWidth="1"/>
    <col min="63" max="63" width="14" bestFit="1" customWidth="1"/>
  </cols>
  <sheetData>
    <row r="1" spans="1:57" s="23" customFormat="1" ht="18.75" x14ac:dyDescent="0.3">
      <c r="A1" s="3756" t="s">
        <v>24</v>
      </c>
      <c r="B1" s="3757"/>
      <c r="C1" s="3757"/>
      <c r="D1" s="3757"/>
      <c r="E1" s="3757"/>
      <c r="F1" s="3757"/>
      <c r="G1" s="3757"/>
      <c r="H1" s="3757"/>
      <c r="I1" s="3757"/>
      <c r="J1" s="3757"/>
      <c r="K1" s="3757"/>
      <c r="L1" s="3757"/>
      <c r="M1" s="3757"/>
      <c r="N1" s="3757"/>
      <c r="O1" s="3757"/>
      <c r="P1" s="3757"/>
      <c r="Q1" s="3758"/>
      <c r="R1" s="3759"/>
      <c r="S1" s="3759"/>
      <c r="T1" s="1965"/>
      <c r="U1" s="1965"/>
      <c r="V1" s="30"/>
      <c r="W1" s="31"/>
      <c r="X1" s="31"/>
      <c r="Y1" s="32"/>
      <c r="Z1" s="32"/>
      <c r="AA1" s="32"/>
      <c r="AB1" s="32"/>
      <c r="AC1" s="32"/>
      <c r="AD1" s="32"/>
      <c r="AE1" s="32"/>
      <c r="AF1" s="32"/>
      <c r="AG1" s="32"/>
      <c r="AH1" s="32"/>
      <c r="AI1" s="1931"/>
      <c r="AJ1" s="1931"/>
      <c r="AK1" s="1931"/>
      <c r="AL1" s="1931"/>
      <c r="AM1" s="1931"/>
      <c r="AN1" s="1931"/>
      <c r="AO1" s="1931"/>
      <c r="AP1" s="1931"/>
      <c r="AQ1" s="1931"/>
      <c r="AR1" s="1931"/>
      <c r="AS1" s="1931"/>
      <c r="AT1" s="1931"/>
      <c r="AU1" s="1931"/>
      <c r="AV1" s="1931"/>
      <c r="AW1" s="1931"/>
      <c r="AX1" s="1931"/>
      <c r="AY1" s="1931"/>
      <c r="AZ1" s="1931"/>
      <c r="BA1" s="1931"/>
      <c r="BB1" s="1931"/>
      <c r="BC1" s="1931"/>
      <c r="BD1" s="1931"/>
      <c r="BE1" s="1931"/>
    </row>
    <row r="2" spans="1:57" s="23" customFormat="1" ht="30" hidden="1" customHeight="1" outlineLevel="1" x14ac:dyDescent="0.35">
      <c r="A2" s="1965"/>
      <c r="B2" s="1280"/>
      <c r="C2" s="143"/>
      <c r="D2" s="3760" t="s">
        <v>25</v>
      </c>
      <c r="E2" s="3761"/>
      <c r="F2" s="3762"/>
      <c r="G2" s="3762"/>
      <c r="H2" s="3762"/>
      <c r="I2" s="3762"/>
      <c r="J2" s="3762"/>
      <c r="K2" s="873"/>
      <c r="L2" s="873"/>
      <c r="M2" s="1965"/>
      <c r="N2" s="1965"/>
      <c r="O2" s="1965"/>
      <c r="P2" s="1965"/>
      <c r="Q2" s="1965"/>
      <c r="R2" s="1965"/>
      <c r="S2" s="1965"/>
      <c r="T2" s="1965"/>
      <c r="U2" s="1965"/>
      <c r="V2" s="1931"/>
      <c r="W2" s="1931"/>
      <c r="X2" s="1931"/>
      <c r="Y2" s="1931"/>
      <c r="Z2" s="1931"/>
      <c r="AA2" s="1931"/>
      <c r="AB2" s="1931"/>
      <c r="AC2" s="1931"/>
      <c r="AD2" s="1931"/>
      <c r="AE2" s="1931"/>
      <c r="AF2" s="1931"/>
      <c r="AG2" s="1931"/>
      <c r="AH2" s="1931"/>
      <c r="AI2" s="1931"/>
      <c r="AJ2" s="1931"/>
      <c r="AK2" s="1931"/>
      <c r="AL2" s="1931"/>
      <c r="AM2" s="1931"/>
      <c r="AN2" s="1931"/>
      <c r="AO2" s="1931"/>
      <c r="AP2" s="1931"/>
      <c r="AQ2" s="1931"/>
      <c r="AR2" s="1931"/>
      <c r="AS2" s="1931"/>
      <c r="AT2" s="1931"/>
      <c r="AU2" s="1931"/>
      <c r="AV2" s="1931"/>
      <c r="AW2" s="1931"/>
      <c r="AX2" s="1931"/>
      <c r="AY2" s="1931"/>
      <c r="AZ2" s="1931"/>
      <c r="BA2" s="1931"/>
      <c r="BB2" s="1931"/>
      <c r="BC2" s="1931"/>
      <c r="BD2" s="1931"/>
      <c r="BE2" s="1931"/>
    </row>
    <row r="3" spans="1:57" s="26" customFormat="1" ht="33.75" customHeight="1" collapsed="1" x14ac:dyDescent="0.25">
      <c r="A3" s="874"/>
      <c r="B3" s="874"/>
      <c r="C3" s="144"/>
      <c r="D3" s="144"/>
      <c r="E3" s="144"/>
      <c r="F3" s="144"/>
      <c r="G3" s="144"/>
      <c r="H3" s="144"/>
      <c r="I3" s="144"/>
      <c r="J3" s="144"/>
      <c r="K3" s="874"/>
      <c r="L3" s="874"/>
      <c r="M3" s="874"/>
      <c r="N3" s="874"/>
      <c r="O3" s="874"/>
      <c r="P3" s="874"/>
      <c r="Q3" s="874"/>
      <c r="R3" s="874"/>
      <c r="S3" s="874"/>
      <c r="T3" s="874"/>
      <c r="U3" s="874"/>
      <c r="V3" s="1933"/>
      <c r="W3" s="1933"/>
      <c r="X3" s="1933"/>
      <c r="Y3" s="1933"/>
      <c r="Z3" s="1933"/>
      <c r="AA3" s="1933"/>
      <c r="AB3" s="1933"/>
      <c r="AC3" s="1933"/>
      <c r="AD3" s="1933"/>
      <c r="AE3" s="1933"/>
      <c r="AF3" s="1933"/>
      <c r="AG3" s="1933"/>
      <c r="AH3" s="1933"/>
      <c r="AI3" s="1933"/>
      <c r="AJ3" s="1933"/>
      <c r="AK3" s="1933"/>
      <c r="AL3" s="1933"/>
      <c r="AM3" s="1933"/>
      <c r="AN3" s="1933"/>
      <c r="AO3" s="1933"/>
      <c r="AP3" s="1933"/>
      <c r="AQ3" s="1933"/>
      <c r="AR3" s="1933"/>
      <c r="AS3" s="1933"/>
      <c r="AT3" s="1933"/>
      <c r="AU3" s="1933"/>
      <c r="AV3" s="1933"/>
      <c r="AW3" s="1933"/>
      <c r="AX3" s="1933"/>
      <c r="AY3" s="1933"/>
      <c r="AZ3" s="1933"/>
      <c r="BA3" s="1933"/>
      <c r="BB3" s="1933"/>
      <c r="BC3" s="1933"/>
      <c r="BD3" s="1933"/>
      <c r="BE3" s="1933"/>
    </row>
    <row r="4" spans="1:57" x14ac:dyDescent="0.25">
      <c r="B4" s="3750" t="s">
        <v>26</v>
      </c>
      <c r="C4" s="3751"/>
      <c r="D4" s="3751"/>
      <c r="E4" s="3751"/>
      <c r="F4" s="3751"/>
      <c r="G4" s="3751"/>
      <c r="H4" s="3751"/>
      <c r="I4" s="3744"/>
      <c r="J4" s="3744"/>
      <c r="K4" s="3744"/>
      <c r="L4" s="3744"/>
      <c r="M4" s="3744"/>
      <c r="N4" s="3744"/>
      <c r="O4" s="3744"/>
      <c r="P4" s="3744"/>
      <c r="Q4" s="3744"/>
      <c r="R4" s="3744"/>
      <c r="S4" s="3745"/>
      <c r="V4" s="3750" t="str">
        <f>B4</f>
        <v>Lighting Program</v>
      </c>
      <c r="W4" s="3751"/>
      <c r="X4" s="3751"/>
      <c r="Y4" s="3751"/>
      <c r="Z4" s="3751"/>
      <c r="AA4" s="3751"/>
      <c r="AB4" s="3751"/>
      <c r="AC4" s="3752"/>
      <c r="AD4" s="3752"/>
      <c r="AE4" s="3752"/>
      <c r="AF4" s="3752"/>
      <c r="AG4" s="3752"/>
      <c r="AH4" s="3752"/>
      <c r="AI4" s="3753"/>
      <c r="AJ4" s="1930"/>
      <c r="AK4" s="1930"/>
      <c r="AL4" s="1930"/>
      <c r="AM4" s="1930"/>
      <c r="AN4" s="1930"/>
      <c r="AO4" s="1930"/>
      <c r="AP4" s="1930"/>
      <c r="AQ4" s="1930"/>
      <c r="AR4" s="1930"/>
      <c r="AS4" s="1930"/>
      <c r="AT4" s="1930"/>
      <c r="AU4" s="1930"/>
      <c r="AV4" s="1930"/>
      <c r="AW4" s="1930"/>
      <c r="AX4" s="1930"/>
      <c r="AY4" s="1930"/>
      <c r="AZ4" s="1930"/>
      <c r="BA4" s="1930"/>
      <c r="BB4" s="1930"/>
      <c r="BC4" s="1930"/>
      <c r="BD4" s="1930"/>
      <c r="BE4" s="1930"/>
    </row>
    <row r="5" spans="1:57" x14ac:dyDescent="0.25">
      <c r="E5" s="576" t="s">
        <v>27</v>
      </c>
      <c r="V5" s="1930"/>
      <c r="W5" s="1930"/>
      <c r="X5" s="1930"/>
      <c r="Y5" s="1930"/>
      <c r="Z5" s="1930"/>
      <c r="AA5" s="1930"/>
      <c r="AB5" s="1930"/>
      <c r="AC5" s="1930"/>
      <c r="AD5" s="1930"/>
      <c r="AE5" s="1930"/>
      <c r="AF5" s="1930"/>
      <c r="AG5" s="1930"/>
      <c r="AH5" s="1930"/>
      <c r="AI5" s="1930"/>
      <c r="AJ5" s="1930"/>
      <c r="AK5" s="1930"/>
      <c r="AL5" s="1930"/>
      <c r="AM5" s="1930"/>
      <c r="AN5" s="1930"/>
      <c r="AO5" s="1930"/>
      <c r="AP5" s="1930"/>
      <c r="AQ5" s="1930"/>
      <c r="AR5" s="1930"/>
      <c r="AS5" s="1930"/>
      <c r="AT5" s="1930"/>
      <c r="AU5" s="1930"/>
      <c r="AV5" s="1930"/>
      <c r="AW5" s="1930"/>
      <c r="AX5" s="1930"/>
      <c r="AY5" s="1930"/>
      <c r="AZ5" s="1930"/>
      <c r="BA5" s="1930"/>
      <c r="BB5" s="1930"/>
      <c r="BC5" s="1930"/>
      <c r="BD5" s="1930"/>
      <c r="BE5" s="1930"/>
    </row>
    <row r="6" spans="1:57" ht="30" x14ac:dyDescent="0.25">
      <c r="C6" s="3086" t="s">
        <v>28</v>
      </c>
      <c r="D6" s="3086" t="s">
        <v>29</v>
      </c>
      <c r="E6" s="3086" t="s">
        <v>30</v>
      </c>
      <c r="F6" s="3086" t="s">
        <v>31</v>
      </c>
      <c r="G6" s="3086" t="s">
        <v>32</v>
      </c>
      <c r="H6" s="3086" t="s">
        <v>33</v>
      </c>
      <c r="I6" s="3086" t="s">
        <v>34</v>
      </c>
      <c r="J6" s="3086" t="s">
        <v>35</v>
      </c>
      <c r="K6" s="3086" t="s">
        <v>36</v>
      </c>
      <c r="L6" s="3086" t="s">
        <v>37</v>
      </c>
      <c r="M6" s="3086" t="s">
        <v>38</v>
      </c>
      <c r="N6" s="3086" t="s">
        <v>39</v>
      </c>
      <c r="O6" s="3086" t="s">
        <v>40</v>
      </c>
      <c r="P6" s="3086" t="s">
        <v>41</v>
      </c>
      <c r="Q6" s="3086" t="s">
        <v>42</v>
      </c>
      <c r="R6" s="3086" t="s">
        <v>43</v>
      </c>
      <c r="S6" s="3086" t="s">
        <v>44</v>
      </c>
      <c r="V6" s="1936" t="s">
        <v>45</v>
      </c>
      <c r="W6" s="1937">
        <v>43252</v>
      </c>
      <c r="X6" s="1937">
        <v>43435</v>
      </c>
      <c r="Y6" s="1937">
        <v>43800</v>
      </c>
      <c r="Z6" s="1937">
        <v>43862</v>
      </c>
      <c r="AA6" s="1937">
        <v>44013</v>
      </c>
      <c r="AB6" s="1937">
        <v>44166</v>
      </c>
      <c r="AC6" s="1937">
        <v>44531</v>
      </c>
      <c r="AD6" s="1937" t="s">
        <v>46</v>
      </c>
      <c r="AE6" s="1937" t="s">
        <v>46</v>
      </c>
      <c r="AF6" s="1937" t="s">
        <v>46</v>
      </c>
      <c r="AG6" s="1937" t="s">
        <v>46</v>
      </c>
      <c r="AH6" s="1930"/>
      <c r="AI6" s="1930"/>
      <c r="AJ6" s="1930"/>
      <c r="AK6" s="1930"/>
      <c r="AL6" s="1930"/>
      <c r="AM6" s="1930"/>
      <c r="AN6" s="1930"/>
      <c r="AO6" s="1930"/>
      <c r="AP6" s="1930"/>
      <c r="AQ6" s="1930"/>
      <c r="AR6" s="1930"/>
      <c r="AS6" s="1930"/>
      <c r="AT6" s="1930"/>
      <c r="AU6" s="1930"/>
      <c r="AV6" s="1930"/>
      <c r="AW6" s="1930"/>
      <c r="AX6" s="1930"/>
      <c r="AY6" s="1930"/>
      <c r="AZ6" s="1930"/>
      <c r="BA6" s="1930"/>
      <c r="BB6" s="1953" t="s">
        <v>47</v>
      </c>
      <c r="BC6" s="49" t="s">
        <v>48</v>
      </c>
      <c r="BD6" s="50" t="s">
        <v>49</v>
      </c>
      <c r="BE6" s="50" t="s">
        <v>50</v>
      </c>
    </row>
    <row r="7" spans="1:57" s="51" customFormat="1" x14ac:dyDescent="0.25">
      <c r="A7" s="123"/>
      <c r="B7" s="123"/>
      <c r="C7" s="1471" t="s">
        <v>51</v>
      </c>
      <c r="D7" s="3227" t="s">
        <v>52</v>
      </c>
      <c r="E7" s="3089" t="s">
        <v>53</v>
      </c>
      <c r="F7" s="531">
        <f>ROUND(L7+M7,2)</f>
        <v>9.68</v>
      </c>
      <c r="G7" s="1554">
        <f t="shared" ref="G7:G14" si="0">ROUND(((L7/F7)*I7+(M7/F7)*K7)*F7,6)</f>
        <v>1.5009999999999999E-3</v>
      </c>
      <c r="H7" s="107" t="s">
        <v>54</v>
      </c>
      <c r="I7" s="449">
        <f>VLOOKUP(H7,'CP FACTORS'!$A$3:$B$38, 2, FALSE)</f>
        <v>1.4925290000000001E-4</v>
      </c>
      <c r="J7" s="107" t="s">
        <v>55</v>
      </c>
      <c r="K7" s="449">
        <f>VLOOKUP(J7,'CP FACTORS'!$A$3:$B$38, 2, FALSE)</f>
        <v>1.899635E-4</v>
      </c>
      <c r="L7" s="2022">
        <f>((G44-G70)*$G$112*$G$96*(1-$G$103)*($G$106*$G$108)/1000)</f>
        <v>8.290220325649365</v>
      </c>
      <c r="M7" s="2084">
        <f t="shared" ref="M7:M31" si="1">((G44-G70)*(1-$G$112)*$G$96*(1-$G$103)*($G$109*$G$111)/1000)</f>
        <v>1.3873010057369219</v>
      </c>
      <c r="N7" s="2085">
        <f>L7*I7</f>
        <v>1.2373394252421122E-3</v>
      </c>
      <c r="O7" s="2085">
        <f>M7*K7</f>
        <v>2.635365546033058E-4</v>
      </c>
      <c r="P7" s="2718">
        <f t="shared" ref="P7:P14" si="2">$G$115</f>
        <v>19</v>
      </c>
      <c r="Q7" s="2718">
        <f t="shared" ref="Q7:Q14" si="3">$G$117</f>
        <v>6</v>
      </c>
      <c r="R7" s="2086">
        <v>9.9999999999999995E-7</v>
      </c>
      <c r="S7" s="1471" t="s">
        <v>56</v>
      </c>
      <c r="T7" s="228"/>
      <c r="U7" s="228"/>
      <c r="V7" s="3227" t="s">
        <v>31</v>
      </c>
      <c r="W7" s="2002">
        <v>12.91958407191729</v>
      </c>
      <c r="X7" s="129">
        <v>12.018748359511475</v>
      </c>
      <c r="Y7" s="2098">
        <v>9.52</v>
      </c>
      <c r="Z7" s="129">
        <v>9.52</v>
      </c>
      <c r="AA7" s="129">
        <v>9.52</v>
      </c>
      <c r="AB7" s="2098">
        <v>9.68</v>
      </c>
      <c r="AC7" s="2099">
        <v>9.68</v>
      </c>
      <c r="AD7" s="2099"/>
      <c r="AE7" s="2099"/>
      <c r="AF7" s="2099"/>
      <c r="AG7" s="2099"/>
      <c r="AH7" s="2107"/>
      <c r="AI7" s="2100"/>
      <c r="AJ7" s="2100"/>
      <c r="AK7" s="2100"/>
      <c r="AL7" s="1942"/>
      <c r="AM7" s="1942"/>
      <c r="AN7" s="1942"/>
      <c r="AO7" s="1942"/>
      <c r="AP7" s="1942"/>
      <c r="AQ7" s="1942"/>
      <c r="AR7" s="1942"/>
      <c r="AS7" s="1942"/>
      <c r="AT7" s="1942"/>
      <c r="AU7" s="1942"/>
      <c r="AV7" s="1942"/>
      <c r="AW7" s="1942"/>
      <c r="AX7" s="1942"/>
      <c r="AY7" s="1942"/>
      <c r="AZ7" s="1942"/>
      <c r="BA7" s="1942"/>
      <c r="BB7" s="110">
        <f>(BD7)/(BE7)</f>
        <v>22797.049945335755</v>
      </c>
      <c r="BC7" s="3166" t="str">
        <f>CONCATENATE(H7," ",P7," Year EUL")</f>
        <v>Lighting RES 19 Year EUL</v>
      </c>
      <c r="BD7" s="111">
        <f>(INDEX('Avoided Cost Benefits'!$C$4:$C$857,MATCH(BC7,'Avoided Cost Benefits'!$A$4:$A$857,0)))*F7</f>
        <v>5.6704634239860923</v>
      </c>
      <c r="BE7" s="1946">
        <f>O7/(1.0595^(2020-2019))</f>
        <v>2.4873671977659819E-4</v>
      </c>
    </row>
    <row r="8" spans="1:57" s="51" customFormat="1" x14ac:dyDescent="0.25">
      <c r="A8" s="123"/>
      <c r="B8" s="123"/>
      <c r="C8" s="1471" t="s">
        <v>57</v>
      </c>
      <c r="D8" s="3227" t="s">
        <v>52</v>
      </c>
      <c r="E8" s="3089" t="s">
        <v>58</v>
      </c>
      <c r="F8" s="531">
        <f t="shared" ref="F8:F29" si="4">ROUND(L8+M8,2)</f>
        <v>39.74</v>
      </c>
      <c r="G8" s="1554">
        <f t="shared" si="0"/>
        <v>6.1640000000000002E-3</v>
      </c>
      <c r="H8" s="107" t="s">
        <v>54</v>
      </c>
      <c r="I8" s="449">
        <f>VLOOKUP(H8,'CP FACTORS'!$A$3:$B$38, 2, FALSE)</f>
        <v>1.4925290000000001E-4</v>
      </c>
      <c r="J8" s="107" t="s">
        <v>55</v>
      </c>
      <c r="K8" s="449">
        <f>VLOOKUP(J8,'CP FACTORS'!$A$3:$B$38, 2, FALSE)</f>
        <v>1.899635E-4</v>
      </c>
      <c r="L8" s="2022">
        <f>((G45-G71)*$G$112*$G$96*(1-$G$103)*($G$106*$G$108)/1000)</f>
        <v>34.046244638346423</v>
      </c>
      <c r="M8" s="2084">
        <f t="shared" si="1"/>
        <v>5.6973623827836688</v>
      </c>
      <c r="N8" s="2085">
        <f t="shared" ref="N8:N31" si="5">L8*I8</f>
        <v>5.0815007463826554E-3</v>
      </c>
      <c r="O8" s="2085">
        <f t="shared" ref="O8:O31" si="6">M8*K8</f>
        <v>1.0822908990019255E-3</v>
      </c>
      <c r="P8" s="2718">
        <f t="shared" si="2"/>
        <v>19</v>
      </c>
      <c r="Q8" s="2718">
        <f t="shared" si="3"/>
        <v>6</v>
      </c>
      <c r="R8" s="2086">
        <v>9.9999999999999995E-7</v>
      </c>
      <c r="S8" s="1471" t="s">
        <v>56</v>
      </c>
      <c r="T8" s="228"/>
      <c r="U8" s="228"/>
      <c r="V8" s="3227" t="s">
        <v>31</v>
      </c>
      <c r="W8" s="2002">
        <v>33.221787613501611</v>
      </c>
      <c r="X8" s="129">
        <v>25.609179196805226</v>
      </c>
      <c r="Y8" s="2098">
        <v>39.11</v>
      </c>
      <c r="Z8" s="129">
        <v>39.11</v>
      </c>
      <c r="AA8" s="129">
        <v>39.11</v>
      </c>
      <c r="AB8" s="2098">
        <v>39.74</v>
      </c>
      <c r="AC8" s="2099">
        <v>39.74</v>
      </c>
      <c r="AD8" s="2099"/>
      <c r="AE8" s="2099"/>
      <c r="AF8" s="2099"/>
      <c r="AG8" s="2099"/>
      <c r="AH8" s="2107"/>
      <c r="AI8" s="2100"/>
      <c r="AJ8" s="2100"/>
      <c r="AK8" s="2100"/>
      <c r="AL8" s="1942"/>
      <c r="AM8" s="1942"/>
      <c r="AN8" s="1942"/>
      <c r="AO8" s="1942"/>
      <c r="AP8" s="1942"/>
      <c r="AQ8" s="1942"/>
      <c r="AR8" s="1942"/>
      <c r="AS8" s="1942"/>
      <c r="AT8" s="1942"/>
      <c r="AU8" s="1942"/>
      <c r="AV8" s="1942"/>
      <c r="AW8" s="1942"/>
      <c r="AX8" s="1942"/>
      <c r="AY8" s="1942"/>
      <c r="AZ8" s="1942"/>
      <c r="BA8" s="1942"/>
      <c r="BB8" s="113">
        <f t="shared" ref="BB8:BB29" si="7">(BD8)/(BE8)</f>
        <v>22789.144046179212</v>
      </c>
      <c r="BC8" s="1948" t="str">
        <f t="shared" ref="BC8:BC29" si="8">CONCATENATE(H8," ",P8," Year EUL")</f>
        <v>Lighting RES 19 Year EUL</v>
      </c>
      <c r="BD8" s="114">
        <f>(INDEX('Avoided Cost Benefits'!$C$4:$C$857,MATCH(BC8,'Avoided Cost Benefits'!$A$4:$A$857,0)))*F8</f>
        <v>23.279361205496624</v>
      </c>
      <c r="BE8" s="1949">
        <f t="shared" ref="BE8:BE29" si="9">O8/(1.0595^(2020-2019))</f>
        <v>1.0215109948106893E-3</v>
      </c>
    </row>
    <row r="9" spans="1:57" s="51" customFormat="1" x14ac:dyDescent="0.25">
      <c r="A9" s="123"/>
      <c r="B9" s="123"/>
      <c r="C9" s="1471" t="s">
        <v>59</v>
      </c>
      <c r="D9" s="3227" t="s">
        <v>52</v>
      </c>
      <c r="E9" s="3089" t="s">
        <v>60</v>
      </c>
      <c r="F9" s="531">
        <f t="shared" si="4"/>
        <v>4.7</v>
      </c>
      <c r="G9" s="1554">
        <f t="shared" si="0"/>
        <v>7.2900000000000005E-4</v>
      </c>
      <c r="H9" s="107" t="s">
        <v>54</v>
      </c>
      <c r="I9" s="449">
        <f>VLOOKUP(H9,'CP FACTORS'!$A$3:$B$38, 2, FALSE)</f>
        <v>1.4925290000000001E-4</v>
      </c>
      <c r="J9" s="107" t="s">
        <v>55</v>
      </c>
      <c r="K9" s="449">
        <f>VLOOKUP(J9,'CP FACTORS'!$A$3:$B$38, 2, FALSE)</f>
        <v>1.899635E-4</v>
      </c>
      <c r="L9" s="2022">
        <f>((G46-G72)*$G$112*$G$96*(1-$G$103)*($G$106*$G$108)/1000)</f>
        <v>4.0243787988589146</v>
      </c>
      <c r="M9" s="2084">
        <f t="shared" si="1"/>
        <v>0.67344709016355431</v>
      </c>
      <c r="N9" s="2085">
        <f t="shared" si="5"/>
        <v>6.0065020642820969E-4</v>
      </c>
      <c r="O9" s="2085">
        <f t="shared" si="6"/>
        <v>1.2793036631228436E-4</v>
      </c>
      <c r="P9" s="2718">
        <f t="shared" si="2"/>
        <v>19</v>
      </c>
      <c r="Q9" s="2718">
        <f t="shared" si="3"/>
        <v>6</v>
      </c>
      <c r="R9" s="2086">
        <v>9.9999999999999995E-7</v>
      </c>
      <c r="S9" s="1471" t="s">
        <v>56</v>
      </c>
      <c r="T9" s="228"/>
      <c r="U9" s="228"/>
      <c r="V9" s="3227" t="s">
        <v>31</v>
      </c>
      <c r="W9" s="2002">
        <v>3.9681579649460259</v>
      </c>
      <c r="X9" s="129">
        <v>3.9754321496845653</v>
      </c>
      <c r="Y9" s="2098">
        <v>4.62</v>
      </c>
      <c r="Z9" s="129">
        <v>4.62</v>
      </c>
      <c r="AA9" s="129">
        <v>4.62</v>
      </c>
      <c r="AB9" s="2098">
        <v>4.7</v>
      </c>
      <c r="AC9" s="2099">
        <v>4.7</v>
      </c>
      <c r="AD9" s="2099"/>
      <c r="AE9" s="2099"/>
      <c r="AF9" s="2099"/>
      <c r="AG9" s="2099"/>
      <c r="AH9" s="2107"/>
      <c r="AI9" s="2100"/>
      <c r="AJ9" s="2100"/>
      <c r="AK9" s="2100"/>
      <c r="AL9" s="1942"/>
      <c r="AM9" s="1942"/>
      <c r="AN9" s="1942"/>
      <c r="AO9" s="1942"/>
      <c r="AP9" s="1942"/>
      <c r="AQ9" s="1942"/>
      <c r="AR9" s="1942"/>
      <c r="AS9" s="1942"/>
      <c r="AT9" s="1942"/>
      <c r="AU9" s="1942"/>
      <c r="AV9" s="1942"/>
      <c r="AW9" s="1942"/>
      <c r="AX9" s="1942"/>
      <c r="AY9" s="1942"/>
      <c r="AZ9" s="1942"/>
      <c r="BA9" s="1942"/>
      <c r="BB9" s="113">
        <f t="shared" si="7"/>
        <v>22801.760079621985</v>
      </c>
      <c r="BC9" s="1948" t="str">
        <f t="shared" si="8"/>
        <v>Lighting RES 19 Year EUL</v>
      </c>
      <c r="BD9" s="114">
        <f>(INDEX('Avoided Cost Benefits'!$C$4:$C$857,MATCH(BC9,'Avoided Cost Benefits'!$A$4:$A$857,0)))*F9</f>
        <v>2.7532208773486193</v>
      </c>
      <c r="BE9" s="1949">
        <f t="shared" si="9"/>
        <v>1.2074598047407678E-4</v>
      </c>
    </row>
    <row r="10" spans="1:57" s="51" customFormat="1" x14ac:dyDescent="0.25">
      <c r="A10" s="123"/>
      <c r="B10" s="123"/>
      <c r="C10" s="1471" t="s">
        <v>61</v>
      </c>
      <c r="D10" s="3227" t="s">
        <v>52</v>
      </c>
      <c r="E10" s="3089" t="s">
        <v>62</v>
      </c>
      <c r="F10" s="531">
        <f t="shared" si="4"/>
        <v>32.51</v>
      </c>
      <c r="G10" s="1554">
        <f t="shared" si="0"/>
        <v>5.0419999999999996E-3</v>
      </c>
      <c r="H10" s="107" t="s">
        <v>54</v>
      </c>
      <c r="I10" s="449">
        <f>VLOOKUP(H10,'CP FACTORS'!$A$3:$B$38, 2, FALSE)</f>
        <v>1.4925290000000001E-4</v>
      </c>
      <c r="J10" s="107" t="s">
        <v>55</v>
      </c>
      <c r="K10" s="449">
        <f>VLOOKUP(J10,'CP FACTORS'!$A$3:$B$38, 2, FALSE)</f>
        <v>1.899635E-4</v>
      </c>
      <c r="L10" s="2022">
        <f>(($G$47-$G$73)*$G$112*$G$96*(1-$G$103)*($G$106*$G$108)/1000)</f>
        <v>27.848701288103694</v>
      </c>
      <c r="M10" s="2084">
        <f t="shared" si="1"/>
        <v>4.6602538639317963</v>
      </c>
      <c r="N10" s="2085">
        <f t="shared" si="5"/>
        <v>4.1564994284832117E-3</v>
      </c>
      <c r="O10" s="2085">
        <f t="shared" si="6"/>
        <v>8.8527813488100781E-4</v>
      </c>
      <c r="P10" s="2718">
        <f t="shared" si="2"/>
        <v>19</v>
      </c>
      <c r="Q10" s="2718">
        <f t="shared" si="3"/>
        <v>6</v>
      </c>
      <c r="R10" s="2086">
        <v>9.9999999999999995E-7</v>
      </c>
      <c r="S10" s="1471" t="s">
        <v>56</v>
      </c>
      <c r="T10" s="228"/>
      <c r="U10" s="228"/>
      <c r="V10" s="3227" t="s">
        <v>31</v>
      </c>
      <c r="W10" s="2002">
        <v>29.733499914083939</v>
      </c>
      <c r="X10" s="129">
        <v>29.677063256947569</v>
      </c>
      <c r="Y10" s="2098">
        <v>28.75</v>
      </c>
      <c r="Z10" s="129">
        <v>28.75</v>
      </c>
      <c r="AA10" s="129">
        <v>28.75</v>
      </c>
      <c r="AB10" s="2098">
        <v>32.51</v>
      </c>
      <c r="AC10" s="2099">
        <v>32.51</v>
      </c>
      <c r="AD10" s="2099"/>
      <c r="AE10" s="2099"/>
      <c r="AF10" s="2099"/>
      <c r="AG10" s="2099"/>
      <c r="AH10" s="2107"/>
      <c r="AI10" s="2100"/>
      <c r="AJ10" s="2100"/>
      <c r="AK10" s="2100"/>
      <c r="AL10" s="1942"/>
      <c r="AM10" s="1942"/>
      <c r="AN10" s="1942"/>
      <c r="AO10" s="1942"/>
      <c r="AP10" s="1942"/>
      <c r="AQ10" s="1942"/>
      <c r="AR10" s="1942"/>
      <c r="AS10" s="1942"/>
      <c r="AT10" s="1942"/>
      <c r="AU10" s="1942"/>
      <c r="AV10" s="1942"/>
      <c r="AW10" s="1942"/>
      <c r="AX10" s="1942"/>
      <c r="AY10" s="1942"/>
      <c r="AZ10" s="1942"/>
      <c r="BA10" s="1942"/>
      <c r="BB10" s="113">
        <f t="shared" si="7"/>
        <v>22791.945031008196</v>
      </c>
      <c r="BC10" s="1948" t="str">
        <f t="shared" si="8"/>
        <v>Lighting RES 19 Year EUL</v>
      </c>
      <c r="BD10" s="114">
        <f>(INDEX('Avoided Cost Benefits'!$C$4:$C$857,MATCH(BC10,'Avoided Cost Benefits'!$A$4:$A$857,0)))*F10</f>
        <v>19.044087387788</v>
      </c>
      <c r="BE10" s="1949">
        <f t="shared" si="9"/>
        <v>8.3556218488061134E-4</v>
      </c>
    </row>
    <row r="11" spans="1:57" s="51" customFormat="1" x14ac:dyDescent="0.25">
      <c r="A11" s="123"/>
      <c r="B11" s="123"/>
      <c r="C11" s="1471" t="s">
        <v>63</v>
      </c>
      <c r="D11" s="3227" t="s">
        <v>52</v>
      </c>
      <c r="E11" s="3089" t="s">
        <v>64</v>
      </c>
      <c r="F11" s="531">
        <f t="shared" si="4"/>
        <v>2.44</v>
      </c>
      <c r="G11" s="1554">
        <f t="shared" si="0"/>
        <v>3.79E-4</v>
      </c>
      <c r="H11" s="107" t="s">
        <v>54</v>
      </c>
      <c r="I11" s="449">
        <f>VLOOKUP(H11,'CP FACTORS'!$A$3:$B$38, 2, FALSE)</f>
        <v>1.4925290000000001E-4</v>
      </c>
      <c r="J11" s="107" t="s">
        <v>55</v>
      </c>
      <c r="K11" s="449">
        <f>VLOOKUP(J11,'CP FACTORS'!$A$3:$B$38, 2, FALSE)</f>
        <v>1.899635E-4</v>
      </c>
      <c r="L11" s="2022">
        <f t="shared" ref="L11:L31" si="10">((G48-G74)*$G$112*$G$96*(1-$G$103)*($G$106*$G$108)/1000)</f>
        <v>2.0926769754066354</v>
      </c>
      <c r="M11" s="2084">
        <f t="shared" si="1"/>
        <v>0.35019248688504817</v>
      </c>
      <c r="N11" s="2085">
        <f t="shared" si="5"/>
        <v>3.1233810734266905E-4</v>
      </c>
      <c r="O11" s="2085">
        <f t="shared" si="6"/>
        <v>6.6523790482387853E-5</v>
      </c>
      <c r="P11" s="2718">
        <f t="shared" si="2"/>
        <v>19</v>
      </c>
      <c r="Q11" s="2718">
        <f t="shared" si="3"/>
        <v>6</v>
      </c>
      <c r="R11" s="2086">
        <v>9.9999999999999995E-7</v>
      </c>
      <c r="S11" s="1471" t="s">
        <v>56</v>
      </c>
      <c r="T11" s="228"/>
      <c r="U11" s="228"/>
      <c r="V11" s="3227" t="s">
        <v>31</v>
      </c>
      <c r="W11" s="2002">
        <v>7.8440331865212132</v>
      </c>
      <c r="X11" s="129">
        <v>7.8584123889113489</v>
      </c>
      <c r="Y11" s="2098">
        <v>2.4</v>
      </c>
      <c r="Z11" s="129">
        <v>2.4</v>
      </c>
      <c r="AA11" s="129">
        <v>2.4</v>
      </c>
      <c r="AB11" s="2098">
        <v>2.44</v>
      </c>
      <c r="AC11" s="2099">
        <v>2.44</v>
      </c>
      <c r="AD11" s="2099"/>
      <c r="AE11" s="2099"/>
      <c r="AF11" s="2099"/>
      <c r="AG11" s="2099"/>
      <c r="AH11" s="2107"/>
      <c r="AI11" s="2100"/>
      <c r="AJ11" s="2100"/>
      <c r="AK11" s="2100"/>
      <c r="AL11" s="1942"/>
      <c r="AM11" s="1942"/>
      <c r="AN11" s="1942"/>
      <c r="AO11" s="1942"/>
      <c r="AP11" s="1942"/>
      <c r="AQ11" s="1942"/>
      <c r="AR11" s="1942"/>
      <c r="AS11" s="1942"/>
      <c r="AT11" s="1942"/>
      <c r="AU11" s="1942"/>
      <c r="AV11" s="1942"/>
      <c r="AW11" s="1942"/>
      <c r="AX11" s="1942"/>
      <c r="AY11" s="1942"/>
      <c r="AZ11" s="1942"/>
      <c r="BA11" s="1942"/>
      <c r="BB11" s="113">
        <f t="shared" si="7"/>
        <v>22764.441323354193</v>
      </c>
      <c r="BC11" s="1948" t="str">
        <f t="shared" si="8"/>
        <v>Lighting RES 19 Year EUL</v>
      </c>
      <c r="BD11" s="114">
        <f>(INDEX('Avoided Cost Benefits'!$C$4:$C$857,MATCH(BC11,'Avoided Cost Benefits'!$A$4:$A$857,0)))*F11</f>
        <v>1.4293316895171555</v>
      </c>
      <c r="BE11" s="1949">
        <f t="shared" si="9"/>
        <v>6.278790984651991E-5</v>
      </c>
    </row>
    <row r="12" spans="1:57" s="51" customFormat="1" x14ac:dyDescent="0.25">
      <c r="A12" s="123"/>
      <c r="B12" s="123"/>
      <c r="C12" s="1471" t="s">
        <v>65</v>
      </c>
      <c r="D12" s="3227" t="s">
        <v>52</v>
      </c>
      <c r="E12" s="3089" t="s">
        <v>66</v>
      </c>
      <c r="F12" s="531">
        <f t="shared" si="4"/>
        <v>72.16</v>
      </c>
      <c r="G12" s="1554">
        <f t="shared" si="0"/>
        <v>1.1191E-2</v>
      </c>
      <c r="H12" s="107" t="s">
        <v>54</v>
      </c>
      <c r="I12" s="449">
        <f>VLOOKUP(H12,'CP FACTORS'!$A$3:$B$38, 2, FALSE)</f>
        <v>1.4925290000000001E-4</v>
      </c>
      <c r="J12" s="107" t="s">
        <v>55</v>
      </c>
      <c r="K12" s="449">
        <f>VLOOKUP(J12,'CP FACTORS'!$A$3:$B$38, 2, FALSE)</f>
        <v>1.899635E-4</v>
      </c>
      <c r="L12" s="2022">
        <f t="shared" si="10"/>
        <v>61.814458350472925</v>
      </c>
      <c r="M12" s="2084">
        <f t="shared" si="1"/>
        <v>10.344147304912193</v>
      </c>
      <c r="N12" s="2085">
        <f t="shared" si="5"/>
        <v>9.2259871707373008E-3</v>
      </c>
      <c r="O12" s="2085">
        <f t="shared" si="6"/>
        <v>1.9650104265566872E-3</v>
      </c>
      <c r="P12" s="2718">
        <f t="shared" si="2"/>
        <v>19</v>
      </c>
      <c r="Q12" s="2718">
        <f t="shared" si="3"/>
        <v>6</v>
      </c>
      <c r="R12" s="2086">
        <v>9.9999999999999995E-7</v>
      </c>
      <c r="S12" s="1471" t="s">
        <v>56</v>
      </c>
      <c r="T12" s="228"/>
      <c r="U12" s="228"/>
      <c r="V12" s="3227" t="s">
        <v>31</v>
      </c>
      <c r="W12" s="2002">
        <v>61.59873120003423</v>
      </c>
      <c r="X12" s="129">
        <v>47.335378154383655</v>
      </c>
      <c r="Y12" s="2098">
        <v>71</v>
      </c>
      <c r="Z12" s="129">
        <v>71</v>
      </c>
      <c r="AA12" s="129">
        <v>71</v>
      </c>
      <c r="AB12" s="2098">
        <v>72.16</v>
      </c>
      <c r="AC12" s="2099">
        <v>72.16</v>
      </c>
      <c r="AD12" s="2099"/>
      <c r="AE12" s="2099"/>
      <c r="AF12" s="2099"/>
      <c r="AG12" s="2099"/>
      <c r="AH12" s="2107"/>
      <c r="AI12" s="2100"/>
      <c r="AJ12" s="2100"/>
      <c r="AK12" s="2100"/>
      <c r="AL12" s="1942"/>
      <c r="AM12" s="1942"/>
      <c r="AN12" s="1942"/>
      <c r="AO12" s="1942"/>
      <c r="AP12" s="1942"/>
      <c r="AQ12" s="1942"/>
      <c r="AR12" s="1942"/>
      <c r="AS12" s="1942"/>
      <c r="AT12" s="1942"/>
      <c r="AU12" s="1942"/>
      <c r="AV12" s="1942"/>
      <c r="AW12" s="1942"/>
      <c r="AX12" s="1942"/>
      <c r="AY12" s="1942"/>
      <c r="AZ12" s="1942"/>
      <c r="BA12" s="1942"/>
      <c r="BB12" s="113">
        <f t="shared" si="7"/>
        <v>22791.652916466122</v>
      </c>
      <c r="BC12" s="1948" t="str">
        <f t="shared" si="8"/>
        <v>Lighting RES 19 Year EUL</v>
      </c>
      <c r="BD12" s="114">
        <f>(INDEX('Avoided Cost Benefits'!$C$4:$C$857,MATCH(BC12,'Avoided Cost Benefits'!$A$4:$A$857,0)))*F12</f>
        <v>42.270727342441774</v>
      </c>
      <c r="BE12" s="1949">
        <f t="shared" si="9"/>
        <v>1.8546582600818188E-3</v>
      </c>
    </row>
    <row r="13" spans="1:57" s="51" customFormat="1" x14ac:dyDescent="0.25">
      <c r="A13" s="123"/>
      <c r="B13" s="123"/>
      <c r="C13" s="1471" t="s">
        <v>67</v>
      </c>
      <c r="D13" s="3227" t="s">
        <v>52</v>
      </c>
      <c r="E13" s="3089" t="s">
        <v>68</v>
      </c>
      <c r="F13" s="531">
        <f t="shared" si="4"/>
        <v>38.43</v>
      </c>
      <c r="G13" s="1554">
        <f t="shared" si="0"/>
        <v>5.96E-3</v>
      </c>
      <c r="H13" s="107" t="s">
        <v>54</v>
      </c>
      <c r="I13" s="449">
        <f>VLOOKUP(H13,'CP FACTORS'!$A$3:$B$38, 2, FALSE)</f>
        <v>1.4925290000000001E-4</v>
      </c>
      <c r="J13" s="107" t="s">
        <v>55</v>
      </c>
      <c r="K13" s="449">
        <f>VLOOKUP(J13,'CP FACTORS'!$A$3:$B$38, 2, FALSE)</f>
        <v>1.899635E-4</v>
      </c>
      <c r="L13" s="2022">
        <f t="shared" si="10"/>
        <v>32.919418574665919</v>
      </c>
      <c r="M13" s="2084">
        <f t="shared" si="1"/>
        <v>5.5087971975378736</v>
      </c>
      <c r="N13" s="2085">
        <f t="shared" si="5"/>
        <v>4.9133186885827549E-3</v>
      </c>
      <c r="O13" s="2085">
        <f t="shared" si="6"/>
        <v>1.0464703964344858E-3</v>
      </c>
      <c r="P13" s="2718">
        <f t="shared" si="2"/>
        <v>19</v>
      </c>
      <c r="Q13" s="2718">
        <f t="shared" si="3"/>
        <v>6</v>
      </c>
      <c r="R13" s="2086">
        <v>9.9999999999999995E-7</v>
      </c>
      <c r="S13" s="1471" t="s">
        <v>56</v>
      </c>
      <c r="T13" s="228"/>
      <c r="U13" s="228"/>
      <c r="V13" s="3227" t="s">
        <v>31</v>
      </c>
      <c r="W13" s="2002">
        <v>39.127883189235227</v>
      </c>
      <c r="X13" s="129">
        <v>38.275090929521156</v>
      </c>
      <c r="Y13" s="2098">
        <v>37.81</v>
      </c>
      <c r="Z13" s="129">
        <v>37.81</v>
      </c>
      <c r="AA13" s="129">
        <v>37.81</v>
      </c>
      <c r="AB13" s="2098">
        <v>38.43</v>
      </c>
      <c r="AC13" s="2099">
        <v>38.43</v>
      </c>
      <c r="AD13" s="2099"/>
      <c r="AE13" s="2099"/>
      <c r="AF13" s="2099"/>
      <c r="AG13" s="2099"/>
      <c r="AH13" s="2107"/>
      <c r="AI13" s="2100"/>
      <c r="AJ13" s="2100"/>
      <c r="AK13" s="2100"/>
      <c r="AL13" s="1942"/>
      <c r="AM13" s="1942"/>
      <c r="AN13" s="1942"/>
      <c r="AO13" s="1942"/>
      <c r="AP13" s="1942"/>
      <c r="AQ13" s="1942"/>
      <c r="AR13" s="1942"/>
      <c r="AS13" s="1942"/>
      <c r="AT13" s="1942"/>
      <c r="AU13" s="1942"/>
      <c r="AV13" s="1942"/>
      <c r="AW13" s="1942"/>
      <c r="AX13" s="1942"/>
      <c r="AY13" s="1942"/>
      <c r="AZ13" s="1942"/>
      <c r="BA13" s="1942"/>
      <c r="BB13" s="113">
        <f t="shared" si="7"/>
        <v>22792.270713725044</v>
      </c>
      <c r="BC13" s="1948" t="str">
        <f t="shared" si="8"/>
        <v>Lighting RES 19 Year EUL</v>
      </c>
      <c r="BD13" s="114">
        <f>(INDEX('Avoided Cost Benefits'!$C$4:$C$857,MATCH(BC13,'Avoided Cost Benefits'!$A$4:$A$857,0)))*F13</f>
        <v>22.511974109895199</v>
      </c>
      <c r="BE13" s="1949">
        <f t="shared" si="9"/>
        <v>9.8770212027794778E-4</v>
      </c>
    </row>
    <row r="14" spans="1:57" s="51" customFormat="1" x14ac:dyDescent="0.25">
      <c r="A14" s="123"/>
      <c r="B14" s="123"/>
      <c r="C14" s="1471" t="s">
        <v>69</v>
      </c>
      <c r="D14" s="3227" t="s">
        <v>52</v>
      </c>
      <c r="E14" s="3089" t="s">
        <v>70</v>
      </c>
      <c r="F14" s="531">
        <f t="shared" si="4"/>
        <v>6.39</v>
      </c>
      <c r="G14" s="1554">
        <f t="shared" si="0"/>
        <v>9.9099999999999991E-4</v>
      </c>
      <c r="H14" s="107" t="s">
        <v>54</v>
      </c>
      <c r="I14" s="449">
        <f>VLOOKUP(H14,'CP FACTORS'!$A$3:$B$38, 2, FALSE)</f>
        <v>1.4925290000000001E-4</v>
      </c>
      <c r="J14" s="107" t="s">
        <v>55</v>
      </c>
      <c r="K14" s="449">
        <f>VLOOKUP(J14,'CP FACTORS'!$A$3:$B$38, 2, FALSE)</f>
        <v>1.899635E-4</v>
      </c>
      <c r="L14" s="2022">
        <f t="shared" si="10"/>
        <v>5.4731551664481231</v>
      </c>
      <c r="M14" s="2084">
        <f t="shared" si="1"/>
        <v>0.91588804262243373</v>
      </c>
      <c r="N14" s="2085">
        <f t="shared" si="5"/>
        <v>8.1688428074236515E-4</v>
      </c>
      <c r="O14" s="2085">
        <f t="shared" si="6"/>
        <v>1.739852981847067E-4</v>
      </c>
      <c r="P14" s="2718">
        <f t="shared" si="2"/>
        <v>19</v>
      </c>
      <c r="Q14" s="2718">
        <f t="shared" si="3"/>
        <v>6</v>
      </c>
      <c r="R14" s="2086">
        <v>9.9999999999999995E-7</v>
      </c>
      <c r="S14" s="1471" t="s">
        <v>56</v>
      </c>
      <c r="T14" s="228"/>
      <c r="U14" s="228"/>
      <c r="V14" s="3227" t="s">
        <v>31</v>
      </c>
      <c r="W14" s="2002">
        <v>7.6594676997795368</v>
      </c>
      <c r="X14" s="129">
        <v>7.6735085679957855</v>
      </c>
      <c r="Y14" s="2098">
        <v>6.29</v>
      </c>
      <c r="Z14" s="129">
        <v>6.29</v>
      </c>
      <c r="AA14" s="129">
        <v>6.29</v>
      </c>
      <c r="AB14" s="2098">
        <v>6.39</v>
      </c>
      <c r="AC14" s="2099">
        <v>6.39</v>
      </c>
      <c r="AD14" s="2099"/>
      <c r="AE14" s="2099"/>
      <c r="AF14" s="2099"/>
      <c r="AG14" s="2099"/>
      <c r="AH14" s="2107"/>
      <c r="AI14" s="2100"/>
      <c r="AJ14" s="2100"/>
      <c r="AK14" s="2100"/>
      <c r="AL14" s="1942"/>
      <c r="AM14" s="1942"/>
      <c r="AN14" s="1942"/>
      <c r="AO14" s="1942"/>
      <c r="AP14" s="1942"/>
      <c r="AQ14" s="1942"/>
      <c r="AR14" s="1942"/>
      <c r="AS14" s="1942"/>
      <c r="AT14" s="1942"/>
      <c r="AU14" s="1942"/>
      <c r="AV14" s="1942"/>
      <c r="AW14" s="1942"/>
      <c r="AX14" s="1942"/>
      <c r="AY14" s="1942"/>
      <c r="AZ14" s="1942"/>
      <c r="BA14" s="1942"/>
      <c r="BB14" s="113">
        <f t="shared" si="7"/>
        <v>22794.625611511965</v>
      </c>
      <c r="BC14" s="1948" t="str">
        <f t="shared" si="8"/>
        <v>Lighting RES 19 Year EUL</v>
      </c>
      <c r="BD14" s="114">
        <f>(INDEX('Avoided Cost Benefits'!$C$4:$C$857,MATCH(BC14,'Avoided Cost Benefits'!$A$4:$A$857,0)))*F14</f>
        <v>3.7432088098420584</v>
      </c>
      <c r="BE14" s="1949">
        <f t="shared" si="9"/>
        <v>1.6421453344474439E-4</v>
      </c>
    </row>
    <row r="15" spans="1:57" s="1942" customFormat="1" x14ac:dyDescent="0.25">
      <c r="A15" s="123"/>
      <c r="B15" s="123"/>
      <c r="C15" s="1471" t="s">
        <v>71</v>
      </c>
      <c r="D15" s="3227" t="s">
        <v>52</v>
      </c>
      <c r="E15" s="3089" t="s">
        <v>72</v>
      </c>
      <c r="F15" s="531">
        <f t="shared" ref="F15:F16" si="11">ROUND(L15+M15,2)</f>
        <v>7.41</v>
      </c>
      <c r="G15" s="1554">
        <f t="shared" ref="G15:G16" si="12">ROUND(((L15/F15)*I15+(M15/F15)*K15)*F15,6)</f>
        <v>1.15E-3</v>
      </c>
      <c r="H15" s="107" t="s">
        <v>54</v>
      </c>
      <c r="I15" s="449">
        <f>VLOOKUP(H15,'CP FACTORS'!$A$3:$B$38, 2, FALSE)</f>
        <v>1.4925290000000001E-4</v>
      </c>
      <c r="J15" s="107" t="s">
        <v>55</v>
      </c>
      <c r="K15" s="449">
        <f>VLOOKUP(J15,'CP FACTORS'!$A$3:$B$38, 2, FALSE)</f>
        <v>1.899635E-4</v>
      </c>
      <c r="L15" s="2022">
        <f t="shared" si="10"/>
        <v>6.3495754381996212</v>
      </c>
      <c r="M15" s="2084">
        <f t="shared" si="1"/>
        <v>1.0625498533691635</v>
      </c>
      <c r="N15" s="2085">
        <f t="shared" ref="N15:N16" si="13">L15*I15</f>
        <v>9.4769254792006433E-4</v>
      </c>
      <c r="O15" s="2085">
        <f t="shared" ref="O15:O16" si="14">M15*K15</f>
        <v>2.0184568907049311E-4</v>
      </c>
      <c r="P15" s="2718">
        <f t="shared" ref="P15:P16" si="15">$G$115</f>
        <v>19</v>
      </c>
      <c r="Q15" s="2718">
        <f t="shared" ref="Q15:Q16" si="16">$G$117</f>
        <v>6</v>
      </c>
      <c r="R15" s="2086">
        <v>9.9999999999999995E-7</v>
      </c>
      <c r="S15" s="1471" t="s">
        <v>56</v>
      </c>
      <c r="T15" s="228"/>
      <c r="U15" s="228"/>
      <c r="V15" s="3227" t="s">
        <v>31</v>
      </c>
      <c r="W15" s="2002"/>
      <c r="X15" s="129"/>
      <c r="Y15" s="2098"/>
      <c r="Z15" s="129"/>
      <c r="AA15" s="129"/>
      <c r="AB15" s="2098">
        <v>7.41</v>
      </c>
      <c r="AC15" s="2099">
        <v>7.41</v>
      </c>
      <c r="AD15" s="2099"/>
      <c r="AE15" s="2099"/>
      <c r="AF15" s="2099"/>
      <c r="AG15" s="2099"/>
      <c r="AH15" s="2107"/>
      <c r="AI15" s="2100"/>
      <c r="AJ15" s="2100"/>
      <c r="AK15" s="2100"/>
      <c r="BB15" s="113">
        <f t="shared" ref="BB15:BB16" si="17">(BD15)/(BE15)</f>
        <v>22784.67755034447</v>
      </c>
      <c r="BC15" s="1948" t="str">
        <f t="shared" ref="BC15:BC16" si="18">CONCATENATE(H15," ",P15," Year EUL")</f>
        <v>Lighting RES 19 Year EUL</v>
      </c>
      <c r="BD15" s="114">
        <f>(INDEX('Avoided Cost Benefits'!$C$4:$C$857,MATCH(BC15,'Avoided Cost Benefits'!$A$4:$A$857,0)))*F15</f>
        <v>4.3407163193943124</v>
      </c>
      <c r="BE15" s="1949">
        <f t="shared" ref="BE15:BE16" si="19">O15/(1.0595^(2020-2019))</f>
        <v>1.9051032474798782E-4</v>
      </c>
    </row>
    <row r="16" spans="1:57" s="1942" customFormat="1" x14ac:dyDescent="0.25">
      <c r="A16" s="123"/>
      <c r="B16" s="123"/>
      <c r="C16" s="1471" t="s">
        <v>73</v>
      </c>
      <c r="D16" s="3227" t="s">
        <v>52</v>
      </c>
      <c r="E16" s="3089" t="s">
        <v>74</v>
      </c>
      <c r="F16" s="531">
        <f t="shared" si="11"/>
        <v>50.74</v>
      </c>
      <c r="G16" s="1554">
        <f t="shared" si="12"/>
        <v>7.8689999999999993E-3</v>
      </c>
      <c r="H16" s="107" t="s">
        <v>54</v>
      </c>
      <c r="I16" s="449">
        <f>VLOOKUP(H16,'CP FACTORS'!$A$3:$B$38, 2, FALSE)</f>
        <v>1.4925290000000001E-4</v>
      </c>
      <c r="J16" s="107" t="s">
        <v>55</v>
      </c>
      <c r="K16" s="449">
        <f>VLOOKUP(J16,'CP FACTORS'!$A$3:$B$38, 2, FALSE)</f>
        <v>1.899635E-4</v>
      </c>
      <c r="L16" s="2022">
        <f t="shared" si="10"/>
        <v>43.463291027676277</v>
      </c>
      <c r="M16" s="2084">
        <f t="shared" si="1"/>
        <v>7.2732285737663869</v>
      </c>
      <c r="N16" s="2085">
        <f t="shared" si="13"/>
        <v>6.4870222294246653E-3</v>
      </c>
      <c r="O16" s="2085">
        <f t="shared" si="14"/>
        <v>1.3816479561726712E-3</v>
      </c>
      <c r="P16" s="2718">
        <f t="shared" si="15"/>
        <v>19</v>
      </c>
      <c r="Q16" s="2718">
        <f t="shared" si="16"/>
        <v>6</v>
      </c>
      <c r="R16" s="2086">
        <v>9.9999999999999995E-7</v>
      </c>
      <c r="S16" s="1471" t="s">
        <v>56</v>
      </c>
      <c r="T16" s="228"/>
      <c r="U16" s="228"/>
      <c r="V16" s="3227" t="s">
        <v>31</v>
      </c>
      <c r="W16" s="2002"/>
      <c r="X16" s="129"/>
      <c r="Y16" s="2098"/>
      <c r="Z16" s="129"/>
      <c r="AA16" s="129"/>
      <c r="AB16" s="2098">
        <v>50.74</v>
      </c>
      <c r="AC16" s="2099">
        <v>50.74</v>
      </c>
      <c r="AD16" s="2099"/>
      <c r="AE16" s="2099"/>
      <c r="AF16" s="2099"/>
      <c r="AG16" s="2099"/>
      <c r="AH16" s="2107"/>
      <c r="AI16" s="2100"/>
      <c r="AJ16" s="2100"/>
      <c r="AK16" s="2100"/>
      <c r="BB16" s="113">
        <f t="shared" si="17"/>
        <v>22792.775934594549</v>
      </c>
      <c r="BC16" s="1948" t="str">
        <f t="shared" si="18"/>
        <v>Lighting RES 19 Year EUL</v>
      </c>
      <c r="BD16" s="114">
        <f>(INDEX('Avoided Cost Benefits'!$C$4:$C$857,MATCH(BC16,'Avoided Cost Benefits'!$A$4:$A$857,0)))*F16</f>
        <v>29.723069641844454</v>
      </c>
      <c r="BE16" s="1949">
        <f t="shared" si="19"/>
        <v>1.3040565891200293E-3</v>
      </c>
    </row>
    <row r="17" spans="1:57" s="51" customFormat="1" x14ac:dyDescent="0.25">
      <c r="A17" s="123"/>
      <c r="B17" s="123"/>
      <c r="C17" s="1471" t="s">
        <v>75</v>
      </c>
      <c r="D17" s="3227" t="s">
        <v>52</v>
      </c>
      <c r="E17" s="3089" t="s">
        <v>76</v>
      </c>
      <c r="F17" s="531">
        <f t="shared" si="4"/>
        <v>5.64</v>
      </c>
      <c r="G17" s="1554">
        <f t="shared" ref="G17:G29" si="20">ROUND(((L17/F17)*I17+(M17/F17)*K17)*F17,6)</f>
        <v>8.7399999999999999E-4</v>
      </c>
      <c r="H17" s="107" t="s">
        <v>54</v>
      </c>
      <c r="I17" s="449">
        <f>VLOOKUP(H17,'CP FACTORS'!$A$3:$B$38, 2, FALSE)</f>
        <v>1.4925290000000001E-4</v>
      </c>
      <c r="J17" s="107" t="s">
        <v>55</v>
      </c>
      <c r="K17" s="449">
        <f>VLOOKUP(J17,'CP FACTORS'!$A$3:$B$38, 2, FALSE)</f>
        <v>1.899635E-4</v>
      </c>
      <c r="L17" s="2022">
        <f t="shared" si="10"/>
        <v>4.8292545586306987</v>
      </c>
      <c r="M17" s="2084">
        <f t="shared" si="1"/>
        <v>0.80813650819626515</v>
      </c>
      <c r="N17" s="2085">
        <f t="shared" si="5"/>
        <v>7.2078024771385189E-4</v>
      </c>
      <c r="O17" s="2085">
        <f t="shared" si="6"/>
        <v>1.5351643957474122E-4</v>
      </c>
      <c r="P17" s="2718">
        <f t="shared" ref="P17:P30" si="21">$G$115</f>
        <v>19</v>
      </c>
      <c r="Q17" s="2718">
        <f t="shared" ref="Q17:Q30" si="22">$G$117</f>
        <v>6</v>
      </c>
      <c r="R17" s="2086">
        <v>9.9999999999999995E-7</v>
      </c>
      <c r="S17" s="1471" t="s">
        <v>56</v>
      </c>
      <c r="T17" s="228"/>
      <c r="U17" s="228"/>
      <c r="V17" s="3227" t="s">
        <v>31</v>
      </c>
      <c r="W17" s="2002">
        <v>4.4295716818002155</v>
      </c>
      <c r="X17" s="129">
        <v>4.4376917019734679</v>
      </c>
      <c r="Y17" s="2098">
        <v>5.55</v>
      </c>
      <c r="Z17" s="129">
        <v>5.55</v>
      </c>
      <c r="AA17" s="129">
        <v>5.55</v>
      </c>
      <c r="AB17" s="2098">
        <v>5.64</v>
      </c>
      <c r="AC17" s="2099">
        <v>5.64</v>
      </c>
      <c r="AD17" s="2099"/>
      <c r="AE17" s="2099"/>
      <c r="AF17" s="2099"/>
      <c r="AG17" s="2099"/>
      <c r="AH17" s="2107"/>
      <c r="AI17" s="2100"/>
      <c r="AJ17" s="2100"/>
      <c r="AK17" s="2100"/>
      <c r="AL17" s="1942"/>
      <c r="AM17" s="1942"/>
      <c r="AN17" s="1942"/>
      <c r="AO17" s="1942"/>
      <c r="AP17" s="1942"/>
      <c r="AQ17" s="1942"/>
      <c r="AR17" s="1942"/>
      <c r="AS17" s="1942"/>
      <c r="AT17" s="1942"/>
      <c r="AU17" s="1942"/>
      <c r="AV17" s="1942"/>
      <c r="AW17" s="1942"/>
      <c r="AX17" s="1942"/>
      <c r="AY17" s="1942"/>
      <c r="AZ17" s="1942"/>
      <c r="BA17" s="1942"/>
      <c r="BB17" s="113">
        <f t="shared" si="7"/>
        <v>22801.760079621981</v>
      </c>
      <c r="BC17" s="1948" t="str">
        <f t="shared" si="8"/>
        <v>Lighting RES 19 Year EUL</v>
      </c>
      <c r="BD17" s="114">
        <f>(INDEX('Avoided Cost Benefits'!$C$4:$C$857,MATCH(BC17,'Avoided Cost Benefits'!$A$4:$A$857,0)))*F17</f>
        <v>3.3038650528183426</v>
      </c>
      <c r="BE17" s="1949">
        <f t="shared" si="9"/>
        <v>1.4489517656889213E-4</v>
      </c>
    </row>
    <row r="18" spans="1:57" s="51" customFormat="1" x14ac:dyDescent="0.25">
      <c r="A18" s="123"/>
      <c r="B18" s="123"/>
      <c r="C18" s="1471" t="s">
        <v>77</v>
      </c>
      <c r="D18" s="3227" t="s">
        <v>52</v>
      </c>
      <c r="E18" s="3089" t="s">
        <v>78</v>
      </c>
      <c r="F18" s="531">
        <f t="shared" si="4"/>
        <v>48.2</v>
      </c>
      <c r="G18" s="1554">
        <f t="shared" si="20"/>
        <v>7.4749999999999999E-3</v>
      </c>
      <c r="H18" s="107" t="s">
        <v>54</v>
      </c>
      <c r="I18" s="449">
        <f>VLOOKUP(H18,'CP FACTORS'!$A$3:$B$38, 2, FALSE)</f>
        <v>1.4925290000000001E-4</v>
      </c>
      <c r="J18" s="107" t="s">
        <v>55</v>
      </c>
      <c r="K18" s="449">
        <f>VLOOKUP(J18,'CP FACTORS'!$A$3:$B$38, 2, FALSE)</f>
        <v>1.899635E-4</v>
      </c>
      <c r="L18" s="2022">
        <f t="shared" si="10"/>
        <v>41.290126476292464</v>
      </c>
      <c r="M18" s="2084">
        <f t="shared" si="1"/>
        <v>6.9095671450780678</v>
      </c>
      <c r="N18" s="2085">
        <f t="shared" si="5"/>
        <v>6.1626711179534315E-3</v>
      </c>
      <c r="O18" s="2085">
        <f t="shared" si="6"/>
        <v>1.3125655583640376E-3</v>
      </c>
      <c r="P18" s="2718">
        <f t="shared" si="21"/>
        <v>19</v>
      </c>
      <c r="Q18" s="2718">
        <f t="shared" si="22"/>
        <v>6</v>
      </c>
      <c r="R18" s="2086">
        <v>9.9999999999999995E-7</v>
      </c>
      <c r="S18" s="1471" t="s">
        <v>56</v>
      </c>
      <c r="T18" s="228"/>
      <c r="U18" s="228"/>
      <c r="V18" s="3227" t="s">
        <v>31</v>
      </c>
      <c r="W18" s="2002">
        <v>46.971916375756443</v>
      </c>
      <c r="X18" s="129">
        <v>46.503310960263626</v>
      </c>
      <c r="Y18" s="2098">
        <v>47.43</v>
      </c>
      <c r="Z18" s="129">
        <v>47.43</v>
      </c>
      <c r="AA18" s="129">
        <v>47.43</v>
      </c>
      <c r="AB18" s="2098">
        <v>48.2</v>
      </c>
      <c r="AC18" s="2099">
        <v>48.2</v>
      </c>
      <c r="AD18" s="2099"/>
      <c r="AE18" s="2099"/>
      <c r="AF18" s="2099"/>
      <c r="AG18" s="2099"/>
      <c r="AH18" s="2107"/>
      <c r="AI18" s="2100"/>
      <c r="AJ18" s="2100"/>
      <c r="AK18" s="2100"/>
      <c r="AL18" s="1942"/>
      <c r="AM18" s="1942"/>
      <c r="AN18" s="1942"/>
      <c r="AO18" s="1942"/>
      <c r="AP18" s="1942"/>
      <c r="AQ18" s="1942"/>
      <c r="AR18" s="1942"/>
      <c r="AS18" s="1942"/>
      <c r="AT18" s="1942"/>
      <c r="AU18" s="1942"/>
      <c r="AV18" s="1942"/>
      <c r="AW18" s="1942"/>
      <c r="AX18" s="1942"/>
      <c r="AY18" s="1942"/>
      <c r="AZ18" s="1942"/>
      <c r="BA18" s="1942"/>
      <c r="BB18" s="113">
        <f t="shared" si="7"/>
        <v>22791.357385379692</v>
      </c>
      <c r="BC18" s="1948" t="str">
        <f t="shared" si="8"/>
        <v>Lighting RES 19 Year EUL</v>
      </c>
      <c r="BD18" s="114">
        <f>(INDEX('Avoided Cost Benefits'!$C$4:$C$857,MATCH(BC18,'Avoided Cost Benefits'!$A$4:$A$857,0)))*F18</f>
        <v>28.235158784724138</v>
      </c>
      <c r="BE18" s="1949">
        <f t="shared" si="9"/>
        <v>1.2388537596640279E-3</v>
      </c>
    </row>
    <row r="19" spans="1:57" s="51" customFormat="1" x14ac:dyDescent="0.25">
      <c r="A19" s="123"/>
      <c r="B19" s="123"/>
      <c r="C19" s="1471" t="s">
        <v>79</v>
      </c>
      <c r="D19" s="3227" t="s">
        <v>52</v>
      </c>
      <c r="E19" s="3089" t="s">
        <v>80</v>
      </c>
      <c r="F19" s="531">
        <f t="shared" si="4"/>
        <v>4.7</v>
      </c>
      <c r="G19" s="1554">
        <f t="shared" si="20"/>
        <v>7.2900000000000005E-4</v>
      </c>
      <c r="H19" s="107" t="s">
        <v>54</v>
      </c>
      <c r="I19" s="449">
        <f>VLOOKUP(H19,'CP FACTORS'!$A$3:$B$38, 2, FALSE)</f>
        <v>1.4925290000000001E-4</v>
      </c>
      <c r="J19" s="107" t="s">
        <v>55</v>
      </c>
      <c r="K19" s="449">
        <f>VLOOKUP(J19,'CP FACTORS'!$A$3:$B$38, 2, FALSE)</f>
        <v>1.899635E-4</v>
      </c>
      <c r="L19" s="2022">
        <f t="shared" si="10"/>
        <v>4.0243787988589146</v>
      </c>
      <c r="M19" s="2084">
        <f t="shared" si="1"/>
        <v>0.67344709016355431</v>
      </c>
      <c r="N19" s="2085">
        <f t="shared" si="5"/>
        <v>6.0065020642820969E-4</v>
      </c>
      <c r="O19" s="2085">
        <f t="shared" si="6"/>
        <v>1.2793036631228436E-4</v>
      </c>
      <c r="P19" s="2718">
        <f t="shared" si="21"/>
        <v>19</v>
      </c>
      <c r="Q19" s="2718">
        <f t="shared" si="22"/>
        <v>6</v>
      </c>
      <c r="R19" s="2086">
        <v>9.9999999999999995E-7</v>
      </c>
      <c r="S19" s="1471" t="s">
        <v>56</v>
      </c>
      <c r="T19" s="228"/>
      <c r="U19" s="228"/>
      <c r="V19" s="3227" t="s">
        <v>31</v>
      </c>
      <c r="W19" s="2002">
        <v>4.6141371685418902</v>
      </c>
      <c r="X19" s="129">
        <v>4.6225955228890285</v>
      </c>
      <c r="Y19" s="129">
        <v>4.62</v>
      </c>
      <c r="Z19" s="129">
        <v>4.62</v>
      </c>
      <c r="AA19" s="129">
        <v>4.62</v>
      </c>
      <c r="AB19" s="2098">
        <v>4.7</v>
      </c>
      <c r="AC19" s="2099">
        <v>4.7</v>
      </c>
      <c r="AD19" s="2099"/>
      <c r="AE19" s="2099"/>
      <c r="AF19" s="2099"/>
      <c r="AG19" s="2099"/>
      <c r="AH19" s="2107"/>
      <c r="AI19" s="2100"/>
      <c r="AJ19" s="2100"/>
      <c r="AK19" s="2100"/>
      <c r="AL19" s="1942"/>
      <c r="AM19" s="1942"/>
      <c r="AN19" s="1942"/>
      <c r="AO19" s="1942"/>
      <c r="AP19" s="1942"/>
      <c r="AQ19" s="1942"/>
      <c r="AR19" s="1942"/>
      <c r="AS19" s="1942"/>
      <c r="AT19" s="1942"/>
      <c r="AU19" s="1942"/>
      <c r="AV19" s="1942"/>
      <c r="AW19" s="1942"/>
      <c r="AX19" s="1942"/>
      <c r="AY19" s="1942"/>
      <c r="AZ19" s="1942"/>
      <c r="BA19" s="1942"/>
      <c r="BB19" s="113">
        <f t="shared" si="7"/>
        <v>22801.760079621985</v>
      </c>
      <c r="BC19" s="1948" t="str">
        <f t="shared" si="8"/>
        <v>Lighting RES 19 Year EUL</v>
      </c>
      <c r="BD19" s="114">
        <f>(INDEX('Avoided Cost Benefits'!$C$4:$C$857,MATCH(BC19,'Avoided Cost Benefits'!$A$4:$A$857,0)))*F19</f>
        <v>2.7532208773486193</v>
      </c>
      <c r="BE19" s="1949">
        <f t="shared" si="9"/>
        <v>1.2074598047407678E-4</v>
      </c>
    </row>
    <row r="20" spans="1:57" s="51" customFormat="1" x14ac:dyDescent="0.25">
      <c r="A20" s="123"/>
      <c r="B20" s="123"/>
      <c r="C20" s="1471" t="s">
        <v>81</v>
      </c>
      <c r="D20" s="3227" t="s">
        <v>52</v>
      </c>
      <c r="E20" s="3089" t="s">
        <v>82</v>
      </c>
      <c r="F20" s="531">
        <f t="shared" si="4"/>
        <v>77.040000000000006</v>
      </c>
      <c r="G20" s="1554">
        <f t="shared" si="20"/>
        <v>1.1949E-2</v>
      </c>
      <c r="H20" s="107" t="s">
        <v>54</v>
      </c>
      <c r="I20" s="449">
        <f>VLOOKUP(H20,'CP FACTORS'!$A$3:$B$38, 2, FALSE)</f>
        <v>1.4925290000000001E-4</v>
      </c>
      <c r="J20" s="107" t="s">
        <v>55</v>
      </c>
      <c r="K20" s="449">
        <f>VLOOKUP(J20,'CP FACTORS'!$A$3:$B$38, 2, FALSE)</f>
        <v>1.899635E-4</v>
      </c>
      <c r="L20" s="2022">
        <f t="shared" si="10"/>
        <v>65.999812301286198</v>
      </c>
      <c r="M20" s="2084">
        <f t="shared" si="1"/>
        <v>11.04453227868229</v>
      </c>
      <c r="N20" s="2085">
        <f t="shared" si="5"/>
        <v>9.8506633854226391E-3</v>
      </c>
      <c r="O20" s="2085">
        <f t="shared" si="6"/>
        <v>2.0980580075214634E-3</v>
      </c>
      <c r="P20" s="2718">
        <f t="shared" si="21"/>
        <v>19</v>
      </c>
      <c r="Q20" s="2718">
        <f t="shared" si="22"/>
        <v>6</v>
      </c>
      <c r="R20" s="2086">
        <v>9.9999999999999995E-7</v>
      </c>
      <c r="S20" s="1471" t="s">
        <v>56</v>
      </c>
      <c r="T20" s="228"/>
      <c r="U20" s="228"/>
      <c r="V20" s="3227" t="s">
        <v>31</v>
      </c>
      <c r="W20" s="2002">
        <v>75.671849564086983</v>
      </c>
      <c r="X20" s="129">
        <v>75.810566575380079</v>
      </c>
      <c r="Y20" s="129">
        <v>75.81</v>
      </c>
      <c r="Z20" s="129">
        <v>75.81</v>
      </c>
      <c r="AA20" s="129">
        <v>75.81</v>
      </c>
      <c r="AB20" s="2098">
        <v>77.040000000000006</v>
      </c>
      <c r="AC20" s="2099">
        <v>77.040000000000006</v>
      </c>
      <c r="AD20" s="2099"/>
      <c r="AE20" s="2099"/>
      <c r="AF20" s="2099"/>
      <c r="AG20" s="2099"/>
      <c r="AH20" s="2107"/>
      <c r="AI20" s="2100"/>
      <c r="AJ20" s="2100"/>
      <c r="AK20" s="2100"/>
      <c r="AL20" s="1942"/>
      <c r="AM20" s="1942"/>
      <c r="AN20" s="1942"/>
      <c r="AO20" s="1942"/>
      <c r="AP20" s="1942"/>
      <c r="AQ20" s="1942"/>
      <c r="AR20" s="1942"/>
      <c r="AS20" s="1942"/>
      <c r="AT20" s="1942"/>
      <c r="AU20" s="1942"/>
      <c r="AV20" s="1942"/>
      <c r="AW20" s="1942"/>
      <c r="AX20" s="1942"/>
      <c r="AY20" s="1942"/>
      <c r="AZ20" s="1942"/>
      <c r="BA20" s="1942"/>
      <c r="BB20" s="113">
        <f t="shared" si="7"/>
        <v>22789.927303244393</v>
      </c>
      <c r="BC20" s="1948" t="str">
        <f t="shared" si="8"/>
        <v>Lighting RES 19 Year EUL</v>
      </c>
      <c r="BD20" s="114">
        <f>(INDEX('Avoided Cost Benefits'!$C$4:$C$857,MATCH(BC20,'Avoided Cost Benefits'!$A$4:$A$857,0)))*F20</f>
        <v>45.129390721476092</v>
      </c>
      <c r="BE20" s="1949">
        <f t="shared" si="9"/>
        <v>1.980234079774859E-3</v>
      </c>
    </row>
    <row r="21" spans="1:57" s="51" customFormat="1" x14ac:dyDescent="0.25">
      <c r="A21" s="123"/>
      <c r="B21" s="123"/>
      <c r="C21" s="1471" t="s">
        <v>83</v>
      </c>
      <c r="D21" s="3227" t="s">
        <v>52</v>
      </c>
      <c r="E21" s="3089" t="s">
        <v>84</v>
      </c>
      <c r="F21" s="531">
        <f t="shared" si="4"/>
        <v>9.02</v>
      </c>
      <c r="G21" s="1554">
        <f t="shared" si="20"/>
        <v>1.3990000000000001E-3</v>
      </c>
      <c r="H21" s="107" t="s">
        <v>54</v>
      </c>
      <c r="I21" s="449">
        <f>VLOOKUP(H21,'CP FACTORS'!$A$3:$B$38, 2, FALSE)</f>
        <v>1.4925290000000001E-4</v>
      </c>
      <c r="J21" s="107" t="s">
        <v>55</v>
      </c>
      <c r="K21" s="449">
        <f>VLOOKUP(J21,'CP FACTORS'!$A$3:$B$38, 2, FALSE)</f>
        <v>1.899635E-4</v>
      </c>
      <c r="L21" s="2022">
        <f t="shared" si="10"/>
        <v>7.7268072938091175</v>
      </c>
      <c r="M21" s="2084">
        <f t="shared" si="1"/>
        <v>1.2930184131140243</v>
      </c>
      <c r="N21" s="2085">
        <f t="shared" si="5"/>
        <v>1.1532483963421628E-3</v>
      </c>
      <c r="O21" s="2085">
        <f t="shared" si="6"/>
        <v>2.4562630331958596E-4</v>
      </c>
      <c r="P21" s="2718">
        <f t="shared" si="21"/>
        <v>19</v>
      </c>
      <c r="Q21" s="2718">
        <f t="shared" si="22"/>
        <v>6</v>
      </c>
      <c r="R21" s="2086">
        <v>9.9999999999999995E-7</v>
      </c>
      <c r="S21" s="1471" t="s">
        <v>56</v>
      </c>
      <c r="T21" s="228"/>
      <c r="U21" s="228"/>
      <c r="V21" s="3227" t="s">
        <v>31</v>
      </c>
      <c r="W21" s="2002">
        <v>9.043708850342103</v>
      </c>
      <c r="X21" s="129">
        <v>9.0602872248624973</v>
      </c>
      <c r="Y21" s="2098">
        <v>8.8800000000000008</v>
      </c>
      <c r="Z21" s="129">
        <v>8.8800000000000008</v>
      </c>
      <c r="AA21" s="129">
        <v>8.8800000000000008</v>
      </c>
      <c r="AB21" s="2098">
        <v>9.02</v>
      </c>
      <c r="AC21" s="2099">
        <v>9.02</v>
      </c>
      <c r="AD21" s="2099"/>
      <c r="AE21" s="2099"/>
      <c r="AF21" s="2099"/>
      <c r="AG21" s="2099"/>
      <c r="AH21" s="2107"/>
      <c r="AI21" s="2100"/>
      <c r="AJ21" s="2100"/>
      <c r="AK21" s="2100"/>
      <c r="AL21" s="1942"/>
      <c r="AM21" s="1942"/>
      <c r="AN21" s="1942"/>
      <c r="AO21" s="1942"/>
      <c r="AP21" s="1942"/>
      <c r="AQ21" s="1942"/>
      <c r="AR21" s="1942"/>
      <c r="AS21" s="1942"/>
      <c r="AT21" s="1942"/>
      <c r="AU21" s="1942"/>
      <c r="AV21" s="1942"/>
      <c r="AW21" s="1942"/>
      <c r="AX21" s="1942"/>
      <c r="AY21" s="1942"/>
      <c r="AZ21" s="1942"/>
      <c r="BA21" s="1942"/>
      <c r="BB21" s="113">
        <f t="shared" si="7"/>
        <v>22791.652916466119</v>
      </c>
      <c r="BC21" s="1948" t="str">
        <f t="shared" si="8"/>
        <v>Lighting RES 19 Year EUL</v>
      </c>
      <c r="BD21" s="114">
        <f>(INDEX('Avoided Cost Benefits'!$C$4:$C$857,MATCH(BC21,'Avoided Cost Benefits'!$A$4:$A$857,0)))*F21</f>
        <v>5.2838409178052217</v>
      </c>
      <c r="BE21" s="1949">
        <f t="shared" si="9"/>
        <v>2.3183228251022741E-4</v>
      </c>
    </row>
    <row r="22" spans="1:57" s="51" customFormat="1" x14ac:dyDescent="0.25">
      <c r="A22" s="123"/>
      <c r="B22" s="123"/>
      <c r="C22" s="1471" t="s">
        <v>85</v>
      </c>
      <c r="D22" s="3227" t="s">
        <v>52</v>
      </c>
      <c r="E22" s="3089" t="s">
        <v>86</v>
      </c>
      <c r="F22" s="531">
        <f t="shared" si="4"/>
        <v>53.37</v>
      </c>
      <c r="G22" s="1554">
        <f t="shared" si="20"/>
        <v>8.2769999999999996E-3</v>
      </c>
      <c r="H22" s="107" t="s">
        <v>54</v>
      </c>
      <c r="I22" s="449">
        <f>VLOOKUP(H22,'CP FACTORS'!$A$3:$B$38, 2, FALSE)</f>
        <v>1.4925290000000001E-4</v>
      </c>
      <c r="J22" s="107" t="s">
        <v>55</v>
      </c>
      <c r="K22" s="449">
        <f>VLOOKUP(J22,'CP FACTORS'!$A$3:$B$38, 2, FALSE)</f>
        <v>1.899635E-4</v>
      </c>
      <c r="L22" s="2022">
        <f t="shared" si="10"/>
        <v>45.716943155037271</v>
      </c>
      <c r="M22" s="2084">
        <f t="shared" si="1"/>
        <v>7.6503589442579765</v>
      </c>
      <c r="N22" s="2085">
        <f t="shared" si="5"/>
        <v>6.8233863450244629E-3</v>
      </c>
      <c r="O22" s="2085">
        <f t="shared" si="6"/>
        <v>1.4532889613075501E-3</v>
      </c>
      <c r="P22" s="2718">
        <f t="shared" si="21"/>
        <v>19</v>
      </c>
      <c r="Q22" s="2718">
        <f t="shared" si="22"/>
        <v>6</v>
      </c>
      <c r="R22" s="2086">
        <v>9.9999999999999995E-7</v>
      </c>
      <c r="S22" s="1471" t="s">
        <v>56</v>
      </c>
      <c r="T22" s="228"/>
      <c r="U22" s="228"/>
      <c r="V22" s="3227" t="s">
        <v>31</v>
      </c>
      <c r="W22" s="2002">
        <v>52.601163721377539</v>
      </c>
      <c r="X22" s="129">
        <v>52.512685140019379</v>
      </c>
      <c r="Y22" s="129">
        <v>52.51</v>
      </c>
      <c r="Z22" s="129">
        <v>52.51</v>
      </c>
      <c r="AA22" s="129">
        <v>52.51</v>
      </c>
      <c r="AB22" s="2098">
        <v>53.37</v>
      </c>
      <c r="AC22" s="2099">
        <v>53.37</v>
      </c>
      <c r="AD22" s="2099"/>
      <c r="AE22" s="2099"/>
      <c r="AF22" s="2099"/>
      <c r="AG22" s="2099"/>
      <c r="AH22" s="2107"/>
      <c r="AI22" s="2100"/>
      <c r="AJ22" s="2100"/>
      <c r="AK22" s="2100"/>
      <c r="AL22" s="1942"/>
      <c r="AM22" s="1942"/>
      <c r="AN22" s="1942"/>
      <c r="AO22" s="1942"/>
      <c r="AP22" s="1942"/>
      <c r="AQ22" s="1942"/>
      <c r="AR22" s="1942"/>
      <c r="AS22" s="1942"/>
      <c r="AT22" s="1942"/>
      <c r="AU22" s="1942"/>
      <c r="AV22" s="1942"/>
      <c r="AW22" s="1942"/>
      <c r="AX22" s="1942"/>
      <c r="AY22" s="1942"/>
      <c r="AZ22" s="1942"/>
      <c r="BA22" s="1942"/>
      <c r="BB22" s="113">
        <f t="shared" si="7"/>
        <v>22792.364688519352</v>
      </c>
      <c r="BC22" s="1948" t="str">
        <f t="shared" si="8"/>
        <v>Lighting RES 19 Year EUL</v>
      </c>
      <c r="BD22" s="114">
        <f>(INDEX('Avoided Cost Benefits'!$C$4:$C$857,MATCH(BC22,'Avoided Cost Benefits'!$A$4:$A$857,0)))*F22</f>
        <v>31.263701749807616</v>
      </c>
      <c r="BE22" s="1949">
        <f t="shared" si="9"/>
        <v>1.371674338185512E-3</v>
      </c>
    </row>
    <row r="23" spans="1:57" s="51" customFormat="1" x14ac:dyDescent="0.25">
      <c r="A23" s="123"/>
      <c r="B23" s="123"/>
      <c r="C23" s="1471" t="s">
        <v>87</v>
      </c>
      <c r="D23" s="3227" t="s">
        <v>52</v>
      </c>
      <c r="E23" s="3089" t="s">
        <v>88</v>
      </c>
      <c r="F23" s="531">
        <f t="shared" si="4"/>
        <v>4.7</v>
      </c>
      <c r="G23" s="1554">
        <f t="shared" si="20"/>
        <v>7.2900000000000005E-4</v>
      </c>
      <c r="H23" s="107" t="s">
        <v>54</v>
      </c>
      <c r="I23" s="449">
        <f>VLOOKUP(H23,'CP FACTORS'!$A$3:$B$38, 2, FALSE)</f>
        <v>1.4925290000000001E-4</v>
      </c>
      <c r="J23" s="107" t="s">
        <v>55</v>
      </c>
      <c r="K23" s="449">
        <f>VLOOKUP(J23,'CP FACTORS'!$A$3:$B$38, 2, FALSE)</f>
        <v>1.899635E-4</v>
      </c>
      <c r="L23" s="2022">
        <f t="shared" si="10"/>
        <v>4.0243787988589146</v>
      </c>
      <c r="M23" s="2084">
        <f t="shared" si="1"/>
        <v>0.67344709016355431</v>
      </c>
      <c r="N23" s="2085">
        <f t="shared" si="5"/>
        <v>6.0065020642820969E-4</v>
      </c>
      <c r="O23" s="2085">
        <f t="shared" si="6"/>
        <v>1.2793036631228436E-4</v>
      </c>
      <c r="P23" s="2718">
        <f t="shared" si="21"/>
        <v>19</v>
      </c>
      <c r="Q23" s="2718">
        <f t="shared" si="22"/>
        <v>6</v>
      </c>
      <c r="R23" s="2086">
        <v>9.9999999999999995E-7</v>
      </c>
      <c r="S23" s="1471" t="s">
        <v>56</v>
      </c>
      <c r="T23" s="228"/>
      <c r="U23" s="228"/>
      <c r="V23" s="3227" t="s">
        <v>31</v>
      </c>
      <c r="W23" s="2002">
        <v>4.1527234516877014</v>
      </c>
      <c r="X23" s="129">
        <v>4.1603359706001255</v>
      </c>
      <c r="Y23" s="2098">
        <v>4.62</v>
      </c>
      <c r="Z23" s="129">
        <v>4.62</v>
      </c>
      <c r="AA23" s="129">
        <v>4.62</v>
      </c>
      <c r="AB23" s="2098">
        <v>4.7</v>
      </c>
      <c r="AC23" s="2099">
        <v>4.7</v>
      </c>
      <c r="AD23" s="2099"/>
      <c r="AE23" s="2099"/>
      <c r="AF23" s="2099"/>
      <c r="AG23" s="2099"/>
      <c r="AH23" s="2107"/>
      <c r="AI23" s="2100"/>
      <c r="AJ23" s="2100"/>
      <c r="AK23" s="2100"/>
      <c r="AL23" s="1942"/>
      <c r="AM23" s="1942"/>
      <c r="AN23" s="1942"/>
      <c r="AO23" s="1942"/>
      <c r="AP23" s="1942"/>
      <c r="AQ23" s="1942"/>
      <c r="AR23" s="1942"/>
      <c r="AS23" s="1942"/>
      <c r="AT23" s="1942"/>
      <c r="AU23" s="1942"/>
      <c r="AV23" s="1942"/>
      <c r="AW23" s="1942"/>
      <c r="AX23" s="1942"/>
      <c r="AY23" s="1942"/>
      <c r="AZ23" s="1942"/>
      <c r="BA23" s="1942"/>
      <c r="BB23" s="113">
        <f t="shared" si="7"/>
        <v>22801.760079621985</v>
      </c>
      <c r="BC23" s="1948" t="str">
        <f t="shared" si="8"/>
        <v>Lighting RES 19 Year EUL</v>
      </c>
      <c r="BD23" s="114">
        <f>(INDEX('Avoided Cost Benefits'!$C$4:$C$857,MATCH(BC23,'Avoided Cost Benefits'!$A$4:$A$857,0)))*F23</f>
        <v>2.7532208773486193</v>
      </c>
      <c r="BE23" s="1949">
        <f t="shared" si="9"/>
        <v>1.2074598047407678E-4</v>
      </c>
    </row>
    <row r="24" spans="1:57" s="51" customFormat="1" x14ac:dyDescent="0.25">
      <c r="A24" s="123"/>
      <c r="B24" s="123"/>
      <c r="C24" s="1471" t="s">
        <v>89</v>
      </c>
      <c r="D24" s="3227" t="s">
        <v>52</v>
      </c>
      <c r="E24" s="3089" t="s">
        <v>90</v>
      </c>
      <c r="F24" s="531">
        <f t="shared" si="4"/>
        <v>32.880000000000003</v>
      </c>
      <c r="G24" s="1554">
        <f t="shared" si="20"/>
        <v>5.1000000000000004E-3</v>
      </c>
      <c r="H24" s="107" t="s">
        <v>54</v>
      </c>
      <c r="I24" s="449">
        <f>VLOOKUP(H24,'CP FACTORS'!$A$3:$B$38, 2, FALSE)</f>
        <v>1.4925290000000001E-4</v>
      </c>
      <c r="J24" s="107" t="s">
        <v>55</v>
      </c>
      <c r="K24" s="449">
        <f>VLOOKUP(J24,'CP FACTORS'!$A$3:$B$38, 2, FALSE)</f>
        <v>1.899635E-4</v>
      </c>
      <c r="L24" s="2022">
        <f t="shared" si="10"/>
        <v>28.170651592012405</v>
      </c>
      <c r="M24" s="2084">
        <f t="shared" si="1"/>
        <v>4.7141296311448802</v>
      </c>
      <c r="N24" s="2085">
        <f t="shared" si="5"/>
        <v>4.2045514449974685E-3</v>
      </c>
      <c r="O24" s="2085">
        <f t="shared" si="6"/>
        <v>8.9551256418599046E-4</v>
      </c>
      <c r="P24" s="2718">
        <f t="shared" si="21"/>
        <v>19</v>
      </c>
      <c r="Q24" s="2718">
        <f t="shared" si="22"/>
        <v>6</v>
      </c>
      <c r="R24" s="2086">
        <v>9.9999999999999995E-7</v>
      </c>
      <c r="S24" s="1471" t="s">
        <v>56</v>
      </c>
      <c r="T24" s="228"/>
      <c r="U24" s="228"/>
      <c r="V24" s="3227" t="s">
        <v>31</v>
      </c>
      <c r="W24" s="2002">
        <v>33.138733144467849</v>
      </c>
      <c r="X24" s="129">
        <v>33.652495406632127</v>
      </c>
      <c r="Y24" s="2098">
        <v>32.36</v>
      </c>
      <c r="Z24" s="129">
        <v>32.36</v>
      </c>
      <c r="AA24" s="129">
        <v>32.36</v>
      </c>
      <c r="AB24" s="2098">
        <v>32.880000000000003</v>
      </c>
      <c r="AC24" s="2099">
        <v>32.880000000000003</v>
      </c>
      <c r="AD24" s="2099"/>
      <c r="AE24" s="2099"/>
      <c r="AF24" s="2099"/>
      <c r="AG24" s="2099"/>
      <c r="AH24" s="2107"/>
      <c r="AI24" s="2100"/>
      <c r="AJ24" s="2100"/>
      <c r="AK24" s="2100"/>
      <c r="AL24" s="1942"/>
      <c r="AM24" s="1942"/>
      <c r="AN24" s="1942"/>
      <c r="AO24" s="1942"/>
      <c r="AP24" s="1942"/>
      <c r="AQ24" s="1942"/>
      <c r="AR24" s="1942"/>
      <c r="AS24" s="1942"/>
      <c r="AT24" s="1942"/>
      <c r="AU24" s="1942"/>
      <c r="AV24" s="1942"/>
      <c r="AW24" s="1942"/>
      <c r="AX24" s="1942"/>
      <c r="AY24" s="1942"/>
      <c r="AZ24" s="1942"/>
      <c r="BA24" s="1942"/>
      <c r="BB24" s="113">
        <f t="shared" si="7"/>
        <v>22787.89882729395</v>
      </c>
      <c r="BC24" s="1948" t="str">
        <f t="shared" si="8"/>
        <v>Lighting RES 19 Year EUL</v>
      </c>
      <c r="BD24" s="114">
        <f>(INDEX('Avoided Cost Benefits'!$C$4:$C$857,MATCH(BC24,'Avoided Cost Benefits'!$A$4:$A$857,0)))*F24</f>
        <v>19.260830307919704</v>
      </c>
      <c r="BE24" s="1949">
        <f t="shared" si="9"/>
        <v>8.4522186331853738E-4</v>
      </c>
    </row>
    <row r="25" spans="1:57" s="51" customFormat="1" x14ac:dyDescent="0.25">
      <c r="A25" s="123"/>
      <c r="B25" s="123"/>
      <c r="C25" s="1471" t="s">
        <v>91</v>
      </c>
      <c r="D25" s="3227" t="s">
        <v>52</v>
      </c>
      <c r="E25" s="3089" t="s">
        <v>92</v>
      </c>
      <c r="F25" s="531">
        <f t="shared" si="4"/>
        <v>5.45</v>
      </c>
      <c r="G25" s="1554">
        <f t="shared" si="20"/>
        <v>8.4500000000000005E-4</v>
      </c>
      <c r="H25" s="107" t="s">
        <v>54</v>
      </c>
      <c r="I25" s="449">
        <f>VLOOKUP(H25,'CP FACTORS'!$A$3:$B$38, 2, FALSE)</f>
        <v>1.4925290000000001E-4</v>
      </c>
      <c r="J25" s="107" t="s">
        <v>55</v>
      </c>
      <c r="K25" s="449">
        <f>VLOOKUP(J25,'CP FACTORS'!$A$3:$B$38, 2, FALSE)</f>
        <v>1.899635E-4</v>
      </c>
      <c r="L25" s="2022">
        <f t="shared" si="10"/>
        <v>4.6682794066763398</v>
      </c>
      <c r="M25" s="2084">
        <f t="shared" si="1"/>
        <v>0.781198624589723</v>
      </c>
      <c r="N25" s="2085">
        <f t="shared" si="5"/>
        <v>6.9675423945672306E-4</v>
      </c>
      <c r="O25" s="2085">
        <f t="shared" si="6"/>
        <v>1.4839922492224984E-4</v>
      </c>
      <c r="P25" s="2718">
        <f t="shared" si="21"/>
        <v>19</v>
      </c>
      <c r="Q25" s="2718">
        <f t="shared" si="22"/>
        <v>6</v>
      </c>
      <c r="R25" s="2086">
        <v>9.9999999999999995E-7</v>
      </c>
      <c r="S25" s="1471" t="s">
        <v>56</v>
      </c>
      <c r="T25" s="228"/>
      <c r="U25" s="228"/>
      <c r="V25" s="3227" t="s">
        <v>31</v>
      </c>
      <c r="W25" s="2002">
        <v>4.706419911912727</v>
      </c>
      <c r="X25" s="129">
        <v>4.7150474333468093</v>
      </c>
      <c r="Y25" s="2098">
        <v>5.36</v>
      </c>
      <c r="Z25" s="129">
        <v>5.36</v>
      </c>
      <c r="AA25" s="129">
        <v>5.36</v>
      </c>
      <c r="AB25" s="2098">
        <v>5.45</v>
      </c>
      <c r="AC25" s="2099">
        <v>5.45</v>
      </c>
      <c r="AD25" s="2099"/>
      <c r="AE25" s="2099"/>
      <c r="AF25" s="2099"/>
      <c r="AG25" s="2099"/>
      <c r="AH25" s="2107"/>
      <c r="AI25" s="2100"/>
      <c r="AJ25" s="2100"/>
      <c r="AK25" s="2100"/>
      <c r="AL25" s="1942"/>
      <c r="AM25" s="1942"/>
      <c r="AN25" s="1942"/>
      <c r="AO25" s="1942"/>
      <c r="AP25" s="1942"/>
      <c r="AQ25" s="1942"/>
      <c r="AR25" s="1942"/>
      <c r="AS25" s="1942"/>
      <c r="AT25" s="1942"/>
      <c r="AU25" s="1942"/>
      <c r="AV25" s="1942"/>
      <c r="AW25" s="1942"/>
      <c r="AX25" s="1942"/>
      <c r="AY25" s="1942"/>
      <c r="AZ25" s="1942"/>
      <c r="BA25" s="1942"/>
      <c r="BB25" s="113">
        <f t="shared" si="7"/>
        <v>22793.395530803344</v>
      </c>
      <c r="BC25" s="1948" t="str">
        <f t="shared" si="8"/>
        <v>Lighting RES 19 Year EUL</v>
      </c>
      <c r="BD25" s="114">
        <f>(INDEX('Avoided Cost Benefits'!$C$4:$C$857,MATCH(BC25,'Avoided Cost Benefits'!$A$4:$A$857,0)))*F25</f>
        <v>3.1925646343723351</v>
      </c>
      <c r="BE25" s="1949">
        <f t="shared" si="9"/>
        <v>1.4006533734992903E-4</v>
      </c>
    </row>
    <row r="26" spans="1:57" s="51" customFormat="1" x14ac:dyDescent="0.25">
      <c r="A26" s="123"/>
      <c r="B26" s="123"/>
      <c r="C26" s="1471" t="s">
        <v>93</v>
      </c>
      <c r="D26" s="3227" t="s">
        <v>52</v>
      </c>
      <c r="E26" s="3089" t="s">
        <v>94</v>
      </c>
      <c r="F26" s="531">
        <f t="shared" si="4"/>
        <v>34.01</v>
      </c>
      <c r="G26" s="1554">
        <f t="shared" si="20"/>
        <v>5.2750000000000002E-3</v>
      </c>
      <c r="H26" s="107" t="s">
        <v>54</v>
      </c>
      <c r="I26" s="449">
        <f>VLOOKUP(H26,'CP FACTORS'!$A$3:$B$38, 2, FALSE)</f>
        <v>1.4925290000000001E-4</v>
      </c>
      <c r="J26" s="107" t="s">
        <v>55</v>
      </c>
      <c r="K26" s="449">
        <f>VLOOKUP(J26,'CP FACTORS'!$A$3:$B$38, 2, FALSE)</f>
        <v>1.899635E-4</v>
      </c>
      <c r="L26" s="2022">
        <f t="shared" si="10"/>
        <v>29.136502503738537</v>
      </c>
      <c r="M26" s="2084">
        <f t="shared" si="1"/>
        <v>4.8757569327841326</v>
      </c>
      <c r="N26" s="2085">
        <f t="shared" si="5"/>
        <v>4.348707494540238E-3</v>
      </c>
      <c r="O26" s="2085">
        <f t="shared" si="6"/>
        <v>9.2621585210093862E-4</v>
      </c>
      <c r="P26" s="2718">
        <f t="shared" si="21"/>
        <v>19</v>
      </c>
      <c r="Q26" s="2718">
        <f t="shared" si="22"/>
        <v>6</v>
      </c>
      <c r="R26" s="2086">
        <v>9.9999999999999995E-7</v>
      </c>
      <c r="S26" s="1471" t="s">
        <v>56</v>
      </c>
      <c r="T26" s="228"/>
      <c r="U26" s="228"/>
      <c r="V26" s="3227" t="s">
        <v>31</v>
      </c>
      <c r="W26" s="2002">
        <v>33.350983454220781</v>
      </c>
      <c r="X26" s="129">
        <v>32.173264839307649</v>
      </c>
      <c r="Y26" s="2098">
        <v>33.47</v>
      </c>
      <c r="Z26" s="129">
        <v>33.47</v>
      </c>
      <c r="AA26" s="129">
        <v>33.47</v>
      </c>
      <c r="AB26" s="2098">
        <v>34.01</v>
      </c>
      <c r="AC26" s="2099">
        <v>34.01</v>
      </c>
      <c r="AD26" s="2099"/>
      <c r="AE26" s="2099"/>
      <c r="AF26" s="2099"/>
      <c r="AG26" s="2099"/>
      <c r="AH26" s="2107"/>
      <c r="AI26" s="2100"/>
      <c r="AJ26" s="2100"/>
      <c r="AK26" s="2100"/>
      <c r="AL26" s="1942"/>
      <c r="AM26" s="1942"/>
      <c r="AN26" s="1942"/>
      <c r="AO26" s="1942"/>
      <c r="AP26" s="1942"/>
      <c r="AQ26" s="1942"/>
      <c r="AR26" s="1942"/>
      <c r="AS26" s="1942"/>
      <c r="AT26" s="1942"/>
      <c r="AU26" s="1942"/>
      <c r="AV26" s="1942"/>
      <c r="AW26" s="1942"/>
      <c r="AX26" s="1942"/>
      <c r="AY26" s="1942"/>
      <c r="AZ26" s="1942"/>
      <c r="BA26" s="1942"/>
      <c r="BB26" s="113">
        <f t="shared" si="7"/>
        <v>22789.698492651452</v>
      </c>
      <c r="BC26" s="1948" t="str">
        <f t="shared" si="8"/>
        <v>Lighting RES 19 Year EUL</v>
      </c>
      <c r="BD26" s="114">
        <f>(INDEX('Avoided Cost Benefits'!$C$4:$C$857,MATCH(BC26,'Avoided Cost Benefits'!$A$4:$A$857,0)))*F26</f>
        <v>19.922774901835432</v>
      </c>
      <c r="BE26" s="1949">
        <f t="shared" si="9"/>
        <v>8.7420089863231569E-4</v>
      </c>
    </row>
    <row r="27" spans="1:57" s="51" customFormat="1" x14ac:dyDescent="0.25">
      <c r="A27" s="123"/>
      <c r="B27" s="123"/>
      <c r="C27" s="1471" t="s">
        <v>95</v>
      </c>
      <c r="D27" s="3227" t="s">
        <v>52</v>
      </c>
      <c r="E27" s="3089" t="s">
        <v>96</v>
      </c>
      <c r="F27" s="531">
        <f t="shared" si="4"/>
        <v>29.22</v>
      </c>
      <c r="G27" s="1554">
        <f t="shared" si="20"/>
        <v>4.5319999999999996E-3</v>
      </c>
      <c r="H27" s="107" t="s">
        <v>54</v>
      </c>
      <c r="I27" s="449">
        <f>VLOOKUP(H27,'CP FACTORS'!$A$3:$B$38, 2, FALSE)</f>
        <v>1.4925290000000001E-4</v>
      </c>
      <c r="J27" s="107" t="s">
        <v>55</v>
      </c>
      <c r="K27" s="449">
        <f>VLOOKUP(J27,'CP FACTORS'!$A$3:$B$38, 2, FALSE)</f>
        <v>1.899635E-4</v>
      </c>
      <c r="L27" s="2022">
        <f t="shared" si="10"/>
        <v>25.031636128902452</v>
      </c>
      <c r="M27" s="2084">
        <f t="shared" si="1"/>
        <v>4.1888409008173086</v>
      </c>
      <c r="N27" s="2085">
        <f t="shared" si="5"/>
        <v>3.7360442839834652E-3</v>
      </c>
      <c r="O27" s="2085">
        <f t="shared" si="6"/>
        <v>7.9572687846240879E-4</v>
      </c>
      <c r="P27" s="2718">
        <f t="shared" si="21"/>
        <v>19</v>
      </c>
      <c r="Q27" s="2718">
        <f t="shared" si="22"/>
        <v>6</v>
      </c>
      <c r="R27" s="2086">
        <v>9.9999999999999995E-7</v>
      </c>
      <c r="S27" s="1471" t="s">
        <v>56</v>
      </c>
      <c r="T27" s="228"/>
      <c r="U27" s="228"/>
      <c r="V27" s="3227" t="s">
        <v>31</v>
      </c>
      <c r="W27" s="2002">
        <v>29.733499914083939</v>
      </c>
      <c r="X27" s="129">
        <v>29.677063256947569</v>
      </c>
      <c r="Y27" s="2098">
        <v>28.75</v>
      </c>
      <c r="Z27" s="129">
        <v>28.75</v>
      </c>
      <c r="AA27" s="129">
        <v>28.75</v>
      </c>
      <c r="AB27" s="2098">
        <v>29.22</v>
      </c>
      <c r="AC27" s="2099">
        <v>29.22</v>
      </c>
      <c r="AD27" s="2099"/>
      <c r="AE27" s="2099"/>
      <c r="AF27" s="2099"/>
      <c r="AG27" s="2099"/>
      <c r="AH27" s="2107"/>
      <c r="AI27" s="2100"/>
      <c r="AJ27" s="2100"/>
      <c r="AK27" s="2100"/>
      <c r="AL27" s="1942"/>
      <c r="AM27" s="1942"/>
      <c r="AN27" s="1942"/>
      <c r="AO27" s="1942"/>
      <c r="AP27" s="1942"/>
      <c r="AQ27" s="1942"/>
      <c r="AR27" s="1942"/>
      <c r="AS27" s="1942"/>
      <c r="AT27" s="1942"/>
      <c r="AU27" s="1942"/>
      <c r="AV27" s="1942"/>
      <c r="AW27" s="1942"/>
      <c r="AX27" s="1942"/>
      <c r="AY27" s="1942"/>
      <c r="AZ27" s="1942"/>
      <c r="BA27" s="1942"/>
      <c r="BB27" s="113">
        <f t="shared" si="7"/>
        <v>22790.840443543617</v>
      </c>
      <c r="BC27" s="1948" t="str">
        <f t="shared" si="8"/>
        <v>Lighting RES 19 Year EUL</v>
      </c>
      <c r="BD27" s="114">
        <f>(INDEX('Avoided Cost Benefits'!$C$4:$C$857,MATCH(BC27,'Avoided Cost Benefits'!$A$4:$A$857,0)))*F27</f>
        <v>17.116832773643967</v>
      </c>
      <c r="BE27" s="1949">
        <f t="shared" si="9"/>
        <v>7.5103999854875768E-4</v>
      </c>
    </row>
    <row r="28" spans="1:57" s="51" customFormat="1" x14ac:dyDescent="0.25">
      <c r="A28" s="123"/>
      <c r="B28" s="123"/>
      <c r="C28" s="1471" t="s">
        <v>97</v>
      </c>
      <c r="D28" s="3227" t="s">
        <v>52</v>
      </c>
      <c r="E28" s="3089" t="s">
        <v>98</v>
      </c>
      <c r="F28" s="531">
        <f t="shared" si="4"/>
        <v>38.43</v>
      </c>
      <c r="G28" s="1554">
        <f t="shared" si="20"/>
        <v>5.96E-3</v>
      </c>
      <c r="H28" s="107" t="s">
        <v>54</v>
      </c>
      <c r="I28" s="449">
        <f>VLOOKUP(H28,'CP FACTORS'!$A$3:$B$38, 2, FALSE)</f>
        <v>1.4925290000000001E-4</v>
      </c>
      <c r="J28" s="107" t="s">
        <v>55</v>
      </c>
      <c r="K28" s="449">
        <f>VLOOKUP(J28,'CP FACTORS'!$A$3:$B$38, 2, FALSE)</f>
        <v>1.899635E-4</v>
      </c>
      <c r="L28" s="2022">
        <f t="shared" si="10"/>
        <v>32.919418574665919</v>
      </c>
      <c r="M28" s="2084">
        <f t="shared" si="1"/>
        <v>5.5087971975378736</v>
      </c>
      <c r="N28" s="2085">
        <f t="shared" si="5"/>
        <v>4.9133186885827549E-3</v>
      </c>
      <c r="O28" s="2085">
        <f t="shared" si="6"/>
        <v>1.0464703964344858E-3</v>
      </c>
      <c r="P28" s="2718">
        <f t="shared" si="21"/>
        <v>19</v>
      </c>
      <c r="Q28" s="2718">
        <f t="shared" si="22"/>
        <v>6</v>
      </c>
      <c r="R28" s="2086">
        <v>9.9999999999999995E-7</v>
      </c>
      <c r="S28" s="1471" t="s">
        <v>56</v>
      </c>
      <c r="T28" s="228"/>
      <c r="U28" s="228"/>
      <c r="V28" s="3227" t="s">
        <v>31</v>
      </c>
      <c r="W28" s="2002">
        <v>39.127883189235227</v>
      </c>
      <c r="X28" s="129">
        <v>38.275090929521156</v>
      </c>
      <c r="Y28" s="2098">
        <v>37.81</v>
      </c>
      <c r="Z28" s="129">
        <v>37.81</v>
      </c>
      <c r="AA28" s="129">
        <v>37.81</v>
      </c>
      <c r="AB28" s="2098">
        <v>38.43</v>
      </c>
      <c r="AC28" s="2099">
        <v>38.43</v>
      </c>
      <c r="AD28" s="2099"/>
      <c r="AE28" s="2099"/>
      <c r="AF28" s="2099"/>
      <c r="AG28" s="2099"/>
      <c r="AH28" s="2107"/>
      <c r="AI28" s="2100"/>
      <c r="AJ28" s="2100"/>
      <c r="AK28" s="2100"/>
      <c r="AL28" s="1942"/>
      <c r="AM28" s="1942"/>
      <c r="AN28" s="1942"/>
      <c r="AO28" s="1942"/>
      <c r="AP28" s="1942"/>
      <c r="AQ28" s="1942"/>
      <c r="AR28" s="1942"/>
      <c r="AS28" s="1942"/>
      <c r="AT28" s="1942"/>
      <c r="AU28" s="1942"/>
      <c r="AV28" s="1942"/>
      <c r="AW28" s="1942"/>
      <c r="AX28" s="1942"/>
      <c r="AY28" s="1942"/>
      <c r="AZ28" s="1942"/>
      <c r="BA28" s="1942"/>
      <c r="BB28" s="113">
        <f t="shared" si="7"/>
        <v>22792.270713725044</v>
      </c>
      <c r="BC28" s="1948" t="str">
        <f t="shared" si="8"/>
        <v>Lighting RES 19 Year EUL</v>
      </c>
      <c r="BD28" s="114">
        <f>(INDEX('Avoided Cost Benefits'!$C$4:$C$857,MATCH(BC28,'Avoided Cost Benefits'!$A$4:$A$857,0)))*F28</f>
        <v>22.511974109895199</v>
      </c>
      <c r="BE28" s="1949">
        <f t="shared" si="9"/>
        <v>9.8770212027794778E-4</v>
      </c>
    </row>
    <row r="29" spans="1:57" s="51" customFormat="1" x14ac:dyDescent="0.25">
      <c r="A29" s="123"/>
      <c r="B29" s="123"/>
      <c r="C29" s="1471" t="s">
        <v>99</v>
      </c>
      <c r="D29" s="3227" t="s">
        <v>52</v>
      </c>
      <c r="E29" s="3089" t="s">
        <v>100</v>
      </c>
      <c r="F29" s="531">
        <f t="shared" si="4"/>
        <v>46.23</v>
      </c>
      <c r="G29" s="1554">
        <f t="shared" si="20"/>
        <v>7.169E-3</v>
      </c>
      <c r="H29" s="107" t="s">
        <v>54</v>
      </c>
      <c r="I29" s="449">
        <f>VLOOKUP(H29,'CP FACTORS'!$A$3:$B$38, 2, FALSE)</f>
        <v>1.4925290000000001E-4</v>
      </c>
      <c r="J29" s="107" t="s">
        <v>55</v>
      </c>
      <c r="K29" s="449">
        <f>VLOOKUP(J29,'CP FACTORS'!$A$3:$B$38, 2, FALSE)</f>
        <v>1.899635E-4</v>
      </c>
      <c r="L29" s="2022">
        <f t="shared" si="10"/>
        <v>39.599887380771726</v>
      </c>
      <c r="M29" s="2084">
        <f t="shared" si="1"/>
        <v>6.6267193672093745</v>
      </c>
      <c r="N29" s="2085">
        <f t="shared" si="5"/>
        <v>5.9103980312535847E-3</v>
      </c>
      <c r="O29" s="2085">
        <f t="shared" si="6"/>
        <v>1.2588348045128781E-3</v>
      </c>
      <c r="P29" s="2718">
        <f t="shared" si="21"/>
        <v>19</v>
      </c>
      <c r="Q29" s="2718">
        <f t="shared" si="22"/>
        <v>6</v>
      </c>
      <c r="R29" s="2086">
        <v>9.9999999999999995E-7</v>
      </c>
      <c r="S29" s="1471" t="s">
        <v>56</v>
      </c>
      <c r="T29" s="228"/>
      <c r="U29" s="228"/>
      <c r="V29" s="3227" t="s">
        <v>31</v>
      </c>
      <c r="W29" s="2002">
        <v>46.971916375756443</v>
      </c>
      <c r="X29" s="129">
        <v>46.503310960263626</v>
      </c>
      <c r="Y29" s="2098">
        <v>45.49</v>
      </c>
      <c r="Z29" s="129">
        <v>45.49</v>
      </c>
      <c r="AA29" s="129">
        <v>45.49</v>
      </c>
      <c r="AB29" s="2098">
        <v>46.23</v>
      </c>
      <c r="AC29" s="2099">
        <v>46.23</v>
      </c>
      <c r="AD29" s="2099"/>
      <c r="AE29" s="2099"/>
      <c r="AF29" s="2099"/>
      <c r="AG29" s="2099"/>
      <c r="AH29" s="2107"/>
      <c r="AI29" s="2100"/>
      <c r="AJ29" s="2100"/>
      <c r="AK29" s="2100"/>
      <c r="AL29" s="1942"/>
      <c r="AM29" s="1942"/>
      <c r="AN29" s="1942"/>
      <c r="AO29" s="1942"/>
      <c r="AP29" s="1942"/>
      <c r="AQ29" s="1942"/>
      <c r="AR29" s="1942"/>
      <c r="AS29" s="1942"/>
      <c r="AT29" s="1942"/>
      <c r="AU29" s="1942"/>
      <c r="AV29" s="1942"/>
      <c r="AW29" s="1942"/>
      <c r="AX29" s="1942"/>
      <c r="AY29" s="1942"/>
      <c r="AZ29" s="1942"/>
      <c r="BA29" s="1942"/>
      <c r="BB29" s="113">
        <f t="shared" si="7"/>
        <v>22792.885497338782</v>
      </c>
      <c r="BC29" s="1948" t="str">
        <f t="shared" si="8"/>
        <v>Lighting RES 19 Year EUL</v>
      </c>
      <c r="BD29" s="114">
        <f>(INDEX('Avoided Cost Benefits'!$C$4:$C$857,MATCH(BC29,'Avoided Cost Benefits'!$A$4:$A$857,0)))*F29</f>
        <v>27.081149182941839</v>
      </c>
      <c r="BE29" s="1949">
        <f t="shared" si="9"/>
        <v>1.1881404478649156E-3</v>
      </c>
    </row>
    <row r="30" spans="1:57" s="1942" customFormat="1" x14ac:dyDescent="0.25">
      <c r="A30" s="123"/>
      <c r="B30" s="123"/>
      <c r="C30" s="2038" t="s">
        <v>101</v>
      </c>
      <c r="D30" s="538" t="s">
        <v>52</v>
      </c>
      <c r="E30" s="2719" t="s">
        <v>102</v>
      </c>
      <c r="F30" s="527">
        <f t="shared" ref="F30:F32" si="23">ROUND(L30+M30,2)</f>
        <v>5.42</v>
      </c>
      <c r="G30" s="2757">
        <f t="shared" ref="G30:G32" si="24">ROUND(((L30/F30)*I30+(M30/F30)*K30)*F30,6)</f>
        <v>8.4000000000000003E-4</v>
      </c>
      <c r="H30" s="2735" t="s">
        <v>54</v>
      </c>
      <c r="I30" s="2721">
        <f>VLOOKUP(H30,'CP FACTORS'!$A$3:$B$38, 2, FALSE)</f>
        <v>1.4925290000000001E-4</v>
      </c>
      <c r="J30" s="2735" t="s">
        <v>55</v>
      </c>
      <c r="K30" s="2721">
        <f>VLOOKUP(J30,'CP FACTORS'!$A$3:$B$38, 2, FALSE)</f>
        <v>1.899635E-4</v>
      </c>
      <c r="L30" s="2759">
        <f t="shared" si="10"/>
        <v>4.6414502146839496</v>
      </c>
      <c r="M30" s="2760">
        <f t="shared" si="1"/>
        <v>0.77670897732196598</v>
      </c>
      <c r="N30" s="2758">
        <f t="shared" ref="N30" si="25">L30*I30</f>
        <v>6.9274990474720206E-4</v>
      </c>
      <c r="O30" s="2758">
        <f t="shared" ref="O30" si="26">M30*K30</f>
        <v>1.4754635581350128E-4</v>
      </c>
      <c r="P30" s="117">
        <f t="shared" si="21"/>
        <v>19</v>
      </c>
      <c r="Q30" s="117">
        <f t="shared" si="22"/>
        <v>6</v>
      </c>
      <c r="R30" s="2756">
        <v>9.9999999999999995E-7</v>
      </c>
      <c r="S30" s="2038" t="s">
        <v>56</v>
      </c>
      <c r="T30" s="228"/>
      <c r="U30" s="228"/>
      <c r="V30" s="538" t="s">
        <v>31</v>
      </c>
      <c r="W30" s="2002"/>
      <c r="X30" s="129"/>
      <c r="Y30" s="2098"/>
      <c r="Z30" s="129"/>
      <c r="AA30" s="129"/>
      <c r="AB30" s="2098"/>
      <c r="AC30" s="2003">
        <v>5.42</v>
      </c>
      <c r="AD30" s="2099"/>
      <c r="AE30" s="2099"/>
      <c r="AF30" s="2099"/>
      <c r="AG30" s="2099"/>
      <c r="AH30" s="2107"/>
      <c r="AI30" s="2100"/>
      <c r="AJ30" s="2100"/>
      <c r="AK30" s="2100"/>
      <c r="BB30" s="113">
        <f t="shared" ref="BB30:BB32" si="27">(BD30)/(BE30)</f>
        <v>22798.955780018045</v>
      </c>
      <c r="BC30" s="1948" t="str">
        <f t="shared" ref="BC30:BC32" si="28">CONCATENATE(H30," ",P30," Year EUL")</f>
        <v>Lighting RES 19 Year EUL</v>
      </c>
      <c r="BD30" s="114">
        <f>(INDEX('Avoided Cost Benefits'!$C$4:$C$857,MATCH(BC30,'Avoided Cost Benefits'!$A$4:$A$857,0)))*F30</f>
        <v>3.1749908840913861</v>
      </c>
      <c r="BE30" s="1949">
        <f t="shared" ref="BE30:BE32" si="29">O30/(1.0595^(2020-2019))</f>
        <v>1.3926036414676853E-4</v>
      </c>
    </row>
    <row r="31" spans="1:57" s="51" customFormat="1" x14ac:dyDescent="0.25">
      <c r="A31" s="123"/>
      <c r="B31" s="123"/>
      <c r="C31" s="1471" t="s">
        <v>103</v>
      </c>
      <c r="D31" s="3227" t="s">
        <v>52</v>
      </c>
      <c r="E31" s="3089" t="s">
        <v>104</v>
      </c>
      <c r="F31" s="531">
        <f t="shared" si="23"/>
        <v>21.61</v>
      </c>
      <c r="G31" s="1554">
        <f t="shared" si="24"/>
        <v>3.3509999999999998E-3</v>
      </c>
      <c r="H31" s="107" t="s">
        <v>54</v>
      </c>
      <c r="I31" s="449">
        <f>VLOOKUP(H31,'CP FACTORS'!$A$3:$B$38, 2, FALSE)</f>
        <v>1.4925290000000001E-4</v>
      </c>
      <c r="J31" s="107" t="s">
        <v>55</v>
      </c>
      <c r="K31" s="449">
        <f>VLOOKUP(J31,'CP FACTORS'!$A$3:$B$38, 2, FALSE)</f>
        <v>1.899635E-4</v>
      </c>
      <c r="L31" s="2022">
        <f t="shared" si="10"/>
        <v>18.512142474751005</v>
      </c>
      <c r="M31" s="2084">
        <f t="shared" si="1"/>
        <v>3.0978566147523492</v>
      </c>
      <c r="N31" s="2085">
        <f t="shared" si="5"/>
        <v>2.7629909495697647E-3</v>
      </c>
      <c r="O31" s="2085">
        <f t="shared" si="6"/>
        <v>5.8847968503650792E-4</v>
      </c>
      <c r="P31" s="2718">
        <f>$G$115</f>
        <v>19</v>
      </c>
      <c r="Q31" s="2718">
        <f>$G$117</f>
        <v>6</v>
      </c>
      <c r="R31" s="2086">
        <v>9.9999999999999995E-7</v>
      </c>
      <c r="S31" s="1471" t="s">
        <v>56</v>
      </c>
      <c r="T31" s="228"/>
      <c r="U31" s="228"/>
      <c r="V31" s="3227" t="s">
        <v>31</v>
      </c>
      <c r="W31" s="2002"/>
      <c r="X31" s="129"/>
      <c r="Y31" s="2098">
        <v>21.26</v>
      </c>
      <c r="Z31" s="129">
        <v>21.26</v>
      </c>
      <c r="AA31" s="129">
        <v>21.26</v>
      </c>
      <c r="AB31" s="2098">
        <v>21.61</v>
      </c>
      <c r="AC31" s="2099">
        <v>21.61</v>
      </c>
      <c r="AD31" s="2099"/>
      <c r="AE31" s="2099"/>
      <c r="AF31" s="2099"/>
      <c r="AG31" s="2099"/>
      <c r="AH31" s="2107"/>
      <c r="AI31" s="2100"/>
      <c r="AJ31" s="2100"/>
      <c r="AK31" s="2100"/>
      <c r="AL31" s="1942"/>
      <c r="AM31" s="1942"/>
      <c r="AN31" s="1942"/>
      <c r="AO31" s="1942"/>
      <c r="AP31" s="1942"/>
      <c r="AQ31" s="1942"/>
      <c r="AR31" s="1942"/>
      <c r="AS31" s="1942"/>
      <c r="AT31" s="1942"/>
      <c r="AU31" s="1942"/>
      <c r="AV31" s="1942"/>
      <c r="AW31" s="1942"/>
      <c r="AX31" s="1942"/>
      <c r="AY31" s="1942"/>
      <c r="AZ31" s="1942"/>
      <c r="BA31" s="1942"/>
      <c r="BB31" s="113">
        <f t="shared" si="27"/>
        <v>22791.213474589786</v>
      </c>
      <c r="BC31" s="1948" t="str">
        <f t="shared" si="28"/>
        <v>Lighting RES 19 Year EUL</v>
      </c>
      <c r="BD31" s="114">
        <f>(INDEX('Avoided Cost Benefits'!$C$4:$C$857,MATCH(BC31,'Avoided Cost Benefits'!$A$4:$A$857,0)))*F31</f>
        <v>12.658958119043332</v>
      </c>
      <c r="BE31" s="1949">
        <f t="shared" si="29"/>
        <v>5.5543151018075301E-4</v>
      </c>
    </row>
    <row r="32" spans="1:57" s="1942" customFormat="1" x14ac:dyDescent="0.25">
      <c r="A32" s="123"/>
      <c r="B32" s="123"/>
      <c r="C32" s="2038" t="s">
        <v>4406</v>
      </c>
      <c r="D32" s="538" t="s">
        <v>52</v>
      </c>
      <c r="E32" s="2719" t="s">
        <v>105</v>
      </c>
      <c r="F32" s="527">
        <f t="shared" si="23"/>
        <v>24.83</v>
      </c>
      <c r="G32" s="2757">
        <f t="shared" si="24"/>
        <v>3.7499999999999999E-3</v>
      </c>
      <c r="H32" s="2735" t="s">
        <v>54</v>
      </c>
      <c r="I32" s="2721">
        <f>VLOOKUP(H32,'CP FACTORS'!$A$3:$B$38, 2, FALSE)</f>
        <v>1.4925290000000001E-4</v>
      </c>
      <c r="J32" s="2735" t="s">
        <v>55</v>
      </c>
      <c r="K32" s="2721">
        <f>VLOOKUP(J32,'CP FACTORS'!$A$3:$B$38, 2, FALSE)</f>
        <v>1.899635E-4</v>
      </c>
      <c r="L32" s="2759">
        <f>((G69-G95)*$G$112*$G$96*(1-$G$103)*($G$107*$G$108)/1000)</f>
        <v>23.734288061577161</v>
      </c>
      <c r="M32" s="2760">
        <f>((G69-G95)*(1-$G$112)*$G$96*(1-$G$103)*($G$110*$G$111)/1000)</f>
        <v>1.0942955873720746</v>
      </c>
      <c r="N32" s="2758">
        <f t="shared" ref="N32" si="30">L32*I32</f>
        <v>3.5424113226257699E-3</v>
      </c>
      <c r="O32" s="2758">
        <f t="shared" ref="O32" si="31">M32*K32</f>
        <v>2.078762198117551E-4</v>
      </c>
      <c r="P32" s="117">
        <f>$G$116</f>
        <v>19</v>
      </c>
      <c r="Q32" s="117">
        <f>$G$117</f>
        <v>6</v>
      </c>
      <c r="R32" s="2756">
        <v>9.9999999999999995E-7</v>
      </c>
      <c r="S32" s="2038" t="s">
        <v>56</v>
      </c>
      <c r="T32" s="228"/>
      <c r="U32" s="228"/>
      <c r="V32" s="538" t="s">
        <v>31</v>
      </c>
      <c r="W32" s="2002"/>
      <c r="X32" s="129"/>
      <c r="Y32" s="2098"/>
      <c r="Z32" s="129"/>
      <c r="AA32" s="129"/>
      <c r="AB32" s="2098"/>
      <c r="AC32" s="2003">
        <v>24.83</v>
      </c>
      <c r="AD32" s="2099"/>
      <c r="AE32" s="2099"/>
      <c r="AF32" s="2099"/>
      <c r="AG32" s="2099"/>
      <c r="AH32" s="2107"/>
      <c r="AI32" s="2100"/>
      <c r="AJ32" s="2100"/>
      <c r="AK32" s="2100"/>
      <c r="BB32" s="118">
        <f t="shared" si="27"/>
        <v>74133.766551625929</v>
      </c>
      <c r="BC32" s="1948" t="str">
        <f t="shared" si="28"/>
        <v>Lighting RES 19 Year EUL</v>
      </c>
      <c r="BD32" s="119">
        <f>(INDEX('Avoided Cost Benefits'!$C$4:$C$857,MATCH(BC32,'Avoided Cost Benefits'!$A$4:$A$857,0)))*F32</f>
        <v>14.54520731586515</v>
      </c>
      <c r="BE32" s="1950">
        <f t="shared" si="29"/>
        <v>1.96202189534455E-4</v>
      </c>
    </row>
    <row r="33" spans="3:57" x14ac:dyDescent="0.25">
      <c r="C33" s="1535"/>
      <c r="D33" s="3159"/>
      <c r="E33" s="1237"/>
      <c r="F33" s="2393" t="s">
        <v>106</v>
      </c>
      <c r="G33" s="228"/>
      <c r="H33" s="2394"/>
      <c r="I33" s="2394"/>
      <c r="J33" s="2394"/>
      <c r="K33" s="2394"/>
      <c r="L33" s="2394"/>
      <c r="M33" s="2394"/>
      <c r="N33" s="2394"/>
      <c r="O33" s="2394"/>
      <c r="P33" s="2394"/>
      <c r="Q33" s="2394"/>
      <c r="R33" s="2394"/>
      <c r="S33" s="516"/>
      <c r="T33" s="228"/>
      <c r="U33" s="2108"/>
      <c r="V33" s="2109"/>
      <c r="W33" s="227"/>
      <c r="X33" s="227"/>
      <c r="Y33" s="227"/>
      <c r="Z33" s="227"/>
      <c r="AA33" s="227"/>
      <c r="AB33" s="227"/>
      <c r="AC33" s="227"/>
      <c r="AD33" s="227"/>
      <c r="AE33" s="227"/>
      <c r="AF33" s="227"/>
      <c r="AG33" s="227"/>
      <c r="AH33" s="227"/>
      <c r="AI33" s="227"/>
      <c r="AJ33" s="227"/>
      <c r="AK33" s="227"/>
      <c r="AL33" s="1930"/>
      <c r="AM33" s="1930"/>
      <c r="AN33" s="1930"/>
      <c r="AO33" s="1930"/>
      <c r="AP33" s="1930"/>
      <c r="AQ33" s="1930"/>
      <c r="AR33" s="1930"/>
      <c r="AS33" s="1930"/>
      <c r="AT33" s="1930"/>
      <c r="AU33" s="1930"/>
      <c r="AV33" s="1930"/>
      <c r="AW33" s="1930"/>
      <c r="AX33" s="1930"/>
      <c r="AY33" s="1930"/>
      <c r="AZ33" s="1930"/>
      <c r="BA33" s="1930"/>
      <c r="BB33" s="1930"/>
      <c r="BC33" s="1930"/>
      <c r="BD33" s="1930"/>
      <c r="BE33" s="1930"/>
    </row>
    <row r="34" spans="3:57" x14ac:dyDescent="0.25">
      <c r="C34" s="120"/>
      <c r="D34" s="685"/>
      <c r="E34" s="1113"/>
      <c r="F34" s="122" t="s">
        <v>107</v>
      </c>
      <c r="V34" s="1930"/>
      <c r="W34" s="1930"/>
      <c r="X34" s="1930"/>
      <c r="Y34" s="1930"/>
      <c r="Z34" s="1930"/>
      <c r="AA34" s="1930"/>
      <c r="AB34" s="1930"/>
      <c r="AC34" s="1930"/>
      <c r="AD34" s="1930"/>
      <c r="AE34" s="1930"/>
      <c r="AF34" s="1930"/>
      <c r="AG34" s="1930"/>
      <c r="AH34" s="1930"/>
      <c r="AI34" s="1930"/>
      <c r="AJ34" s="1930"/>
      <c r="AK34" s="1930"/>
      <c r="AL34" s="1930"/>
      <c r="AM34" s="1930"/>
      <c r="AN34" s="1930"/>
      <c r="AO34" s="1930"/>
      <c r="AP34" s="1930"/>
      <c r="AQ34" s="1930"/>
      <c r="AR34" s="1930"/>
      <c r="AS34" s="1930"/>
      <c r="AT34" s="1930"/>
      <c r="AU34" s="1930"/>
      <c r="AV34" s="1930"/>
      <c r="AW34" s="1930"/>
      <c r="AX34" s="1930"/>
      <c r="AY34" s="1930"/>
      <c r="AZ34" s="1930"/>
      <c r="BA34" s="1930"/>
      <c r="BB34" s="1930"/>
      <c r="BC34" s="1930"/>
      <c r="BD34" s="1930"/>
      <c r="BE34" s="1930"/>
    </row>
    <row r="35" spans="3:57" hidden="1" outlineLevel="1" x14ac:dyDescent="0.25">
      <c r="C35" s="120"/>
      <c r="D35" s="2392" t="s">
        <v>108</v>
      </c>
      <c r="E35" s="685"/>
      <c r="H35" s="3755"/>
      <c r="I35" s="3755"/>
      <c r="J35" s="3755"/>
      <c r="K35" s="3755"/>
      <c r="L35" s="3755"/>
      <c r="M35" s="3755"/>
      <c r="N35" s="3755"/>
      <c r="O35" s="3755"/>
      <c r="P35" s="3755"/>
      <c r="Q35" s="3755"/>
      <c r="R35" s="3755"/>
      <c r="S35" s="3755"/>
      <c r="V35" s="1930"/>
      <c r="W35" s="1930"/>
      <c r="X35" s="1930"/>
      <c r="Y35" s="1930"/>
      <c r="Z35" s="1930"/>
      <c r="AA35" s="1930"/>
      <c r="AB35" s="1930"/>
      <c r="AC35" s="1930"/>
      <c r="AD35" s="1930"/>
      <c r="AE35" s="1930"/>
      <c r="AF35" s="1930"/>
      <c r="AG35" s="1930"/>
      <c r="AH35" s="1930"/>
      <c r="AI35" s="1930"/>
      <c r="AJ35" s="1930"/>
      <c r="AK35" s="1930"/>
      <c r="AL35" s="1930"/>
      <c r="AM35" s="1930"/>
      <c r="AN35" s="1930"/>
      <c r="AO35" s="1930"/>
      <c r="AP35" s="1930"/>
      <c r="AQ35" s="1930"/>
      <c r="AR35" s="1930"/>
      <c r="AS35" s="1930"/>
      <c r="AT35" s="1930"/>
      <c r="AU35" s="1930"/>
      <c r="AV35" s="1930"/>
      <c r="AW35" s="1930"/>
      <c r="AX35" s="1930"/>
      <c r="AY35" s="1930"/>
      <c r="AZ35" s="1930"/>
      <c r="BA35" s="1930"/>
      <c r="BB35" s="1930"/>
      <c r="BC35" s="1930"/>
      <c r="BD35" s="1930"/>
      <c r="BE35" s="1930"/>
    </row>
    <row r="36" spans="3:57" hidden="1" outlineLevel="1" x14ac:dyDescent="0.25">
      <c r="C36" s="120"/>
      <c r="D36" s="685"/>
      <c r="E36" s="685"/>
      <c r="V36" s="1930"/>
      <c r="W36" s="1930"/>
      <c r="X36" s="1930"/>
      <c r="Y36" s="1930"/>
      <c r="Z36" s="1930"/>
      <c r="AA36" s="1930"/>
      <c r="AB36" s="1930"/>
      <c r="AC36" s="1930"/>
      <c r="AD36" s="1930"/>
      <c r="AE36" s="1930"/>
      <c r="AF36" s="1930"/>
      <c r="AG36" s="1930"/>
      <c r="AH36" s="1930"/>
      <c r="AI36" s="1930"/>
      <c r="AJ36" s="1930"/>
      <c r="AK36" s="1930"/>
      <c r="AL36" s="1930"/>
      <c r="AM36" s="1930"/>
      <c r="AN36" s="1930"/>
      <c r="AO36" s="1930"/>
      <c r="AP36" s="1930"/>
      <c r="AQ36" s="1930"/>
      <c r="AR36" s="1930"/>
      <c r="AS36" s="1930"/>
      <c r="AT36" s="1930"/>
      <c r="AU36" s="1930"/>
      <c r="AV36" s="1930"/>
      <c r="AW36" s="1930"/>
      <c r="AX36" s="1930"/>
      <c r="AY36" s="1930"/>
      <c r="AZ36" s="1930"/>
      <c r="BA36" s="1930"/>
      <c r="BB36" s="1930"/>
      <c r="BC36" s="1930"/>
      <c r="BD36" s="1930"/>
      <c r="BE36" s="1930"/>
    </row>
    <row r="37" spans="3:57" hidden="1" outlineLevel="1" x14ac:dyDescent="0.25">
      <c r="C37" s="120"/>
      <c r="D37" s="685"/>
      <c r="E37" s="685"/>
      <c r="V37" s="1930"/>
      <c r="W37" s="1930"/>
      <c r="X37" s="1930"/>
      <c r="Y37" s="1930"/>
      <c r="Z37" s="1930"/>
      <c r="AA37" s="1930"/>
      <c r="AB37" s="1930"/>
      <c r="AC37" s="1930"/>
      <c r="AD37" s="1930"/>
      <c r="AE37" s="1930"/>
      <c r="AF37" s="1930"/>
      <c r="AG37" s="1930"/>
      <c r="AH37" s="1930"/>
      <c r="AI37" s="1930"/>
      <c r="AJ37" s="1930"/>
      <c r="AK37" s="1930"/>
      <c r="AL37" s="1930"/>
      <c r="AM37" s="1930"/>
      <c r="AN37" s="1930"/>
      <c r="AO37" s="1930"/>
      <c r="AP37" s="1930"/>
      <c r="AQ37" s="1930"/>
      <c r="AR37" s="1930"/>
      <c r="AS37" s="1930"/>
      <c r="AT37" s="1930"/>
      <c r="AU37" s="1930"/>
      <c r="AV37" s="1930"/>
      <c r="AW37" s="1930"/>
      <c r="AX37" s="1930"/>
      <c r="AY37" s="1930"/>
      <c r="AZ37" s="1930"/>
      <c r="BA37" s="1930"/>
      <c r="BB37" s="1930"/>
      <c r="BC37" s="1930"/>
      <c r="BD37" s="1930"/>
      <c r="BE37" s="1930"/>
    </row>
    <row r="38" spans="3:57" hidden="1" outlineLevel="1" x14ac:dyDescent="0.25">
      <c r="C38" s="120"/>
      <c r="D38" s="685"/>
      <c r="E38" s="685"/>
      <c r="V38" s="1930"/>
      <c r="W38" s="1930"/>
      <c r="X38" s="1930"/>
      <c r="Y38" s="1930"/>
      <c r="Z38" s="1930"/>
      <c r="AA38" s="1930"/>
      <c r="AB38" s="1930"/>
      <c r="AC38" s="1930"/>
      <c r="AD38" s="1930"/>
      <c r="AE38" s="1930"/>
      <c r="AF38" s="1930"/>
      <c r="AG38" s="1930"/>
      <c r="AH38" s="1930"/>
      <c r="AI38" s="1930"/>
      <c r="AJ38" s="1930"/>
      <c r="AK38" s="1930"/>
      <c r="AL38" s="1930"/>
      <c r="AM38" s="1930"/>
      <c r="AN38" s="1930"/>
      <c r="AO38" s="1930"/>
      <c r="AP38" s="1930"/>
      <c r="AQ38" s="1930"/>
      <c r="AR38" s="1930"/>
      <c r="AS38" s="1930"/>
      <c r="AT38" s="1930"/>
      <c r="AU38" s="1930"/>
      <c r="AV38" s="1930"/>
      <c r="AW38" s="1930"/>
      <c r="AX38" s="1930"/>
      <c r="AY38" s="1930"/>
      <c r="AZ38" s="1930"/>
      <c r="BA38" s="1930"/>
      <c r="BB38" s="1930"/>
      <c r="BC38" s="1930"/>
      <c r="BD38" s="1930"/>
      <c r="BE38" s="1930"/>
    </row>
    <row r="39" spans="3:57" hidden="1" outlineLevel="1" x14ac:dyDescent="0.25">
      <c r="C39" s="120"/>
      <c r="D39" s="685"/>
      <c r="E39" s="685"/>
      <c r="V39" s="1930"/>
      <c r="W39" s="1930"/>
      <c r="X39" s="1930"/>
      <c r="Y39" s="1930"/>
      <c r="Z39" s="1930"/>
      <c r="AA39" s="1930"/>
      <c r="AB39" s="1930"/>
      <c r="AC39" s="1930"/>
      <c r="AD39" s="1930"/>
      <c r="AE39" s="1930"/>
      <c r="AF39" s="1930"/>
      <c r="AG39" s="1930"/>
      <c r="AH39" s="1930"/>
      <c r="AI39" s="1930"/>
      <c r="AJ39" s="1930"/>
      <c r="AK39" s="1930"/>
      <c r="AL39" s="1930"/>
      <c r="AM39" s="1930"/>
      <c r="AN39" s="1930"/>
      <c r="AO39" s="1930"/>
      <c r="AP39" s="1930"/>
      <c r="AQ39" s="1930"/>
      <c r="AR39" s="1930"/>
      <c r="AS39" s="1930"/>
      <c r="AT39" s="1930"/>
      <c r="AU39" s="1930"/>
      <c r="AV39" s="1930"/>
      <c r="AW39" s="1930"/>
      <c r="AX39" s="1930"/>
      <c r="AY39" s="1930"/>
      <c r="AZ39" s="1930"/>
      <c r="BA39" s="1930"/>
      <c r="BB39" s="1930"/>
      <c r="BC39" s="1930"/>
      <c r="BD39" s="1930"/>
      <c r="BE39" s="1930"/>
    </row>
    <row r="40" spans="3:57" hidden="1" outlineLevel="1" x14ac:dyDescent="0.25">
      <c r="C40" s="120"/>
      <c r="D40" s="685"/>
      <c r="E40" s="685"/>
      <c r="V40" s="1930"/>
      <c r="W40" s="1930"/>
      <c r="X40" s="1930"/>
      <c r="Y40" s="1930"/>
      <c r="Z40" s="1930"/>
      <c r="AA40" s="1930"/>
      <c r="AB40" s="1930"/>
      <c r="AC40" s="1930"/>
      <c r="AD40" s="1930"/>
      <c r="AE40" s="1930"/>
      <c r="AF40" s="1930"/>
      <c r="AG40" s="1930"/>
      <c r="AH40" s="1930"/>
      <c r="AI40" s="1930"/>
      <c r="AJ40" s="1930"/>
      <c r="AK40" s="1930"/>
      <c r="AL40" s="1930"/>
      <c r="AM40" s="1930"/>
      <c r="AN40" s="1930"/>
      <c r="AO40" s="1930"/>
      <c r="AP40" s="1930"/>
      <c r="AQ40" s="1930"/>
      <c r="AR40" s="1930"/>
      <c r="AS40" s="1930"/>
      <c r="AT40" s="1930"/>
      <c r="AU40" s="1930"/>
      <c r="AV40" s="1930"/>
      <c r="AW40" s="1930"/>
      <c r="AX40" s="1930"/>
      <c r="AY40" s="1930"/>
      <c r="AZ40" s="1930"/>
      <c r="BA40" s="1930"/>
      <c r="BB40" s="1930"/>
      <c r="BC40" s="1930"/>
      <c r="BD40" s="1930"/>
      <c r="BE40" s="1930"/>
    </row>
    <row r="41" spans="3:57" hidden="1" outlineLevel="1" x14ac:dyDescent="0.25">
      <c r="C41" s="120"/>
      <c r="D41" s="685"/>
      <c r="E41" s="685"/>
      <c r="V41" s="1930"/>
      <c r="W41" s="1930"/>
      <c r="X41" s="1930"/>
      <c r="Y41" s="1930"/>
      <c r="Z41" s="1930"/>
      <c r="AA41" s="1930"/>
      <c r="AB41" s="1930"/>
      <c r="AC41" s="1930"/>
      <c r="AD41" s="1930"/>
      <c r="AE41" s="1930"/>
      <c r="AF41" s="1930"/>
      <c r="AG41" s="1930"/>
      <c r="AH41" s="1930"/>
      <c r="AI41" s="1930"/>
      <c r="AJ41" s="1930"/>
      <c r="AK41" s="1930"/>
      <c r="AL41" s="1930"/>
      <c r="AM41" s="1930"/>
      <c r="AN41" s="1930"/>
      <c r="AO41" s="1930"/>
      <c r="AP41" s="1930"/>
      <c r="AQ41" s="1930"/>
      <c r="AR41" s="1930"/>
      <c r="AS41" s="1930"/>
      <c r="AT41" s="1930"/>
      <c r="AU41" s="1930"/>
      <c r="AV41" s="1930"/>
      <c r="AW41" s="1930"/>
      <c r="AX41" s="1930"/>
      <c r="AY41" s="1930"/>
      <c r="AZ41" s="1930"/>
      <c r="BA41" s="1930"/>
      <c r="BB41" s="1930"/>
      <c r="BC41" s="1930"/>
      <c r="BD41" s="1930"/>
      <c r="BE41" s="1930"/>
    </row>
    <row r="42" spans="3:57" hidden="1" outlineLevel="1" x14ac:dyDescent="0.25">
      <c r="V42" s="1930"/>
      <c r="W42" s="1930"/>
      <c r="X42" s="1930"/>
      <c r="Y42" s="1930"/>
      <c r="Z42" s="1930"/>
      <c r="AA42" s="1930"/>
      <c r="AB42" s="1930"/>
      <c r="AC42" s="1930"/>
      <c r="AD42" s="1930"/>
      <c r="AE42" s="1930"/>
      <c r="AF42" s="1930"/>
      <c r="AG42" s="1930"/>
      <c r="AH42" s="1930"/>
      <c r="AI42" s="1930"/>
      <c r="AJ42" s="1930"/>
      <c r="AK42" s="1930"/>
      <c r="AL42" s="1930"/>
      <c r="AM42" s="1930"/>
      <c r="AN42" s="1930"/>
      <c r="AO42" s="1930"/>
      <c r="AP42" s="1930"/>
      <c r="AQ42" s="1930"/>
      <c r="AR42" s="1930"/>
      <c r="AS42" s="1930"/>
      <c r="AT42" s="1930"/>
      <c r="AU42" s="1930"/>
      <c r="AV42" s="1930"/>
      <c r="AW42" s="1930"/>
      <c r="AX42" s="1930"/>
      <c r="AY42" s="1930"/>
      <c r="AZ42" s="1930"/>
      <c r="BA42" s="1930"/>
      <c r="BB42" s="1930"/>
      <c r="BC42" s="1930"/>
      <c r="BD42" s="1930"/>
      <c r="BE42" s="1930"/>
    </row>
    <row r="43" spans="3:57" ht="48.75" hidden="1" customHeight="1" outlineLevel="1" thickBot="1" x14ac:dyDescent="0.3">
      <c r="D43" s="3081" t="s">
        <v>109</v>
      </c>
      <c r="E43" s="3081" t="s">
        <v>110</v>
      </c>
      <c r="F43" s="3081" t="s">
        <v>111</v>
      </c>
      <c r="G43" s="3081" t="s">
        <v>112</v>
      </c>
      <c r="H43" s="3081" t="str">
        <f t="shared" ref="H43:H69" si="32">C6</f>
        <v>Measure Reference No.</v>
      </c>
      <c r="I43" s="3754" t="s">
        <v>113</v>
      </c>
      <c r="J43" s="3754"/>
      <c r="K43" s="3754"/>
      <c r="L43" s="3754"/>
      <c r="V43" s="1936" t="s">
        <v>45</v>
      </c>
      <c r="W43" s="1937">
        <v>43252</v>
      </c>
      <c r="X43" s="1937">
        <f>$Y$6</f>
        <v>43800</v>
      </c>
      <c r="Y43" s="1937">
        <f>$Y$6</f>
        <v>43800</v>
      </c>
      <c r="Z43" s="1937">
        <f>$Z$6</f>
        <v>43862</v>
      </c>
      <c r="AA43" s="1937">
        <f>$AA$6</f>
        <v>44013</v>
      </c>
      <c r="AB43" s="1937">
        <f>$AB$6</f>
        <v>44166</v>
      </c>
      <c r="AC43" s="1937">
        <f>$AC$6</f>
        <v>44531</v>
      </c>
      <c r="AD43" s="1937" t="str">
        <f>$AD$6</f>
        <v>-</v>
      </c>
      <c r="AE43" s="1937" t="str">
        <f>$AE$6</f>
        <v>-</v>
      </c>
      <c r="AF43" s="1937" t="str">
        <f>$AF$6</f>
        <v>-</v>
      </c>
      <c r="AG43" s="1937" t="str">
        <f>$AG$6</f>
        <v>-</v>
      </c>
      <c r="AH43" s="1930"/>
      <c r="AI43" s="1930"/>
      <c r="AJ43" s="1930"/>
      <c r="AK43" s="1930"/>
      <c r="AL43" s="1930"/>
      <c r="AM43" s="1930"/>
      <c r="AN43" s="1930"/>
      <c r="AO43" s="1930"/>
      <c r="AP43" s="1930"/>
      <c r="AQ43" s="1930"/>
      <c r="AR43" s="1930"/>
      <c r="AS43" s="1930"/>
      <c r="AT43" s="1930"/>
      <c r="AU43" s="1930"/>
      <c r="AV43" s="1930"/>
      <c r="AW43" s="1930"/>
      <c r="AX43" s="1930"/>
      <c r="AY43" s="1930"/>
      <c r="AZ43" s="1930"/>
      <c r="BA43" s="1930"/>
      <c r="BB43" s="1930"/>
      <c r="BC43" s="1930"/>
      <c r="BD43" s="1930"/>
      <c r="BE43" s="1930"/>
    </row>
    <row r="44" spans="3:57" hidden="1" outlineLevel="1" x14ac:dyDescent="0.25">
      <c r="D44" s="3690" t="s">
        <v>114</v>
      </c>
      <c r="E44" s="3688" t="s">
        <v>115</v>
      </c>
      <c r="F44" s="2110" t="str">
        <f t="shared" ref="F44:F66" si="33">E7</f>
        <v>LED - 10.5W Downlight E26 (CFL baseline)</v>
      </c>
      <c r="G44" s="124">
        <v>21</v>
      </c>
      <c r="H44" s="132" t="str">
        <f t="shared" si="32"/>
        <v>200050_2019_12_</v>
      </c>
      <c r="I44" s="3731"/>
      <c r="J44" s="3731"/>
      <c r="K44" s="3731"/>
      <c r="L44" s="3731"/>
      <c r="V44" s="3719" t="s">
        <v>114</v>
      </c>
      <c r="W44" s="124">
        <v>21</v>
      </c>
      <c r="X44" s="125">
        <v>21</v>
      </c>
      <c r="Y44" s="125">
        <v>21</v>
      </c>
      <c r="Z44" s="2116">
        <v>21</v>
      </c>
      <c r="AA44" s="2116">
        <v>21</v>
      </c>
      <c r="AB44" s="125">
        <v>21</v>
      </c>
      <c r="AC44" s="125">
        <v>21</v>
      </c>
      <c r="AD44" s="125"/>
      <c r="AE44" s="125"/>
      <c r="AF44" s="125"/>
      <c r="AG44" s="125"/>
      <c r="AH44" s="1930"/>
      <c r="AI44" s="1930"/>
      <c r="AJ44" s="1930"/>
      <c r="AK44" s="1930"/>
      <c r="AL44" s="1930"/>
      <c r="AM44" s="1930"/>
      <c r="AN44" s="1930"/>
      <c r="AO44" s="1930"/>
      <c r="AP44" s="1930"/>
      <c r="AQ44" s="1930"/>
      <c r="AR44" s="1930"/>
      <c r="AS44" s="1930"/>
      <c r="AT44" s="1930"/>
      <c r="AU44" s="1930"/>
      <c r="AV44" s="1930"/>
      <c r="AW44" s="1930"/>
      <c r="AX44" s="1930"/>
      <c r="AY44" s="1930"/>
      <c r="AZ44" s="1930"/>
      <c r="BA44" s="1930"/>
      <c r="BB44" s="1930"/>
      <c r="BC44" s="1930"/>
      <c r="BD44" s="1930"/>
      <c r="BE44" s="1930"/>
    </row>
    <row r="45" spans="3:57" hidden="1" outlineLevel="1" x14ac:dyDescent="0.25">
      <c r="D45" s="3707"/>
      <c r="E45" s="3742"/>
      <c r="F45" s="2034" t="str">
        <f t="shared" si="33"/>
        <v>LED - 10.5W Downlight E26 (Halogen baseline)</v>
      </c>
      <c r="G45" s="109">
        <v>53</v>
      </c>
      <c r="H45" s="1947" t="str">
        <f t="shared" si="32"/>
        <v>200100_2019_12_</v>
      </c>
      <c r="I45" s="3728" t="s">
        <v>116</v>
      </c>
      <c r="J45" s="3728"/>
      <c r="K45" s="3728"/>
      <c r="L45" s="3728"/>
      <c r="V45" s="3720"/>
      <c r="W45" s="109">
        <v>43</v>
      </c>
      <c r="X45" s="1940">
        <v>34.200000000000003</v>
      </c>
      <c r="Y45" s="1940">
        <v>53</v>
      </c>
      <c r="Z45" s="129">
        <v>53</v>
      </c>
      <c r="AA45" s="129">
        <v>53</v>
      </c>
      <c r="AB45" s="2117">
        <v>53</v>
      </c>
      <c r="AC45" s="2117">
        <v>53</v>
      </c>
      <c r="AD45" s="127"/>
      <c r="AE45" s="127"/>
      <c r="AF45" s="127"/>
      <c r="AG45" s="127"/>
      <c r="AH45" s="1930"/>
      <c r="AI45" s="1930"/>
      <c r="AJ45" s="1930"/>
      <c r="AK45" s="1930"/>
      <c r="AL45" s="1930"/>
      <c r="AM45" s="1930"/>
      <c r="AN45" s="1930"/>
      <c r="AO45" s="1930"/>
      <c r="AP45" s="1930"/>
      <c r="AQ45" s="1930"/>
      <c r="AR45" s="1930"/>
      <c r="AS45" s="1930"/>
      <c r="AT45" s="1930"/>
      <c r="AU45" s="1930"/>
      <c r="AV45" s="1930"/>
      <c r="AW45" s="1930"/>
      <c r="AX45" s="1930"/>
      <c r="AY45" s="1930"/>
      <c r="AZ45" s="1930"/>
      <c r="BA45" s="1930"/>
      <c r="BB45" s="1930"/>
      <c r="BC45" s="1930"/>
      <c r="BD45" s="1930"/>
      <c r="BE45" s="1930"/>
    </row>
    <row r="46" spans="3:57" hidden="1" outlineLevel="1" x14ac:dyDescent="0.25">
      <c r="D46" s="3707"/>
      <c r="E46" s="3742"/>
      <c r="F46" s="2034" t="str">
        <f t="shared" si="33"/>
        <v>LED - 10W (CFL baseline) (750-1049 lumens)</v>
      </c>
      <c r="G46" s="109">
        <v>13.4</v>
      </c>
      <c r="H46" s="1947" t="str">
        <f t="shared" si="32"/>
        <v>200150_2019_12_</v>
      </c>
      <c r="I46" s="3746" t="s">
        <v>117</v>
      </c>
      <c r="J46" s="3746"/>
      <c r="K46" s="3746"/>
      <c r="L46" s="3746"/>
      <c r="V46" s="3720"/>
      <c r="W46" s="109">
        <v>13.4</v>
      </c>
      <c r="X46" s="127">
        <v>13.4</v>
      </c>
      <c r="Y46" s="127">
        <v>13.4</v>
      </c>
      <c r="Z46" s="129">
        <v>13.4</v>
      </c>
      <c r="AA46" s="129">
        <v>13.4</v>
      </c>
      <c r="AB46" s="2117">
        <v>13.4</v>
      </c>
      <c r="AC46" s="2117">
        <v>13.4</v>
      </c>
      <c r="AD46" s="127"/>
      <c r="AE46" s="127"/>
      <c r="AF46" s="127"/>
      <c r="AG46" s="127"/>
      <c r="AH46" s="1930"/>
      <c r="AI46" s="1930"/>
      <c r="AJ46" s="1930"/>
      <c r="AK46" s="1930"/>
      <c r="AL46" s="1930"/>
      <c r="AM46" s="1930"/>
      <c r="AN46" s="1930"/>
      <c r="AO46" s="1930"/>
      <c r="AP46" s="1930"/>
      <c r="AQ46" s="1930"/>
      <c r="AR46" s="1930"/>
      <c r="AS46" s="1930"/>
      <c r="AT46" s="1930"/>
      <c r="AU46" s="1930"/>
      <c r="AV46" s="1930"/>
      <c r="AW46" s="1930"/>
      <c r="AX46" s="1930"/>
      <c r="AY46" s="1930"/>
      <c r="AZ46" s="1930"/>
      <c r="BA46" s="1930"/>
      <c r="BB46" s="1930"/>
      <c r="BC46" s="1930"/>
      <c r="BD46" s="1930"/>
      <c r="BE46" s="1930"/>
    </row>
    <row r="47" spans="3:57" ht="14.45" hidden="1" customHeight="1" outlineLevel="1" x14ac:dyDescent="0.25">
      <c r="D47" s="3707"/>
      <c r="E47" s="3742"/>
      <c r="F47" s="2034" t="str">
        <f t="shared" si="33"/>
        <v>LED - 10W (Halogen baseline) (750-1049 lumens)</v>
      </c>
      <c r="G47" s="129">
        <v>43</v>
      </c>
      <c r="H47" s="129" t="str">
        <f t="shared" si="32"/>
        <v>200200_2019_12_</v>
      </c>
      <c r="I47" s="3769" t="s">
        <v>118</v>
      </c>
      <c r="J47" s="3769"/>
      <c r="K47" s="3769"/>
      <c r="L47" s="3769"/>
      <c r="V47" s="3720"/>
      <c r="W47" s="109">
        <v>41.32</v>
      </c>
      <c r="X47" s="128">
        <v>41.1</v>
      </c>
      <c r="Y47" s="1940">
        <v>39.5</v>
      </c>
      <c r="Z47" s="129">
        <v>39.5</v>
      </c>
      <c r="AA47" s="129">
        <v>39.5</v>
      </c>
      <c r="AB47" s="2117">
        <v>43</v>
      </c>
      <c r="AC47" s="2117">
        <v>43</v>
      </c>
      <c r="AD47" s="127"/>
      <c r="AE47" s="127"/>
      <c r="AF47" s="127"/>
      <c r="AG47" s="127"/>
      <c r="AH47" s="1930"/>
      <c r="AI47" s="1930"/>
      <c r="AJ47" s="1930"/>
      <c r="AK47" s="1930"/>
      <c r="AL47" s="1930"/>
      <c r="AM47" s="1930"/>
      <c r="AN47" s="1930"/>
      <c r="AO47" s="1930"/>
      <c r="AP47" s="1930"/>
      <c r="AQ47" s="1930"/>
      <c r="AR47" s="1930"/>
      <c r="AS47" s="1930"/>
      <c r="AT47" s="1930"/>
      <c r="AU47" s="1930"/>
      <c r="AV47" s="1930"/>
      <c r="AW47" s="1930"/>
      <c r="AX47" s="1930"/>
      <c r="AY47" s="1930"/>
      <c r="AZ47" s="1930"/>
      <c r="BA47" s="1930"/>
      <c r="BB47" s="1930"/>
      <c r="BC47" s="1930"/>
      <c r="BD47" s="1930"/>
      <c r="BE47" s="1930"/>
    </row>
    <row r="48" spans="3:57" hidden="1" outlineLevel="1" x14ac:dyDescent="0.25">
      <c r="D48" s="3707"/>
      <c r="E48" s="3742"/>
      <c r="F48" s="2034" t="str">
        <f t="shared" si="33"/>
        <v>LED - 12W Dimmable Light Bulb (Replacing CFL)</v>
      </c>
      <c r="G48" s="109">
        <v>18</v>
      </c>
      <c r="H48" s="1947" t="str">
        <f t="shared" si="32"/>
        <v>200250_2019_12_</v>
      </c>
      <c r="I48" s="3770"/>
      <c r="J48" s="3770"/>
      <c r="K48" s="3770"/>
      <c r="L48" s="3770"/>
      <c r="V48" s="3720"/>
      <c r="W48" s="109">
        <v>18</v>
      </c>
      <c r="X48" s="126">
        <v>18</v>
      </c>
      <c r="Y48" s="126">
        <v>18</v>
      </c>
      <c r="Z48" s="129">
        <v>18</v>
      </c>
      <c r="AA48" s="129">
        <v>18</v>
      </c>
      <c r="AB48" s="2117">
        <v>18</v>
      </c>
      <c r="AC48" s="2117">
        <v>18</v>
      </c>
      <c r="AD48" s="126"/>
      <c r="AE48" s="126"/>
      <c r="AF48" s="126"/>
      <c r="AG48" s="126"/>
      <c r="AH48" s="1930"/>
      <c r="AI48" s="1930"/>
      <c r="AJ48" s="1930"/>
      <c r="AK48" s="1930"/>
      <c r="AL48" s="1930"/>
      <c r="AM48" s="1930"/>
      <c r="AN48" s="1930"/>
      <c r="AO48" s="1930"/>
      <c r="AP48" s="1930"/>
      <c r="AQ48" s="1930"/>
      <c r="AR48" s="1930"/>
      <c r="AS48" s="1930"/>
      <c r="AT48" s="1930"/>
      <c r="AU48" s="1930"/>
      <c r="AV48" s="1930"/>
      <c r="AW48" s="1930"/>
      <c r="AX48" s="1930"/>
      <c r="AY48" s="1930"/>
      <c r="AZ48" s="1930"/>
      <c r="BA48" s="1930"/>
      <c r="BB48" s="1930"/>
      <c r="BC48" s="1930"/>
      <c r="BD48" s="1930"/>
      <c r="BE48" s="1930"/>
    </row>
    <row r="49" spans="1:33" ht="30" hidden="1" outlineLevel="1" x14ac:dyDescent="0.25">
      <c r="D49" s="3707"/>
      <c r="E49" s="3742"/>
      <c r="F49" s="2034" t="str">
        <f t="shared" si="33"/>
        <v>LED - 12W Dimmable Light Bulb (Replacing Specialty Incandescent)</v>
      </c>
      <c r="G49" s="109">
        <v>92.2</v>
      </c>
      <c r="H49" s="1947" t="str">
        <f t="shared" si="32"/>
        <v>200300_2019_12_</v>
      </c>
      <c r="I49" s="3728" t="s">
        <v>116</v>
      </c>
      <c r="J49" s="3728"/>
      <c r="K49" s="3728"/>
      <c r="L49" s="3728"/>
      <c r="V49" s="3720"/>
      <c r="W49" s="109">
        <v>76.25</v>
      </c>
      <c r="X49" s="112">
        <v>60</v>
      </c>
      <c r="Y49" s="112">
        <v>92.2</v>
      </c>
      <c r="Z49" s="129">
        <v>92.2</v>
      </c>
      <c r="AA49" s="129">
        <v>92.2</v>
      </c>
      <c r="AB49" s="2117">
        <v>92.2</v>
      </c>
      <c r="AC49" s="2117">
        <v>92.2</v>
      </c>
      <c r="AD49" s="126"/>
      <c r="AE49" s="126"/>
      <c r="AF49" s="126"/>
      <c r="AG49" s="126"/>
    </row>
    <row r="50" spans="1:33" hidden="1" outlineLevel="1" x14ac:dyDescent="0.25">
      <c r="D50" s="3707"/>
      <c r="E50" s="3742"/>
      <c r="F50" s="2034" t="str">
        <f t="shared" si="33"/>
        <v>LED - 15W (Halogen baseline) (1050-1489 lumens)</v>
      </c>
      <c r="G50" s="109">
        <v>53</v>
      </c>
      <c r="H50" s="1947" t="str">
        <f t="shared" si="32"/>
        <v>200350_2019_12_</v>
      </c>
      <c r="I50" s="3746" t="s">
        <v>116</v>
      </c>
      <c r="J50" s="3746"/>
      <c r="K50" s="3746"/>
      <c r="L50" s="3746"/>
      <c r="V50" s="3720"/>
      <c r="W50" s="109">
        <v>53</v>
      </c>
      <c r="X50" s="129">
        <v>53</v>
      </c>
      <c r="Y50" s="129">
        <v>53</v>
      </c>
      <c r="Z50" s="129">
        <v>53</v>
      </c>
      <c r="AA50" s="129">
        <v>53</v>
      </c>
      <c r="AB50" s="129">
        <v>53</v>
      </c>
      <c r="AC50" s="129">
        <v>53</v>
      </c>
      <c r="AD50" s="129"/>
      <c r="AE50" s="129"/>
      <c r="AF50" s="129"/>
      <c r="AG50" s="129"/>
    </row>
    <row r="51" spans="1:33" hidden="1" outlineLevel="1" x14ac:dyDescent="0.25">
      <c r="D51" s="3707"/>
      <c r="E51" s="3742"/>
      <c r="F51" s="2034" t="str">
        <f t="shared" si="33"/>
        <v>LED - 15W (CFL baseline) (1050-1489 lumens)</v>
      </c>
      <c r="G51" s="109">
        <v>18.899999999999999</v>
      </c>
      <c r="H51" s="1947" t="str">
        <f t="shared" si="32"/>
        <v>200400_2019_12_</v>
      </c>
      <c r="I51" s="3746" t="s">
        <v>119</v>
      </c>
      <c r="J51" s="3746"/>
      <c r="K51" s="3746"/>
      <c r="L51" s="3746"/>
      <c r="V51" s="3720"/>
      <c r="W51" s="109">
        <v>18.899999999999999</v>
      </c>
      <c r="X51" s="129">
        <v>18.899999999999999</v>
      </c>
      <c r="Y51" s="129">
        <v>18.899999999999999</v>
      </c>
      <c r="Z51" s="129">
        <v>18.899999999999999</v>
      </c>
      <c r="AA51" s="129">
        <v>18.899999999999999</v>
      </c>
      <c r="AB51" s="129">
        <v>18.899999999999999</v>
      </c>
      <c r="AC51" s="129">
        <v>18.899999999999999</v>
      </c>
      <c r="AD51" s="129"/>
      <c r="AE51" s="129"/>
      <c r="AF51" s="129"/>
      <c r="AG51" s="129"/>
    </row>
    <row r="52" spans="1:33" s="1930" customFormat="1" hidden="1" outlineLevel="1" x14ac:dyDescent="0.25">
      <c r="A52" s="123"/>
      <c r="B52" s="123"/>
      <c r="C52" s="328"/>
      <c r="D52" s="3707"/>
      <c r="E52" s="3742"/>
      <c r="F52" s="2034" t="str">
        <f t="shared" si="33"/>
        <v>LED - 11W Flood Light BR30 Bulb (CFL baseline)</v>
      </c>
      <c r="G52" s="129">
        <f>850/45</f>
        <v>18.888888888888889</v>
      </c>
      <c r="H52" s="129" t="str">
        <f t="shared" si="32"/>
        <v>200401_2020_12_</v>
      </c>
      <c r="I52" s="3722" t="s">
        <v>120</v>
      </c>
      <c r="J52" s="3723"/>
      <c r="K52" s="3723"/>
      <c r="L52" s="3724"/>
      <c r="M52" s="123"/>
      <c r="N52" s="123"/>
      <c r="O52" s="123"/>
      <c r="P52" s="123"/>
      <c r="Q52" s="123"/>
      <c r="R52" s="123"/>
      <c r="S52" s="123"/>
      <c r="T52" s="123"/>
      <c r="U52" s="123"/>
      <c r="V52" s="3720"/>
      <c r="W52" s="109"/>
      <c r="X52" s="129"/>
      <c r="Y52" s="129"/>
      <c r="Z52" s="129"/>
      <c r="AA52" s="129"/>
      <c r="AB52" s="2098">
        <v>18.888888888888889</v>
      </c>
      <c r="AC52" s="129">
        <v>18.888888888888889</v>
      </c>
      <c r="AD52" s="129"/>
      <c r="AE52" s="129"/>
      <c r="AF52" s="129"/>
      <c r="AG52" s="129"/>
    </row>
    <row r="53" spans="1:33" s="1930" customFormat="1" hidden="1" outlineLevel="1" x14ac:dyDescent="0.25">
      <c r="A53" s="123"/>
      <c r="B53" s="123"/>
      <c r="C53" s="328"/>
      <c r="D53" s="3707"/>
      <c r="E53" s="3742"/>
      <c r="F53" s="2034" t="str">
        <f t="shared" si="33"/>
        <v xml:space="preserve">LED - 11W Flood Light BR30 Bulb (Halogen baseline) </v>
      </c>
      <c r="G53" s="129">
        <v>65</v>
      </c>
      <c r="H53" s="129" t="str">
        <f t="shared" si="32"/>
        <v>200402_2020_12_</v>
      </c>
      <c r="I53" s="3722" t="s">
        <v>121</v>
      </c>
      <c r="J53" s="3723"/>
      <c r="K53" s="3723"/>
      <c r="L53" s="3724"/>
      <c r="M53" s="123"/>
      <c r="N53" s="123"/>
      <c r="O53" s="123"/>
      <c r="P53" s="123"/>
      <c r="Q53" s="123"/>
      <c r="R53" s="123"/>
      <c r="S53" s="123"/>
      <c r="T53" s="123"/>
      <c r="U53" s="123"/>
      <c r="V53" s="3720"/>
      <c r="W53" s="109"/>
      <c r="X53" s="129"/>
      <c r="Y53" s="129"/>
      <c r="Z53" s="129"/>
      <c r="AA53" s="129"/>
      <c r="AB53" s="2098">
        <v>65</v>
      </c>
      <c r="AC53" s="129">
        <v>65</v>
      </c>
      <c r="AD53" s="129"/>
      <c r="AE53" s="129"/>
      <c r="AF53" s="129"/>
      <c r="AG53" s="129"/>
    </row>
    <row r="54" spans="1:33" hidden="1" outlineLevel="1" x14ac:dyDescent="0.25">
      <c r="D54" s="3707"/>
      <c r="E54" s="3742"/>
      <c r="F54" s="2034" t="str">
        <f t="shared" si="33"/>
        <v>LED - 15W Flood Light PAR30 Bulb (CFL baseline)</v>
      </c>
      <c r="G54" s="130">
        <v>16</v>
      </c>
      <c r="H54" s="1947" t="str">
        <f t="shared" si="32"/>
        <v>200450_2019_12_</v>
      </c>
      <c r="I54" s="3770"/>
      <c r="J54" s="3770"/>
      <c r="K54" s="3770"/>
      <c r="L54" s="3770"/>
      <c r="V54" s="3720"/>
      <c r="W54" s="130">
        <v>16</v>
      </c>
      <c r="X54" s="130">
        <v>16</v>
      </c>
      <c r="Y54" s="130">
        <v>16</v>
      </c>
      <c r="Z54" s="131">
        <v>16</v>
      </c>
      <c r="AA54" s="131">
        <v>16</v>
      </c>
      <c r="AB54" s="131">
        <v>16</v>
      </c>
      <c r="AC54" s="131">
        <v>16</v>
      </c>
      <c r="AD54" s="130"/>
      <c r="AE54" s="130"/>
      <c r="AF54" s="130"/>
      <c r="AG54" s="130"/>
    </row>
    <row r="55" spans="1:33" hidden="1" outlineLevel="1" x14ac:dyDescent="0.25">
      <c r="D55" s="3707"/>
      <c r="E55" s="3742"/>
      <c r="F55" s="2034" t="str">
        <f t="shared" si="33"/>
        <v>LED - 15W Flood Light PAR30 Bulb (Halogen baseline)</v>
      </c>
      <c r="G55" s="109">
        <v>61.3</v>
      </c>
      <c r="H55" s="1947" t="str">
        <f t="shared" si="32"/>
        <v>200500_2019_12_</v>
      </c>
      <c r="I55" s="3728" t="s">
        <v>116</v>
      </c>
      <c r="J55" s="3728"/>
      <c r="K55" s="3728"/>
      <c r="L55" s="3728"/>
      <c r="V55" s="3720"/>
      <c r="W55" s="109">
        <v>62.1</v>
      </c>
      <c r="X55" s="1940">
        <v>60.9</v>
      </c>
      <c r="Y55" s="1940">
        <v>61.3</v>
      </c>
      <c r="Z55" s="129">
        <v>61.3</v>
      </c>
      <c r="AA55" s="129">
        <v>61.3</v>
      </c>
      <c r="AB55" s="2117">
        <v>61.3</v>
      </c>
      <c r="AC55" s="2117">
        <v>61.3</v>
      </c>
      <c r="AD55" s="127"/>
      <c r="AE55" s="127"/>
      <c r="AF55" s="127"/>
      <c r="AG55" s="127"/>
    </row>
    <row r="56" spans="1:33" hidden="1" outlineLevel="1" x14ac:dyDescent="0.25">
      <c r="D56" s="3707"/>
      <c r="E56" s="3742"/>
      <c r="F56" s="2034" t="str">
        <f t="shared" si="33"/>
        <v>LED - 18W Flood Light PAR30 Bulb (CFL baseline)</v>
      </c>
      <c r="G56" s="130">
        <v>23</v>
      </c>
      <c r="H56" s="1947" t="str">
        <f t="shared" si="32"/>
        <v>200550_2019_12_</v>
      </c>
      <c r="I56" s="3746" t="s">
        <v>122</v>
      </c>
      <c r="J56" s="3746"/>
      <c r="K56" s="3746"/>
      <c r="L56" s="3746"/>
      <c r="V56" s="3720"/>
      <c r="W56" s="130">
        <v>23</v>
      </c>
      <c r="X56" s="131">
        <v>23</v>
      </c>
      <c r="Y56" s="131">
        <v>23</v>
      </c>
      <c r="Z56" s="131">
        <v>23</v>
      </c>
      <c r="AA56" s="131">
        <v>23</v>
      </c>
      <c r="AB56" s="131">
        <v>23</v>
      </c>
      <c r="AC56" s="131">
        <v>23</v>
      </c>
      <c r="AD56" s="131"/>
      <c r="AE56" s="131"/>
      <c r="AF56" s="131"/>
      <c r="AG56" s="131"/>
    </row>
    <row r="57" spans="1:33" hidden="1" outlineLevel="1" x14ac:dyDescent="0.25">
      <c r="D57" s="3707"/>
      <c r="E57" s="3742"/>
      <c r="F57" s="2034" t="str">
        <f t="shared" si="33"/>
        <v>LED - 18W Flood Light PAR38 Bulb (Halogen baseline)</v>
      </c>
      <c r="G57" s="109">
        <v>100</v>
      </c>
      <c r="H57" s="1947" t="str">
        <f t="shared" si="32"/>
        <v>200600_2019_12_</v>
      </c>
      <c r="I57" s="3728" t="s">
        <v>123</v>
      </c>
      <c r="J57" s="3728"/>
      <c r="K57" s="3728"/>
      <c r="L57" s="3728"/>
      <c r="V57" s="3720"/>
      <c r="W57" s="109">
        <v>100</v>
      </c>
      <c r="X57" s="127">
        <v>100</v>
      </c>
      <c r="Y57" s="1947">
        <v>100</v>
      </c>
      <c r="Z57" s="129">
        <v>100</v>
      </c>
      <c r="AA57" s="129">
        <v>100</v>
      </c>
      <c r="AB57" s="2117">
        <v>100</v>
      </c>
      <c r="AC57" s="2117">
        <v>100</v>
      </c>
      <c r="AD57" s="127"/>
      <c r="AE57" s="127"/>
      <c r="AF57" s="127"/>
      <c r="AG57" s="127"/>
    </row>
    <row r="58" spans="1:33" hidden="1" outlineLevel="1" x14ac:dyDescent="0.25">
      <c r="D58" s="3707"/>
      <c r="E58" s="3742"/>
      <c r="F58" s="2034" t="str">
        <f t="shared" si="33"/>
        <v>LED - 20W (CFL baseline) (1490-2600 lumens)</v>
      </c>
      <c r="G58" s="109">
        <v>24.8</v>
      </c>
      <c r="H58" s="1947" t="str">
        <f t="shared" si="32"/>
        <v>200650_2019_12_</v>
      </c>
      <c r="I58" s="3746" t="s">
        <v>124</v>
      </c>
      <c r="J58" s="3746"/>
      <c r="K58" s="3746"/>
      <c r="L58" s="3746"/>
      <c r="V58" s="3720"/>
      <c r="W58" s="109">
        <v>24.8</v>
      </c>
      <c r="X58" s="127">
        <v>24.8</v>
      </c>
      <c r="Y58" s="1947">
        <v>24.8</v>
      </c>
      <c r="Z58" s="129">
        <v>24.8</v>
      </c>
      <c r="AA58" s="129">
        <v>24.8</v>
      </c>
      <c r="AB58" s="2117">
        <v>24.8</v>
      </c>
      <c r="AC58" s="2117">
        <v>24.8</v>
      </c>
      <c r="AD58" s="127"/>
      <c r="AE58" s="127"/>
      <c r="AF58" s="127"/>
      <c r="AG58" s="127"/>
    </row>
    <row r="59" spans="1:33" hidden="1" outlineLevel="1" x14ac:dyDescent="0.25">
      <c r="D59" s="3707"/>
      <c r="E59" s="3742"/>
      <c r="F59" s="2034" t="str">
        <f t="shared" si="33"/>
        <v>LED - 20W (Halogen baseline) (1490-2600 lumens)</v>
      </c>
      <c r="G59" s="109">
        <v>72</v>
      </c>
      <c r="H59" s="1947" t="str">
        <f t="shared" si="32"/>
        <v>200700_2019_12_</v>
      </c>
      <c r="I59" s="3728" t="s">
        <v>116</v>
      </c>
      <c r="J59" s="3728"/>
      <c r="K59" s="3728"/>
      <c r="L59" s="3728"/>
      <c r="V59" s="3720"/>
      <c r="W59" s="109">
        <v>72</v>
      </c>
      <c r="X59" s="1940">
        <v>71.7</v>
      </c>
      <c r="Y59" s="1940">
        <v>72</v>
      </c>
      <c r="Z59" s="129">
        <v>72</v>
      </c>
      <c r="AA59" s="129">
        <v>72</v>
      </c>
      <c r="AB59" s="2117">
        <v>72</v>
      </c>
      <c r="AC59" s="2117">
        <v>72</v>
      </c>
      <c r="AD59" s="127"/>
      <c r="AE59" s="127"/>
      <c r="AF59" s="127"/>
      <c r="AG59" s="127"/>
    </row>
    <row r="60" spans="1:33" hidden="1" outlineLevel="1" x14ac:dyDescent="0.25">
      <c r="D60" s="3707"/>
      <c r="E60" s="3742"/>
      <c r="F60" s="2034" t="str">
        <f t="shared" si="33"/>
        <v>LED - 4W Candelabra (CFL baseline)</v>
      </c>
      <c r="G60" s="109">
        <v>9</v>
      </c>
      <c r="H60" s="1947" t="str">
        <f t="shared" si="32"/>
        <v>200750_2019_12_</v>
      </c>
      <c r="I60" s="3746" t="s">
        <v>125</v>
      </c>
      <c r="J60" s="3746"/>
      <c r="K60" s="3746"/>
      <c r="L60" s="3746"/>
      <c r="V60" s="3720"/>
      <c r="W60" s="109">
        <v>9</v>
      </c>
      <c r="X60" s="127">
        <v>9</v>
      </c>
      <c r="Y60" s="1947">
        <v>9</v>
      </c>
      <c r="Z60" s="129">
        <v>9</v>
      </c>
      <c r="AA60" s="129">
        <v>9</v>
      </c>
      <c r="AB60" s="2117">
        <v>9</v>
      </c>
      <c r="AC60" s="2117">
        <v>9</v>
      </c>
      <c r="AD60" s="127"/>
      <c r="AE60" s="127"/>
      <c r="AF60" s="127"/>
      <c r="AG60" s="127"/>
    </row>
    <row r="61" spans="1:33" hidden="1" outlineLevel="1" x14ac:dyDescent="0.25">
      <c r="D61" s="3707"/>
      <c r="E61" s="3742"/>
      <c r="F61" s="2034" t="str">
        <f t="shared" si="33"/>
        <v>LED - 4W Candelabra (Replacing Specialty Incandescent)</v>
      </c>
      <c r="G61" s="109">
        <v>39</v>
      </c>
      <c r="H61" s="1947" t="str">
        <f t="shared" si="32"/>
        <v>200800_2019_12_</v>
      </c>
      <c r="I61" s="3728" t="s">
        <v>116</v>
      </c>
      <c r="J61" s="3728"/>
      <c r="K61" s="3728"/>
      <c r="L61" s="3728"/>
      <c r="V61" s="3720"/>
      <c r="W61" s="109">
        <v>40.409999999999997</v>
      </c>
      <c r="X61" s="1940">
        <v>41</v>
      </c>
      <c r="Y61" s="1940">
        <v>39</v>
      </c>
      <c r="Z61" s="129">
        <v>39</v>
      </c>
      <c r="AA61" s="129">
        <v>39</v>
      </c>
      <c r="AB61" s="129">
        <v>39</v>
      </c>
      <c r="AC61" s="129">
        <v>39</v>
      </c>
      <c r="AD61" s="1947"/>
      <c r="AE61" s="1947"/>
      <c r="AF61" s="1947"/>
      <c r="AG61" s="1947"/>
    </row>
    <row r="62" spans="1:33" hidden="1" outlineLevel="1" x14ac:dyDescent="0.25">
      <c r="D62" s="3707"/>
      <c r="E62" s="3742"/>
      <c r="F62" s="2034" t="str">
        <f t="shared" si="33"/>
        <v>LED - 8W Globe Light G25 Bulb (Replacing CFL)</v>
      </c>
      <c r="G62" s="109">
        <v>11</v>
      </c>
      <c r="H62" s="1947" t="str">
        <f t="shared" si="32"/>
        <v>200850_2019_12_</v>
      </c>
      <c r="I62" s="3746" t="s">
        <v>126</v>
      </c>
      <c r="J62" s="3746"/>
      <c r="K62" s="3746"/>
      <c r="L62" s="3746"/>
      <c r="V62" s="3720"/>
      <c r="W62" s="109">
        <v>11</v>
      </c>
      <c r="X62" s="1947">
        <v>11</v>
      </c>
      <c r="Y62" s="1947">
        <v>11</v>
      </c>
      <c r="Z62" s="129">
        <v>11</v>
      </c>
      <c r="AA62" s="129">
        <v>11</v>
      </c>
      <c r="AB62" s="129">
        <v>11</v>
      </c>
      <c r="AC62" s="129">
        <v>11</v>
      </c>
      <c r="AD62" s="1947"/>
      <c r="AE62" s="1947"/>
      <c r="AF62" s="1947"/>
      <c r="AG62" s="1947"/>
    </row>
    <row r="63" spans="1:33" ht="30" hidden="1" outlineLevel="1" x14ac:dyDescent="0.25">
      <c r="D63" s="3707"/>
      <c r="E63" s="3742"/>
      <c r="F63" s="2034" t="str">
        <f t="shared" si="33"/>
        <v>LED - 8W Globe Light G25 Bulb (Replacing Specialty Incandescent)</v>
      </c>
      <c r="G63" s="109">
        <v>41.4</v>
      </c>
      <c r="H63" s="1947" t="str">
        <f t="shared" si="32"/>
        <v>200900_2019_12_</v>
      </c>
      <c r="I63" s="3728" t="s">
        <v>116</v>
      </c>
      <c r="J63" s="3728"/>
      <c r="K63" s="3728"/>
      <c r="L63" s="3728"/>
      <c r="V63" s="3720"/>
      <c r="W63" s="109">
        <v>42.04</v>
      </c>
      <c r="X63" s="1940">
        <v>40.6</v>
      </c>
      <c r="Y63" s="1940">
        <v>41.4</v>
      </c>
      <c r="Z63" s="129">
        <v>41.4</v>
      </c>
      <c r="AA63" s="129">
        <v>41.4</v>
      </c>
      <c r="AB63" s="129">
        <v>41.4</v>
      </c>
      <c r="AC63" s="129">
        <v>41.4</v>
      </c>
      <c r="AD63" s="1947"/>
      <c r="AE63" s="1947"/>
      <c r="AF63" s="1947"/>
      <c r="AG63" s="1947"/>
    </row>
    <row r="64" spans="1:33" ht="30" hidden="1" outlineLevel="1" x14ac:dyDescent="0.25">
      <c r="D64" s="3707"/>
      <c r="E64" s="3742"/>
      <c r="F64" s="2034" t="str">
        <f t="shared" si="33"/>
        <v>LED - 10W (Halogen baseline) (750-1049 lumens) - Specialty Connected Light</v>
      </c>
      <c r="G64" s="109">
        <v>39.5</v>
      </c>
      <c r="H64" s="1947" t="str">
        <f t="shared" si="32"/>
        <v>200950_2019_12_</v>
      </c>
      <c r="I64" s="3746" t="str">
        <f>I47</f>
        <v>EISA Baseline for Lumen Range (reference IL TRM)</v>
      </c>
      <c r="J64" s="3746"/>
      <c r="K64" s="3746"/>
      <c r="L64" s="3746"/>
      <c r="V64" s="3720"/>
      <c r="W64" s="109">
        <f>W47</f>
        <v>41.32</v>
      </c>
      <c r="X64" s="1947">
        <f>X47</f>
        <v>41.1</v>
      </c>
      <c r="Y64" s="1940">
        <v>39.5</v>
      </c>
      <c r="Z64" s="129">
        <v>39.5</v>
      </c>
      <c r="AA64" s="129">
        <v>39.5</v>
      </c>
      <c r="AB64" s="129">
        <v>39.5</v>
      </c>
      <c r="AC64" s="129">
        <v>39.5</v>
      </c>
      <c r="AD64" s="1947"/>
      <c r="AE64" s="1947"/>
      <c r="AF64" s="1947"/>
      <c r="AG64" s="1947"/>
    </row>
    <row r="65" spans="1:33" ht="30" hidden="1" outlineLevel="1" x14ac:dyDescent="0.25">
      <c r="D65" s="3707"/>
      <c r="E65" s="3742"/>
      <c r="F65" s="2034" t="str">
        <f t="shared" si="33"/>
        <v>LED - 15W (Halogen baseline) (1050-1489 lumens) - Specialty Connected Light</v>
      </c>
      <c r="G65" s="109">
        <v>53</v>
      </c>
      <c r="H65" s="1947" t="str">
        <f t="shared" si="32"/>
        <v>201000_2019_12_</v>
      </c>
      <c r="I65" s="3746" t="str">
        <f>I50</f>
        <v>Ameren Missouri Lighting Evaluation PY2018</v>
      </c>
      <c r="J65" s="3746"/>
      <c r="K65" s="3746"/>
      <c r="L65" s="3746"/>
      <c r="V65" s="3720"/>
      <c r="W65" s="109">
        <f>W50</f>
        <v>53</v>
      </c>
      <c r="X65" s="1947">
        <f>X50</f>
        <v>53</v>
      </c>
      <c r="Y65" s="1947">
        <v>53</v>
      </c>
      <c r="Z65" s="129">
        <v>53</v>
      </c>
      <c r="AA65" s="129">
        <v>53</v>
      </c>
      <c r="AB65" s="129">
        <v>53</v>
      </c>
      <c r="AC65" s="129">
        <v>53</v>
      </c>
      <c r="AD65" s="1947"/>
      <c r="AE65" s="1947"/>
      <c r="AF65" s="1947"/>
      <c r="AG65" s="1947"/>
    </row>
    <row r="66" spans="1:33" ht="30" hidden="1" outlineLevel="1" x14ac:dyDescent="0.25">
      <c r="D66" s="3707"/>
      <c r="E66" s="3742"/>
      <c r="F66" s="3169" t="str">
        <f t="shared" si="33"/>
        <v>LED - 15W Flood Light PAR30 Bulb (Halogen baseline) - Specialty Connected Light</v>
      </c>
      <c r="G66" s="109">
        <v>61.3</v>
      </c>
      <c r="H66" s="1947" t="str">
        <f t="shared" si="32"/>
        <v>201050_2019_12_</v>
      </c>
      <c r="I66" s="3743" t="s">
        <v>116</v>
      </c>
      <c r="J66" s="3744"/>
      <c r="K66" s="3744"/>
      <c r="L66" s="3745"/>
      <c r="V66" s="3720"/>
      <c r="W66" s="109">
        <f>W55</f>
        <v>62.1</v>
      </c>
      <c r="X66" s="1940">
        <f>X55</f>
        <v>60.9</v>
      </c>
      <c r="Y66" s="1940">
        <v>61.3</v>
      </c>
      <c r="Z66" s="129">
        <v>61.3</v>
      </c>
      <c r="AA66" s="129">
        <v>61.3</v>
      </c>
      <c r="AB66" s="129">
        <v>61.3</v>
      </c>
      <c r="AC66" s="129">
        <v>61.3</v>
      </c>
      <c r="AD66" s="1947"/>
      <c r="AE66" s="1947"/>
      <c r="AF66" s="1947"/>
      <c r="AG66" s="1947"/>
    </row>
    <row r="67" spans="1:33" s="1930" customFormat="1" hidden="1" outlineLevel="1" x14ac:dyDescent="0.25">
      <c r="A67" s="123"/>
      <c r="B67" s="123"/>
      <c r="C67" s="328"/>
      <c r="D67" s="3707"/>
      <c r="E67" s="3742"/>
      <c r="F67" s="2719" t="s">
        <v>102</v>
      </c>
      <c r="G67" s="2742">
        <f>AVERAGE(310,749)/45</f>
        <v>11.766666666666667</v>
      </c>
      <c r="H67" s="2738" t="str">
        <f t="shared" si="32"/>
        <v>201099_2021_12_</v>
      </c>
      <c r="I67" s="3763" t="s">
        <v>118</v>
      </c>
      <c r="J67" s="3764"/>
      <c r="K67" s="3764"/>
      <c r="L67" s="3765"/>
      <c r="M67" s="123"/>
      <c r="N67" s="123"/>
      <c r="O67" s="123"/>
      <c r="P67" s="123"/>
      <c r="Q67" s="123"/>
      <c r="R67" s="123"/>
      <c r="S67" s="123"/>
      <c r="T67" s="123"/>
      <c r="U67" s="123"/>
      <c r="V67" s="3720"/>
      <c r="W67" s="2736"/>
      <c r="X67" s="2738"/>
      <c r="Y67" s="2738"/>
      <c r="Z67" s="2571"/>
      <c r="AA67" s="2571"/>
      <c r="AB67" s="2571"/>
      <c r="AC67" s="2752">
        <v>11.766666666666667</v>
      </c>
      <c r="AD67" s="2737"/>
      <c r="AE67" s="2737"/>
      <c r="AF67" s="2737"/>
      <c r="AG67" s="2737"/>
    </row>
    <row r="68" spans="1:33" ht="15" hidden="1" customHeight="1" outlineLevel="1" x14ac:dyDescent="0.25">
      <c r="D68" s="3707"/>
      <c r="E68" s="3742"/>
      <c r="F68" s="3085" t="str">
        <f t="shared" ref="F68" si="34">E31</f>
        <v>LED - 6W (Halogen baseline) (310-749 lumens)</v>
      </c>
      <c r="G68" s="109">
        <v>29</v>
      </c>
      <c r="H68" s="1947" t="str">
        <f t="shared" si="32"/>
        <v>201100_2019_12_</v>
      </c>
      <c r="I68" s="3725" t="s">
        <v>127</v>
      </c>
      <c r="J68" s="3726"/>
      <c r="K68" s="3726"/>
      <c r="L68" s="3727"/>
      <c r="V68" s="3720"/>
      <c r="W68" s="109"/>
      <c r="X68" s="1947"/>
      <c r="Y68" s="1940">
        <v>29</v>
      </c>
      <c r="Z68" s="129">
        <v>29</v>
      </c>
      <c r="AA68" s="129">
        <v>29</v>
      </c>
      <c r="AB68" s="129">
        <v>29</v>
      </c>
      <c r="AC68" s="129">
        <v>29</v>
      </c>
      <c r="AD68" s="1947"/>
      <c r="AE68" s="1947"/>
      <c r="AF68" s="1947"/>
      <c r="AG68" s="1947"/>
    </row>
    <row r="69" spans="1:33" s="1930" customFormat="1" ht="15" hidden="1" customHeight="1" outlineLevel="1" thickBot="1" x14ac:dyDescent="0.3">
      <c r="A69" s="123"/>
      <c r="B69" s="123"/>
      <c r="C69" s="328"/>
      <c r="D69" s="3691"/>
      <c r="E69" s="3689"/>
      <c r="F69" s="2743" t="s">
        <v>105</v>
      </c>
      <c r="G69" s="2744">
        <v>7</v>
      </c>
      <c r="H69" s="2741" t="str">
        <f t="shared" si="32"/>
        <v>201130_2021_12_</v>
      </c>
      <c r="I69" s="3766" t="s">
        <v>128</v>
      </c>
      <c r="J69" s="3767"/>
      <c r="K69" s="3767"/>
      <c r="L69" s="3768"/>
      <c r="M69" s="123"/>
      <c r="N69" s="123"/>
      <c r="O69" s="123"/>
      <c r="P69" s="123"/>
      <c r="Q69" s="123"/>
      <c r="R69" s="123"/>
      <c r="S69" s="123"/>
      <c r="T69" s="123"/>
      <c r="U69" s="123"/>
      <c r="V69" s="3721"/>
      <c r="W69" s="2739"/>
      <c r="X69" s="2740"/>
      <c r="Y69" s="2741"/>
      <c r="Z69" s="2573"/>
      <c r="AA69" s="2573"/>
      <c r="AB69" s="2573"/>
      <c r="AC69" s="2753">
        <v>7</v>
      </c>
      <c r="AD69" s="2740"/>
      <c r="AE69" s="2740"/>
      <c r="AF69" s="2740"/>
      <c r="AG69" s="2740"/>
    </row>
    <row r="70" spans="1:33" hidden="1" outlineLevel="1" x14ac:dyDescent="0.25">
      <c r="D70" s="3690" t="s">
        <v>129</v>
      </c>
      <c r="E70" s="3688" t="s">
        <v>130</v>
      </c>
      <c r="F70" s="1429" t="str">
        <f t="shared" ref="F70:F92" si="35">E7</f>
        <v>LED - 10.5W Downlight E26 (CFL baseline)</v>
      </c>
      <c r="G70" s="124">
        <v>10.7</v>
      </c>
      <c r="H70" s="132" t="str">
        <f t="shared" ref="H70:H79" si="36">C7</f>
        <v>200050_2019_12_</v>
      </c>
      <c r="I70" s="3739" t="s">
        <v>116</v>
      </c>
      <c r="J70" s="3740"/>
      <c r="K70" s="3740"/>
      <c r="L70" s="3741"/>
      <c r="V70" s="3719" t="s">
        <v>129</v>
      </c>
      <c r="W70" s="124">
        <v>7</v>
      </c>
      <c r="X70" s="132">
        <v>8</v>
      </c>
      <c r="Y70" s="133">
        <v>10.7</v>
      </c>
      <c r="Z70" s="2116">
        <v>10.7</v>
      </c>
      <c r="AA70" s="2116">
        <v>10.7</v>
      </c>
      <c r="AB70" s="2116">
        <v>10.7</v>
      </c>
      <c r="AC70" s="2116">
        <v>10.7</v>
      </c>
      <c r="AD70" s="132"/>
      <c r="AE70" s="132"/>
      <c r="AF70" s="132"/>
      <c r="AG70" s="132"/>
    </row>
    <row r="71" spans="1:33" ht="15" hidden="1" customHeight="1" outlineLevel="1" x14ac:dyDescent="0.25">
      <c r="D71" s="3707"/>
      <c r="E71" s="3742"/>
      <c r="F71" s="3169" t="str">
        <f t="shared" si="35"/>
        <v>LED - 10.5W Downlight E26 (Halogen baseline)</v>
      </c>
      <c r="G71" s="109">
        <v>10.7</v>
      </c>
      <c r="H71" s="1947" t="str">
        <f t="shared" si="36"/>
        <v>200100_2019_12_</v>
      </c>
      <c r="I71" s="3725" t="s">
        <v>116</v>
      </c>
      <c r="J71" s="3726"/>
      <c r="K71" s="3726"/>
      <c r="L71" s="3727"/>
      <c r="V71" s="3720"/>
      <c r="W71" s="109">
        <v>7</v>
      </c>
      <c r="X71" s="1940">
        <v>6.5</v>
      </c>
      <c r="Y71" s="1940">
        <v>10.7</v>
      </c>
      <c r="Z71" s="129">
        <v>10.7</v>
      </c>
      <c r="AA71" s="129">
        <v>10.7</v>
      </c>
      <c r="AB71" s="129">
        <v>10.7</v>
      </c>
      <c r="AC71" s="129">
        <v>10.7</v>
      </c>
      <c r="AD71" s="1947"/>
      <c r="AE71" s="1947"/>
      <c r="AF71" s="1947"/>
      <c r="AG71" s="1947"/>
    </row>
    <row r="72" spans="1:33" ht="15" hidden="1" customHeight="1" outlineLevel="1" x14ac:dyDescent="0.25">
      <c r="D72" s="3707"/>
      <c r="E72" s="3742"/>
      <c r="F72" s="3169" t="str">
        <f t="shared" si="35"/>
        <v>LED - 10W (CFL baseline) (750-1049 lumens)</v>
      </c>
      <c r="G72" s="130">
        <v>8.4</v>
      </c>
      <c r="H72" s="1947" t="str">
        <f t="shared" si="36"/>
        <v>200150_2019_12_</v>
      </c>
      <c r="I72" s="3725" t="s">
        <v>116</v>
      </c>
      <c r="J72" s="3726"/>
      <c r="K72" s="3726"/>
      <c r="L72" s="3727"/>
      <c r="V72" s="3720"/>
      <c r="W72" s="130">
        <v>9.1</v>
      </c>
      <c r="X72" s="130">
        <v>9.1</v>
      </c>
      <c r="Y72" s="134">
        <v>8.4</v>
      </c>
      <c r="Z72" s="131">
        <v>8.4</v>
      </c>
      <c r="AA72" s="131">
        <v>8.4</v>
      </c>
      <c r="AB72" s="131">
        <v>8.4</v>
      </c>
      <c r="AC72" s="131">
        <v>8.4</v>
      </c>
      <c r="AD72" s="130"/>
      <c r="AE72" s="130"/>
      <c r="AF72" s="130"/>
      <c r="AG72" s="130"/>
    </row>
    <row r="73" spans="1:33" ht="15" hidden="1" customHeight="1" outlineLevel="1" x14ac:dyDescent="0.25">
      <c r="D73" s="3707"/>
      <c r="E73" s="3742"/>
      <c r="F73" s="3169" t="str">
        <f t="shared" si="35"/>
        <v>LED - 10W (Halogen baseline) (750-1049 lumens)</v>
      </c>
      <c r="G73" s="130">
        <v>8.4</v>
      </c>
      <c r="H73" s="1947" t="str">
        <f t="shared" si="36"/>
        <v>200200_2019_12_</v>
      </c>
      <c r="I73" s="3725" t="s">
        <v>116</v>
      </c>
      <c r="J73" s="3726"/>
      <c r="K73" s="3726"/>
      <c r="L73" s="3727"/>
      <c r="V73" s="3720"/>
      <c r="W73" s="130">
        <v>9.1</v>
      </c>
      <c r="X73" s="134">
        <v>9</v>
      </c>
      <c r="Y73" s="134">
        <v>8.4</v>
      </c>
      <c r="Z73" s="131">
        <v>8.4</v>
      </c>
      <c r="AA73" s="131">
        <v>8.4</v>
      </c>
      <c r="AB73" s="131">
        <v>8.4</v>
      </c>
      <c r="AC73" s="131">
        <v>8.4</v>
      </c>
      <c r="AD73" s="130"/>
      <c r="AE73" s="130"/>
      <c r="AF73" s="130"/>
      <c r="AG73" s="130"/>
    </row>
    <row r="74" spans="1:33" ht="15" hidden="1" customHeight="1" outlineLevel="1" x14ac:dyDescent="0.25">
      <c r="D74" s="3707"/>
      <c r="E74" s="3742"/>
      <c r="F74" s="3169" t="str">
        <f t="shared" si="35"/>
        <v>LED - 12W Dimmable Light Bulb (Replacing CFL)</v>
      </c>
      <c r="G74" s="109">
        <v>15.4</v>
      </c>
      <c r="H74" s="1947" t="str">
        <f t="shared" si="36"/>
        <v>200250_2019_12_</v>
      </c>
      <c r="I74" s="3725" t="s">
        <v>116</v>
      </c>
      <c r="J74" s="3726"/>
      <c r="K74" s="3726"/>
      <c r="L74" s="3727"/>
      <c r="V74" s="3720"/>
      <c r="W74" s="109">
        <v>9.5</v>
      </c>
      <c r="X74" s="109">
        <v>9.5</v>
      </c>
      <c r="Y74" s="112">
        <v>15.4</v>
      </c>
      <c r="Z74" s="129">
        <v>15.4</v>
      </c>
      <c r="AA74" s="129">
        <v>15.4</v>
      </c>
      <c r="AB74" s="129">
        <v>15.4</v>
      </c>
      <c r="AC74" s="129">
        <v>15.4</v>
      </c>
      <c r="AD74" s="109"/>
      <c r="AE74" s="109"/>
      <c r="AF74" s="109"/>
      <c r="AG74" s="109"/>
    </row>
    <row r="75" spans="1:33" ht="15" hidden="1" customHeight="1" outlineLevel="1" x14ac:dyDescent="0.25">
      <c r="D75" s="3707"/>
      <c r="E75" s="3742"/>
      <c r="F75" s="3169" t="str">
        <f t="shared" si="35"/>
        <v>LED - 12W Dimmable Light Bulb (Replacing Specialty Incandescent)</v>
      </c>
      <c r="G75" s="109">
        <v>15.4</v>
      </c>
      <c r="H75" s="1947" t="str">
        <f t="shared" si="36"/>
        <v>200300_2019_12_</v>
      </c>
      <c r="I75" s="3725" t="s">
        <v>116</v>
      </c>
      <c r="J75" s="3726"/>
      <c r="K75" s="3726"/>
      <c r="L75" s="3727"/>
      <c r="V75" s="3720"/>
      <c r="W75" s="109">
        <v>9.5</v>
      </c>
      <c r="X75" s="112">
        <v>8.8000000000000007</v>
      </c>
      <c r="Y75" s="112">
        <v>15.4</v>
      </c>
      <c r="Z75" s="129">
        <v>15.4</v>
      </c>
      <c r="AA75" s="129">
        <v>15.4</v>
      </c>
      <c r="AB75" s="129">
        <v>15.4</v>
      </c>
      <c r="AC75" s="129">
        <v>15.4</v>
      </c>
      <c r="AD75" s="109"/>
      <c r="AE75" s="109"/>
      <c r="AF75" s="109"/>
      <c r="AG75" s="109"/>
    </row>
    <row r="76" spans="1:33" ht="15" hidden="1" customHeight="1" outlineLevel="1" x14ac:dyDescent="0.25">
      <c r="D76" s="3707"/>
      <c r="E76" s="3742"/>
      <c r="F76" s="2034" t="str">
        <f t="shared" si="35"/>
        <v>LED - 15W (Halogen baseline) (1050-1489 lumens)</v>
      </c>
      <c r="G76" s="131">
        <v>12.1</v>
      </c>
      <c r="H76" s="129" t="str">
        <f t="shared" si="36"/>
        <v>200350_2019_12_</v>
      </c>
      <c r="I76" s="3722" t="s">
        <v>116</v>
      </c>
      <c r="J76" s="3723"/>
      <c r="K76" s="3723"/>
      <c r="L76" s="3724"/>
      <c r="V76" s="3720"/>
      <c r="W76" s="130">
        <v>10.6</v>
      </c>
      <c r="X76" s="134">
        <v>11.6</v>
      </c>
      <c r="Y76" s="134">
        <v>12.1</v>
      </c>
      <c r="Z76" s="131">
        <v>12.1</v>
      </c>
      <c r="AA76" s="131">
        <v>12.1</v>
      </c>
      <c r="AB76" s="131">
        <v>12.1</v>
      </c>
      <c r="AC76" s="131">
        <v>12.1</v>
      </c>
      <c r="AD76" s="130"/>
      <c r="AE76" s="130"/>
      <c r="AF76" s="130"/>
      <c r="AG76" s="130"/>
    </row>
    <row r="77" spans="1:33" ht="15" hidden="1" customHeight="1" outlineLevel="1" x14ac:dyDescent="0.25">
      <c r="D77" s="3707"/>
      <c r="E77" s="3742"/>
      <c r="F77" s="2034" t="str">
        <f t="shared" si="35"/>
        <v>LED - 15W (CFL baseline) (1050-1489 lumens)</v>
      </c>
      <c r="G77" s="131">
        <v>12.1</v>
      </c>
      <c r="H77" s="129" t="str">
        <f t="shared" si="36"/>
        <v>200400_2019_12_</v>
      </c>
      <c r="I77" s="3722" t="s">
        <v>116</v>
      </c>
      <c r="J77" s="3723"/>
      <c r="K77" s="3723"/>
      <c r="L77" s="3724"/>
      <c r="V77" s="3720"/>
      <c r="W77" s="130">
        <v>10.6</v>
      </c>
      <c r="X77" s="130">
        <v>10.6</v>
      </c>
      <c r="Y77" s="134">
        <v>12.1</v>
      </c>
      <c r="Z77" s="131">
        <v>12.1</v>
      </c>
      <c r="AA77" s="131">
        <v>12.1</v>
      </c>
      <c r="AB77" s="131">
        <v>12.1</v>
      </c>
      <c r="AC77" s="131">
        <v>12.1</v>
      </c>
      <c r="AD77" s="130"/>
      <c r="AE77" s="130"/>
      <c r="AF77" s="130"/>
      <c r="AG77" s="130"/>
    </row>
    <row r="78" spans="1:33" s="1930" customFormat="1" ht="15" hidden="1" customHeight="1" outlineLevel="1" x14ac:dyDescent="0.25">
      <c r="A78" s="123"/>
      <c r="B78" s="123"/>
      <c r="C78" s="328"/>
      <c r="D78" s="3707"/>
      <c r="E78" s="3742"/>
      <c r="F78" s="2034" t="str">
        <f t="shared" si="35"/>
        <v>LED - 11W Flood Light BR30 Bulb (CFL baseline)</v>
      </c>
      <c r="G78" s="129">
        <v>11</v>
      </c>
      <c r="H78" s="129" t="str">
        <f t="shared" si="36"/>
        <v>200401_2020_12_</v>
      </c>
      <c r="I78" s="3722" t="s">
        <v>131</v>
      </c>
      <c r="J78" s="3723"/>
      <c r="K78" s="3723"/>
      <c r="L78" s="3724"/>
      <c r="M78" s="123"/>
      <c r="N78" s="123"/>
      <c r="O78" s="123"/>
      <c r="P78" s="123"/>
      <c r="Q78" s="123"/>
      <c r="R78" s="123"/>
      <c r="S78" s="123"/>
      <c r="T78" s="123"/>
      <c r="U78" s="123"/>
      <c r="V78" s="3720"/>
      <c r="W78" s="130"/>
      <c r="X78" s="130"/>
      <c r="Y78" s="134"/>
      <c r="Z78" s="131"/>
      <c r="AA78" s="131"/>
      <c r="AB78" s="2118">
        <v>11</v>
      </c>
      <c r="AC78" s="131">
        <v>11</v>
      </c>
      <c r="AD78" s="130"/>
      <c r="AE78" s="130"/>
      <c r="AF78" s="130"/>
      <c r="AG78" s="130"/>
    </row>
    <row r="79" spans="1:33" s="1930" customFormat="1" ht="15" hidden="1" customHeight="1" outlineLevel="1" x14ac:dyDescent="0.25">
      <c r="A79" s="123"/>
      <c r="B79" s="123"/>
      <c r="C79" s="328"/>
      <c r="D79" s="3707"/>
      <c r="E79" s="3742"/>
      <c r="F79" s="2034" t="str">
        <f t="shared" si="35"/>
        <v xml:space="preserve">LED - 11W Flood Light BR30 Bulb (Halogen baseline) </v>
      </c>
      <c r="G79" s="129">
        <v>11</v>
      </c>
      <c r="H79" s="129" t="str">
        <f t="shared" si="36"/>
        <v>200402_2020_12_</v>
      </c>
      <c r="I79" s="3722" t="s">
        <v>131</v>
      </c>
      <c r="J79" s="3723"/>
      <c r="K79" s="3723"/>
      <c r="L79" s="3724"/>
      <c r="M79" s="123"/>
      <c r="N79" s="123"/>
      <c r="O79" s="123"/>
      <c r="P79" s="123"/>
      <c r="Q79" s="123"/>
      <c r="R79" s="123"/>
      <c r="S79" s="123"/>
      <c r="T79" s="123"/>
      <c r="U79" s="123"/>
      <c r="V79" s="3720"/>
      <c r="W79" s="130"/>
      <c r="X79" s="130"/>
      <c r="Y79" s="134"/>
      <c r="Z79" s="131"/>
      <c r="AA79" s="131"/>
      <c r="AB79" s="2118">
        <v>11</v>
      </c>
      <c r="AC79" s="131">
        <v>11</v>
      </c>
      <c r="AD79" s="130"/>
      <c r="AE79" s="130"/>
      <c r="AF79" s="130"/>
      <c r="AG79" s="130"/>
    </row>
    <row r="80" spans="1:33" ht="15" hidden="1" customHeight="1" outlineLevel="1" x14ac:dyDescent="0.25">
      <c r="D80" s="3707"/>
      <c r="E80" s="3742"/>
      <c r="F80" s="2034" t="str">
        <f t="shared" si="35"/>
        <v>LED - 15W Flood Light PAR30 Bulb (CFL baseline)</v>
      </c>
      <c r="G80" s="129">
        <v>10</v>
      </c>
      <c r="H80" s="129" t="str">
        <f t="shared" ref="H80:H95" si="37">C17</f>
        <v>200450_2019_12_</v>
      </c>
      <c r="I80" s="3722" t="s">
        <v>116</v>
      </c>
      <c r="J80" s="3723"/>
      <c r="K80" s="3723"/>
      <c r="L80" s="3724"/>
      <c r="V80" s="3720"/>
      <c r="W80" s="109">
        <v>11.2</v>
      </c>
      <c r="X80" s="1947">
        <v>11.2</v>
      </c>
      <c r="Y80" s="1940">
        <v>10</v>
      </c>
      <c r="Z80" s="129">
        <v>10</v>
      </c>
      <c r="AA80" s="129">
        <v>10</v>
      </c>
      <c r="AB80" s="129">
        <v>10</v>
      </c>
      <c r="AC80" s="129">
        <v>10</v>
      </c>
      <c r="AD80" s="1947"/>
      <c r="AE80" s="1947"/>
      <c r="AF80" s="1947"/>
      <c r="AG80" s="1947"/>
    </row>
    <row r="81" spans="1:33" ht="15" hidden="1" customHeight="1" outlineLevel="1" x14ac:dyDescent="0.25">
      <c r="D81" s="3707"/>
      <c r="E81" s="3742"/>
      <c r="F81" s="2034" t="str">
        <f t="shared" si="35"/>
        <v>LED - 15W Flood Light PAR30 Bulb (Halogen baseline)</v>
      </c>
      <c r="G81" s="129">
        <v>10</v>
      </c>
      <c r="H81" s="129" t="str">
        <f t="shared" si="37"/>
        <v>200500_2019_12_</v>
      </c>
      <c r="I81" s="3722" t="s">
        <v>116</v>
      </c>
      <c r="J81" s="3723"/>
      <c r="K81" s="3723"/>
      <c r="L81" s="3724"/>
      <c r="V81" s="3720"/>
      <c r="W81" s="109">
        <v>11.2</v>
      </c>
      <c r="X81" s="1940">
        <v>10.6</v>
      </c>
      <c r="Y81" s="1940">
        <v>10</v>
      </c>
      <c r="Z81" s="129">
        <v>10</v>
      </c>
      <c r="AA81" s="129">
        <v>10</v>
      </c>
      <c r="AB81" s="129">
        <v>10</v>
      </c>
      <c r="AC81" s="129">
        <v>10</v>
      </c>
      <c r="AD81" s="1947"/>
      <c r="AE81" s="1947"/>
      <c r="AF81" s="1947"/>
      <c r="AG81" s="1947"/>
    </row>
    <row r="82" spans="1:33" hidden="1" outlineLevel="1" x14ac:dyDescent="0.25">
      <c r="D82" s="3707"/>
      <c r="E82" s="3742"/>
      <c r="F82" s="3169" t="str">
        <f t="shared" si="35"/>
        <v>LED - 18W Flood Light PAR30 Bulb (CFL baseline)</v>
      </c>
      <c r="G82" s="109">
        <v>18</v>
      </c>
      <c r="H82" s="1947" t="str">
        <f t="shared" si="37"/>
        <v>200550_2019_12_</v>
      </c>
      <c r="I82" s="3728" t="s">
        <v>123</v>
      </c>
      <c r="J82" s="3728"/>
      <c r="K82" s="3728"/>
      <c r="L82" s="3728"/>
      <c r="V82" s="3720"/>
      <c r="W82" s="109">
        <v>18</v>
      </c>
      <c r="X82" s="1947">
        <v>18</v>
      </c>
      <c r="Y82" s="1947">
        <v>18</v>
      </c>
      <c r="Z82" s="129">
        <v>18</v>
      </c>
      <c r="AA82" s="129">
        <v>18</v>
      </c>
      <c r="AB82" s="129">
        <v>18</v>
      </c>
      <c r="AC82" s="129">
        <v>18</v>
      </c>
      <c r="AD82" s="1947"/>
      <c r="AE82" s="1947"/>
      <c r="AF82" s="1947"/>
      <c r="AG82" s="1947"/>
    </row>
    <row r="83" spans="1:33" hidden="1" outlineLevel="1" x14ac:dyDescent="0.25">
      <c r="D83" s="3707"/>
      <c r="E83" s="3742"/>
      <c r="F83" s="3169" t="str">
        <f t="shared" si="35"/>
        <v>LED - 18W Flood Light PAR38 Bulb (Halogen baseline)</v>
      </c>
      <c r="G83" s="109">
        <v>18</v>
      </c>
      <c r="H83" s="1947" t="str">
        <f t="shared" si="37"/>
        <v>200600_2019_12_</v>
      </c>
      <c r="I83" s="3728" t="s">
        <v>123</v>
      </c>
      <c r="J83" s="3728"/>
      <c r="K83" s="3728"/>
      <c r="L83" s="3728"/>
      <c r="V83" s="3720"/>
      <c r="W83" s="109">
        <v>18</v>
      </c>
      <c r="X83" s="1947">
        <v>18</v>
      </c>
      <c r="Y83" s="1947">
        <v>18</v>
      </c>
      <c r="Z83" s="129">
        <v>18</v>
      </c>
      <c r="AA83" s="129">
        <v>18</v>
      </c>
      <c r="AB83" s="129">
        <v>18</v>
      </c>
      <c r="AC83" s="129">
        <v>18</v>
      </c>
      <c r="AD83" s="1947"/>
      <c r="AE83" s="1947"/>
      <c r="AF83" s="1947"/>
      <c r="AG83" s="1947"/>
    </row>
    <row r="84" spans="1:33" hidden="1" outlineLevel="1" x14ac:dyDescent="0.25">
      <c r="D84" s="3707"/>
      <c r="E84" s="3742"/>
      <c r="F84" s="3169" t="str">
        <f t="shared" si="35"/>
        <v>LED - 20W (CFL baseline) (1490-2600 lumens)</v>
      </c>
      <c r="G84" s="109">
        <v>15.2</v>
      </c>
      <c r="H84" s="1947" t="str">
        <f t="shared" si="37"/>
        <v>200650_2019_12_</v>
      </c>
      <c r="I84" s="3725" t="s">
        <v>116</v>
      </c>
      <c r="J84" s="3726"/>
      <c r="K84" s="3726"/>
      <c r="L84" s="3727"/>
      <c r="V84" s="3720"/>
      <c r="W84" s="109">
        <v>15</v>
      </c>
      <c r="X84" s="1947">
        <v>15</v>
      </c>
      <c r="Y84" s="135">
        <v>15.2</v>
      </c>
      <c r="Z84" s="2119">
        <v>15.2</v>
      </c>
      <c r="AA84" s="2119">
        <v>15.2</v>
      </c>
      <c r="AB84" s="129">
        <v>15.2</v>
      </c>
      <c r="AC84" s="129">
        <v>15.2</v>
      </c>
      <c r="AD84" s="1947"/>
      <c r="AE84" s="1947"/>
      <c r="AF84" s="1947"/>
      <c r="AG84" s="1947"/>
    </row>
    <row r="85" spans="1:33" hidden="1" outlineLevel="1" x14ac:dyDescent="0.25">
      <c r="D85" s="3707"/>
      <c r="E85" s="3742"/>
      <c r="F85" s="3169" t="str">
        <f t="shared" si="35"/>
        <v>LED - 20W (Halogen baseline) (1490-2600 lumens)</v>
      </c>
      <c r="G85" s="109">
        <v>15.2</v>
      </c>
      <c r="H85" s="1947" t="str">
        <f t="shared" si="37"/>
        <v>200700_2019_12_</v>
      </c>
      <c r="I85" s="3728" t="s">
        <v>116</v>
      </c>
      <c r="J85" s="3728"/>
      <c r="K85" s="3728"/>
      <c r="L85" s="3728"/>
      <c r="V85" s="3720"/>
      <c r="W85" s="109">
        <v>15</v>
      </c>
      <c r="X85" s="1940">
        <v>14.9</v>
      </c>
      <c r="Y85" s="135">
        <v>15.2</v>
      </c>
      <c r="Z85" s="2119">
        <v>15.2</v>
      </c>
      <c r="AA85" s="2119">
        <v>15.2</v>
      </c>
      <c r="AB85" s="129">
        <v>15.2</v>
      </c>
      <c r="AC85" s="129">
        <v>15.2</v>
      </c>
      <c r="AD85" s="1947"/>
      <c r="AE85" s="1947"/>
      <c r="AF85" s="1947"/>
      <c r="AG85" s="1947"/>
    </row>
    <row r="86" spans="1:33" hidden="1" outlineLevel="1" x14ac:dyDescent="0.25">
      <c r="D86" s="3707"/>
      <c r="E86" s="3742"/>
      <c r="F86" s="3169" t="str">
        <f t="shared" si="35"/>
        <v>LED - 4W Candelabra (CFL baseline)</v>
      </c>
      <c r="G86" s="109">
        <v>4</v>
      </c>
      <c r="H86" s="1947" t="str">
        <f t="shared" si="37"/>
        <v>200750_2019_12_</v>
      </c>
      <c r="I86" s="3725" t="s">
        <v>116</v>
      </c>
      <c r="J86" s="3726"/>
      <c r="K86" s="3726"/>
      <c r="L86" s="3727"/>
      <c r="V86" s="3720"/>
      <c r="W86" s="109">
        <v>4.5</v>
      </c>
      <c r="X86" s="1947">
        <v>4.5</v>
      </c>
      <c r="Y86" s="1940">
        <v>4</v>
      </c>
      <c r="Z86" s="129">
        <v>4</v>
      </c>
      <c r="AA86" s="129">
        <v>4</v>
      </c>
      <c r="AB86" s="129">
        <v>4</v>
      </c>
      <c r="AC86" s="129">
        <v>4</v>
      </c>
      <c r="AD86" s="1947"/>
      <c r="AE86" s="1947"/>
      <c r="AF86" s="1947"/>
      <c r="AG86" s="1947"/>
    </row>
    <row r="87" spans="1:33" hidden="1" outlineLevel="1" x14ac:dyDescent="0.25">
      <c r="D87" s="3707"/>
      <c r="E87" s="3742"/>
      <c r="F87" s="3169" t="str">
        <f t="shared" si="35"/>
        <v>LED - 4W Candelabra (Replacing Specialty Incandescent)</v>
      </c>
      <c r="G87" s="109">
        <v>4</v>
      </c>
      <c r="H87" s="1947" t="str">
        <f t="shared" si="37"/>
        <v>200800_2019_12_</v>
      </c>
      <c r="I87" s="3728" t="s">
        <v>116</v>
      </c>
      <c r="J87" s="3728"/>
      <c r="K87" s="3728"/>
      <c r="L87" s="3728"/>
      <c r="V87" s="3720"/>
      <c r="W87" s="109">
        <v>4.5</v>
      </c>
      <c r="X87" s="1940">
        <v>4.5999999999999996</v>
      </c>
      <c r="Y87" s="1940">
        <v>4</v>
      </c>
      <c r="Z87" s="129">
        <v>4</v>
      </c>
      <c r="AA87" s="129">
        <v>4</v>
      </c>
      <c r="AB87" s="129">
        <v>4</v>
      </c>
      <c r="AC87" s="129">
        <v>4</v>
      </c>
      <c r="AD87" s="1947"/>
      <c r="AE87" s="1947"/>
      <c r="AF87" s="1947"/>
      <c r="AG87" s="1947"/>
    </row>
    <row r="88" spans="1:33" hidden="1" outlineLevel="1" x14ac:dyDescent="0.25">
      <c r="D88" s="3707"/>
      <c r="E88" s="3742"/>
      <c r="F88" s="3169" t="str">
        <f t="shared" si="35"/>
        <v>LED - 8W Globe Light G25 Bulb (Replacing CFL)</v>
      </c>
      <c r="G88" s="109">
        <v>5.2</v>
      </c>
      <c r="H88" s="1947" t="str">
        <f t="shared" si="37"/>
        <v>200850_2019_12_</v>
      </c>
      <c r="I88" s="3725" t="s">
        <v>116</v>
      </c>
      <c r="J88" s="3726"/>
      <c r="K88" s="3726"/>
      <c r="L88" s="3727"/>
      <c r="V88" s="3720"/>
      <c r="W88" s="109">
        <v>5.9</v>
      </c>
      <c r="X88" s="1947">
        <v>5.9</v>
      </c>
      <c r="Y88" s="1940">
        <v>5.2</v>
      </c>
      <c r="Z88" s="129">
        <v>5.2</v>
      </c>
      <c r="AA88" s="129">
        <v>5.2</v>
      </c>
      <c r="AB88" s="129">
        <v>5.2</v>
      </c>
      <c r="AC88" s="129">
        <v>5.2</v>
      </c>
      <c r="AD88" s="1947"/>
      <c r="AE88" s="1947"/>
      <c r="AF88" s="1947"/>
      <c r="AG88" s="1947"/>
    </row>
    <row r="89" spans="1:33" ht="30" hidden="1" outlineLevel="1" x14ac:dyDescent="0.25">
      <c r="D89" s="3707"/>
      <c r="E89" s="3742"/>
      <c r="F89" s="3169" t="str">
        <f t="shared" si="35"/>
        <v>LED - 8W Globe Light G25 Bulb (Replacing Specialty Incandescent)</v>
      </c>
      <c r="G89" s="109">
        <v>5.2</v>
      </c>
      <c r="H89" s="1947" t="str">
        <f t="shared" si="37"/>
        <v>200900_2019_12_</v>
      </c>
      <c r="I89" s="3728" t="s">
        <v>116</v>
      </c>
      <c r="J89" s="3728"/>
      <c r="K89" s="3728"/>
      <c r="L89" s="3728"/>
      <c r="V89" s="3720"/>
      <c r="W89" s="109">
        <v>5.9</v>
      </c>
      <c r="X89" s="1940">
        <v>5.8</v>
      </c>
      <c r="Y89" s="1940">
        <v>5.2</v>
      </c>
      <c r="Z89" s="129">
        <v>5.2</v>
      </c>
      <c r="AA89" s="129">
        <v>5.2</v>
      </c>
      <c r="AB89" s="129">
        <v>5.2</v>
      </c>
      <c r="AC89" s="129">
        <v>5.2</v>
      </c>
      <c r="AD89" s="1947"/>
      <c r="AE89" s="1947"/>
      <c r="AF89" s="1947"/>
      <c r="AG89" s="1947"/>
    </row>
    <row r="90" spans="1:33" ht="15" hidden="1" customHeight="1" outlineLevel="1" x14ac:dyDescent="0.25">
      <c r="D90" s="3707"/>
      <c r="E90" s="3742"/>
      <c r="F90" s="3169" t="str">
        <f t="shared" si="35"/>
        <v>LED - 10W (Halogen baseline) (750-1049 lumens) - Specialty Connected Light</v>
      </c>
      <c r="G90" s="109">
        <v>8.4</v>
      </c>
      <c r="H90" s="1947" t="str">
        <f t="shared" si="37"/>
        <v>200950_2019_12_</v>
      </c>
      <c r="I90" s="3728" t="s">
        <v>116</v>
      </c>
      <c r="J90" s="3728"/>
      <c r="K90" s="3728"/>
      <c r="L90" s="3728"/>
      <c r="V90" s="3720"/>
      <c r="W90" s="109">
        <f>W73</f>
        <v>9.1</v>
      </c>
      <c r="X90" s="1940">
        <f>X73</f>
        <v>9</v>
      </c>
      <c r="Y90" s="1940">
        <v>8.4</v>
      </c>
      <c r="Z90" s="129">
        <v>8.4</v>
      </c>
      <c r="AA90" s="129">
        <v>8.4</v>
      </c>
      <c r="AB90" s="129">
        <v>8.4</v>
      </c>
      <c r="AC90" s="129">
        <v>8.4</v>
      </c>
      <c r="AD90" s="1947"/>
      <c r="AE90" s="1947"/>
      <c r="AF90" s="1947"/>
      <c r="AG90" s="1947"/>
    </row>
    <row r="91" spans="1:33" ht="15" hidden="1" customHeight="1" outlineLevel="1" x14ac:dyDescent="0.25">
      <c r="D91" s="3707"/>
      <c r="E91" s="3742"/>
      <c r="F91" s="3169" t="str">
        <f t="shared" si="35"/>
        <v>LED - 15W (Halogen baseline) (1050-1489 lumens) - Specialty Connected Light</v>
      </c>
      <c r="G91" s="109">
        <v>12.1</v>
      </c>
      <c r="H91" s="1947" t="str">
        <f t="shared" si="37"/>
        <v>201000_2019_12_</v>
      </c>
      <c r="I91" s="3728" t="s">
        <v>116</v>
      </c>
      <c r="J91" s="3728"/>
      <c r="K91" s="3728"/>
      <c r="L91" s="3728"/>
      <c r="V91" s="3720"/>
      <c r="W91" s="109">
        <f>W76</f>
        <v>10.6</v>
      </c>
      <c r="X91" s="1940">
        <f>X76</f>
        <v>11.6</v>
      </c>
      <c r="Y91" s="1940">
        <v>12.1</v>
      </c>
      <c r="Z91" s="129">
        <v>12.1</v>
      </c>
      <c r="AA91" s="129">
        <v>12.1</v>
      </c>
      <c r="AB91" s="129">
        <v>12.1</v>
      </c>
      <c r="AC91" s="129">
        <v>12.1</v>
      </c>
      <c r="AD91" s="1947"/>
      <c r="AE91" s="1947"/>
      <c r="AF91" s="1947"/>
      <c r="AG91" s="1947"/>
    </row>
    <row r="92" spans="1:33" ht="15" hidden="1" customHeight="1" outlineLevel="1" x14ac:dyDescent="0.25">
      <c r="D92" s="3707"/>
      <c r="E92" s="3742"/>
      <c r="F92" s="3169" t="str">
        <f t="shared" si="35"/>
        <v>LED - 15W Flood Light PAR30 Bulb (Halogen baseline) - Specialty Connected Light</v>
      </c>
      <c r="G92" s="109">
        <v>12.1</v>
      </c>
      <c r="H92" s="1947" t="str">
        <f t="shared" si="37"/>
        <v>201050_2019_12_</v>
      </c>
      <c r="I92" s="3728" t="s">
        <v>116</v>
      </c>
      <c r="J92" s="3728"/>
      <c r="K92" s="3728"/>
      <c r="L92" s="3728"/>
      <c r="V92" s="3720"/>
      <c r="W92" s="109">
        <f>W81</f>
        <v>11.2</v>
      </c>
      <c r="X92" s="1940">
        <f>X81</f>
        <v>10.6</v>
      </c>
      <c r="Y92" s="1940">
        <v>12.1</v>
      </c>
      <c r="Z92" s="129">
        <v>12.1</v>
      </c>
      <c r="AA92" s="129">
        <v>12.1</v>
      </c>
      <c r="AB92" s="129">
        <v>12.1</v>
      </c>
      <c r="AC92" s="129">
        <v>12.1</v>
      </c>
      <c r="AD92" s="1947"/>
      <c r="AE92" s="1947"/>
      <c r="AF92" s="1947"/>
      <c r="AG92" s="1947"/>
    </row>
    <row r="93" spans="1:33" s="1930" customFormat="1" ht="15" hidden="1" customHeight="1" outlineLevel="1" x14ac:dyDescent="0.25">
      <c r="A93" s="123"/>
      <c r="B93" s="123"/>
      <c r="C93" s="328"/>
      <c r="D93" s="3707"/>
      <c r="E93" s="3742"/>
      <c r="F93" s="2745" t="str">
        <f t="shared" ref="F93:F95" si="38">E30</f>
        <v>LED - 6W (CFL baseline) (310-749 lumens)</v>
      </c>
      <c r="G93" s="2742">
        <v>6</v>
      </c>
      <c r="H93" s="2738" t="str">
        <f t="shared" si="37"/>
        <v>201099_2021_12_</v>
      </c>
      <c r="I93" s="3736" t="s">
        <v>132</v>
      </c>
      <c r="J93" s="3737"/>
      <c r="K93" s="3737"/>
      <c r="L93" s="3738"/>
      <c r="M93" s="123"/>
      <c r="N93" s="123"/>
      <c r="O93" s="123"/>
      <c r="P93" s="123"/>
      <c r="Q93" s="123"/>
      <c r="R93" s="123"/>
      <c r="S93" s="123"/>
      <c r="T93" s="123"/>
      <c r="U93" s="123"/>
      <c r="V93" s="3720"/>
      <c r="W93" s="2777"/>
      <c r="X93" s="2778"/>
      <c r="Y93" s="2778"/>
      <c r="Z93" s="2779"/>
      <c r="AA93" s="2779"/>
      <c r="AB93" s="2779"/>
      <c r="AC93" s="2780">
        <v>6</v>
      </c>
      <c r="AD93" s="2737"/>
      <c r="AE93" s="2737"/>
      <c r="AF93" s="2737"/>
      <c r="AG93" s="2737"/>
    </row>
    <row r="94" spans="1:33" ht="15" hidden="1" customHeight="1" outlineLevel="1" x14ac:dyDescent="0.25">
      <c r="D94" s="3707"/>
      <c r="E94" s="3742"/>
      <c r="F94" s="3092" t="str">
        <f t="shared" si="38"/>
        <v>LED - 6W (Halogen baseline) (310-749 lumens)</v>
      </c>
      <c r="G94" s="129">
        <v>6</v>
      </c>
      <c r="H94" s="129" t="str">
        <f t="shared" si="37"/>
        <v>201100_2019_12_</v>
      </c>
      <c r="I94" s="3747" t="s">
        <v>132</v>
      </c>
      <c r="J94" s="3748"/>
      <c r="K94" s="3748"/>
      <c r="L94" s="3749"/>
      <c r="V94" s="3720"/>
      <c r="W94" s="2071"/>
      <c r="X94" s="2781"/>
      <c r="Y94" s="2782">
        <v>6</v>
      </c>
      <c r="Z94" s="2783">
        <v>6</v>
      </c>
      <c r="AA94" s="2783">
        <v>6</v>
      </c>
      <c r="AB94" s="2783">
        <v>6</v>
      </c>
      <c r="AC94" s="2783">
        <v>6</v>
      </c>
      <c r="AD94" s="1947"/>
      <c r="AE94" s="1947"/>
      <c r="AF94" s="1947"/>
      <c r="AG94" s="1947"/>
    </row>
    <row r="95" spans="1:33" s="1930" customFormat="1" ht="15.75" hidden="1" outlineLevel="1" thickBot="1" x14ac:dyDescent="0.3">
      <c r="A95" s="123"/>
      <c r="B95" s="123"/>
      <c r="C95" s="328"/>
      <c r="D95" s="3691"/>
      <c r="E95" s="3689"/>
      <c r="F95" s="2743" t="str">
        <f t="shared" si="38"/>
        <v>LED Nightlights</v>
      </c>
      <c r="G95" s="2744">
        <v>0.3</v>
      </c>
      <c r="H95" s="2741" t="str">
        <f t="shared" si="37"/>
        <v>201130_2021_12_</v>
      </c>
      <c r="I95" s="3736" t="s">
        <v>132</v>
      </c>
      <c r="J95" s="3737"/>
      <c r="K95" s="3737"/>
      <c r="L95" s="3738"/>
      <c r="M95" s="123"/>
      <c r="N95" s="123"/>
      <c r="O95" s="123"/>
      <c r="P95" s="123"/>
      <c r="Q95" s="123"/>
      <c r="R95" s="123"/>
      <c r="S95" s="123"/>
      <c r="T95" s="123"/>
      <c r="U95" s="123"/>
      <c r="V95" s="3721"/>
      <c r="W95" s="2784"/>
      <c r="X95" s="2785"/>
      <c r="Y95" s="2786"/>
      <c r="Z95" s="2787"/>
      <c r="AA95" s="2787"/>
      <c r="AB95" s="2787"/>
      <c r="AC95" s="2788">
        <v>0.3</v>
      </c>
      <c r="AD95" s="2746"/>
      <c r="AE95" s="2746"/>
      <c r="AF95" s="2746"/>
      <c r="AG95" s="2746"/>
    </row>
    <row r="96" spans="1:33" ht="14.45" hidden="1" customHeight="1" outlineLevel="1" x14ac:dyDescent="0.25">
      <c r="D96" s="3690" t="s">
        <v>133</v>
      </c>
      <c r="E96" s="3704" t="s">
        <v>134</v>
      </c>
      <c r="F96" s="2111" t="s">
        <v>135</v>
      </c>
      <c r="G96" s="2005">
        <f>SUMPRODUCT(G97:G102,M97:M102)/SUM(M97:M102)</f>
        <v>0.8861492875353153</v>
      </c>
      <c r="H96" s="2005"/>
      <c r="I96" s="3708" t="s">
        <v>136</v>
      </c>
      <c r="J96" s="3709"/>
      <c r="K96" s="3709"/>
      <c r="L96" s="3710"/>
      <c r="M96" s="2485" t="s">
        <v>137</v>
      </c>
      <c r="V96" s="3702" t="s">
        <v>133</v>
      </c>
      <c r="W96" s="2789">
        <v>0.95118909047730049</v>
      </c>
      <c r="X96" s="2790">
        <v>0.91918787238999333</v>
      </c>
      <c r="Y96" s="2791">
        <v>0.91918787238999333</v>
      </c>
      <c r="Z96" s="2791">
        <v>0.91918787238999333</v>
      </c>
      <c r="AA96" s="2791">
        <v>0.91918787238999333</v>
      </c>
      <c r="AB96" s="2790">
        <v>0.8861492875353153</v>
      </c>
      <c r="AC96" s="2791">
        <v>0.8861492875353153</v>
      </c>
      <c r="AD96" s="136"/>
      <c r="AE96" s="136"/>
      <c r="AF96" s="136"/>
      <c r="AG96" s="136"/>
    </row>
    <row r="97" spans="1:33" s="1930" customFormat="1" hidden="1" outlineLevel="1" x14ac:dyDescent="0.25">
      <c r="A97" s="123"/>
      <c r="B97" s="123"/>
      <c r="C97" s="328"/>
      <c r="D97" s="3707"/>
      <c r="E97" s="3705"/>
      <c r="F97" s="2486" t="s">
        <v>138</v>
      </c>
      <c r="G97" s="2487">
        <v>0.8</v>
      </c>
      <c r="H97" s="136"/>
      <c r="I97" s="3711"/>
      <c r="J97" s="3712"/>
      <c r="K97" s="3712"/>
      <c r="L97" s="3713"/>
      <c r="M97" s="2488">
        <v>7728</v>
      </c>
      <c r="N97" s="123"/>
      <c r="O97" s="123"/>
      <c r="P97" s="123"/>
      <c r="Q97" s="123"/>
      <c r="R97" s="123"/>
      <c r="S97" s="123"/>
      <c r="T97" s="123"/>
      <c r="U97" s="123"/>
      <c r="V97" s="3717"/>
      <c r="W97" s="2789"/>
      <c r="X97" s="2790"/>
      <c r="Y97" s="2791"/>
      <c r="Z97" s="2791"/>
      <c r="AA97" s="2791"/>
      <c r="AB97" s="2790">
        <v>0.8</v>
      </c>
      <c r="AC97" s="2791">
        <v>0.8</v>
      </c>
      <c r="AD97" s="136"/>
      <c r="AE97" s="136"/>
      <c r="AF97" s="136"/>
      <c r="AG97" s="136"/>
    </row>
    <row r="98" spans="1:33" s="1930" customFormat="1" hidden="1" outlineLevel="1" x14ac:dyDescent="0.25">
      <c r="A98" s="123"/>
      <c r="B98" s="123"/>
      <c r="C98" s="328"/>
      <c r="D98" s="3707"/>
      <c r="E98" s="3705"/>
      <c r="F98" s="2486" t="s">
        <v>139</v>
      </c>
      <c r="G98" s="2487">
        <v>0.8</v>
      </c>
      <c r="H98" s="136"/>
      <c r="I98" s="3711"/>
      <c r="J98" s="3712"/>
      <c r="K98" s="3712"/>
      <c r="L98" s="3713"/>
      <c r="M98" s="2488">
        <v>2026</v>
      </c>
      <c r="N98" s="123"/>
      <c r="O98" s="123"/>
      <c r="P98" s="123"/>
      <c r="Q98" s="123"/>
      <c r="R98" s="123"/>
      <c r="S98" s="123"/>
      <c r="T98" s="123"/>
      <c r="U98" s="123"/>
      <c r="V98" s="3717"/>
      <c r="W98" s="2789"/>
      <c r="X98" s="2790"/>
      <c r="Y98" s="2791"/>
      <c r="Z98" s="2791"/>
      <c r="AA98" s="2791"/>
      <c r="AB98" s="2790">
        <v>0.8</v>
      </c>
      <c r="AC98" s="2791">
        <v>0.8</v>
      </c>
      <c r="AD98" s="136"/>
      <c r="AE98" s="136"/>
      <c r="AF98" s="136"/>
      <c r="AG98" s="136"/>
    </row>
    <row r="99" spans="1:33" s="1930" customFormat="1" hidden="1" outlineLevel="1" x14ac:dyDescent="0.25">
      <c r="A99" s="123"/>
      <c r="B99" s="123"/>
      <c r="C99" s="328"/>
      <c r="D99" s="3707"/>
      <c r="E99" s="3705"/>
      <c r="F99" s="2486" t="s">
        <v>140</v>
      </c>
      <c r="G99" s="2487">
        <v>0.84</v>
      </c>
      <c r="H99" s="136"/>
      <c r="I99" s="3711"/>
      <c r="J99" s="3712"/>
      <c r="K99" s="3712"/>
      <c r="L99" s="3713"/>
      <c r="M99" s="2488">
        <v>1002</v>
      </c>
      <c r="N99" s="123"/>
      <c r="O99" s="123"/>
      <c r="P99" s="123"/>
      <c r="Q99" s="123"/>
      <c r="R99" s="123"/>
      <c r="S99" s="123"/>
      <c r="T99" s="123"/>
      <c r="U99" s="123"/>
      <c r="V99" s="3717"/>
      <c r="W99" s="2789"/>
      <c r="X99" s="2790"/>
      <c r="Y99" s="2791"/>
      <c r="Z99" s="2791"/>
      <c r="AA99" s="2791"/>
      <c r="AB99" s="2790">
        <v>0.84</v>
      </c>
      <c r="AC99" s="2791">
        <v>0.84</v>
      </c>
      <c r="AD99" s="136"/>
      <c r="AE99" s="136"/>
      <c r="AF99" s="136"/>
      <c r="AG99" s="136"/>
    </row>
    <row r="100" spans="1:33" s="1930" customFormat="1" hidden="1" outlineLevel="1" x14ac:dyDescent="0.25">
      <c r="A100" s="123"/>
      <c r="B100" s="123"/>
      <c r="C100" s="328"/>
      <c r="D100" s="3707"/>
      <c r="E100" s="3705"/>
      <c r="F100" s="2486" t="s">
        <v>141</v>
      </c>
      <c r="G100" s="2487">
        <v>0.88</v>
      </c>
      <c r="H100" s="136"/>
      <c r="I100" s="3711"/>
      <c r="J100" s="3712"/>
      <c r="K100" s="3712"/>
      <c r="L100" s="3713"/>
      <c r="M100" s="2488">
        <v>2152115</v>
      </c>
      <c r="N100" s="123"/>
      <c r="O100" s="123"/>
      <c r="P100" s="123"/>
      <c r="Q100" s="123"/>
      <c r="R100" s="123"/>
      <c r="S100" s="123"/>
      <c r="T100" s="123"/>
      <c r="U100" s="123"/>
      <c r="V100" s="3717"/>
      <c r="W100" s="2789"/>
      <c r="X100" s="2790"/>
      <c r="Y100" s="2791"/>
      <c r="Z100" s="2791"/>
      <c r="AA100" s="2791"/>
      <c r="AB100" s="2790">
        <v>0.88</v>
      </c>
      <c r="AC100" s="2791">
        <v>0.88</v>
      </c>
      <c r="AD100" s="136"/>
      <c r="AE100" s="136"/>
      <c r="AF100" s="136"/>
      <c r="AG100" s="136"/>
    </row>
    <row r="101" spans="1:33" s="1930" customFormat="1" hidden="1" outlineLevel="1" x14ac:dyDescent="0.25">
      <c r="A101" s="123"/>
      <c r="B101" s="123"/>
      <c r="C101" s="328"/>
      <c r="D101" s="3707"/>
      <c r="E101" s="3705"/>
      <c r="F101" s="2486" t="s">
        <v>142</v>
      </c>
      <c r="G101" s="2487">
        <v>0.9</v>
      </c>
      <c r="H101" s="136"/>
      <c r="I101" s="3711"/>
      <c r="J101" s="3712"/>
      <c r="K101" s="3712"/>
      <c r="L101" s="3713"/>
      <c r="M101" s="2488">
        <v>353711</v>
      </c>
      <c r="N101" s="123"/>
      <c r="O101" s="123"/>
      <c r="P101" s="123"/>
      <c r="Q101" s="123"/>
      <c r="R101" s="123"/>
      <c r="S101" s="123"/>
      <c r="T101" s="123"/>
      <c r="U101" s="123"/>
      <c r="V101" s="3717"/>
      <c r="W101" s="2789"/>
      <c r="X101" s="2790"/>
      <c r="Y101" s="2791"/>
      <c r="Z101" s="2791"/>
      <c r="AA101" s="2791"/>
      <c r="AB101" s="2790">
        <v>0.9</v>
      </c>
      <c r="AC101" s="2791">
        <v>0.9</v>
      </c>
      <c r="AD101" s="136"/>
      <c r="AE101" s="136"/>
      <c r="AF101" s="136"/>
      <c r="AG101" s="136"/>
    </row>
    <row r="102" spans="1:33" s="1930" customFormat="1" ht="15.75" hidden="1" outlineLevel="1" thickBot="1" x14ac:dyDescent="0.3">
      <c r="A102" s="123"/>
      <c r="B102" s="123"/>
      <c r="C102" s="328"/>
      <c r="D102" s="3691"/>
      <c r="E102" s="3706"/>
      <c r="F102" s="2112" t="s">
        <v>143</v>
      </c>
      <c r="G102" s="2489">
        <v>0.93</v>
      </c>
      <c r="H102" s="2017"/>
      <c r="I102" s="3714"/>
      <c r="J102" s="3715"/>
      <c r="K102" s="3715"/>
      <c r="L102" s="3716"/>
      <c r="M102" s="2488">
        <v>210290</v>
      </c>
      <c r="N102" s="123"/>
      <c r="O102" s="123"/>
      <c r="P102" s="123"/>
      <c r="Q102" s="123"/>
      <c r="R102" s="123"/>
      <c r="S102" s="123"/>
      <c r="T102" s="123"/>
      <c r="U102" s="123"/>
      <c r="V102" s="3703"/>
      <c r="W102" s="2792"/>
      <c r="X102" s="2793"/>
      <c r="Y102" s="2794"/>
      <c r="Z102" s="2794"/>
      <c r="AA102" s="2794"/>
      <c r="AB102" s="2793">
        <v>0.93</v>
      </c>
      <c r="AC102" s="2794">
        <v>0.93</v>
      </c>
      <c r="AD102" s="2017"/>
      <c r="AE102" s="2017"/>
      <c r="AF102" s="2017"/>
      <c r="AG102" s="2017"/>
    </row>
    <row r="103" spans="1:33" ht="15" hidden="1" customHeight="1" outlineLevel="1" x14ac:dyDescent="0.25">
      <c r="D103" s="3690" t="s">
        <v>144</v>
      </c>
      <c r="E103" s="3704" t="s">
        <v>145</v>
      </c>
      <c r="F103" s="2111" t="s">
        <v>135</v>
      </c>
      <c r="G103" s="2005">
        <f>(G104*SUM(M97:M99)+G105*SUM(M100:M102))/SUM(M97:M102)</f>
        <v>3.9842222150507978E-2</v>
      </c>
      <c r="H103" s="2005"/>
      <c r="I103" s="3708" t="s">
        <v>136</v>
      </c>
      <c r="J103" s="3709"/>
      <c r="K103" s="3709"/>
      <c r="L103" s="3710"/>
      <c r="V103" s="3717" t="s">
        <v>144</v>
      </c>
      <c r="W103" s="2789">
        <v>1.6525893496695268E-2</v>
      </c>
      <c r="X103" s="2790">
        <v>2.1860522990637464E-3</v>
      </c>
      <c r="Y103" s="2791">
        <v>2.1860522990637464E-3</v>
      </c>
      <c r="Z103" s="2791">
        <v>2.1860522990637464E-3</v>
      </c>
      <c r="AA103" s="2791">
        <v>2.1860522990637464E-3</v>
      </c>
      <c r="AB103" s="2790">
        <v>3.9842222150507978E-2</v>
      </c>
      <c r="AC103" s="2795">
        <v>3.9842222150507978E-2</v>
      </c>
      <c r="AD103" s="2015"/>
      <c r="AE103" s="2015"/>
      <c r="AF103" s="2015"/>
      <c r="AG103" s="2015"/>
    </row>
    <row r="104" spans="1:33" s="1930" customFormat="1" ht="15" hidden="1" customHeight="1" outlineLevel="1" x14ac:dyDescent="0.25">
      <c r="A104" s="123"/>
      <c r="B104" s="123"/>
      <c r="C104" s="328"/>
      <c r="D104" s="3707"/>
      <c r="E104" s="3705"/>
      <c r="F104" s="2486" t="s">
        <v>146</v>
      </c>
      <c r="G104" s="2487">
        <v>0</v>
      </c>
      <c r="H104" s="136"/>
      <c r="I104" s="3711"/>
      <c r="J104" s="3712"/>
      <c r="K104" s="3712"/>
      <c r="L104" s="3713"/>
      <c r="M104" s="123"/>
      <c r="N104" s="123"/>
      <c r="O104" s="123"/>
      <c r="P104" s="123"/>
      <c r="Q104" s="123"/>
      <c r="R104" s="123"/>
      <c r="S104" s="123"/>
      <c r="T104" s="123"/>
      <c r="U104" s="123"/>
      <c r="V104" s="3717"/>
      <c r="W104" s="2796"/>
      <c r="X104" s="2797"/>
      <c r="Y104" s="2798"/>
      <c r="Z104" s="2798"/>
      <c r="AA104" s="2798"/>
      <c r="AB104" s="2797">
        <v>0</v>
      </c>
      <c r="AC104" s="2799">
        <v>0</v>
      </c>
      <c r="AD104" s="137"/>
      <c r="AE104" s="137"/>
      <c r="AF104" s="137"/>
      <c r="AG104" s="137"/>
    </row>
    <row r="105" spans="1:33" s="1930" customFormat="1" ht="15" hidden="1" customHeight="1" outlineLevel="1" thickBot="1" x14ac:dyDescent="0.3">
      <c r="A105" s="123"/>
      <c r="B105" s="123"/>
      <c r="C105" s="328"/>
      <c r="D105" s="3691"/>
      <c r="E105" s="3706"/>
      <c r="F105" s="2112" t="s">
        <v>147</v>
      </c>
      <c r="G105" s="2489">
        <v>0.04</v>
      </c>
      <c r="H105" s="2017"/>
      <c r="I105" s="3714"/>
      <c r="J105" s="3715"/>
      <c r="K105" s="3715"/>
      <c r="L105" s="3716"/>
      <c r="M105" s="123"/>
      <c r="N105" s="123"/>
      <c r="O105" s="123"/>
      <c r="P105" s="123"/>
      <c r="Q105" s="123"/>
      <c r="R105" s="123"/>
      <c r="S105" s="123"/>
      <c r="T105" s="123"/>
      <c r="U105" s="123"/>
      <c r="V105" s="3718"/>
      <c r="W105" s="2796"/>
      <c r="X105" s="2797"/>
      <c r="Y105" s="2798"/>
      <c r="Z105" s="2798"/>
      <c r="AA105" s="2798"/>
      <c r="AB105" s="2797">
        <v>0.04</v>
      </c>
      <c r="AC105" s="2799">
        <v>0.04</v>
      </c>
      <c r="AD105" s="137"/>
      <c r="AE105" s="137"/>
      <c r="AF105" s="137"/>
      <c r="AG105" s="137"/>
    </row>
    <row r="106" spans="1:33" ht="15" hidden="1" customHeight="1" outlineLevel="1" x14ac:dyDescent="0.25">
      <c r="D106" s="3690" t="s">
        <v>148</v>
      </c>
      <c r="E106" s="3688" t="s">
        <v>149</v>
      </c>
      <c r="F106" s="2749" t="s">
        <v>150</v>
      </c>
      <c r="G106" s="2748">
        <f>2.72652*365</f>
        <v>995.17979999999989</v>
      </c>
      <c r="H106" s="2748"/>
      <c r="I106" s="3735" t="s">
        <v>151</v>
      </c>
      <c r="J106" s="3735"/>
      <c r="K106" s="3735"/>
      <c r="L106" s="3735"/>
      <c r="V106" s="3695" t="s">
        <v>148</v>
      </c>
      <c r="W106" s="2762">
        <f>2.73*365</f>
        <v>996.45</v>
      </c>
      <c r="X106" s="2763">
        <f>2.72652*365</f>
        <v>995.17979999999989</v>
      </c>
      <c r="Y106" s="2764">
        <f>2.72652*365</f>
        <v>995.17979999999989</v>
      </c>
      <c r="Z106" s="2764">
        <f t="shared" ref="Z106:AA106" si="39">2.72652*365</f>
        <v>995.17979999999989</v>
      </c>
      <c r="AA106" s="2764">
        <f t="shared" si="39"/>
        <v>995.17979999999989</v>
      </c>
      <c r="AB106" s="2765">
        <v>995.17979999999989</v>
      </c>
      <c r="AC106" s="2765">
        <v>995.17979999999989</v>
      </c>
      <c r="AD106" s="2751"/>
      <c r="AE106" s="2751"/>
      <c r="AF106" s="2751"/>
      <c r="AG106" s="2751"/>
    </row>
    <row r="107" spans="1:33" s="1930" customFormat="1" ht="15" hidden="1" customHeight="1" outlineLevel="1" thickBot="1" x14ac:dyDescent="0.3">
      <c r="A107" s="123"/>
      <c r="B107" s="123"/>
      <c r="C107" s="328"/>
      <c r="D107" s="3691"/>
      <c r="E107" s="3689"/>
      <c r="F107" s="2750" t="s">
        <v>152</v>
      </c>
      <c r="G107" s="2020">
        <v>4380</v>
      </c>
      <c r="H107" s="2012"/>
      <c r="I107" s="3692" t="s">
        <v>128</v>
      </c>
      <c r="J107" s="3693"/>
      <c r="K107" s="3693"/>
      <c r="L107" s="3694"/>
      <c r="M107" s="123"/>
      <c r="N107" s="123"/>
      <c r="O107" s="123"/>
      <c r="P107" s="123"/>
      <c r="Q107" s="123"/>
      <c r="R107" s="123"/>
      <c r="S107" s="123"/>
      <c r="T107" s="123"/>
      <c r="U107" s="123"/>
      <c r="V107" s="3696"/>
      <c r="W107" s="2766"/>
      <c r="X107" s="2767"/>
      <c r="Y107" s="2768"/>
      <c r="Z107" s="2768"/>
      <c r="AA107" s="2768"/>
      <c r="AB107" s="2769"/>
      <c r="AC107" s="2767">
        <v>4380</v>
      </c>
      <c r="AD107" s="2747"/>
      <c r="AE107" s="2747"/>
      <c r="AF107" s="2747"/>
      <c r="AG107" s="2747"/>
    </row>
    <row r="108" spans="1:33" ht="45.75" hidden="1" outlineLevel="1" thickBot="1" x14ac:dyDescent="0.3">
      <c r="D108" s="2011" t="s">
        <v>153</v>
      </c>
      <c r="E108" s="3153" t="s">
        <v>154</v>
      </c>
      <c r="F108" s="2112" t="s">
        <v>155</v>
      </c>
      <c r="G108" s="2012">
        <v>0.99</v>
      </c>
      <c r="H108" s="2012"/>
      <c r="I108" s="3730" t="s">
        <v>156</v>
      </c>
      <c r="J108" s="3730"/>
      <c r="K108" s="3730"/>
      <c r="L108" s="3730"/>
      <c r="V108" s="2018" t="s">
        <v>153</v>
      </c>
      <c r="W108" s="2766">
        <v>0.99</v>
      </c>
      <c r="X108" s="2770">
        <v>0.99</v>
      </c>
      <c r="Y108" s="2768">
        <v>0.99</v>
      </c>
      <c r="Z108" s="2768">
        <v>0.99</v>
      </c>
      <c r="AA108" s="2768">
        <v>0.99</v>
      </c>
      <c r="AB108" s="2770">
        <v>0.99</v>
      </c>
      <c r="AC108" s="2770">
        <v>0.99</v>
      </c>
      <c r="AD108" s="2019"/>
      <c r="AE108" s="2019"/>
      <c r="AF108" s="2019"/>
      <c r="AG108" s="2019"/>
    </row>
    <row r="109" spans="1:33" ht="75" hidden="1" customHeight="1" outlineLevel="1" x14ac:dyDescent="0.25">
      <c r="D109" s="3690" t="s">
        <v>157</v>
      </c>
      <c r="E109" s="3688" t="s">
        <v>158</v>
      </c>
      <c r="F109" s="2749" t="s">
        <v>150</v>
      </c>
      <c r="G109" s="2748">
        <v>3612</v>
      </c>
      <c r="H109" s="2748"/>
      <c r="I109" s="3731" t="s">
        <v>159</v>
      </c>
      <c r="J109" s="3731"/>
      <c r="K109" s="3731"/>
      <c r="L109" s="3731"/>
      <c r="V109" s="3702" t="s">
        <v>157</v>
      </c>
      <c r="W109" s="2771">
        <v>3613</v>
      </c>
      <c r="X109" s="2772">
        <v>3612</v>
      </c>
      <c r="Y109" s="2773">
        <v>3612</v>
      </c>
      <c r="Z109" s="2773">
        <v>3612</v>
      </c>
      <c r="AA109" s="2773">
        <v>3612</v>
      </c>
      <c r="AB109" s="2774">
        <v>3612</v>
      </c>
      <c r="AC109" s="2774">
        <v>3612</v>
      </c>
      <c r="AD109" s="2761"/>
      <c r="AE109" s="2761"/>
      <c r="AF109" s="2761"/>
      <c r="AG109" s="2761"/>
    </row>
    <row r="110" spans="1:33" s="1930" customFormat="1" ht="15.75" hidden="1" outlineLevel="1" thickBot="1" x14ac:dyDescent="0.3">
      <c r="A110" s="123"/>
      <c r="B110" s="123"/>
      <c r="C110" s="328"/>
      <c r="D110" s="3691"/>
      <c r="E110" s="3689"/>
      <c r="F110" s="2750" t="s">
        <v>152</v>
      </c>
      <c r="G110" s="2020">
        <v>4380</v>
      </c>
      <c r="H110" s="2012"/>
      <c r="I110" s="3692" t="s">
        <v>128</v>
      </c>
      <c r="J110" s="3693"/>
      <c r="K110" s="3693"/>
      <c r="L110" s="3694"/>
      <c r="M110" s="123"/>
      <c r="N110" s="123"/>
      <c r="O110" s="123"/>
      <c r="P110" s="123"/>
      <c r="Q110" s="123"/>
      <c r="R110" s="123"/>
      <c r="S110" s="123"/>
      <c r="T110" s="123"/>
      <c r="U110" s="123"/>
      <c r="V110" s="3703"/>
      <c r="W110" s="2766"/>
      <c r="X110" s="2767"/>
      <c r="Y110" s="2768"/>
      <c r="Z110" s="2768"/>
      <c r="AA110" s="2768"/>
      <c r="AB110" s="2770"/>
      <c r="AC110" s="2767">
        <v>4380</v>
      </c>
      <c r="AD110" s="2019"/>
      <c r="AE110" s="2019"/>
      <c r="AF110" s="2019"/>
      <c r="AG110" s="2019"/>
    </row>
    <row r="111" spans="1:33" ht="45.75" hidden="1" outlineLevel="1" thickBot="1" x14ac:dyDescent="0.3">
      <c r="D111" s="2011" t="s">
        <v>160</v>
      </c>
      <c r="E111" s="3153" t="s">
        <v>154</v>
      </c>
      <c r="F111" s="2112" t="s">
        <v>161</v>
      </c>
      <c r="G111" s="2012">
        <v>1.1000000000000001</v>
      </c>
      <c r="H111" s="2012"/>
      <c r="I111" s="3730" t="s">
        <v>162</v>
      </c>
      <c r="J111" s="3730"/>
      <c r="K111" s="3730"/>
      <c r="L111" s="3730"/>
      <c r="V111" s="2018" t="s">
        <v>160</v>
      </c>
      <c r="W111" s="2766">
        <v>1.1000000000000001</v>
      </c>
      <c r="X111" s="2770">
        <v>1.1000000000000001</v>
      </c>
      <c r="Y111" s="2768">
        <v>1.1000000000000001</v>
      </c>
      <c r="Z111" s="2768">
        <v>1.1000000000000001</v>
      </c>
      <c r="AA111" s="2768">
        <v>1.1000000000000001</v>
      </c>
      <c r="AB111" s="2770">
        <v>1.1000000000000001</v>
      </c>
      <c r="AC111" s="2770">
        <v>1.1000000000000001</v>
      </c>
      <c r="AD111" s="2019"/>
      <c r="AE111" s="2019"/>
      <c r="AF111" s="2019"/>
      <c r="AG111" s="2019"/>
    </row>
    <row r="112" spans="1:33" ht="15" hidden="1" customHeight="1" outlineLevel="1" x14ac:dyDescent="0.25">
      <c r="D112" s="3690" t="s">
        <v>163</v>
      </c>
      <c r="E112" s="3704" t="s">
        <v>164</v>
      </c>
      <c r="F112" s="2111" t="s">
        <v>135</v>
      </c>
      <c r="G112" s="2005">
        <f>(G113*SUM(M97:M99)+G114*SUM(M100:M102))/SUM(M97:M102)</f>
        <v>0.96015777784949197</v>
      </c>
      <c r="H112" s="2010"/>
      <c r="I112" s="3708" t="s">
        <v>165</v>
      </c>
      <c r="J112" s="3709"/>
      <c r="K112" s="3709"/>
      <c r="L112" s="3710"/>
      <c r="V112" s="3717" t="s">
        <v>163</v>
      </c>
      <c r="W112" s="2800">
        <v>1</v>
      </c>
      <c r="X112" s="2801">
        <v>0.99237761136046199</v>
      </c>
      <c r="Y112" s="2802">
        <v>0.99237761136046199</v>
      </c>
      <c r="Z112" s="2802">
        <v>0.99237761136046199</v>
      </c>
      <c r="AA112" s="2802">
        <v>0.99237761136046199</v>
      </c>
      <c r="AB112" s="2801">
        <v>0.96015777784949197</v>
      </c>
      <c r="AC112" s="2802">
        <v>0.96015777784949197</v>
      </c>
      <c r="AD112" s="2006"/>
      <c r="AE112" s="2006"/>
      <c r="AF112" s="2006"/>
      <c r="AG112" s="2006"/>
    </row>
    <row r="113" spans="1:33" s="1930" customFormat="1" ht="15" hidden="1" customHeight="1" outlineLevel="1" x14ac:dyDescent="0.25">
      <c r="A113" s="123"/>
      <c r="B113" s="123"/>
      <c r="C113" s="328"/>
      <c r="D113" s="3707"/>
      <c r="E113" s="3705"/>
      <c r="F113" s="2113" t="s">
        <v>146</v>
      </c>
      <c r="G113" s="2487">
        <v>1</v>
      </c>
      <c r="H113" s="140"/>
      <c r="I113" s="3711"/>
      <c r="J113" s="3712"/>
      <c r="K113" s="3712"/>
      <c r="L113" s="3713"/>
      <c r="M113" s="123"/>
      <c r="N113" s="123"/>
      <c r="O113" s="123"/>
      <c r="P113" s="123"/>
      <c r="Q113" s="123"/>
      <c r="R113" s="123"/>
      <c r="S113" s="123"/>
      <c r="T113" s="123"/>
      <c r="U113" s="123"/>
      <c r="V113" s="3717"/>
      <c r="W113" s="2803"/>
      <c r="X113" s="2804"/>
      <c r="Y113" s="2805"/>
      <c r="Z113" s="2805"/>
      <c r="AA113" s="2805"/>
      <c r="AB113" s="2804">
        <v>1</v>
      </c>
      <c r="AC113" s="2805">
        <v>1</v>
      </c>
      <c r="AD113" s="140"/>
      <c r="AE113" s="140"/>
      <c r="AF113" s="140"/>
      <c r="AG113" s="140"/>
    </row>
    <row r="114" spans="1:33" s="1930" customFormat="1" ht="15" hidden="1" customHeight="1" outlineLevel="1" thickBot="1" x14ac:dyDescent="0.3">
      <c r="A114" s="123"/>
      <c r="B114" s="123"/>
      <c r="C114" s="328"/>
      <c r="D114" s="3691"/>
      <c r="E114" s="3706"/>
      <c r="F114" s="2114" t="s">
        <v>147</v>
      </c>
      <c r="G114" s="2489">
        <v>0.96</v>
      </c>
      <c r="H114" s="2021"/>
      <c r="I114" s="3714"/>
      <c r="J114" s="3715"/>
      <c r="K114" s="3715"/>
      <c r="L114" s="3716"/>
      <c r="M114" s="123"/>
      <c r="N114" s="123"/>
      <c r="O114" s="123"/>
      <c r="P114" s="123"/>
      <c r="Q114" s="123"/>
      <c r="R114" s="123"/>
      <c r="S114" s="123"/>
      <c r="T114" s="123"/>
      <c r="U114" s="123"/>
      <c r="V114" s="3703"/>
      <c r="W114" s="2806"/>
      <c r="X114" s="2807"/>
      <c r="Y114" s="2808"/>
      <c r="Z114" s="2808"/>
      <c r="AA114" s="2808"/>
      <c r="AB114" s="2807">
        <v>0.96</v>
      </c>
      <c r="AC114" s="2808">
        <v>0.96</v>
      </c>
      <c r="AD114" s="2021"/>
      <c r="AE114" s="2021"/>
      <c r="AF114" s="2021"/>
      <c r="AG114" s="2021"/>
    </row>
    <row r="115" spans="1:33" ht="78" hidden="1" customHeight="1" outlineLevel="1" x14ac:dyDescent="0.25">
      <c r="D115" s="3697" t="s">
        <v>166</v>
      </c>
      <c r="E115" s="3697" t="s">
        <v>167</v>
      </c>
      <c r="F115" s="2749" t="s">
        <v>150</v>
      </c>
      <c r="G115" s="3269">
        <v>19</v>
      </c>
      <c r="H115" s="2010"/>
      <c r="I115" s="3732" t="s">
        <v>4279</v>
      </c>
      <c r="J115" s="3733"/>
      <c r="K115" s="3733"/>
      <c r="L115" s="3733"/>
      <c r="V115" s="3700" t="s">
        <v>166</v>
      </c>
      <c r="W115" s="2809">
        <v>19</v>
      </c>
      <c r="X115" s="2809">
        <v>19</v>
      </c>
      <c r="Y115" s="2809">
        <v>19</v>
      </c>
      <c r="Z115" s="2810">
        <v>19</v>
      </c>
      <c r="AA115" s="2810">
        <v>19</v>
      </c>
      <c r="AB115" s="2810">
        <v>19</v>
      </c>
      <c r="AC115" s="2810">
        <v>19</v>
      </c>
      <c r="AD115" s="2755"/>
      <c r="AE115" s="2755"/>
      <c r="AF115" s="2755"/>
      <c r="AG115" s="2755"/>
    </row>
    <row r="116" spans="1:33" s="1930" customFormat="1" ht="67.5" hidden="1" customHeight="1" outlineLevel="1" thickBot="1" x14ac:dyDescent="0.3">
      <c r="A116" s="123"/>
      <c r="B116" s="123"/>
      <c r="C116" s="328"/>
      <c r="D116" s="3698"/>
      <c r="E116" s="3698"/>
      <c r="F116" s="2750" t="s">
        <v>152</v>
      </c>
      <c r="G116" s="2754">
        <v>19</v>
      </c>
      <c r="H116" s="2115"/>
      <c r="I116" s="3699" t="s">
        <v>168</v>
      </c>
      <c r="J116" s="3699"/>
      <c r="K116" s="3699"/>
      <c r="L116" s="3699"/>
      <c r="M116" s="123"/>
      <c r="N116" s="123"/>
      <c r="O116" s="123"/>
      <c r="P116" s="123"/>
      <c r="Q116" s="123"/>
      <c r="R116" s="123"/>
      <c r="S116" s="123"/>
      <c r="T116" s="123"/>
      <c r="U116" s="123"/>
      <c r="V116" s="3701"/>
      <c r="W116" s="2811"/>
      <c r="X116" s="2811"/>
      <c r="Y116" s="2811"/>
      <c r="Z116" s="2812"/>
      <c r="AA116" s="2812"/>
      <c r="AB116" s="2812"/>
      <c r="AC116" s="2813">
        <v>19</v>
      </c>
      <c r="AD116" s="2014"/>
      <c r="AE116" s="2014"/>
      <c r="AF116" s="2014"/>
      <c r="AG116" s="2014"/>
    </row>
    <row r="117" spans="1:33" ht="69.599999999999994" hidden="1" customHeight="1" outlineLevel="1" thickBot="1" x14ac:dyDescent="0.3">
      <c r="D117" s="2013" t="s">
        <v>169</v>
      </c>
      <c r="E117" s="2013" t="s">
        <v>167</v>
      </c>
      <c r="F117" s="2112" t="s">
        <v>135</v>
      </c>
      <c r="G117" s="3268">
        <v>6</v>
      </c>
      <c r="H117" s="2115"/>
      <c r="I117" s="3734" t="s">
        <v>4280</v>
      </c>
      <c r="J117" s="3734"/>
      <c r="K117" s="3734"/>
      <c r="L117" s="3734"/>
      <c r="V117" s="2013" t="s">
        <v>169</v>
      </c>
      <c r="W117" s="2811">
        <v>6</v>
      </c>
      <c r="X117" s="2811">
        <v>6</v>
      </c>
      <c r="Y117" s="2811">
        <v>6</v>
      </c>
      <c r="Z117" s="2812">
        <v>6</v>
      </c>
      <c r="AA117" s="2812">
        <v>6</v>
      </c>
      <c r="AB117" s="2812">
        <v>6</v>
      </c>
      <c r="AC117" s="2812">
        <v>6</v>
      </c>
      <c r="AD117" s="2014"/>
      <c r="AE117" s="2014"/>
      <c r="AF117" s="2014"/>
      <c r="AG117" s="2014"/>
    </row>
    <row r="118" spans="1:33" ht="37.5" hidden="1" customHeight="1" outlineLevel="1" x14ac:dyDescent="0.25">
      <c r="D118" s="3119" t="s">
        <v>170</v>
      </c>
      <c r="E118" s="2007" t="s">
        <v>171</v>
      </c>
      <c r="F118" s="2008" t="s">
        <v>135</v>
      </c>
      <c r="G118" s="2481">
        <v>9.9999999999999995E-7</v>
      </c>
      <c r="H118" s="2009"/>
      <c r="I118" s="3729" t="s">
        <v>172</v>
      </c>
      <c r="J118" s="3729"/>
      <c r="K118" s="3729"/>
      <c r="L118" s="3729"/>
      <c r="V118" s="3119" t="s">
        <v>170</v>
      </c>
      <c r="W118" s="2775">
        <v>9.9999999999999995E-7</v>
      </c>
      <c r="X118" s="2775">
        <v>9.9999999999999995E-7</v>
      </c>
      <c r="Y118" s="2775">
        <v>9.9999999999999995E-7</v>
      </c>
      <c r="Z118" s="2776">
        <v>9.9999999999999995E-7</v>
      </c>
      <c r="AA118" s="2776">
        <v>9.9999999999999995E-7</v>
      </c>
      <c r="AB118" s="2776">
        <v>9.9999999999999995E-7</v>
      </c>
      <c r="AC118" s="2776">
        <v>9.9999999999999995E-7</v>
      </c>
      <c r="AD118" s="2016"/>
      <c r="AE118" s="2016"/>
      <c r="AF118" s="2016"/>
      <c r="AG118" s="2016"/>
    </row>
    <row r="119" spans="1:33" hidden="1" outlineLevel="1" x14ac:dyDescent="0.25">
      <c r="V119" s="1930"/>
      <c r="W119" s="1930"/>
      <c r="X119" s="1930"/>
      <c r="Y119" s="1930"/>
      <c r="Z119" s="1930"/>
      <c r="AA119" s="1930"/>
      <c r="AB119" s="1930"/>
      <c r="AC119" s="1930"/>
      <c r="AD119" s="1930"/>
      <c r="AE119" s="1930"/>
      <c r="AF119" s="1930"/>
      <c r="AG119" s="1930"/>
    </row>
    <row r="120" spans="1:33" collapsed="1" x14ac:dyDescent="0.25">
      <c r="V120" s="1930"/>
      <c r="W120" s="1930"/>
      <c r="X120" s="1930"/>
      <c r="Y120" s="1930"/>
      <c r="Z120" s="1930"/>
      <c r="AA120" s="1930"/>
      <c r="AB120" s="1930"/>
      <c r="AC120" s="1930"/>
      <c r="AD120" s="1930"/>
      <c r="AE120" s="1930"/>
      <c r="AF120" s="1930"/>
      <c r="AG120" s="1930"/>
    </row>
  </sheetData>
  <mergeCells count="96">
    <mergeCell ref="A1:P1"/>
    <mergeCell ref="Q1:S1"/>
    <mergeCell ref="D2:J2"/>
    <mergeCell ref="B4:S4"/>
    <mergeCell ref="D44:D69"/>
    <mergeCell ref="E44:E69"/>
    <mergeCell ref="I67:L67"/>
    <mergeCell ref="I69:L69"/>
    <mergeCell ref="I47:L47"/>
    <mergeCell ref="I48:L48"/>
    <mergeCell ref="I49:L49"/>
    <mergeCell ref="I63:L63"/>
    <mergeCell ref="I50:L50"/>
    <mergeCell ref="I51:L51"/>
    <mergeCell ref="I54:L54"/>
    <mergeCell ref="I55:L55"/>
    <mergeCell ref="V4:AI4"/>
    <mergeCell ref="I43:L43"/>
    <mergeCell ref="I44:L44"/>
    <mergeCell ref="I45:L45"/>
    <mergeCell ref="I46:L46"/>
    <mergeCell ref="H35:S35"/>
    <mergeCell ref="V44:V69"/>
    <mergeCell ref="I62:L62"/>
    <mergeCell ref="I64:L64"/>
    <mergeCell ref="I65:L65"/>
    <mergeCell ref="I52:L52"/>
    <mergeCell ref="I53:L53"/>
    <mergeCell ref="E70:E95"/>
    <mergeCell ref="I66:L66"/>
    <mergeCell ref="I56:L56"/>
    <mergeCell ref="I57:L57"/>
    <mergeCell ref="I58:L58"/>
    <mergeCell ref="I59:L59"/>
    <mergeCell ref="I60:L60"/>
    <mergeCell ref="I68:L68"/>
    <mergeCell ref="I61:L61"/>
    <mergeCell ref="I90:L90"/>
    <mergeCell ref="I91:L91"/>
    <mergeCell ref="I92:L92"/>
    <mergeCell ref="I94:L94"/>
    <mergeCell ref="I106:L106"/>
    <mergeCell ref="D70:D95"/>
    <mergeCell ref="I93:L93"/>
    <mergeCell ref="I95:L95"/>
    <mergeCell ref="I71:L71"/>
    <mergeCell ref="I72:L72"/>
    <mergeCell ref="I73:L73"/>
    <mergeCell ref="I74:L74"/>
    <mergeCell ref="I75:L75"/>
    <mergeCell ref="I76:L76"/>
    <mergeCell ref="I77:L77"/>
    <mergeCell ref="I80:L80"/>
    <mergeCell ref="I81:L81"/>
    <mergeCell ref="I70:L70"/>
    <mergeCell ref="I82:L82"/>
    <mergeCell ref="I83:L83"/>
    <mergeCell ref="I118:L118"/>
    <mergeCell ref="I108:L108"/>
    <mergeCell ref="I109:L109"/>
    <mergeCell ref="I111:L111"/>
    <mergeCell ref="I115:L115"/>
    <mergeCell ref="I117:L117"/>
    <mergeCell ref="V70:V95"/>
    <mergeCell ref="I78:L78"/>
    <mergeCell ref="I79:L79"/>
    <mergeCell ref="I84:L84"/>
    <mergeCell ref="I85:L85"/>
    <mergeCell ref="I86:L86"/>
    <mergeCell ref="I87:L87"/>
    <mergeCell ref="I88:L88"/>
    <mergeCell ref="I89:L89"/>
    <mergeCell ref="D96:D102"/>
    <mergeCell ref="I96:L102"/>
    <mergeCell ref="V96:V102"/>
    <mergeCell ref="D103:D105"/>
    <mergeCell ref="E103:E105"/>
    <mergeCell ref="I103:L105"/>
    <mergeCell ref="V103:V105"/>
    <mergeCell ref="E96:E102"/>
    <mergeCell ref="E106:E107"/>
    <mergeCell ref="D106:D107"/>
    <mergeCell ref="I107:L107"/>
    <mergeCell ref="V106:V107"/>
    <mergeCell ref="E115:E116"/>
    <mergeCell ref="D115:D116"/>
    <mergeCell ref="I116:L116"/>
    <mergeCell ref="V115:V116"/>
    <mergeCell ref="E109:E110"/>
    <mergeCell ref="D109:D110"/>
    <mergeCell ref="I110:L110"/>
    <mergeCell ref="V109:V110"/>
    <mergeCell ref="E112:E114"/>
    <mergeCell ref="D112:D114"/>
    <mergeCell ref="I112:L114"/>
    <mergeCell ref="V112:V114"/>
  </mergeCells>
  <conditionalFormatting sqref="AH7:AH30">
    <cfRule type="cellIs" dxfId="437" priority="5" operator="lessThan">
      <formula>-0.1</formula>
    </cfRule>
    <cfRule type="cellIs" dxfId="436" priority="6" operator="greaterThan">
      <formula>0.1</formula>
    </cfRule>
  </conditionalFormatting>
  <conditionalFormatting sqref="B1:B30 B33:B1048576">
    <cfRule type="containsText" dxfId="435" priority="4" operator="containsText" text="x">
      <formula>NOT(ISERROR(SEARCH("x",B1)))</formula>
    </cfRule>
  </conditionalFormatting>
  <conditionalFormatting sqref="AH31:AH32">
    <cfRule type="cellIs" dxfId="434" priority="2" operator="lessThan">
      <formula>-0.1</formula>
    </cfRule>
    <cfRule type="cellIs" dxfId="433" priority="3" operator="greaterThan">
      <formula>0.1</formula>
    </cfRule>
  </conditionalFormatting>
  <conditionalFormatting sqref="B31:B32">
    <cfRule type="containsText" dxfId="432" priority="1" operator="containsText" text="x">
      <formula>NOT(ISERROR(SEARCH("x",B31)))</formula>
    </cfRule>
  </conditionalFormatting>
  <hyperlinks>
    <hyperlink ref="I78" r:id="rId1" display="https://amerenmissouristore.com/led-11-watt-flood-br30-65w-eqv/"/>
    <hyperlink ref="I79" r:id="rId2" display="https://amerenmissouristore.com/led-11-watt-flood-br30-65w-eqv/"/>
  </hyperlinks>
  <pageMargins left="0.7" right="0.7" top="0.75" bottom="0.75" header="0.3" footer="0.3"/>
  <pageSetup scale="10" fitToHeight="0" orientation="portrait" r:id="rId3"/>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360"/>
  <sheetViews>
    <sheetView zoomScale="70" zoomScaleNormal="70" workbookViewId="0">
      <selection sqref="A1:P1"/>
    </sheetView>
  </sheetViews>
  <sheetFormatPr defaultColWidth="9.140625" defaultRowHeight="15" outlineLevelRow="1" x14ac:dyDescent="0.25"/>
  <cols>
    <col min="1" max="1" width="4.42578125" style="223" customWidth="1"/>
    <col min="2" max="2" width="9.140625" style="223"/>
    <col min="3" max="3" width="24.28515625" style="181" customWidth="1"/>
    <col min="4" max="4" width="39.28515625" style="222" customWidth="1"/>
    <col min="5" max="5" width="67.42578125" style="222" customWidth="1"/>
    <col min="6" max="6" width="22.28515625" style="223" customWidth="1"/>
    <col min="7" max="7" width="22" style="223" customWidth="1"/>
    <col min="8" max="8" width="18" style="223" customWidth="1"/>
    <col min="9" max="9" width="17.28515625" style="223" customWidth="1"/>
    <col min="10" max="10" width="9.42578125" style="223" customWidth="1"/>
    <col min="11" max="12" width="14.5703125" style="223" customWidth="1"/>
    <col min="13" max="13" width="11.140625" style="223" customWidth="1"/>
    <col min="14" max="14" width="10.5703125" style="223" customWidth="1"/>
    <col min="15" max="15" width="14.85546875" style="223" customWidth="1"/>
    <col min="16" max="16" width="14.140625" style="223" customWidth="1"/>
    <col min="17" max="17" width="21.140625" style="223" customWidth="1"/>
    <col min="18" max="21" width="9.140625" style="223" customWidth="1"/>
    <col min="22" max="22" width="26.5703125" style="97" customWidth="1"/>
    <col min="23" max="23" width="13.85546875" style="97" customWidth="1"/>
    <col min="24" max="24" width="18.42578125" style="97" customWidth="1"/>
    <col min="25" max="25" width="16.85546875" style="97" customWidth="1"/>
    <col min="26" max="26" width="19.140625" style="97" bestFit="1" customWidth="1"/>
    <col min="27" max="27" width="13.85546875" style="97" customWidth="1"/>
    <col min="28" max="28" width="18.5703125" style="97" bestFit="1" customWidth="1"/>
    <col min="29" max="29" width="17.7109375" style="97" customWidth="1"/>
    <col min="30" max="33" width="13.85546875" style="97" customWidth="1"/>
    <col min="34" max="34" width="9.140625" style="97" customWidth="1"/>
    <col min="35" max="35" width="15.5703125" style="97" customWidth="1"/>
    <col min="36" max="37" width="20" style="97" bestFit="1" customWidth="1"/>
    <col min="38" max="39" width="15.5703125" style="97" customWidth="1"/>
    <col min="40" max="40" width="16.85546875" style="97" bestFit="1" customWidth="1"/>
    <col min="41" max="41" width="17.140625" style="97" bestFit="1" customWidth="1"/>
    <col min="42" max="45" width="15.5703125" style="97" customWidth="1"/>
    <col min="46" max="52" width="9.140625" style="97" customWidth="1"/>
    <col min="53" max="53" width="18.28515625" style="97" customWidth="1"/>
    <col min="54" max="54" width="12" style="171" bestFit="1" customWidth="1"/>
    <col min="55" max="55" width="39.28515625" style="97" customWidth="1"/>
    <col min="56" max="56" width="10.28515625" style="97" bestFit="1" customWidth="1"/>
    <col min="57" max="57" width="17.5703125" style="97" bestFit="1" customWidth="1"/>
    <col min="58" max="16384" width="9.140625" style="97"/>
  </cols>
  <sheetData>
    <row r="1" spans="1:57" s="23" customFormat="1" ht="18.75" x14ac:dyDescent="0.3">
      <c r="A1" s="3756" t="s">
        <v>173</v>
      </c>
      <c r="B1" s="3757"/>
      <c r="C1" s="3757"/>
      <c r="D1" s="3757"/>
      <c r="E1" s="3757"/>
      <c r="F1" s="3757"/>
      <c r="G1" s="3757"/>
      <c r="H1" s="3757"/>
      <c r="I1" s="3757"/>
      <c r="J1" s="3757"/>
      <c r="K1" s="3757"/>
      <c r="L1" s="3757"/>
      <c r="M1" s="3757"/>
      <c r="N1" s="3757"/>
      <c r="O1" s="3757"/>
      <c r="P1" s="3757"/>
      <c r="Q1" s="3083"/>
      <c r="R1" s="1965"/>
      <c r="S1" s="1965"/>
      <c r="T1" s="1965"/>
      <c r="U1" s="1965"/>
      <c r="V1" s="30"/>
      <c r="W1" s="31"/>
      <c r="X1" s="31"/>
      <c r="Y1" s="32"/>
      <c r="Z1" s="32"/>
      <c r="AA1" s="32"/>
      <c r="AB1" s="32"/>
      <c r="AC1" s="32"/>
      <c r="AD1" s="32"/>
      <c r="AE1" s="32"/>
      <c r="AF1" s="32"/>
      <c r="AG1" s="32"/>
      <c r="AH1" s="32"/>
      <c r="AI1" s="1931"/>
      <c r="AJ1" s="1931"/>
      <c r="AK1" s="1931"/>
      <c r="AL1" s="1931"/>
      <c r="AM1" s="1931"/>
      <c r="AN1" s="1931"/>
      <c r="AO1" s="1931"/>
      <c r="AP1" s="1931"/>
      <c r="AQ1" s="1931"/>
      <c r="AR1" s="1931"/>
      <c r="AS1" s="1931"/>
      <c r="AT1" s="1931"/>
      <c r="AU1" s="1931"/>
      <c r="AV1" s="1931"/>
      <c r="AW1" s="1931"/>
      <c r="AX1" s="1931"/>
      <c r="AY1" s="1931"/>
      <c r="AZ1" s="1931"/>
      <c r="BA1" s="1931"/>
      <c r="BB1" s="142"/>
      <c r="BC1" s="1931"/>
      <c r="BD1" s="1931"/>
      <c r="BE1" s="1931"/>
    </row>
    <row r="2" spans="1:57" s="23" customFormat="1" ht="30" hidden="1" customHeight="1" outlineLevel="1" x14ac:dyDescent="0.35">
      <c r="A2" s="1965"/>
      <c r="B2" s="1280"/>
      <c r="C2" s="143"/>
      <c r="D2" s="3760" t="s">
        <v>25</v>
      </c>
      <c r="E2" s="3761"/>
      <c r="F2" s="3762"/>
      <c r="G2" s="3762"/>
      <c r="H2" s="3762"/>
      <c r="I2" s="3762"/>
      <c r="J2" s="3762"/>
      <c r="K2" s="873"/>
      <c r="L2" s="873"/>
      <c r="M2" s="1965"/>
      <c r="N2" s="1965"/>
      <c r="O2" s="1965"/>
      <c r="P2" s="1965"/>
      <c r="Q2" s="1965"/>
      <c r="R2" s="1965"/>
      <c r="S2" s="1965"/>
      <c r="T2" s="1965"/>
      <c r="U2" s="1965"/>
      <c r="V2" s="54"/>
      <c r="W2" s="54"/>
      <c r="X2" s="54"/>
      <c r="Y2" s="54"/>
      <c r="Z2" s="54"/>
      <c r="AA2" s="54"/>
      <c r="AB2" s="54"/>
      <c r="AC2" s="54"/>
      <c r="AD2" s="54"/>
      <c r="AE2" s="54"/>
      <c r="AF2" s="54"/>
      <c r="AG2" s="54"/>
      <c r="AH2" s="54"/>
      <c r="AI2" s="54"/>
      <c r="AJ2" s="1931"/>
      <c r="AK2" s="1931"/>
      <c r="AL2" s="1931"/>
      <c r="AM2" s="1931"/>
      <c r="AN2" s="1931"/>
      <c r="AO2" s="1931"/>
      <c r="AP2" s="1931"/>
      <c r="AQ2" s="1931"/>
      <c r="AR2" s="1931"/>
      <c r="AS2" s="1931"/>
      <c r="AT2" s="1931"/>
      <c r="AU2" s="1931"/>
      <c r="AV2" s="1931"/>
      <c r="AW2" s="1931"/>
      <c r="AX2" s="1931"/>
      <c r="AY2" s="1931"/>
      <c r="AZ2" s="1931"/>
      <c r="BA2" s="1931"/>
      <c r="BB2" s="142"/>
      <c r="BC2" s="1931"/>
      <c r="BD2" s="1931"/>
      <c r="BE2" s="1931"/>
    </row>
    <row r="3" spans="1:57" s="26" customFormat="1" ht="33.75" customHeight="1" collapsed="1" x14ac:dyDescent="0.25">
      <c r="A3" s="874"/>
      <c r="B3" s="874"/>
      <c r="C3" s="144"/>
      <c r="D3" s="145"/>
      <c r="E3" s="145"/>
      <c r="F3" s="144"/>
      <c r="G3" s="144"/>
      <c r="H3" s="144"/>
      <c r="I3" s="144"/>
      <c r="J3" s="144"/>
      <c r="K3" s="874"/>
      <c r="L3" s="874"/>
      <c r="M3" s="874"/>
      <c r="N3" s="874"/>
      <c r="O3" s="874"/>
      <c r="P3" s="874"/>
      <c r="Q3" s="874"/>
      <c r="R3" s="874"/>
      <c r="S3" s="874"/>
      <c r="T3" s="874"/>
      <c r="U3" s="874"/>
      <c r="V3" s="54"/>
      <c r="W3" s="54"/>
      <c r="X3" s="54"/>
      <c r="Y3" s="54"/>
      <c r="Z3" s="54"/>
      <c r="AA3" s="54"/>
      <c r="AB3" s="54"/>
      <c r="AC3" s="54"/>
      <c r="AD3" s="54"/>
      <c r="AE3" s="54"/>
      <c r="AF3" s="54"/>
      <c r="AG3" s="54"/>
      <c r="AH3" s="54"/>
      <c r="AI3" s="54"/>
      <c r="AJ3" s="1933"/>
      <c r="AK3" s="1933"/>
      <c r="AL3" s="1933"/>
      <c r="AM3" s="1933"/>
      <c r="AN3" s="1933"/>
      <c r="AO3" s="1933"/>
      <c r="AP3" s="1933"/>
      <c r="AQ3" s="1933"/>
      <c r="AR3" s="1933"/>
      <c r="AS3" s="1933"/>
      <c r="AT3" s="1933"/>
      <c r="AU3" s="1933"/>
      <c r="AV3" s="1933"/>
      <c r="AW3" s="1933"/>
      <c r="AX3" s="1933"/>
      <c r="AY3" s="1933"/>
      <c r="AZ3" s="1933"/>
      <c r="BA3" s="1933"/>
      <c r="BB3" s="146"/>
      <c r="BC3" s="1933"/>
      <c r="BD3" s="1933"/>
      <c r="BE3" s="1933"/>
    </row>
    <row r="4" spans="1:57" s="147" customFormat="1" x14ac:dyDescent="0.25">
      <c r="B4" s="3750" t="s">
        <v>174</v>
      </c>
      <c r="C4" s="3751"/>
      <c r="D4" s="3751"/>
      <c r="E4" s="3751"/>
      <c r="F4" s="3751"/>
      <c r="G4" s="3751"/>
      <c r="H4" s="3751"/>
      <c r="I4" s="3744"/>
      <c r="J4" s="3744"/>
      <c r="K4" s="3744"/>
      <c r="L4" s="3744"/>
      <c r="M4" s="3744"/>
      <c r="N4" s="3744"/>
      <c r="O4" s="3745"/>
      <c r="V4" s="3750" t="str">
        <f>B4</f>
        <v>Heat Pump Hot Water Heater</v>
      </c>
      <c r="W4" s="3751"/>
      <c r="X4" s="3751"/>
      <c r="Y4" s="3751"/>
      <c r="Z4" s="3751"/>
      <c r="AA4" s="3751"/>
      <c r="AB4" s="3751"/>
      <c r="AC4" s="3752"/>
      <c r="AD4" s="3752"/>
      <c r="AE4" s="3752"/>
      <c r="AF4" s="3752"/>
      <c r="AG4" s="3752"/>
      <c r="AH4" s="3752"/>
      <c r="AI4" s="3753"/>
      <c r="BB4" s="148"/>
    </row>
    <row r="5" spans="1:57" s="40" customFormat="1" x14ac:dyDescent="0.25">
      <c r="A5" s="151"/>
      <c r="B5" s="151"/>
      <c r="C5" s="149"/>
      <c r="D5" s="150"/>
      <c r="E5" s="150"/>
      <c r="F5" s="151"/>
      <c r="G5" s="151"/>
      <c r="H5" s="151"/>
      <c r="I5" s="151"/>
      <c r="J5" s="151"/>
      <c r="K5" s="151"/>
      <c r="L5" s="151"/>
      <c r="M5" s="151"/>
      <c r="N5" s="151"/>
      <c r="O5" s="151"/>
      <c r="P5" s="151"/>
      <c r="Q5" s="151"/>
      <c r="R5" s="151"/>
      <c r="S5" s="151"/>
      <c r="T5" s="151"/>
      <c r="U5" s="151"/>
      <c r="BB5" s="153"/>
    </row>
    <row r="6" spans="1:57" s="44" customFormat="1" ht="48.75" customHeight="1" x14ac:dyDescent="0.25">
      <c r="A6" s="1288"/>
      <c r="B6" s="1288"/>
      <c r="C6" s="3086" t="s">
        <v>28</v>
      </c>
      <c r="D6" s="3086" t="s">
        <v>175</v>
      </c>
      <c r="E6" s="3086" t="s">
        <v>30</v>
      </c>
      <c r="F6" s="3086" t="s">
        <v>31</v>
      </c>
      <c r="G6" s="3086" t="s">
        <v>176</v>
      </c>
      <c r="H6" s="3086" t="s">
        <v>177</v>
      </c>
      <c r="I6" s="3086" t="s">
        <v>178</v>
      </c>
      <c r="J6" s="3086" t="s">
        <v>179</v>
      </c>
      <c r="K6" s="3086" t="s">
        <v>180</v>
      </c>
      <c r="L6" s="3086" t="s">
        <v>32</v>
      </c>
      <c r="M6" s="3086" t="s">
        <v>181</v>
      </c>
      <c r="N6" s="3086" t="s">
        <v>170</v>
      </c>
      <c r="O6" s="3086" t="s">
        <v>44</v>
      </c>
      <c r="P6" s="1288"/>
      <c r="Q6" s="1288"/>
      <c r="R6" s="1288"/>
      <c r="S6" s="1288"/>
      <c r="T6" s="1288"/>
      <c r="U6" s="1288"/>
      <c r="V6" s="1936" t="s">
        <v>45</v>
      </c>
      <c r="W6" s="1937">
        <v>43252</v>
      </c>
      <c r="X6" s="1937">
        <v>43465</v>
      </c>
      <c r="Y6" s="1937">
        <v>43800</v>
      </c>
      <c r="Z6" s="1937">
        <v>43862</v>
      </c>
      <c r="AA6" s="1937">
        <v>44013</v>
      </c>
      <c r="AB6" s="1937">
        <v>44166</v>
      </c>
      <c r="AC6" s="1937">
        <v>44531</v>
      </c>
      <c r="AD6" s="1937" t="s">
        <v>46</v>
      </c>
      <c r="AE6" s="1937" t="s">
        <v>46</v>
      </c>
      <c r="AF6" s="1937" t="s">
        <v>46</v>
      </c>
      <c r="AG6" s="1937" t="s">
        <v>46</v>
      </c>
      <c r="BB6" s="1953" t="s">
        <v>47</v>
      </c>
      <c r="BC6" s="49" t="s">
        <v>48</v>
      </c>
      <c r="BD6" s="50" t="s">
        <v>49</v>
      </c>
      <c r="BE6" s="50" t="s">
        <v>50</v>
      </c>
    </row>
    <row r="7" spans="1:57" s="40" customFormat="1" ht="15.75" customHeight="1" x14ac:dyDescent="0.25">
      <c r="A7" s="1432"/>
      <c r="B7" s="151"/>
      <c r="C7" s="154" t="s">
        <v>182</v>
      </c>
      <c r="D7" s="3227" t="s">
        <v>183</v>
      </c>
      <c r="E7" s="154" t="s">
        <v>174</v>
      </c>
      <c r="F7" s="2490">
        <f>ROUND((((((1/F27)-(1/F28))*F29*F30*F31*F32*(F33-F34)*F35)/F36)-(J7+K7)+I7)*F49,2)</f>
        <v>2276.14</v>
      </c>
      <c r="G7" s="3226" t="s">
        <v>184</v>
      </c>
      <c r="H7" s="155">
        <f>VLOOKUP(G7,'CP FACTORS'!$A$3:$B$38, 2, FALSE)</f>
        <v>8.8731800000000003E-5</v>
      </c>
      <c r="I7" s="156">
        <f>(((1-1/F28)*F29*F30*F31*F32*(F33-F34)*F35)*F37*F38*F45/(F40*F36))*F46</f>
        <v>383.38412702395192</v>
      </c>
      <c r="J7" s="156">
        <f>(((1-1/F28)*F29*F30*F31*F32*(F33-F34)*F35)*F37*F39/(F41*F36))*F47</f>
        <v>153.81117612979111</v>
      </c>
      <c r="K7" s="156">
        <f>(((1-1/F28)*F29*F30*F31*F32*(F33-F34)*F35)*F37*F39/(F43*F36)*F48)</f>
        <v>96.428688738777211</v>
      </c>
      <c r="L7" s="157">
        <f>ROUND(F7*H7,6)</f>
        <v>0.20196600000000001</v>
      </c>
      <c r="M7" s="158">
        <f>F50</f>
        <v>13</v>
      </c>
      <c r="N7" s="159">
        <f>F51</f>
        <v>588</v>
      </c>
      <c r="O7" s="1736" t="s">
        <v>185</v>
      </c>
      <c r="P7" s="151"/>
      <c r="Q7" s="151"/>
      <c r="R7" s="1431"/>
      <c r="S7" s="151"/>
      <c r="T7" s="151"/>
      <c r="U7" s="151"/>
      <c r="V7" s="160" t="str">
        <f>F6</f>
        <v>kWh Annual Savings</v>
      </c>
      <c r="W7" s="161">
        <v>3736.4662164914935</v>
      </c>
      <c r="X7" s="158">
        <v>2506.58000131569</v>
      </c>
      <c r="Y7" s="162">
        <v>2296.31</v>
      </c>
      <c r="Z7" s="2129">
        <v>2296.31</v>
      </c>
      <c r="AA7" s="2129">
        <v>2296.31</v>
      </c>
      <c r="AB7" s="2003">
        <v>2276.14</v>
      </c>
      <c r="AC7" s="160">
        <v>2276.14</v>
      </c>
      <c r="AD7" s="160"/>
      <c r="AE7" s="160"/>
      <c r="AF7" s="160"/>
      <c r="AG7" s="160"/>
      <c r="AH7" s="163"/>
      <c r="AU7" s="164"/>
      <c r="BB7" s="165">
        <f>(BD7)/(BE7)</f>
        <v>1.7840168446063165</v>
      </c>
      <c r="BC7" s="3166" t="str">
        <f>CONCATENATE(G7," ",M7," Year EUL")</f>
        <v>Water Heating RES 13 Year EUL</v>
      </c>
      <c r="BD7" s="166">
        <f>(INDEX('Avoided Cost Benefits'!$C$4:$C$857,MATCH(BC7,'Avoided Cost Benefits'!$A$4:$A$857,0)))*F7</f>
        <v>990.09146260359978</v>
      </c>
      <c r="BE7" s="1956">
        <f>N7/(1.0595^(2020-2019))</f>
        <v>554.97876356772053</v>
      </c>
    </row>
    <row r="8" spans="1:57" s="40" customFormat="1" hidden="1" outlineLevel="1" x14ac:dyDescent="0.25">
      <c r="A8" s="151"/>
      <c r="B8" s="151"/>
      <c r="C8" s="149"/>
      <c r="D8" s="167"/>
      <c r="E8" s="168"/>
      <c r="F8" s="169"/>
      <c r="G8" s="151"/>
      <c r="H8" s="170"/>
      <c r="I8" s="151"/>
      <c r="J8" s="151"/>
      <c r="K8" s="151"/>
      <c r="L8" s="401"/>
      <c r="M8" s="151"/>
      <c r="N8" s="151"/>
      <c r="O8" s="151"/>
      <c r="P8" s="151"/>
      <c r="Q8" s="151"/>
      <c r="R8" s="151"/>
      <c r="S8" s="151"/>
      <c r="T8" s="151"/>
      <c r="U8" s="151"/>
      <c r="Z8" s="97"/>
      <c r="AA8" s="97"/>
      <c r="AB8" s="97"/>
      <c r="AU8" s="164"/>
      <c r="BB8" s="171"/>
      <c r="BC8" s="97"/>
      <c r="BD8" s="97"/>
      <c r="BE8" s="97"/>
    </row>
    <row r="9" spans="1:57" s="40" customFormat="1" hidden="1" outlineLevel="1" x14ac:dyDescent="0.25">
      <c r="A9" s="176"/>
      <c r="B9" s="176"/>
      <c r="C9" s="173"/>
      <c r="D9" s="174" t="s">
        <v>108</v>
      </c>
      <c r="E9" s="174"/>
      <c r="F9" s="175"/>
      <c r="G9" s="176"/>
      <c r="H9" s="177"/>
      <c r="I9" s="123"/>
      <c r="J9" s="123"/>
      <c r="K9" s="123"/>
      <c r="L9" s="401"/>
      <c r="M9" s="151"/>
      <c r="N9" s="151"/>
      <c r="O9" s="151"/>
      <c r="P9" s="151"/>
      <c r="Q9" s="151"/>
      <c r="R9" s="151"/>
      <c r="S9" s="151"/>
      <c r="T9" s="151"/>
      <c r="U9" s="151"/>
      <c r="AU9" s="164"/>
      <c r="BB9" s="171"/>
      <c r="BC9" s="97"/>
      <c r="BD9" s="97"/>
      <c r="BE9" s="97"/>
    </row>
    <row r="10" spans="1:57" s="40" customFormat="1" hidden="1" outlineLevel="1" x14ac:dyDescent="0.25">
      <c r="A10" s="176"/>
      <c r="B10" s="176"/>
      <c r="C10" s="173"/>
      <c r="D10" s="177"/>
      <c r="E10" s="179"/>
      <c r="F10" s="175"/>
      <c r="G10" s="176"/>
      <c r="H10" s="176"/>
      <c r="I10" s="176"/>
      <c r="J10" s="151"/>
      <c r="K10" s="151"/>
      <c r="L10" s="1433"/>
      <c r="M10" s="151"/>
      <c r="N10" s="151"/>
      <c r="O10" s="151"/>
      <c r="P10" s="151"/>
      <c r="Q10" s="151"/>
      <c r="R10" s="151"/>
      <c r="S10" s="151"/>
      <c r="T10" s="151"/>
      <c r="U10" s="151"/>
      <c r="AU10" s="164"/>
      <c r="BB10" s="171"/>
      <c r="BC10" s="97"/>
      <c r="BD10" s="97"/>
      <c r="BE10" s="97"/>
    </row>
    <row r="11" spans="1:57" s="40" customFormat="1" hidden="1" outlineLevel="1" x14ac:dyDescent="0.25">
      <c r="A11" s="176"/>
      <c r="B11" s="176"/>
      <c r="C11" s="173"/>
      <c r="D11" s="180"/>
      <c r="E11" s="179"/>
      <c r="F11" s="175"/>
      <c r="G11" s="176"/>
      <c r="H11" s="176"/>
      <c r="I11" s="176"/>
      <c r="J11" s="151"/>
      <c r="K11" s="151"/>
      <c r="L11" s="401"/>
      <c r="M11" s="151"/>
      <c r="N11" s="151"/>
      <c r="O11" s="151"/>
      <c r="P11" s="151"/>
      <c r="Q11" s="151"/>
      <c r="R11" s="151"/>
      <c r="S11" s="151"/>
      <c r="T11" s="151"/>
      <c r="U11" s="151"/>
      <c r="AU11" s="164"/>
      <c r="BB11" s="171"/>
      <c r="BC11" s="97"/>
      <c r="BD11" s="97"/>
      <c r="BE11" s="97"/>
    </row>
    <row r="12" spans="1:57" s="40" customFormat="1" hidden="1" outlineLevel="1" x14ac:dyDescent="0.25">
      <c r="A12" s="176"/>
      <c r="B12" s="176"/>
      <c r="C12" s="173"/>
      <c r="D12" s="180"/>
      <c r="E12" s="179"/>
      <c r="F12" s="175"/>
      <c r="G12" s="176"/>
      <c r="H12" s="176"/>
      <c r="I12" s="176"/>
      <c r="J12" s="151"/>
      <c r="K12" s="151"/>
      <c r="L12" s="401"/>
      <c r="M12" s="151"/>
      <c r="N12" s="151"/>
      <c r="O12" s="151"/>
      <c r="P12" s="151"/>
      <c r="Q12" s="151"/>
      <c r="R12" s="151"/>
      <c r="S12" s="151"/>
      <c r="T12" s="151"/>
      <c r="U12" s="151"/>
      <c r="AU12" s="164"/>
      <c r="BB12" s="171"/>
      <c r="BC12" s="97"/>
      <c r="BD12" s="97"/>
      <c r="BE12" s="97"/>
    </row>
    <row r="13" spans="1:57" s="40" customFormat="1" hidden="1" outlineLevel="1" x14ac:dyDescent="0.25">
      <c r="A13" s="176"/>
      <c r="B13" s="176"/>
      <c r="C13" s="173"/>
      <c r="D13" s="180"/>
      <c r="E13" s="179"/>
      <c r="F13" s="175"/>
      <c r="G13" s="176"/>
      <c r="H13" s="176"/>
      <c r="I13" s="176"/>
      <c r="J13" s="151"/>
      <c r="K13" s="151"/>
      <c r="L13" s="401"/>
      <c r="M13" s="151"/>
      <c r="N13" s="151"/>
      <c r="O13" s="151"/>
      <c r="P13" s="151"/>
      <c r="Q13" s="151"/>
      <c r="R13" s="151"/>
      <c r="S13" s="151"/>
      <c r="T13" s="151"/>
      <c r="U13" s="151"/>
      <c r="AU13" s="164"/>
      <c r="BB13" s="171"/>
      <c r="BC13" s="97"/>
      <c r="BD13" s="97"/>
      <c r="BE13" s="97"/>
    </row>
    <row r="14" spans="1:57" s="40" customFormat="1" hidden="1" outlineLevel="1" x14ac:dyDescent="0.25">
      <c r="A14" s="176"/>
      <c r="B14" s="176"/>
      <c r="C14" s="173"/>
      <c r="D14" s="179"/>
      <c r="E14" s="179"/>
      <c r="F14" s="175"/>
      <c r="G14" s="176"/>
      <c r="H14" s="176"/>
      <c r="I14" s="176"/>
      <c r="J14" s="151"/>
      <c r="K14" s="151"/>
      <c r="L14" s="401"/>
      <c r="M14" s="151"/>
      <c r="N14" s="151"/>
      <c r="O14" s="151"/>
      <c r="P14" s="151"/>
      <c r="Q14" s="151"/>
      <c r="R14" s="151"/>
      <c r="S14" s="151"/>
      <c r="T14" s="151"/>
      <c r="U14" s="151"/>
      <c r="AU14" s="164"/>
      <c r="BB14" s="171"/>
      <c r="BC14" s="97"/>
      <c r="BD14" s="97"/>
      <c r="BE14" s="97"/>
    </row>
    <row r="15" spans="1:57" s="40" customFormat="1" hidden="1" outlineLevel="1" x14ac:dyDescent="0.25">
      <c r="A15" s="176"/>
      <c r="B15" s="176"/>
      <c r="C15" s="173"/>
      <c r="D15" s="179"/>
      <c r="E15" s="179"/>
      <c r="F15" s="175"/>
      <c r="G15" s="176"/>
      <c r="H15" s="176"/>
      <c r="I15" s="176"/>
      <c r="J15" s="151"/>
      <c r="K15" s="151"/>
      <c r="L15" s="401"/>
      <c r="M15" s="151"/>
      <c r="N15" s="151"/>
      <c r="O15" s="151"/>
      <c r="P15" s="151"/>
      <c r="Q15" s="151"/>
      <c r="R15" s="151"/>
      <c r="S15" s="151"/>
      <c r="T15" s="151"/>
      <c r="U15" s="151"/>
      <c r="AU15" s="164"/>
      <c r="BB15" s="171"/>
      <c r="BC15" s="97"/>
      <c r="BD15" s="97"/>
      <c r="BE15" s="97"/>
    </row>
    <row r="16" spans="1:57" s="40" customFormat="1" hidden="1" outlineLevel="1" x14ac:dyDescent="0.25">
      <c r="A16" s="176"/>
      <c r="B16" s="176"/>
      <c r="C16" s="173"/>
      <c r="D16" s="179"/>
      <c r="E16" s="179"/>
      <c r="F16" s="175"/>
      <c r="G16" s="176"/>
      <c r="H16" s="176"/>
      <c r="I16" s="176"/>
      <c r="J16" s="151"/>
      <c r="K16" s="151"/>
      <c r="L16" s="401"/>
      <c r="M16" s="151"/>
      <c r="N16" s="151"/>
      <c r="O16" s="151"/>
      <c r="P16" s="151"/>
      <c r="Q16" s="151"/>
      <c r="R16" s="151"/>
      <c r="S16" s="151"/>
      <c r="T16" s="151"/>
      <c r="U16" s="151"/>
      <c r="AU16" s="164"/>
      <c r="BB16" s="171"/>
      <c r="BC16" s="97"/>
      <c r="BD16" s="97"/>
      <c r="BE16" s="97"/>
    </row>
    <row r="17" spans="1:57" s="40" customFormat="1" hidden="1" outlineLevel="1" x14ac:dyDescent="0.25">
      <c r="A17" s="176"/>
      <c r="B17" s="176"/>
      <c r="C17" s="173"/>
      <c r="D17" s="179"/>
      <c r="E17" s="179"/>
      <c r="F17" s="175"/>
      <c r="G17" s="176"/>
      <c r="H17" s="176"/>
      <c r="I17" s="176"/>
      <c r="J17" s="151"/>
      <c r="K17" s="151"/>
      <c r="L17" s="401"/>
      <c r="M17" s="151"/>
      <c r="N17" s="151"/>
      <c r="O17" s="151"/>
      <c r="P17" s="151"/>
      <c r="Q17" s="151"/>
      <c r="R17" s="151"/>
      <c r="S17" s="151"/>
      <c r="T17" s="151"/>
      <c r="U17" s="151"/>
      <c r="AU17" s="164"/>
      <c r="BB17" s="171"/>
      <c r="BC17" s="97"/>
      <c r="BD17" s="97"/>
      <c r="BE17" s="97"/>
    </row>
    <row r="18" spans="1:57" s="40" customFormat="1" hidden="1" outlineLevel="1" x14ac:dyDescent="0.25">
      <c r="A18" s="176"/>
      <c r="B18" s="176"/>
      <c r="C18" s="173"/>
      <c r="D18" s="179"/>
      <c r="E18" s="179"/>
      <c r="F18" s="175"/>
      <c r="G18" s="176"/>
      <c r="H18" s="176"/>
      <c r="I18" s="176"/>
      <c r="J18" s="151"/>
      <c r="K18" s="151"/>
      <c r="L18" s="401"/>
      <c r="M18" s="151"/>
      <c r="N18" s="151"/>
      <c r="O18" s="151"/>
      <c r="P18" s="151"/>
      <c r="Q18" s="151"/>
      <c r="R18" s="151"/>
      <c r="S18" s="151"/>
      <c r="T18" s="151"/>
      <c r="U18" s="151"/>
      <c r="AU18" s="164"/>
      <c r="BB18" s="171"/>
      <c r="BC18" s="97"/>
      <c r="BD18" s="97"/>
      <c r="BE18" s="97"/>
    </row>
    <row r="19" spans="1:57" s="40" customFormat="1" hidden="1" outlineLevel="1" x14ac:dyDescent="0.25">
      <c r="A19" s="176"/>
      <c r="B19" s="176"/>
      <c r="C19" s="173"/>
      <c r="D19" s="179"/>
      <c r="E19" s="179"/>
      <c r="F19" s="175"/>
      <c r="G19" s="176"/>
      <c r="H19" s="176"/>
      <c r="I19" s="176"/>
      <c r="J19" s="151"/>
      <c r="K19" s="151"/>
      <c r="L19" s="401"/>
      <c r="M19" s="151"/>
      <c r="N19" s="151"/>
      <c r="O19" s="151"/>
      <c r="P19" s="151"/>
      <c r="Q19" s="151"/>
      <c r="R19" s="151"/>
      <c r="S19" s="151"/>
      <c r="T19" s="151"/>
      <c r="U19" s="151"/>
      <c r="AU19" s="164"/>
      <c r="BB19" s="171"/>
      <c r="BC19" s="97"/>
      <c r="BD19" s="97"/>
      <c r="BE19" s="97"/>
    </row>
    <row r="20" spans="1:57" s="40" customFormat="1" hidden="1" outlineLevel="1" x14ac:dyDescent="0.25">
      <c r="A20" s="176"/>
      <c r="B20" s="176"/>
      <c r="C20" s="173"/>
      <c r="D20" s="179"/>
      <c r="E20" s="179"/>
      <c r="F20" s="175"/>
      <c r="G20" s="176"/>
      <c r="H20" s="176"/>
      <c r="I20" s="176"/>
      <c r="J20" s="151"/>
      <c r="K20" s="151"/>
      <c r="L20" s="401"/>
      <c r="M20" s="151"/>
      <c r="N20" s="151"/>
      <c r="O20" s="151"/>
      <c r="P20" s="151"/>
      <c r="Q20" s="151"/>
      <c r="R20" s="151"/>
      <c r="S20" s="151"/>
      <c r="T20" s="151"/>
      <c r="U20" s="151"/>
      <c r="AU20" s="164"/>
      <c r="BB20" s="171"/>
      <c r="BC20" s="97"/>
      <c r="BD20" s="97"/>
      <c r="BE20" s="97"/>
    </row>
    <row r="21" spans="1:57" s="40" customFormat="1" hidden="1" outlineLevel="1" x14ac:dyDescent="0.25">
      <c r="A21" s="176"/>
      <c r="B21" s="176"/>
      <c r="C21" s="173"/>
      <c r="D21" s="179"/>
      <c r="E21" s="179"/>
      <c r="F21" s="175"/>
      <c r="G21" s="176"/>
      <c r="H21" s="176"/>
      <c r="I21" s="176"/>
      <c r="J21" s="151"/>
      <c r="K21" s="151"/>
      <c r="L21" s="401"/>
      <c r="M21" s="151"/>
      <c r="N21" s="151"/>
      <c r="O21" s="151"/>
      <c r="P21" s="151"/>
      <c r="Q21" s="151"/>
      <c r="R21" s="151"/>
      <c r="S21" s="151"/>
      <c r="T21" s="151"/>
      <c r="U21" s="151"/>
      <c r="AU21" s="164"/>
      <c r="BB21" s="171"/>
      <c r="BC21" s="97"/>
      <c r="BD21" s="97"/>
      <c r="BE21" s="97"/>
    </row>
    <row r="22" spans="1:57" s="40" customFormat="1" hidden="1" outlineLevel="1" x14ac:dyDescent="0.25">
      <c r="A22" s="176"/>
      <c r="B22" s="176"/>
      <c r="C22" s="173"/>
      <c r="D22" s="179"/>
      <c r="E22" s="179"/>
      <c r="F22" s="175"/>
      <c r="G22" s="176"/>
      <c r="H22" s="176"/>
      <c r="I22" s="176"/>
      <c r="J22" s="151"/>
      <c r="K22" s="151"/>
      <c r="L22" s="401"/>
      <c r="M22" s="151"/>
      <c r="N22" s="151"/>
      <c r="O22" s="151"/>
      <c r="P22" s="151"/>
      <c r="Q22" s="151"/>
      <c r="R22" s="151"/>
      <c r="S22" s="151"/>
      <c r="T22" s="151"/>
      <c r="U22" s="151"/>
      <c r="W22" s="152"/>
      <c r="AU22" s="164"/>
      <c r="BB22" s="171"/>
      <c r="BC22" s="97"/>
      <c r="BD22" s="97"/>
      <c r="BE22" s="97"/>
    </row>
    <row r="23" spans="1:57" s="40" customFormat="1" hidden="1" outlineLevel="1" x14ac:dyDescent="0.25">
      <c r="A23" s="176"/>
      <c r="B23" s="176"/>
      <c r="C23" s="173"/>
      <c r="D23" s="179"/>
      <c r="E23" s="179"/>
      <c r="F23" s="175"/>
      <c r="G23" s="176"/>
      <c r="H23" s="176"/>
      <c r="I23" s="176"/>
      <c r="J23" s="151"/>
      <c r="K23" s="151"/>
      <c r="L23" s="401"/>
      <c r="M23" s="151"/>
      <c r="N23" s="151"/>
      <c r="O23" s="151"/>
      <c r="P23" s="151"/>
      <c r="Q23" s="151"/>
      <c r="R23" s="151"/>
      <c r="S23" s="151"/>
      <c r="T23" s="151"/>
      <c r="U23" s="151"/>
      <c r="AU23" s="164"/>
      <c r="BB23" s="171"/>
      <c r="BC23" s="97"/>
      <c r="BD23" s="97"/>
      <c r="BE23" s="97"/>
    </row>
    <row r="24" spans="1:57" s="40" customFormat="1" hidden="1" outlineLevel="1" x14ac:dyDescent="0.25">
      <c r="A24" s="176"/>
      <c r="B24" s="176"/>
      <c r="C24" s="173"/>
      <c r="D24" s="179"/>
      <c r="E24" s="179"/>
      <c r="F24" s="175"/>
      <c r="G24" s="176"/>
      <c r="H24" s="176"/>
      <c r="I24" s="176"/>
      <c r="J24" s="151"/>
      <c r="K24" s="151"/>
      <c r="L24" s="401"/>
      <c r="M24" s="151"/>
      <c r="N24" s="151"/>
      <c r="O24" s="151"/>
      <c r="P24" s="151"/>
      <c r="Q24" s="151"/>
      <c r="R24" s="151"/>
      <c r="S24" s="151"/>
      <c r="T24" s="151"/>
      <c r="U24" s="151"/>
      <c r="AU24" s="164"/>
      <c r="BB24" s="171"/>
      <c r="BC24" s="97"/>
      <c r="BD24" s="97"/>
      <c r="BE24" s="97"/>
    </row>
    <row r="25" spans="1:57" s="40" customFormat="1" hidden="1" outlineLevel="1" x14ac:dyDescent="0.25">
      <c r="A25" s="176"/>
      <c r="B25" s="176"/>
      <c r="C25" s="173"/>
      <c r="D25" s="179"/>
      <c r="E25" s="179"/>
      <c r="F25" s="175"/>
      <c r="G25" s="176"/>
      <c r="H25" s="176"/>
      <c r="I25" s="176"/>
      <c r="J25" s="151"/>
      <c r="K25" s="151"/>
      <c r="L25" s="401"/>
      <c r="M25" s="151"/>
      <c r="N25" s="151"/>
      <c r="O25" s="151"/>
      <c r="P25" s="151"/>
      <c r="Q25" s="151"/>
      <c r="R25" s="151"/>
      <c r="S25" s="151"/>
      <c r="T25" s="151"/>
      <c r="U25" s="151"/>
      <c r="AU25" s="164"/>
      <c r="BB25" s="171"/>
      <c r="BC25" s="97"/>
      <c r="BD25" s="97"/>
      <c r="BE25" s="97"/>
    </row>
    <row r="26" spans="1:57" s="55" customFormat="1" ht="15" hidden="1" customHeight="1" outlineLevel="1" x14ac:dyDescent="0.25">
      <c r="A26" s="401"/>
      <c r="B26" s="401"/>
      <c r="C26" s="149"/>
      <c r="D26" s="3236" t="s">
        <v>110</v>
      </c>
      <c r="E26" s="3236" t="s">
        <v>186</v>
      </c>
      <c r="F26" s="3086" t="s">
        <v>112</v>
      </c>
      <c r="G26" s="3773" t="s">
        <v>187</v>
      </c>
      <c r="H26" s="3773"/>
      <c r="I26" s="3205" t="s">
        <v>113</v>
      </c>
      <c r="J26" s="1434"/>
      <c r="K26" s="401"/>
      <c r="L26" s="401"/>
      <c r="M26" s="401"/>
      <c r="N26" s="401"/>
      <c r="O26" s="401"/>
      <c r="P26" s="401"/>
      <c r="Q26" s="401"/>
      <c r="R26" s="401"/>
      <c r="S26" s="401"/>
      <c r="T26" s="401"/>
      <c r="U26" s="401"/>
      <c r="V26" s="1936" t="s">
        <v>45</v>
      </c>
      <c r="W26" s="1937">
        <v>43252</v>
      </c>
      <c r="X26" s="1937">
        <f>$X$6</f>
        <v>43465</v>
      </c>
      <c r="Y26" s="1937">
        <f>$Y$6</f>
        <v>43800</v>
      </c>
      <c r="Z26" s="1937">
        <f>$Z$6</f>
        <v>43862</v>
      </c>
      <c r="AA26" s="1937">
        <f>$AA$6</f>
        <v>44013</v>
      </c>
      <c r="AB26" s="1937">
        <f>$AB$6</f>
        <v>44166</v>
      </c>
      <c r="AC26" s="1937">
        <f>$AC$6</f>
        <v>44531</v>
      </c>
      <c r="AD26" s="1937" t="str">
        <f>$AD$6</f>
        <v>-</v>
      </c>
      <c r="AE26" s="1937" t="str">
        <f>$AE$6</f>
        <v>-</v>
      </c>
      <c r="AF26" s="1937" t="str">
        <f>$AF$6</f>
        <v>-</v>
      </c>
      <c r="AG26" s="1937" t="str">
        <f>$AG$6</f>
        <v>-</v>
      </c>
      <c r="AU26" s="164"/>
      <c r="BB26" s="171"/>
      <c r="BC26" s="97"/>
      <c r="BD26" s="97"/>
      <c r="BE26" s="97"/>
    </row>
    <row r="27" spans="1:57" ht="39.6" hidden="1" customHeight="1" outlineLevel="1" x14ac:dyDescent="0.25">
      <c r="D27" s="3100" t="s">
        <v>188</v>
      </c>
      <c r="E27" s="3100" t="s">
        <v>189</v>
      </c>
      <c r="F27" s="182">
        <v>0.94451470457134135</v>
      </c>
      <c r="G27" s="3828" t="s">
        <v>190</v>
      </c>
      <c r="H27" s="3828"/>
      <c r="I27" s="183" t="s">
        <v>191</v>
      </c>
      <c r="V27" s="2023" t="str">
        <f t="shared" ref="V27:V51" si="0">D27</f>
        <v>EFBASE</v>
      </c>
      <c r="W27" s="182">
        <v>0.9</v>
      </c>
      <c r="X27" s="186">
        <v>0.94358243626061789</v>
      </c>
      <c r="Y27" s="187">
        <v>0.94451470457134135</v>
      </c>
      <c r="Z27" s="188">
        <v>0.94451470457134135</v>
      </c>
      <c r="AA27" s="188">
        <v>0.94451470457134135</v>
      </c>
      <c r="AB27" s="188">
        <v>0.94451470457134135</v>
      </c>
      <c r="AC27" s="188">
        <v>0.94451470457134135</v>
      </c>
      <c r="AD27" s="188"/>
      <c r="AE27" s="188"/>
      <c r="AF27" s="188"/>
      <c r="AG27" s="188"/>
      <c r="AU27" s="164"/>
    </row>
    <row r="28" spans="1:57" ht="18" hidden="1" outlineLevel="1" x14ac:dyDescent="0.25">
      <c r="D28" s="3100" t="s">
        <v>192</v>
      </c>
      <c r="E28" s="3100" t="s">
        <v>193</v>
      </c>
      <c r="F28" s="189">
        <v>3.4379630138240294</v>
      </c>
      <c r="G28" s="3828" t="s">
        <v>194</v>
      </c>
      <c r="H28" s="3828"/>
      <c r="I28" s="183" t="s">
        <v>195</v>
      </c>
      <c r="J28" s="1434"/>
      <c r="V28" s="2023" t="str">
        <f t="shared" si="0"/>
        <v>EFEE</v>
      </c>
      <c r="W28" s="190">
        <v>3.14</v>
      </c>
      <c r="X28" s="191">
        <v>3.255169603721936</v>
      </c>
      <c r="Y28" s="192">
        <v>3.4379630138240294</v>
      </c>
      <c r="Z28" s="194">
        <v>3.4379630138240294</v>
      </c>
      <c r="AA28" s="194">
        <v>3.4379630138240294</v>
      </c>
      <c r="AB28" s="193">
        <v>3.4379630138240294</v>
      </c>
      <c r="AC28" s="194">
        <v>3.4379630138240294</v>
      </c>
      <c r="AD28" s="193"/>
      <c r="AE28" s="193"/>
      <c r="AF28" s="193"/>
      <c r="AG28" s="193"/>
      <c r="AU28" s="164"/>
    </row>
    <row r="29" spans="1:57" ht="75" hidden="1" outlineLevel="1" x14ac:dyDescent="0.25">
      <c r="D29" s="3100" t="s">
        <v>196</v>
      </c>
      <c r="E29" s="3100" t="s">
        <v>197</v>
      </c>
      <c r="F29" s="189">
        <v>17.600000000000001</v>
      </c>
      <c r="G29" s="3828" t="s">
        <v>198</v>
      </c>
      <c r="H29" s="3828"/>
      <c r="I29" s="183" t="s">
        <v>199</v>
      </c>
      <c r="J29" s="1434"/>
      <c r="V29" s="2023" t="str">
        <f t="shared" si="0"/>
        <v>GPD</v>
      </c>
      <c r="W29" s="189">
        <f>64/W30</f>
        <v>23.970037453183522</v>
      </c>
      <c r="X29" s="191">
        <v>17.600000000000001</v>
      </c>
      <c r="Y29" s="190">
        <v>17.600000000000001</v>
      </c>
      <c r="Z29" s="194">
        <v>17.600000000000001</v>
      </c>
      <c r="AA29" s="194">
        <v>17.600000000000001</v>
      </c>
      <c r="AB29" s="194">
        <v>17.600000000000001</v>
      </c>
      <c r="AC29" s="194">
        <v>17.600000000000001</v>
      </c>
      <c r="AD29" s="194"/>
      <c r="AE29" s="194"/>
      <c r="AF29" s="194"/>
      <c r="AG29" s="194"/>
      <c r="AU29" s="164"/>
    </row>
    <row r="30" spans="1:57" ht="33.75" hidden="1" customHeight="1" outlineLevel="1" x14ac:dyDescent="0.25">
      <c r="D30" s="3100" t="s">
        <v>200</v>
      </c>
      <c r="E30" s="3100" t="s">
        <v>201</v>
      </c>
      <c r="F30" s="189">
        <v>2.6500604229607121</v>
      </c>
      <c r="G30" s="3828" t="s">
        <v>202</v>
      </c>
      <c r="H30" s="3828"/>
      <c r="I30" s="183" t="s">
        <v>203</v>
      </c>
      <c r="J30" s="1434"/>
      <c r="V30" s="2023" t="str">
        <f t="shared" si="0"/>
        <v>Household</v>
      </c>
      <c r="W30" s="189">
        <v>2.67</v>
      </c>
      <c r="X30" s="191">
        <v>2.6599441340781969</v>
      </c>
      <c r="Y30" s="192">
        <v>2.6500604229607121</v>
      </c>
      <c r="Z30" s="194">
        <v>2.6500604229607121</v>
      </c>
      <c r="AA30" s="194">
        <v>2.6500604229607121</v>
      </c>
      <c r="AB30" s="194">
        <v>2.6500604229607121</v>
      </c>
      <c r="AC30" s="194">
        <v>2.6500604229607121</v>
      </c>
      <c r="AD30" s="194"/>
      <c r="AE30" s="194"/>
      <c r="AF30" s="194"/>
      <c r="AG30" s="194"/>
      <c r="AU30" s="164"/>
    </row>
    <row r="31" spans="1:57" hidden="1" outlineLevel="1" x14ac:dyDescent="0.25">
      <c r="D31" s="195">
        <v>365.25</v>
      </c>
      <c r="E31" s="3100" t="s">
        <v>204</v>
      </c>
      <c r="F31" s="196">
        <v>365.25</v>
      </c>
      <c r="G31" s="3828" t="s">
        <v>205</v>
      </c>
      <c r="H31" s="3828"/>
      <c r="I31" s="183" t="s">
        <v>195</v>
      </c>
      <c r="J31" s="1434"/>
      <c r="V31" s="2023">
        <f t="shared" si="0"/>
        <v>365.25</v>
      </c>
      <c r="W31" s="197">
        <v>365</v>
      </c>
      <c r="X31" s="3216">
        <v>365.25</v>
      </c>
      <c r="Y31" s="3216">
        <v>365.25</v>
      </c>
      <c r="Z31" s="3216">
        <v>365.25</v>
      </c>
      <c r="AA31" s="3216">
        <v>365.25</v>
      </c>
      <c r="AB31" s="198">
        <v>365.25</v>
      </c>
      <c r="AC31" s="3216">
        <v>365.25</v>
      </c>
      <c r="AD31" s="198"/>
      <c r="AE31" s="198"/>
      <c r="AF31" s="198"/>
      <c r="AG31" s="198"/>
      <c r="AU31" s="164"/>
    </row>
    <row r="32" spans="1:57" hidden="1" outlineLevel="1" x14ac:dyDescent="0.25">
      <c r="D32" s="3100" t="s">
        <v>206</v>
      </c>
      <c r="E32" s="3100" t="s">
        <v>207</v>
      </c>
      <c r="F32" s="189">
        <v>8.33</v>
      </c>
      <c r="G32" s="3828" t="s">
        <v>208</v>
      </c>
      <c r="H32" s="3828"/>
      <c r="I32" s="183" t="s">
        <v>195</v>
      </c>
      <c r="J32" s="181"/>
      <c r="V32" s="2023" t="str">
        <f t="shared" si="0"/>
        <v>Den</v>
      </c>
      <c r="W32" s="190">
        <v>8.33</v>
      </c>
      <c r="X32" s="198">
        <v>8.33</v>
      </c>
      <c r="Y32" s="198">
        <v>8.33</v>
      </c>
      <c r="Z32" s="3216">
        <v>8.33</v>
      </c>
      <c r="AA32" s="3216">
        <v>8.33</v>
      </c>
      <c r="AB32" s="193">
        <v>8.33</v>
      </c>
      <c r="AC32" s="194">
        <v>8.33</v>
      </c>
      <c r="AD32" s="193"/>
      <c r="AE32" s="193"/>
      <c r="AF32" s="193"/>
      <c r="AG32" s="193"/>
      <c r="AU32" s="164"/>
    </row>
    <row r="33" spans="4:47" hidden="1" outlineLevel="1" x14ac:dyDescent="0.25">
      <c r="D33" s="3100" t="s">
        <v>209</v>
      </c>
      <c r="E33" s="3100" t="s">
        <v>210</v>
      </c>
      <c r="F33" s="196">
        <v>125</v>
      </c>
      <c r="G33" s="3828" t="s">
        <v>211</v>
      </c>
      <c r="H33" s="3828"/>
      <c r="I33" s="183" t="s">
        <v>195</v>
      </c>
      <c r="J33" s="181"/>
      <c r="V33" s="2023" t="str">
        <f t="shared" si="0"/>
        <v>HWT</v>
      </c>
      <c r="W33" s="197">
        <v>135</v>
      </c>
      <c r="X33" s="200">
        <v>125</v>
      </c>
      <c r="Y33" s="198">
        <v>125</v>
      </c>
      <c r="Z33" s="3216">
        <v>125</v>
      </c>
      <c r="AA33" s="3216">
        <v>125</v>
      </c>
      <c r="AB33" s="198">
        <v>125</v>
      </c>
      <c r="AC33" s="3216">
        <v>125</v>
      </c>
      <c r="AD33" s="198"/>
      <c r="AE33" s="198"/>
      <c r="AF33" s="198"/>
      <c r="AG33" s="198"/>
      <c r="AU33" s="164"/>
    </row>
    <row r="34" spans="4:47" hidden="1" outlineLevel="1" x14ac:dyDescent="0.25">
      <c r="D34" s="3100" t="s">
        <v>212</v>
      </c>
      <c r="E34" s="3100" t="s">
        <v>213</v>
      </c>
      <c r="F34" s="196">
        <v>57.898000000000003</v>
      </c>
      <c r="G34" s="3828" t="s">
        <v>214</v>
      </c>
      <c r="H34" s="3828"/>
      <c r="I34" s="183" t="s">
        <v>195</v>
      </c>
      <c r="J34" s="181"/>
      <c r="V34" s="2023" t="str">
        <f t="shared" si="0"/>
        <v>CWT</v>
      </c>
      <c r="W34" s="197">
        <v>61.3</v>
      </c>
      <c r="X34" s="200">
        <v>57.898000000000003</v>
      </c>
      <c r="Y34" s="198">
        <v>57.898000000000003</v>
      </c>
      <c r="Z34" s="3216">
        <v>57.898000000000003</v>
      </c>
      <c r="AA34" s="3216">
        <v>57.898000000000003</v>
      </c>
      <c r="AB34" s="198">
        <v>57.898000000000003</v>
      </c>
      <c r="AC34" s="3216">
        <v>57.898000000000003</v>
      </c>
      <c r="AD34" s="198"/>
      <c r="AE34" s="198"/>
      <c r="AF34" s="198"/>
      <c r="AG34" s="198"/>
      <c r="AU34" s="164"/>
    </row>
    <row r="35" spans="4:47" ht="18" hidden="1" outlineLevel="1" x14ac:dyDescent="0.25">
      <c r="D35" s="3100" t="s">
        <v>215</v>
      </c>
      <c r="E35" s="3100" t="s">
        <v>216</v>
      </c>
      <c r="F35" s="196">
        <v>1</v>
      </c>
      <c r="G35" s="3828" t="s">
        <v>217</v>
      </c>
      <c r="H35" s="3828"/>
      <c r="I35" s="183" t="s">
        <v>195</v>
      </c>
      <c r="V35" s="2023" t="str">
        <f t="shared" si="0"/>
        <v>CP</v>
      </c>
      <c r="W35" s="197">
        <v>1</v>
      </c>
      <c r="X35" s="198">
        <v>1</v>
      </c>
      <c r="Y35" s="197">
        <v>1</v>
      </c>
      <c r="Z35" s="3216">
        <v>1</v>
      </c>
      <c r="AA35" s="3216">
        <v>1</v>
      </c>
      <c r="AB35" s="198">
        <v>1</v>
      </c>
      <c r="AC35" s="3216">
        <v>1</v>
      </c>
      <c r="AD35" s="198"/>
      <c r="AE35" s="198"/>
      <c r="AF35" s="198"/>
      <c r="AG35" s="198"/>
      <c r="AU35" s="164"/>
    </row>
    <row r="36" spans="4:47" hidden="1" outlineLevel="1" x14ac:dyDescent="0.25">
      <c r="D36" s="3100">
        <v>3412</v>
      </c>
      <c r="E36" s="3100"/>
      <c r="F36" s="201">
        <v>3412</v>
      </c>
      <c r="G36" s="3828" t="s">
        <v>218</v>
      </c>
      <c r="H36" s="3828"/>
      <c r="I36" s="183" t="s">
        <v>219</v>
      </c>
      <c r="V36" s="2023">
        <f t="shared" si="0"/>
        <v>3412</v>
      </c>
      <c r="W36" s="202">
        <v>3412</v>
      </c>
      <c r="X36" s="203">
        <v>3412</v>
      </c>
      <c r="Y36" s="202">
        <v>3412</v>
      </c>
      <c r="Z36" s="1649">
        <v>3412</v>
      </c>
      <c r="AA36" s="1649">
        <v>3412</v>
      </c>
      <c r="AB36" s="203">
        <v>3412</v>
      </c>
      <c r="AC36" s="1649">
        <v>3412</v>
      </c>
      <c r="AD36" s="203"/>
      <c r="AE36" s="203"/>
      <c r="AF36" s="203"/>
      <c r="AG36" s="203"/>
      <c r="AU36" s="164"/>
    </row>
    <row r="37" spans="4:47" ht="30" hidden="1" outlineLevel="1" x14ac:dyDescent="0.25">
      <c r="D37" s="204" t="s">
        <v>220</v>
      </c>
      <c r="E37" s="3100" t="s">
        <v>221</v>
      </c>
      <c r="F37" s="2666">
        <v>0.81</v>
      </c>
      <c r="G37" s="3828" t="s">
        <v>222</v>
      </c>
      <c r="H37" s="3828"/>
      <c r="I37" s="183" t="s">
        <v>223</v>
      </c>
      <c r="V37" s="2023" t="str">
        <f t="shared" si="0"/>
        <v>LF</v>
      </c>
      <c r="W37" s="2024">
        <v>1</v>
      </c>
      <c r="X37" s="2025">
        <v>0.5</v>
      </c>
      <c r="Y37" s="2025">
        <v>0.81</v>
      </c>
      <c r="Z37" s="993">
        <v>0.81</v>
      </c>
      <c r="AA37" s="993">
        <v>0.81</v>
      </c>
      <c r="AB37" s="2026">
        <v>0.81</v>
      </c>
      <c r="AC37" s="993">
        <v>0.81</v>
      </c>
      <c r="AD37" s="2026"/>
      <c r="AE37" s="2026"/>
      <c r="AF37" s="2026"/>
      <c r="AG37" s="2026"/>
      <c r="AU37" s="164"/>
    </row>
    <row r="38" spans="4:47" ht="75" hidden="1" outlineLevel="1" x14ac:dyDescent="0.35">
      <c r="D38" s="1435" t="s">
        <v>224</v>
      </c>
      <c r="E38" s="3100" t="s">
        <v>225</v>
      </c>
      <c r="F38" s="205">
        <v>0.53</v>
      </c>
      <c r="G38" s="3828" t="s">
        <v>226</v>
      </c>
      <c r="H38" s="3828"/>
      <c r="I38" s="183" t="s">
        <v>227</v>
      </c>
      <c r="V38" s="2023" t="str">
        <f t="shared" si="0"/>
        <v>WHFC</v>
      </c>
      <c r="W38" s="2027">
        <v>0.4</v>
      </c>
      <c r="X38" s="206">
        <v>0.53</v>
      </c>
      <c r="Y38" s="207">
        <v>0.53</v>
      </c>
      <c r="Z38" s="2130">
        <v>0.53</v>
      </c>
      <c r="AA38" s="2130">
        <v>0.53</v>
      </c>
      <c r="AB38" s="2028">
        <v>0.53</v>
      </c>
      <c r="AC38" s="2130">
        <v>0.53</v>
      </c>
      <c r="AD38" s="2028"/>
      <c r="AE38" s="2028"/>
      <c r="AF38" s="2028"/>
      <c r="AG38" s="2028"/>
      <c r="AU38" s="164"/>
    </row>
    <row r="39" spans="4:47" ht="345" hidden="1" outlineLevel="1" x14ac:dyDescent="0.25">
      <c r="D39" s="210" t="s">
        <v>228</v>
      </c>
      <c r="E39" s="3100" t="s">
        <v>229</v>
      </c>
      <c r="F39" s="205">
        <v>0.43</v>
      </c>
      <c r="G39" s="3828" t="s">
        <v>226</v>
      </c>
      <c r="H39" s="3828"/>
      <c r="I39" s="3100" t="s">
        <v>230</v>
      </c>
      <c r="V39" s="2023" t="str">
        <f t="shared" si="0"/>
        <v>WHFH</v>
      </c>
      <c r="W39" s="2027">
        <v>0.57999999999999996</v>
      </c>
      <c r="X39" s="206">
        <v>0.43</v>
      </c>
      <c r="Y39" s="207">
        <v>0.43</v>
      </c>
      <c r="Z39" s="2130">
        <v>0.43</v>
      </c>
      <c r="AA39" s="2130">
        <v>0.43</v>
      </c>
      <c r="AB39" s="2028">
        <v>0.43</v>
      </c>
      <c r="AC39" s="2130">
        <v>0.43</v>
      </c>
      <c r="AD39" s="2028"/>
      <c r="AE39" s="2028"/>
      <c r="AF39" s="2028"/>
      <c r="AG39" s="2028"/>
      <c r="AU39" s="164"/>
    </row>
    <row r="40" spans="4:47" ht="225" hidden="1" outlineLevel="1" x14ac:dyDescent="0.25">
      <c r="D40" s="208" t="s">
        <v>231</v>
      </c>
      <c r="E40" s="3100" t="s">
        <v>232</v>
      </c>
      <c r="F40" s="209">
        <v>2.8</v>
      </c>
      <c r="G40" s="3828" t="s">
        <v>226</v>
      </c>
      <c r="H40" s="3828"/>
      <c r="I40" s="3100" t="s">
        <v>233</v>
      </c>
      <c r="V40" s="2023" t="str">
        <f t="shared" si="0"/>
        <v>COPcool</v>
      </c>
      <c r="W40" s="2024">
        <v>2.8</v>
      </c>
      <c r="X40" s="2026">
        <v>2.8</v>
      </c>
      <c r="Y40" s="2024">
        <v>2.8</v>
      </c>
      <c r="Z40" s="993">
        <v>2.8</v>
      </c>
      <c r="AA40" s="993">
        <v>2.8</v>
      </c>
      <c r="AB40" s="2026">
        <v>2.8</v>
      </c>
      <c r="AC40" s="993">
        <v>2.8</v>
      </c>
      <c r="AD40" s="2026"/>
      <c r="AE40" s="2026"/>
      <c r="AF40" s="2026"/>
      <c r="AG40" s="2026"/>
      <c r="AU40" s="164"/>
    </row>
    <row r="41" spans="4:47" hidden="1" outlineLevel="1" x14ac:dyDescent="0.25">
      <c r="D41" s="3829" t="s">
        <v>234</v>
      </c>
      <c r="E41" s="2120" t="s">
        <v>235</v>
      </c>
      <c r="F41" s="993">
        <v>1</v>
      </c>
      <c r="G41" s="3823" t="s">
        <v>226</v>
      </c>
      <c r="H41" s="3823"/>
      <c r="I41" s="3836" t="s">
        <v>236</v>
      </c>
      <c r="V41" s="3832" t="str">
        <f t="shared" si="0"/>
        <v>COPheat</v>
      </c>
      <c r="W41" s="2024">
        <v>1</v>
      </c>
      <c r="X41" s="2026">
        <v>1</v>
      </c>
      <c r="Y41" s="2024">
        <v>1</v>
      </c>
      <c r="Z41" s="993">
        <v>1</v>
      </c>
      <c r="AA41" s="993">
        <v>1</v>
      </c>
      <c r="AB41" s="2026">
        <v>1</v>
      </c>
      <c r="AC41" s="993">
        <v>1</v>
      </c>
      <c r="AD41" s="2026"/>
      <c r="AE41" s="2026"/>
      <c r="AF41" s="2026"/>
      <c r="AG41" s="2026"/>
      <c r="AU41" s="164"/>
    </row>
    <row r="42" spans="4:47" hidden="1" outlineLevel="1" x14ac:dyDescent="0.25">
      <c r="D42" s="3830"/>
      <c r="E42" s="2120" t="s">
        <v>237</v>
      </c>
      <c r="F42" s="2121">
        <v>1.7</v>
      </c>
      <c r="G42" s="3823" t="s">
        <v>226</v>
      </c>
      <c r="H42" s="3823"/>
      <c r="I42" s="3837"/>
      <c r="V42" s="3833">
        <f t="shared" si="0"/>
        <v>0</v>
      </c>
      <c r="W42" s="2029">
        <v>1.7</v>
      </c>
      <c r="X42" s="2029">
        <v>1.7</v>
      </c>
      <c r="Y42" s="2029">
        <v>1.7</v>
      </c>
      <c r="Z42" s="2121">
        <v>1.7</v>
      </c>
      <c r="AA42" s="2121">
        <v>1.7</v>
      </c>
      <c r="AB42" s="2030">
        <v>1.7</v>
      </c>
      <c r="AC42" s="2121">
        <v>1.7</v>
      </c>
      <c r="AD42" s="2029"/>
      <c r="AE42" s="2029"/>
      <c r="AF42" s="2029"/>
      <c r="AG42" s="2029"/>
      <c r="AU42" s="164"/>
    </row>
    <row r="43" spans="4:47" ht="15" hidden="1" customHeight="1" outlineLevel="1" x14ac:dyDescent="0.25">
      <c r="D43" s="3830"/>
      <c r="E43" s="2120" t="s">
        <v>238</v>
      </c>
      <c r="F43" s="2121">
        <v>1.92</v>
      </c>
      <c r="G43" s="3823" t="s">
        <v>226</v>
      </c>
      <c r="H43" s="3823"/>
      <c r="I43" s="3837"/>
      <c r="V43" s="3833">
        <f t="shared" si="0"/>
        <v>0</v>
      </c>
      <c r="W43" s="2029">
        <v>1.92</v>
      </c>
      <c r="X43" s="211">
        <v>1.92</v>
      </c>
      <c r="Y43" s="211">
        <v>1.92</v>
      </c>
      <c r="Z43" s="2121">
        <v>1.92</v>
      </c>
      <c r="AA43" s="2121">
        <v>1.92</v>
      </c>
      <c r="AB43" s="2030">
        <v>1.92</v>
      </c>
      <c r="AC43" s="2121">
        <v>1.92</v>
      </c>
      <c r="AD43" s="2030"/>
      <c r="AE43" s="2030"/>
      <c r="AF43" s="2030"/>
      <c r="AG43" s="2030"/>
      <c r="AU43" s="164"/>
    </row>
    <row r="44" spans="4:47" ht="15" hidden="1" customHeight="1" outlineLevel="1" thickBot="1" x14ac:dyDescent="0.3">
      <c r="D44" s="3831"/>
      <c r="E44" s="2122" t="s">
        <v>239</v>
      </c>
      <c r="F44" s="2123">
        <v>2.04</v>
      </c>
      <c r="G44" s="3835" t="s">
        <v>226</v>
      </c>
      <c r="H44" s="3835"/>
      <c r="I44" s="3838"/>
      <c r="V44" s="3834">
        <f t="shared" si="0"/>
        <v>0</v>
      </c>
      <c r="W44" s="2029">
        <v>2.04</v>
      </c>
      <c r="X44" s="2030">
        <v>2.04</v>
      </c>
      <c r="Y44" s="2030">
        <v>2.04</v>
      </c>
      <c r="Z44" s="2121">
        <v>2.04</v>
      </c>
      <c r="AA44" s="2121">
        <v>2.04</v>
      </c>
      <c r="AB44" s="2030">
        <v>2.04</v>
      </c>
      <c r="AC44" s="2121">
        <v>2.04</v>
      </c>
      <c r="AD44" s="2030"/>
      <c r="AE44" s="2030"/>
      <c r="AF44" s="2030"/>
      <c r="AG44" s="2030"/>
      <c r="AU44" s="164"/>
    </row>
    <row r="45" spans="4:47" ht="54.75" hidden="1" customHeight="1" outlineLevel="1" x14ac:dyDescent="0.25">
      <c r="D45" s="2124" t="s">
        <v>240</v>
      </c>
      <c r="E45" s="3098" t="s">
        <v>241</v>
      </c>
      <c r="F45" s="2125">
        <v>1.33</v>
      </c>
      <c r="G45" s="3822" t="s">
        <v>242</v>
      </c>
      <c r="H45" s="3822"/>
      <c r="I45" s="1436" t="s">
        <v>223</v>
      </c>
      <c r="V45" s="2023" t="str">
        <f t="shared" si="0"/>
        <v>LM</v>
      </c>
      <c r="W45" s="2024">
        <v>3</v>
      </c>
      <c r="X45" s="2031">
        <v>3.52039106145252</v>
      </c>
      <c r="Y45" s="2032">
        <v>1.3299999999999965</v>
      </c>
      <c r="Z45" s="993">
        <v>1.3299999999999965</v>
      </c>
      <c r="AA45" s="993">
        <v>1.3299999999999965</v>
      </c>
      <c r="AB45" s="2026">
        <v>1.33</v>
      </c>
      <c r="AC45" s="993">
        <v>1.33</v>
      </c>
      <c r="AD45" s="2026"/>
      <c r="AE45" s="2026"/>
      <c r="AF45" s="2026"/>
      <c r="AG45" s="2026"/>
      <c r="AU45" s="164"/>
    </row>
    <row r="46" spans="4:47" ht="15" hidden="1" customHeight="1" outlineLevel="1" x14ac:dyDescent="0.25">
      <c r="D46" s="2126" t="s">
        <v>243</v>
      </c>
      <c r="E46" s="3099" t="s">
        <v>244</v>
      </c>
      <c r="F46" s="2130">
        <v>0.95</v>
      </c>
      <c r="G46" s="3823" t="s">
        <v>245</v>
      </c>
      <c r="H46" s="3823"/>
      <c r="I46" s="183"/>
      <c r="V46" s="2023" t="str">
        <f t="shared" si="0"/>
        <v>%Cool</v>
      </c>
      <c r="W46" s="2027">
        <v>0.91</v>
      </c>
      <c r="X46" s="2028">
        <v>1</v>
      </c>
      <c r="Y46" s="2027">
        <v>1</v>
      </c>
      <c r="Z46" s="2130">
        <v>1</v>
      </c>
      <c r="AA46" s="2130">
        <v>1</v>
      </c>
      <c r="AB46" s="2127">
        <v>0.95</v>
      </c>
      <c r="AC46" s="2130">
        <v>0.95</v>
      </c>
      <c r="AD46" s="2028"/>
      <c r="AE46" s="2028"/>
      <c r="AF46" s="2028"/>
      <c r="AG46" s="2028"/>
      <c r="AU46" s="164"/>
    </row>
    <row r="47" spans="4:47" ht="30" hidden="1" customHeight="1" outlineLevel="1" x14ac:dyDescent="0.25">
      <c r="D47" s="3099" t="s">
        <v>246</v>
      </c>
      <c r="E47" s="3099" t="s">
        <v>247</v>
      </c>
      <c r="F47" s="2128">
        <v>0.2231404958677686</v>
      </c>
      <c r="G47" s="3823" t="s">
        <v>248</v>
      </c>
      <c r="H47" s="3823"/>
      <c r="I47" s="183" t="s">
        <v>195</v>
      </c>
      <c r="V47" s="2023" t="str">
        <f t="shared" si="0"/>
        <v xml:space="preserve">%ElectricHeat - Electric Resistance Saturation </v>
      </c>
      <c r="W47" s="212">
        <v>0.375</v>
      </c>
      <c r="X47" s="213">
        <v>0.375</v>
      </c>
      <c r="Y47" s="187">
        <v>0.2231404958677686</v>
      </c>
      <c r="Z47" s="188">
        <v>0.2231404958677686</v>
      </c>
      <c r="AA47" s="188">
        <v>0.2231404958677686</v>
      </c>
      <c r="AB47" s="213">
        <v>0.2231404958677686</v>
      </c>
      <c r="AC47" s="188">
        <v>0.2231404958677686</v>
      </c>
      <c r="AD47" s="213"/>
      <c r="AE47" s="213"/>
      <c r="AF47" s="213"/>
      <c r="AG47" s="213"/>
      <c r="AU47" s="164"/>
    </row>
    <row r="48" spans="4:47" ht="30.75" hidden="1" customHeight="1" outlineLevel="1" x14ac:dyDescent="0.25">
      <c r="D48" s="3099" t="s">
        <v>249</v>
      </c>
      <c r="E48" s="3099" t="s">
        <v>250</v>
      </c>
      <c r="F48" s="2128">
        <v>0.26859504132231404</v>
      </c>
      <c r="G48" s="3823" t="s">
        <v>248</v>
      </c>
      <c r="H48" s="3823"/>
      <c r="I48" s="183" t="s">
        <v>251</v>
      </c>
      <c r="V48" s="2023" t="str">
        <f t="shared" si="0"/>
        <v>%ElectricHeat - Heat Pump Saturation</v>
      </c>
      <c r="W48" s="212">
        <v>0.42199999999999999</v>
      </c>
      <c r="X48" s="213">
        <v>0.42199999999999999</v>
      </c>
      <c r="Y48" s="187">
        <v>0.26859504132231404</v>
      </c>
      <c r="Z48" s="188">
        <v>0.26859504132231404</v>
      </c>
      <c r="AA48" s="188">
        <v>0.26859504132231404</v>
      </c>
      <c r="AB48" s="213">
        <v>0.26859504132231404</v>
      </c>
      <c r="AC48" s="188">
        <v>0.26859504132231404</v>
      </c>
      <c r="AD48" s="213"/>
      <c r="AE48" s="213"/>
      <c r="AF48" s="213"/>
      <c r="AG48" s="213"/>
      <c r="AU48" s="164"/>
    </row>
    <row r="49" spans="2:57" ht="15" hidden="1" customHeight="1" outlineLevel="1" x14ac:dyDescent="0.25">
      <c r="D49" s="3099" t="s">
        <v>133</v>
      </c>
      <c r="E49" s="3099" t="s">
        <v>252</v>
      </c>
      <c r="F49" s="323">
        <v>1</v>
      </c>
      <c r="G49" s="3823" t="s">
        <v>253</v>
      </c>
      <c r="H49" s="3823"/>
      <c r="I49" s="183" t="s">
        <v>195</v>
      </c>
      <c r="V49" s="2023" t="str">
        <f t="shared" si="0"/>
        <v>ISR</v>
      </c>
      <c r="W49" s="215">
        <v>1</v>
      </c>
      <c r="X49" s="216">
        <v>1</v>
      </c>
      <c r="Y49" s="216">
        <v>1</v>
      </c>
      <c r="Z49" s="323">
        <v>1</v>
      </c>
      <c r="AA49" s="323">
        <v>1</v>
      </c>
      <c r="AB49" s="216">
        <v>1</v>
      </c>
      <c r="AC49" s="323">
        <v>1</v>
      </c>
      <c r="AD49" s="216"/>
      <c r="AE49" s="216"/>
      <c r="AF49" s="216"/>
      <c r="AG49" s="216"/>
      <c r="AU49" s="164"/>
    </row>
    <row r="50" spans="2:57" ht="15" hidden="1" customHeight="1" outlineLevel="1" x14ac:dyDescent="0.25">
      <c r="D50" s="3099" t="str">
        <f>M6</f>
        <v>EUL</v>
      </c>
      <c r="E50" s="3099" t="str">
        <f>'Energy Effic. Kits Deemed Table'!E38</f>
        <v>Effective Useful Life</v>
      </c>
      <c r="F50" s="325">
        <v>13</v>
      </c>
      <c r="G50" s="3823"/>
      <c r="H50" s="3823"/>
      <c r="I50" s="183"/>
      <c r="V50" s="2023" t="str">
        <f t="shared" si="0"/>
        <v>EUL</v>
      </c>
      <c r="W50" s="217">
        <v>13</v>
      </c>
      <c r="X50" s="217">
        <v>13</v>
      </c>
      <c r="Y50" s="217">
        <v>13</v>
      </c>
      <c r="Z50" s="325">
        <v>13</v>
      </c>
      <c r="AA50" s="325">
        <v>13</v>
      </c>
      <c r="AB50" s="2131">
        <v>13</v>
      </c>
      <c r="AC50" s="325">
        <v>13</v>
      </c>
      <c r="AD50" s="217"/>
      <c r="AE50" s="217"/>
      <c r="AF50" s="217"/>
      <c r="AG50" s="217"/>
      <c r="AU50" s="164"/>
    </row>
    <row r="51" spans="2:57" ht="15" hidden="1" customHeight="1" outlineLevel="1" x14ac:dyDescent="0.25">
      <c r="D51" s="3099" t="str">
        <f>N6</f>
        <v>Inc. Cost</v>
      </c>
      <c r="E51" s="3099" t="str">
        <f>'HVAC Deemed Table'!E101</f>
        <v>Incremental Cost ($)</v>
      </c>
      <c r="F51" s="444">
        <v>588</v>
      </c>
      <c r="G51" s="3823"/>
      <c r="H51" s="3823"/>
      <c r="I51" s="183" t="s">
        <v>185</v>
      </c>
      <c r="V51" s="2023" t="str">
        <f t="shared" si="0"/>
        <v>Inc. Cost</v>
      </c>
      <c r="W51" s="219">
        <v>588</v>
      </c>
      <c r="X51" s="219">
        <v>588</v>
      </c>
      <c r="Y51" s="219">
        <v>588</v>
      </c>
      <c r="Z51" s="444">
        <v>588</v>
      </c>
      <c r="AA51" s="444">
        <v>588</v>
      </c>
      <c r="AB51" s="2132">
        <v>588</v>
      </c>
      <c r="AC51" s="444">
        <v>588</v>
      </c>
      <c r="AD51" s="219"/>
      <c r="AE51" s="219"/>
      <c r="AF51" s="219"/>
      <c r="AG51" s="219"/>
      <c r="AU51" s="164"/>
    </row>
    <row r="52" spans="2:57" collapsed="1" x14ac:dyDescent="0.25">
      <c r="D52" s="220"/>
      <c r="E52" s="220"/>
      <c r="F52" s="221"/>
      <c r="G52" s="221"/>
      <c r="H52" s="221"/>
      <c r="I52" s="221"/>
      <c r="J52" s="221"/>
      <c r="K52" s="221"/>
      <c r="L52" s="221"/>
      <c r="M52" s="221"/>
      <c r="N52" s="221"/>
      <c r="O52" s="221"/>
      <c r="X52" s="39"/>
      <c r="Y52" s="39"/>
      <c r="Z52" s="39"/>
      <c r="AA52" s="39"/>
      <c r="AU52" s="164"/>
    </row>
    <row r="53" spans="2:57" x14ac:dyDescent="0.25">
      <c r="X53" s="39"/>
      <c r="Y53" s="39"/>
      <c r="Z53" s="39"/>
      <c r="AA53" s="39"/>
      <c r="AU53" s="164"/>
    </row>
    <row r="54" spans="2:57" x14ac:dyDescent="0.25">
      <c r="B54" s="3750" t="s">
        <v>254</v>
      </c>
      <c r="C54" s="3751"/>
      <c r="D54" s="3751"/>
      <c r="E54" s="3751"/>
      <c r="F54" s="3751"/>
      <c r="G54" s="3751"/>
      <c r="H54" s="3751"/>
      <c r="I54" s="3744"/>
      <c r="J54" s="3744"/>
      <c r="K54" s="3744"/>
      <c r="L54" s="3744"/>
      <c r="M54" s="3744"/>
      <c r="N54" s="3744"/>
      <c r="O54" s="3745"/>
      <c r="P54" s="249"/>
      <c r="Q54" s="249"/>
      <c r="V54" s="3750" t="str">
        <f>B54</f>
        <v>Learning Thermostat / Advanced Thermostat</v>
      </c>
      <c r="W54" s="3751"/>
      <c r="X54" s="3751"/>
      <c r="Y54" s="3751"/>
      <c r="Z54" s="3751"/>
      <c r="AA54" s="3751"/>
      <c r="AB54" s="3751"/>
      <c r="AC54" s="3752"/>
      <c r="AD54" s="3752"/>
      <c r="AE54" s="3752"/>
      <c r="AF54" s="3752"/>
      <c r="AG54" s="3752"/>
      <c r="AH54" s="3752"/>
      <c r="AI54" s="3753"/>
      <c r="AU54" s="164"/>
    </row>
    <row r="55" spans="2:57" x14ac:dyDescent="0.25">
      <c r="B55" s="1437"/>
      <c r="C55" s="225"/>
      <c r="E55" s="329" t="s">
        <v>255</v>
      </c>
      <c r="F55" s="226"/>
      <c r="G55" s="226"/>
      <c r="H55" s="226"/>
      <c r="I55" s="226"/>
      <c r="J55" s="226"/>
      <c r="K55" s="226"/>
      <c r="L55" s="1438"/>
      <c r="M55" s="249"/>
      <c r="N55" s="249"/>
      <c r="O55" s="249"/>
      <c r="P55" s="249"/>
      <c r="Q55" s="249"/>
      <c r="AU55" s="164"/>
    </row>
    <row r="56" spans="2:57" ht="30" x14ac:dyDescent="0.25">
      <c r="B56" s="1437"/>
      <c r="C56" s="3086" t="s">
        <v>28</v>
      </c>
      <c r="D56" s="3086" t="s">
        <v>175</v>
      </c>
      <c r="E56" s="3086" t="s">
        <v>30</v>
      </c>
      <c r="F56" s="3086" t="s">
        <v>31</v>
      </c>
      <c r="G56" s="3086" t="s">
        <v>176</v>
      </c>
      <c r="H56" s="3086" t="s">
        <v>177</v>
      </c>
      <c r="I56" s="3086" t="s">
        <v>32</v>
      </c>
      <c r="J56" s="3140" t="s">
        <v>181</v>
      </c>
      <c r="K56" s="3086" t="s">
        <v>170</v>
      </c>
      <c r="L56" s="3086" t="s">
        <v>44</v>
      </c>
      <c r="M56" s="228"/>
      <c r="N56" s="228"/>
      <c r="O56" s="229"/>
      <c r="P56" s="229"/>
      <c r="Q56" s="249"/>
      <c r="V56" s="1936" t="s">
        <v>45</v>
      </c>
      <c r="W56" s="1937">
        <v>43252</v>
      </c>
      <c r="X56" s="1937">
        <f>$X$6</f>
        <v>43465</v>
      </c>
      <c r="Y56" s="1937">
        <f>$Y$6</f>
        <v>43800</v>
      </c>
      <c r="Z56" s="1937">
        <f>$Z$6</f>
        <v>43862</v>
      </c>
      <c r="AA56" s="1937">
        <f>$AA$6</f>
        <v>44013</v>
      </c>
      <c r="AB56" s="1937">
        <f>$AB$6</f>
        <v>44166</v>
      </c>
      <c r="AC56" s="1937">
        <f>$AC$6</f>
        <v>44531</v>
      </c>
      <c r="AD56" s="1937" t="str">
        <f>$AD$6</f>
        <v>-</v>
      </c>
      <c r="AE56" s="1937" t="str">
        <f>$AE$6</f>
        <v>-</v>
      </c>
      <c r="AF56" s="1937" t="str">
        <f>$AF$6</f>
        <v>-</v>
      </c>
      <c r="AG56" s="1937" t="str">
        <f>$AG$6</f>
        <v>-</v>
      </c>
      <c r="AU56" s="164"/>
      <c r="BB56" s="1953" t="str">
        <f>$BB$6</f>
        <v>TRC (2020)</v>
      </c>
      <c r="BC56" s="1953" t="str">
        <f>$BC$6</f>
        <v>Benefit Lookup</v>
      </c>
      <c r="BD56" s="230" t="str">
        <f>$BD$6</f>
        <v>Benefits (2019 $)</v>
      </c>
      <c r="BE56" s="230" t="str">
        <f>$BE$6</f>
        <v>Incremental Cost (2019 $)</v>
      </c>
    </row>
    <row r="57" spans="2:57" x14ac:dyDescent="0.25">
      <c r="B57" s="1437"/>
      <c r="C57" s="3004" t="s">
        <v>256</v>
      </c>
      <c r="D57" s="3227" t="s">
        <v>183</v>
      </c>
      <c r="E57" s="231" t="s">
        <v>257</v>
      </c>
      <c r="F57" s="2988">
        <f>ROUND($F$142*(($F$150*$F$152*1/$F$154)/1000)*$F$155*$F$131,2)</f>
        <v>190.21</v>
      </c>
      <c r="G57" s="233" t="s">
        <v>258</v>
      </c>
      <c r="H57" s="155">
        <f>VLOOKUP(G57,'CP FACTORS'!$A$3:$B$38, 2, FALSE)</f>
        <v>9.4741810000000004E-4</v>
      </c>
      <c r="I57" s="234">
        <f t="shared" ref="I57:I80" si="1">ROUND(H57*F57,6)</f>
        <v>0.18020800000000001</v>
      </c>
      <c r="J57" s="1168">
        <f t="shared" ref="J57:J80" si="2">$F$165</f>
        <v>10</v>
      </c>
      <c r="K57" s="306">
        <f>$F$166</f>
        <v>125</v>
      </c>
      <c r="L57" s="1439" t="s">
        <v>185</v>
      </c>
      <c r="M57" s="229"/>
      <c r="N57" s="235"/>
      <c r="O57" s="147"/>
      <c r="P57" s="147"/>
      <c r="R57" s="1431"/>
      <c r="V57" s="160" t="str">
        <f t="shared" ref="V57:V80" si="3">$F$56</f>
        <v>kWh Annual Savings</v>
      </c>
      <c r="W57" s="236">
        <v>192.51692307692309</v>
      </c>
      <c r="X57" s="237">
        <v>187.92922225947771</v>
      </c>
      <c r="Y57" s="238">
        <v>187.46</v>
      </c>
      <c r="Z57" s="2084">
        <v>187.46</v>
      </c>
      <c r="AA57" s="2084">
        <v>187.46</v>
      </c>
      <c r="AB57" s="2038">
        <v>185.21</v>
      </c>
      <c r="AC57" s="2988">
        <v>190.21</v>
      </c>
      <c r="AD57" s="160"/>
      <c r="AE57" s="160"/>
      <c r="AF57" s="160"/>
      <c r="AG57" s="160"/>
      <c r="AH57" s="163"/>
      <c r="AU57" s="164"/>
      <c r="BB57" s="239">
        <f>(BD57+BD58)/(BE57+BE58)</f>
        <v>2.9196668198456934</v>
      </c>
      <c r="BC57" s="231" t="str">
        <f t="shared" ref="BC57:BC80" si="4">CONCATENATE(G57," ",J57," Year EUL")</f>
        <v>Cooling RES 10 Year EUL</v>
      </c>
      <c r="BD57" s="111">
        <f>(INDEX('Avoided Cost Benefits'!$C$4:$C$857,MATCH(BC57,'Avoided Cost Benefits'!$A$4:$A$857,0)))*F57</f>
        <v>194.87749883272355</v>
      </c>
      <c r="BE57" s="1946">
        <f t="shared" ref="BE57:BE80" si="5">K57/(1.0595^(2020-2019))</f>
        <v>117.98017932987257</v>
      </c>
    </row>
    <row r="58" spans="2:57" x14ac:dyDescent="0.25">
      <c r="B58" s="1437"/>
      <c r="C58" s="3004" t="s">
        <v>256</v>
      </c>
      <c r="D58" s="3227" t="s">
        <v>183</v>
      </c>
      <c r="E58" s="240" t="s">
        <v>257</v>
      </c>
      <c r="F58" s="232">
        <f>ROUND($F$99*$F$107*$F$119*$F$127*$F$131+$F$133*$F$141*29.3,2)</f>
        <v>550.48</v>
      </c>
      <c r="G58" s="233" t="s">
        <v>259</v>
      </c>
      <c r="H58" s="155">
        <f>VLOOKUP(G58,'CP FACTORS'!$A$3:$B$38, 2, FALSE)</f>
        <v>0</v>
      </c>
      <c r="I58" s="234">
        <f t="shared" si="1"/>
        <v>0</v>
      </c>
      <c r="J58" s="1168">
        <f t="shared" si="2"/>
        <v>10</v>
      </c>
      <c r="K58" s="306"/>
      <c r="L58" s="1439" t="s">
        <v>185</v>
      </c>
      <c r="M58" s="229"/>
      <c r="N58" s="235"/>
      <c r="O58" s="147"/>
      <c r="P58" s="241"/>
      <c r="R58" s="1431"/>
      <c r="V58" s="160" t="str">
        <f t="shared" si="3"/>
        <v>kWh Annual Savings</v>
      </c>
      <c r="W58" s="236">
        <v>661.9754064</v>
      </c>
      <c r="X58" s="237">
        <v>552.61606399999994</v>
      </c>
      <c r="Y58" s="238">
        <v>557.16</v>
      </c>
      <c r="Z58" s="2084">
        <v>557.16</v>
      </c>
      <c r="AA58" s="2084">
        <v>557.16</v>
      </c>
      <c r="AB58" s="2038">
        <v>550.48</v>
      </c>
      <c r="AC58" s="232">
        <v>550.48</v>
      </c>
      <c r="AD58" s="160"/>
      <c r="AE58" s="160"/>
      <c r="AF58" s="160"/>
      <c r="AG58" s="160"/>
      <c r="AH58" s="163"/>
      <c r="AU58" s="164"/>
      <c r="BB58" s="242"/>
      <c r="BC58" s="240" t="str">
        <f t="shared" si="4"/>
        <v>Heating RES 10 Year EUL</v>
      </c>
      <c r="BD58" s="114">
        <f>(INDEX('Avoided Cost Benefits'!$C$4:$C$857,MATCH(BC58,'Avoided Cost Benefits'!$A$4:$A$857,0)))*F58</f>
        <v>149.5853161561501</v>
      </c>
      <c r="BE58" s="1949">
        <f t="shared" si="5"/>
        <v>0</v>
      </c>
    </row>
    <row r="59" spans="2:57" x14ac:dyDescent="0.25">
      <c r="B59" s="1437"/>
      <c r="C59" s="3004" t="s">
        <v>260</v>
      </c>
      <c r="D59" s="3227" t="s">
        <v>183</v>
      </c>
      <c r="E59" s="231" t="s">
        <v>261</v>
      </c>
      <c r="F59" s="2988">
        <f>ROUND($F$143*(($F$150*$F$153*1/$F$154)/1000)*$F$155*$F$131,2)</f>
        <v>190.21</v>
      </c>
      <c r="G59" s="233" t="s">
        <v>258</v>
      </c>
      <c r="H59" s="155">
        <f>VLOOKUP(G59,'CP FACTORS'!$A$3:$B$38, 2, FALSE)</f>
        <v>9.4741810000000004E-4</v>
      </c>
      <c r="I59" s="234">
        <f t="shared" si="1"/>
        <v>0.18020800000000001</v>
      </c>
      <c r="J59" s="1168">
        <f t="shared" si="2"/>
        <v>10</v>
      </c>
      <c r="K59" s="306">
        <f>$F$166</f>
        <v>125</v>
      </c>
      <c r="L59" s="1439" t="s">
        <v>185</v>
      </c>
      <c r="M59" s="229"/>
      <c r="N59" s="235"/>
      <c r="O59" s="147"/>
      <c r="P59" s="241"/>
      <c r="R59" s="1431"/>
      <c r="V59" s="160" t="str">
        <f t="shared" si="3"/>
        <v>kWh Annual Savings</v>
      </c>
      <c r="W59" s="236"/>
      <c r="X59" s="237"/>
      <c r="Y59" s="238">
        <v>187.46</v>
      </c>
      <c r="Z59" s="2084">
        <v>187.46</v>
      </c>
      <c r="AA59" s="2084">
        <v>187.46</v>
      </c>
      <c r="AB59" s="2038">
        <v>185.21</v>
      </c>
      <c r="AC59" s="2988">
        <v>190.21</v>
      </c>
      <c r="AD59" s="160"/>
      <c r="AE59" s="160"/>
      <c r="AF59" s="160"/>
      <c r="AG59" s="160"/>
      <c r="AH59" s="163"/>
      <c r="AU59" s="164"/>
      <c r="BB59" s="244">
        <f>(BD59+BD60)/(BE59+BE60)</f>
        <v>2.4759254468217549</v>
      </c>
      <c r="BC59" s="231" t="str">
        <f t="shared" si="4"/>
        <v>Cooling RES 10 Year EUL</v>
      </c>
      <c r="BD59" s="114">
        <f>(INDEX('Avoided Cost Benefits'!$C$4:$C$857,MATCH(BC59,'Avoided Cost Benefits'!$A$4:$A$857,0)))*F59</f>
        <v>194.87749883272355</v>
      </c>
      <c r="BE59" s="1949">
        <f t="shared" si="5"/>
        <v>117.98017932987257</v>
      </c>
    </row>
    <row r="60" spans="2:57" x14ac:dyDescent="0.25">
      <c r="B60" s="1437"/>
      <c r="C60" s="3004" t="s">
        <v>260</v>
      </c>
      <c r="D60" s="3227" t="s">
        <v>183</v>
      </c>
      <c r="E60" s="240" t="s">
        <v>261</v>
      </c>
      <c r="F60" s="232">
        <f>ROUND($F$100*$F$108*$F$120*$F$127*$F$131+$F$133*$F$141*29.3,2)</f>
        <v>357.82</v>
      </c>
      <c r="G60" s="233" t="s">
        <v>259</v>
      </c>
      <c r="H60" s="155">
        <f>VLOOKUP(G60,'CP FACTORS'!$A$3:$B$38, 2, FALSE)</f>
        <v>0</v>
      </c>
      <c r="I60" s="234">
        <f t="shared" si="1"/>
        <v>0</v>
      </c>
      <c r="J60" s="1168">
        <f t="shared" si="2"/>
        <v>10</v>
      </c>
      <c r="K60" s="306"/>
      <c r="L60" s="1439" t="s">
        <v>185</v>
      </c>
      <c r="M60" s="229"/>
      <c r="N60" s="235"/>
      <c r="O60" s="147"/>
      <c r="P60" s="241"/>
      <c r="R60" s="1431"/>
      <c r="V60" s="160" t="str">
        <f t="shared" si="3"/>
        <v>kWh Annual Savings</v>
      </c>
      <c r="W60" s="236"/>
      <c r="X60" s="237"/>
      <c r="Y60" s="238">
        <v>362.16</v>
      </c>
      <c r="Z60" s="2084">
        <v>362.16</v>
      </c>
      <c r="AA60" s="2084">
        <v>362.16</v>
      </c>
      <c r="AB60" s="2038">
        <v>357.82</v>
      </c>
      <c r="AC60" s="232">
        <v>357.82</v>
      </c>
      <c r="AD60" s="160"/>
      <c r="AE60" s="160"/>
      <c r="AF60" s="160"/>
      <c r="AG60" s="160"/>
      <c r="AH60" s="163"/>
      <c r="AU60" s="164"/>
      <c r="BB60" s="242"/>
      <c r="BC60" s="240" t="str">
        <f t="shared" si="4"/>
        <v>Heating RES 10 Year EUL</v>
      </c>
      <c r="BD60" s="114">
        <f>(INDEX('Avoided Cost Benefits'!$C$4:$C$857,MATCH(BC60,'Avoided Cost Benefits'!$A$4:$A$857,0)))*F60</f>
        <v>97.232629390701987</v>
      </c>
      <c r="BE60" s="1949">
        <f t="shared" si="5"/>
        <v>0</v>
      </c>
    </row>
    <row r="61" spans="2:57" x14ac:dyDescent="0.25">
      <c r="B61" s="1437"/>
      <c r="C61" s="3004" t="s">
        <v>262</v>
      </c>
      <c r="D61" s="1862" t="str">
        <f>CONCATENATE(D59,"_CompE")</f>
        <v>Efficient Products_CompE</v>
      </c>
      <c r="E61" s="3115" t="str">
        <f>CONCATENATE(E59,"_CompE")</f>
        <v>Learning Thermostat - ASHP heating/cooling MF_CompE</v>
      </c>
      <c r="F61" s="2988">
        <f>ROUND($F$143*(($F$151*$F$153*1/$F$154)/1000)*$F$155*$F$131,2)</f>
        <v>138.33000000000001</v>
      </c>
      <c r="G61" s="233" t="s">
        <v>258</v>
      </c>
      <c r="H61" s="155">
        <f>VLOOKUP(G61,'CP FACTORS'!$A$3:$B$38, 2, FALSE)</f>
        <v>9.4741810000000004E-4</v>
      </c>
      <c r="I61" s="234">
        <f t="shared" si="1"/>
        <v>0.13105600000000001</v>
      </c>
      <c r="J61" s="1168">
        <f t="shared" si="2"/>
        <v>10</v>
      </c>
      <c r="K61" s="306">
        <f>$F$166</f>
        <v>125</v>
      </c>
      <c r="L61" s="1439" t="s">
        <v>185</v>
      </c>
      <c r="M61" s="229"/>
      <c r="N61" s="235"/>
      <c r="O61" s="147"/>
      <c r="P61" s="241"/>
      <c r="R61" s="1431"/>
      <c r="V61" s="160" t="str">
        <f t="shared" si="3"/>
        <v>kWh Annual Savings</v>
      </c>
      <c r="W61" s="236"/>
      <c r="X61" s="237"/>
      <c r="Y61" s="238">
        <v>136.33000000000001</v>
      </c>
      <c r="Z61" s="2084">
        <v>136.33000000000001</v>
      </c>
      <c r="AA61" s="2084">
        <v>136.33000000000001</v>
      </c>
      <c r="AB61" s="2038">
        <v>134.69999999999999</v>
      </c>
      <c r="AC61" s="2988">
        <v>138.33000000000001</v>
      </c>
      <c r="AD61" s="160"/>
      <c r="AE61" s="160"/>
      <c r="AF61" s="160"/>
      <c r="AG61" s="160"/>
      <c r="AH61" s="163"/>
      <c r="AU61" s="164"/>
      <c r="BA61" s="184"/>
      <c r="BB61" s="244">
        <f>(BD61+BD62)/(BE61+BE62)</f>
        <v>1.4816521980845028</v>
      </c>
      <c r="BC61" s="231" t="str">
        <f t="shared" si="4"/>
        <v>Cooling RES 10 Year EUL</v>
      </c>
      <c r="BD61" s="114">
        <f>(INDEX('Avoided Cost Benefits'!$C$4:$C$857,MATCH(BC61,'Avoided Cost Benefits'!$A$4:$A$857,0)))*F61</f>
        <v>141.72443306624598</v>
      </c>
      <c r="BE61" s="1949">
        <f t="shared" si="5"/>
        <v>117.98017932987257</v>
      </c>
    </row>
    <row r="62" spans="2:57" x14ac:dyDescent="0.25">
      <c r="B62" s="1437"/>
      <c r="C62" s="3004" t="s">
        <v>262</v>
      </c>
      <c r="D62" s="1862" t="str">
        <f>CONCATENATE(D60,"_CompE")</f>
        <v>Efficient Products_CompE</v>
      </c>
      <c r="E62" s="3116" t="str">
        <f>CONCATENATE(E60,"_CompE")</f>
        <v>Learning Thermostat - ASHP heating/cooling MF_CompE</v>
      </c>
      <c r="F62" s="232">
        <f>ROUND($F$100*$F$109*$F$120*$F$127*$F$131+$F$133*$F$141*29.3,2)</f>
        <v>121.74</v>
      </c>
      <c r="G62" s="233" t="s">
        <v>259</v>
      </c>
      <c r="H62" s="155">
        <f>VLOOKUP(G62,'CP FACTORS'!$A$3:$B$38, 2, FALSE)</f>
        <v>0</v>
      </c>
      <c r="I62" s="234">
        <f t="shared" si="1"/>
        <v>0</v>
      </c>
      <c r="J62" s="1168">
        <f t="shared" si="2"/>
        <v>10</v>
      </c>
      <c r="K62" s="306"/>
      <c r="L62" s="1439" t="s">
        <v>185</v>
      </c>
      <c r="M62" s="229"/>
      <c r="N62" s="235"/>
      <c r="O62" s="147"/>
      <c r="P62" s="241"/>
      <c r="R62" s="1431"/>
      <c r="V62" s="160" t="str">
        <f t="shared" si="3"/>
        <v>kWh Annual Savings</v>
      </c>
      <c r="W62" s="236"/>
      <c r="X62" s="237"/>
      <c r="Y62" s="238">
        <v>123.22</v>
      </c>
      <c r="Z62" s="2084">
        <v>123.22</v>
      </c>
      <c r="AA62" s="2084">
        <v>123.22</v>
      </c>
      <c r="AB62" s="2038">
        <v>121.74</v>
      </c>
      <c r="AC62" s="232">
        <v>121.74</v>
      </c>
      <c r="AD62" s="160"/>
      <c r="AE62" s="160"/>
      <c r="AF62" s="160"/>
      <c r="AG62" s="160"/>
      <c r="AH62" s="163"/>
      <c r="AU62" s="164"/>
      <c r="BB62" s="242"/>
      <c r="BC62" s="240" t="str">
        <f t="shared" si="4"/>
        <v>Heating RES 10 Year EUL</v>
      </c>
      <c r="BD62" s="114">
        <f>(INDEX('Avoided Cost Benefits'!$C$4:$C$857,MATCH(BC62,'Avoided Cost Benefits'!$A$4:$A$857,0)))*F62</f>
        <v>33.081158968263537</v>
      </c>
      <c r="BE62" s="1949">
        <f t="shared" si="5"/>
        <v>0</v>
      </c>
    </row>
    <row r="63" spans="2:57" x14ac:dyDescent="0.25">
      <c r="B63" s="1437"/>
      <c r="C63" s="3004" t="s">
        <v>263</v>
      </c>
      <c r="D63" s="3227" t="s">
        <v>183</v>
      </c>
      <c r="E63" s="231" t="s">
        <v>264</v>
      </c>
      <c r="F63" s="2988">
        <f>ROUND($F$144*(($F$150*$F$153*1/$F$154)/1000)*$F$155*$F$131,2)</f>
        <v>190.21</v>
      </c>
      <c r="G63" s="233" t="s">
        <v>258</v>
      </c>
      <c r="H63" s="155">
        <f>VLOOKUP(G63,'CP FACTORS'!$A$3:$B$38, 2, FALSE)</f>
        <v>9.4741810000000004E-4</v>
      </c>
      <c r="I63" s="234">
        <f t="shared" si="1"/>
        <v>0.18020800000000001</v>
      </c>
      <c r="J63" s="1168">
        <f t="shared" si="2"/>
        <v>10</v>
      </c>
      <c r="K63" s="306">
        <f>$F$166</f>
        <v>125</v>
      </c>
      <c r="L63" s="1439" t="s">
        <v>185</v>
      </c>
      <c r="M63" s="229"/>
      <c r="N63" s="235"/>
      <c r="O63" s="147"/>
      <c r="P63" s="245"/>
      <c r="R63" s="1431"/>
      <c r="V63" s="160" t="str">
        <f t="shared" si="3"/>
        <v>kWh Annual Savings</v>
      </c>
      <c r="W63" s="236">
        <v>192.51692307692309</v>
      </c>
      <c r="X63" s="237">
        <v>122.15399446866051</v>
      </c>
      <c r="Y63" s="238">
        <v>187.46</v>
      </c>
      <c r="Z63" s="2084">
        <v>187.46</v>
      </c>
      <c r="AA63" s="2084">
        <v>187.46</v>
      </c>
      <c r="AB63" s="2038">
        <v>185.21</v>
      </c>
      <c r="AC63" s="2988">
        <v>190.21</v>
      </c>
      <c r="AD63" s="160"/>
      <c r="AE63" s="160"/>
      <c r="AF63" s="160"/>
      <c r="AG63" s="160"/>
      <c r="AH63" s="163"/>
      <c r="AU63" s="164"/>
      <c r="BB63" s="244">
        <f>(BD63+BD64)/(BE63+BE64)</f>
        <v>3.0526556440873742</v>
      </c>
      <c r="BC63" s="231" t="str">
        <f t="shared" si="4"/>
        <v>Cooling RES 10 Year EUL</v>
      </c>
      <c r="BD63" s="114">
        <f>(INDEX('Avoided Cost Benefits'!$C$4:$C$857,MATCH(BC63,'Avoided Cost Benefits'!$A$4:$A$857,0)))*F63</f>
        <v>194.87749883272355</v>
      </c>
      <c r="BE63" s="1949">
        <f t="shared" si="5"/>
        <v>117.98017932987257</v>
      </c>
    </row>
    <row r="64" spans="2:57" x14ac:dyDescent="0.25">
      <c r="B64" s="1437"/>
      <c r="C64" s="3004" t="s">
        <v>263</v>
      </c>
      <c r="D64" s="3227" t="s">
        <v>183</v>
      </c>
      <c r="E64" s="240" t="s">
        <v>264</v>
      </c>
      <c r="F64" s="232">
        <f>ROUND($F$101*$F$110*$F$121*$F$127*$F$131+$F$135*$F$141*29.3,2)</f>
        <v>608.22</v>
      </c>
      <c r="G64" s="233" t="s">
        <v>259</v>
      </c>
      <c r="H64" s="155">
        <f>VLOOKUP(G64,'CP FACTORS'!$A$3:$B$38, 2, FALSE)</f>
        <v>0</v>
      </c>
      <c r="I64" s="234">
        <f t="shared" si="1"/>
        <v>0</v>
      </c>
      <c r="J64" s="1168">
        <f t="shared" si="2"/>
        <v>10</v>
      </c>
      <c r="K64" s="306"/>
      <c r="L64" s="1439" t="s">
        <v>185</v>
      </c>
      <c r="M64" s="229"/>
      <c r="N64" s="235"/>
      <c r="O64" s="147"/>
      <c r="P64" s="147"/>
      <c r="R64" s="1431"/>
      <c r="V64" s="160" t="str">
        <f t="shared" si="3"/>
        <v>kWh Annual Savings</v>
      </c>
      <c r="W64" s="236">
        <v>710.41841416</v>
      </c>
      <c r="X64" s="237">
        <v>617.03664664150949</v>
      </c>
      <c r="Y64" s="238">
        <v>615.61</v>
      </c>
      <c r="Z64" s="2084">
        <v>615.61</v>
      </c>
      <c r="AA64" s="2084">
        <v>615.61</v>
      </c>
      <c r="AB64" s="2038">
        <v>608.22</v>
      </c>
      <c r="AC64" s="232">
        <v>608.22</v>
      </c>
      <c r="AD64" s="160"/>
      <c r="AE64" s="160"/>
      <c r="AF64" s="160"/>
      <c r="AG64" s="160"/>
      <c r="AH64" s="163"/>
      <c r="AU64" s="164"/>
      <c r="BB64" s="242"/>
      <c r="BC64" s="240" t="str">
        <f t="shared" si="4"/>
        <v>Heating RES 10 Year EUL</v>
      </c>
      <c r="BD64" s="114">
        <f>(INDEX('Avoided Cost Benefits'!$C$4:$C$857,MATCH(BC64,'Avoided Cost Benefits'!$A$4:$A$857,0)))*F64</f>
        <v>165.2753614890525</v>
      </c>
      <c r="BE64" s="1949">
        <f t="shared" si="5"/>
        <v>0</v>
      </c>
    </row>
    <row r="65" spans="2:57" x14ac:dyDescent="0.25">
      <c r="B65" s="1437"/>
      <c r="C65" s="3004" t="s">
        <v>265</v>
      </c>
      <c r="D65" s="1862" t="str">
        <f>CONCATENATE(D63,"_CompE")</f>
        <v>Efficient Products_CompE</v>
      </c>
      <c r="E65" s="3115" t="str">
        <f>CONCATENATE(E63,"_CompE")</f>
        <v>Learning Thermostat - electric furnace heating / central AC MF_CompE</v>
      </c>
      <c r="F65" s="2988">
        <f>ROUND($F$144*(($F$151*$F$153*1/$F$154)/1000)*$F$155*$F$131,2)</f>
        <v>138.33000000000001</v>
      </c>
      <c r="G65" s="233" t="s">
        <v>258</v>
      </c>
      <c r="H65" s="155">
        <f>VLOOKUP(G65,'CP FACTORS'!$A$3:$B$38, 2, FALSE)</f>
        <v>9.4741810000000004E-4</v>
      </c>
      <c r="I65" s="234">
        <f t="shared" si="1"/>
        <v>0.13105600000000001</v>
      </c>
      <c r="J65" s="1168">
        <f t="shared" si="2"/>
        <v>10</v>
      </c>
      <c r="K65" s="306">
        <f>$F$166</f>
        <v>125</v>
      </c>
      <c r="L65" s="1439" t="s">
        <v>185</v>
      </c>
      <c r="M65" s="229"/>
      <c r="N65" s="235"/>
      <c r="O65" s="147"/>
      <c r="P65" s="147"/>
      <c r="R65" s="1431"/>
      <c r="V65" s="160" t="str">
        <f t="shared" si="3"/>
        <v>kWh Annual Savings</v>
      </c>
      <c r="W65" s="236"/>
      <c r="X65" s="237"/>
      <c r="Y65" s="238">
        <v>136.33000000000001</v>
      </c>
      <c r="Z65" s="2084">
        <v>136.33000000000001</v>
      </c>
      <c r="AA65" s="2084">
        <v>136.33000000000001</v>
      </c>
      <c r="AB65" s="2038">
        <v>134.69999999999999</v>
      </c>
      <c r="AC65" s="2988">
        <v>138.33000000000001</v>
      </c>
      <c r="AD65" s="160"/>
      <c r="AE65" s="160"/>
      <c r="AF65" s="160"/>
      <c r="AG65" s="160"/>
      <c r="AH65" s="163"/>
      <c r="AU65" s="164"/>
      <c r="BA65" s="184"/>
      <c r="BB65" s="244">
        <f>(BD65+BD66)/(BE65+BE66)</f>
        <v>1.6778878722339867</v>
      </c>
      <c r="BC65" s="231" t="str">
        <f t="shared" si="4"/>
        <v>Cooling RES 10 Year EUL</v>
      </c>
      <c r="BD65" s="114">
        <f>(INDEX('Avoided Cost Benefits'!$C$4:$C$857,MATCH(BC65,'Avoided Cost Benefits'!$A$4:$A$857,0)))*F65</f>
        <v>141.72443306624598</v>
      </c>
      <c r="BE65" s="1949">
        <f t="shared" si="5"/>
        <v>117.98017932987257</v>
      </c>
    </row>
    <row r="66" spans="2:57" x14ac:dyDescent="0.25">
      <c r="B66" s="1437"/>
      <c r="C66" s="3004" t="s">
        <v>265</v>
      </c>
      <c r="D66" s="1862" t="str">
        <f>CONCATENATE(D64,"_CompE")</f>
        <v>Efficient Products_CompE</v>
      </c>
      <c r="E66" s="3116" t="str">
        <f>CONCATENATE(E64,"_CompE")</f>
        <v>Learning Thermostat - electric furnace heating / central AC MF_CompE</v>
      </c>
      <c r="F66" s="232">
        <f>ROUND($F$101*$F$111*$F$121*$F$127*$F$131+$F$135*$F$141*29.3,2)</f>
        <v>206.94</v>
      </c>
      <c r="G66" s="233" t="s">
        <v>259</v>
      </c>
      <c r="H66" s="155">
        <f>VLOOKUP(G66,'CP FACTORS'!$A$3:$B$38, 2, FALSE)</f>
        <v>0</v>
      </c>
      <c r="I66" s="234">
        <f t="shared" si="1"/>
        <v>0</v>
      </c>
      <c r="J66" s="1168">
        <f t="shared" si="2"/>
        <v>10</v>
      </c>
      <c r="K66" s="306"/>
      <c r="L66" s="1439" t="s">
        <v>185</v>
      </c>
      <c r="M66" s="229"/>
      <c r="N66" s="235"/>
      <c r="O66" s="147"/>
      <c r="P66" s="147"/>
      <c r="R66" s="1431"/>
      <c r="V66" s="160" t="str">
        <f t="shared" si="3"/>
        <v>kWh Annual Savings</v>
      </c>
      <c r="W66" s="236"/>
      <c r="X66" s="237"/>
      <c r="Y66" s="238">
        <v>209.45</v>
      </c>
      <c r="Z66" s="2084">
        <v>209.45</v>
      </c>
      <c r="AA66" s="2084">
        <v>209.45</v>
      </c>
      <c r="AB66" s="2038">
        <v>206.94</v>
      </c>
      <c r="AC66" s="232">
        <v>206.94</v>
      </c>
      <c r="AD66" s="160"/>
      <c r="AE66" s="160"/>
      <c r="AF66" s="160"/>
      <c r="AG66" s="160"/>
      <c r="AH66" s="163"/>
      <c r="AU66" s="164"/>
      <c r="BB66" s="242"/>
      <c r="BC66" s="240" t="str">
        <f t="shared" si="4"/>
        <v>Heating RES 10 Year EUL</v>
      </c>
      <c r="BD66" s="114">
        <f>(INDEX('Avoided Cost Benefits'!$C$4:$C$857,MATCH(BC66,'Avoided Cost Benefits'!$A$4:$A$857,0)))*F66</f>
        <v>56.233078995338069</v>
      </c>
      <c r="BE66" s="1949">
        <f t="shared" si="5"/>
        <v>0</v>
      </c>
    </row>
    <row r="67" spans="2:57" x14ac:dyDescent="0.25">
      <c r="B67" s="1437"/>
      <c r="C67" s="3004" t="s">
        <v>266</v>
      </c>
      <c r="D67" s="3227" t="s">
        <v>183</v>
      </c>
      <c r="E67" s="231" t="s">
        <v>267</v>
      </c>
      <c r="F67" s="2988">
        <f>ROUND($F$145*(($F$150*$F$152*1/$F$154)/1000)*$F$155*$F$131,2)</f>
        <v>190.21</v>
      </c>
      <c r="G67" s="233" t="s">
        <v>258</v>
      </c>
      <c r="H67" s="155">
        <f>VLOOKUP(G67,'CP FACTORS'!$A$3:$B$38, 2, FALSE)</f>
        <v>9.4741810000000004E-4</v>
      </c>
      <c r="I67" s="234">
        <f t="shared" si="1"/>
        <v>0.18020800000000001</v>
      </c>
      <c r="J67" s="1168">
        <f t="shared" si="2"/>
        <v>10</v>
      </c>
      <c r="K67" s="306">
        <f>$F$166</f>
        <v>125</v>
      </c>
      <c r="L67" s="1439" t="s">
        <v>185</v>
      </c>
      <c r="M67" s="229"/>
      <c r="N67" s="235"/>
      <c r="O67" s="147"/>
      <c r="P67" s="147"/>
      <c r="R67" s="1431"/>
      <c r="V67" s="160" t="str">
        <f t="shared" si="3"/>
        <v>kWh Annual Savings</v>
      </c>
      <c r="W67" s="236">
        <v>192.51692307692309</v>
      </c>
      <c r="X67" s="237">
        <v>187.92922225947771</v>
      </c>
      <c r="Y67" s="238">
        <v>187.46</v>
      </c>
      <c r="Z67" s="2084">
        <v>187.46</v>
      </c>
      <c r="AA67" s="2084">
        <v>187.46</v>
      </c>
      <c r="AB67" s="2038">
        <v>185.21</v>
      </c>
      <c r="AC67" s="2988">
        <v>190.21</v>
      </c>
      <c r="AD67" s="160"/>
      <c r="AE67" s="160"/>
      <c r="AF67" s="160"/>
      <c r="AG67" s="160"/>
      <c r="AH67" s="163"/>
      <c r="AU67" s="164"/>
      <c r="BB67" s="244">
        <f>(BD67+BD68)/(BE67+BE68)</f>
        <v>3.8069653070446035</v>
      </c>
      <c r="BC67" s="231" t="str">
        <f t="shared" si="4"/>
        <v>Cooling RES 10 Year EUL</v>
      </c>
      <c r="BD67" s="114">
        <f>(INDEX('Avoided Cost Benefits'!$C$4:$C$857,MATCH(BC67,'Avoided Cost Benefits'!$A$4:$A$857,0)))*F67</f>
        <v>194.87749883272355</v>
      </c>
      <c r="BE67" s="1949">
        <f t="shared" si="5"/>
        <v>117.98017932987257</v>
      </c>
    </row>
    <row r="68" spans="2:57" x14ac:dyDescent="0.25">
      <c r="B68" s="1437"/>
      <c r="C68" s="3004" t="s">
        <v>266</v>
      </c>
      <c r="D68" s="3227" t="s">
        <v>183</v>
      </c>
      <c r="E68" s="240" t="s">
        <v>267</v>
      </c>
      <c r="F68" s="232">
        <f>ROUND($F$102*$F$112*$F$122*$F$127*$F$131+$F$136*$F$141*29.3,2)</f>
        <v>935.72</v>
      </c>
      <c r="G68" s="233" t="s">
        <v>259</v>
      </c>
      <c r="H68" s="155">
        <f>VLOOKUP(G68,'CP FACTORS'!$A$3:$B$38, 2, FALSE)</f>
        <v>0</v>
      </c>
      <c r="I68" s="234">
        <f t="shared" si="1"/>
        <v>0</v>
      </c>
      <c r="J68" s="1168">
        <f t="shared" si="2"/>
        <v>10</v>
      </c>
      <c r="K68" s="306"/>
      <c r="L68" s="1439" t="s">
        <v>185</v>
      </c>
      <c r="M68" s="229"/>
      <c r="N68" s="235"/>
      <c r="O68" s="147"/>
      <c r="P68" s="147"/>
      <c r="R68" s="1431"/>
      <c r="V68" s="160" t="str">
        <f t="shared" si="3"/>
        <v>kWh Annual Savings</v>
      </c>
      <c r="W68" s="236">
        <v>1092.9514064</v>
      </c>
      <c r="X68" s="237">
        <v>949.28714867924521</v>
      </c>
      <c r="Y68" s="238">
        <v>947.09</v>
      </c>
      <c r="Z68" s="2084">
        <v>947.09</v>
      </c>
      <c r="AA68" s="2084">
        <v>947.09</v>
      </c>
      <c r="AB68" s="2038">
        <v>935.72</v>
      </c>
      <c r="AC68" s="232">
        <v>935.72</v>
      </c>
      <c r="AD68" s="160"/>
      <c r="AE68" s="160"/>
      <c r="AF68" s="160"/>
      <c r="AG68" s="160"/>
      <c r="AH68" s="163"/>
      <c r="AU68" s="164"/>
      <c r="BB68" s="242"/>
      <c r="BC68" s="240" t="str">
        <f t="shared" si="4"/>
        <v>Heating RES 10 Year EUL</v>
      </c>
      <c r="BD68" s="114">
        <f>(INDEX('Avoided Cost Benefits'!$C$4:$C$857,MATCH(BC68,'Avoided Cost Benefits'!$A$4:$A$857,0)))*F68</f>
        <v>254.26895079500213</v>
      </c>
      <c r="BE68" s="1949">
        <f t="shared" si="5"/>
        <v>0</v>
      </c>
    </row>
    <row r="69" spans="2:57" x14ac:dyDescent="0.25">
      <c r="B69" s="1437"/>
      <c r="C69" s="3004" t="s">
        <v>268</v>
      </c>
      <c r="D69" s="3227" t="s">
        <v>183</v>
      </c>
      <c r="E69" s="231" t="s">
        <v>269</v>
      </c>
      <c r="F69" s="2988">
        <f>ROUND($F$146*(($F$150*$F$152*1/$F$154)/1000)*$F$155*$F$131,2)</f>
        <v>190.21</v>
      </c>
      <c r="G69" s="233" t="s">
        <v>258</v>
      </c>
      <c r="H69" s="155">
        <f>VLOOKUP(G69,'CP FACTORS'!$A$3:$B$38, 2, FALSE)</f>
        <v>9.4741810000000004E-4</v>
      </c>
      <c r="I69" s="234">
        <f t="shared" si="1"/>
        <v>0.18020800000000001</v>
      </c>
      <c r="J69" s="1168">
        <f t="shared" si="2"/>
        <v>10</v>
      </c>
      <c r="K69" s="306">
        <f>$F$166</f>
        <v>125</v>
      </c>
      <c r="L69" s="1439" t="s">
        <v>185</v>
      </c>
      <c r="M69" s="229"/>
      <c r="N69" s="235"/>
      <c r="O69" s="147"/>
      <c r="P69" s="241"/>
      <c r="R69" s="1431"/>
      <c r="V69" s="160" t="str">
        <f t="shared" si="3"/>
        <v>kWh Annual Savings</v>
      </c>
      <c r="W69" s="236">
        <v>192.51692307692309</v>
      </c>
      <c r="X69" s="237">
        <v>187.92922225947771</v>
      </c>
      <c r="Y69" s="238">
        <v>187.46</v>
      </c>
      <c r="Z69" s="2084">
        <v>187.46</v>
      </c>
      <c r="AA69" s="2084">
        <v>187.46</v>
      </c>
      <c r="AB69" s="2038">
        <v>185.21</v>
      </c>
      <c r="AC69" s="2988">
        <v>190.21</v>
      </c>
      <c r="AD69" s="160"/>
      <c r="AE69" s="160"/>
      <c r="AF69" s="160"/>
      <c r="AG69" s="160"/>
      <c r="AH69" s="163"/>
      <c r="AU69" s="164"/>
      <c r="BB69" s="244">
        <f>(BD69+BD70)/(BE69+BE70)</f>
        <v>1.747020472665803</v>
      </c>
      <c r="BC69" s="231" t="str">
        <f t="shared" si="4"/>
        <v>Cooling RES 10 Year EUL</v>
      </c>
      <c r="BD69" s="114">
        <f>(INDEX('Avoided Cost Benefits'!$C$4:$C$857,MATCH(BC69,'Avoided Cost Benefits'!$A$4:$A$857,0)))*F69</f>
        <v>194.87749883272355</v>
      </c>
      <c r="BE69" s="1949">
        <f t="shared" si="5"/>
        <v>117.98017932987257</v>
      </c>
    </row>
    <row r="70" spans="2:57" x14ac:dyDescent="0.25">
      <c r="B70" s="1437"/>
      <c r="C70" s="3004" t="s">
        <v>268</v>
      </c>
      <c r="D70" s="3227" t="s">
        <v>183</v>
      </c>
      <c r="E70" s="240" t="s">
        <v>269</v>
      </c>
      <c r="F70" s="232">
        <f>ROUND($F$103*$F$113*$F$123*$F$127*$F$131+$F$137*$F$141*29.3,2)</f>
        <v>41.35</v>
      </c>
      <c r="G70" s="233" t="s">
        <v>259</v>
      </c>
      <c r="H70" s="155">
        <f>VLOOKUP(G70,'CP FACTORS'!$A$3:$B$38, 2, FALSE)</f>
        <v>0</v>
      </c>
      <c r="I70" s="234">
        <f t="shared" si="1"/>
        <v>0</v>
      </c>
      <c r="J70" s="1168">
        <f t="shared" si="2"/>
        <v>10</v>
      </c>
      <c r="K70" s="306"/>
      <c r="L70" s="1439" t="s">
        <v>185</v>
      </c>
      <c r="M70" s="229"/>
      <c r="N70" s="235"/>
      <c r="O70" s="147"/>
      <c r="P70" s="245"/>
      <c r="R70" s="1431"/>
      <c r="V70" s="160" t="str">
        <f t="shared" si="3"/>
        <v>kWh Annual Savings</v>
      </c>
      <c r="W70" s="236">
        <v>46.295406399999997</v>
      </c>
      <c r="X70" s="236">
        <v>41.992474552808346</v>
      </c>
      <c r="Y70" s="238">
        <v>41.85</v>
      </c>
      <c r="Z70" s="2084">
        <v>41.85</v>
      </c>
      <c r="AA70" s="2084">
        <v>41.85</v>
      </c>
      <c r="AB70" s="2038">
        <v>41.35</v>
      </c>
      <c r="AC70" s="232">
        <v>41.35</v>
      </c>
      <c r="AD70" s="160"/>
      <c r="AE70" s="160"/>
      <c r="AF70" s="160"/>
      <c r="AG70" s="160"/>
      <c r="AH70" s="163"/>
      <c r="AU70" s="164"/>
      <c r="BB70" s="242"/>
      <c r="BC70" s="240" t="str">
        <f t="shared" si="4"/>
        <v>Heating RES 10 Year EUL</v>
      </c>
      <c r="BD70" s="114">
        <f>(INDEX('Avoided Cost Benefits'!$C$4:$C$857,MATCH(BC70,'Avoided Cost Benefits'!$A$4:$A$857,0)))*F70</f>
        <v>11.236289825346619</v>
      </c>
      <c r="BE70" s="1949">
        <f t="shared" si="5"/>
        <v>0</v>
      </c>
    </row>
    <row r="71" spans="2:57" x14ac:dyDescent="0.25">
      <c r="B71" s="1437"/>
      <c r="C71" s="3004" t="s">
        <v>270</v>
      </c>
      <c r="D71" s="3227" t="s">
        <v>183</v>
      </c>
      <c r="E71" s="231" t="s">
        <v>271</v>
      </c>
      <c r="F71" s="2690">
        <f>ROUND($F$147*(($F$150*$F$153*1/$F$154)/1000)*$F$155*$F$131,2)</f>
        <v>190.21</v>
      </c>
      <c r="G71" s="233" t="s">
        <v>258</v>
      </c>
      <c r="H71" s="155">
        <f>VLOOKUP(G71,'CP FACTORS'!$A$3:$B$38, 2, FALSE)</f>
        <v>9.4741810000000004E-4</v>
      </c>
      <c r="I71" s="234">
        <f t="shared" si="1"/>
        <v>0.18020800000000001</v>
      </c>
      <c r="J71" s="1168">
        <f t="shared" si="2"/>
        <v>10</v>
      </c>
      <c r="K71" s="306">
        <f>$F$166</f>
        <v>125</v>
      </c>
      <c r="L71" s="1439" t="s">
        <v>185</v>
      </c>
      <c r="M71" s="229"/>
      <c r="N71" s="235"/>
      <c r="O71" s="147"/>
      <c r="P71" s="245"/>
      <c r="R71" s="1431"/>
      <c r="V71" s="160" t="str">
        <f t="shared" si="3"/>
        <v>kWh Annual Savings</v>
      </c>
      <c r="W71" s="236"/>
      <c r="X71" s="236"/>
      <c r="Y71" s="238">
        <v>136.33000000000001</v>
      </c>
      <c r="Z71" s="2084">
        <v>136.33000000000001</v>
      </c>
      <c r="AA71" s="2084">
        <v>136.33000000000001</v>
      </c>
      <c r="AB71" s="2038">
        <v>185.21</v>
      </c>
      <c r="AC71" s="2690">
        <v>190.21</v>
      </c>
      <c r="AD71" s="160"/>
      <c r="AE71" s="160"/>
      <c r="AF71" s="160"/>
      <c r="AG71" s="160"/>
      <c r="AH71" s="163"/>
      <c r="AU71" s="164"/>
      <c r="BA71" s="184"/>
      <c r="BB71" s="244">
        <f>(BD71+BD72)/(BE71+BE72)</f>
        <v>1.7136926533589598</v>
      </c>
      <c r="BC71" s="231" t="str">
        <f t="shared" si="4"/>
        <v>Cooling RES 10 Year EUL</v>
      </c>
      <c r="BD71" s="114">
        <f>(INDEX('Avoided Cost Benefits'!$C$4:$C$857,MATCH(BC71,'Avoided Cost Benefits'!$A$4:$A$857,0)))*F71</f>
        <v>194.87749883272355</v>
      </c>
      <c r="BE71" s="1949">
        <f t="shared" si="5"/>
        <v>117.98017932987257</v>
      </c>
    </row>
    <row r="72" spans="2:57" x14ac:dyDescent="0.25">
      <c r="B72" s="1437"/>
      <c r="C72" s="3004" t="s">
        <v>270</v>
      </c>
      <c r="D72" s="3227" t="s">
        <v>183</v>
      </c>
      <c r="E72" s="240" t="s">
        <v>271</v>
      </c>
      <c r="F72" s="348">
        <f>ROUND($F$104*$F$114*$F$124*$F$127*$F$131+$F$138*$F$141*29.3,2)</f>
        <v>26.88</v>
      </c>
      <c r="G72" s="233" t="s">
        <v>259</v>
      </c>
      <c r="H72" s="155">
        <f>VLOOKUP(G72,'CP FACTORS'!$A$3:$B$38, 2, FALSE)</f>
        <v>0</v>
      </c>
      <c r="I72" s="234">
        <f t="shared" si="1"/>
        <v>0</v>
      </c>
      <c r="J72" s="1168">
        <f t="shared" si="2"/>
        <v>10</v>
      </c>
      <c r="K72" s="306"/>
      <c r="L72" s="1439" t="s">
        <v>185</v>
      </c>
      <c r="M72" s="229"/>
      <c r="N72" s="235"/>
      <c r="O72" s="147"/>
      <c r="P72" s="245"/>
      <c r="R72" s="1431"/>
      <c r="V72" s="160" t="str">
        <f t="shared" si="3"/>
        <v>kWh Annual Savings</v>
      </c>
      <c r="W72" s="236"/>
      <c r="X72" s="236"/>
      <c r="Y72" s="238">
        <v>27.2</v>
      </c>
      <c r="Z72" s="2084">
        <v>27.2</v>
      </c>
      <c r="AA72" s="2084">
        <v>27.2</v>
      </c>
      <c r="AB72" s="2038">
        <v>26.88</v>
      </c>
      <c r="AC72" s="348">
        <v>26.88</v>
      </c>
      <c r="AD72" s="160"/>
      <c r="AE72" s="160"/>
      <c r="AF72" s="160"/>
      <c r="AG72" s="160"/>
      <c r="AH72" s="163"/>
      <c r="AU72" s="164"/>
      <c r="BB72" s="242"/>
      <c r="BC72" s="240" t="str">
        <f t="shared" si="4"/>
        <v>Heating RES 10 Year EUL</v>
      </c>
      <c r="BD72" s="114">
        <f>(INDEX('Avoided Cost Benefits'!$C$4:$C$857,MATCH(BC72,'Avoided Cost Benefits'!$A$4:$A$857,0)))*F72</f>
        <v>7.3042677268516831</v>
      </c>
      <c r="BE72" s="1949">
        <f t="shared" si="5"/>
        <v>0</v>
      </c>
    </row>
    <row r="73" spans="2:57" x14ac:dyDescent="0.25">
      <c r="B73" s="1437"/>
      <c r="C73" s="3004" t="s">
        <v>272</v>
      </c>
      <c r="D73" s="1862" t="str">
        <f>CONCATENATE(D71,"_CompE")</f>
        <v>Efficient Products_CompE</v>
      </c>
      <c r="E73" s="3115" t="s">
        <v>273</v>
      </c>
      <c r="F73" s="2690">
        <f>ROUND($F$147*(($F$151*$F$153*1/$F$154)/1000)*$F$155*$F$131,2)</f>
        <v>138.33000000000001</v>
      </c>
      <c r="G73" s="233" t="s">
        <v>258</v>
      </c>
      <c r="H73" s="155">
        <f>VLOOKUP(G73,'CP FACTORS'!$A$3:$B$38, 2, FALSE)</f>
        <v>9.4741810000000004E-4</v>
      </c>
      <c r="I73" s="234">
        <f t="shared" si="1"/>
        <v>0.13105600000000001</v>
      </c>
      <c r="J73" s="1168">
        <f t="shared" si="2"/>
        <v>10</v>
      </c>
      <c r="K73" s="306">
        <f>$F$166</f>
        <v>125</v>
      </c>
      <c r="L73" s="1439" t="s">
        <v>185</v>
      </c>
      <c r="M73" s="229"/>
      <c r="N73" s="235"/>
      <c r="O73" s="147"/>
      <c r="P73" s="245"/>
      <c r="R73" s="1431"/>
      <c r="V73" s="160" t="str">
        <f t="shared" si="3"/>
        <v>kWh Annual Savings</v>
      </c>
      <c r="W73" s="236"/>
      <c r="X73" s="236"/>
      <c r="Y73" s="238">
        <v>136.33000000000001</v>
      </c>
      <c r="Z73" s="2084">
        <v>136.33000000000001</v>
      </c>
      <c r="AA73" s="2084">
        <v>136.33000000000001</v>
      </c>
      <c r="AB73" s="2038">
        <v>134.69999999999999</v>
      </c>
      <c r="AC73" s="2690">
        <v>138.33000000000001</v>
      </c>
      <c r="AD73" s="160"/>
      <c r="AE73" s="160"/>
      <c r="AF73" s="160"/>
      <c r="AG73" s="160"/>
      <c r="AH73" s="163"/>
      <c r="AU73" s="164"/>
      <c r="BA73" s="184"/>
      <c r="BB73" s="244">
        <f>(BD73+BD74)/(BE73+BE74)</f>
        <v>1.2631672679222961</v>
      </c>
      <c r="BC73" s="231" t="str">
        <f t="shared" si="4"/>
        <v>Cooling RES 10 Year EUL</v>
      </c>
      <c r="BD73" s="114">
        <f>(INDEX('Avoided Cost Benefits'!$C$4:$C$857,MATCH(BC73,'Avoided Cost Benefits'!$A$4:$A$857,0)))*F73</f>
        <v>141.72443306624598</v>
      </c>
      <c r="BE73" s="1949">
        <f t="shared" si="5"/>
        <v>117.98017932987257</v>
      </c>
    </row>
    <row r="74" spans="2:57" x14ac:dyDescent="0.25">
      <c r="B74" s="1437"/>
      <c r="C74" s="3004" t="s">
        <v>272</v>
      </c>
      <c r="D74" s="1862" t="str">
        <f>CONCATENATE(D72,"_CompE")</f>
        <v>Efficient Products_CompE</v>
      </c>
      <c r="E74" s="3116" t="s">
        <v>273</v>
      </c>
      <c r="F74" s="348">
        <f>ROUND($F$104*$F$115*$F$124*$F$127*$F$131+$F$138*$F$141*29.3,2)</f>
        <v>26.88</v>
      </c>
      <c r="G74" s="233" t="s">
        <v>259</v>
      </c>
      <c r="H74" s="155">
        <f>VLOOKUP(G74,'CP FACTORS'!$A$3:$B$38, 2, FALSE)</f>
        <v>0</v>
      </c>
      <c r="I74" s="234">
        <f t="shared" si="1"/>
        <v>0</v>
      </c>
      <c r="J74" s="1168">
        <f t="shared" si="2"/>
        <v>10</v>
      </c>
      <c r="K74" s="306"/>
      <c r="L74" s="1439" t="s">
        <v>185</v>
      </c>
      <c r="M74" s="229"/>
      <c r="N74" s="235"/>
      <c r="O74" s="147"/>
      <c r="P74" s="245"/>
      <c r="R74" s="1431"/>
      <c r="V74" s="160" t="str">
        <f t="shared" si="3"/>
        <v>kWh Annual Savings</v>
      </c>
      <c r="W74" s="236"/>
      <c r="X74" s="236"/>
      <c r="Y74" s="238">
        <v>27.2</v>
      </c>
      <c r="Z74" s="2084">
        <v>27.2</v>
      </c>
      <c r="AA74" s="2084">
        <v>27.2</v>
      </c>
      <c r="AB74" s="2038">
        <v>26.88</v>
      </c>
      <c r="AC74" s="348">
        <v>26.88</v>
      </c>
      <c r="AD74" s="160"/>
      <c r="AE74" s="160"/>
      <c r="AF74" s="160"/>
      <c r="AG74" s="160"/>
      <c r="AH74" s="163"/>
      <c r="AU74" s="164"/>
      <c r="BB74" s="242"/>
      <c r="BC74" s="240" t="str">
        <f t="shared" si="4"/>
        <v>Heating RES 10 Year EUL</v>
      </c>
      <c r="BD74" s="114">
        <f>(INDEX('Avoided Cost Benefits'!$C$4:$C$857,MATCH(BC74,'Avoided Cost Benefits'!$A$4:$A$857,0)))*F74</f>
        <v>7.3042677268516831</v>
      </c>
      <c r="BE74" s="1949">
        <f t="shared" si="5"/>
        <v>0</v>
      </c>
    </row>
    <row r="75" spans="2:57" x14ac:dyDescent="0.25">
      <c r="B75" s="1437"/>
      <c r="C75" s="3004" t="s">
        <v>274</v>
      </c>
      <c r="D75" s="3227" t="s">
        <v>183</v>
      </c>
      <c r="E75" s="231" t="s">
        <v>275</v>
      </c>
      <c r="F75" s="2690">
        <f>ROUND($F$148*(($F$150*$F$152*1/$F$154)/1000)*$F$155*$F$131,2)</f>
        <v>190.21</v>
      </c>
      <c r="G75" s="233" t="s">
        <v>258</v>
      </c>
      <c r="H75" s="155">
        <f>VLOOKUP(G75,'CP FACTORS'!$A$3:$B$38, 2, FALSE)</f>
        <v>9.4741810000000004E-4</v>
      </c>
      <c r="I75" s="234">
        <f t="shared" si="1"/>
        <v>0.18020800000000001</v>
      </c>
      <c r="J75" s="1168">
        <f t="shared" si="2"/>
        <v>10</v>
      </c>
      <c r="K75" s="306">
        <f>$F$166</f>
        <v>125</v>
      </c>
      <c r="L75" s="1439" t="s">
        <v>185</v>
      </c>
      <c r="M75" s="229"/>
      <c r="N75" s="235"/>
      <c r="O75" s="147"/>
      <c r="P75" s="147"/>
      <c r="R75" s="1431"/>
      <c r="V75" s="160" t="str">
        <f t="shared" si="3"/>
        <v>kWh Annual Savings</v>
      </c>
      <c r="W75" s="236">
        <v>192.51692307692309</v>
      </c>
      <c r="X75" s="237">
        <v>187.92922225947771</v>
      </c>
      <c r="Y75" s="238">
        <v>187.46</v>
      </c>
      <c r="Z75" s="2084">
        <v>187.46</v>
      </c>
      <c r="AA75" s="2084">
        <v>187.46</v>
      </c>
      <c r="AB75" s="2038">
        <v>185.21</v>
      </c>
      <c r="AC75" s="2690">
        <v>190.21</v>
      </c>
      <c r="AD75" s="160"/>
      <c r="AE75" s="160"/>
      <c r="AF75" s="160"/>
      <c r="AG75" s="160"/>
      <c r="AH75" s="163"/>
      <c r="AU75" s="164"/>
      <c r="BB75" s="244">
        <f>(BD75+BD76)/(BE75+BE76)</f>
        <v>2.2892942651746582</v>
      </c>
      <c r="BC75" s="231" t="str">
        <f t="shared" si="4"/>
        <v>Cooling RES 10 Year EUL</v>
      </c>
      <c r="BD75" s="114">
        <f>(INDEX('Avoided Cost Benefits'!$C$4:$C$857,MATCH(BC75,'Avoided Cost Benefits'!$A$4:$A$857,0)))*F75</f>
        <v>194.87749883272355</v>
      </c>
      <c r="BE75" s="1949">
        <f t="shared" si="5"/>
        <v>117.98017932987257</v>
      </c>
    </row>
    <row r="76" spans="2:57" x14ac:dyDescent="0.25">
      <c r="B76" s="1437"/>
      <c r="C76" s="3004" t="s">
        <v>274</v>
      </c>
      <c r="D76" s="3227" t="s">
        <v>183</v>
      </c>
      <c r="E76" s="240" t="s">
        <v>275</v>
      </c>
      <c r="F76" s="2690">
        <f>ROUND($F$105*$F$116*$F$125*$F$127*$F$131+$F$139*$F$141*29.3,2)</f>
        <v>276.79000000000002</v>
      </c>
      <c r="G76" s="233" t="s">
        <v>259</v>
      </c>
      <c r="H76" s="155">
        <f>VLOOKUP(G76,'CP FACTORS'!$A$3:$B$38, 2, FALSE)</f>
        <v>0</v>
      </c>
      <c r="I76" s="234">
        <f t="shared" si="1"/>
        <v>0</v>
      </c>
      <c r="J76" s="1168">
        <f t="shared" si="2"/>
        <v>10</v>
      </c>
      <c r="K76" s="306"/>
      <c r="L76" s="1439" t="s">
        <v>185</v>
      </c>
      <c r="M76" s="229"/>
      <c r="N76" s="235"/>
      <c r="O76" s="229"/>
      <c r="P76" s="229"/>
      <c r="R76" s="1431"/>
      <c r="V76" s="160" t="str">
        <f t="shared" si="3"/>
        <v>kWh Annual Savings</v>
      </c>
      <c r="W76" s="236">
        <v>377.56641415999997</v>
      </c>
      <c r="X76" s="237">
        <v>226.28150936736847</v>
      </c>
      <c r="Y76" s="238">
        <v>160.49</v>
      </c>
      <c r="Z76" s="2084">
        <v>160.49</v>
      </c>
      <c r="AA76" s="2084">
        <v>160.49</v>
      </c>
      <c r="AB76" s="2038">
        <v>158.56</v>
      </c>
      <c r="AC76" s="2690">
        <v>276.79000000000002</v>
      </c>
      <c r="AD76" s="160"/>
      <c r="AE76" s="160"/>
      <c r="AF76" s="160"/>
      <c r="AG76" s="160"/>
      <c r="AH76" s="163"/>
      <c r="AU76" s="164"/>
      <c r="BB76" s="242"/>
      <c r="BC76" s="240" t="str">
        <f t="shared" si="4"/>
        <v>Heating RES 10 Year EUL</v>
      </c>
      <c r="BD76" s="114">
        <f>(INDEX('Avoided Cost Benefits'!$C$4:$C$857,MATCH(BC76,'Avoided Cost Benefits'!$A$4:$A$857,0)))*F76</f>
        <v>75.213849111431458</v>
      </c>
      <c r="BE76" s="1949">
        <f t="shared" si="5"/>
        <v>0</v>
      </c>
    </row>
    <row r="77" spans="2:57" x14ac:dyDescent="0.25">
      <c r="B77" s="1437"/>
      <c r="C77" s="3004" t="s">
        <v>276</v>
      </c>
      <c r="D77" s="3227" t="s">
        <v>183</v>
      </c>
      <c r="E77" s="231" t="s">
        <v>277</v>
      </c>
      <c r="F77" s="2690">
        <f>ROUND($F$149*(($F$150*$F$153*1/$F$154)/1000)*$F$155*$F$131,2)</f>
        <v>190.21</v>
      </c>
      <c r="G77" s="233" t="s">
        <v>258</v>
      </c>
      <c r="H77" s="155">
        <f>VLOOKUP(G77,'CP FACTORS'!$A$3:$B$38, 2, FALSE)</f>
        <v>9.4741810000000004E-4</v>
      </c>
      <c r="I77" s="234">
        <f t="shared" si="1"/>
        <v>0.18020800000000001</v>
      </c>
      <c r="J77" s="1168">
        <f t="shared" si="2"/>
        <v>10</v>
      </c>
      <c r="K77" s="306">
        <f>$F$166</f>
        <v>125</v>
      </c>
      <c r="L77" s="1439" t="s">
        <v>185</v>
      </c>
      <c r="M77" s="229"/>
      <c r="N77" s="235"/>
      <c r="O77" s="229"/>
      <c r="P77" s="229"/>
      <c r="R77" s="1431"/>
      <c r="V77" s="160" t="str">
        <f t="shared" si="3"/>
        <v>kWh Annual Savings</v>
      </c>
      <c r="W77" s="236"/>
      <c r="X77" s="237"/>
      <c r="Y77" s="238">
        <v>136.33000000000001</v>
      </c>
      <c r="Z77" s="2084">
        <v>136.33000000000001</v>
      </c>
      <c r="AA77" s="2084">
        <v>136.33000000000001</v>
      </c>
      <c r="AB77" s="2038">
        <v>185.21</v>
      </c>
      <c r="AC77" s="2690">
        <v>190.21</v>
      </c>
      <c r="AD77" s="160"/>
      <c r="AE77" s="160"/>
      <c r="AF77" s="160"/>
      <c r="AG77" s="160"/>
      <c r="AH77" s="163"/>
      <c r="AU77" s="164"/>
      <c r="BA77" s="184"/>
      <c r="BB77" s="244">
        <f>(BD77+BD78)/(BE77+BE78)</f>
        <v>2.066156799076043</v>
      </c>
      <c r="BC77" s="231" t="str">
        <f t="shared" si="4"/>
        <v>Cooling RES 10 Year EUL</v>
      </c>
      <c r="BD77" s="114">
        <f>(INDEX('Avoided Cost Benefits'!$C$4:$C$857,MATCH(BC77,'Avoided Cost Benefits'!$A$4:$A$857,0)))*F77</f>
        <v>194.87749883272355</v>
      </c>
      <c r="BE77" s="1949">
        <f t="shared" si="5"/>
        <v>117.98017932987257</v>
      </c>
    </row>
    <row r="78" spans="2:57" x14ac:dyDescent="0.25">
      <c r="B78" s="1437"/>
      <c r="C78" s="3004" t="s">
        <v>276</v>
      </c>
      <c r="D78" s="3227" t="s">
        <v>183</v>
      </c>
      <c r="E78" s="240" t="s">
        <v>277</v>
      </c>
      <c r="F78" s="2690">
        <f>ROUND($F$106*$F$117*$F$126*$F$127*$F$131+$F$140*$F$141*29.3,2)</f>
        <v>179.91</v>
      </c>
      <c r="G78" s="233" t="s">
        <v>259</v>
      </c>
      <c r="H78" s="155">
        <f>VLOOKUP(G78,'CP FACTORS'!$A$3:$B$38, 2, FALSE)</f>
        <v>0</v>
      </c>
      <c r="I78" s="234">
        <f t="shared" si="1"/>
        <v>0</v>
      </c>
      <c r="J78" s="1168">
        <f t="shared" si="2"/>
        <v>10</v>
      </c>
      <c r="K78" s="306"/>
      <c r="L78" s="1439" t="s">
        <v>185</v>
      </c>
      <c r="M78" s="229"/>
      <c r="N78" s="235"/>
      <c r="O78" s="229"/>
      <c r="P78" s="229"/>
      <c r="R78" s="1431"/>
      <c r="V78" s="160" t="str">
        <f t="shared" si="3"/>
        <v>kWh Annual Savings</v>
      </c>
      <c r="W78" s="236"/>
      <c r="X78" s="237"/>
      <c r="Y78" s="238">
        <v>104.32</v>
      </c>
      <c r="Z78" s="2084">
        <v>104.32</v>
      </c>
      <c r="AA78" s="2084">
        <v>104.32</v>
      </c>
      <c r="AB78" s="2038">
        <v>103.06</v>
      </c>
      <c r="AC78" s="2690">
        <v>179.91</v>
      </c>
      <c r="AD78" s="160"/>
      <c r="AE78" s="160"/>
      <c r="AF78" s="160"/>
      <c r="AG78" s="160"/>
      <c r="AH78" s="163"/>
      <c r="AU78" s="164"/>
      <c r="BB78" s="242"/>
      <c r="BC78" s="240" t="str">
        <f t="shared" si="4"/>
        <v>Heating RES 10 Year EUL</v>
      </c>
      <c r="BD78" s="114">
        <f>(INDEX('Avoided Cost Benefits'!$C$4:$C$857,MATCH(BC78,'Avoided Cost Benefits'!$A$4:$A$857,0)))*F78</f>
        <v>48.888050845903507</v>
      </c>
      <c r="BE78" s="1949">
        <f t="shared" si="5"/>
        <v>0</v>
      </c>
    </row>
    <row r="79" spans="2:57" x14ac:dyDescent="0.25">
      <c r="B79" s="1437"/>
      <c r="C79" s="3004" t="s">
        <v>278</v>
      </c>
      <c r="D79" s="1862" t="str">
        <f>CONCATENATE(D77,"_CompE")</f>
        <v>Efficient Products_CompE</v>
      </c>
      <c r="E79" s="3115" t="s">
        <v>279</v>
      </c>
      <c r="F79" s="2988">
        <f>ROUND($F$149*(($F$151*$F$153*1/$F$154)/1000)*$F$155*$F$131,2)</f>
        <v>138.33000000000001</v>
      </c>
      <c r="G79" s="233" t="s">
        <v>258</v>
      </c>
      <c r="H79" s="155">
        <f>VLOOKUP(G79,'CP FACTORS'!$A$3:$B$38, 2, FALSE)</f>
        <v>9.4741810000000004E-4</v>
      </c>
      <c r="I79" s="234">
        <f t="shared" si="1"/>
        <v>0.13105600000000001</v>
      </c>
      <c r="J79" s="1168">
        <f t="shared" si="2"/>
        <v>10</v>
      </c>
      <c r="K79" s="306">
        <f>$F$166</f>
        <v>125</v>
      </c>
      <c r="L79" s="1439" t="s">
        <v>185</v>
      </c>
      <c r="M79" s="229"/>
      <c r="N79" s="235"/>
      <c r="O79" s="229"/>
      <c r="P79" s="229"/>
      <c r="R79" s="1431"/>
      <c r="V79" s="160" t="str">
        <f t="shared" si="3"/>
        <v>kWh Annual Savings</v>
      </c>
      <c r="W79" s="236"/>
      <c r="X79" s="237"/>
      <c r="Y79" s="238">
        <v>136.33000000000001</v>
      </c>
      <c r="Z79" s="2084">
        <v>136.33000000000001</v>
      </c>
      <c r="AA79" s="2084">
        <v>136.33000000000001</v>
      </c>
      <c r="AB79" s="2038">
        <v>134.69999999999999</v>
      </c>
      <c r="AC79" s="2988">
        <v>138.33000000000001</v>
      </c>
      <c r="AD79" s="160"/>
      <c r="AE79" s="160"/>
      <c r="AF79" s="160"/>
      <c r="AG79" s="160"/>
      <c r="AH79" s="163"/>
      <c r="AU79" s="164"/>
      <c r="BA79" s="184"/>
      <c r="BB79" s="244">
        <f>(BD79+BD80)/(BE79+BE80)</f>
        <v>1.369599785556658</v>
      </c>
      <c r="BC79" s="231" t="str">
        <f t="shared" si="4"/>
        <v>Cooling RES 10 Year EUL</v>
      </c>
      <c r="BD79" s="114">
        <f>(INDEX('Avoided Cost Benefits'!$C$4:$C$857,MATCH(BC79,'Avoided Cost Benefits'!$A$4:$A$857,0)))*F79</f>
        <v>141.72443306624598</v>
      </c>
      <c r="BE79" s="1949">
        <f t="shared" si="5"/>
        <v>117.98017932987257</v>
      </c>
    </row>
    <row r="80" spans="2:57" x14ac:dyDescent="0.25">
      <c r="B80" s="1437"/>
      <c r="C80" s="3004" t="s">
        <v>278</v>
      </c>
      <c r="D80" s="3226" t="str">
        <f>CONCATENATE(D78,"_CompE")</f>
        <v>Efficient Products_CompE</v>
      </c>
      <c r="E80" s="3116" t="s">
        <v>279</v>
      </c>
      <c r="F80" s="2988">
        <f>ROUND($F$106*$F$118*$F$126*$F$127*$F$131+$F$140*$F$141*29.3,2)</f>
        <v>73.09</v>
      </c>
      <c r="G80" s="233" t="s">
        <v>259</v>
      </c>
      <c r="H80" s="155">
        <f>VLOOKUP(G80,'CP FACTORS'!$A$3:$B$38, 2, FALSE)</f>
        <v>0</v>
      </c>
      <c r="I80" s="234">
        <f t="shared" si="1"/>
        <v>0</v>
      </c>
      <c r="J80" s="1168">
        <f t="shared" si="2"/>
        <v>10</v>
      </c>
      <c r="K80" s="306"/>
      <c r="L80" s="1439" t="s">
        <v>185</v>
      </c>
      <c r="M80" s="229"/>
      <c r="N80" s="235"/>
      <c r="O80" s="229"/>
      <c r="P80" s="229"/>
      <c r="R80" s="1431"/>
      <c r="V80" s="160" t="str">
        <f t="shared" si="3"/>
        <v>kWh Annual Savings</v>
      </c>
      <c r="W80" s="236"/>
      <c r="X80" s="237"/>
      <c r="Y80" s="238">
        <v>50.49</v>
      </c>
      <c r="Z80" s="2084">
        <v>50.49</v>
      </c>
      <c r="AA80" s="2084">
        <v>50.49</v>
      </c>
      <c r="AB80" s="2038">
        <v>49.89</v>
      </c>
      <c r="AC80" s="2988">
        <v>73.09</v>
      </c>
      <c r="AD80" s="160"/>
      <c r="AE80" s="160"/>
      <c r="AF80" s="160"/>
      <c r="AG80" s="160"/>
      <c r="AH80" s="163"/>
      <c r="AU80" s="164"/>
      <c r="BB80" s="246"/>
      <c r="BC80" s="240" t="str">
        <f t="shared" si="4"/>
        <v>Heating RES 10 Year EUL</v>
      </c>
      <c r="BD80" s="119">
        <f>(INDEX('Avoided Cost Benefits'!$C$4:$C$857,MATCH(BC80,'Avoided Cost Benefits'!$A$4:$A$857,0)))*F80</f>
        <v>19.86119524388354</v>
      </c>
      <c r="BE80" s="1950">
        <f t="shared" si="5"/>
        <v>0</v>
      </c>
    </row>
    <row r="81" spans="1:54" hidden="1" outlineLevel="1" x14ac:dyDescent="0.25">
      <c r="B81" s="1437"/>
      <c r="C81" s="225"/>
      <c r="D81" s="247"/>
      <c r="E81" s="247" t="s">
        <v>280</v>
      </c>
      <c r="F81" s="248"/>
      <c r="G81" s="249"/>
      <c r="H81" s="249"/>
      <c r="I81" s="249"/>
      <c r="J81" s="249"/>
      <c r="K81" s="249"/>
      <c r="L81" s="249"/>
      <c r="M81" s="249"/>
      <c r="N81" s="235"/>
      <c r="O81" s="229"/>
      <c r="P81" s="229"/>
      <c r="AU81" s="164"/>
    </row>
    <row r="82" spans="1:54" s="250" customFormat="1" hidden="1" outlineLevel="1" x14ac:dyDescent="0.25">
      <c r="A82" s="257"/>
      <c r="B82" s="1437"/>
      <c r="C82" s="225"/>
      <c r="D82" s="174" t="s">
        <v>108</v>
      </c>
      <c r="E82" s="247"/>
      <c r="F82" s="248"/>
      <c r="G82" s="249"/>
      <c r="H82" s="249"/>
      <c r="I82" s="249"/>
      <c r="J82" s="249"/>
      <c r="K82" s="249"/>
      <c r="L82" s="249"/>
      <c r="M82" s="249"/>
      <c r="N82" s="235"/>
      <c r="O82" s="229"/>
      <c r="P82" s="229"/>
      <c r="Q82" s="257"/>
      <c r="R82" s="257"/>
      <c r="S82" s="257"/>
      <c r="T82" s="257"/>
      <c r="U82" s="257"/>
      <c r="V82" s="251"/>
      <c r="AU82" s="164"/>
      <c r="BB82" s="252"/>
    </row>
    <row r="83" spans="1:54" s="250" customFormat="1" ht="18" hidden="1" customHeight="1" outlineLevel="1" x14ac:dyDescent="0.25">
      <c r="A83" s="257"/>
      <c r="B83" s="1437"/>
      <c r="C83" s="225"/>
      <c r="D83" s="254" t="s">
        <v>281</v>
      </c>
      <c r="E83" s="254"/>
      <c r="F83" s="255"/>
      <c r="G83" s="255"/>
      <c r="H83" s="255"/>
      <c r="I83" s="255"/>
      <c r="J83" s="255"/>
      <c r="K83" s="255"/>
      <c r="L83" s="255"/>
      <c r="M83" s="249"/>
      <c r="N83" s="235"/>
      <c r="O83" s="229"/>
      <c r="P83" s="256"/>
      <c r="Q83" s="257"/>
      <c r="R83" s="257"/>
      <c r="S83" s="257"/>
      <c r="T83" s="257"/>
      <c r="U83" s="257"/>
      <c r="AU83" s="164"/>
      <c r="BB83" s="252"/>
    </row>
    <row r="84" spans="1:54" s="250" customFormat="1" ht="18" hidden="1" customHeight="1" outlineLevel="1" x14ac:dyDescent="0.25">
      <c r="A84" s="257"/>
      <c r="B84" s="1437"/>
      <c r="C84" s="225"/>
      <c r="D84" s="254"/>
      <c r="E84" s="254"/>
      <c r="F84" s="255"/>
      <c r="G84" s="255"/>
      <c r="H84" s="255"/>
      <c r="I84" s="255"/>
      <c r="J84" s="255"/>
      <c r="K84" s="255"/>
      <c r="L84" s="255"/>
      <c r="M84" s="249"/>
      <c r="N84" s="235"/>
      <c r="O84" s="229"/>
      <c r="P84" s="256"/>
      <c r="Q84" s="257"/>
      <c r="R84" s="257"/>
      <c r="S84" s="257"/>
      <c r="T84" s="257"/>
      <c r="U84" s="257"/>
      <c r="AU84" s="164"/>
      <c r="BB84" s="252"/>
    </row>
    <row r="85" spans="1:54" s="250" customFormat="1" ht="18" hidden="1" customHeight="1" outlineLevel="1" x14ac:dyDescent="0.25">
      <c r="A85" s="257"/>
      <c r="B85" s="1437"/>
      <c r="C85" s="225"/>
      <c r="D85" s="254"/>
      <c r="E85" s="254"/>
      <c r="F85" s="255"/>
      <c r="G85" s="255"/>
      <c r="H85" s="255"/>
      <c r="I85" s="255"/>
      <c r="J85" s="255"/>
      <c r="K85" s="255"/>
      <c r="L85" s="255"/>
      <c r="M85" s="249"/>
      <c r="N85" s="235"/>
      <c r="O85" s="229"/>
      <c r="P85" s="256"/>
      <c r="Q85" s="257"/>
      <c r="R85" s="257"/>
      <c r="S85" s="257"/>
      <c r="T85" s="257"/>
      <c r="U85" s="257"/>
      <c r="AU85" s="164"/>
      <c r="BB85" s="252"/>
    </row>
    <row r="86" spans="1:54" s="250" customFormat="1" ht="18" hidden="1" customHeight="1" outlineLevel="1" x14ac:dyDescent="0.25">
      <c r="A86" s="257"/>
      <c r="B86" s="1437"/>
      <c r="C86" s="225"/>
      <c r="D86" s="254"/>
      <c r="E86" s="254"/>
      <c r="F86" s="255"/>
      <c r="G86" s="255"/>
      <c r="H86" s="255"/>
      <c r="I86" s="255"/>
      <c r="J86" s="255"/>
      <c r="K86" s="255"/>
      <c r="L86" s="255"/>
      <c r="M86" s="249"/>
      <c r="N86" s="235"/>
      <c r="O86" s="229"/>
      <c r="P86" s="256"/>
      <c r="Q86" s="257"/>
      <c r="R86" s="257"/>
      <c r="S86" s="257"/>
      <c r="T86" s="257"/>
      <c r="U86" s="257"/>
      <c r="AU86" s="164"/>
      <c r="BB86" s="252"/>
    </row>
    <row r="87" spans="1:54" s="250" customFormat="1" ht="18" hidden="1" customHeight="1" outlineLevel="1" x14ac:dyDescent="0.25">
      <c r="A87" s="257"/>
      <c r="B87" s="1437"/>
      <c r="C87" s="225"/>
      <c r="D87" s="254"/>
      <c r="E87" s="254"/>
      <c r="F87" s="255"/>
      <c r="G87" s="255"/>
      <c r="H87" s="255"/>
      <c r="I87" s="255"/>
      <c r="J87" s="255"/>
      <c r="K87" s="255"/>
      <c r="L87" s="255"/>
      <c r="M87" s="249"/>
      <c r="N87" s="235"/>
      <c r="O87" s="229"/>
      <c r="P87" s="256"/>
      <c r="Q87" s="257"/>
      <c r="R87" s="257"/>
      <c r="S87" s="257"/>
      <c r="T87" s="257"/>
      <c r="U87" s="257"/>
      <c r="AU87" s="164"/>
      <c r="BB87" s="252"/>
    </row>
    <row r="88" spans="1:54" s="250" customFormat="1" ht="18" hidden="1" customHeight="1" outlineLevel="1" x14ac:dyDescent="0.25">
      <c r="A88" s="257"/>
      <c r="B88" s="1437"/>
      <c r="C88" s="225"/>
      <c r="D88" s="254"/>
      <c r="E88" s="254"/>
      <c r="F88" s="255"/>
      <c r="G88" s="255"/>
      <c r="H88" s="255"/>
      <c r="I88" s="255"/>
      <c r="J88" s="255"/>
      <c r="K88" s="255"/>
      <c r="L88" s="255"/>
      <c r="M88" s="249"/>
      <c r="N88" s="235"/>
      <c r="O88" s="229"/>
      <c r="P88" s="256"/>
      <c r="Q88" s="257"/>
      <c r="R88" s="257"/>
      <c r="S88" s="257"/>
      <c r="T88" s="257"/>
      <c r="U88" s="257"/>
      <c r="AU88" s="164"/>
      <c r="BB88" s="252"/>
    </row>
    <row r="89" spans="1:54" s="250" customFormat="1" ht="18" hidden="1" customHeight="1" outlineLevel="1" x14ac:dyDescent="0.25">
      <c r="A89" s="257"/>
      <c r="B89" s="1437"/>
      <c r="C89" s="225"/>
      <c r="D89" s="254"/>
      <c r="E89" s="254"/>
      <c r="F89" s="255"/>
      <c r="G89" s="255"/>
      <c r="H89" s="255"/>
      <c r="I89" s="257"/>
      <c r="J89" s="255"/>
      <c r="K89" s="255"/>
      <c r="L89" s="255"/>
      <c r="M89" s="249"/>
      <c r="N89" s="235"/>
      <c r="O89" s="229"/>
      <c r="P89" s="256"/>
      <c r="Q89" s="257"/>
      <c r="R89" s="257"/>
      <c r="S89" s="257"/>
      <c r="T89" s="257"/>
      <c r="U89" s="257"/>
      <c r="X89" s="258" t="s">
        <v>282</v>
      </c>
      <c r="AU89" s="164"/>
      <c r="BB89" s="252"/>
    </row>
    <row r="90" spans="1:54" s="258" customFormat="1" ht="40.5" hidden="1" customHeight="1" outlineLevel="1" x14ac:dyDescent="0.25">
      <c r="A90" s="1440"/>
      <c r="B90" s="1441"/>
      <c r="C90" s="225"/>
      <c r="D90" s="254"/>
      <c r="E90" s="254"/>
      <c r="F90" s="255"/>
      <c r="G90" s="255"/>
      <c r="H90" s="255"/>
      <c r="I90" s="255"/>
      <c r="J90" s="255"/>
      <c r="K90" s="255"/>
      <c r="L90" s="255"/>
      <c r="M90" s="1159"/>
      <c r="N90" s="235"/>
      <c r="O90" s="259"/>
      <c r="P90" s="260"/>
      <c r="Q90" s="1440"/>
      <c r="R90" s="1440"/>
      <c r="S90" s="1440"/>
      <c r="T90" s="1440"/>
      <c r="U90" s="1440"/>
      <c r="X90" s="1937">
        <f>$X$6</f>
        <v>43465</v>
      </c>
      <c r="Y90" s="1937">
        <f>$Y$6</f>
        <v>43800</v>
      </c>
      <c r="Z90" s="1937">
        <f>$Z$6</f>
        <v>43862</v>
      </c>
      <c r="AA90" s="1937">
        <f>$AA$6</f>
        <v>44013</v>
      </c>
      <c r="AB90" s="1937">
        <f>$AB$6</f>
        <v>44166</v>
      </c>
      <c r="AC90" s="1937">
        <f>$AC$6</f>
        <v>44531</v>
      </c>
      <c r="AD90" s="1937" t="str">
        <f>$AD$6</f>
        <v>-</v>
      </c>
      <c r="AE90" s="1937" t="str">
        <f>$AE$6</f>
        <v>-</v>
      </c>
      <c r="AF90" s="1937" t="str">
        <f>$AF$6</f>
        <v>-</v>
      </c>
      <c r="AG90" s="1937" t="str">
        <f>$AG$6</f>
        <v>-</v>
      </c>
      <c r="AU90" s="261"/>
      <c r="BB90" s="262"/>
    </row>
    <row r="91" spans="1:54" s="250" customFormat="1" ht="18" hidden="1" customHeight="1" outlineLevel="1" x14ac:dyDescent="0.25">
      <c r="A91" s="257"/>
      <c r="B91" s="1437"/>
      <c r="C91" s="225"/>
      <c r="D91" s="254"/>
      <c r="E91" s="254"/>
      <c r="F91" s="255"/>
      <c r="G91" s="255"/>
      <c r="H91" s="255"/>
      <c r="I91" s="257"/>
      <c r="J91" s="255"/>
      <c r="K91" s="255"/>
      <c r="L91" s="255"/>
      <c r="M91" s="249"/>
      <c r="N91" s="235"/>
      <c r="O91" s="229"/>
      <c r="P91" s="256"/>
      <c r="Q91" s="257"/>
      <c r="R91" s="257"/>
      <c r="S91" s="257"/>
      <c r="T91" s="257"/>
      <c r="U91" s="257"/>
      <c r="X91" s="264">
        <v>0.41</v>
      </c>
      <c r="Y91" s="265">
        <v>0.42820512820512818</v>
      </c>
      <c r="Z91" s="2133">
        <v>0.42820512820512818</v>
      </c>
      <c r="AA91" s="2133">
        <v>0.42820512820512818</v>
      </c>
      <c r="AB91" s="2134">
        <v>0.42820512820512818</v>
      </c>
      <c r="AC91" s="2134">
        <v>0.42820512820512818</v>
      </c>
      <c r="AD91" s="266"/>
      <c r="AE91" s="266"/>
      <c r="AF91" s="266"/>
      <c r="AG91" s="266"/>
      <c r="AU91" s="164"/>
      <c r="BB91" s="252"/>
    </row>
    <row r="92" spans="1:54" s="250" customFormat="1" ht="18" hidden="1" customHeight="1" outlineLevel="1" x14ac:dyDescent="0.25">
      <c r="A92" s="257"/>
      <c r="B92" s="1437"/>
      <c r="C92" s="225"/>
      <c r="D92" s="254"/>
      <c r="E92" s="254"/>
      <c r="F92" s="255"/>
      <c r="G92" s="255"/>
      <c r="H92" s="255"/>
      <c r="I92" s="255"/>
      <c r="J92" s="255"/>
      <c r="K92" s="255"/>
      <c r="L92" s="255"/>
      <c r="M92" s="249"/>
      <c r="N92" s="235"/>
      <c r="O92" s="229"/>
      <c r="P92" s="256"/>
      <c r="Q92" s="257"/>
      <c r="R92" s="257"/>
      <c r="S92" s="257"/>
      <c r="T92" s="257"/>
      <c r="U92" s="257"/>
      <c r="X92" s="264">
        <v>0.55000000000000004</v>
      </c>
      <c r="Y92" s="265">
        <v>0.517948717948718</v>
      </c>
      <c r="Z92" s="2133">
        <v>0.517948717948718</v>
      </c>
      <c r="AA92" s="2133">
        <v>0.517948717948718</v>
      </c>
      <c r="AB92" s="263">
        <v>0.517948717948718</v>
      </c>
      <c r="AC92" s="263">
        <v>0.517948717948718</v>
      </c>
      <c r="AD92" s="266"/>
      <c r="AE92" s="266"/>
      <c r="AF92" s="266"/>
      <c r="AG92" s="266"/>
      <c r="AU92" s="164"/>
      <c r="BB92" s="252"/>
    </row>
    <row r="93" spans="1:54" s="250" customFormat="1" ht="18" hidden="1" customHeight="1" outlineLevel="1" x14ac:dyDescent="0.25">
      <c r="A93" s="257"/>
      <c r="B93" s="1437"/>
      <c r="C93" s="225"/>
      <c r="D93" s="254"/>
      <c r="E93" s="254"/>
      <c r="F93" s="255"/>
      <c r="G93" s="255"/>
      <c r="H93" s="255"/>
      <c r="I93" s="257"/>
      <c r="J93" s="255"/>
      <c r="K93" s="255"/>
      <c r="L93" s="255"/>
      <c r="M93" s="249"/>
      <c r="N93" s="235"/>
      <c r="O93" s="229"/>
      <c r="P93" s="256"/>
      <c r="Q93" s="257"/>
      <c r="R93" s="257"/>
      <c r="S93" s="257"/>
      <c r="T93" s="257"/>
      <c r="U93" s="257"/>
      <c r="X93" s="264">
        <v>0</v>
      </c>
      <c r="Y93" s="264">
        <v>0</v>
      </c>
      <c r="Z93" s="2133">
        <v>0</v>
      </c>
      <c r="AA93" s="2133">
        <v>0</v>
      </c>
      <c r="AB93" s="263">
        <v>0</v>
      </c>
      <c r="AC93" s="263">
        <v>0</v>
      </c>
      <c r="AD93" s="266"/>
      <c r="AE93" s="266"/>
      <c r="AF93" s="266"/>
      <c r="AG93" s="266"/>
      <c r="AU93" s="164"/>
      <c r="BB93" s="252"/>
    </row>
    <row r="94" spans="1:54" s="250" customFormat="1" hidden="1" outlineLevel="1" x14ac:dyDescent="0.25">
      <c r="A94" s="257"/>
      <c r="B94" s="1437"/>
      <c r="C94" s="225"/>
      <c r="D94" s="254"/>
      <c r="E94" s="254"/>
      <c r="F94" s="255"/>
      <c r="G94" s="255"/>
      <c r="H94" s="255"/>
      <c r="I94" s="255"/>
      <c r="J94" s="255"/>
      <c r="K94" s="255"/>
      <c r="L94" s="255"/>
      <c r="M94" s="249"/>
      <c r="N94" s="235"/>
      <c r="O94" s="229"/>
      <c r="P94" s="229"/>
      <c r="Q94" s="257"/>
      <c r="R94" s="257"/>
      <c r="S94" s="257"/>
      <c r="T94" s="257"/>
      <c r="U94" s="257"/>
      <c r="X94" s="264">
        <v>0.04</v>
      </c>
      <c r="Y94" s="265">
        <v>5.3846153846153849E-2</v>
      </c>
      <c r="Z94" s="2133">
        <v>5.3846153846153849E-2</v>
      </c>
      <c r="AA94" s="2133">
        <v>5.3846153846153849E-2</v>
      </c>
      <c r="AB94" s="263">
        <v>5.3846153846153849E-2</v>
      </c>
      <c r="AC94" s="263">
        <v>5.3846153846153849E-2</v>
      </c>
      <c r="AD94" s="266"/>
      <c r="AE94" s="266"/>
      <c r="AF94" s="266"/>
      <c r="AG94" s="266"/>
      <c r="AU94" s="164"/>
      <c r="BB94" s="252"/>
    </row>
    <row r="95" spans="1:54" s="250" customFormat="1" ht="15" hidden="1" customHeight="1" outlineLevel="1" x14ac:dyDescent="0.25">
      <c r="A95" s="257"/>
      <c r="B95" s="1437"/>
      <c r="C95" s="225"/>
      <c r="D95" s="254"/>
      <c r="E95" s="254"/>
      <c r="F95" s="255"/>
      <c r="G95" s="255"/>
      <c r="H95" s="255"/>
      <c r="I95" s="255"/>
      <c r="J95" s="255"/>
      <c r="K95" s="255"/>
      <c r="L95" s="255"/>
      <c r="M95" s="249"/>
      <c r="N95" s="235"/>
      <c r="O95" s="229"/>
      <c r="P95" s="229"/>
      <c r="Q95" s="257"/>
      <c r="R95" s="257"/>
      <c r="S95" s="257"/>
      <c r="T95" s="257"/>
      <c r="U95" s="257"/>
      <c r="AU95" s="164"/>
      <c r="BB95" s="252"/>
    </row>
    <row r="96" spans="1:54" s="250" customFormat="1" ht="15" hidden="1" customHeight="1" outlineLevel="1" x14ac:dyDescent="0.25">
      <c r="A96" s="257"/>
      <c r="B96" s="1437"/>
      <c r="C96" s="225"/>
      <c r="D96" s="254"/>
      <c r="E96" s="254"/>
      <c r="F96" s="255"/>
      <c r="G96" s="255"/>
      <c r="H96" s="255"/>
      <c r="I96" s="255"/>
      <c r="J96" s="255"/>
      <c r="K96" s="255"/>
      <c r="L96" s="255"/>
      <c r="M96" s="249"/>
      <c r="N96" s="235"/>
      <c r="O96" s="229"/>
      <c r="P96" s="229"/>
      <c r="Q96" s="257"/>
      <c r="R96" s="257"/>
      <c r="S96" s="257"/>
      <c r="T96" s="257"/>
      <c r="U96" s="257"/>
      <c r="AU96" s="164"/>
      <c r="BB96" s="252"/>
    </row>
    <row r="97" spans="1:54" s="250" customFormat="1" hidden="1" outlineLevel="1" x14ac:dyDescent="0.25">
      <c r="A97" s="257"/>
      <c r="B97" s="1437"/>
      <c r="C97" s="225"/>
      <c r="D97" s="247"/>
      <c r="E97" s="247"/>
      <c r="F97" s="249"/>
      <c r="G97" s="249"/>
      <c r="H97" s="249"/>
      <c r="I97" s="249"/>
      <c r="J97" s="249"/>
      <c r="K97" s="249"/>
      <c r="L97" s="249"/>
      <c r="M97" s="229"/>
      <c r="N97" s="235"/>
      <c r="O97" s="229"/>
      <c r="P97" s="229"/>
      <c r="Q97" s="249"/>
      <c r="R97" s="257"/>
      <c r="S97" s="257"/>
      <c r="T97" s="257"/>
      <c r="U97" s="257"/>
      <c r="AU97" s="164"/>
      <c r="BB97" s="252"/>
    </row>
    <row r="98" spans="1:54" hidden="1" outlineLevel="1" x14ac:dyDescent="0.25">
      <c r="B98" s="1437"/>
      <c r="C98" s="225"/>
      <c r="D98" s="3236" t="s">
        <v>109</v>
      </c>
      <c r="E98" s="3236" t="s">
        <v>110</v>
      </c>
      <c r="F98" s="3086" t="s">
        <v>112</v>
      </c>
      <c r="G98" s="3086" t="s">
        <v>187</v>
      </c>
      <c r="H98" s="3086" t="s">
        <v>283</v>
      </c>
      <c r="I98" s="3086" t="s">
        <v>283</v>
      </c>
      <c r="J98" s="249"/>
      <c r="M98" s="228"/>
      <c r="N98" s="235"/>
      <c r="O98" s="229"/>
      <c r="P98" s="229"/>
      <c r="Q98" s="249"/>
      <c r="V98" s="1936" t="s">
        <v>45</v>
      </c>
      <c r="W98" s="1937">
        <v>43252</v>
      </c>
      <c r="X98" s="1937">
        <f>$X$6</f>
        <v>43465</v>
      </c>
      <c r="Y98" s="1937">
        <f>$Y$6</f>
        <v>43800</v>
      </c>
      <c r="Z98" s="1937">
        <f>$Z$6</f>
        <v>43862</v>
      </c>
      <c r="AA98" s="1937">
        <f>$AA$6</f>
        <v>44013</v>
      </c>
      <c r="AB98" s="1937">
        <f>$AB$6</f>
        <v>44166</v>
      </c>
      <c r="AC98" s="1937">
        <f>$AC$6</f>
        <v>44531</v>
      </c>
      <c r="AD98" s="1937" t="str">
        <f>$AD$6</f>
        <v>-</v>
      </c>
      <c r="AE98" s="1937" t="str">
        <f>$AE$6</f>
        <v>-</v>
      </c>
      <c r="AF98" s="1937" t="str">
        <f>$AF$6</f>
        <v>-</v>
      </c>
      <c r="AG98" s="1937" t="str">
        <f>$AG$6</f>
        <v>-</v>
      </c>
      <c r="AH98" s="250"/>
      <c r="AU98" s="164"/>
    </row>
    <row r="99" spans="1:54" hidden="1" outlineLevel="1" x14ac:dyDescent="0.25">
      <c r="B99" s="1437"/>
      <c r="C99" s="225"/>
      <c r="D99" s="3802" t="s">
        <v>284</v>
      </c>
      <c r="E99" s="2051" t="str">
        <f>E57</f>
        <v>Learning Thermostat - ASHP heating/cooling SF</v>
      </c>
      <c r="F99" s="269">
        <v>1</v>
      </c>
      <c r="G99" s="3812" t="s">
        <v>285</v>
      </c>
      <c r="H99" s="3813"/>
      <c r="I99" s="270"/>
      <c r="J99" s="249"/>
      <c r="N99" s="235"/>
      <c r="O99" s="249"/>
      <c r="P99" s="249"/>
      <c r="Q99" s="249"/>
      <c r="V99" s="3805" t="str">
        <f>D99</f>
        <v>%ElectricHeat</v>
      </c>
      <c r="W99" s="271">
        <v>1</v>
      </c>
      <c r="X99" s="271">
        <v>1</v>
      </c>
      <c r="Y99" s="271">
        <v>1</v>
      </c>
      <c r="Z99" s="432">
        <v>1</v>
      </c>
      <c r="AA99" s="432">
        <v>1</v>
      </c>
      <c r="AB99" s="432">
        <v>1</v>
      </c>
      <c r="AC99" s="269">
        <v>1</v>
      </c>
      <c r="AD99" s="271"/>
      <c r="AE99" s="271"/>
      <c r="AF99" s="271"/>
      <c r="AG99" s="271"/>
      <c r="AH99" s="250"/>
      <c r="AU99" s="164"/>
    </row>
    <row r="100" spans="1:54" hidden="1" outlineLevel="1" x14ac:dyDescent="0.25">
      <c r="B100" s="1437"/>
      <c r="C100" s="225"/>
      <c r="D100" s="3803"/>
      <c r="E100" s="2051" t="str">
        <f>E59</f>
        <v>Learning Thermostat - ASHP heating/cooling MF</v>
      </c>
      <c r="F100" s="269">
        <v>1</v>
      </c>
      <c r="G100" s="3812" t="s">
        <v>285</v>
      </c>
      <c r="H100" s="3813"/>
      <c r="I100" s="270"/>
      <c r="J100" s="249"/>
      <c r="N100" s="235"/>
      <c r="O100" s="249"/>
      <c r="P100" s="249"/>
      <c r="Q100" s="249"/>
      <c r="V100" s="3806"/>
      <c r="W100" s="271"/>
      <c r="X100" s="271"/>
      <c r="Y100" s="271">
        <v>1</v>
      </c>
      <c r="Z100" s="432">
        <v>1</v>
      </c>
      <c r="AA100" s="432">
        <v>1</v>
      </c>
      <c r="AB100" s="432">
        <v>1</v>
      </c>
      <c r="AC100" s="269">
        <v>1</v>
      </c>
      <c r="AD100" s="271"/>
      <c r="AE100" s="271"/>
      <c r="AF100" s="271"/>
      <c r="AG100" s="271"/>
      <c r="AH100" s="250"/>
      <c r="AU100" s="164"/>
    </row>
    <row r="101" spans="1:54" hidden="1" outlineLevel="1" x14ac:dyDescent="0.25">
      <c r="B101" s="1437"/>
      <c r="C101" s="225"/>
      <c r="D101" s="3803"/>
      <c r="E101" s="2051" t="str">
        <f>E63</f>
        <v>Learning Thermostat - electric furnace heating / central AC MF</v>
      </c>
      <c r="F101" s="269">
        <v>1</v>
      </c>
      <c r="G101" s="3812" t="s">
        <v>285</v>
      </c>
      <c r="H101" s="3813"/>
      <c r="I101" s="270"/>
      <c r="J101" s="249"/>
      <c r="N101" s="235"/>
      <c r="O101" s="249"/>
      <c r="P101" s="249"/>
      <c r="Q101" s="249"/>
      <c r="V101" s="3806"/>
      <c r="W101" s="271">
        <v>1</v>
      </c>
      <c r="X101" s="271">
        <v>1</v>
      </c>
      <c r="Y101" s="271">
        <v>1</v>
      </c>
      <c r="Z101" s="432">
        <v>1</v>
      </c>
      <c r="AA101" s="432">
        <v>1</v>
      </c>
      <c r="AB101" s="432">
        <v>1</v>
      </c>
      <c r="AC101" s="269">
        <v>1</v>
      </c>
      <c r="AD101" s="271"/>
      <c r="AE101" s="271"/>
      <c r="AF101" s="271"/>
      <c r="AG101" s="271"/>
      <c r="AH101" s="250"/>
      <c r="AU101" s="164"/>
    </row>
    <row r="102" spans="1:54" hidden="1" outlineLevel="1" x14ac:dyDescent="0.25">
      <c r="B102" s="1437"/>
      <c r="C102" s="225"/>
      <c r="D102" s="3803"/>
      <c r="E102" s="3195" t="str">
        <f>E67</f>
        <v>Learning Thermostat - electric furnace heating / central AC SF</v>
      </c>
      <c r="F102" s="269">
        <v>1</v>
      </c>
      <c r="G102" s="3812" t="s">
        <v>285</v>
      </c>
      <c r="H102" s="3813"/>
      <c r="I102" s="270"/>
      <c r="J102" s="249"/>
      <c r="N102" s="235"/>
      <c r="O102" s="249"/>
      <c r="P102" s="249"/>
      <c r="Q102" s="249"/>
      <c r="V102" s="3806"/>
      <c r="W102" s="271">
        <v>1</v>
      </c>
      <c r="X102" s="271">
        <v>1</v>
      </c>
      <c r="Y102" s="271">
        <v>1</v>
      </c>
      <c r="Z102" s="432">
        <v>1</v>
      </c>
      <c r="AA102" s="432">
        <v>1</v>
      </c>
      <c r="AB102" s="432">
        <v>1</v>
      </c>
      <c r="AC102" s="269">
        <v>1</v>
      </c>
      <c r="AD102" s="271"/>
      <c r="AE102" s="271"/>
      <c r="AF102" s="271"/>
      <c r="AG102" s="271"/>
      <c r="AH102" s="250"/>
      <c r="AU102" s="164"/>
    </row>
    <row r="103" spans="1:54" hidden="1" outlineLevel="1" x14ac:dyDescent="0.25">
      <c r="B103" s="1437"/>
      <c r="C103" s="225"/>
      <c r="D103" s="3803"/>
      <c r="E103" s="3195" t="str">
        <f>E69</f>
        <v>Learning Thermostat - Gas Heated / central AC SF**</v>
      </c>
      <c r="F103" s="269">
        <v>0</v>
      </c>
      <c r="G103" s="3812" t="s">
        <v>285</v>
      </c>
      <c r="H103" s="3813"/>
      <c r="I103" s="270"/>
      <c r="J103" s="249"/>
      <c r="N103" s="235"/>
      <c r="O103" s="249"/>
      <c r="P103" s="249"/>
      <c r="Q103" s="249"/>
      <c r="V103" s="3806"/>
      <c r="W103" s="271">
        <v>0</v>
      </c>
      <c r="X103" s="271">
        <v>0</v>
      </c>
      <c r="Y103" s="271">
        <v>0</v>
      </c>
      <c r="Z103" s="432">
        <v>0</v>
      </c>
      <c r="AA103" s="432">
        <v>0</v>
      </c>
      <c r="AB103" s="432">
        <v>0</v>
      </c>
      <c r="AC103" s="269">
        <v>0</v>
      </c>
      <c r="AD103" s="271"/>
      <c r="AE103" s="271"/>
      <c r="AF103" s="271"/>
      <c r="AG103" s="271"/>
      <c r="AH103" s="250"/>
      <c r="AU103" s="164"/>
    </row>
    <row r="104" spans="1:54" hidden="1" outlineLevel="1" x14ac:dyDescent="0.25">
      <c r="B104" s="1437"/>
      <c r="C104" s="225"/>
      <c r="D104" s="3803"/>
      <c r="E104" s="3195" t="str">
        <f>E71</f>
        <v>Learning Thermostat - Gas Heated / central AC MF**</v>
      </c>
      <c r="F104" s="269">
        <v>0</v>
      </c>
      <c r="G104" s="3812" t="s">
        <v>285</v>
      </c>
      <c r="H104" s="3813"/>
      <c r="I104" s="270"/>
      <c r="J104" s="249"/>
      <c r="N104" s="235"/>
      <c r="O104" s="249"/>
      <c r="P104" s="249"/>
      <c r="Q104" s="249"/>
      <c r="V104" s="3806"/>
      <c r="W104" s="271"/>
      <c r="X104" s="271"/>
      <c r="Y104" s="274">
        <v>0</v>
      </c>
      <c r="Z104" s="432">
        <v>0</v>
      </c>
      <c r="AA104" s="432">
        <v>0</v>
      </c>
      <c r="AB104" s="432">
        <v>0</v>
      </c>
      <c r="AC104" s="269">
        <v>0</v>
      </c>
      <c r="AD104" s="271"/>
      <c r="AE104" s="271"/>
      <c r="AF104" s="271"/>
      <c r="AG104" s="271"/>
      <c r="AH104" s="250"/>
      <c r="AU104" s="164"/>
    </row>
    <row r="105" spans="1:54" hidden="1" outlineLevel="1" x14ac:dyDescent="0.25">
      <c r="B105" s="1437"/>
      <c r="C105" s="225"/>
      <c r="D105" s="3803"/>
      <c r="E105" s="3195" t="str">
        <f>E75</f>
        <v>Learning Thermostat - Unknown SF**</v>
      </c>
      <c r="F105" s="273">
        <v>0.33</v>
      </c>
      <c r="G105" s="3824" t="s">
        <v>286</v>
      </c>
      <c r="H105" s="3825"/>
      <c r="I105" s="270"/>
      <c r="J105" s="249"/>
      <c r="N105" s="235"/>
      <c r="O105" s="249"/>
      <c r="P105" s="249"/>
      <c r="Q105" s="249"/>
      <c r="V105" s="3806"/>
      <c r="W105" s="271">
        <v>0.35</v>
      </c>
      <c r="X105" s="273">
        <v>0.2446317798632098</v>
      </c>
      <c r="Y105" s="275">
        <v>0.16428797970187123</v>
      </c>
      <c r="Z105" s="2135">
        <v>0.16428797970187123</v>
      </c>
      <c r="AA105" s="2135">
        <v>0.16428797970187123</v>
      </c>
      <c r="AB105" s="432">
        <v>0.16428797970187123</v>
      </c>
      <c r="AC105" s="273">
        <v>0.33</v>
      </c>
      <c r="AD105" s="271"/>
      <c r="AE105" s="271"/>
      <c r="AF105" s="271"/>
      <c r="AG105" s="271"/>
      <c r="AH105" s="250"/>
      <c r="AU105" s="164"/>
    </row>
    <row r="106" spans="1:54" hidden="1" outlineLevel="1" x14ac:dyDescent="0.25">
      <c r="B106" s="1437"/>
      <c r="C106" s="225"/>
      <c r="D106" s="3804"/>
      <c r="E106" s="3195" t="str">
        <f>E77</f>
        <v>Learning Thermostat - Unknown MF**</v>
      </c>
      <c r="F106" s="273">
        <v>0.33</v>
      </c>
      <c r="G106" s="3826"/>
      <c r="H106" s="3827"/>
      <c r="I106" s="270"/>
      <c r="J106" s="249"/>
      <c r="N106" s="235"/>
      <c r="O106" s="249"/>
      <c r="P106" s="249"/>
      <c r="Q106" s="249"/>
      <c r="V106" s="3807"/>
      <c r="W106" s="271"/>
      <c r="X106" s="273"/>
      <c r="Y106" s="275">
        <v>0.16428797970187123</v>
      </c>
      <c r="Z106" s="2135">
        <v>0.16428797970187123</v>
      </c>
      <c r="AA106" s="2135">
        <v>0.16428797970187123</v>
      </c>
      <c r="AB106" s="432">
        <v>0.16428797970187123</v>
      </c>
      <c r="AC106" s="273">
        <v>0.33</v>
      </c>
      <c r="AD106" s="271"/>
      <c r="AE106" s="271"/>
      <c r="AF106" s="271"/>
      <c r="AG106" s="271"/>
      <c r="AH106" s="250"/>
      <c r="AU106" s="164"/>
    </row>
    <row r="107" spans="1:54" hidden="1" outlineLevel="1" x14ac:dyDescent="0.25">
      <c r="B107" s="1437"/>
      <c r="C107" s="225"/>
      <c r="D107" s="3802" t="s">
        <v>287</v>
      </c>
      <c r="E107" s="2051" t="str">
        <f>$E$99</f>
        <v>Learning Thermostat - ASHP heating/cooling SF</v>
      </c>
      <c r="F107" s="437">
        <v>8354.8764478764479</v>
      </c>
      <c r="G107" s="3844" t="s">
        <v>288</v>
      </c>
      <c r="H107" s="3845"/>
      <c r="I107" s="3818" t="s">
        <v>289</v>
      </c>
      <c r="J107" s="249"/>
      <c r="N107" s="235"/>
      <c r="O107" s="249"/>
      <c r="P107" s="249"/>
      <c r="Q107" s="249"/>
      <c r="V107" s="3805" t="str">
        <f>D107</f>
        <v>HeatingConsumption_Electric</v>
      </c>
      <c r="W107" s="277">
        <v>8320</v>
      </c>
      <c r="X107" s="278">
        <f>206570/25</f>
        <v>8262.7999999999993</v>
      </c>
      <c r="Y107" s="278">
        <v>8354.8764478764479</v>
      </c>
      <c r="Z107" s="437">
        <v>8354.8764478764479</v>
      </c>
      <c r="AA107" s="437">
        <v>8354.8764478764479</v>
      </c>
      <c r="AB107" s="437">
        <v>8354.8764478764479</v>
      </c>
      <c r="AC107" s="437">
        <v>8354.8764478764479</v>
      </c>
      <c r="AD107" s="277"/>
      <c r="AE107" s="277"/>
      <c r="AF107" s="277"/>
      <c r="AG107" s="277"/>
      <c r="AH107" s="250"/>
      <c r="AU107" s="164"/>
    </row>
    <row r="108" spans="1:54" hidden="1" outlineLevel="1" x14ac:dyDescent="0.25">
      <c r="B108" s="1437"/>
      <c r="C108" s="225"/>
      <c r="D108" s="3803"/>
      <c r="E108" s="2051" t="str">
        <f>$E$100</f>
        <v>Learning Thermostat - ASHP heating/cooling MF</v>
      </c>
      <c r="F108" s="437">
        <v>8355</v>
      </c>
      <c r="G108" s="3846"/>
      <c r="H108" s="3847"/>
      <c r="I108" s="3819"/>
      <c r="J108" s="249"/>
      <c r="N108" s="235"/>
      <c r="O108" s="249"/>
      <c r="P108" s="249"/>
      <c r="Q108" s="249"/>
      <c r="V108" s="3806"/>
      <c r="W108" s="277"/>
      <c r="X108" s="278"/>
      <c r="Y108" s="278">
        <v>8355</v>
      </c>
      <c r="Z108" s="437">
        <v>8355</v>
      </c>
      <c r="AA108" s="437">
        <v>8355</v>
      </c>
      <c r="AB108" s="437">
        <v>8355</v>
      </c>
      <c r="AC108" s="437">
        <v>8355</v>
      </c>
      <c r="AD108" s="277"/>
      <c r="AE108" s="277"/>
      <c r="AF108" s="277"/>
      <c r="AG108" s="277"/>
      <c r="AH108" s="250"/>
      <c r="AU108" s="164"/>
    </row>
    <row r="109" spans="1:54" hidden="1" outlineLevel="1" x14ac:dyDescent="0.25">
      <c r="B109" s="1437"/>
      <c r="C109" s="225"/>
      <c r="D109" s="3803"/>
      <c r="E109" s="3106" t="str">
        <f>E61</f>
        <v>Learning Thermostat - ASHP heating/cooling MF_CompE</v>
      </c>
      <c r="F109" s="437">
        <f>(509/1496)*F108</f>
        <v>2842.7105614973266</v>
      </c>
      <c r="G109" s="3846"/>
      <c r="H109" s="3847"/>
      <c r="I109" s="3819"/>
      <c r="J109" s="249"/>
      <c r="N109" s="235"/>
      <c r="O109" s="249"/>
      <c r="P109" s="249"/>
      <c r="Q109" s="249"/>
      <c r="V109" s="3806"/>
      <c r="W109" s="277"/>
      <c r="X109" s="278"/>
      <c r="Y109" s="278">
        <v>2842.7105614973266</v>
      </c>
      <c r="Z109" s="437">
        <v>2842.7105614973266</v>
      </c>
      <c r="AA109" s="437">
        <v>2842.7105614973266</v>
      </c>
      <c r="AB109" s="437">
        <v>2842.7105614973266</v>
      </c>
      <c r="AC109" s="437">
        <f>(509/1496)*AC108</f>
        <v>2842.7105614973266</v>
      </c>
      <c r="AD109" s="277"/>
      <c r="AE109" s="277"/>
      <c r="AF109" s="277"/>
      <c r="AG109" s="277"/>
      <c r="AH109" s="250"/>
      <c r="AU109" s="164"/>
    </row>
    <row r="110" spans="1:54" hidden="1" outlineLevel="1" x14ac:dyDescent="0.25">
      <c r="B110" s="1437"/>
      <c r="C110" s="225"/>
      <c r="D110" s="3803"/>
      <c r="E110" s="2051" t="str">
        <f>$E$101</f>
        <v>Learning Thermostat - electric furnace heating / central AC MF</v>
      </c>
      <c r="F110" s="437">
        <v>14201.965811965812</v>
      </c>
      <c r="G110" s="3846"/>
      <c r="H110" s="3847"/>
      <c r="I110" s="3820"/>
      <c r="J110" s="249"/>
      <c r="N110" s="235"/>
      <c r="O110" s="249"/>
      <c r="P110" s="249"/>
      <c r="Q110" s="249"/>
      <c r="V110" s="3806"/>
      <c r="W110" s="277">
        <f>14144</f>
        <v>14144</v>
      </c>
      <c r="X110" s="278">
        <f>X112</f>
        <v>14193.886792452829</v>
      </c>
      <c r="Y110" s="278">
        <v>14201.965811965812</v>
      </c>
      <c r="Z110" s="437">
        <v>14201.965811965812</v>
      </c>
      <c r="AA110" s="437">
        <v>14201.965811965812</v>
      </c>
      <c r="AB110" s="437">
        <v>14201.965811965812</v>
      </c>
      <c r="AC110" s="437">
        <v>14201.965811965812</v>
      </c>
      <c r="AD110" s="277"/>
      <c r="AE110" s="277"/>
      <c r="AF110" s="277"/>
      <c r="AG110" s="277"/>
      <c r="AH110" s="250"/>
      <c r="AI110" s="280" t="s">
        <v>290</v>
      </c>
      <c r="AJ110" s="281">
        <v>17940</v>
      </c>
      <c r="AK110" s="281">
        <v>10553</v>
      </c>
      <c r="AL110" s="281">
        <v>17017</v>
      </c>
      <c r="AU110" s="164"/>
    </row>
    <row r="111" spans="1:54" hidden="1" outlineLevel="1" x14ac:dyDescent="0.25">
      <c r="B111" s="1437"/>
      <c r="C111" s="225"/>
      <c r="D111" s="3803"/>
      <c r="E111" s="3106" t="str">
        <f>E65</f>
        <v>Learning Thermostat - electric furnace heating / central AC MF_CompE</v>
      </c>
      <c r="F111" s="437">
        <f>(509/1496)*F110</f>
        <v>4832.0859614241972</v>
      </c>
      <c r="G111" s="3846"/>
      <c r="H111" s="3847"/>
      <c r="I111" s="3820"/>
      <c r="J111" s="249"/>
      <c r="N111" s="235"/>
      <c r="O111" s="249"/>
      <c r="P111" s="249"/>
      <c r="Q111" s="249"/>
      <c r="V111" s="3806"/>
      <c r="W111" s="277"/>
      <c r="X111" s="278"/>
      <c r="Y111" s="278">
        <v>4832.0859614241972</v>
      </c>
      <c r="Z111" s="437">
        <v>4832.0859614241972</v>
      </c>
      <c r="AA111" s="437">
        <v>4832.0859614241972</v>
      </c>
      <c r="AB111" s="437">
        <v>4832.0859614241972</v>
      </c>
      <c r="AC111" s="437">
        <f>(509/1496)*AC110</f>
        <v>4832.0859614241972</v>
      </c>
      <c r="AD111" s="277"/>
      <c r="AE111" s="277"/>
      <c r="AF111" s="277"/>
      <c r="AG111" s="277"/>
      <c r="AH111" s="250"/>
      <c r="AI111" s="280"/>
      <c r="AJ111" s="281"/>
      <c r="AK111" s="281"/>
      <c r="AL111" s="281"/>
      <c r="AU111" s="164"/>
    </row>
    <row r="112" spans="1:54" hidden="1" outlineLevel="1" x14ac:dyDescent="0.25">
      <c r="B112" s="1437"/>
      <c r="C112" s="225"/>
      <c r="D112" s="3803"/>
      <c r="E112" s="2051" t="str">
        <f>$E$102</f>
        <v>Learning Thermostat - electric furnace heating / central AC SF</v>
      </c>
      <c r="F112" s="437">
        <v>14201.965811965812</v>
      </c>
      <c r="G112" s="3846"/>
      <c r="H112" s="3847"/>
      <c r="I112" s="3820"/>
      <c r="J112" s="249"/>
      <c r="N112" s="235"/>
      <c r="O112" s="249"/>
      <c r="P112" s="249"/>
      <c r="Q112" s="249"/>
      <c r="V112" s="3806"/>
      <c r="W112" s="277">
        <v>14144</v>
      </c>
      <c r="X112" s="278">
        <f>752276/53</f>
        <v>14193.886792452829</v>
      </c>
      <c r="Y112" s="278">
        <v>14201.965811965812</v>
      </c>
      <c r="Z112" s="437">
        <v>14201.965811965812</v>
      </c>
      <c r="AA112" s="437">
        <v>14201.965811965812</v>
      </c>
      <c r="AB112" s="437">
        <v>14201.965811965812</v>
      </c>
      <c r="AC112" s="437">
        <v>14201.965811965812</v>
      </c>
      <c r="AD112" s="277"/>
      <c r="AE112" s="277"/>
      <c r="AF112" s="277"/>
      <c r="AG112" s="277"/>
      <c r="AH112" s="250"/>
      <c r="AI112" s="280" t="s">
        <v>291</v>
      </c>
      <c r="AJ112" s="280">
        <v>19664</v>
      </c>
      <c r="AK112" s="280">
        <v>11567</v>
      </c>
      <c r="AL112" s="280">
        <v>18652</v>
      </c>
      <c r="AU112" s="164"/>
    </row>
    <row r="113" spans="2:47" hidden="1" outlineLevel="1" x14ac:dyDescent="0.25">
      <c r="B113" s="1437"/>
      <c r="C113" s="225"/>
      <c r="D113" s="3803"/>
      <c r="E113" s="2051" t="str">
        <f>$E$103</f>
        <v>Learning Thermostat - Gas Heated / central AC SF**</v>
      </c>
      <c r="F113" s="437">
        <v>0</v>
      </c>
      <c r="G113" s="3846"/>
      <c r="H113" s="3847"/>
      <c r="I113" s="3820"/>
      <c r="J113" s="249"/>
      <c r="N113" s="235"/>
      <c r="O113" s="249"/>
      <c r="P113" s="249"/>
      <c r="Q113" s="249"/>
      <c r="V113" s="3806"/>
      <c r="W113" s="277">
        <v>0</v>
      </c>
      <c r="X113" s="279">
        <v>0</v>
      </c>
      <c r="Y113" s="276">
        <v>0</v>
      </c>
      <c r="Z113" s="437">
        <v>0</v>
      </c>
      <c r="AA113" s="437">
        <v>0</v>
      </c>
      <c r="AB113" s="437">
        <v>0</v>
      </c>
      <c r="AC113" s="437">
        <v>0</v>
      </c>
      <c r="AD113" s="277"/>
      <c r="AE113" s="277"/>
      <c r="AF113" s="277"/>
      <c r="AG113" s="277"/>
      <c r="AH113" s="250"/>
      <c r="AI113" s="280" t="s">
        <v>292</v>
      </c>
      <c r="AJ113" s="281">
        <v>13502</v>
      </c>
      <c r="AK113" s="281">
        <v>7943</v>
      </c>
      <c r="AL113" s="281">
        <v>12807</v>
      </c>
      <c r="AU113" s="164"/>
    </row>
    <row r="114" spans="2:47" hidden="1" outlineLevel="1" x14ac:dyDescent="0.25">
      <c r="B114" s="1437"/>
      <c r="C114" s="225"/>
      <c r="D114" s="3803"/>
      <c r="E114" s="2051" t="str">
        <f>$E$104</f>
        <v>Learning Thermostat - Gas Heated / central AC MF**</v>
      </c>
      <c r="F114" s="437">
        <v>0</v>
      </c>
      <c r="G114" s="3846"/>
      <c r="H114" s="3847"/>
      <c r="I114" s="3820"/>
      <c r="J114" s="249"/>
      <c r="N114" s="235"/>
      <c r="O114" s="249"/>
      <c r="P114" s="249"/>
      <c r="Q114" s="249"/>
      <c r="V114" s="3806"/>
      <c r="W114" s="277"/>
      <c r="X114" s="279"/>
      <c r="Y114" s="278">
        <v>0</v>
      </c>
      <c r="Z114" s="437">
        <v>0</v>
      </c>
      <c r="AA114" s="437">
        <v>0</v>
      </c>
      <c r="AB114" s="437">
        <v>0</v>
      </c>
      <c r="AC114" s="437">
        <v>0</v>
      </c>
      <c r="AD114" s="277"/>
      <c r="AE114" s="277"/>
      <c r="AF114" s="277"/>
      <c r="AG114" s="277"/>
      <c r="AH114" s="250"/>
      <c r="AI114" s="280"/>
      <c r="AJ114" s="281"/>
      <c r="AK114" s="281"/>
      <c r="AL114" s="281"/>
      <c r="AU114" s="164"/>
    </row>
    <row r="115" spans="2:47" hidden="1" outlineLevel="1" x14ac:dyDescent="0.25">
      <c r="B115" s="1437"/>
      <c r="C115" s="225"/>
      <c r="D115" s="3803"/>
      <c r="E115" s="3106" t="str">
        <f>E73</f>
        <v>Learning Thermostat - Gas Heated / central AC MF_CompE**</v>
      </c>
      <c r="F115" s="437">
        <f>(509/1496)*F114</f>
        <v>0</v>
      </c>
      <c r="G115" s="3846"/>
      <c r="H115" s="3847"/>
      <c r="I115" s="3820"/>
      <c r="J115" s="249"/>
      <c r="N115" s="235"/>
      <c r="O115" s="249"/>
      <c r="P115" s="249"/>
      <c r="Q115" s="249"/>
      <c r="V115" s="3806"/>
      <c r="W115" s="277"/>
      <c r="X115" s="279"/>
      <c r="Y115" s="278">
        <v>0</v>
      </c>
      <c r="Z115" s="437">
        <v>0</v>
      </c>
      <c r="AA115" s="437">
        <v>0</v>
      </c>
      <c r="AB115" s="437">
        <v>0</v>
      </c>
      <c r="AC115" s="437">
        <f>(509/1496)*AC114</f>
        <v>0</v>
      </c>
      <c r="AD115" s="277"/>
      <c r="AE115" s="277"/>
      <c r="AF115" s="277"/>
      <c r="AG115" s="277"/>
      <c r="AH115" s="250"/>
      <c r="AI115" s="280"/>
      <c r="AJ115" s="281"/>
      <c r="AK115" s="281"/>
      <c r="AL115" s="281"/>
      <c r="AU115" s="164"/>
    </row>
    <row r="116" spans="2:47" hidden="1" outlineLevel="1" x14ac:dyDescent="0.25">
      <c r="B116" s="1437"/>
      <c r="C116" s="225"/>
      <c r="D116" s="3803"/>
      <c r="E116" s="2051" t="str">
        <f>$E$105</f>
        <v>Learning Thermostat - Unknown SF**</v>
      </c>
      <c r="F116" s="437">
        <v>11456.0072529465</v>
      </c>
      <c r="G116" s="3846"/>
      <c r="H116" s="3847"/>
      <c r="I116" s="3820"/>
      <c r="J116" s="249"/>
      <c r="N116" s="235"/>
      <c r="O116" s="249"/>
      <c r="P116" s="249"/>
      <c r="Q116" s="249"/>
      <c r="V116" s="3806"/>
      <c r="W116" s="279">
        <v>13416</v>
      </c>
      <c r="X116" s="282">
        <v>12382.71</v>
      </c>
      <c r="Y116" s="278">
        <v>11456.0072529465</v>
      </c>
      <c r="Z116" s="437">
        <v>11456.0072529465</v>
      </c>
      <c r="AA116" s="437">
        <v>11456.0072529465</v>
      </c>
      <c r="AB116" s="437">
        <v>11456.0072529465</v>
      </c>
      <c r="AC116" s="437">
        <v>11456.0072529465</v>
      </c>
      <c r="AD116" s="277"/>
      <c r="AE116" s="277"/>
      <c r="AF116" s="277"/>
      <c r="AG116" s="277"/>
      <c r="AH116" s="250"/>
      <c r="AI116" s="280" t="s">
        <v>293</v>
      </c>
      <c r="AJ116" s="281">
        <v>14276</v>
      </c>
      <c r="AK116" s="281">
        <v>8398</v>
      </c>
      <c r="AL116" s="281">
        <v>13541</v>
      </c>
      <c r="AU116" s="164"/>
    </row>
    <row r="117" spans="2:47" hidden="1" outlineLevel="1" x14ac:dyDescent="0.25">
      <c r="B117" s="1437"/>
      <c r="C117" s="225"/>
      <c r="D117" s="3705"/>
      <c r="E117" s="2051" t="str">
        <f>$E$106</f>
        <v>Learning Thermostat - Unknown MF**</v>
      </c>
      <c r="F117" s="437">
        <v>11456.0072529465</v>
      </c>
      <c r="G117" s="3846"/>
      <c r="H117" s="3847"/>
      <c r="I117" s="3820"/>
      <c r="J117" s="249"/>
      <c r="N117" s="235"/>
      <c r="O117" s="249"/>
      <c r="P117" s="249"/>
      <c r="Q117" s="249"/>
      <c r="V117" s="3815"/>
      <c r="W117" s="279"/>
      <c r="X117" s="282"/>
      <c r="Y117" s="278">
        <v>11456.0072529465</v>
      </c>
      <c r="Z117" s="437">
        <v>11456.0072529465</v>
      </c>
      <c r="AA117" s="437">
        <v>11456.0072529465</v>
      </c>
      <c r="AB117" s="437">
        <v>11456.0072529465</v>
      </c>
      <c r="AC117" s="437">
        <v>11456.0072529465</v>
      </c>
      <c r="AD117" s="277"/>
      <c r="AE117" s="277"/>
      <c r="AF117" s="277"/>
      <c r="AG117" s="277"/>
      <c r="AH117" s="250"/>
      <c r="AI117" s="280"/>
      <c r="AJ117" s="281"/>
      <c r="AK117" s="281"/>
      <c r="AL117" s="281"/>
      <c r="AU117" s="164"/>
    </row>
    <row r="118" spans="2:47" hidden="1" outlineLevel="1" x14ac:dyDescent="0.25">
      <c r="B118" s="1437"/>
      <c r="C118" s="225"/>
      <c r="D118" s="3804"/>
      <c r="E118" s="3106" t="str">
        <f>E79</f>
        <v>Learning Thermostat - Unknown MF_CompE**</v>
      </c>
      <c r="F118" s="437">
        <f>(509/1496)*F117</f>
        <v>3897.799259191022</v>
      </c>
      <c r="G118" s="3848"/>
      <c r="H118" s="3849"/>
      <c r="I118" s="3821"/>
      <c r="J118" s="249"/>
      <c r="N118" s="235"/>
      <c r="O118" s="249"/>
      <c r="P118" s="249"/>
      <c r="Q118" s="249"/>
      <c r="V118" s="3807"/>
      <c r="W118" s="279"/>
      <c r="X118" s="282"/>
      <c r="Y118" s="278">
        <v>3897.799259191022</v>
      </c>
      <c r="Z118" s="437">
        <v>3897.799259191022</v>
      </c>
      <c r="AA118" s="437">
        <v>3897.799259191022</v>
      </c>
      <c r="AB118" s="437">
        <v>3897.799259191022</v>
      </c>
      <c r="AC118" s="437">
        <f>(509/1496)*AC117</f>
        <v>3897.799259191022</v>
      </c>
      <c r="AD118" s="277"/>
      <c r="AE118" s="277"/>
      <c r="AF118" s="277"/>
      <c r="AG118" s="277"/>
      <c r="AH118" s="250"/>
      <c r="AI118" s="280"/>
      <c r="AJ118" s="281"/>
      <c r="AK118" s="281"/>
      <c r="AL118" s="281"/>
      <c r="AU118" s="164"/>
    </row>
    <row r="119" spans="2:47" hidden="1" outlineLevel="1" x14ac:dyDescent="0.25">
      <c r="B119" s="1437"/>
      <c r="C119" s="225"/>
      <c r="D119" s="3802" t="s">
        <v>294</v>
      </c>
      <c r="E119" s="2051" t="str">
        <f>$E$99</f>
        <v>Learning Thermostat - ASHP heating/cooling SF</v>
      </c>
      <c r="F119" s="432">
        <v>1</v>
      </c>
      <c r="G119" s="3812" t="s">
        <v>285</v>
      </c>
      <c r="H119" s="3813"/>
      <c r="I119" s="270"/>
      <c r="J119" s="249"/>
      <c r="N119" s="235"/>
      <c r="O119" s="249"/>
      <c r="P119" s="249"/>
      <c r="Q119" s="249"/>
      <c r="V119" s="3805" t="str">
        <f>D119</f>
        <v>HF</v>
      </c>
      <c r="W119" s="271">
        <v>1</v>
      </c>
      <c r="X119" s="271">
        <v>1</v>
      </c>
      <c r="Y119" s="272">
        <v>1</v>
      </c>
      <c r="Z119" s="432">
        <v>1</v>
      </c>
      <c r="AA119" s="432">
        <v>1</v>
      </c>
      <c r="AB119" s="432">
        <v>1</v>
      </c>
      <c r="AC119" s="432">
        <v>1</v>
      </c>
      <c r="AD119" s="271"/>
      <c r="AE119" s="271"/>
      <c r="AF119" s="271"/>
      <c r="AG119" s="271"/>
      <c r="AH119" s="250"/>
      <c r="AI119" s="280" t="s">
        <v>295</v>
      </c>
      <c r="AJ119" s="281">
        <v>14144</v>
      </c>
      <c r="AK119" s="281">
        <v>8320</v>
      </c>
      <c r="AL119" s="281">
        <v>13416</v>
      </c>
      <c r="AU119" s="164"/>
    </row>
    <row r="120" spans="2:47" hidden="1" outlineLevel="1" x14ac:dyDescent="0.25">
      <c r="B120" s="1437"/>
      <c r="C120" s="225"/>
      <c r="D120" s="3803"/>
      <c r="E120" s="2051" t="str">
        <f>$E$100</f>
        <v>Learning Thermostat - ASHP heating/cooling MF</v>
      </c>
      <c r="F120" s="432">
        <v>0.65</v>
      </c>
      <c r="G120" s="3812" t="s">
        <v>285</v>
      </c>
      <c r="H120" s="3813"/>
      <c r="I120" s="270"/>
      <c r="J120" s="249"/>
      <c r="N120" s="235"/>
      <c r="O120" s="249"/>
      <c r="P120" s="249"/>
      <c r="Q120" s="249"/>
      <c r="V120" s="3806"/>
      <c r="W120" s="271"/>
      <c r="X120" s="271"/>
      <c r="Y120" s="273">
        <v>0.65</v>
      </c>
      <c r="Z120" s="432">
        <v>0.65</v>
      </c>
      <c r="AA120" s="432">
        <v>0.65</v>
      </c>
      <c r="AB120" s="432">
        <v>0.65</v>
      </c>
      <c r="AC120" s="432">
        <v>0.65</v>
      </c>
      <c r="AD120" s="271"/>
      <c r="AE120" s="271"/>
      <c r="AF120" s="271"/>
      <c r="AG120" s="271"/>
      <c r="AH120" s="250"/>
      <c r="AI120" s="280"/>
      <c r="AJ120" s="281"/>
      <c r="AK120" s="281"/>
      <c r="AL120" s="281"/>
      <c r="AU120" s="164"/>
    </row>
    <row r="121" spans="2:47" hidden="1" outlineLevel="1" x14ac:dyDescent="0.25">
      <c r="B121" s="1437"/>
      <c r="C121" s="225"/>
      <c r="D121" s="3803"/>
      <c r="E121" s="2051" t="str">
        <f>$E$101</f>
        <v>Learning Thermostat - electric furnace heating / central AC MF</v>
      </c>
      <c r="F121" s="432">
        <v>0.65</v>
      </c>
      <c r="G121" s="3812" t="s">
        <v>285</v>
      </c>
      <c r="H121" s="3813"/>
      <c r="I121" s="270"/>
      <c r="J121" s="249"/>
      <c r="N121" s="235"/>
      <c r="O121" s="249"/>
      <c r="P121" s="249"/>
      <c r="Q121" s="249"/>
      <c r="V121" s="3806"/>
      <c r="W121" s="271">
        <v>0.65</v>
      </c>
      <c r="X121" s="271">
        <v>0.65</v>
      </c>
      <c r="Y121" s="272">
        <v>0.65</v>
      </c>
      <c r="Z121" s="432">
        <v>0.65</v>
      </c>
      <c r="AA121" s="432">
        <v>0.65</v>
      </c>
      <c r="AB121" s="432">
        <v>0.65</v>
      </c>
      <c r="AC121" s="432">
        <v>0.65</v>
      </c>
      <c r="AD121" s="271"/>
      <c r="AE121" s="271"/>
      <c r="AF121" s="271"/>
      <c r="AG121" s="271"/>
      <c r="AH121" s="250"/>
      <c r="AI121" s="280" t="s">
        <v>296</v>
      </c>
      <c r="AJ121" s="281">
        <v>16272</v>
      </c>
      <c r="AK121" s="281">
        <v>9572</v>
      </c>
      <c r="AL121" s="281">
        <v>15435</v>
      </c>
      <c r="AU121" s="164"/>
    </row>
    <row r="122" spans="2:47" hidden="1" outlineLevel="1" x14ac:dyDescent="0.25">
      <c r="B122" s="1437"/>
      <c r="C122" s="225"/>
      <c r="D122" s="3803"/>
      <c r="E122" s="2051" t="str">
        <f>$E$102</f>
        <v>Learning Thermostat - electric furnace heating / central AC SF</v>
      </c>
      <c r="F122" s="432">
        <v>1</v>
      </c>
      <c r="G122" s="3812" t="s">
        <v>285</v>
      </c>
      <c r="H122" s="3813"/>
      <c r="I122" s="270"/>
      <c r="J122" s="249"/>
      <c r="N122" s="235"/>
      <c r="O122" s="249"/>
      <c r="P122" s="249"/>
      <c r="Q122" s="249"/>
      <c r="V122" s="3806"/>
      <c r="W122" s="271">
        <v>1</v>
      </c>
      <c r="X122" s="271">
        <v>1</v>
      </c>
      <c r="Y122" s="272">
        <v>1</v>
      </c>
      <c r="Z122" s="432">
        <v>1</v>
      </c>
      <c r="AA122" s="432">
        <v>1</v>
      </c>
      <c r="AB122" s="432">
        <v>1</v>
      </c>
      <c r="AC122" s="432">
        <v>1</v>
      </c>
      <c r="AD122" s="271"/>
      <c r="AE122" s="271"/>
      <c r="AF122" s="271"/>
      <c r="AG122" s="271"/>
      <c r="AH122" s="250"/>
      <c r="AI122" s="280" t="s">
        <v>297</v>
      </c>
      <c r="AJ122" s="281">
        <v>16184</v>
      </c>
      <c r="AK122" s="281">
        <v>9520</v>
      </c>
      <c r="AL122" s="281">
        <v>15351</v>
      </c>
      <c r="AU122" s="164"/>
    </row>
    <row r="123" spans="2:47" hidden="1" outlineLevel="1" x14ac:dyDescent="0.25">
      <c r="B123" s="1437"/>
      <c r="C123" s="225"/>
      <c r="D123" s="3803"/>
      <c r="E123" s="2051" t="str">
        <f>$E$103</f>
        <v>Learning Thermostat - Gas Heated / central AC SF**</v>
      </c>
      <c r="F123" s="432">
        <v>1</v>
      </c>
      <c r="G123" s="3812" t="s">
        <v>285</v>
      </c>
      <c r="H123" s="3813"/>
      <c r="I123" s="270"/>
      <c r="J123" s="249"/>
      <c r="N123" s="235"/>
      <c r="O123" s="249"/>
      <c r="P123" s="249"/>
      <c r="Q123" s="249"/>
      <c r="V123" s="3806"/>
      <c r="W123" s="271">
        <v>1</v>
      </c>
      <c r="X123" s="271">
        <v>1</v>
      </c>
      <c r="Y123" s="271">
        <v>1</v>
      </c>
      <c r="Z123" s="432">
        <v>1</v>
      </c>
      <c r="AA123" s="432">
        <v>1</v>
      </c>
      <c r="AB123" s="432">
        <v>1</v>
      </c>
      <c r="AC123" s="432">
        <v>1</v>
      </c>
      <c r="AD123" s="271"/>
      <c r="AE123" s="271"/>
      <c r="AF123" s="271"/>
      <c r="AG123" s="271"/>
      <c r="AH123" s="250"/>
      <c r="AU123" s="164"/>
    </row>
    <row r="124" spans="2:47" hidden="1" outlineLevel="1" x14ac:dyDescent="0.25">
      <c r="B124" s="1437"/>
      <c r="C124" s="225"/>
      <c r="D124" s="3803"/>
      <c r="E124" s="2051" t="str">
        <f>$E$104</f>
        <v>Learning Thermostat - Gas Heated / central AC MF**</v>
      </c>
      <c r="F124" s="432">
        <v>0.65</v>
      </c>
      <c r="G124" s="3812"/>
      <c r="H124" s="3813"/>
      <c r="I124" s="270"/>
      <c r="J124" s="249"/>
      <c r="N124" s="235"/>
      <c r="O124" s="249"/>
      <c r="P124" s="249"/>
      <c r="Q124" s="249"/>
      <c r="V124" s="3806"/>
      <c r="W124" s="271"/>
      <c r="X124" s="271"/>
      <c r="Y124" s="274">
        <v>0.65</v>
      </c>
      <c r="Z124" s="432">
        <v>0.65</v>
      </c>
      <c r="AA124" s="432">
        <v>0.65</v>
      </c>
      <c r="AB124" s="432">
        <v>0.65</v>
      </c>
      <c r="AC124" s="432">
        <v>0.65</v>
      </c>
      <c r="AD124" s="271"/>
      <c r="AE124" s="271"/>
      <c r="AF124" s="271"/>
      <c r="AG124" s="271"/>
      <c r="AH124" s="250"/>
      <c r="AU124" s="164"/>
    </row>
    <row r="125" spans="2:47" hidden="1" outlineLevel="1" x14ac:dyDescent="0.25">
      <c r="B125" s="1437"/>
      <c r="C125" s="225"/>
      <c r="D125" s="3803"/>
      <c r="E125" s="2051" t="str">
        <f>$E$105</f>
        <v>Learning Thermostat - Unknown SF**</v>
      </c>
      <c r="F125" s="2136">
        <v>1</v>
      </c>
      <c r="G125" s="3850" t="s">
        <v>202</v>
      </c>
      <c r="H125" s="3851"/>
      <c r="I125" s="270"/>
      <c r="J125" s="249"/>
      <c r="N125" s="235"/>
      <c r="O125" s="249"/>
      <c r="P125" s="249"/>
      <c r="Q125" s="249"/>
      <c r="V125" s="3806"/>
      <c r="W125" s="271">
        <v>1</v>
      </c>
      <c r="X125" s="284">
        <v>0.96572336230188205</v>
      </c>
      <c r="Y125" s="283">
        <v>1</v>
      </c>
      <c r="Z125" s="2136">
        <v>1</v>
      </c>
      <c r="AA125" s="2136">
        <v>1</v>
      </c>
      <c r="AB125" s="2136">
        <v>1</v>
      </c>
      <c r="AC125" s="2136">
        <v>1</v>
      </c>
      <c r="AD125" s="271"/>
      <c r="AE125" s="271"/>
      <c r="AF125" s="271"/>
      <c r="AG125" s="271"/>
      <c r="AH125" s="250"/>
      <c r="AJ125" s="285"/>
      <c r="AU125" s="164"/>
    </row>
    <row r="126" spans="2:47" hidden="1" outlineLevel="1" x14ac:dyDescent="0.25">
      <c r="B126" s="1437"/>
      <c r="C126" s="225"/>
      <c r="D126" s="3804"/>
      <c r="E126" s="2051" t="str">
        <f>$E$106</f>
        <v>Learning Thermostat - Unknown MF**</v>
      </c>
      <c r="F126" s="2136">
        <v>0.65</v>
      </c>
      <c r="G126" s="3852"/>
      <c r="H126" s="3853"/>
      <c r="I126" s="270"/>
      <c r="J126" s="249"/>
      <c r="N126" s="235"/>
      <c r="O126" s="249"/>
      <c r="P126" s="249"/>
      <c r="Q126" s="249"/>
      <c r="V126" s="3807"/>
      <c r="W126" s="271"/>
      <c r="X126" s="284"/>
      <c r="Y126" s="283">
        <v>0.65</v>
      </c>
      <c r="Z126" s="2136">
        <v>0.65</v>
      </c>
      <c r="AA126" s="2136">
        <v>0.65</v>
      </c>
      <c r="AB126" s="2136">
        <v>0.65</v>
      </c>
      <c r="AC126" s="2136">
        <v>0.65</v>
      </c>
      <c r="AD126" s="271"/>
      <c r="AE126" s="271"/>
      <c r="AF126" s="271"/>
      <c r="AG126" s="271"/>
      <c r="AH126" s="250"/>
      <c r="AJ126" s="285"/>
      <c r="AU126" s="164"/>
    </row>
    <row r="127" spans="2:47" ht="30" hidden="1" outlineLevel="1" x14ac:dyDescent="0.25">
      <c r="B127" s="1437"/>
      <c r="C127" s="225"/>
      <c r="D127" s="3802" t="s">
        <v>298</v>
      </c>
      <c r="E127" s="2051" t="s">
        <v>299</v>
      </c>
      <c r="F127" s="2136">
        <f>SUMPRODUCT(F128:F130,I128:I130)</f>
        <v>6.668717948717949E-2</v>
      </c>
      <c r="G127" s="3844" t="s">
        <v>300</v>
      </c>
      <c r="H127" s="3845"/>
      <c r="I127" s="2406" t="s">
        <v>301</v>
      </c>
      <c r="J127" s="249"/>
      <c r="N127" s="235"/>
      <c r="O127" s="249"/>
      <c r="P127" s="249"/>
      <c r="Q127" s="249"/>
      <c r="V127" s="3805" t="str">
        <f>D127</f>
        <v>HeatingReduction</v>
      </c>
      <c r="W127" s="286">
        <v>7.3999999999999996E-2</v>
      </c>
      <c r="X127" s="287">
        <v>6.6879999999999995E-2</v>
      </c>
      <c r="Y127" s="287">
        <v>6.668717948717949E-2</v>
      </c>
      <c r="Z127" s="2137">
        <v>6.668717948717949E-2</v>
      </c>
      <c r="AA127" s="2137">
        <v>6.668717948717949E-2</v>
      </c>
      <c r="AB127" s="2136">
        <v>6.668717948717949E-2</v>
      </c>
      <c r="AC127" s="2136">
        <f>SUMPRODUCT(AC128:AC130,AF128:AF130)</f>
        <v>0</v>
      </c>
      <c r="AD127" s="286"/>
      <c r="AE127" s="286"/>
      <c r="AF127" s="286"/>
      <c r="AG127" s="286"/>
      <c r="AH127" s="250"/>
      <c r="AJ127" s="285"/>
      <c r="AU127" s="164"/>
    </row>
    <row r="128" spans="2:47" hidden="1" outlineLevel="1" x14ac:dyDescent="0.25">
      <c r="B128" s="1437"/>
      <c r="C128" s="225"/>
      <c r="D128" s="3803"/>
      <c r="E128" s="2051" t="s">
        <v>302</v>
      </c>
      <c r="F128" s="2136">
        <v>8.7999999999999995E-2</v>
      </c>
      <c r="G128" s="3846"/>
      <c r="H128" s="3847"/>
      <c r="I128" s="289">
        <v>0.42820512820512818</v>
      </c>
      <c r="J128" s="249"/>
      <c r="N128" s="235"/>
      <c r="O128" s="249"/>
      <c r="P128" s="249"/>
      <c r="Q128" s="249"/>
      <c r="V128" s="3806"/>
      <c r="W128" s="286"/>
      <c r="X128" s="287"/>
      <c r="Y128" s="287"/>
      <c r="Z128" s="2137"/>
      <c r="AA128" s="2137"/>
      <c r="AB128" s="2138">
        <v>8.7999999999999995E-2</v>
      </c>
      <c r="AC128" s="2136">
        <v>8.7999999999999995E-2</v>
      </c>
      <c r="AD128" s="286"/>
      <c r="AE128" s="286"/>
      <c r="AF128" s="286"/>
      <c r="AG128" s="286"/>
      <c r="AH128" s="250"/>
      <c r="AJ128" s="285"/>
      <c r="AU128" s="164"/>
    </row>
    <row r="129" spans="2:47" hidden="1" outlineLevel="1" x14ac:dyDescent="0.25">
      <c r="B129" s="1437"/>
      <c r="C129" s="225"/>
      <c r="D129" s="3803"/>
      <c r="E129" s="2051" t="s">
        <v>303</v>
      </c>
      <c r="F129" s="2136">
        <v>5.6000000000000001E-2</v>
      </c>
      <c r="G129" s="3846"/>
      <c r="H129" s="3847"/>
      <c r="I129" s="289">
        <v>0.517948717948718</v>
      </c>
      <c r="J129" s="249"/>
      <c r="N129" s="235"/>
      <c r="O129" s="249"/>
      <c r="P129" s="249"/>
      <c r="Q129" s="249"/>
      <c r="V129" s="3806"/>
      <c r="W129" s="286"/>
      <c r="X129" s="287"/>
      <c r="Y129" s="287"/>
      <c r="Z129" s="2137"/>
      <c r="AA129" s="2137"/>
      <c r="AB129" s="2138">
        <v>5.6000000000000001E-2</v>
      </c>
      <c r="AC129" s="2136">
        <v>5.6000000000000001E-2</v>
      </c>
      <c r="AD129" s="286"/>
      <c r="AE129" s="286"/>
      <c r="AF129" s="286"/>
      <c r="AG129" s="286"/>
      <c r="AH129" s="250"/>
      <c r="AJ129" s="285"/>
      <c r="AU129" s="164"/>
    </row>
    <row r="130" spans="2:47" hidden="1" outlineLevel="1" x14ac:dyDescent="0.25">
      <c r="B130" s="1437"/>
      <c r="C130" s="225"/>
      <c r="D130" s="3816"/>
      <c r="E130" s="2051" t="s">
        <v>304</v>
      </c>
      <c r="F130" s="2136">
        <v>0</v>
      </c>
      <c r="G130" s="3848"/>
      <c r="H130" s="3849"/>
      <c r="I130" s="289">
        <v>5.3846153846153849E-2</v>
      </c>
      <c r="J130" s="249"/>
      <c r="N130" s="235"/>
      <c r="O130" s="249"/>
      <c r="P130" s="249"/>
      <c r="Q130" s="249"/>
      <c r="V130" s="3817"/>
      <c r="W130" s="286"/>
      <c r="X130" s="287"/>
      <c r="Y130" s="287"/>
      <c r="Z130" s="2137"/>
      <c r="AA130" s="2137"/>
      <c r="AB130" s="2138">
        <v>0</v>
      </c>
      <c r="AC130" s="2136">
        <v>0</v>
      </c>
      <c r="AD130" s="286"/>
      <c r="AE130" s="286"/>
      <c r="AF130" s="286"/>
      <c r="AG130" s="286"/>
      <c r="AH130" s="250"/>
      <c r="AJ130" s="285"/>
      <c r="AU130" s="164"/>
    </row>
    <row r="131" spans="2:47" ht="30" hidden="1" outlineLevel="1" x14ac:dyDescent="0.25">
      <c r="B131" s="1437"/>
      <c r="C131" s="225"/>
      <c r="D131" s="3802" t="s">
        <v>305</v>
      </c>
      <c r="E131" s="2051" t="s">
        <v>135</v>
      </c>
      <c r="F131" s="2136">
        <v>0.98799999999999999</v>
      </c>
      <c r="G131" s="3812" t="s">
        <v>253</v>
      </c>
      <c r="H131" s="3813"/>
      <c r="I131" s="3194" t="s">
        <v>306</v>
      </c>
      <c r="J131" s="249"/>
      <c r="L131" s="1442"/>
      <c r="N131" s="235"/>
      <c r="O131" s="249"/>
      <c r="P131" s="249"/>
      <c r="Q131" s="249"/>
      <c r="V131" s="3805" t="str">
        <f>D131</f>
        <v>Eff_ISR</v>
      </c>
      <c r="W131" s="271">
        <v>1</v>
      </c>
      <c r="X131" s="272">
        <v>1</v>
      </c>
      <c r="Y131" s="289">
        <v>1</v>
      </c>
      <c r="Z131" s="432">
        <v>1</v>
      </c>
      <c r="AA131" s="432">
        <v>1</v>
      </c>
      <c r="AB131" s="2138">
        <v>0.98799999999999999</v>
      </c>
      <c r="AC131" s="2136">
        <v>0.98799999999999999</v>
      </c>
      <c r="AD131" s="271"/>
      <c r="AE131" s="271"/>
      <c r="AF131" s="271"/>
      <c r="AG131" s="271"/>
      <c r="AH131" s="250"/>
      <c r="AJ131" s="285"/>
      <c r="AU131" s="164"/>
    </row>
    <row r="132" spans="2:47" ht="29.45" hidden="1" customHeight="1" outlineLevel="1" x14ac:dyDescent="0.25">
      <c r="B132" s="1437"/>
      <c r="C132" s="225"/>
      <c r="D132" s="3816"/>
      <c r="E132" s="2051" t="s">
        <v>307</v>
      </c>
      <c r="F132" s="432">
        <v>1</v>
      </c>
      <c r="G132" s="3842" t="s">
        <v>308</v>
      </c>
      <c r="H132" s="3843"/>
      <c r="I132" s="270"/>
      <c r="J132" s="249"/>
      <c r="L132" s="1442"/>
      <c r="N132" s="235"/>
      <c r="O132" s="249"/>
      <c r="P132" s="249"/>
      <c r="Q132" s="249"/>
      <c r="V132" s="3817"/>
      <c r="W132" s="271"/>
      <c r="X132" s="272"/>
      <c r="Y132" s="289"/>
      <c r="Z132" s="432"/>
      <c r="AA132" s="432"/>
      <c r="AB132" s="2139">
        <v>1</v>
      </c>
      <c r="AC132" s="432">
        <v>1</v>
      </c>
      <c r="AD132" s="271"/>
      <c r="AE132" s="271"/>
      <c r="AF132" s="271"/>
      <c r="AG132" s="271"/>
      <c r="AH132" s="250"/>
      <c r="AJ132" s="285"/>
      <c r="AU132" s="164"/>
    </row>
    <row r="133" spans="2:47" hidden="1" outlineLevel="1" x14ac:dyDescent="0.25">
      <c r="B133" s="1437"/>
      <c r="C133" s="225"/>
      <c r="D133" s="3802" t="s">
        <v>309</v>
      </c>
      <c r="E133" s="2051" t="str">
        <f>$E$99</f>
        <v>Learning Thermostat - ASHP heating/cooling SF</v>
      </c>
      <c r="F133" s="2140">
        <f t="shared" ref="F133:F140" si="6">F156*$F$164*F119*$F$127*$F$131</f>
        <v>0</v>
      </c>
      <c r="G133" s="3844" t="s">
        <v>310</v>
      </c>
      <c r="H133" s="3845"/>
      <c r="I133" s="270"/>
      <c r="J133" s="249"/>
      <c r="N133" s="235"/>
      <c r="O133" s="249"/>
      <c r="P133" s="249"/>
      <c r="Q133" s="249"/>
      <c r="V133" s="3805" t="str">
        <f>D133</f>
        <v>∆Therms</v>
      </c>
      <c r="W133" s="292">
        <f>W156*W$164*W119*W$127*W$131</f>
        <v>50.32</v>
      </c>
      <c r="X133" s="292">
        <f>X156*X$164*X119*X$127*X$131</f>
        <v>0</v>
      </c>
      <c r="Y133" s="292">
        <v>0</v>
      </c>
      <c r="Z133" s="2140">
        <v>0</v>
      </c>
      <c r="AA133" s="2140">
        <v>0</v>
      </c>
      <c r="AB133" s="2140">
        <v>0</v>
      </c>
      <c r="AC133" s="2140">
        <f t="shared" ref="AC133:AC140" si="7">AC156*$F$164*AC119*$F$127*$F$131</f>
        <v>0</v>
      </c>
      <c r="AD133" s="292"/>
      <c r="AE133" s="292"/>
      <c r="AF133" s="292"/>
      <c r="AG133" s="292"/>
      <c r="AH133" s="250"/>
      <c r="AU133" s="164"/>
    </row>
    <row r="134" spans="2:47" hidden="1" outlineLevel="1" x14ac:dyDescent="0.25">
      <c r="B134" s="1437"/>
      <c r="C134" s="225"/>
      <c r="D134" s="3803"/>
      <c r="E134" s="2051" t="str">
        <f>$E$100</f>
        <v>Learning Thermostat - ASHP heating/cooling MF</v>
      </c>
      <c r="F134" s="2140">
        <f t="shared" si="6"/>
        <v>0</v>
      </c>
      <c r="G134" s="3846"/>
      <c r="H134" s="3847"/>
      <c r="I134" s="270"/>
      <c r="J134" s="249"/>
      <c r="N134" s="235"/>
      <c r="O134" s="249"/>
      <c r="P134" s="249"/>
      <c r="Q134" s="249"/>
      <c r="V134" s="3806"/>
      <c r="W134" s="292"/>
      <c r="X134" s="292"/>
      <c r="Y134" s="294">
        <v>0</v>
      </c>
      <c r="Z134" s="2140">
        <v>0</v>
      </c>
      <c r="AA134" s="2140">
        <v>0</v>
      </c>
      <c r="AB134" s="2140">
        <v>0</v>
      </c>
      <c r="AC134" s="2140">
        <f t="shared" si="7"/>
        <v>0</v>
      </c>
      <c r="AD134" s="292"/>
      <c r="AE134" s="292"/>
      <c r="AF134" s="292"/>
      <c r="AG134" s="292"/>
      <c r="AH134" s="250"/>
      <c r="AU134" s="164"/>
    </row>
    <row r="135" spans="2:47" hidden="1" outlineLevel="1" x14ac:dyDescent="0.25">
      <c r="B135" s="1437"/>
      <c r="C135" s="225"/>
      <c r="D135" s="3803"/>
      <c r="E135" s="2051" t="str">
        <f>$E$101</f>
        <v>Learning Thermostat - electric furnace heating / central AC MF</v>
      </c>
      <c r="F135" s="2140">
        <f t="shared" si="6"/>
        <v>0</v>
      </c>
      <c r="G135" s="3846"/>
      <c r="H135" s="3847"/>
      <c r="I135" s="270"/>
      <c r="J135" s="249"/>
      <c r="N135" s="235"/>
      <c r="O135" s="249"/>
      <c r="P135" s="249"/>
      <c r="Q135" s="249"/>
      <c r="V135" s="3806"/>
      <c r="W135" s="292">
        <f t="shared" ref="W135:X137" si="8">W158*W$164*W121*W$127*W$131</f>
        <v>32.707999999999998</v>
      </c>
      <c r="X135" s="292">
        <f t="shared" si="8"/>
        <v>0</v>
      </c>
      <c r="Y135" s="292">
        <v>0</v>
      </c>
      <c r="Z135" s="2140">
        <v>0</v>
      </c>
      <c r="AA135" s="2140">
        <v>0</v>
      </c>
      <c r="AB135" s="2140">
        <v>0</v>
      </c>
      <c r="AC135" s="2140">
        <f t="shared" si="7"/>
        <v>0</v>
      </c>
      <c r="AD135" s="292"/>
      <c r="AE135" s="292"/>
      <c r="AF135" s="292"/>
      <c r="AG135" s="292"/>
      <c r="AH135" s="250"/>
      <c r="AJ135" s="285"/>
      <c r="AU135" s="164"/>
    </row>
    <row r="136" spans="2:47" hidden="1" outlineLevel="1" x14ac:dyDescent="0.25">
      <c r="B136" s="1437"/>
      <c r="C136" s="225"/>
      <c r="D136" s="3803"/>
      <c r="E136" s="2051" t="str">
        <f>$E$102</f>
        <v>Learning Thermostat - electric furnace heating / central AC SF</v>
      </c>
      <c r="F136" s="2140">
        <f t="shared" si="6"/>
        <v>0</v>
      </c>
      <c r="G136" s="3846"/>
      <c r="H136" s="3847"/>
      <c r="I136" s="270"/>
      <c r="J136" s="249"/>
      <c r="N136" s="235"/>
      <c r="O136" s="249"/>
      <c r="P136" s="249"/>
      <c r="Q136" s="249"/>
      <c r="V136" s="3806"/>
      <c r="W136" s="292">
        <f t="shared" si="8"/>
        <v>50.32</v>
      </c>
      <c r="X136" s="292">
        <f t="shared" si="8"/>
        <v>0</v>
      </c>
      <c r="Y136" s="292">
        <v>0</v>
      </c>
      <c r="Z136" s="2140">
        <v>0</v>
      </c>
      <c r="AA136" s="2140">
        <v>0</v>
      </c>
      <c r="AB136" s="2140">
        <v>0</v>
      </c>
      <c r="AC136" s="2140">
        <f t="shared" si="7"/>
        <v>0</v>
      </c>
      <c r="AD136" s="292"/>
      <c r="AE136" s="292"/>
      <c r="AF136" s="292"/>
      <c r="AG136" s="292"/>
      <c r="AH136" s="250"/>
      <c r="AJ136" s="285"/>
      <c r="AU136" s="164"/>
    </row>
    <row r="137" spans="2:47" hidden="1" outlineLevel="1" x14ac:dyDescent="0.25">
      <c r="B137" s="1437"/>
      <c r="C137" s="225"/>
      <c r="D137" s="3803"/>
      <c r="E137" s="2051" t="str">
        <f>$E$103</f>
        <v>Learning Thermostat - Gas Heated / central AC SF**</v>
      </c>
      <c r="F137" s="2140">
        <f t="shared" si="6"/>
        <v>44.944257776146785</v>
      </c>
      <c r="G137" s="3846"/>
      <c r="H137" s="3847"/>
      <c r="I137" s="270"/>
      <c r="J137" s="249"/>
      <c r="N137" s="235"/>
      <c r="O137" s="249"/>
      <c r="P137" s="249"/>
      <c r="Q137" s="249"/>
      <c r="V137" s="3806"/>
      <c r="W137" s="292">
        <f t="shared" si="8"/>
        <v>50.32</v>
      </c>
      <c r="X137" s="292">
        <f t="shared" si="8"/>
        <v>45.643001839969074</v>
      </c>
      <c r="Y137" s="290">
        <v>45.490139449541282</v>
      </c>
      <c r="Z137" s="2140">
        <v>45.490139449541282</v>
      </c>
      <c r="AA137" s="2140">
        <v>45.490139449541282</v>
      </c>
      <c r="AB137" s="2140">
        <v>44.944257776146785</v>
      </c>
      <c r="AC137" s="2140">
        <f t="shared" si="7"/>
        <v>44.944257776146785</v>
      </c>
      <c r="AD137" s="292"/>
      <c r="AE137" s="292"/>
      <c r="AF137" s="292"/>
      <c r="AG137" s="292"/>
      <c r="AH137" s="250"/>
      <c r="AJ137" s="285"/>
      <c r="AU137" s="164"/>
    </row>
    <row r="138" spans="2:47" hidden="1" outlineLevel="1" x14ac:dyDescent="0.25">
      <c r="B138" s="1437"/>
      <c r="C138" s="225"/>
      <c r="D138" s="3803"/>
      <c r="E138" s="2051" t="str">
        <f>$E$104</f>
        <v>Learning Thermostat - Gas Heated / central AC MF**</v>
      </c>
      <c r="F138" s="2140">
        <f t="shared" si="6"/>
        <v>29.213767554495412</v>
      </c>
      <c r="G138" s="3846"/>
      <c r="H138" s="3847"/>
      <c r="I138" s="270"/>
      <c r="J138" s="249"/>
      <c r="N138" s="235"/>
      <c r="O138" s="249"/>
      <c r="P138" s="249"/>
      <c r="Q138" s="249"/>
      <c r="V138" s="3806"/>
      <c r="W138" s="292"/>
      <c r="X138" s="292"/>
      <c r="Y138" s="290">
        <v>29.568590642201833</v>
      </c>
      <c r="Z138" s="2140">
        <v>29.568590642201833</v>
      </c>
      <c r="AA138" s="2140">
        <v>29.568590642201833</v>
      </c>
      <c r="AB138" s="2140">
        <v>29.213767554495412</v>
      </c>
      <c r="AC138" s="2140">
        <f t="shared" si="7"/>
        <v>29.213767554495412</v>
      </c>
      <c r="AD138" s="292"/>
      <c r="AE138" s="292"/>
      <c r="AF138" s="292"/>
      <c r="AG138" s="292"/>
      <c r="AH138" s="250"/>
      <c r="AJ138" s="285"/>
      <c r="AU138" s="164"/>
    </row>
    <row r="139" spans="2:47" hidden="1" outlineLevel="1" x14ac:dyDescent="0.25">
      <c r="B139" s="1437"/>
      <c r="C139" s="225"/>
      <c r="D139" s="3803"/>
      <c r="E139" s="2051" t="str">
        <f>$E$105</f>
        <v>Learning Thermostat - Unknown SF**</v>
      </c>
      <c r="F139" s="2140">
        <f t="shared" si="6"/>
        <v>30.112652710018352</v>
      </c>
      <c r="G139" s="3846"/>
      <c r="H139" s="3847"/>
      <c r="I139" s="270"/>
      <c r="J139" s="249"/>
      <c r="N139" s="235"/>
      <c r="O139" s="249"/>
      <c r="P139" s="249"/>
      <c r="Q139" s="249"/>
      <c r="V139" s="3806"/>
      <c r="W139" s="292">
        <f>W162*W$164*W125*W$127*W$131</f>
        <v>32.707999999999998</v>
      </c>
      <c r="X139" s="292">
        <f>X162*X$164*X125*X$127*X$131</f>
        <v>33.295508064007585</v>
      </c>
      <c r="Y139" s="290">
        <v>37.134317317128989</v>
      </c>
      <c r="Z139" s="2140">
        <v>37.134317317128989</v>
      </c>
      <c r="AA139" s="2140">
        <v>37.134317317128989</v>
      </c>
      <c r="AB139" s="2140">
        <v>37.56045646690351</v>
      </c>
      <c r="AC139" s="2140">
        <f t="shared" si="7"/>
        <v>30.112652710018352</v>
      </c>
      <c r="AD139" s="292"/>
      <c r="AE139" s="292"/>
      <c r="AF139" s="292"/>
      <c r="AG139" s="292"/>
      <c r="AH139" s="250"/>
      <c r="AU139" s="164"/>
    </row>
    <row r="140" spans="2:47" hidden="1" outlineLevel="1" x14ac:dyDescent="0.25">
      <c r="B140" s="1437"/>
      <c r="C140" s="225"/>
      <c r="D140" s="3804"/>
      <c r="E140" s="2051" t="str">
        <f>$E$106</f>
        <v>Learning Thermostat - Unknown MF**</v>
      </c>
      <c r="F140" s="2140">
        <f t="shared" si="6"/>
        <v>19.573224261511925</v>
      </c>
      <c r="G140" s="3848"/>
      <c r="H140" s="3849"/>
      <c r="I140" s="270"/>
      <c r="J140" s="249"/>
      <c r="N140" s="235"/>
      <c r="O140" s="249"/>
      <c r="P140" s="249"/>
      <c r="Q140" s="249"/>
      <c r="V140" s="3807"/>
      <c r="W140" s="292"/>
      <c r="X140" s="292"/>
      <c r="Y140" s="290">
        <v>24.137306256133844</v>
      </c>
      <c r="Z140" s="2140">
        <v>24.137306256133844</v>
      </c>
      <c r="AA140" s="2140">
        <v>24.137306256133844</v>
      </c>
      <c r="AB140" s="2140">
        <v>24.414296703487285</v>
      </c>
      <c r="AC140" s="2140">
        <f t="shared" si="7"/>
        <v>19.573224261511925</v>
      </c>
      <c r="AD140" s="292"/>
      <c r="AE140" s="292"/>
      <c r="AF140" s="292"/>
      <c r="AG140" s="292"/>
      <c r="AH140" s="250"/>
      <c r="AU140" s="164"/>
    </row>
    <row r="141" spans="2:47" hidden="1" outlineLevel="1" x14ac:dyDescent="0.25">
      <c r="B141" s="1437"/>
      <c r="C141" s="225"/>
      <c r="D141" s="2079" t="s">
        <v>311</v>
      </c>
      <c r="E141" s="3102" t="s">
        <v>135</v>
      </c>
      <c r="F141" s="2141">
        <v>3.1399999999999997E-2</v>
      </c>
      <c r="G141" s="3812" t="s">
        <v>285</v>
      </c>
      <c r="H141" s="3813"/>
      <c r="I141" s="270" t="s">
        <v>312</v>
      </c>
      <c r="J141" s="249"/>
      <c r="N141" s="235"/>
      <c r="O141" s="249"/>
      <c r="P141" s="249"/>
      <c r="Q141" s="249"/>
      <c r="V141" s="3110" t="str">
        <f>D141</f>
        <v>Fe</v>
      </c>
      <c r="W141" s="295">
        <v>3.1399999999999997E-2</v>
      </c>
      <c r="X141" s="295">
        <v>3.1399999999999997E-2</v>
      </c>
      <c r="Y141" s="296">
        <v>3.1399999999999997E-2</v>
      </c>
      <c r="Z141" s="2141">
        <v>3.1399999999999997E-2</v>
      </c>
      <c r="AA141" s="2141">
        <v>3.1399999999999997E-2</v>
      </c>
      <c r="AB141" s="2141">
        <v>3.1399999999999997E-2</v>
      </c>
      <c r="AC141" s="2141">
        <v>3.1399999999999997E-2</v>
      </c>
      <c r="AD141" s="295"/>
      <c r="AE141" s="295"/>
      <c r="AF141" s="295"/>
      <c r="AG141" s="295"/>
      <c r="AH141" s="250"/>
      <c r="AJ141" s="285"/>
      <c r="AU141" s="164"/>
    </row>
    <row r="142" spans="2:47" hidden="1" outlineLevel="1" x14ac:dyDescent="0.25">
      <c r="B142" s="1437"/>
      <c r="C142" s="225"/>
      <c r="D142" s="3802" t="s">
        <v>313</v>
      </c>
      <c r="E142" s="2051" t="str">
        <f>$E$99</f>
        <v>Learning Thermostat - ASHP heating/cooling SF</v>
      </c>
      <c r="F142" s="432">
        <v>1</v>
      </c>
      <c r="G142" s="3812" t="s">
        <v>285</v>
      </c>
      <c r="H142" s="3813"/>
      <c r="I142" s="270"/>
      <c r="J142" s="249"/>
      <c r="N142" s="235"/>
      <c r="O142" s="249"/>
      <c r="P142" s="249"/>
      <c r="Q142" s="249"/>
      <c r="V142" s="3805" t="str">
        <f>D142</f>
        <v>%AC</v>
      </c>
      <c r="W142" s="271">
        <v>1</v>
      </c>
      <c r="X142" s="271">
        <v>1</v>
      </c>
      <c r="Y142" s="271">
        <v>1</v>
      </c>
      <c r="Z142" s="432">
        <v>1</v>
      </c>
      <c r="AA142" s="432">
        <v>1</v>
      </c>
      <c r="AB142" s="432">
        <v>1</v>
      </c>
      <c r="AC142" s="432">
        <v>1</v>
      </c>
      <c r="AD142" s="271"/>
      <c r="AE142" s="271"/>
      <c r="AF142" s="271"/>
      <c r="AG142" s="271"/>
      <c r="AH142" s="250"/>
      <c r="AJ142" s="285"/>
      <c r="AU142" s="164"/>
    </row>
    <row r="143" spans="2:47" hidden="1" outlineLevel="1" x14ac:dyDescent="0.25">
      <c r="B143" s="1437"/>
      <c r="C143" s="225"/>
      <c r="D143" s="3803"/>
      <c r="E143" s="2051" t="str">
        <f>$E$100</f>
        <v>Learning Thermostat - ASHP heating/cooling MF</v>
      </c>
      <c r="F143" s="432">
        <v>1</v>
      </c>
      <c r="G143" s="3812"/>
      <c r="H143" s="3813"/>
      <c r="I143" s="270"/>
      <c r="J143" s="249"/>
      <c r="N143" s="235"/>
      <c r="O143" s="249"/>
      <c r="P143" s="249"/>
      <c r="Q143" s="249"/>
      <c r="V143" s="3806"/>
      <c r="W143" s="271"/>
      <c r="X143" s="271"/>
      <c r="Y143" s="274">
        <v>1</v>
      </c>
      <c r="Z143" s="432">
        <v>1</v>
      </c>
      <c r="AA143" s="432">
        <v>1</v>
      </c>
      <c r="AB143" s="432">
        <v>1</v>
      </c>
      <c r="AC143" s="432">
        <v>1</v>
      </c>
      <c r="AD143" s="271"/>
      <c r="AE143" s="271"/>
      <c r="AF143" s="271"/>
      <c r="AG143" s="271"/>
      <c r="AH143" s="250"/>
      <c r="AJ143" s="285"/>
      <c r="AU143" s="164"/>
    </row>
    <row r="144" spans="2:47" hidden="1" outlineLevel="1" x14ac:dyDescent="0.25">
      <c r="B144" s="1437"/>
      <c r="C144" s="225"/>
      <c r="D144" s="3803"/>
      <c r="E144" s="2051" t="str">
        <f>$E$101</f>
        <v>Learning Thermostat - electric furnace heating / central AC MF</v>
      </c>
      <c r="F144" s="432">
        <v>1</v>
      </c>
      <c r="G144" s="3812" t="s">
        <v>285</v>
      </c>
      <c r="H144" s="3813"/>
      <c r="I144" s="270"/>
      <c r="J144" s="249"/>
      <c r="N144" s="235"/>
      <c r="O144" s="249"/>
      <c r="P144" s="249"/>
      <c r="Q144" s="249"/>
      <c r="V144" s="3806"/>
      <c r="W144" s="271">
        <v>1</v>
      </c>
      <c r="X144" s="271">
        <v>1</v>
      </c>
      <c r="Y144" s="271">
        <v>1</v>
      </c>
      <c r="Z144" s="432">
        <v>1</v>
      </c>
      <c r="AA144" s="432">
        <v>1</v>
      </c>
      <c r="AB144" s="432">
        <v>1</v>
      </c>
      <c r="AC144" s="432">
        <v>1</v>
      </c>
      <c r="AD144" s="271"/>
      <c r="AE144" s="271"/>
      <c r="AF144" s="271"/>
      <c r="AG144" s="271"/>
      <c r="AH144" s="250"/>
      <c r="AJ144" s="285"/>
      <c r="AU144" s="164"/>
    </row>
    <row r="145" spans="2:47" hidden="1" outlineLevel="1" x14ac:dyDescent="0.25">
      <c r="B145" s="1437"/>
      <c r="C145" s="225"/>
      <c r="D145" s="3803"/>
      <c r="E145" s="2051" t="str">
        <f>$E$102</f>
        <v>Learning Thermostat - electric furnace heating / central AC SF</v>
      </c>
      <c r="F145" s="432">
        <v>1</v>
      </c>
      <c r="G145" s="3812" t="s">
        <v>285</v>
      </c>
      <c r="H145" s="3813"/>
      <c r="I145" s="270"/>
      <c r="J145" s="249"/>
      <c r="N145" s="235"/>
      <c r="O145" s="249"/>
      <c r="P145" s="249"/>
      <c r="Q145" s="249"/>
      <c r="V145" s="3806"/>
      <c r="W145" s="271">
        <v>1</v>
      </c>
      <c r="X145" s="271">
        <v>1</v>
      </c>
      <c r="Y145" s="271">
        <v>1</v>
      </c>
      <c r="Z145" s="432">
        <v>1</v>
      </c>
      <c r="AA145" s="432">
        <v>1</v>
      </c>
      <c r="AB145" s="432">
        <v>1</v>
      </c>
      <c r="AC145" s="432">
        <v>1</v>
      </c>
      <c r="AD145" s="271"/>
      <c r="AE145" s="271"/>
      <c r="AF145" s="271"/>
      <c r="AG145" s="271"/>
      <c r="AH145" s="250"/>
      <c r="AU145" s="164"/>
    </row>
    <row r="146" spans="2:47" hidden="1" outlineLevel="1" x14ac:dyDescent="0.25">
      <c r="B146" s="1437"/>
      <c r="C146" s="225"/>
      <c r="D146" s="3803"/>
      <c r="E146" s="2051" t="str">
        <f>$E$103</f>
        <v>Learning Thermostat - Gas Heated / central AC SF**</v>
      </c>
      <c r="F146" s="432">
        <v>1</v>
      </c>
      <c r="G146" s="3812" t="s">
        <v>285</v>
      </c>
      <c r="H146" s="3813"/>
      <c r="I146" s="270"/>
      <c r="J146" s="249"/>
      <c r="N146" s="235"/>
      <c r="O146" s="249"/>
      <c r="P146" s="249"/>
      <c r="Q146" s="249"/>
      <c r="V146" s="3806"/>
      <c r="W146" s="271">
        <v>1</v>
      </c>
      <c r="X146" s="271">
        <v>1</v>
      </c>
      <c r="Y146" s="271">
        <v>1</v>
      </c>
      <c r="Z146" s="432">
        <v>1</v>
      </c>
      <c r="AA146" s="432">
        <v>1</v>
      </c>
      <c r="AB146" s="432">
        <v>1</v>
      </c>
      <c r="AC146" s="432">
        <v>1</v>
      </c>
      <c r="AD146" s="271"/>
      <c r="AE146" s="271"/>
      <c r="AF146" s="271"/>
      <c r="AG146" s="271"/>
      <c r="AH146" s="250"/>
      <c r="AJ146" s="285"/>
      <c r="AU146" s="164"/>
    </row>
    <row r="147" spans="2:47" hidden="1" outlineLevel="1" x14ac:dyDescent="0.25">
      <c r="B147" s="1437"/>
      <c r="C147" s="225"/>
      <c r="D147" s="3803"/>
      <c r="E147" s="2051" t="str">
        <f>$E$104</f>
        <v>Learning Thermostat - Gas Heated / central AC MF**</v>
      </c>
      <c r="F147" s="432">
        <v>1</v>
      </c>
      <c r="G147" s="3812"/>
      <c r="H147" s="3813"/>
      <c r="I147" s="270"/>
      <c r="J147" s="249"/>
      <c r="N147" s="235"/>
      <c r="O147" s="249"/>
      <c r="P147" s="249"/>
      <c r="Q147" s="249"/>
      <c r="V147" s="3806"/>
      <c r="W147" s="271"/>
      <c r="X147" s="271"/>
      <c r="Y147" s="274">
        <v>1</v>
      </c>
      <c r="Z147" s="432">
        <v>1</v>
      </c>
      <c r="AA147" s="432">
        <v>1</v>
      </c>
      <c r="AB147" s="432">
        <v>1</v>
      </c>
      <c r="AC147" s="432">
        <v>1</v>
      </c>
      <c r="AD147" s="271"/>
      <c r="AE147" s="271"/>
      <c r="AF147" s="271"/>
      <c r="AG147" s="271"/>
      <c r="AH147" s="250"/>
      <c r="AJ147" s="285"/>
      <c r="AU147" s="164"/>
    </row>
    <row r="148" spans="2:47" hidden="1" outlineLevel="1" x14ac:dyDescent="0.25">
      <c r="B148" s="1437"/>
      <c r="C148" s="225"/>
      <c r="D148" s="3803"/>
      <c r="E148" s="2051" t="str">
        <f>$E$105</f>
        <v>Learning Thermostat - Unknown SF**</v>
      </c>
      <c r="F148" s="432">
        <v>1</v>
      </c>
      <c r="G148" s="3812" t="s">
        <v>285</v>
      </c>
      <c r="H148" s="3813"/>
      <c r="I148" s="270"/>
      <c r="J148" s="249"/>
      <c r="N148" s="235"/>
      <c r="O148" s="249"/>
      <c r="P148" s="249"/>
      <c r="Q148" s="249"/>
      <c r="V148" s="3806"/>
      <c r="W148" s="271">
        <v>1</v>
      </c>
      <c r="X148" s="271">
        <v>1</v>
      </c>
      <c r="Y148" s="271">
        <v>1</v>
      </c>
      <c r="Z148" s="432">
        <v>1</v>
      </c>
      <c r="AA148" s="432">
        <v>1</v>
      </c>
      <c r="AB148" s="432">
        <v>1</v>
      </c>
      <c r="AC148" s="432">
        <v>1</v>
      </c>
      <c r="AD148" s="271"/>
      <c r="AE148" s="271"/>
      <c r="AF148" s="271"/>
      <c r="AG148" s="271"/>
      <c r="AH148" s="250"/>
      <c r="AJ148" s="285"/>
      <c r="AU148" s="164"/>
    </row>
    <row r="149" spans="2:47" hidden="1" outlineLevel="1" x14ac:dyDescent="0.25">
      <c r="B149" s="1437"/>
      <c r="C149" s="225"/>
      <c r="D149" s="3804"/>
      <c r="E149" s="2051" t="str">
        <f>$E$106</f>
        <v>Learning Thermostat - Unknown MF**</v>
      </c>
      <c r="F149" s="432">
        <v>1</v>
      </c>
      <c r="G149" s="3812"/>
      <c r="H149" s="3813"/>
      <c r="I149" s="270"/>
      <c r="J149" s="249"/>
      <c r="N149" s="235"/>
      <c r="O149" s="249"/>
      <c r="P149" s="249"/>
      <c r="Q149" s="249"/>
      <c r="V149" s="3807"/>
      <c r="W149" s="271"/>
      <c r="X149" s="271"/>
      <c r="Y149" s="274">
        <v>1</v>
      </c>
      <c r="Z149" s="432">
        <v>1</v>
      </c>
      <c r="AA149" s="432">
        <v>1</v>
      </c>
      <c r="AB149" s="432">
        <v>1</v>
      </c>
      <c r="AC149" s="432">
        <v>1</v>
      </c>
      <c r="AD149" s="271"/>
      <c r="AE149" s="271"/>
      <c r="AF149" s="271"/>
      <c r="AG149" s="271"/>
      <c r="AH149" s="250"/>
      <c r="AJ149" s="285"/>
      <c r="AU149" s="164"/>
    </row>
    <row r="150" spans="2:47" hidden="1" outlineLevel="1" x14ac:dyDescent="0.25">
      <c r="B150" s="1437"/>
      <c r="C150" s="225"/>
      <c r="D150" s="3802" t="s">
        <v>314</v>
      </c>
      <c r="E150" s="3102" t="s">
        <v>315</v>
      </c>
      <c r="F150" s="2142">
        <v>869</v>
      </c>
      <c r="G150" s="3812" t="s">
        <v>285</v>
      </c>
      <c r="H150" s="3813"/>
      <c r="I150" s="270" t="s">
        <v>316</v>
      </c>
      <c r="J150" s="249"/>
      <c r="N150" s="235"/>
      <c r="O150" s="249"/>
      <c r="P150" s="249"/>
      <c r="Q150" s="249"/>
      <c r="V150" s="3805" t="str">
        <f>D150</f>
        <v>EFLH cool</v>
      </c>
      <c r="W150" s="297">
        <v>869</v>
      </c>
      <c r="X150" s="297">
        <v>869</v>
      </c>
      <c r="Y150" s="298">
        <v>869</v>
      </c>
      <c r="Z150" s="2142">
        <v>869</v>
      </c>
      <c r="AA150" s="2142">
        <v>869</v>
      </c>
      <c r="AB150" s="2142">
        <v>869</v>
      </c>
      <c r="AC150" s="2142">
        <v>869</v>
      </c>
      <c r="AD150" s="297"/>
      <c r="AE150" s="297"/>
      <c r="AF150" s="297"/>
      <c r="AG150" s="297"/>
      <c r="AH150" s="250"/>
      <c r="AJ150" s="285"/>
      <c r="AU150" s="164"/>
    </row>
    <row r="151" spans="2:47" hidden="1" outlineLevel="1" x14ac:dyDescent="0.25">
      <c r="B151" s="1437"/>
      <c r="C151" s="225"/>
      <c r="D151" s="3804"/>
      <c r="E151" s="3102" t="s">
        <v>317</v>
      </c>
      <c r="F151" s="2142">
        <v>632</v>
      </c>
      <c r="G151" s="3812" t="s">
        <v>318</v>
      </c>
      <c r="H151" s="3813"/>
      <c r="I151" s="270"/>
      <c r="J151" s="249"/>
      <c r="N151" s="235"/>
      <c r="O151" s="249"/>
      <c r="P151" s="249"/>
      <c r="Q151" s="249"/>
      <c r="V151" s="3807"/>
      <c r="W151" s="297"/>
      <c r="X151" s="297"/>
      <c r="Y151" s="298">
        <v>632</v>
      </c>
      <c r="Z151" s="2142">
        <v>632</v>
      </c>
      <c r="AA151" s="2142">
        <v>632</v>
      </c>
      <c r="AB151" s="2142">
        <v>632</v>
      </c>
      <c r="AC151" s="2142">
        <v>632</v>
      </c>
      <c r="AD151" s="297"/>
      <c r="AE151" s="297"/>
      <c r="AF151" s="297"/>
      <c r="AG151" s="297"/>
      <c r="AH151" s="250"/>
      <c r="AJ151" s="285"/>
      <c r="AU151" s="164"/>
    </row>
    <row r="152" spans="2:47" hidden="1" outlineLevel="1" x14ac:dyDescent="0.25">
      <c r="B152" s="1437"/>
      <c r="C152" s="225"/>
      <c r="D152" s="2080" t="s">
        <v>319</v>
      </c>
      <c r="E152" s="3102" t="s">
        <v>320</v>
      </c>
      <c r="F152" s="2694">
        <v>36000</v>
      </c>
      <c r="G152" s="3812" t="s">
        <v>285</v>
      </c>
      <c r="H152" s="3813"/>
      <c r="I152" s="270" t="s">
        <v>321</v>
      </c>
      <c r="J152" s="249"/>
      <c r="N152" s="235"/>
      <c r="O152" s="249"/>
      <c r="P152" s="249"/>
      <c r="Q152" s="249"/>
      <c r="V152" s="299" t="str">
        <f>D152</f>
        <v>CapacityCool</v>
      </c>
      <c r="W152" s="297">
        <v>36000</v>
      </c>
      <c r="X152" s="298">
        <v>36065.201197692251</v>
      </c>
      <c r="Y152" s="298">
        <v>36552.308373947715</v>
      </c>
      <c r="Z152" s="2142">
        <v>36552.308373947715</v>
      </c>
      <c r="AA152" s="2142">
        <v>36552.308373947715</v>
      </c>
      <c r="AB152" s="2142">
        <v>36552.308373947715</v>
      </c>
      <c r="AC152" s="2694">
        <v>36000</v>
      </c>
      <c r="AD152" s="297"/>
      <c r="AE152" s="297"/>
      <c r="AF152" s="297"/>
      <c r="AG152" s="297"/>
      <c r="AH152" s="250"/>
      <c r="AU152" s="164"/>
    </row>
    <row r="153" spans="2:47" hidden="1" outlineLevel="1" x14ac:dyDescent="0.25">
      <c r="B153" s="1437"/>
      <c r="C153" s="225"/>
      <c r="D153" s="2080" t="s">
        <v>319</v>
      </c>
      <c r="E153" s="3102" t="s">
        <v>322</v>
      </c>
      <c r="F153" s="2694">
        <v>36000</v>
      </c>
      <c r="G153" s="3812" t="s">
        <v>285</v>
      </c>
      <c r="H153" s="3813"/>
      <c r="I153" s="270" t="s">
        <v>321</v>
      </c>
      <c r="J153" s="249"/>
      <c r="N153" s="235"/>
      <c r="O153" s="249"/>
      <c r="P153" s="249"/>
      <c r="Q153" s="249"/>
      <c r="V153" s="299" t="str">
        <f>D153</f>
        <v>CapacityCool</v>
      </c>
      <c r="W153" s="297" t="s">
        <v>323</v>
      </c>
      <c r="X153" s="298">
        <f>X152*0.65</f>
        <v>23442.380778499963</v>
      </c>
      <c r="Y153" s="298">
        <v>36552.308373947715</v>
      </c>
      <c r="Z153" s="2142">
        <v>36552.308373947715</v>
      </c>
      <c r="AA153" s="2142">
        <v>36552.308373947715</v>
      </c>
      <c r="AB153" s="2142">
        <v>36552</v>
      </c>
      <c r="AC153" s="2694">
        <v>36000</v>
      </c>
      <c r="AD153" s="297"/>
      <c r="AE153" s="297"/>
      <c r="AF153" s="297"/>
      <c r="AG153" s="297"/>
      <c r="AH153" s="250"/>
      <c r="AJ153" s="285"/>
      <c r="AU153" s="164"/>
    </row>
    <row r="154" spans="2:47" ht="60" hidden="1" outlineLevel="1" x14ac:dyDescent="0.25">
      <c r="B154" s="1437"/>
      <c r="C154" s="225"/>
      <c r="D154" s="2080" t="s">
        <v>324</v>
      </c>
      <c r="E154" s="3102" t="s">
        <v>135</v>
      </c>
      <c r="F154" s="2693">
        <v>13</v>
      </c>
      <c r="G154" s="3842" t="s">
        <v>325</v>
      </c>
      <c r="H154" s="3843"/>
      <c r="I154" s="3194" t="s">
        <v>289</v>
      </c>
      <c r="J154" s="249"/>
      <c r="N154" s="235"/>
      <c r="O154" s="249"/>
      <c r="P154" s="249"/>
      <c r="Q154" s="249"/>
      <c r="V154" s="299" t="str">
        <f>D154</f>
        <v>SEER</v>
      </c>
      <c r="W154" s="297">
        <v>13</v>
      </c>
      <c r="X154" s="297">
        <v>13.148148689111222</v>
      </c>
      <c r="Y154" s="301">
        <v>13.555486634175161</v>
      </c>
      <c r="Z154" s="2143">
        <v>13.555486634175161</v>
      </c>
      <c r="AA154" s="2143">
        <v>13.555486634175161</v>
      </c>
      <c r="AB154" s="2144">
        <v>13.555486634175161</v>
      </c>
      <c r="AC154" s="2693">
        <v>13</v>
      </c>
      <c r="AD154" s="297"/>
      <c r="AE154" s="297"/>
      <c r="AF154" s="297"/>
      <c r="AG154" s="297"/>
      <c r="AH154" s="250"/>
      <c r="AJ154" s="285"/>
      <c r="AU154" s="164"/>
    </row>
    <row r="155" spans="2:47" hidden="1" outlineLevel="1" x14ac:dyDescent="0.25">
      <c r="B155" s="1437"/>
      <c r="C155" s="225"/>
      <c r="D155" s="2079" t="s">
        <v>326</v>
      </c>
      <c r="E155" s="3102" t="s">
        <v>135</v>
      </c>
      <c r="F155" s="2136">
        <v>0.08</v>
      </c>
      <c r="G155" s="3812" t="s">
        <v>285</v>
      </c>
      <c r="H155" s="3813"/>
      <c r="I155" s="270" t="s">
        <v>312</v>
      </c>
      <c r="J155" s="249"/>
      <c r="N155" s="235"/>
      <c r="O155" s="249"/>
      <c r="P155" s="249"/>
      <c r="Q155" s="249"/>
      <c r="V155" s="3110" t="str">
        <f>D155</f>
        <v>CoolingReduction</v>
      </c>
      <c r="W155" s="286">
        <v>0.08</v>
      </c>
      <c r="X155" s="286">
        <v>0.08</v>
      </c>
      <c r="Y155" s="302">
        <v>0.08</v>
      </c>
      <c r="Z155" s="2136">
        <v>0.08</v>
      </c>
      <c r="AA155" s="2136">
        <v>0.08</v>
      </c>
      <c r="AB155" s="2136">
        <v>0.08</v>
      </c>
      <c r="AC155" s="2136">
        <v>0.08</v>
      </c>
      <c r="AD155" s="286"/>
      <c r="AE155" s="286"/>
      <c r="AF155" s="286"/>
      <c r="AG155" s="286"/>
      <c r="AH155" s="250"/>
      <c r="AJ155" s="285"/>
      <c r="AU155" s="164"/>
    </row>
    <row r="156" spans="2:47" hidden="1" outlineLevel="1" x14ac:dyDescent="0.25">
      <c r="B156" s="1437"/>
      <c r="C156" s="225"/>
      <c r="D156" s="3802" t="s">
        <v>327</v>
      </c>
      <c r="E156" s="2051" t="str">
        <f>$E$99</f>
        <v>Learning Thermostat - ASHP heating/cooling SF</v>
      </c>
      <c r="F156" s="432">
        <v>0</v>
      </c>
      <c r="G156" s="3812" t="s">
        <v>285</v>
      </c>
      <c r="H156" s="3813"/>
      <c r="I156" s="270"/>
      <c r="J156" s="249"/>
      <c r="N156" s="235"/>
      <c r="O156" s="249"/>
      <c r="P156" s="249"/>
      <c r="Q156" s="249"/>
      <c r="V156" s="3805" t="str">
        <f>D156</f>
        <v>%FossilHeat</v>
      </c>
      <c r="W156" s="271">
        <v>1</v>
      </c>
      <c r="X156" s="274">
        <v>0</v>
      </c>
      <c r="Y156" s="289">
        <v>0</v>
      </c>
      <c r="Z156" s="432">
        <v>0</v>
      </c>
      <c r="AA156" s="432">
        <v>0</v>
      </c>
      <c r="AB156" s="432">
        <v>0</v>
      </c>
      <c r="AC156" s="432">
        <v>0</v>
      </c>
      <c r="AD156" s="271"/>
      <c r="AE156" s="271"/>
      <c r="AF156" s="271"/>
      <c r="AG156" s="271"/>
      <c r="AH156" s="250"/>
      <c r="AU156" s="164"/>
    </row>
    <row r="157" spans="2:47" hidden="1" outlineLevel="1" x14ac:dyDescent="0.25">
      <c r="B157" s="1437"/>
      <c r="C157" s="225"/>
      <c r="D157" s="3803"/>
      <c r="E157" s="2051" t="str">
        <f>$E$100</f>
        <v>Learning Thermostat - ASHP heating/cooling MF</v>
      </c>
      <c r="F157" s="432">
        <v>0</v>
      </c>
      <c r="G157" s="3839"/>
      <c r="H157" s="3840"/>
      <c r="I157" s="270"/>
      <c r="J157" s="249"/>
      <c r="N157" s="235"/>
      <c r="O157" s="249"/>
      <c r="P157" s="249"/>
      <c r="Q157" s="249"/>
      <c r="V157" s="3806"/>
      <c r="W157" s="271"/>
      <c r="X157" s="274"/>
      <c r="Y157" s="274">
        <v>0</v>
      </c>
      <c r="Z157" s="432">
        <v>0</v>
      </c>
      <c r="AA157" s="432">
        <v>0</v>
      </c>
      <c r="AB157" s="432">
        <v>0</v>
      </c>
      <c r="AC157" s="432">
        <v>0</v>
      </c>
      <c r="AD157" s="271"/>
      <c r="AE157" s="271"/>
      <c r="AF157" s="271"/>
      <c r="AG157" s="271"/>
      <c r="AH157" s="250"/>
      <c r="AU157" s="164"/>
    </row>
    <row r="158" spans="2:47" hidden="1" outlineLevel="1" x14ac:dyDescent="0.25">
      <c r="B158" s="1437"/>
      <c r="C158" s="225"/>
      <c r="D158" s="3803"/>
      <c r="E158" s="2051" t="str">
        <f>$E$101</f>
        <v>Learning Thermostat - electric furnace heating / central AC MF</v>
      </c>
      <c r="F158" s="432">
        <v>0</v>
      </c>
      <c r="G158" s="3812" t="s">
        <v>285</v>
      </c>
      <c r="H158" s="3813"/>
      <c r="I158" s="270"/>
      <c r="J158" s="249"/>
      <c r="N158" s="235"/>
      <c r="O158" s="249"/>
      <c r="P158" s="249"/>
      <c r="Q158" s="249"/>
      <c r="V158" s="3806"/>
      <c r="W158" s="271">
        <v>1</v>
      </c>
      <c r="X158" s="274">
        <v>0</v>
      </c>
      <c r="Y158" s="289">
        <v>0</v>
      </c>
      <c r="Z158" s="432">
        <v>0</v>
      </c>
      <c r="AA158" s="432">
        <v>0</v>
      </c>
      <c r="AB158" s="432">
        <v>0</v>
      </c>
      <c r="AC158" s="432">
        <v>0</v>
      </c>
      <c r="AD158" s="271"/>
      <c r="AE158" s="271"/>
      <c r="AF158" s="271"/>
      <c r="AG158" s="271"/>
      <c r="AH158" s="250"/>
      <c r="AU158" s="164"/>
    </row>
    <row r="159" spans="2:47" hidden="1" outlineLevel="1" x14ac:dyDescent="0.25">
      <c r="B159" s="1437"/>
      <c r="C159" s="225"/>
      <c r="D159" s="3803"/>
      <c r="E159" s="2051" t="str">
        <f>$E$102</f>
        <v>Learning Thermostat - electric furnace heating / central AC SF</v>
      </c>
      <c r="F159" s="432">
        <v>0</v>
      </c>
      <c r="G159" s="3812" t="s">
        <v>285</v>
      </c>
      <c r="H159" s="3813"/>
      <c r="I159" s="270"/>
      <c r="J159" s="249"/>
      <c r="N159" s="235"/>
      <c r="O159" s="249"/>
      <c r="P159" s="249"/>
      <c r="Q159" s="249"/>
      <c r="V159" s="3806"/>
      <c r="W159" s="271">
        <v>1</v>
      </c>
      <c r="X159" s="274">
        <v>0</v>
      </c>
      <c r="Y159" s="289">
        <v>0</v>
      </c>
      <c r="Z159" s="432">
        <v>0</v>
      </c>
      <c r="AA159" s="432">
        <v>0</v>
      </c>
      <c r="AB159" s="432">
        <v>0</v>
      </c>
      <c r="AC159" s="432">
        <v>0</v>
      </c>
      <c r="AD159" s="271"/>
      <c r="AE159" s="271"/>
      <c r="AF159" s="271"/>
      <c r="AG159" s="271"/>
      <c r="AH159" s="250"/>
      <c r="AU159" s="164"/>
    </row>
    <row r="160" spans="2:47" hidden="1" outlineLevel="1" x14ac:dyDescent="0.25">
      <c r="B160" s="1437"/>
      <c r="C160" s="225"/>
      <c r="D160" s="3803"/>
      <c r="E160" s="2051" t="str">
        <f>$E$103</f>
        <v>Learning Thermostat - Gas Heated / central AC SF**</v>
      </c>
      <c r="F160" s="432">
        <v>1</v>
      </c>
      <c r="G160" s="3812" t="s">
        <v>285</v>
      </c>
      <c r="H160" s="3813"/>
      <c r="I160" s="270"/>
      <c r="J160" s="249"/>
      <c r="N160" s="235"/>
      <c r="O160" s="249"/>
      <c r="P160" s="249"/>
      <c r="Q160" s="249"/>
      <c r="V160" s="3806"/>
      <c r="W160" s="271">
        <v>1</v>
      </c>
      <c r="X160" s="271">
        <v>1</v>
      </c>
      <c r="Y160" s="289">
        <v>1</v>
      </c>
      <c r="Z160" s="432">
        <v>1</v>
      </c>
      <c r="AA160" s="432">
        <v>1</v>
      </c>
      <c r="AB160" s="432">
        <v>1</v>
      </c>
      <c r="AC160" s="432">
        <v>1</v>
      </c>
      <c r="AD160" s="271"/>
      <c r="AE160" s="271"/>
      <c r="AF160" s="271"/>
      <c r="AG160" s="271"/>
      <c r="AH160" s="250"/>
      <c r="AU160" s="164"/>
    </row>
    <row r="161" spans="1:57" hidden="1" outlineLevel="1" x14ac:dyDescent="0.25">
      <c r="B161" s="1437"/>
      <c r="C161" s="225"/>
      <c r="D161" s="3803"/>
      <c r="E161" s="2051" t="str">
        <f>$E$104</f>
        <v>Learning Thermostat - Gas Heated / central AC MF**</v>
      </c>
      <c r="F161" s="432">
        <v>1</v>
      </c>
      <c r="G161" s="3841" t="s">
        <v>328</v>
      </c>
      <c r="H161" s="3841"/>
      <c r="I161" s="270"/>
      <c r="J161" s="249"/>
      <c r="N161" s="235"/>
      <c r="O161" s="249"/>
      <c r="P161" s="249"/>
      <c r="Q161" s="249"/>
      <c r="V161" s="3806"/>
      <c r="W161" s="271"/>
      <c r="X161" s="271"/>
      <c r="Y161" s="274">
        <v>1</v>
      </c>
      <c r="Z161" s="432">
        <v>1</v>
      </c>
      <c r="AA161" s="432">
        <v>1</v>
      </c>
      <c r="AB161" s="432">
        <v>1</v>
      </c>
      <c r="AC161" s="432">
        <v>1</v>
      </c>
      <c r="AD161" s="271"/>
      <c r="AE161" s="271"/>
      <c r="AF161" s="271"/>
      <c r="AG161" s="271"/>
      <c r="AH161" s="250"/>
      <c r="AU161" s="164"/>
    </row>
    <row r="162" spans="1:57" hidden="1" outlineLevel="1" x14ac:dyDescent="0.25">
      <c r="B162" s="1437"/>
      <c r="C162" s="225"/>
      <c r="D162" s="3803"/>
      <c r="E162" s="2051" t="str">
        <f>$E$105</f>
        <v>Learning Thermostat - Unknown SF**</v>
      </c>
      <c r="F162" s="2139">
        <v>0.67</v>
      </c>
      <c r="G162" s="3814" t="s">
        <v>286</v>
      </c>
      <c r="H162" s="3814"/>
      <c r="I162" s="270"/>
      <c r="J162" s="249"/>
      <c r="N162" s="235"/>
      <c r="O162" s="249"/>
      <c r="P162" s="249"/>
      <c r="Q162" s="249"/>
      <c r="V162" s="3806"/>
      <c r="W162" s="271">
        <v>0.65</v>
      </c>
      <c r="X162" s="274">
        <v>0.75536822013679017</v>
      </c>
      <c r="Y162" s="274">
        <v>0.83571202029812874</v>
      </c>
      <c r="Z162" s="432">
        <v>0.83571202029812874</v>
      </c>
      <c r="AA162" s="432">
        <v>0.83571202029812874</v>
      </c>
      <c r="AB162" s="432">
        <v>0.83571202029812874</v>
      </c>
      <c r="AC162" s="2139">
        <v>0.67</v>
      </c>
      <c r="AD162" s="271"/>
      <c r="AE162" s="271"/>
      <c r="AF162" s="271"/>
      <c r="AG162" s="271"/>
      <c r="AH162" s="250"/>
      <c r="AU162" s="164"/>
    </row>
    <row r="163" spans="1:57" ht="14.45" hidden="1" customHeight="1" outlineLevel="1" x14ac:dyDescent="0.25">
      <c r="B163" s="1437"/>
      <c r="C163" s="225"/>
      <c r="D163" s="3804"/>
      <c r="E163" s="2051" t="str">
        <f>$E$106</f>
        <v>Learning Thermostat - Unknown MF**</v>
      </c>
      <c r="F163" s="2139">
        <v>0.67</v>
      </c>
      <c r="G163" s="3814" t="s">
        <v>286</v>
      </c>
      <c r="H163" s="3814"/>
      <c r="I163" s="270"/>
      <c r="J163" s="249"/>
      <c r="N163" s="235"/>
      <c r="O163" s="249"/>
      <c r="P163" s="249"/>
      <c r="Q163" s="249"/>
      <c r="V163" s="3807"/>
      <c r="W163" s="271"/>
      <c r="X163" s="274"/>
      <c r="Y163" s="274">
        <v>0.83571202029812874</v>
      </c>
      <c r="Z163" s="432">
        <v>0.83571202029812874</v>
      </c>
      <c r="AA163" s="432">
        <v>0.83571202029812874</v>
      </c>
      <c r="AB163" s="432">
        <v>0.83571202029812874</v>
      </c>
      <c r="AC163" s="2139">
        <v>0.67</v>
      </c>
      <c r="AD163" s="271"/>
      <c r="AE163" s="271"/>
      <c r="AF163" s="271"/>
      <c r="AG163" s="271"/>
      <c r="AH163" s="250"/>
      <c r="AU163" s="164"/>
    </row>
    <row r="164" spans="1:57" hidden="1" outlineLevel="1" x14ac:dyDescent="0.25">
      <c r="B164" s="1437"/>
      <c r="C164" s="225"/>
      <c r="D164" s="2079" t="s">
        <v>329</v>
      </c>
      <c r="E164" s="2051" t="s">
        <v>135</v>
      </c>
      <c r="F164" s="437">
        <v>682.14220183486236</v>
      </c>
      <c r="G164" s="3812" t="s">
        <v>330</v>
      </c>
      <c r="H164" s="3813"/>
      <c r="I164" s="270" t="s">
        <v>331</v>
      </c>
      <c r="J164" s="249"/>
      <c r="N164" s="235"/>
      <c r="O164" s="249"/>
      <c r="P164" s="249"/>
      <c r="Q164" s="249"/>
      <c r="V164" s="3110" t="str">
        <f>D164</f>
        <v>HeatingConsumption_Gas</v>
      </c>
      <c r="W164" s="277">
        <v>680</v>
      </c>
      <c r="X164" s="303">
        <v>682.46115191341323</v>
      </c>
      <c r="Y164" s="303">
        <v>682.14220183486236</v>
      </c>
      <c r="Z164" s="437">
        <v>682.14220183486236</v>
      </c>
      <c r="AA164" s="437">
        <v>682.14220183486236</v>
      </c>
      <c r="AB164" s="437">
        <v>682.14220183486236</v>
      </c>
      <c r="AC164" s="437">
        <v>682.14220183486236</v>
      </c>
      <c r="AD164" s="277"/>
      <c r="AE164" s="277"/>
      <c r="AF164" s="277"/>
      <c r="AG164" s="277"/>
      <c r="AH164" s="250"/>
      <c r="AU164" s="164"/>
    </row>
    <row r="165" spans="1:57" hidden="1" outlineLevel="1" x14ac:dyDescent="0.25">
      <c r="B165" s="1437"/>
      <c r="C165" s="225"/>
      <c r="D165" s="2081" t="str">
        <f>$D$50</f>
        <v>EUL</v>
      </c>
      <c r="E165" s="2081" t="str">
        <f>$E$50</f>
        <v>Effective Useful Life</v>
      </c>
      <c r="F165" s="437">
        <v>10</v>
      </c>
      <c r="G165" s="3812"/>
      <c r="H165" s="3813"/>
      <c r="I165" s="270"/>
      <c r="J165" s="249"/>
      <c r="N165" s="235"/>
      <c r="O165" s="249"/>
      <c r="P165" s="249"/>
      <c r="Q165" s="249"/>
      <c r="V165" s="304" t="str">
        <f>D165</f>
        <v>EUL</v>
      </c>
      <c r="W165" s="305">
        <v>10</v>
      </c>
      <c r="X165" s="305">
        <v>10</v>
      </c>
      <c r="Y165" s="305">
        <v>10</v>
      </c>
      <c r="Z165" s="437">
        <v>10</v>
      </c>
      <c r="AA165" s="437">
        <v>10</v>
      </c>
      <c r="AB165" s="437">
        <v>10</v>
      </c>
      <c r="AC165" s="437">
        <v>10</v>
      </c>
      <c r="AD165" s="305"/>
      <c r="AE165" s="305"/>
      <c r="AF165" s="305"/>
      <c r="AG165" s="305"/>
      <c r="AH165" s="250"/>
      <c r="AU165" s="164"/>
    </row>
    <row r="166" spans="1:57" ht="105" hidden="1" outlineLevel="1" x14ac:dyDescent="0.25">
      <c r="B166" s="1437"/>
      <c r="C166" s="225"/>
      <c r="D166" s="2081" t="str">
        <f>$D$51</f>
        <v>Inc. Cost</v>
      </c>
      <c r="E166" s="2081" t="str">
        <f>$E$51</f>
        <v>Incremental Cost ($)</v>
      </c>
      <c r="F166" s="306">
        <v>125</v>
      </c>
      <c r="G166" s="3812" t="s">
        <v>332</v>
      </c>
      <c r="H166" s="3813"/>
      <c r="I166" s="3194" t="s">
        <v>333</v>
      </c>
      <c r="J166" s="249"/>
      <c r="N166" s="235"/>
      <c r="O166" s="249"/>
      <c r="P166" s="249"/>
      <c r="Q166" s="249"/>
      <c r="V166" s="304" t="str">
        <f>D166</f>
        <v>Inc. Cost</v>
      </c>
      <c r="W166" s="306">
        <v>175</v>
      </c>
      <c r="X166" s="306">
        <v>175</v>
      </c>
      <c r="Y166" s="306">
        <v>175</v>
      </c>
      <c r="Z166" s="306">
        <v>175</v>
      </c>
      <c r="AA166" s="306">
        <v>175</v>
      </c>
      <c r="AB166" s="2145">
        <v>125</v>
      </c>
      <c r="AC166" s="306">
        <v>125</v>
      </c>
      <c r="AD166" s="306"/>
      <c r="AE166" s="306"/>
      <c r="AF166" s="306"/>
      <c r="AG166" s="306"/>
      <c r="AH166" s="250"/>
      <c r="AU166" s="164"/>
    </row>
    <row r="167" spans="1:57" collapsed="1" x14ac:dyDescent="0.25">
      <c r="B167" s="1437"/>
      <c r="C167" s="225"/>
      <c r="D167" s="247"/>
      <c r="E167" s="3149"/>
      <c r="F167" s="249"/>
      <c r="G167" s="249"/>
      <c r="H167" s="249"/>
      <c r="I167" s="249"/>
      <c r="J167" s="249"/>
      <c r="K167" s="249"/>
      <c r="L167" s="249"/>
      <c r="M167" s="249"/>
      <c r="N167" s="249"/>
      <c r="O167" s="249"/>
      <c r="P167" s="249"/>
      <c r="Q167" s="249"/>
      <c r="AH167" s="250"/>
      <c r="AU167" s="164"/>
    </row>
    <row r="168" spans="1:57" x14ac:dyDescent="0.25">
      <c r="AH168" s="250"/>
      <c r="AU168" s="164"/>
    </row>
    <row r="169" spans="1:57" s="147" customFormat="1" x14ac:dyDescent="0.25">
      <c r="A169" s="123"/>
      <c r="B169" s="3808" t="s">
        <v>334</v>
      </c>
      <c r="C169" s="3809"/>
      <c r="D169" s="3809"/>
      <c r="E169" s="3809"/>
      <c r="F169" s="3809"/>
      <c r="G169" s="3809"/>
      <c r="H169" s="3809"/>
      <c r="I169" s="3810"/>
      <c r="J169" s="3810"/>
      <c r="K169" s="3810"/>
      <c r="L169" s="3810"/>
      <c r="M169" s="3810"/>
      <c r="N169" s="3810"/>
      <c r="O169" s="3811"/>
      <c r="V169" s="3750" t="str">
        <f>B169</f>
        <v>ENERGY STAR Pool Pump and motor w auto controls - multi speed High Efficiency Pool Pumps</v>
      </c>
      <c r="W169" s="3751"/>
      <c r="X169" s="3751"/>
      <c r="Y169" s="3751"/>
      <c r="Z169" s="3751"/>
      <c r="AA169" s="3751"/>
      <c r="AB169" s="3751"/>
      <c r="AC169" s="3752"/>
      <c r="AD169" s="3752"/>
      <c r="AE169" s="3752"/>
      <c r="AF169" s="3752"/>
      <c r="AG169" s="3752"/>
      <c r="AH169" s="3752"/>
      <c r="AI169" s="3753"/>
      <c r="AU169" s="164"/>
      <c r="BB169" s="148"/>
    </row>
    <row r="170" spans="1:57" s="40" customFormat="1" x14ac:dyDescent="0.25">
      <c r="A170" s="151"/>
      <c r="B170" s="151"/>
      <c r="C170" s="149"/>
      <c r="D170" s="150"/>
      <c r="E170" s="150"/>
      <c r="F170" s="151"/>
      <c r="G170" s="151"/>
      <c r="H170" s="151"/>
      <c r="I170" s="151"/>
      <c r="J170" s="151"/>
      <c r="K170" s="151"/>
      <c r="L170" s="151"/>
      <c r="M170" s="151"/>
      <c r="N170" s="151"/>
      <c r="O170" s="151"/>
      <c r="P170" s="151"/>
      <c r="Q170" s="151"/>
      <c r="R170" s="151"/>
      <c r="S170" s="151"/>
      <c r="T170" s="151"/>
      <c r="U170" s="151"/>
      <c r="AH170" s="250"/>
      <c r="AU170" s="164"/>
      <c r="BB170" s="153"/>
    </row>
    <row r="171" spans="1:57" s="44" customFormat="1" ht="48.75" customHeight="1" x14ac:dyDescent="0.25">
      <c r="A171" s="1288"/>
      <c r="B171" s="1288"/>
      <c r="C171" s="3086" t="s">
        <v>28</v>
      </c>
      <c r="D171" s="3086" t="s">
        <v>175</v>
      </c>
      <c r="E171" s="3086" t="s">
        <v>30</v>
      </c>
      <c r="F171" s="3086" t="s">
        <v>31</v>
      </c>
      <c r="G171" s="3086" t="s">
        <v>176</v>
      </c>
      <c r="H171" s="3086" t="s">
        <v>177</v>
      </c>
      <c r="I171" s="3086" t="s">
        <v>335</v>
      </c>
      <c r="J171" s="3086" t="s">
        <v>181</v>
      </c>
      <c r="K171" s="3086" t="s">
        <v>170</v>
      </c>
      <c r="L171" s="3086" t="s">
        <v>44</v>
      </c>
      <c r="M171" s="1288"/>
      <c r="N171" s="1288"/>
      <c r="O171" s="1288"/>
      <c r="P171" s="1288"/>
      <c r="Q171" s="1288"/>
      <c r="R171" s="1288"/>
      <c r="S171" s="1288"/>
      <c r="T171" s="1288"/>
      <c r="U171" s="1288"/>
      <c r="V171" s="1936" t="s">
        <v>45</v>
      </c>
      <c r="W171" s="1937">
        <v>43252</v>
      </c>
      <c r="X171" s="1937">
        <f>$X$6</f>
        <v>43465</v>
      </c>
      <c r="Y171" s="1937">
        <f>$Y$6</f>
        <v>43800</v>
      </c>
      <c r="Z171" s="1937">
        <f>$Z$6</f>
        <v>43862</v>
      </c>
      <c r="AA171" s="1937">
        <f>$AA$6</f>
        <v>44013</v>
      </c>
      <c r="AB171" s="1937">
        <f>$AB$6</f>
        <v>44166</v>
      </c>
      <c r="AC171" s="1937">
        <f>$AC$6</f>
        <v>44531</v>
      </c>
      <c r="AD171" s="1937" t="str">
        <f>$AD$6</f>
        <v>-</v>
      </c>
      <c r="AE171" s="1937" t="str">
        <f>$AE$6</f>
        <v>-</v>
      </c>
      <c r="AF171" s="1937" t="str">
        <f>$AF$6</f>
        <v>-</v>
      </c>
      <c r="AG171" s="1937" t="str">
        <f>$AG$6</f>
        <v>-</v>
      </c>
      <c r="AH171" s="250"/>
      <c r="AU171" s="164"/>
      <c r="BB171" s="1953" t="str">
        <f>$BB$6</f>
        <v>TRC (2020)</v>
      </c>
      <c r="BC171" s="1953" t="str">
        <f>$BC$6</f>
        <v>Benefit Lookup</v>
      </c>
      <c r="BD171" s="230" t="str">
        <f>$BD$6</f>
        <v>Benefits (2019 $)</v>
      </c>
      <c r="BE171" s="230" t="str">
        <f>$BE$6</f>
        <v>Incremental Cost (2019 $)</v>
      </c>
    </row>
    <row r="172" spans="1:57" s="40" customFormat="1" x14ac:dyDescent="0.25">
      <c r="A172" s="151"/>
      <c r="B172" s="151"/>
      <c r="C172" s="2989" t="s">
        <v>336</v>
      </c>
      <c r="D172" s="3227" t="s">
        <v>183</v>
      </c>
      <c r="E172" s="307" t="s">
        <v>337</v>
      </c>
      <c r="F172" s="2988">
        <f>0</f>
        <v>0</v>
      </c>
      <c r="G172" s="3226" t="s">
        <v>338</v>
      </c>
      <c r="H172" s="155">
        <f>VLOOKUP(G172,'CP FACTORS'!$A$3:$B$38, 2, FALSE)</f>
        <v>2.3544589999999999E-4</v>
      </c>
      <c r="I172" s="2992">
        <f>ROUND(H172*F172,6)</f>
        <v>0</v>
      </c>
      <c r="J172" s="325">
        <f>F212</f>
        <v>10</v>
      </c>
      <c r="K172" s="2145">
        <v>0</v>
      </c>
      <c r="L172" s="339" t="s">
        <v>185</v>
      </c>
      <c r="M172" s="151"/>
      <c r="N172" s="151"/>
      <c r="O172" s="151"/>
      <c r="P172" s="151"/>
      <c r="Q172" s="151"/>
      <c r="R172" s="1431"/>
      <c r="S172" s="151"/>
      <c r="T172" s="151"/>
      <c r="U172" s="151"/>
      <c r="V172" s="308" t="s">
        <v>31</v>
      </c>
      <c r="W172" s="2454">
        <v>1799.7340444444444</v>
      </c>
      <c r="X172" s="2458">
        <v>1799.7340444444444</v>
      </c>
      <c r="Y172" s="2459">
        <v>1799.73</v>
      </c>
      <c r="Z172" s="2460">
        <v>1799.73</v>
      </c>
      <c r="AA172" s="2460">
        <v>1799.73</v>
      </c>
      <c r="AB172" s="2460">
        <v>1799.73</v>
      </c>
      <c r="AC172" s="2988">
        <v>0</v>
      </c>
      <c r="AD172" s="308"/>
      <c r="AE172" s="308"/>
      <c r="AF172" s="308"/>
      <c r="AG172" s="308"/>
      <c r="AH172" s="163"/>
      <c r="AU172" s="164"/>
      <c r="BB172" s="165" t="e">
        <f>(BD172)/(BE172)</f>
        <v>#DIV/0!</v>
      </c>
      <c r="BC172" s="311" t="str">
        <f>CONCATENATE(G172," ",J172," Year EUL")</f>
        <v>Pool Spa RES 10 Year EUL</v>
      </c>
      <c r="BD172" s="166">
        <f>(INDEX('Avoided Cost Benefits'!$C$4:$C$857,MATCH(BC172,'Avoided Cost Benefits'!$A$4:$A$857,0)))*F172</f>
        <v>0</v>
      </c>
      <c r="BE172" s="1956">
        <f>K172/(1.0595^(2020-2019))</f>
        <v>0</v>
      </c>
    </row>
    <row r="173" spans="1:57" s="40" customFormat="1" x14ac:dyDescent="0.25">
      <c r="A173" s="151"/>
      <c r="B173" s="151"/>
      <c r="C173" s="2989" t="s">
        <v>339</v>
      </c>
      <c r="D173" s="3227" t="s">
        <v>183</v>
      </c>
      <c r="E173" s="3091" t="s">
        <v>340</v>
      </c>
      <c r="F173" s="2988">
        <f>ROUND(($G$196*$G$197*(1/$G$198-1/$G$199)*$G$201)/1000*$G$211,2)</f>
        <v>315.20999999999998</v>
      </c>
      <c r="G173" s="3226" t="s">
        <v>338</v>
      </c>
      <c r="H173" s="155">
        <f>VLOOKUP(G173,'CP FACTORS'!$A$3:$B$38, 2, FALSE)</f>
        <v>2.3544589999999999E-4</v>
      </c>
      <c r="I173" s="2992">
        <f>ROUND(H173*F173,6)</f>
        <v>7.4215000000000003E-2</v>
      </c>
      <c r="J173" s="325">
        <f>$G$212</f>
        <v>10</v>
      </c>
      <c r="K173" s="2145">
        <f>G213</f>
        <v>314</v>
      </c>
      <c r="L173" s="339" t="s">
        <v>185</v>
      </c>
      <c r="M173" s="151"/>
      <c r="N173" s="151"/>
      <c r="O173" s="151"/>
      <c r="P173" s="151"/>
      <c r="Q173" s="151"/>
      <c r="R173" s="1431"/>
      <c r="S173" s="151"/>
      <c r="T173" s="151"/>
      <c r="U173" s="151"/>
      <c r="V173" s="308" t="s">
        <v>31</v>
      </c>
      <c r="W173" s="2454">
        <v>2052.8492712328771</v>
      </c>
      <c r="X173" s="2458">
        <v>2052.8492712328771</v>
      </c>
      <c r="Y173" s="2459">
        <v>2052.85</v>
      </c>
      <c r="Z173" s="2460">
        <v>2052.85</v>
      </c>
      <c r="AA173" s="2460">
        <v>2052.85</v>
      </c>
      <c r="AB173" s="2460">
        <v>2052.85</v>
      </c>
      <c r="AC173" s="2988">
        <v>315.20999999999998</v>
      </c>
      <c r="AD173" s="308"/>
      <c r="AE173" s="308"/>
      <c r="AF173" s="308"/>
      <c r="AG173" s="308"/>
      <c r="AH173" s="163"/>
      <c r="AU173" s="164"/>
      <c r="BB173" s="310">
        <f>(BD173)/(BE173)</f>
        <v>0.44392548917598218</v>
      </c>
      <c r="BC173" s="240" t="str">
        <f>CONCATENATE(G173," ",J173," Year EUL")</f>
        <v>Pool Spa RES 10 Year EUL</v>
      </c>
      <c r="BD173" s="119">
        <f>(INDEX('Avoided Cost Benefits'!$C$4:$C$857,MATCH(BC173,'Avoided Cost Benefits'!$A$4:$A$857,0)))*F173</f>
        <v>131.56451496107445</v>
      </c>
      <c r="BE173" s="1950">
        <f>K173/(1.0595^(2020-2019))</f>
        <v>296.36621047663988</v>
      </c>
    </row>
    <row r="174" spans="1:57" s="40" customFormat="1" x14ac:dyDescent="0.25">
      <c r="A174" s="151"/>
      <c r="B174" s="151"/>
      <c r="C174" s="2989" t="s">
        <v>341</v>
      </c>
      <c r="D174" s="538" t="s">
        <v>183</v>
      </c>
      <c r="E174" s="3093" t="s">
        <v>342</v>
      </c>
      <c r="F174" s="2988">
        <f>ROUND(($G$196*$G$197*(1/$G$200-1/$G$199)*$G$201)/1000*$G$211,2)</f>
        <v>1478.34</v>
      </c>
      <c r="G174" s="99" t="s">
        <v>338</v>
      </c>
      <c r="H174" s="2867">
        <f>VLOOKUP(G174,'CP FACTORS'!$A$3:$B$38, 2, FALSE)</f>
        <v>2.3544589999999999E-4</v>
      </c>
      <c r="I174" s="2992">
        <f>ROUND(H174*F174,6)</f>
        <v>0.34806900000000002</v>
      </c>
      <c r="J174" s="98">
        <f>$G$212</f>
        <v>10</v>
      </c>
      <c r="K174" s="2145">
        <f>G214</f>
        <v>549</v>
      </c>
      <c r="L174" s="2989" t="s">
        <v>185</v>
      </c>
      <c r="M174" s="151"/>
      <c r="N174" s="151"/>
      <c r="O174" s="151"/>
      <c r="P174" s="151"/>
      <c r="Q174" s="151"/>
      <c r="R174" s="1431"/>
      <c r="S174" s="151"/>
      <c r="T174" s="151"/>
      <c r="U174" s="151"/>
      <c r="V174" s="2993" t="s">
        <v>31</v>
      </c>
      <c r="W174" s="3573"/>
      <c r="X174" s="3574"/>
      <c r="Y174" s="3575"/>
      <c r="Z174" s="3575"/>
      <c r="AA174" s="3575"/>
      <c r="AB174" s="3575"/>
      <c r="AC174" s="2988">
        <v>1478.34</v>
      </c>
      <c r="AD174" s="308"/>
      <c r="AE174" s="308"/>
      <c r="AF174" s="308"/>
      <c r="AG174" s="308"/>
      <c r="AH174" s="163"/>
      <c r="AU174" s="164"/>
      <c r="BB174" s="310">
        <f>(BD174)/(BE174)</f>
        <v>1.1908079530400344</v>
      </c>
      <c r="BC174" s="311" t="str">
        <f>CONCATENATE(G174," ",J174," Year EUL")</f>
        <v>Pool Spa RES 10 Year EUL</v>
      </c>
      <c r="BD174" s="119">
        <f>(INDEX('Avoided Cost Benefits'!$C$4:$C$857,MATCH(BC174,'Avoided Cost Benefits'!$A$4:$A$857,0)))*F174</f>
        <v>617.03970384047079</v>
      </c>
      <c r="BE174" s="1950">
        <f>K174/(1.0595^(2020-2019))</f>
        <v>518.16894761680032</v>
      </c>
    </row>
    <row r="175" spans="1:57" s="40" customFormat="1" hidden="1" outlineLevel="1" x14ac:dyDescent="0.25">
      <c r="A175" s="151"/>
      <c r="B175" s="151"/>
      <c r="C175" s="149"/>
      <c r="D175" s="150"/>
      <c r="E175" s="312"/>
      <c r="F175" s="313"/>
      <c r="G175" s="151"/>
      <c r="H175" s="151"/>
      <c r="I175" s="123"/>
      <c r="J175" s="123"/>
      <c r="K175" s="123"/>
      <c r="L175" s="151"/>
      <c r="M175" s="151"/>
      <c r="N175" s="151"/>
      <c r="O175" s="151"/>
      <c r="P175" s="151"/>
      <c r="Q175" s="151"/>
      <c r="R175" s="151"/>
      <c r="S175" s="151"/>
      <c r="T175" s="151"/>
      <c r="U175" s="151"/>
      <c r="Z175" s="97"/>
      <c r="AA175" s="97"/>
      <c r="AF175" s="185"/>
      <c r="AH175" s="250"/>
      <c r="AU175" s="164"/>
      <c r="BB175" s="171"/>
      <c r="BC175" s="97"/>
      <c r="BD175" s="97"/>
      <c r="BE175" s="97"/>
    </row>
    <row r="176" spans="1:57" s="172" customFormat="1" hidden="1" outlineLevel="1" x14ac:dyDescent="0.25">
      <c r="A176" s="176"/>
      <c r="B176" s="176"/>
      <c r="C176" s="173"/>
      <c r="D176" s="174" t="s">
        <v>108</v>
      </c>
      <c r="E176" s="314"/>
      <c r="F176" s="176"/>
      <c r="G176" s="176"/>
      <c r="H176" s="176"/>
      <c r="I176" s="176"/>
      <c r="J176" s="176"/>
      <c r="K176" s="176"/>
      <c r="L176" s="176"/>
      <c r="M176" s="176"/>
      <c r="N176" s="176"/>
      <c r="O176" s="176"/>
      <c r="P176" s="176"/>
      <c r="Q176" s="176"/>
      <c r="R176" s="176"/>
      <c r="S176" s="176"/>
      <c r="T176" s="176"/>
      <c r="U176" s="176"/>
      <c r="AH176" s="250"/>
      <c r="AU176" s="164"/>
      <c r="BB176" s="171"/>
      <c r="BC176" s="97"/>
      <c r="BD176" s="97"/>
      <c r="BE176" s="97"/>
    </row>
    <row r="177" spans="1:57" s="172" customFormat="1" hidden="1" outlineLevel="1" x14ac:dyDescent="0.25">
      <c r="A177" s="176"/>
      <c r="B177" s="176"/>
      <c r="C177" s="173"/>
      <c r="D177" s="315"/>
      <c r="E177" s="312"/>
      <c r="F177" s="316"/>
      <c r="G177" s="176"/>
      <c r="H177" s="176"/>
      <c r="I177" s="176"/>
      <c r="J177" s="176"/>
      <c r="K177" s="176"/>
      <c r="L177" s="176"/>
      <c r="M177" s="176"/>
      <c r="N177" s="176"/>
      <c r="O177" s="176"/>
      <c r="P177" s="176"/>
      <c r="Q177" s="176"/>
      <c r="R177" s="176"/>
      <c r="S177" s="176"/>
      <c r="T177" s="176"/>
      <c r="U177" s="176"/>
      <c r="AH177" s="250"/>
      <c r="AU177" s="164"/>
      <c r="BB177" s="171"/>
      <c r="BC177" s="97"/>
      <c r="BD177" s="97"/>
      <c r="BE177" s="97"/>
    </row>
    <row r="178" spans="1:57" s="172" customFormat="1" hidden="1" outlineLevel="1" x14ac:dyDescent="0.25">
      <c r="A178" s="176"/>
      <c r="B178" s="176"/>
      <c r="C178" s="173"/>
      <c r="D178" s="315"/>
      <c r="E178" s="312"/>
      <c r="F178" s="316"/>
      <c r="G178" s="176"/>
      <c r="H178" s="176"/>
      <c r="I178" s="176"/>
      <c r="J178" s="176"/>
      <c r="K178" s="176"/>
      <c r="L178" s="123"/>
      <c r="M178" s="123"/>
      <c r="N178" s="123"/>
      <c r="O178" s="123"/>
      <c r="P178" s="123"/>
      <c r="Q178" s="176"/>
      <c r="R178" s="176"/>
      <c r="S178" s="176"/>
      <c r="T178" s="176"/>
      <c r="U178" s="176"/>
      <c r="AH178" s="250"/>
      <c r="AU178" s="164"/>
      <c r="BB178" s="171"/>
      <c r="BC178" s="97"/>
      <c r="BD178" s="97"/>
      <c r="BE178" s="97"/>
    </row>
    <row r="179" spans="1:57" s="172" customFormat="1" hidden="1" outlineLevel="1" x14ac:dyDescent="0.25">
      <c r="A179" s="176"/>
      <c r="B179" s="176"/>
      <c r="C179" s="173"/>
      <c r="D179" s="179"/>
      <c r="E179" s="180"/>
      <c r="F179" s="316"/>
      <c r="G179" s="176"/>
      <c r="H179" s="176"/>
      <c r="I179" s="176"/>
      <c r="J179" s="176"/>
      <c r="K179" s="176"/>
      <c r="L179" s="123"/>
      <c r="M179" s="123"/>
      <c r="N179" s="123"/>
      <c r="O179" s="123"/>
      <c r="P179" s="123"/>
      <c r="Q179" s="176"/>
      <c r="R179" s="176"/>
      <c r="S179" s="176"/>
      <c r="T179" s="176"/>
      <c r="U179" s="176"/>
      <c r="AH179" s="250"/>
      <c r="AU179" s="164"/>
      <c r="BB179" s="171"/>
      <c r="BC179" s="97"/>
      <c r="BD179" s="97"/>
      <c r="BE179" s="97"/>
    </row>
    <row r="180" spans="1:57" s="172" customFormat="1" hidden="1" outlineLevel="1" x14ac:dyDescent="0.25">
      <c r="A180" s="176"/>
      <c r="B180" s="176"/>
      <c r="C180" s="173"/>
      <c r="D180" s="179"/>
      <c r="E180" s="180"/>
      <c r="F180" s="316"/>
      <c r="G180" s="176"/>
      <c r="H180" s="176"/>
      <c r="I180" s="176"/>
      <c r="J180" s="176"/>
      <c r="K180" s="176"/>
      <c r="L180" s="123"/>
      <c r="M180" s="123"/>
      <c r="N180" s="123"/>
      <c r="O180" s="123"/>
      <c r="P180" s="123"/>
      <c r="Q180" s="176"/>
      <c r="R180" s="176"/>
      <c r="S180" s="176"/>
      <c r="T180" s="176"/>
      <c r="U180" s="176"/>
      <c r="AH180" s="250"/>
      <c r="AU180" s="164"/>
      <c r="BB180" s="171"/>
      <c r="BC180" s="97"/>
      <c r="BD180" s="97"/>
      <c r="BE180" s="97"/>
    </row>
    <row r="181" spans="1:57" s="172" customFormat="1" hidden="1" outlineLevel="1" x14ac:dyDescent="0.25">
      <c r="A181" s="176"/>
      <c r="B181" s="176"/>
      <c r="C181" s="173"/>
      <c r="D181" s="179"/>
      <c r="E181" s="180"/>
      <c r="F181" s="316"/>
      <c r="G181" s="176"/>
      <c r="H181" s="176"/>
      <c r="I181" s="176"/>
      <c r="J181" s="176"/>
      <c r="K181" s="176"/>
      <c r="L181" s="123"/>
      <c r="M181" s="123"/>
      <c r="N181" s="123"/>
      <c r="O181" s="123"/>
      <c r="P181" s="123"/>
      <c r="Q181" s="176"/>
      <c r="R181" s="176"/>
      <c r="S181" s="176"/>
      <c r="T181" s="176"/>
      <c r="U181" s="176"/>
      <c r="AH181" s="250"/>
      <c r="AU181" s="164"/>
      <c r="BB181" s="171"/>
      <c r="BC181" s="97"/>
      <c r="BD181" s="97"/>
      <c r="BE181" s="97"/>
    </row>
    <row r="182" spans="1:57" s="172" customFormat="1" hidden="1" outlineLevel="1" x14ac:dyDescent="0.25">
      <c r="A182" s="176"/>
      <c r="B182" s="176"/>
      <c r="C182" s="173"/>
      <c r="D182" s="179"/>
      <c r="E182" s="180"/>
      <c r="F182" s="316"/>
      <c r="G182" s="176"/>
      <c r="H182" s="176"/>
      <c r="I182" s="176"/>
      <c r="J182" s="176"/>
      <c r="K182" s="176"/>
      <c r="L182" s="123"/>
      <c r="M182" s="123"/>
      <c r="N182" s="123"/>
      <c r="O182" s="123"/>
      <c r="P182" s="123"/>
      <c r="Q182" s="176"/>
      <c r="R182" s="176"/>
      <c r="S182" s="176"/>
      <c r="T182" s="176"/>
      <c r="U182" s="176"/>
      <c r="AH182" s="250"/>
      <c r="AU182" s="164"/>
      <c r="BB182" s="171"/>
      <c r="BC182" s="97"/>
      <c r="BD182" s="97"/>
      <c r="BE182" s="97"/>
    </row>
    <row r="183" spans="1:57" s="172" customFormat="1" hidden="1" outlineLevel="1" x14ac:dyDescent="0.25">
      <c r="A183" s="176"/>
      <c r="B183" s="176"/>
      <c r="C183" s="173"/>
      <c r="D183" s="179"/>
      <c r="E183" s="180"/>
      <c r="F183" s="316"/>
      <c r="G183" s="176"/>
      <c r="H183" s="176"/>
      <c r="I183" s="176"/>
      <c r="J183" s="176"/>
      <c r="K183" s="176"/>
      <c r="L183" s="123"/>
      <c r="M183" s="123"/>
      <c r="N183" s="123"/>
      <c r="O183" s="123"/>
      <c r="P183" s="123"/>
      <c r="Q183" s="176"/>
      <c r="R183" s="176"/>
      <c r="S183" s="176"/>
      <c r="T183" s="176"/>
      <c r="U183" s="176"/>
      <c r="AH183" s="250"/>
      <c r="AU183" s="164"/>
      <c r="BB183" s="171"/>
      <c r="BC183" s="97"/>
      <c r="BD183" s="97"/>
      <c r="BE183" s="97"/>
    </row>
    <row r="184" spans="1:57" s="172" customFormat="1" hidden="1" outlineLevel="1" x14ac:dyDescent="0.25">
      <c r="A184" s="176"/>
      <c r="B184" s="176"/>
      <c r="C184" s="173"/>
      <c r="D184" s="179"/>
      <c r="E184" s="180"/>
      <c r="F184" s="316"/>
      <c r="G184" s="176"/>
      <c r="H184" s="176"/>
      <c r="I184" s="176"/>
      <c r="J184" s="176"/>
      <c r="K184" s="176"/>
      <c r="L184" s="123"/>
      <c r="M184" s="123"/>
      <c r="N184" s="123"/>
      <c r="O184" s="123"/>
      <c r="P184" s="123"/>
      <c r="Q184" s="176"/>
      <c r="R184" s="176"/>
      <c r="S184" s="176"/>
      <c r="T184" s="176"/>
      <c r="U184" s="176"/>
      <c r="AH184" s="250"/>
      <c r="AU184" s="164"/>
      <c r="BB184" s="171"/>
      <c r="BC184" s="97"/>
      <c r="BD184" s="97"/>
      <c r="BE184" s="97"/>
    </row>
    <row r="185" spans="1:57" s="172" customFormat="1" hidden="1" outlineLevel="1" x14ac:dyDescent="0.25">
      <c r="A185" s="176"/>
      <c r="B185" s="176"/>
      <c r="C185" s="173"/>
      <c r="D185" s="179"/>
      <c r="E185" s="180"/>
      <c r="F185" s="316"/>
      <c r="G185" s="176"/>
      <c r="H185" s="176"/>
      <c r="I185" s="176"/>
      <c r="J185" s="176"/>
      <c r="K185" s="176"/>
      <c r="L185" s="123"/>
      <c r="M185" s="123"/>
      <c r="N185" s="123"/>
      <c r="O185" s="123"/>
      <c r="P185" s="123"/>
      <c r="Q185" s="176"/>
      <c r="R185" s="176"/>
      <c r="S185" s="176"/>
      <c r="T185" s="176"/>
      <c r="U185" s="176"/>
      <c r="AH185" s="250"/>
      <c r="AU185" s="164"/>
      <c r="BB185" s="171"/>
      <c r="BC185" s="97"/>
      <c r="BD185" s="97"/>
      <c r="BE185" s="97"/>
    </row>
    <row r="186" spans="1:57" s="172" customFormat="1" hidden="1" outlineLevel="1" x14ac:dyDescent="0.25">
      <c r="A186" s="176"/>
      <c r="B186" s="176"/>
      <c r="C186" s="173"/>
      <c r="D186" s="179"/>
      <c r="E186" s="180"/>
      <c r="F186" s="316"/>
      <c r="G186" s="176"/>
      <c r="H186" s="176"/>
      <c r="I186" s="176"/>
      <c r="J186" s="176"/>
      <c r="K186" s="176"/>
      <c r="L186" s="123"/>
      <c r="M186" s="123"/>
      <c r="N186" s="123"/>
      <c r="O186" s="123"/>
      <c r="P186" s="123"/>
      <c r="Q186" s="176"/>
      <c r="R186" s="176"/>
      <c r="S186" s="176"/>
      <c r="T186" s="176"/>
      <c r="U186" s="176"/>
      <c r="AH186" s="250"/>
      <c r="AU186" s="164"/>
      <c r="BB186" s="171"/>
      <c r="BC186" s="97"/>
      <c r="BD186" s="97"/>
      <c r="BE186" s="97"/>
    </row>
    <row r="187" spans="1:57" s="172" customFormat="1" hidden="1" outlineLevel="1" x14ac:dyDescent="0.25">
      <c r="A187" s="176"/>
      <c r="B187" s="176"/>
      <c r="C187" s="173"/>
      <c r="D187" s="2986" t="s">
        <v>343</v>
      </c>
      <c r="E187" s="180"/>
      <c r="F187" s="2987" t="s">
        <v>344</v>
      </c>
      <c r="G187" s="176"/>
      <c r="H187" s="176"/>
      <c r="I187" s="176"/>
      <c r="J187" s="176"/>
      <c r="K187" s="176"/>
      <c r="L187" s="123"/>
      <c r="M187" s="123"/>
      <c r="N187" s="123"/>
      <c r="O187" s="123"/>
      <c r="P187" s="123"/>
      <c r="Q187" s="176"/>
      <c r="R187" s="176"/>
      <c r="S187" s="176"/>
      <c r="T187" s="176"/>
      <c r="U187" s="176"/>
      <c r="AH187" s="250"/>
      <c r="AU187" s="164"/>
      <c r="BB187" s="171"/>
      <c r="BC187" s="97"/>
      <c r="BD187" s="97"/>
      <c r="BE187" s="97"/>
    </row>
    <row r="188" spans="1:57" s="172" customFormat="1" hidden="1" outlineLevel="1" x14ac:dyDescent="0.25">
      <c r="A188" s="176"/>
      <c r="B188" s="176"/>
      <c r="C188" s="173"/>
      <c r="D188" s="179"/>
      <c r="E188" s="180"/>
      <c r="F188" s="316"/>
      <c r="G188" s="176"/>
      <c r="H188" s="176"/>
      <c r="I188" s="176"/>
      <c r="J188" s="176"/>
      <c r="K188" s="176"/>
      <c r="L188" s="123"/>
      <c r="M188" s="123"/>
      <c r="N188" s="123"/>
      <c r="O188" s="123"/>
      <c r="P188" s="123"/>
      <c r="Q188" s="176"/>
      <c r="R188" s="176"/>
      <c r="S188" s="176"/>
      <c r="T188" s="176"/>
      <c r="U188" s="176"/>
      <c r="AH188" s="250"/>
      <c r="AU188" s="164"/>
      <c r="BB188" s="171"/>
      <c r="BC188" s="97"/>
      <c r="BD188" s="97"/>
      <c r="BE188" s="97"/>
    </row>
    <row r="189" spans="1:57" s="172" customFormat="1" hidden="1" outlineLevel="1" x14ac:dyDescent="0.25">
      <c r="A189" s="176"/>
      <c r="B189" s="176"/>
      <c r="C189" s="173"/>
      <c r="D189" s="179"/>
      <c r="E189" s="180"/>
      <c r="F189" s="316"/>
      <c r="G189" s="176"/>
      <c r="H189" s="176"/>
      <c r="I189" s="176"/>
      <c r="J189" s="176"/>
      <c r="K189" s="176"/>
      <c r="L189" s="123"/>
      <c r="M189" s="123"/>
      <c r="N189" s="123"/>
      <c r="O189" s="123"/>
      <c r="P189" s="123"/>
      <c r="Q189" s="176"/>
      <c r="R189" s="176"/>
      <c r="S189" s="176"/>
      <c r="T189" s="176"/>
      <c r="U189" s="176"/>
      <c r="AH189" s="250"/>
      <c r="AU189" s="164"/>
      <c r="BB189" s="171"/>
      <c r="BC189" s="97"/>
      <c r="BD189" s="97"/>
      <c r="BE189" s="97"/>
    </row>
    <row r="190" spans="1:57" s="172" customFormat="1" hidden="1" outlineLevel="1" x14ac:dyDescent="0.25">
      <c r="A190" s="176"/>
      <c r="B190" s="176"/>
      <c r="C190" s="173"/>
      <c r="D190" s="179"/>
      <c r="E190" s="180"/>
      <c r="F190" s="316"/>
      <c r="G190" s="176"/>
      <c r="H190" s="176"/>
      <c r="I190" s="176"/>
      <c r="J190" s="176"/>
      <c r="K190" s="176"/>
      <c r="L190" s="123"/>
      <c r="M190" s="123"/>
      <c r="N190" s="123"/>
      <c r="O190" s="123"/>
      <c r="P190" s="123"/>
      <c r="Q190" s="176"/>
      <c r="R190" s="176"/>
      <c r="S190" s="176"/>
      <c r="T190" s="176"/>
      <c r="U190" s="176"/>
      <c r="AH190" s="250"/>
      <c r="AU190" s="164"/>
      <c r="BB190" s="171"/>
      <c r="BC190" s="97"/>
      <c r="BD190" s="97"/>
      <c r="BE190" s="97"/>
    </row>
    <row r="191" spans="1:57" s="172" customFormat="1" hidden="1" outlineLevel="1" x14ac:dyDescent="0.25">
      <c r="A191" s="176"/>
      <c r="B191" s="176"/>
      <c r="C191" s="173"/>
      <c r="D191" s="179"/>
      <c r="E191" s="180"/>
      <c r="F191" s="316"/>
      <c r="G191" s="176"/>
      <c r="H191" s="176"/>
      <c r="I191" s="176"/>
      <c r="J191" s="176"/>
      <c r="K191" s="176"/>
      <c r="L191" s="123"/>
      <c r="M191" s="123"/>
      <c r="N191" s="123"/>
      <c r="O191" s="123"/>
      <c r="P191" s="123"/>
      <c r="Q191" s="176"/>
      <c r="R191" s="176"/>
      <c r="S191" s="176"/>
      <c r="T191" s="176"/>
      <c r="U191" s="176"/>
      <c r="AH191" s="250"/>
      <c r="AU191" s="164"/>
      <c r="BB191" s="171"/>
      <c r="BC191" s="97"/>
      <c r="BD191" s="97"/>
      <c r="BE191" s="97"/>
    </row>
    <row r="192" spans="1:57" s="172" customFormat="1" hidden="1" outlineLevel="1" x14ac:dyDescent="0.25">
      <c r="A192" s="176"/>
      <c r="B192" s="176"/>
      <c r="C192" s="173"/>
      <c r="D192" s="179"/>
      <c r="E192" s="180"/>
      <c r="F192" s="316"/>
      <c r="G192" s="176"/>
      <c r="H192" s="176"/>
      <c r="I192" s="176"/>
      <c r="J192" s="176"/>
      <c r="K192" s="176"/>
      <c r="L192" s="123"/>
      <c r="M192" s="123"/>
      <c r="N192" s="123"/>
      <c r="O192" s="123"/>
      <c r="P192" s="123"/>
      <c r="Q192" s="176"/>
      <c r="R192" s="176"/>
      <c r="S192" s="176"/>
      <c r="T192" s="176"/>
      <c r="U192" s="176"/>
      <c r="AH192" s="250"/>
      <c r="AU192" s="164"/>
      <c r="BB192" s="171"/>
      <c r="BC192" s="97"/>
      <c r="BD192" s="97"/>
      <c r="BE192" s="97"/>
    </row>
    <row r="193" spans="1:57" s="172" customFormat="1" hidden="1" outlineLevel="1" x14ac:dyDescent="0.25">
      <c r="A193" s="176"/>
      <c r="B193" s="176"/>
      <c r="C193" s="173"/>
      <c r="D193" s="179"/>
      <c r="E193" s="180"/>
      <c r="F193" s="316"/>
      <c r="G193" s="176"/>
      <c r="H193" s="176"/>
      <c r="I193" s="176"/>
      <c r="J193" s="176"/>
      <c r="K193" s="176"/>
      <c r="L193" s="123"/>
      <c r="M193" s="123"/>
      <c r="N193" s="123"/>
      <c r="O193" s="123"/>
      <c r="P193" s="123"/>
      <c r="Q193" s="176"/>
      <c r="R193" s="176"/>
      <c r="S193" s="176"/>
      <c r="T193" s="176"/>
      <c r="U193" s="176"/>
      <c r="AH193" s="250"/>
      <c r="AU193" s="164"/>
      <c r="BB193" s="171"/>
      <c r="BC193" s="97"/>
      <c r="BD193" s="97"/>
      <c r="BE193" s="97"/>
    </row>
    <row r="194" spans="1:57" s="172" customFormat="1" hidden="1" outlineLevel="1" x14ac:dyDescent="0.25">
      <c r="A194" s="176"/>
      <c r="B194" s="176"/>
      <c r="C194" s="173"/>
      <c r="D194" s="317"/>
      <c r="E194" s="180"/>
      <c r="F194" s="316"/>
      <c r="G194" s="176"/>
      <c r="H194" s="176"/>
      <c r="I194" s="176"/>
      <c r="J194" s="176"/>
      <c r="K194" s="176"/>
      <c r="L194" s="123"/>
      <c r="M194" s="3159"/>
      <c r="N194" s="3159"/>
      <c r="O194" s="3159"/>
      <c r="P194" s="3159"/>
      <c r="Q194" s="1444"/>
      <c r="R194" s="176"/>
      <c r="S194" s="176"/>
      <c r="T194" s="176"/>
      <c r="U194" s="176"/>
      <c r="V194" s="1936" t="s">
        <v>45</v>
      </c>
      <c r="W194" s="2999">
        <v>43252</v>
      </c>
      <c r="X194" s="2999">
        <f>$X$6</f>
        <v>43465</v>
      </c>
      <c r="Y194" s="2999">
        <f>$Y$6</f>
        <v>43800</v>
      </c>
      <c r="Z194" s="2999">
        <f>$Z$6</f>
        <v>43862</v>
      </c>
      <c r="AA194" s="2999">
        <f>$AA$6</f>
        <v>44013</v>
      </c>
      <c r="AB194" s="2999">
        <f>$AB$6</f>
        <v>44166</v>
      </c>
      <c r="AC194" s="2999">
        <f>$AC$6</f>
        <v>44531</v>
      </c>
      <c r="AD194" s="2999" t="str">
        <f>$AD$6</f>
        <v>-</v>
      </c>
      <c r="AE194" s="2999" t="str">
        <f>$AE$6</f>
        <v>-</v>
      </c>
      <c r="AF194" s="2999" t="str">
        <f>$AF$6</f>
        <v>-</v>
      </c>
      <c r="AG194" s="2999" t="str">
        <f>$AG$6</f>
        <v>-</v>
      </c>
      <c r="AH194" s="250"/>
      <c r="AI194" s="1937">
        <v>43252</v>
      </c>
      <c r="AJ194" s="1937">
        <f>$Y$6</f>
        <v>43800</v>
      </c>
      <c r="AK194" s="1937">
        <f>$Y$6</f>
        <v>43800</v>
      </c>
      <c r="AL194" s="1937">
        <f>$Z$6</f>
        <v>43862</v>
      </c>
      <c r="AM194" s="1937">
        <f>$AA$6</f>
        <v>44013</v>
      </c>
      <c r="AN194" s="1937">
        <f>$AB$6</f>
        <v>44166</v>
      </c>
      <c r="AO194" s="1937">
        <f>$AC$6</f>
        <v>44531</v>
      </c>
      <c r="AP194" s="1937" t="str">
        <f>$AD$6</f>
        <v>-</v>
      </c>
      <c r="AQ194" s="1937" t="str">
        <f>$AE$6</f>
        <v>-</v>
      </c>
      <c r="AR194" s="1937" t="str">
        <f>$AF$6</f>
        <v>-</v>
      </c>
      <c r="AS194" s="1937" t="str">
        <f>$AG$6</f>
        <v>-</v>
      </c>
      <c r="AU194" s="164"/>
      <c r="BB194" s="171"/>
      <c r="BC194" s="97"/>
      <c r="BD194" s="97"/>
      <c r="BE194" s="97"/>
    </row>
    <row r="195" spans="1:57" s="55" customFormat="1" ht="30" hidden="1" outlineLevel="1" x14ac:dyDescent="0.25">
      <c r="A195" s="401"/>
      <c r="B195" s="401"/>
      <c r="C195" s="149"/>
      <c r="D195" s="3236" t="s">
        <v>109</v>
      </c>
      <c r="E195" s="3236" t="s">
        <v>110</v>
      </c>
      <c r="F195" s="2995" t="s">
        <v>345</v>
      </c>
      <c r="G195" s="3086" t="s">
        <v>346</v>
      </c>
      <c r="H195" s="3773" t="s">
        <v>187</v>
      </c>
      <c r="I195" s="3773"/>
      <c r="J195" s="3773" t="s">
        <v>113</v>
      </c>
      <c r="K195" s="3773"/>
      <c r="L195" s="401"/>
      <c r="M195" s="147"/>
      <c r="N195" s="147"/>
      <c r="O195" s="147"/>
      <c r="P195" s="147"/>
      <c r="Q195" s="1288"/>
      <c r="R195" s="401"/>
      <c r="S195" s="401"/>
      <c r="T195" s="401"/>
      <c r="U195" s="401"/>
      <c r="V195" s="56"/>
      <c r="W195" s="2182" t="s">
        <v>345</v>
      </c>
      <c r="X195" s="2182" t="s">
        <v>345</v>
      </c>
      <c r="Y195" s="2182" t="s">
        <v>345</v>
      </c>
      <c r="Z195" s="2182" t="s">
        <v>345</v>
      </c>
      <c r="AA195" s="2182" t="s">
        <v>345</v>
      </c>
      <c r="AB195" s="2182" t="s">
        <v>345</v>
      </c>
      <c r="AC195" s="2182" t="s">
        <v>345</v>
      </c>
      <c r="AD195" s="2182" t="s">
        <v>345</v>
      </c>
      <c r="AE195" s="2182" t="s">
        <v>345</v>
      </c>
      <c r="AF195" s="2182" t="s">
        <v>345</v>
      </c>
      <c r="AG195" s="2182" t="s">
        <v>345</v>
      </c>
      <c r="AH195" s="250"/>
      <c r="AI195" s="57" t="s">
        <v>347</v>
      </c>
      <c r="AJ195" s="57" t="s">
        <v>347</v>
      </c>
      <c r="AK195" s="57" t="s">
        <v>347</v>
      </c>
      <c r="AL195" s="57" t="s">
        <v>347</v>
      </c>
      <c r="AM195" s="57" t="s">
        <v>347</v>
      </c>
      <c r="AN195" s="57" t="s">
        <v>347</v>
      </c>
      <c r="AO195" s="57" t="s">
        <v>347</v>
      </c>
      <c r="AP195" s="57" t="s">
        <v>347</v>
      </c>
      <c r="AQ195" s="57" t="s">
        <v>347</v>
      </c>
      <c r="AR195" s="57" t="s">
        <v>347</v>
      </c>
      <c r="AS195" s="57" t="s">
        <v>347</v>
      </c>
      <c r="AT195" s="172"/>
      <c r="AU195" s="164"/>
      <c r="BB195" s="171"/>
      <c r="BC195" s="97"/>
      <c r="BD195" s="97"/>
      <c r="BE195" s="97"/>
    </row>
    <row r="196" spans="1:57" s="40" customFormat="1" hidden="1" outlineLevel="1" x14ac:dyDescent="0.25">
      <c r="A196" s="151"/>
      <c r="B196" s="151"/>
      <c r="C196" s="149"/>
      <c r="D196" s="3093" t="s">
        <v>348</v>
      </c>
      <c r="E196" s="3093" t="s">
        <v>349</v>
      </c>
      <c r="F196" s="2996"/>
      <c r="G196" s="2997">
        <v>22000</v>
      </c>
      <c r="H196" s="3789" t="s">
        <v>350</v>
      </c>
      <c r="I196" s="3789"/>
      <c r="J196" s="3091"/>
      <c r="K196" s="3091"/>
      <c r="L196" s="151"/>
      <c r="M196" s="1447"/>
      <c r="N196" s="1447"/>
      <c r="O196" s="1447"/>
      <c r="P196" s="1445"/>
      <c r="Q196" s="1446"/>
      <c r="R196" s="151"/>
      <c r="S196" s="151"/>
      <c r="T196" s="151"/>
      <c r="U196" s="151"/>
      <c r="V196" s="324" t="str">
        <f>D196</f>
        <v>Gallons</v>
      </c>
      <c r="W196" s="2996"/>
      <c r="X196" s="2996"/>
      <c r="Y196" s="2996"/>
      <c r="Z196" s="2996"/>
      <c r="AA196" s="2996"/>
      <c r="AB196" s="2996"/>
      <c r="AC196" s="2996"/>
      <c r="AD196" s="2996"/>
      <c r="AE196" s="2996"/>
      <c r="AF196" s="2996"/>
      <c r="AG196" s="2996"/>
      <c r="AH196" s="392"/>
      <c r="AI196" s="3579"/>
      <c r="AJ196" s="3579"/>
      <c r="AK196" s="3579"/>
      <c r="AL196" s="3579"/>
      <c r="AM196" s="3579"/>
      <c r="AN196" s="3580"/>
      <c r="AO196" s="2997">
        <v>22000</v>
      </c>
      <c r="AP196" s="216"/>
      <c r="AQ196" s="216"/>
      <c r="AR196" s="216"/>
      <c r="AS196" s="216"/>
      <c r="AT196" s="172"/>
      <c r="AU196" s="164"/>
      <c r="BB196" s="171"/>
      <c r="BC196" s="97"/>
      <c r="BD196" s="97"/>
      <c r="BE196" s="97"/>
    </row>
    <row r="197" spans="1:57" s="40" customFormat="1" hidden="1" outlineLevel="1" x14ac:dyDescent="0.25">
      <c r="A197" s="151"/>
      <c r="B197" s="151"/>
      <c r="C197" s="149"/>
      <c r="D197" s="3093" t="s">
        <v>351</v>
      </c>
      <c r="E197" s="3093" t="s">
        <v>352</v>
      </c>
      <c r="F197" s="2996"/>
      <c r="G197" s="2997">
        <v>2</v>
      </c>
      <c r="H197" s="3789" t="s">
        <v>350</v>
      </c>
      <c r="I197" s="3789"/>
      <c r="J197" s="3091"/>
      <c r="K197" s="3091"/>
      <c r="L197" s="151"/>
      <c r="M197" s="1447"/>
      <c r="N197" s="1447"/>
      <c r="O197" s="1447"/>
      <c r="P197" s="1445"/>
      <c r="Q197" s="1446"/>
      <c r="R197" s="151"/>
      <c r="S197" s="151"/>
      <c r="T197" s="151"/>
      <c r="U197" s="151"/>
      <c r="V197" s="324" t="str">
        <f>D197</f>
        <v>Turnovers</v>
      </c>
      <c r="W197" s="2996"/>
      <c r="X197" s="2996"/>
      <c r="Y197" s="2996"/>
      <c r="Z197" s="2996"/>
      <c r="AA197" s="2996"/>
      <c r="AB197" s="2996"/>
      <c r="AC197" s="2996"/>
      <c r="AD197" s="2996"/>
      <c r="AE197" s="2996"/>
      <c r="AF197" s="2996"/>
      <c r="AG197" s="2996"/>
      <c r="AH197" s="392"/>
      <c r="AI197" s="3579"/>
      <c r="AJ197" s="3579"/>
      <c r="AK197" s="3579"/>
      <c r="AL197" s="3579"/>
      <c r="AM197" s="3579"/>
      <c r="AN197" s="3580"/>
      <c r="AO197" s="2997">
        <v>2</v>
      </c>
      <c r="AP197" s="216"/>
      <c r="AQ197" s="216"/>
      <c r="AR197" s="216"/>
      <c r="AS197" s="216"/>
      <c r="AT197" s="172"/>
      <c r="AU197" s="164"/>
      <c r="BB197" s="171"/>
      <c r="BC197" s="97"/>
      <c r="BD197" s="97"/>
      <c r="BE197" s="97"/>
    </row>
    <row r="198" spans="1:57" s="40" customFormat="1" hidden="1" outlineLevel="1" x14ac:dyDescent="0.25">
      <c r="A198" s="151"/>
      <c r="B198" s="151"/>
      <c r="C198" s="149"/>
      <c r="D198" s="3093" t="s">
        <v>353</v>
      </c>
      <c r="E198" s="3093" t="s">
        <v>354</v>
      </c>
      <c r="F198" s="2996"/>
      <c r="G198" s="2998">
        <v>4.5999999999999996</v>
      </c>
      <c r="H198" s="3789" t="s">
        <v>355</v>
      </c>
      <c r="I198" s="3789"/>
      <c r="J198" s="3091"/>
      <c r="K198" s="3091"/>
      <c r="L198" s="151"/>
      <c r="M198" s="1447"/>
      <c r="N198" s="1447"/>
      <c r="O198" s="1447"/>
      <c r="P198" s="1445"/>
      <c r="Q198" s="1446"/>
      <c r="R198" s="151"/>
      <c r="S198" s="151"/>
      <c r="T198" s="151"/>
      <c r="U198" s="151"/>
      <c r="V198" s="324" t="str">
        <f>D198</f>
        <v>WEFbase</v>
      </c>
      <c r="W198" s="2996"/>
      <c r="X198" s="2996"/>
      <c r="Y198" s="2996"/>
      <c r="Z198" s="2996"/>
      <c r="AA198" s="2996"/>
      <c r="AB198" s="2996"/>
      <c r="AC198" s="2996"/>
      <c r="AD198" s="2996"/>
      <c r="AE198" s="2996"/>
      <c r="AF198" s="2996"/>
      <c r="AG198" s="2996"/>
      <c r="AH198" s="392"/>
      <c r="AI198" s="3579"/>
      <c r="AJ198" s="3579"/>
      <c r="AK198" s="3579"/>
      <c r="AL198" s="3579"/>
      <c r="AM198" s="3579"/>
      <c r="AN198" s="3580"/>
      <c r="AO198" s="2998">
        <v>4.5999999999999996</v>
      </c>
      <c r="AP198" s="216"/>
      <c r="AQ198" s="216"/>
      <c r="AR198" s="216"/>
      <c r="AS198" s="216"/>
      <c r="AT198" s="172"/>
      <c r="AU198" s="164"/>
      <c r="BB198" s="171"/>
      <c r="BC198" s="97"/>
      <c r="BD198" s="97"/>
      <c r="BE198" s="97"/>
    </row>
    <row r="199" spans="1:57" s="40" customFormat="1" hidden="1" outlineLevel="1" x14ac:dyDescent="0.25">
      <c r="A199" s="151"/>
      <c r="B199" s="151"/>
      <c r="C199" s="149"/>
      <c r="D199" s="3093" t="s">
        <v>356</v>
      </c>
      <c r="E199" s="3093" t="s">
        <v>357</v>
      </c>
      <c r="F199" s="2996"/>
      <c r="G199" s="2998">
        <v>6.31</v>
      </c>
      <c r="H199" s="3789" t="s">
        <v>358</v>
      </c>
      <c r="I199" s="3789"/>
      <c r="J199" s="3091"/>
      <c r="K199" s="3091"/>
      <c r="L199" s="151"/>
      <c r="M199" s="1447"/>
      <c r="N199" s="1447"/>
      <c r="O199" s="1447"/>
      <c r="P199" s="1445"/>
      <c r="Q199" s="1446"/>
      <c r="R199" s="151"/>
      <c r="S199" s="151"/>
      <c r="T199" s="151"/>
      <c r="U199" s="151"/>
      <c r="V199" s="324" t="str">
        <f>D199</f>
        <v>WEFee</v>
      </c>
      <c r="W199" s="2996"/>
      <c r="X199" s="2996"/>
      <c r="Y199" s="2996"/>
      <c r="Z199" s="2996"/>
      <c r="AA199" s="2996"/>
      <c r="AB199" s="2996"/>
      <c r="AC199" s="2996"/>
      <c r="AD199" s="2996"/>
      <c r="AE199" s="2996"/>
      <c r="AF199" s="2996"/>
      <c r="AG199" s="2996"/>
      <c r="AH199" s="392"/>
      <c r="AI199" s="3579"/>
      <c r="AJ199" s="3579"/>
      <c r="AK199" s="3579"/>
      <c r="AL199" s="3579"/>
      <c r="AM199" s="3579"/>
      <c r="AN199" s="3580"/>
      <c r="AO199" s="2998">
        <v>6.31</v>
      </c>
      <c r="AP199" s="216"/>
      <c r="AQ199" s="216"/>
      <c r="AR199" s="216"/>
      <c r="AS199" s="216"/>
      <c r="AT199" s="172"/>
      <c r="AU199" s="164"/>
      <c r="BB199" s="171"/>
      <c r="BC199" s="97"/>
      <c r="BD199" s="97"/>
      <c r="BE199" s="97"/>
    </row>
    <row r="200" spans="1:57" s="40" customFormat="1" hidden="1" outlineLevel="1" x14ac:dyDescent="0.25">
      <c r="A200" s="151"/>
      <c r="B200" s="151"/>
      <c r="C200" s="149"/>
      <c r="D200" s="3093" t="s">
        <v>359</v>
      </c>
      <c r="E200" s="3093" t="s">
        <v>360</v>
      </c>
      <c r="F200" s="2996"/>
      <c r="G200" s="2998">
        <v>2.2999999999999998</v>
      </c>
      <c r="H200" s="3789" t="s">
        <v>361</v>
      </c>
      <c r="I200" s="3789"/>
      <c r="J200" s="3091"/>
      <c r="K200" s="3091"/>
      <c r="L200" s="151"/>
      <c r="M200" s="1447"/>
      <c r="N200" s="1447"/>
      <c r="O200" s="1447"/>
      <c r="P200" s="1445"/>
      <c r="Q200" s="1446"/>
      <c r="R200" s="151"/>
      <c r="S200" s="151"/>
      <c r="T200" s="151"/>
      <c r="U200" s="151"/>
      <c r="V200" s="324" t="str">
        <f>D200</f>
        <v>EFexist</v>
      </c>
      <c r="W200" s="2996"/>
      <c r="X200" s="2996"/>
      <c r="Y200" s="2996"/>
      <c r="Z200" s="2996"/>
      <c r="AA200" s="2996"/>
      <c r="AB200" s="2996"/>
      <c r="AC200" s="2996"/>
      <c r="AD200" s="2996"/>
      <c r="AE200" s="2996"/>
      <c r="AF200" s="2996"/>
      <c r="AG200" s="2996"/>
      <c r="AH200" s="392"/>
      <c r="AI200" s="3579"/>
      <c r="AJ200" s="3579"/>
      <c r="AK200" s="3579"/>
      <c r="AL200" s="3579"/>
      <c r="AM200" s="3579"/>
      <c r="AN200" s="3580"/>
      <c r="AO200" s="2998">
        <v>2.2999999999999998</v>
      </c>
      <c r="AP200" s="216"/>
      <c r="AQ200" s="216"/>
      <c r="AR200" s="216"/>
      <c r="AS200" s="216"/>
      <c r="AT200" s="172"/>
      <c r="AU200" s="164"/>
      <c r="BB200" s="171"/>
      <c r="BC200" s="97"/>
      <c r="BD200" s="97"/>
      <c r="BE200" s="97"/>
    </row>
    <row r="201" spans="1:57" ht="18" hidden="1" outlineLevel="1" x14ac:dyDescent="0.25">
      <c r="D201" s="3091" t="s">
        <v>362</v>
      </c>
      <c r="E201" s="3091" t="s">
        <v>363</v>
      </c>
      <c r="F201" s="2994">
        <v>121.6</v>
      </c>
      <c r="G201" s="319">
        <v>121.6</v>
      </c>
      <c r="H201" s="3789" t="s">
        <v>364</v>
      </c>
      <c r="I201" s="3789"/>
      <c r="J201" s="3801" t="s">
        <v>195</v>
      </c>
      <c r="K201" s="3801"/>
      <c r="M201" s="1445"/>
      <c r="N201" s="1445"/>
      <c r="O201" s="1445"/>
      <c r="P201" s="1445"/>
      <c r="Q201" s="1446"/>
      <c r="V201" s="324" t="str">
        <f t="shared" ref="V201:V213" si="9">D201</f>
        <v>Daysoper</v>
      </c>
      <c r="W201" s="2994">
        <v>121.6</v>
      </c>
      <c r="X201" s="2994">
        <v>121.6</v>
      </c>
      <c r="Y201" s="3000">
        <v>121.6</v>
      </c>
      <c r="Z201" s="3000">
        <v>121.6</v>
      </c>
      <c r="AA201" s="3000">
        <v>121.6</v>
      </c>
      <c r="AB201" s="2994">
        <v>121.6</v>
      </c>
      <c r="AC201" s="2994"/>
      <c r="AD201" s="2994"/>
      <c r="AE201" s="2994"/>
      <c r="AF201" s="2994"/>
      <c r="AG201" s="2994"/>
      <c r="AH201" s="2033"/>
      <c r="AI201" s="322">
        <v>121.6</v>
      </c>
      <c r="AJ201" s="322">
        <v>121.6</v>
      </c>
      <c r="AK201" s="198">
        <v>121.6</v>
      </c>
      <c r="AL201" s="198">
        <v>121.6</v>
      </c>
      <c r="AM201" s="198">
        <v>121.6</v>
      </c>
      <c r="AN201" s="319">
        <v>121.6</v>
      </c>
      <c r="AO201" s="322">
        <f>G201</f>
        <v>121.6</v>
      </c>
      <c r="AP201" s="322"/>
      <c r="AQ201" s="322"/>
      <c r="AR201" s="322"/>
      <c r="AS201" s="322"/>
      <c r="AT201" s="172"/>
      <c r="AU201" s="164"/>
    </row>
    <row r="202" spans="1:57" ht="18" hidden="1" outlineLevel="1" x14ac:dyDescent="0.25">
      <c r="D202" s="3094" t="s">
        <v>365</v>
      </c>
      <c r="E202" s="3094" t="s">
        <v>366</v>
      </c>
      <c r="F202" s="2994">
        <v>11.4</v>
      </c>
      <c r="G202" s="2994">
        <v>11.4</v>
      </c>
      <c r="H202" s="3798" t="s">
        <v>367</v>
      </c>
      <c r="I202" s="3798"/>
      <c r="J202" s="3801" t="s">
        <v>195</v>
      </c>
      <c r="K202" s="3801"/>
      <c r="M202" s="1445"/>
      <c r="N202" s="1445"/>
      <c r="O202" s="1445"/>
      <c r="P202" s="1445"/>
      <c r="Q202" s="1446"/>
      <c r="V202" s="324" t="str">
        <f t="shared" si="9"/>
        <v>RTss</v>
      </c>
      <c r="W202" s="2994">
        <v>11.4</v>
      </c>
      <c r="X202" s="2994">
        <v>11.4</v>
      </c>
      <c r="Y202" s="2994">
        <v>11.4</v>
      </c>
      <c r="Z202" s="2994">
        <v>11.4</v>
      </c>
      <c r="AA202" s="2994">
        <v>11.4</v>
      </c>
      <c r="AB202" s="2994">
        <v>11.4</v>
      </c>
      <c r="AC202" s="2994"/>
      <c r="AD202" s="2994"/>
      <c r="AE202" s="2994"/>
      <c r="AF202" s="2994"/>
      <c r="AG202" s="2994"/>
      <c r="AH202" s="2033"/>
      <c r="AI202" s="322">
        <v>11.4</v>
      </c>
      <c r="AJ202" s="322">
        <v>11.4</v>
      </c>
      <c r="AK202" s="322">
        <v>11.4</v>
      </c>
      <c r="AL202" s="322">
        <v>11.4</v>
      </c>
      <c r="AM202" s="322">
        <v>11.4</v>
      </c>
      <c r="AN202" s="319">
        <v>11.4</v>
      </c>
      <c r="AO202" s="322"/>
      <c r="AP202" s="322"/>
      <c r="AQ202" s="322"/>
      <c r="AR202" s="322"/>
      <c r="AS202" s="322"/>
      <c r="AT202" s="172"/>
      <c r="AU202" s="164"/>
    </row>
    <row r="203" spans="1:57" ht="18" hidden="1" outlineLevel="1" x14ac:dyDescent="0.25">
      <c r="D203" s="3094" t="s">
        <v>368</v>
      </c>
      <c r="E203" s="3094" t="s">
        <v>369</v>
      </c>
      <c r="F203" s="2994">
        <v>9.8000000000000007</v>
      </c>
      <c r="G203" s="2994">
        <v>10</v>
      </c>
      <c r="H203" s="3798" t="s">
        <v>367</v>
      </c>
      <c r="I203" s="3798"/>
      <c r="J203" s="3801" t="s">
        <v>195</v>
      </c>
      <c r="K203" s="3801"/>
      <c r="M203" s="1445"/>
      <c r="N203" s="1445"/>
      <c r="O203" s="1445"/>
      <c r="P203" s="1445"/>
      <c r="Q203" s="1446"/>
      <c r="V203" s="324" t="str">
        <f t="shared" si="9"/>
        <v>RTls</v>
      </c>
      <c r="W203" s="2994">
        <v>9.8000000000000007</v>
      </c>
      <c r="X203" s="2994">
        <v>9.8000000000000007</v>
      </c>
      <c r="Y203" s="2994">
        <v>9.8000000000000007</v>
      </c>
      <c r="Z203" s="2994">
        <v>9.8000000000000007</v>
      </c>
      <c r="AA203" s="2994">
        <v>9.8000000000000007</v>
      </c>
      <c r="AB203" s="2994">
        <v>9.8000000000000007</v>
      </c>
      <c r="AC203" s="2994"/>
      <c r="AD203" s="2994"/>
      <c r="AE203" s="2994"/>
      <c r="AF203" s="2994"/>
      <c r="AG203" s="2994"/>
      <c r="AH203" s="2033"/>
      <c r="AI203" s="322">
        <v>10</v>
      </c>
      <c r="AJ203" s="322">
        <v>10</v>
      </c>
      <c r="AK203" s="322">
        <v>10</v>
      </c>
      <c r="AL203" s="322">
        <v>10</v>
      </c>
      <c r="AM203" s="322">
        <v>10</v>
      </c>
      <c r="AN203" s="319">
        <v>10</v>
      </c>
      <c r="AO203" s="322"/>
      <c r="AP203" s="322"/>
      <c r="AQ203" s="322"/>
      <c r="AR203" s="322"/>
      <c r="AS203" s="322"/>
      <c r="AT203" s="172"/>
      <c r="AU203" s="164"/>
    </row>
    <row r="204" spans="1:57" ht="18" hidden="1" outlineLevel="1" x14ac:dyDescent="0.25">
      <c r="D204" s="3094" t="s">
        <v>370</v>
      </c>
      <c r="E204" s="3094" t="s">
        <v>371</v>
      </c>
      <c r="F204" s="2994">
        <v>2</v>
      </c>
      <c r="G204" s="2994">
        <v>2</v>
      </c>
      <c r="H204" s="3798" t="s">
        <v>367</v>
      </c>
      <c r="I204" s="3798"/>
      <c r="J204" s="3801" t="s">
        <v>195</v>
      </c>
      <c r="K204" s="3801"/>
      <c r="M204" s="1445"/>
      <c r="N204" s="1445"/>
      <c r="O204" s="1445"/>
      <c r="P204" s="1445"/>
      <c r="Q204" s="1446"/>
      <c r="V204" s="324" t="str">
        <f t="shared" si="9"/>
        <v>RThs</v>
      </c>
      <c r="W204" s="2994">
        <v>2</v>
      </c>
      <c r="X204" s="2994">
        <v>2</v>
      </c>
      <c r="Y204" s="3000">
        <v>2</v>
      </c>
      <c r="Z204" s="3000">
        <v>2</v>
      </c>
      <c r="AA204" s="3000">
        <v>2</v>
      </c>
      <c r="AB204" s="2994">
        <v>2</v>
      </c>
      <c r="AC204" s="2994"/>
      <c r="AD204" s="2994"/>
      <c r="AE204" s="2994"/>
      <c r="AF204" s="2994"/>
      <c r="AG204" s="2994"/>
      <c r="AH204" s="392"/>
      <c r="AI204" s="322">
        <v>2</v>
      </c>
      <c r="AJ204" s="322">
        <v>2</v>
      </c>
      <c r="AK204" s="198">
        <v>2</v>
      </c>
      <c r="AL204" s="198">
        <v>2</v>
      </c>
      <c r="AM204" s="198">
        <v>2</v>
      </c>
      <c r="AN204" s="319">
        <v>2</v>
      </c>
      <c r="AO204" s="322"/>
      <c r="AP204" s="322"/>
      <c r="AQ204" s="322"/>
      <c r="AR204" s="322"/>
      <c r="AS204" s="322"/>
      <c r="AT204" s="172"/>
      <c r="AU204" s="164"/>
    </row>
    <row r="205" spans="1:57" ht="18" hidden="1" outlineLevel="1" x14ac:dyDescent="0.25">
      <c r="D205" s="3094" t="s">
        <v>372</v>
      </c>
      <c r="E205" s="3094" t="s">
        <v>373</v>
      </c>
      <c r="F205" s="2994">
        <v>64.400000000000006</v>
      </c>
      <c r="G205" s="2994">
        <v>64.400000000000006</v>
      </c>
      <c r="H205" s="3798" t="s">
        <v>367</v>
      </c>
      <c r="I205" s="3798"/>
      <c r="J205" s="3801" t="s">
        <v>195</v>
      </c>
      <c r="K205" s="3801"/>
      <c r="M205" s="1445"/>
      <c r="N205" s="1445"/>
      <c r="O205" s="1445"/>
      <c r="P205" s="1445"/>
      <c r="Q205" s="1446"/>
      <c r="V205" s="324" t="str">
        <f t="shared" si="9"/>
        <v>GPMss</v>
      </c>
      <c r="W205" s="2994">
        <v>64.400000000000006</v>
      </c>
      <c r="X205" s="2994">
        <v>64.400000000000006</v>
      </c>
      <c r="Y205" s="3000">
        <v>64.400000000000006</v>
      </c>
      <c r="Z205" s="3000">
        <v>64.400000000000006</v>
      </c>
      <c r="AA205" s="3000">
        <v>64.400000000000006</v>
      </c>
      <c r="AB205" s="2994">
        <v>64.400000000000006</v>
      </c>
      <c r="AC205" s="2994"/>
      <c r="AD205" s="2994"/>
      <c r="AE205" s="2994"/>
      <c r="AF205" s="2994"/>
      <c r="AG205" s="2994"/>
      <c r="AH205" s="392"/>
      <c r="AI205" s="322">
        <v>64.400000000000006</v>
      </c>
      <c r="AJ205" s="322">
        <v>64.400000000000006</v>
      </c>
      <c r="AK205" s="198">
        <v>64.400000000000006</v>
      </c>
      <c r="AL205" s="198">
        <v>64.400000000000006</v>
      </c>
      <c r="AM205" s="198">
        <v>64.400000000000006</v>
      </c>
      <c r="AN205" s="319">
        <v>64.400000000000006</v>
      </c>
      <c r="AO205" s="322"/>
      <c r="AP205" s="322"/>
      <c r="AQ205" s="322"/>
      <c r="AR205" s="322"/>
      <c r="AS205" s="322"/>
      <c r="AT205" s="172"/>
      <c r="AU205" s="164"/>
    </row>
    <row r="206" spans="1:57" ht="18" hidden="1" outlineLevel="1" x14ac:dyDescent="0.25">
      <c r="D206" s="3094" t="s">
        <v>374</v>
      </c>
      <c r="E206" s="3094" t="s">
        <v>375</v>
      </c>
      <c r="F206" s="2994">
        <v>31</v>
      </c>
      <c r="G206" s="2994">
        <v>30.6</v>
      </c>
      <c r="H206" s="3798" t="s">
        <v>367</v>
      </c>
      <c r="I206" s="3798"/>
      <c r="J206" s="3801" t="s">
        <v>195</v>
      </c>
      <c r="K206" s="3801"/>
      <c r="M206" s="1445"/>
      <c r="N206" s="1445"/>
      <c r="O206" s="1445"/>
      <c r="P206" s="1445"/>
      <c r="Q206" s="1446"/>
      <c r="V206" s="324" t="str">
        <f t="shared" si="9"/>
        <v>GPMls</v>
      </c>
      <c r="W206" s="2994">
        <v>31</v>
      </c>
      <c r="X206" s="2994">
        <v>31</v>
      </c>
      <c r="Y206" s="3000">
        <v>31</v>
      </c>
      <c r="Z206" s="3000">
        <v>31</v>
      </c>
      <c r="AA206" s="3000">
        <v>31</v>
      </c>
      <c r="AB206" s="2994">
        <v>31</v>
      </c>
      <c r="AC206" s="2994"/>
      <c r="AD206" s="2994"/>
      <c r="AE206" s="2994"/>
      <c r="AF206" s="2994"/>
      <c r="AG206" s="2994"/>
      <c r="AH206" s="392"/>
      <c r="AI206" s="322">
        <v>30.6</v>
      </c>
      <c r="AJ206" s="322">
        <v>30.6</v>
      </c>
      <c r="AK206" s="198">
        <v>30.6</v>
      </c>
      <c r="AL206" s="198">
        <v>30.6</v>
      </c>
      <c r="AM206" s="198">
        <v>30.6</v>
      </c>
      <c r="AN206" s="319">
        <v>30.6</v>
      </c>
      <c r="AO206" s="322"/>
      <c r="AP206" s="322"/>
      <c r="AQ206" s="322"/>
      <c r="AR206" s="322"/>
      <c r="AS206" s="322"/>
      <c r="AT206" s="172"/>
      <c r="AU206" s="164"/>
    </row>
    <row r="207" spans="1:57" ht="18" hidden="1" outlineLevel="1" x14ac:dyDescent="0.25">
      <c r="D207" s="3094" t="s">
        <v>376</v>
      </c>
      <c r="E207" s="3094" t="s">
        <v>377</v>
      </c>
      <c r="F207" s="2994">
        <v>56</v>
      </c>
      <c r="G207" s="2994">
        <v>50</v>
      </c>
      <c r="H207" s="3798" t="s">
        <v>367</v>
      </c>
      <c r="I207" s="3798"/>
      <c r="J207" s="3801" t="s">
        <v>195</v>
      </c>
      <c r="K207" s="3801"/>
      <c r="M207" s="1445"/>
      <c r="N207" s="1445"/>
      <c r="O207" s="1445"/>
      <c r="P207" s="1445"/>
      <c r="Q207" s="1446"/>
      <c r="V207" s="324" t="str">
        <f t="shared" si="9"/>
        <v>GPMhs</v>
      </c>
      <c r="W207" s="2994">
        <v>56</v>
      </c>
      <c r="X207" s="2994">
        <v>56</v>
      </c>
      <c r="Y207" s="3000">
        <v>56</v>
      </c>
      <c r="Z207" s="3000">
        <v>56</v>
      </c>
      <c r="AA207" s="3000">
        <v>56</v>
      </c>
      <c r="AB207" s="2994">
        <v>56</v>
      </c>
      <c r="AC207" s="2994"/>
      <c r="AD207" s="2994"/>
      <c r="AE207" s="2994"/>
      <c r="AF207" s="2994"/>
      <c r="AG207" s="2994"/>
      <c r="AH207" s="392"/>
      <c r="AI207" s="322">
        <v>50</v>
      </c>
      <c r="AJ207" s="322">
        <v>50</v>
      </c>
      <c r="AK207" s="198">
        <v>50</v>
      </c>
      <c r="AL207" s="198">
        <v>50</v>
      </c>
      <c r="AM207" s="198">
        <v>50</v>
      </c>
      <c r="AN207" s="319">
        <v>50</v>
      </c>
      <c r="AO207" s="322"/>
      <c r="AP207" s="322"/>
      <c r="AQ207" s="322"/>
      <c r="AR207" s="322"/>
      <c r="AS207" s="322"/>
      <c r="AT207" s="172"/>
      <c r="AU207" s="164"/>
    </row>
    <row r="208" spans="1:57" hidden="1" outlineLevel="1" x14ac:dyDescent="0.25">
      <c r="D208" s="3094" t="s">
        <v>378</v>
      </c>
      <c r="E208" s="3094" t="s">
        <v>379</v>
      </c>
      <c r="F208" s="2994">
        <v>2.1</v>
      </c>
      <c r="G208" s="2994">
        <v>2.1</v>
      </c>
      <c r="H208" s="3798" t="s">
        <v>367</v>
      </c>
      <c r="I208" s="3798"/>
      <c r="J208" s="3801" t="s">
        <v>195</v>
      </c>
      <c r="K208" s="3801"/>
      <c r="M208" s="1445"/>
      <c r="N208" s="1445"/>
      <c r="O208" s="1445"/>
      <c r="P208" s="1445"/>
      <c r="Q208" s="1446"/>
      <c r="V208" s="324" t="str">
        <f t="shared" si="9"/>
        <v>Efss</v>
      </c>
      <c r="W208" s="2994">
        <v>2.1</v>
      </c>
      <c r="X208" s="2994">
        <v>2.1</v>
      </c>
      <c r="Y208" s="3000">
        <v>2.1</v>
      </c>
      <c r="Z208" s="3000">
        <v>2.1</v>
      </c>
      <c r="AA208" s="3000">
        <v>2.1</v>
      </c>
      <c r="AB208" s="2994">
        <v>2.1</v>
      </c>
      <c r="AC208" s="2994"/>
      <c r="AD208" s="2994"/>
      <c r="AE208" s="2994"/>
      <c r="AF208" s="2994"/>
      <c r="AG208" s="2994"/>
      <c r="AH208" s="392"/>
      <c r="AI208" s="322">
        <v>2.1</v>
      </c>
      <c r="AJ208" s="322">
        <v>2.1</v>
      </c>
      <c r="AK208" s="198">
        <v>2.1</v>
      </c>
      <c r="AL208" s="198">
        <v>2.1</v>
      </c>
      <c r="AM208" s="198">
        <v>2.1</v>
      </c>
      <c r="AN208" s="319">
        <v>2.1</v>
      </c>
      <c r="AO208" s="322"/>
      <c r="AP208" s="322"/>
      <c r="AQ208" s="322"/>
      <c r="AR208" s="322"/>
      <c r="AS208" s="322"/>
      <c r="AT208" s="172"/>
      <c r="AU208" s="164"/>
    </row>
    <row r="209" spans="1:57" ht="30" hidden="1" outlineLevel="1" x14ac:dyDescent="0.25">
      <c r="D209" s="3094" t="s">
        <v>380</v>
      </c>
      <c r="E209" s="3094" t="s">
        <v>381</v>
      </c>
      <c r="F209" s="2994">
        <v>5.4</v>
      </c>
      <c r="G209" s="2994">
        <v>7.3</v>
      </c>
      <c r="H209" s="3798" t="s">
        <v>367</v>
      </c>
      <c r="I209" s="3798"/>
      <c r="J209" s="3798" t="s">
        <v>195</v>
      </c>
      <c r="K209" s="3798"/>
      <c r="M209" s="1445"/>
      <c r="N209" s="1445"/>
      <c r="O209" s="1445"/>
      <c r="P209" s="1445"/>
      <c r="Q209" s="1446"/>
      <c r="V209" s="324" t="str">
        <f t="shared" si="9"/>
        <v>Efls</v>
      </c>
      <c r="W209" s="2994">
        <v>5.4</v>
      </c>
      <c r="X209" s="2994">
        <v>5.4</v>
      </c>
      <c r="Y209" s="3000">
        <v>5.4</v>
      </c>
      <c r="Z209" s="3000">
        <v>5.4</v>
      </c>
      <c r="AA209" s="3000">
        <v>5.4</v>
      </c>
      <c r="AB209" s="2994">
        <v>5.4</v>
      </c>
      <c r="AC209" s="2994"/>
      <c r="AD209" s="2994"/>
      <c r="AE209" s="2994"/>
      <c r="AF209" s="2994"/>
      <c r="AG209" s="2994"/>
      <c r="AH209" s="392"/>
      <c r="AI209" s="322">
        <v>7.3</v>
      </c>
      <c r="AJ209" s="322">
        <v>7.3</v>
      </c>
      <c r="AK209" s="198">
        <v>7.3</v>
      </c>
      <c r="AL209" s="198">
        <v>7.3</v>
      </c>
      <c r="AM209" s="198">
        <v>7.3</v>
      </c>
      <c r="AN209" s="319">
        <v>7.3</v>
      </c>
      <c r="AO209" s="322"/>
      <c r="AP209" s="322"/>
      <c r="AQ209" s="322"/>
      <c r="AR209" s="322"/>
      <c r="AS209" s="322"/>
      <c r="AT209" s="172"/>
      <c r="AU209" s="164"/>
    </row>
    <row r="210" spans="1:57" ht="30" hidden="1" outlineLevel="1" x14ac:dyDescent="0.25">
      <c r="D210" s="3094" t="s">
        <v>382</v>
      </c>
      <c r="E210" s="3094" t="s">
        <v>383</v>
      </c>
      <c r="F210" s="2994">
        <v>2.4</v>
      </c>
      <c r="G210" s="2994">
        <v>3.8</v>
      </c>
      <c r="H210" s="3798" t="s">
        <v>367</v>
      </c>
      <c r="I210" s="3798"/>
      <c r="J210" s="3798" t="s">
        <v>195</v>
      </c>
      <c r="K210" s="3798"/>
      <c r="M210" s="1445"/>
      <c r="N210" s="1445"/>
      <c r="O210" s="1445"/>
      <c r="P210" s="1445"/>
      <c r="Q210" s="1446"/>
      <c r="V210" s="324" t="str">
        <f t="shared" si="9"/>
        <v>Efhs</v>
      </c>
      <c r="W210" s="2994">
        <v>2.4</v>
      </c>
      <c r="X210" s="2994">
        <v>2.4</v>
      </c>
      <c r="Y210" s="3000">
        <v>2.4</v>
      </c>
      <c r="Z210" s="3000">
        <v>2.4</v>
      </c>
      <c r="AA210" s="3000">
        <v>2.4</v>
      </c>
      <c r="AB210" s="2994">
        <v>2.4</v>
      </c>
      <c r="AC210" s="2994"/>
      <c r="AD210" s="2994"/>
      <c r="AE210" s="2994"/>
      <c r="AF210" s="2994"/>
      <c r="AG210" s="2994"/>
      <c r="AH210" s="392"/>
      <c r="AI210" s="322">
        <v>3.8</v>
      </c>
      <c r="AJ210" s="322">
        <v>3.8</v>
      </c>
      <c r="AK210" s="198">
        <v>3.8</v>
      </c>
      <c r="AL210" s="198">
        <v>3.8</v>
      </c>
      <c r="AM210" s="198">
        <v>3.8</v>
      </c>
      <c r="AN210" s="319">
        <v>3.8</v>
      </c>
      <c r="AO210" s="322"/>
      <c r="AP210" s="322"/>
      <c r="AQ210" s="322"/>
      <c r="AR210" s="322"/>
      <c r="AS210" s="322"/>
      <c r="AT210" s="172"/>
      <c r="AU210" s="164"/>
    </row>
    <row r="211" spans="1:57" s="40" customFormat="1" ht="45" hidden="1" customHeight="1" outlineLevel="1" x14ac:dyDescent="0.25">
      <c r="A211" s="151"/>
      <c r="B211" s="151"/>
      <c r="C211" s="149"/>
      <c r="D211" s="3091" t="s">
        <v>133</v>
      </c>
      <c r="E211" s="3091" t="s">
        <v>252</v>
      </c>
      <c r="F211" s="2996">
        <v>1</v>
      </c>
      <c r="G211" s="323">
        <v>1</v>
      </c>
      <c r="H211" s="3785" t="s">
        <v>253</v>
      </c>
      <c r="I211" s="3785"/>
      <c r="J211" s="3785" t="s">
        <v>195</v>
      </c>
      <c r="K211" s="3785"/>
      <c r="L211" s="151"/>
      <c r="M211" s="1447"/>
      <c r="N211" s="1447"/>
      <c r="O211" s="1447"/>
      <c r="P211" s="1445"/>
      <c r="Q211" s="1446"/>
      <c r="R211" s="151"/>
      <c r="S211" s="151"/>
      <c r="T211" s="151"/>
      <c r="U211" s="151"/>
      <c r="V211" s="324" t="str">
        <f t="shared" si="9"/>
        <v>ISR</v>
      </c>
      <c r="W211" s="2996">
        <v>1</v>
      </c>
      <c r="X211" s="2996">
        <v>1</v>
      </c>
      <c r="Y211" s="2996">
        <v>1</v>
      </c>
      <c r="Z211" s="2996">
        <v>1</v>
      </c>
      <c r="AA211" s="2996">
        <v>1</v>
      </c>
      <c r="AB211" s="2996">
        <v>1</v>
      </c>
      <c r="AC211" s="2996"/>
      <c r="AD211" s="2996"/>
      <c r="AE211" s="2996"/>
      <c r="AF211" s="2996"/>
      <c r="AG211" s="2996"/>
      <c r="AH211" s="392"/>
      <c r="AI211" s="216">
        <v>1</v>
      </c>
      <c r="AJ211" s="216">
        <v>1</v>
      </c>
      <c r="AK211" s="216">
        <v>1</v>
      </c>
      <c r="AL211" s="216">
        <v>1</v>
      </c>
      <c r="AM211" s="216">
        <v>1</v>
      </c>
      <c r="AN211" s="323">
        <v>1</v>
      </c>
      <c r="AO211" s="323">
        <v>1</v>
      </c>
      <c r="AP211" s="216"/>
      <c r="AQ211" s="216"/>
      <c r="AR211" s="216"/>
      <c r="AS211" s="216"/>
      <c r="AT211" s="172"/>
      <c r="AU211" s="164"/>
      <c r="BB211" s="171"/>
      <c r="BC211" s="97"/>
      <c r="BD211" s="97"/>
      <c r="BE211" s="97"/>
    </row>
    <row r="212" spans="1:57" s="40" customFormat="1" hidden="1" outlineLevel="1" x14ac:dyDescent="0.25">
      <c r="A212" s="151"/>
      <c r="B212" s="151"/>
      <c r="C212" s="149"/>
      <c r="D212" s="304" t="str">
        <f>$D$50</f>
        <v>EUL</v>
      </c>
      <c r="E212" s="304" t="str">
        <f>$E$50</f>
        <v>Effective Useful Life</v>
      </c>
      <c r="F212" s="2990">
        <v>10</v>
      </c>
      <c r="G212" s="325">
        <v>10</v>
      </c>
      <c r="H212" s="3785"/>
      <c r="I212" s="3785"/>
      <c r="J212" s="3785" t="s">
        <v>185</v>
      </c>
      <c r="K212" s="3785"/>
      <c r="L212" s="223"/>
      <c r="M212" s="1447"/>
      <c r="N212" s="1447"/>
      <c r="O212" s="1447"/>
      <c r="P212" s="1445"/>
      <c r="Q212" s="1446"/>
      <c r="R212" s="151"/>
      <c r="S212" s="151"/>
      <c r="T212" s="151"/>
      <c r="U212" s="151"/>
      <c r="V212" s="326" t="str">
        <f t="shared" si="9"/>
        <v>EUL</v>
      </c>
      <c r="W212" s="3001">
        <v>10</v>
      </c>
      <c r="X212" s="3001">
        <v>10</v>
      </c>
      <c r="Y212" s="3001">
        <v>10</v>
      </c>
      <c r="Z212" s="2990">
        <v>10</v>
      </c>
      <c r="AA212" s="2990">
        <v>10</v>
      </c>
      <c r="AB212" s="2990">
        <v>10</v>
      </c>
      <c r="AC212" s="2990"/>
      <c r="AD212" s="2990"/>
      <c r="AE212" s="2990"/>
      <c r="AF212" s="2990"/>
      <c r="AG212" s="2990"/>
      <c r="AH212" s="392"/>
      <c r="AI212" s="2131">
        <v>10</v>
      </c>
      <c r="AJ212" s="2131">
        <v>10</v>
      </c>
      <c r="AK212" s="2131">
        <v>10</v>
      </c>
      <c r="AL212" s="2131">
        <v>10</v>
      </c>
      <c r="AM212" s="2131">
        <v>10</v>
      </c>
      <c r="AN212" s="325">
        <v>10</v>
      </c>
      <c r="AO212" s="322">
        <f t="shared" ref="AO212:AO214" si="10">G212</f>
        <v>10</v>
      </c>
      <c r="AP212" s="2131"/>
      <c r="AQ212" s="217"/>
      <c r="AR212" s="217"/>
      <c r="AS212" s="217"/>
      <c r="AT212" s="172"/>
      <c r="AU212" s="164"/>
      <c r="BB212" s="171"/>
      <c r="BC212" s="97"/>
      <c r="BD212" s="97"/>
      <c r="BE212" s="97"/>
    </row>
    <row r="213" spans="1:57" s="40" customFormat="1" hidden="1" outlineLevel="1" x14ac:dyDescent="0.25">
      <c r="A213" s="151"/>
      <c r="B213" s="151"/>
      <c r="C213" s="149"/>
      <c r="D213" s="3796" t="str">
        <f>$D$51</f>
        <v>Inc. Cost</v>
      </c>
      <c r="E213" s="3796" t="str">
        <f>$E$51</f>
        <v>Incremental Cost ($)</v>
      </c>
      <c r="F213" s="2991">
        <v>235</v>
      </c>
      <c r="G213" s="2145">
        <v>314</v>
      </c>
      <c r="H213" s="3789" t="s">
        <v>384</v>
      </c>
      <c r="I213" s="3789"/>
      <c r="J213" s="3785" t="s">
        <v>185</v>
      </c>
      <c r="K213" s="3785"/>
      <c r="L213" s="223"/>
      <c r="M213" s="1447"/>
      <c r="N213" s="1447"/>
      <c r="O213" s="1447"/>
      <c r="P213" s="1445"/>
      <c r="Q213" s="1446"/>
      <c r="R213" s="151"/>
      <c r="S213" s="151"/>
      <c r="T213" s="151"/>
      <c r="U213" s="151"/>
      <c r="V213" s="3799" t="str">
        <f t="shared" si="9"/>
        <v>Inc. Cost</v>
      </c>
      <c r="W213" s="3002">
        <v>235</v>
      </c>
      <c r="X213" s="3002">
        <v>235</v>
      </c>
      <c r="Y213" s="3002">
        <v>235</v>
      </c>
      <c r="Z213" s="2991">
        <v>235</v>
      </c>
      <c r="AA213" s="2991">
        <v>235</v>
      </c>
      <c r="AB213" s="2991">
        <v>235</v>
      </c>
      <c r="AC213" s="2991"/>
      <c r="AD213" s="2991"/>
      <c r="AE213" s="2991"/>
      <c r="AF213" s="2991"/>
      <c r="AG213" s="2991"/>
      <c r="AH213" s="392"/>
      <c r="AI213" s="2146">
        <v>549</v>
      </c>
      <c r="AJ213" s="2146">
        <v>549</v>
      </c>
      <c r="AK213" s="2146">
        <v>549</v>
      </c>
      <c r="AL213" s="2146">
        <v>549</v>
      </c>
      <c r="AM213" s="2146">
        <v>549</v>
      </c>
      <c r="AN213" s="306">
        <v>549</v>
      </c>
      <c r="AO213" s="2145">
        <f t="shared" si="10"/>
        <v>314</v>
      </c>
      <c r="AP213" s="2146"/>
      <c r="AQ213" s="327"/>
      <c r="AR213" s="327"/>
      <c r="AS213" s="327"/>
      <c r="AT213" s="172"/>
      <c r="AU213" s="164"/>
      <c r="BB213" s="171"/>
      <c r="BC213" s="97"/>
      <c r="BD213" s="97"/>
      <c r="BE213" s="97"/>
    </row>
    <row r="214" spans="1:57" s="40" customFormat="1" hidden="1" outlineLevel="1" x14ac:dyDescent="0.25">
      <c r="A214" s="151"/>
      <c r="B214" s="151"/>
      <c r="C214" s="149"/>
      <c r="D214" s="3797"/>
      <c r="E214" s="3797"/>
      <c r="F214" s="2991">
        <v>235</v>
      </c>
      <c r="G214" s="2145">
        <v>549</v>
      </c>
      <c r="H214" s="3789" t="s">
        <v>4383</v>
      </c>
      <c r="I214" s="3789"/>
      <c r="J214" s="3785" t="s">
        <v>185</v>
      </c>
      <c r="K214" s="3785"/>
      <c r="L214" s="223"/>
      <c r="M214" s="1447"/>
      <c r="N214" s="1447"/>
      <c r="O214" s="1447"/>
      <c r="P214" s="1445"/>
      <c r="Q214" s="1446"/>
      <c r="R214" s="151"/>
      <c r="S214" s="151"/>
      <c r="T214" s="151"/>
      <c r="U214" s="151"/>
      <c r="V214" s="3800"/>
      <c r="W214" s="3576"/>
      <c r="X214" s="3576"/>
      <c r="Y214" s="3576"/>
      <c r="Z214" s="3576"/>
      <c r="AA214" s="3576"/>
      <c r="AB214" s="3576"/>
      <c r="AC214" s="2991"/>
      <c r="AD214" s="2991"/>
      <c r="AE214" s="2991"/>
      <c r="AF214" s="2991"/>
      <c r="AG214" s="2991"/>
      <c r="AH214" s="392"/>
      <c r="AI214" s="3577"/>
      <c r="AJ214" s="3577"/>
      <c r="AK214" s="3577"/>
      <c r="AL214" s="3577"/>
      <c r="AM214" s="3577"/>
      <c r="AN214" s="3578"/>
      <c r="AO214" s="2145">
        <f t="shared" si="10"/>
        <v>549</v>
      </c>
      <c r="AP214" s="2146"/>
      <c r="AQ214" s="327"/>
      <c r="AR214" s="327"/>
      <c r="AS214" s="327"/>
      <c r="AT214" s="172"/>
      <c r="AU214" s="164"/>
      <c r="BB214" s="171"/>
      <c r="BC214" s="97"/>
      <c r="BD214" s="97"/>
      <c r="BE214" s="97"/>
    </row>
    <row r="215" spans="1:57" collapsed="1" x14ac:dyDescent="0.25">
      <c r="V215" s="392"/>
      <c r="W215" s="392"/>
      <c r="X215" s="392"/>
      <c r="Y215" s="392"/>
      <c r="Z215" s="392"/>
      <c r="AA215" s="392"/>
      <c r="AB215" s="392"/>
      <c r="AC215" s="392"/>
      <c r="AD215" s="392"/>
      <c r="AE215" s="392"/>
      <c r="AF215" s="392"/>
      <c r="AG215" s="392"/>
      <c r="AH215" s="392"/>
      <c r="AI215" s="392"/>
      <c r="AJ215" s="392"/>
      <c r="AK215" s="392"/>
      <c r="AL215" s="392"/>
      <c r="AM215" s="392"/>
      <c r="AN215" s="392"/>
      <c r="AO215" s="392"/>
      <c r="AP215" s="392"/>
      <c r="AQ215" s="392"/>
      <c r="AR215" s="392"/>
      <c r="AT215" s="172"/>
      <c r="AU215" s="164"/>
    </row>
    <row r="216" spans="1:57" x14ac:dyDescent="0.25">
      <c r="AT216" s="172"/>
      <c r="AU216" s="164"/>
    </row>
    <row r="217" spans="1:57" x14ac:dyDescent="0.25">
      <c r="A217" s="123"/>
      <c r="B217" s="3750" t="s">
        <v>385</v>
      </c>
      <c r="C217" s="3751"/>
      <c r="D217" s="3751"/>
      <c r="E217" s="3751"/>
      <c r="F217" s="3751"/>
      <c r="G217" s="3751"/>
      <c r="H217" s="3751"/>
      <c r="I217" s="3744"/>
      <c r="J217" s="3744"/>
      <c r="K217" s="3744"/>
      <c r="L217" s="3744"/>
      <c r="M217" s="3744"/>
      <c r="N217" s="3744"/>
      <c r="O217" s="3745"/>
      <c r="V217" s="3750" t="str">
        <f>B217</f>
        <v>Advanced Power Strips Tier 2  /  Advanced Control Stategies</v>
      </c>
      <c r="W217" s="3751"/>
      <c r="X217" s="3751"/>
      <c r="Y217" s="3751"/>
      <c r="Z217" s="3751"/>
      <c r="AA217" s="3751"/>
      <c r="AB217" s="3751"/>
      <c r="AC217" s="3752"/>
      <c r="AD217" s="3752"/>
      <c r="AE217" s="3752"/>
      <c r="AF217" s="3752"/>
      <c r="AG217" s="3752"/>
      <c r="AH217" s="3752"/>
      <c r="AI217" s="3753"/>
      <c r="AU217" s="164"/>
    </row>
    <row r="218" spans="1:57" x14ac:dyDescent="0.25">
      <c r="A218" s="123"/>
      <c r="B218" s="123"/>
      <c r="C218" s="328"/>
      <c r="D218" s="329"/>
      <c r="E218" s="329"/>
      <c r="F218" s="123"/>
      <c r="G218" s="123"/>
      <c r="H218" s="123"/>
      <c r="I218" s="123"/>
      <c r="J218" s="123"/>
      <c r="K218" s="123"/>
      <c r="L218" s="123"/>
      <c r="AU218" s="164"/>
    </row>
    <row r="219" spans="1:57" ht="30" x14ac:dyDescent="0.25">
      <c r="A219" s="123"/>
      <c r="B219" s="123"/>
      <c r="C219" s="3086" t="s">
        <v>28</v>
      </c>
      <c r="D219" s="3086" t="s">
        <v>175</v>
      </c>
      <c r="E219" s="3086" t="s">
        <v>30</v>
      </c>
      <c r="F219" s="3086" t="s">
        <v>31</v>
      </c>
      <c r="G219" s="3086" t="s">
        <v>176</v>
      </c>
      <c r="H219" s="3086" t="s">
        <v>177</v>
      </c>
      <c r="I219" s="3086" t="s">
        <v>32</v>
      </c>
      <c r="J219" s="3086" t="s">
        <v>181</v>
      </c>
      <c r="K219" s="3086" t="s">
        <v>170</v>
      </c>
      <c r="L219" s="3086" t="s">
        <v>44</v>
      </c>
      <c r="V219" s="1936" t="s">
        <v>45</v>
      </c>
      <c r="W219" s="1937">
        <v>43252</v>
      </c>
      <c r="X219" s="1937">
        <f>$X$6</f>
        <v>43465</v>
      </c>
      <c r="Y219" s="1937">
        <f>$Y$6</f>
        <v>43800</v>
      </c>
      <c r="Z219" s="1937">
        <f>$Z$6</f>
        <v>43862</v>
      </c>
      <c r="AA219" s="1937">
        <f>$AA$6</f>
        <v>44013</v>
      </c>
      <c r="AB219" s="1937">
        <f>$AB$6</f>
        <v>44166</v>
      </c>
      <c r="AC219" s="1937">
        <f>$AC$6</f>
        <v>44531</v>
      </c>
      <c r="AD219" s="1937" t="str">
        <f>$AD$6</f>
        <v>-</v>
      </c>
      <c r="AE219" s="1937" t="str">
        <f>$AE$6</f>
        <v>-</v>
      </c>
      <c r="AF219" s="1937" t="str">
        <f>$AF$6</f>
        <v>-</v>
      </c>
      <c r="AG219" s="1937" t="str">
        <f>$AG$6</f>
        <v>-</v>
      </c>
      <c r="AU219" s="164"/>
      <c r="BB219" s="1953" t="str">
        <f>$BB$6</f>
        <v>TRC (2020)</v>
      </c>
      <c r="BC219" s="1953" t="str">
        <f>$BC$6</f>
        <v>Benefit Lookup</v>
      </c>
      <c r="BD219" s="230" t="str">
        <f>$BD$6</f>
        <v>Benefits (2019 $)</v>
      </c>
      <c r="BE219" s="230" t="str">
        <f>$BE$6</f>
        <v>Incremental Cost (2019 $)</v>
      </c>
    </row>
    <row r="220" spans="1:57" x14ac:dyDescent="0.25">
      <c r="A220" s="123"/>
      <c r="B220" s="123"/>
      <c r="C220" s="2496" t="s">
        <v>386</v>
      </c>
      <c r="D220" s="2497" t="s">
        <v>183</v>
      </c>
      <c r="E220" s="2498" t="s">
        <v>387</v>
      </c>
      <c r="F220" s="2499">
        <f>ROUND(G237*G$236,2)</f>
        <v>237.6</v>
      </c>
      <c r="G220" s="2500" t="s">
        <v>388</v>
      </c>
      <c r="H220" s="2501">
        <f>VLOOKUP(G220,'CP FACTORS'!$A$3:$B$38, 2, FALSE)</f>
        <v>1.148238E-4</v>
      </c>
      <c r="I220" s="2502">
        <f t="shared" ref="I220:I228" si="11">ROUND(H220*F220,6)</f>
        <v>2.7282000000000001E-2</v>
      </c>
      <c r="J220" s="2503">
        <f>$G$248</f>
        <v>10</v>
      </c>
      <c r="K220" s="2504">
        <f>$G$249</f>
        <v>30</v>
      </c>
      <c r="L220" s="2505" t="s">
        <v>185</v>
      </c>
      <c r="V220" s="280" t="s">
        <v>31</v>
      </c>
      <c r="W220" s="2454">
        <v>237.60000000000002</v>
      </c>
      <c r="X220" s="2454">
        <v>237.60000000000002</v>
      </c>
      <c r="Y220" s="2455">
        <v>237.6</v>
      </c>
      <c r="Z220" s="2456">
        <v>237.6</v>
      </c>
      <c r="AA220" s="2456">
        <v>237.6</v>
      </c>
      <c r="AB220" s="2456">
        <v>237.6</v>
      </c>
      <c r="AC220" s="3003">
        <v>237.6</v>
      </c>
      <c r="AD220" s="309"/>
      <c r="AE220" s="309"/>
      <c r="AF220" s="309"/>
      <c r="AG220" s="309"/>
      <c r="AU220" s="164"/>
      <c r="BB220" s="239">
        <f t="shared" ref="BB220:BB228" si="12">(BD220)/(BE220)</f>
        <v>2.8935964717891705</v>
      </c>
      <c r="BC220" s="231" t="str">
        <f t="shared" ref="BC220:BC228" si="13">CONCATENATE(G220," ",J220," Year EUL")</f>
        <v>Miscellaneous RES 10 Year EUL</v>
      </c>
      <c r="BD220" s="111">
        <f>(INDEX('Avoided Cost Benefits'!$C$4:$C$857,MATCH(BC220,'Avoided Cost Benefits'!$A$4:$A$857,0)))*F220</f>
        <v>81.932887355993486</v>
      </c>
      <c r="BE220" s="1946">
        <f t="shared" ref="BE220:BE228" si="14">K220/(1.0595^(2020-2019))</f>
        <v>28.315243039169417</v>
      </c>
    </row>
    <row r="221" spans="1:57" x14ac:dyDescent="0.25">
      <c r="A221" s="123"/>
      <c r="B221" s="123"/>
      <c r="C221" s="2496" t="s">
        <v>389</v>
      </c>
      <c r="D221" s="2497" t="s">
        <v>183</v>
      </c>
      <c r="E221" s="2498" t="s">
        <v>390</v>
      </c>
      <c r="F221" s="2499">
        <f t="shared" ref="F221:F227" si="15">ROUND(G238*G$236,2)</f>
        <v>216</v>
      </c>
      <c r="G221" s="2500" t="s">
        <v>388</v>
      </c>
      <c r="H221" s="2501">
        <f>VLOOKUP(G221,'CP FACTORS'!$A$3:$B$38, 2, FALSE)</f>
        <v>1.148238E-4</v>
      </c>
      <c r="I221" s="2502">
        <f t="shared" si="11"/>
        <v>2.4802000000000001E-2</v>
      </c>
      <c r="J221" s="2503">
        <f t="shared" ref="J221:J229" si="16">$G$248</f>
        <v>10</v>
      </c>
      <c r="K221" s="2504">
        <f t="shared" ref="K221:K228" si="17">$G$249</f>
        <v>30</v>
      </c>
      <c r="L221" s="2505" t="s">
        <v>185</v>
      </c>
      <c r="V221" s="280" t="s">
        <v>31</v>
      </c>
      <c r="W221" s="2454">
        <v>216</v>
      </c>
      <c r="X221" s="2454">
        <v>216</v>
      </c>
      <c r="Y221" s="2455">
        <v>216</v>
      </c>
      <c r="Z221" s="2456">
        <v>216</v>
      </c>
      <c r="AA221" s="2456">
        <v>216</v>
      </c>
      <c r="AB221" s="2456">
        <v>216</v>
      </c>
      <c r="AC221" s="3003">
        <v>216</v>
      </c>
      <c r="AD221" s="309"/>
      <c r="AE221" s="309"/>
      <c r="AF221" s="309"/>
      <c r="AG221" s="309"/>
      <c r="AU221" s="164"/>
      <c r="BB221" s="244">
        <f t="shared" si="12"/>
        <v>2.6305422470810638</v>
      </c>
      <c r="BC221" s="231" t="str">
        <f t="shared" si="13"/>
        <v>Miscellaneous RES 10 Year EUL</v>
      </c>
      <c r="BD221" s="114">
        <f>(INDEX('Avoided Cost Benefits'!$C$4:$C$857,MATCH(BC221,'Avoided Cost Benefits'!$A$4:$A$857,0)))*F221</f>
        <v>74.484443050903167</v>
      </c>
      <c r="BE221" s="1949">
        <f t="shared" si="14"/>
        <v>28.315243039169417</v>
      </c>
    </row>
    <row r="222" spans="1:57" x14ac:dyDescent="0.25">
      <c r="A222" s="123"/>
      <c r="B222" s="123"/>
      <c r="C222" s="2496" t="s">
        <v>391</v>
      </c>
      <c r="D222" s="2497" t="s">
        <v>183</v>
      </c>
      <c r="E222" s="2498" t="s">
        <v>392</v>
      </c>
      <c r="F222" s="2499">
        <f t="shared" si="15"/>
        <v>194.4</v>
      </c>
      <c r="G222" s="2500" t="s">
        <v>388</v>
      </c>
      <c r="H222" s="2501">
        <f>VLOOKUP(G222,'CP FACTORS'!$A$3:$B$38, 2, FALSE)</f>
        <v>1.148238E-4</v>
      </c>
      <c r="I222" s="2502">
        <f t="shared" si="11"/>
        <v>2.2322000000000002E-2</v>
      </c>
      <c r="J222" s="2503">
        <f t="shared" si="16"/>
        <v>10</v>
      </c>
      <c r="K222" s="2504">
        <f t="shared" si="17"/>
        <v>30</v>
      </c>
      <c r="L222" s="2505" t="s">
        <v>185</v>
      </c>
      <c r="V222" s="280" t="s">
        <v>31</v>
      </c>
      <c r="W222" s="2454">
        <v>194.4</v>
      </c>
      <c r="X222" s="2454">
        <v>194.4</v>
      </c>
      <c r="Y222" s="2455">
        <v>194.4</v>
      </c>
      <c r="Z222" s="2456">
        <v>194.4</v>
      </c>
      <c r="AA222" s="2456">
        <v>194.4</v>
      </c>
      <c r="AB222" s="2456">
        <v>194.4</v>
      </c>
      <c r="AC222" s="3003">
        <v>194.4</v>
      </c>
      <c r="AD222" s="309"/>
      <c r="AE222" s="309"/>
      <c r="AF222" s="309"/>
      <c r="AG222" s="309"/>
      <c r="AU222" s="164"/>
      <c r="BB222" s="244">
        <f t="shared" si="12"/>
        <v>2.3674880223729571</v>
      </c>
      <c r="BC222" s="231" t="str">
        <f t="shared" si="13"/>
        <v>Miscellaneous RES 10 Year EUL</v>
      </c>
      <c r="BD222" s="114">
        <f>(INDEX('Avoided Cost Benefits'!$C$4:$C$857,MATCH(BC222,'Avoided Cost Benefits'!$A$4:$A$857,0)))*F222</f>
        <v>67.035998745812847</v>
      </c>
      <c r="BE222" s="1949">
        <f t="shared" si="14"/>
        <v>28.315243039169417</v>
      </c>
    </row>
    <row r="223" spans="1:57" x14ac:dyDescent="0.25">
      <c r="A223" s="123"/>
      <c r="B223" s="123"/>
      <c r="C223" s="2496" t="s">
        <v>393</v>
      </c>
      <c r="D223" s="2497" t="s">
        <v>183</v>
      </c>
      <c r="E223" s="2498" t="s">
        <v>394</v>
      </c>
      <c r="F223" s="2499">
        <f t="shared" si="15"/>
        <v>172.8</v>
      </c>
      <c r="G223" s="2500" t="s">
        <v>388</v>
      </c>
      <c r="H223" s="2501">
        <f>VLOOKUP(G223,'CP FACTORS'!$A$3:$B$38, 2, FALSE)</f>
        <v>1.148238E-4</v>
      </c>
      <c r="I223" s="2502">
        <f t="shared" si="11"/>
        <v>1.9841999999999999E-2</v>
      </c>
      <c r="J223" s="2503">
        <f t="shared" si="16"/>
        <v>10</v>
      </c>
      <c r="K223" s="2504">
        <f t="shared" si="17"/>
        <v>30</v>
      </c>
      <c r="L223" s="2505" t="s">
        <v>185</v>
      </c>
      <c r="V223" s="280" t="s">
        <v>31</v>
      </c>
      <c r="W223" s="2454">
        <v>172.8</v>
      </c>
      <c r="X223" s="2454">
        <v>172.8</v>
      </c>
      <c r="Y223" s="2455">
        <v>172.8</v>
      </c>
      <c r="Z223" s="2456">
        <v>172.8</v>
      </c>
      <c r="AA223" s="2456">
        <v>172.8</v>
      </c>
      <c r="AB223" s="2456">
        <v>172.8</v>
      </c>
      <c r="AC223" s="3003">
        <v>172.8</v>
      </c>
      <c r="AD223" s="309"/>
      <c r="AE223" s="309"/>
      <c r="AF223" s="309"/>
      <c r="AG223" s="309"/>
      <c r="AU223" s="164"/>
      <c r="BB223" s="244">
        <f t="shared" si="12"/>
        <v>2.1044337976648513</v>
      </c>
      <c r="BC223" s="231" t="str">
        <f t="shared" si="13"/>
        <v>Miscellaneous RES 10 Year EUL</v>
      </c>
      <c r="BD223" s="114">
        <f>(INDEX('Avoided Cost Benefits'!$C$4:$C$857,MATCH(BC223,'Avoided Cost Benefits'!$A$4:$A$857,0)))*F223</f>
        <v>59.587554440722535</v>
      </c>
      <c r="BE223" s="1949">
        <f t="shared" si="14"/>
        <v>28.315243039169417</v>
      </c>
    </row>
    <row r="224" spans="1:57" x14ac:dyDescent="0.25">
      <c r="A224" s="123"/>
      <c r="B224" s="123"/>
      <c r="C224" s="2496" t="s">
        <v>395</v>
      </c>
      <c r="D224" s="2497" t="s">
        <v>183</v>
      </c>
      <c r="E224" s="2498" t="s">
        <v>396</v>
      </c>
      <c r="F224" s="2499">
        <f t="shared" si="15"/>
        <v>151.19999999999999</v>
      </c>
      <c r="G224" s="2500" t="s">
        <v>388</v>
      </c>
      <c r="H224" s="2501">
        <f>VLOOKUP(G224,'CP FACTORS'!$A$3:$B$38, 2, FALSE)</f>
        <v>1.148238E-4</v>
      </c>
      <c r="I224" s="2502">
        <f t="shared" si="11"/>
        <v>1.7361000000000001E-2</v>
      </c>
      <c r="J224" s="2503">
        <f t="shared" si="16"/>
        <v>10</v>
      </c>
      <c r="K224" s="2504">
        <f t="shared" si="17"/>
        <v>30</v>
      </c>
      <c r="L224" s="2505" t="s">
        <v>185</v>
      </c>
      <c r="V224" s="280" t="s">
        <v>31</v>
      </c>
      <c r="W224" s="2454">
        <v>151.19999999999999</v>
      </c>
      <c r="X224" s="2454">
        <v>151.19999999999999</v>
      </c>
      <c r="Y224" s="2455">
        <v>151.19999999999999</v>
      </c>
      <c r="Z224" s="2456">
        <v>151.19999999999999</v>
      </c>
      <c r="AA224" s="2456">
        <v>151.19999999999999</v>
      </c>
      <c r="AB224" s="2456">
        <v>151.19999999999999</v>
      </c>
      <c r="AC224" s="3003">
        <v>151.19999999999999</v>
      </c>
      <c r="AD224" s="309"/>
      <c r="AE224" s="309"/>
      <c r="AF224" s="309"/>
      <c r="AG224" s="309"/>
      <c r="AU224" s="164"/>
      <c r="BB224" s="244">
        <f t="shared" si="12"/>
        <v>1.8413795729567446</v>
      </c>
      <c r="BC224" s="231" t="str">
        <f t="shared" si="13"/>
        <v>Miscellaneous RES 10 Year EUL</v>
      </c>
      <c r="BD224" s="114">
        <f>(INDEX('Avoided Cost Benefits'!$C$4:$C$857,MATCH(BC224,'Avoided Cost Benefits'!$A$4:$A$857,0)))*F224</f>
        <v>52.139110135632215</v>
      </c>
      <c r="BE224" s="1949">
        <f t="shared" si="14"/>
        <v>28.315243039169417</v>
      </c>
    </row>
    <row r="225" spans="1:57" x14ac:dyDescent="0.25">
      <c r="A225" s="123"/>
      <c r="B225" s="123"/>
      <c r="C225" s="2496" t="s">
        <v>397</v>
      </c>
      <c r="D225" s="2497" t="s">
        <v>183</v>
      </c>
      <c r="E225" s="2498" t="s">
        <v>398</v>
      </c>
      <c r="F225" s="2499">
        <f t="shared" si="15"/>
        <v>129.6</v>
      </c>
      <c r="G225" s="2500" t="s">
        <v>388</v>
      </c>
      <c r="H225" s="2501">
        <f>VLOOKUP(G225,'CP FACTORS'!$A$3:$B$38, 2, FALSE)</f>
        <v>1.148238E-4</v>
      </c>
      <c r="I225" s="2502">
        <f t="shared" si="11"/>
        <v>1.4881E-2</v>
      </c>
      <c r="J225" s="2503">
        <f t="shared" si="16"/>
        <v>10</v>
      </c>
      <c r="K225" s="2504">
        <f t="shared" si="17"/>
        <v>30</v>
      </c>
      <c r="L225" s="2505" t="s">
        <v>185</v>
      </c>
      <c r="V225" s="280" t="s">
        <v>31</v>
      </c>
      <c r="W225" s="2454">
        <v>129.6</v>
      </c>
      <c r="X225" s="2454">
        <v>129.6</v>
      </c>
      <c r="Y225" s="2455">
        <v>129.6</v>
      </c>
      <c r="Z225" s="2456">
        <v>129.6</v>
      </c>
      <c r="AA225" s="2456">
        <v>129.6</v>
      </c>
      <c r="AB225" s="2456">
        <v>129.6</v>
      </c>
      <c r="AC225" s="3003">
        <v>129.6</v>
      </c>
      <c r="AD225" s="309"/>
      <c r="AE225" s="309"/>
      <c r="AF225" s="309"/>
      <c r="AG225" s="309"/>
      <c r="AU225" s="164"/>
      <c r="BB225" s="244">
        <f t="shared" si="12"/>
        <v>1.5783253482486381</v>
      </c>
      <c r="BC225" s="231" t="str">
        <f t="shared" si="13"/>
        <v>Miscellaneous RES 10 Year EUL</v>
      </c>
      <c r="BD225" s="114">
        <f>(INDEX('Avoided Cost Benefits'!$C$4:$C$857,MATCH(BC225,'Avoided Cost Benefits'!$A$4:$A$857,0)))*F225</f>
        <v>44.690665830541896</v>
      </c>
      <c r="BE225" s="1949">
        <f t="shared" si="14"/>
        <v>28.315243039169417</v>
      </c>
    </row>
    <row r="226" spans="1:57" x14ac:dyDescent="0.25">
      <c r="A226" s="123"/>
      <c r="B226" s="123"/>
      <c r="C226" s="2497" t="s">
        <v>399</v>
      </c>
      <c r="D226" s="2497" t="s">
        <v>183</v>
      </c>
      <c r="E226" s="2506" t="s">
        <v>400</v>
      </c>
      <c r="F226" s="2507">
        <f t="shared" si="15"/>
        <v>108</v>
      </c>
      <c r="G226" s="2500" t="s">
        <v>388</v>
      </c>
      <c r="H226" s="2508">
        <f>VLOOKUP(G226,'CP FACTORS'!$A$3:$B$38, 2, FALSE)</f>
        <v>1.148238E-4</v>
      </c>
      <c r="I226" s="2509">
        <f t="shared" si="11"/>
        <v>1.2401000000000001E-2</v>
      </c>
      <c r="J226" s="2503">
        <f t="shared" si="16"/>
        <v>10</v>
      </c>
      <c r="K226" s="2504">
        <f t="shared" si="17"/>
        <v>30</v>
      </c>
      <c r="L226" s="2510" t="s">
        <v>185</v>
      </c>
      <c r="V226" s="280" t="s">
        <v>31</v>
      </c>
      <c r="W226" s="2454">
        <v>108</v>
      </c>
      <c r="X226" s="2454">
        <v>108</v>
      </c>
      <c r="Y226" s="2455">
        <v>108</v>
      </c>
      <c r="Z226" s="2456">
        <v>108</v>
      </c>
      <c r="AA226" s="2456">
        <v>108</v>
      </c>
      <c r="AB226" s="2456">
        <v>108</v>
      </c>
      <c r="AC226" s="3003">
        <v>108</v>
      </c>
      <c r="AD226" s="309"/>
      <c r="AE226" s="309"/>
      <c r="AF226" s="309"/>
      <c r="AG226" s="309"/>
      <c r="AU226" s="164"/>
      <c r="BB226" s="244">
        <f t="shared" si="12"/>
        <v>1.3152711235405319</v>
      </c>
      <c r="BC226" s="231" t="str">
        <f t="shared" si="13"/>
        <v>Miscellaneous RES 10 Year EUL</v>
      </c>
      <c r="BD226" s="114">
        <f>(INDEX('Avoided Cost Benefits'!$C$4:$C$857,MATCH(BC226,'Avoided Cost Benefits'!$A$4:$A$857,0)))*F226</f>
        <v>37.242221525451583</v>
      </c>
      <c r="BE226" s="1949">
        <f t="shared" si="14"/>
        <v>28.315243039169417</v>
      </c>
    </row>
    <row r="227" spans="1:57" x14ac:dyDescent="0.25">
      <c r="A227" s="123"/>
      <c r="B227" s="123"/>
      <c r="C227" s="2497" t="s">
        <v>401</v>
      </c>
      <c r="D227" s="2497" t="s">
        <v>183</v>
      </c>
      <c r="E227" s="2506" t="s">
        <v>402</v>
      </c>
      <c r="F227" s="2507">
        <f t="shared" si="15"/>
        <v>86.4</v>
      </c>
      <c r="G227" s="2500" t="s">
        <v>388</v>
      </c>
      <c r="H227" s="2508">
        <f>VLOOKUP(G227,'CP FACTORS'!$A$3:$B$38, 2, FALSE)</f>
        <v>1.148238E-4</v>
      </c>
      <c r="I227" s="2509">
        <f t="shared" si="11"/>
        <v>9.9209999999999993E-3</v>
      </c>
      <c r="J227" s="2503">
        <f t="shared" si="16"/>
        <v>10</v>
      </c>
      <c r="K227" s="2504">
        <f t="shared" si="17"/>
        <v>30</v>
      </c>
      <c r="L227" s="2510" t="s">
        <v>185</v>
      </c>
      <c r="V227" s="280" t="s">
        <v>31</v>
      </c>
      <c r="W227" s="2454">
        <v>86.4</v>
      </c>
      <c r="X227" s="2454">
        <v>86.4</v>
      </c>
      <c r="Y227" s="2455">
        <v>86.4</v>
      </c>
      <c r="Z227" s="2456">
        <v>86.4</v>
      </c>
      <c r="AA227" s="2456">
        <v>86.4</v>
      </c>
      <c r="AB227" s="2456">
        <v>86.4</v>
      </c>
      <c r="AC227" s="3003">
        <v>86.4</v>
      </c>
      <c r="AD227" s="309"/>
      <c r="AE227" s="309"/>
      <c r="AF227" s="309"/>
      <c r="AG227" s="309"/>
      <c r="AU227" s="164"/>
      <c r="BB227" s="244">
        <f t="shared" si="12"/>
        <v>1.0522168988324256</v>
      </c>
      <c r="BC227" s="231" t="str">
        <f t="shared" si="13"/>
        <v>Miscellaneous RES 10 Year EUL</v>
      </c>
      <c r="BD227" s="114">
        <f>(INDEX('Avoided Cost Benefits'!$C$4:$C$857,MATCH(BC227,'Avoided Cost Benefits'!$A$4:$A$857,0)))*F227</f>
        <v>29.793777220361267</v>
      </c>
      <c r="BE227" s="1949">
        <f t="shared" si="14"/>
        <v>28.315243039169417</v>
      </c>
    </row>
    <row r="228" spans="1:57" s="336" customFormat="1" x14ac:dyDescent="0.25">
      <c r="A228" s="3177"/>
      <c r="B228" s="3177"/>
      <c r="C228" s="3227" t="s">
        <v>403</v>
      </c>
      <c r="D228" s="3227" t="s">
        <v>183</v>
      </c>
      <c r="E228" s="3089" t="s">
        <v>404</v>
      </c>
      <c r="F228" s="348">
        <f>ROUND(G$236*G$245*G246, 2)</f>
        <v>151.96</v>
      </c>
      <c r="G228" s="333" t="s">
        <v>388</v>
      </c>
      <c r="H228" s="2159">
        <f>VLOOKUP(G228,'CP FACTORS'!$A$3:$B$38, 2, FALSE)</f>
        <v>1.148238E-4</v>
      </c>
      <c r="I228" s="2160">
        <f t="shared" si="11"/>
        <v>1.7448999999999999E-2</v>
      </c>
      <c r="J228" s="108">
        <f t="shared" si="16"/>
        <v>10</v>
      </c>
      <c r="K228" s="880">
        <f t="shared" si="17"/>
        <v>30</v>
      </c>
      <c r="L228" s="3227" t="s">
        <v>185</v>
      </c>
      <c r="M228" s="335"/>
      <c r="N228" s="335"/>
      <c r="O228" s="335"/>
      <c r="P228" s="335"/>
      <c r="Q228" s="335"/>
      <c r="R228" s="335"/>
      <c r="S228" s="335"/>
      <c r="T228" s="335"/>
      <c r="U228" s="335"/>
      <c r="V228" s="337" t="s">
        <v>31</v>
      </c>
      <c r="W228" s="2454">
        <v>162</v>
      </c>
      <c r="X228" s="2454">
        <v>162</v>
      </c>
      <c r="Y228" s="2455">
        <v>162</v>
      </c>
      <c r="Z228" s="2456">
        <v>162</v>
      </c>
      <c r="AA228" s="2456">
        <v>162</v>
      </c>
      <c r="AB228" s="2457">
        <v>151.96</v>
      </c>
      <c r="AC228" s="3003">
        <v>151.96</v>
      </c>
      <c r="AD228" s="309"/>
      <c r="AE228" s="309"/>
      <c r="AF228" s="309"/>
      <c r="AG228" s="309"/>
      <c r="AU228" s="164"/>
      <c r="BB228" s="310">
        <f t="shared" si="12"/>
        <v>1.8506351845668449</v>
      </c>
      <c r="BC228" s="311" t="str">
        <f t="shared" si="13"/>
        <v>Miscellaneous RES 10 Year EUL</v>
      </c>
      <c r="BD228" s="119">
        <f>(INDEX('Avoided Cost Benefits'!$C$4:$C$857,MATCH(BC228,'Avoided Cost Benefits'!$A$4:$A$857,0)))*F228</f>
        <v>52.401185027848364</v>
      </c>
      <c r="BE228" s="1950">
        <f t="shared" si="14"/>
        <v>28.315243039169417</v>
      </c>
    </row>
    <row r="229" spans="1:57" s="336" customFormat="1" x14ac:dyDescent="0.25">
      <c r="A229" s="3177"/>
      <c r="B229" s="3177"/>
      <c r="C229" s="3227" t="s">
        <v>405</v>
      </c>
      <c r="D229" s="3227" t="s">
        <v>183</v>
      </c>
      <c r="E229" s="3089" t="s">
        <v>406</v>
      </c>
      <c r="F229" s="348">
        <f>ROUND(G$236*G$245*G247, 2)</f>
        <v>153.9</v>
      </c>
      <c r="G229" s="333" t="s">
        <v>388</v>
      </c>
      <c r="H229" s="2159">
        <f>VLOOKUP(G229,'CP FACTORS'!$A$3:$B$38, 2, FALSE)</f>
        <v>1.148238E-4</v>
      </c>
      <c r="I229" s="2160">
        <f t="shared" ref="I229" si="18">ROUND(H229*F229,6)</f>
        <v>1.7670999999999999E-2</v>
      </c>
      <c r="J229" s="108">
        <f t="shared" si="16"/>
        <v>10</v>
      </c>
      <c r="K229" s="880">
        <f>$G$250</f>
        <v>60</v>
      </c>
      <c r="L229" s="3227" t="s">
        <v>185</v>
      </c>
      <c r="M229" s="335"/>
      <c r="N229" s="335"/>
      <c r="O229" s="335"/>
      <c r="P229" s="335"/>
      <c r="Q229" s="335"/>
      <c r="R229" s="335"/>
      <c r="S229" s="335"/>
      <c r="T229" s="335"/>
      <c r="U229" s="335"/>
      <c r="V229" s="337" t="s">
        <v>31</v>
      </c>
      <c r="W229" s="2454">
        <v>162</v>
      </c>
      <c r="X229" s="2454">
        <v>162</v>
      </c>
      <c r="Y229" s="2455">
        <v>162</v>
      </c>
      <c r="Z229" s="2456">
        <v>162</v>
      </c>
      <c r="AA229" s="2456">
        <v>162</v>
      </c>
      <c r="AB229" s="2457">
        <v>153.9</v>
      </c>
      <c r="AC229" s="3003">
        <v>153.9</v>
      </c>
      <c r="AD229" s="309"/>
      <c r="AE229" s="309"/>
      <c r="AF229" s="309"/>
      <c r="AG229" s="309"/>
      <c r="AU229" s="164"/>
      <c r="BB229" s="310">
        <f t="shared" ref="BB229" si="19">(BD229)/(BE229)</f>
        <v>0.93713067552262896</v>
      </c>
      <c r="BC229" s="311" t="str">
        <f t="shared" ref="BC229" si="20">CONCATENATE(G229," ",J229," Year EUL")</f>
        <v>Miscellaneous RES 10 Year EUL</v>
      </c>
      <c r="BD229" s="119">
        <f>(INDEX('Avoided Cost Benefits'!$C$4:$C$857,MATCH(BC229,'Avoided Cost Benefits'!$A$4:$A$857,0)))*F229</f>
        <v>53.070165673768507</v>
      </c>
      <c r="BE229" s="1950">
        <f t="shared" ref="BE229" si="21">K229/(1.0595^(2020-2019))</f>
        <v>56.630486078338834</v>
      </c>
    </row>
    <row r="230" spans="1:57" hidden="1" outlineLevel="1" x14ac:dyDescent="0.25">
      <c r="A230" s="123"/>
      <c r="B230" s="123"/>
      <c r="C230" s="2161"/>
      <c r="D230" s="516"/>
      <c r="E230" s="516"/>
      <c r="F230" s="228"/>
      <c r="G230" s="228"/>
      <c r="H230" s="228" t="s">
        <v>407</v>
      </c>
      <c r="J230" s="228"/>
      <c r="K230" s="228"/>
      <c r="L230" s="228"/>
      <c r="X230" s="223" t="s">
        <v>408</v>
      </c>
      <c r="Y230" s="223" t="s">
        <v>409</v>
      </c>
      <c r="AU230" s="164"/>
    </row>
    <row r="231" spans="1:57" hidden="1" outlineLevel="1" x14ac:dyDescent="0.25">
      <c r="A231" s="123"/>
      <c r="B231" s="123"/>
      <c r="C231" s="2161"/>
      <c r="D231" s="379" t="s">
        <v>108</v>
      </c>
      <c r="E231" s="516"/>
      <c r="F231" s="228"/>
      <c r="G231" s="228"/>
      <c r="H231" s="228"/>
      <c r="I231" s="228"/>
      <c r="J231" s="228"/>
      <c r="K231" s="228"/>
      <c r="L231" s="228"/>
      <c r="AU231" s="164"/>
    </row>
    <row r="232" spans="1:57" hidden="1" outlineLevel="1" x14ac:dyDescent="0.25">
      <c r="A232" s="123"/>
      <c r="B232" s="123"/>
      <c r="C232" s="2161"/>
      <c r="D232" s="516"/>
      <c r="E232" s="516"/>
      <c r="F232" s="228"/>
      <c r="G232" s="228"/>
      <c r="H232" s="228"/>
      <c r="I232" s="228"/>
      <c r="J232" s="228"/>
      <c r="K232" s="228"/>
      <c r="L232" s="228"/>
      <c r="AU232" s="164"/>
    </row>
    <row r="233" spans="1:57" hidden="1" outlineLevel="1" x14ac:dyDescent="0.25">
      <c r="A233" s="123"/>
      <c r="B233" s="123"/>
      <c r="C233" s="2161"/>
      <c r="D233" s="516"/>
      <c r="E233" s="516"/>
      <c r="F233" s="228"/>
      <c r="G233" s="228"/>
      <c r="H233" s="228"/>
      <c r="I233" s="228"/>
      <c r="J233" s="228"/>
      <c r="K233" s="228"/>
      <c r="L233" s="228"/>
      <c r="AU233" s="164"/>
    </row>
    <row r="234" spans="1:57" hidden="1" outlineLevel="1" x14ac:dyDescent="0.25">
      <c r="A234" s="123"/>
      <c r="B234" s="123"/>
      <c r="C234" s="2161"/>
      <c r="D234" s="516"/>
      <c r="E234" s="516"/>
      <c r="F234" s="228"/>
      <c r="G234" s="228"/>
      <c r="H234" s="228"/>
      <c r="I234" s="228"/>
      <c r="J234" s="228"/>
      <c r="M234" s="3159"/>
      <c r="N234" s="3159"/>
      <c r="O234" s="3159"/>
      <c r="P234" s="3159"/>
      <c r="AU234" s="164"/>
    </row>
    <row r="235" spans="1:57" hidden="1" outlineLevel="1" x14ac:dyDescent="0.25">
      <c r="A235" s="123"/>
      <c r="B235" s="123"/>
      <c r="C235" s="2161"/>
      <c r="D235" s="3086" t="s">
        <v>109</v>
      </c>
      <c r="E235" s="3086" t="s">
        <v>110</v>
      </c>
      <c r="F235" s="3086" t="s">
        <v>186</v>
      </c>
      <c r="G235" s="3086" t="s">
        <v>112</v>
      </c>
      <c r="H235" s="3086" t="s">
        <v>187</v>
      </c>
      <c r="I235" s="3086" t="s">
        <v>410</v>
      </c>
      <c r="J235" s="228"/>
      <c r="M235" s="147"/>
      <c r="N235" s="147"/>
      <c r="O235" s="147"/>
      <c r="P235" s="147"/>
      <c r="V235" s="1936" t="s">
        <v>45</v>
      </c>
      <c r="W235" s="1937">
        <v>43252</v>
      </c>
      <c r="X235" s="1937">
        <f>$X$6</f>
        <v>43465</v>
      </c>
      <c r="Y235" s="1937">
        <f>$Y$6</f>
        <v>43800</v>
      </c>
      <c r="Z235" s="1937">
        <f>$Z$6</f>
        <v>43862</v>
      </c>
      <c r="AA235" s="1937">
        <f>$AA$6</f>
        <v>44013</v>
      </c>
      <c r="AB235" s="1937">
        <f>$AB$6</f>
        <v>44166</v>
      </c>
      <c r="AC235" s="1937">
        <f>$AC$6</f>
        <v>44531</v>
      </c>
      <c r="AD235" s="1937" t="str">
        <f>$AD$6</f>
        <v>-</v>
      </c>
      <c r="AE235" s="1937" t="str">
        <f>$AE$6</f>
        <v>-</v>
      </c>
      <c r="AF235" s="1937" t="str">
        <f>$AF$6</f>
        <v>-</v>
      </c>
      <c r="AG235" s="1937" t="str">
        <f>$AG$6</f>
        <v>-</v>
      </c>
      <c r="AU235" s="164"/>
    </row>
    <row r="236" spans="1:57" ht="90" hidden="1" outlineLevel="1" x14ac:dyDescent="0.25">
      <c r="A236" s="123"/>
      <c r="B236" s="123"/>
      <c r="C236" s="2161"/>
      <c r="D236" s="3089" t="s">
        <v>411</v>
      </c>
      <c r="E236" s="3106" t="s">
        <v>412</v>
      </c>
      <c r="F236" s="3089" t="s">
        <v>135</v>
      </c>
      <c r="G236" s="1174">
        <v>432</v>
      </c>
      <c r="H236" s="3084" t="s">
        <v>413</v>
      </c>
      <c r="I236" s="3227"/>
      <c r="J236" s="228"/>
      <c r="K236" s="228"/>
      <c r="L236" s="228"/>
      <c r="M236" s="1446"/>
      <c r="N236" s="1446"/>
      <c r="O236" s="1446"/>
      <c r="P236" s="1446"/>
      <c r="V236" s="3089" t="s">
        <v>411</v>
      </c>
      <c r="W236" s="2147"/>
      <c r="X236" s="2147"/>
      <c r="Y236" s="2147"/>
      <c r="Z236" s="2147"/>
      <c r="AA236" s="2147"/>
      <c r="AB236" s="2147">
        <v>432</v>
      </c>
      <c r="AC236" s="3018">
        <v>432</v>
      </c>
      <c r="AD236" s="3227"/>
      <c r="AE236" s="3227"/>
      <c r="AF236" s="3227"/>
      <c r="AG236" s="3227"/>
      <c r="AU236" s="164"/>
    </row>
    <row r="237" spans="1:57" hidden="1" outlineLevel="1" x14ac:dyDescent="0.25">
      <c r="A237" s="151"/>
      <c r="B237" s="151"/>
      <c r="C237" s="2161"/>
      <c r="D237" s="3790" t="s">
        <v>414</v>
      </c>
      <c r="E237" s="3790" t="s">
        <v>415</v>
      </c>
      <c r="F237" s="343" t="s">
        <v>416</v>
      </c>
      <c r="G237" s="2379">
        <v>0.55000000000000004</v>
      </c>
      <c r="H237" s="343" t="s">
        <v>417</v>
      </c>
      <c r="I237" s="343"/>
      <c r="M237" s="1448"/>
      <c r="N237" s="1449"/>
      <c r="O237" s="1448"/>
      <c r="P237" s="1449"/>
      <c r="V237" s="3790" t="s">
        <v>414</v>
      </c>
      <c r="W237" s="2148"/>
      <c r="X237" s="2148"/>
      <c r="Y237" s="2148"/>
      <c r="Z237" s="2148"/>
      <c r="AA237" s="2148"/>
      <c r="AB237" s="475">
        <v>0.55000000000000004</v>
      </c>
      <c r="AC237" s="2379">
        <v>0.55000000000000004</v>
      </c>
      <c r="AD237" s="280"/>
      <c r="AE237" s="280"/>
      <c r="AF237" s="280"/>
      <c r="AG237" s="280"/>
      <c r="AU237" s="164"/>
    </row>
    <row r="238" spans="1:57" hidden="1" outlineLevel="1" x14ac:dyDescent="0.25">
      <c r="A238" s="151"/>
      <c r="B238" s="151"/>
      <c r="C238" s="2161"/>
      <c r="D238" s="3790"/>
      <c r="E238" s="3790"/>
      <c r="F238" s="343" t="s">
        <v>418</v>
      </c>
      <c r="G238" s="2379">
        <v>0.5</v>
      </c>
      <c r="H238" s="343" t="s">
        <v>417</v>
      </c>
      <c r="I238" s="343" t="s">
        <v>419</v>
      </c>
      <c r="M238" s="1448"/>
      <c r="N238" s="1449"/>
      <c r="O238" s="1448"/>
      <c r="P238" s="1449"/>
      <c r="V238" s="3790"/>
      <c r="W238" s="2148"/>
      <c r="X238" s="2148"/>
      <c r="Y238" s="2148"/>
      <c r="Z238" s="2148"/>
      <c r="AA238" s="2148"/>
      <c r="AB238" s="475">
        <v>0.5</v>
      </c>
      <c r="AC238" s="2379">
        <v>0.5</v>
      </c>
      <c r="AD238" s="280"/>
      <c r="AE238" s="280"/>
      <c r="AF238" s="280"/>
      <c r="AG238" s="280"/>
      <c r="AU238" s="164"/>
    </row>
    <row r="239" spans="1:57" hidden="1" outlineLevel="1" x14ac:dyDescent="0.25">
      <c r="A239" s="151"/>
      <c r="B239" s="151"/>
      <c r="C239" s="2161"/>
      <c r="D239" s="3790"/>
      <c r="E239" s="3790"/>
      <c r="F239" s="343" t="s">
        <v>420</v>
      </c>
      <c r="G239" s="2379">
        <v>0.45</v>
      </c>
      <c r="H239" s="343" t="s">
        <v>417</v>
      </c>
      <c r="I239" s="343"/>
      <c r="M239" s="1448"/>
      <c r="N239" s="1449"/>
      <c r="O239" s="1448"/>
      <c r="P239" s="1449"/>
      <c r="V239" s="3790"/>
      <c r="W239" s="2148"/>
      <c r="X239" s="2148"/>
      <c r="Y239" s="2148"/>
      <c r="Z239" s="2148"/>
      <c r="AA239" s="2148"/>
      <c r="AB239" s="475">
        <v>0.45</v>
      </c>
      <c r="AC239" s="2379">
        <v>0.45</v>
      </c>
      <c r="AD239" s="280"/>
      <c r="AE239" s="280"/>
      <c r="AF239" s="280"/>
      <c r="AG239" s="280"/>
      <c r="AU239" s="164"/>
    </row>
    <row r="240" spans="1:57" hidden="1" outlineLevel="1" x14ac:dyDescent="0.25">
      <c r="A240" s="151"/>
      <c r="B240" s="151"/>
      <c r="C240" s="2161"/>
      <c r="D240" s="3790"/>
      <c r="E240" s="3790"/>
      <c r="F240" s="343" t="s">
        <v>421</v>
      </c>
      <c r="G240" s="2379">
        <v>0.4</v>
      </c>
      <c r="H240" s="343" t="s">
        <v>417</v>
      </c>
      <c r="I240" s="343"/>
      <c r="M240" s="1448"/>
      <c r="N240" s="1449"/>
      <c r="O240" s="1448"/>
      <c r="P240" s="1449"/>
      <c r="V240" s="3790"/>
      <c r="W240" s="2148"/>
      <c r="X240" s="2148"/>
      <c r="Y240" s="2148"/>
      <c r="Z240" s="2148"/>
      <c r="AA240" s="2148"/>
      <c r="AB240" s="475">
        <v>0.4</v>
      </c>
      <c r="AC240" s="2379">
        <v>0.4</v>
      </c>
      <c r="AD240" s="280"/>
      <c r="AE240" s="280"/>
      <c r="AF240" s="280"/>
      <c r="AG240" s="280"/>
      <c r="AU240" s="164"/>
    </row>
    <row r="241" spans="1:57" hidden="1" outlineLevel="1" x14ac:dyDescent="0.25">
      <c r="A241" s="151"/>
      <c r="B241" s="151"/>
      <c r="C241" s="2161"/>
      <c r="D241" s="3790"/>
      <c r="E241" s="3790"/>
      <c r="F241" s="343" t="s">
        <v>422</v>
      </c>
      <c r="G241" s="2379">
        <v>0.35</v>
      </c>
      <c r="H241" s="343" t="s">
        <v>417</v>
      </c>
      <c r="I241" s="343"/>
      <c r="M241" s="1448"/>
      <c r="N241" s="1449"/>
      <c r="O241" s="1448"/>
      <c r="P241" s="1449"/>
      <c r="V241" s="3790"/>
      <c r="W241" s="2148"/>
      <c r="X241" s="2148"/>
      <c r="Y241" s="2148"/>
      <c r="Z241" s="2148"/>
      <c r="AA241" s="2148"/>
      <c r="AB241" s="475">
        <v>0.35</v>
      </c>
      <c r="AC241" s="2379">
        <v>0.35</v>
      </c>
      <c r="AD241" s="280"/>
      <c r="AE241" s="280"/>
      <c r="AF241" s="280"/>
      <c r="AG241" s="280"/>
      <c r="AU241" s="164"/>
    </row>
    <row r="242" spans="1:57" hidden="1" outlineLevel="1" x14ac:dyDescent="0.25">
      <c r="A242" s="151"/>
      <c r="B242" s="151"/>
      <c r="C242" s="2161"/>
      <c r="D242" s="3790"/>
      <c r="E242" s="3790"/>
      <c r="F242" s="343" t="s">
        <v>423</v>
      </c>
      <c r="G242" s="2379">
        <v>0.3</v>
      </c>
      <c r="H242" s="343" t="s">
        <v>417</v>
      </c>
      <c r="I242" s="343"/>
      <c r="M242" s="1448"/>
      <c r="N242" s="1449"/>
      <c r="O242" s="1448"/>
      <c r="P242" s="1449"/>
      <c r="V242" s="3790"/>
      <c r="W242" s="2148"/>
      <c r="X242" s="2148"/>
      <c r="Y242" s="2148"/>
      <c r="Z242" s="2148"/>
      <c r="AA242" s="2148"/>
      <c r="AB242" s="475">
        <v>0.3</v>
      </c>
      <c r="AC242" s="2379">
        <v>0.3</v>
      </c>
      <c r="AD242" s="280"/>
      <c r="AE242" s="280"/>
      <c r="AF242" s="280"/>
      <c r="AG242" s="280"/>
      <c r="AU242" s="164"/>
    </row>
    <row r="243" spans="1:57" hidden="1" outlineLevel="1" x14ac:dyDescent="0.25">
      <c r="A243" s="151"/>
      <c r="B243" s="151"/>
      <c r="C243" s="2161"/>
      <c r="D243" s="3790"/>
      <c r="E243" s="3790"/>
      <c r="F243" s="343" t="s">
        <v>424</v>
      </c>
      <c r="G243" s="2379">
        <v>0.25</v>
      </c>
      <c r="H243" s="343" t="s">
        <v>417</v>
      </c>
      <c r="I243" s="343" t="s">
        <v>419</v>
      </c>
      <c r="M243" s="1448"/>
      <c r="N243" s="1449"/>
      <c r="O243" s="1448"/>
      <c r="P243" s="1449"/>
      <c r="V243" s="3790"/>
      <c r="W243" s="2148"/>
      <c r="X243" s="2148"/>
      <c r="Y243" s="2148"/>
      <c r="Z243" s="2148"/>
      <c r="AA243" s="2148"/>
      <c r="AB243" s="475">
        <v>0.25</v>
      </c>
      <c r="AC243" s="2379">
        <v>0.25</v>
      </c>
      <c r="AD243" s="280"/>
      <c r="AE243" s="280"/>
      <c r="AF243" s="280"/>
      <c r="AG243" s="280"/>
      <c r="AU243" s="164"/>
    </row>
    <row r="244" spans="1:57" hidden="1" outlineLevel="1" x14ac:dyDescent="0.25">
      <c r="A244" s="151"/>
      <c r="B244" s="151"/>
      <c r="C244" s="2161"/>
      <c r="D244" s="3790"/>
      <c r="E244" s="3790"/>
      <c r="F244" s="343" t="s">
        <v>425</v>
      </c>
      <c r="G244" s="2379">
        <v>0.2</v>
      </c>
      <c r="H244" s="343" t="s">
        <v>417</v>
      </c>
      <c r="I244" s="343"/>
      <c r="M244" s="1448"/>
      <c r="N244" s="1449"/>
      <c r="O244" s="1448"/>
      <c r="P244" s="1449"/>
      <c r="V244" s="3790"/>
      <c r="W244" s="2148"/>
      <c r="X244" s="2148"/>
      <c r="Y244" s="2148"/>
      <c r="Z244" s="2148"/>
      <c r="AA244" s="2148"/>
      <c r="AB244" s="475">
        <v>0.2</v>
      </c>
      <c r="AC244" s="2379">
        <v>0.2</v>
      </c>
      <c r="AD244" s="280"/>
      <c r="AE244" s="280"/>
      <c r="AF244" s="280"/>
      <c r="AG244" s="280"/>
      <c r="AU244" s="164"/>
    </row>
    <row r="245" spans="1:57" hidden="1" outlineLevel="1" x14ac:dyDescent="0.25">
      <c r="A245" s="151"/>
      <c r="B245" s="151"/>
      <c r="C245" s="2161"/>
      <c r="D245" s="3790"/>
      <c r="E245" s="3790"/>
      <c r="F245" s="343" t="s">
        <v>426</v>
      </c>
      <c r="G245" s="2380">
        <f>AVERAGE(G238,G243)</f>
        <v>0.375</v>
      </c>
      <c r="H245" s="2381" t="s">
        <v>427</v>
      </c>
      <c r="I245" s="2381"/>
      <c r="M245" s="1448"/>
      <c r="N245" s="1449"/>
      <c r="O245" s="1448"/>
      <c r="P245" s="1449"/>
      <c r="V245" s="3790"/>
      <c r="W245" s="2149"/>
      <c r="X245" s="2149"/>
      <c r="Y245" s="2149"/>
      <c r="Z245" s="2149"/>
      <c r="AA245" s="2149"/>
      <c r="AB245" s="3020">
        <v>0.375</v>
      </c>
      <c r="AC245" s="2380">
        <v>0.375</v>
      </c>
      <c r="AD245" s="280"/>
      <c r="AE245" s="280"/>
      <c r="AF245" s="280"/>
      <c r="AG245" s="280"/>
      <c r="AU245" s="164"/>
    </row>
    <row r="246" spans="1:57" hidden="1" outlineLevel="1" x14ac:dyDescent="0.25">
      <c r="A246" s="151"/>
      <c r="B246" s="151"/>
      <c r="C246" s="2161"/>
      <c r="D246" s="3791" t="s">
        <v>133</v>
      </c>
      <c r="E246" s="3793" t="s">
        <v>428</v>
      </c>
      <c r="F246" s="343" t="s">
        <v>429</v>
      </c>
      <c r="G246" s="2492">
        <v>0.93799999999999994</v>
      </c>
      <c r="H246" s="2381" t="s">
        <v>253</v>
      </c>
      <c r="I246" s="2381"/>
      <c r="M246" s="1448"/>
      <c r="N246" s="1449"/>
      <c r="O246" s="1448"/>
      <c r="P246" s="1449"/>
      <c r="V246" s="3791" t="s">
        <v>133</v>
      </c>
      <c r="W246" s="2150"/>
      <c r="X246" s="2150"/>
      <c r="Y246" s="2150"/>
      <c r="Z246" s="2150"/>
      <c r="AA246" s="2150"/>
      <c r="AB246" s="3021">
        <v>0.93799999999999994</v>
      </c>
      <c r="AC246" s="3019">
        <v>0.93799999999999994</v>
      </c>
      <c r="AD246" s="280"/>
      <c r="AE246" s="280"/>
      <c r="AF246" s="280"/>
      <c r="AG246" s="280"/>
      <c r="AU246" s="164"/>
    </row>
    <row r="247" spans="1:57" hidden="1" outlineLevel="1" x14ac:dyDescent="0.25">
      <c r="A247" s="151"/>
      <c r="B247" s="151"/>
      <c r="C247" s="2161"/>
      <c r="D247" s="3792"/>
      <c r="E247" s="3794"/>
      <c r="F247" s="343" t="s">
        <v>430</v>
      </c>
      <c r="G247" s="2492">
        <v>0.95</v>
      </c>
      <c r="H247" s="2381" t="s">
        <v>431</v>
      </c>
      <c r="I247" s="2381"/>
      <c r="M247" s="1448"/>
      <c r="N247" s="1449"/>
      <c r="O247" s="1448"/>
      <c r="P247" s="1449"/>
      <c r="V247" s="3792"/>
      <c r="W247" s="2150"/>
      <c r="X247" s="2150"/>
      <c r="Y247" s="2150"/>
      <c r="Z247" s="2150"/>
      <c r="AA247" s="2150"/>
      <c r="AB247" s="2151">
        <v>0.95</v>
      </c>
      <c r="AC247" s="2492">
        <v>0.95</v>
      </c>
      <c r="AD247" s="280"/>
      <c r="AE247" s="280"/>
      <c r="AF247" s="280"/>
      <c r="AG247" s="280"/>
      <c r="AU247" s="164"/>
    </row>
    <row r="248" spans="1:57" hidden="1" outlineLevel="1" x14ac:dyDescent="0.25">
      <c r="A248" s="151"/>
      <c r="B248" s="151"/>
      <c r="C248" s="2161"/>
      <c r="D248" s="2491" t="s">
        <v>181</v>
      </c>
      <c r="E248" s="2491" t="s">
        <v>167</v>
      </c>
      <c r="F248" s="2491" t="s">
        <v>135</v>
      </c>
      <c r="G248" s="1399">
        <v>10</v>
      </c>
      <c r="H248" s="2381"/>
      <c r="I248" s="2381" t="s">
        <v>185</v>
      </c>
      <c r="M248" s="1448"/>
      <c r="N248" s="1449"/>
      <c r="O248" s="1448"/>
      <c r="P248" s="1449"/>
      <c r="V248" s="2491" t="s">
        <v>181</v>
      </c>
      <c r="W248" s="2152"/>
      <c r="X248" s="2152"/>
      <c r="Y248" s="2152"/>
      <c r="Z248" s="2152"/>
      <c r="AA248" s="2152"/>
      <c r="AB248" s="2153">
        <v>10</v>
      </c>
      <c r="AC248" s="1399">
        <v>10</v>
      </c>
      <c r="AD248" s="280"/>
      <c r="AE248" s="280"/>
      <c r="AF248" s="280"/>
      <c r="AG248" s="280"/>
      <c r="AI248" s="342"/>
      <c r="AJ248" s="342"/>
      <c r="AK248" s="320"/>
      <c r="AL248" s="320"/>
      <c r="AM248" s="320"/>
      <c r="AN248" s="320"/>
      <c r="AO248" s="320"/>
      <c r="AP248" s="320"/>
      <c r="AQ248" s="320"/>
      <c r="AR248" s="320"/>
      <c r="AS248" s="320"/>
      <c r="AU248" s="164"/>
    </row>
    <row r="249" spans="1:57" hidden="1" outlineLevel="1" x14ac:dyDescent="0.25">
      <c r="A249" s="151"/>
      <c r="B249" s="151"/>
      <c r="C249" s="2161"/>
      <c r="D249" s="3795" t="str">
        <f>$D$51</f>
        <v>Inc. Cost</v>
      </c>
      <c r="E249" s="3795" t="str">
        <f>$E$51</f>
        <v>Incremental Cost ($)</v>
      </c>
      <c r="F249" s="2382" t="s">
        <v>429</v>
      </c>
      <c r="G249" s="2493">
        <v>30</v>
      </c>
      <c r="H249" s="2382" t="s">
        <v>432</v>
      </c>
      <c r="I249" s="2494" t="s">
        <v>433</v>
      </c>
      <c r="M249" s="1448"/>
      <c r="N249" s="1449"/>
      <c r="O249" s="1448"/>
      <c r="P249" s="1449"/>
      <c r="V249" s="3795" t="str">
        <f>$D$51</f>
        <v>Inc. Cost</v>
      </c>
      <c r="W249" s="2154"/>
      <c r="X249" s="2154"/>
      <c r="Y249" s="2154"/>
      <c r="Z249" s="2154"/>
      <c r="AA249" s="2154"/>
      <c r="AB249" s="2155">
        <v>30</v>
      </c>
      <c r="AC249" s="2493">
        <v>30</v>
      </c>
      <c r="AD249" s="2156"/>
      <c r="AE249" s="2156"/>
      <c r="AF249" s="2156"/>
      <c r="AG249" s="2156"/>
      <c r="AI249" s="342"/>
      <c r="AJ249" s="342"/>
      <c r="AK249" s="320"/>
      <c r="AL249" s="320"/>
      <c r="AM249" s="320"/>
      <c r="AN249" s="320"/>
      <c r="AO249" s="320"/>
      <c r="AP249" s="320"/>
      <c r="AQ249" s="320"/>
      <c r="AR249" s="320"/>
      <c r="AS249" s="320"/>
      <c r="AU249" s="164"/>
    </row>
    <row r="250" spans="1:57" hidden="1" outlineLevel="1" x14ac:dyDescent="0.25">
      <c r="A250" s="151"/>
      <c r="B250" s="151"/>
      <c r="C250" s="2161"/>
      <c r="D250" s="3795"/>
      <c r="E250" s="3795"/>
      <c r="F250" s="2495" t="s">
        <v>430</v>
      </c>
      <c r="G250" s="2493">
        <v>60</v>
      </c>
      <c r="H250" s="2382" t="s">
        <v>434</v>
      </c>
      <c r="I250" s="2382" t="s">
        <v>434</v>
      </c>
      <c r="M250" s="1448"/>
      <c r="N250" s="1449"/>
      <c r="O250" s="1448"/>
      <c r="P250" s="1449"/>
      <c r="V250" s="3795"/>
      <c r="W250" s="2154"/>
      <c r="X250" s="2154"/>
      <c r="Y250" s="2154"/>
      <c r="Z250" s="2154"/>
      <c r="AA250" s="2154"/>
      <c r="AB250" s="2155">
        <v>60</v>
      </c>
      <c r="AC250" s="2493">
        <v>60</v>
      </c>
      <c r="AD250" s="2157"/>
      <c r="AE250" s="2157"/>
      <c r="AF250" s="2157"/>
      <c r="AG250" s="2157"/>
      <c r="AI250" s="342"/>
      <c r="AJ250" s="342"/>
      <c r="AK250" s="320"/>
      <c r="AL250" s="320"/>
      <c r="AM250" s="320"/>
      <c r="AN250" s="320"/>
      <c r="AO250" s="320"/>
      <c r="AP250" s="320"/>
      <c r="AQ250" s="320"/>
      <c r="AR250" s="320"/>
      <c r="AS250" s="320"/>
      <c r="AU250" s="164"/>
    </row>
    <row r="251" spans="1:57" collapsed="1" x14ac:dyDescent="0.25">
      <c r="C251" s="2161"/>
      <c r="D251" s="516"/>
      <c r="E251" s="516"/>
      <c r="F251" s="228"/>
      <c r="G251" s="228"/>
      <c r="H251" s="228"/>
      <c r="X251" s="185"/>
      <c r="AU251" s="164"/>
    </row>
    <row r="252" spans="1:57" x14ac:dyDescent="0.25">
      <c r="AU252" s="164"/>
    </row>
    <row r="253" spans="1:57" x14ac:dyDescent="0.25">
      <c r="A253" s="3160"/>
      <c r="B253" s="3750" t="s">
        <v>435</v>
      </c>
      <c r="C253" s="3751"/>
      <c r="D253" s="3751"/>
      <c r="E253" s="3751"/>
      <c r="F253" s="3751"/>
      <c r="G253" s="3751"/>
      <c r="H253" s="3751"/>
      <c r="I253" s="3744"/>
      <c r="J253" s="3744"/>
      <c r="K253" s="3744"/>
      <c r="L253" s="3744"/>
      <c r="M253" s="3744"/>
      <c r="N253" s="3744"/>
      <c r="O253" s="3745"/>
      <c r="V253" s="3750" t="str">
        <f>B253</f>
        <v>ENERGY STAR Air Purifier</v>
      </c>
      <c r="W253" s="3751"/>
      <c r="X253" s="3751"/>
      <c r="Y253" s="3751"/>
      <c r="Z253" s="3751"/>
      <c r="AA253" s="3751"/>
      <c r="AB253" s="3751"/>
      <c r="AC253" s="3752"/>
      <c r="AD253" s="3752"/>
      <c r="AE253" s="3752"/>
      <c r="AF253" s="3752"/>
      <c r="AG253" s="3752"/>
      <c r="AH253" s="3752"/>
      <c r="AI253" s="3753"/>
      <c r="AU253" s="164"/>
    </row>
    <row r="254" spans="1:57" x14ac:dyDescent="0.25">
      <c r="A254" s="346"/>
      <c r="B254" s="346"/>
      <c r="C254" s="149"/>
      <c r="D254" s="150"/>
      <c r="E254" s="150"/>
      <c r="F254" s="346"/>
      <c r="G254" s="346"/>
      <c r="H254" s="346"/>
      <c r="I254" s="346"/>
      <c r="J254" s="346"/>
      <c r="K254" s="346"/>
      <c r="L254" s="346"/>
      <c r="AU254" s="164"/>
    </row>
    <row r="255" spans="1:57" ht="30" x14ac:dyDescent="0.25">
      <c r="A255" s="1386"/>
      <c r="B255" s="1386"/>
      <c r="C255" s="3086" t="s">
        <v>28</v>
      </c>
      <c r="D255" s="3086" t="s">
        <v>175</v>
      </c>
      <c r="E255" s="347" t="s">
        <v>30</v>
      </c>
      <c r="F255" s="3086" t="s">
        <v>31</v>
      </c>
      <c r="G255" s="347" t="s">
        <v>176</v>
      </c>
      <c r="H255" s="347" t="s">
        <v>177</v>
      </c>
      <c r="I255" s="347" t="s">
        <v>32</v>
      </c>
      <c r="J255" s="347" t="s">
        <v>181</v>
      </c>
      <c r="K255" s="347" t="s">
        <v>170</v>
      </c>
      <c r="L255" s="3086" t="s">
        <v>44</v>
      </c>
      <c r="M255" s="228"/>
      <c r="N255" s="228"/>
      <c r="V255" s="1936" t="s">
        <v>45</v>
      </c>
      <c r="W255" s="1937">
        <v>43252</v>
      </c>
      <c r="X255" s="1937">
        <f>$X$6</f>
        <v>43465</v>
      </c>
      <c r="Y255" s="1937">
        <f>$Y$6</f>
        <v>43800</v>
      </c>
      <c r="Z255" s="1937">
        <f>$Z$6</f>
        <v>43862</v>
      </c>
      <c r="AA255" s="1937">
        <f>$AA$6</f>
        <v>44013</v>
      </c>
      <c r="AB255" s="1937">
        <f>$AB$6</f>
        <v>44166</v>
      </c>
      <c r="AC255" s="1937">
        <f>$AC$6</f>
        <v>44531</v>
      </c>
      <c r="AD255" s="1937" t="str">
        <f>$AD$6</f>
        <v>-</v>
      </c>
      <c r="AE255" s="1937" t="str">
        <f>$AE$6</f>
        <v>-</v>
      </c>
      <c r="AF255" s="1937" t="str">
        <f>$AF$6</f>
        <v>-</v>
      </c>
      <c r="AG255" s="1937" t="str">
        <f>$AG$6</f>
        <v>-</v>
      </c>
      <c r="AU255" s="164"/>
      <c r="BB255" s="1953" t="str">
        <f>$BB$6</f>
        <v>TRC (2020)</v>
      </c>
      <c r="BC255" s="1953" t="str">
        <f>$BC$6</f>
        <v>Benefit Lookup</v>
      </c>
      <c r="BD255" s="230" t="str">
        <f>$BD$6</f>
        <v>Benefits (2019 $)</v>
      </c>
      <c r="BE255" s="230" t="str">
        <f>$BE$6</f>
        <v>Incremental Cost (2019 $)</v>
      </c>
    </row>
    <row r="256" spans="1:57" x14ac:dyDescent="0.25">
      <c r="A256" s="346"/>
      <c r="B256" s="346"/>
      <c r="C256" s="339" t="s">
        <v>436</v>
      </c>
      <c r="D256" s="3227" t="s">
        <v>183</v>
      </c>
      <c r="E256" s="154" t="s">
        <v>437</v>
      </c>
      <c r="F256" s="348">
        <f>ROUND((F269*((1/F266)-(1/F265))*(F270)+(F268-F267)*(24-F270))*365/1000*F272,2)</f>
        <v>578.86</v>
      </c>
      <c r="G256" s="492" t="s">
        <v>438</v>
      </c>
      <c r="H256" s="155">
        <f>VLOOKUP(G256,'CP FACTORS'!$A$3:$B$38, 2, FALSE)</f>
        <v>4.6608050000000002E-4</v>
      </c>
      <c r="I256" s="234">
        <f>ROUND(H256*F256,6)</f>
        <v>0.26979500000000001</v>
      </c>
      <c r="J256" s="325">
        <f>F273</f>
        <v>9</v>
      </c>
      <c r="K256" s="1169">
        <f>F274</f>
        <v>70</v>
      </c>
      <c r="L256" s="3226" t="s">
        <v>185</v>
      </c>
      <c r="N256" s="1430"/>
      <c r="O256" s="1431"/>
      <c r="R256" s="1431"/>
      <c r="V256" s="280" t="s">
        <v>31</v>
      </c>
      <c r="W256" s="85">
        <v>555.64466268041224</v>
      </c>
      <c r="X256" s="85">
        <v>588.78703639406001</v>
      </c>
      <c r="Y256" s="162">
        <v>578.86</v>
      </c>
      <c r="Z256" s="280">
        <v>578.86</v>
      </c>
      <c r="AA256" s="280">
        <v>578.86</v>
      </c>
      <c r="AB256" s="280">
        <v>578.86</v>
      </c>
      <c r="AC256" s="280">
        <v>578.86</v>
      </c>
      <c r="AD256" s="280"/>
      <c r="AE256" s="280"/>
      <c r="AF256" s="280"/>
      <c r="AG256" s="280"/>
      <c r="AH256" s="163"/>
      <c r="AU256" s="164"/>
      <c r="BB256" s="165">
        <f>(BD256)/(BE256)</f>
        <v>5.0190719138903406</v>
      </c>
      <c r="BC256" s="311" t="str">
        <f>CONCATENATE(G256," ",J256," Year EUL")</f>
        <v>HVAC RES 9 Year EUL</v>
      </c>
      <c r="BD256" s="166">
        <f>(INDEX('Avoided Cost Benefits'!$C$4:$C$857,MATCH(BC256,'Avoided Cost Benefits'!$A$4:$A$857,0)))*F256</f>
        <v>331.60456250337313</v>
      </c>
      <c r="BE256" s="1956">
        <f>K256/(1.0595^(2020-2019))</f>
        <v>66.068900424728639</v>
      </c>
    </row>
    <row r="257" spans="1:54" hidden="1" outlineLevel="1" x14ac:dyDescent="0.25">
      <c r="A257" s="346"/>
      <c r="B257" s="346"/>
      <c r="C257" s="149"/>
      <c r="D257" s="150"/>
      <c r="E257" s="167"/>
      <c r="F257" s="351"/>
      <c r="G257" s="352"/>
      <c r="H257" s="346"/>
      <c r="I257" s="353"/>
      <c r="J257" s="353"/>
      <c r="K257" s="353"/>
      <c r="L257" s="346"/>
      <c r="W257" s="199"/>
      <c r="X257" s="199"/>
      <c r="AU257" s="164"/>
    </row>
    <row r="258" spans="1:54" s="250" customFormat="1" hidden="1" outlineLevel="1" x14ac:dyDescent="0.25">
      <c r="A258" s="356"/>
      <c r="B258" s="356"/>
      <c r="C258" s="173"/>
      <c r="D258" s="180" t="s">
        <v>108</v>
      </c>
      <c r="E258" s="354"/>
      <c r="F258" s="355"/>
      <c r="G258" s="356"/>
      <c r="H258" s="356"/>
      <c r="I258" s="353"/>
      <c r="J258" s="353"/>
      <c r="K258" s="353"/>
      <c r="L258" s="356"/>
      <c r="M258" s="257"/>
      <c r="N258" s="257"/>
      <c r="O258" s="257"/>
      <c r="P258" s="257"/>
      <c r="Q258" s="257"/>
      <c r="R258" s="257"/>
      <c r="S258" s="257"/>
      <c r="T258" s="257"/>
      <c r="U258" s="257"/>
      <c r="W258" s="357"/>
      <c r="X258" s="357"/>
      <c r="AU258" s="164"/>
      <c r="BB258" s="252"/>
    </row>
    <row r="259" spans="1:54" s="250" customFormat="1" hidden="1" outlineLevel="1" x14ac:dyDescent="0.25">
      <c r="A259" s="356"/>
      <c r="B259" s="356"/>
      <c r="C259" s="173"/>
      <c r="D259" s="358"/>
      <c r="E259" s="354"/>
      <c r="F259" s="355"/>
      <c r="G259" s="356"/>
      <c r="H259" s="356"/>
      <c r="I259" s="353"/>
      <c r="J259" s="353"/>
      <c r="K259" s="353"/>
      <c r="L259" s="356"/>
      <c r="M259" s="257"/>
      <c r="N259" s="257"/>
      <c r="O259" s="257"/>
      <c r="P259" s="257"/>
      <c r="Q259" s="257"/>
      <c r="R259" s="257"/>
      <c r="S259" s="257"/>
      <c r="T259" s="257"/>
      <c r="U259" s="257"/>
      <c r="W259" s="357"/>
      <c r="X259" s="357"/>
      <c r="AU259" s="164"/>
      <c r="BB259" s="252"/>
    </row>
    <row r="260" spans="1:54" s="250" customFormat="1" hidden="1" outlineLevel="1" x14ac:dyDescent="0.25">
      <c r="A260" s="356"/>
      <c r="B260" s="356"/>
      <c r="C260" s="173"/>
      <c r="D260" s="358"/>
      <c r="E260" s="354"/>
      <c r="F260" s="355"/>
      <c r="G260" s="356"/>
      <c r="H260" s="356"/>
      <c r="I260" s="356"/>
      <c r="J260" s="356"/>
      <c r="K260" s="356"/>
      <c r="L260" s="356"/>
      <c r="M260" s="257"/>
      <c r="N260" s="257"/>
      <c r="O260" s="257"/>
      <c r="P260" s="257"/>
      <c r="Q260" s="257"/>
      <c r="R260" s="257"/>
      <c r="S260" s="257"/>
      <c r="T260" s="257"/>
      <c r="U260" s="257"/>
      <c r="W260" s="357"/>
      <c r="X260" s="357"/>
      <c r="AU260" s="164"/>
      <c r="BB260" s="252"/>
    </row>
    <row r="261" spans="1:54" s="250" customFormat="1" hidden="1" outlineLevel="1" x14ac:dyDescent="0.25">
      <c r="A261" s="356"/>
      <c r="B261" s="356"/>
      <c r="C261" s="173"/>
      <c r="D261" s="358"/>
      <c r="E261" s="354"/>
      <c r="F261" s="355"/>
      <c r="G261" s="356"/>
      <c r="H261" s="356"/>
      <c r="I261" s="356"/>
      <c r="J261" s="356"/>
      <c r="K261" s="356"/>
      <c r="L261" s="356"/>
      <c r="M261" s="257"/>
      <c r="N261" s="257"/>
      <c r="O261" s="257"/>
      <c r="P261" s="257"/>
      <c r="Q261" s="257"/>
      <c r="R261" s="257"/>
      <c r="S261" s="257"/>
      <c r="T261" s="257"/>
      <c r="U261" s="257"/>
      <c r="W261" s="357"/>
      <c r="X261" s="357"/>
      <c r="AU261" s="164"/>
      <c r="BB261" s="252"/>
    </row>
    <row r="262" spans="1:54" s="250" customFormat="1" hidden="1" outlineLevel="1" x14ac:dyDescent="0.25">
      <c r="A262" s="356"/>
      <c r="B262" s="356"/>
      <c r="C262" s="173"/>
      <c r="D262" s="358"/>
      <c r="E262" s="354"/>
      <c r="F262" s="355"/>
      <c r="G262" s="356"/>
      <c r="H262" s="356"/>
      <c r="I262" s="356"/>
      <c r="J262" s="356"/>
      <c r="K262" s="356"/>
      <c r="L262" s="356"/>
      <c r="M262" s="257"/>
      <c r="N262" s="257"/>
      <c r="O262" s="257"/>
      <c r="P262" s="257"/>
      <c r="Q262" s="257"/>
      <c r="R262" s="257"/>
      <c r="S262" s="257"/>
      <c r="T262" s="257"/>
      <c r="U262" s="257"/>
      <c r="W262" s="357"/>
      <c r="X262" s="357"/>
      <c r="AU262" s="164"/>
      <c r="BB262" s="252"/>
    </row>
    <row r="263" spans="1:54" s="250" customFormat="1" hidden="1" outlineLevel="1" x14ac:dyDescent="0.25">
      <c r="A263" s="356"/>
      <c r="B263" s="356"/>
      <c r="C263" s="173"/>
      <c r="D263" s="180"/>
      <c r="E263" s="180"/>
      <c r="F263" s="356"/>
      <c r="G263" s="356"/>
      <c r="H263" s="356"/>
      <c r="I263" s="356"/>
      <c r="J263" s="356"/>
      <c r="K263" s="356"/>
      <c r="L263" s="356"/>
      <c r="M263" s="257"/>
      <c r="N263" s="257"/>
      <c r="O263" s="257"/>
      <c r="P263" s="257"/>
      <c r="Q263" s="257"/>
      <c r="R263" s="257"/>
      <c r="S263" s="257"/>
      <c r="T263" s="257"/>
      <c r="U263" s="257"/>
      <c r="W263" s="357"/>
      <c r="X263" s="357"/>
      <c r="AU263" s="164"/>
      <c r="BB263" s="252"/>
    </row>
    <row r="264" spans="1:54" hidden="1" outlineLevel="1" x14ac:dyDescent="0.25">
      <c r="A264" s="1450"/>
      <c r="B264" s="1450"/>
      <c r="C264" s="149"/>
      <c r="D264" s="3236" t="s">
        <v>109</v>
      </c>
      <c r="E264" s="3236" t="s">
        <v>110</v>
      </c>
      <c r="F264" s="359" t="s">
        <v>112</v>
      </c>
      <c r="G264" s="3773" t="s">
        <v>187</v>
      </c>
      <c r="H264" s="3772"/>
      <c r="I264" s="346"/>
      <c r="J264" s="346"/>
      <c r="K264" s="346"/>
      <c r="L264" s="1450"/>
      <c r="M264" s="228"/>
      <c r="N264" s="228"/>
      <c r="V264" s="1936" t="s">
        <v>45</v>
      </c>
      <c r="W264" s="360">
        <v>43252</v>
      </c>
      <c r="X264" s="1937">
        <f>$X$6</f>
        <v>43465</v>
      </c>
      <c r="Y264" s="1937">
        <f>$Y$6</f>
        <v>43800</v>
      </c>
      <c r="Z264" s="1937">
        <f>$Z$6</f>
        <v>43862</v>
      </c>
      <c r="AA264" s="1937">
        <f>$AA$6</f>
        <v>44013</v>
      </c>
      <c r="AB264" s="1937">
        <f>$AB$6</f>
        <v>44166</v>
      </c>
      <c r="AC264" s="1937">
        <f>$AC$6</f>
        <v>44531</v>
      </c>
      <c r="AD264" s="1937" t="str">
        <f>$AD$6</f>
        <v>-</v>
      </c>
      <c r="AE264" s="1937" t="str">
        <f>$AE$6</f>
        <v>-</v>
      </c>
      <c r="AF264" s="1937" t="str">
        <f>$AF$6</f>
        <v>-</v>
      </c>
      <c r="AG264" s="1937" t="str">
        <f>$AG$6</f>
        <v>-</v>
      </c>
      <c r="AU264" s="164"/>
    </row>
    <row r="265" spans="1:54" ht="36" hidden="1" customHeight="1" outlineLevel="1" x14ac:dyDescent="0.25">
      <c r="A265" s="367"/>
      <c r="B265" s="367"/>
      <c r="D265" s="3091" t="s">
        <v>439</v>
      </c>
      <c r="E265" s="343" t="s">
        <v>440</v>
      </c>
      <c r="F265" s="361">
        <v>3.0027007072388932</v>
      </c>
      <c r="G265" s="3787" t="s">
        <v>441</v>
      </c>
      <c r="H265" s="3788"/>
      <c r="I265" s="346"/>
      <c r="J265" s="346"/>
      <c r="K265" s="346"/>
      <c r="L265" s="367"/>
      <c r="V265" s="324" t="str">
        <f t="shared" ref="V265:V274" si="22">D265</f>
        <v xml:space="preserve">EffES </v>
      </c>
      <c r="W265" s="361">
        <v>2.91</v>
      </c>
      <c r="X265" s="362">
        <v>3.0238677849037763</v>
      </c>
      <c r="Y265" s="362">
        <v>3.0027007072388932</v>
      </c>
      <c r="Z265" s="361">
        <v>3.0027007072388932</v>
      </c>
      <c r="AA265" s="361">
        <v>3.0027007072388932</v>
      </c>
      <c r="AB265" s="361">
        <v>3.0027007072388932</v>
      </c>
      <c r="AC265" s="361">
        <v>3.0027007072388932</v>
      </c>
      <c r="AD265" s="280"/>
      <c r="AE265" s="280"/>
      <c r="AF265" s="280"/>
      <c r="AG265" s="280"/>
      <c r="AU265" s="164"/>
    </row>
    <row r="266" spans="1:54" ht="37.5" hidden="1" customHeight="1" outlineLevel="1" x14ac:dyDescent="0.25">
      <c r="A266" s="367"/>
      <c r="B266" s="367"/>
      <c r="D266" s="3091" t="s">
        <v>442</v>
      </c>
      <c r="E266" s="343" t="s">
        <v>443</v>
      </c>
      <c r="F266" s="361">
        <v>1</v>
      </c>
      <c r="G266" s="3785" t="s">
        <v>444</v>
      </c>
      <c r="H266" s="3786"/>
      <c r="I266" s="346"/>
      <c r="J266" s="346"/>
      <c r="K266" s="346"/>
      <c r="L266" s="367"/>
      <c r="V266" s="324" t="str">
        <f t="shared" si="22"/>
        <v>EffBL</v>
      </c>
      <c r="W266" s="361">
        <v>1</v>
      </c>
      <c r="X266" s="363">
        <v>1</v>
      </c>
      <c r="Y266" s="363">
        <v>1</v>
      </c>
      <c r="Z266" s="361">
        <v>1</v>
      </c>
      <c r="AA266" s="361">
        <v>1</v>
      </c>
      <c r="AB266" s="361">
        <v>1</v>
      </c>
      <c r="AC266" s="361">
        <v>1</v>
      </c>
      <c r="AD266" s="280"/>
      <c r="AE266" s="280"/>
      <c r="AF266" s="280"/>
      <c r="AG266" s="280"/>
      <c r="AU266" s="164"/>
    </row>
    <row r="267" spans="1:54" ht="31.5" hidden="1" customHeight="1" outlineLevel="1" x14ac:dyDescent="0.25">
      <c r="A267" s="367"/>
      <c r="B267" s="367"/>
      <c r="D267" s="3091" t="s">
        <v>445</v>
      </c>
      <c r="E267" s="343" t="s">
        <v>446</v>
      </c>
      <c r="F267" s="364">
        <v>0.39132024229062107</v>
      </c>
      <c r="G267" s="3785" t="s">
        <v>441</v>
      </c>
      <c r="H267" s="3786"/>
      <c r="I267" s="346"/>
      <c r="J267" s="346"/>
      <c r="K267" s="346"/>
      <c r="L267" s="367"/>
      <c r="V267" s="324" t="str">
        <f t="shared" si="22"/>
        <v xml:space="preserve">SBES </v>
      </c>
      <c r="W267" s="364">
        <v>0.29299999999999998</v>
      </c>
      <c r="X267" s="365">
        <v>0.3657961405244905</v>
      </c>
      <c r="Y267" s="365">
        <v>0.39132024229062107</v>
      </c>
      <c r="Z267" s="364">
        <v>0.39132024229062107</v>
      </c>
      <c r="AA267" s="364">
        <v>0.39132024229062107</v>
      </c>
      <c r="AB267" s="364">
        <v>0.39132024229062107</v>
      </c>
      <c r="AC267" s="364">
        <v>0.39132024229062107</v>
      </c>
      <c r="AD267" s="280"/>
      <c r="AE267" s="280"/>
      <c r="AF267" s="280"/>
      <c r="AG267" s="280"/>
      <c r="AU267" s="164"/>
    </row>
    <row r="268" spans="1:54" ht="38.25" hidden="1" customHeight="1" outlineLevel="1" x14ac:dyDescent="0.25">
      <c r="A268" s="367"/>
      <c r="B268" s="367"/>
      <c r="D268" s="3091" t="s">
        <v>447</v>
      </c>
      <c r="E268" s="343" t="s">
        <v>448</v>
      </c>
      <c r="F268" s="361">
        <v>1</v>
      </c>
      <c r="G268" s="3785" t="s">
        <v>444</v>
      </c>
      <c r="H268" s="3786"/>
      <c r="I268" s="346"/>
      <c r="J268" s="346"/>
      <c r="K268" s="346"/>
      <c r="L268" s="367"/>
      <c r="V268" s="324" t="str">
        <f t="shared" si="22"/>
        <v xml:space="preserve">SBBL </v>
      </c>
      <c r="W268" s="361">
        <v>1</v>
      </c>
      <c r="X268" s="363">
        <v>1</v>
      </c>
      <c r="Y268" s="363">
        <v>1</v>
      </c>
      <c r="Z268" s="361">
        <v>1</v>
      </c>
      <c r="AA268" s="361">
        <v>1</v>
      </c>
      <c r="AB268" s="361">
        <v>1</v>
      </c>
      <c r="AC268" s="361">
        <v>1</v>
      </c>
      <c r="AD268" s="280"/>
      <c r="AE268" s="280"/>
      <c r="AF268" s="280"/>
      <c r="AG268" s="280"/>
      <c r="AU268" s="164"/>
    </row>
    <row r="269" spans="1:54" ht="15" hidden="1" customHeight="1" outlineLevel="1" x14ac:dyDescent="0.25">
      <c r="A269" s="367"/>
      <c r="B269" s="367"/>
      <c r="D269" s="3091" t="s">
        <v>449</v>
      </c>
      <c r="E269" s="343" t="s">
        <v>450</v>
      </c>
      <c r="F269" s="361">
        <v>157.56188608132925</v>
      </c>
      <c r="G269" s="3785" t="s">
        <v>441</v>
      </c>
      <c r="H269" s="3786"/>
      <c r="I269" s="346"/>
      <c r="J269" s="346"/>
      <c r="K269" s="346"/>
      <c r="L269" s="367"/>
      <c r="V269" s="324" t="str">
        <f t="shared" si="22"/>
        <v>CADR</v>
      </c>
      <c r="W269" s="361">
        <v>144.41999999999999</v>
      </c>
      <c r="X269" s="362">
        <v>150.16127281696868</v>
      </c>
      <c r="Y269" s="366">
        <v>157.56188608132925</v>
      </c>
      <c r="Z269" s="1134">
        <v>157.56188608132925</v>
      </c>
      <c r="AA269" s="1134">
        <v>157.56188608132925</v>
      </c>
      <c r="AB269" s="361">
        <v>157.56188608132925</v>
      </c>
      <c r="AC269" s="361">
        <v>157.56188608132925</v>
      </c>
      <c r="AD269" s="280"/>
      <c r="AE269" s="280"/>
      <c r="AF269" s="280"/>
      <c r="AG269" s="280"/>
      <c r="AU269" s="164"/>
    </row>
    <row r="270" spans="1:54" ht="36.75" hidden="1" customHeight="1" outlineLevel="1" x14ac:dyDescent="0.25">
      <c r="A270" s="367"/>
      <c r="B270" s="367"/>
      <c r="D270" s="3091" t="s">
        <v>451</v>
      </c>
      <c r="E270" s="343" t="s">
        <v>452</v>
      </c>
      <c r="F270" s="364">
        <v>16</v>
      </c>
      <c r="G270" s="3785" t="s">
        <v>444</v>
      </c>
      <c r="H270" s="3786"/>
      <c r="I270" s="367"/>
      <c r="J270" s="367"/>
      <c r="K270" s="367"/>
      <c r="L270" s="367"/>
      <c r="V270" s="324" t="str">
        <f t="shared" si="22"/>
        <v>Hroper</v>
      </c>
      <c r="W270" s="361">
        <v>16</v>
      </c>
      <c r="X270" s="363">
        <v>16</v>
      </c>
      <c r="Y270" s="363">
        <v>16</v>
      </c>
      <c r="Z270" s="361">
        <v>16</v>
      </c>
      <c r="AA270" s="361">
        <v>16</v>
      </c>
      <c r="AB270" s="364">
        <v>16</v>
      </c>
      <c r="AC270" s="364">
        <v>16</v>
      </c>
      <c r="AD270" s="280"/>
      <c r="AE270" s="280"/>
      <c r="AF270" s="280"/>
      <c r="AG270" s="280"/>
      <c r="AU270" s="164"/>
    </row>
    <row r="271" spans="1:54" hidden="1" outlineLevel="1" x14ac:dyDescent="0.25">
      <c r="A271" s="346"/>
      <c r="B271" s="346"/>
      <c r="C271" s="149"/>
      <c r="D271" s="3091" t="s">
        <v>453</v>
      </c>
      <c r="E271" s="343" t="s">
        <v>363</v>
      </c>
      <c r="F271" s="364">
        <v>365</v>
      </c>
      <c r="G271" s="3785" t="s">
        <v>444</v>
      </c>
      <c r="H271" s="3786"/>
      <c r="I271" s="367"/>
      <c r="J271" s="367"/>
      <c r="K271" s="367"/>
      <c r="L271" s="346"/>
      <c r="V271" s="324" t="str">
        <f t="shared" si="22"/>
        <v>Days per Year</v>
      </c>
      <c r="W271" s="361">
        <v>365</v>
      </c>
      <c r="X271" s="363">
        <v>365</v>
      </c>
      <c r="Y271" s="363">
        <v>365</v>
      </c>
      <c r="Z271" s="361">
        <v>365</v>
      </c>
      <c r="AA271" s="361">
        <v>365</v>
      </c>
      <c r="AB271" s="364">
        <v>365</v>
      </c>
      <c r="AC271" s="364">
        <v>365</v>
      </c>
      <c r="AD271" s="280"/>
      <c r="AE271" s="280"/>
      <c r="AF271" s="280"/>
      <c r="AG271" s="280"/>
      <c r="AU271" s="164"/>
    </row>
    <row r="272" spans="1:54" hidden="1" outlineLevel="1" x14ac:dyDescent="0.25">
      <c r="A272" s="346"/>
      <c r="B272" s="346"/>
      <c r="C272" s="149"/>
      <c r="D272" s="3091" t="s">
        <v>133</v>
      </c>
      <c r="E272" s="343" t="s">
        <v>252</v>
      </c>
      <c r="F272" s="364">
        <v>0.94047619047619047</v>
      </c>
      <c r="G272" s="3785" t="s">
        <v>454</v>
      </c>
      <c r="H272" s="3786"/>
      <c r="I272" s="346"/>
      <c r="J272" s="346"/>
      <c r="K272" s="346"/>
      <c r="L272" s="346"/>
      <c r="V272" s="324" t="str">
        <f t="shared" si="22"/>
        <v>ISR</v>
      </c>
      <c r="W272" s="88">
        <v>1</v>
      </c>
      <c r="X272" s="368">
        <v>1</v>
      </c>
      <c r="Y272" s="369">
        <v>0.94047619047619047</v>
      </c>
      <c r="Z272" s="88">
        <v>0.94047619047619047</v>
      </c>
      <c r="AA272" s="88">
        <v>0.94047619047619047</v>
      </c>
      <c r="AB272" s="364">
        <v>0.94047619047619047</v>
      </c>
      <c r="AC272" s="364">
        <v>0.94047619047619047</v>
      </c>
      <c r="AD272" s="280"/>
      <c r="AE272" s="280"/>
      <c r="AF272" s="280"/>
      <c r="AG272" s="280"/>
      <c r="AU272" s="164"/>
    </row>
    <row r="273" spans="1:57" hidden="1" outlineLevel="1" x14ac:dyDescent="0.25">
      <c r="A273" s="346"/>
      <c r="B273" s="346"/>
      <c r="C273" s="149"/>
      <c r="D273" s="304" t="str">
        <f>$D$50</f>
        <v>EUL</v>
      </c>
      <c r="E273" s="304" t="str">
        <f>$E$50</f>
        <v>Effective Useful Life</v>
      </c>
      <c r="F273" s="361">
        <v>9</v>
      </c>
      <c r="G273" s="3785"/>
      <c r="H273" s="3786"/>
      <c r="I273" s="346"/>
      <c r="J273" s="346"/>
      <c r="K273" s="346"/>
      <c r="L273" s="346"/>
      <c r="V273" s="324" t="str">
        <f t="shared" si="22"/>
        <v>EUL</v>
      </c>
      <c r="W273" s="361">
        <v>9</v>
      </c>
      <c r="X273" s="363">
        <v>9</v>
      </c>
      <c r="Y273" s="363">
        <v>9</v>
      </c>
      <c r="Z273" s="361">
        <v>9</v>
      </c>
      <c r="AA273" s="361">
        <v>9</v>
      </c>
      <c r="AB273" s="361">
        <v>9</v>
      </c>
      <c r="AC273" s="361">
        <v>9</v>
      </c>
      <c r="AD273" s="363"/>
      <c r="AE273" s="363"/>
      <c r="AF273" s="363"/>
      <c r="AG273" s="363"/>
      <c r="AU273" s="164"/>
    </row>
    <row r="274" spans="1:57" hidden="1" outlineLevel="1" x14ac:dyDescent="0.25">
      <c r="A274" s="346"/>
      <c r="B274" s="346"/>
      <c r="C274" s="149"/>
      <c r="D274" s="304" t="str">
        <f>$D$51</f>
        <v>Inc. Cost</v>
      </c>
      <c r="E274" s="304" t="str">
        <f>$E$51</f>
        <v>Incremental Cost ($)</v>
      </c>
      <c r="F274" s="370">
        <v>70</v>
      </c>
      <c r="G274" s="3785"/>
      <c r="H274" s="3786"/>
      <c r="I274" s="346"/>
      <c r="J274" s="346"/>
      <c r="K274" s="346"/>
      <c r="L274" s="346"/>
      <c r="V274" s="324" t="str">
        <f t="shared" si="22"/>
        <v>Inc. Cost</v>
      </c>
      <c r="W274" s="370">
        <v>70</v>
      </c>
      <c r="X274" s="350">
        <v>70</v>
      </c>
      <c r="Y274" s="350">
        <v>70</v>
      </c>
      <c r="Z274" s="370">
        <v>70</v>
      </c>
      <c r="AA274" s="370">
        <v>70</v>
      </c>
      <c r="AB274" s="370">
        <v>70</v>
      </c>
      <c r="AC274" s="370">
        <v>70</v>
      </c>
      <c r="AD274" s="350"/>
      <c r="AE274" s="350"/>
      <c r="AF274" s="350"/>
      <c r="AG274" s="350"/>
      <c r="AU274" s="164"/>
    </row>
    <row r="275" spans="1:57" collapsed="1" x14ac:dyDescent="0.25">
      <c r="A275" s="346"/>
      <c r="B275" s="346"/>
      <c r="C275" s="149"/>
      <c r="D275" s="371"/>
      <c r="E275" s="372"/>
      <c r="F275" s="371"/>
      <c r="G275" s="346"/>
      <c r="H275" s="346"/>
      <c r="I275" s="346"/>
      <c r="J275" s="346"/>
      <c r="K275" s="346"/>
      <c r="L275" s="346"/>
      <c r="X275" s="223"/>
      <c r="AU275" s="164"/>
    </row>
    <row r="276" spans="1:57" x14ac:dyDescent="0.25">
      <c r="A276" s="151"/>
      <c r="B276" s="151"/>
      <c r="C276" s="149"/>
      <c r="D276" s="371"/>
      <c r="E276" s="373"/>
      <c r="F276" s="371"/>
      <c r="G276" s="151"/>
      <c r="H276" s="151"/>
      <c r="I276" s="151"/>
      <c r="J276" s="151"/>
      <c r="K276" s="151"/>
      <c r="L276" s="151"/>
      <c r="AU276" s="164"/>
    </row>
    <row r="277" spans="1:57" x14ac:dyDescent="0.25">
      <c r="A277" s="3160"/>
      <c r="B277" s="3750" t="s">
        <v>455</v>
      </c>
      <c r="C277" s="3751"/>
      <c r="D277" s="3751"/>
      <c r="E277" s="3751"/>
      <c r="F277" s="3751"/>
      <c r="G277" s="3751"/>
      <c r="H277" s="3751"/>
      <c r="I277" s="3744"/>
      <c r="J277" s="3744"/>
      <c r="K277" s="3744"/>
      <c r="L277" s="3744"/>
      <c r="M277" s="3744"/>
      <c r="N277" s="3744"/>
      <c r="O277" s="3745"/>
      <c r="V277" s="3750" t="str">
        <f>B277</f>
        <v>ENERGY STAR Dehumidifier</v>
      </c>
      <c r="W277" s="3751"/>
      <c r="X277" s="3751"/>
      <c r="Y277" s="3751"/>
      <c r="Z277" s="3751"/>
      <c r="AA277" s="3751"/>
      <c r="AB277" s="3751"/>
      <c r="AC277" s="3752"/>
      <c r="AD277" s="3752"/>
      <c r="AE277" s="3752"/>
      <c r="AF277" s="3752"/>
      <c r="AG277" s="3752"/>
      <c r="AH277" s="3752"/>
      <c r="AI277" s="3753"/>
      <c r="AU277" s="164"/>
    </row>
    <row r="278" spans="1:57" x14ac:dyDescent="0.25">
      <c r="AU278" s="164"/>
    </row>
    <row r="279" spans="1:57" ht="30" x14ac:dyDescent="0.25">
      <c r="A279" s="123"/>
      <c r="B279" s="123"/>
      <c r="C279" s="3086" t="s">
        <v>28</v>
      </c>
      <c r="D279" s="3086" t="s">
        <v>175</v>
      </c>
      <c r="E279" s="3086" t="s">
        <v>30</v>
      </c>
      <c r="F279" s="3086" t="s">
        <v>31</v>
      </c>
      <c r="G279" s="3086" t="s">
        <v>176</v>
      </c>
      <c r="H279" s="3086" t="s">
        <v>177</v>
      </c>
      <c r="I279" s="3086" t="s">
        <v>32</v>
      </c>
      <c r="J279" s="3086" t="s">
        <v>181</v>
      </c>
      <c r="K279" s="3086" t="s">
        <v>170</v>
      </c>
      <c r="L279" s="3086" t="s">
        <v>44</v>
      </c>
      <c r="M279" s="147"/>
      <c r="N279" s="147"/>
      <c r="O279" s="1446"/>
      <c r="V279" s="1936" t="s">
        <v>45</v>
      </c>
      <c r="W279" s="1937">
        <v>43252</v>
      </c>
      <c r="X279" s="1937">
        <f>$X$6</f>
        <v>43465</v>
      </c>
      <c r="Y279" s="1937">
        <f>$Y$6</f>
        <v>43800</v>
      </c>
      <c r="Z279" s="1937">
        <f>$Z$6</f>
        <v>43862</v>
      </c>
      <c r="AA279" s="1937">
        <f>$AA$6</f>
        <v>44013</v>
      </c>
      <c r="AB279" s="1937">
        <f>$AB$6</f>
        <v>44166</v>
      </c>
      <c r="AC279" s="1937">
        <f>$AC$6</f>
        <v>44531</v>
      </c>
      <c r="AD279" s="1937" t="str">
        <f>$AD$6</f>
        <v>-</v>
      </c>
      <c r="AE279" s="1937" t="str">
        <f>$AE$6</f>
        <v>-</v>
      </c>
      <c r="AF279" s="1937" t="str">
        <f>$AF$6</f>
        <v>-</v>
      </c>
      <c r="AG279" s="1937" t="str">
        <f>$AG$6</f>
        <v>-</v>
      </c>
      <c r="AU279" s="164"/>
      <c r="BB279" s="1953" t="str">
        <f>$BB$6</f>
        <v>TRC (2020)</v>
      </c>
      <c r="BC279" s="1953" t="str">
        <f>$BC$6</f>
        <v>Benefit Lookup</v>
      </c>
      <c r="BD279" s="230" t="str">
        <f>$BD$6</f>
        <v>Benefits (2019 $)</v>
      </c>
      <c r="BE279" s="230" t="str">
        <f>$BE$6</f>
        <v>Incremental Cost (2019 $)</v>
      </c>
    </row>
    <row r="280" spans="1:57" s="336" customFormat="1" x14ac:dyDescent="0.25">
      <c r="A280" s="3177"/>
      <c r="B280" s="3177"/>
      <c r="C280" s="463" t="s">
        <v>456</v>
      </c>
      <c r="D280" s="3227" t="s">
        <v>183</v>
      </c>
      <c r="E280" s="3127" t="s">
        <v>455</v>
      </c>
      <c r="F280" s="232">
        <f>ROUND(G299,2)</f>
        <v>204</v>
      </c>
      <c r="G280" s="375" t="s">
        <v>258</v>
      </c>
      <c r="H280" s="334">
        <f>VLOOKUP(G280,'CP FACTORS'!$A$3:$B$38, 2, FALSE)</f>
        <v>9.4741810000000004E-4</v>
      </c>
      <c r="I280" s="234">
        <f>ROUND(H280*F280,6)</f>
        <v>0.193273</v>
      </c>
      <c r="J280" s="108">
        <f>G300</f>
        <v>12</v>
      </c>
      <c r="K280" s="1169">
        <f>G301</f>
        <v>5</v>
      </c>
      <c r="L280" s="3226" t="s">
        <v>185</v>
      </c>
      <c r="M280" s="1451"/>
      <c r="N280" s="1452"/>
      <c r="O280" s="1453"/>
      <c r="P280" s="335"/>
      <c r="Q280" s="335"/>
      <c r="R280" s="335"/>
      <c r="S280" s="335"/>
      <c r="T280" s="335"/>
      <c r="U280" s="335"/>
      <c r="V280" s="337" t="s">
        <v>31</v>
      </c>
      <c r="W280" s="376">
        <v>204</v>
      </c>
      <c r="X280" s="376">
        <v>204</v>
      </c>
      <c r="Y280" s="377">
        <v>204</v>
      </c>
      <c r="Z280" s="377">
        <v>204</v>
      </c>
      <c r="AA280" s="377">
        <v>204</v>
      </c>
      <c r="AB280" s="377">
        <v>204</v>
      </c>
      <c r="AC280" s="377">
        <v>204</v>
      </c>
      <c r="AD280" s="337"/>
      <c r="AE280" s="337"/>
      <c r="AF280" s="337"/>
      <c r="AG280" s="337"/>
      <c r="AU280" s="164"/>
      <c r="BB280" s="165">
        <f>(BD280)/(BE280)</f>
        <v>53.365598107834487</v>
      </c>
      <c r="BC280" s="311" t="str">
        <f>CONCATENATE(G280," ",J280," Year EUL")</f>
        <v>Cooling RES 12 Year EUL</v>
      </c>
      <c r="BD280" s="166">
        <f>(INDEX('Avoided Cost Benefits'!$C$4:$C$857,MATCH(BC280,'Avoided Cost Benefits'!$A$4:$A$857,0)))*F280</f>
        <v>251.84331339232884</v>
      </c>
      <c r="BE280" s="1956">
        <f>K280/(1.0595^(2020-2019))</f>
        <v>4.7192071731949028</v>
      </c>
    </row>
    <row r="281" spans="1:57" hidden="1" outlineLevel="1" x14ac:dyDescent="0.25">
      <c r="M281" s="1446"/>
      <c r="N281" s="1446"/>
      <c r="O281" s="1446"/>
      <c r="AU281" s="164"/>
    </row>
    <row r="282" spans="1:57" hidden="1" outlineLevel="1" x14ac:dyDescent="0.25">
      <c r="C282" s="378"/>
      <c r="D282" s="174" t="s">
        <v>108</v>
      </c>
      <c r="E282" s="379"/>
      <c r="F282" s="257"/>
      <c r="G282" s="257"/>
      <c r="M282" s="1446"/>
      <c r="N282" s="1446"/>
      <c r="O282" s="1446"/>
      <c r="AU282" s="164"/>
    </row>
    <row r="283" spans="1:57" hidden="1" outlineLevel="1" x14ac:dyDescent="0.25">
      <c r="C283" s="378"/>
      <c r="D283" s="379"/>
      <c r="E283" s="379"/>
      <c r="F283" s="257"/>
      <c r="G283" s="257"/>
      <c r="M283" s="1446"/>
      <c r="N283" s="1446"/>
      <c r="O283" s="1446"/>
      <c r="AU283" s="164"/>
    </row>
    <row r="284" spans="1:57" hidden="1" outlineLevel="1" x14ac:dyDescent="0.25">
      <c r="C284" s="378"/>
      <c r="D284" s="379"/>
      <c r="E284" s="379"/>
      <c r="F284" s="257"/>
      <c r="G284" s="257"/>
      <c r="M284" s="1446"/>
      <c r="N284" s="1446"/>
      <c r="O284" s="1446"/>
      <c r="AU284" s="164"/>
    </row>
    <row r="285" spans="1:57" hidden="1" outlineLevel="1" x14ac:dyDescent="0.25">
      <c r="M285" s="1446"/>
      <c r="N285" s="1446"/>
      <c r="O285" s="1446"/>
      <c r="AU285" s="164"/>
    </row>
    <row r="286" spans="1:57" ht="15.75" hidden="1" outlineLevel="1" thickBot="1" x14ac:dyDescent="0.3">
      <c r="D286" s="380" t="s">
        <v>109</v>
      </c>
      <c r="E286" s="381" t="s">
        <v>110</v>
      </c>
      <c r="F286" s="382" t="s">
        <v>186</v>
      </c>
      <c r="G286" s="382" t="s">
        <v>112</v>
      </c>
      <c r="H286" s="3161" t="s">
        <v>410</v>
      </c>
      <c r="M286" s="147"/>
      <c r="N286" s="147"/>
      <c r="O286" s="1446"/>
      <c r="V286" s="1936" t="s">
        <v>45</v>
      </c>
      <c r="W286" s="1937">
        <v>43252</v>
      </c>
      <c r="X286" s="1937">
        <f>$X$6</f>
        <v>43465</v>
      </c>
      <c r="Y286" s="1937">
        <f>$Y$6</f>
        <v>43800</v>
      </c>
      <c r="Z286" s="1937">
        <f>$Z$6</f>
        <v>43862</v>
      </c>
      <c r="AA286" s="1937">
        <f>$AA$6</f>
        <v>44013</v>
      </c>
      <c r="AB286" s="1937">
        <f>$AB$6</f>
        <v>44166</v>
      </c>
      <c r="AC286" s="1937">
        <f>$AC$6</f>
        <v>44531</v>
      </c>
      <c r="AD286" s="1937" t="str">
        <f>$AD$6</f>
        <v>-</v>
      </c>
      <c r="AE286" s="1937" t="str">
        <f>$AE$6</f>
        <v>-</v>
      </c>
      <c r="AF286" s="1937" t="str">
        <f>$AF$6</f>
        <v>-</v>
      </c>
      <c r="AG286" s="1937" t="str">
        <f>$AG$6</f>
        <v>-</v>
      </c>
      <c r="AU286" s="164"/>
    </row>
    <row r="287" spans="1:57" ht="31.5" hidden="1" customHeight="1" outlineLevel="1" x14ac:dyDescent="0.25">
      <c r="D287" s="3775" t="s">
        <v>457</v>
      </c>
      <c r="E287" s="3778" t="s">
        <v>458</v>
      </c>
      <c r="F287" s="383" t="s">
        <v>459</v>
      </c>
      <c r="G287" s="383">
        <v>322</v>
      </c>
      <c r="H287" s="383" t="s">
        <v>460</v>
      </c>
      <c r="M287" s="1454"/>
      <c r="N287" s="1454"/>
      <c r="O287" s="1446"/>
      <c r="V287" s="3781" t="s">
        <v>461</v>
      </c>
      <c r="W287" s="2467">
        <v>322</v>
      </c>
      <c r="X287" s="2467">
        <v>322</v>
      </c>
      <c r="Y287" s="2467">
        <v>322</v>
      </c>
      <c r="Z287" s="2468">
        <v>322</v>
      </c>
      <c r="AA287" s="2468">
        <v>322</v>
      </c>
      <c r="AB287" s="2468">
        <v>322</v>
      </c>
      <c r="AC287" s="2468">
        <v>322</v>
      </c>
      <c r="AD287" s="2467"/>
      <c r="AE287" s="2467"/>
      <c r="AF287" s="2467"/>
      <c r="AG287" s="2467"/>
      <c r="AU287" s="164"/>
    </row>
    <row r="288" spans="1:57" hidden="1" outlineLevel="1" x14ac:dyDescent="0.25">
      <c r="D288" s="3776"/>
      <c r="E288" s="3779"/>
      <c r="F288" s="104" t="s">
        <v>462</v>
      </c>
      <c r="G288" s="104">
        <v>482</v>
      </c>
      <c r="H288" s="104" t="s">
        <v>460</v>
      </c>
      <c r="M288" s="1454"/>
      <c r="N288" s="1454"/>
      <c r="O288" s="1446"/>
      <c r="V288" s="3782"/>
      <c r="W288" s="499">
        <v>482</v>
      </c>
      <c r="X288" s="499">
        <v>482</v>
      </c>
      <c r="Y288" s="499">
        <v>482</v>
      </c>
      <c r="Z288" s="481">
        <v>482</v>
      </c>
      <c r="AA288" s="481">
        <v>482</v>
      </c>
      <c r="AB288" s="481">
        <v>482</v>
      </c>
      <c r="AC288" s="481">
        <v>482</v>
      </c>
      <c r="AD288" s="499"/>
      <c r="AE288" s="499"/>
      <c r="AF288" s="499"/>
      <c r="AG288" s="499"/>
      <c r="AU288" s="164"/>
    </row>
    <row r="289" spans="1:47" hidden="1" outlineLevel="1" x14ac:dyDescent="0.25">
      <c r="D289" s="3776"/>
      <c r="E289" s="3779"/>
      <c r="F289" s="104" t="s">
        <v>463</v>
      </c>
      <c r="G289" s="104">
        <v>643</v>
      </c>
      <c r="H289" s="104" t="s">
        <v>464</v>
      </c>
      <c r="M289" s="1454"/>
      <c r="N289" s="1454"/>
      <c r="O289" s="1446"/>
      <c r="V289" s="3782"/>
      <c r="W289" s="499">
        <v>643</v>
      </c>
      <c r="X289" s="499">
        <v>643</v>
      </c>
      <c r="Y289" s="499">
        <v>643</v>
      </c>
      <c r="Z289" s="481">
        <v>643</v>
      </c>
      <c r="AA289" s="481">
        <v>643</v>
      </c>
      <c r="AB289" s="481">
        <v>643</v>
      </c>
      <c r="AC289" s="481">
        <v>643</v>
      </c>
      <c r="AD289" s="499"/>
      <c r="AE289" s="499"/>
      <c r="AF289" s="499"/>
      <c r="AG289" s="499"/>
      <c r="AU289" s="164"/>
    </row>
    <row r="290" spans="1:47" hidden="1" outlineLevel="1" x14ac:dyDescent="0.25">
      <c r="D290" s="3776"/>
      <c r="E290" s="3779"/>
      <c r="F290" s="104" t="s">
        <v>465</v>
      </c>
      <c r="G290" s="104">
        <v>804</v>
      </c>
      <c r="H290" s="104" t="s">
        <v>466</v>
      </c>
      <c r="M290" s="1454"/>
      <c r="N290" s="1454"/>
      <c r="O290" s="1446"/>
      <c r="V290" s="3782"/>
      <c r="W290" s="499">
        <v>804</v>
      </c>
      <c r="X290" s="499">
        <v>804</v>
      </c>
      <c r="Y290" s="499">
        <v>804</v>
      </c>
      <c r="Z290" s="481">
        <v>804</v>
      </c>
      <c r="AA290" s="481">
        <v>804</v>
      </c>
      <c r="AB290" s="481">
        <v>804</v>
      </c>
      <c r="AC290" s="481">
        <v>804</v>
      </c>
      <c r="AD290" s="499"/>
      <c r="AE290" s="499"/>
      <c r="AF290" s="499"/>
      <c r="AG290" s="499"/>
      <c r="AU290" s="164"/>
    </row>
    <row r="291" spans="1:47" hidden="1" outlineLevel="1" x14ac:dyDescent="0.25">
      <c r="D291" s="3776"/>
      <c r="E291" s="3779"/>
      <c r="F291" s="104" t="s">
        <v>467</v>
      </c>
      <c r="G291" s="384">
        <v>1045</v>
      </c>
      <c r="H291" s="104" t="s">
        <v>468</v>
      </c>
      <c r="M291" s="1455"/>
      <c r="N291" s="1455"/>
      <c r="O291" s="1446"/>
      <c r="V291" s="3782"/>
      <c r="W291" s="508">
        <v>1045</v>
      </c>
      <c r="X291" s="508">
        <v>1045</v>
      </c>
      <c r="Y291" s="508">
        <v>1045</v>
      </c>
      <c r="Z291" s="529">
        <v>1045</v>
      </c>
      <c r="AA291" s="529">
        <v>1045</v>
      </c>
      <c r="AB291" s="529">
        <v>1045</v>
      </c>
      <c r="AC291" s="529">
        <v>1045</v>
      </c>
      <c r="AD291" s="508"/>
      <c r="AE291" s="508"/>
      <c r="AF291" s="508"/>
      <c r="AG291" s="508"/>
      <c r="AU291" s="164"/>
    </row>
    <row r="292" spans="1:47" ht="15.75" hidden="1" outlineLevel="1" thickBot="1" x14ac:dyDescent="0.3">
      <c r="D292" s="3777"/>
      <c r="E292" s="3780"/>
      <c r="F292" s="385" t="s">
        <v>469</v>
      </c>
      <c r="G292" s="386">
        <v>1493</v>
      </c>
      <c r="H292" s="385" t="s">
        <v>470</v>
      </c>
      <c r="M292" s="1455"/>
      <c r="N292" s="1455"/>
      <c r="O292" s="1446"/>
      <c r="V292" s="3783"/>
      <c r="W292" s="2469">
        <v>1493</v>
      </c>
      <c r="X292" s="2469">
        <v>1493</v>
      </c>
      <c r="Y292" s="2469">
        <v>1493</v>
      </c>
      <c r="Z292" s="2470">
        <v>1493</v>
      </c>
      <c r="AA292" s="2470">
        <v>1493</v>
      </c>
      <c r="AB292" s="2470">
        <v>1493</v>
      </c>
      <c r="AC292" s="2470">
        <v>1493</v>
      </c>
      <c r="AD292" s="2469"/>
      <c r="AE292" s="2469"/>
      <c r="AF292" s="2469"/>
      <c r="AG292" s="2469"/>
      <c r="AU292" s="164"/>
    </row>
    <row r="293" spans="1:47" ht="15" hidden="1" customHeight="1" outlineLevel="1" x14ac:dyDescent="0.25">
      <c r="D293" s="3775" t="s">
        <v>461</v>
      </c>
      <c r="E293" s="3778" t="s">
        <v>471</v>
      </c>
      <c r="F293" s="383" t="s">
        <v>459</v>
      </c>
      <c r="G293" s="383">
        <v>477</v>
      </c>
      <c r="H293" s="383" t="s">
        <v>472</v>
      </c>
      <c r="M293" s="1454"/>
      <c r="N293" s="1454"/>
      <c r="O293" s="1446"/>
      <c r="V293" s="3781" t="s">
        <v>457</v>
      </c>
      <c r="W293" s="2471">
        <v>477</v>
      </c>
      <c r="X293" s="2471">
        <v>477</v>
      </c>
      <c r="Y293" s="2471">
        <v>477</v>
      </c>
      <c r="Z293" s="2472">
        <v>477</v>
      </c>
      <c r="AA293" s="2472">
        <v>477</v>
      </c>
      <c r="AB293" s="2472">
        <v>477</v>
      </c>
      <c r="AC293" s="2472">
        <v>477</v>
      </c>
      <c r="AD293" s="2471"/>
      <c r="AE293" s="2471"/>
      <c r="AF293" s="2471"/>
      <c r="AG293" s="2471"/>
      <c r="AU293" s="164"/>
    </row>
    <row r="294" spans="1:47" hidden="1" outlineLevel="1" x14ac:dyDescent="0.25">
      <c r="D294" s="3776"/>
      <c r="E294" s="3779"/>
      <c r="F294" s="104" t="s">
        <v>462</v>
      </c>
      <c r="G294" s="104">
        <v>714</v>
      </c>
      <c r="H294" s="104" t="s">
        <v>472</v>
      </c>
      <c r="M294" s="1454"/>
      <c r="N294" s="1454"/>
      <c r="O294" s="1446"/>
      <c r="V294" s="3782"/>
      <c r="W294" s="2473">
        <v>714</v>
      </c>
      <c r="X294" s="2473">
        <v>714</v>
      </c>
      <c r="Y294" s="2473">
        <v>714</v>
      </c>
      <c r="Z294" s="2474">
        <v>714</v>
      </c>
      <c r="AA294" s="2474">
        <v>714</v>
      </c>
      <c r="AB294" s="2474">
        <v>714</v>
      </c>
      <c r="AC294" s="2474">
        <v>714</v>
      </c>
      <c r="AD294" s="2473"/>
      <c r="AE294" s="2473"/>
      <c r="AF294" s="2473"/>
      <c r="AG294" s="2473"/>
      <c r="AU294" s="164"/>
    </row>
    <row r="295" spans="1:47" hidden="1" outlineLevel="1" x14ac:dyDescent="0.25">
      <c r="D295" s="3776"/>
      <c r="E295" s="3779"/>
      <c r="F295" s="104" t="s">
        <v>463</v>
      </c>
      <c r="G295" s="104">
        <v>857</v>
      </c>
      <c r="H295" s="104" t="s">
        <v>472</v>
      </c>
      <c r="M295" s="1454"/>
      <c r="N295" s="1454"/>
      <c r="O295" s="1446"/>
      <c r="V295" s="3782"/>
      <c r="W295" s="2473">
        <v>857</v>
      </c>
      <c r="X295" s="2473">
        <v>857</v>
      </c>
      <c r="Y295" s="2473">
        <v>857</v>
      </c>
      <c r="Z295" s="2474">
        <v>857</v>
      </c>
      <c r="AA295" s="2474">
        <v>857</v>
      </c>
      <c r="AB295" s="2474">
        <v>857</v>
      </c>
      <c r="AC295" s="2474">
        <v>857</v>
      </c>
      <c r="AD295" s="2473"/>
      <c r="AE295" s="2473"/>
      <c r="AF295" s="2473"/>
      <c r="AG295" s="2473"/>
      <c r="AU295" s="164"/>
    </row>
    <row r="296" spans="1:47" hidden="1" outlineLevel="1" x14ac:dyDescent="0.25">
      <c r="D296" s="3776"/>
      <c r="E296" s="3779"/>
      <c r="F296" s="104" t="s">
        <v>465</v>
      </c>
      <c r="G296" s="104">
        <v>1005</v>
      </c>
      <c r="H296" s="104" t="s">
        <v>472</v>
      </c>
      <c r="M296" s="1454"/>
      <c r="N296" s="1454"/>
      <c r="O296" s="1446"/>
      <c r="V296" s="3782"/>
      <c r="W296" s="2473">
        <v>1005</v>
      </c>
      <c r="X296" s="2473">
        <v>1005</v>
      </c>
      <c r="Y296" s="2473">
        <v>1005</v>
      </c>
      <c r="Z296" s="2474">
        <v>1005</v>
      </c>
      <c r="AA296" s="2474">
        <v>1005</v>
      </c>
      <c r="AB296" s="2474">
        <v>1005</v>
      </c>
      <c r="AC296" s="2474">
        <v>1005</v>
      </c>
      <c r="AD296" s="2473"/>
      <c r="AE296" s="2473"/>
      <c r="AF296" s="2473"/>
      <c r="AG296" s="2473"/>
      <c r="AU296" s="164"/>
    </row>
    <row r="297" spans="1:47" hidden="1" outlineLevel="1" x14ac:dyDescent="0.25">
      <c r="D297" s="3776"/>
      <c r="E297" s="3779"/>
      <c r="F297" s="104" t="s">
        <v>467</v>
      </c>
      <c r="G297" s="384">
        <v>1229</v>
      </c>
      <c r="H297" s="104" t="s">
        <v>472</v>
      </c>
      <c r="M297" s="1455"/>
      <c r="N297" s="1455"/>
      <c r="O297" s="1446"/>
      <c r="V297" s="3782"/>
      <c r="W297" s="2475">
        <v>1229</v>
      </c>
      <c r="X297" s="2475">
        <v>1229</v>
      </c>
      <c r="Y297" s="2475">
        <v>1229</v>
      </c>
      <c r="Z297" s="2476">
        <v>1229</v>
      </c>
      <c r="AA297" s="2476">
        <v>1229</v>
      </c>
      <c r="AB297" s="2476">
        <v>1229</v>
      </c>
      <c r="AC297" s="2476">
        <v>1229</v>
      </c>
      <c r="AD297" s="2475"/>
      <c r="AE297" s="2475"/>
      <c r="AF297" s="2475"/>
      <c r="AG297" s="2475"/>
      <c r="AU297" s="164"/>
    </row>
    <row r="298" spans="1:47" ht="15.75" hidden="1" outlineLevel="1" thickBot="1" x14ac:dyDescent="0.3">
      <c r="D298" s="3777"/>
      <c r="E298" s="3784"/>
      <c r="F298" s="387" t="s">
        <v>469</v>
      </c>
      <c r="G298" s="388">
        <v>1672</v>
      </c>
      <c r="H298" s="387" t="s">
        <v>473</v>
      </c>
      <c r="M298" s="1455"/>
      <c r="N298" s="1455"/>
      <c r="O298" s="1446"/>
      <c r="V298" s="3783"/>
      <c r="W298" s="2477">
        <v>1672</v>
      </c>
      <c r="X298" s="2477">
        <v>1672</v>
      </c>
      <c r="Y298" s="2477">
        <v>1672</v>
      </c>
      <c r="Z298" s="2478">
        <v>1672</v>
      </c>
      <c r="AA298" s="2478">
        <v>1672</v>
      </c>
      <c r="AB298" s="2478">
        <v>1672</v>
      </c>
      <c r="AC298" s="2478">
        <v>1672</v>
      </c>
      <c r="AD298" s="2477"/>
      <c r="AE298" s="2477"/>
      <c r="AF298" s="2477"/>
      <c r="AG298" s="2477"/>
      <c r="AU298" s="164"/>
    </row>
    <row r="299" spans="1:47" ht="45" hidden="1" outlineLevel="1" x14ac:dyDescent="0.25">
      <c r="D299" s="1798" t="s">
        <v>474</v>
      </c>
      <c r="E299" s="3118" t="s">
        <v>475</v>
      </c>
      <c r="F299" s="3197"/>
      <c r="G299" s="3197">
        <v>204</v>
      </c>
      <c r="H299" s="3197"/>
      <c r="M299" s="1454"/>
      <c r="N299" s="1454"/>
      <c r="O299" s="1446"/>
      <c r="V299" s="2428" t="s">
        <v>474</v>
      </c>
      <c r="W299" s="2479">
        <v>204</v>
      </c>
      <c r="X299" s="2479">
        <v>204</v>
      </c>
      <c r="Y299" s="2479">
        <v>204</v>
      </c>
      <c r="Z299" s="2480">
        <v>204</v>
      </c>
      <c r="AA299" s="2480">
        <v>204</v>
      </c>
      <c r="AB299" s="2480">
        <v>204</v>
      </c>
      <c r="AC299" s="2480">
        <v>204</v>
      </c>
      <c r="AD299" s="2479"/>
      <c r="AE299" s="2479"/>
      <c r="AF299" s="2479"/>
      <c r="AG299" s="2479"/>
      <c r="AU299" s="164"/>
    </row>
    <row r="300" spans="1:47" ht="15" hidden="1" customHeight="1" outlineLevel="1" x14ac:dyDescent="0.25">
      <c r="A300" s="346"/>
      <c r="B300" s="346"/>
      <c r="C300" s="149"/>
      <c r="D300" s="1798" t="str">
        <f>$D$50</f>
        <v>EUL</v>
      </c>
      <c r="E300" s="1798" t="str">
        <f>$E$50</f>
        <v>Effective Useful Life</v>
      </c>
      <c r="F300" s="3209" t="s">
        <v>185</v>
      </c>
      <c r="G300" s="389">
        <v>12</v>
      </c>
      <c r="H300" s="3209"/>
      <c r="I300" s="346"/>
      <c r="J300" s="346"/>
      <c r="K300" s="346"/>
      <c r="L300" s="346"/>
      <c r="V300" s="321" t="str">
        <f>D300</f>
        <v>EUL</v>
      </c>
      <c r="W300" s="2464">
        <v>12</v>
      </c>
      <c r="X300" s="2464">
        <v>12</v>
      </c>
      <c r="Y300" s="2464">
        <v>12</v>
      </c>
      <c r="Z300" s="2464">
        <v>12</v>
      </c>
      <c r="AA300" s="2464">
        <v>12</v>
      </c>
      <c r="AB300" s="2464">
        <v>12</v>
      </c>
      <c r="AC300" s="2464">
        <v>12</v>
      </c>
      <c r="AD300" s="2464"/>
      <c r="AE300" s="2464"/>
      <c r="AF300" s="2464"/>
      <c r="AG300" s="2464"/>
      <c r="AU300" s="164"/>
    </row>
    <row r="301" spans="1:47" ht="15" hidden="1" customHeight="1" outlineLevel="1" x14ac:dyDescent="0.25">
      <c r="A301" s="346"/>
      <c r="B301" s="346"/>
      <c r="C301" s="149"/>
      <c r="D301" s="1798" t="str">
        <f>$D$51</f>
        <v>Inc. Cost</v>
      </c>
      <c r="E301" s="1798" t="str">
        <f>$E$51</f>
        <v>Incremental Cost ($)</v>
      </c>
      <c r="F301" s="3209" t="s">
        <v>185</v>
      </c>
      <c r="G301" s="370">
        <v>5</v>
      </c>
      <c r="H301" s="3209"/>
      <c r="I301" s="346"/>
      <c r="J301" s="346"/>
      <c r="K301" s="346"/>
      <c r="L301" s="346"/>
      <c r="V301" s="321" t="str">
        <f>D301</f>
        <v>Inc. Cost</v>
      </c>
      <c r="W301" s="2465">
        <v>5</v>
      </c>
      <c r="X301" s="2465">
        <v>5</v>
      </c>
      <c r="Y301" s="2465">
        <v>5</v>
      </c>
      <c r="Z301" s="2466">
        <v>5</v>
      </c>
      <c r="AA301" s="2466">
        <v>5</v>
      </c>
      <c r="AB301" s="2466">
        <v>5</v>
      </c>
      <c r="AC301" s="2466">
        <v>5</v>
      </c>
      <c r="AD301" s="2465"/>
      <c r="AE301" s="2465"/>
      <c r="AF301" s="2465"/>
      <c r="AG301" s="2465"/>
      <c r="AU301" s="164"/>
    </row>
    <row r="302" spans="1:47" collapsed="1" x14ac:dyDescent="0.25">
      <c r="D302" s="390"/>
      <c r="E302" s="390"/>
      <c r="F302" s="391"/>
      <c r="G302" s="391"/>
      <c r="H302" s="391"/>
      <c r="Y302" s="223" t="s">
        <v>409</v>
      </c>
      <c r="AU302" s="164"/>
    </row>
    <row r="303" spans="1:47" x14ac:dyDescent="0.25">
      <c r="AU303" s="164"/>
    </row>
    <row r="304" spans="1:47" x14ac:dyDescent="0.25">
      <c r="B304" s="3750" t="s">
        <v>476</v>
      </c>
      <c r="C304" s="3751"/>
      <c r="D304" s="3751"/>
      <c r="E304" s="3751"/>
      <c r="F304" s="3751"/>
      <c r="G304" s="3751"/>
      <c r="H304" s="3751"/>
      <c r="I304" s="3744"/>
      <c r="J304" s="3744"/>
      <c r="K304" s="3744"/>
      <c r="L304" s="3744"/>
      <c r="M304" s="3744"/>
      <c r="N304" s="3744"/>
      <c r="O304" s="3745"/>
      <c r="V304" s="3750" t="str">
        <f>B304</f>
        <v>Energy Star Room AC</v>
      </c>
      <c r="W304" s="3751"/>
      <c r="X304" s="3751"/>
      <c r="Y304" s="3751"/>
      <c r="Z304" s="3751"/>
      <c r="AA304" s="3751"/>
      <c r="AB304" s="3751"/>
      <c r="AC304" s="3752"/>
      <c r="AD304" s="3752"/>
      <c r="AE304" s="3752"/>
      <c r="AF304" s="3752"/>
      <c r="AG304" s="3752"/>
      <c r="AH304" s="3752"/>
      <c r="AI304" s="3753"/>
      <c r="AU304" s="164"/>
    </row>
    <row r="305" spans="1:57" x14ac:dyDescent="0.25">
      <c r="B305" s="123"/>
      <c r="C305" s="328"/>
      <c r="D305" s="329"/>
      <c r="E305" s="329"/>
      <c r="F305" s="123"/>
      <c r="G305" s="123"/>
      <c r="H305" s="123"/>
      <c r="I305" s="123"/>
      <c r="J305" s="123"/>
      <c r="K305" s="123"/>
      <c r="L305" s="123"/>
      <c r="M305" s="123"/>
      <c r="N305" s="123"/>
      <c r="O305" s="123"/>
      <c r="AU305" s="164"/>
    </row>
    <row r="306" spans="1:57" ht="30" x14ac:dyDescent="0.25">
      <c r="B306" s="1288"/>
      <c r="C306" s="3086" t="s">
        <v>28</v>
      </c>
      <c r="D306" s="3086" t="s">
        <v>175</v>
      </c>
      <c r="E306" s="3086" t="s">
        <v>30</v>
      </c>
      <c r="F306" s="3086" t="s">
        <v>31</v>
      </c>
      <c r="G306" s="3086" t="s">
        <v>176</v>
      </c>
      <c r="H306" s="3086" t="s">
        <v>177</v>
      </c>
      <c r="I306" s="3086" t="s">
        <v>32</v>
      </c>
      <c r="J306" s="3086" t="s">
        <v>181</v>
      </c>
      <c r="K306" s="3086" t="s">
        <v>170</v>
      </c>
      <c r="L306" s="3086" t="s">
        <v>44</v>
      </c>
      <c r="M306" s="228"/>
      <c r="N306" s="228"/>
      <c r="O306" s="1288"/>
      <c r="V306" s="1936" t="s">
        <v>45</v>
      </c>
      <c r="W306" s="1937">
        <v>43252</v>
      </c>
      <c r="X306" s="1937">
        <f>$X$6</f>
        <v>43465</v>
      </c>
      <c r="Y306" s="1937">
        <f>$Y$6</f>
        <v>43800</v>
      </c>
      <c r="Z306" s="1937">
        <f>$Z$6</f>
        <v>43862</v>
      </c>
      <c r="AA306" s="1937">
        <f>$AA$6</f>
        <v>44013</v>
      </c>
      <c r="AB306" s="1937">
        <f>$AB$6</f>
        <v>44166</v>
      </c>
      <c r="AC306" s="1937">
        <f>$AC$6</f>
        <v>44531</v>
      </c>
      <c r="AD306" s="1937" t="str">
        <f>$AD$6</f>
        <v>-</v>
      </c>
      <c r="AE306" s="1937" t="str">
        <f>$AE$6</f>
        <v>-</v>
      </c>
      <c r="AF306" s="1937" t="str">
        <f>$AF$6</f>
        <v>-</v>
      </c>
      <c r="AG306" s="1937" t="str">
        <f>$AG$6</f>
        <v>-</v>
      </c>
      <c r="AU306" s="164"/>
      <c r="BB306" s="1953" t="str">
        <f>$BB$6</f>
        <v>TRC (2020)</v>
      </c>
      <c r="BC306" s="1953" t="str">
        <f>$BC$6</f>
        <v>Benefit Lookup</v>
      </c>
      <c r="BD306" s="230" t="str">
        <f>$BD$6</f>
        <v>Benefits (2019 $)</v>
      </c>
      <c r="BE306" s="230" t="str">
        <f>$BE$6</f>
        <v>Incremental Cost (2019 $)</v>
      </c>
    </row>
    <row r="307" spans="1:57" s="392" customFormat="1" x14ac:dyDescent="0.25">
      <c r="A307" s="223"/>
      <c r="B307" s="151"/>
      <c r="C307" s="339" t="s">
        <v>477</v>
      </c>
      <c r="D307" s="3227" t="s">
        <v>183</v>
      </c>
      <c r="E307" s="154" t="s">
        <v>478</v>
      </c>
      <c r="F307" s="393">
        <f>ROUND((F322*F318*(1/F319-1/F320)/1000)*F325,2)</f>
        <v>49.46</v>
      </c>
      <c r="G307" s="3226" t="s">
        <v>258</v>
      </c>
      <c r="H307" s="155">
        <f>VLOOKUP(G307,'CP FACTORS'!$A$3:$B$38, 2, FALSE)</f>
        <v>9.4741810000000004E-4</v>
      </c>
      <c r="I307" s="234">
        <f>ROUND(H307*F307,6)</f>
        <v>4.6858999999999998E-2</v>
      </c>
      <c r="J307" s="325">
        <f>$F$326</f>
        <v>9</v>
      </c>
      <c r="K307" s="1169">
        <f>$F$327</f>
        <v>20</v>
      </c>
      <c r="L307" s="2666" t="s">
        <v>185</v>
      </c>
      <c r="M307" s="223"/>
      <c r="N307" s="1430"/>
      <c r="O307" s="1135"/>
      <c r="P307" s="223"/>
      <c r="Q307" s="223"/>
      <c r="R307" s="1431"/>
      <c r="S307" s="223"/>
      <c r="T307" s="223"/>
      <c r="U307" s="223"/>
      <c r="V307" s="395" t="s">
        <v>31</v>
      </c>
      <c r="W307" s="396">
        <v>39.971901865754226</v>
      </c>
      <c r="X307" s="325">
        <v>48.514633185797841</v>
      </c>
      <c r="Y307" s="397">
        <v>49.46</v>
      </c>
      <c r="Z307" s="2158">
        <v>49.46</v>
      </c>
      <c r="AA307" s="2158">
        <v>49.46</v>
      </c>
      <c r="AB307" s="2158">
        <v>49.46</v>
      </c>
      <c r="AC307" s="2158">
        <v>49.46</v>
      </c>
      <c r="AD307" s="395"/>
      <c r="AE307" s="395"/>
      <c r="AF307" s="395"/>
      <c r="AG307" s="395"/>
      <c r="AH307" s="163"/>
      <c r="AI307" s="97"/>
      <c r="AJ307" s="97"/>
      <c r="AK307" s="97"/>
      <c r="AL307" s="97"/>
      <c r="AM307" s="97"/>
      <c r="AN307" s="97"/>
      <c r="AO307" s="97"/>
      <c r="AP307" s="97"/>
      <c r="AQ307" s="97"/>
      <c r="AR307" s="97"/>
      <c r="AS307" s="97"/>
      <c r="AU307" s="164"/>
      <c r="BB307" s="239">
        <f>(BD307)/(BE307)</f>
        <v>2.3992673568852143</v>
      </c>
      <c r="BC307" s="231" t="str">
        <f>CONCATENATE(G307," ",J307," Year EUL")</f>
        <v>Cooling RES 9 Year EUL</v>
      </c>
      <c r="BD307" s="111">
        <f>(INDEX('Avoided Cost Benefits'!$C$4:$C$857,MATCH(BC307,'Avoided Cost Benefits'!$A$4:$A$857,0)))*F307</f>
        <v>45.290558884100314</v>
      </c>
      <c r="BE307" s="1946">
        <f>K307/(1.0595^(2020-2019))</f>
        <v>18.876828692779611</v>
      </c>
    </row>
    <row r="308" spans="1:57" s="392" customFormat="1" x14ac:dyDescent="0.25">
      <c r="A308" s="223"/>
      <c r="B308" s="151"/>
      <c r="C308" s="339" t="s">
        <v>479</v>
      </c>
      <c r="D308" s="3227" t="s">
        <v>183</v>
      </c>
      <c r="E308" s="154" t="s">
        <v>480</v>
      </c>
      <c r="F308" s="393">
        <f>ROUND((F322*F318*(1/F319-1/F320)/1000),2)</f>
        <v>50.74</v>
      </c>
      <c r="G308" s="3226" t="s">
        <v>258</v>
      </c>
      <c r="H308" s="155">
        <f>VLOOKUP(G308,'CP FACTORS'!$A$3:$B$38, 2, FALSE)</f>
        <v>9.4741810000000004E-4</v>
      </c>
      <c r="I308" s="234">
        <f>ROUND(H308*F308,6)</f>
        <v>4.8071999999999997E-2</v>
      </c>
      <c r="J308" s="325">
        <f>$F$326</f>
        <v>9</v>
      </c>
      <c r="K308" s="1169">
        <f>$F$327</f>
        <v>20</v>
      </c>
      <c r="L308" s="2666" t="s">
        <v>185</v>
      </c>
      <c r="M308" s="223"/>
      <c r="N308" s="1430"/>
      <c r="O308" s="1135"/>
      <c r="P308" s="223"/>
      <c r="Q308" s="223"/>
      <c r="R308" s="1431"/>
      <c r="S308" s="223"/>
      <c r="T308" s="223"/>
      <c r="U308" s="223"/>
      <c r="V308" s="395" t="s">
        <v>31</v>
      </c>
      <c r="W308" s="396">
        <v>40.971199412398086</v>
      </c>
      <c r="X308" s="325">
        <v>49.727499015442788</v>
      </c>
      <c r="Y308" s="397">
        <v>50.74</v>
      </c>
      <c r="Z308" s="2158">
        <v>50.74</v>
      </c>
      <c r="AA308" s="2158">
        <v>50.74</v>
      </c>
      <c r="AB308" s="2158">
        <v>50.74</v>
      </c>
      <c r="AC308" s="2158">
        <v>50.74</v>
      </c>
      <c r="AD308" s="395"/>
      <c r="AE308" s="395"/>
      <c r="AF308" s="395"/>
      <c r="AG308" s="395"/>
      <c r="AH308" s="163"/>
      <c r="AI308" s="97"/>
      <c r="AJ308" s="97"/>
      <c r="AK308" s="97"/>
      <c r="AL308" s="97"/>
      <c r="AM308" s="97"/>
      <c r="AN308" s="97"/>
      <c r="AO308" s="97"/>
      <c r="AP308" s="97"/>
      <c r="AQ308" s="97"/>
      <c r="AR308" s="97"/>
      <c r="AS308" s="97"/>
      <c r="AU308" s="164"/>
      <c r="BB308" s="310">
        <f>(BD308)/(BE308)</f>
        <v>2.4613591930520777</v>
      </c>
      <c r="BC308" s="311" t="str">
        <f>CONCATENATE(G308," ",J308," Year EUL")</f>
        <v>Cooling RES 9 Year EUL</v>
      </c>
      <c r="BD308" s="119">
        <f>(INDEX('Avoided Cost Benefits'!$C$4:$C$857,MATCH(BC308,'Avoided Cost Benefits'!$A$4:$A$857,0)))*F308</f>
        <v>46.462655838642334</v>
      </c>
      <c r="BE308" s="1950">
        <f>K308/(1.0595^(2020-2019))</f>
        <v>18.876828692779611</v>
      </c>
    </row>
    <row r="309" spans="1:57" hidden="1" outlineLevel="1" x14ac:dyDescent="0.25">
      <c r="B309" s="401"/>
      <c r="C309" s="149"/>
      <c r="D309" s="180"/>
      <c r="E309" s="398"/>
      <c r="F309" s="399"/>
      <c r="G309" s="151"/>
      <c r="H309" s="151"/>
      <c r="I309" s="123"/>
      <c r="J309" s="123"/>
      <c r="K309" s="123"/>
      <c r="L309" s="1446"/>
      <c r="M309" s="1434"/>
      <c r="N309" s="1434"/>
      <c r="O309" s="401"/>
      <c r="AU309" s="164"/>
    </row>
    <row r="310" spans="1:57" hidden="1" outlineLevel="1" x14ac:dyDescent="0.25">
      <c r="B310" s="401"/>
      <c r="C310" s="149"/>
      <c r="D310" s="174" t="s">
        <v>108</v>
      </c>
      <c r="E310" s="400"/>
      <c r="F310" s="176"/>
      <c r="G310" s="151"/>
      <c r="H310" s="401"/>
      <c r="I310" s="123"/>
      <c r="J310" s="123"/>
      <c r="K310" s="123"/>
      <c r="L310" s="151"/>
      <c r="M310" s="1434"/>
      <c r="N310" s="1434"/>
      <c r="O310" s="401"/>
      <c r="AU310" s="164"/>
    </row>
    <row r="311" spans="1:57" hidden="1" outlineLevel="1" x14ac:dyDescent="0.25">
      <c r="B311" s="401"/>
      <c r="C311" s="149"/>
      <c r="D311" s="180"/>
      <c r="E311" s="402"/>
      <c r="F311" s="176"/>
      <c r="G311" s="151"/>
      <c r="H311" s="401"/>
      <c r="I311" s="123"/>
      <c r="J311" s="123"/>
      <c r="K311" s="123"/>
      <c r="L311" s="151"/>
      <c r="M311" s="1434"/>
      <c r="N311" s="1434"/>
      <c r="O311" s="401"/>
      <c r="AU311" s="164"/>
    </row>
    <row r="312" spans="1:57" hidden="1" outlineLevel="1" x14ac:dyDescent="0.25">
      <c r="B312" s="401"/>
      <c r="C312" s="149"/>
      <c r="D312" s="180"/>
      <c r="E312" s="180"/>
      <c r="F312" s="176"/>
      <c r="G312" s="151"/>
      <c r="H312" s="401"/>
      <c r="I312" s="123"/>
      <c r="J312" s="123"/>
      <c r="K312" s="123"/>
      <c r="L312" s="151"/>
      <c r="M312" s="1434"/>
      <c r="N312" s="1434"/>
      <c r="O312" s="401"/>
      <c r="AU312" s="164"/>
    </row>
    <row r="313" spans="1:57" hidden="1" outlineLevel="1" x14ac:dyDescent="0.25">
      <c r="B313" s="401"/>
      <c r="C313" s="149"/>
      <c r="D313" s="180"/>
      <c r="E313" s="180"/>
      <c r="F313" s="176"/>
      <c r="G313" s="151"/>
      <c r="H313" s="401"/>
      <c r="I313" s="123"/>
      <c r="J313" s="123"/>
      <c r="K313" s="123"/>
      <c r="L313" s="151"/>
      <c r="M313" s="1434"/>
      <c r="N313" s="1434"/>
      <c r="O313" s="401"/>
      <c r="AU313" s="164"/>
    </row>
    <row r="314" spans="1:57" hidden="1" outlineLevel="1" x14ac:dyDescent="0.25">
      <c r="B314" s="401"/>
      <c r="C314" s="149"/>
      <c r="D314" s="180"/>
      <c r="E314" s="180"/>
      <c r="F314" s="176"/>
      <c r="G314" s="151"/>
      <c r="H314" s="123"/>
      <c r="I314" s="123"/>
      <c r="J314" s="123"/>
      <c r="K314" s="123"/>
      <c r="L314" s="151"/>
      <c r="M314" s="1434"/>
      <c r="N314" s="1434"/>
      <c r="O314" s="401"/>
      <c r="AU314" s="164"/>
    </row>
    <row r="315" spans="1:57" hidden="1" outlineLevel="1" x14ac:dyDescent="0.25">
      <c r="B315" s="401"/>
      <c r="C315" s="149"/>
      <c r="D315" s="180"/>
      <c r="E315" s="180"/>
      <c r="F315" s="176"/>
      <c r="G315" s="151"/>
      <c r="H315" s="401"/>
      <c r="I315" s="151"/>
      <c r="J315" s="151"/>
      <c r="K315" s="151"/>
      <c r="L315" s="151"/>
      <c r="M315" s="1434"/>
      <c r="N315" s="1434"/>
      <c r="O315" s="401"/>
      <c r="AU315" s="164"/>
    </row>
    <row r="316" spans="1:57" hidden="1" outlineLevel="1" x14ac:dyDescent="0.25">
      <c r="B316" s="401"/>
      <c r="C316" s="149"/>
      <c r="D316" s="180"/>
      <c r="E316" s="180"/>
      <c r="F316" s="176"/>
      <c r="G316" s="151"/>
      <c r="H316" s="151"/>
      <c r="I316" s="151"/>
      <c r="J316" s="151"/>
      <c r="K316" s="151"/>
      <c r="L316" s="151"/>
      <c r="M316" s="1434"/>
      <c r="N316" s="1434"/>
      <c r="O316" s="401"/>
      <c r="V316" s="1936" t="s">
        <v>45</v>
      </c>
      <c r="W316" s="1937">
        <v>43252</v>
      </c>
      <c r="X316" s="1937">
        <f>$X$6</f>
        <v>43465</v>
      </c>
      <c r="Y316" s="1937">
        <f>$Y$6</f>
        <v>43800</v>
      </c>
      <c r="Z316" s="1937">
        <f>$Z$6</f>
        <v>43862</v>
      </c>
      <c r="AA316" s="1937">
        <f>$AA$6</f>
        <v>44013</v>
      </c>
      <c r="AB316" s="1937">
        <f>$AB$6</f>
        <v>44166</v>
      </c>
      <c r="AC316" s="1937">
        <f>$AC$6</f>
        <v>44531</v>
      </c>
      <c r="AD316" s="1937" t="str">
        <f>$AD$6</f>
        <v>-</v>
      </c>
      <c r="AE316" s="1937" t="str">
        <f>$AE$6</f>
        <v>-</v>
      </c>
      <c r="AF316" s="1937" t="str">
        <f>$AF$6</f>
        <v>-</v>
      </c>
      <c r="AG316" s="1937" t="str">
        <f>$AG$6</f>
        <v>-</v>
      </c>
      <c r="AU316" s="164"/>
    </row>
    <row r="317" spans="1:57" ht="30" hidden="1" outlineLevel="1" x14ac:dyDescent="0.25">
      <c r="B317" s="401"/>
      <c r="C317" s="149"/>
      <c r="D317" s="3236" t="s">
        <v>110</v>
      </c>
      <c r="E317" s="3086" t="s">
        <v>481</v>
      </c>
      <c r="F317" s="3236" t="s">
        <v>482</v>
      </c>
      <c r="G317" s="3773" t="s">
        <v>410</v>
      </c>
      <c r="H317" s="3774"/>
      <c r="I317" s="3774"/>
      <c r="J317" s="151"/>
      <c r="K317" s="151"/>
      <c r="L317" s="151"/>
      <c r="M317" s="228"/>
      <c r="N317" s="228"/>
      <c r="O317" s="401"/>
      <c r="V317" s="56"/>
      <c r="W317" s="57" t="s">
        <v>483</v>
      </c>
      <c r="X317" s="57" t="s">
        <v>483</v>
      </c>
      <c r="Y317" s="57" t="s">
        <v>483</v>
      </c>
      <c r="Z317" s="57" t="s">
        <v>483</v>
      </c>
      <c r="AA317" s="57" t="s">
        <v>483</v>
      </c>
      <c r="AB317" s="57" t="s">
        <v>483</v>
      </c>
      <c r="AC317" s="57" t="s">
        <v>483</v>
      </c>
      <c r="AD317" s="57" t="s">
        <v>483</v>
      </c>
      <c r="AE317" s="57" t="s">
        <v>483</v>
      </c>
      <c r="AF317" s="57" t="s">
        <v>483</v>
      </c>
      <c r="AG317" s="57" t="s">
        <v>483</v>
      </c>
      <c r="AU317" s="164"/>
    </row>
    <row r="318" spans="1:57" hidden="1" outlineLevel="1" x14ac:dyDescent="0.25">
      <c r="B318" s="401"/>
      <c r="C318" s="149"/>
      <c r="D318" s="3091" t="s">
        <v>484</v>
      </c>
      <c r="E318" s="3091" t="s">
        <v>485</v>
      </c>
      <c r="F318" s="319">
        <v>10328.926572223787</v>
      </c>
      <c r="G318" s="3771"/>
      <c r="H318" s="3772"/>
      <c r="I318" s="3772"/>
      <c r="J318" s="151"/>
      <c r="K318" s="151"/>
      <c r="L318" s="151"/>
      <c r="O318" s="401"/>
      <c r="V318" s="324" t="s">
        <v>484</v>
      </c>
      <c r="W318" s="322">
        <v>9558.22711471611</v>
      </c>
      <c r="X318" s="403">
        <v>10322.173207292981</v>
      </c>
      <c r="Y318" s="403">
        <v>10328.926572223787</v>
      </c>
      <c r="Z318" s="319">
        <v>10328.926572223787</v>
      </c>
      <c r="AA318" s="319">
        <v>10328.926572223787</v>
      </c>
      <c r="AB318" s="319">
        <v>10328.926572223787</v>
      </c>
      <c r="AC318" s="319">
        <v>10328.926572223787</v>
      </c>
      <c r="AD318" s="280"/>
      <c r="AE318" s="280"/>
      <c r="AF318" s="280"/>
      <c r="AG318" s="280"/>
      <c r="AU318" s="164"/>
    </row>
    <row r="319" spans="1:57" ht="18" hidden="1" outlineLevel="1" x14ac:dyDescent="0.25">
      <c r="B319" s="401"/>
      <c r="C319" s="149"/>
      <c r="D319" s="3091" t="s">
        <v>486</v>
      </c>
      <c r="E319" s="3091" t="s">
        <v>487</v>
      </c>
      <c r="F319" s="319">
        <v>10.826666666666537</v>
      </c>
      <c r="G319" s="3771"/>
      <c r="H319" s="3772"/>
      <c r="I319" s="3772"/>
      <c r="J319" s="151"/>
      <c r="K319" s="151"/>
      <c r="L319" s="151"/>
      <c r="O319" s="401"/>
      <c r="V319" s="324" t="s">
        <v>488</v>
      </c>
      <c r="W319" s="322">
        <v>10.9</v>
      </c>
      <c r="X319" s="403">
        <v>10.833666904931999</v>
      </c>
      <c r="Y319" s="403">
        <v>10.826666666666537</v>
      </c>
      <c r="Z319" s="319">
        <v>10.826666666666537</v>
      </c>
      <c r="AA319" s="319">
        <v>10.826666666666537</v>
      </c>
      <c r="AB319" s="319">
        <v>10.826666666666537</v>
      </c>
      <c r="AC319" s="319">
        <v>10.826666666666537</v>
      </c>
      <c r="AD319" s="280"/>
      <c r="AE319" s="280"/>
      <c r="AF319" s="280"/>
      <c r="AG319" s="280"/>
      <c r="AU319" s="164"/>
    </row>
    <row r="320" spans="1:57" ht="46.5" hidden="1" customHeight="1" outlineLevel="1" x14ac:dyDescent="0.25">
      <c r="B320" s="401"/>
      <c r="C320" s="149"/>
      <c r="D320" s="3091" t="s">
        <v>489</v>
      </c>
      <c r="E320" s="3091" t="s">
        <v>490</v>
      </c>
      <c r="F320" s="404">
        <v>11.971947099252425</v>
      </c>
      <c r="G320" s="3771"/>
      <c r="H320" s="3772"/>
      <c r="I320" s="3772"/>
      <c r="J320" s="151"/>
      <c r="K320" s="151"/>
      <c r="L320" s="151"/>
      <c r="O320" s="401"/>
      <c r="V320" s="324" t="s">
        <v>491</v>
      </c>
      <c r="W320" s="322">
        <v>11.9</v>
      </c>
      <c r="X320" s="403">
        <v>11.955972333179155</v>
      </c>
      <c r="Y320" s="403">
        <v>11.971947099252425</v>
      </c>
      <c r="Z320" s="319">
        <v>11.971947099252425</v>
      </c>
      <c r="AA320" s="319">
        <v>11.971947099252425</v>
      </c>
      <c r="AB320" s="319">
        <v>11.971947099252425</v>
      </c>
      <c r="AC320" s="319">
        <v>11.971947099252425</v>
      </c>
      <c r="AD320" s="280"/>
      <c r="AE320" s="280"/>
      <c r="AF320" s="280"/>
      <c r="AG320" s="280"/>
      <c r="AU320" s="164"/>
    </row>
    <row r="321" spans="1:47" ht="46.5" hidden="1" customHeight="1" outlineLevel="1" x14ac:dyDescent="0.25">
      <c r="B321" s="401"/>
      <c r="C321" s="149"/>
      <c r="D321" s="3091" t="s">
        <v>492</v>
      </c>
      <c r="E321" s="3091"/>
      <c r="F321" s="404" t="s">
        <v>493</v>
      </c>
      <c r="G321" s="3771"/>
      <c r="H321" s="3772"/>
      <c r="I321" s="3772"/>
      <c r="J321" s="151"/>
      <c r="K321" s="151"/>
      <c r="L321" s="151"/>
      <c r="O321" s="401"/>
      <c r="V321" s="324" t="s">
        <v>494</v>
      </c>
      <c r="W321" s="322"/>
      <c r="X321" s="405"/>
      <c r="Y321" s="405"/>
      <c r="Z321" s="319"/>
      <c r="AA321" s="319"/>
      <c r="AB321" s="319"/>
      <c r="AC321" s="319"/>
      <c r="AD321" s="280"/>
      <c r="AE321" s="280"/>
      <c r="AF321" s="280"/>
      <c r="AG321" s="280"/>
      <c r="AU321" s="164"/>
    </row>
    <row r="322" spans="1:47" ht="45" hidden="1" customHeight="1" outlineLevel="1" x14ac:dyDescent="0.25">
      <c r="B322" s="1456"/>
      <c r="C322" s="406"/>
      <c r="D322" s="3091" t="s">
        <v>495</v>
      </c>
      <c r="E322" s="3091" t="s">
        <v>496</v>
      </c>
      <c r="F322" s="319">
        <v>556</v>
      </c>
      <c r="G322" s="3771"/>
      <c r="H322" s="3772"/>
      <c r="I322" s="3772"/>
      <c r="J322" s="151"/>
      <c r="K322" s="151"/>
      <c r="L322" s="151"/>
      <c r="O322" s="1456"/>
      <c r="V322" s="324" t="s">
        <v>497</v>
      </c>
      <c r="W322" s="407">
        <v>556</v>
      </c>
      <c r="X322" s="407">
        <v>556</v>
      </c>
      <c r="Y322" s="407">
        <v>556</v>
      </c>
      <c r="Z322" s="319">
        <v>556</v>
      </c>
      <c r="AA322" s="319">
        <v>556</v>
      </c>
      <c r="AB322" s="319">
        <v>556</v>
      </c>
      <c r="AC322" s="319">
        <v>556</v>
      </c>
      <c r="AD322" s="280"/>
      <c r="AE322" s="280"/>
      <c r="AF322" s="280"/>
      <c r="AG322" s="280"/>
      <c r="AU322" s="164"/>
    </row>
    <row r="323" spans="1:47" ht="30" hidden="1" customHeight="1" outlineLevel="1" x14ac:dyDescent="0.25">
      <c r="B323" s="1456"/>
      <c r="C323" s="406"/>
      <c r="D323" s="3091" t="s">
        <v>498</v>
      </c>
      <c r="E323" s="3091" t="s">
        <v>499</v>
      </c>
      <c r="F323" s="319">
        <v>860</v>
      </c>
      <c r="G323" s="3771"/>
      <c r="H323" s="3772"/>
      <c r="I323" s="3772"/>
      <c r="J323" s="151"/>
      <c r="K323" s="151"/>
      <c r="L323" s="151"/>
      <c r="O323" s="1456"/>
      <c r="V323" s="324" t="s">
        <v>500</v>
      </c>
      <c r="W323" s="407">
        <v>860</v>
      </c>
      <c r="X323" s="407">
        <v>860</v>
      </c>
      <c r="Y323" s="407">
        <v>860</v>
      </c>
      <c r="Z323" s="319">
        <v>860</v>
      </c>
      <c r="AA323" s="319">
        <v>860</v>
      </c>
      <c r="AB323" s="319">
        <v>860</v>
      </c>
      <c r="AC323" s="319">
        <v>860</v>
      </c>
      <c r="AD323" s="280"/>
      <c r="AE323" s="280"/>
      <c r="AF323" s="280"/>
      <c r="AG323" s="280"/>
      <c r="AU323" s="164"/>
    </row>
    <row r="324" spans="1:47" ht="30" hidden="1" customHeight="1" outlineLevel="1" x14ac:dyDescent="0.25">
      <c r="B324" s="1456"/>
      <c r="C324" s="406"/>
      <c r="D324" s="3091" t="s">
        <v>501</v>
      </c>
      <c r="E324" s="3091" t="s">
        <v>502</v>
      </c>
      <c r="F324" s="319">
        <v>1000</v>
      </c>
      <c r="G324" s="3771"/>
      <c r="H324" s="3772"/>
      <c r="I324" s="3772"/>
      <c r="J324" s="151"/>
      <c r="K324" s="151"/>
      <c r="L324" s="151"/>
      <c r="O324" s="1456"/>
      <c r="V324" s="324" t="s">
        <v>501</v>
      </c>
      <c r="W324" s="322">
        <v>1000</v>
      </c>
      <c r="X324" s="322">
        <v>1000</v>
      </c>
      <c r="Y324" s="322">
        <v>1000</v>
      </c>
      <c r="Z324" s="319">
        <v>1000</v>
      </c>
      <c r="AA324" s="319">
        <v>1000</v>
      </c>
      <c r="AB324" s="319">
        <v>1000</v>
      </c>
      <c r="AC324" s="319">
        <v>1000</v>
      </c>
      <c r="AD324" s="280"/>
      <c r="AE324" s="280"/>
      <c r="AF324" s="280"/>
      <c r="AG324" s="280"/>
      <c r="AU324" s="164"/>
    </row>
    <row r="325" spans="1:47" ht="30" hidden="1" customHeight="1" outlineLevel="1" thickBot="1" x14ac:dyDescent="0.3">
      <c r="B325" s="1456"/>
      <c r="C325" s="406"/>
      <c r="D325" s="3091" t="s">
        <v>252</v>
      </c>
      <c r="E325" s="3091" t="s">
        <v>503</v>
      </c>
      <c r="F325" s="323">
        <v>0.97468354430379744</v>
      </c>
      <c r="G325" s="3771"/>
      <c r="H325" s="3772"/>
      <c r="I325" s="3772"/>
      <c r="J325" s="151"/>
      <c r="K325" s="151"/>
      <c r="L325" s="151"/>
      <c r="O325" s="1456"/>
      <c r="V325" s="408" t="s">
        <v>252</v>
      </c>
      <c r="W325" s="409">
        <v>0.97560975609756095</v>
      </c>
      <c r="X325" s="409">
        <v>0.97560975609756095</v>
      </c>
      <c r="Y325" s="410">
        <v>0.97468354430379744</v>
      </c>
      <c r="Z325" s="1184">
        <v>0.97468354430379744</v>
      </c>
      <c r="AA325" s="1184">
        <v>0.97468354430379744</v>
      </c>
      <c r="AB325" s="1184">
        <v>0.97468354430379744</v>
      </c>
      <c r="AC325" s="1184">
        <v>0.97468354430379744</v>
      </c>
      <c r="AD325" s="411"/>
      <c r="AE325" s="411"/>
      <c r="AF325" s="411"/>
      <c r="AG325" s="411"/>
      <c r="AU325" s="164"/>
    </row>
    <row r="326" spans="1:47" ht="15" hidden="1" customHeight="1" outlineLevel="1" x14ac:dyDescent="0.25">
      <c r="A326" s="346"/>
      <c r="B326" s="346"/>
      <c r="C326" s="149"/>
      <c r="D326" s="304" t="str">
        <f>$D$50</f>
        <v>EUL</v>
      </c>
      <c r="E326" s="304"/>
      <c r="F326" s="3185">
        <v>9</v>
      </c>
      <c r="G326" s="3771" t="s">
        <v>185</v>
      </c>
      <c r="H326" s="3772"/>
      <c r="I326" s="3772"/>
      <c r="J326" s="346"/>
      <c r="K326" s="346"/>
      <c r="L326" s="346"/>
      <c r="V326" s="412" t="str">
        <f>D326</f>
        <v>EUL</v>
      </c>
      <c r="W326" s="413">
        <v>9</v>
      </c>
      <c r="X326" s="413">
        <v>9</v>
      </c>
      <c r="Y326" s="413">
        <v>10</v>
      </c>
      <c r="Z326" s="1186">
        <v>10</v>
      </c>
      <c r="AA326" s="1186">
        <v>10</v>
      </c>
      <c r="AB326" s="1186">
        <v>10</v>
      </c>
      <c r="AC326" s="1186">
        <v>10</v>
      </c>
      <c r="AD326" s="413"/>
      <c r="AE326" s="413"/>
      <c r="AF326" s="413"/>
      <c r="AG326" s="413"/>
      <c r="AU326" s="164"/>
    </row>
    <row r="327" spans="1:47" ht="15" hidden="1" customHeight="1" outlineLevel="1" x14ac:dyDescent="0.25">
      <c r="A327" s="346"/>
      <c r="B327" s="346"/>
      <c r="C327" s="149"/>
      <c r="D327" s="304" t="str">
        <f>$D$51</f>
        <v>Inc. Cost</v>
      </c>
      <c r="E327" s="304"/>
      <c r="F327" s="3186">
        <v>20</v>
      </c>
      <c r="G327" s="3771" t="s">
        <v>185</v>
      </c>
      <c r="H327" s="3772"/>
      <c r="I327" s="3772"/>
      <c r="J327" s="346"/>
      <c r="K327" s="346"/>
      <c r="L327" s="346"/>
      <c r="V327" s="324" t="str">
        <f>D327</f>
        <v>Inc. Cost</v>
      </c>
      <c r="W327" s="350">
        <v>20</v>
      </c>
      <c r="X327" s="350">
        <v>20</v>
      </c>
      <c r="Y327" s="350">
        <v>20</v>
      </c>
      <c r="Z327" s="370">
        <v>20</v>
      </c>
      <c r="AA327" s="370">
        <v>20</v>
      </c>
      <c r="AB327" s="370">
        <v>20</v>
      </c>
      <c r="AC327" s="370">
        <v>20</v>
      </c>
      <c r="AD327" s="350"/>
      <c r="AE327" s="350"/>
      <c r="AF327" s="350"/>
      <c r="AG327" s="350"/>
      <c r="AU327" s="164"/>
    </row>
    <row r="328" spans="1:47" collapsed="1" x14ac:dyDescent="0.25">
      <c r="B328" s="151"/>
      <c r="C328" s="149"/>
      <c r="D328" s="414"/>
      <c r="E328" s="414"/>
      <c r="F328" s="415"/>
      <c r="G328" s="416"/>
      <c r="H328" s="151"/>
      <c r="I328" s="151"/>
      <c r="J328" s="151"/>
      <c r="K328" s="151"/>
      <c r="L328" s="151"/>
      <c r="N328" s="151"/>
      <c r="O328" s="151"/>
      <c r="AU328" s="164"/>
    </row>
    <row r="329" spans="1:47" x14ac:dyDescent="0.25">
      <c r="B329" s="151"/>
      <c r="C329" s="149"/>
      <c r="D329" s="150"/>
      <c r="E329" s="150"/>
      <c r="F329" s="151"/>
      <c r="G329" s="151"/>
      <c r="H329" s="151"/>
      <c r="I329" s="151"/>
      <c r="J329" s="151"/>
      <c r="K329" s="151"/>
      <c r="L329" s="151"/>
      <c r="M329" s="151"/>
      <c r="N329" s="151"/>
      <c r="O329" s="151"/>
      <c r="AU329" s="164"/>
    </row>
    <row r="330" spans="1:47" x14ac:dyDescent="0.25">
      <c r="M330" s="151"/>
      <c r="N330" s="151"/>
      <c r="O330" s="151"/>
      <c r="AU330" s="164"/>
    </row>
    <row r="331" spans="1:47" x14ac:dyDescent="0.25">
      <c r="M331" s="123"/>
      <c r="N331" s="123"/>
      <c r="O331" s="123"/>
      <c r="AU331" s="164"/>
    </row>
    <row r="332" spans="1:47" x14ac:dyDescent="0.25">
      <c r="M332" s="151"/>
      <c r="N332" s="151"/>
      <c r="O332" s="151"/>
      <c r="AU332" s="164"/>
    </row>
    <row r="333" spans="1:47" x14ac:dyDescent="0.25">
      <c r="M333" s="151"/>
      <c r="N333" s="151"/>
      <c r="O333" s="151"/>
    </row>
    <row r="360" spans="1:12" x14ac:dyDescent="0.25">
      <c r="A360" s="123"/>
      <c r="B360" s="123"/>
      <c r="K360" s="1457"/>
      <c r="L360" s="123"/>
    </row>
  </sheetData>
  <mergeCells count="184">
    <mergeCell ref="G107:H118"/>
    <mergeCell ref="G125:H126"/>
    <mergeCell ref="G133:H140"/>
    <mergeCell ref="G131:H131"/>
    <mergeCell ref="G132:H132"/>
    <mergeCell ref="G127:H130"/>
    <mergeCell ref="G119:H119"/>
    <mergeCell ref="G120:H120"/>
    <mergeCell ref="G121:H121"/>
    <mergeCell ref="G122:H122"/>
    <mergeCell ref="G123:H123"/>
    <mergeCell ref="G124:H124"/>
    <mergeCell ref="G143:H143"/>
    <mergeCell ref="G157:H157"/>
    <mergeCell ref="G161:H161"/>
    <mergeCell ref="G152:H152"/>
    <mergeCell ref="G153:H153"/>
    <mergeCell ref="G154:H154"/>
    <mergeCell ref="G155:H155"/>
    <mergeCell ref="G156:H156"/>
    <mergeCell ref="G158:H158"/>
    <mergeCell ref="G159:H159"/>
    <mergeCell ref="G160:H160"/>
    <mergeCell ref="G150:H150"/>
    <mergeCell ref="V4:AI4"/>
    <mergeCell ref="G26:H26"/>
    <mergeCell ref="G27:H27"/>
    <mergeCell ref="G28:H28"/>
    <mergeCell ref="G29:H29"/>
    <mergeCell ref="G30:H30"/>
    <mergeCell ref="V41:V44"/>
    <mergeCell ref="G42:H42"/>
    <mergeCell ref="G43:H43"/>
    <mergeCell ref="G44:H44"/>
    <mergeCell ref="G34:H34"/>
    <mergeCell ref="G35:H35"/>
    <mergeCell ref="G36:H36"/>
    <mergeCell ref="G37:H37"/>
    <mergeCell ref="I41:I44"/>
    <mergeCell ref="A1:P1"/>
    <mergeCell ref="D2:J2"/>
    <mergeCell ref="B4:O4"/>
    <mergeCell ref="G40:H40"/>
    <mergeCell ref="D41:D44"/>
    <mergeCell ref="G41:H41"/>
    <mergeCell ref="G38:H38"/>
    <mergeCell ref="G39:H39"/>
    <mergeCell ref="G31:H31"/>
    <mergeCell ref="G32:H32"/>
    <mergeCell ref="G33:H33"/>
    <mergeCell ref="D99:D106"/>
    <mergeCell ref="V99:V106"/>
    <mergeCell ref="G45:H45"/>
    <mergeCell ref="G46:H46"/>
    <mergeCell ref="G47:H47"/>
    <mergeCell ref="G48:H48"/>
    <mergeCell ref="G49:H49"/>
    <mergeCell ref="V54:AI54"/>
    <mergeCell ref="G50:H50"/>
    <mergeCell ref="G51:H51"/>
    <mergeCell ref="B54:O54"/>
    <mergeCell ref="G99:H99"/>
    <mergeCell ref="G100:H100"/>
    <mergeCell ref="G101:H101"/>
    <mergeCell ref="G102:H102"/>
    <mergeCell ref="G103:H103"/>
    <mergeCell ref="G104:H104"/>
    <mergeCell ref="G105:H106"/>
    <mergeCell ref="D133:D140"/>
    <mergeCell ref="V133:V140"/>
    <mergeCell ref="D142:D149"/>
    <mergeCell ref="V142:V149"/>
    <mergeCell ref="D150:D151"/>
    <mergeCell ref="V150:V151"/>
    <mergeCell ref="D107:D118"/>
    <mergeCell ref="V107:V118"/>
    <mergeCell ref="D119:D126"/>
    <mergeCell ref="V119:V126"/>
    <mergeCell ref="D127:D130"/>
    <mergeCell ref="D131:D132"/>
    <mergeCell ref="V127:V130"/>
    <mergeCell ref="V131:V132"/>
    <mergeCell ref="I107:I118"/>
    <mergeCell ref="G148:H148"/>
    <mergeCell ref="G146:H146"/>
    <mergeCell ref="G144:H144"/>
    <mergeCell ref="G145:H145"/>
    <mergeCell ref="G141:H141"/>
    <mergeCell ref="G142:H142"/>
    <mergeCell ref="G151:H151"/>
    <mergeCell ref="G149:H149"/>
    <mergeCell ref="G147:H147"/>
    <mergeCell ref="H201:I201"/>
    <mergeCell ref="J201:K201"/>
    <mergeCell ref="H202:I202"/>
    <mergeCell ref="J202:K202"/>
    <mergeCell ref="H203:I203"/>
    <mergeCell ref="J203:K203"/>
    <mergeCell ref="D156:D163"/>
    <mergeCell ref="V156:V163"/>
    <mergeCell ref="B169:O169"/>
    <mergeCell ref="V169:AI169"/>
    <mergeCell ref="H195:I195"/>
    <mergeCell ref="J195:K195"/>
    <mergeCell ref="G164:H164"/>
    <mergeCell ref="G165:H165"/>
    <mergeCell ref="G166:H166"/>
    <mergeCell ref="G162:H162"/>
    <mergeCell ref="G163:H163"/>
    <mergeCell ref="H196:I196"/>
    <mergeCell ref="H197:I197"/>
    <mergeCell ref="H198:I198"/>
    <mergeCell ref="H199:I199"/>
    <mergeCell ref="H200:I200"/>
    <mergeCell ref="H207:I207"/>
    <mergeCell ref="J207:K207"/>
    <mergeCell ref="H208:I208"/>
    <mergeCell ref="J208:K208"/>
    <mergeCell ref="H209:I209"/>
    <mergeCell ref="J209:K209"/>
    <mergeCell ref="H204:I204"/>
    <mergeCell ref="J204:K204"/>
    <mergeCell ref="H205:I205"/>
    <mergeCell ref="J205:K205"/>
    <mergeCell ref="H206:I206"/>
    <mergeCell ref="J206:K206"/>
    <mergeCell ref="V217:AI217"/>
    <mergeCell ref="B253:O253"/>
    <mergeCell ref="V253:AI253"/>
    <mergeCell ref="H210:I210"/>
    <mergeCell ref="J210:K210"/>
    <mergeCell ref="H211:I211"/>
    <mergeCell ref="J211:K211"/>
    <mergeCell ref="H212:I212"/>
    <mergeCell ref="J212:K212"/>
    <mergeCell ref="V237:V245"/>
    <mergeCell ref="V246:V247"/>
    <mergeCell ref="V249:V250"/>
    <mergeCell ref="V213:V214"/>
    <mergeCell ref="G264:H264"/>
    <mergeCell ref="G265:H265"/>
    <mergeCell ref="G266:H266"/>
    <mergeCell ref="G267:H267"/>
    <mergeCell ref="G268:H268"/>
    <mergeCell ref="G269:H269"/>
    <mergeCell ref="H213:I213"/>
    <mergeCell ref="J213:K213"/>
    <mergeCell ref="B217:O217"/>
    <mergeCell ref="D237:D245"/>
    <mergeCell ref="E237:E245"/>
    <mergeCell ref="D246:D247"/>
    <mergeCell ref="E246:E247"/>
    <mergeCell ref="D249:D250"/>
    <mergeCell ref="E249:E250"/>
    <mergeCell ref="H214:I214"/>
    <mergeCell ref="J214:K214"/>
    <mergeCell ref="D213:D214"/>
    <mergeCell ref="E213:E214"/>
    <mergeCell ref="V277:AI277"/>
    <mergeCell ref="D287:D292"/>
    <mergeCell ref="E287:E292"/>
    <mergeCell ref="V287:V292"/>
    <mergeCell ref="D293:D298"/>
    <mergeCell ref="E293:E298"/>
    <mergeCell ref="V293:V298"/>
    <mergeCell ref="G270:H270"/>
    <mergeCell ref="G271:H271"/>
    <mergeCell ref="G272:H272"/>
    <mergeCell ref="G273:H273"/>
    <mergeCell ref="G274:H274"/>
    <mergeCell ref="B277:O277"/>
    <mergeCell ref="G327:I327"/>
    <mergeCell ref="G321:I321"/>
    <mergeCell ref="G322:I322"/>
    <mergeCell ref="G323:I323"/>
    <mergeCell ref="G324:I324"/>
    <mergeCell ref="G325:I325"/>
    <mergeCell ref="G326:I326"/>
    <mergeCell ref="B304:O304"/>
    <mergeCell ref="V304:AI304"/>
    <mergeCell ref="G317:I317"/>
    <mergeCell ref="G318:I318"/>
    <mergeCell ref="G319:I319"/>
    <mergeCell ref="G320:I320"/>
  </mergeCells>
  <conditionalFormatting sqref="AH7 AH57:AH78">
    <cfRule type="cellIs" dxfId="431" priority="76" operator="lessThan">
      <formula>-0.1</formula>
    </cfRule>
    <cfRule type="cellIs" dxfId="430" priority="77" operator="greaterThan">
      <formula>0.1</formula>
    </cfRule>
  </conditionalFormatting>
  <conditionalFormatting sqref="AH172:AH174">
    <cfRule type="cellIs" dxfId="429" priority="74" operator="lessThan">
      <formula>-0.1</formula>
    </cfRule>
    <cfRule type="cellIs" dxfId="428" priority="75" operator="greaterThan">
      <formula>0.1</formula>
    </cfRule>
  </conditionalFormatting>
  <conditionalFormatting sqref="AH256">
    <cfRule type="cellIs" dxfId="427" priority="72" operator="lessThan">
      <formula>-0.1</formula>
    </cfRule>
    <cfRule type="cellIs" dxfId="426" priority="73" operator="greaterThan">
      <formula>0.1</formula>
    </cfRule>
  </conditionalFormatting>
  <conditionalFormatting sqref="AH307:AH308">
    <cfRule type="cellIs" dxfId="425" priority="70" operator="lessThan">
      <formula>-0.1</formula>
    </cfRule>
    <cfRule type="cellIs" dxfId="424" priority="71" operator="greaterThan">
      <formula>0.1</formula>
    </cfRule>
  </conditionalFormatting>
  <conditionalFormatting sqref="A1:P45 A107:G107 A106:F106 A126:F126 A143:G143 A56:P56 A55:C55 F55:P55 A47:P48 A46:E46 I46:P46 A50:P54 A49:C49 F49 I49:P49 A131:D131 A128:C130 A127:D127 A133:G133 A132:C132 A153:E153 A166:E166 A229:B229 A230:P234 A251:P1048576 A235:C250 J235:P250 A220:E228 C82:C99 G127 A98:H98 J98:P166 I133:I165 I119:I130 I98:I106 G153 A154:G157 A158:F160 A151:G152 A150:F150 A149:G149 A148:F148 A147:G147 A144:F146 A134:F142 A161:G162 A99:G105 A108:F118 A119:G125 G220:P229 A81:P97 A164:G165 A163:F163 A57:E80 G57:P80 A167:P213 A215:P219 A214:C214 F214:P214 AN196:AN214 AO211">
    <cfRule type="cellIs" dxfId="423" priority="69" operator="equal">
      <formula>"x"</formula>
    </cfRule>
  </conditionalFormatting>
  <conditionalFormatting sqref="AH79:AH80">
    <cfRule type="cellIs" dxfId="422" priority="67" operator="lessThan">
      <formula>-0.1</formula>
    </cfRule>
    <cfRule type="cellIs" dxfId="421" priority="68" operator="greaterThan">
      <formula>0.1</formula>
    </cfRule>
  </conditionalFormatting>
  <conditionalFormatting sqref="V99:V127 V131 V133:V166">
    <cfRule type="cellIs" dxfId="420" priority="66" operator="equal">
      <formula>"x"</formula>
    </cfRule>
  </conditionalFormatting>
  <conditionalFormatting sqref="Y125:Y126">
    <cfRule type="cellIs" dxfId="419" priority="65" operator="equal">
      <formula>"x"</formula>
    </cfRule>
  </conditionalFormatting>
  <conditionalFormatting sqref="I107:I117">
    <cfRule type="cellIs" dxfId="418" priority="64" operator="equal">
      <formula>"x"</formula>
    </cfRule>
  </conditionalFormatting>
  <conditionalFormatting sqref="Z125:Z126">
    <cfRule type="cellIs" dxfId="417" priority="63" operator="equal">
      <formula>"x"</formula>
    </cfRule>
  </conditionalFormatting>
  <conditionalFormatting sqref="AA125:AA126">
    <cfRule type="cellIs" dxfId="416" priority="62" operator="equal">
      <formula>"x"</formula>
    </cfRule>
  </conditionalFormatting>
  <conditionalFormatting sqref="F46:H46">
    <cfRule type="cellIs" dxfId="415" priority="61" operator="equal">
      <formula>"x"</formula>
    </cfRule>
  </conditionalFormatting>
  <conditionalFormatting sqref="D49:E49">
    <cfRule type="cellIs" dxfId="414" priority="60" operator="equal">
      <formula>"x"</formula>
    </cfRule>
  </conditionalFormatting>
  <conditionalFormatting sqref="G49:H49">
    <cfRule type="cellIs" dxfId="413" priority="59" operator="equal">
      <formula>"x"</formula>
    </cfRule>
  </conditionalFormatting>
  <conditionalFormatting sqref="F153">
    <cfRule type="cellIs" dxfId="412" priority="54" operator="equal">
      <formula>"x"</formula>
    </cfRule>
  </conditionalFormatting>
  <conditionalFormatting sqref="E131:G132 I131:I132">
    <cfRule type="cellIs" dxfId="411" priority="55" operator="equal">
      <formula>"x"</formula>
    </cfRule>
  </conditionalFormatting>
  <conditionalFormatting sqref="E127:F130">
    <cfRule type="cellIs" dxfId="410" priority="56" operator="equal">
      <formula>"x"</formula>
    </cfRule>
  </conditionalFormatting>
  <conditionalFormatting sqref="F166:G166 I166">
    <cfRule type="cellIs" dxfId="409" priority="53" operator="equal">
      <formula>"x"</formula>
    </cfRule>
  </conditionalFormatting>
  <conditionalFormatting sqref="AB91:AB94">
    <cfRule type="cellIs" dxfId="408" priority="52" operator="equal">
      <formula>"x"</formula>
    </cfRule>
  </conditionalFormatting>
  <conditionalFormatting sqref="AB99:AB126 AB133:AB152 AB154:AB165">
    <cfRule type="cellIs" dxfId="407" priority="51" operator="equal">
      <formula>"x"</formula>
    </cfRule>
  </conditionalFormatting>
  <conditionalFormatting sqref="AB127:AB130">
    <cfRule type="cellIs" dxfId="406" priority="50" operator="equal">
      <formula>"x"</formula>
    </cfRule>
  </conditionalFormatting>
  <conditionalFormatting sqref="AB131:AB132">
    <cfRule type="cellIs" dxfId="405" priority="49" operator="equal">
      <formula>"x"</formula>
    </cfRule>
  </conditionalFormatting>
  <conditionalFormatting sqref="AB153">
    <cfRule type="cellIs" dxfId="404" priority="48" operator="equal">
      <formula>"x"</formula>
    </cfRule>
  </conditionalFormatting>
  <conditionalFormatting sqref="AB166">
    <cfRule type="cellIs" dxfId="403" priority="47" operator="equal">
      <formula>"x"</formula>
    </cfRule>
  </conditionalFormatting>
  <conditionalFormatting sqref="C229:E229">
    <cfRule type="cellIs" dxfId="402" priority="45" operator="equal">
      <formula>"x"</formula>
    </cfRule>
  </conditionalFormatting>
  <conditionalFormatting sqref="D237 F250:H250 D248:E249 G235:H236 D236:F236 F248 D246 G237:G249 H246:H249 E235 H236:H244">
    <cfRule type="cellIs" dxfId="401" priority="44" operator="equal">
      <formula>"x"</formula>
    </cfRule>
  </conditionalFormatting>
  <conditionalFormatting sqref="F235">
    <cfRule type="cellIs" dxfId="400" priority="43" operator="equal">
      <formula>"x"</formula>
    </cfRule>
  </conditionalFormatting>
  <conditionalFormatting sqref="I235:I250">
    <cfRule type="cellIs" dxfId="399" priority="42" operator="equal">
      <formula>"x"</formula>
    </cfRule>
  </conditionalFormatting>
  <conditionalFormatting sqref="F237:F247">
    <cfRule type="cellIs" dxfId="398" priority="41" operator="equal">
      <formula>"x"</formula>
    </cfRule>
  </conditionalFormatting>
  <conditionalFormatting sqref="H245">
    <cfRule type="cellIs" dxfId="397" priority="40" operator="equal">
      <formula>"x"</formula>
    </cfRule>
  </conditionalFormatting>
  <conditionalFormatting sqref="AB265:AB274">
    <cfRule type="cellIs" dxfId="396" priority="31" operator="equal">
      <formula>"x"</formula>
    </cfRule>
  </conditionalFormatting>
  <conditionalFormatting sqref="V236:V237 V248:V249 V246">
    <cfRule type="cellIs" dxfId="395" priority="39" operator="equal">
      <formula>"x"</formula>
    </cfRule>
  </conditionalFormatting>
  <conditionalFormatting sqref="W236:W250">
    <cfRule type="cellIs" dxfId="394" priority="38" operator="equal">
      <formula>"x"</formula>
    </cfRule>
  </conditionalFormatting>
  <conditionalFormatting sqref="X236:X250">
    <cfRule type="cellIs" dxfId="393" priority="37" operator="equal">
      <formula>"x"</formula>
    </cfRule>
  </conditionalFormatting>
  <conditionalFormatting sqref="Y236:Y250">
    <cfRule type="cellIs" dxfId="392" priority="36" operator="equal">
      <formula>"x"</formula>
    </cfRule>
  </conditionalFormatting>
  <conditionalFormatting sqref="Z236:Z250">
    <cfRule type="cellIs" dxfId="391" priority="35" operator="equal">
      <formula>"x"</formula>
    </cfRule>
  </conditionalFormatting>
  <conditionalFormatting sqref="AA236:AA250">
    <cfRule type="cellIs" dxfId="390" priority="34" operator="equal">
      <formula>"x"</formula>
    </cfRule>
  </conditionalFormatting>
  <conditionalFormatting sqref="AB236:AB250">
    <cfRule type="cellIs" dxfId="389" priority="33" operator="equal">
      <formula>"x"</formula>
    </cfRule>
  </conditionalFormatting>
  <conditionalFormatting sqref="F220:F229">
    <cfRule type="cellIs" dxfId="388" priority="32" operator="equal">
      <formula>"x"</formula>
    </cfRule>
  </conditionalFormatting>
  <conditionalFormatting sqref="G158">
    <cfRule type="cellIs" dxfId="387" priority="30" operator="equal">
      <formula>"x"</formula>
    </cfRule>
  </conditionalFormatting>
  <conditionalFormatting sqref="G159">
    <cfRule type="cellIs" dxfId="386" priority="29" operator="equal">
      <formula>"x"</formula>
    </cfRule>
  </conditionalFormatting>
  <conditionalFormatting sqref="G160">
    <cfRule type="cellIs" dxfId="385" priority="28" operator="equal">
      <formula>"x"</formula>
    </cfRule>
  </conditionalFormatting>
  <conditionalFormatting sqref="G150">
    <cfRule type="cellIs" dxfId="384" priority="27" operator="equal">
      <formula>"x"</formula>
    </cfRule>
  </conditionalFormatting>
  <conditionalFormatting sqref="G148">
    <cfRule type="cellIs" dxfId="383" priority="26" operator="equal">
      <formula>"x"</formula>
    </cfRule>
  </conditionalFormatting>
  <conditionalFormatting sqref="G146">
    <cfRule type="cellIs" dxfId="382" priority="25" operator="equal">
      <formula>"x"</formula>
    </cfRule>
  </conditionalFormatting>
  <conditionalFormatting sqref="G144">
    <cfRule type="cellIs" dxfId="381" priority="24" operator="equal">
      <formula>"x"</formula>
    </cfRule>
  </conditionalFormatting>
  <conditionalFormatting sqref="G145">
    <cfRule type="cellIs" dxfId="380" priority="23" operator="equal">
      <formula>"x"</formula>
    </cfRule>
  </conditionalFormatting>
  <conditionalFormatting sqref="G141">
    <cfRule type="cellIs" dxfId="379" priority="22" operator="equal">
      <formula>"x"</formula>
    </cfRule>
  </conditionalFormatting>
  <conditionalFormatting sqref="G142">
    <cfRule type="cellIs" dxfId="378" priority="21" operator="equal">
      <formula>"x"</formula>
    </cfRule>
  </conditionalFormatting>
  <conditionalFormatting sqref="D235:I235">
    <cfRule type="cellIs" dxfId="377" priority="20" operator="equal">
      <formula>"x"</formula>
    </cfRule>
  </conditionalFormatting>
  <conditionalFormatting sqref="G163">
    <cfRule type="cellIs" dxfId="376" priority="19" operator="equal">
      <formula>"x"</formula>
    </cfRule>
  </conditionalFormatting>
  <conditionalFormatting sqref="AC133:AC152 AC99:AC126 AC154:AC165">
    <cfRule type="cellIs" dxfId="375" priority="18" operator="equal">
      <formula>"x"</formula>
    </cfRule>
  </conditionalFormatting>
  <conditionalFormatting sqref="AC127:AC130">
    <cfRule type="cellIs" dxfId="374" priority="17" operator="equal">
      <formula>"x"</formula>
    </cfRule>
  </conditionalFormatting>
  <conditionalFormatting sqref="AC131:AC132">
    <cfRule type="cellIs" dxfId="373" priority="16" operator="equal">
      <formula>"x"</formula>
    </cfRule>
  </conditionalFormatting>
  <conditionalFormatting sqref="AC153">
    <cfRule type="cellIs" dxfId="372" priority="15" operator="equal">
      <formula>"x"</formula>
    </cfRule>
  </conditionalFormatting>
  <conditionalFormatting sqref="AC166">
    <cfRule type="cellIs" dxfId="371" priority="14" operator="equal">
      <formula>"x"</formula>
    </cfRule>
  </conditionalFormatting>
  <conditionalFormatting sqref="AC91:AC94">
    <cfRule type="cellIs" dxfId="370" priority="13" operator="equal">
      <formula>"x"</formula>
    </cfRule>
  </conditionalFormatting>
  <conditionalFormatting sqref="AC57:AC70 AC72:AC76 AC78:AC80">
    <cfRule type="cellIs" dxfId="369" priority="12" operator="equal">
      <formula>"x"</formula>
    </cfRule>
  </conditionalFormatting>
  <conditionalFormatting sqref="AC71">
    <cfRule type="cellIs" dxfId="368" priority="10" operator="equal">
      <formula>"x"</formula>
    </cfRule>
  </conditionalFormatting>
  <conditionalFormatting sqref="AC77">
    <cfRule type="cellIs" dxfId="367" priority="11" operator="equal">
      <formula>"x"</formula>
    </cfRule>
  </conditionalFormatting>
  <conditionalFormatting sqref="F57:F70 F72:F76 F78:F80">
    <cfRule type="cellIs" dxfId="366" priority="9" operator="equal">
      <formula>"x"</formula>
    </cfRule>
  </conditionalFormatting>
  <conditionalFormatting sqref="F71">
    <cfRule type="cellIs" dxfId="365" priority="7" operator="equal">
      <formula>"x"</formula>
    </cfRule>
  </conditionalFormatting>
  <conditionalFormatting sqref="F77">
    <cfRule type="cellIs" dxfId="364" priority="8" operator="equal">
      <formula>"x"</formula>
    </cfRule>
  </conditionalFormatting>
  <conditionalFormatting sqref="AO196:AO200">
    <cfRule type="cellIs" dxfId="363" priority="6" operator="equal">
      <formula>"x"</formula>
    </cfRule>
  </conditionalFormatting>
  <conditionalFormatting sqref="AC173:AC174">
    <cfRule type="cellIs" dxfId="362" priority="5" operator="equal">
      <formula>"x"</formula>
    </cfRule>
  </conditionalFormatting>
  <conditionalFormatting sqref="AC172">
    <cfRule type="cellIs" dxfId="361" priority="4" operator="equal">
      <formula>"x"</formula>
    </cfRule>
  </conditionalFormatting>
  <conditionalFormatting sqref="AC236:AC250">
    <cfRule type="cellIs" dxfId="360" priority="3" operator="equal">
      <formula>"x"</formula>
    </cfRule>
  </conditionalFormatting>
  <conditionalFormatting sqref="AC265:AC274">
    <cfRule type="cellIs" dxfId="359" priority="2" operator="equal">
      <formula>"x"</formula>
    </cfRule>
  </conditionalFormatting>
  <conditionalFormatting sqref="AO213:AO214">
    <cfRule type="cellIs" dxfId="358" priority="1" operator="equal">
      <formula>"x"</formula>
    </cfRule>
  </conditionalFormatting>
  <hyperlinks>
    <hyperlink ref="C295" location="_ftn2" display="_ftn2"/>
    <hyperlink ref="C298" location="_ftnref1" display="_ftnref1"/>
    <hyperlink ref="I249" r:id="rId1" display="https://www.walmart.com/ip/TrickleStar-00627-3-Cord-7-Outlet-Tier-1-Power-Strip-7-OUTLET-TIER-1-ADVANCED-POWERSTRIP-1-080-JOULES-3-FOOT-POWER-CORD-ALUMI/836049860?wmlspartner=wlpa&amp;selectedSellerId=1087_x000a_https://www.walmart.com/ip/Embertec-00035-8AV-Emberstrip-with-Classic-Sensor-EMBERTEC-CLASSIC-8AV/693567947?wmlspartner=wlpa&amp;selectedSellerId=1087_x000a_https://www.amazon.com/AHRISE-Protector%EF%BC%881680-Outlets-outlets-Extension/dp/B07WGN3X5F/ref=sr_1_3?dchild=1&amp;keywords=smart+power+strip&amp;qid=1595622845&amp;sr=8-3_x000a_https://www.amazon.com/Kasa-Smart-Protector-Required-KP303/dp/B083JKSSR5/ref=sr_1_4?dchild=1&amp;keywords=smart+power+strip&amp;qid=1595622845&amp;sr=8-4"/>
  </hyperlinks>
  <pageMargins left="0.7" right="0.7" top="0.75" bottom="0.75" header="0.3" footer="0.3"/>
  <pageSetup scale="10" fitToHeight="0" orientation="portrait" r:id="rId2"/>
  <rowBreaks count="1" manualBreakCount="1">
    <brk id="275" max="16383"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365"/>
  <sheetViews>
    <sheetView zoomScale="70" zoomScaleNormal="70" workbookViewId="0">
      <selection sqref="A1:O1"/>
    </sheetView>
  </sheetViews>
  <sheetFormatPr defaultColWidth="16.42578125" defaultRowHeight="15" outlineLevelRow="1" x14ac:dyDescent="0.25"/>
  <cols>
    <col min="1" max="1" width="5.5703125" style="123" customWidth="1"/>
    <col min="2" max="2" width="16.42578125" style="123"/>
    <col min="3" max="3" width="20.140625" style="329" bestFit="1" customWidth="1"/>
    <col min="4" max="4" width="22.140625" style="329" customWidth="1"/>
    <col min="5" max="5" width="55.7109375" style="353" customWidth="1"/>
    <col min="6" max="6" width="20.28515625" style="123" customWidth="1"/>
    <col min="7" max="7" width="22.85546875" style="123" customWidth="1"/>
    <col min="8" max="8" width="24.85546875" style="123" customWidth="1"/>
    <col min="9" max="9" width="15.85546875" style="123" customWidth="1"/>
    <col min="10" max="10" width="11.140625" style="123" customWidth="1"/>
    <col min="11" max="12" width="16.42578125" style="123" customWidth="1"/>
    <col min="13" max="13" width="16.42578125" style="561" customWidth="1"/>
    <col min="14" max="21" width="16.42578125" style="123" customWidth="1"/>
    <col min="22" max="22" width="29.42578125" style="123" customWidth="1"/>
    <col min="23" max="23" width="16.42578125" style="103" customWidth="1"/>
    <col min="24" max="24" width="18" style="103" customWidth="1"/>
    <col min="25" max="25" width="17.140625" style="103" customWidth="1"/>
    <col min="26" max="27" width="16.42578125" style="103" customWidth="1"/>
    <col min="28" max="28" width="17.42578125" style="103" bestFit="1" customWidth="1"/>
    <col min="29" max="35" width="16.42578125" customWidth="1"/>
    <col min="36" max="37" width="18" customWidth="1"/>
    <col min="38" max="53" width="16.42578125" customWidth="1"/>
    <col min="55" max="55" width="33.140625" bestFit="1" customWidth="1"/>
    <col min="56" max="56" width="13.85546875" style="1" customWidth="1"/>
    <col min="57" max="57" width="20.42578125" style="1" customWidth="1"/>
  </cols>
  <sheetData>
    <row r="1" spans="1:57" s="23" customFormat="1" ht="18.75" x14ac:dyDescent="0.3">
      <c r="A1" s="3756" t="s">
        <v>504</v>
      </c>
      <c r="B1" s="3951"/>
      <c r="C1" s="3951"/>
      <c r="D1" s="3951"/>
      <c r="E1" s="3951"/>
      <c r="F1" s="3951"/>
      <c r="G1" s="3951"/>
      <c r="H1" s="3951"/>
      <c r="I1" s="3951"/>
      <c r="J1" s="3951"/>
      <c r="K1" s="3951"/>
      <c r="L1" s="3951"/>
      <c r="M1" s="3951"/>
      <c r="N1" s="3951"/>
      <c r="O1" s="3951"/>
      <c r="P1" s="1279"/>
      <c r="Q1" s="1279"/>
      <c r="R1" s="874"/>
      <c r="S1" s="1965"/>
      <c r="T1" s="1965"/>
      <c r="U1" s="1965"/>
      <c r="V1" s="2540"/>
      <c r="W1" s="2408"/>
      <c r="X1" s="2408"/>
      <c r="Y1" s="872"/>
      <c r="Z1" s="872"/>
      <c r="AA1" s="872"/>
      <c r="AB1" s="872"/>
      <c r="AC1" s="32"/>
      <c r="AD1" s="32"/>
      <c r="AE1" s="32"/>
      <c r="AF1" s="32"/>
      <c r="AG1" s="32"/>
      <c r="AH1" s="32"/>
      <c r="AI1" s="1931"/>
      <c r="AJ1" s="1931"/>
      <c r="AK1" s="1931"/>
      <c r="AL1" s="1931"/>
      <c r="AM1" s="1931"/>
      <c r="AN1" s="1931"/>
      <c r="AO1" s="1931"/>
      <c r="AP1" s="1931"/>
      <c r="AQ1" s="1931"/>
      <c r="AR1" s="1931"/>
      <c r="AS1" s="1931"/>
      <c r="AT1" s="1931"/>
      <c r="AU1" s="1931"/>
      <c r="AV1" s="1931"/>
      <c r="AW1" s="1931"/>
      <c r="AX1" s="1931"/>
      <c r="AY1" s="1931"/>
      <c r="AZ1" s="1931"/>
      <c r="BA1" s="1931"/>
      <c r="BB1" s="1931"/>
      <c r="BC1" s="1931"/>
      <c r="BD1" s="417"/>
      <c r="BE1" s="417"/>
    </row>
    <row r="2" spans="1:57" s="23" customFormat="1" ht="30" hidden="1" customHeight="1" outlineLevel="1" x14ac:dyDescent="0.35">
      <c r="A2" s="1965"/>
      <c r="B2" s="1280"/>
      <c r="C2" s="2410"/>
      <c r="D2" s="3760" t="s">
        <v>25</v>
      </c>
      <c r="E2" s="3761"/>
      <c r="F2" s="3762"/>
      <c r="G2" s="3762"/>
      <c r="H2" s="3762"/>
      <c r="I2" s="3762"/>
      <c r="J2" s="3762"/>
      <c r="K2" s="873"/>
      <c r="L2" s="873"/>
      <c r="M2" s="1965"/>
      <c r="N2" s="1965"/>
      <c r="O2" s="1965"/>
      <c r="P2" s="1965"/>
      <c r="Q2" s="1965"/>
      <c r="R2" s="1965"/>
      <c r="S2" s="1965"/>
      <c r="T2" s="1965"/>
      <c r="U2" s="1965"/>
      <c r="V2" s="1965"/>
      <c r="W2" s="67"/>
      <c r="X2" s="67"/>
      <c r="Y2" s="67"/>
      <c r="Z2" s="67"/>
      <c r="AA2" s="67"/>
      <c r="AB2" s="67"/>
      <c r="AC2" s="1931"/>
      <c r="AD2" s="1931"/>
      <c r="AE2" s="1931"/>
      <c r="AF2" s="1931"/>
      <c r="AG2" s="1931"/>
      <c r="AH2" s="1931"/>
      <c r="AI2" s="1931"/>
      <c r="AJ2" s="1931"/>
      <c r="AK2" s="1931"/>
      <c r="AL2" s="1931"/>
      <c r="AM2" s="1931"/>
      <c r="AN2" s="1931"/>
      <c r="AO2" s="1931"/>
      <c r="AP2" s="1931"/>
      <c r="AQ2" s="1931"/>
      <c r="AR2" s="1931"/>
      <c r="AS2" s="1931"/>
      <c r="AT2" s="1931"/>
      <c r="AU2" s="1931"/>
      <c r="AV2" s="1931"/>
      <c r="AW2" s="1931"/>
      <c r="AX2" s="1931"/>
      <c r="AY2" s="1931"/>
      <c r="AZ2" s="1931"/>
      <c r="BA2" s="1931"/>
      <c r="BB2" s="1931"/>
      <c r="BC2" s="1931"/>
      <c r="BD2" s="417"/>
      <c r="BE2" s="417"/>
    </row>
    <row r="3" spans="1:57" s="26" customFormat="1" ht="33.75" customHeight="1" collapsed="1" x14ac:dyDescent="0.25">
      <c r="A3" s="874"/>
      <c r="B3" s="874"/>
      <c r="C3" s="145"/>
      <c r="D3" s="145"/>
      <c r="E3" s="2411"/>
      <c r="F3" s="144"/>
      <c r="G3" s="144"/>
      <c r="H3" s="144"/>
      <c r="I3" s="144"/>
      <c r="J3" s="144"/>
      <c r="K3" s="874"/>
      <c r="L3" s="874"/>
      <c r="M3" s="1458"/>
      <c r="N3" s="874"/>
      <c r="O3" s="874"/>
      <c r="P3" s="874"/>
      <c r="Q3" s="874"/>
      <c r="R3" s="874"/>
      <c r="S3" s="874"/>
      <c r="T3" s="874"/>
      <c r="U3" s="874"/>
      <c r="V3" s="874"/>
      <c r="W3" s="875"/>
      <c r="X3" s="875"/>
      <c r="Y3" s="875"/>
      <c r="Z3" s="875"/>
      <c r="AA3" s="875"/>
      <c r="AB3" s="875"/>
      <c r="AC3" s="1933"/>
      <c r="AD3" s="1933"/>
      <c r="AE3" s="1933"/>
      <c r="AF3" s="1933"/>
      <c r="AG3" s="1933"/>
      <c r="AH3" s="1933"/>
      <c r="AI3" s="1933"/>
      <c r="AJ3" s="1933"/>
      <c r="AK3" s="1933"/>
      <c r="AL3" s="1933"/>
      <c r="AM3" s="1933"/>
      <c r="AN3" s="1933"/>
      <c r="AO3" s="1933"/>
      <c r="AP3" s="1933"/>
      <c r="AQ3" s="1933"/>
      <c r="AR3" s="1933"/>
      <c r="AS3" s="1933"/>
      <c r="AT3" s="1933"/>
      <c r="AU3" s="1933"/>
      <c r="AV3" s="1933"/>
      <c r="AW3" s="1933"/>
      <c r="AX3" s="1933"/>
      <c r="AY3" s="1933"/>
      <c r="AZ3" s="1933"/>
      <c r="BA3" s="1933"/>
      <c r="BB3" s="1933"/>
      <c r="BC3" s="1933"/>
      <c r="BD3" s="418"/>
      <c r="BE3" s="418"/>
    </row>
    <row r="4" spans="1:57" x14ac:dyDescent="0.25">
      <c r="B4" s="3750" t="s">
        <v>505</v>
      </c>
      <c r="C4" s="3751"/>
      <c r="D4" s="3751"/>
      <c r="E4" s="3751"/>
      <c r="F4" s="3751"/>
      <c r="G4" s="3751"/>
      <c r="H4" s="3751"/>
      <c r="I4" s="3744"/>
      <c r="J4" s="3744"/>
      <c r="K4" s="3744"/>
      <c r="L4" s="3744"/>
      <c r="M4" s="3744"/>
      <c r="N4" s="3745"/>
      <c r="O4" s="249"/>
      <c r="P4" s="249"/>
      <c r="Q4" s="249"/>
      <c r="R4" s="249"/>
      <c r="V4" s="3750" t="str">
        <f>B4</f>
        <v>Dirty Filter Alarm</v>
      </c>
      <c r="W4" s="3751"/>
      <c r="X4" s="3751"/>
      <c r="Y4" s="3751"/>
      <c r="Z4" s="3751"/>
      <c r="AA4" s="3751"/>
      <c r="AB4" s="3751"/>
      <c r="AC4" s="3752"/>
      <c r="AD4" s="3752"/>
      <c r="AE4" s="3752"/>
      <c r="AF4" s="3752"/>
      <c r="AG4" s="3752"/>
      <c r="AH4" s="3753"/>
      <c r="AI4" s="1930"/>
      <c r="AJ4" s="1930"/>
      <c r="AK4" s="1930"/>
      <c r="AL4" s="1930"/>
      <c r="AM4" s="1930"/>
      <c r="AN4" s="1930"/>
      <c r="AO4" s="1930"/>
      <c r="AP4" s="1930"/>
      <c r="AQ4" s="1930"/>
      <c r="AR4" s="1930"/>
      <c r="AS4" s="1930"/>
      <c r="AT4" s="1930"/>
      <c r="AU4" s="1930"/>
      <c r="AV4" s="1930"/>
      <c r="AW4" s="1930"/>
      <c r="AX4" s="1930"/>
      <c r="AY4" s="1930"/>
      <c r="AZ4" s="1930"/>
      <c r="BA4" s="1930"/>
      <c r="BB4" s="1930"/>
      <c r="BC4" s="1930"/>
    </row>
    <row r="5" spans="1:57" x14ac:dyDescent="0.25">
      <c r="B5" s="1459"/>
      <c r="C5" s="1678"/>
      <c r="D5" s="419"/>
      <c r="E5" s="2412"/>
      <c r="F5" s="226"/>
      <c r="G5" s="226"/>
      <c r="H5" s="226"/>
      <c r="I5" s="226"/>
      <c r="J5" s="226"/>
      <c r="K5" s="226"/>
      <c r="L5" s="1438"/>
      <c r="M5" s="1159"/>
      <c r="N5" s="249"/>
      <c r="O5" s="249"/>
      <c r="P5" s="249"/>
      <c r="Q5" s="249"/>
      <c r="R5" s="249"/>
      <c r="AC5" s="1930"/>
      <c r="AD5" s="1930"/>
      <c r="AE5" s="1930"/>
      <c r="AF5" s="1930"/>
      <c r="AG5" s="1930"/>
      <c r="AH5" s="1930"/>
      <c r="AI5" s="1930"/>
      <c r="AJ5" s="1930"/>
      <c r="AK5" s="1930"/>
      <c r="AL5" s="1930"/>
      <c r="AM5" s="1930"/>
      <c r="AN5" s="1930"/>
      <c r="AO5" s="1930"/>
      <c r="AP5" s="1930"/>
      <c r="AQ5" s="1930"/>
      <c r="AR5" s="1930"/>
      <c r="AS5" s="1930"/>
      <c r="AT5" s="1930"/>
      <c r="AU5" s="1930"/>
      <c r="AV5" s="1930"/>
      <c r="AW5" s="1930"/>
      <c r="AX5" s="1930"/>
      <c r="AY5" s="1930"/>
      <c r="AZ5" s="1930"/>
      <c r="BA5" s="1930"/>
      <c r="BB5" s="1930"/>
      <c r="BC5" s="1930"/>
    </row>
    <row r="6" spans="1:57" ht="30" x14ac:dyDescent="0.25">
      <c r="B6" s="1233"/>
      <c r="C6" s="3086" t="s">
        <v>28</v>
      </c>
      <c r="D6" s="3086" t="s">
        <v>175</v>
      </c>
      <c r="E6" s="3086" t="s">
        <v>30</v>
      </c>
      <c r="F6" s="3086" t="s">
        <v>31</v>
      </c>
      <c r="G6" s="3086" t="s">
        <v>176</v>
      </c>
      <c r="H6" s="3086" t="s">
        <v>177</v>
      </c>
      <c r="I6" s="3086" t="s">
        <v>506</v>
      </c>
      <c r="J6" s="3086" t="s">
        <v>507</v>
      </c>
      <c r="K6" s="3086" t="s">
        <v>32</v>
      </c>
      <c r="L6" s="3140" t="s">
        <v>181</v>
      </c>
      <c r="M6" s="3086" t="s">
        <v>170</v>
      </c>
      <c r="N6" s="3086" t="s">
        <v>44</v>
      </c>
      <c r="P6" s="228"/>
      <c r="Q6" s="228"/>
      <c r="R6" s="228"/>
      <c r="V6" s="551" t="s">
        <v>45</v>
      </c>
      <c r="W6" s="360">
        <v>43252</v>
      </c>
      <c r="X6" s="360">
        <v>43465</v>
      </c>
      <c r="Y6" s="360">
        <v>43800</v>
      </c>
      <c r="Z6" s="360">
        <v>43862</v>
      </c>
      <c r="AA6" s="360">
        <v>44013</v>
      </c>
      <c r="AB6" s="360">
        <v>44166</v>
      </c>
      <c r="AC6" s="1937">
        <v>44531</v>
      </c>
      <c r="AD6" s="1937" t="s">
        <v>46</v>
      </c>
      <c r="AE6" s="1937" t="s">
        <v>46</v>
      </c>
      <c r="AF6" s="1937" t="s">
        <v>46</v>
      </c>
      <c r="AG6" s="1937" t="s">
        <v>46</v>
      </c>
      <c r="AH6" s="1930"/>
      <c r="AI6" s="1930"/>
      <c r="AJ6" s="1930"/>
      <c r="AK6" s="1930"/>
      <c r="AL6" s="1930"/>
      <c r="AM6" s="1930"/>
      <c r="AN6" s="1930"/>
      <c r="AO6" s="1930"/>
      <c r="AP6" s="1930"/>
      <c r="AQ6" s="1930"/>
      <c r="AR6" s="1930"/>
      <c r="AS6" s="1930"/>
      <c r="AT6" s="1930"/>
      <c r="AU6" s="1930"/>
      <c r="AV6" s="1930"/>
      <c r="AW6" s="1930"/>
      <c r="AX6" s="1930"/>
      <c r="AY6" s="1930"/>
      <c r="AZ6" s="1930"/>
      <c r="BA6" s="1930"/>
      <c r="BB6" s="1953" t="s">
        <v>47</v>
      </c>
      <c r="BC6" s="49" t="s">
        <v>48</v>
      </c>
      <c r="BD6" s="50" t="s">
        <v>49</v>
      </c>
      <c r="BE6" s="50" t="s">
        <v>50</v>
      </c>
    </row>
    <row r="7" spans="1:57" x14ac:dyDescent="0.25">
      <c r="B7" s="1233"/>
      <c r="C7" s="420" t="s">
        <v>508</v>
      </c>
      <c r="D7" s="2667" t="s">
        <v>509</v>
      </c>
      <c r="E7" s="3200" t="s">
        <v>510</v>
      </c>
      <c r="F7" s="579">
        <f>ROUND(I7+J7,2)</f>
        <v>53.75</v>
      </c>
      <c r="G7" s="3176" t="s">
        <v>438</v>
      </c>
      <c r="H7" s="155">
        <f>VLOOKUP(G7,'CP FACTORS'!$A$3:$B$38, 2, FALSE)</f>
        <v>4.6608050000000002E-4</v>
      </c>
      <c r="I7" s="1460">
        <f>F$22*F$24*F$25*F$27*F28*F30</f>
        <v>33.999526956521741</v>
      </c>
      <c r="J7" s="1460">
        <f>F$34*F$24*F$36*F$27*F28*F30</f>
        <v>19.749725217391305</v>
      </c>
      <c r="K7" s="893">
        <f>ROUND(H7*F7,6)</f>
        <v>2.5052000000000001E-2</v>
      </c>
      <c r="L7" s="2298">
        <f>$F$38</f>
        <v>14</v>
      </c>
      <c r="M7" s="444">
        <f>$F$39</f>
        <v>5</v>
      </c>
      <c r="N7" s="2667" t="s">
        <v>185</v>
      </c>
      <c r="V7" s="1962" t="str">
        <f>$F$6</f>
        <v>kWh Annual Savings</v>
      </c>
      <c r="W7" s="423">
        <v>68.110226249999997</v>
      </c>
      <c r="X7" s="424">
        <v>64.253294436813192</v>
      </c>
      <c r="Y7" s="425">
        <v>61.06</v>
      </c>
      <c r="Z7" s="2162">
        <v>61.06</v>
      </c>
      <c r="AA7" s="2162">
        <v>61.06</v>
      </c>
      <c r="AB7" s="1975">
        <v>53.75</v>
      </c>
      <c r="AC7" s="579">
        <v>53.75</v>
      </c>
      <c r="AD7" s="160"/>
      <c r="AE7" s="160"/>
      <c r="AF7" s="160"/>
      <c r="AG7" s="160"/>
      <c r="AH7" s="163"/>
      <c r="AI7" s="1930"/>
      <c r="AJ7" s="1930"/>
      <c r="AK7" s="1930"/>
      <c r="AL7" s="1930"/>
      <c r="AM7" s="1930"/>
      <c r="AN7" s="1930"/>
      <c r="AO7" s="1930"/>
      <c r="AP7" s="1930"/>
      <c r="AQ7" s="1930"/>
      <c r="AR7" s="1930"/>
      <c r="AS7" s="1930"/>
      <c r="AT7" s="1930"/>
      <c r="AU7" s="1930"/>
      <c r="AV7" s="1930"/>
      <c r="AW7" s="1930"/>
      <c r="AX7" s="1930"/>
      <c r="AY7" s="1930"/>
      <c r="AZ7" s="1930"/>
      <c r="BA7" s="1930"/>
      <c r="BB7" s="110">
        <f>(BD7)/(BE7)</f>
        <v>10.113049054563286</v>
      </c>
      <c r="BC7" s="3166" t="str">
        <f>CONCATENATE(G7," ",L7," Year EUL")</f>
        <v>HVAC RES 14 Year EUL</v>
      </c>
      <c r="BD7" s="2446">
        <f>(INDEX('Avoided Cost Benefits'!$C$4:$C$857,MATCH(BC7,'Avoided Cost Benefits'!$A$4:$A$857,0)))*F7</f>
        <v>47.725573641166989</v>
      </c>
      <c r="BE7" s="2447">
        <f>M7/(1.0595^(2020-2019))</f>
        <v>4.7192071731949028</v>
      </c>
    </row>
    <row r="8" spans="1:57" s="1930" customFormat="1" x14ac:dyDescent="0.25">
      <c r="A8" s="123"/>
      <c r="B8" s="1233"/>
      <c r="C8" s="420" t="s">
        <v>511</v>
      </c>
      <c r="D8" s="2734" t="s">
        <v>512</v>
      </c>
      <c r="E8" s="3224" t="s">
        <v>513</v>
      </c>
      <c r="F8" s="579">
        <f t="shared" ref="F8:F11" si="0">ROUND(I8+J8,2)</f>
        <v>98.22</v>
      </c>
      <c r="G8" s="3176" t="s">
        <v>438</v>
      </c>
      <c r="H8" s="449">
        <f>VLOOKUP(G8,'CP FACTORS'!$A$3:$B$38, 2, FALSE)</f>
        <v>4.6608050000000002E-4</v>
      </c>
      <c r="I8" s="1460">
        <f>F$22*F$24*F$25*F$27*F29*F31</f>
        <v>62.128554782608688</v>
      </c>
      <c r="J8" s="1460">
        <f t="shared" ref="J8" si="1">F$34*F$24*F$36*F$27*F29*F31</f>
        <v>36.089381086956521</v>
      </c>
      <c r="K8" s="893">
        <f t="shared" ref="K8:K9" si="2">ROUND(H8*F8,6)</f>
        <v>4.5777999999999999E-2</v>
      </c>
      <c r="L8" s="2298">
        <f t="shared" ref="L8:L11" si="3">$F$38</f>
        <v>14</v>
      </c>
      <c r="M8" s="444">
        <f t="shared" ref="M8:M9" si="4">$F$39</f>
        <v>5</v>
      </c>
      <c r="N8" s="2667" t="s">
        <v>185</v>
      </c>
      <c r="O8" s="123"/>
      <c r="P8" s="123"/>
      <c r="Q8" s="123"/>
      <c r="R8" s="123"/>
      <c r="S8" s="123"/>
      <c r="T8" s="123"/>
      <c r="U8" s="123"/>
      <c r="V8" s="1962" t="str">
        <f t="shared" ref="V8:V11" si="5">$F$6</f>
        <v>kWh Annual Savings</v>
      </c>
      <c r="W8" s="423"/>
      <c r="X8" s="424"/>
      <c r="Y8" s="425"/>
      <c r="Z8" s="2162"/>
      <c r="AA8" s="2162"/>
      <c r="AB8" s="1975">
        <v>98.22</v>
      </c>
      <c r="AC8" s="579">
        <v>98.22</v>
      </c>
      <c r="AD8" s="160"/>
      <c r="AE8" s="160"/>
      <c r="AF8" s="160"/>
      <c r="AG8" s="160"/>
      <c r="AH8" s="163"/>
      <c r="BB8" s="110">
        <f t="shared" ref="BB8:BB9" si="6">(BD8)/(BE8)</f>
        <v>18.480068430496853</v>
      </c>
      <c r="BC8" s="3166" t="str">
        <f t="shared" ref="BC8:BC9" si="7">CONCATENATE(G8," ",L8," Year EUL")</f>
        <v>HVAC RES 14 Year EUL</v>
      </c>
      <c r="BD8" s="2446">
        <f>(INDEX('Avoided Cost Benefits'!$C$4:$C$857,MATCH(BC8,'Avoided Cost Benefits'!$A$4:$A$857,0)))*F8</f>
        <v>87.211271498333417</v>
      </c>
      <c r="BE8" s="2447">
        <f t="shared" ref="BE8:BE9" si="8">M8/(1.0595^(2020-2019))</f>
        <v>4.7192071731949028</v>
      </c>
    </row>
    <row r="9" spans="1:57" s="1930" customFormat="1" x14ac:dyDescent="0.25">
      <c r="A9" s="123"/>
      <c r="B9" s="1233"/>
      <c r="C9" s="3022" t="s">
        <v>514</v>
      </c>
      <c r="D9" s="2667" t="s">
        <v>515</v>
      </c>
      <c r="E9" s="3224" t="s">
        <v>516</v>
      </c>
      <c r="F9" s="675">
        <f t="shared" si="0"/>
        <v>15.27</v>
      </c>
      <c r="G9" s="3176" t="s">
        <v>438</v>
      </c>
      <c r="H9" s="449">
        <f>VLOOKUP(G9,'CP FACTORS'!$A$3:$B$38, 2, FALSE)</f>
        <v>4.6608050000000002E-4</v>
      </c>
      <c r="I9" s="1460">
        <f>F$22*F$24*F$25*F$27*F29*F33</f>
        <v>9.65895652173913</v>
      </c>
      <c r="J9" s="2686">
        <f>F$34*F$24*F$36*F$27*F29*F33</f>
        <v>5.6107173913043482</v>
      </c>
      <c r="K9" s="893">
        <f t="shared" si="2"/>
        <v>7.1170000000000001E-3</v>
      </c>
      <c r="L9" s="2298">
        <f t="shared" si="3"/>
        <v>14</v>
      </c>
      <c r="M9" s="444">
        <f t="shared" si="4"/>
        <v>5</v>
      </c>
      <c r="N9" s="2667" t="s">
        <v>185</v>
      </c>
      <c r="O9" s="123"/>
      <c r="P9" s="123"/>
      <c r="Q9" s="123"/>
      <c r="R9" s="123"/>
      <c r="S9" s="123"/>
      <c r="T9" s="123"/>
      <c r="U9" s="123"/>
      <c r="V9" s="1962" t="str">
        <f t="shared" si="5"/>
        <v>kWh Annual Savings</v>
      </c>
      <c r="W9" s="423"/>
      <c r="X9" s="424"/>
      <c r="Y9" s="425"/>
      <c r="Z9" s="2162"/>
      <c r="AA9" s="2162"/>
      <c r="AB9" s="1975">
        <v>15.27</v>
      </c>
      <c r="AC9" s="579">
        <f>F9</f>
        <v>15.27</v>
      </c>
      <c r="AD9" s="160"/>
      <c r="AE9" s="160"/>
      <c r="AF9" s="160"/>
      <c r="AG9" s="160"/>
      <c r="AH9" s="163"/>
      <c r="BB9" s="110">
        <f t="shared" si="6"/>
        <v>2.8730466802452344</v>
      </c>
      <c r="BC9" s="3166" t="str">
        <f t="shared" si="7"/>
        <v>HVAC RES 14 Year EUL</v>
      </c>
      <c r="BD9" s="2446">
        <f>(INDEX('Avoided Cost Benefits'!$C$4:$C$857,MATCH(BC9,'Avoided Cost Benefits'!$A$4:$A$857,0)))*F9</f>
        <v>13.558502502337113</v>
      </c>
      <c r="BE9" s="2447">
        <f t="shared" si="8"/>
        <v>4.7192071731949028</v>
      </c>
    </row>
    <row r="10" spans="1:57" x14ac:dyDescent="0.25">
      <c r="B10" s="1233"/>
      <c r="C10" s="420" t="s">
        <v>517</v>
      </c>
      <c r="D10" s="2667" t="s">
        <v>509</v>
      </c>
      <c r="E10" s="3224" t="s">
        <v>518</v>
      </c>
      <c r="F10" s="579">
        <f t="shared" si="0"/>
        <v>177.38</v>
      </c>
      <c r="G10" s="3176" t="s">
        <v>438</v>
      </c>
      <c r="H10" s="155">
        <f>VLOOKUP(G10,'CP FACTORS'!$A$3:$B$38, 2, FALSE)</f>
        <v>4.6608050000000002E-4</v>
      </c>
      <c r="I10" s="1460">
        <f>F$23*F$24*F$25*F$27*F29*F32</f>
        <v>112.2</v>
      </c>
      <c r="J10" s="1460">
        <f>F$35*F$24*F$36*F$27*F29*F32</f>
        <v>65.174999999999997</v>
      </c>
      <c r="K10" s="893">
        <f>ROUND(H10*F10,6)</f>
        <v>8.2672999999999996E-2</v>
      </c>
      <c r="L10" s="2298">
        <f t="shared" si="3"/>
        <v>14</v>
      </c>
      <c r="M10" s="444">
        <f>F40</f>
        <v>5</v>
      </c>
      <c r="N10" s="2667" t="s">
        <v>185</v>
      </c>
      <c r="V10" s="1962" t="str">
        <f t="shared" si="5"/>
        <v>kWh Annual Savings</v>
      </c>
      <c r="W10" s="423">
        <v>79.197937499999995</v>
      </c>
      <c r="X10" s="424">
        <v>171.76499999999999</v>
      </c>
      <c r="Y10" s="425">
        <v>177.38</v>
      </c>
      <c r="Z10" s="2162">
        <v>177.38</v>
      </c>
      <c r="AA10" s="2162">
        <v>177.38</v>
      </c>
      <c r="AB10" s="550">
        <v>177.38</v>
      </c>
      <c r="AC10" s="579">
        <v>177.38</v>
      </c>
      <c r="AD10" s="160"/>
      <c r="AE10" s="160"/>
      <c r="AF10" s="160"/>
      <c r="AG10" s="160"/>
      <c r="AH10" s="163"/>
      <c r="AI10" s="1930"/>
      <c r="AJ10" s="1930"/>
      <c r="AK10" s="1930"/>
      <c r="AL10" s="1930"/>
      <c r="AM10" s="1930"/>
      <c r="AN10" s="1930"/>
      <c r="AO10" s="1930"/>
      <c r="AP10" s="1930"/>
      <c r="AQ10" s="1930"/>
      <c r="AR10" s="1930"/>
      <c r="AS10" s="1930"/>
      <c r="AT10" s="1930"/>
      <c r="AU10" s="1930"/>
      <c r="AV10" s="1930"/>
      <c r="AW10" s="1930"/>
      <c r="AX10" s="1930"/>
      <c r="AY10" s="1930"/>
      <c r="AZ10" s="1930"/>
      <c r="BA10" s="1930"/>
      <c r="BB10" s="110">
        <f>(BD10)/(BE10)</f>
        <v>33.374002628808107</v>
      </c>
      <c r="BC10" s="1948" t="str">
        <f>CONCATENATE(G10," ",L10," Year EUL")</f>
        <v>HVAC RES 14 Year EUL</v>
      </c>
      <c r="BD10" s="2446">
        <f>(INDEX('Avoided Cost Benefits'!$C$4:$C$857,MATCH(BC10,'Avoided Cost Benefits'!$A$4:$A$857,0)))*F10</f>
        <v>157.49883260409675</v>
      </c>
      <c r="BE10" s="2447">
        <f>M10/(1.0595^(2020-2019))</f>
        <v>4.7192071731949028</v>
      </c>
    </row>
    <row r="11" spans="1:57" x14ac:dyDescent="0.25">
      <c r="B11" s="1233"/>
      <c r="C11" s="420" t="s">
        <v>519</v>
      </c>
      <c r="D11" s="1861" t="s">
        <v>509</v>
      </c>
      <c r="E11" s="3123" t="str">
        <f>CONCATENATE(E10,"_CompE")</f>
        <v>Dirty Filter Alarm_MF_CompE</v>
      </c>
      <c r="F11" s="1461">
        <f t="shared" si="0"/>
        <v>85.65</v>
      </c>
      <c r="G11" s="3176" t="s">
        <v>438</v>
      </c>
      <c r="H11" s="155">
        <f>VLOOKUP(G11,'CP FACTORS'!$A$3:$B$38, 2, FALSE)</f>
        <v>4.6608050000000002E-4</v>
      </c>
      <c r="I11" s="1460">
        <f>F$23*F$24*F$26*F$27*F29*F32</f>
        <v>38.25</v>
      </c>
      <c r="J11" s="1460">
        <f>F$35*F$24*F$37*F$27*F29*F32</f>
        <v>47.4</v>
      </c>
      <c r="K11" s="893">
        <f>ROUND(H11*F11,6)</f>
        <v>3.9919999999999997E-2</v>
      </c>
      <c r="L11" s="2298">
        <f t="shared" si="3"/>
        <v>14</v>
      </c>
      <c r="M11" s="444">
        <f>F40</f>
        <v>5</v>
      </c>
      <c r="N11" s="2667" t="s">
        <v>185</v>
      </c>
      <c r="V11" s="1962" t="str">
        <f t="shared" si="5"/>
        <v>kWh Annual Savings</v>
      </c>
      <c r="W11" s="423"/>
      <c r="X11" s="424"/>
      <c r="Y11" s="425">
        <v>85.65</v>
      </c>
      <c r="Z11" s="2162">
        <v>85.65</v>
      </c>
      <c r="AA11" s="2162">
        <v>85.65</v>
      </c>
      <c r="AB11" s="550">
        <v>85.65</v>
      </c>
      <c r="AC11" s="1461">
        <v>85.65</v>
      </c>
      <c r="AD11" s="160"/>
      <c r="AE11" s="160"/>
      <c r="AF11" s="160"/>
      <c r="AG11" s="160"/>
      <c r="AH11" s="163"/>
      <c r="AI11" s="1930"/>
      <c r="AJ11" s="1930"/>
      <c r="AK11" s="1930"/>
      <c r="AL11" s="1930"/>
      <c r="AM11" s="1930"/>
      <c r="AN11" s="1930"/>
      <c r="AO11" s="1930"/>
      <c r="AP11" s="1930"/>
      <c r="AQ11" s="1930"/>
      <c r="AR11" s="1930"/>
      <c r="AS11" s="1930"/>
      <c r="AT11" s="1930"/>
      <c r="AU11" s="1930"/>
      <c r="AV11" s="1930"/>
      <c r="AW11" s="1930"/>
      <c r="AX11" s="1930"/>
      <c r="AY11" s="1930"/>
      <c r="AZ11" s="1930"/>
      <c r="BA11" s="1930"/>
      <c r="BB11" s="110">
        <f>(BD11)/(BE11)</f>
        <v>16.115026074852938</v>
      </c>
      <c r="BC11" s="1948" t="str">
        <f>CONCATENATE(G11," ",L11," Year EUL")</f>
        <v>HVAC RES 14 Year EUL</v>
      </c>
      <c r="BD11" s="2446">
        <f>(INDEX('Avoided Cost Benefits'!$C$4:$C$857,MATCH(BC11,'Avoided Cost Benefits'!$A$4:$A$857,0)))*F11</f>
        <v>76.050146648668886</v>
      </c>
      <c r="BE11" s="2447">
        <f>M11/(1.0595^(2020-2019))</f>
        <v>4.7192071731949028</v>
      </c>
    </row>
    <row r="12" spans="1:57" hidden="1" outlineLevel="1" x14ac:dyDescent="0.25">
      <c r="B12" s="1233"/>
      <c r="C12" s="427"/>
      <c r="D12" s="427"/>
      <c r="E12" s="2413"/>
      <c r="F12" s="1462"/>
      <c r="G12" s="1463"/>
      <c r="H12" s="1464"/>
      <c r="I12" s="1465"/>
      <c r="J12" s="1466"/>
      <c r="K12" s="1467"/>
      <c r="L12" s="1468"/>
      <c r="M12" s="1469"/>
      <c r="N12" s="918"/>
      <c r="W12" s="455"/>
      <c r="AC12" s="1930"/>
      <c r="AD12" s="1930"/>
      <c r="AE12" s="1930"/>
      <c r="AF12" s="1930"/>
      <c r="AG12" s="1930"/>
      <c r="AH12" s="1930"/>
      <c r="AI12" s="1930"/>
      <c r="AJ12" s="1930"/>
      <c r="AK12" s="1930"/>
      <c r="AL12" s="1930"/>
      <c r="AM12" s="1930"/>
      <c r="AN12" s="1930"/>
      <c r="AO12" s="1930"/>
      <c r="AP12" s="1930"/>
      <c r="AQ12" s="1930"/>
      <c r="AR12" s="1930"/>
      <c r="AS12" s="1930"/>
      <c r="AT12" s="1930"/>
      <c r="AU12" s="1930"/>
      <c r="AV12" s="1930"/>
      <c r="AW12" s="1930"/>
      <c r="AX12" s="1930"/>
      <c r="AY12" s="1930"/>
      <c r="AZ12" s="1930"/>
      <c r="BA12" s="1930"/>
      <c r="BB12" s="1930"/>
      <c r="BC12" s="1930"/>
      <c r="BE12" s="428"/>
    </row>
    <row r="13" spans="1:57" hidden="1" outlineLevel="1" x14ac:dyDescent="0.25">
      <c r="B13" s="1233"/>
      <c r="C13" s="1678"/>
      <c r="D13" s="174" t="s">
        <v>108</v>
      </c>
      <c r="E13" s="2414"/>
      <c r="F13" s="1470"/>
      <c r="G13" s="910"/>
      <c r="H13" s="249"/>
      <c r="I13" s="249"/>
      <c r="J13" s="249"/>
      <c r="K13" s="249"/>
      <c r="L13" s="249"/>
      <c r="M13" s="1159"/>
      <c r="N13" s="249"/>
      <c r="O13" s="249"/>
      <c r="P13" s="249"/>
      <c r="Q13" s="249"/>
      <c r="R13" s="249"/>
      <c r="AC13" s="1930"/>
      <c r="AD13" s="1930"/>
      <c r="AE13" s="1930"/>
      <c r="AF13" s="1930"/>
      <c r="AG13" s="1930"/>
      <c r="AH13" s="1930"/>
      <c r="AI13" s="1930"/>
      <c r="AJ13" s="1930"/>
      <c r="AK13" s="1930"/>
      <c r="AL13" s="1930"/>
      <c r="AM13" s="1930"/>
      <c r="AN13" s="1930"/>
      <c r="AO13" s="1930"/>
      <c r="AP13" s="1930"/>
      <c r="AQ13" s="1930"/>
      <c r="AR13" s="1930"/>
      <c r="AS13" s="1930"/>
      <c r="AT13" s="1930"/>
      <c r="AU13" s="1930"/>
      <c r="AV13" s="1930"/>
      <c r="AW13" s="1930"/>
      <c r="AX13" s="1930"/>
      <c r="AY13" s="1930"/>
      <c r="AZ13" s="1930"/>
      <c r="BA13" s="1930"/>
      <c r="BB13" s="1930"/>
      <c r="BC13" s="1930"/>
      <c r="BE13" s="428"/>
    </row>
    <row r="14" spans="1:57" s="1930" customFormat="1" hidden="1" outlineLevel="1" x14ac:dyDescent="0.25">
      <c r="A14" s="123"/>
      <c r="B14" s="1233"/>
      <c r="C14" s="1678"/>
      <c r="D14" s="174"/>
      <c r="E14" s="2414"/>
      <c r="F14" s="1470"/>
      <c r="G14" s="910"/>
      <c r="H14" s="249"/>
      <c r="I14" s="249"/>
      <c r="J14" s="249"/>
      <c r="K14" s="249"/>
      <c r="L14" s="249"/>
      <c r="M14" s="1159"/>
      <c r="N14" s="249"/>
      <c r="O14" s="249"/>
      <c r="P14" s="249"/>
      <c r="Q14" s="249"/>
      <c r="R14" s="249"/>
      <c r="S14" s="123"/>
      <c r="T14" s="123"/>
      <c r="U14" s="123"/>
      <c r="V14" s="123"/>
      <c r="W14" s="103"/>
      <c r="X14" s="103"/>
      <c r="Y14" s="103"/>
      <c r="Z14" s="103"/>
      <c r="AA14" s="103"/>
      <c r="AB14" s="103"/>
      <c r="BD14" s="1"/>
      <c r="BE14" s="428"/>
    </row>
    <row r="15" spans="1:57" s="1930" customFormat="1" hidden="1" outlineLevel="1" x14ac:dyDescent="0.25">
      <c r="A15" s="123"/>
      <c r="B15" s="1233"/>
      <c r="C15" s="1678"/>
      <c r="D15" s="174"/>
      <c r="E15" s="2414"/>
      <c r="F15" s="1470"/>
      <c r="G15" s="910"/>
      <c r="H15" s="249"/>
      <c r="I15" s="249"/>
      <c r="J15" s="249"/>
      <c r="K15" s="249"/>
      <c r="L15" s="249"/>
      <c r="M15" s="1159"/>
      <c r="N15" s="249"/>
      <c r="O15" s="249"/>
      <c r="P15" s="249"/>
      <c r="Q15" s="249"/>
      <c r="R15" s="249"/>
      <c r="S15" s="123"/>
      <c r="T15" s="123"/>
      <c r="U15" s="123"/>
      <c r="V15" s="123"/>
      <c r="W15" s="103"/>
      <c r="X15" s="103"/>
      <c r="Y15" s="103"/>
      <c r="Z15" s="103"/>
      <c r="AA15" s="103"/>
      <c r="AB15" s="103"/>
      <c r="BD15" s="1"/>
      <c r="BE15" s="428"/>
    </row>
    <row r="16" spans="1:57" hidden="1" outlineLevel="1" x14ac:dyDescent="0.25">
      <c r="B16" s="1233"/>
      <c r="C16" s="1678"/>
      <c r="D16" s="3225"/>
      <c r="E16" s="928"/>
      <c r="F16" s="928"/>
      <c r="G16" s="928"/>
      <c r="H16" s="249"/>
      <c r="I16" s="249"/>
      <c r="J16" s="249"/>
      <c r="K16" s="249"/>
      <c r="L16" s="249"/>
      <c r="M16" s="1159"/>
      <c r="N16" s="249"/>
      <c r="O16" s="249"/>
      <c r="P16" s="249"/>
      <c r="Q16" s="249"/>
      <c r="R16" s="249"/>
      <c r="AC16" s="1930"/>
      <c r="AD16" s="1930"/>
      <c r="AE16" s="1930"/>
      <c r="AF16" s="1930"/>
      <c r="AG16" s="1930"/>
      <c r="AH16" s="1930"/>
      <c r="AI16" s="1930"/>
      <c r="AJ16" s="1930"/>
      <c r="AK16" s="1930"/>
      <c r="AL16" s="1930"/>
      <c r="AM16" s="1930"/>
      <c r="AN16" s="1930"/>
      <c r="AO16" s="1930"/>
      <c r="AP16" s="1930"/>
      <c r="AQ16" s="1930"/>
      <c r="AR16" s="1930"/>
      <c r="AS16" s="1930"/>
      <c r="AT16" s="1930"/>
      <c r="AU16" s="1930"/>
      <c r="AV16" s="1930"/>
      <c r="AW16" s="1930"/>
      <c r="AX16" s="1930"/>
      <c r="AY16" s="1930"/>
      <c r="AZ16" s="1930"/>
      <c r="BA16" s="1930"/>
      <c r="BB16" s="1930"/>
      <c r="BC16" s="1930"/>
      <c r="BE16" s="428"/>
    </row>
    <row r="17" spans="1:57" hidden="1" outlineLevel="1" x14ac:dyDescent="0.25">
      <c r="B17" s="1233"/>
      <c r="C17" s="1678"/>
      <c r="D17" s="3225"/>
      <c r="E17" s="928"/>
      <c r="F17" s="928"/>
      <c r="G17" s="928"/>
      <c r="H17" s="249"/>
      <c r="I17" s="249"/>
      <c r="J17" s="249"/>
      <c r="K17" s="249"/>
      <c r="L17" s="249"/>
      <c r="M17" s="1159"/>
      <c r="N17" s="249"/>
      <c r="O17" s="249"/>
      <c r="P17" s="249"/>
      <c r="Q17" s="249"/>
      <c r="R17" s="249"/>
      <c r="AC17" s="1930"/>
      <c r="AD17" s="1930"/>
      <c r="AE17" s="1930"/>
      <c r="AF17" s="1930"/>
      <c r="AG17" s="1930"/>
      <c r="AH17" s="1930"/>
      <c r="AI17" s="1930"/>
      <c r="AJ17" s="1930"/>
      <c r="AK17" s="1930"/>
      <c r="AL17" s="1930"/>
      <c r="AM17" s="1930"/>
      <c r="AN17" s="1930"/>
      <c r="AO17" s="1930"/>
      <c r="AP17" s="1930"/>
      <c r="AQ17" s="1930"/>
      <c r="AR17" s="1930"/>
      <c r="AS17" s="1930"/>
      <c r="AT17" s="1930"/>
      <c r="AU17" s="1930"/>
      <c r="AV17" s="1930"/>
      <c r="AW17" s="1930"/>
      <c r="AX17" s="1930"/>
      <c r="AY17" s="1930"/>
      <c r="AZ17" s="1930"/>
      <c r="BA17" s="1930"/>
      <c r="BB17" s="1930"/>
      <c r="BC17" s="1930"/>
      <c r="BE17" s="428"/>
    </row>
    <row r="18" spans="1:57" hidden="1" outlineLevel="1" x14ac:dyDescent="0.25">
      <c r="B18" s="1233"/>
      <c r="C18" s="1678"/>
      <c r="D18" s="3225"/>
      <c r="E18" s="928"/>
      <c r="F18" s="928"/>
      <c r="G18" s="928"/>
      <c r="H18" s="249"/>
      <c r="I18" s="249"/>
      <c r="J18" s="249"/>
      <c r="K18" s="249"/>
      <c r="L18" s="249"/>
      <c r="M18" s="249"/>
      <c r="N18" s="249"/>
      <c r="O18" s="249"/>
      <c r="P18" s="249"/>
      <c r="Q18" s="249"/>
      <c r="R18" s="249"/>
      <c r="AC18" s="1930"/>
      <c r="AD18" s="1930"/>
      <c r="AE18" s="1930"/>
      <c r="AF18" s="1930"/>
      <c r="AG18" s="1930"/>
      <c r="AH18" s="1930"/>
      <c r="AI18" s="1930"/>
      <c r="AJ18" s="1930"/>
      <c r="AK18" s="1930"/>
      <c r="AL18" s="1930"/>
      <c r="AM18" s="1930"/>
      <c r="AN18" s="1930"/>
      <c r="AO18" s="1930"/>
      <c r="AP18" s="1930"/>
      <c r="AQ18" s="1930"/>
      <c r="AR18" s="1930"/>
      <c r="AS18" s="1930"/>
      <c r="AT18" s="1930"/>
      <c r="AU18" s="1930"/>
      <c r="AV18" s="1930"/>
      <c r="AW18" s="1930"/>
      <c r="AX18" s="1930"/>
      <c r="AY18" s="1930"/>
      <c r="AZ18" s="1930"/>
      <c r="BA18" s="1930"/>
      <c r="BB18" s="1930"/>
      <c r="BC18" s="1930"/>
      <c r="BE18" s="428"/>
    </row>
    <row r="19" spans="1:57" hidden="1" outlineLevel="1" x14ac:dyDescent="0.25">
      <c r="B19" s="1233"/>
      <c r="C19" s="1678"/>
      <c r="D19" s="3225"/>
      <c r="E19" s="928"/>
      <c r="F19" s="928"/>
      <c r="G19" s="928"/>
      <c r="H19" s="249"/>
      <c r="I19" s="249"/>
      <c r="J19" s="249"/>
      <c r="K19" s="249"/>
      <c r="L19" s="249"/>
      <c r="M19" s="249"/>
      <c r="N19" s="249"/>
      <c r="O19" s="249"/>
      <c r="P19" s="249"/>
      <c r="Q19" s="249"/>
      <c r="R19" s="1431"/>
      <c r="AC19" s="1930"/>
      <c r="AD19" s="1930"/>
      <c r="AE19" s="1930"/>
      <c r="AF19" s="1930"/>
      <c r="AG19" s="1930"/>
      <c r="AH19" s="1930"/>
      <c r="AI19" s="1930"/>
      <c r="AJ19" s="1930"/>
      <c r="AK19" s="1930"/>
      <c r="AL19" s="1930"/>
      <c r="AM19" s="1930"/>
      <c r="AN19" s="1930"/>
      <c r="AO19" s="1930"/>
      <c r="AP19" s="1930"/>
      <c r="AQ19" s="1930"/>
      <c r="AR19" s="1930"/>
      <c r="AS19" s="1930"/>
      <c r="AT19" s="1930"/>
      <c r="AU19" s="1930"/>
      <c r="AV19" s="1930"/>
      <c r="AW19" s="1930"/>
      <c r="AX19" s="1930"/>
      <c r="AY19" s="1930"/>
      <c r="AZ19" s="1930"/>
      <c r="BA19" s="1930"/>
      <c r="BB19" s="1930"/>
      <c r="BC19" s="1930"/>
      <c r="BE19" s="428"/>
    </row>
    <row r="20" spans="1:57" hidden="1" outlineLevel="1" x14ac:dyDescent="0.25">
      <c r="B20" s="1233"/>
      <c r="C20" s="1678"/>
      <c r="D20" s="429"/>
      <c r="E20" s="2414"/>
      <c r="F20" s="910"/>
      <c r="G20" s="910"/>
      <c r="H20" s="249"/>
      <c r="I20" s="249"/>
      <c r="J20" s="249"/>
      <c r="K20" s="249"/>
      <c r="L20" s="249"/>
      <c r="M20" s="249"/>
      <c r="N20" s="249"/>
      <c r="O20" s="249"/>
      <c r="P20" s="249"/>
      <c r="Q20" s="249"/>
      <c r="R20" s="1431"/>
      <c r="AC20" s="1930"/>
      <c r="AD20" s="1930"/>
      <c r="AE20" s="1930"/>
      <c r="AF20" s="1930"/>
      <c r="AG20" s="1930"/>
      <c r="AH20" s="1930"/>
      <c r="AI20" s="1930"/>
      <c r="AJ20" s="1930"/>
      <c r="AK20" s="1930"/>
      <c r="AL20" s="1930"/>
      <c r="AM20" s="1930"/>
      <c r="AN20" s="1930"/>
      <c r="AO20" s="1930"/>
      <c r="AP20" s="1930"/>
      <c r="AQ20" s="1930"/>
      <c r="AR20" s="1930"/>
      <c r="AS20" s="1930"/>
      <c r="AT20" s="1930"/>
      <c r="AU20" s="1930"/>
      <c r="AV20" s="1930"/>
      <c r="AW20" s="1930"/>
      <c r="AX20" s="1930"/>
      <c r="AY20" s="1930"/>
      <c r="AZ20" s="1930"/>
      <c r="BA20" s="1930"/>
      <c r="BB20" s="1930"/>
      <c r="BC20" s="1930"/>
      <c r="BE20" s="428"/>
    </row>
    <row r="21" spans="1:57" hidden="1" outlineLevel="1" x14ac:dyDescent="0.25">
      <c r="B21" s="1233"/>
      <c r="C21" s="1678"/>
      <c r="D21" s="3236" t="s">
        <v>109</v>
      </c>
      <c r="E21" s="3205" t="s">
        <v>110</v>
      </c>
      <c r="F21" s="3086" t="s">
        <v>112</v>
      </c>
      <c r="G21" s="3923" t="s">
        <v>187</v>
      </c>
      <c r="H21" s="3931"/>
      <c r="I21" s="3086" t="s">
        <v>283</v>
      </c>
      <c r="J21" s="249"/>
      <c r="K21" s="249"/>
      <c r="L21" s="249"/>
      <c r="M21" s="249"/>
      <c r="N21" s="249"/>
      <c r="O21" s="249"/>
      <c r="P21" s="249"/>
      <c r="Q21" s="249"/>
      <c r="R21" s="1431"/>
      <c r="V21" s="551" t="s">
        <v>45</v>
      </c>
      <c r="W21" s="360">
        <f>$W$6</f>
        <v>43252</v>
      </c>
      <c r="X21" s="360">
        <f>$X$6</f>
        <v>43465</v>
      </c>
      <c r="Y21" s="360">
        <f>$Y$6</f>
        <v>43800</v>
      </c>
      <c r="Z21" s="360">
        <f>$Z$6</f>
        <v>43862</v>
      </c>
      <c r="AA21" s="360">
        <f>$AA$6</f>
        <v>44013</v>
      </c>
      <c r="AB21" s="360">
        <f>$AB$6</f>
        <v>44166</v>
      </c>
      <c r="AC21" s="1937">
        <f>$AC$6</f>
        <v>44531</v>
      </c>
      <c r="AD21" s="1937" t="str">
        <f>$AD$6</f>
        <v>-</v>
      </c>
      <c r="AE21" s="1937" t="str">
        <f>$AE$6</f>
        <v>-</v>
      </c>
      <c r="AF21" s="1937" t="str">
        <f>$AF$6</f>
        <v>-</v>
      </c>
      <c r="AG21" s="1937" t="str">
        <f>$AG$6</f>
        <v>-</v>
      </c>
      <c r="AH21" s="431"/>
      <c r="AI21" s="431"/>
      <c r="AJ21" s="431"/>
      <c r="AK21" s="1930"/>
      <c r="AL21" s="1930"/>
      <c r="AM21" s="1930"/>
      <c r="AN21" s="1930"/>
      <c r="AO21" s="1930"/>
      <c r="AP21" s="1930"/>
      <c r="AQ21" s="1930"/>
      <c r="AR21" s="1930"/>
      <c r="AS21" s="1930"/>
      <c r="AT21" s="1930"/>
      <c r="AU21" s="1930"/>
      <c r="AV21" s="1930"/>
      <c r="AW21" s="1930"/>
      <c r="AX21" s="1930"/>
      <c r="AY21" s="1930"/>
      <c r="AZ21" s="1930"/>
      <c r="BA21" s="1930"/>
      <c r="BB21" s="1930"/>
      <c r="BC21" s="1930"/>
      <c r="BE21" s="428"/>
    </row>
    <row r="22" spans="1:57" hidden="1" outlineLevel="1" x14ac:dyDescent="0.25">
      <c r="B22" s="1233"/>
      <c r="C22" s="1678"/>
      <c r="D22" s="3932" t="s">
        <v>520</v>
      </c>
      <c r="E22" s="3202" t="s">
        <v>521</v>
      </c>
      <c r="F22" s="473">
        <v>0.95652173913043481</v>
      </c>
      <c r="G22" s="3952" t="s">
        <v>522</v>
      </c>
      <c r="H22" s="3953"/>
      <c r="I22" s="982"/>
      <c r="J22" s="249"/>
      <c r="K22" s="249"/>
      <c r="L22" s="249"/>
      <c r="M22" s="249"/>
      <c r="N22" s="249"/>
      <c r="O22" s="249"/>
      <c r="P22" s="249"/>
      <c r="Q22" s="249"/>
      <c r="R22" s="1431"/>
      <c r="V22" s="3805" t="str">
        <f>D22</f>
        <v>%Heating</v>
      </c>
      <c r="W22" s="271">
        <v>0.95</v>
      </c>
      <c r="X22" s="296">
        <v>0.8571428571428571</v>
      </c>
      <c r="Y22" s="296">
        <v>0.95652173913043481</v>
      </c>
      <c r="Z22" s="2163">
        <v>0.95652173913043481</v>
      </c>
      <c r="AA22" s="2163">
        <v>0.95652173913043481</v>
      </c>
      <c r="AB22" s="432">
        <v>0.95652173913043481</v>
      </c>
      <c r="AC22" s="473">
        <v>0.95652173913043481</v>
      </c>
      <c r="AD22" s="160"/>
      <c r="AE22" s="160"/>
      <c r="AF22" s="160"/>
      <c r="AG22" s="160"/>
      <c r="AH22" s="1930"/>
      <c r="AI22" s="1930"/>
      <c r="AJ22" s="1930"/>
      <c r="AK22" s="1930"/>
      <c r="AL22" s="1930"/>
      <c r="AM22" s="1930"/>
      <c r="AN22" s="1930"/>
      <c r="AO22" s="1930"/>
      <c r="AP22" s="1930"/>
      <c r="AQ22" s="1930"/>
      <c r="AR22" s="1930"/>
      <c r="AS22" s="1930"/>
      <c r="AT22" s="1930"/>
      <c r="AU22" s="1930"/>
      <c r="AV22" s="1930"/>
      <c r="AW22" s="1930"/>
      <c r="AX22" s="1930"/>
      <c r="AY22" s="1930"/>
      <c r="AZ22" s="1930"/>
      <c r="BA22" s="1930"/>
      <c r="BB22" s="1930"/>
      <c r="BC22" s="1930"/>
      <c r="BE22" s="428"/>
    </row>
    <row r="23" spans="1:57" hidden="1" outlineLevel="1" x14ac:dyDescent="0.25">
      <c r="B23" s="1233"/>
      <c r="C23" s="1678"/>
      <c r="D23" s="3935"/>
      <c r="E23" s="3202" t="s">
        <v>523</v>
      </c>
      <c r="F23" s="599">
        <v>1</v>
      </c>
      <c r="G23" s="3952" t="s">
        <v>524</v>
      </c>
      <c r="H23" s="3953"/>
      <c r="I23" s="982"/>
      <c r="J23" s="249"/>
      <c r="K23" s="249"/>
      <c r="L23" s="249"/>
      <c r="M23" s="249"/>
      <c r="N23" s="249"/>
      <c r="O23" s="249"/>
      <c r="P23" s="249"/>
      <c r="Q23" s="249"/>
      <c r="R23" s="1431"/>
      <c r="V23" s="3806"/>
      <c r="W23" s="289">
        <f>W22</f>
        <v>0.95</v>
      </c>
      <c r="X23" s="289">
        <v>0.95</v>
      </c>
      <c r="Y23" s="274">
        <v>1</v>
      </c>
      <c r="Z23" s="289">
        <v>1</v>
      </c>
      <c r="AA23" s="289">
        <v>1</v>
      </c>
      <c r="AB23" s="269">
        <v>1</v>
      </c>
      <c r="AC23" s="599">
        <v>1</v>
      </c>
      <c r="AD23" s="160"/>
      <c r="AE23" s="160"/>
      <c r="AF23" s="160"/>
      <c r="AG23" s="160"/>
      <c r="AH23" s="1930"/>
      <c r="AI23" s="1930"/>
      <c r="AJ23" s="1930"/>
      <c r="AK23" s="1930"/>
      <c r="AL23" s="1930"/>
      <c r="AM23" s="1930"/>
      <c r="AN23" s="1930"/>
      <c r="AO23" s="1930"/>
      <c r="AP23" s="1930"/>
      <c r="AQ23" s="1930"/>
      <c r="AR23" s="1930"/>
      <c r="AS23" s="1930"/>
      <c r="AT23" s="1930"/>
      <c r="AU23" s="1930"/>
      <c r="AV23" s="1930"/>
      <c r="AW23" s="1930"/>
      <c r="AX23" s="1930"/>
      <c r="AY23" s="1930"/>
      <c r="AZ23" s="1930"/>
      <c r="BA23" s="1930"/>
      <c r="BB23" s="1930"/>
      <c r="BC23" s="1930"/>
      <c r="BE23" s="428"/>
    </row>
    <row r="24" spans="1:57" hidden="1" outlineLevel="1" x14ac:dyDescent="0.25">
      <c r="B24" s="1233"/>
      <c r="C24" s="1678"/>
      <c r="D24" s="3142" t="s">
        <v>32</v>
      </c>
      <c r="E24" s="3202" t="s">
        <v>135</v>
      </c>
      <c r="F24" s="984">
        <v>0.5</v>
      </c>
      <c r="G24" s="3952" t="s">
        <v>285</v>
      </c>
      <c r="H24" s="3953"/>
      <c r="I24" s="982"/>
      <c r="J24" s="249"/>
      <c r="K24" s="249"/>
      <c r="L24" s="249"/>
      <c r="M24" s="249"/>
      <c r="N24" s="249"/>
      <c r="O24" s="249"/>
      <c r="P24" s="249"/>
      <c r="Q24" s="249"/>
      <c r="R24" s="1431"/>
      <c r="V24" s="3110" t="str">
        <f>D24</f>
        <v>kW</v>
      </c>
      <c r="W24" s="436">
        <v>0.5</v>
      </c>
      <c r="X24" s="436">
        <v>0.5</v>
      </c>
      <c r="Y24" s="436">
        <v>0.5</v>
      </c>
      <c r="Z24" s="436">
        <v>0.5</v>
      </c>
      <c r="AA24" s="436">
        <v>0.5</v>
      </c>
      <c r="AB24" s="434">
        <v>0.5</v>
      </c>
      <c r="AC24" s="984">
        <v>0.5</v>
      </c>
      <c r="AD24" s="160"/>
      <c r="AE24" s="160"/>
      <c r="AF24" s="160"/>
      <c r="AG24" s="160"/>
      <c r="AH24" s="1930"/>
      <c r="AI24" s="1930"/>
      <c r="AJ24" s="1930"/>
      <c r="AK24" s="1930"/>
      <c r="AL24" s="1930"/>
      <c r="AM24" s="1930"/>
      <c r="AN24" s="1930"/>
      <c r="AO24" s="1930"/>
      <c r="AP24" s="1930"/>
      <c r="AQ24" s="1930"/>
      <c r="AR24" s="1930"/>
      <c r="AS24" s="1930"/>
      <c r="AT24" s="1930"/>
      <c r="AU24" s="1930"/>
      <c r="AV24" s="1930"/>
      <c r="AW24" s="1930"/>
      <c r="AX24" s="1930"/>
      <c r="AY24" s="1930"/>
      <c r="AZ24" s="1930"/>
      <c r="BA24" s="1930"/>
      <c r="BB24" s="1930"/>
      <c r="BC24" s="1930"/>
      <c r="BE24" s="428"/>
    </row>
    <row r="25" spans="1:57" hidden="1" outlineLevel="1" x14ac:dyDescent="0.25">
      <c r="B25" s="1233"/>
      <c r="C25" s="1678"/>
      <c r="D25" s="3932" t="s">
        <v>525</v>
      </c>
      <c r="E25" s="3202" t="s">
        <v>315</v>
      </c>
      <c r="F25" s="983">
        <v>1496</v>
      </c>
      <c r="G25" s="3958" t="s">
        <v>526</v>
      </c>
      <c r="H25" s="3957"/>
      <c r="I25" s="982"/>
      <c r="J25" s="249"/>
      <c r="K25" s="249"/>
      <c r="L25" s="249"/>
      <c r="M25" s="249"/>
      <c r="N25" s="249"/>
      <c r="O25" s="249"/>
      <c r="P25" s="249"/>
      <c r="Q25" s="249"/>
      <c r="R25" s="1431"/>
      <c r="V25" s="3805" t="str">
        <f>D25</f>
        <v>EFLHheat</v>
      </c>
      <c r="W25" s="305">
        <v>1496</v>
      </c>
      <c r="X25" s="305">
        <v>1496</v>
      </c>
      <c r="Y25" s="305">
        <v>1496</v>
      </c>
      <c r="Z25" s="305">
        <v>1496</v>
      </c>
      <c r="AA25" s="305">
        <v>1496</v>
      </c>
      <c r="AB25" s="437">
        <v>1496</v>
      </c>
      <c r="AC25" s="983">
        <v>1496</v>
      </c>
      <c r="AD25" s="160"/>
      <c r="AE25" s="160"/>
      <c r="AF25" s="160"/>
      <c r="AG25" s="160"/>
      <c r="AH25" s="1930"/>
      <c r="AI25" s="1930"/>
      <c r="AJ25" s="1930"/>
      <c r="AK25" s="1930"/>
      <c r="AL25" s="1930"/>
      <c r="AM25" s="1930"/>
      <c r="AN25" s="1930"/>
      <c r="AO25" s="1930"/>
      <c r="AP25" s="1930"/>
      <c r="AQ25" s="1930"/>
      <c r="AR25" s="1930"/>
      <c r="AS25" s="1930"/>
      <c r="AT25" s="1930"/>
      <c r="AU25" s="1930"/>
      <c r="AV25" s="1930"/>
      <c r="AW25" s="1930"/>
      <c r="AX25" s="1930"/>
      <c r="AY25" s="1930"/>
      <c r="AZ25" s="1930"/>
      <c r="BA25" s="1930"/>
      <c r="BB25" s="1930"/>
      <c r="BC25" s="1930"/>
      <c r="BE25" s="428"/>
    </row>
    <row r="26" spans="1:57" hidden="1" outlineLevel="1" x14ac:dyDescent="0.25">
      <c r="B26" s="1233"/>
      <c r="C26" s="1678"/>
      <c r="D26" s="3804"/>
      <c r="E26" s="3202" t="s">
        <v>527</v>
      </c>
      <c r="F26" s="2398">
        <v>510</v>
      </c>
      <c r="G26" s="3956" t="s">
        <v>528</v>
      </c>
      <c r="H26" s="3957"/>
      <c r="I26" s="2399"/>
      <c r="J26" s="249"/>
      <c r="K26" s="249"/>
      <c r="L26" s="249"/>
      <c r="M26" s="249"/>
      <c r="N26" s="249"/>
      <c r="O26" s="249"/>
      <c r="P26" s="249"/>
      <c r="Q26" s="249"/>
      <c r="R26" s="1431"/>
      <c r="V26" s="3804"/>
      <c r="W26" s="305"/>
      <c r="X26" s="305"/>
      <c r="Y26" s="303">
        <v>510</v>
      </c>
      <c r="Z26" s="305">
        <v>510</v>
      </c>
      <c r="AA26" s="305">
        <v>510</v>
      </c>
      <c r="AB26" s="440">
        <v>510</v>
      </c>
      <c r="AC26" s="2398">
        <v>510</v>
      </c>
      <c r="AD26" s="160"/>
      <c r="AE26" s="160"/>
      <c r="AF26" s="160"/>
      <c r="AG26" s="160"/>
      <c r="AH26" s="1930"/>
      <c r="AI26" s="1930"/>
      <c r="AJ26" s="1930"/>
      <c r="AK26" s="1930"/>
      <c r="AL26" s="1930"/>
      <c r="AM26" s="1930"/>
      <c r="AN26" s="1930"/>
      <c r="AO26" s="1930"/>
      <c r="AP26" s="1930"/>
      <c r="AQ26" s="1930"/>
      <c r="AR26" s="1930"/>
      <c r="AS26" s="1930"/>
      <c r="AT26" s="1930"/>
      <c r="AU26" s="1930"/>
      <c r="AV26" s="1930"/>
      <c r="AW26" s="1930"/>
      <c r="AX26" s="1930"/>
      <c r="AY26" s="1930"/>
      <c r="AZ26" s="1930"/>
      <c r="BA26" s="1930"/>
      <c r="BB26" s="1930"/>
      <c r="BC26" s="1930"/>
      <c r="BE26" s="428"/>
    </row>
    <row r="27" spans="1:57" ht="15.75" hidden="1" outlineLevel="1" thickBot="1" x14ac:dyDescent="0.3">
      <c r="B27" s="1233"/>
      <c r="C27" s="1678"/>
      <c r="D27" s="2400" t="s">
        <v>529</v>
      </c>
      <c r="E27" s="2415" t="s">
        <v>135</v>
      </c>
      <c r="F27" s="2401">
        <v>0.15</v>
      </c>
      <c r="G27" s="3954" t="s">
        <v>530</v>
      </c>
      <c r="H27" s="3955"/>
      <c r="I27" s="2402"/>
      <c r="J27" s="249"/>
      <c r="K27" s="249"/>
      <c r="L27" s="249"/>
      <c r="M27" s="249"/>
      <c r="N27" s="249"/>
      <c r="O27" s="249"/>
      <c r="P27" s="249"/>
      <c r="Q27" s="249"/>
      <c r="R27" s="1431"/>
      <c r="V27" s="2169" t="str">
        <f>D27</f>
        <v>EI</v>
      </c>
      <c r="W27" s="2177">
        <v>0.15</v>
      </c>
      <c r="X27" s="2177">
        <v>0.15</v>
      </c>
      <c r="Y27" s="2177">
        <v>0.15</v>
      </c>
      <c r="Z27" s="2177">
        <v>0.15</v>
      </c>
      <c r="AA27" s="2177">
        <v>0.15</v>
      </c>
      <c r="AB27" s="2170">
        <v>0.15</v>
      </c>
      <c r="AC27" s="2401">
        <v>0.15</v>
      </c>
      <c r="AD27" s="2178"/>
      <c r="AE27" s="2178"/>
      <c r="AF27" s="2178"/>
      <c r="AG27" s="2178"/>
      <c r="AH27" s="1930"/>
      <c r="AI27" s="1930"/>
      <c r="AJ27" s="1930"/>
      <c r="AK27" s="1930"/>
      <c r="AL27" s="1930"/>
      <c r="AM27" s="1930"/>
      <c r="AN27" s="1930"/>
      <c r="AO27" s="1930"/>
      <c r="AP27" s="1930"/>
      <c r="AQ27" s="1930"/>
      <c r="AR27" s="1930"/>
      <c r="AS27" s="1930"/>
      <c r="AT27" s="1930"/>
      <c r="AU27" s="1930"/>
      <c r="AV27" s="1930"/>
      <c r="AW27" s="1930"/>
      <c r="AX27" s="1930"/>
      <c r="AY27" s="1930"/>
      <c r="AZ27" s="1930"/>
      <c r="BA27" s="1930"/>
      <c r="BB27" s="1930"/>
      <c r="BC27" s="1930"/>
      <c r="BE27" s="428"/>
    </row>
    <row r="28" spans="1:57" s="1930" customFormat="1" hidden="1" outlineLevel="1" x14ac:dyDescent="0.25">
      <c r="A28" s="123"/>
      <c r="B28" s="1233"/>
      <c r="C28" s="1678"/>
      <c r="D28" s="3950" t="s">
        <v>531</v>
      </c>
      <c r="E28" s="2511" t="s">
        <v>521</v>
      </c>
      <c r="F28" s="2685">
        <v>0.72</v>
      </c>
      <c r="G28" s="3940" t="s">
        <v>532</v>
      </c>
      <c r="H28" s="3941"/>
      <c r="I28" s="2403"/>
      <c r="J28" s="249"/>
      <c r="K28" s="249"/>
      <c r="L28" s="249"/>
      <c r="M28" s="249"/>
      <c r="N28" s="249"/>
      <c r="O28" s="249"/>
      <c r="P28" s="249"/>
      <c r="Q28" s="249"/>
      <c r="R28" s="1431"/>
      <c r="S28" s="123"/>
      <c r="T28" s="123"/>
      <c r="U28" s="123"/>
      <c r="V28" s="3854" t="s">
        <v>531</v>
      </c>
      <c r="W28" s="3024">
        <v>0.86</v>
      </c>
      <c r="X28" s="2337">
        <v>0.89859999999999995</v>
      </c>
      <c r="Y28" s="2337">
        <v>0.91869999999999996</v>
      </c>
      <c r="Z28" s="2338">
        <v>0.91869999999999996</v>
      </c>
      <c r="AA28" s="2338">
        <v>0.91869999999999996</v>
      </c>
      <c r="AB28" s="2171">
        <v>0.72</v>
      </c>
      <c r="AC28" s="2685">
        <v>0.72</v>
      </c>
      <c r="AD28" s="3025"/>
      <c r="AE28" s="3025"/>
      <c r="AF28" s="3025"/>
      <c r="AG28" s="3025"/>
      <c r="BD28" s="1"/>
      <c r="BE28" s="428"/>
    </row>
    <row r="29" spans="1:57" ht="15.75" hidden="1" outlineLevel="1" thickBot="1" x14ac:dyDescent="0.3">
      <c r="B29" s="1233"/>
      <c r="C29" s="1678"/>
      <c r="D29" s="3949"/>
      <c r="E29" s="2415" t="s">
        <v>523</v>
      </c>
      <c r="F29" s="2515">
        <v>1</v>
      </c>
      <c r="G29" s="3959" t="s">
        <v>533</v>
      </c>
      <c r="H29" s="3960"/>
      <c r="I29" s="2402"/>
      <c r="J29" s="249"/>
      <c r="K29" s="249"/>
      <c r="L29" s="249"/>
      <c r="M29" s="249"/>
      <c r="N29" s="249"/>
      <c r="O29" s="249"/>
      <c r="P29" s="249"/>
      <c r="Q29" s="249"/>
      <c r="V29" s="3855"/>
      <c r="W29" s="3026">
        <v>1</v>
      </c>
      <c r="X29" s="3026">
        <v>1</v>
      </c>
      <c r="Y29" s="3026">
        <v>1</v>
      </c>
      <c r="Z29" s="3026">
        <v>1</v>
      </c>
      <c r="AA29" s="3026">
        <v>1</v>
      </c>
      <c r="AB29" s="2170">
        <v>1</v>
      </c>
      <c r="AC29" s="2515">
        <v>1</v>
      </c>
      <c r="AD29" s="2178"/>
      <c r="AE29" s="2178"/>
      <c r="AF29" s="2178"/>
      <c r="AG29" s="2178"/>
      <c r="AH29" s="1930"/>
      <c r="AI29" s="1930"/>
      <c r="AJ29" s="1930"/>
      <c r="AK29" s="1930"/>
      <c r="AL29" s="1930"/>
      <c r="AM29" s="1930"/>
      <c r="AN29" s="1930"/>
      <c r="AO29" s="1930"/>
      <c r="AP29" s="1930"/>
      <c r="AQ29" s="1930"/>
      <c r="AR29" s="1930"/>
      <c r="AS29" s="1930"/>
      <c r="AT29" s="1930"/>
      <c r="AU29" s="1930"/>
      <c r="AV29" s="1930"/>
      <c r="AW29" s="1930"/>
      <c r="AX29" s="1930"/>
      <c r="AY29" s="1930"/>
      <c r="AZ29" s="1930"/>
      <c r="BA29" s="1930"/>
      <c r="BB29" s="1930"/>
      <c r="BC29" s="1930"/>
      <c r="BE29" s="428"/>
    </row>
    <row r="30" spans="1:57" s="1930" customFormat="1" hidden="1" outlineLevel="1" x14ac:dyDescent="0.25">
      <c r="A30" s="123"/>
      <c r="B30" s="1233"/>
      <c r="C30" s="1678"/>
      <c r="D30" s="3948" t="s">
        <v>133</v>
      </c>
      <c r="E30" s="2416" t="s">
        <v>521</v>
      </c>
      <c r="F30" s="2404">
        <v>0.44</v>
      </c>
      <c r="G30" s="3961" t="s">
        <v>534</v>
      </c>
      <c r="H30" s="3962"/>
      <c r="I30" s="2405"/>
      <c r="J30" s="249"/>
      <c r="K30" s="249"/>
      <c r="L30" s="249"/>
      <c r="M30" s="249"/>
      <c r="N30" s="249"/>
      <c r="O30" s="249"/>
      <c r="P30" s="249"/>
      <c r="Q30" s="249"/>
      <c r="R30" s="123"/>
      <c r="S30" s="123"/>
      <c r="T30" s="123"/>
      <c r="U30" s="123"/>
      <c r="V30" s="3947" t="s">
        <v>133</v>
      </c>
      <c r="W30" s="2174">
        <v>0.47</v>
      </c>
      <c r="X30" s="2175">
        <v>0.44871794871794873</v>
      </c>
      <c r="Y30" s="2175">
        <v>0.39175257731958762</v>
      </c>
      <c r="Z30" s="2176">
        <v>0.39175257731958762</v>
      </c>
      <c r="AA30" s="2176">
        <v>0.39175257731958762</v>
      </c>
      <c r="AB30" s="3023">
        <v>0.44</v>
      </c>
      <c r="AC30" s="2404">
        <v>0.44</v>
      </c>
      <c r="AD30" s="2173"/>
      <c r="AE30" s="2173"/>
      <c r="AF30" s="2173"/>
      <c r="AG30" s="2173"/>
      <c r="BD30" s="1"/>
      <c r="BE30" s="428"/>
    </row>
    <row r="31" spans="1:57" s="1930" customFormat="1" ht="60" hidden="1" outlineLevel="1" x14ac:dyDescent="0.25">
      <c r="A31" s="123"/>
      <c r="B31" s="1233"/>
      <c r="C31" s="1678"/>
      <c r="D31" s="3948"/>
      <c r="E31" s="3202" t="s">
        <v>535</v>
      </c>
      <c r="F31" s="474">
        <v>0.57889999999999997</v>
      </c>
      <c r="G31" s="3938" t="s">
        <v>536</v>
      </c>
      <c r="H31" s="3939"/>
      <c r="I31" s="3181" t="s">
        <v>537</v>
      </c>
      <c r="J31" s="249"/>
      <c r="K31" s="249"/>
      <c r="L31" s="249"/>
      <c r="M31" s="249"/>
      <c r="N31" s="249"/>
      <c r="O31" s="249"/>
      <c r="P31" s="249"/>
      <c r="Q31" s="249"/>
      <c r="R31" s="123"/>
      <c r="S31" s="123"/>
      <c r="T31" s="123"/>
      <c r="U31" s="123"/>
      <c r="V31" s="3947"/>
      <c r="W31" s="289"/>
      <c r="X31" s="296"/>
      <c r="Y31" s="296"/>
      <c r="Z31" s="2163"/>
      <c r="AA31" s="2163"/>
      <c r="AB31" s="2035">
        <v>0.57889999999999997</v>
      </c>
      <c r="AC31" s="474">
        <v>0.57889999999999997</v>
      </c>
      <c r="AD31" s="160"/>
      <c r="AE31" s="160"/>
      <c r="AF31" s="160"/>
      <c r="AG31" s="160"/>
      <c r="BD31" s="1"/>
      <c r="BE31" s="428"/>
    </row>
    <row r="32" spans="1:57" hidden="1" outlineLevel="1" x14ac:dyDescent="0.25">
      <c r="B32" s="1233"/>
      <c r="C32" s="1678"/>
      <c r="D32" s="3948"/>
      <c r="E32" s="3202" t="s">
        <v>523</v>
      </c>
      <c r="F32" s="474">
        <v>1</v>
      </c>
      <c r="G32" s="3938" t="s">
        <v>533</v>
      </c>
      <c r="H32" s="3939"/>
      <c r="I32" s="2399"/>
      <c r="J32" s="249"/>
      <c r="K32" s="249"/>
      <c r="L32" s="249"/>
      <c r="M32" s="249"/>
      <c r="N32" s="249"/>
      <c r="O32" s="249"/>
      <c r="P32" s="249"/>
      <c r="Q32" s="249"/>
      <c r="V32" s="3947"/>
      <c r="W32" s="289">
        <v>0.47</v>
      </c>
      <c r="X32" s="439">
        <v>1</v>
      </c>
      <c r="Y32" s="439">
        <v>1</v>
      </c>
      <c r="Z32" s="2164">
        <v>1</v>
      </c>
      <c r="AA32" s="2164">
        <v>1</v>
      </c>
      <c r="AB32" s="438">
        <v>1</v>
      </c>
      <c r="AC32" s="474">
        <v>1</v>
      </c>
      <c r="AD32" s="160"/>
      <c r="AE32" s="160"/>
      <c r="AF32" s="160"/>
      <c r="AG32" s="160"/>
      <c r="AH32" s="1930"/>
      <c r="AI32" s="1930"/>
      <c r="AJ32" s="1930"/>
      <c r="AK32" s="1930"/>
      <c r="AL32" s="1930"/>
      <c r="AM32" s="1930"/>
      <c r="AN32" s="1930"/>
      <c r="AO32" s="1930"/>
      <c r="AP32" s="1930"/>
      <c r="AQ32" s="1930"/>
      <c r="AR32" s="1930"/>
      <c r="AS32" s="1930"/>
      <c r="AT32" s="1930"/>
      <c r="AU32" s="1930"/>
      <c r="AV32" s="1930"/>
      <c r="AW32" s="1930"/>
      <c r="AX32" s="1930"/>
      <c r="AY32" s="1930"/>
      <c r="AZ32" s="1930"/>
      <c r="BA32" s="1930"/>
      <c r="BB32" s="1930"/>
      <c r="BC32" s="1930"/>
      <c r="BE32" s="428"/>
    </row>
    <row r="33" spans="1:57" s="1930" customFormat="1" ht="15.75" hidden="1" outlineLevel="1" thickBot="1" x14ac:dyDescent="0.3">
      <c r="A33" s="123"/>
      <c r="B33" s="1233"/>
      <c r="C33" s="1678"/>
      <c r="D33" s="3949"/>
      <c r="E33" s="2415" t="s">
        <v>538</v>
      </c>
      <c r="F33" s="2401">
        <v>0.09</v>
      </c>
      <c r="G33" s="3959" t="s">
        <v>539</v>
      </c>
      <c r="H33" s="3960"/>
      <c r="I33" s="2402"/>
      <c r="J33" s="249"/>
      <c r="K33" s="249"/>
      <c r="L33" s="249"/>
      <c r="M33" s="249"/>
      <c r="N33" s="249"/>
      <c r="O33" s="249"/>
      <c r="P33" s="249"/>
      <c r="Q33" s="249"/>
      <c r="R33" s="123"/>
      <c r="S33" s="123"/>
      <c r="T33" s="123"/>
      <c r="U33" s="123"/>
      <c r="V33" s="3855"/>
      <c r="W33" s="2177"/>
      <c r="X33" s="2179"/>
      <c r="Y33" s="2179"/>
      <c r="Z33" s="2180"/>
      <c r="AA33" s="2180"/>
      <c r="AB33" s="2172">
        <v>0.09</v>
      </c>
      <c r="AC33" s="2401">
        <v>0.09</v>
      </c>
      <c r="AD33" s="2178"/>
      <c r="AE33" s="2178"/>
      <c r="AF33" s="2178"/>
      <c r="AG33" s="2178"/>
      <c r="BD33" s="1"/>
      <c r="BE33" s="428"/>
    </row>
    <row r="34" spans="1:57" hidden="1" outlineLevel="1" x14ac:dyDescent="0.25">
      <c r="B34" s="1233"/>
      <c r="C34" s="1678"/>
      <c r="D34" s="3935" t="s">
        <v>313</v>
      </c>
      <c r="E34" s="2416" t="s">
        <v>521</v>
      </c>
      <c r="F34" s="2404">
        <v>0.95652173913043481</v>
      </c>
      <c r="G34" s="3940" t="s">
        <v>533</v>
      </c>
      <c r="H34" s="3941"/>
      <c r="I34" s="2405"/>
      <c r="J34" s="249"/>
      <c r="K34" s="249"/>
      <c r="L34" s="249"/>
      <c r="M34" s="249"/>
      <c r="N34" s="249"/>
      <c r="O34" s="249"/>
      <c r="P34" s="249"/>
      <c r="Q34" s="249"/>
      <c r="V34" s="3806" t="str">
        <f>D34</f>
        <v>%AC</v>
      </c>
      <c r="W34" s="2174">
        <v>0.95</v>
      </c>
      <c r="X34" s="2175">
        <v>0.96938775510204078</v>
      </c>
      <c r="Y34" s="2175">
        <v>0.95652173913043481</v>
      </c>
      <c r="Z34" s="2176">
        <v>0.95652173913043481</v>
      </c>
      <c r="AA34" s="2176">
        <v>0.95652173913043481</v>
      </c>
      <c r="AB34" s="2181">
        <v>0.95652173913043481</v>
      </c>
      <c r="AC34" s="2404">
        <v>0.95652173913043481</v>
      </c>
      <c r="AD34" s="2173"/>
      <c r="AE34" s="2173"/>
      <c r="AF34" s="2173"/>
      <c r="AG34" s="2173"/>
      <c r="AH34" s="1930"/>
      <c r="AI34" s="1930"/>
      <c r="AJ34" s="1930"/>
      <c r="AK34" s="1930"/>
      <c r="AL34" s="1930"/>
      <c r="AM34" s="1930"/>
      <c r="AN34" s="1930"/>
      <c r="AO34" s="1930"/>
      <c r="AP34" s="1930"/>
      <c r="AQ34" s="1930"/>
      <c r="AR34" s="1930"/>
      <c r="AS34" s="1930"/>
      <c r="AT34" s="1930"/>
      <c r="AU34" s="1930"/>
      <c r="AV34" s="1930"/>
      <c r="AW34" s="1930"/>
      <c r="AX34" s="1930"/>
      <c r="AY34" s="1930"/>
      <c r="AZ34" s="1930"/>
      <c r="BA34" s="1930"/>
      <c r="BB34" s="1930"/>
      <c r="BC34" s="1930"/>
      <c r="BE34" s="428"/>
    </row>
    <row r="35" spans="1:57" hidden="1" outlineLevel="1" x14ac:dyDescent="0.25">
      <c r="B35" s="1233"/>
      <c r="C35" s="1678"/>
      <c r="D35" s="3935"/>
      <c r="E35" s="3202" t="s">
        <v>523</v>
      </c>
      <c r="F35" s="474">
        <v>1</v>
      </c>
      <c r="G35" s="3938" t="s">
        <v>533</v>
      </c>
      <c r="H35" s="3939"/>
      <c r="I35" s="2399"/>
      <c r="J35" s="249"/>
      <c r="K35" s="249"/>
      <c r="L35" s="249"/>
      <c r="M35" s="249"/>
      <c r="N35" s="249"/>
      <c r="O35" s="249"/>
      <c r="P35" s="249"/>
      <c r="Q35" s="249"/>
      <c r="V35" s="3806"/>
      <c r="W35" s="289">
        <f>W34</f>
        <v>0.95</v>
      </c>
      <c r="X35" s="439">
        <v>1</v>
      </c>
      <c r="Y35" s="439">
        <v>1</v>
      </c>
      <c r="Z35" s="2164">
        <v>1</v>
      </c>
      <c r="AA35" s="2164">
        <v>1</v>
      </c>
      <c r="AB35" s="438">
        <v>1</v>
      </c>
      <c r="AC35" s="474">
        <v>1</v>
      </c>
      <c r="AD35" s="160"/>
      <c r="AE35" s="160"/>
      <c r="AF35" s="160"/>
      <c r="AG35" s="160"/>
      <c r="AH35" s="1930"/>
      <c r="AI35" s="1930"/>
      <c r="AJ35" s="1930"/>
      <c r="AK35" s="1930"/>
      <c r="AL35" s="1930"/>
      <c r="AM35" s="1930"/>
      <c r="AN35" s="1930"/>
      <c r="AO35" s="1930"/>
      <c r="AP35" s="1930"/>
      <c r="AQ35" s="1930"/>
      <c r="AR35" s="1930"/>
      <c r="AS35" s="1930"/>
      <c r="AT35" s="1930"/>
      <c r="AU35" s="1930"/>
      <c r="AV35" s="1930"/>
      <c r="AW35" s="1930"/>
      <c r="AX35" s="1930"/>
      <c r="AY35" s="1930"/>
      <c r="AZ35" s="1930"/>
      <c r="BA35" s="1930"/>
      <c r="BB35" s="1930"/>
      <c r="BC35" s="1930"/>
      <c r="BE35" s="428"/>
    </row>
    <row r="36" spans="1:57" hidden="1" outlineLevel="1" x14ac:dyDescent="0.25">
      <c r="B36" s="1233"/>
      <c r="C36" s="1678"/>
      <c r="D36" s="3932" t="s">
        <v>540</v>
      </c>
      <c r="E36" s="3202" t="s">
        <v>315</v>
      </c>
      <c r="F36" s="2398">
        <v>869</v>
      </c>
      <c r="G36" s="3956" t="s">
        <v>541</v>
      </c>
      <c r="H36" s="3957"/>
      <c r="I36" s="2399"/>
      <c r="J36" s="249"/>
      <c r="K36" s="249"/>
      <c r="L36" s="249"/>
      <c r="M36" s="1159"/>
      <c r="N36" s="249"/>
      <c r="O36" s="249"/>
      <c r="P36" s="249"/>
      <c r="Q36" s="249"/>
      <c r="V36" s="3805" t="str">
        <f>D36</f>
        <v>EFLHcool</v>
      </c>
      <c r="W36" s="277">
        <v>869</v>
      </c>
      <c r="X36" s="305">
        <v>869</v>
      </c>
      <c r="Y36" s="305">
        <v>869</v>
      </c>
      <c r="Z36" s="305">
        <v>869</v>
      </c>
      <c r="AA36" s="305">
        <v>869</v>
      </c>
      <c r="AB36" s="440">
        <v>869</v>
      </c>
      <c r="AC36" s="2398">
        <v>869</v>
      </c>
      <c r="AD36" s="160"/>
      <c r="AE36" s="160"/>
      <c r="AF36" s="160"/>
      <c r="AG36" s="160"/>
      <c r="AH36" s="1930"/>
      <c r="AI36" s="1930"/>
      <c r="AJ36" s="1930"/>
      <c r="AK36" s="1930"/>
      <c r="AL36" s="1930"/>
      <c r="AM36" s="1930"/>
      <c r="AN36" s="1930"/>
      <c r="AO36" s="1930"/>
      <c r="AP36" s="1930"/>
      <c r="AQ36" s="1930"/>
      <c r="AR36" s="1930"/>
      <c r="AS36" s="1930"/>
      <c r="AT36" s="1930"/>
      <c r="AU36" s="1930"/>
      <c r="AV36" s="1930"/>
      <c r="AW36" s="1930"/>
      <c r="AX36" s="1930"/>
      <c r="AY36" s="1930"/>
      <c r="AZ36" s="1930"/>
      <c r="BA36" s="1930"/>
      <c r="BB36" s="1930"/>
      <c r="BC36" s="1930"/>
      <c r="BE36" s="428"/>
    </row>
    <row r="37" spans="1:57" hidden="1" outlineLevel="1" x14ac:dyDescent="0.25">
      <c r="B37" s="1233"/>
      <c r="C37" s="1678"/>
      <c r="D37" s="3804"/>
      <c r="E37" s="3202" t="s">
        <v>527</v>
      </c>
      <c r="F37" s="2398">
        <v>632</v>
      </c>
      <c r="G37" s="3942"/>
      <c r="H37" s="3943"/>
      <c r="I37" s="2399"/>
      <c r="J37" s="249"/>
      <c r="K37" s="249"/>
      <c r="L37" s="249"/>
      <c r="M37" s="1159"/>
      <c r="N37" s="249"/>
      <c r="O37" s="249"/>
      <c r="P37" s="249"/>
      <c r="Q37" s="249"/>
      <c r="V37" s="3804"/>
      <c r="W37" s="277"/>
      <c r="X37" s="305"/>
      <c r="Y37" s="303">
        <v>632</v>
      </c>
      <c r="Z37" s="305">
        <v>632</v>
      </c>
      <c r="AA37" s="305">
        <v>632</v>
      </c>
      <c r="AB37" s="440">
        <v>632</v>
      </c>
      <c r="AC37" s="2398">
        <v>632</v>
      </c>
      <c r="AD37" s="160"/>
      <c r="AE37" s="160"/>
      <c r="AF37" s="160"/>
      <c r="AG37" s="160"/>
      <c r="AH37" s="1930"/>
      <c r="AI37" s="1930"/>
      <c r="AJ37" s="1930"/>
      <c r="AK37" s="1930"/>
      <c r="AL37" s="1930"/>
      <c r="AM37" s="1930"/>
      <c r="AN37" s="1930"/>
      <c r="AO37" s="1930"/>
      <c r="AP37" s="1930"/>
      <c r="AQ37" s="1930"/>
      <c r="AR37" s="1930"/>
      <c r="AS37" s="1930"/>
      <c r="AT37" s="1930"/>
      <c r="AU37" s="1930"/>
      <c r="AV37" s="1930"/>
      <c r="AW37" s="1930"/>
      <c r="AX37" s="1930"/>
      <c r="AY37" s="1930"/>
      <c r="AZ37" s="1930"/>
      <c r="BA37" s="1930"/>
      <c r="BB37" s="1930"/>
      <c r="BC37" s="1930"/>
      <c r="BE37" s="428"/>
    </row>
    <row r="38" spans="1:57" hidden="1" outlineLevel="1" x14ac:dyDescent="0.25">
      <c r="B38" s="1233"/>
      <c r="C38" s="1678"/>
      <c r="D38" s="981" t="s">
        <v>542</v>
      </c>
      <c r="E38" s="3202" t="s">
        <v>167</v>
      </c>
      <c r="F38" s="2298">
        <v>14</v>
      </c>
      <c r="G38" s="3942"/>
      <c r="H38" s="3943"/>
      <c r="I38" s="982"/>
      <c r="J38" s="249"/>
      <c r="K38" s="249"/>
      <c r="L38" s="249"/>
      <c r="M38" s="1159"/>
      <c r="N38" s="249"/>
      <c r="O38" s="249"/>
      <c r="P38" s="249"/>
      <c r="Q38" s="249"/>
      <c r="V38" s="2051" t="str">
        <f>D38</f>
        <v xml:space="preserve">EUL </v>
      </c>
      <c r="W38" s="441">
        <v>14</v>
      </c>
      <c r="X38" s="441">
        <v>14</v>
      </c>
      <c r="Y38" s="441">
        <v>14</v>
      </c>
      <c r="Z38" s="441">
        <v>14</v>
      </c>
      <c r="AA38" s="441">
        <v>14</v>
      </c>
      <c r="AB38" s="2298">
        <v>14</v>
      </c>
      <c r="AC38" s="2298">
        <v>14</v>
      </c>
      <c r="AD38" s="441"/>
      <c r="AE38" s="441"/>
      <c r="AF38" s="441"/>
      <c r="AG38" s="441"/>
      <c r="AH38" s="1930"/>
      <c r="AI38" s="1930"/>
      <c r="AJ38" s="1930"/>
      <c r="AK38" s="1930"/>
      <c r="AL38" s="1930"/>
      <c r="AM38" s="1930"/>
      <c r="AN38" s="1930"/>
      <c r="AO38" s="1930"/>
      <c r="AP38" s="1930"/>
      <c r="AQ38" s="1930"/>
      <c r="AR38" s="1930"/>
      <c r="AS38" s="1930"/>
      <c r="AT38" s="1930"/>
      <c r="AU38" s="1930"/>
      <c r="AV38" s="1930"/>
      <c r="AW38" s="1930"/>
      <c r="AX38" s="1930"/>
      <c r="AY38" s="1930"/>
      <c r="AZ38" s="1930"/>
      <c r="BA38" s="1930"/>
      <c r="BB38" s="1930"/>
      <c r="BC38" s="1930"/>
      <c r="BE38" s="428"/>
    </row>
    <row r="39" spans="1:57" hidden="1" outlineLevel="1" x14ac:dyDescent="0.25">
      <c r="B39" s="1233"/>
      <c r="C39" s="1678"/>
      <c r="D39" s="3936" t="s">
        <v>170</v>
      </c>
      <c r="E39" s="3202" t="s">
        <v>543</v>
      </c>
      <c r="F39" s="2297">
        <v>5</v>
      </c>
      <c r="G39" s="3942"/>
      <c r="H39" s="3943"/>
      <c r="I39" s="982"/>
      <c r="J39" s="249"/>
      <c r="K39" s="249"/>
      <c r="L39" s="249"/>
      <c r="M39" s="1159"/>
      <c r="N39" s="249"/>
      <c r="O39" s="249"/>
      <c r="P39" s="249"/>
      <c r="Q39" s="249"/>
      <c r="V39" s="3877" t="str">
        <f>D39</f>
        <v>Inc. Cost</v>
      </c>
      <c r="W39" s="442">
        <v>5</v>
      </c>
      <c r="X39" s="442">
        <v>5</v>
      </c>
      <c r="Y39" s="442">
        <v>5</v>
      </c>
      <c r="Z39" s="442">
        <v>5</v>
      </c>
      <c r="AA39" s="442">
        <v>5</v>
      </c>
      <c r="AB39" s="2297">
        <v>5</v>
      </c>
      <c r="AC39" s="2297">
        <v>5</v>
      </c>
      <c r="AD39" s="443"/>
      <c r="AE39" s="443"/>
      <c r="AF39" s="443"/>
      <c r="AG39" s="443"/>
      <c r="AH39" s="1930"/>
      <c r="AI39" s="1930"/>
      <c r="AJ39" s="1930"/>
      <c r="AK39" s="1930"/>
      <c r="AL39" s="1930"/>
      <c r="AM39" s="1930"/>
      <c r="AN39" s="1930"/>
      <c r="AO39" s="1930"/>
      <c r="AP39" s="1930"/>
      <c r="AQ39" s="1930"/>
      <c r="AR39" s="1930"/>
      <c r="AS39" s="1930"/>
      <c r="AT39" s="1930"/>
      <c r="AU39" s="1930"/>
      <c r="AV39" s="1930"/>
      <c r="AW39" s="1930"/>
      <c r="AX39" s="1930"/>
      <c r="AY39" s="1930"/>
      <c r="AZ39" s="1930"/>
      <c r="BA39" s="1930"/>
      <c r="BB39" s="1930"/>
      <c r="BC39" s="1930"/>
      <c r="BE39" s="428"/>
    </row>
    <row r="40" spans="1:57" hidden="1" outlineLevel="1" x14ac:dyDescent="0.25">
      <c r="B40" s="1233"/>
      <c r="C40" s="1678"/>
      <c r="D40" s="3936" t="s">
        <v>170</v>
      </c>
      <c r="E40" s="3202" t="s">
        <v>543</v>
      </c>
      <c r="F40" s="2297">
        <v>5</v>
      </c>
      <c r="G40" s="3942"/>
      <c r="H40" s="3943"/>
      <c r="I40" s="982"/>
      <c r="J40" s="249"/>
      <c r="K40" s="249"/>
      <c r="L40" s="249"/>
      <c r="M40" s="1159"/>
      <c r="N40" s="249"/>
      <c r="O40" s="249"/>
      <c r="P40" s="249"/>
      <c r="Q40" s="249"/>
      <c r="V40" s="3877"/>
      <c r="W40" s="218">
        <v>5</v>
      </c>
      <c r="X40" s="218">
        <v>5</v>
      </c>
      <c r="Y40" s="218">
        <v>5</v>
      </c>
      <c r="Z40" s="218">
        <v>5</v>
      </c>
      <c r="AA40" s="218">
        <v>5</v>
      </c>
      <c r="AB40" s="444">
        <v>5</v>
      </c>
      <c r="AC40" s="2297">
        <v>5</v>
      </c>
      <c r="AD40" s="445"/>
      <c r="AE40" s="445"/>
      <c r="AF40" s="445"/>
      <c r="AG40" s="445"/>
      <c r="AH40" s="1930"/>
      <c r="AI40" s="1930"/>
      <c r="AJ40" s="1930"/>
      <c r="AK40" s="1930"/>
      <c r="AL40" s="1930"/>
      <c r="AM40" s="1930"/>
      <c r="AN40" s="1930"/>
      <c r="AO40" s="1930"/>
      <c r="AP40" s="1930"/>
      <c r="AQ40" s="1930"/>
      <c r="AR40" s="1930"/>
      <c r="AS40" s="1930"/>
      <c r="AT40" s="1930"/>
      <c r="AU40" s="1930"/>
      <c r="AV40" s="1930"/>
      <c r="AW40" s="1930"/>
      <c r="AX40" s="1930"/>
      <c r="AY40" s="1930"/>
      <c r="AZ40" s="1930"/>
      <c r="BA40" s="1930"/>
      <c r="BB40" s="1930"/>
      <c r="BC40" s="1930"/>
      <c r="BE40" s="428"/>
    </row>
    <row r="41" spans="1:57" hidden="1" outlineLevel="1" x14ac:dyDescent="0.25">
      <c r="B41" s="1233"/>
      <c r="C41" s="1678"/>
      <c r="D41" s="3142" t="s">
        <v>544</v>
      </c>
      <c r="E41" s="3202" t="s">
        <v>545</v>
      </c>
      <c r="F41" s="2297" t="s">
        <v>546</v>
      </c>
      <c r="G41" s="3942"/>
      <c r="H41" s="3943"/>
      <c r="I41" s="982"/>
      <c r="J41" s="249"/>
      <c r="K41" s="249"/>
      <c r="L41" s="249"/>
      <c r="M41" s="1159"/>
      <c r="N41" s="249"/>
      <c r="O41" s="249"/>
      <c r="P41" s="249"/>
      <c r="Q41" s="249"/>
      <c r="V41" s="3110" t="str">
        <f>D41</f>
        <v>P</v>
      </c>
      <c r="W41" s="441" t="s">
        <v>546</v>
      </c>
      <c r="X41" s="441" t="s">
        <v>546</v>
      </c>
      <c r="Y41" s="441" t="s">
        <v>546</v>
      </c>
      <c r="Z41" s="441" t="s">
        <v>546</v>
      </c>
      <c r="AA41" s="441" t="s">
        <v>546</v>
      </c>
      <c r="AB41" s="444" t="s">
        <v>546</v>
      </c>
      <c r="AC41" s="2297" t="s">
        <v>546</v>
      </c>
      <c r="AD41" s="441"/>
      <c r="AE41" s="441"/>
      <c r="AF41" s="441"/>
      <c r="AG41" s="441"/>
      <c r="AH41" s="1930"/>
      <c r="AI41" s="1930"/>
      <c r="AJ41" s="1930"/>
      <c r="AK41" s="1930"/>
      <c r="AL41" s="1930"/>
      <c r="AM41" s="1930"/>
      <c r="AN41" s="1930"/>
      <c r="AO41" s="1930"/>
      <c r="AP41" s="1930"/>
      <c r="AQ41" s="1930"/>
      <c r="AR41" s="1930"/>
      <c r="AS41" s="1930"/>
      <c r="AT41" s="1930"/>
      <c r="AU41" s="1930"/>
      <c r="AV41" s="1930"/>
      <c r="AW41" s="1930"/>
      <c r="AX41" s="1930"/>
      <c r="AY41" s="1930"/>
      <c r="AZ41" s="1930"/>
      <c r="BA41" s="1930"/>
      <c r="BB41" s="1930"/>
      <c r="BC41" s="1930"/>
      <c r="BE41" s="428"/>
    </row>
    <row r="42" spans="1:57" collapsed="1" x14ac:dyDescent="0.25">
      <c r="B42" s="1233"/>
      <c r="C42" s="1678"/>
      <c r="D42" s="247"/>
      <c r="E42" s="1159"/>
      <c r="F42" s="249"/>
      <c r="G42" s="249"/>
      <c r="H42" s="249"/>
      <c r="I42" s="249"/>
      <c r="J42" s="249"/>
      <c r="K42" s="249"/>
      <c r="L42" s="249"/>
      <c r="M42" s="1159"/>
      <c r="N42" s="249"/>
      <c r="O42" s="249"/>
      <c r="P42" s="249"/>
      <c r="Q42" s="249"/>
      <c r="AC42" s="1930"/>
      <c r="AD42" s="1930"/>
      <c r="AE42" s="1930"/>
      <c r="AF42" s="1930"/>
      <c r="AG42" s="1930"/>
      <c r="AH42" s="1930"/>
      <c r="AI42" s="1930"/>
      <c r="AJ42" s="1930"/>
      <c r="AK42" s="1930"/>
      <c r="AL42" s="1930"/>
      <c r="AM42" s="1930"/>
      <c r="AN42" s="1930"/>
      <c r="AO42" s="1930"/>
      <c r="AP42" s="1930"/>
      <c r="AQ42" s="1930"/>
      <c r="AR42" s="1930"/>
      <c r="AS42" s="1930"/>
      <c r="AT42" s="1930"/>
      <c r="AU42" s="1930"/>
      <c r="AV42" s="1930"/>
      <c r="AW42" s="1930"/>
      <c r="AX42" s="1930"/>
      <c r="AY42" s="1930"/>
      <c r="AZ42" s="1930"/>
      <c r="BA42" s="1930"/>
      <c r="BB42" s="1930"/>
      <c r="BC42" s="1930"/>
    </row>
    <row r="43" spans="1:57" x14ac:dyDescent="0.25">
      <c r="A43" s="3160"/>
      <c r="B43" s="3750" t="s">
        <v>547</v>
      </c>
      <c r="C43" s="3751"/>
      <c r="D43" s="3751"/>
      <c r="E43" s="3751"/>
      <c r="F43" s="3751"/>
      <c r="G43" s="3751"/>
      <c r="H43" s="3751"/>
      <c r="I43" s="3744"/>
      <c r="J43" s="3744"/>
      <c r="K43" s="3744"/>
      <c r="L43" s="3744"/>
      <c r="M43" s="3744"/>
      <c r="N43" s="3745"/>
      <c r="O43" s="249"/>
      <c r="P43" s="249"/>
      <c r="Q43" s="249"/>
      <c r="V43" s="3750" t="str">
        <f>B43</f>
        <v xml:space="preserve">LEDs (per bulb) </v>
      </c>
      <c r="W43" s="3751"/>
      <c r="X43" s="3751"/>
      <c r="Y43" s="3751"/>
      <c r="Z43" s="3751"/>
      <c r="AA43" s="3751"/>
      <c r="AB43" s="3751"/>
      <c r="AC43" s="3752"/>
      <c r="AD43" s="3752"/>
      <c r="AE43" s="3752"/>
      <c r="AF43" s="3752"/>
      <c r="AG43" s="3752"/>
      <c r="AH43" s="3753"/>
      <c r="AI43" s="1930"/>
      <c r="AJ43" s="1930"/>
      <c r="AK43" s="1930"/>
      <c r="AL43" s="1930"/>
      <c r="AM43" s="1930"/>
      <c r="AN43" s="1930"/>
      <c r="AO43" s="1930"/>
      <c r="AP43" s="1930"/>
      <c r="AQ43" s="1930"/>
      <c r="AR43" s="1930"/>
      <c r="AS43" s="1930"/>
      <c r="AT43" s="1930"/>
      <c r="AU43" s="1930"/>
      <c r="AV43" s="1930"/>
      <c r="AW43" s="1930"/>
      <c r="AX43" s="1930"/>
      <c r="AY43" s="1930"/>
      <c r="AZ43" s="1930"/>
      <c r="BA43" s="1930"/>
      <c r="BB43" s="1930"/>
      <c r="BC43" s="1930"/>
    </row>
    <row r="44" spans="1:57" x14ac:dyDescent="0.25">
      <c r="F44" s="353"/>
      <c r="G44" s="353"/>
      <c r="H44" s="353"/>
      <c r="I44" s="353"/>
      <c r="J44" s="353"/>
      <c r="K44" s="353"/>
      <c r="L44" s="353"/>
      <c r="M44" s="1159"/>
      <c r="N44" s="249"/>
      <c r="O44" s="249"/>
      <c r="P44" s="249"/>
      <c r="Q44" s="249"/>
      <c r="AC44" s="1930"/>
      <c r="AD44" s="1930"/>
      <c r="AE44" s="1930"/>
      <c r="AF44" s="1930"/>
      <c r="AG44" s="1930"/>
      <c r="AH44" s="1930"/>
      <c r="AI44" s="1930"/>
      <c r="AJ44" s="1930"/>
      <c r="AK44" s="1930"/>
      <c r="AL44" s="1930"/>
      <c r="AM44" s="1930"/>
      <c r="AN44" s="1930"/>
      <c r="AO44" s="1930"/>
      <c r="AP44" s="1930"/>
      <c r="AQ44" s="1930"/>
      <c r="AR44" s="1930"/>
      <c r="AS44" s="1930"/>
      <c r="AT44" s="1930"/>
      <c r="AU44" s="1930"/>
      <c r="AV44" s="1930"/>
      <c r="AW44" s="1930"/>
      <c r="AX44" s="1930"/>
      <c r="AY44" s="1930"/>
      <c r="AZ44" s="1930"/>
      <c r="BA44" s="1930"/>
      <c r="BB44" s="1930"/>
      <c r="BC44" s="1930"/>
    </row>
    <row r="45" spans="1:57" ht="30" x14ac:dyDescent="0.25">
      <c r="C45" s="3086" t="s">
        <v>28</v>
      </c>
      <c r="D45" s="3086" t="s">
        <v>175</v>
      </c>
      <c r="E45" s="347" t="s">
        <v>30</v>
      </c>
      <c r="F45" s="3086" t="s">
        <v>31</v>
      </c>
      <c r="G45" s="347" t="s">
        <v>176</v>
      </c>
      <c r="H45" s="347" t="s">
        <v>177</v>
      </c>
      <c r="I45" s="347" t="s">
        <v>32</v>
      </c>
      <c r="J45" s="347" t="s">
        <v>181</v>
      </c>
      <c r="K45" s="347" t="s">
        <v>170</v>
      </c>
      <c r="L45" s="3086" t="s">
        <v>44</v>
      </c>
      <c r="M45" s="1159"/>
      <c r="N45" s="249"/>
      <c r="O45" s="249"/>
      <c r="P45" s="249"/>
      <c r="Q45" s="249"/>
      <c r="V45" s="551" t="s">
        <v>45</v>
      </c>
      <c r="W45" s="360">
        <f>$W$6</f>
        <v>43252</v>
      </c>
      <c r="X45" s="360">
        <f>$X$6</f>
        <v>43465</v>
      </c>
      <c r="Y45" s="360">
        <f>$Y$6</f>
        <v>43800</v>
      </c>
      <c r="Z45" s="360">
        <f>$Z$6</f>
        <v>43862</v>
      </c>
      <c r="AA45" s="360">
        <f>$AA$6</f>
        <v>44013</v>
      </c>
      <c r="AB45" s="360">
        <f>$AB$6</f>
        <v>44166</v>
      </c>
      <c r="AC45" s="1937">
        <f>$AC$6</f>
        <v>44531</v>
      </c>
      <c r="AD45" s="1937" t="str">
        <f>$AD$6</f>
        <v>-</v>
      </c>
      <c r="AE45" s="1937" t="str">
        <f>$AE$6</f>
        <v>-</v>
      </c>
      <c r="AF45" s="1937" t="str">
        <f>$AF$6</f>
        <v>-</v>
      </c>
      <c r="AG45" s="1937" t="str">
        <f>$AG$6</f>
        <v>-</v>
      </c>
      <c r="AH45" s="1930"/>
      <c r="AI45" s="1930"/>
      <c r="AJ45" s="1930"/>
      <c r="AK45" s="1930"/>
      <c r="AL45" s="1930"/>
      <c r="AM45" s="1930"/>
      <c r="AN45" s="1930"/>
      <c r="AO45" s="1930"/>
      <c r="AP45" s="1930"/>
      <c r="AQ45" s="1930"/>
      <c r="AR45" s="1930"/>
      <c r="AS45" s="1930"/>
      <c r="AT45" s="1930"/>
      <c r="AU45" s="1930"/>
      <c r="AV45" s="1930"/>
      <c r="AW45" s="1930"/>
      <c r="AX45" s="1930"/>
      <c r="AY45" s="1930"/>
      <c r="AZ45" s="1930"/>
      <c r="BA45" s="1930"/>
      <c r="BB45" s="1953" t="str">
        <f>$BB$6</f>
        <v>TRC (2020)</v>
      </c>
      <c r="BC45" s="1953" t="str">
        <f>$BC$6</f>
        <v>Benefit Lookup</v>
      </c>
      <c r="BD45" s="230" t="str">
        <f>$BD$6</f>
        <v>Benefits (2019 $)</v>
      </c>
      <c r="BE45" s="230" t="str">
        <f>$BE$6</f>
        <v>Incremental Cost (2019 $)</v>
      </c>
    </row>
    <row r="46" spans="1:57" x14ac:dyDescent="0.25">
      <c r="C46" s="3195" t="s">
        <v>548</v>
      </c>
      <c r="D46" s="463" t="s">
        <v>509</v>
      </c>
      <c r="E46" s="3188" t="str">
        <f>F70</f>
        <v>LED - 10W (CFL baseline) (750-1049 lumens)</v>
      </c>
      <c r="F46" s="448">
        <f>ROUND((($G$70-$G$77)*$G$94*(1-$G$90)*$G$84*$G$88)/$G$87,2)</f>
        <v>2.87</v>
      </c>
      <c r="G46" s="375" t="s">
        <v>54</v>
      </c>
      <c r="H46" s="449">
        <f>VLOOKUP(G46,'CP FACTORS'!$A$3:$B$38, 2, FALSE)</f>
        <v>1.4925290000000001E-4</v>
      </c>
      <c r="I46" s="450">
        <f t="shared" ref="I46:I56" si="9">ROUND(F46*H46,6)</f>
        <v>4.28E-4</v>
      </c>
      <c r="J46" s="2718">
        <f>$G$98</f>
        <v>19</v>
      </c>
      <c r="K46" s="444">
        <f>$G$100</f>
        <v>1.95</v>
      </c>
      <c r="L46" s="451" t="s">
        <v>185</v>
      </c>
      <c r="M46" s="452"/>
      <c r="N46" s="249"/>
      <c r="O46" s="249"/>
      <c r="P46" s="249"/>
      <c r="Q46" s="249"/>
      <c r="R46" s="1431"/>
      <c r="V46" s="1962" t="str">
        <f>$F$45</f>
        <v>kWh Annual Savings</v>
      </c>
      <c r="W46" s="453">
        <v>3.2707779028380117</v>
      </c>
      <c r="X46" s="141">
        <v>3.5883733629744001</v>
      </c>
      <c r="Y46" s="454">
        <v>3.57</v>
      </c>
      <c r="Z46" s="448">
        <v>3.57</v>
      </c>
      <c r="AA46" s="448">
        <v>3.57</v>
      </c>
      <c r="AB46" s="454">
        <v>2.87</v>
      </c>
      <c r="AC46" s="448">
        <v>2.87</v>
      </c>
      <c r="AD46" s="160"/>
      <c r="AE46" s="160"/>
      <c r="AF46" s="160"/>
      <c r="AG46" s="160"/>
      <c r="AH46" s="163"/>
      <c r="AI46" s="1930"/>
      <c r="AJ46" s="1930"/>
      <c r="AK46" s="1930"/>
      <c r="AL46" s="1930"/>
      <c r="AM46" s="1930"/>
      <c r="AN46" s="1930"/>
      <c r="AO46" s="1930"/>
      <c r="AP46" s="1930"/>
      <c r="AQ46" s="1930"/>
      <c r="AR46" s="1930"/>
      <c r="AS46" s="1930"/>
      <c r="AT46" s="1930"/>
      <c r="AU46" s="1930"/>
      <c r="AV46" s="1930"/>
      <c r="AW46" s="1930"/>
      <c r="AX46" s="1930"/>
      <c r="AY46" s="1930"/>
      <c r="AZ46" s="1930"/>
      <c r="BA46" s="1930"/>
      <c r="BB46" s="2448">
        <f t="shared" ref="BB46:BB53" si="10">(BD46)/(BE46)</f>
        <v>0.91346401321450899</v>
      </c>
      <c r="BC46" s="3166" t="str">
        <f t="shared" ref="BC46:BC53" si="11">CONCATENATE(G46," ",J46," Year EUL")</f>
        <v>Lighting RES 19 Year EUL</v>
      </c>
      <c r="BD46" s="2446">
        <f>(INDEX('Avoided Cost Benefits'!$C$4:$C$857,MATCH(BC46,'Avoided Cost Benefits'!$A$4:$A$857,0)))*F46</f>
        <v>1.6812221102107525</v>
      </c>
      <c r="BE46" s="2447">
        <f t="shared" ref="BE46:BE53" si="12">K46/(1.0595^(2020-2019))</f>
        <v>1.8404907975460121</v>
      </c>
    </row>
    <row r="47" spans="1:57" x14ac:dyDescent="0.25">
      <c r="C47" s="3195" t="s">
        <v>549</v>
      </c>
      <c r="D47" s="463" t="s">
        <v>322</v>
      </c>
      <c r="E47" s="3188" t="str">
        <f>F70</f>
        <v>LED - 10W (CFL baseline) (750-1049 lumens)</v>
      </c>
      <c r="F47" s="448">
        <f>ROUND((($G$70-$G$77)*$G$95*(1-$G$91)*$G$84*$G$88)/$G$87,2)</f>
        <v>4.34</v>
      </c>
      <c r="G47" s="375" t="s">
        <v>54</v>
      </c>
      <c r="H47" s="449">
        <f>VLOOKUP(G47,'CP FACTORS'!$A$3:$B$38, 2, FALSE)</f>
        <v>1.4925290000000001E-4</v>
      </c>
      <c r="I47" s="450">
        <f t="shared" si="9"/>
        <v>6.4800000000000003E-4</v>
      </c>
      <c r="J47" s="2718">
        <f>$G$98</f>
        <v>19</v>
      </c>
      <c r="K47" s="444">
        <f t="shared" ref="K47:K57" si="13">$G$100</f>
        <v>1.95</v>
      </c>
      <c r="L47" s="451" t="s">
        <v>185</v>
      </c>
      <c r="M47" s="452"/>
      <c r="N47" s="249"/>
      <c r="O47" s="249"/>
      <c r="P47" s="249"/>
      <c r="Q47" s="249"/>
      <c r="R47" s="1431"/>
      <c r="V47" s="1962" t="str">
        <f t="shared" ref="V47:V56" si="14">$F$45</f>
        <v>kWh Annual Savings</v>
      </c>
      <c r="W47" s="453">
        <v>3.3468425052295938</v>
      </c>
      <c r="X47" s="141">
        <v>3.5883733629744001</v>
      </c>
      <c r="Y47" s="454">
        <v>4.34</v>
      </c>
      <c r="Z47" s="448">
        <v>4.34</v>
      </c>
      <c r="AA47" s="448">
        <v>4.34</v>
      </c>
      <c r="AB47" s="448">
        <v>4.34</v>
      </c>
      <c r="AC47" s="448">
        <v>4.34</v>
      </c>
      <c r="AD47" s="160"/>
      <c r="AE47" s="160"/>
      <c r="AF47" s="160"/>
      <c r="AG47" s="160"/>
      <c r="AH47" s="163"/>
      <c r="AI47" s="1930"/>
      <c r="AJ47" s="1930"/>
      <c r="AK47" s="1930"/>
      <c r="AL47" s="1930"/>
      <c r="AM47" s="1930"/>
      <c r="AN47" s="1930"/>
      <c r="AO47" s="1930"/>
      <c r="AP47" s="1930"/>
      <c r="AQ47" s="1930"/>
      <c r="AR47" s="1930"/>
      <c r="AS47" s="1930"/>
      <c r="AT47" s="1930"/>
      <c r="AU47" s="1930"/>
      <c r="AV47" s="1930"/>
      <c r="AW47" s="1930"/>
      <c r="AX47" s="1930"/>
      <c r="AY47" s="1930"/>
      <c r="AZ47" s="1930"/>
      <c r="BA47" s="1930"/>
      <c r="BB47" s="2448">
        <f t="shared" si="10"/>
        <v>1.3813358248609648</v>
      </c>
      <c r="BC47" s="3166" t="str">
        <f t="shared" si="11"/>
        <v>Lighting RES 19 Year EUL</v>
      </c>
      <c r="BD47" s="2446">
        <f>(INDEX('Avoided Cost Benefits'!$C$4:$C$857,MATCH(BC47,'Avoided Cost Benefits'!$A$4:$A$857,0)))*F47</f>
        <v>2.5423358739772355</v>
      </c>
      <c r="BE47" s="2447">
        <f t="shared" si="12"/>
        <v>1.8404907975460121</v>
      </c>
    </row>
    <row r="48" spans="1:57" x14ac:dyDescent="0.25">
      <c r="C48" s="3195" t="s">
        <v>550</v>
      </c>
      <c r="D48" s="463" t="s">
        <v>509</v>
      </c>
      <c r="E48" s="3188" t="str">
        <f>F71</f>
        <v>LED - 10W (Halogen baseline) (750-1049 lumens)</v>
      </c>
      <c r="F48" s="448">
        <f>ROUND((($G$71-$G$77)*$G$94*(1-$G$90)*$G$84*$G$88)/$G$87,2)</f>
        <v>22.19</v>
      </c>
      <c r="G48" s="375" t="s">
        <v>54</v>
      </c>
      <c r="H48" s="449">
        <f>VLOOKUP(G48,'CP FACTORS'!$A$3:$B$38, 2, FALSE)</f>
        <v>1.4925290000000001E-4</v>
      </c>
      <c r="I48" s="450">
        <f t="shared" si="9"/>
        <v>3.3119999999999998E-3</v>
      </c>
      <c r="J48" s="2718">
        <f>$G$98</f>
        <v>19</v>
      </c>
      <c r="K48" s="444">
        <f t="shared" si="13"/>
        <v>1.95</v>
      </c>
      <c r="L48" s="451" t="s">
        <v>185</v>
      </c>
      <c r="M48" s="452"/>
      <c r="N48" s="249"/>
      <c r="O48" s="249"/>
      <c r="P48" s="249"/>
      <c r="Q48" s="249"/>
      <c r="R48" s="1431"/>
      <c r="V48" s="1962" t="str">
        <f t="shared" si="14"/>
        <v>kWh Annual Savings</v>
      </c>
      <c r="W48" s="453">
        <v>24.41673736769771</v>
      </c>
      <c r="X48" s="141">
        <v>27.728339622984002</v>
      </c>
      <c r="Y48" s="454">
        <v>27.59</v>
      </c>
      <c r="Z48" s="448">
        <v>27.59</v>
      </c>
      <c r="AA48" s="448">
        <v>27.59</v>
      </c>
      <c r="AB48" s="454">
        <v>22.19</v>
      </c>
      <c r="AC48" s="448">
        <v>22.19</v>
      </c>
      <c r="AD48" s="160"/>
      <c r="AE48" s="160"/>
      <c r="AF48" s="160"/>
      <c r="AG48" s="160"/>
      <c r="AH48" s="163"/>
      <c r="AI48" s="1930"/>
      <c r="AJ48" s="1930"/>
      <c r="AK48" s="1930"/>
      <c r="AL48" s="1930"/>
      <c r="AM48" s="1930"/>
      <c r="AN48" s="1930"/>
      <c r="AO48" s="1930"/>
      <c r="AP48" s="1930"/>
      <c r="AQ48" s="1930"/>
      <c r="AR48" s="1930"/>
      <c r="AS48" s="1930"/>
      <c r="AT48" s="1930"/>
      <c r="AU48" s="1930"/>
      <c r="AV48" s="1930"/>
      <c r="AW48" s="1930"/>
      <c r="AX48" s="1930"/>
      <c r="AY48" s="1930"/>
      <c r="AZ48" s="1930"/>
      <c r="BA48" s="1930"/>
      <c r="BB48" s="2448">
        <f t="shared" si="10"/>
        <v>7.0626363948536426</v>
      </c>
      <c r="BC48" s="3166" t="str">
        <f t="shared" si="11"/>
        <v>Lighting RES 19 Year EUL</v>
      </c>
      <c r="BD48" s="2446">
        <f>(INDEX('Avoided Cost Benefits'!$C$4:$C$857,MATCH(BC48,'Avoided Cost Benefits'!$A$4:$A$857,0)))*F48</f>
        <v>12.998717291141672</v>
      </c>
      <c r="BE48" s="2447">
        <f t="shared" si="12"/>
        <v>1.8404907975460121</v>
      </c>
    </row>
    <row r="49" spans="1:57" s="1930" customFormat="1" x14ac:dyDescent="0.25">
      <c r="A49" s="123"/>
      <c r="B49" s="123"/>
      <c r="C49" s="3195" t="s">
        <v>551</v>
      </c>
      <c r="D49" s="2734" t="s">
        <v>512</v>
      </c>
      <c r="E49" s="3188" t="s">
        <v>552</v>
      </c>
      <c r="F49" s="448">
        <f>ROUND((($G$71-$G$78)*$G$96*(1-$G$92)*$G$84*$G$88)/$G$87,2)</f>
        <v>30.15</v>
      </c>
      <c r="G49" s="375" t="s">
        <v>54</v>
      </c>
      <c r="H49" s="449">
        <f>VLOOKUP(G49,'CP FACTORS'!$A$3:$B$38, 2, FALSE)</f>
        <v>1.4925290000000001E-4</v>
      </c>
      <c r="I49" s="450">
        <f t="shared" si="9"/>
        <v>4.4999999999999997E-3</v>
      </c>
      <c r="J49" s="2718">
        <f t="shared" ref="J49:J57" si="15">$G$98</f>
        <v>19</v>
      </c>
      <c r="K49" s="444">
        <f t="shared" si="13"/>
        <v>1.95</v>
      </c>
      <c r="L49" s="451" t="s">
        <v>185</v>
      </c>
      <c r="M49" s="452"/>
      <c r="N49" s="249"/>
      <c r="O49" s="249"/>
      <c r="P49" s="249"/>
      <c r="Q49" s="249"/>
      <c r="R49" s="1431"/>
      <c r="S49" s="123"/>
      <c r="T49" s="123"/>
      <c r="U49" s="123"/>
      <c r="V49" s="1962" t="str">
        <f t="shared" si="14"/>
        <v>kWh Annual Savings</v>
      </c>
      <c r="W49" s="453"/>
      <c r="X49" s="141"/>
      <c r="Y49" s="454"/>
      <c r="Z49" s="448"/>
      <c r="AA49" s="448"/>
      <c r="AB49" s="454">
        <v>30.15</v>
      </c>
      <c r="AC49" s="448">
        <v>30.15</v>
      </c>
      <c r="AD49" s="160"/>
      <c r="AE49" s="160"/>
      <c r="AF49" s="160"/>
      <c r="AG49" s="160"/>
      <c r="AH49" s="163"/>
      <c r="BB49" s="2448">
        <f t="shared" ref="BB49:BB50" si="16">(BD49)/(BE49)</f>
        <v>9.5961463409120018</v>
      </c>
      <c r="BC49" s="3166" t="str">
        <f t="shared" ref="BC49:BC50" si="17">CONCATENATE(G49," ",J49," Year EUL")</f>
        <v>Lighting RES 19 Year EUL</v>
      </c>
      <c r="BD49" s="2446">
        <f>(INDEX('Avoided Cost Benefits'!$C$4:$C$857,MATCH(BC49,'Avoided Cost Benefits'!$A$4:$A$857,0)))*F49</f>
        <v>17.661619032353375</v>
      </c>
      <c r="BE49" s="2447">
        <f t="shared" ref="BE49:BE50" si="18">K49/(1.0595^(2020-2019))</f>
        <v>1.8404907975460121</v>
      </c>
    </row>
    <row r="50" spans="1:57" s="1930" customFormat="1" x14ac:dyDescent="0.25">
      <c r="A50" s="123"/>
      <c r="B50" s="123"/>
      <c r="C50" s="3195" t="s">
        <v>553</v>
      </c>
      <c r="D50" s="2667" t="s">
        <v>515</v>
      </c>
      <c r="E50" s="3188" t="s">
        <v>554</v>
      </c>
      <c r="F50" s="448">
        <f>ROUND((($G$71-$G$78)*$G$97*(1-$G$93)*$G$84*$G$88)/$G$87,2)</f>
        <v>29.48</v>
      </c>
      <c r="G50" s="375" t="s">
        <v>54</v>
      </c>
      <c r="H50" s="449">
        <f>VLOOKUP(G50,'CP FACTORS'!$A$3:$B$38, 2, FALSE)</f>
        <v>1.4925290000000001E-4</v>
      </c>
      <c r="I50" s="450">
        <f t="shared" si="9"/>
        <v>4.4000000000000003E-3</v>
      </c>
      <c r="J50" s="2718">
        <f t="shared" si="15"/>
        <v>19</v>
      </c>
      <c r="K50" s="444">
        <f t="shared" si="13"/>
        <v>1.95</v>
      </c>
      <c r="L50" s="451" t="s">
        <v>185</v>
      </c>
      <c r="M50" s="452"/>
      <c r="N50" s="249"/>
      <c r="O50" s="249"/>
      <c r="P50" s="249"/>
      <c r="Q50" s="249"/>
      <c r="R50" s="1431"/>
      <c r="S50" s="123"/>
      <c r="T50" s="123"/>
      <c r="U50" s="123"/>
      <c r="V50" s="1962" t="str">
        <f t="shared" si="14"/>
        <v>kWh Annual Savings</v>
      </c>
      <c r="W50" s="453"/>
      <c r="X50" s="141"/>
      <c r="Y50" s="454"/>
      <c r="Z50" s="448"/>
      <c r="AA50" s="448"/>
      <c r="AB50" s="454">
        <v>29.48</v>
      </c>
      <c r="AC50" s="448">
        <v>29.48</v>
      </c>
      <c r="AD50" s="160"/>
      <c r="AE50" s="160"/>
      <c r="AF50" s="160"/>
      <c r="AG50" s="160"/>
      <c r="AH50" s="163"/>
      <c r="BB50" s="2448">
        <f t="shared" si="16"/>
        <v>9.3828986444472893</v>
      </c>
      <c r="BC50" s="3166" t="str">
        <f t="shared" si="17"/>
        <v>Lighting RES 19 Year EUL</v>
      </c>
      <c r="BD50" s="2446">
        <f>(INDEX('Avoided Cost Benefits'!$C$4:$C$857,MATCH(BC50,'Avoided Cost Benefits'!$A$4:$A$857,0)))*F50</f>
        <v>17.269138609412188</v>
      </c>
      <c r="BE50" s="2447">
        <f t="shared" si="18"/>
        <v>1.8404907975460121</v>
      </c>
    </row>
    <row r="51" spans="1:57" x14ac:dyDescent="0.25">
      <c r="C51" s="3195" t="s">
        <v>555</v>
      </c>
      <c r="D51" s="463" t="s">
        <v>322</v>
      </c>
      <c r="E51" s="3188" t="str">
        <f>F71</f>
        <v>LED - 10W (Halogen baseline) (750-1049 lumens)</v>
      </c>
      <c r="F51" s="448">
        <f>ROUND((($G$71-$G$78)*$G$95*(1-$G$91)*$G$84*$G$88)/$G$87,2)</f>
        <v>33.5</v>
      </c>
      <c r="G51" s="375" t="s">
        <v>54</v>
      </c>
      <c r="H51" s="449">
        <f>VLOOKUP(G51,'CP FACTORS'!$A$3:$B$38, 2, FALSE)</f>
        <v>1.4925290000000001E-4</v>
      </c>
      <c r="I51" s="450">
        <f t="shared" si="9"/>
        <v>5.0000000000000001E-3</v>
      </c>
      <c r="J51" s="2718">
        <f t="shared" si="15"/>
        <v>19</v>
      </c>
      <c r="K51" s="444">
        <f t="shared" si="13"/>
        <v>1.95</v>
      </c>
      <c r="L51" s="451" t="s">
        <v>185</v>
      </c>
      <c r="M51" s="452"/>
      <c r="N51" s="249"/>
      <c r="O51" s="249"/>
      <c r="P51" s="249"/>
      <c r="Q51" s="249"/>
      <c r="R51" s="1431"/>
      <c r="V51" s="1962" t="str">
        <f t="shared" si="14"/>
        <v>kWh Annual Savings</v>
      </c>
      <c r="W51" s="453">
        <v>24.584079492959191</v>
      </c>
      <c r="X51" s="141">
        <v>27.728339622984002</v>
      </c>
      <c r="Y51" s="454">
        <v>33.54</v>
      </c>
      <c r="Z51" s="448">
        <v>33.54</v>
      </c>
      <c r="AA51" s="448">
        <v>33.54</v>
      </c>
      <c r="AB51" s="454">
        <v>33.5</v>
      </c>
      <c r="AC51" s="448">
        <v>33.5</v>
      </c>
      <c r="AD51" s="160"/>
      <c r="AE51" s="160"/>
      <c r="AF51" s="160"/>
      <c r="AG51" s="160"/>
      <c r="AH51" s="163"/>
      <c r="AI51" s="1930"/>
      <c r="AJ51" s="1930"/>
      <c r="AK51" s="1930"/>
      <c r="AL51" s="1930"/>
      <c r="AM51" s="1930"/>
      <c r="AN51" s="1930"/>
      <c r="AO51" s="1930"/>
      <c r="AP51" s="1930"/>
      <c r="AQ51" s="1930"/>
      <c r="AR51" s="1930"/>
      <c r="AS51" s="1930"/>
      <c r="AT51" s="1930"/>
      <c r="AU51" s="1930"/>
      <c r="AV51" s="1930"/>
      <c r="AW51" s="1930"/>
      <c r="AX51" s="1930"/>
      <c r="AY51" s="1930"/>
      <c r="AZ51" s="1930"/>
      <c r="BA51" s="1930"/>
      <c r="BB51" s="2448">
        <f t="shared" si="10"/>
        <v>10.662384823235557</v>
      </c>
      <c r="BC51" s="3166" t="str">
        <f t="shared" si="11"/>
        <v>Lighting RES 19 Year EUL</v>
      </c>
      <c r="BD51" s="2446">
        <f>(INDEX('Avoided Cost Benefits'!$C$4:$C$857,MATCH(BC51,'Avoided Cost Benefits'!$A$4:$A$857,0)))*F51</f>
        <v>19.624021147059306</v>
      </c>
      <c r="BE51" s="2447">
        <f t="shared" si="12"/>
        <v>1.8404907975460121</v>
      </c>
    </row>
    <row r="52" spans="1:57" x14ac:dyDescent="0.25">
      <c r="C52" s="3195" t="s">
        <v>556</v>
      </c>
      <c r="D52" s="463" t="s">
        <v>509</v>
      </c>
      <c r="E52" s="3188" t="s">
        <v>53</v>
      </c>
      <c r="F52" s="448">
        <f>ROUND((($G$72-$G$79)*$G$94*(1-$G$90)*$G$84*$G$88)/$G$87,2)</f>
        <v>7.83</v>
      </c>
      <c r="G52" s="375" t="s">
        <v>54</v>
      </c>
      <c r="H52" s="449">
        <f>VLOOKUP(G52,'CP FACTORS'!$A$3:$B$38, 2, FALSE)</f>
        <v>1.4925290000000001E-4</v>
      </c>
      <c r="I52" s="450">
        <f t="shared" si="9"/>
        <v>1.1689999999999999E-3</v>
      </c>
      <c r="J52" s="2718">
        <f t="shared" si="15"/>
        <v>19</v>
      </c>
      <c r="K52" s="444">
        <f t="shared" si="13"/>
        <v>1.95</v>
      </c>
      <c r="L52" s="451" t="s">
        <v>185</v>
      </c>
      <c r="M52" s="452"/>
      <c r="N52" s="249"/>
      <c r="O52" s="249"/>
      <c r="P52" s="249"/>
      <c r="Q52" s="249"/>
      <c r="R52" s="1431"/>
      <c r="V52" s="1962" t="str">
        <f t="shared" si="14"/>
        <v>kWh Annual Savings</v>
      </c>
      <c r="W52" s="453">
        <v>25.861964813137764</v>
      </c>
      <c r="X52" s="141">
        <v>27.728339622984002</v>
      </c>
      <c r="Y52" s="454">
        <v>27.59</v>
      </c>
      <c r="Z52" s="448">
        <v>27.59</v>
      </c>
      <c r="AA52" s="448">
        <v>27.59</v>
      </c>
      <c r="AB52" s="454">
        <v>7.83</v>
      </c>
      <c r="AC52" s="448">
        <v>7.83</v>
      </c>
      <c r="AD52" s="160"/>
      <c r="AE52" s="160"/>
      <c r="AF52" s="160"/>
      <c r="AG52" s="160"/>
      <c r="AH52" s="163"/>
      <c r="AI52" s="1930"/>
      <c r="AJ52" s="1930"/>
      <c r="AK52" s="1930"/>
      <c r="AL52" s="1930"/>
      <c r="AM52" s="1930"/>
      <c r="AN52" s="1930"/>
      <c r="AO52" s="1930"/>
      <c r="AP52" s="1930"/>
      <c r="AQ52" s="1930"/>
      <c r="AR52" s="1930"/>
      <c r="AS52" s="1930"/>
      <c r="AT52" s="1930"/>
      <c r="AU52" s="1930"/>
      <c r="AV52" s="1930"/>
      <c r="AW52" s="1930"/>
      <c r="AX52" s="1930"/>
      <c r="AY52" s="1930"/>
      <c r="AZ52" s="1930"/>
      <c r="BA52" s="1930"/>
      <c r="BB52" s="2448">
        <f t="shared" si="10"/>
        <v>2.4921335273413256</v>
      </c>
      <c r="BC52" s="3166" t="str">
        <f t="shared" si="11"/>
        <v>Lighting RES 19 Year EUL</v>
      </c>
      <c r="BD52" s="2446">
        <f>(INDEX('Avoided Cost Benefits'!$C$4:$C$857,MATCH(BC52,'Avoided Cost Benefits'!$A$4:$A$857,0)))*F52</f>
        <v>4.5867488233275928</v>
      </c>
      <c r="BE52" s="2447">
        <f t="shared" si="12"/>
        <v>1.8404907975460121</v>
      </c>
    </row>
    <row r="53" spans="1:57" x14ac:dyDescent="0.25">
      <c r="C53" s="1607" t="s">
        <v>557</v>
      </c>
      <c r="D53" s="463" t="s">
        <v>322</v>
      </c>
      <c r="E53" s="3188" t="s">
        <v>53</v>
      </c>
      <c r="F53" s="448">
        <f>ROUND((($G$72-$G$79)*$G$95*(1-$G$91)*$G$84*$G$88)/$G$87,2)</f>
        <v>11.82</v>
      </c>
      <c r="G53" s="375" t="s">
        <v>54</v>
      </c>
      <c r="H53" s="449">
        <f>VLOOKUP(G53,'CP FACTORS'!$A$3:$B$38, 2, FALSE)</f>
        <v>1.4925290000000001E-4</v>
      </c>
      <c r="I53" s="450">
        <f t="shared" si="9"/>
        <v>1.7639999999999999E-3</v>
      </c>
      <c r="J53" s="2718">
        <f t="shared" si="15"/>
        <v>19</v>
      </c>
      <c r="K53" s="444">
        <f t="shared" si="13"/>
        <v>1.95</v>
      </c>
      <c r="L53" s="451" t="s">
        <v>185</v>
      </c>
      <c r="M53" s="452"/>
      <c r="N53" s="249"/>
      <c r="O53" s="249"/>
      <c r="P53" s="249"/>
      <c r="Q53" s="249"/>
      <c r="R53" s="1431"/>
      <c r="V53" s="1962" t="str">
        <f t="shared" si="14"/>
        <v>kWh Annual Savings</v>
      </c>
      <c r="W53" s="453">
        <v>37.153826041105866</v>
      </c>
      <c r="X53" s="141">
        <v>33.540506999999998</v>
      </c>
      <c r="Y53" s="448">
        <v>33.54</v>
      </c>
      <c r="Z53" s="448">
        <v>33.54</v>
      </c>
      <c r="AA53" s="448">
        <v>33.54</v>
      </c>
      <c r="AB53" s="454">
        <v>11.82</v>
      </c>
      <c r="AC53" s="448">
        <v>11.82</v>
      </c>
      <c r="AD53" s="160"/>
      <c r="AE53" s="160"/>
      <c r="AF53" s="160"/>
      <c r="AG53" s="160"/>
      <c r="AH53" s="163"/>
      <c r="AI53" s="1930"/>
      <c r="AJ53" s="1930"/>
      <c r="AK53" s="1930"/>
      <c r="AL53" s="1930"/>
      <c r="AM53" s="1930"/>
      <c r="AN53" s="1930"/>
      <c r="AO53" s="1930"/>
      <c r="AP53" s="1930"/>
      <c r="AQ53" s="1930"/>
      <c r="AR53" s="1930"/>
      <c r="AS53" s="1930"/>
      <c r="AT53" s="1930"/>
      <c r="AU53" s="1930"/>
      <c r="AV53" s="1930"/>
      <c r="AW53" s="1930"/>
      <c r="AX53" s="1930"/>
      <c r="AY53" s="1930"/>
      <c r="AZ53" s="1930"/>
      <c r="BA53" s="1930"/>
      <c r="BB53" s="2448">
        <f t="shared" si="10"/>
        <v>3.7620713018102774</v>
      </c>
      <c r="BC53" s="3166" t="str">
        <f t="shared" si="11"/>
        <v>Lighting RES 19 Year EUL</v>
      </c>
      <c r="BD53" s="2446">
        <f>(INDEX('Avoided Cost Benefits'!$C$4:$C$857,MATCH(BC53,'Avoided Cost Benefits'!$A$4:$A$857,0)))*F53</f>
        <v>6.9240576106937617</v>
      </c>
      <c r="BE53" s="2447">
        <f t="shared" si="12"/>
        <v>1.8404907975460121</v>
      </c>
    </row>
    <row r="54" spans="1:57" s="1930" customFormat="1" x14ac:dyDescent="0.25">
      <c r="A54" s="123"/>
      <c r="B54" s="123"/>
      <c r="C54" s="1607" t="s">
        <v>558</v>
      </c>
      <c r="D54" s="2734" t="s">
        <v>512</v>
      </c>
      <c r="E54" s="3188" t="s">
        <v>559</v>
      </c>
      <c r="F54" s="448">
        <f>ROUND((($G$73-$G$80)*$G$96*(1-$G$92)*$G$84*$G$88)/$G$87,2)</f>
        <v>32.1</v>
      </c>
      <c r="G54" s="375" t="s">
        <v>54</v>
      </c>
      <c r="H54" s="449">
        <f>VLOOKUP(G54,'CP FACTORS'!$A$3:$B$38, 2, FALSE)</f>
        <v>1.4925290000000001E-4</v>
      </c>
      <c r="I54" s="450">
        <f t="shared" si="9"/>
        <v>4.7910000000000001E-3</v>
      </c>
      <c r="J54" s="2718">
        <f t="shared" si="15"/>
        <v>19</v>
      </c>
      <c r="K54" s="444">
        <f t="shared" si="13"/>
        <v>1.95</v>
      </c>
      <c r="L54" s="451" t="s">
        <v>185</v>
      </c>
      <c r="M54" s="452"/>
      <c r="N54" s="249"/>
      <c r="O54" s="249"/>
      <c r="P54" s="249"/>
      <c r="Q54" s="249"/>
      <c r="R54" s="1431"/>
      <c r="S54" s="123"/>
      <c r="T54" s="123"/>
      <c r="U54" s="123"/>
      <c r="V54" s="1962" t="str">
        <f t="shared" si="14"/>
        <v>kWh Annual Savings</v>
      </c>
      <c r="W54" s="453"/>
      <c r="X54" s="141"/>
      <c r="Y54" s="448"/>
      <c r="Z54" s="550"/>
      <c r="AA54" s="550"/>
      <c r="AB54" s="454">
        <v>32.1</v>
      </c>
      <c r="AC54" s="448">
        <v>32.1</v>
      </c>
      <c r="AD54" s="160"/>
      <c r="AE54" s="160"/>
      <c r="AF54" s="160"/>
      <c r="AG54" s="160"/>
      <c r="AH54" s="163"/>
      <c r="BB54" s="2448">
        <f t="shared" ref="BB54:BB56" si="19">(BD54)/(BE54)</f>
        <v>10.216792621667505</v>
      </c>
      <c r="BC54" s="3166" t="str">
        <f t="shared" ref="BC54:BC56" si="20">CONCATENATE(G54," ",J54," Year EUL")</f>
        <v>Lighting RES 19 Year EUL</v>
      </c>
      <c r="BD54" s="2446">
        <f>(INDEX('Avoided Cost Benefits'!$C$4:$C$857,MATCH(BC54,'Avoided Cost Benefits'!$A$4:$A$857,0)))*F54</f>
        <v>18.803912800615038</v>
      </c>
      <c r="BE54" s="2447">
        <f t="shared" ref="BE54:BE56" si="21">K54/(1.0595^(2020-2019))</f>
        <v>1.8404907975460121</v>
      </c>
    </row>
    <row r="55" spans="1:57" s="1930" customFormat="1" x14ac:dyDescent="0.25">
      <c r="A55" s="123"/>
      <c r="B55" s="123"/>
      <c r="C55" s="1607" t="s">
        <v>560</v>
      </c>
      <c r="D55" s="2734" t="s">
        <v>512</v>
      </c>
      <c r="E55" s="3188" t="s">
        <v>561</v>
      </c>
      <c r="F55" s="448">
        <f>ROUND((($G$74-$G$81)*$G$96*(1-$G$92)*$G$84*$G$88)/$G$87,2)</f>
        <v>50.36</v>
      </c>
      <c r="G55" s="375" t="s">
        <v>54</v>
      </c>
      <c r="H55" s="449">
        <f>VLOOKUP(G55,'CP FACTORS'!$A$3:$B$38, 2, FALSE)</f>
        <v>1.4925290000000001E-4</v>
      </c>
      <c r="I55" s="450">
        <f t="shared" si="9"/>
        <v>7.5160000000000001E-3</v>
      </c>
      <c r="J55" s="2718">
        <f t="shared" si="15"/>
        <v>19</v>
      </c>
      <c r="K55" s="444">
        <f t="shared" si="13"/>
        <v>1.95</v>
      </c>
      <c r="L55" s="451" t="s">
        <v>185</v>
      </c>
      <c r="M55" s="452"/>
      <c r="N55" s="249"/>
      <c r="O55" s="249"/>
      <c r="P55" s="249"/>
      <c r="Q55" s="249"/>
      <c r="R55" s="1431"/>
      <c r="S55" s="123"/>
      <c r="T55" s="123"/>
      <c r="U55" s="123"/>
      <c r="V55" s="1962" t="str">
        <f t="shared" si="14"/>
        <v>kWh Annual Savings</v>
      </c>
      <c r="W55" s="453"/>
      <c r="X55" s="141"/>
      <c r="Y55" s="448"/>
      <c r="Z55" s="550"/>
      <c r="AA55" s="550"/>
      <c r="AB55" s="454">
        <v>50.36</v>
      </c>
      <c r="AC55" s="448">
        <v>50.36</v>
      </c>
      <c r="AD55" s="160"/>
      <c r="AE55" s="160"/>
      <c r="AF55" s="160"/>
      <c r="AG55" s="160"/>
      <c r="AH55" s="163"/>
      <c r="BB55" s="2448">
        <f t="shared" si="19"/>
        <v>16.028588050690825</v>
      </c>
      <c r="BC55" s="3166" t="str">
        <f t="shared" si="20"/>
        <v>Lighting RES 19 Year EUL</v>
      </c>
      <c r="BD55" s="2446">
        <f>(INDEX('Avoided Cost Benefits'!$C$4:$C$857,MATCH(BC55,'Avoided Cost Benefits'!$A$4:$A$857,0)))*F55</f>
        <v>29.500468804952437</v>
      </c>
      <c r="BE55" s="2447">
        <f t="shared" si="21"/>
        <v>1.8404907975460121</v>
      </c>
    </row>
    <row r="56" spans="1:57" s="1930" customFormat="1" x14ac:dyDescent="0.25">
      <c r="A56" s="123"/>
      <c r="B56" s="123"/>
      <c r="C56" s="1607" t="s">
        <v>562</v>
      </c>
      <c r="D56" s="2734" t="s">
        <v>512</v>
      </c>
      <c r="E56" s="3188" t="s">
        <v>563</v>
      </c>
      <c r="F56" s="448">
        <f>ROUND((($G$75-$G$82)*$G$96*(1-$G$92)*$G$84*$G$88)/$G$87,2)</f>
        <v>45.49</v>
      </c>
      <c r="G56" s="375" t="s">
        <v>54</v>
      </c>
      <c r="H56" s="449">
        <f>VLOOKUP(G56,'CP FACTORS'!$A$3:$B$38, 2, FALSE)</f>
        <v>1.4925290000000001E-4</v>
      </c>
      <c r="I56" s="450">
        <f t="shared" si="9"/>
        <v>6.79E-3</v>
      </c>
      <c r="J56" s="2718">
        <f t="shared" si="15"/>
        <v>19</v>
      </c>
      <c r="K56" s="444">
        <f t="shared" si="13"/>
        <v>1.95</v>
      </c>
      <c r="L56" s="451" t="s">
        <v>185</v>
      </c>
      <c r="M56" s="452"/>
      <c r="N56" s="249"/>
      <c r="O56" s="249"/>
      <c r="P56" s="249"/>
      <c r="Q56" s="249"/>
      <c r="R56" s="1431"/>
      <c r="S56" s="123"/>
      <c r="T56" s="123"/>
      <c r="U56" s="123"/>
      <c r="V56" s="1962" t="str">
        <f t="shared" si="14"/>
        <v>kWh Annual Savings</v>
      </c>
      <c r="W56" s="453"/>
      <c r="X56" s="141"/>
      <c r="Y56" s="448"/>
      <c r="Z56" s="550"/>
      <c r="AA56" s="550"/>
      <c r="AB56" s="454">
        <v>45.49</v>
      </c>
      <c r="AC56" s="448">
        <v>45.49</v>
      </c>
      <c r="AD56" s="160"/>
      <c r="AE56" s="160"/>
      <c r="AF56" s="160"/>
      <c r="AG56" s="160"/>
      <c r="AH56" s="163"/>
      <c r="BB56" s="2448">
        <f t="shared" si="19"/>
        <v>14.478563749521957</v>
      </c>
      <c r="BC56" s="3166" t="str">
        <f t="shared" si="20"/>
        <v>Lighting RES 19 Year EUL</v>
      </c>
      <c r="BD56" s="2446">
        <f>(INDEX('Avoided Cost Benefits'!$C$4:$C$857,MATCH(BC56,'Avoided Cost Benefits'!$A$4:$A$857,0)))*F56</f>
        <v>26.647663342678445</v>
      </c>
      <c r="BE56" s="2447">
        <f t="shared" si="21"/>
        <v>1.8404907975460121</v>
      </c>
    </row>
    <row r="57" spans="1:57" s="1930" customFormat="1" x14ac:dyDescent="0.25">
      <c r="A57" s="123"/>
      <c r="B57" s="123"/>
      <c r="C57" s="2819" t="s">
        <v>4405</v>
      </c>
      <c r="D57" s="2734" t="s">
        <v>564</v>
      </c>
      <c r="E57" s="3232" t="s">
        <v>105</v>
      </c>
      <c r="F57" s="454">
        <f>ROUND((($G$76-$G$83)*$G$96*(1-$G$92)*$G$85*$G$88)/$G$87,2)</f>
        <v>26.15</v>
      </c>
      <c r="G57" s="469" t="s">
        <v>54</v>
      </c>
      <c r="H57" s="2721">
        <f>VLOOKUP(G57,'CP FACTORS'!$A$3:$B$38, 2, FALSE)</f>
        <v>1.4925290000000001E-4</v>
      </c>
      <c r="I57" s="2820">
        <f t="shared" ref="I57" si="22">ROUND(F57*H57,6)</f>
        <v>3.9029999999999998E-3</v>
      </c>
      <c r="J57" s="117">
        <f t="shared" si="15"/>
        <v>19</v>
      </c>
      <c r="K57" s="2821">
        <f t="shared" si="13"/>
        <v>1.95</v>
      </c>
      <c r="L57" s="2822" t="s">
        <v>185</v>
      </c>
      <c r="M57" s="452"/>
      <c r="N57" s="249"/>
      <c r="O57" s="249"/>
      <c r="P57" s="249"/>
      <c r="Q57" s="249"/>
      <c r="R57" s="1431"/>
      <c r="S57" s="123"/>
      <c r="T57" s="123"/>
      <c r="U57" s="123"/>
      <c r="V57" s="1958" t="s">
        <v>31</v>
      </c>
      <c r="W57" s="453"/>
      <c r="X57" s="141"/>
      <c r="Y57" s="448"/>
      <c r="Z57" s="550"/>
      <c r="AA57" s="550"/>
      <c r="AB57" s="454"/>
      <c r="AC57" s="454">
        <v>26.15</v>
      </c>
      <c r="AD57" s="160"/>
      <c r="AE57" s="160"/>
      <c r="AF57" s="160"/>
      <c r="AG57" s="160"/>
      <c r="AH57" s="163"/>
      <c r="BB57" s="2448">
        <f t="shared" ref="BB57" si="23">(BD57)/(BE57)</f>
        <v>8.323025765003278</v>
      </c>
      <c r="BC57" s="3384" t="str">
        <f t="shared" ref="BC57" si="24">CONCATENATE(G57," ",J57," Year EUL")</f>
        <v>Lighting RES 19 Year EUL</v>
      </c>
      <c r="BD57" s="2446">
        <f>(INDEX('Avoided Cost Benefits'!$C$4:$C$857,MATCH(BC57,'Avoided Cost Benefits'!$A$4:$A$857,0)))*F57</f>
        <v>15.31845232822689</v>
      </c>
      <c r="BE57" s="2447">
        <f t="shared" ref="BE57" si="25">K57/(1.0595^(2020-2019))</f>
        <v>1.8404907975460121</v>
      </c>
    </row>
    <row r="58" spans="1:57" hidden="1" outlineLevel="1" x14ac:dyDescent="0.25">
      <c r="F58" s="353"/>
      <c r="G58" s="1472"/>
      <c r="H58" s="353"/>
      <c r="K58" s="123" t="s">
        <v>565</v>
      </c>
      <c r="L58" s="353"/>
      <c r="M58" s="3220"/>
      <c r="AC58" s="1930"/>
      <c r="AD58" s="1930"/>
      <c r="AE58" s="1930"/>
      <c r="AF58" s="1930"/>
      <c r="AG58" s="1930"/>
      <c r="AH58" s="1930"/>
      <c r="AI58" s="1930"/>
      <c r="AJ58" s="1930"/>
      <c r="AK58" s="1930"/>
      <c r="AL58" s="1930"/>
      <c r="AM58" s="1930"/>
      <c r="AN58" s="1930"/>
      <c r="AO58" s="1930"/>
      <c r="AP58" s="1930"/>
      <c r="AQ58" s="1930"/>
      <c r="AR58" s="1930"/>
      <c r="AS58" s="1930"/>
      <c r="AT58" s="1930"/>
      <c r="AU58" s="1930"/>
      <c r="AV58" s="1930"/>
      <c r="AW58" s="1930"/>
      <c r="AX58" s="1930"/>
      <c r="AY58" s="1930"/>
      <c r="AZ58" s="1930"/>
      <c r="BA58" s="1930"/>
      <c r="BB58" s="1930"/>
      <c r="BC58" s="1930"/>
    </row>
    <row r="59" spans="1:57" hidden="1" outlineLevel="1" x14ac:dyDescent="0.25">
      <c r="D59" s="329" t="s">
        <v>108</v>
      </c>
      <c r="G59" s="353"/>
      <c r="H59" s="353"/>
      <c r="I59" s="353"/>
      <c r="J59" s="353"/>
      <c r="K59" s="353"/>
      <c r="L59" s="353"/>
      <c r="M59" s="3220"/>
      <c r="AC59" s="1930"/>
      <c r="AD59" s="1930"/>
      <c r="AE59" s="1930"/>
      <c r="AF59" s="1930"/>
      <c r="AG59" s="1930"/>
      <c r="AH59" s="1930"/>
      <c r="AI59" s="1930"/>
      <c r="AJ59" s="1930"/>
      <c r="AK59" s="1930"/>
      <c r="AL59" s="1930"/>
      <c r="AM59" s="1930"/>
      <c r="AN59" s="1930"/>
      <c r="AO59" s="1930"/>
      <c r="AP59" s="1930"/>
      <c r="AQ59" s="1930"/>
      <c r="AR59" s="1930"/>
      <c r="AS59" s="1930"/>
      <c r="AT59" s="1930"/>
      <c r="AU59" s="1930"/>
      <c r="AV59" s="1930"/>
      <c r="AW59" s="1930"/>
      <c r="AX59" s="1930"/>
      <c r="AY59" s="1930"/>
      <c r="AZ59" s="1930"/>
      <c r="BA59" s="1930"/>
      <c r="BB59" s="1930"/>
      <c r="BC59" s="1930"/>
    </row>
    <row r="60" spans="1:57" hidden="1" outlineLevel="1" x14ac:dyDescent="0.25">
      <c r="I60" s="353"/>
      <c r="J60" s="353"/>
      <c r="K60" s="353"/>
      <c r="M60" s="3220"/>
      <c r="AC60" s="1930"/>
      <c r="AD60" s="1930"/>
      <c r="AE60" s="1930"/>
      <c r="AF60" s="1930"/>
      <c r="AG60" s="1930"/>
      <c r="AH60" s="1930"/>
      <c r="AI60" s="1930"/>
      <c r="AJ60" s="1930"/>
      <c r="AK60" s="1930"/>
      <c r="AL60" s="1930"/>
      <c r="AM60" s="1930"/>
      <c r="AN60" s="1930"/>
      <c r="AO60" s="1930"/>
      <c r="AP60" s="1930"/>
      <c r="AQ60" s="1930"/>
      <c r="AR60" s="1930"/>
      <c r="AS60" s="1930"/>
      <c r="AT60" s="1930"/>
      <c r="AU60" s="1930"/>
      <c r="AV60" s="1930"/>
      <c r="AW60" s="1930"/>
      <c r="AX60" s="1930"/>
      <c r="AY60" s="1930"/>
      <c r="AZ60" s="1930"/>
      <c r="BA60" s="1930"/>
      <c r="BB60" s="1930"/>
      <c r="BC60" s="1930"/>
    </row>
    <row r="61" spans="1:57" hidden="1" outlineLevel="1" x14ac:dyDescent="0.25">
      <c r="I61" s="353"/>
      <c r="J61" s="353"/>
      <c r="K61" s="353"/>
      <c r="M61" s="3220"/>
      <c r="AC61" s="1930"/>
      <c r="AD61" s="1930"/>
      <c r="AE61" s="1930"/>
      <c r="AF61" s="1930"/>
      <c r="AG61" s="1930"/>
      <c r="AH61" s="1930"/>
      <c r="AI61" s="1930"/>
      <c r="AJ61" s="1930"/>
      <c r="AK61" s="1930"/>
      <c r="AL61" s="1930"/>
      <c r="AM61" s="1930"/>
      <c r="AN61" s="1930"/>
      <c r="AO61" s="1930"/>
      <c r="AP61" s="1930"/>
      <c r="AQ61" s="1930"/>
      <c r="AR61" s="1930"/>
      <c r="AS61" s="1930"/>
      <c r="AT61" s="1930"/>
      <c r="AU61" s="1930"/>
      <c r="AV61" s="1930"/>
      <c r="AW61" s="1930"/>
      <c r="AX61" s="1930"/>
      <c r="AY61" s="1930"/>
      <c r="AZ61" s="1930"/>
      <c r="BA61" s="1930"/>
      <c r="BB61" s="1930"/>
      <c r="BC61" s="1930"/>
    </row>
    <row r="62" spans="1:57" hidden="1" outlineLevel="1" x14ac:dyDescent="0.25">
      <c r="I62" s="353"/>
      <c r="J62" s="353"/>
      <c r="K62" s="353"/>
      <c r="M62" s="3220"/>
      <c r="AC62" s="1930"/>
      <c r="AD62" s="1930"/>
      <c r="AE62" s="1930"/>
      <c r="AF62" s="1930"/>
      <c r="AG62" s="1930"/>
      <c r="AH62" s="1930"/>
      <c r="AI62" s="1930"/>
      <c r="AJ62" s="1930"/>
      <c r="AK62" s="1930"/>
      <c r="AL62" s="1930"/>
      <c r="AM62" s="1930"/>
      <c r="AN62" s="1930"/>
      <c r="AO62" s="1930"/>
      <c r="AP62" s="1930"/>
      <c r="AQ62" s="1930"/>
      <c r="AR62" s="1930"/>
      <c r="AS62" s="1930"/>
      <c r="AT62" s="1930"/>
      <c r="AU62" s="1930"/>
      <c r="AV62" s="1930"/>
      <c r="AW62" s="1930"/>
      <c r="AX62" s="1930"/>
      <c r="AY62" s="1930"/>
      <c r="AZ62" s="1930"/>
      <c r="BA62" s="1930"/>
      <c r="BB62" s="1930"/>
      <c r="BC62" s="1930"/>
    </row>
    <row r="63" spans="1:57" hidden="1" outlineLevel="1" x14ac:dyDescent="0.25">
      <c r="E63" s="367"/>
      <c r="F63" s="223"/>
      <c r="M63" s="3220"/>
      <c r="AC63" s="1930"/>
      <c r="AD63" s="1930"/>
      <c r="AE63" s="1930"/>
      <c r="AF63" s="1930"/>
      <c r="AG63" s="1930"/>
      <c r="AH63" s="1930"/>
      <c r="AI63" s="1930"/>
      <c r="AJ63" s="1930"/>
      <c r="AK63" s="1930"/>
      <c r="AL63" s="1930"/>
      <c r="AM63" s="1930"/>
      <c r="AN63" s="1930"/>
      <c r="AO63" s="1930"/>
      <c r="AP63" s="1930"/>
      <c r="AQ63" s="1930"/>
      <c r="AR63" s="1930"/>
      <c r="AS63" s="1930"/>
      <c r="AT63" s="1930"/>
      <c r="AU63" s="1930"/>
      <c r="AV63" s="1930"/>
      <c r="AW63" s="1930"/>
      <c r="AX63" s="1930"/>
      <c r="AY63" s="1930"/>
      <c r="AZ63" s="1930"/>
      <c r="BA63" s="1930"/>
      <c r="BB63" s="1930"/>
      <c r="BC63" s="1930"/>
    </row>
    <row r="64" spans="1:57" hidden="1" outlineLevel="1" x14ac:dyDescent="0.25">
      <c r="M64" s="3220"/>
      <c r="AC64" s="1930"/>
      <c r="AD64" s="1930"/>
      <c r="AE64" s="1930"/>
      <c r="AF64" s="1930"/>
      <c r="AG64" s="1930"/>
      <c r="AH64" s="1930"/>
      <c r="AI64" s="1930"/>
      <c r="AJ64" s="1930"/>
      <c r="AK64" s="1930"/>
      <c r="AL64" s="1930"/>
      <c r="AM64" s="1930"/>
      <c r="AN64" s="1930"/>
      <c r="AO64" s="1930"/>
      <c r="AP64" s="1930"/>
      <c r="AQ64" s="1930"/>
      <c r="AR64" s="1930"/>
      <c r="AS64" s="1930"/>
      <c r="AT64" s="1930"/>
      <c r="AU64" s="1930"/>
      <c r="AV64" s="1930"/>
      <c r="AW64" s="1930"/>
      <c r="AX64" s="1930"/>
      <c r="AY64" s="1930"/>
      <c r="AZ64" s="1930"/>
      <c r="BA64" s="1930"/>
      <c r="BB64" s="1930"/>
      <c r="BC64" s="1930"/>
    </row>
    <row r="65" spans="1:57" hidden="1" outlineLevel="1" x14ac:dyDescent="0.25">
      <c r="M65" s="3220"/>
      <c r="AC65" s="1930"/>
      <c r="AD65" s="1930"/>
      <c r="AE65" s="1930"/>
      <c r="AF65" s="1930"/>
      <c r="AG65" s="1930"/>
      <c r="AH65" s="1930"/>
      <c r="AI65" s="1930"/>
      <c r="AJ65" s="1930"/>
      <c r="AK65" s="1930"/>
      <c r="AL65" s="1930"/>
      <c r="AM65" s="1930"/>
      <c r="AN65" s="1930"/>
      <c r="AO65" s="1930"/>
      <c r="AP65" s="1930"/>
      <c r="AQ65" s="1930"/>
      <c r="AR65" s="1930"/>
      <c r="AS65" s="1930"/>
      <c r="AT65" s="1930"/>
      <c r="AU65" s="1930"/>
      <c r="AV65" s="1930"/>
      <c r="AW65" s="1930"/>
      <c r="AX65" s="1930"/>
      <c r="AY65" s="1930"/>
      <c r="AZ65" s="1930"/>
      <c r="BA65" s="1930"/>
      <c r="BB65" s="1930"/>
      <c r="BC65" s="1930"/>
    </row>
    <row r="66" spans="1:57" hidden="1" outlineLevel="1" x14ac:dyDescent="0.25">
      <c r="M66" s="3220"/>
      <c r="AC66" s="1930"/>
      <c r="AD66" s="1930"/>
      <c r="AE66" s="1930"/>
      <c r="AF66" s="1930"/>
      <c r="AG66" s="1930"/>
      <c r="AH66" s="1930"/>
      <c r="AI66" s="1930"/>
      <c r="AJ66" s="1930"/>
      <c r="AK66" s="1930"/>
      <c r="AL66" s="1930"/>
      <c r="AM66" s="1930"/>
      <c r="AN66" s="1930"/>
      <c r="AO66" s="1930"/>
      <c r="AP66" s="1930"/>
      <c r="AQ66" s="1930"/>
      <c r="AR66" s="1930"/>
      <c r="AS66" s="1930"/>
      <c r="AT66" s="1930"/>
      <c r="AU66" s="1930"/>
      <c r="AV66" s="1930"/>
      <c r="AW66" s="1930"/>
      <c r="AX66" s="1930"/>
      <c r="AY66" s="1930"/>
      <c r="AZ66" s="1930"/>
      <c r="BA66" s="1930"/>
      <c r="BB66" s="1930"/>
      <c r="BC66" s="1930"/>
    </row>
    <row r="67" spans="1:57" hidden="1" outlineLevel="1" x14ac:dyDescent="0.25">
      <c r="M67" s="123"/>
      <c r="AC67" s="1930"/>
      <c r="AD67" s="1930"/>
      <c r="AE67" s="1930"/>
      <c r="AF67" s="1930"/>
      <c r="AG67" s="1930"/>
      <c r="AH67" s="1930"/>
      <c r="AI67" s="1930"/>
      <c r="AJ67" s="1930"/>
      <c r="AK67" s="1930"/>
      <c r="AL67" s="1930"/>
      <c r="AM67" s="1930"/>
      <c r="AN67" s="1930"/>
      <c r="AO67" s="1930"/>
      <c r="AP67" s="1930"/>
      <c r="AQ67" s="1930"/>
      <c r="AR67" s="1930"/>
      <c r="AS67" s="1930"/>
      <c r="AT67" s="1930"/>
      <c r="AU67" s="1930"/>
      <c r="AV67" s="1930"/>
      <c r="AW67" s="1930"/>
      <c r="AX67" s="1930"/>
      <c r="AY67" s="1930"/>
      <c r="AZ67" s="1930"/>
      <c r="BA67" s="1930"/>
      <c r="BB67" s="1930"/>
      <c r="BC67" s="1930"/>
    </row>
    <row r="68" spans="1:57" hidden="1" outlineLevel="1" x14ac:dyDescent="0.25">
      <c r="M68" s="123"/>
      <c r="AC68" s="1930"/>
      <c r="AD68" s="1930"/>
      <c r="AE68" s="1930"/>
      <c r="AF68" s="1930"/>
      <c r="AG68" s="1930"/>
      <c r="AH68" s="1930"/>
      <c r="AI68" s="1930"/>
      <c r="AJ68" s="1930"/>
      <c r="AK68" s="1930"/>
      <c r="AL68" s="1930"/>
      <c r="AM68" s="1930"/>
      <c r="AN68" s="1930"/>
      <c r="AO68" s="1930"/>
      <c r="AP68" s="1930"/>
      <c r="AQ68" s="1930"/>
      <c r="AR68" s="1930"/>
      <c r="AS68" s="1930"/>
      <c r="AT68" s="1930"/>
      <c r="AU68" s="1930"/>
      <c r="AV68" s="1930"/>
      <c r="AW68" s="1930"/>
      <c r="AX68" s="1930"/>
      <c r="AY68" s="1930"/>
      <c r="AZ68" s="1930"/>
      <c r="BA68" s="1930"/>
      <c r="BB68" s="1930"/>
      <c r="BC68" s="1930"/>
    </row>
    <row r="69" spans="1:57" hidden="1" outlineLevel="1" x14ac:dyDescent="0.25">
      <c r="D69" s="359" t="s">
        <v>109</v>
      </c>
      <c r="E69" s="2417" t="s">
        <v>110</v>
      </c>
      <c r="F69" s="359" t="s">
        <v>566</v>
      </c>
      <c r="G69" s="347" t="s">
        <v>112</v>
      </c>
      <c r="H69" s="347" t="s">
        <v>187</v>
      </c>
      <c r="I69" s="347" t="s">
        <v>113</v>
      </c>
      <c r="M69" s="123"/>
      <c r="V69" s="551" t="s">
        <v>45</v>
      </c>
      <c r="W69" s="360">
        <f>$W$6</f>
        <v>43252</v>
      </c>
      <c r="X69" s="360">
        <f>$X$6</f>
        <v>43465</v>
      </c>
      <c r="Y69" s="360">
        <f>$Y$6</f>
        <v>43800</v>
      </c>
      <c r="Z69" s="360">
        <f>$Z$6</f>
        <v>43862</v>
      </c>
      <c r="AA69" s="360">
        <f>$AA$6</f>
        <v>44013</v>
      </c>
      <c r="AB69" s="360">
        <f>$AB$6</f>
        <v>44166</v>
      </c>
      <c r="AC69" s="1937">
        <f>$AC$6</f>
        <v>44531</v>
      </c>
      <c r="AD69" s="1937" t="str">
        <f>$AD$6</f>
        <v>-</v>
      </c>
      <c r="AE69" s="1937" t="str">
        <f>$AE$6</f>
        <v>-</v>
      </c>
      <c r="AF69" s="1937" t="str">
        <f>$AF$6</f>
        <v>-</v>
      </c>
      <c r="AG69" s="1937" t="str">
        <f>$AG$6</f>
        <v>-</v>
      </c>
      <c r="AH69" s="123"/>
      <c r="AI69" s="1930"/>
      <c r="AJ69" s="1930"/>
      <c r="AK69" s="1930"/>
      <c r="AL69" s="1930"/>
      <c r="AM69" s="1930"/>
      <c r="AN69" s="1930"/>
      <c r="AO69" s="1930"/>
      <c r="AP69" s="1930"/>
      <c r="AQ69" s="1930"/>
      <c r="AR69" s="1930"/>
      <c r="AS69" s="1930"/>
      <c r="AT69" s="1930"/>
      <c r="AU69" s="1930"/>
      <c r="AV69" s="1930"/>
      <c r="AW69" s="1930"/>
      <c r="AX69" s="1930"/>
      <c r="AY69" s="1930"/>
      <c r="AZ69" s="1930"/>
      <c r="BA69" s="1930"/>
      <c r="BB69" s="1930"/>
      <c r="BC69" s="1930"/>
    </row>
    <row r="70" spans="1:57" ht="15" hidden="1" customHeight="1" outlineLevel="1" x14ac:dyDescent="0.25">
      <c r="D70" s="3862" t="s">
        <v>567</v>
      </c>
      <c r="E70" s="3862" t="s">
        <v>568</v>
      </c>
      <c r="F70" s="3125" t="str">
        <f>'Lighting Deemed Table'!F46</f>
        <v>LED - 10W (CFL baseline) (750-1049 lumens)</v>
      </c>
      <c r="G70" s="458">
        <v>13.4</v>
      </c>
      <c r="H70" s="3125"/>
      <c r="I70" s="3125"/>
      <c r="M70" s="123"/>
      <c r="V70" s="3863" t="s">
        <v>567</v>
      </c>
      <c r="W70" s="459">
        <v>13.4</v>
      </c>
      <c r="X70" s="458">
        <v>13.4</v>
      </c>
      <c r="Y70" s="458">
        <v>13.4</v>
      </c>
      <c r="Z70" s="458">
        <v>13.4</v>
      </c>
      <c r="AA70" s="458">
        <v>13.4</v>
      </c>
      <c r="AB70" s="458">
        <v>13.4</v>
      </c>
      <c r="AC70" s="458">
        <v>13.4</v>
      </c>
      <c r="AD70" s="459"/>
      <c r="AE70" s="459"/>
      <c r="AF70" s="459"/>
      <c r="AG70" s="459"/>
      <c r="AH70" s="1930"/>
      <c r="AI70" s="1930"/>
      <c r="AJ70" s="1930"/>
      <c r="AK70" s="1930"/>
      <c r="AL70" s="1930"/>
      <c r="AM70" s="1930"/>
      <c r="AN70" s="1930"/>
      <c r="AO70" s="1930"/>
      <c r="AP70" s="1930"/>
      <c r="AQ70" s="1930"/>
      <c r="AR70" s="1930"/>
      <c r="AS70" s="1930"/>
      <c r="AT70" s="1930"/>
      <c r="AU70" s="1930"/>
      <c r="AV70" s="1930"/>
      <c r="AW70" s="1930"/>
      <c r="AX70" s="1930"/>
      <c r="AY70" s="1930"/>
      <c r="AZ70" s="1930"/>
      <c r="BA70" s="1930"/>
      <c r="BB70" s="1930"/>
      <c r="BC70" s="1930"/>
    </row>
    <row r="71" spans="1:57" ht="60" hidden="1" outlineLevel="1" x14ac:dyDescent="0.25">
      <c r="D71" s="3860"/>
      <c r="E71" s="3860"/>
      <c r="F71" s="3125" t="str">
        <f>'Lighting Deemed Table'!F47</f>
        <v>LED - 10W (Halogen baseline) (750-1049 lumens)</v>
      </c>
      <c r="G71" s="458">
        <v>43</v>
      </c>
      <c r="H71" s="3089" t="s">
        <v>569</v>
      </c>
      <c r="I71" s="3089"/>
      <c r="M71" s="123"/>
      <c r="V71" s="3705"/>
      <c r="W71" s="459">
        <v>39.5</v>
      </c>
      <c r="X71" s="460">
        <v>43</v>
      </c>
      <c r="Y71" s="458">
        <v>43</v>
      </c>
      <c r="Z71" s="458">
        <v>43</v>
      </c>
      <c r="AA71" s="458">
        <v>43</v>
      </c>
      <c r="AB71" s="458">
        <v>43</v>
      </c>
      <c r="AC71" s="458">
        <v>43</v>
      </c>
      <c r="AD71" s="459"/>
      <c r="AE71" s="459"/>
      <c r="AF71" s="459"/>
      <c r="AG71" s="459"/>
      <c r="AH71" s="1930"/>
      <c r="AI71" s="1930"/>
      <c r="AJ71" s="1930"/>
      <c r="AK71" s="1930"/>
      <c r="AL71" s="1930"/>
      <c r="AM71" s="1930"/>
      <c r="AN71" s="1930"/>
      <c r="AO71" s="1930"/>
      <c r="AP71" s="1930"/>
      <c r="AQ71" s="1930"/>
      <c r="AR71" s="1930"/>
      <c r="AS71" s="1930"/>
      <c r="AT71" s="1930"/>
      <c r="AU71" s="1930"/>
      <c r="AV71" s="1930"/>
      <c r="AW71" s="1930"/>
      <c r="AX71" s="1930"/>
      <c r="AY71" s="1930"/>
      <c r="AZ71" s="1930"/>
      <c r="BA71" s="1930"/>
      <c r="BB71" s="1930"/>
      <c r="BC71" s="1930"/>
    </row>
    <row r="72" spans="1:57" ht="45" hidden="1" outlineLevel="1" x14ac:dyDescent="0.25">
      <c r="D72" s="3860"/>
      <c r="E72" s="3860"/>
      <c r="F72" s="3125" t="s">
        <v>53</v>
      </c>
      <c r="G72" s="458">
        <v>21</v>
      </c>
      <c r="H72" s="3089"/>
      <c r="I72" s="3089" t="s">
        <v>570</v>
      </c>
      <c r="M72" s="123"/>
      <c r="V72" s="3705"/>
      <c r="W72" s="459">
        <v>43</v>
      </c>
      <c r="X72" s="459">
        <v>43</v>
      </c>
      <c r="Y72" s="459">
        <v>43</v>
      </c>
      <c r="Z72" s="459">
        <v>43</v>
      </c>
      <c r="AA72" s="459">
        <v>43</v>
      </c>
      <c r="AB72" s="458">
        <v>43</v>
      </c>
      <c r="AC72" s="458">
        <v>21</v>
      </c>
      <c r="AD72" s="459"/>
      <c r="AE72" s="459"/>
      <c r="AF72" s="459"/>
      <c r="AG72" s="459"/>
      <c r="AH72" s="1930"/>
      <c r="AI72" s="1930"/>
      <c r="AJ72" s="1930"/>
      <c r="AK72" s="1930"/>
      <c r="AL72" s="1930"/>
      <c r="AM72" s="1930"/>
      <c r="AN72" s="1930"/>
      <c r="AO72" s="1930"/>
      <c r="AP72" s="1930"/>
      <c r="AQ72" s="1930"/>
      <c r="AR72" s="1930"/>
      <c r="AS72" s="1930"/>
      <c r="AT72" s="1930"/>
      <c r="AU72" s="1930"/>
      <c r="AV72" s="1930"/>
      <c r="AW72" s="1930"/>
      <c r="AX72" s="1930"/>
      <c r="AY72" s="1930"/>
      <c r="AZ72" s="1930"/>
      <c r="BA72" s="1930"/>
      <c r="BB72" s="1930"/>
      <c r="BC72" s="1930"/>
    </row>
    <row r="73" spans="1:57" s="1930" customFormat="1" ht="45" hidden="1" outlineLevel="1" x14ac:dyDescent="0.25">
      <c r="A73" s="123"/>
      <c r="B73" s="123"/>
      <c r="C73" s="329"/>
      <c r="D73" s="3860"/>
      <c r="E73" s="3860"/>
      <c r="F73" s="3125" t="s">
        <v>571</v>
      </c>
      <c r="G73" s="458">
        <v>41.4</v>
      </c>
      <c r="H73" s="3089" t="s">
        <v>572</v>
      </c>
      <c r="I73" s="3089" t="s">
        <v>570</v>
      </c>
      <c r="J73" s="123"/>
      <c r="K73" s="1473"/>
      <c r="L73" s="1473"/>
      <c r="M73" s="123"/>
      <c r="N73" s="3220"/>
      <c r="O73" s="123"/>
      <c r="P73" s="123"/>
      <c r="Q73" s="123"/>
      <c r="R73" s="123"/>
      <c r="S73" s="123"/>
      <c r="T73" s="123"/>
      <c r="U73" s="123"/>
      <c r="V73" s="3705"/>
      <c r="W73" s="459"/>
      <c r="X73" s="459"/>
      <c r="Y73" s="459"/>
      <c r="Z73" s="459"/>
      <c r="AA73" s="459"/>
      <c r="AB73" s="460">
        <v>41.4</v>
      </c>
      <c r="AC73" s="458">
        <v>41.4</v>
      </c>
      <c r="AD73" s="459"/>
      <c r="AE73" s="459"/>
      <c r="AF73" s="459"/>
      <c r="AG73" s="459"/>
      <c r="BD73" s="1"/>
      <c r="BE73" s="1"/>
    </row>
    <row r="74" spans="1:57" s="1930" customFormat="1" ht="45" hidden="1" outlineLevel="1" x14ac:dyDescent="0.25">
      <c r="A74" s="123"/>
      <c r="B74" s="123"/>
      <c r="C74" s="329"/>
      <c r="D74" s="3860"/>
      <c r="E74" s="3860"/>
      <c r="F74" s="3125" t="s">
        <v>573</v>
      </c>
      <c r="G74" s="458">
        <v>72</v>
      </c>
      <c r="H74" s="3089" t="s">
        <v>572</v>
      </c>
      <c r="I74" s="3089" t="s">
        <v>570</v>
      </c>
      <c r="J74" s="123"/>
      <c r="K74" s="1473"/>
      <c r="L74" s="1473"/>
      <c r="M74" s="123"/>
      <c r="N74" s="3220"/>
      <c r="O74" s="123"/>
      <c r="P74" s="123"/>
      <c r="Q74" s="123"/>
      <c r="R74" s="123"/>
      <c r="S74" s="123"/>
      <c r="T74" s="123"/>
      <c r="U74" s="123"/>
      <c r="V74" s="3705"/>
      <c r="W74" s="459"/>
      <c r="X74" s="459"/>
      <c r="Y74" s="459"/>
      <c r="Z74" s="459"/>
      <c r="AA74" s="459"/>
      <c r="AB74" s="460">
        <v>72</v>
      </c>
      <c r="AC74" s="458">
        <v>72</v>
      </c>
      <c r="AD74" s="459"/>
      <c r="AE74" s="459"/>
      <c r="AF74" s="459"/>
      <c r="AG74" s="459"/>
      <c r="BD74" s="1"/>
      <c r="BE74" s="1"/>
    </row>
    <row r="75" spans="1:57" s="1930" customFormat="1" ht="45" hidden="1" outlineLevel="1" x14ac:dyDescent="0.25">
      <c r="A75" s="123"/>
      <c r="B75" s="123"/>
      <c r="C75" s="329"/>
      <c r="D75" s="3860"/>
      <c r="E75" s="3860"/>
      <c r="F75" s="3125" t="s">
        <v>574</v>
      </c>
      <c r="G75" s="458">
        <v>61.3</v>
      </c>
      <c r="H75" s="3089" t="s">
        <v>572</v>
      </c>
      <c r="I75" s="3089" t="s">
        <v>570</v>
      </c>
      <c r="J75" s="123"/>
      <c r="K75" s="1473"/>
      <c r="L75" s="1473"/>
      <c r="M75" s="123"/>
      <c r="N75" s="3220"/>
      <c r="O75" s="123"/>
      <c r="P75" s="123"/>
      <c r="Q75" s="123"/>
      <c r="R75" s="123"/>
      <c r="S75" s="123"/>
      <c r="T75" s="123"/>
      <c r="U75" s="123"/>
      <c r="V75" s="3705"/>
      <c r="W75" s="459"/>
      <c r="X75" s="459"/>
      <c r="Y75" s="459"/>
      <c r="Z75" s="459"/>
      <c r="AA75" s="459"/>
      <c r="AB75" s="460">
        <v>61.3</v>
      </c>
      <c r="AC75" s="458">
        <v>61.3</v>
      </c>
      <c r="AD75" s="459"/>
      <c r="AE75" s="459"/>
      <c r="AF75" s="459"/>
      <c r="AG75" s="459"/>
      <c r="BD75" s="1"/>
      <c r="BE75" s="1"/>
    </row>
    <row r="76" spans="1:57" s="1930" customFormat="1" ht="15.75" hidden="1" outlineLevel="1" thickBot="1" x14ac:dyDescent="0.3">
      <c r="A76" s="123"/>
      <c r="B76" s="123"/>
      <c r="C76" s="329"/>
      <c r="D76" s="3861"/>
      <c r="E76" s="3861"/>
      <c r="F76" s="2826" t="s">
        <v>105</v>
      </c>
      <c r="G76" s="2824">
        <v>7</v>
      </c>
      <c r="H76" s="2827" t="s">
        <v>128</v>
      </c>
      <c r="I76" s="2827"/>
      <c r="J76" s="123"/>
      <c r="K76" s="1473"/>
      <c r="L76" s="1473"/>
      <c r="M76" s="123"/>
      <c r="N76" s="3220"/>
      <c r="O76" s="123"/>
      <c r="P76" s="123"/>
      <c r="Q76" s="123"/>
      <c r="R76" s="123"/>
      <c r="S76" s="123"/>
      <c r="T76" s="123"/>
      <c r="U76" s="123"/>
      <c r="V76" s="3706"/>
      <c r="W76" s="2823"/>
      <c r="X76" s="2823"/>
      <c r="Y76" s="2823"/>
      <c r="Z76" s="2823"/>
      <c r="AA76" s="2823"/>
      <c r="AB76" s="2824"/>
      <c r="AC76" s="2824">
        <v>7</v>
      </c>
      <c r="AD76" s="2823"/>
      <c r="AE76" s="2823"/>
      <c r="AF76" s="2823"/>
      <c r="AG76" s="2823"/>
      <c r="BD76" s="1"/>
      <c r="BE76" s="1"/>
    </row>
    <row r="77" spans="1:57" ht="14.45" hidden="1" customHeight="1" outlineLevel="1" x14ac:dyDescent="0.25">
      <c r="D77" s="3859" t="s">
        <v>575</v>
      </c>
      <c r="E77" s="3859" t="s">
        <v>576</v>
      </c>
      <c r="F77" s="2183" t="s">
        <v>577</v>
      </c>
      <c r="G77" s="2184">
        <v>9</v>
      </c>
      <c r="H77" s="3088"/>
      <c r="I77" s="3088"/>
      <c r="K77" s="1473"/>
      <c r="L77" s="1473"/>
      <c r="M77" s="123"/>
      <c r="N77" s="3220"/>
      <c r="V77" s="3704" t="s">
        <v>575</v>
      </c>
      <c r="W77" s="2190">
        <v>9</v>
      </c>
      <c r="X77" s="2184">
        <v>9</v>
      </c>
      <c r="Y77" s="2184">
        <v>9</v>
      </c>
      <c r="Z77" s="2184">
        <v>9</v>
      </c>
      <c r="AA77" s="2184">
        <v>9</v>
      </c>
      <c r="AB77" s="2184">
        <v>9</v>
      </c>
      <c r="AC77" s="2184">
        <v>9</v>
      </c>
      <c r="AD77" s="2191"/>
      <c r="AE77" s="2191"/>
      <c r="AF77" s="2191"/>
      <c r="AG77" s="2191"/>
      <c r="AH77" s="1930"/>
      <c r="AI77" s="1930"/>
      <c r="AJ77" s="1930"/>
      <c r="AK77" s="1930"/>
      <c r="AL77" s="1930"/>
      <c r="AM77" s="1930"/>
      <c r="AN77" s="1930"/>
      <c r="AO77" s="1930"/>
      <c r="AP77" s="1930"/>
      <c r="AQ77" s="1930"/>
      <c r="AR77" s="1930"/>
      <c r="AS77" s="1930"/>
      <c r="AT77" s="1930"/>
      <c r="AU77" s="1930"/>
      <c r="AV77" s="1930"/>
      <c r="AW77" s="1930"/>
      <c r="AX77" s="1930"/>
      <c r="AY77" s="1930"/>
      <c r="AZ77" s="1930"/>
      <c r="BA77" s="1930"/>
      <c r="BB77" s="1930"/>
      <c r="BC77" s="1930"/>
    </row>
    <row r="78" spans="1:57" hidden="1" outlineLevel="1" x14ac:dyDescent="0.25">
      <c r="D78" s="3860"/>
      <c r="E78" s="3860"/>
      <c r="F78" s="3125" t="s">
        <v>578</v>
      </c>
      <c r="G78" s="458">
        <v>9</v>
      </c>
      <c r="H78" s="3089"/>
      <c r="I78" s="3089"/>
      <c r="K78" s="1473"/>
      <c r="L78" s="1473"/>
      <c r="M78" s="123"/>
      <c r="N78" s="3220"/>
      <c r="V78" s="3705"/>
      <c r="W78" s="461">
        <v>9</v>
      </c>
      <c r="X78" s="458">
        <v>9</v>
      </c>
      <c r="Y78" s="458">
        <v>9</v>
      </c>
      <c r="Z78" s="458">
        <v>9</v>
      </c>
      <c r="AA78" s="458">
        <v>9</v>
      </c>
      <c r="AB78" s="458">
        <v>9</v>
      </c>
      <c r="AC78" s="458">
        <v>9</v>
      </c>
      <c r="AD78" s="459"/>
      <c r="AE78" s="459"/>
      <c r="AF78" s="459"/>
      <c r="AG78" s="459"/>
      <c r="AH78" s="1930"/>
      <c r="AI78" s="1930"/>
      <c r="AJ78" s="1930"/>
      <c r="AK78" s="1930"/>
      <c r="AL78" s="1930"/>
      <c r="AM78" s="1930"/>
      <c r="AN78" s="1930"/>
      <c r="AO78" s="1930"/>
      <c r="AP78" s="1930"/>
      <c r="AQ78" s="1930"/>
      <c r="AR78" s="1930"/>
      <c r="AS78" s="1930"/>
      <c r="AT78" s="1930"/>
      <c r="AU78" s="1930"/>
      <c r="AV78" s="1930"/>
      <c r="AW78" s="1930"/>
      <c r="AX78" s="1930"/>
      <c r="AY78" s="1930"/>
      <c r="AZ78" s="1930"/>
      <c r="BA78" s="1930"/>
      <c r="BB78" s="1930"/>
      <c r="BC78" s="1930"/>
    </row>
    <row r="79" spans="1:57" ht="30" hidden="1" outlineLevel="1" x14ac:dyDescent="0.25">
      <c r="D79" s="3860"/>
      <c r="E79" s="3860"/>
      <c r="F79" s="3125" t="s">
        <v>53</v>
      </c>
      <c r="G79" s="458">
        <v>9</v>
      </c>
      <c r="H79" s="3089" t="s">
        <v>579</v>
      </c>
      <c r="I79" s="3089"/>
      <c r="K79" s="1474"/>
      <c r="L79" s="1474"/>
      <c r="M79" s="123"/>
      <c r="N79" s="3220"/>
      <c r="V79" s="3705"/>
      <c r="W79" s="459">
        <v>9</v>
      </c>
      <c r="X79" s="459">
        <v>9</v>
      </c>
      <c r="Y79" s="459">
        <v>9</v>
      </c>
      <c r="Z79" s="459">
        <v>9</v>
      </c>
      <c r="AA79" s="459">
        <v>9</v>
      </c>
      <c r="AB79" s="458">
        <v>9</v>
      </c>
      <c r="AC79" s="458">
        <v>9</v>
      </c>
      <c r="AD79" s="459"/>
      <c r="AE79" s="459"/>
      <c r="AF79" s="459"/>
      <c r="AG79" s="459"/>
      <c r="AH79" s="1930"/>
      <c r="AI79" s="1930"/>
      <c r="AJ79" s="1930"/>
      <c r="AK79" s="1930"/>
      <c r="AL79" s="1930"/>
      <c r="AM79" s="1930"/>
      <c r="AN79" s="1930"/>
      <c r="AO79" s="1930"/>
      <c r="AP79" s="1930"/>
      <c r="AQ79" s="1930"/>
      <c r="AR79" s="1930"/>
      <c r="AS79" s="1930"/>
      <c r="AT79" s="1930"/>
      <c r="AU79" s="1930"/>
      <c r="AV79" s="1930"/>
      <c r="AW79" s="1930"/>
      <c r="AX79" s="1930"/>
      <c r="AY79" s="1930"/>
      <c r="AZ79" s="1930"/>
      <c r="BA79" s="1930"/>
      <c r="BB79" s="1930"/>
      <c r="BC79" s="1930"/>
    </row>
    <row r="80" spans="1:57" s="1930" customFormat="1" ht="45" hidden="1" outlineLevel="1" x14ac:dyDescent="0.25">
      <c r="A80" s="123"/>
      <c r="B80" s="123"/>
      <c r="C80" s="329"/>
      <c r="D80" s="3860"/>
      <c r="E80" s="3860"/>
      <c r="F80" s="3125" t="s">
        <v>559</v>
      </c>
      <c r="G80" s="458">
        <v>5.2</v>
      </c>
      <c r="H80" s="3089" t="s">
        <v>572</v>
      </c>
      <c r="I80" s="3089" t="s">
        <v>570</v>
      </c>
      <c r="J80" s="123"/>
      <c r="K80" s="1474"/>
      <c r="L80" s="1474"/>
      <c r="M80" s="123"/>
      <c r="N80" s="3220"/>
      <c r="O80" s="123"/>
      <c r="P80" s="123"/>
      <c r="Q80" s="123"/>
      <c r="R80" s="123"/>
      <c r="S80" s="123"/>
      <c r="T80" s="123"/>
      <c r="U80" s="123"/>
      <c r="V80" s="3705"/>
      <c r="W80" s="459"/>
      <c r="X80" s="459"/>
      <c r="Y80" s="459"/>
      <c r="Z80" s="459"/>
      <c r="AA80" s="459"/>
      <c r="AB80" s="460">
        <v>5.2</v>
      </c>
      <c r="AC80" s="458">
        <v>5.2</v>
      </c>
      <c r="AD80" s="459"/>
      <c r="AE80" s="459"/>
      <c r="AF80" s="459"/>
      <c r="AG80" s="459"/>
      <c r="BD80" s="1"/>
      <c r="BE80" s="1"/>
    </row>
    <row r="81" spans="1:57" s="1930" customFormat="1" ht="45" hidden="1" outlineLevel="1" x14ac:dyDescent="0.25">
      <c r="A81" s="123"/>
      <c r="B81" s="123"/>
      <c r="C81" s="329"/>
      <c r="D81" s="3860"/>
      <c r="E81" s="3860"/>
      <c r="F81" s="3125" t="s">
        <v>561</v>
      </c>
      <c r="G81" s="458">
        <v>15.2</v>
      </c>
      <c r="H81" s="3089" t="s">
        <v>572</v>
      </c>
      <c r="I81" s="3089" t="s">
        <v>570</v>
      </c>
      <c r="J81" s="123"/>
      <c r="K81" s="1474"/>
      <c r="L81" s="1474"/>
      <c r="M81" s="123"/>
      <c r="N81" s="3220"/>
      <c r="O81" s="123"/>
      <c r="P81" s="123"/>
      <c r="Q81" s="123"/>
      <c r="R81" s="123"/>
      <c r="S81" s="123"/>
      <c r="T81" s="123"/>
      <c r="U81" s="123"/>
      <c r="V81" s="3705"/>
      <c r="W81" s="459"/>
      <c r="X81" s="459"/>
      <c r="Y81" s="459"/>
      <c r="Z81" s="459"/>
      <c r="AA81" s="459"/>
      <c r="AB81" s="460">
        <v>15.2</v>
      </c>
      <c r="AC81" s="458">
        <v>15.2</v>
      </c>
      <c r="AD81" s="459"/>
      <c r="AE81" s="459"/>
      <c r="AF81" s="459"/>
      <c r="AG81" s="459"/>
      <c r="BD81" s="1"/>
      <c r="BE81" s="1"/>
    </row>
    <row r="82" spans="1:57" s="1930" customFormat="1" ht="45" hidden="1" outlineLevel="1" x14ac:dyDescent="0.25">
      <c r="A82" s="123"/>
      <c r="B82" s="123"/>
      <c r="C82" s="329"/>
      <c r="D82" s="3860"/>
      <c r="E82" s="3860"/>
      <c r="F82" s="3125" t="s">
        <v>563</v>
      </c>
      <c r="G82" s="458">
        <v>10</v>
      </c>
      <c r="H82" s="3089" t="s">
        <v>572</v>
      </c>
      <c r="I82" s="3089" t="s">
        <v>570</v>
      </c>
      <c r="J82" s="123"/>
      <c r="K82" s="1474"/>
      <c r="L82" s="1474"/>
      <c r="M82" s="123"/>
      <c r="N82" s="3220"/>
      <c r="O82" s="123"/>
      <c r="P82" s="123"/>
      <c r="Q82" s="123"/>
      <c r="R82" s="123"/>
      <c r="S82" s="123"/>
      <c r="T82" s="123"/>
      <c r="U82" s="123"/>
      <c r="V82" s="3705"/>
      <c r="W82" s="459"/>
      <c r="X82" s="459"/>
      <c r="Y82" s="459"/>
      <c r="Z82" s="459"/>
      <c r="AA82" s="459"/>
      <c r="AB82" s="460">
        <v>10</v>
      </c>
      <c r="AC82" s="458">
        <v>10</v>
      </c>
      <c r="AD82" s="459"/>
      <c r="AE82" s="459"/>
      <c r="AF82" s="459"/>
      <c r="AG82" s="459"/>
      <c r="BD82" s="1"/>
      <c r="BE82" s="1"/>
    </row>
    <row r="83" spans="1:57" s="1930" customFormat="1" ht="15.75" hidden="1" outlineLevel="1" thickBot="1" x14ac:dyDescent="0.3">
      <c r="A83" s="123"/>
      <c r="B83" s="123"/>
      <c r="C83" s="329"/>
      <c r="D83" s="3861"/>
      <c r="E83" s="3861"/>
      <c r="F83" s="2825" t="s">
        <v>105</v>
      </c>
      <c r="G83" s="2828">
        <v>0.3</v>
      </c>
      <c r="H83" s="2829" t="s">
        <v>580</v>
      </c>
      <c r="I83" s="2829"/>
      <c r="J83" s="123"/>
      <c r="K83" s="1474"/>
      <c r="L83" s="1474"/>
      <c r="M83" s="123"/>
      <c r="N83" s="3220"/>
      <c r="O83" s="123"/>
      <c r="P83" s="123"/>
      <c r="Q83" s="123"/>
      <c r="R83" s="123"/>
      <c r="S83" s="123"/>
      <c r="T83" s="123"/>
      <c r="U83" s="123"/>
      <c r="V83" s="3706"/>
      <c r="W83" s="2830"/>
      <c r="X83" s="2830"/>
      <c r="Y83" s="2830"/>
      <c r="Z83" s="2830"/>
      <c r="AA83" s="2830"/>
      <c r="AB83" s="2828"/>
      <c r="AC83" s="2828">
        <v>0.3</v>
      </c>
      <c r="AD83" s="2830"/>
      <c r="AE83" s="2830"/>
      <c r="AF83" s="2830"/>
      <c r="AG83" s="2830"/>
      <c r="BD83" s="1"/>
      <c r="BE83" s="1"/>
    </row>
    <row r="84" spans="1:57" ht="15.6" hidden="1" customHeight="1" outlineLevel="1" x14ac:dyDescent="0.25">
      <c r="D84" s="3859" t="s">
        <v>581</v>
      </c>
      <c r="E84" s="3864" t="s">
        <v>582</v>
      </c>
      <c r="F84" s="2837" t="s">
        <v>150</v>
      </c>
      <c r="G84" s="2835">
        <f>2.72652*365</f>
        <v>995.17979999999989</v>
      </c>
      <c r="H84" s="2836" t="s">
        <v>583</v>
      </c>
      <c r="I84" s="3088" t="s">
        <v>584</v>
      </c>
      <c r="K84" s="1474"/>
      <c r="L84" s="1474"/>
      <c r="M84" s="123"/>
      <c r="N84" s="3220"/>
      <c r="V84" s="3704" t="s">
        <v>581</v>
      </c>
      <c r="W84" s="2841">
        <v>2.73</v>
      </c>
      <c r="X84" s="2842">
        <v>2.73</v>
      </c>
      <c r="Y84" s="2842">
        <v>2.73</v>
      </c>
      <c r="Z84" s="2842">
        <v>2.73</v>
      </c>
      <c r="AA84" s="2842">
        <v>2.73</v>
      </c>
      <c r="AB84" s="2846">
        <v>996.45</v>
      </c>
      <c r="AC84" s="2835">
        <v>995.17979999999989</v>
      </c>
      <c r="AD84" s="2841"/>
      <c r="AE84" s="2841"/>
      <c r="AF84" s="2841"/>
      <c r="AG84" s="2841"/>
      <c r="AH84" s="1930"/>
      <c r="AI84" s="1930"/>
      <c r="AJ84" s="1930"/>
      <c r="AK84" s="1930"/>
      <c r="AL84" s="1930"/>
      <c r="AM84" s="1930"/>
      <c r="AN84" s="1930"/>
      <c r="AO84" s="1930"/>
      <c r="AP84" s="1930"/>
      <c r="AQ84" s="1930"/>
      <c r="AR84" s="1930"/>
      <c r="AS84" s="1930"/>
      <c r="AT84" s="1930"/>
      <c r="AU84" s="1930"/>
      <c r="AV84" s="1930"/>
      <c r="AW84" s="1930"/>
      <c r="AX84" s="1930"/>
      <c r="AY84" s="1930"/>
      <c r="AZ84" s="1930"/>
      <c r="BA84" s="1930"/>
      <c r="BB84" s="1930"/>
      <c r="BC84" s="1930"/>
    </row>
    <row r="85" spans="1:57" s="1930" customFormat="1" ht="15.75" hidden="1" outlineLevel="1" thickBot="1" x14ac:dyDescent="0.3">
      <c r="A85" s="123"/>
      <c r="B85" s="123"/>
      <c r="C85" s="329"/>
      <c r="D85" s="3861"/>
      <c r="E85" s="3865"/>
      <c r="F85" s="2825" t="s">
        <v>585</v>
      </c>
      <c r="G85" s="2838">
        <v>4380</v>
      </c>
      <c r="H85" s="2839" t="s">
        <v>128</v>
      </c>
      <c r="I85" s="2829"/>
      <c r="J85" s="123"/>
      <c r="K85" s="1474"/>
      <c r="L85" s="1474"/>
      <c r="M85" s="123"/>
      <c r="N85" s="3220"/>
      <c r="O85" s="123"/>
      <c r="P85" s="123"/>
      <c r="Q85" s="123"/>
      <c r="R85" s="123"/>
      <c r="S85" s="123"/>
      <c r="T85" s="123"/>
      <c r="U85" s="123"/>
      <c r="V85" s="3706"/>
      <c r="W85" s="2843"/>
      <c r="X85" s="2844"/>
      <c r="Y85" s="2844"/>
      <c r="Z85" s="2844"/>
      <c r="AA85" s="2844"/>
      <c r="AB85" s="2845"/>
      <c r="AC85" s="2838">
        <v>4380</v>
      </c>
      <c r="AD85" s="2843"/>
      <c r="AE85" s="2843"/>
      <c r="AF85" s="2843"/>
      <c r="AG85" s="2843"/>
      <c r="BD85" s="1"/>
      <c r="BE85" s="1"/>
    </row>
    <row r="86" spans="1:57" hidden="1" outlineLevel="1" x14ac:dyDescent="0.25">
      <c r="D86" s="2831" t="s">
        <v>586</v>
      </c>
      <c r="E86" s="2832" t="s">
        <v>587</v>
      </c>
      <c r="F86" s="2831"/>
      <c r="G86" s="2833">
        <v>365</v>
      </c>
      <c r="H86" s="2834" t="s">
        <v>587</v>
      </c>
      <c r="I86" s="2834"/>
      <c r="K86" s="1474"/>
      <c r="L86" s="1474"/>
      <c r="M86" s="123"/>
      <c r="N86" s="3220"/>
      <c r="V86" s="3095" t="s">
        <v>586</v>
      </c>
      <c r="W86" s="2840">
        <v>365</v>
      </c>
      <c r="X86" s="2840">
        <v>365</v>
      </c>
      <c r="Y86" s="2840">
        <v>365</v>
      </c>
      <c r="Z86" s="2840">
        <v>365</v>
      </c>
      <c r="AA86" s="2840">
        <v>365</v>
      </c>
      <c r="AB86" s="2840">
        <v>365</v>
      </c>
      <c r="AC86" s="2833">
        <v>365</v>
      </c>
      <c r="AD86" s="2840"/>
      <c r="AE86" s="2840"/>
      <c r="AF86" s="2840"/>
      <c r="AG86" s="2840"/>
      <c r="AH86" s="100"/>
      <c r="AI86" s="1930"/>
      <c r="AJ86" s="1930"/>
      <c r="AK86" s="1930"/>
      <c r="AL86" s="1930"/>
      <c r="AM86" s="1930"/>
      <c r="AN86" s="1930"/>
      <c r="AO86" s="1930"/>
      <c r="AP86" s="1930"/>
      <c r="AQ86" s="1930"/>
      <c r="AR86" s="1930"/>
      <c r="AS86" s="1930"/>
      <c r="AT86" s="1930"/>
      <c r="AU86" s="1930"/>
      <c r="AV86" s="1930"/>
      <c r="AW86" s="1930"/>
      <c r="AX86" s="1930"/>
      <c r="AY86" s="1930"/>
      <c r="AZ86" s="1930"/>
      <c r="BA86" s="1930"/>
      <c r="BB86" s="1930"/>
      <c r="BC86" s="1930"/>
    </row>
    <row r="87" spans="1:57" ht="30" hidden="1" outlineLevel="1" x14ac:dyDescent="0.25">
      <c r="D87" s="465">
        <v>1000</v>
      </c>
      <c r="E87" s="2418" t="s">
        <v>588</v>
      </c>
      <c r="F87" s="465"/>
      <c r="G87" s="466">
        <v>1000</v>
      </c>
      <c r="H87" s="3089" t="s">
        <v>588</v>
      </c>
      <c r="I87" s="3089"/>
      <c r="K87" s="1474"/>
      <c r="L87" s="1474"/>
      <c r="M87" s="123"/>
      <c r="N87" s="3220"/>
      <c r="V87" s="1697">
        <v>1000</v>
      </c>
      <c r="W87" s="467">
        <v>1000</v>
      </c>
      <c r="X87" s="466">
        <v>1000</v>
      </c>
      <c r="Y87" s="466">
        <v>1000</v>
      </c>
      <c r="Z87" s="466">
        <v>1000</v>
      </c>
      <c r="AA87" s="466">
        <v>1000</v>
      </c>
      <c r="AB87" s="466">
        <v>1000</v>
      </c>
      <c r="AC87" s="466">
        <v>1000</v>
      </c>
      <c r="AD87" s="467"/>
      <c r="AE87" s="467"/>
      <c r="AF87" s="467"/>
      <c r="AG87" s="467"/>
      <c r="AH87" s="1930"/>
      <c r="AI87" s="1930"/>
      <c r="AJ87" s="1930"/>
      <c r="AK87" s="1930"/>
      <c r="AL87" s="1930"/>
      <c r="AM87" s="1930"/>
      <c r="AN87" s="1930"/>
      <c r="AO87" s="1930"/>
      <c r="AP87" s="1930"/>
      <c r="AQ87" s="1930"/>
      <c r="AR87" s="1930"/>
      <c r="AS87" s="1930"/>
      <c r="AT87" s="1930"/>
      <c r="AU87" s="1930"/>
      <c r="AV87" s="1930"/>
      <c r="AW87" s="1930"/>
      <c r="AX87" s="1930"/>
      <c r="AY87" s="1930"/>
      <c r="AZ87" s="1930"/>
      <c r="BA87" s="1930"/>
      <c r="BB87" s="1930"/>
      <c r="BC87" s="1930"/>
    </row>
    <row r="88" spans="1:57" ht="30" hidden="1" outlineLevel="1" x14ac:dyDescent="0.25">
      <c r="D88" s="3125" t="s">
        <v>589</v>
      </c>
      <c r="E88" s="2418" t="s">
        <v>590</v>
      </c>
      <c r="F88" s="3125"/>
      <c r="G88" s="375">
        <v>0.99</v>
      </c>
      <c r="H88" s="3089" t="s">
        <v>591</v>
      </c>
      <c r="I88" s="3089"/>
      <c r="K88" s="477"/>
      <c r="L88" s="1474"/>
      <c r="M88" s="123"/>
      <c r="N88" s="3220"/>
      <c r="V88" s="3125" t="s">
        <v>589</v>
      </c>
      <c r="W88" s="468">
        <v>0.97</v>
      </c>
      <c r="X88" s="469">
        <v>0.99</v>
      </c>
      <c r="Y88" s="375">
        <v>0.99</v>
      </c>
      <c r="Z88" s="375">
        <v>0.99</v>
      </c>
      <c r="AA88" s="375">
        <v>0.99</v>
      </c>
      <c r="AB88" s="375">
        <v>0.99</v>
      </c>
      <c r="AC88" s="375">
        <v>0.99</v>
      </c>
      <c r="AD88" s="468"/>
      <c r="AE88" s="468"/>
      <c r="AF88" s="468"/>
      <c r="AG88" s="468"/>
      <c r="AH88" s="1930"/>
      <c r="AI88" s="1930"/>
      <c r="AJ88" s="1930"/>
      <c r="AK88" s="1930"/>
      <c r="AL88" s="1930"/>
      <c r="AM88" s="1930"/>
      <c r="AN88" s="1930"/>
      <c r="AO88" s="1930"/>
      <c r="AP88" s="1930"/>
      <c r="AQ88" s="1930"/>
      <c r="AR88" s="1930"/>
      <c r="AS88" s="1930"/>
      <c r="AT88" s="1930"/>
      <c r="AU88" s="1930"/>
      <c r="AV88" s="1930"/>
      <c r="AW88" s="1930"/>
      <c r="AX88" s="1930"/>
      <c r="AY88" s="1930"/>
      <c r="AZ88" s="1930"/>
      <c r="BA88" s="1930"/>
      <c r="BB88" s="1930"/>
      <c r="BC88" s="1930"/>
    </row>
    <row r="89" spans="1:57" ht="15.75" hidden="1" outlineLevel="1" thickBot="1" x14ac:dyDescent="0.3">
      <c r="D89" s="3103" t="s">
        <v>592</v>
      </c>
      <c r="E89" s="3141" t="s">
        <v>593</v>
      </c>
      <c r="F89" s="3103"/>
      <c r="G89" s="2189">
        <v>1</v>
      </c>
      <c r="H89" s="3143" t="s">
        <v>594</v>
      </c>
      <c r="I89" s="3143"/>
      <c r="K89" s="1474"/>
      <c r="L89" s="477"/>
      <c r="M89" s="123"/>
      <c r="N89" s="3220"/>
      <c r="V89" s="2512" t="s">
        <v>592</v>
      </c>
      <c r="W89" s="2192">
        <v>1</v>
      </c>
      <c r="X89" s="2192">
        <v>1</v>
      </c>
      <c r="Y89" s="2186">
        <v>1</v>
      </c>
      <c r="Z89" s="2186">
        <v>1</v>
      </c>
      <c r="AA89" s="2186">
        <v>1</v>
      </c>
      <c r="AB89" s="2189">
        <v>1</v>
      </c>
      <c r="AC89" s="2189">
        <v>1</v>
      </c>
      <c r="AD89" s="2192"/>
      <c r="AE89" s="2192"/>
      <c r="AF89" s="2192"/>
      <c r="AG89" s="2192"/>
      <c r="AH89" s="1930"/>
      <c r="AI89" s="1930"/>
      <c r="AJ89" s="1930"/>
      <c r="AK89" s="1930"/>
      <c r="AL89" s="1930"/>
      <c r="AM89" s="1930"/>
      <c r="AN89" s="1930"/>
      <c r="AO89" s="1930"/>
      <c r="AP89" s="1930"/>
      <c r="AQ89" s="1930"/>
      <c r="AR89" s="1930"/>
      <c r="AS89" s="1930"/>
      <c r="AT89" s="1930"/>
      <c r="AU89" s="1930"/>
      <c r="AV89" s="1930"/>
      <c r="AW89" s="1930"/>
      <c r="AX89" s="1930"/>
      <c r="AY89" s="1930"/>
      <c r="AZ89" s="1930"/>
      <c r="BA89" s="1930"/>
      <c r="BB89" s="1930"/>
      <c r="BC89" s="1930"/>
    </row>
    <row r="90" spans="1:57" s="1930" customFormat="1" ht="45" hidden="1" outlineLevel="1" x14ac:dyDescent="0.25">
      <c r="A90" s="123"/>
      <c r="B90" s="123"/>
      <c r="C90" s="329"/>
      <c r="D90" s="3945" t="s">
        <v>144</v>
      </c>
      <c r="E90" s="3944" t="s">
        <v>595</v>
      </c>
      <c r="F90" s="3125" t="s">
        <v>509</v>
      </c>
      <c r="G90" s="2513">
        <v>0.28000000000000003</v>
      </c>
      <c r="H90" s="3089" t="s">
        <v>596</v>
      </c>
      <c r="I90" s="3864" t="s">
        <v>597</v>
      </c>
      <c r="J90" s="1237"/>
      <c r="K90" s="1457"/>
      <c r="L90" s="1457"/>
      <c r="M90" s="123"/>
      <c r="N90" s="3220"/>
      <c r="O90" s="123"/>
      <c r="P90" s="123"/>
      <c r="Q90" s="123"/>
      <c r="R90" s="123"/>
      <c r="S90" s="123"/>
      <c r="T90" s="123"/>
      <c r="U90" s="123"/>
      <c r="V90" s="3856" t="s">
        <v>598</v>
      </c>
      <c r="W90" s="471">
        <v>0.86</v>
      </c>
      <c r="X90" s="472">
        <v>0.89859999999999995</v>
      </c>
      <c r="Y90" s="472">
        <v>0.91869999999999996</v>
      </c>
      <c r="Z90" s="472">
        <v>0.91869999999999996</v>
      </c>
      <c r="AA90" s="472">
        <v>0.91869999999999996</v>
      </c>
      <c r="AB90" s="472">
        <v>0.72</v>
      </c>
      <c r="AC90" s="2513">
        <v>0.28000000000000003</v>
      </c>
      <c r="AD90" s="471"/>
      <c r="AE90" s="471"/>
      <c r="AF90" s="471"/>
      <c r="AG90" s="471"/>
      <c r="BD90" s="1"/>
      <c r="BE90" s="1"/>
    </row>
    <row r="91" spans="1:57" s="1930" customFormat="1" ht="30" hidden="1" outlineLevel="1" x14ac:dyDescent="0.25">
      <c r="A91" s="123"/>
      <c r="B91" s="123"/>
      <c r="C91" s="329"/>
      <c r="D91" s="3874"/>
      <c r="E91" s="3933"/>
      <c r="F91" s="3125" t="s">
        <v>599</v>
      </c>
      <c r="G91" s="470">
        <v>0</v>
      </c>
      <c r="H91" s="3089" t="s">
        <v>600</v>
      </c>
      <c r="I91" s="3937"/>
      <c r="J91" s="1237"/>
      <c r="K91" s="1457"/>
      <c r="L91" s="1457"/>
      <c r="M91" s="123"/>
      <c r="N91" s="3220"/>
      <c r="O91" s="123"/>
      <c r="P91" s="123"/>
      <c r="Q91" s="123"/>
      <c r="R91" s="123"/>
      <c r="S91" s="123"/>
      <c r="T91" s="123"/>
      <c r="U91" s="123"/>
      <c r="V91" s="3857"/>
      <c r="W91" s="471"/>
      <c r="X91" s="472"/>
      <c r="Y91" s="472"/>
      <c r="Z91" s="472"/>
      <c r="AA91" s="472"/>
      <c r="AB91" s="470">
        <v>1</v>
      </c>
      <c r="AC91" s="470">
        <v>0</v>
      </c>
      <c r="AD91" s="471"/>
      <c r="AE91" s="471"/>
      <c r="AF91" s="471"/>
      <c r="AG91" s="471"/>
      <c r="BD91" s="1"/>
      <c r="BE91" s="1"/>
    </row>
    <row r="92" spans="1:57" s="1930" customFormat="1" ht="30" hidden="1" outlineLevel="1" x14ac:dyDescent="0.25">
      <c r="A92" s="123"/>
      <c r="B92" s="123"/>
      <c r="C92" s="329"/>
      <c r="D92" s="3874"/>
      <c r="E92" s="3933"/>
      <c r="F92" s="3125" t="s">
        <v>601</v>
      </c>
      <c r="G92" s="470">
        <v>0</v>
      </c>
      <c r="H92" s="3089" t="s">
        <v>600</v>
      </c>
      <c r="I92" s="3937"/>
      <c r="J92" s="1237"/>
      <c r="K92" s="1457"/>
      <c r="L92" s="1457"/>
      <c r="M92" s="123"/>
      <c r="N92" s="3220"/>
      <c r="O92" s="123"/>
      <c r="P92" s="123"/>
      <c r="Q92" s="123"/>
      <c r="R92" s="123"/>
      <c r="S92" s="123"/>
      <c r="T92" s="123"/>
      <c r="U92" s="123"/>
      <c r="V92" s="3857"/>
      <c r="W92" s="471"/>
      <c r="X92" s="472"/>
      <c r="Y92" s="472"/>
      <c r="Z92" s="472"/>
      <c r="AA92" s="472"/>
      <c r="AB92" s="2037">
        <v>1</v>
      </c>
      <c r="AC92" s="470">
        <v>0</v>
      </c>
      <c r="AD92" s="471"/>
      <c r="AE92" s="471"/>
      <c r="AF92" s="471"/>
      <c r="AG92" s="471"/>
      <c r="BD92" s="1"/>
      <c r="BE92" s="1"/>
    </row>
    <row r="93" spans="1:57" s="1930" customFormat="1" ht="60.75" hidden="1" outlineLevel="1" thickBot="1" x14ac:dyDescent="0.3">
      <c r="A93" s="123"/>
      <c r="B93" s="123"/>
      <c r="C93" s="329"/>
      <c r="D93" s="3946"/>
      <c r="E93" s="3934"/>
      <c r="F93" s="2512" t="s">
        <v>538</v>
      </c>
      <c r="G93" s="2514">
        <v>0</v>
      </c>
      <c r="H93" s="3090" t="s">
        <v>602</v>
      </c>
      <c r="I93" s="3865"/>
      <c r="J93" s="1237"/>
      <c r="K93" s="1457"/>
      <c r="L93" s="1457"/>
      <c r="M93" s="123"/>
      <c r="N93" s="3220"/>
      <c r="O93" s="123"/>
      <c r="P93" s="123"/>
      <c r="Q93" s="123"/>
      <c r="R93" s="123"/>
      <c r="S93" s="123"/>
      <c r="T93" s="123"/>
      <c r="U93" s="123"/>
      <c r="V93" s="3858"/>
      <c r="W93" s="2192"/>
      <c r="X93" s="2193"/>
      <c r="Y93" s="2193"/>
      <c r="Z93" s="2193"/>
      <c r="AA93" s="2193"/>
      <c r="AB93" s="2187">
        <v>1</v>
      </c>
      <c r="AC93" s="2514">
        <v>0</v>
      </c>
      <c r="AD93" s="2192"/>
      <c r="AE93" s="2192"/>
      <c r="AF93" s="2192"/>
      <c r="AG93" s="2192"/>
      <c r="BD93" s="1"/>
      <c r="BE93" s="1"/>
    </row>
    <row r="94" spans="1:57" s="1930" customFormat="1" ht="45" hidden="1" outlineLevel="1" x14ac:dyDescent="0.25">
      <c r="A94" s="123"/>
      <c r="B94" s="123"/>
      <c r="C94" s="329"/>
      <c r="D94" s="3857" t="s">
        <v>133</v>
      </c>
      <c r="E94" s="3933" t="s">
        <v>252</v>
      </c>
      <c r="F94" s="3125" t="s">
        <v>509</v>
      </c>
      <c r="G94" s="473">
        <v>0.92</v>
      </c>
      <c r="H94" s="3089" t="s">
        <v>596</v>
      </c>
      <c r="I94" s="3089"/>
      <c r="J94" s="1457"/>
      <c r="K94" s="1457"/>
      <c r="L94" s="1457"/>
      <c r="M94" s="123"/>
      <c r="N94" s="3220"/>
      <c r="O94" s="123"/>
      <c r="P94" s="123"/>
      <c r="Q94" s="123"/>
      <c r="R94" s="123"/>
      <c r="S94" s="123"/>
      <c r="T94" s="123"/>
      <c r="U94" s="123"/>
      <c r="V94" s="3857" t="s">
        <v>133</v>
      </c>
      <c r="W94" s="593">
        <v>0.91507544652831463</v>
      </c>
      <c r="X94" s="2194">
        <v>0.92</v>
      </c>
      <c r="Y94" s="2194">
        <v>0.89554140127388537</v>
      </c>
      <c r="Z94" s="2194">
        <v>0.89554140127388537</v>
      </c>
      <c r="AA94" s="2194">
        <v>0.89554140127388537</v>
      </c>
      <c r="AB94" s="475">
        <v>0.92</v>
      </c>
      <c r="AC94" s="473">
        <v>0.92</v>
      </c>
      <c r="AD94" s="94"/>
      <c r="AE94" s="94"/>
      <c r="AF94" s="94"/>
      <c r="AG94" s="94"/>
      <c r="BD94" s="1"/>
      <c r="BE94" s="1"/>
    </row>
    <row r="95" spans="1:57" s="1930" customFormat="1" ht="25.5" hidden="1" outlineLevel="1" x14ac:dyDescent="0.25">
      <c r="A95" s="123"/>
      <c r="B95" s="123"/>
      <c r="C95" s="329"/>
      <c r="D95" s="3857"/>
      <c r="E95" s="3933"/>
      <c r="F95" s="3125" t="s">
        <v>599</v>
      </c>
      <c r="G95" s="474">
        <v>1</v>
      </c>
      <c r="H95" s="1475" t="s">
        <v>603</v>
      </c>
      <c r="I95" s="1475"/>
      <c r="J95" s="1457"/>
      <c r="K95" s="1457"/>
      <c r="L95" s="1457"/>
      <c r="M95" s="123"/>
      <c r="N95" s="3220"/>
      <c r="O95" s="123"/>
      <c r="P95" s="123"/>
      <c r="Q95" s="123"/>
      <c r="R95" s="123"/>
      <c r="S95" s="123"/>
      <c r="T95" s="123"/>
      <c r="U95" s="123"/>
      <c r="V95" s="3857"/>
      <c r="W95" s="94"/>
      <c r="X95" s="475"/>
      <c r="Y95" s="475"/>
      <c r="Z95" s="475"/>
      <c r="AA95" s="475"/>
      <c r="AB95" s="474">
        <v>1</v>
      </c>
      <c r="AC95" s="474">
        <v>1</v>
      </c>
      <c r="AD95" s="94"/>
      <c r="AE95" s="94"/>
      <c r="AF95" s="94"/>
      <c r="AG95" s="94"/>
      <c r="BD95" s="1"/>
      <c r="BE95" s="1"/>
    </row>
    <row r="96" spans="1:57" s="1930" customFormat="1" ht="30" hidden="1" outlineLevel="1" x14ac:dyDescent="0.25">
      <c r="A96" s="123"/>
      <c r="B96" s="123"/>
      <c r="C96" s="329"/>
      <c r="D96" s="3857"/>
      <c r="E96" s="3933"/>
      <c r="F96" s="3125" t="s">
        <v>601</v>
      </c>
      <c r="G96" s="474">
        <v>0.9</v>
      </c>
      <c r="H96" s="3089" t="s">
        <v>600</v>
      </c>
      <c r="I96" s="3089"/>
      <c r="J96" s="1457"/>
      <c r="K96" s="1457"/>
      <c r="L96" s="1457"/>
      <c r="M96" s="123"/>
      <c r="N96" s="3220"/>
      <c r="O96" s="123"/>
      <c r="P96" s="123"/>
      <c r="Q96" s="123"/>
      <c r="R96" s="123"/>
      <c r="S96" s="123"/>
      <c r="T96" s="123"/>
      <c r="U96" s="123"/>
      <c r="V96" s="3857"/>
      <c r="W96" s="94"/>
      <c r="X96" s="475"/>
      <c r="Y96" s="475"/>
      <c r="Z96" s="475"/>
      <c r="AA96" s="475"/>
      <c r="AB96" s="2036">
        <v>0.9</v>
      </c>
      <c r="AC96" s="474">
        <v>0.9</v>
      </c>
      <c r="AD96" s="94"/>
      <c r="AE96" s="94"/>
      <c r="AF96" s="94"/>
      <c r="AG96" s="94"/>
      <c r="BD96" s="1"/>
      <c r="BE96" s="1"/>
    </row>
    <row r="97" spans="1:57" s="1930" customFormat="1" ht="60.75" hidden="1" outlineLevel="1" thickBot="1" x14ac:dyDescent="0.3">
      <c r="A97" s="123"/>
      <c r="B97" s="123"/>
      <c r="C97" s="329"/>
      <c r="D97" s="3858"/>
      <c r="E97" s="3934"/>
      <c r="F97" s="2512" t="s">
        <v>538</v>
      </c>
      <c r="G97" s="2515">
        <v>0.88</v>
      </c>
      <c r="H97" s="3090" t="s">
        <v>604</v>
      </c>
      <c r="I97" s="3090"/>
      <c r="J97" s="1457"/>
      <c r="K97" s="1457"/>
      <c r="L97" s="1457"/>
      <c r="M97" s="123"/>
      <c r="N97" s="3220"/>
      <c r="O97" s="123"/>
      <c r="P97" s="123"/>
      <c r="Q97" s="123"/>
      <c r="R97" s="123"/>
      <c r="S97" s="123"/>
      <c r="T97" s="123"/>
      <c r="U97" s="123"/>
      <c r="V97" s="3858"/>
      <c r="W97" s="619"/>
      <c r="X97" s="2188"/>
      <c r="Y97" s="2188"/>
      <c r="Z97" s="2188"/>
      <c r="AA97" s="2188"/>
      <c r="AB97" s="2188">
        <v>0.88</v>
      </c>
      <c r="AC97" s="2515">
        <v>0.88</v>
      </c>
      <c r="AD97" s="619"/>
      <c r="AE97" s="619"/>
      <c r="AF97" s="619"/>
      <c r="AG97" s="619"/>
      <c r="BD97" s="1"/>
      <c r="BE97" s="1"/>
    </row>
    <row r="98" spans="1:57" hidden="1" outlineLevel="1" x14ac:dyDescent="0.25">
      <c r="B98" s="1233"/>
      <c r="C98" s="1678"/>
      <c r="D98" s="3868" t="s">
        <v>542</v>
      </c>
      <c r="E98" s="3868" t="s">
        <v>167</v>
      </c>
      <c r="F98" s="2837" t="s">
        <v>150</v>
      </c>
      <c r="G98" s="2847">
        <v>19</v>
      </c>
      <c r="H98" s="2848"/>
      <c r="I98" s="2848"/>
      <c r="J98" s="1457"/>
      <c r="K98" s="249"/>
      <c r="L98" s="249"/>
      <c r="M98" s="1159"/>
      <c r="N98" s="249"/>
      <c r="O98" s="249"/>
      <c r="P98" s="249"/>
      <c r="Q98" s="249"/>
      <c r="V98" s="3870" t="s">
        <v>542</v>
      </c>
      <c r="W98" s="2847">
        <v>19</v>
      </c>
      <c r="X98" s="2847">
        <v>19</v>
      </c>
      <c r="Y98" s="2847">
        <v>19</v>
      </c>
      <c r="Z98" s="2847">
        <v>19</v>
      </c>
      <c r="AA98" s="2847">
        <v>19</v>
      </c>
      <c r="AB98" s="2847">
        <v>19</v>
      </c>
      <c r="AC98" s="2847">
        <v>19</v>
      </c>
      <c r="AD98" s="2847"/>
      <c r="AE98" s="2847"/>
      <c r="AF98" s="2847"/>
      <c r="AG98" s="2847"/>
      <c r="AH98" s="1930"/>
      <c r="AI98" s="1930"/>
      <c r="AJ98" s="1930"/>
      <c r="AK98" s="1930"/>
      <c r="AL98" s="1930"/>
      <c r="AM98" s="1930"/>
      <c r="AN98" s="1930"/>
      <c r="AO98" s="1930"/>
      <c r="AP98" s="1930"/>
      <c r="AQ98" s="1930"/>
      <c r="AR98" s="1930"/>
      <c r="AS98" s="1930"/>
      <c r="AT98" s="1930"/>
      <c r="AU98" s="1930"/>
      <c r="AV98" s="1930"/>
      <c r="AW98" s="1930"/>
      <c r="AX98" s="1930"/>
      <c r="AY98" s="1930"/>
      <c r="AZ98" s="1930"/>
      <c r="BA98" s="1930"/>
      <c r="BB98" s="1930"/>
      <c r="BC98" s="1930"/>
    </row>
    <row r="99" spans="1:57" s="1930" customFormat="1" ht="135.75" hidden="1" outlineLevel="1" thickBot="1" x14ac:dyDescent="0.3">
      <c r="A99" s="123"/>
      <c r="B99" s="1233"/>
      <c r="C99" s="1678"/>
      <c r="D99" s="3869"/>
      <c r="E99" s="3869"/>
      <c r="F99" s="2825" t="s">
        <v>585</v>
      </c>
      <c r="G99" s="2849">
        <f>MIN(19, ROUND(100000/G85,0))</f>
        <v>19</v>
      </c>
      <c r="H99" s="2850" t="s">
        <v>168</v>
      </c>
      <c r="I99" s="2851"/>
      <c r="J99" s="1457"/>
      <c r="K99" s="249"/>
      <c r="L99" s="249"/>
      <c r="M99" s="1159"/>
      <c r="N99" s="249"/>
      <c r="O99" s="249"/>
      <c r="P99" s="249"/>
      <c r="Q99" s="249"/>
      <c r="R99" s="123"/>
      <c r="S99" s="123"/>
      <c r="T99" s="123"/>
      <c r="U99" s="123"/>
      <c r="V99" s="3871"/>
      <c r="W99" s="2853"/>
      <c r="X99" s="2853"/>
      <c r="Y99" s="2853"/>
      <c r="Z99" s="2853"/>
      <c r="AA99" s="2853"/>
      <c r="AB99" s="2853"/>
      <c r="AC99" s="2849">
        <v>19</v>
      </c>
      <c r="AD99" s="2853"/>
      <c r="AE99" s="2853"/>
      <c r="AF99" s="2853"/>
      <c r="AG99" s="2853"/>
      <c r="BD99" s="1"/>
      <c r="BE99" s="1"/>
    </row>
    <row r="100" spans="1:57" hidden="1" outlineLevel="1" x14ac:dyDescent="0.25">
      <c r="B100" s="1233"/>
      <c r="C100" s="1678"/>
      <c r="D100" s="3097" t="s">
        <v>170</v>
      </c>
      <c r="E100" s="2419" t="s">
        <v>171</v>
      </c>
      <c r="F100" s="3139"/>
      <c r="G100" s="1565">
        <v>1.95</v>
      </c>
      <c r="H100" s="2185"/>
      <c r="I100" s="2185"/>
      <c r="J100" s="1457"/>
      <c r="K100" s="249"/>
      <c r="L100" s="249"/>
      <c r="M100" s="1159"/>
      <c r="N100" s="249"/>
      <c r="O100" s="249"/>
      <c r="P100" s="249"/>
      <c r="Q100" s="249"/>
      <c r="V100" s="3119" t="s">
        <v>170</v>
      </c>
      <c r="W100" s="1565">
        <v>1.95</v>
      </c>
      <c r="X100" s="1565">
        <v>1.95</v>
      </c>
      <c r="Y100" s="1565">
        <v>1.95</v>
      </c>
      <c r="Z100" s="1565">
        <v>1.95</v>
      </c>
      <c r="AA100" s="1565">
        <v>1.95</v>
      </c>
      <c r="AB100" s="1565">
        <v>1.95</v>
      </c>
      <c r="AC100" s="1565">
        <v>1.95</v>
      </c>
      <c r="AD100" s="2852"/>
      <c r="AE100" s="2852"/>
      <c r="AF100" s="2852"/>
      <c r="AG100" s="2852"/>
      <c r="AH100" s="1930"/>
      <c r="AI100" s="1930"/>
      <c r="AJ100" s="1930"/>
      <c r="AK100" s="1930"/>
      <c r="AL100" s="1930"/>
      <c r="AM100" s="1930"/>
      <c r="AN100" s="1930"/>
      <c r="AO100" s="1930"/>
      <c r="AP100" s="1930"/>
      <c r="AQ100" s="1930"/>
      <c r="AR100" s="1930"/>
      <c r="AS100" s="1930"/>
      <c r="AT100" s="1930"/>
      <c r="AU100" s="1930"/>
      <c r="AV100" s="1930"/>
      <c r="AW100" s="1930"/>
      <c r="AX100" s="1930"/>
      <c r="AY100" s="1930"/>
      <c r="AZ100" s="1930"/>
      <c r="BA100" s="1930"/>
      <c r="BB100" s="1930"/>
      <c r="BC100" s="1930"/>
    </row>
    <row r="101" spans="1:57" collapsed="1" x14ac:dyDescent="0.25">
      <c r="D101" s="477"/>
      <c r="E101" s="1586"/>
      <c r="F101" s="1476"/>
      <c r="G101" s="477"/>
      <c r="H101" s="1477"/>
      <c r="I101" s="1457"/>
      <c r="J101" s="1457"/>
      <c r="K101" s="1457"/>
      <c r="M101" s="3220"/>
      <c r="AC101" s="1930"/>
      <c r="AD101" s="1930"/>
      <c r="AE101" s="1930"/>
      <c r="AF101" s="1930"/>
      <c r="AG101" s="1930"/>
      <c r="AH101" s="1930"/>
      <c r="AI101" s="1930"/>
      <c r="AJ101" s="1930"/>
      <c r="AK101" s="1930"/>
      <c r="AL101" s="1930"/>
      <c r="AM101" s="1930"/>
      <c r="AN101" s="1930"/>
      <c r="AO101" s="1930"/>
      <c r="AP101" s="1930"/>
      <c r="AQ101" s="1930"/>
      <c r="AR101" s="1930"/>
      <c r="AS101" s="1930"/>
      <c r="AT101" s="1930"/>
      <c r="AU101" s="1930"/>
      <c r="AV101" s="1930"/>
      <c r="AW101" s="1930"/>
      <c r="AX101" s="1930"/>
      <c r="AY101" s="1930"/>
      <c r="AZ101" s="1930"/>
      <c r="BA101" s="1930"/>
      <c r="BB101" s="1930"/>
      <c r="BC101" s="1930"/>
    </row>
    <row r="102" spans="1:57" s="147" customFormat="1" x14ac:dyDescent="0.25">
      <c r="B102" s="3750" t="s">
        <v>605</v>
      </c>
      <c r="C102" s="3751"/>
      <c r="D102" s="3751"/>
      <c r="E102" s="3751"/>
      <c r="F102" s="3751"/>
      <c r="G102" s="3751"/>
      <c r="H102" s="3751"/>
      <c r="I102" s="3744"/>
      <c r="J102" s="3744"/>
      <c r="K102" s="3744"/>
      <c r="L102" s="3744"/>
      <c r="M102" s="3744"/>
      <c r="N102" s="3745"/>
      <c r="V102" s="3750" t="str">
        <f>B102</f>
        <v>Kit Faucet Aerators (Kitchen)</v>
      </c>
      <c r="W102" s="3751"/>
      <c r="X102" s="3751"/>
      <c r="Y102" s="3751"/>
      <c r="Z102" s="3751"/>
      <c r="AA102" s="3751"/>
      <c r="AB102" s="3751"/>
      <c r="AC102" s="3752"/>
      <c r="AD102" s="3752"/>
      <c r="AE102" s="3752"/>
      <c r="AF102" s="3752"/>
      <c r="AG102" s="3752"/>
      <c r="AH102" s="3753"/>
      <c r="AI102" s="1930"/>
      <c r="AJ102" s="1930"/>
      <c r="AK102" s="1930"/>
      <c r="AL102" s="1930"/>
      <c r="AM102" s="1930"/>
      <c r="AN102" s="1930"/>
      <c r="AO102" s="1930"/>
      <c r="AP102" s="1930"/>
      <c r="AQ102" s="1930"/>
      <c r="AR102" s="1930"/>
      <c r="AS102" s="1930"/>
      <c r="BD102" s="478"/>
      <c r="BE102" s="478"/>
    </row>
    <row r="103" spans="1:57" x14ac:dyDescent="0.25">
      <c r="M103" s="3220"/>
      <c r="AC103" s="1930"/>
      <c r="AD103" s="1930"/>
      <c r="AE103" s="1930"/>
      <c r="AF103" s="1930"/>
      <c r="AG103" s="1930"/>
      <c r="AH103" s="1930"/>
      <c r="AI103" s="1930"/>
      <c r="AJ103" s="1930"/>
      <c r="AK103" s="1930"/>
      <c r="AL103" s="1930"/>
      <c r="AM103" s="1930"/>
      <c r="AN103" s="1930"/>
      <c r="AO103" s="1930"/>
      <c r="AP103" s="1930"/>
      <c r="AQ103" s="1930"/>
      <c r="AR103" s="1930"/>
      <c r="AS103" s="1930"/>
      <c r="AT103" s="1930"/>
      <c r="AU103" s="1930"/>
      <c r="AV103" s="1930"/>
      <c r="AW103" s="1930"/>
      <c r="AX103" s="1930"/>
      <c r="AY103" s="1930"/>
      <c r="AZ103" s="1930"/>
      <c r="BA103" s="1930"/>
      <c r="BB103" s="1930"/>
      <c r="BC103" s="1930"/>
    </row>
    <row r="104" spans="1:57" ht="30" x14ac:dyDescent="0.25">
      <c r="C104" s="3086" t="s">
        <v>28</v>
      </c>
      <c r="D104" s="3086" t="s">
        <v>175</v>
      </c>
      <c r="E104" s="3086" t="s">
        <v>30</v>
      </c>
      <c r="F104" s="3086" t="s">
        <v>31</v>
      </c>
      <c r="G104" s="3086" t="s">
        <v>176</v>
      </c>
      <c r="H104" s="3086" t="s">
        <v>177</v>
      </c>
      <c r="I104" s="3086" t="s">
        <v>606</v>
      </c>
      <c r="J104" s="3086" t="s">
        <v>32</v>
      </c>
      <c r="K104" s="3086" t="s">
        <v>181</v>
      </c>
      <c r="L104" s="3086" t="s">
        <v>170</v>
      </c>
      <c r="M104" s="3086" t="s">
        <v>44</v>
      </c>
      <c r="Q104" s="576"/>
      <c r="R104" s="576"/>
      <c r="V104" s="551" t="s">
        <v>45</v>
      </c>
      <c r="W104" s="360">
        <f>$W$6</f>
        <v>43252</v>
      </c>
      <c r="X104" s="360">
        <f>$X$6</f>
        <v>43465</v>
      </c>
      <c r="Y104" s="360">
        <f>$Y$6</f>
        <v>43800</v>
      </c>
      <c r="Z104" s="360">
        <f>$Z$6</f>
        <v>43862</v>
      </c>
      <c r="AA104" s="360">
        <f>$AA$6</f>
        <v>44013</v>
      </c>
      <c r="AB104" s="360">
        <f>$AB$6</f>
        <v>44166</v>
      </c>
      <c r="AC104" s="1937">
        <f>$AC$6</f>
        <v>44531</v>
      </c>
      <c r="AD104" s="1937" t="str">
        <f>$AD$6</f>
        <v>-</v>
      </c>
      <c r="AE104" s="1937" t="str">
        <f>$AE$6</f>
        <v>-</v>
      </c>
      <c r="AF104" s="1937" t="str">
        <f>$AF$6</f>
        <v>-</v>
      </c>
      <c r="AG104" s="1937" t="str">
        <f>$AG$6</f>
        <v>-</v>
      </c>
      <c r="AH104" s="1930"/>
      <c r="AI104" s="1930"/>
      <c r="AJ104" s="1930"/>
      <c r="AK104" s="1930"/>
      <c r="AL104" s="1930"/>
      <c r="AM104" s="1930"/>
      <c r="AN104" s="1930"/>
      <c r="AO104" s="1930"/>
      <c r="AP104" s="1930"/>
      <c r="AQ104" s="1930"/>
      <c r="AR104" s="1930"/>
      <c r="AS104" s="1930"/>
      <c r="AT104" s="1930"/>
      <c r="AU104" s="1930"/>
      <c r="AV104" s="1930"/>
      <c r="AW104" s="1930"/>
      <c r="AX104" s="1930"/>
      <c r="AY104" s="1930"/>
      <c r="AZ104" s="1930"/>
      <c r="BA104" s="1930"/>
      <c r="BB104" s="1953" t="str">
        <f>$BB$6</f>
        <v>TRC (2020)</v>
      </c>
      <c r="BC104" s="1953" t="str">
        <f>$BC$6</f>
        <v>Benefit Lookup</v>
      </c>
      <c r="BD104" s="230" t="str">
        <f>$BD$6</f>
        <v>Benefits (2019 $)</v>
      </c>
      <c r="BE104" s="230" t="str">
        <f>$BE$6</f>
        <v>Incremental Cost (2019 $)</v>
      </c>
    </row>
    <row r="105" spans="1:57" x14ac:dyDescent="0.25">
      <c r="C105" s="3246" t="s">
        <v>607</v>
      </c>
      <c r="D105" s="104" t="s">
        <v>509</v>
      </c>
      <c r="E105" s="3122" t="s">
        <v>608</v>
      </c>
      <c r="F105" s="531">
        <f>ROUND(G118*(G121*G122-G125*G126)*G129*G133*G135/G136*I105*G147*G145,2)</f>
        <v>29.75</v>
      </c>
      <c r="G105" s="3227" t="s">
        <v>184</v>
      </c>
      <c r="H105" s="155">
        <f>VLOOKUP(G105,'CP FACTORS'!$A$3:$B$38, 2, FALSE)</f>
        <v>8.8731800000000003E-5</v>
      </c>
      <c r="I105" s="526">
        <f>G$139*G$140*(G$141-G$142)/(G$143*G$144)</f>
        <v>7.8971277842907403E-2</v>
      </c>
      <c r="J105" s="106">
        <f>ROUND(F105*H105,6)</f>
        <v>2.64E-3</v>
      </c>
      <c r="K105" s="482">
        <f>$G$151</f>
        <v>10</v>
      </c>
      <c r="L105" s="482">
        <f>$G$152</f>
        <v>3</v>
      </c>
      <c r="M105" s="2667" t="s">
        <v>185</v>
      </c>
      <c r="Q105" s="483"/>
      <c r="R105" s="1431"/>
      <c r="V105" s="1962" t="str">
        <f>F104</f>
        <v>kWh Annual Savings</v>
      </c>
      <c r="W105" s="1827">
        <v>45.9</v>
      </c>
      <c r="X105" s="1952">
        <v>40.741488532871308</v>
      </c>
      <c r="Y105" s="549">
        <v>52.47</v>
      </c>
      <c r="Z105" s="65">
        <v>52.47</v>
      </c>
      <c r="AA105" s="65">
        <v>52.47</v>
      </c>
      <c r="AB105" s="1975">
        <v>29.75</v>
      </c>
      <c r="AC105" s="565">
        <v>29.75</v>
      </c>
      <c r="AD105" s="160"/>
      <c r="AE105" s="160"/>
      <c r="AF105" s="160"/>
      <c r="AG105" s="160"/>
      <c r="AH105" s="163"/>
      <c r="AI105" s="1930"/>
      <c r="AJ105" s="1930"/>
      <c r="AK105" s="1930"/>
      <c r="AL105" s="1930"/>
      <c r="AM105" s="1930"/>
      <c r="AN105" s="1930"/>
      <c r="AO105" s="1930"/>
      <c r="AP105" s="1930"/>
      <c r="AQ105" s="1930"/>
      <c r="AR105" s="1930"/>
      <c r="AS105" s="1930"/>
      <c r="AT105" s="1930"/>
      <c r="AU105" s="1930"/>
      <c r="AV105" s="1930"/>
      <c r="AW105" s="1930"/>
      <c r="AX105" s="1930"/>
      <c r="AY105" s="1930"/>
      <c r="AZ105" s="1930"/>
      <c r="BA105" s="1930"/>
      <c r="BB105" s="2448">
        <f>(BD105)/(BE105)</f>
        <v>3.5437176082643913</v>
      </c>
      <c r="BC105" s="3166" t="str">
        <f>CONCATENATE(G105," ",K105," Year EUL")</f>
        <v>Water Heating RES 10 Year EUL</v>
      </c>
      <c r="BD105" s="2446">
        <f>(INDEX('Avoided Cost Benefits'!$C$4:$C$857,MATCH(BC105,'Avoided Cost Benefits'!$A$4:$A$857,0)))*F105</f>
        <v>10.034122534019041</v>
      </c>
      <c r="BE105" s="2447">
        <f>L105/(1.0595^(2020-2019))</f>
        <v>2.8315243039169418</v>
      </c>
    </row>
    <row r="106" spans="1:57" s="1930" customFormat="1" x14ac:dyDescent="0.25">
      <c r="A106" s="123"/>
      <c r="B106" s="123"/>
      <c r="C106" s="3246" t="s">
        <v>609</v>
      </c>
      <c r="D106" s="2667" t="s">
        <v>515</v>
      </c>
      <c r="E106" s="3122" t="s">
        <v>610</v>
      </c>
      <c r="F106" s="531">
        <f>ROUND(G120*(G121*G122-G125*G126)*G132*G133*G135/G136*I106*G150*G146,2)</f>
        <v>12.77</v>
      </c>
      <c r="G106" s="3227" t="s">
        <v>184</v>
      </c>
      <c r="H106" s="449">
        <f>VLOOKUP(G106,'CP FACTORS'!$A$3:$B$38, 2, FALSE)</f>
        <v>8.8731800000000003E-5</v>
      </c>
      <c r="I106" s="526">
        <f>G$139*G$140*(G$141-G$142)/(G$143*G$144)</f>
        <v>7.8971277842907403E-2</v>
      </c>
      <c r="J106" s="106">
        <f>ROUND(F106*H106,6)</f>
        <v>1.1329999999999999E-3</v>
      </c>
      <c r="K106" s="482">
        <f t="shared" ref="K106:K108" si="26">$G$151</f>
        <v>10</v>
      </c>
      <c r="L106" s="482">
        <f>$G$152</f>
        <v>3</v>
      </c>
      <c r="M106" s="2667" t="s">
        <v>185</v>
      </c>
      <c r="N106" s="123"/>
      <c r="O106" s="123"/>
      <c r="P106" s="123"/>
      <c r="Q106" s="576"/>
      <c r="R106" s="1431"/>
      <c r="S106" s="123"/>
      <c r="T106" s="123"/>
      <c r="U106" s="123"/>
      <c r="V106" s="1962" t="str">
        <f>V107</f>
        <v>kWh Annual Savings</v>
      </c>
      <c r="W106" s="1827"/>
      <c r="X106" s="1952"/>
      <c r="Y106" s="549"/>
      <c r="Z106" s="550"/>
      <c r="AA106" s="550"/>
      <c r="AB106" s="1975">
        <v>12.77</v>
      </c>
      <c r="AC106" s="565">
        <v>12.77</v>
      </c>
      <c r="AD106" s="160"/>
      <c r="AE106" s="160"/>
      <c r="AF106" s="160"/>
      <c r="AG106" s="160"/>
      <c r="AH106" s="163"/>
      <c r="BB106" s="2448">
        <f>(BD106)/(BE106)</f>
        <v>1.521118448992816</v>
      </c>
      <c r="BC106" s="3166" t="str">
        <f>CONCATENATE(G106," ",K106," Year EUL")</f>
        <v>Water Heating RES 10 Year EUL</v>
      </c>
      <c r="BD106" s="2446">
        <f>(INDEX('Avoided Cost Benefits'!$C$4:$C$857,MATCH(BC106,'Avoided Cost Benefits'!$A$4:$A$857,0)))*F106</f>
        <v>4.3070838574596015</v>
      </c>
      <c r="BE106" s="2447">
        <f>L106/(1.0595^(2020-2019))</f>
        <v>2.8315243039169418</v>
      </c>
    </row>
    <row r="107" spans="1:57" x14ac:dyDescent="0.25">
      <c r="C107" s="3246" t="s">
        <v>611</v>
      </c>
      <c r="D107" s="463" t="s">
        <v>322</v>
      </c>
      <c r="E107" s="3122" t="s">
        <v>608</v>
      </c>
      <c r="F107" s="531">
        <f>ROUND(G119*(G121*G123-G125*G127)*G130*G133*G135/G137*I107*G148*G146,2)</f>
        <v>99.55</v>
      </c>
      <c r="G107" s="3227" t="s">
        <v>184</v>
      </c>
      <c r="H107" s="155">
        <f>VLOOKUP(G107,'CP FACTORS'!$A$3:$B$38, 2, FALSE)</f>
        <v>8.8731800000000003E-5</v>
      </c>
      <c r="I107" s="526">
        <f>G$139*G$140*(G$141-G$142)/(G$143*G$144)</f>
        <v>7.8971277842907403E-2</v>
      </c>
      <c r="J107" s="106">
        <f>ROUND(F107*H107,6)</f>
        <v>8.8330000000000006E-3</v>
      </c>
      <c r="K107" s="482">
        <f t="shared" si="26"/>
        <v>10</v>
      </c>
      <c r="L107" s="482">
        <f>$G$152</f>
        <v>3</v>
      </c>
      <c r="M107" s="2667" t="s">
        <v>185</v>
      </c>
      <c r="Q107" s="576"/>
      <c r="R107" s="1431"/>
      <c r="V107" s="1962" t="str">
        <f>V105</f>
        <v>kWh Annual Savings</v>
      </c>
      <c r="W107" s="1827">
        <v>115.9</v>
      </c>
      <c r="X107" s="1952">
        <v>113.15036771306985</v>
      </c>
      <c r="Y107" s="549">
        <v>99.45</v>
      </c>
      <c r="Z107" s="65">
        <v>99.45</v>
      </c>
      <c r="AA107" s="65">
        <v>99.45</v>
      </c>
      <c r="AB107" s="1975">
        <v>99.55</v>
      </c>
      <c r="AC107" s="565">
        <v>99.55</v>
      </c>
      <c r="AD107" s="160"/>
      <c r="AE107" s="160"/>
      <c r="AF107" s="160"/>
      <c r="AG107" s="160"/>
      <c r="AH107" s="163"/>
      <c r="AI107" s="1930"/>
      <c r="AJ107" s="1930"/>
      <c r="AK107" s="1930"/>
      <c r="AL107" s="1930"/>
      <c r="AM107" s="1930"/>
      <c r="AN107" s="1930"/>
      <c r="AO107" s="1930"/>
      <c r="AP107" s="1930"/>
      <c r="AQ107" s="1930"/>
      <c r="AR107" s="1930"/>
      <c r="AS107" s="1930"/>
      <c r="AT107" s="1930"/>
      <c r="AU107" s="1930"/>
      <c r="AV107" s="1930"/>
      <c r="AW107" s="1930"/>
      <c r="AX107" s="1930"/>
      <c r="AY107" s="1930"/>
      <c r="AZ107" s="1930"/>
      <c r="BA107" s="1930"/>
      <c r="BB107" s="2448">
        <f>(BD107)/(BE107)</f>
        <v>11.858053374881349</v>
      </c>
      <c r="BC107" s="3166" t="str">
        <f>CONCATENATE(G107," ",K107," Year EUL")</f>
        <v>Water Heating RES 10 Year EUL</v>
      </c>
      <c r="BD107" s="2446">
        <f>(INDEX('Avoided Cost Benefits'!$C$4:$C$857,MATCH(BC107,'Avoided Cost Benefits'!$A$4:$A$857,0)))*F107</f>
        <v>33.576366328120855</v>
      </c>
      <c r="BE107" s="2447">
        <f>L107/(1.0595^(2020-2019))</f>
        <v>2.8315243039169418</v>
      </c>
    </row>
    <row r="108" spans="1:57" s="1930" customFormat="1" x14ac:dyDescent="0.25">
      <c r="A108" s="123"/>
      <c r="B108" s="123"/>
      <c r="C108" s="3246" t="s">
        <v>612</v>
      </c>
      <c r="D108" s="2734" t="s">
        <v>512</v>
      </c>
      <c r="E108" s="3122" t="s">
        <v>613</v>
      </c>
      <c r="F108" s="531">
        <f>ROUND(G120*(G121*G124-G125*G128)*G131*G134*G135/G138*I108*G149*G146,2)</f>
        <v>43.69</v>
      </c>
      <c r="G108" s="3227" t="s">
        <v>184</v>
      </c>
      <c r="H108" s="449">
        <f>VLOOKUP(G108,'CP FACTORS'!$A$3:$B$38, 2, FALSE)</f>
        <v>8.8731800000000003E-5</v>
      </c>
      <c r="I108" s="526">
        <f>G$139*G$140*(G$141-G$142)/(G$143*G$144)</f>
        <v>7.8971277842907403E-2</v>
      </c>
      <c r="J108" s="106">
        <f>ROUND(F108*H108,6)</f>
        <v>3.8769999999999998E-3</v>
      </c>
      <c r="K108" s="482">
        <f t="shared" si="26"/>
        <v>10</v>
      </c>
      <c r="L108" s="482">
        <f>$G$152</f>
        <v>3</v>
      </c>
      <c r="M108" s="2667" t="s">
        <v>185</v>
      </c>
      <c r="N108" s="123"/>
      <c r="O108" s="123"/>
      <c r="P108" s="123"/>
      <c r="Q108" s="576"/>
      <c r="R108" s="1431"/>
      <c r="S108" s="123"/>
      <c r="T108" s="123"/>
      <c r="U108" s="123"/>
      <c r="V108" s="1962" t="str">
        <f>V106</f>
        <v>kWh Annual Savings</v>
      </c>
      <c r="W108" s="1827"/>
      <c r="X108" s="1952"/>
      <c r="Y108" s="549"/>
      <c r="Z108" s="550"/>
      <c r="AA108" s="550"/>
      <c r="AB108" s="1975">
        <v>43.69</v>
      </c>
      <c r="AC108" s="565">
        <v>43.69</v>
      </c>
      <c r="AD108" s="160"/>
      <c r="AE108" s="160"/>
      <c r="AF108" s="160"/>
      <c r="AG108" s="160"/>
      <c r="AH108" s="163"/>
      <c r="BB108" s="2448">
        <f t="shared" ref="BB108" si="27">(BD108)/(BE108)</f>
        <v>5.2042024304225638</v>
      </c>
      <c r="BC108" s="3166" t="str">
        <f t="shared" ref="BC108" si="28">CONCATENATE(G108," ",K108," Year EUL")</f>
        <v>Water Heating RES 10 Year EUL</v>
      </c>
      <c r="BD108" s="2446">
        <f>(INDEX('Avoided Cost Benefits'!$C$4:$C$857,MATCH(BC108,'Avoided Cost Benefits'!$A$4:$A$857,0)))*F108</f>
        <v>14.735825664245105</v>
      </c>
      <c r="BE108" s="2447">
        <f t="shared" ref="BE108" si="29">L108/(1.0595^(2020-2019))</f>
        <v>2.8315243039169418</v>
      </c>
    </row>
    <row r="109" spans="1:57" hidden="1" outlineLevel="1" x14ac:dyDescent="0.25">
      <c r="D109" s="484"/>
      <c r="E109" s="2420"/>
      <c r="G109" s="1478"/>
      <c r="H109" s="1479"/>
      <c r="I109" s="1480"/>
      <c r="J109" s="1480"/>
      <c r="K109" s="1480"/>
      <c r="L109" s="1481"/>
      <c r="M109" s="3220"/>
      <c r="AC109" s="1930"/>
      <c r="AD109" s="1930"/>
      <c r="AE109" s="1930"/>
      <c r="AF109" s="1930"/>
      <c r="AG109" s="1930"/>
      <c r="AH109" s="1930"/>
      <c r="AI109" s="1930"/>
      <c r="AJ109" s="1930"/>
      <c r="AK109" s="1930"/>
      <c r="AL109" s="1930"/>
      <c r="AM109" s="1930"/>
      <c r="AN109" s="1930"/>
      <c r="AO109" s="1930"/>
      <c r="AP109" s="1930"/>
      <c r="AQ109" s="1930"/>
      <c r="AR109" s="1930"/>
      <c r="AS109" s="1930"/>
      <c r="AT109" s="1930"/>
      <c r="AU109" s="1930"/>
      <c r="AV109" s="1930"/>
      <c r="AW109" s="1930"/>
      <c r="AX109" s="1930"/>
      <c r="AY109" s="1930"/>
      <c r="AZ109" s="1930"/>
      <c r="BA109" s="1930"/>
      <c r="BB109" s="147"/>
      <c r="BC109" s="147"/>
      <c r="BD109" s="478"/>
      <c r="BE109" s="478"/>
    </row>
    <row r="110" spans="1:57" hidden="1" outlineLevel="1" x14ac:dyDescent="0.25">
      <c r="D110" s="174" t="s">
        <v>108</v>
      </c>
      <c r="M110" s="3220"/>
      <c r="AC110" s="1930"/>
      <c r="AD110" s="1930"/>
      <c r="AE110" s="1930"/>
      <c r="AF110" s="1930"/>
      <c r="AG110" s="1930"/>
      <c r="AH110" s="1930"/>
      <c r="AI110" s="1930"/>
      <c r="AJ110" s="1930"/>
      <c r="AK110" s="1930"/>
      <c r="AL110" s="1930"/>
      <c r="AM110" s="1930"/>
      <c r="AN110" s="1930"/>
      <c r="AO110" s="1930"/>
      <c r="AP110" s="1930"/>
      <c r="AQ110" s="1930"/>
      <c r="AR110" s="1930"/>
      <c r="AS110" s="1930"/>
      <c r="AT110" s="1930"/>
      <c r="AU110" s="1930"/>
      <c r="AV110" s="1930"/>
      <c r="AW110" s="1930"/>
      <c r="AX110" s="1930"/>
      <c r="AY110" s="1930"/>
      <c r="AZ110" s="1930"/>
      <c r="BA110" s="1930"/>
      <c r="BB110" s="147"/>
      <c r="BC110" s="147"/>
      <c r="BD110" s="478"/>
      <c r="BE110" s="478"/>
    </row>
    <row r="111" spans="1:57" hidden="1" outlineLevel="1" x14ac:dyDescent="0.25">
      <c r="M111" s="3220"/>
      <c r="AC111" s="1930"/>
      <c r="AD111" s="1930"/>
      <c r="AE111" s="1930"/>
      <c r="AF111" s="1930"/>
      <c r="AG111" s="1930"/>
      <c r="AH111" s="1930"/>
      <c r="AI111" s="1930"/>
      <c r="AJ111" s="1930"/>
      <c r="AK111" s="1930"/>
      <c r="AL111" s="1930"/>
      <c r="AM111" s="1930"/>
      <c r="AN111" s="1930"/>
      <c r="AO111" s="1930"/>
      <c r="AP111" s="1930"/>
      <c r="AQ111" s="1930"/>
      <c r="AR111" s="1930"/>
      <c r="AS111" s="1930"/>
      <c r="AT111" s="1930"/>
      <c r="AU111" s="1930"/>
      <c r="AV111" s="1930"/>
      <c r="AW111" s="1930"/>
      <c r="AX111" s="1930"/>
      <c r="AY111" s="1930"/>
      <c r="AZ111" s="1930"/>
      <c r="BA111" s="1930"/>
      <c r="BB111" s="147"/>
      <c r="BC111" s="147"/>
      <c r="BD111" s="478"/>
      <c r="BE111" s="478"/>
    </row>
    <row r="112" spans="1:57" hidden="1" outlineLevel="1" x14ac:dyDescent="0.25">
      <c r="M112" s="3220"/>
      <c r="AC112" s="1930"/>
      <c r="AD112" s="1930"/>
      <c r="AE112" s="1930"/>
      <c r="AF112" s="1930"/>
      <c r="AG112" s="1930"/>
      <c r="AH112" s="1930"/>
      <c r="AI112" s="1930"/>
      <c r="AJ112" s="1930"/>
      <c r="AK112" s="1930"/>
      <c r="AL112" s="1930"/>
      <c r="AM112" s="1930"/>
      <c r="AN112" s="1930"/>
      <c r="AO112" s="1930"/>
      <c r="AP112" s="1930"/>
      <c r="AQ112" s="1930"/>
      <c r="AR112" s="1930"/>
      <c r="AS112" s="1930"/>
      <c r="AT112" s="1930"/>
      <c r="AU112" s="1930"/>
      <c r="AV112" s="1930"/>
      <c r="AW112" s="1930"/>
      <c r="AX112" s="1930"/>
      <c r="AY112" s="1930"/>
      <c r="AZ112" s="1930"/>
      <c r="BA112" s="1930"/>
      <c r="BB112" s="147"/>
      <c r="BC112" s="147"/>
      <c r="BD112" s="478"/>
      <c r="BE112" s="478"/>
    </row>
    <row r="113" spans="1:57" hidden="1" outlineLevel="1" x14ac:dyDescent="0.25">
      <c r="M113" s="3220"/>
      <c r="AC113" s="1930"/>
      <c r="AD113" s="1930"/>
      <c r="AE113" s="1930"/>
      <c r="AF113" s="1930"/>
      <c r="AG113" s="1930"/>
      <c r="AH113" s="1930"/>
      <c r="AI113" s="1930"/>
      <c r="AJ113" s="1930"/>
      <c r="AK113" s="1930"/>
      <c r="AL113" s="1930"/>
      <c r="AM113" s="1930"/>
      <c r="AN113" s="1930"/>
      <c r="AO113" s="1930"/>
      <c r="AP113" s="1930"/>
      <c r="AQ113" s="1930"/>
      <c r="AR113" s="1930"/>
      <c r="AS113" s="1930"/>
      <c r="AT113" s="1930"/>
      <c r="AU113" s="1930"/>
      <c r="AV113" s="1930"/>
      <c r="AW113" s="1930"/>
      <c r="AX113" s="1930"/>
      <c r="AY113" s="1930"/>
      <c r="AZ113" s="1930"/>
      <c r="BA113" s="1930"/>
      <c r="BB113" s="147"/>
      <c r="BC113" s="147"/>
      <c r="BD113" s="478"/>
      <c r="BE113" s="478"/>
    </row>
    <row r="114" spans="1:57" hidden="1" outlineLevel="1" x14ac:dyDescent="0.25">
      <c r="M114" s="3220"/>
      <c r="AC114" s="1930"/>
      <c r="AD114" s="1930"/>
      <c r="AE114" s="1930"/>
      <c r="AF114" s="1930"/>
      <c r="AG114" s="1930"/>
      <c r="AH114" s="1930"/>
      <c r="AI114" s="1930"/>
      <c r="AJ114" s="1930"/>
      <c r="AK114" s="1930"/>
      <c r="AL114" s="1930"/>
      <c r="AM114" s="1930"/>
      <c r="AN114" s="1930"/>
      <c r="AO114" s="1930"/>
      <c r="AP114" s="1930"/>
      <c r="AQ114" s="1930"/>
      <c r="AR114" s="1930"/>
      <c r="AS114" s="1930"/>
      <c r="AT114" s="1930"/>
      <c r="AU114" s="1930"/>
      <c r="AV114" s="1930"/>
      <c r="AW114" s="1930"/>
      <c r="AX114" s="1930"/>
      <c r="AY114" s="1930"/>
      <c r="AZ114" s="1930"/>
      <c r="BA114" s="1930"/>
      <c r="BB114" s="147"/>
      <c r="BC114" s="147"/>
      <c r="BD114" s="478"/>
      <c r="BE114" s="478"/>
    </row>
    <row r="115" spans="1:57" hidden="1" outlineLevel="1" x14ac:dyDescent="0.25">
      <c r="M115" s="3220"/>
      <c r="AC115" s="1930"/>
      <c r="AD115" s="1930"/>
      <c r="AE115" s="1930"/>
      <c r="AF115" s="1930"/>
      <c r="AG115" s="1930"/>
      <c r="AH115" s="1930"/>
      <c r="AI115" s="1930"/>
      <c r="AJ115" s="1930"/>
      <c r="AK115" s="1930"/>
      <c r="AL115" s="1930"/>
      <c r="AM115" s="1930"/>
      <c r="AN115" s="1930"/>
      <c r="AO115" s="1930"/>
      <c r="AP115" s="1930"/>
      <c r="AQ115" s="1930"/>
      <c r="AR115" s="1930"/>
      <c r="AS115" s="1930"/>
      <c r="AT115" s="1930"/>
      <c r="AU115" s="1930"/>
      <c r="AV115" s="1930"/>
      <c r="AW115" s="1930"/>
      <c r="AX115" s="1930"/>
      <c r="AY115" s="1930"/>
      <c r="AZ115" s="1930"/>
      <c r="BA115" s="1930"/>
      <c r="BB115" s="147"/>
      <c r="BC115" s="147"/>
      <c r="BD115" s="478"/>
      <c r="BE115" s="478"/>
    </row>
    <row r="116" spans="1:57" hidden="1" outlineLevel="1" x14ac:dyDescent="0.25">
      <c r="M116" s="517"/>
      <c r="N116" s="517"/>
      <c r="O116" s="517"/>
      <c r="P116" s="517"/>
      <c r="Q116" s="517"/>
      <c r="V116" s="551" t="s">
        <v>45</v>
      </c>
      <c r="W116" s="360">
        <f>$W$6</f>
        <v>43252</v>
      </c>
      <c r="X116" s="360">
        <f>$X$6</f>
        <v>43465</v>
      </c>
      <c r="Y116" s="360">
        <f>$Y$6</f>
        <v>43800</v>
      </c>
      <c r="Z116" s="360">
        <f>$Z$6</f>
        <v>43862</v>
      </c>
      <c r="AA116" s="360">
        <f>$AA$6</f>
        <v>44013</v>
      </c>
      <c r="AB116" s="360">
        <f>$AB$6</f>
        <v>44166</v>
      </c>
      <c r="AC116" s="1937">
        <f>$AC$6</f>
        <v>44531</v>
      </c>
      <c r="AD116" s="1937" t="str">
        <f>$AD$6</f>
        <v>-</v>
      </c>
      <c r="AE116" s="1937" t="str">
        <f>$AE$6</f>
        <v>-</v>
      </c>
      <c r="AF116" s="1937" t="str">
        <f>$AF$6</f>
        <v>-</v>
      </c>
      <c r="AG116" s="1937" t="str">
        <f>$AG$6</f>
        <v>-</v>
      </c>
      <c r="AH116" s="485"/>
      <c r="AI116" s="1930"/>
      <c r="AJ116" s="1930"/>
      <c r="AK116" s="1930"/>
      <c r="AL116" s="1930"/>
      <c r="AM116" s="1930"/>
      <c r="AN116" s="1930"/>
      <c r="AO116" s="1930"/>
      <c r="AP116" s="1930"/>
      <c r="AQ116" s="1930"/>
      <c r="AR116" s="1930"/>
      <c r="AS116" s="1930"/>
      <c r="AT116" s="1930"/>
      <c r="AU116" s="1930"/>
      <c r="AV116" s="1930"/>
      <c r="AW116" s="1930"/>
      <c r="AX116" s="1930"/>
      <c r="AY116" s="1930"/>
      <c r="AZ116" s="1930"/>
      <c r="BA116" s="1930"/>
      <c r="BB116" s="147"/>
      <c r="BC116" s="147"/>
      <c r="BD116" s="478"/>
      <c r="BE116" s="478"/>
    </row>
    <row r="117" spans="1:57" ht="15" hidden="1" customHeight="1" outlineLevel="1" x14ac:dyDescent="0.25">
      <c r="D117" s="3236" t="s">
        <v>109</v>
      </c>
      <c r="E117" s="3205" t="s">
        <v>110</v>
      </c>
      <c r="F117" s="3086" t="s">
        <v>614</v>
      </c>
      <c r="G117" s="3086" t="s">
        <v>112</v>
      </c>
      <c r="H117" s="3923" t="s">
        <v>187</v>
      </c>
      <c r="I117" s="3931"/>
      <c r="J117" s="3923" t="s">
        <v>113</v>
      </c>
      <c r="K117" s="3931"/>
      <c r="M117" s="486"/>
      <c r="N117" s="486"/>
      <c r="O117" s="486"/>
      <c r="P117" s="486"/>
      <c r="Q117" s="517"/>
      <c r="V117" s="2541"/>
      <c r="W117" s="2182"/>
      <c r="X117" s="2182"/>
      <c r="Y117" s="2182"/>
      <c r="Z117" s="2182"/>
      <c r="AA117" s="2182"/>
      <c r="AB117" s="2182"/>
      <c r="AC117" s="2182"/>
      <c r="AD117" s="2182"/>
      <c r="AE117" s="2182"/>
      <c r="AF117" s="2182"/>
      <c r="AG117" s="2182"/>
      <c r="AH117" s="123"/>
      <c r="AI117" s="1930"/>
      <c r="AJ117" s="1930"/>
      <c r="AK117" s="1930"/>
      <c r="AL117" s="1930"/>
      <c r="AM117" s="1930"/>
      <c r="AN117" s="1930"/>
      <c r="AO117" s="1930"/>
      <c r="AP117" s="1930"/>
      <c r="AQ117" s="1930"/>
      <c r="AR117" s="1930"/>
      <c r="AS117" s="1930"/>
      <c r="AT117" s="1930"/>
      <c r="AU117" s="1930"/>
      <c r="AV117" s="1930"/>
      <c r="AW117" s="1930"/>
      <c r="AX117" s="1930"/>
      <c r="AY117" s="1930"/>
      <c r="AZ117" s="1930"/>
      <c r="BA117" s="1930"/>
      <c r="BB117" s="147"/>
      <c r="BC117" s="147"/>
      <c r="BD117" s="478"/>
      <c r="BE117" s="478"/>
    </row>
    <row r="118" spans="1:57" s="1930" customFormat="1" hidden="1" outlineLevel="1" x14ac:dyDescent="0.25">
      <c r="A118" s="123"/>
      <c r="B118" s="123"/>
      <c r="C118" s="3247"/>
      <c r="D118" s="3872" t="s">
        <v>615</v>
      </c>
      <c r="E118" s="3881" t="s">
        <v>616</v>
      </c>
      <c r="F118" s="447" t="s">
        <v>617</v>
      </c>
      <c r="G118" s="487">
        <v>0.42</v>
      </c>
      <c r="H118" s="3963" t="s">
        <v>618</v>
      </c>
      <c r="I118" s="3964"/>
      <c r="J118" s="2000"/>
      <c r="K118" s="2001"/>
      <c r="L118" s="123"/>
      <c r="M118" s="536"/>
      <c r="N118" s="536"/>
      <c r="O118" s="536"/>
      <c r="P118" s="536"/>
      <c r="Q118" s="517"/>
      <c r="R118" s="123"/>
      <c r="S118" s="123"/>
      <c r="T118" s="123"/>
      <c r="U118" s="123"/>
      <c r="V118" s="3872" t="s">
        <v>615</v>
      </c>
      <c r="W118" s="489">
        <v>0.4</v>
      </c>
      <c r="X118" s="490">
        <v>0.34429999999999999</v>
      </c>
      <c r="Y118" s="490">
        <v>0.46360000000000001</v>
      </c>
      <c r="Z118" s="487">
        <v>0.46360000000000001</v>
      </c>
      <c r="AA118" s="487">
        <v>0.46360000000000001</v>
      </c>
      <c r="AB118" s="490">
        <v>0.42</v>
      </c>
      <c r="AC118" s="487">
        <v>0.42</v>
      </c>
      <c r="AD118" s="489"/>
      <c r="AE118" s="489"/>
      <c r="AF118" s="489"/>
      <c r="AG118" s="489"/>
      <c r="BB118" s="147"/>
      <c r="BC118" s="147"/>
      <c r="BD118" s="478"/>
      <c r="BE118" s="478"/>
    </row>
    <row r="119" spans="1:57" s="1930" customFormat="1" hidden="1" outlineLevel="1" x14ac:dyDescent="0.25">
      <c r="A119" s="123"/>
      <c r="B119" s="123"/>
      <c r="C119" s="3247"/>
      <c r="D119" s="3874"/>
      <c r="E119" s="3820"/>
      <c r="F119" s="3128" t="s">
        <v>599</v>
      </c>
      <c r="G119" s="487">
        <v>1</v>
      </c>
      <c r="H119" s="3927" t="s">
        <v>619</v>
      </c>
      <c r="I119" s="3928"/>
      <c r="J119" s="2000"/>
      <c r="K119" s="2001"/>
      <c r="L119" s="123"/>
      <c r="M119" s="536"/>
      <c r="N119" s="536"/>
      <c r="O119" s="536"/>
      <c r="P119" s="536"/>
      <c r="Q119" s="517"/>
      <c r="R119" s="123"/>
      <c r="S119" s="123"/>
      <c r="T119" s="123"/>
      <c r="U119" s="123"/>
      <c r="V119" s="3874"/>
      <c r="W119" s="489"/>
      <c r="X119" s="490"/>
      <c r="Y119" s="490"/>
      <c r="Z119" s="487"/>
      <c r="AA119" s="487"/>
      <c r="AB119" s="487">
        <v>1</v>
      </c>
      <c r="AC119" s="487">
        <v>1</v>
      </c>
      <c r="AD119" s="489"/>
      <c r="AE119" s="489"/>
      <c r="AF119" s="489"/>
      <c r="AG119" s="489"/>
      <c r="BB119" s="147"/>
      <c r="BC119" s="147"/>
      <c r="BD119" s="478"/>
      <c r="BE119" s="478"/>
    </row>
    <row r="120" spans="1:57" s="1930" customFormat="1" hidden="1" outlineLevel="1" x14ac:dyDescent="0.25">
      <c r="A120" s="123"/>
      <c r="B120" s="123"/>
      <c r="C120" s="3247"/>
      <c r="D120" s="3873"/>
      <c r="E120" s="3821"/>
      <c r="F120" s="3115" t="s">
        <v>620</v>
      </c>
      <c r="G120" s="487">
        <v>0.42</v>
      </c>
      <c r="H120" s="3963" t="s">
        <v>618</v>
      </c>
      <c r="I120" s="3964"/>
      <c r="J120" s="2000"/>
      <c r="K120" s="2001"/>
      <c r="L120" s="123"/>
      <c r="M120" s="536"/>
      <c r="N120" s="536"/>
      <c r="O120" s="536"/>
      <c r="P120" s="536"/>
      <c r="Q120" s="517"/>
      <c r="R120" s="123"/>
      <c r="S120" s="123"/>
      <c r="T120" s="123"/>
      <c r="U120" s="123"/>
      <c r="V120" s="3873"/>
      <c r="W120" s="489"/>
      <c r="X120" s="490"/>
      <c r="Y120" s="490"/>
      <c r="Z120" s="487"/>
      <c r="AA120" s="487"/>
      <c r="AB120" s="490">
        <v>0.42</v>
      </c>
      <c r="AC120" s="487">
        <v>0.42</v>
      </c>
      <c r="AD120" s="489"/>
      <c r="AE120" s="489"/>
      <c r="AF120" s="489"/>
      <c r="AG120" s="489"/>
      <c r="BB120" s="147"/>
      <c r="BC120" s="147"/>
      <c r="BD120" s="478"/>
      <c r="BE120" s="478"/>
    </row>
    <row r="121" spans="1:57" hidden="1" outlineLevel="1" x14ac:dyDescent="0.25">
      <c r="C121" s="3247"/>
      <c r="D121" s="3089" t="s">
        <v>621</v>
      </c>
      <c r="E121" s="3124" t="s">
        <v>622</v>
      </c>
      <c r="F121" s="447" t="s">
        <v>135</v>
      </c>
      <c r="G121" s="3226">
        <v>2.2000000000000002</v>
      </c>
      <c r="H121" s="3904" t="s">
        <v>623</v>
      </c>
      <c r="I121" s="3906"/>
      <c r="J121" s="3925"/>
      <c r="K121" s="3926"/>
      <c r="M121" s="486"/>
      <c r="N121" s="486"/>
      <c r="O121" s="486"/>
      <c r="P121" s="486"/>
      <c r="Q121" s="517"/>
      <c r="V121" s="3089" t="s">
        <v>621</v>
      </c>
      <c r="W121" s="481">
        <v>2.2000000000000002</v>
      </c>
      <c r="X121" s="491">
        <v>2.2000000000000002</v>
      </c>
      <c r="Y121" s="3226">
        <v>2.2000000000000002</v>
      </c>
      <c r="Z121" s="3226">
        <v>2.2000000000000002</v>
      </c>
      <c r="AA121" s="3226">
        <v>2.2000000000000002</v>
      </c>
      <c r="AB121" s="3226">
        <v>2.2000000000000002</v>
      </c>
      <c r="AC121" s="3226">
        <v>2.2000000000000002</v>
      </c>
      <c r="AD121" s="481"/>
      <c r="AE121" s="481"/>
      <c r="AF121" s="481"/>
      <c r="AG121" s="481"/>
      <c r="AH121" s="1930"/>
      <c r="AI121" s="1930"/>
      <c r="AJ121" s="1930"/>
      <c r="AK121" s="1930"/>
      <c r="AL121" s="1930"/>
      <c r="AM121" s="1930"/>
      <c r="AN121" s="1930"/>
      <c r="AO121" s="1930"/>
      <c r="AP121" s="1930"/>
      <c r="AQ121" s="1930"/>
      <c r="AR121" s="1930"/>
      <c r="AS121" s="1930"/>
      <c r="AT121" s="1930"/>
      <c r="AU121" s="1930"/>
      <c r="AV121" s="1930"/>
      <c r="AW121" s="1930"/>
      <c r="AX121" s="1930"/>
      <c r="AY121" s="1930"/>
      <c r="AZ121" s="1930"/>
      <c r="BA121" s="1930"/>
      <c r="BB121" s="147"/>
      <c r="BC121" s="147"/>
      <c r="BD121" s="478"/>
      <c r="BE121" s="478"/>
    </row>
    <row r="122" spans="1:57" hidden="1" outlineLevel="1" x14ac:dyDescent="0.25">
      <c r="C122" s="3247"/>
      <c r="D122" s="3872" t="s">
        <v>624</v>
      </c>
      <c r="E122" s="3881" t="s">
        <v>625</v>
      </c>
      <c r="F122" s="447" t="s">
        <v>617</v>
      </c>
      <c r="G122" s="492">
        <v>4.5</v>
      </c>
      <c r="H122" s="3904" t="s">
        <v>626</v>
      </c>
      <c r="I122" s="3906"/>
      <c r="J122" s="3925"/>
      <c r="K122" s="3926"/>
      <c r="M122" s="457"/>
      <c r="N122" s="1483"/>
      <c r="O122" s="486"/>
      <c r="P122" s="486"/>
      <c r="Q122" s="517"/>
      <c r="V122" s="3872" t="s">
        <v>624</v>
      </c>
      <c r="W122" s="464">
        <v>4.5</v>
      </c>
      <c r="X122" s="493">
        <v>4.5</v>
      </c>
      <c r="Y122" s="492">
        <v>4.5</v>
      </c>
      <c r="Z122" s="492">
        <v>4.5</v>
      </c>
      <c r="AA122" s="492">
        <v>4.5</v>
      </c>
      <c r="AB122" s="492">
        <v>4.5</v>
      </c>
      <c r="AC122" s="492">
        <v>4.5</v>
      </c>
      <c r="AD122" s="464"/>
      <c r="AE122" s="464"/>
      <c r="AF122" s="464"/>
      <c r="AG122" s="464"/>
      <c r="AH122" s="1930"/>
      <c r="AI122" s="1930"/>
      <c r="AJ122" s="1930"/>
      <c r="AK122" s="1930"/>
      <c r="AL122" s="1930"/>
      <c r="AM122" s="1930"/>
      <c r="AN122" s="1930"/>
      <c r="AO122" s="1930"/>
      <c r="AP122" s="1930"/>
      <c r="AQ122" s="1930"/>
      <c r="AR122" s="1930"/>
      <c r="AS122" s="1930"/>
      <c r="AT122" s="1930"/>
      <c r="AU122" s="1930"/>
      <c r="AV122" s="1930"/>
      <c r="AW122" s="1930"/>
      <c r="AX122" s="1930"/>
      <c r="AY122" s="1930"/>
      <c r="AZ122" s="1930"/>
      <c r="BA122" s="1930"/>
      <c r="BB122" s="147"/>
      <c r="BC122" s="147"/>
      <c r="BD122" s="478"/>
      <c r="BE122" s="478"/>
    </row>
    <row r="123" spans="1:57" s="1930" customFormat="1" hidden="1" outlineLevel="1" x14ac:dyDescent="0.25">
      <c r="A123" s="123"/>
      <c r="B123" s="123"/>
      <c r="C123" s="3247"/>
      <c r="D123" s="3874"/>
      <c r="E123" s="3820"/>
      <c r="F123" s="3145" t="s">
        <v>599</v>
      </c>
      <c r="G123" s="492">
        <v>3.7</v>
      </c>
      <c r="H123" s="3904" t="s">
        <v>627</v>
      </c>
      <c r="I123" s="3906"/>
      <c r="J123" s="3137"/>
      <c r="K123" s="3138"/>
      <c r="L123" s="123"/>
      <c r="M123" s="457"/>
      <c r="N123" s="1483"/>
      <c r="O123" s="486"/>
      <c r="P123" s="486"/>
      <c r="Q123" s="517"/>
      <c r="R123" s="123"/>
      <c r="S123" s="123"/>
      <c r="T123" s="123"/>
      <c r="U123" s="123"/>
      <c r="V123" s="3874"/>
      <c r="W123" s="464"/>
      <c r="X123" s="493"/>
      <c r="Y123" s="492"/>
      <c r="Z123" s="492"/>
      <c r="AA123" s="492"/>
      <c r="AB123" s="492">
        <v>3.7</v>
      </c>
      <c r="AC123" s="492">
        <v>3.7</v>
      </c>
      <c r="AD123" s="464"/>
      <c r="AE123" s="464"/>
      <c r="AF123" s="464"/>
      <c r="AG123" s="464"/>
      <c r="BB123" s="147"/>
      <c r="BC123" s="147"/>
      <c r="BD123" s="478"/>
      <c r="BE123" s="478"/>
    </row>
    <row r="124" spans="1:57" s="1930" customFormat="1" hidden="1" outlineLevel="1" x14ac:dyDescent="0.25">
      <c r="A124" s="123"/>
      <c r="B124" s="123"/>
      <c r="C124" s="3247"/>
      <c r="D124" s="3873"/>
      <c r="E124" s="3821"/>
      <c r="F124" s="3115" t="s">
        <v>620</v>
      </c>
      <c r="G124" s="3227">
        <v>3.7</v>
      </c>
      <c r="H124" s="3967" t="s">
        <v>628</v>
      </c>
      <c r="I124" s="3968"/>
      <c r="J124" s="3137"/>
      <c r="K124" s="3138"/>
      <c r="L124" s="123"/>
      <c r="M124" s="457"/>
      <c r="N124" s="1483"/>
      <c r="O124" s="486"/>
      <c r="P124" s="486"/>
      <c r="Q124" s="517"/>
      <c r="R124" s="123"/>
      <c r="S124" s="123"/>
      <c r="T124" s="123"/>
      <c r="U124" s="123"/>
      <c r="V124" s="3873"/>
      <c r="W124" s="464"/>
      <c r="X124" s="493"/>
      <c r="Y124" s="492"/>
      <c r="Z124" s="492"/>
      <c r="AA124" s="492"/>
      <c r="AB124" s="538">
        <v>3.7</v>
      </c>
      <c r="AC124" s="3227">
        <v>3.7</v>
      </c>
      <c r="AD124" s="464"/>
      <c r="AE124" s="464"/>
      <c r="AF124" s="464"/>
      <c r="AG124" s="464"/>
      <c r="BB124" s="147"/>
      <c r="BC124" s="147"/>
      <c r="BD124" s="478"/>
      <c r="BE124" s="478"/>
    </row>
    <row r="125" spans="1:57" s="456" customFormat="1" hidden="1" outlineLevel="1" x14ac:dyDescent="0.25">
      <c r="A125" s="3220"/>
      <c r="B125" s="3220"/>
      <c r="C125" s="3247"/>
      <c r="D125" s="3089" t="s">
        <v>629</v>
      </c>
      <c r="E125" s="3124" t="s">
        <v>630</v>
      </c>
      <c r="F125" s="3127" t="s">
        <v>135</v>
      </c>
      <c r="G125" s="492">
        <v>1.5</v>
      </c>
      <c r="H125" s="3904" t="s">
        <v>631</v>
      </c>
      <c r="I125" s="3906"/>
      <c r="J125" s="3925"/>
      <c r="K125" s="3926"/>
      <c r="L125" s="123"/>
      <c r="M125" s="457"/>
      <c r="N125" s="457"/>
      <c r="O125" s="457"/>
      <c r="P125" s="457"/>
      <c r="Q125" s="3163"/>
      <c r="R125" s="3220"/>
      <c r="S125" s="3220"/>
      <c r="T125" s="3220"/>
      <c r="U125" s="3220"/>
      <c r="V125" s="3089" t="s">
        <v>629</v>
      </c>
      <c r="W125" s="464">
        <v>1.5</v>
      </c>
      <c r="X125" s="493">
        <v>1.5</v>
      </c>
      <c r="Y125" s="463">
        <v>1.5</v>
      </c>
      <c r="Z125" s="463">
        <v>1.5</v>
      </c>
      <c r="AA125" s="463">
        <v>1.5</v>
      </c>
      <c r="AB125" s="492">
        <v>1.5</v>
      </c>
      <c r="AC125" s="492">
        <v>1.5</v>
      </c>
      <c r="AD125" s="464"/>
      <c r="AE125" s="464"/>
      <c r="AF125" s="464"/>
      <c r="AG125" s="464"/>
      <c r="AI125" s="1930"/>
      <c r="AJ125" s="1930"/>
      <c r="AK125" s="1930"/>
      <c r="AL125" s="1930"/>
      <c r="AM125" s="1930"/>
      <c r="AN125" s="1930"/>
      <c r="AO125" s="1930"/>
      <c r="AP125" s="1930"/>
      <c r="AQ125" s="1930"/>
      <c r="AR125" s="1930"/>
      <c r="AS125" s="1930"/>
      <c r="BB125" s="147"/>
      <c r="BC125" s="147"/>
      <c r="BD125" s="478"/>
      <c r="BE125" s="478"/>
    </row>
    <row r="126" spans="1:57" hidden="1" outlineLevel="1" x14ac:dyDescent="0.25">
      <c r="C126" s="3247"/>
      <c r="D126" s="3872" t="s">
        <v>632</v>
      </c>
      <c r="E126" s="3881" t="s">
        <v>633</v>
      </c>
      <c r="F126" s="447" t="s">
        <v>617</v>
      </c>
      <c r="G126" s="492">
        <v>4.5</v>
      </c>
      <c r="H126" s="3904" t="s">
        <v>626</v>
      </c>
      <c r="I126" s="3906"/>
      <c r="J126" s="3925"/>
      <c r="K126" s="3926"/>
      <c r="M126" s="457"/>
      <c r="N126" s="486"/>
      <c r="O126" s="486"/>
      <c r="P126" s="486"/>
      <c r="Q126" s="517"/>
      <c r="V126" s="3872" t="s">
        <v>632</v>
      </c>
      <c r="W126" s="464">
        <v>4.5</v>
      </c>
      <c r="X126" s="493">
        <v>4.5</v>
      </c>
      <c r="Y126" s="463">
        <v>4.5</v>
      </c>
      <c r="Z126" s="463">
        <v>4.5</v>
      </c>
      <c r="AA126" s="463">
        <v>4.5</v>
      </c>
      <c r="AB126" s="492">
        <v>4.5</v>
      </c>
      <c r="AC126" s="492">
        <v>4.5</v>
      </c>
      <c r="AD126" s="464"/>
      <c r="AE126" s="464"/>
      <c r="AF126" s="464"/>
      <c r="AG126" s="464"/>
      <c r="AH126" s="1930"/>
      <c r="AI126" s="1930"/>
      <c r="AJ126" s="1930"/>
      <c r="AK126" s="1930"/>
      <c r="AL126" s="1930"/>
      <c r="AM126" s="1930"/>
      <c r="AN126" s="1930"/>
      <c r="AO126" s="1930"/>
      <c r="AP126" s="1930"/>
      <c r="AQ126" s="1930"/>
      <c r="AR126" s="1930"/>
      <c r="AS126" s="1930"/>
      <c r="AT126" s="1930"/>
      <c r="AU126" s="1930"/>
      <c r="AV126" s="1930"/>
      <c r="AW126" s="1930"/>
      <c r="AX126" s="1930"/>
      <c r="AY126" s="1930"/>
      <c r="AZ126" s="1930"/>
      <c r="BA126" s="1930"/>
      <c r="BB126" s="147"/>
      <c r="BC126" s="147"/>
      <c r="BD126" s="478"/>
      <c r="BE126" s="478"/>
    </row>
    <row r="127" spans="1:57" s="1930" customFormat="1" hidden="1" outlineLevel="1" x14ac:dyDescent="0.25">
      <c r="A127" s="123"/>
      <c r="B127" s="123"/>
      <c r="C127" s="3247"/>
      <c r="D127" s="3874"/>
      <c r="E127" s="3820"/>
      <c r="F127" s="3145" t="s">
        <v>599</v>
      </c>
      <c r="G127" s="492">
        <v>3.7</v>
      </c>
      <c r="H127" s="3904" t="s">
        <v>627</v>
      </c>
      <c r="I127" s="3906"/>
      <c r="J127" s="3137"/>
      <c r="K127" s="3138"/>
      <c r="L127" s="123"/>
      <c r="M127" s="457"/>
      <c r="N127" s="486"/>
      <c r="O127" s="486"/>
      <c r="P127" s="486"/>
      <c r="Q127" s="517"/>
      <c r="R127" s="123"/>
      <c r="S127" s="123"/>
      <c r="T127" s="123"/>
      <c r="U127" s="123"/>
      <c r="V127" s="3874"/>
      <c r="W127" s="464"/>
      <c r="X127" s="493"/>
      <c r="Y127" s="463"/>
      <c r="Z127" s="463"/>
      <c r="AA127" s="463"/>
      <c r="AB127" s="492">
        <v>3.7</v>
      </c>
      <c r="AC127" s="492">
        <v>3.7</v>
      </c>
      <c r="AD127" s="464"/>
      <c r="AE127" s="464"/>
      <c r="AF127" s="464"/>
      <c r="AG127" s="464"/>
      <c r="BB127" s="147"/>
      <c r="BC127" s="147"/>
      <c r="BD127" s="478"/>
      <c r="BE127" s="478"/>
    </row>
    <row r="128" spans="1:57" s="1930" customFormat="1" hidden="1" outlineLevel="1" x14ac:dyDescent="0.25">
      <c r="A128" s="123"/>
      <c r="B128" s="123"/>
      <c r="C128" s="3247"/>
      <c r="D128" s="3873"/>
      <c r="E128" s="3821"/>
      <c r="F128" s="3115" t="s">
        <v>620</v>
      </c>
      <c r="G128" s="3227">
        <v>3.7</v>
      </c>
      <c r="H128" s="3967" t="s">
        <v>628</v>
      </c>
      <c r="I128" s="3968"/>
      <c r="J128" s="3137"/>
      <c r="K128" s="3138"/>
      <c r="L128" s="123"/>
      <c r="M128" s="457"/>
      <c r="N128" s="486"/>
      <c r="O128" s="486"/>
      <c r="P128" s="486"/>
      <c r="Q128" s="517"/>
      <c r="R128" s="123"/>
      <c r="S128" s="123"/>
      <c r="T128" s="123"/>
      <c r="U128" s="123"/>
      <c r="V128" s="3873"/>
      <c r="W128" s="464"/>
      <c r="X128" s="493"/>
      <c r="Y128" s="463"/>
      <c r="Z128" s="463"/>
      <c r="AA128" s="463"/>
      <c r="AB128" s="538">
        <v>3.7</v>
      </c>
      <c r="AC128" s="3227">
        <v>3.7</v>
      </c>
      <c r="AD128" s="464"/>
      <c r="AE128" s="464"/>
      <c r="AF128" s="464"/>
      <c r="AG128" s="464"/>
      <c r="BB128" s="147"/>
      <c r="BC128" s="147"/>
      <c r="BD128" s="478"/>
      <c r="BE128" s="478"/>
    </row>
    <row r="129" spans="1:57" s="1930" customFormat="1" hidden="1" outlineLevel="1" x14ac:dyDescent="0.25">
      <c r="A129" s="123"/>
      <c r="B129" s="123"/>
      <c r="C129" s="3247"/>
      <c r="D129" s="3872" t="s">
        <v>200</v>
      </c>
      <c r="E129" s="3881" t="s">
        <v>634</v>
      </c>
      <c r="F129" s="447" t="s">
        <v>617</v>
      </c>
      <c r="G129" s="494">
        <v>4.28571428571429</v>
      </c>
      <c r="H129" s="3904" t="s">
        <v>618</v>
      </c>
      <c r="I129" s="3906"/>
      <c r="J129" s="3137"/>
      <c r="K129" s="3138"/>
      <c r="L129" s="123"/>
      <c r="M129" s="1484"/>
      <c r="N129" s="486"/>
      <c r="O129" s="486"/>
      <c r="P129" s="486"/>
      <c r="Q129" s="517"/>
      <c r="R129" s="123"/>
      <c r="S129" s="123"/>
      <c r="T129" s="123"/>
      <c r="U129" s="123"/>
      <c r="V129" s="3872" t="s">
        <v>200</v>
      </c>
      <c r="W129" s="495">
        <v>4.3185840707964598</v>
      </c>
      <c r="X129" s="496">
        <v>4.2926829268292686</v>
      </c>
      <c r="Y129" s="497">
        <v>4.2329545454545459</v>
      </c>
      <c r="Z129" s="2165">
        <v>4.2329545454545459</v>
      </c>
      <c r="AA129" s="2165">
        <v>4.2329545454545459</v>
      </c>
      <c r="AB129" s="496">
        <v>4.28571428571429</v>
      </c>
      <c r="AC129" s="494">
        <v>4.28571428571429</v>
      </c>
      <c r="AD129" s="495"/>
      <c r="AE129" s="495"/>
      <c r="AF129" s="495"/>
      <c r="AG129" s="495"/>
      <c r="BB129" s="147"/>
      <c r="BC129" s="147"/>
      <c r="BD129" s="478"/>
      <c r="BE129" s="478"/>
    </row>
    <row r="130" spans="1:57" s="1930" customFormat="1" hidden="1" outlineLevel="1" x14ac:dyDescent="0.25">
      <c r="A130" s="123"/>
      <c r="B130" s="123"/>
      <c r="C130" s="3247"/>
      <c r="D130" s="3874"/>
      <c r="E130" s="3820"/>
      <c r="F130" s="3109" t="s">
        <v>599</v>
      </c>
      <c r="G130" s="494">
        <v>1.7767584097859328</v>
      </c>
      <c r="H130" s="3904" t="s">
        <v>635</v>
      </c>
      <c r="I130" s="3906"/>
      <c r="J130" s="3137"/>
      <c r="K130" s="3138"/>
      <c r="L130" s="123"/>
      <c r="M130" s="1484"/>
      <c r="N130" s="486"/>
      <c r="O130" s="486"/>
      <c r="P130" s="486"/>
      <c r="Q130" s="517"/>
      <c r="R130" s="123"/>
      <c r="S130" s="123"/>
      <c r="T130" s="123"/>
      <c r="U130" s="123"/>
      <c r="V130" s="3874"/>
      <c r="W130" s="495"/>
      <c r="X130" s="496"/>
      <c r="Y130" s="497"/>
      <c r="Z130" s="2165"/>
      <c r="AA130" s="2165"/>
      <c r="AB130" s="494">
        <v>1.7767584097859328</v>
      </c>
      <c r="AC130" s="494">
        <v>1.7767584097859328</v>
      </c>
      <c r="AD130" s="495"/>
      <c r="AE130" s="495"/>
      <c r="AF130" s="495"/>
      <c r="AG130" s="495"/>
      <c r="BB130" s="147"/>
      <c r="BC130" s="147"/>
      <c r="BD130" s="478"/>
      <c r="BE130" s="478"/>
    </row>
    <row r="131" spans="1:57" s="1930" customFormat="1" hidden="1" outlineLevel="1" x14ac:dyDescent="0.25">
      <c r="A131" s="123"/>
      <c r="B131" s="123"/>
      <c r="C131" s="3247"/>
      <c r="D131" s="3874"/>
      <c r="E131" s="3820"/>
      <c r="F131" s="3115" t="s">
        <v>620</v>
      </c>
      <c r="G131" s="526">
        <v>1.5644946808510638</v>
      </c>
      <c r="H131" s="3965" t="s">
        <v>636</v>
      </c>
      <c r="I131" s="3966"/>
      <c r="J131" s="3137"/>
      <c r="K131" s="3138"/>
      <c r="L131" s="123"/>
      <c r="M131" s="1484"/>
      <c r="N131" s="486"/>
      <c r="O131" s="486"/>
      <c r="P131" s="486"/>
      <c r="Q131" s="517"/>
      <c r="R131" s="123"/>
      <c r="S131" s="123"/>
      <c r="T131" s="123"/>
      <c r="U131" s="123"/>
      <c r="V131" s="3874"/>
      <c r="W131" s="495"/>
      <c r="X131" s="496"/>
      <c r="Y131" s="497"/>
      <c r="Z131" s="2165"/>
      <c r="AA131" s="2165"/>
      <c r="AB131" s="498">
        <v>1.5644946808510638</v>
      </c>
      <c r="AC131" s="526">
        <v>1.5644946808510638</v>
      </c>
      <c r="AD131" s="495"/>
      <c r="AE131" s="495"/>
      <c r="AF131" s="495"/>
      <c r="AG131" s="495"/>
      <c r="BB131" s="147"/>
      <c r="BC131" s="147"/>
      <c r="BD131" s="478"/>
      <c r="BE131" s="478"/>
    </row>
    <row r="132" spans="1:57" s="1930" customFormat="1" hidden="1" outlineLevel="1" x14ac:dyDescent="0.25">
      <c r="A132" s="123"/>
      <c r="B132" s="123"/>
      <c r="C132" s="3247"/>
      <c r="D132" s="3873"/>
      <c r="E132" s="3821"/>
      <c r="F132" s="3109" t="s">
        <v>538</v>
      </c>
      <c r="G132" s="526">
        <v>2.65</v>
      </c>
      <c r="H132" s="3965" t="s">
        <v>637</v>
      </c>
      <c r="I132" s="3966"/>
      <c r="J132" s="3137"/>
      <c r="K132" s="3138"/>
      <c r="L132" s="123"/>
      <c r="M132" s="1484"/>
      <c r="N132" s="486"/>
      <c r="O132" s="486"/>
      <c r="P132" s="486"/>
      <c r="Q132" s="517"/>
      <c r="R132" s="123"/>
      <c r="S132" s="123"/>
      <c r="T132" s="123"/>
      <c r="U132" s="123"/>
      <c r="V132" s="3873"/>
      <c r="W132" s="495"/>
      <c r="X132" s="496"/>
      <c r="Y132" s="497"/>
      <c r="Z132" s="2165"/>
      <c r="AA132" s="2165"/>
      <c r="AB132" s="498">
        <v>2.65</v>
      </c>
      <c r="AC132" s="526">
        <v>2.65</v>
      </c>
      <c r="AD132" s="495"/>
      <c r="AE132" s="495"/>
      <c r="AF132" s="495"/>
      <c r="AG132" s="495"/>
      <c r="BB132" s="147"/>
      <c r="BC132" s="147"/>
      <c r="BD132" s="478"/>
      <c r="BE132" s="478"/>
    </row>
    <row r="133" spans="1:57" hidden="1" outlineLevel="1" x14ac:dyDescent="0.25">
      <c r="C133" s="3247"/>
      <c r="D133" s="3929" t="s">
        <v>638</v>
      </c>
      <c r="E133" s="3881" t="s">
        <v>639</v>
      </c>
      <c r="F133" s="2041" t="s">
        <v>640</v>
      </c>
      <c r="G133" s="3226">
        <v>0.75</v>
      </c>
      <c r="H133" s="3904" t="s">
        <v>641</v>
      </c>
      <c r="I133" s="3906"/>
      <c r="J133" s="3925"/>
      <c r="K133" s="3926"/>
      <c r="M133" s="486"/>
      <c r="N133" s="486"/>
      <c r="O133" s="486"/>
      <c r="P133" s="486"/>
      <c r="Q133" s="517"/>
      <c r="V133" s="3863" t="s">
        <v>638</v>
      </c>
      <c r="W133" s="499">
        <v>0.75</v>
      </c>
      <c r="X133" s="491">
        <v>0.75</v>
      </c>
      <c r="Y133" s="3226">
        <v>0.75</v>
      </c>
      <c r="Z133" s="3226">
        <v>0.75</v>
      </c>
      <c r="AA133" s="3226">
        <v>0.75</v>
      </c>
      <c r="AB133" s="3226">
        <v>0.75</v>
      </c>
      <c r="AC133" s="3226">
        <v>0.75</v>
      </c>
      <c r="AD133" s="499"/>
      <c r="AE133" s="499"/>
      <c r="AF133" s="499"/>
      <c r="AG133" s="499"/>
      <c r="AH133" s="1930"/>
      <c r="AI133" s="1930"/>
      <c r="AJ133" s="1930"/>
      <c r="AK133" s="1930"/>
      <c r="AL133" s="1930"/>
      <c r="AM133" s="1930"/>
      <c r="AN133" s="1930"/>
      <c r="AO133" s="1930"/>
      <c r="AP133" s="1930"/>
      <c r="AQ133" s="1930"/>
      <c r="AR133" s="1930"/>
      <c r="AS133" s="1930"/>
      <c r="AT133" s="1930"/>
      <c r="AU133" s="1930"/>
      <c r="AV133" s="1930"/>
      <c r="AW133" s="1930"/>
      <c r="AX133" s="1930"/>
      <c r="AY133" s="1930"/>
      <c r="AZ133" s="1930"/>
      <c r="BA133" s="1930"/>
      <c r="BB133" s="147"/>
      <c r="BC133" s="147"/>
      <c r="BD133" s="478"/>
      <c r="BE133" s="478"/>
    </row>
    <row r="134" spans="1:57" s="1930" customFormat="1" hidden="1" outlineLevel="1" x14ac:dyDescent="0.25">
      <c r="A134" s="123"/>
      <c r="B134" s="123"/>
      <c r="C134" s="3247"/>
      <c r="D134" s="3930"/>
      <c r="E134" s="3821"/>
      <c r="F134" s="3115" t="s">
        <v>620</v>
      </c>
      <c r="G134" s="105">
        <v>1</v>
      </c>
      <c r="H134" s="3904" t="s">
        <v>536</v>
      </c>
      <c r="I134" s="3906"/>
      <c r="J134" s="3137"/>
      <c r="K134" s="3138"/>
      <c r="L134" s="123"/>
      <c r="M134" s="486"/>
      <c r="N134" s="486"/>
      <c r="O134" s="486"/>
      <c r="P134" s="486"/>
      <c r="Q134" s="517"/>
      <c r="R134" s="123"/>
      <c r="S134" s="123"/>
      <c r="T134" s="123"/>
      <c r="U134" s="123"/>
      <c r="V134" s="3804"/>
      <c r="W134" s="499"/>
      <c r="X134" s="491"/>
      <c r="Y134" s="3226"/>
      <c r="Z134" s="3226"/>
      <c r="AA134" s="3226"/>
      <c r="AB134" s="115">
        <v>1</v>
      </c>
      <c r="AC134" s="105">
        <v>1</v>
      </c>
      <c r="AD134" s="499"/>
      <c r="AE134" s="499"/>
      <c r="AF134" s="499"/>
      <c r="AG134" s="499"/>
      <c r="BB134" s="147"/>
      <c r="BC134" s="147"/>
      <c r="BD134" s="478"/>
      <c r="BE134" s="478"/>
    </row>
    <row r="135" spans="1:57" hidden="1" outlineLevel="1" x14ac:dyDescent="0.25">
      <c r="C135" s="3247"/>
      <c r="D135" s="3125">
        <v>365.25</v>
      </c>
      <c r="E135" s="3124" t="s">
        <v>586</v>
      </c>
      <c r="F135" s="447" t="s">
        <v>135</v>
      </c>
      <c r="G135" s="492">
        <v>365.25</v>
      </c>
      <c r="H135" s="3904" t="s">
        <v>587</v>
      </c>
      <c r="I135" s="3906"/>
      <c r="J135" s="3925"/>
      <c r="K135" s="3926"/>
      <c r="M135" s="457"/>
      <c r="N135" s="486"/>
      <c r="O135" s="486"/>
      <c r="P135" s="486"/>
      <c r="Q135" s="517"/>
      <c r="V135" s="447">
        <v>365.25</v>
      </c>
      <c r="W135" s="464">
        <v>365</v>
      </c>
      <c r="X135" s="493">
        <v>365</v>
      </c>
      <c r="Y135" s="492">
        <v>365</v>
      </c>
      <c r="Z135" s="492">
        <v>365</v>
      </c>
      <c r="AA135" s="492">
        <v>365</v>
      </c>
      <c r="AB135" s="374">
        <v>365.25</v>
      </c>
      <c r="AC135" s="492">
        <v>365.25</v>
      </c>
      <c r="AD135" s="464"/>
      <c r="AE135" s="464"/>
      <c r="AF135" s="464"/>
      <c r="AG135" s="464"/>
      <c r="AH135" s="1930"/>
      <c r="AI135" s="1930"/>
      <c r="AJ135" s="1930"/>
      <c r="AK135" s="1930"/>
      <c r="AL135" s="1930"/>
      <c r="AM135" s="1930"/>
      <c r="AN135" s="1930"/>
      <c r="AO135" s="1930"/>
      <c r="AP135" s="1930"/>
      <c r="AQ135" s="1930"/>
      <c r="AR135" s="1930"/>
      <c r="AS135" s="1930"/>
      <c r="AT135" s="1930"/>
      <c r="AU135" s="1930"/>
      <c r="AV135" s="1930"/>
      <c r="AW135" s="1930"/>
      <c r="AX135" s="1930"/>
      <c r="AY135" s="1930"/>
      <c r="AZ135" s="1930"/>
      <c r="BA135" s="1930"/>
      <c r="BB135" s="147"/>
      <c r="BC135" s="147"/>
      <c r="BD135" s="478"/>
      <c r="BE135" s="478"/>
    </row>
    <row r="136" spans="1:57" hidden="1" outlineLevel="1" x14ac:dyDescent="0.25">
      <c r="C136" s="3247"/>
      <c r="D136" s="3929" t="s">
        <v>642</v>
      </c>
      <c r="E136" s="3881" t="s">
        <v>643</v>
      </c>
      <c r="F136" s="447" t="s">
        <v>617</v>
      </c>
      <c r="G136" s="500">
        <v>1.1875</v>
      </c>
      <c r="H136" s="3904" t="s">
        <v>644</v>
      </c>
      <c r="I136" s="3906"/>
      <c r="J136" s="3925"/>
      <c r="K136" s="3926"/>
      <c r="M136" s="1485"/>
      <c r="N136" s="1486"/>
      <c r="O136" s="1487"/>
      <c r="P136" s="1487"/>
      <c r="Q136" s="517"/>
      <c r="V136" s="3863" t="s">
        <v>642</v>
      </c>
      <c r="W136" s="502">
        <v>1.1754385964912279</v>
      </c>
      <c r="X136" s="503">
        <v>1.1754385964912279</v>
      </c>
      <c r="Y136" s="504">
        <v>1.1875</v>
      </c>
      <c r="Z136" s="501">
        <v>1.1875</v>
      </c>
      <c r="AA136" s="501">
        <v>1.1875</v>
      </c>
      <c r="AB136" s="500">
        <v>1.1875</v>
      </c>
      <c r="AC136" s="500">
        <v>1.1875</v>
      </c>
      <c r="AD136" s="502"/>
      <c r="AE136" s="502"/>
      <c r="AF136" s="502"/>
      <c r="AG136" s="502"/>
      <c r="AH136" s="1930"/>
      <c r="AI136" s="1930"/>
      <c r="AJ136" s="1930"/>
      <c r="AK136" s="1930"/>
      <c r="AL136" s="1930"/>
      <c r="AM136" s="1930"/>
      <c r="AN136" s="1930"/>
      <c r="AO136" s="1930"/>
      <c r="AP136" s="1930"/>
      <c r="AQ136" s="1930"/>
      <c r="AR136" s="1930"/>
      <c r="AS136" s="1930"/>
      <c r="AT136" s="1930"/>
      <c r="AU136" s="1930"/>
      <c r="AV136" s="1930"/>
      <c r="AW136" s="1930"/>
      <c r="AX136" s="1930"/>
      <c r="AY136" s="1930"/>
      <c r="AZ136" s="1930"/>
      <c r="BA136" s="1930"/>
      <c r="BB136" s="147"/>
      <c r="BC136" s="147"/>
      <c r="BD136" s="478"/>
      <c r="BE136" s="478"/>
    </row>
    <row r="137" spans="1:57" s="1930" customFormat="1" hidden="1" outlineLevel="1" x14ac:dyDescent="0.25">
      <c r="A137" s="123"/>
      <c r="B137" s="123"/>
      <c r="C137" s="3247"/>
      <c r="D137" s="3857"/>
      <c r="E137" s="3820"/>
      <c r="F137" s="3134" t="s">
        <v>599</v>
      </c>
      <c r="G137" s="501">
        <v>1</v>
      </c>
      <c r="H137" s="3927" t="s">
        <v>619</v>
      </c>
      <c r="I137" s="3928"/>
      <c r="J137" s="3137"/>
      <c r="K137" s="3138"/>
      <c r="L137" s="123"/>
      <c r="M137" s="1485"/>
      <c r="N137" s="1486"/>
      <c r="O137" s="1487"/>
      <c r="P137" s="1487"/>
      <c r="Q137" s="517"/>
      <c r="R137" s="123"/>
      <c r="S137" s="123"/>
      <c r="T137" s="123"/>
      <c r="U137" s="123"/>
      <c r="V137" s="3705"/>
      <c r="W137" s="502"/>
      <c r="X137" s="503"/>
      <c r="Y137" s="504"/>
      <c r="Z137" s="501"/>
      <c r="AA137" s="501"/>
      <c r="AB137" s="501">
        <v>1</v>
      </c>
      <c r="AC137" s="501">
        <v>1</v>
      </c>
      <c r="AD137" s="502"/>
      <c r="AE137" s="502"/>
      <c r="AF137" s="502"/>
      <c r="AG137" s="502"/>
      <c r="BB137" s="147"/>
      <c r="BC137" s="147"/>
      <c r="BD137" s="478"/>
      <c r="BE137" s="478"/>
    </row>
    <row r="138" spans="1:57" s="1930" customFormat="1" hidden="1" outlineLevel="1" x14ac:dyDescent="0.25">
      <c r="A138" s="123"/>
      <c r="B138" s="123"/>
      <c r="C138" s="3247"/>
      <c r="D138" s="3930"/>
      <c r="E138" s="3821"/>
      <c r="F138" s="3115" t="s">
        <v>620</v>
      </c>
      <c r="G138" s="501">
        <v>1</v>
      </c>
      <c r="H138" s="3969" t="s">
        <v>645</v>
      </c>
      <c r="I138" s="3970"/>
      <c r="J138" s="3925" t="s">
        <v>646</v>
      </c>
      <c r="K138" s="3926"/>
      <c r="L138" s="123"/>
      <c r="M138" s="1485"/>
      <c r="N138" s="1486"/>
      <c r="O138" s="1487"/>
      <c r="P138" s="1487"/>
      <c r="Q138" s="517"/>
      <c r="R138" s="123"/>
      <c r="S138" s="123"/>
      <c r="T138" s="123"/>
      <c r="U138" s="123"/>
      <c r="V138" s="3804"/>
      <c r="W138" s="502"/>
      <c r="X138" s="503"/>
      <c r="Y138" s="504"/>
      <c r="Z138" s="501"/>
      <c r="AA138" s="501"/>
      <c r="AB138" s="504">
        <v>1</v>
      </c>
      <c r="AC138" s="501">
        <v>1</v>
      </c>
      <c r="AD138" s="502"/>
      <c r="AE138" s="502"/>
      <c r="AF138" s="502"/>
      <c r="AG138" s="502"/>
      <c r="BB138" s="147"/>
      <c r="BC138" s="147"/>
      <c r="BD138" s="478"/>
      <c r="BE138" s="478"/>
    </row>
    <row r="139" spans="1:57" hidden="1" outlineLevel="1" x14ac:dyDescent="0.25">
      <c r="C139" s="3247"/>
      <c r="D139" s="3125">
        <v>8.33</v>
      </c>
      <c r="E139" s="3133" t="s">
        <v>647</v>
      </c>
      <c r="F139" s="447" t="s">
        <v>135</v>
      </c>
      <c r="G139" s="3226">
        <v>8.33</v>
      </c>
      <c r="H139" s="3927" t="s">
        <v>648</v>
      </c>
      <c r="I139" s="3928"/>
      <c r="J139" s="3925"/>
      <c r="K139" s="3926"/>
      <c r="M139" s="486"/>
      <c r="N139" s="486"/>
      <c r="O139" s="486"/>
      <c r="P139" s="486"/>
      <c r="Q139" s="517"/>
      <c r="V139" s="447">
        <v>8.33</v>
      </c>
      <c r="W139" s="499">
        <v>8.33</v>
      </c>
      <c r="X139" s="491">
        <v>8.33</v>
      </c>
      <c r="Y139" s="99">
        <v>8.33</v>
      </c>
      <c r="Z139" s="3226">
        <v>8.33</v>
      </c>
      <c r="AA139" s="3226">
        <v>8.33</v>
      </c>
      <c r="AB139" s="3226">
        <v>8.33</v>
      </c>
      <c r="AC139" s="3226">
        <v>8.33</v>
      </c>
      <c r="AD139" s="499"/>
      <c r="AE139" s="499"/>
      <c r="AF139" s="499"/>
      <c r="AG139" s="499"/>
      <c r="AH139" s="1930"/>
      <c r="AI139" s="1930"/>
      <c r="AJ139" s="1930"/>
      <c r="AK139" s="1930"/>
      <c r="AL139" s="1930"/>
      <c r="AM139" s="1930"/>
      <c r="AN139" s="1930"/>
      <c r="AO139" s="1930"/>
      <c r="AP139" s="1930"/>
      <c r="AQ139" s="1930"/>
      <c r="AR139" s="1930"/>
      <c r="AS139" s="1930"/>
      <c r="AT139" s="1930"/>
      <c r="AU139" s="1930"/>
      <c r="AV139" s="1930"/>
      <c r="AW139" s="1930"/>
      <c r="AX139" s="1930"/>
      <c r="AY139" s="1930"/>
      <c r="AZ139" s="1930"/>
      <c r="BA139" s="1930"/>
      <c r="BB139" s="147"/>
      <c r="BC139" s="147"/>
      <c r="BD139" s="478"/>
      <c r="BE139" s="478"/>
    </row>
    <row r="140" spans="1:57" hidden="1" outlineLevel="1" x14ac:dyDescent="0.25">
      <c r="C140" s="3247"/>
      <c r="D140" s="3125">
        <v>1</v>
      </c>
      <c r="E140" s="3124" t="s">
        <v>649</v>
      </c>
      <c r="F140" s="447" t="s">
        <v>135</v>
      </c>
      <c r="G140" s="3226">
        <v>1</v>
      </c>
      <c r="H140" s="3904" t="s">
        <v>650</v>
      </c>
      <c r="I140" s="3906"/>
      <c r="J140" s="3925"/>
      <c r="K140" s="3926"/>
      <c r="M140" s="486"/>
      <c r="N140" s="540"/>
      <c r="O140" s="540"/>
      <c r="P140" s="540"/>
      <c r="Q140" s="517"/>
      <c r="V140" s="447">
        <v>1</v>
      </c>
      <c r="W140" s="499">
        <v>1</v>
      </c>
      <c r="X140" s="491">
        <v>1</v>
      </c>
      <c r="Y140" s="3226">
        <v>1</v>
      </c>
      <c r="Z140" s="3226">
        <v>1</v>
      </c>
      <c r="AA140" s="3226">
        <v>1</v>
      </c>
      <c r="AB140" s="3226">
        <v>1</v>
      </c>
      <c r="AC140" s="3226">
        <v>1</v>
      </c>
      <c r="AD140" s="499"/>
      <c r="AE140" s="499"/>
      <c r="AF140" s="499"/>
      <c r="AG140" s="499"/>
      <c r="AH140" s="1930"/>
      <c r="AI140" s="1930"/>
      <c r="AJ140" s="1930"/>
      <c r="AK140" s="1930"/>
      <c r="AL140" s="1930"/>
      <c r="AM140" s="1930"/>
      <c r="AN140" s="1930"/>
      <c r="AO140" s="1930"/>
      <c r="AP140" s="1930"/>
      <c r="AQ140" s="1930"/>
      <c r="AR140" s="1930"/>
      <c r="AS140" s="1930"/>
      <c r="AT140" s="1930"/>
      <c r="AU140" s="1930"/>
      <c r="AV140" s="1930"/>
      <c r="AW140" s="1930"/>
      <c r="AX140" s="1930"/>
      <c r="AY140" s="1930"/>
      <c r="AZ140" s="1930"/>
      <c r="BA140" s="1930"/>
      <c r="BB140" s="147"/>
      <c r="BC140" s="147"/>
      <c r="BD140" s="478"/>
      <c r="BE140" s="478"/>
    </row>
    <row r="141" spans="1:57" hidden="1" outlineLevel="1" x14ac:dyDescent="0.25">
      <c r="C141" s="3247"/>
      <c r="D141" s="3089" t="s">
        <v>651</v>
      </c>
      <c r="E141" s="3124" t="s">
        <v>652</v>
      </c>
      <c r="F141" s="447" t="s">
        <v>135</v>
      </c>
      <c r="G141" s="492">
        <v>93</v>
      </c>
      <c r="H141" s="3904" t="s">
        <v>653</v>
      </c>
      <c r="I141" s="3906"/>
      <c r="J141" s="3925"/>
      <c r="K141" s="3926"/>
      <c r="M141" s="457"/>
      <c r="N141" s="486"/>
      <c r="O141" s="486"/>
      <c r="P141" s="486"/>
      <c r="Q141" s="517"/>
      <c r="V141" s="3089" t="s">
        <v>651</v>
      </c>
      <c r="W141" s="464">
        <v>93</v>
      </c>
      <c r="X141" s="492">
        <v>93</v>
      </c>
      <c r="Y141" s="492">
        <v>93</v>
      </c>
      <c r="Z141" s="492">
        <v>93</v>
      </c>
      <c r="AA141" s="492">
        <v>93</v>
      </c>
      <c r="AB141" s="492">
        <v>93</v>
      </c>
      <c r="AC141" s="492">
        <v>93</v>
      </c>
      <c r="AD141" s="464"/>
      <c r="AE141" s="464"/>
      <c r="AF141" s="464"/>
      <c r="AG141" s="464"/>
      <c r="AH141" s="1930"/>
      <c r="AI141" s="1930"/>
      <c r="AJ141" s="1930"/>
      <c r="AK141" s="1930"/>
      <c r="AL141" s="1930"/>
      <c r="AM141" s="1930"/>
      <c r="AN141" s="1930"/>
      <c r="AO141" s="1930"/>
      <c r="AP141" s="1930"/>
      <c r="AQ141" s="1930"/>
      <c r="AR141" s="1930"/>
      <c r="AS141" s="1930"/>
      <c r="AT141" s="1930"/>
      <c r="AU141" s="1930"/>
      <c r="AV141" s="1930"/>
      <c r="AW141" s="1930"/>
      <c r="AX141" s="1930"/>
      <c r="AY141" s="1930"/>
      <c r="AZ141" s="1930"/>
      <c r="BA141" s="1930"/>
      <c r="BB141" s="147"/>
      <c r="BC141" s="147"/>
      <c r="BD141" s="478"/>
      <c r="BE141" s="478"/>
    </row>
    <row r="142" spans="1:57" s="456" customFormat="1" hidden="1" outlineLevel="1" x14ac:dyDescent="0.25">
      <c r="A142" s="3220"/>
      <c r="B142" s="3220"/>
      <c r="C142" s="3247"/>
      <c r="D142" s="3089" t="s">
        <v>654</v>
      </c>
      <c r="E142" s="3124" t="s">
        <v>655</v>
      </c>
      <c r="F142" s="3127" t="s">
        <v>135</v>
      </c>
      <c r="G142" s="492">
        <v>61.3</v>
      </c>
      <c r="H142" s="3904" t="s">
        <v>656</v>
      </c>
      <c r="I142" s="3906"/>
      <c r="J142" s="3925"/>
      <c r="K142" s="3926"/>
      <c r="L142" s="123"/>
      <c r="M142" s="457"/>
      <c r="N142" s="486"/>
      <c r="O142" s="486"/>
      <c r="P142" s="486"/>
      <c r="Q142" s="3163"/>
      <c r="R142" s="3220"/>
      <c r="S142" s="3220"/>
      <c r="T142" s="3220"/>
      <c r="U142" s="3220"/>
      <c r="V142" s="3089" t="s">
        <v>654</v>
      </c>
      <c r="W142" s="464">
        <v>61.3</v>
      </c>
      <c r="X142" s="492">
        <v>61.3</v>
      </c>
      <c r="Y142" s="492">
        <v>61.3</v>
      </c>
      <c r="Z142" s="492">
        <v>61.3</v>
      </c>
      <c r="AA142" s="492">
        <v>61.3</v>
      </c>
      <c r="AB142" s="492">
        <v>61.3</v>
      </c>
      <c r="AC142" s="492">
        <v>61.3</v>
      </c>
      <c r="AD142" s="464"/>
      <c r="AE142" s="464"/>
      <c r="AF142" s="464"/>
      <c r="AG142" s="464"/>
      <c r="AI142" s="1930"/>
      <c r="AJ142" s="1930"/>
      <c r="AK142" s="1930"/>
      <c r="AL142" s="1930"/>
      <c r="AM142" s="1930"/>
      <c r="AN142" s="1930"/>
      <c r="AO142" s="1930"/>
      <c r="AP142" s="1930"/>
      <c r="AQ142" s="1930"/>
      <c r="AR142" s="1930"/>
      <c r="AS142" s="1930"/>
      <c r="BB142" s="147"/>
      <c r="BC142" s="147"/>
      <c r="BD142" s="478"/>
      <c r="BE142" s="478"/>
    </row>
    <row r="143" spans="1:57" s="456" customFormat="1" hidden="1" outlineLevel="1" x14ac:dyDescent="0.25">
      <c r="A143" s="3220"/>
      <c r="B143" s="3220"/>
      <c r="C143" s="3247"/>
      <c r="D143" s="3089" t="s">
        <v>657</v>
      </c>
      <c r="E143" s="3124" t="s">
        <v>658</v>
      </c>
      <c r="F143" s="3127" t="s">
        <v>135</v>
      </c>
      <c r="G143" s="3226">
        <v>0.98</v>
      </c>
      <c r="H143" s="3927" t="s">
        <v>659</v>
      </c>
      <c r="I143" s="3928"/>
      <c r="J143" s="3925"/>
      <c r="K143" s="3926"/>
      <c r="L143" s="123"/>
      <c r="M143" s="486"/>
      <c r="N143" s="486"/>
      <c r="O143" s="486"/>
      <c r="P143" s="486"/>
      <c r="Q143" s="3163"/>
      <c r="R143" s="3220"/>
      <c r="S143" s="3220"/>
      <c r="T143" s="3220"/>
      <c r="U143" s="3220"/>
      <c r="V143" s="3089" t="s">
        <v>657</v>
      </c>
      <c r="W143" s="499">
        <v>0.98</v>
      </c>
      <c r="X143" s="491">
        <v>0.98</v>
      </c>
      <c r="Y143" s="99">
        <v>0.98</v>
      </c>
      <c r="Z143" s="3226">
        <v>0.98</v>
      </c>
      <c r="AA143" s="3226">
        <v>0.98</v>
      </c>
      <c r="AB143" s="3226">
        <v>0.98</v>
      </c>
      <c r="AC143" s="3226">
        <v>0.98</v>
      </c>
      <c r="AD143" s="499"/>
      <c r="AE143" s="499"/>
      <c r="AF143" s="499"/>
      <c r="AG143" s="499"/>
      <c r="AI143" s="1930"/>
      <c r="AJ143" s="1930"/>
      <c r="AK143" s="1930"/>
      <c r="AL143" s="1930"/>
      <c r="AM143" s="1930"/>
      <c r="AN143" s="1930"/>
      <c r="AO143" s="1930"/>
      <c r="AP143" s="1930"/>
      <c r="AQ143" s="1930"/>
      <c r="AR143" s="1930"/>
      <c r="AS143" s="1930"/>
      <c r="BB143" s="147"/>
      <c r="BC143" s="147"/>
      <c r="BD143" s="478"/>
      <c r="BE143" s="478"/>
    </row>
    <row r="144" spans="1:57" s="456" customFormat="1" hidden="1" outlineLevel="1" x14ac:dyDescent="0.25">
      <c r="A144" s="3220"/>
      <c r="B144" s="3220"/>
      <c r="C144" s="3247"/>
      <c r="D144" s="3089">
        <v>3412</v>
      </c>
      <c r="E144" s="3133" t="s">
        <v>660</v>
      </c>
      <c r="F144" s="3127" t="s">
        <v>135</v>
      </c>
      <c r="G144" s="506">
        <v>3412</v>
      </c>
      <c r="H144" s="3927" t="s">
        <v>218</v>
      </c>
      <c r="I144" s="3928"/>
      <c r="J144" s="3925"/>
      <c r="K144" s="3926"/>
      <c r="L144" s="123"/>
      <c r="M144" s="542"/>
      <c r="N144" s="486"/>
      <c r="O144" s="542"/>
      <c r="P144" s="486"/>
      <c r="Q144" s="3163"/>
      <c r="R144" s="3220"/>
      <c r="S144" s="3220"/>
      <c r="T144" s="3220"/>
      <c r="U144" s="3220"/>
      <c r="V144" s="3089">
        <v>3412</v>
      </c>
      <c r="W144" s="508">
        <v>3413</v>
      </c>
      <c r="X144" s="509">
        <v>3413</v>
      </c>
      <c r="Y144" s="506">
        <v>3413</v>
      </c>
      <c r="Z144" s="506">
        <v>3413</v>
      </c>
      <c r="AA144" s="506">
        <v>3413</v>
      </c>
      <c r="AB144" s="510">
        <v>3412</v>
      </c>
      <c r="AC144" s="506">
        <v>3412</v>
      </c>
      <c r="AD144" s="508"/>
      <c r="AE144" s="508"/>
      <c r="AF144" s="508"/>
      <c r="AG144" s="508"/>
      <c r="AI144" s="1930"/>
      <c r="AJ144" s="1930"/>
      <c r="AK144" s="1930"/>
      <c r="AL144" s="1930"/>
      <c r="AM144" s="1930"/>
      <c r="AN144" s="1930"/>
      <c r="AO144" s="1930"/>
      <c r="AP144" s="1930"/>
      <c r="AQ144" s="1930"/>
      <c r="AR144" s="1930"/>
      <c r="AS144" s="1930"/>
      <c r="BB144" s="147"/>
      <c r="BC144" s="147"/>
      <c r="BD144" s="478"/>
      <c r="BE144" s="478"/>
    </row>
    <row r="145" spans="1:57" s="456" customFormat="1" hidden="1" outlineLevel="1" x14ac:dyDescent="0.25">
      <c r="A145" s="3220"/>
      <c r="B145" s="3220"/>
      <c r="C145" s="3247"/>
      <c r="D145" s="3872" t="s">
        <v>531</v>
      </c>
      <c r="E145" s="3881" t="s">
        <v>595</v>
      </c>
      <c r="F145" s="3127" t="s">
        <v>617</v>
      </c>
      <c r="G145" s="487">
        <v>0.72</v>
      </c>
      <c r="H145" s="3904" t="s">
        <v>618</v>
      </c>
      <c r="I145" s="3906"/>
      <c r="J145" s="3137"/>
      <c r="K145" s="3138"/>
      <c r="L145" s="123"/>
      <c r="M145" s="536"/>
      <c r="N145" s="1488"/>
      <c r="O145" s="1488"/>
      <c r="P145" s="536"/>
      <c r="Q145" s="3163"/>
      <c r="R145" s="3220"/>
      <c r="S145" s="3220"/>
      <c r="T145" s="3220"/>
      <c r="U145" s="3220"/>
      <c r="V145" s="3872" t="s">
        <v>531</v>
      </c>
      <c r="W145" s="512">
        <v>0.86</v>
      </c>
      <c r="X145" s="513">
        <v>0.89859999999999995</v>
      </c>
      <c r="Y145" s="514">
        <v>0.91869999999999996</v>
      </c>
      <c r="Z145" s="2166">
        <v>0.91869999999999996</v>
      </c>
      <c r="AA145" s="2166">
        <v>0.91869999999999996</v>
      </c>
      <c r="AB145" s="522">
        <v>0.72</v>
      </c>
      <c r="AC145" s="487">
        <v>0.72</v>
      </c>
      <c r="AD145" s="512"/>
      <c r="AE145" s="512"/>
      <c r="AF145" s="512"/>
      <c r="AG145" s="512"/>
      <c r="AI145" s="1930"/>
      <c r="AJ145" s="1930"/>
      <c r="AK145" s="1930"/>
      <c r="AL145" s="1930"/>
      <c r="AM145" s="1930"/>
      <c r="AN145" s="1930"/>
      <c r="AO145" s="1930"/>
      <c r="AP145" s="1930"/>
      <c r="AQ145" s="1930"/>
      <c r="AR145" s="1930"/>
      <c r="AS145" s="1930"/>
      <c r="BB145" s="147"/>
      <c r="BC145" s="147"/>
      <c r="BD145" s="478"/>
      <c r="BE145" s="478"/>
    </row>
    <row r="146" spans="1:57" s="456" customFormat="1" hidden="1" outlineLevel="1" x14ac:dyDescent="0.25">
      <c r="A146" s="3220"/>
      <c r="B146" s="3220"/>
      <c r="C146" s="3247"/>
      <c r="D146" s="3873"/>
      <c r="E146" s="3821"/>
      <c r="F146" s="2039" t="s">
        <v>661</v>
      </c>
      <c r="G146" s="1040">
        <v>1</v>
      </c>
      <c r="H146" s="3927" t="s">
        <v>619</v>
      </c>
      <c r="I146" s="3928"/>
      <c r="J146" s="3137"/>
      <c r="K146" s="3138"/>
      <c r="L146" s="123"/>
      <c r="M146" s="536"/>
      <c r="N146" s="1488"/>
      <c r="O146" s="1488"/>
      <c r="P146" s="536"/>
      <c r="Q146" s="3163"/>
      <c r="R146" s="3220"/>
      <c r="S146" s="3220"/>
      <c r="T146" s="3220"/>
      <c r="U146" s="3220"/>
      <c r="V146" s="3873"/>
      <c r="W146" s="512"/>
      <c r="X146" s="513"/>
      <c r="Y146" s="514"/>
      <c r="Z146" s="2166"/>
      <c r="AA146" s="2166"/>
      <c r="AB146" s="2166">
        <v>1</v>
      </c>
      <c r="AC146" s="1040">
        <v>1</v>
      </c>
      <c r="AD146" s="512"/>
      <c r="AE146" s="512"/>
      <c r="AF146" s="512"/>
      <c r="AG146" s="512"/>
      <c r="AI146" s="1930"/>
      <c r="AJ146" s="1930"/>
      <c r="AK146" s="1930"/>
      <c r="AL146" s="1930"/>
      <c r="AM146" s="1930"/>
      <c r="AN146" s="1930"/>
      <c r="AO146" s="1930"/>
      <c r="AP146" s="1930"/>
      <c r="AQ146" s="1930"/>
      <c r="AR146" s="1930"/>
      <c r="AS146" s="1930"/>
      <c r="BB146" s="147"/>
      <c r="BC146" s="147"/>
      <c r="BD146" s="478"/>
      <c r="BE146" s="478"/>
    </row>
    <row r="147" spans="1:57" s="456" customFormat="1" hidden="1" outlineLevel="1" x14ac:dyDescent="0.25">
      <c r="A147" s="3220"/>
      <c r="B147" s="3220"/>
      <c r="C147" s="3247"/>
      <c r="D147" s="3872" t="s">
        <v>133</v>
      </c>
      <c r="E147" s="3881" t="s">
        <v>252</v>
      </c>
      <c r="F147" s="3127" t="s">
        <v>617</v>
      </c>
      <c r="G147" s="487">
        <v>0.4</v>
      </c>
      <c r="H147" s="3904" t="s">
        <v>534</v>
      </c>
      <c r="I147" s="3906"/>
      <c r="J147" s="3137"/>
      <c r="K147" s="3138"/>
      <c r="L147" s="123"/>
      <c r="M147" s="1489"/>
      <c r="N147" s="1488"/>
      <c r="O147" s="1488"/>
      <c r="P147" s="536"/>
      <c r="Q147" s="3163"/>
      <c r="R147" s="3220"/>
      <c r="S147" s="3220"/>
      <c r="T147" s="3220"/>
      <c r="U147" s="3220"/>
      <c r="V147" s="3872" t="s">
        <v>133</v>
      </c>
      <c r="W147" s="512">
        <v>0.53354522213777378</v>
      </c>
      <c r="X147" s="513">
        <v>0.52966101694915257</v>
      </c>
      <c r="Y147" s="514">
        <v>0.50769230769230766</v>
      </c>
      <c r="Z147" s="2166">
        <v>0.50769230769230766</v>
      </c>
      <c r="AA147" s="2166">
        <v>0.50769230769230766</v>
      </c>
      <c r="AB147" s="522">
        <v>0.4</v>
      </c>
      <c r="AC147" s="487">
        <v>0.4</v>
      </c>
      <c r="AD147" s="512"/>
      <c r="AE147" s="512"/>
      <c r="AF147" s="512"/>
      <c r="AG147" s="512"/>
      <c r="AI147" s="1930"/>
      <c r="AJ147" s="1930"/>
      <c r="AK147" s="1930"/>
      <c r="AL147" s="1930"/>
      <c r="AM147" s="1930"/>
      <c r="AN147" s="1930"/>
      <c r="AO147" s="1930"/>
      <c r="AP147" s="1930"/>
      <c r="AQ147" s="1930"/>
      <c r="AR147" s="1930"/>
      <c r="AS147" s="1930"/>
      <c r="BB147" s="147"/>
      <c r="BC147" s="147"/>
      <c r="BD147" s="478"/>
      <c r="BE147" s="478"/>
    </row>
    <row r="148" spans="1:57" s="456" customFormat="1" hidden="1" outlineLevel="1" x14ac:dyDescent="0.25">
      <c r="A148" s="3220"/>
      <c r="B148" s="3220"/>
      <c r="C148" s="3247"/>
      <c r="D148" s="3874"/>
      <c r="E148" s="3820"/>
      <c r="F148" s="2039" t="s">
        <v>599</v>
      </c>
      <c r="G148" s="1040">
        <v>1</v>
      </c>
      <c r="H148" s="3927" t="s">
        <v>619</v>
      </c>
      <c r="I148" s="3928"/>
      <c r="J148" s="3137"/>
      <c r="K148" s="3138"/>
      <c r="L148" s="123"/>
      <c r="M148" s="1489"/>
      <c r="N148" s="1488"/>
      <c r="O148" s="1488"/>
      <c r="P148" s="536"/>
      <c r="Q148" s="3163"/>
      <c r="R148" s="3220"/>
      <c r="S148" s="3220"/>
      <c r="T148" s="3220"/>
      <c r="U148" s="3220"/>
      <c r="V148" s="3874"/>
      <c r="W148" s="512"/>
      <c r="X148" s="513"/>
      <c r="Y148" s="514"/>
      <c r="Z148" s="2166"/>
      <c r="AA148" s="2166"/>
      <c r="AB148" s="2166">
        <v>1</v>
      </c>
      <c r="AC148" s="1040">
        <v>1</v>
      </c>
      <c r="AD148" s="512"/>
      <c r="AE148" s="512"/>
      <c r="AF148" s="512"/>
      <c r="AG148" s="512"/>
      <c r="AI148" s="1930"/>
      <c r="AJ148" s="1930"/>
      <c r="AK148" s="1930"/>
      <c r="AL148" s="1930"/>
      <c r="AM148" s="1930"/>
      <c r="AN148" s="1930"/>
      <c r="AO148" s="1930"/>
      <c r="AP148" s="1930"/>
      <c r="AQ148" s="1930"/>
      <c r="AR148" s="1930"/>
      <c r="AS148" s="1930"/>
      <c r="BB148" s="147"/>
      <c r="BC148" s="147"/>
      <c r="BD148" s="478"/>
      <c r="BE148" s="478"/>
    </row>
    <row r="149" spans="1:57" s="456" customFormat="1" hidden="1" outlineLevel="1" x14ac:dyDescent="0.25">
      <c r="A149" s="3220"/>
      <c r="B149" s="3220"/>
      <c r="C149" s="3247"/>
      <c r="D149" s="3874"/>
      <c r="E149" s="3820"/>
      <c r="F149" s="3115" t="s">
        <v>620</v>
      </c>
      <c r="G149" s="323">
        <v>0.89</v>
      </c>
      <c r="H149" s="3921" t="s">
        <v>662</v>
      </c>
      <c r="I149" s="3922"/>
      <c r="J149" s="3137"/>
      <c r="K149" s="3138"/>
      <c r="L149" s="123"/>
      <c r="M149" s="1489"/>
      <c r="N149" s="1488"/>
      <c r="O149" s="1488"/>
      <c r="P149" s="536"/>
      <c r="Q149" s="3163"/>
      <c r="R149" s="3220"/>
      <c r="S149" s="3220"/>
      <c r="T149" s="3220"/>
      <c r="U149" s="3220"/>
      <c r="V149" s="3874"/>
      <c r="W149" s="512"/>
      <c r="X149" s="513"/>
      <c r="Y149" s="514"/>
      <c r="Z149" s="2166"/>
      <c r="AA149" s="2166"/>
      <c r="AB149" s="2195">
        <v>0.89</v>
      </c>
      <c r="AC149" s="323">
        <v>0.89</v>
      </c>
      <c r="AD149" s="512"/>
      <c r="AE149" s="512"/>
      <c r="AF149" s="512"/>
      <c r="AG149" s="512"/>
      <c r="AI149" s="1930"/>
      <c r="AJ149" s="1930"/>
      <c r="AK149" s="1930"/>
      <c r="AL149" s="1930"/>
      <c r="AM149" s="1930"/>
      <c r="AN149" s="1930"/>
      <c r="AO149" s="1930"/>
      <c r="AP149" s="1930"/>
      <c r="AQ149" s="1930"/>
      <c r="AR149" s="1930"/>
      <c r="AS149" s="1930"/>
      <c r="BB149" s="147"/>
      <c r="BC149" s="147"/>
      <c r="BD149" s="478"/>
      <c r="BE149" s="478"/>
    </row>
    <row r="150" spans="1:57" s="456" customFormat="1" hidden="1" outlineLevel="1" x14ac:dyDescent="0.25">
      <c r="A150" s="3220"/>
      <c r="B150" s="3220"/>
      <c r="C150" s="3247"/>
      <c r="D150" s="3873"/>
      <c r="E150" s="3821"/>
      <c r="F150" s="2039" t="s">
        <v>538</v>
      </c>
      <c r="G150" s="323">
        <v>0.2</v>
      </c>
      <c r="H150" s="3921" t="s">
        <v>539</v>
      </c>
      <c r="I150" s="3922"/>
      <c r="J150" s="3137"/>
      <c r="K150" s="3138"/>
      <c r="L150" s="123"/>
      <c r="M150" s="1489"/>
      <c r="N150" s="1488"/>
      <c r="O150" s="1488"/>
      <c r="P150" s="536"/>
      <c r="Q150" s="3163"/>
      <c r="R150" s="3220"/>
      <c r="S150" s="3220"/>
      <c r="T150" s="3220"/>
      <c r="U150" s="3220"/>
      <c r="V150" s="3873"/>
      <c r="W150" s="512"/>
      <c r="X150" s="513"/>
      <c r="Y150" s="514"/>
      <c r="Z150" s="2166"/>
      <c r="AA150" s="2166"/>
      <c r="AB150" s="2195">
        <v>0.2</v>
      </c>
      <c r="AC150" s="323">
        <v>0.2</v>
      </c>
      <c r="AD150" s="512"/>
      <c r="AE150" s="512"/>
      <c r="AF150" s="512"/>
      <c r="AG150" s="512"/>
      <c r="AI150" s="1930"/>
      <c r="AJ150" s="1930"/>
      <c r="AK150" s="1930"/>
      <c r="AL150" s="1930"/>
      <c r="AM150" s="1930"/>
      <c r="AN150" s="1930"/>
      <c r="AO150" s="1930"/>
      <c r="AP150" s="1930"/>
      <c r="AQ150" s="1930"/>
      <c r="AR150" s="1930"/>
      <c r="AS150" s="1930"/>
      <c r="BB150" s="147"/>
      <c r="BC150" s="147"/>
      <c r="BD150" s="478"/>
      <c r="BE150" s="478"/>
    </row>
    <row r="151" spans="1:57" hidden="1" outlineLevel="1" x14ac:dyDescent="0.25">
      <c r="B151" s="1233"/>
      <c r="C151" s="1678"/>
      <c r="D151" s="2051" t="s">
        <v>542</v>
      </c>
      <c r="E151" s="3111" t="s">
        <v>167</v>
      </c>
      <c r="F151" s="2040" t="s">
        <v>135</v>
      </c>
      <c r="G151" s="2298">
        <v>10</v>
      </c>
      <c r="H151" s="3921"/>
      <c r="I151" s="3922"/>
      <c r="J151" s="3925"/>
      <c r="K151" s="3926"/>
      <c r="L151" s="249"/>
      <c r="M151" s="1159"/>
      <c r="N151" s="249"/>
      <c r="O151" s="249"/>
      <c r="P151" s="249"/>
      <c r="Q151" s="249"/>
      <c r="V151" s="3240" t="s">
        <v>542</v>
      </c>
      <c r="W151" s="441">
        <v>10</v>
      </c>
      <c r="X151" s="441">
        <v>10</v>
      </c>
      <c r="Y151" s="441">
        <v>10</v>
      </c>
      <c r="Z151" s="441">
        <v>10</v>
      </c>
      <c r="AA151" s="441">
        <v>10</v>
      </c>
      <c r="AB151" s="441">
        <v>10</v>
      </c>
      <c r="AC151" s="2298">
        <v>10</v>
      </c>
      <c r="AD151" s="441"/>
      <c r="AE151" s="441"/>
      <c r="AF151" s="441"/>
      <c r="AG151" s="441"/>
      <c r="AH151" s="1930"/>
      <c r="AI151" s="1930"/>
      <c r="AJ151" s="1930"/>
      <c r="AK151" s="1930"/>
      <c r="AL151" s="1930"/>
      <c r="AM151" s="1930"/>
      <c r="AN151" s="1930"/>
      <c r="AO151" s="1930"/>
      <c r="AP151" s="1930"/>
      <c r="AQ151" s="1930"/>
      <c r="AR151" s="1930"/>
      <c r="AS151" s="1930"/>
      <c r="AT151" s="1930"/>
      <c r="AU151" s="1930"/>
      <c r="AV151" s="1930"/>
      <c r="AW151" s="1930"/>
      <c r="AX151" s="1930"/>
      <c r="AY151" s="1930"/>
      <c r="AZ151" s="1930"/>
      <c r="BA151" s="1930"/>
      <c r="BB151" s="147"/>
      <c r="BC151" s="147"/>
      <c r="BD151" s="478"/>
      <c r="BE151" s="478"/>
    </row>
    <row r="152" spans="1:57" hidden="1" outlineLevel="1" x14ac:dyDescent="0.25">
      <c r="B152" s="1233"/>
      <c r="C152" s="1678"/>
      <c r="D152" s="3110" t="s">
        <v>170</v>
      </c>
      <c r="E152" s="3111" t="s">
        <v>171</v>
      </c>
      <c r="F152" s="2040" t="s">
        <v>135</v>
      </c>
      <c r="G152" s="2297">
        <v>3</v>
      </c>
      <c r="H152" s="3921"/>
      <c r="I152" s="3922"/>
      <c r="J152" s="3925"/>
      <c r="K152" s="3926"/>
      <c r="L152" s="249"/>
      <c r="M152" s="1159"/>
      <c r="N152" s="249"/>
      <c r="O152" s="249"/>
      <c r="P152" s="249"/>
      <c r="Q152" s="249"/>
      <c r="V152" s="3242" t="s">
        <v>170</v>
      </c>
      <c r="W152" s="442">
        <v>3</v>
      </c>
      <c r="X152" s="442">
        <v>3</v>
      </c>
      <c r="Y152" s="442">
        <v>3</v>
      </c>
      <c r="Z152" s="442">
        <v>3</v>
      </c>
      <c r="AA152" s="442">
        <v>3</v>
      </c>
      <c r="AB152" s="442">
        <v>3</v>
      </c>
      <c r="AC152" s="2297">
        <v>3</v>
      </c>
      <c r="AD152" s="442"/>
      <c r="AE152" s="442"/>
      <c r="AF152" s="442"/>
      <c r="AG152" s="442"/>
      <c r="AH152" s="1930"/>
      <c r="AI152" s="1930"/>
      <c r="AJ152" s="1930"/>
      <c r="AK152" s="1930"/>
      <c r="AL152" s="1930"/>
      <c r="AM152" s="1930"/>
      <c r="AN152" s="1930"/>
      <c r="AO152" s="1930"/>
      <c r="AP152" s="1930"/>
      <c r="AQ152" s="1930"/>
      <c r="AR152" s="1930"/>
      <c r="AS152" s="1930"/>
      <c r="AT152" s="1930"/>
      <c r="AU152" s="1930"/>
      <c r="AV152" s="1930"/>
      <c r="AW152" s="1930"/>
      <c r="AX152" s="1930"/>
      <c r="AY152" s="1930"/>
      <c r="AZ152" s="1930"/>
      <c r="BA152" s="1930"/>
      <c r="BB152" s="147"/>
      <c r="BC152" s="147"/>
      <c r="BD152" s="478"/>
      <c r="BE152" s="478"/>
    </row>
    <row r="153" spans="1:57" collapsed="1" x14ac:dyDescent="0.25">
      <c r="D153" s="516"/>
      <c r="E153" s="1279"/>
      <c r="F153" s="228"/>
      <c r="G153" s="228"/>
      <c r="H153" s="228"/>
      <c r="I153" s="228"/>
      <c r="J153" s="228"/>
      <c r="K153" s="228"/>
      <c r="M153" s="3220"/>
      <c r="AC153" s="1930"/>
      <c r="AD153" s="1930"/>
      <c r="AE153" s="1930"/>
      <c r="AF153" s="1930"/>
      <c r="AG153" s="1930"/>
      <c r="AH153" s="1930"/>
      <c r="AI153" s="1930"/>
      <c r="AJ153" s="1930"/>
      <c r="AK153" s="1930"/>
      <c r="AL153" s="1930"/>
      <c r="AM153" s="1930"/>
      <c r="AN153" s="1930"/>
      <c r="AO153" s="1930"/>
      <c r="AP153" s="1930"/>
      <c r="AQ153" s="1930"/>
      <c r="AR153" s="1930"/>
      <c r="AS153" s="1930"/>
      <c r="AT153" s="1930"/>
      <c r="AU153" s="1930"/>
      <c r="AV153" s="1930"/>
      <c r="AW153" s="1930"/>
      <c r="AX153" s="1930"/>
      <c r="AY153" s="1930"/>
      <c r="AZ153" s="1930"/>
      <c r="BA153" s="1930"/>
      <c r="BB153" s="147"/>
      <c r="BC153" s="147"/>
      <c r="BD153" s="478"/>
      <c r="BE153" s="478"/>
    </row>
    <row r="154" spans="1:57" s="147" customFormat="1" x14ac:dyDescent="0.25">
      <c r="B154" s="3750" t="s">
        <v>663</v>
      </c>
      <c r="C154" s="3751"/>
      <c r="D154" s="3751"/>
      <c r="E154" s="3751"/>
      <c r="F154" s="3751"/>
      <c r="G154" s="3751"/>
      <c r="H154" s="3751"/>
      <c r="I154" s="3744"/>
      <c r="J154" s="3744"/>
      <c r="K154" s="3744"/>
      <c r="L154" s="3744"/>
      <c r="M154" s="3744"/>
      <c r="N154" s="3745"/>
      <c r="V154" s="3750" t="str">
        <f>B154</f>
        <v>Kit Faucet Aerators (Bathroom)</v>
      </c>
      <c r="W154" s="3751"/>
      <c r="X154" s="3751"/>
      <c r="Y154" s="3751"/>
      <c r="Z154" s="3751"/>
      <c r="AA154" s="3751"/>
      <c r="AB154" s="3751"/>
      <c r="AC154" s="3752"/>
      <c r="AD154" s="3752"/>
      <c r="AE154" s="3752"/>
      <c r="AF154" s="3752"/>
      <c r="AG154" s="3752"/>
      <c r="AH154" s="3753"/>
      <c r="AI154" s="1930"/>
      <c r="AJ154" s="1930"/>
      <c r="AK154" s="1930"/>
      <c r="AL154" s="1930"/>
      <c r="AM154" s="1930"/>
      <c r="AN154" s="1930"/>
      <c r="AO154" s="1930"/>
      <c r="AP154" s="1930"/>
      <c r="AQ154" s="1930"/>
      <c r="AR154" s="1930"/>
      <c r="AS154" s="1930"/>
      <c r="BD154" s="478"/>
      <c r="BE154" s="478"/>
    </row>
    <row r="155" spans="1:57" ht="18" customHeight="1" x14ac:dyDescent="0.25">
      <c r="M155" s="3220"/>
      <c r="AC155" s="1930"/>
      <c r="AD155" s="1930"/>
      <c r="AE155" s="1930"/>
      <c r="AF155" s="1930"/>
      <c r="AG155" s="1930"/>
      <c r="AH155" s="1930"/>
      <c r="AI155" s="1930"/>
      <c r="AJ155" s="1930"/>
      <c r="AK155" s="1930"/>
      <c r="AL155" s="1930"/>
      <c r="AM155" s="1930"/>
      <c r="AN155" s="1930"/>
      <c r="AO155" s="1930"/>
      <c r="AP155" s="1930"/>
      <c r="AQ155" s="1930"/>
      <c r="AR155" s="1930"/>
      <c r="AS155" s="1930"/>
      <c r="AT155" s="1930"/>
      <c r="AU155" s="1930"/>
      <c r="AV155" s="1930"/>
      <c r="AW155" s="1930"/>
      <c r="AX155" s="1930"/>
      <c r="AY155" s="1930"/>
      <c r="AZ155" s="1930"/>
      <c r="BA155" s="1930"/>
      <c r="BB155" s="1930"/>
      <c r="BC155" s="1930"/>
    </row>
    <row r="156" spans="1:57" ht="30" x14ac:dyDescent="0.25">
      <c r="C156" s="3086" t="s">
        <v>28</v>
      </c>
      <c r="D156" s="3086" t="s">
        <v>175</v>
      </c>
      <c r="E156" s="3086" t="s">
        <v>30</v>
      </c>
      <c r="F156" s="3086" t="s">
        <v>31</v>
      </c>
      <c r="G156" s="3086" t="s">
        <v>176</v>
      </c>
      <c r="H156" s="3086" t="s">
        <v>177</v>
      </c>
      <c r="I156" s="3086" t="s">
        <v>606</v>
      </c>
      <c r="J156" s="3086" t="s">
        <v>32</v>
      </c>
      <c r="K156" s="3086" t="s">
        <v>181</v>
      </c>
      <c r="L156" s="3086" t="s">
        <v>170</v>
      </c>
      <c r="M156" s="3086" t="s">
        <v>44</v>
      </c>
      <c r="P156" s="517"/>
      <c r="Q156" s="517"/>
      <c r="V156" s="551" t="s">
        <v>45</v>
      </c>
      <c r="W156" s="360">
        <f>$W$6</f>
        <v>43252</v>
      </c>
      <c r="X156" s="360">
        <f>$X$6</f>
        <v>43465</v>
      </c>
      <c r="Y156" s="360">
        <f>$Y$6</f>
        <v>43800</v>
      </c>
      <c r="Z156" s="360">
        <f>$Z$6</f>
        <v>43862</v>
      </c>
      <c r="AA156" s="360">
        <f>$AA$6</f>
        <v>44013</v>
      </c>
      <c r="AB156" s="360">
        <f>$AB$6</f>
        <v>44166</v>
      </c>
      <c r="AC156" s="1937">
        <f>$AC$6</f>
        <v>44531</v>
      </c>
      <c r="AD156" s="1937" t="str">
        <f>$AD$6</f>
        <v>-</v>
      </c>
      <c r="AE156" s="1937" t="str">
        <f>$AE$6</f>
        <v>-</v>
      </c>
      <c r="AF156" s="1937" t="str">
        <f>$AF$6</f>
        <v>-</v>
      </c>
      <c r="AG156" s="1937" t="str">
        <f>$AG$6</f>
        <v>-</v>
      </c>
      <c r="AH156" s="1930"/>
      <c r="AI156" s="1930"/>
      <c r="AJ156" s="1930"/>
      <c r="AK156" s="1930"/>
      <c r="AL156" s="1930"/>
      <c r="AM156" s="1930"/>
      <c r="AN156" s="1930"/>
      <c r="AO156" s="1930"/>
      <c r="AP156" s="1930"/>
      <c r="AQ156" s="1930"/>
      <c r="AR156" s="1930"/>
      <c r="AS156" s="1930"/>
      <c r="AT156" s="1930"/>
      <c r="AU156" s="1930"/>
      <c r="AV156" s="1930"/>
      <c r="AW156" s="1930"/>
      <c r="AX156" s="1930"/>
      <c r="AY156" s="1930"/>
      <c r="AZ156" s="1930"/>
      <c r="BA156" s="1930"/>
      <c r="BB156" s="1953" t="str">
        <f>$BB$6</f>
        <v>TRC (2020)</v>
      </c>
      <c r="BC156" s="1953" t="str">
        <f>$BC$6</f>
        <v>Benefit Lookup</v>
      </c>
      <c r="BD156" s="230" t="str">
        <f>$BD$6</f>
        <v>Benefits (2019 $)</v>
      </c>
      <c r="BE156" s="230" t="str">
        <f>$BE$6</f>
        <v>Incremental Cost (2019 $)</v>
      </c>
    </row>
    <row r="157" spans="1:57" x14ac:dyDescent="0.25">
      <c r="C157" s="3246" t="s">
        <v>664</v>
      </c>
      <c r="D157" s="104" t="s">
        <v>509</v>
      </c>
      <c r="E157" s="3122" t="s">
        <v>665</v>
      </c>
      <c r="F157" s="531">
        <f>ROUND(G170*(G173*G174-G176*G177)*G179*G183*G185/G186*I157*G198*G196,2)</f>
        <v>6.17</v>
      </c>
      <c r="G157" s="3227" t="s">
        <v>184</v>
      </c>
      <c r="H157" s="155">
        <f>VLOOKUP(G157,'CP FACTORS'!$A$3:$B$38, 2, FALSE)</f>
        <v>8.8731800000000003E-5</v>
      </c>
      <c r="I157" s="1490">
        <f>G$189*G$190*(G$191-G$193)/(G$194*G$195)</f>
        <v>6.1532825322391571E-2</v>
      </c>
      <c r="J157" s="106">
        <f>ROUND(F157*H157,6)</f>
        <v>5.4699999999999996E-4</v>
      </c>
      <c r="K157" s="2718">
        <f>$G$202</f>
        <v>10</v>
      </c>
      <c r="L157" s="519">
        <f>$G$203</f>
        <v>3</v>
      </c>
      <c r="M157" s="2667" t="s">
        <v>185</v>
      </c>
      <c r="P157" s="517"/>
      <c r="Q157" s="520"/>
      <c r="R157" s="1431"/>
      <c r="V157" s="1962" t="str">
        <f>F156</f>
        <v>kWh Annual Savings</v>
      </c>
      <c r="W157" s="1827">
        <v>7.963038337806803</v>
      </c>
      <c r="X157" s="1952">
        <v>6.9503628343201109</v>
      </c>
      <c r="Y157" s="549">
        <v>10.220000000000001</v>
      </c>
      <c r="Z157" s="65">
        <v>10.220000000000001</v>
      </c>
      <c r="AA157" s="65">
        <v>10.220000000000001</v>
      </c>
      <c r="AB157" s="1951">
        <v>6.17</v>
      </c>
      <c r="AC157" s="3027">
        <v>6.17</v>
      </c>
      <c r="AD157" s="160"/>
      <c r="AE157" s="160"/>
      <c r="AF157" s="160"/>
      <c r="AG157" s="160"/>
      <c r="AH157" s="163"/>
      <c r="AI157" s="1930"/>
      <c r="AJ157" s="1930"/>
      <c r="AK157" s="1930"/>
      <c r="AL157" s="1930"/>
      <c r="AM157" s="1930"/>
      <c r="AN157" s="1930"/>
      <c r="AO157" s="1930"/>
      <c r="AP157" s="1930"/>
      <c r="AQ157" s="1930"/>
      <c r="AR157" s="1930"/>
      <c r="AS157" s="1930"/>
      <c r="AT157" s="1930"/>
      <c r="AU157" s="1930"/>
      <c r="AV157" s="1930"/>
      <c r="AW157" s="1930"/>
      <c r="AX157" s="1930"/>
      <c r="AY157" s="1930"/>
      <c r="AZ157" s="1930"/>
      <c r="BA157" s="1930"/>
      <c r="BB157" s="2448">
        <f>(BD157)/(BE157)</f>
        <v>0.73494916447029568</v>
      </c>
      <c r="BC157" s="3166" t="str">
        <f>CONCATENATE(G157," ",K157," Year EUL")</f>
        <v>Water Heating RES 10 Year EUL</v>
      </c>
      <c r="BD157" s="2446">
        <f>(INDEX('Avoided Cost Benefits'!$C$4:$C$857,MATCH(BC157,'Avoided Cost Benefits'!$A$4:$A$857,0)))*F157</f>
        <v>2.0810264213410918</v>
      </c>
      <c r="BE157" s="2447">
        <f>L157/(1.0595^(2020-2019))</f>
        <v>2.8315243039169418</v>
      </c>
    </row>
    <row r="158" spans="1:57" s="1930" customFormat="1" x14ac:dyDescent="0.25">
      <c r="A158" s="123"/>
      <c r="B158" s="123"/>
      <c r="C158" s="3246" t="s">
        <v>666</v>
      </c>
      <c r="D158" s="2667" t="s">
        <v>515</v>
      </c>
      <c r="E158" s="3122" t="s">
        <v>667</v>
      </c>
      <c r="F158" s="1491">
        <f>ROUND(G170*(G173*G174-G176*G177)*G182*G183*G185/G186*I158*G201*G197,2)</f>
        <v>2.65</v>
      </c>
      <c r="G158" s="3227" t="s">
        <v>184</v>
      </c>
      <c r="H158" s="155">
        <f>VLOOKUP(G158,'CP FACTORS'!$A$3:$B$38, 2, FALSE)</f>
        <v>8.8731800000000003E-5</v>
      </c>
      <c r="I158" s="1490">
        <f t="shared" ref="I158:I159" si="30">G$189*G$190*(G$191-G$193)/(G$194*G$195)</f>
        <v>6.1532825322391571E-2</v>
      </c>
      <c r="J158" s="106">
        <f>ROUND(F158*H158,6)</f>
        <v>2.3499999999999999E-4</v>
      </c>
      <c r="K158" s="2718">
        <f>$G$202</f>
        <v>10</v>
      </c>
      <c r="L158" s="519">
        <f>$G$203</f>
        <v>3</v>
      </c>
      <c r="M158" s="2667" t="s">
        <v>185</v>
      </c>
      <c r="N158" s="123"/>
      <c r="O158" s="123"/>
      <c r="P158" s="517"/>
      <c r="Q158" s="517"/>
      <c r="R158" s="1431"/>
      <c r="S158" s="123"/>
      <c r="T158" s="123"/>
      <c r="U158" s="123"/>
      <c r="V158" s="1962" t="str">
        <f>V159</f>
        <v>kWh Annual Savings</v>
      </c>
      <c r="W158" s="1827"/>
      <c r="X158" s="1952"/>
      <c r="Y158" s="549"/>
      <c r="Z158" s="550"/>
      <c r="AA158" s="550"/>
      <c r="AB158" s="1951">
        <v>3.62</v>
      </c>
      <c r="AC158" s="3027">
        <v>2.65</v>
      </c>
      <c r="AD158" s="160"/>
      <c r="AE158" s="160"/>
      <c r="AF158" s="160"/>
      <c r="AG158" s="160"/>
      <c r="AH158" s="163"/>
      <c r="BB158" s="2448">
        <f>(BD158)/(BE158)</f>
        <v>0.31565887939161807</v>
      </c>
      <c r="BC158" s="3166" t="str">
        <f>CONCATENATE(G158," ",K158," Year EUL")</f>
        <v>Water Heating RES 10 Year EUL</v>
      </c>
      <c r="BD158" s="2446">
        <f>(INDEX('Avoided Cost Benefits'!$C$4:$C$857,MATCH(BC158,'Avoided Cost Benefits'!$A$4:$A$857,0)))*F158</f>
        <v>0.89379578874455323</v>
      </c>
      <c r="BE158" s="2447">
        <f>L158/(1.0595^(2020-2019))</f>
        <v>2.8315243039169418</v>
      </c>
    </row>
    <row r="159" spans="1:57" x14ac:dyDescent="0.25">
      <c r="C159" s="3246" t="s">
        <v>668</v>
      </c>
      <c r="D159" s="463" t="s">
        <v>322</v>
      </c>
      <c r="E159" s="3122" t="str">
        <f>E157</f>
        <v>Kit Faucet Aerator (Bathroom)</v>
      </c>
      <c r="F159" s="531">
        <f>ROUND(G171*(G173*G174-G176*G177)*G180*G183*G185/G187*I159*G199*G197,2)</f>
        <v>30.1</v>
      </c>
      <c r="G159" s="3227" t="s">
        <v>184</v>
      </c>
      <c r="H159" s="155">
        <f>VLOOKUP(G159,'CP FACTORS'!$A$3:$B$38, 2, FALSE)</f>
        <v>8.8731800000000003E-5</v>
      </c>
      <c r="I159" s="1490">
        <f t="shared" si="30"/>
        <v>6.1532825322391571E-2</v>
      </c>
      <c r="J159" s="106">
        <f>ROUND(F159*H159,6)</f>
        <v>2.6710000000000002E-3</v>
      </c>
      <c r="K159" s="2718">
        <f>$G$202</f>
        <v>10</v>
      </c>
      <c r="L159" s="519">
        <f>$G$203</f>
        <v>3</v>
      </c>
      <c r="M159" s="2667" t="s">
        <v>185</v>
      </c>
      <c r="P159" s="517"/>
      <c r="Q159" s="517"/>
      <c r="R159" s="1431"/>
      <c r="V159" s="1962" t="str">
        <f>V157</f>
        <v>kWh Annual Savings</v>
      </c>
      <c r="W159" s="1827">
        <v>33.463803164371527</v>
      </c>
      <c r="X159" s="1952">
        <v>37.583340890617215</v>
      </c>
      <c r="Y159" s="549">
        <v>30.07</v>
      </c>
      <c r="Z159" s="65">
        <v>30.07</v>
      </c>
      <c r="AA159" s="65">
        <v>30.07</v>
      </c>
      <c r="AB159" s="1951">
        <v>30.1</v>
      </c>
      <c r="AC159" s="3027">
        <v>30.1</v>
      </c>
      <c r="AD159" s="160"/>
      <c r="AE159" s="160"/>
      <c r="AF159" s="160"/>
      <c r="AG159" s="160"/>
      <c r="AH159" s="163"/>
      <c r="AI159" s="1930"/>
      <c r="AJ159" s="1930"/>
      <c r="AK159" s="1930"/>
      <c r="AL159" s="1930"/>
      <c r="AM159" s="1930"/>
      <c r="AN159" s="1930"/>
      <c r="AO159" s="1930"/>
      <c r="AP159" s="1930"/>
      <c r="AQ159" s="1930"/>
      <c r="AR159" s="1930"/>
      <c r="AS159" s="1930"/>
      <c r="AT159" s="1930"/>
      <c r="AU159" s="1930"/>
      <c r="AV159" s="1930"/>
      <c r="AW159" s="1930"/>
      <c r="AX159" s="1930"/>
      <c r="AY159" s="1930"/>
      <c r="AZ159" s="1930"/>
      <c r="BA159" s="1930"/>
      <c r="BB159" s="2448">
        <f>(BD159)/(BE159)</f>
        <v>3.5854084036557374</v>
      </c>
      <c r="BC159" s="3166" t="str">
        <f>CONCATENATE(G159," ",K159," Year EUL")</f>
        <v>Water Heating RES 10 Year EUL</v>
      </c>
      <c r="BD159" s="2446">
        <f>(INDEX('Avoided Cost Benefits'!$C$4:$C$857,MATCH(BC159,'Avoided Cost Benefits'!$A$4:$A$857,0)))*F159</f>
        <v>10.152171034419265</v>
      </c>
      <c r="BE159" s="2447">
        <f>L159/(1.0595^(2020-2019))</f>
        <v>2.8315243039169418</v>
      </c>
    </row>
    <row r="160" spans="1:57" s="1930" customFormat="1" x14ac:dyDescent="0.25">
      <c r="A160" s="123"/>
      <c r="B160" s="123"/>
      <c r="C160" s="3246" t="s">
        <v>669</v>
      </c>
      <c r="D160" s="2734" t="s">
        <v>512</v>
      </c>
      <c r="E160" s="3122" t="s">
        <v>670</v>
      </c>
      <c r="F160" s="1491">
        <f>ROUND(G172*(G173*G175-G176*G178)*G181*G184*G185/G188*I160*G200*G197,2)</f>
        <v>13.84</v>
      </c>
      <c r="G160" s="3227" t="s">
        <v>184</v>
      </c>
      <c r="H160" s="155">
        <f>VLOOKUP(G160,'CP FACTORS'!$A$3:$B$38, 2, FALSE)</f>
        <v>8.8731800000000003E-5</v>
      </c>
      <c r="I160" s="1490">
        <f>G$189*G$190*(G$192-G$193)/(G$194*G$195)</f>
        <v>4.658558030480657E-2</v>
      </c>
      <c r="J160" s="106">
        <f t="shared" ref="J160" si="31">ROUND(F160*H160,6)</f>
        <v>1.2279999999999999E-3</v>
      </c>
      <c r="K160" s="2718">
        <f>$G$202</f>
        <v>10</v>
      </c>
      <c r="L160" s="519">
        <f>$G$203</f>
        <v>3</v>
      </c>
      <c r="M160" s="2667" t="s">
        <v>185</v>
      </c>
      <c r="N160" s="123"/>
      <c r="O160" s="123"/>
      <c r="P160" s="517"/>
      <c r="Q160" s="517"/>
      <c r="R160" s="1431"/>
      <c r="S160" s="123"/>
      <c r="T160" s="123"/>
      <c r="U160" s="123"/>
      <c r="V160" s="1962" t="str">
        <f>V158</f>
        <v>kWh Annual Savings</v>
      </c>
      <c r="W160" s="1827"/>
      <c r="X160" s="1952"/>
      <c r="Y160" s="549"/>
      <c r="Z160" s="550"/>
      <c r="AA160" s="550"/>
      <c r="AB160" s="1951">
        <v>13.84</v>
      </c>
      <c r="AC160" s="3027">
        <v>13.84</v>
      </c>
      <c r="AD160" s="160"/>
      <c r="AE160" s="160"/>
      <c r="AF160" s="160"/>
      <c r="AG160" s="160"/>
      <c r="AH160" s="163"/>
      <c r="BB160" s="2448">
        <f>(BD160)/(BE160)</f>
        <v>1.6485731663320733</v>
      </c>
      <c r="BC160" s="3166" t="str">
        <f>CONCATENATE(G160," ",K160," Year EUL")</f>
        <v>Water Heating RES 10 Year EUL</v>
      </c>
      <c r="BD160" s="2446">
        <f>(INDEX('Avoided Cost Benefits'!$C$4:$C$857,MATCH(BC160,'Avoided Cost Benefits'!$A$4:$A$857,0)))*F160</f>
        <v>4.6679749872545724</v>
      </c>
      <c r="BE160" s="2447">
        <f>L160/(1.0595^(2020-2019))</f>
        <v>2.8315243039169418</v>
      </c>
    </row>
    <row r="161" spans="1:57" hidden="1" outlineLevel="1" x14ac:dyDescent="0.25">
      <c r="G161" s="1492"/>
      <c r="M161" s="3220"/>
      <c r="P161" s="517"/>
      <c r="Q161" s="517"/>
      <c r="AC161" s="1930"/>
      <c r="AD161" s="1930"/>
      <c r="AE161" s="1930"/>
      <c r="AF161" s="1930"/>
      <c r="AG161" s="1930"/>
      <c r="AH161" s="1930"/>
      <c r="AI161" s="1930"/>
      <c r="AJ161" s="1930"/>
      <c r="AK161" s="1930"/>
      <c r="AL161" s="1930"/>
      <c r="AM161" s="1930"/>
      <c r="AN161" s="1930"/>
      <c r="AO161" s="1930"/>
      <c r="AP161" s="1930"/>
      <c r="AQ161" s="1930"/>
      <c r="AR161" s="1930"/>
      <c r="AS161" s="1930"/>
      <c r="AT161" s="1930"/>
      <c r="AU161" s="1930"/>
      <c r="AV161" s="1930"/>
      <c r="AW161" s="1930"/>
      <c r="AX161" s="1930"/>
      <c r="AY161" s="1930"/>
      <c r="AZ161" s="1930"/>
      <c r="BA161" s="1930"/>
      <c r="BB161" s="1930"/>
      <c r="BC161" s="1930"/>
    </row>
    <row r="162" spans="1:57" hidden="1" outlineLevel="1" x14ac:dyDescent="0.25">
      <c r="D162" s="174" t="s">
        <v>108</v>
      </c>
      <c r="M162" s="3220"/>
      <c r="AC162" s="1930"/>
      <c r="AD162" s="1930"/>
      <c r="AE162" s="1930"/>
      <c r="AF162" s="1930"/>
      <c r="AG162" s="1930"/>
      <c r="AH162" s="1930"/>
      <c r="AI162" s="1930"/>
      <c r="AJ162" s="1930"/>
      <c r="AK162" s="1930"/>
      <c r="AL162" s="1930"/>
      <c r="AM162" s="1930"/>
      <c r="AN162" s="1930"/>
      <c r="AO162" s="1930"/>
      <c r="AP162" s="1930"/>
      <c r="AQ162" s="1930"/>
      <c r="AR162" s="1930"/>
      <c r="AS162" s="1930"/>
      <c r="AT162" s="1930"/>
      <c r="AU162" s="1930"/>
      <c r="AV162" s="1930"/>
      <c r="AW162" s="1930"/>
      <c r="AX162" s="1930"/>
      <c r="AY162" s="1930"/>
      <c r="AZ162" s="1930"/>
      <c r="BA162" s="1930"/>
      <c r="BB162" s="1930"/>
      <c r="BC162" s="1930"/>
    </row>
    <row r="163" spans="1:57" hidden="1" outlineLevel="1" x14ac:dyDescent="0.25">
      <c r="M163" s="3220"/>
      <c r="AC163" s="1930"/>
      <c r="AD163" s="1930"/>
      <c r="AE163" s="1930"/>
      <c r="AF163" s="1930"/>
      <c r="AG163" s="1930"/>
      <c r="AH163" s="1930"/>
      <c r="AI163" s="1930"/>
      <c r="AJ163" s="1930"/>
      <c r="AK163" s="1930"/>
      <c r="AL163" s="1930"/>
      <c r="AM163" s="1930"/>
      <c r="AN163" s="1930"/>
      <c r="AO163" s="1930"/>
      <c r="AP163" s="1930"/>
      <c r="AQ163" s="1930"/>
      <c r="AR163" s="1930"/>
      <c r="AS163" s="1930"/>
      <c r="AT163" s="1930"/>
      <c r="AU163" s="1930"/>
      <c r="AV163" s="1930"/>
      <c r="AW163" s="1930"/>
      <c r="AX163" s="1930"/>
      <c r="AY163" s="1930"/>
      <c r="AZ163" s="1930"/>
      <c r="BA163" s="1930"/>
      <c r="BB163" s="1930"/>
      <c r="BC163" s="1930"/>
    </row>
    <row r="164" spans="1:57" hidden="1" outlineLevel="1" x14ac:dyDescent="0.25">
      <c r="M164" s="3220"/>
      <c r="AC164" s="1930"/>
      <c r="AD164" s="1930"/>
      <c r="AE164" s="1930"/>
      <c r="AF164" s="1930"/>
      <c r="AG164" s="1930"/>
      <c r="AH164" s="1930"/>
      <c r="AI164" s="1930"/>
      <c r="AJ164" s="1930"/>
      <c r="AK164" s="1930"/>
      <c r="AL164" s="1930"/>
      <c r="AM164" s="1930"/>
      <c r="AN164" s="1930"/>
      <c r="AO164" s="1930"/>
      <c r="AP164" s="1930"/>
      <c r="AQ164" s="1930"/>
      <c r="AR164" s="1930"/>
      <c r="AS164" s="1930"/>
      <c r="AT164" s="1930"/>
      <c r="AU164" s="1930"/>
      <c r="AV164" s="1930"/>
      <c r="AW164" s="1930"/>
      <c r="AX164" s="1930"/>
      <c r="AY164" s="1930"/>
      <c r="AZ164" s="1930"/>
      <c r="BA164" s="1930"/>
      <c r="BB164" s="1930"/>
      <c r="BC164" s="1930"/>
    </row>
    <row r="165" spans="1:57" hidden="1" outlineLevel="1" x14ac:dyDescent="0.25">
      <c r="M165" s="3220"/>
      <c r="AC165" s="1930"/>
      <c r="AD165" s="1930"/>
      <c r="AE165" s="1930"/>
      <c r="AF165" s="1930"/>
      <c r="AG165" s="1930"/>
      <c r="AH165" s="1930"/>
      <c r="AI165" s="1930"/>
      <c r="AJ165" s="1930"/>
      <c r="AK165" s="1930"/>
      <c r="AL165" s="1930"/>
      <c r="AM165" s="1930"/>
      <c r="AN165" s="1930"/>
      <c r="AO165" s="1930"/>
      <c r="AP165" s="1930"/>
      <c r="AQ165" s="1930"/>
      <c r="AR165" s="1930"/>
      <c r="AS165" s="1930"/>
      <c r="AT165" s="1930"/>
      <c r="AU165" s="1930"/>
      <c r="AV165" s="1930"/>
      <c r="AW165" s="1930"/>
      <c r="AX165" s="1930"/>
      <c r="AY165" s="1930"/>
      <c r="AZ165" s="1930"/>
      <c r="BA165" s="1930"/>
      <c r="BB165" s="1930"/>
      <c r="BC165" s="1930"/>
    </row>
    <row r="166" spans="1:57" hidden="1" outlineLevel="1" x14ac:dyDescent="0.25">
      <c r="M166" s="3220"/>
      <c r="AC166" s="1930"/>
      <c r="AD166" s="1930"/>
      <c r="AE166" s="1930"/>
      <c r="AF166" s="1930"/>
      <c r="AG166" s="1930"/>
      <c r="AH166" s="1930"/>
      <c r="AI166" s="1930"/>
      <c r="AJ166" s="1930"/>
      <c r="AK166" s="1930"/>
      <c r="AL166" s="1930"/>
      <c r="AM166" s="1930"/>
      <c r="AN166" s="1930"/>
      <c r="AO166" s="1930"/>
      <c r="AP166" s="1930"/>
      <c r="AQ166" s="1930"/>
      <c r="AR166" s="1930"/>
      <c r="AS166" s="1930"/>
      <c r="AT166" s="1930"/>
      <c r="AU166" s="1930"/>
      <c r="AV166" s="1930"/>
      <c r="AW166" s="1930"/>
      <c r="AX166" s="1930"/>
      <c r="AY166" s="1930"/>
      <c r="AZ166" s="1930"/>
      <c r="BA166" s="1930"/>
      <c r="BB166" s="1930"/>
      <c r="BC166" s="1930"/>
    </row>
    <row r="167" spans="1:57" hidden="1" outlineLevel="1" x14ac:dyDescent="0.25">
      <c r="M167" s="3220"/>
      <c r="AC167" s="1930"/>
      <c r="AD167" s="1930"/>
      <c r="AE167" s="1930"/>
      <c r="AF167" s="1930"/>
      <c r="AG167" s="1930"/>
      <c r="AH167" s="1930"/>
      <c r="AI167" s="1930"/>
      <c r="AJ167" s="1930"/>
      <c r="AK167" s="1930"/>
      <c r="AL167" s="1930"/>
      <c r="AM167" s="1930"/>
      <c r="AN167" s="1930"/>
      <c r="AO167" s="1930"/>
      <c r="AP167" s="1930"/>
      <c r="AQ167" s="1930"/>
      <c r="AR167" s="1930"/>
      <c r="AS167" s="1930"/>
      <c r="AT167" s="1930"/>
      <c r="AU167" s="1930"/>
      <c r="AV167" s="1930"/>
      <c r="AW167" s="1930"/>
      <c r="AX167" s="1930"/>
      <c r="AY167" s="1930"/>
      <c r="AZ167" s="1930"/>
      <c r="BA167" s="1930"/>
      <c r="BB167" s="1930"/>
      <c r="BC167" s="1930"/>
    </row>
    <row r="168" spans="1:57" hidden="1" outlineLevel="1" x14ac:dyDescent="0.25">
      <c r="J168" s="3220"/>
      <c r="K168" s="3220"/>
      <c r="L168" s="3220"/>
      <c r="M168" s="3220"/>
      <c r="V168" s="551" t="s">
        <v>45</v>
      </c>
      <c r="W168" s="360">
        <f>$W$6</f>
        <v>43252</v>
      </c>
      <c r="X168" s="360">
        <f>$X$6</f>
        <v>43465</v>
      </c>
      <c r="Y168" s="360">
        <f>$Y$6</f>
        <v>43800</v>
      </c>
      <c r="Z168" s="360">
        <f>$Z$6</f>
        <v>43862</v>
      </c>
      <c r="AA168" s="360">
        <f>$AA$6</f>
        <v>44013</v>
      </c>
      <c r="AB168" s="360">
        <f>$AB$6</f>
        <v>44166</v>
      </c>
      <c r="AC168" s="1937">
        <f>$AC$6</f>
        <v>44531</v>
      </c>
      <c r="AD168" s="1937" t="str">
        <f>$AD$6</f>
        <v>-</v>
      </c>
      <c r="AE168" s="1937" t="str">
        <f>$AE$6</f>
        <v>-</v>
      </c>
      <c r="AF168" s="1937" t="str">
        <f>$AF$6</f>
        <v>-</v>
      </c>
      <c r="AG168" s="1937" t="str">
        <f>$AG$6</f>
        <v>-</v>
      </c>
      <c r="AH168" s="485"/>
      <c r="AI168" s="1930"/>
      <c r="AJ168" s="1930"/>
      <c r="AK168" s="1930"/>
      <c r="AL168" s="1930"/>
      <c r="AM168" s="1930"/>
      <c r="AN168" s="1930"/>
      <c r="AO168" s="1930"/>
      <c r="AP168" s="1930"/>
      <c r="AQ168" s="1930"/>
      <c r="AR168" s="1930"/>
      <c r="AS168" s="1930"/>
      <c r="AT168" s="1930"/>
      <c r="AU168" s="1930"/>
      <c r="AV168" s="1930"/>
      <c r="AW168" s="1930"/>
      <c r="AX168" s="1930"/>
      <c r="AY168" s="1930"/>
      <c r="AZ168" s="1930"/>
      <c r="BA168" s="1930"/>
      <c r="BB168" s="1930"/>
      <c r="BC168" s="1930"/>
    </row>
    <row r="169" spans="1:57" ht="15" hidden="1" customHeight="1" outlineLevel="1" x14ac:dyDescent="0.25">
      <c r="D169" s="3236" t="s">
        <v>109</v>
      </c>
      <c r="E169" s="3205" t="s">
        <v>110</v>
      </c>
      <c r="F169" s="3086" t="s">
        <v>614</v>
      </c>
      <c r="G169" s="3086" t="s">
        <v>112</v>
      </c>
      <c r="H169" s="3923" t="s">
        <v>187</v>
      </c>
      <c r="I169" s="3931"/>
      <c r="J169" s="3923" t="s">
        <v>113</v>
      </c>
      <c r="K169" s="3924"/>
      <c r="M169" s="3220"/>
      <c r="V169" s="2541"/>
      <c r="W169" s="2182"/>
      <c r="X169" s="2182"/>
      <c r="Y169" s="2182"/>
      <c r="Z169" s="2182"/>
      <c r="AA169" s="2182"/>
      <c r="AB169" s="2182"/>
      <c r="AC169" s="2182"/>
      <c r="AD169" s="2182"/>
      <c r="AE169" s="2182"/>
      <c r="AF169" s="2182"/>
      <c r="AG169" s="2182"/>
      <c r="AH169" s="123"/>
      <c r="AI169" s="1930"/>
      <c r="AJ169" s="1930"/>
      <c r="AK169" s="1930"/>
      <c r="AL169" s="1930"/>
      <c r="AM169" s="1930"/>
      <c r="AN169" s="1930"/>
      <c r="AO169" s="1930"/>
      <c r="AP169" s="1930"/>
      <c r="AQ169" s="1930"/>
      <c r="AR169" s="1930"/>
      <c r="AS169" s="1930"/>
      <c r="AT169" s="1930"/>
      <c r="AU169" s="1930"/>
      <c r="AV169" s="1930"/>
      <c r="AW169" s="1930"/>
      <c r="AX169" s="1930"/>
      <c r="AY169" s="1930"/>
      <c r="AZ169" s="1930"/>
      <c r="BA169" s="1930"/>
      <c r="BB169" s="1930"/>
      <c r="BC169" s="1930"/>
    </row>
    <row r="170" spans="1:57" s="1930" customFormat="1" hidden="1" outlineLevel="1" x14ac:dyDescent="0.25">
      <c r="A170" s="123"/>
      <c r="B170" s="123"/>
      <c r="C170" s="329"/>
      <c r="D170" s="3872" t="s">
        <v>615</v>
      </c>
      <c r="E170" s="3881" t="s">
        <v>616</v>
      </c>
      <c r="F170" s="3246" t="s">
        <v>617</v>
      </c>
      <c r="G170" s="214">
        <v>0.42</v>
      </c>
      <c r="H170" s="3776" t="s">
        <v>618</v>
      </c>
      <c r="I170" s="3776"/>
      <c r="J170" s="3919"/>
      <c r="K170" s="3920"/>
      <c r="L170" s="3220"/>
      <c r="M170" s="3220"/>
      <c r="N170" s="123"/>
      <c r="O170" s="123"/>
      <c r="P170" s="123"/>
      <c r="Q170" s="123"/>
      <c r="R170" s="123"/>
      <c r="S170" s="123"/>
      <c r="T170" s="123"/>
      <c r="U170" s="123"/>
      <c r="V170" s="3872" t="s">
        <v>615</v>
      </c>
      <c r="W170" s="512">
        <v>0.4</v>
      </c>
      <c r="X170" s="522">
        <v>0.34429999999999999</v>
      </c>
      <c r="Y170" s="523">
        <v>0.46360000000000001</v>
      </c>
      <c r="Z170" s="2427">
        <v>0.46360000000000001</v>
      </c>
      <c r="AA170" s="2427">
        <v>0.46360000000000001</v>
      </c>
      <c r="AB170" s="2042">
        <v>0.42</v>
      </c>
      <c r="AC170" s="214">
        <v>0.42</v>
      </c>
      <c r="AD170" s="489"/>
      <c r="AE170" s="489"/>
      <c r="AF170" s="489"/>
      <c r="AG170" s="489"/>
      <c r="BD170" s="1"/>
      <c r="BE170" s="1"/>
    </row>
    <row r="171" spans="1:57" s="1930" customFormat="1" hidden="1" outlineLevel="1" x14ac:dyDescent="0.25">
      <c r="A171" s="123"/>
      <c r="B171" s="123"/>
      <c r="C171" s="329"/>
      <c r="D171" s="3874"/>
      <c r="E171" s="3820"/>
      <c r="F171" s="2041" t="s">
        <v>599</v>
      </c>
      <c r="G171" s="214">
        <v>1</v>
      </c>
      <c r="H171" s="3776" t="s">
        <v>619</v>
      </c>
      <c r="I171" s="3776"/>
      <c r="J171" s="3919"/>
      <c r="K171" s="3920"/>
      <c r="L171" s="3220"/>
      <c r="M171" s="3220"/>
      <c r="N171" s="123"/>
      <c r="O171" s="123"/>
      <c r="P171" s="123"/>
      <c r="Q171" s="123"/>
      <c r="R171" s="123"/>
      <c r="S171" s="123"/>
      <c r="T171" s="123"/>
      <c r="U171" s="123"/>
      <c r="V171" s="3874"/>
      <c r="W171" s="512"/>
      <c r="X171" s="522"/>
      <c r="Y171" s="523"/>
      <c r="Z171" s="2427"/>
      <c r="AA171" s="2427"/>
      <c r="AB171" s="214">
        <v>1</v>
      </c>
      <c r="AC171" s="214">
        <v>1</v>
      </c>
      <c r="AD171" s="489"/>
      <c r="AE171" s="489"/>
      <c r="AF171" s="489"/>
      <c r="AG171" s="489"/>
      <c r="BD171" s="1"/>
      <c r="BE171" s="1"/>
    </row>
    <row r="172" spans="1:57" s="1930" customFormat="1" hidden="1" outlineLevel="1" x14ac:dyDescent="0.25">
      <c r="A172" s="123"/>
      <c r="B172" s="123"/>
      <c r="C172" s="329"/>
      <c r="D172" s="3873"/>
      <c r="E172" s="3821"/>
      <c r="F172" s="3115" t="s">
        <v>620</v>
      </c>
      <c r="G172" s="323">
        <v>0.42</v>
      </c>
      <c r="H172" s="3911" t="s">
        <v>618</v>
      </c>
      <c r="I172" s="3911"/>
      <c r="J172" s="3823" t="s">
        <v>671</v>
      </c>
      <c r="K172" s="3823"/>
      <c r="L172" s="3220"/>
      <c r="M172" s="3220"/>
      <c r="N172" s="123"/>
      <c r="O172" s="123"/>
      <c r="P172" s="123"/>
      <c r="Q172" s="123"/>
      <c r="R172" s="123"/>
      <c r="S172" s="123"/>
      <c r="T172" s="123"/>
      <c r="U172" s="123"/>
      <c r="V172" s="3873"/>
      <c r="W172" s="512"/>
      <c r="X172" s="522"/>
      <c r="Y172" s="523"/>
      <c r="Z172" s="2427"/>
      <c r="AA172" s="2427"/>
      <c r="AB172" s="743">
        <v>0.42</v>
      </c>
      <c r="AC172" s="323">
        <v>0.42</v>
      </c>
      <c r="AD172" s="489"/>
      <c r="AE172" s="489"/>
      <c r="AF172" s="489"/>
      <c r="AG172" s="489"/>
      <c r="BD172" s="1"/>
      <c r="BE172" s="1"/>
    </row>
    <row r="173" spans="1:57" hidden="1" outlineLevel="1" x14ac:dyDescent="0.25">
      <c r="D173" s="3089" t="s">
        <v>621</v>
      </c>
      <c r="E173" s="3124" t="s">
        <v>622</v>
      </c>
      <c r="F173" s="2041" t="s">
        <v>135</v>
      </c>
      <c r="G173" s="3226">
        <v>2.2000000000000002</v>
      </c>
      <c r="H173" s="3776" t="s">
        <v>623</v>
      </c>
      <c r="I173" s="3776"/>
      <c r="J173" s="3919"/>
      <c r="K173" s="3920"/>
      <c r="L173" s="3220"/>
      <c r="M173" s="3220"/>
      <c r="V173" s="3089" t="s">
        <v>621</v>
      </c>
      <c r="W173" s="481">
        <v>2.2000000000000002</v>
      </c>
      <c r="X173" s="491">
        <v>2.2000000000000002</v>
      </c>
      <c r="Y173" s="491">
        <v>2.2000000000000002</v>
      </c>
      <c r="Z173" s="3226">
        <v>2.2000000000000002</v>
      </c>
      <c r="AA173" s="3226">
        <v>2.2000000000000002</v>
      </c>
      <c r="AB173" s="3226">
        <v>2.2000000000000002</v>
      </c>
      <c r="AC173" s="3226">
        <v>2.2000000000000002</v>
      </c>
      <c r="AD173" s="481"/>
      <c r="AE173" s="481"/>
      <c r="AF173" s="481"/>
      <c r="AG173" s="481"/>
      <c r="AH173" s="1930"/>
      <c r="AI173" s="1930"/>
      <c r="AJ173" s="1930"/>
      <c r="AK173" s="1930"/>
      <c r="AL173" s="1930"/>
      <c r="AM173" s="1930"/>
      <c r="AN173" s="1930"/>
      <c r="AO173" s="1930"/>
      <c r="AP173" s="1930"/>
      <c r="AQ173" s="1930"/>
      <c r="AR173" s="1930"/>
      <c r="AS173" s="1930"/>
      <c r="AT173" s="1930"/>
      <c r="AU173" s="1930"/>
      <c r="AV173" s="1930"/>
      <c r="AW173" s="1930"/>
      <c r="AX173" s="1930"/>
      <c r="AY173" s="1930"/>
      <c r="AZ173" s="1930"/>
      <c r="BA173" s="1930"/>
      <c r="BB173" s="1930"/>
      <c r="BC173" s="1930"/>
    </row>
    <row r="174" spans="1:57" ht="30" hidden="1" outlineLevel="1" x14ac:dyDescent="0.25">
      <c r="D174" s="3776" t="s">
        <v>624</v>
      </c>
      <c r="E174" s="3897" t="s">
        <v>625</v>
      </c>
      <c r="F174" s="2041" t="s">
        <v>672</v>
      </c>
      <c r="G174" s="492">
        <v>1.6</v>
      </c>
      <c r="H174" s="3776" t="s">
        <v>673</v>
      </c>
      <c r="I174" s="3776"/>
      <c r="J174" s="3919"/>
      <c r="K174" s="3920"/>
      <c r="L174" s="3220"/>
      <c r="M174" s="3220"/>
      <c r="V174" s="3872" t="s">
        <v>624</v>
      </c>
      <c r="W174" s="464">
        <v>1.6</v>
      </c>
      <c r="X174" s="493">
        <v>1.6</v>
      </c>
      <c r="Y174" s="464">
        <v>1.6</v>
      </c>
      <c r="Z174" s="463">
        <v>1.6</v>
      </c>
      <c r="AA174" s="463">
        <v>1.6</v>
      </c>
      <c r="AB174" s="492">
        <v>1.6</v>
      </c>
      <c r="AC174" s="492">
        <v>1.6</v>
      </c>
      <c r="AD174" s="464"/>
      <c r="AE174" s="464"/>
      <c r="AF174" s="464"/>
      <c r="AG174" s="464"/>
      <c r="AH174" s="1930"/>
      <c r="AI174" s="1930"/>
      <c r="AJ174" s="1930"/>
      <c r="AK174" s="1930"/>
      <c r="AL174" s="1930"/>
      <c r="AM174" s="1930"/>
      <c r="AN174" s="1930"/>
      <c r="AO174" s="1930"/>
      <c r="AP174" s="1930"/>
      <c r="AQ174" s="1930"/>
      <c r="AR174" s="1930"/>
      <c r="AS174" s="1930"/>
      <c r="AT174" s="1930"/>
      <c r="AU174" s="1930"/>
      <c r="AV174" s="1930"/>
      <c r="AW174" s="1930"/>
      <c r="AX174" s="1930"/>
      <c r="AY174" s="1930"/>
      <c r="AZ174" s="1930"/>
      <c r="BA174" s="1930"/>
      <c r="BB174" s="1930"/>
      <c r="BC174" s="1930"/>
    </row>
    <row r="175" spans="1:57" s="1930" customFormat="1" hidden="1" outlineLevel="1" x14ac:dyDescent="0.25">
      <c r="A175" s="123"/>
      <c r="B175" s="123"/>
      <c r="C175" s="329"/>
      <c r="D175" s="3776"/>
      <c r="E175" s="3897"/>
      <c r="F175" s="3115" t="s">
        <v>620</v>
      </c>
      <c r="G175" s="492">
        <v>3.7</v>
      </c>
      <c r="H175" s="3776" t="s">
        <v>628</v>
      </c>
      <c r="I175" s="3776"/>
      <c r="J175" s="3823" t="s">
        <v>674</v>
      </c>
      <c r="K175" s="3823"/>
      <c r="L175" s="3220"/>
      <c r="M175" s="3220"/>
      <c r="N175" s="123"/>
      <c r="O175" s="123"/>
      <c r="P175" s="123"/>
      <c r="Q175" s="123"/>
      <c r="R175" s="123"/>
      <c r="S175" s="123"/>
      <c r="T175" s="123"/>
      <c r="U175" s="123"/>
      <c r="V175" s="3873"/>
      <c r="W175" s="464"/>
      <c r="X175" s="493"/>
      <c r="Y175" s="464"/>
      <c r="Z175" s="463"/>
      <c r="AA175" s="463"/>
      <c r="AB175" s="349">
        <v>3.7</v>
      </c>
      <c r="AC175" s="492">
        <v>3.7</v>
      </c>
      <c r="AD175" s="464"/>
      <c r="AE175" s="464"/>
      <c r="AF175" s="464"/>
      <c r="AG175" s="464"/>
      <c r="BD175" s="1"/>
      <c r="BE175" s="1"/>
    </row>
    <row r="176" spans="1:57" hidden="1" outlineLevel="1" x14ac:dyDescent="0.25">
      <c r="D176" s="3089" t="s">
        <v>629</v>
      </c>
      <c r="E176" s="3124" t="s">
        <v>630</v>
      </c>
      <c r="F176" s="2041" t="s">
        <v>135</v>
      </c>
      <c r="G176" s="492">
        <v>1.5</v>
      </c>
      <c r="H176" s="3776" t="s">
        <v>631</v>
      </c>
      <c r="I176" s="3776"/>
      <c r="J176" s="3919"/>
      <c r="K176" s="3920"/>
      <c r="L176" s="3220"/>
      <c r="M176" s="3220"/>
      <c r="V176" s="3089" t="s">
        <v>629</v>
      </c>
      <c r="W176" s="464">
        <v>1.5</v>
      </c>
      <c r="X176" s="493">
        <v>1.5</v>
      </c>
      <c r="Y176" s="493">
        <v>1.5</v>
      </c>
      <c r="Z176" s="492">
        <v>1.5</v>
      </c>
      <c r="AA176" s="492">
        <v>1.5</v>
      </c>
      <c r="AB176" s="492">
        <v>1.5</v>
      </c>
      <c r="AC176" s="492">
        <v>1.5</v>
      </c>
      <c r="AD176" s="464"/>
      <c r="AE176" s="464"/>
      <c r="AF176" s="464"/>
      <c r="AG176" s="464"/>
      <c r="AH176" s="456"/>
      <c r="AI176" s="1930"/>
      <c r="AJ176" s="1930"/>
      <c r="AK176" s="1930"/>
      <c r="AL176" s="1930"/>
      <c r="AM176" s="1930"/>
      <c r="AN176" s="1930"/>
      <c r="AO176" s="1930"/>
      <c r="AP176" s="1930"/>
      <c r="AQ176" s="1930"/>
      <c r="AR176" s="1930"/>
      <c r="AS176" s="1930"/>
      <c r="AT176" s="1930"/>
      <c r="AU176" s="1930"/>
      <c r="AV176" s="1930"/>
      <c r="AW176" s="1930"/>
      <c r="AX176" s="1930"/>
      <c r="AY176" s="1930"/>
      <c r="AZ176" s="1930"/>
      <c r="BA176" s="1930"/>
      <c r="BB176" s="1930"/>
      <c r="BC176" s="1930"/>
    </row>
    <row r="177" spans="1:57" hidden="1" outlineLevel="1" x14ac:dyDescent="0.25">
      <c r="D177" s="3776" t="s">
        <v>632</v>
      </c>
      <c r="E177" s="3897" t="s">
        <v>633</v>
      </c>
      <c r="F177" s="2041" t="s">
        <v>675</v>
      </c>
      <c r="G177" s="492">
        <v>1.6</v>
      </c>
      <c r="H177" s="3776" t="s">
        <v>673</v>
      </c>
      <c r="I177" s="3776"/>
      <c r="J177" s="3919"/>
      <c r="K177" s="3920"/>
      <c r="L177" s="3220"/>
      <c r="M177" s="3220"/>
      <c r="V177" s="3872" t="s">
        <v>632</v>
      </c>
      <c r="W177" s="464">
        <v>1.6</v>
      </c>
      <c r="X177" s="493">
        <v>1.6</v>
      </c>
      <c r="Y177" s="493">
        <v>1.6</v>
      </c>
      <c r="Z177" s="492">
        <v>1.6</v>
      </c>
      <c r="AA177" s="492">
        <v>1.6</v>
      </c>
      <c r="AB177" s="492">
        <v>1.6</v>
      </c>
      <c r="AC177" s="492">
        <v>1.6</v>
      </c>
      <c r="AD177" s="464"/>
      <c r="AE177" s="464"/>
      <c r="AF177" s="464"/>
      <c r="AG177" s="464"/>
      <c r="AH177" s="1930"/>
      <c r="AI177" s="1930"/>
      <c r="AJ177" s="1930"/>
      <c r="AK177" s="1930"/>
      <c r="AL177" s="1930"/>
      <c r="AM177" s="1930"/>
      <c r="AN177" s="1930"/>
      <c r="AO177" s="1930"/>
      <c r="AP177" s="1930"/>
      <c r="AQ177" s="1930"/>
      <c r="AR177" s="1930"/>
      <c r="AS177" s="1930"/>
      <c r="AT177" s="1930"/>
      <c r="AU177" s="1930"/>
      <c r="AV177" s="1930"/>
      <c r="AW177" s="1930"/>
      <c r="AX177" s="1930"/>
      <c r="AY177" s="1930"/>
      <c r="AZ177" s="1930"/>
      <c r="BA177" s="1930"/>
      <c r="BB177" s="1930"/>
      <c r="BC177" s="1930"/>
    </row>
    <row r="178" spans="1:57" s="1930" customFormat="1" hidden="1" outlineLevel="1" x14ac:dyDescent="0.25">
      <c r="A178" s="123"/>
      <c r="B178" s="123"/>
      <c r="C178" s="329"/>
      <c r="D178" s="3776"/>
      <c r="E178" s="3897"/>
      <c r="F178" s="3115" t="s">
        <v>620</v>
      </c>
      <c r="G178" s="492">
        <v>3.7</v>
      </c>
      <c r="H178" s="3776" t="s">
        <v>628</v>
      </c>
      <c r="I178" s="3776"/>
      <c r="J178" s="3823" t="s">
        <v>674</v>
      </c>
      <c r="K178" s="3823"/>
      <c r="L178" s="3220"/>
      <c r="M178" s="3220"/>
      <c r="N178" s="123"/>
      <c r="O178" s="123"/>
      <c r="P178" s="123"/>
      <c r="Q178" s="123"/>
      <c r="R178" s="123"/>
      <c r="S178" s="123"/>
      <c r="T178" s="123"/>
      <c r="U178" s="123"/>
      <c r="V178" s="3873"/>
      <c r="W178" s="464"/>
      <c r="X178" s="493"/>
      <c r="Y178" s="493"/>
      <c r="Z178" s="492"/>
      <c r="AA178" s="492"/>
      <c r="AB178" s="349">
        <v>3.7</v>
      </c>
      <c r="AC178" s="492">
        <v>3.7</v>
      </c>
      <c r="AD178" s="464"/>
      <c r="AE178" s="464"/>
      <c r="AF178" s="464"/>
      <c r="AG178" s="464"/>
      <c r="BD178" s="1"/>
      <c r="BE178" s="1"/>
    </row>
    <row r="179" spans="1:57" s="1930" customFormat="1" ht="28.9" hidden="1" customHeight="1" outlineLevel="1" x14ac:dyDescent="0.25">
      <c r="A179" s="123"/>
      <c r="B179" s="123"/>
      <c r="C179" s="329"/>
      <c r="D179" s="3872" t="s">
        <v>200</v>
      </c>
      <c r="E179" s="3972" t="s">
        <v>634</v>
      </c>
      <c r="F179" s="2041" t="s">
        <v>617</v>
      </c>
      <c r="G179" s="494">
        <v>4.28571428571429</v>
      </c>
      <c r="H179" s="3776" t="s">
        <v>618</v>
      </c>
      <c r="I179" s="3776"/>
      <c r="J179" s="3919"/>
      <c r="K179" s="3920"/>
      <c r="L179" s="3220"/>
      <c r="M179" s="3220"/>
      <c r="N179" s="123"/>
      <c r="O179" s="123"/>
      <c r="P179" s="123"/>
      <c r="Q179" s="123"/>
      <c r="R179" s="123"/>
      <c r="S179" s="123"/>
      <c r="T179" s="123"/>
      <c r="U179" s="123"/>
      <c r="V179" s="3872" t="s">
        <v>200</v>
      </c>
      <c r="W179" s="524">
        <v>4.3185840707964598</v>
      </c>
      <c r="X179" s="454">
        <v>4.2926829268292686</v>
      </c>
      <c r="Y179" s="525">
        <v>4.2329545454545459</v>
      </c>
      <c r="Z179" s="2167">
        <v>4.2329545454545459</v>
      </c>
      <c r="AA179" s="2167">
        <v>4.2329545454545459</v>
      </c>
      <c r="AB179" s="496">
        <v>4.28571428571429</v>
      </c>
      <c r="AC179" s="494">
        <v>4.28571428571429</v>
      </c>
      <c r="AD179" s="495"/>
      <c r="AE179" s="495"/>
      <c r="AF179" s="495"/>
      <c r="AG179" s="495"/>
      <c r="BD179" s="1"/>
      <c r="BE179" s="1"/>
    </row>
    <row r="180" spans="1:57" s="1930" customFormat="1" hidden="1" outlineLevel="1" x14ac:dyDescent="0.25">
      <c r="A180" s="123"/>
      <c r="B180" s="123"/>
      <c r="C180" s="329"/>
      <c r="D180" s="3874"/>
      <c r="E180" s="3973"/>
      <c r="F180" s="2041" t="s">
        <v>599</v>
      </c>
      <c r="G180" s="494">
        <v>1.7767584097859328</v>
      </c>
      <c r="H180" s="3776" t="s">
        <v>676</v>
      </c>
      <c r="I180" s="3776"/>
      <c r="J180" s="3919"/>
      <c r="K180" s="3920"/>
      <c r="L180" s="3220"/>
      <c r="M180" s="3220"/>
      <c r="N180" s="123"/>
      <c r="O180" s="123"/>
      <c r="P180" s="123"/>
      <c r="Q180" s="123"/>
      <c r="R180" s="123"/>
      <c r="S180" s="123"/>
      <c r="T180" s="123"/>
      <c r="U180" s="123"/>
      <c r="V180" s="3874"/>
      <c r="W180" s="524"/>
      <c r="X180" s="454"/>
      <c r="Y180" s="525"/>
      <c r="Z180" s="2167"/>
      <c r="AA180" s="2167"/>
      <c r="AB180" s="494">
        <v>1.7767584097859328</v>
      </c>
      <c r="AC180" s="494">
        <v>1.7767584097859328</v>
      </c>
      <c r="AD180" s="495"/>
      <c r="AE180" s="495"/>
      <c r="AF180" s="495"/>
      <c r="AG180" s="495"/>
      <c r="BD180" s="1"/>
      <c r="BE180" s="1"/>
    </row>
    <row r="181" spans="1:57" s="1930" customFormat="1" hidden="1" outlineLevel="1" x14ac:dyDescent="0.25">
      <c r="A181" s="123"/>
      <c r="B181" s="123"/>
      <c r="C181" s="329"/>
      <c r="D181" s="3874"/>
      <c r="E181" s="3973"/>
      <c r="F181" s="3115" t="s">
        <v>620</v>
      </c>
      <c r="G181" s="526">
        <v>1.5644946808510638</v>
      </c>
      <c r="H181" s="3875" t="s">
        <v>636</v>
      </c>
      <c r="I181" s="3875"/>
      <c r="J181" s="3823" t="s">
        <v>674</v>
      </c>
      <c r="K181" s="3823"/>
      <c r="L181" s="3220"/>
      <c r="M181" s="3220"/>
      <c r="N181" s="123"/>
      <c r="O181" s="123"/>
      <c r="P181" s="123"/>
      <c r="Q181" s="123"/>
      <c r="R181" s="123"/>
      <c r="S181" s="123"/>
      <c r="T181" s="123"/>
      <c r="U181" s="123"/>
      <c r="V181" s="3874"/>
      <c r="W181" s="524"/>
      <c r="X181" s="454"/>
      <c r="Y181" s="525"/>
      <c r="Z181" s="2167"/>
      <c r="AA181" s="2167"/>
      <c r="AB181" s="498">
        <v>1.5644946808510638</v>
      </c>
      <c r="AC181" s="526">
        <v>1.5644946808510638</v>
      </c>
      <c r="AD181" s="495"/>
      <c r="AE181" s="495"/>
      <c r="AF181" s="495"/>
      <c r="AG181" s="495"/>
      <c r="BD181" s="1"/>
      <c r="BE181" s="1"/>
    </row>
    <row r="182" spans="1:57" s="1930" customFormat="1" hidden="1" outlineLevel="1" x14ac:dyDescent="0.25">
      <c r="A182" s="123"/>
      <c r="B182" s="123"/>
      <c r="C182" s="329"/>
      <c r="D182" s="3873"/>
      <c r="E182" s="3974"/>
      <c r="F182" s="2041" t="s">
        <v>538</v>
      </c>
      <c r="G182" s="526">
        <v>2.65</v>
      </c>
      <c r="H182" s="3875" t="s">
        <v>637</v>
      </c>
      <c r="I182" s="3875"/>
      <c r="J182" s="3919"/>
      <c r="K182" s="3920"/>
      <c r="L182" s="3220"/>
      <c r="M182" s="3220"/>
      <c r="N182" s="123"/>
      <c r="O182" s="123"/>
      <c r="P182" s="123"/>
      <c r="Q182" s="123"/>
      <c r="R182" s="123"/>
      <c r="S182" s="123"/>
      <c r="T182" s="123"/>
      <c r="U182" s="123"/>
      <c r="V182" s="3873"/>
      <c r="W182" s="524"/>
      <c r="X182" s="454"/>
      <c r="Y182" s="525"/>
      <c r="Z182" s="2167"/>
      <c r="AA182" s="2167"/>
      <c r="AB182" s="498">
        <v>2.65</v>
      </c>
      <c r="AC182" s="526">
        <v>2.65</v>
      </c>
      <c r="AD182" s="495"/>
      <c r="AE182" s="495"/>
      <c r="AF182" s="495"/>
      <c r="AG182" s="495"/>
      <c r="BD182" s="1"/>
      <c r="BE182" s="1"/>
    </row>
    <row r="183" spans="1:57" hidden="1" outlineLevel="1" x14ac:dyDescent="0.25">
      <c r="D183" s="3903" t="s">
        <v>638</v>
      </c>
      <c r="E183" s="3917" t="s">
        <v>639</v>
      </c>
      <c r="F183" s="2041" t="s">
        <v>640</v>
      </c>
      <c r="G183" s="3226">
        <v>0.9</v>
      </c>
      <c r="H183" s="3776" t="s">
        <v>641</v>
      </c>
      <c r="I183" s="3776"/>
      <c r="J183" s="3919"/>
      <c r="K183" s="3920"/>
      <c r="L183" s="3220"/>
      <c r="M183" s="3220"/>
      <c r="V183" s="3863" t="s">
        <v>638</v>
      </c>
      <c r="W183" s="499">
        <v>0.9</v>
      </c>
      <c r="X183" s="491">
        <v>0.9</v>
      </c>
      <c r="Y183" s="491">
        <v>0.9</v>
      </c>
      <c r="Z183" s="3226">
        <v>0.9</v>
      </c>
      <c r="AA183" s="3226">
        <v>0.9</v>
      </c>
      <c r="AB183" s="3226">
        <v>0.9</v>
      </c>
      <c r="AC183" s="3226">
        <v>0.9</v>
      </c>
      <c r="AD183" s="499"/>
      <c r="AE183" s="499"/>
      <c r="AF183" s="499"/>
      <c r="AG183" s="499"/>
      <c r="AH183" s="1930"/>
      <c r="AI183" s="1930"/>
      <c r="AJ183" s="1930"/>
      <c r="AK183" s="1930"/>
      <c r="AL183" s="1930"/>
      <c r="AM183" s="1930"/>
      <c r="AN183" s="1930"/>
      <c r="AO183" s="1930"/>
      <c r="AP183" s="1930"/>
      <c r="AQ183" s="1930"/>
      <c r="AR183" s="1930"/>
      <c r="AS183" s="1930"/>
      <c r="AT183" s="1930"/>
      <c r="AU183" s="1930"/>
      <c r="AV183" s="1930"/>
      <c r="AW183" s="1930"/>
      <c r="AX183" s="1930"/>
      <c r="AY183" s="1930"/>
      <c r="AZ183" s="1930"/>
      <c r="BA183" s="1930"/>
      <c r="BB183" s="1930"/>
      <c r="BC183" s="1930"/>
    </row>
    <row r="184" spans="1:57" s="1930" customFormat="1" hidden="1" outlineLevel="1" x14ac:dyDescent="0.25">
      <c r="A184" s="123"/>
      <c r="B184" s="123"/>
      <c r="C184" s="329"/>
      <c r="D184" s="3903"/>
      <c r="E184" s="3917"/>
      <c r="F184" s="3115" t="s">
        <v>620</v>
      </c>
      <c r="G184" s="141">
        <v>1</v>
      </c>
      <c r="H184" s="3776" t="s">
        <v>536</v>
      </c>
      <c r="I184" s="3776"/>
      <c r="J184" s="3823" t="s">
        <v>677</v>
      </c>
      <c r="K184" s="3823"/>
      <c r="L184" s="3220"/>
      <c r="M184" s="3220"/>
      <c r="N184" s="123"/>
      <c r="O184" s="123"/>
      <c r="P184" s="123"/>
      <c r="Q184" s="123"/>
      <c r="R184" s="123"/>
      <c r="S184" s="123"/>
      <c r="T184" s="123"/>
      <c r="U184" s="123"/>
      <c r="V184" s="3804"/>
      <c r="W184" s="499"/>
      <c r="X184" s="491"/>
      <c r="Y184" s="491"/>
      <c r="Z184" s="3226"/>
      <c r="AA184" s="3226"/>
      <c r="AB184" s="534">
        <v>1</v>
      </c>
      <c r="AC184" s="141">
        <v>1</v>
      </c>
      <c r="AD184" s="499"/>
      <c r="AE184" s="499"/>
      <c r="AF184" s="499"/>
      <c r="AG184" s="499"/>
      <c r="BD184" s="1"/>
      <c r="BE184" s="1"/>
    </row>
    <row r="185" spans="1:57" hidden="1" outlineLevel="1" x14ac:dyDescent="0.25">
      <c r="D185" s="3125">
        <v>365.25</v>
      </c>
      <c r="E185" s="3124" t="s">
        <v>586</v>
      </c>
      <c r="F185" s="2041" t="s">
        <v>135</v>
      </c>
      <c r="G185" s="492">
        <v>365.25</v>
      </c>
      <c r="H185" s="3776" t="s">
        <v>587</v>
      </c>
      <c r="I185" s="3776"/>
      <c r="J185" s="3919"/>
      <c r="K185" s="3920"/>
      <c r="L185" s="3220"/>
      <c r="M185" s="3220"/>
      <c r="V185" s="447">
        <v>365.25</v>
      </c>
      <c r="W185" s="464">
        <v>365</v>
      </c>
      <c r="X185" s="493">
        <v>365</v>
      </c>
      <c r="Y185" s="493">
        <v>365</v>
      </c>
      <c r="Z185" s="492">
        <v>365</v>
      </c>
      <c r="AA185" s="492">
        <v>365</v>
      </c>
      <c r="AB185" s="349">
        <v>365.25</v>
      </c>
      <c r="AC185" s="492">
        <v>365.25</v>
      </c>
      <c r="AD185" s="464"/>
      <c r="AE185" s="464"/>
      <c r="AF185" s="464"/>
      <c r="AG185" s="464"/>
      <c r="AH185" s="1930"/>
      <c r="AI185" s="1930"/>
      <c r="AJ185" s="1930"/>
      <c r="AK185" s="1930"/>
      <c r="AL185" s="1930"/>
      <c r="AM185" s="1930"/>
      <c r="AN185" s="1930"/>
      <c r="AO185" s="1930"/>
      <c r="AP185" s="1930"/>
      <c r="AQ185" s="1930"/>
      <c r="AR185" s="1930"/>
      <c r="AS185" s="1930"/>
      <c r="AT185" s="1930"/>
      <c r="AU185" s="1930"/>
      <c r="AV185" s="1930"/>
      <c r="AW185" s="1930"/>
      <c r="AX185" s="1930"/>
      <c r="AY185" s="1930"/>
      <c r="AZ185" s="1930"/>
      <c r="BA185" s="1930"/>
      <c r="BB185" s="1930"/>
      <c r="BC185" s="1930"/>
    </row>
    <row r="186" spans="1:57" hidden="1" outlineLevel="1" x14ac:dyDescent="0.25">
      <c r="D186" s="3903" t="s">
        <v>642</v>
      </c>
      <c r="E186" s="3902" t="s">
        <v>643</v>
      </c>
      <c r="F186" s="2041" t="s">
        <v>617</v>
      </c>
      <c r="G186" s="2043">
        <v>2.2839</v>
      </c>
      <c r="H186" s="3867" t="s">
        <v>644</v>
      </c>
      <c r="I186" s="3867"/>
      <c r="J186" s="3919"/>
      <c r="K186" s="3920"/>
      <c r="L186" s="3220"/>
      <c r="M186" s="3220"/>
      <c r="V186" s="3863" t="s">
        <v>642</v>
      </c>
      <c r="W186" s="524">
        <v>2.4005847953216377</v>
      </c>
      <c r="X186" s="528">
        <v>2.4005847953216377</v>
      </c>
      <c r="Y186" s="454">
        <v>2.2839</v>
      </c>
      <c r="Z186" s="448">
        <v>2.2839</v>
      </c>
      <c r="AA186" s="448">
        <v>2.2839</v>
      </c>
      <c r="AB186" s="2043">
        <v>2.2839</v>
      </c>
      <c r="AC186" s="2043">
        <v>2.2839</v>
      </c>
      <c r="AD186" s="502"/>
      <c r="AE186" s="502"/>
      <c r="AF186" s="502"/>
      <c r="AG186" s="502"/>
      <c r="AH186" s="1930"/>
      <c r="AI186" s="1930"/>
      <c r="AJ186" s="1930"/>
      <c r="AK186" s="1930"/>
      <c r="AL186" s="1930"/>
      <c r="AM186" s="1930"/>
      <c r="AN186" s="1930"/>
      <c r="AO186" s="1930"/>
      <c r="AP186" s="1930"/>
      <c r="AQ186" s="1930"/>
      <c r="AR186" s="1930"/>
      <c r="AS186" s="1930"/>
      <c r="AT186" s="1930"/>
      <c r="AU186" s="1930"/>
      <c r="AV186" s="1930"/>
      <c r="AW186" s="1930"/>
      <c r="AX186" s="1930"/>
      <c r="AY186" s="1930"/>
      <c r="AZ186" s="1930"/>
      <c r="BA186" s="1930"/>
      <c r="BB186" s="1930"/>
      <c r="BC186" s="1930"/>
    </row>
    <row r="187" spans="1:57" s="1930" customFormat="1" hidden="1" outlineLevel="1" x14ac:dyDescent="0.25">
      <c r="A187" s="123"/>
      <c r="B187" s="123"/>
      <c r="C187" s="329"/>
      <c r="D187" s="3903"/>
      <c r="E187" s="3902"/>
      <c r="F187" s="2041" t="s">
        <v>599</v>
      </c>
      <c r="G187" s="2043">
        <v>1.3371757925072045</v>
      </c>
      <c r="H187" s="3776" t="s">
        <v>678</v>
      </c>
      <c r="I187" s="3776"/>
      <c r="J187" s="3919"/>
      <c r="K187" s="3920"/>
      <c r="L187" s="3220"/>
      <c r="M187" s="3220"/>
      <c r="N187" s="123"/>
      <c r="O187" s="123"/>
      <c r="P187" s="123"/>
      <c r="Q187" s="123"/>
      <c r="R187" s="123"/>
      <c r="S187" s="123"/>
      <c r="T187" s="123"/>
      <c r="U187" s="123"/>
      <c r="V187" s="3705"/>
      <c r="W187" s="524"/>
      <c r="X187" s="528"/>
      <c r="Y187" s="454"/>
      <c r="Z187" s="448"/>
      <c r="AA187" s="448"/>
      <c r="AB187" s="2043">
        <v>1.3371757925072045</v>
      </c>
      <c r="AC187" s="2043">
        <v>1.3371757925072045</v>
      </c>
      <c r="AD187" s="502"/>
      <c r="AE187" s="502"/>
      <c r="AF187" s="502"/>
      <c r="AG187" s="502"/>
      <c r="BD187" s="1"/>
      <c r="BE187" s="1"/>
    </row>
    <row r="188" spans="1:57" s="1930" customFormat="1" hidden="1" outlineLevel="1" x14ac:dyDescent="0.25">
      <c r="A188" s="123"/>
      <c r="B188" s="123"/>
      <c r="C188" s="329"/>
      <c r="D188" s="3903"/>
      <c r="E188" s="3902"/>
      <c r="F188" s="3115" t="s">
        <v>620</v>
      </c>
      <c r="G188" s="2516">
        <v>1.8624708624708626</v>
      </c>
      <c r="H188" s="3918" t="s">
        <v>679</v>
      </c>
      <c r="I188" s="3918"/>
      <c r="J188" s="3919"/>
      <c r="K188" s="3920"/>
      <c r="L188" s="3220"/>
      <c r="M188" s="3220"/>
      <c r="N188" s="123"/>
      <c r="O188" s="123"/>
      <c r="P188" s="123"/>
      <c r="Q188" s="123"/>
      <c r="R188" s="123"/>
      <c r="S188" s="123"/>
      <c r="T188" s="123"/>
      <c r="U188" s="123"/>
      <c r="V188" s="3804"/>
      <c r="W188" s="524"/>
      <c r="X188" s="528"/>
      <c r="Y188" s="454"/>
      <c r="Z188" s="448"/>
      <c r="AA188" s="448"/>
      <c r="AB188" s="2044">
        <v>1.8624708624708626</v>
      </c>
      <c r="AC188" s="2516">
        <v>1.8624708624708626</v>
      </c>
      <c r="AD188" s="502"/>
      <c r="AE188" s="502"/>
      <c r="AF188" s="502"/>
      <c r="AG188" s="502"/>
      <c r="BD188" s="1"/>
      <c r="BE188" s="1"/>
    </row>
    <row r="189" spans="1:57" hidden="1" outlineLevel="1" x14ac:dyDescent="0.25">
      <c r="D189" s="3125">
        <v>8.33</v>
      </c>
      <c r="E189" s="3133" t="s">
        <v>647</v>
      </c>
      <c r="F189" s="2041" t="s">
        <v>135</v>
      </c>
      <c r="G189" s="3226">
        <v>8.33</v>
      </c>
      <c r="H189" s="3867" t="s">
        <v>648</v>
      </c>
      <c r="I189" s="3867"/>
      <c r="J189" s="3919"/>
      <c r="K189" s="3920"/>
      <c r="L189" s="3220"/>
      <c r="M189" s="3220"/>
      <c r="V189" s="447">
        <v>8.33</v>
      </c>
      <c r="W189" s="499">
        <v>8.33</v>
      </c>
      <c r="X189" s="491">
        <v>8.33</v>
      </c>
      <c r="Y189" s="491">
        <v>8.33</v>
      </c>
      <c r="Z189" s="3226">
        <v>8.33</v>
      </c>
      <c r="AA189" s="3226">
        <v>8.33</v>
      </c>
      <c r="AB189" s="3226">
        <v>8.33</v>
      </c>
      <c r="AC189" s="3226">
        <v>8.33</v>
      </c>
      <c r="AD189" s="499"/>
      <c r="AE189" s="499"/>
      <c r="AF189" s="499"/>
      <c r="AG189" s="499"/>
      <c r="AH189" s="1930"/>
      <c r="AI189" s="1930"/>
      <c r="AJ189" s="1930"/>
      <c r="AK189" s="1930"/>
      <c r="AL189" s="1930"/>
      <c r="AM189" s="1930"/>
      <c r="AN189" s="1930"/>
      <c r="AO189" s="1930"/>
      <c r="AP189" s="1930"/>
      <c r="AQ189" s="1930"/>
      <c r="AR189" s="1930"/>
      <c r="AS189" s="1930"/>
      <c r="AT189" s="1930"/>
      <c r="AU189" s="1930"/>
      <c r="AV189" s="1930"/>
      <c r="AW189" s="1930"/>
      <c r="AX189" s="1930"/>
      <c r="AY189" s="1930"/>
      <c r="AZ189" s="1930"/>
      <c r="BA189" s="1930"/>
      <c r="BB189" s="1930"/>
      <c r="BC189" s="1930"/>
    </row>
    <row r="190" spans="1:57" hidden="1" outlineLevel="1" x14ac:dyDescent="0.25">
      <c r="D190" s="3125">
        <v>1</v>
      </c>
      <c r="E190" s="3124" t="s">
        <v>649</v>
      </c>
      <c r="F190" s="2041" t="s">
        <v>135</v>
      </c>
      <c r="G190" s="3226">
        <v>1</v>
      </c>
      <c r="H190" s="3776" t="s">
        <v>650</v>
      </c>
      <c r="I190" s="3776"/>
      <c r="J190" s="3919"/>
      <c r="K190" s="3920"/>
      <c r="L190" s="3220"/>
      <c r="M190" s="3220"/>
      <c r="V190" s="447">
        <v>1</v>
      </c>
      <c r="W190" s="499">
        <v>1</v>
      </c>
      <c r="X190" s="491">
        <v>1</v>
      </c>
      <c r="Y190" s="491">
        <v>1</v>
      </c>
      <c r="Z190" s="3226">
        <v>1</v>
      </c>
      <c r="AA190" s="3226">
        <v>1</v>
      </c>
      <c r="AB190" s="3226">
        <v>1</v>
      </c>
      <c r="AC190" s="3226">
        <v>1</v>
      </c>
      <c r="AD190" s="499"/>
      <c r="AE190" s="499"/>
      <c r="AF190" s="499"/>
      <c r="AG190" s="499"/>
      <c r="AH190" s="1930"/>
      <c r="AI190" s="1930"/>
      <c r="AJ190" s="1930"/>
      <c r="AK190" s="1930"/>
      <c r="AL190" s="1930"/>
      <c r="AM190" s="1930"/>
      <c r="AN190" s="1930"/>
      <c r="AO190" s="1930"/>
      <c r="AP190" s="1930"/>
      <c r="AQ190" s="1930"/>
      <c r="AR190" s="1930"/>
      <c r="AS190" s="1930"/>
      <c r="AT190" s="1930"/>
      <c r="AU190" s="1930"/>
      <c r="AV190" s="1930"/>
      <c r="AW190" s="1930"/>
      <c r="AX190" s="1930"/>
      <c r="AY190" s="1930"/>
      <c r="AZ190" s="1930"/>
      <c r="BA190" s="1930"/>
      <c r="BB190" s="1930"/>
      <c r="BC190" s="1930"/>
    </row>
    <row r="191" spans="1:57" ht="30" hidden="1" outlineLevel="1" x14ac:dyDescent="0.25">
      <c r="D191" s="3776" t="s">
        <v>651</v>
      </c>
      <c r="E191" s="3902" t="s">
        <v>652</v>
      </c>
      <c r="F191" s="2041" t="s">
        <v>672</v>
      </c>
      <c r="G191" s="492">
        <v>86</v>
      </c>
      <c r="H191" s="3776" t="s">
        <v>653</v>
      </c>
      <c r="I191" s="3776"/>
      <c r="J191" s="3919"/>
      <c r="K191" s="3920"/>
      <c r="L191" s="3220"/>
      <c r="M191" s="3220"/>
      <c r="V191" s="3872" t="s">
        <v>651</v>
      </c>
      <c r="W191" s="464">
        <v>86</v>
      </c>
      <c r="X191" s="493">
        <v>86</v>
      </c>
      <c r="Y191" s="493">
        <v>86</v>
      </c>
      <c r="Z191" s="492">
        <v>86</v>
      </c>
      <c r="AA191" s="492">
        <v>86</v>
      </c>
      <c r="AB191" s="492">
        <v>86</v>
      </c>
      <c r="AC191" s="492">
        <v>86</v>
      </c>
      <c r="AD191" s="464"/>
      <c r="AE191" s="464"/>
      <c r="AF191" s="464"/>
      <c r="AG191" s="464"/>
      <c r="AH191" s="1930"/>
      <c r="AI191" s="1930"/>
      <c r="AJ191" s="1930"/>
      <c r="AK191" s="1930"/>
      <c r="AL191" s="1930"/>
      <c r="AM191" s="1930"/>
      <c r="AN191" s="1930"/>
      <c r="AO191" s="1930"/>
      <c r="AP191" s="1930"/>
      <c r="AQ191" s="1930"/>
      <c r="AR191" s="1930"/>
      <c r="AS191" s="1930"/>
      <c r="AT191" s="1930"/>
      <c r="AU191" s="1930"/>
      <c r="AV191" s="1930"/>
      <c r="AW191" s="1930"/>
      <c r="AX191" s="1930"/>
      <c r="AY191" s="1930"/>
      <c r="AZ191" s="1930"/>
      <c r="BA191" s="1930"/>
      <c r="BB191" s="1930"/>
      <c r="BC191" s="1930"/>
    </row>
    <row r="192" spans="1:57" s="1930" customFormat="1" hidden="1" outlineLevel="1" x14ac:dyDescent="0.25">
      <c r="A192" s="123"/>
      <c r="B192" s="123"/>
      <c r="C192" s="329"/>
      <c r="D192" s="3776"/>
      <c r="E192" s="3902"/>
      <c r="F192" s="3115" t="s">
        <v>620</v>
      </c>
      <c r="G192" s="492">
        <v>80</v>
      </c>
      <c r="H192" s="3776" t="s">
        <v>680</v>
      </c>
      <c r="I192" s="3776"/>
      <c r="J192" s="3823" t="s">
        <v>674</v>
      </c>
      <c r="K192" s="3823"/>
      <c r="L192" s="3220"/>
      <c r="M192" s="3220"/>
      <c r="N192" s="123"/>
      <c r="O192" s="123"/>
      <c r="P192" s="123"/>
      <c r="Q192" s="123"/>
      <c r="R192" s="123"/>
      <c r="S192" s="123"/>
      <c r="T192" s="123"/>
      <c r="U192" s="123"/>
      <c r="V192" s="3873"/>
      <c r="W192" s="464"/>
      <c r="X192" s="493"/>
      <c r="Y192" s="493"/>
      <c r="Z192" s="492"/>
      <c r="AA192" s="492"/>
      <c r="AB192" s="349">
        <v>80</v>
      </c>
      <c r="AC192" s="492">
        <v>80</v>
      </c>
      <c r="AD192" s="464"/>
      <c r="AE192" s="464"/>
      <c r="AF192" s="464"/>
      <c r="AG192" s="464"/>
      <c r="BD192" s="1"/>
      <c r="BE192" s="1"/>
    </row>
    <row r="193" spans="1:57" s="456" customFormat="1" hidden="1" outlineLevel="1" x14ac:dyDescent="0.25">
      <c r="A193" s="3220"/>
      <c r="B193" s="3220"/>
      <c r="C193" s="329"/>
      <c r="D193" s="3089" t="s">
        <v>654</v>
      </c>
      <c r="E193" s="3124" t="s">
        <v>655</v>
      </c>
      <c r="F193" s="2041" t="s">
        <v>135</v>
      </c>
      <c r="G193" s="492">
        <v>61.3</v>
      </c>
      <c r="H193" s="3867" t="s">
        <v>656</v>
      </c>
      <c r="I193" s="3867"/>
      <c r="J193" s="3919"/>
      <c r="K193" s="3920"/>
      <c r="L193" s="3220"/>
      <c r="M193" s="3220"/>
      <c r="N193" s="3220"/>
      <c r="O193" s="3220"/>
      <c r="P193" s="3220"/>
      <c r="Q193" s="3220"/>
      <c r="R193" s="3220"/>
      <c r="S193" s="3220"/>
      <c r="T193" s="3220"/>
      <c r="U193" s="3220"/>
      <c r="V193" s="3089" t="s">
        <v>654</v>
      </c>
      <c r="W193" s="464">
        <v>61.3</v>
      </c>
      <c r="X193" s="493">
        <v>61.3</v>
      </c>
      <c r="Y193" s="493">
        <v>61.3</v>
      </c>
      <c r="Z193" s="492">
        <v>61.3</v>
      </c>
      <c r="AA193" s="492">
        <v>61.3</v>
      </c>
      <c r="AB193" s="492">
        <v>61.3</v>
      </c>
      <c r="AC193" s="492">
        <v>61.3</v>
      </c>
      <c r="AD193" s="464"/>
      <c r="AE193" s="464"/>
      <c r="AF193" s="464"/>
      <c r="AG193" s="464"/>
      <c r="AI193" s="1930"/>
      <c r="AJ193" s="1930"/>
      <c r="AK193" s="1930"/>
      <c r="AL193" s="1930"/>
      <c r="AM193" s="1930"/>
      <c r="AN193" s="1930"/>
      <c r="AO193" s="1930"/>
      <c r="AP193" s="1930"/>
      <c r="AQ193" s="1930"/>
      <c r="AR193" s="1930"/>
      <c r="AS193" s="1930"/>
      <c r="BD193" s="1"/>
      <c r="BE193" s="1"/>
    </row>
    <row r="194" spans="1:57" s="456" customFormat="1" hidden="1" outlineLevel="1" x14ac:dyDescent="0.25">
      <c r="A194" s="3220"/>
      <c r="B194" s="3220"/>
      <c r="C194" s="329"/>
      <c r="D194" s="3089" t="s">
        <v>657</v>
      </c>
      <c r="E194" s="3124" t="s">
        <v>658</v>
      </c>
      <c r="F194" s="2041" t="s">
        <v>135</v>
      </c>
      <c r="G194" s="3226">
        <v>0.98</v>
      </c>
      <c r="H194" s="3867" t="s">
        <v>659</v>
      </c>
      <c r="I194" s="3867"/>
      <c r="J194" s="3919"/>
      <c r="K194" s="3920"/>
      <c r="L194" s="3220"/>
      <c r="M194" s="3220"/>
      <c r="N194" s="3220"/>
      <c r="O194" s="3220"/>
      <c r="P194" s="3220"/>
      <c r="Q194" s="3220"/>
      <c r="R194" s="3220"/>
      <c r="S194" s="3220"/>
      <c r="T194" s="3220"/>
      <c r="U194" s="3220"/>
      <c r="V194" s="3089" t="s">
        <v>657</v>
      </c>
      <c r="W194" s="499">
        <v>0.98</v>
      </c>
      <c r="X194" s="491">
        <v>0.98</v>
      </c>
      <c r="Y194" s="491">
        <v>0.98</v>
      </c>
      <c r="Z194" s="3226">
        <v>0.98</v>
      </c>
      <c r="AA194" s="3226">
        <v>0.98</v>
      </c>
      <c r="AB194" s="3226">
        <v>0.98</v>
      </c>
      <c r="AC194" s="3226">
        <v>0.98</v>
      </c>
      <c r="AD194" s="499"/>
      <c r="AE194" s="499"/>
      <c r="AF194" s="499"/>
      <c r="AG194" s="499"/>
      <c r="AI194" s="1930"/>
      <c r="AJ194" s="1930"/>
      <c r="AK194" s="1930"/>
      <c r="AL194" s="1930"/>
      <c r="AM194" s="1930"/>
      <c r="AN194" s="1930"/>
      <c r="AO194" s="1930"/>
      <c r="AP194" s="1930"/>
      <c r="AQ194" s="1930"/>
      <c r="AR194" s="1930"/>
      <c r="AS194" s="1930"/>
      <c r="BD194" s="1"/>
      <c r="BE194" s="1"/>
    </row>
    <row r="195" spans="1:57" s="456" customFormat="1" hidden="1" outlineLevel="1" x14ac:dyDescent="0.25">
      <c r="A195" s="3220"/>
      <c r="B195" s="3220"/>
      <c r="C195" s="329"/>
      <c r="D195" s="3089">
        <v>3412</v>
      </c>
      <c r="E195" s="3133" t="s">
        <v>660</v>
      </c>
      <c r="F195" s="2041" t="s">
        <v>135</v>
      </c>
      <c r="G195" s="506">
        <v>3412</v>
      </c>
      <c r="H195" s="3867" t="s">
        <v>218</v>
      </c>
      <c r="I195" s="3867"/>
      <c r="J195" s="3919"/>
      <c r="K195" s="3920"/>
      <c r="L195" s="3220"/>
      <c r="M195" s="3220"/>
      <c r="N195" s="3220"/>
      <c r="O195" s="3220"/>
      <c r="P195" s="3220"/>
      <c r="Q195" s="3220"/>
      <c r="R195" s="3220"/>
      <c r="S195" s="3220"/>
      <c r="T195" s="3220"/>
      <c r="U195" s="3220"/>
      <c r="V195" s="3089">
        <v>3412</v>
      </c>
      <c r="W195" s="508">
        <v>3412</v>
      </c>
      <c r="X195" s="509">
        <v>3413</v>
      </c>
      <c r="Y195" s="509">
        <v>3413</v>
      </c>
      <c r="Z195" s="506">
        <v>3413</v>
      </c>
      <c r="AA195" s="506">
        <v>3413</v>
      </c>
      <c r="AB195" s="510">
        <v>3412</v>
      </c>
      <c r="AC195" s="506">
        <v>3412</v>
      </c>
      <c r="AD195" s="508"/>
      <c r="AE195" s="508"/>
      <c r="AF195" s="508"/>
      <c r="AG195" s="508"/>
      <c r="AI195" s="1930"/>
      <c r="AJ195" s="1930"/>
      <c r="AK195" s="1930"/>
      <c r="AL195" s="1930"/>
      <c r="AM195" s="1930"/>
      <c r="AN195" s="1930"/>
      <c r="AO195" s="1930"/>
      <c r="AP195" s="1930"/>
      <c r="AQ195" s="1930"/>
      <c r="AR195" s="1930"/>
      <c r="AS195" s="1930"/>
      <c r="BD195" s="1"/>
      <c r="BE195" s="1"/>
    </row>
    <row r="196" spans="1:57" s="456" customFormat="1" hidden="1" outlineLevel="1" x14ac:dyDescent="0.25">
      <c r="A196" s="3220"/>
      <c r="B196" s="3220"/>
      <c r="C196" s="329"/>
      <c r="D196" s="3872" t="s">
        <v>531</v>
      </c>
      <c r="E196" s="3881" t="s">
        <v>595</v>
      </c>
      <c r="F196" s="2041" t="s">
        <v>617</v>
      </c>
      <c r="G196" s="214">
        <v>0.72</v>
      </c>
      <c r="H196" s="3776" t="s">
        <v>618</v>
      </c>
      <c r="I196" s="3776"/>
      <c r="J196" s="3919"/>
      <c r="K196" s="3920"/>
      <c r="L196" s="3220"/>
      <c r="M196" s="3220"/>
      <c r="N196" s="3220"/>
      <c r="O196" s="3220"/>
      <c r="P196" s="3220"/>
      <c r="Q196" s="3220"/>
      <c r="R196" s="3220"/>
      <c r="S196" s="3220"/>
      <c r="T196" s="3220"/>
      <c r="U196" s="3220"/>
      <c r="V196" s="3872" t="s">
        <v>531</v>
      </c>
      <c r="W196" s="512">
        <v>0.86</v>
      </c>
      <c r="X196" s="513">
        <v>0.89859999999999995</v>
      </c>
      <c r="Y196" s="514">
        <v>0.91869999999999996</v>
      </c>
      <c r="Z196" s="2166">
        <v>0.91869999999999996</v>
      </c>
      <c r="AA196" s="2166">
        <v>0.91869999999999996</v>
      </c>
      <c r="AB196" s="2042">
        <v>0.72</v>
      </c>
      <c r="AC196" s="214">
        <v>0.72</v>
      </c>
      <c r="AD196" s="512"/>
      <c r="AE196" s="512"/>
      <c r="AF196" s="512"/>
      <c r="AG196" s="512"/>
      <c r="AI196" s="1930"/>
      <c r="AJ196" s="1930"/>
      <c r="AK196" s="1930"/>
      <c r="AL196" s="1930"/>
      <c r="AM196" s="1930"/>
      <c r="AN196" s="1930"/>
      <c r="AO196" s="1930"/>
      <c r="AP196" s="1930"/>
      <c r="AQ196" s="1930"/>
      <c r="AR196" s="1930"/>
      <c r="AS196" s="1930"/>
      <c r="BD196" s="1"/>
      <c r="BE196" s="1"/>
    </row>
    <row r="197" spans="1:57" s="456" customFormat="1" hidden="1" outlineLevel="1" x14ac:dyDescent="0.25">
      <c r="A197" s="3220"/>
      <c r="B197" s="3220"/>
      <c r="C197" s="329"/>
      <c r="D197" s="3873"/>
      <c r="E197" s="3821"/>
      <c r="F197" s="2041" t="s">
        <v>661</v>
      </c>
      <c r="G197" s="323">
        <v>1</v>
      </c>
      <c r="H197" s="3867" t="s">
        <v>662</v>
      </c>
      <c r="I197" s="3867"/>
      <c r="J197" s="3919"/>
      <c r="K197" s="3920"/>
      <c r="L197" s="3220"/>
      <c r="M197" s="3220"/>
      <c r="N197" s="3220"/>
      <c r="O197" s="3220"/>
      <c r="P197" s="3220"/>
      <c r="Q197" s="3220"/>
      <c r="R197" s="3220"/>
      <c r="S197" s="3220"/>
      <c r="T197" s="3220"/>
      <c r="U197" s="3220"/>
      <c r="V197" s="3873"/>
      <c r="W197" s="512"/>
      <c r="X197" s="513"/>
      <c r="Y197" s="514"/>
      <c r="Z197" s="2166"/>
      <c r="AA197" s="2166"/>
      <c r="AB197" s="323">
        <v>1</v>
      </c>
      <c r="AC197" s="323">
        <v>1</v>
      </c>
      <c r="AD197" s="512"/>
      <c r="AE197" s="512"/>
      <c r="AF197" s="512"/>
      <c r="AG197" s="512"/>
      <c r="AI197" s="1930"/>
      <c r="AJ197" s="1930"/>
      <c r="AK197" s="1930"/>
      <c r="AL197" s="1930"/>
      <c r="AM197" s="1930"/>
      <c r="AN197" s="1930"/>
      <c r="AO197" s="1930"/>
      <c r="AP197" s="1930"/>
      <c r="AQ197" s="1930"/>
      <c r="AR197" s="1930"/>
      <c r="AS197" s="1930"/>
      <c r="BD197" s="1"/>
      <c r="BE197" s="1"/>
    </row>
    <row r="198" spans="1:57" s="456" customFormat="1" hidden="1" outlineLevel="1" x14ac:dyDescent="0.25">
      <c r="A198" s="3220"/>
      <c r="B198" s="3220"/>
      <c r="C198" s="329"/>
      <c r="D198" s="3872" t="s">
        <v>133</v>
      </c>
      <c r="E198" s="3881" t="s">
        <v>252</v>
      </c>
      <c r="F198" s="2041" t="s">
        <v>617</v>
      </c>
      <c r="G198" s="214">
        <v>0.48</v>
      </c>
      <c r="H198" s="3776" t="s">
        <v>534</v>
      </c>
      <c r="I198" s="3776"/>
      <c r="J198" s="3919"/>
      <c r="K198" s="3920"/>
      <c r="L198" s="3220"/>
      <c r="M198" s="3220"/>
      <c r="N198" s="3220"/>
      <c r="O198" s="3220"/>
      <c r="P198" s="3220"/>
      <c r="Q198" s="3220"/>
      <c r="R198" s="3220"/>
      <c r="S198" s="3220"/>
      <c r="T198" s="3220"/>
      <c r="U198" s="3220"/>
      <c r="V198" s="3872" t="s">
        <v>133</v>
      </c>
      <c r="W198" s="512">
        <v>0.56837606837606836</v>
      </c>
      <c r="X198" s="513">
        <v>0.55508474576271183</v>
      </c>
      <c r="Y198" s="514">
        <v>0.57216494845360821</v>
      </c>
      <c r="Z198" s="2166">
        <v>0.57216494845360821</v>
      </c>
      <c r="AA198" s="2166">
        <v>0.57216494845360821</v>
      </c>
      <c r="AB198" s="2042">
        <v>0.48</v>
      </c>
      <c r="AC198" s="214">
        <v>0.48</v>
      </c>
      <c r="AD198" s="512"/>
      <c r="AE198" s="512"/>
      <c r="AF198" s="512"/>
      <c r="AG198" s="512"/>
      <c r="AI198" s="1930"/>
      <c r="AJ198" s="1930"/>
      <c r="AK198" s="1930"/>
      <c r="AL198" s="1930"/>
      <c r="AM198" s="1930"/>
      <c r="AN198" s="1930"/>
      <c r="AO198" s="1930"/>
      <c r="AP198" s="1930"/>
      <c r="AQ198" s="1930"/>
      <c r="AR198" s="1930"/>
      <c r="AS198" s="1930"/>
      <c r="BD198" s="1"/>
      <c r="BE198" s="1"/>
    </row>
    <row r="199" spans="1:57" s="456" customFormat="1" hidden="1" outlineLevel="1" x14ac:dyDescent="0.25">
      <c r="A199" s="3220"/>
      <c r="B199" s="3220"/>
      <c r="C199" s="329"/>
      <c r="D199" s="3874"/>
      <c r="E199" s="3820"/>
      <c r="F199" s="2041" t="s">
        <v>599</v>
      </c>
      <c r="G199" s="323">
        <v>1</v>
      </c>
      <c r="H199" s="3867" t="s">
        <v>619</v>
      </c>
      <c r="I199" s="3867"/>
      <c r="J199" s="3919"/>
      <c r="K199" s="3920"/>
      <c r="L199" s="3220"/>
      <c r="M199" s="3220"/>
      <c r="N199" s="3220"/>
      <c r="O199" s="3220"/>
      <c r="P199" s="3220"/>
      <c r="Q199" s="3220"/>
      <c r="R199" s="3220"/>
      <c r="S199" s="3220"/>
      <c r="T199" s="3220"/>
      <c r="U199" s="3220"/>
      <c r="V199" s="3874"/>
      <c r="W199" s="512"/>
      <c r="X199" s="513"/>
      <c r="Y199" s="514"/>
      <c r="Z199" s="2166"/>
      <c r="AA199" s="2166"/>
      <c r="AB199" s="323">
        <v>1</v>
      </c>
      <c r="AC199" s="323">
        <v>1</v>
      </c>
      <c r="AD199" s="512"/>
      <c r="AE199" s="512"/>
      <c r="AF199" s="512"/>
      <c r="AG199" s="512"/>
      <c r="AI199" s="1930"/>
      <c r="AJ199" s="1930"/>
      <c r="AK199" s="1930"/>
      <c r="AL199" s="1930"/>
      <c r="AM199" s="1930"/>
      <c r="AN199" s="1930"/>
      <c r="AO199" s="1930"/>
      <c r="AP199" s="1930"/>
      <c r="AQ199" s="1930"/>
      <c r="AR199" s="1930"/>
      <c r="AS199" s="1930"/>
      <c r="BD199" s="1"/>
      <c r="BE199" s="1"/>
    </row>
    <row r="200" spans="1:57" s="456" customFormat="1" hidden="1" outlineLevel="1" x14ac:dyDescent="0.25">
      <c r="A200" s="3220"/>
      <c r="B200" s="3220"/>
      <c r="C200" s="329"/>
      <c r="D200" s="3874"/>
      <c r="E200" s="3820"/>
      <c r="F200" s="3115" t="s">
        <v>620</v>
      </c>
      <c r="G200" s="323">
        <v>0.89</v>
      </c>
      <c r="H200" s="3866" t="s">
        <v>662</v>
      </c>
      <c r="I200" s="3866"/>
      <c r="J200" s="3823" t="s">
        <v>681</v>
      </c>
      <c r="K200" s="3823"/>
      <c r="L200" s="3220"/>
      <c r="M200" s="3220"/>
      <c r="N200" s="3220"/>
      <c r="O200" s="3220"/>
      <c r="P200" s="3220"/>
      <c r="Q200" s="3220"/>
      <c r="R200" s="3220"/>
      <c r="S200" s="3220"/>
      <c r="T200" s="3220"/>
      <c r="U200" s="3220"/>
      <c r="V200" s="3874"/>
      <c r="W200" s="512"/>
      <c r="X200" s="513"/>
      <c r="Y200" s="514"/>
      <c r="Z200" s="2166"/>
      <c r="AA200" s="2166"/>
      <c r="AB200" s="743">
        <v>0.89</v>
      </c>
      <c r="AC200" s="323">
        <v>0.89</v>
      </c>
      <c r="AD200" s="512"/>
      <c r="AE200" s="512"/>
      <c r="AF200" s="512"/>
      <c r="AG200" s="512"/>
      <c r="AI200" s="1930"/>
      <c r="AJ200" s="1930"/>
      <c r="AK200" s="1930"/>
      <c r="AL200" s="1930"/>
      <c r="AM200" s="1930"/>
      <c r="AN200" s="1930"/>
      <c r="AO200" s="1930"/>
      <c r="AP200" s="1930"/>
      <c r="AQ200" s="1930"/>
      <c r="AR200" s="1930"/>
      <c r="AS200" s="1930"/>
      <c r="BD200" s="1"/>
      <c r="BE200" s="1"/>
    </row>
    <row r="201" spans="1:57" s="456" customFormat="1" hidden="1" outlineLevel="1" x14ac:dyDescent="0.25">
      <c r="A201" s="3220"/>
      <c r="B201" s="3220"/>
      <c r="C201" s="329"/>
      <c r="D201" s="3873"/>
      <c r="E201" s="3821"/>
      <c r="F201" s="2041" t="s">
        <v>538</v>
      </c>
      <c r="G201" s="323">
        <v>0.24</v>
      </c>
      <c r="H201" s="3866" t="s">
        <v>539</v>
      </c>
      <c r="I201" s="3866"/>
      <c r="J201" s="3919"/>
      <c r="K201" s="3920"/>
      <c r="L201" s="3220"/>
      <c r="M201" s="3220"/>
      <c r="N201" s="3220"/>
      <c r="O201" s="3220"/>
      <c r="P201" s="3220"/>
      <c r="Q201" s="3220"/>
      <c r="R201" s="3220"/>
      <c r="S201" s="3220"/>
      <c r="T201" s="3220"/>
      <c r="U201" s="3220"/>
      <c r="V201" s="3873"/>
      <c r="W201" s="512"/>
      <c r="X201" s="513"/>
      <c r="Y201" s="514"/>
      <c r="Z201" s="2166"/>
      <c r="AA201" s="2166"/>
      <c r="AB201" s="743">
        <v>0.24</v>
      </c>
      <c r="AC201" s="323">
        <v>0.24</v>
      </c>
      <c r="AD201" s="512"/>
      <c r="AE201" s="512"/>
      <c r="AF201" s="512"/>
      <c r="AG201" s="512"/>
      <c r="AI201" s="1930"/>
      <c r="AJ201" s="1930"/>
      <c r="AK201" s="1930"/>
      <c r="AL201" s="1930"/>
      <c r="AM201" s="1930"/>
      <c r="AN201" s="1930"/>
      <c r="AO201" s="1930"/>
      <c r="AP201" s="1930"/>
      <c r="AQ201" s="1930"/>
      <c r="AR201" s="1930"/>
      <c r="AS201" s="1930"/>
      <c r="BD201" s="1"/>
      <c r="BE201" s="1"/>
    </row>
    <row r="202" spans="1:57" hidden="1" outlineLevel="1" x14ac:dyDescent="0.25">
      <c r="B202" s="1233"/>
      <c r="C202" s="1678"/>
      <c r="D202" s="2051" t="s">
        <v>542</v>
      </c>
      <c r="E202" s="3111" t="s">
        <v>167</v>
      </c>
      <c r="F202" s="2041" t="s">
        <v>135</v>
      </c>
      <c r="G202" s="2298">
        <v>10</v>
      </c>
      <c r="H202" s="3916"/>
      <c r="I202" s="3916"/>
      <c r="J202" s="3919"/>
      <c r="K202" s="3920"/>
      <c r="L202" s="249"/>
      <c r="M202" s="1159"/>
      <c r="N202" s="249"/>
      <c r="O202" s="249"/>
      <c r="P202" s="249"/>
      <c r="Q202" s="249"/>
      <c r="V202" s="3240" t="s">
        <v>542</v>
      </c>
      <c r="W202" s="441">
        <v>10</v>
      </c>
      <c r="X202" s="441">
        <v>10</v>
      </c>
      <c r="Y202" s="441">
        <v>10</v>
      </c>
      <c r="Z202" s="441">
        <v>10</v>
      </c>
      <c r="AA202" s="441">
        <v>10</v>
      </c>
      <c r="AB202" s="2298">
        <v>10</v>
      </c>
      <c r="AC202" s="2298">
        <v>10</v>
      </c>
      <c r="AD202" s="441"/>
      <c r="AE202" s="441"/>
      <c r="AF202" s="441"/>
      <c r="AG202" s="441"/>
      <c r="AH202" s="1930"/>
      <c r="AI202" s="1930"/>
      <c r="AJ202" s="1930"/>
      <c r="AK202" s="1930"/>
      <c r="AL202" s="1930"/>
      <c r="AM202" s="1930"/>
      <c r="AN202" s="1930"/>
      <c r="AO202" s="1930"/>
      <c r="AP202" s="1930"/>
      <c r="AQ202" s="1930"/>
      <c r="AR202" s="1930"/>
      <c r="AS202" s="1930"/>
      <c r="AT202" s="1930"/>
      <c r="AU202" s="1930"/>
      <c r="AV202" s="1930"/>
      <c r="AW202" s="1930"/>
      <c r="AX202" s="1930"/>
      <c r="AY202" s="1930"/>
      <c r="AZ202" s="1930"/>
      <c r="BA202" s="1930"/>
      <c r="BB202" s="1930"/>
      <c r="BC202" s="1930"/>
    </row>
    <row r="203" spans="1:57" hidden="1" outlineLevel="1" x14ac:dyDescent="0.25">
      <c r="B203" s="1233"/>
      <c r="C203" s="1678"/>
      <c r="D203" s="3110" t="s">
        <v>170</v>
      </c>
      <c r="E203" s="3111" t="s">
        <v>171</v>
      </c>
      <c r="F203" s="2041" t="s">
        <v>135</v>
      </c>
      <c r="G203" s="2297">
        <v>3</v>
      </c>
      <c r="H203" s="3915"/>
      <c r="I203" s="3915"/>
      <c r="J203" s="3919"/>
      <c r="K203" s="3920"/>
      <c r="L203" s="249"/>
      <c r="M203" s="1159"/>
      <c r="N203" s="249"/>
      <c r="O203" s="249"/>
      <c r="P203" s="249"/>
      <c r="Q203" s="249"/>
      <c r="V203" s="3242" t="s">
        <v>170</v>
      </c>
      <c r="W203" s="442">
        <v>3</v>
      </c>
      <c r="X203" s="442">
        <v>3</v>
      </c>
      <c r="Y203" s="442">
        <v>3</v>
      </c>
      <c r="Z203" s="442">
        <v>3</v>
      </c>
      <c r="AA203" s="442">
        <v>3</v>
      </c>
      <c r="AB203" s="2297">
        <v>3</v>
      </c>
      <c r="AC203" s="2297">
        <v>3</v>
      </c>
      <c r="AD203" s="442"/>
      <c r="AE203" s="442"/>
      <c r="AF203" s="442"/>
      <c r="AG203" s="442"/>
      <c r="AH203" s="1930"/>
      <c r="AI203" s="1930"/>
      <c r="AJ203" s="1930"/>
      <c r="AK203" s="1930"/>
      <c r="AL203" s="1930"/>
      <c r="AM203" s="1930"/>
      <c r="AN203" s="1930"/>
      <c r="AO203" s="1930"/>
      <c r="AP203" s="1930"/>
      <c r="AQ203" s="1930"/>
      <c r="AR203" s="1930"/>
      <c r="AS203" s="1930"/>
      <c r="AT203" s="1930"/>
      <c r="AU203" s="1930"/>
      <c r="AV203" s="1930"/>
      <c r="AW203" s="1930"/>
      <c r="AX203" s="1930"/>
      <c r="AY203" s="1930"/>
      <c r="AZ203" s="1930"/>
      <c r="BA203" s="1930"/>
      <c r="BB203" s="1930"/>
      <c r="BC203" s="1930"/>
    </row>
    <row r="204" spans="1:57" collapsed="1" x14ac:dyDescent="0.25">
      <c r="M204" s="3220"/>
      <c r="AC204" s="1930"/>
      <c r="AD204" s="1930"/>
      <c r="AE204" s="1930"/>
      <c r="AF204" s="1930"/>
      <c r="AG204" s="1930"/>
      <c r="AH204" s="1930"/>
      <c r="AI204" s="1930"/>
      <c r="AJ204" s="1930"/>
      <c r="AK204" s="1930"/>
      <c r="AL204" s="1930"/>
      <c r="AM204" s="1930"/>
      <c r="AN204" s="1930"/>
      <c r="AO204" s="1930"/>
      <c r="AP204" s="1930"/>
      <c r="AQ204" s="1930"/>
      <c r="AR204" s="1930"/>
      <c r="AS204" s="1930"/>
      <c r="AT204" s="1930"/>
      <c r="AU204" s="1930"/>
      <c r="AV204" s="1930"/>
      <c r="AW204" s="1930"/>
      <c r="AX204" s="1930"/>
      <c r="AY204" s="1930"/>
      <c r="AZ204" s="1930"/>
      <c r="BA204" s="1930"/>
      <c r="BB204" s="1930"/>
      <c r="BC204" s="1930"/>
    </row>
    <row r="206" spans="1:57" s="147" customFormat="1" x14ac:dyDescent="0.25">
      <c r="B206" s="3750" t="s">
        <v>682</v>
      </c>
      <c r="C206" s="3751"/>
      <c r="D206" s="3751"/>
      <c r="E206" s="3751"/>
      <c r="F206" s="3751"/>
      <c r="G206" s="3751"/>
      <c r="H206" s="3751"/>
      <c r="I206" s="3744"/>
      <c r="J206" s="3744"/>
      <c r="K206" s="3744"/>
      <c r="L206" s="3744"/>
      <c r="M206" s="3744"/>
      <c r="N206" s="3745"/>
      <c r="V206" s="3750" t="str">
        <f>B206</f>
        <v xml:space="preserve">Low Flow Showerheads </v>
      </c>
      <c r="W206" s="3751"/>
      <c r="X206" s="3751"/>
      <c r="Y206" s="3751"/>
      <c r="Z206" s="3751"/>
      <c r="AA206" s="3751"/>
      <c r="AB206" s="3751"/>
      <c r="AC206" s="3752"/>
      <c r="AD206" s="3752"/>
      <c r="AE206" s="3752"/>
      <c r="AF206" s="3752"/>
      <c r="AG206" s="3752"/>
      <c r="AH206" s="3753"/>
      <c r="BD206" s="478"/>
      <c r="BE206" s="478"/>
    </row>
    <row r="207" spans="1:57" ht="15.75" customHeight="1" x14ac:dyDescent="0.25">
      <c r="D207" s="530"/>
      <c r="M207" s="3220"/>
      <c r="P207" s="517"/>
      <c r="Q207" s="517"/>
      <c r="R207" s="517"/>
      <c r="AC207" s="1930"/>
      <c r="AD207" s="1930"/>
      <c r="AE207" s="1930"/>
      <c r="AF207" s="1930"/>
      <c r="AG207" s="1930"/>
      <c r="AH207" s="1930"/>
      <c r="AI207" s="1930"/>
      <c r="AJ207" s="1930"/>
      <c r="AK207" s="1930"/>
      <c r="AL207" s="1930"/>
      <c r="AM207" s="1930"/>
      <c r="AN207" s="1930"/>
      <c r="AO207" s="1930"/>
      <c r="AP207" s="1930"/>
      <c r="AQ207" s="1930"/>
      <c r="AR207" s="1930"/>
      <c r="AS207" s="1930"/>
      <c r="AT207" s="1930"/>
      <c r="AU207" s="1930"/>
      <c r="AV207" s="1930"/>
      <c r="AW207" s="1930"/>
      <c r="AX207" s="1930"/>
      <c r="AY207" s="1930"/>
      <c r="AZ207" s="1930"/>
      <c r="BA207" s="1930"/>
      <c r="BB207" s="1930"/>
      <c r="BC207" s="1930"/>
    </row>
    <row r="208" spans="1:57" ht="48.75" customHeight="1" x14ac:dyDescent="0.25">
      <c r="C208" s="3086" t="s">
        <v>28</v>
      </c>
      <c r="D208" s="3086" t="s">
        <v>175</v>
      </c>
      <c r="E208" s="3086" t="s">
        <v>30</v>
      </c>
      <c r="F208" s="3086" t="s">
        <v>31</v>
      </c>
      <c r="G208" s="3086" t="s">
        <v>176</v>
      </c>
      <c r="H208" s="3086" t="s">
        <v>177</v>
      </c>
      <c r="I208" s="3086" t="s">
        <v>606</v>
      </c>
      <c r="J208" s="3086" t="s">
        <v>32</v>
      </c>
      <c r="K208" s="3086" t="s">
        <v>181</v>
      </c>
      <c r="L208" s="3086" t="s">
        <v>170</v>
      </c>
      <c r="M208" s="3086" t="s">
        <v>44</v>
      </c>
      <c r="P208" s="517"/>
      <c r="Q208" s="517"/>
      <c r="R208" s="517"/>
      <c r="V208" s="551" t="s">
        <v>45</v>
      </c>
      <c r="W208" s="360">
        <f>$W$6</f>
        <v>43252</v>
      </c>
      <c r="X208" s="360">
        <f>$X$6</f>
        <v>43465</v>
      </c>
      <c r="Y208" s="360">
        <f>$Y$6</f>
        <v>43800</v>
      </c>
      <c r="Z208" s="360">
        <f>$Z$6</f>
        <v>43862</v>
      </c>
      <c r="AA208" s="360">
        <f>$AA$6</f>
        <v>44013</v>
      </c>
      <c r="AB208" s="360">
        <f>$AB$6</f>
        <v>44166</v>
      </c>
      <c r="AC208" s="1937">
        <f>$AC$6</f>
        <v>44531</v>
      </c>
      <c r="AD208" s="1937" t="str">
        <f>$AD$6</f>
        <v>-</v>
      </c>
      <c r="AE208" s="1937" t="str">
        <f>$AE$6</f>
        <v>-</v>
      </c>
      <c r="AF208" s="1937" t="str">
        <f>$AF$6</f>
        <v>-</v>
      </c>
      <c r="AG208" s="1937" t="str">
        <f>$AG$6</f>
        <v>-</v>
      </c>
      <c r="AH208" s="1930"/>
      <c r="AI208" s="1930"/>
      <c r="AJ208" s="1930"/>
      <c r="AK208" s="1930"/>
      <c r="AL208" s="1930"/>
      <c r="AM208" s="1930"/>
      <c r="AN208" s="1930"/>
      <c r="AO208" s="1930"/>
      <c r="AP208" s="1930"/>
      <c r="AQ208" s="1930"/>
      <c r="AR208" s="1930"/>
      <c r="AS208" s="1930"/>
      <c r="AT208" s="1930"/>
      <c r="AU208" s="1930"/>
      <c r="AV208" s="1930"/>
      <c r="AW208" s="1930"/>
      <c r="AX208" s="1930"/>
      <c r="AY208" s="1930"/>
      <c r="AZ208" s="1930"/>
      <c r="BA208" s="1930"/>
      <c r="BB208" s="1953" t="str">
        <f>$BB$6</f>
        <v>TRC (2020)</v>
      </c>
      <c r="BC208" s="1953" t="str">
        <f>$BC$6</f>
        <v>Benefit Lookup</v>
      </c>
      <c r="BD208" s="230" t="str">
        <f>$BD$6</f>
        <v>Benefits (2019 $)</v>
      </c>
      <c r="BE208" s="230" t="str">
        <f>$BE$6</f>
        <v>Incremental Cost (2019 $)</v>
      </c>
    </row>
    <row r="209" spans="1:57" x14ac:dyDescent="0.25">
      <c r="C209" s="3195" t="s">
        <v>683</v>
      </c>
      <c r="D209" s="3227" t="s">
        <v>509</v>
      </c>
      <c r="E209" s="3124" t="s">
        <v>684</v>
      </c>
      <c r="F209" s="531">
        <f>ROUND($G$222*($G$225*$G$227-$G$229*$G$230)*$G$232*$G$236*$G$238/$G$239*$I$209*$G$250*$G$248,2)</f>
        <v>71.66</v>
      </c>
      <c r="G209" s="3227" t="s">
        <v>184</v>
      </c>
      <c r="H209" s="449">
        <f>VLOOKUP(G209,'CP FACTORS'!$A$3:$B$38, 2, FALSE)</f>
        <v>8.8731800000000003E-5</v>
      </c>
      <c r="I209" s="526">
        <f>$G$242*$G$243*($G$244-$G$245)/($G$246*$G$247)</f>
        <v>0.10886576787807739</v>
      </c>
      <c r="J209" s="106">
        <f>ROUND(F209*H209,6)</f>
        <v>6.3590000000000001E-3</v>
      </c>
      <c r="K209" s="141">
        <f>$G$254</f>
        <v>10</v>
      </c>
      <c r="L209" s="532">
        <f>$G$255</f>
        <v>7</v>
      </c>
      <c r="M209" s="451" t="s">
        <v>185</v>
      </c>
      <c r="P209" s="517"/>
      <c r="Q209" s="533"/>
      <c r="R209" s="1431"/>
      <c r="V209" s="1962" t="str">
        <f>F208</f>
        <v>kWh Annual Savings</v>
      </c>
      <c r="W209" s="1827">
        <v>73.604221215365854</v>
      </c>
      <c r="X209" s="534">
        <v>59.397111130550108</v>
      </c>
      <c r="Y209" s="549">
        <v>85.23</v>
      </c>
      <c r="Z209" s="65">
        <v>85.23</v>
      </c>
      <c r="AA209" s="65">
        <v>85.23</v>
      </c>
      <c r="AB209" s="1975">
        <v>71.66</v>
      </c>
      <c r="AC209" s="63">
        <v>71.66</v>
      </c>
      <c r="AD209" s="160"/>
      <c r="AE209" s="160"/>
      <c r="AF209" s="160"/>
      <c r="AG209" s="160"/>
      <c r="AH209" s="163"/>
      <c r="AI209" s="1930"/>
      <c r="AJ209" s="1930"/>
      <c r="AK209" s="1930"/>
      <c r="AL209" s="1930"/>
      <c r="AM209" s="1930"/>
      <c r="AN209" s="1930"/>
      <c r="AO209" s="1930"/>
      <c r="AP209" s="1930"/>
      <c r="AQ209" s="1930"/>
      <c r="AR209" s="1930"/>
      <c r="AS209" s="1930"/>
      <c r="AT209" s="1930"/>
      <c r="AU209" s="1930"/>
      <c r="AV209" s="1930"/>
      <c r="AW209" s="1930"/>
      <c r="AX209" s="1930"/>
      <c r="AY209" s="1930"/>
      <c r="AZ209" s="1930"/>
      <c r="BA209" s="1930"/>
      <c r="BB209" s="2448">
        <f>(BD209)/(BE209)</f>
        <v>3.6582396707067413</v>
      </c>
      <c r="BC209" s="3166" t="str">
        <f>CONCATENATE(G209," ",K209," Year EUL")</f>
        <v>Water Heating RES 10 Year EUL</v>
      </c>
      <c r="BD209" s="2446">
        <f>(INDEX('Avoided Cost Benefits'!$C$4:$C$857,MATCH(BC209,'Avoided Cost Benefits'!$A$4:$A$857,0)))*F209</f>
        <v>24.169587253371578</v>
      </c>
      <c r="BE209" s="2447">
        <f>L209/(1.0595^(2020-2019))</f>
        <v>6.6068900424728643</v>
      </c>
    </row>
    <row r="210" spans="1:57" s="1930" customFormat="1" x14ac:dyDescent="0.25">
      <c r="A210" s="123"/>
      <c r="B210" s="123"/>
      <c r="C210" s="3195" t="s">
        <v>685</v>
      </c>
      <c r="D210" s="2667" t="s">
        <v>515</v>
      </c>
      <c r="E210" s="3124" t="s">
        <v>686</v>
      </c>
      <c r="F210" s="531">
        <f>ROUND($G$222*($G$225*$G$227-$G$229*$G$230)*$G$235*$G$236*$G$238/$G$239*$I$209*$G$253*$G$249,2)</f>
        <v>27.35</v>
      </c>
      <c r="G210" s="3227" t="s">
        <v>184</v>
      </c>
      <c r="H210" s="449">
        <f>VLOOKUP(G210,'CP FACTORS'!$A$3:$B$38, 2, FALSE)</f>
        <v>8.8731800000000003E-5</v>
      </c>
      <c r="I210" s="526">
        <f>$G$242*$G$243*($G$244-$G$245)/($G$246*$G$247)</f>
        <v>0.10886576787807739</v>
      </c>
      <c r="J210" s="106">
        <f>ROUND(F210*H210,6)</f>
        <v>2.4269999999999999E-3</v>
      </c>
      <c r="K210" s="141">
        <f>$G$254</f>
        <v>10</v>
      </c>
      <c r="L210" s="532">
        <f>$G$255</f>
        <v>7</v>
      </c>
      <c r="M210" s="451" t="s">
        <v>185</v>
      </c>
      <c r="N210" s="123"/>
      <c r="O210" s="123"/>
      <c r="P210" s="517"/>
      <c r="Q210" s="533"/>
      <c r="R210" s="1431"/>
      <c r="S210" s="123"/>
      <c r="T210" s="123"/>
      <c r="U210" s="123"/>
      <c r="V210" s="1962" t="str">
        <f>V211</f>
        <v>kWh Annual Savings</v>
      </c>
      <c r="W210" s="1952"/>
      <c r="X210" s="117"/>
      <c r="Y210" s="549"/>
      <c r="Z210" s="1975"/>
      <c r="AA210" s="1975"/>
      <c r="AB210" s="1975">
        <v>27.35</v>
      </c>
      <c r="AC210" s="63">
        <v>27.35</v>
      </c>
      <c r="AD210" s="1958"/>
      <c r="AE210" s="1958"/>
      <c r="AF210" s="1958"/>
      <c r="AG210" s="1958"/>
      <c r="AH210" s="163"/>
      <c r="BB210" s="2448">
        <f>(BD210)/(BE210)</f>
        <v>1.3962162293305802</v>
      </c>
      <c r="BC210" s="3166" t="str">
        <f>CONCATENATE(G210," ",K210," Year EUL")</f>
        <v>Water Heating RES 10 Year EUL</v>
      </c>
      <c r="BD210" s="2446">
        <f>(INDEX('Avoided Cost Benefits'!$C$4:$C$857,MATCH(BC210,'Avoided Cost Benefits'!$A$4:$A$857,0)))*F210</f>
        <v>9.2246471027032193</v>
      </c>
      <c r="BE210" s="2447">
        <f>L210/(1.0595^(2020-2019))</f>
        <v>6.6068900424728643</v>
      </c>
    </row>
    <row r="211" spans="1:57" x14ac:dyDescent="0.25">
      <c r="C211" s="3195" t="s">
        <v>687</v>
      </c>
      <c r="D211" s="3227" t="s">
        <v>322</v>
      </c>
      <c r="E211" s="3124" t="s">
        <v>684</v>
      </c>
      <c r="F211" s="531">
        <f>ROUND($G$223*($G$225*$G$227-$G$229*$G$230)*$G$233*$G$236*$G$238/$G$240*$I$209*$G$251*$G$249,2)</f>
        <v>291.45</v>
      </c>
      <c r="G211" s="3227" t="s">
        <v>184</v>
      </c>
      <c r="H211" s="449">
        <f>VLOOKUP(G211,'CP FACTORS'!$A$3:$B$38, 2, FALSE)</f>
        <v>8.8731800000000003E-5</v>
      </c>
      <c r="I211" s="526">
        <f>$G$242*$G$243*($G$244-$G$245)/($G$246*$G$247)</f>
        <v>0.10886576787807739</v>
      </c>
      <c r="J211" s="106">
        <f t="shared" ref="J211:J212" si="32">ROUND(F211*H211,6)</f>
        <v>2.5860999999999999E-2</v>
      </c>
      <c r="K211" s="141">
        <f>$G$254</f>
        <v>10</v>
      </c>
      <c r="L211" s="532">
        <f>$G$255</f>
        <v>7</v>
      </c>
      <c r="M211" s="451" t="s">
        <v>185</v>
      </c>
      <c r="P211" s="517"/>
      <c r="Q211" s="533"/>
      <c r="R211" s="1431"/>
      <c r="V211" s="1962" t="str">
        <f>V209</f>
        <v>kWh Annual Savings</v>
      </c>
      <c r="W211" s="1952"/>
      <c r="X211" s="117">
        <v>259.13086719005258</v>
      </c>
      <c r="Y211" s="549">
        <v>209.97</v>
      </c>
      <c r="Z211" s="65">
        <v>209.97</v>
      </c>
      <c r="AA211" s="65">
        <v>209.97</v>
      </c>
      <c r="AB211" s="1975">
        <v>291.45</v>
      </c>
      <c r="AC211" s="63">
        <v>291.45</v>
      </c>
      <c r="AD211" s="1958"/>
      <c r="AE211" s="1958"/>
      <c r="AF211" s="1958"/>
      <c r="AG211" s="1958"/>
      <c r="AH211" s="163"/>
      <c r="AI211" s="1930"/>
      <c r="AJ211" s="1930"/>
      <c r="AK211" s="1930"/>
      <c r="AL211" s="1930"/>
      <c r="AM211" s="1930"/>
      <c r="AN211" s="1930"/>
      <c r="AO211" s="1930"/>
      <c r="AP211" s="1930"/>
      <c r="AQ211" s="1930"/>
      <c r="AR211" s="1930"/>
      <c r="AS211" s="1930"/>
      <c r="AT211" s="1930"/>
      <c r="AU211" s="1930"/>
      <c r="AV211" s="1930"/>
      <c r="AW211" s="1930"/>
      <c r="AX211" s="1930"/>
      <c r="AY211" s="1930"/>
      <c r="AZ211" s="1930"/>
      <c r="BA211" s="1930"/>
      <c r="BB211" s="2448">
        <f>(BD211)/(BE211)</f>
        <v>14.878508959356402</v>
      </c>
      <c r="BC211" s="3166" t="str">
        <f>CONCATENATE(G211," ",K211," Year EUL")</f>
        <v>Water Heating RES 10 Year EUL</v>
      </c>
      <c r="BD211" s="2446">
        <f>(INDEX('Avoided Cost Benefits'!$C$4:$C$857,MATCH(BC211,'Avoided Cost Benefits'!$A$4:$A$857,0)))*F211</f>
        <v>98.300672690415112</v>
      </c>
      <c r="BE211" s="2447">
        <f>L211/(1.0595^(2020-2019))</f>
        <v>6.6068900424728643</v>
      </c>
    </row>
    <row r="212" spans="1:57" s="1930" customFormat="1" x14ac:dyDescent="0.25">
      <c r="A212" s="123"/>
      <c r="B212" s="123"/>
      <c r="C212" s="3028" t="s">
        <v>688</v>
      </c>
      <c r="D212" s="2734" t="s">
        <v>512</v>
      </c>
      <c r="E212" s="3124" t="s">
        <v>689</v>
      </c>
      <c r="F212" s="527">
        <f>ROUND($G$222*($G$226*$G$228-$G$229*$G$231)*$G$234*$G$237*$G$238/$G$241*$I$209*$G$252*$G$249,2)</f>
        <v>79.489999999999995</v>
      </c>
      <c r="G212" s="3227" t="s">
        <v>184</v>
      </c>
      <c r="H212" s="449">
        <f>VLOOKUP(G212,'CP FACTORS'!$A$3:$B$38, 2, FALSE)</f>
        <v>8.8731800000000003E-5</v>
      </c>
      <c r="I212" s="526">
        <f>$G$242*$G$243*($G$244-$G$245)/($G$246*$G$247)</f>
        <v>0.10886576787807739</v>
      </c>
      <c r="J212" s="106">
        <f t="shared" si="32"/>
        <v>7.0530000000000002E-3</v>
      </c>
      <c r="K212" s="141">
        <f>$G$254</f>
        <v>10</v>
      </c>
      <c r="L212" s="532">
        <f>$G$255</f>
        <v>7</v>
      </c>
      <c r="M212" s="451" t="s">
        <v>185</v>
      </c>
      <c r="N212" s="123"/>
      <c r="O212" s="123"/>
      <c r="P212" s="517"/>
      <c r="Q212" s="533"/>
      <c r="R212" s="1431"/>
      <c r="S212" s="123"/>
      <c r="T212" s="123"/>
      <c r="U212" s="123"/>
      <c r="V212" s="1962" t="str">
        <f>V210</f>
        <v>kWh Annual Savings</v>
      </c>
      <c r="W212" s="1952"/>
      <c r="X212" s="117"/>
      <c r="Y212" s="549"/>
      <c r="Z212" s="1975"/>
      <c r="AA212" s="1975"/>
      <c r="AB212" s="1975">
        <v>81.8</v>
      </c>
      <c r="AC212" s="1975">
        <v>79.489999999999995</v>
      </c>
      <c r="AD212" s="1958"/>
      <c r="AE212" s="1958"/>
      <c r="AF212" s="1958"/>
      <c r="AG212" s="1958"/>
      <c r="AH212" s="163"/>
      <c r="BB212" s="2448">
        <f>(BD212)/(BE212)</f>
        <v>4.0579608069282562</v>
      </c>
      <c r="BC212" s="3166" t="str">
        <f>CONCATENATE(G212," ",K212," Year EUL")</f>
        <v>Water Heating RES 10 Year EUL</v>
      </c>
      <c r="BD212" s="2446">
        <f>(INDEX('Avoided Cost Benefits'!$C$4:$C$857,MATCH(BC212,'Avoided Cost Benefits'!$A$4:$A$857,0)))*F212</f>
        <v>26.810500848039446</v>
      </c>
      <c r="BE212" s="2447">
        <f>L212/(1.0595^(2020-2019))</f>
        <v>6.6068900424728643</v>
      </c>
    </row>
    <row r="213" spans="1:57" hidden="1" outlineLevel="1" x14ac:dyDescent="0.25">
      <c r="D213" s="516"/>
      <c r="E213" s="2421"/>
      <c r="F213" s="1493"/>
      <c r="G213" s="228"/>
      <c r="H213" s="228"/>
      <c r="J213" s="228"/>
      <c r="K213" s="228"/>
      <c r="L213" s="228"/>
      <c r="M213" s="3220"/>
      <c r="P213" s="517"/>
      <c r="Q213" s="517"/>
      <c r="R213" s="1431"/>
      <c r="AC213" s="1930"/>
      <c r="AD213" s="1930"/>
      <c r="AE213" s="1930"/>
      <c r="AF213" s="1930"/>
      <c r="AG213" s="1930"/>
      <c r="AH213" s="1930"/>
      <c r="AI213" s="1930"/>
      <c r="AJ213" s="1930"/>
      <c r="AK213" s="1930"/>
      <c r="AL213" s="1930"/>
      <c r="AM213" s="1930"/>
      <c r="AN213" s="1930"/>
      <c r="AO213" s="1930"/>
      <c r="AP213" s="1930"/>
      <c r="AQ213" s="1930"/>
      <c r="AR213" s="1930"/>
      <c r="AS213" s="1930"/>
      <c r="AT213" s="1930"/>
      <c r="AU213" s="1930"/>
      <c r="AV213" s="1930"/>
      <c r="AW213" s="1930"/>
      <c r="AX213" s="1930"/>
      <c r="AY213" s="1930"/>
      <c r="AZ213" s="1930"/>
      <c r="BA213" s="1930"/>
      <c r="BB213" s="1930"/>
      <c r="BC213" s="1930"/>
    </row>
    <row r="214" spans="1:57" hidden="1" outlineLevel="1" x14ac:dyDescent="0.25">
      <c r="D214" s="174" t="s">
        <v>108</v>
      </c>
      <c r="E214" s="1279"/>
      <c r="F214" s="228"/>
      <c r="G214" s="228"/>
      <c r="H214" s="228"/>
      <c r="I214" s="228"/>
      <c r="J214" s="228"/>
      <c r="K214" s="228"/>
      <c r="M214" s="3220"/>
      <c r="P214" s="517"/>
      <c r="Q214" s="517"/>
      <c r="R214" s="517"/>
      <c r="AC214" s="1930"/>
      <c r="AD214" s="1930"/>
      <c r="AE214" s="1930"/>
      <c r="AF214" s="1930"/>
      <c r="AG214" s="1930"/>
      <c r="AH214" s="1930"/>
      <c r="AI214" s="1930"/>
      <c r="AJ214" s="1930"/>
      <c r="AK214" s="1930"/>
      <c r="AL214" s="1930"/>
      <c r="AM214" s="1930"/>
      <c r="AN214" s="1930"/>
      <c r="AO214" s="1930"/>
      <c r="AP214" s="1930"/>
      <c r="AQ214" s="1930"/>
      <c r="AR214" s="1930"/>
      <c r="AS214" s="1930"/>
      <c r="AT214" s="1930"/>
      <c r="AU214" s="1930"/>
      <c r="AV214" s="1930"/>
      <c r="AW214" s="1930"/>
      <c r="AX214" s="1930"/>
      <c r="AY214" s="1930"/>
      <c r="AZ214" s="1930"/>
      <c r="BA214" s="1930"/>
      <c r="BB214" s="1930"/>
      <c r="BC214" s="1930"/>
    </row>
    <row r="215" spans="1:57" hidden="1" outlineLevel="1" x14ac:dyDescent="0.25">
      <c r="D215" s="516"/>
      <c r="E215" s="1279"/>
      <c r="F215" s="228"/>
      <c r="G215" s="228"/>
      <c r="I215" s="228"/>
      <c r="J215" s="228"/>
      <c r="K215" s="228"/>
      <c r="M215" s="3220"/>
      <c r="AC215" s="1930"/>
      <c r="AD215" s="1930"/>
      <c r="AE215" s="1930"/>
      <c r="AF215" s="1930"/>
      <c r="AG215" s="1930"/>
      <c r="AH215" s="1930"/>
      <c r="AI215" s="1930"/>
      <c r="AJ215" s="1930"/>
      <c r="AK215" s="1930"/>
      <c r="AL215" s="1930"/>
      <c r="AM215" s="1930"/>
      <c r="AN215" s="1930"/>
      <c r="AO215" s="1930"/>
      <c r="AP215" s="1930"/>
      <c r="AQ215" s="1930"/>
      <c r="AR215" s="1930"/>
      <c r="AS215" s="1930"/>
      <c r="AT215" s="1930"/>
      <c r="AU215" s="1930"/>
      <c r="AV215" s="1930"/>
      <c r="AW215" s="1930"/>
      <c r="AX215" s="1930"/>
      <c r="AY215" s="1930"/>
      <c r="AZ215" s="1930"/>
      <c r="BA215" s="1930"/>
      <c r="BB215" s="1930"/>
      <c r="BC215" s="1930"/>
    </row>
    <row r="216" spans="1:57" hidden="1" outlineLevel="1" x14ac:dyDescent="0.25">
      <c r="D216" s="516"/>
      <c r="E216" s="1279"/>
      <c r="F216" s="228"/>
      <c r="G216" s="228"/>
      <c r="I216" s="228"/>
      <c r="J216" s="228"/>
      <c r="K216" s="228"/>
      <c r="M216" s="3220"/>
      <c r="AC216" s="1930"/>
      <c r="AD216" s="1930"/>
      <c r="AE216" s="1930"/>
      <c r="AF216" s="1930"/>
      <c r="AG216" s="1930"/>
      <c r="AH216" s="1930"/>
      <c r="AI216" s="1930"/>
      <c r="AJ216" s="1930"/>
      <c r="AK216" s="1930"/>
      <c r="AL216" s="1930"/>
      <c r="AM216" s="1930"/>
      <c r="AN216" s="1930"/>
      <c r="AO216" s="1930"/>
      <c r="AP216" s="1930"/>
      <c r="AQ216" s="1930"/>
      <c r="AR216" s="1930"/>
      <c r="AS216" s="1930"/>
      <c r="AT216" s="1930"/>
      <c r="AU216" s="1930"/>
      <c r="AV216" s="1930"/>
      <c r="AW216" s="1930"/>
      <c r="AX216" s="1930"/>
      <c r="AY216" s="1930"/>
      <c r="AZ216" s="1930"/>
      <c r="BA216" s="1930"/>
      <c r="BB216" s="1930"/>
      <c r="BC216" s="1930"/>
    </row>
    <row r="217" spans="1:57" ht="24" hidden="1" customHeight="1" outlineLevel="1" x14ac:dyDescent="0.25">
      <c r="D217" s="516"/>
      <c r="E217" s="1279"/>
      <c r="F217" s="228"/>
      <c r="G217" s="228"/>
      <c r="I217" s="228"/>
      <c r="J217" s="228"/>
      <c r="K217" s="228"/>
      <c r="M217" s="3220"/>
      <c r="AC217" s="1930"/>
      <c r="AD217" s="1930"/>
      <c r="AE217" s="1930"/>
      <c r="AF217" s="1930"/>
      <c r="AG217" s="1930"/>
      <c r="AH217" s="1930"/>
      <c r="AI217" s="1930"/>
      <c r="AJ217" s="1930"/>
      <c r="AK217" s="1930"/>
      <c r="AL217" s="1930"/>
      <c r="AM217" s="1930"/>
      <c r="AN217" s="1930"/>
      <c r="AO217" s="1930"/>
      <c r="AP217" s="1930"/>
      <c r="AQ217" s="1930"/>
      <c r="AR217" s="1930"/>
      <c r="AS217" s="1930"/>
      <c r="AT217" s="1930"/>
      <c r="AU217" s="1930"/>
      <c r="AV217" s="1930"/>
      <c r="AW217" s="1930"/>
      <c r="AX217" s="1930"/>
      <c r="AY217" s="1930"/>
      <c r="AZ217" s="1930"/>
      <c r="BA217" s="1930"/>
      <c r="BB217" s="1930"/>
      <c r="BC217" s="1930"/>
    </row>
    <row r="218" spans="1:57" hidden="1" outlineLevel="1" x14ac:dyDescent="0.25">
      <c r="D218" s="516"/>
      <c r="F218" s="228"/>
      <c r="G218" s="228"/>
      <c r="H218" s="228"/>
      <c r="I218" s="228"/>
      <c r="J218" s="228"/>
      <c r="K218" s="228"/>
      <c r="M218" s="3220"/>
      <c r="AC218" s="1930"/>
      <c r="AD218" s="1930"/>
      <c r="AE218" s="1930"/>
      <c r="AF218" s="1930"/>
      <c r="AG218" s="1930"/>
      <c r="AH218" s="1930"/>
      <c r="AI218" s="1930"/>
      <c r="AJ218" s="1930"/>
      <c r="AK218" s="1930"/>
      <c r="AL218" s="1930"/>
      <c r="AM218" s="1930"/>
      <c r="AN218" s="1930"/>
      <c r="AO218" s="1930"/>
      <c r="AP218" s="1930"/>
      <c r="AQ218" s="1930"/>
      <c r="AR218" s="1930"/>
      <c r="AS218" s="1930"/>
      <c r="AT218" s="1930"/>
      <c r="AU218" s="1930"/>
      <c r="AV218" s="1930"/>
      <c r="AW218" s="1930"/>
      <c r="AX218" s="1930"/>
      <c r="AY218" s="1930"/>
      <c r="AZ218" s="1930"/>
      <c r="BA218" s="1930"/>
      <c r="BB218" s="1930"/>
      <c r="BC218" s="1930"/>
    </row>
    <row r="219" spans="1:57" hidden="1" outlineLevel="1" x14ac:dyDescent="0.25">
      <c r="D219" s="516"/>
      <c r="F219" s="228"/>
      <c r="G219" s="228"/>
      <c r="H219" s="228"/>
      <c r="I219" s="228"/>
      <c r="J219" s="228"/>
      <c r="K219" s="228"/>
      <c r="M219" s="3220"/>
      <c r="AC219" s="1930"/>
      <c r="AD219" s="1930"/>
      <c r="AE219" s="1930"/>
      <c r="AF219" s="1930"/>
      <c r="AG219" s="1930"/>
      <c r="AH219" s="1930"/>
      <c r="AI219" s="1930"/>
      <c r="AJ219" s="1930"/>
      <c r="AK219" s="1930"/>
      <c r="AL219" s="1930"/>
      <c r="AM219" s="1930"/>
      <c r="AN219" s="1930"/>
      <c r="AO219" s="1930"/>
      <c r="AP219" s="1930"/>
      <c r="AQ219" s="1930"/>
      <c r="AR219" s="1930"/>
      <c r="AS219" s="1930"/>
      <c r="AT219" s="1930"/>
      <c r="AU219" s="1930"/>
      <c r="AV219" s="1930"/>
      <c r="AW219" s="1930"/>
      <c r="AX219" s="1930"/>
      <c r="AY219" s="1930"/>
      <c r="AZ219" s="1930"/>
      <c r="BA219" s="1930"/>
      <c r="BB219" s="1930"/>
      <c r="BC219" s="1930"/>
    </row>
    <row r="220" spans="1:57" hidden="1" outlineLevel="1" x14ac:dyDescent="0.25">
      <c r="D220" s="516"/>
      <c r="E220" s="1279"/>
      <c r="F220" s="228"/>
      <c r="G220" s="228"/>
      <c r="H220" s="228"/>
      <c r="I220" s="228"/>
      <c r="J220" s="228"/>
      <c r="K220" s="228"/>
      <c r="M220" s="517"/>
      <c r="N220" s="517"/>
      <c r="V220" s="551" t="s">
        <v>45</v>
      </c>
      <c r="W220" s="360">
        <f>$W$6</f>
        <v>43252</v>
      </c>
      <c r="X220" s="360">
        <f>$X$6</f>
        <v>43465</v>
      </c>
      <c r="Y220" s="360">
        <f>$Y$6</f>
        <v>43800</v>
      </c>
      <c r="Z220" s="360">
        <f>$Z$6</f>
        <v>43862</v>
      </c>
      <c r="AA220" s="360">
        <f>$AA$6</f>
        <v>44013</v>
      </c>
      <c r="AB220" s="360">
        <f>$AB$6</f>
        <v>44166</v>
      </c>
      <c r="AC220" s="1937">
        <f>$AC$6</f>
        <v>44531</v>
      </c>
      <c r="AD220" s="1937" t="str">
        <f>$AD$6</f>
        <v>-</v>
      </c>
      <c r="AE220" s="1937" t="str">
        <f>$AE$6</f>
        <v>-</v>
      </c>
      <c r="AF220" s="1937" t="str">
        <f>$AF$6</f>
        <v>-</v>
      </c>
      <c r="AG220" s="1937" t="str">
        <f>$AG$6</f>
        <v>-</v>
      </c>
      <c r="AH220" s="1930"/>
      <c r="AI220" s="1930"/>
      <c r="AJ220" s="1930"/>
      <c r="AK220" s="1930"/>
      <c r="AL220" s="1930"/>
      <c r="AM220" s="1930"/>
      <c r="AN220" s="1930"/>
      <c r="AO220" s="1930"/>
      <c r="AP220" s="1930"/>
      <c r="AQ220" s="1930"/>
      <c r="AR220" s="1930"/>
      <c r="AS220" s="1930"/>
      <c r="AT220" s="1930"/>
      <c r="AU220" s="1930"/>
      <c r="AV220" s="1930"/>
      <c r="AW220" s="1930"/>
      <c r="AX220" s="1930"/>
      <c r="AY220" s="1930"/>
      <c r="AZ220" s="1930"/>
      <c r="BA220" s="1930"/>
      <c r="BB220" s="1930"/>
      <c r="BC220" s="1930"/>
    </row>
    <row r="221" spans="1:57" hidden="1" outlineLevel="1" x14ac:dyDescent="0.25">
      <c r="D221" s="3236" t="s">
        <v>109</v>
      </c>
      <c r="E221" s="3205" t="s">
        <v>110</v>
      </c>
      <c r="F221" s="3086" t="s">
        <v>614</v>
      </c>
      <c r="G221" s="3086" t="s">
        <v>112</v>
      </c>
      <c r="H221" s="3923" t="s">
        <v>187</v>
      </c>
      <c r="I221" s="3931"/>
      <c r="J221" s="3086" t="s">
        <v>113</v>
      </c>
      <c r="M221" s="486"/>
      <c r="N221" s="3163"/>
      <c r="V221" s="2542"/>
      <c r="W221" s="2182"/>
      <c r="X221" s="2182"/>
      <c r="Y221" s="2182"/>
      <c r="Z221" s="2182"/>
      <c r="AA221" s="2182"/>
      <c r="AB221" s="2182"/>
      <c r="AC221" s="2182"/>
      <c r="AD221" s="2182"/>
      <c r="AE221" s="2182"/>
      <c r="AF221" s="2182"/>
      <c r="AG221" s="2182"/>
      <c r="AH221" s="1930"/>
      <c r="AI221" s="1930"/>
      <c r="AJ221" s="1930"/>
      <c r="AK221" s="1930"/>
      <c r="AL221" s="1930"/>
      <c r="AM221" s="1930"/>
      <c r="AN221" s="1930"/>
      <c r="AO221" s="1930"/>
      <c r="AP221" s="1930"/>
      <c r="AQ221" s="1930"/>
      <c r="AR221" s="1930"/>
      <c r="AS221" s="1930"/>
      <c r="AT221" s="1930"/>
      <c r="AU221" s="1930"/>
      <c r="AV221" s="1930"/>
      <c r="AW221" s="1930"/>
      <c r="AX221" s="1930"/>
      <c r="AY221" s="1930"/>
      <c r="AZ221" s="1930"/>
      <c r="BA221" s="1930"/>
      <c r="BB221" s="1930"/>
      <c r="BC221" s="1930"/>
    </row>
    <row r="222" spans="1:57" s="456" customFormat="1" hidden="1" outlineLevel="1" x14ac:dyDescent="0.25">
      <c r="A222" s="3220"/>
      <c r="B222" s="3220"/>
      <c r="C222" s="3247"/>
      <c r="D222" s="3872" t="s">
        <v>615</v>
      </c>
      <c r="E222" s="3881" t="s">
        <v>616</v>
      </c>
      <c r="F222" s="3129" t="s">
        <v>617</v>
      </c>
      <c r="G222" s="214">
        <v>0.42</v>
      </c>
      <c r="H222" s="3910" t="s">
        <v>690</v>
      </c>
      <c r="I222" s="3910"/>
      <c r="J222" s="3099"/>
      <c r="K222" s="3220"/>
      <c r="L222" s="123"/>
      <c r="M222" s="536"/>
      <c r="N222" s="536"/>
      <c r="O222" s="3220"/>
      <c r="P222" s="3220"/>
      <c r="Q222" s="3220"/>
      <c r="R222" s="3220"/>
      <c r="S222" s="3220"/>
      <c r="T222" s="3220"/>
      <c r="U222" s="3220"/>
      <c r="V222" s="3872" t="s">
        <v>615</v>
      </c>
      <c r="W222" s="512">
        <v>0.4</v>
      </c>
      <c r="X222" s="522">
        <v>0.34429999999999999</v>
      </c>
      <c r="Y222" s="522">
        <v>0.46360000000000001</v>
      </c>
      <c r="Z222" s="521">
        <v>0.46360000000000001</v>
      </c>
      <c r="AA222" s="521">
        <v>0.46360000000000001</v>
      </c>
      <c r="AB222" s="2196">
        <v>0.42</v>
      </c>
      <c r="AC222" s="214">
        <v>0.42</v>
      </c>
      <c r="AD222" s="487"/>
      <c r="AE222" s="487"/>
      <c r="AF222" s="487"/>
      <c r="AG222" s="487"/>
      <c r="AI222" s="1930"/>
      <c r="AJ222" s="1930"/>
      <c r="AK222" s="1930"/>
      <c r="AL222" s="1930"/>
      <c r="AM222" s="1930"/>
      <c r="AN222" s="1930"/>
      <c r="AO222" s="1930"/>
      <c r="AP222" s="1930"/>
      <c r="AQ222" s="1930"/>
      <c r="AR222" s="1930"/>
      <c r="AS222" s="1930"/>
      <c r="BD222" s="1"/>
      <c r="BE222" s="1"/>
    </row>
    <row r="223" spans="1:57" s="456" customFormat="1" hidden="1" outlineLevel="1" x14ac:dyDescent="0.25">
      <c r="A223" s="3220"/>
      <c r="B223" s="3220"/>
      <c r="C223" s="3247"/>
      <c r="D223" s="3874"/>
      <c r="E223" s="3820"/>
      <c r="F223" s="2041" t="s">
        <v>599</v>
      </c>
      <c r="G223" s="214">
        <v>1</v>
      </c>
      <c r="H223" s="3910" t="s">
        <v>691</v>
      </c>
      <c r="I223" s="3910"/>
      <c r="J223" s="3099"/>
      <c r="K223" s="3220"/>
      <c r="L223" s="123"/>
      <c r="M223" s="536"/>
      <c r="N223" s="536"/>
      <c r="O223" s="3220"/>
      <c r="P223" s="3220"/>
      <c r="Q223" s="3220"/>
      <c r="R223" s="3220"/>
      <c r="S223" s="3220"/>
      <c r="T223" s="3220"/>
      <c r="U223" s="3220"/>
      <c r="V223" s="3874"/>
      <c r="W223" s="512"/>
      <c r="X223" s="522"/>
      <c r="Y223" s="522"/>
      <c r="Z223" s="521"/>
      <c r="AA223" s="521"/>
      <c r="AB223" s="2197">
        <v>1</v>
      </c>
      <c r="AC223" s="214">
        <v>1</v>
      </c>
      <c r="AD223" s="487"/>
      <c r="AE223" s="487"/>
      <c r="AF223" s="487"/>
      <c r="AG223" s="487"/>
      <c r="AI223" s="1930"/>
      <c r="AJ223" s="1930"/>
      <c r="AK223" s="1930"/>
      <c r="AL223" s="1930"/>
      <c r="AM223" s="1930"/>
      <c r="AN223" s="1930"/>
      <c r="AO223" s="1930"/>
      <c r="AP223" s="1930"/>
      <c r="AQ223" s="1930"/>
      <c r="AR223" s="1930"/>
      <c r="AS223" s="1930"/>
      <c r="BD223" s="1"/>
      <c r="BE223" s="1"/>
    </row>
    <row r="224" spans="1:57" s="456" customFormat="1" hidden="1" outlineLevel="1" x14ac:dyDescent="0.25">
      <c r="A224" s="3220"/>
      <c r="B224" s="3220"/>
      <c r="C224" s="3247"/>
      <c r="D224" s="3873"/>
      <c r="E224" s="3821"/>
      <c r="F224" s="3115" t="s">
        <v>620</v>
      </c>
      <c r="G224" s="2517">
        <v>0.42</v>
      </c>
      <c r="H224" s="3911" t="s">
        <v>690</v>
      </c>
      <c r="I224" s="3911"/>
      <c r="J224" s="3099"/>
      <c r="K224" s="3220"/>
      <c r="L224" s="123"/>
      <c r="M224" s="536"/>
      <c r="N224" s="536"/>
      <c r="O224" s="3220"/>
      <c r="P224" s="3220"/>
      <c r="Q224" s="3220"/>
      <c r="R224" s="3220"/>
      <c r="S224" s="3220"/>
      <c r="T224" s="3220"/>
      <c r="U224" s="3220"/>
      <c r="V224" s="3873"/>
      <c r="W224" s="512"/>
      <c r="X224" s="522"/>
      <c r="Y224" s="522"/>
      <c r="Z224" s="521"/>
      <c r="AA224" s="521"/>
      <c r="AB224" s="2198">
        <v>0.42</v>
      </c>
      <c r="AC224" s="2517">
        <v>0.42</v>
      </c>
      <c r="AD224" s="487"/>
      <c r="AE224" s="487"/>
      <c r="AF224" s="487"/>
      <c r="AG224" s="487"/>
      <c r="AI224" s="1930"/>
      <c r="AJ224" s="1930"/>
      <c r="AK224" s="1930"/>
      <c r="AL224" s="1930"/>
      <c r="AM224" s="1930"/>
      <c r="AN224" s="1930"/>
      <c r="AO224" s="1930"/>
      <c r="AP224" s="1930"/>
      <c r="AQ224" s="1930"/>
      <c r="AR224" s="1930"/>
      <c r="AS224" s="1930"/>
      <c r="BD224" s="1"/>
      <c r="BE224" s="1"/>
    </row>
    <row r="225" spans="1:57" s="456" customFormat="1" hidden="1" outlineLevel="1" x14ac:dyDescent="0.25">
      <c r="A225" s="3220"/>
      <c r="B225" s="3220"/>
      <c r="C225" s="3247"/>
      <c r="D225" s="3776" t="s">
        <v>621</v>
      </c>
      <c r="E225" s="3902" t="s">
        <v>692</v>
      </c>
      <c r="F225" s="3129" t="s">
        <v>693</v>
      </c>
      <c r="G225" s="3226">
        <v>2.35</v>
      </c>
      <c r="H225" s="3776" t="s">
        <v>694</v>
      </c>
      <c r="I225" s="3776"/>
      <c r="J225" s="3099"/>
      <c r="K225" s="3220"/>
      <c r="L225" s="123"/>
      <c r="M225" s="486"/>
      <c r="N225" s="486"/>
      <c r="O225" s="3220"/>
      <c r="P225" s="3220"/>
      <c r="Q225" s="3220"/>
      <c r="R225" s="3220"/>
      <c r="S225" s="3220"/>
      <c r="T225" s="3220"/>
      <c r="U225" s="3220"/>
      <c r="V225" s="3872" t="s">
        <v>621</v>
      </c>
      <c r="W225" s="481">
        <v>2.35</v>
      </c>
      <c r="X225" s="491">
        <v>2.35</v>
      </c>
      <c r="Y225" s="481">
        <v>2.35</v>
      </c>
      <c r="Z225" s="3227">
        <v>2.35</v>
      </c>
      <c r="AA225" s="3227">
        <v>2.35</v>
      </c>
      <c r="AB225" s="3226">
        <v>2.35</v>
      </c>
      <c r="AC225" s="3226">
        <v>2.35</v>
      </c>
      <c r="AD225" s="487"/>
      <c r="AE225" s="3226"/>
      <c r="AF225" s="3226"/>
      <c r="AG225" s="3226"/>
      <c r="AI225" s="1930"/>
      <c r="AJ225" s="1930"/>
      <c r="AK225" s="1930"/>
      <c r="AL225" s="1930"/>
      <c r="AM225" s="1930"/>
      <c r="AN225" s="1930"/>
      <c r="AO225" s="1930"/>
      <c r="AP225" s="1930"/>
      <c r="AQ225" s="1930"/>
      <c r="AR225" s="1930"/>
      <c r="AS225" s="1930"/>
      <c r="BD225" s="1"/>
      <c r="BE225" s="1"/>
    </row>
    <row r="226" spans="1:57" s="456" customFormat="1" hidden="1" outlineLevel="1" x14ac:dyDescent="0.25">
      <c r="A226" s="3220"/>
      <c r="B226" s="3220"/>
      <c r="C226" s="3247"/>
      <c r="D226" s="3776"/>
      <c r="E226" s="3902"/>
      <c r="F226" s="3115" t="s">
        <v>620</v>
      </c>
      <c r="G226" s="3226">
        <v>2.2000000000000002</v>
      </c>
      <c r="H226" s="3776" t="s">
        <v>695</v>
      </c>
      <c r="I226" s="3776"/>
      <c r="J226" s="3099"/>
      <c r="K226" s="3220"/>
      <c r="L226" s="123"/>
      <c r="M226" s="486"/>
      <c r="N226" s="486"/>
      <c r="O226" s="3220"/>
      <c r="P226" s="3220"/>
      <c r="Q226" s="3220"/>
      <c r="R226" s="3220"/>
      <c r="S226" s="3220"/>
      <c r="T226" s="3220"/>
      <c r="U226" s="3220"/>
      <c r="V226" s="3873"/>
      <c r="W226" s="481"/>
      <c r="X226" s="491"/>
      <c r="Y226" s="481"/>
      <c r="Z226" s="3227"/>
      <c r="AA226" s="3227"/>
      <c r="AB226" s="99">
        <v>2.2000000000000002</v>
      </c>
      <c r="AC226" s="3226">
        <v>2.2000000000000002</v>
      </c>
      <c r="AD226" s="487"/>
      <c r="AE226" s="3226"/>
      <c r="AF226" s="3226"/>
      <c r="AG226" s="3226"/>
      <c r="AI226" s="1930"/>
      <c r="AJ226" s="1930"/>
      <c r="AK226" s="1930"/>
      <c r="AL226" s="1930"/>
      <c r="AM226" s="1930"/>
      <c r="AN226" s="1930"/>
      <c r="AO226" s="1930"/>
      <c r="AP226" s="1930"/>
      <c r="AQ226" s="1930"/>
      <c r="AR226" s="1930"/>
      <c r="AS226" s="1930"/>
      <c r="BD226" s="1"/>
      <c r="BE226" s="1"/>
    </row>
    <row r="227" spans="1:57" s="456" customFormat="1" hidden="1" outlineLevel="1" x14ac:dyDescent="0.25">
      <c r="A227" s="3220"/>
      <c r="B227" s="3220"/>
      <c r="C227" s="3247"/>
      <c r="D227" s="3776" t="s">
        <v>624</v>
      </c>
      <c r="E227" s="3902" t="s">
        <v>696</v>
      </c>
      <c r="F227" s="3129" t="s">
        <v>693</v>
      </c>
      <c r="G227" s="539">
        <v>7.8</v>
      </c>
      <c r="H227" s="3776" t="s">
        <v>697</v>
      </c>
      <c r="I227" s="3776"/>
      <c r="J227" s="3099"/>
      <c r="K227" s="3220"/>
      <c r="L227" s="123"/>
      <c r="M227" s="486"/>
      <c r="N227" s="486"/>
      <c r="O227" s="3220"/>
      <c r="P227" s="3220"/>
      <c r="Q227" s="3220"/>
      <c r="R227" s="3220"/>
      <c r="S227" s="3220"/>
      <c r="T227" s="3220"/>
      <c r="U227" s="3220"/>
      <c r="V227" s="3872" t="s">
        <v>624</v>
      </c>
      <c r="W227" s="481">
        <v>7.8</v>
      </c>
      <c r="X227" s="481">
        <v>7.8</v>
      </c>
      <c r="Y227" s="481">
        <v>7.8</v>
      </c>
      <c r="Z227" s="3227">
        <v>7.8</v>
      </c>
      <c r="AA227" s="3227">
        <v>7.8</v>
      </c>
      <c r="AB227" s="539">
        <v>7.8</v>
      </c>
      <c r="AC227" s="539">
        <v>7.8</v>
      </c>
      <c r="AD227" s="487"/>
      <c r="AE227" s="3085"/>
      <c r="AF227" s="3085"/>
      <c r="AG227" s="3085"/>
      <c r="AI227" s="1930"/>
      <c r="AJ227" s="1930"/>
      <c r="AK227" s="1930"/>
      <c r="AL227" s="1930"/>
      <c r="AM227" s="1930"/>
      <c r="AN227" s="1930"/>
      <c r="AO227" s="1930"/>
      <c r="AP227" s="1930"/>
      <c r="AQ227" s="1930"/>
      <c r="AR227" s="1930"/>
      <c r="AS227" s="1930"/>
      <c r="BD227" s="1"/>
      <c r="BE227" s="1"/>
    </row>
    <row r="228" spans="1:57" s="456" customFormat="1" hidden="1" outlineLevel="1" x14ac:dyDescent="0.25">
      <c r="A228" s="3220"/>
      <c r="B228" s="3220"/>
      <c r="C228" s="3247"/>
      <c r="D228" s="3776"/>
      <c r="E228" s="3902"/>
      <c r="F228" s="3115" t="s">
        <v>620</v>
      </c>
      <c r="G228" s="539">
        <v>8.66</v>
      </c>
      <c r="H228" s="3776" t="s">
        <v>698</v>
      </c>
      <c r="I228" s="3776"/>
      <c r="J228" s="3099"/>
      <c r="K228" s="3220"/>
      <c r="L228" s="123"/>
      <c r="M228" s="486"/>
      <c r="N228" s="486"/>
      <c r="O228" s="3220"/>
      <c r="P228" s="3220"/>
      <c r="Q228" s="3220"/>
      <c r="R228" s="3220"/>
      <c r="S228" s="3220"/>
      <c r="T228" s="3220"/>
      <c r="U228" s="3220"/>
      <c r="V228" s="3873"/>
      <c r="W228" s="481"/>
      <c r="X228" s="481"/>
      <c r="Y228" s="481"/>
      <c r="Z228" s="3227"/>
      <c r="AA228" s="3227"/>
      <c r="AB228" s="2047">
        <v>8.66</v>
      </c>
      <c r="AC228" s="539">
        <v>8.66</v>
      </c>
      <c r="AD228" s="487"/>
      <c r="AE228" s="3085"/>
      <c r="AF228" s="3085"/>
      <c r="AG228" s="3085"/>
      <c r="AI228" s="1930"/>
      <c r="AJ228" s="1930"/>
      <c r="AK228" s="1930"/>
      <c r="AL228" s="1930"/>
      <c r="AM228" s="1930"/>
      <c r="AN228" s="1930"/>
      <c r="AO228" s="1930"/>
      <c r="AP228" s="1930"/>
      <c r="AQ228" s="1930"/>
      <c r="AR228" s="1930"/>
      <c r="AS228" s="1930"/>
      <c r="BD228" s="1"/>
      <c r="BE228" s="1"/>
    </row>
    <row r="229" spans="1:57" s="456" customFormat="1" hidden="1" outlineLevel="1" x14ac:dyDescent="0.25">
      <c r="A229" s="3220"/>
      <c r="B229" s="3220"/>
      <c r="C229" s="3247"/>
      <c r="D229" s="3089" t="s">
        <v>629</v>
      </c>
      <c r="E229" s="3124" t="s">
        <v>699</v>
      </c>
      <c r="F229" s="3129" t="s">
        <v>135</v>
      </c>
      <c r="G229" s="539">
        <v>1.5</v>
      </c>
      <c r="H229" s="3776" t="s">
        <v>631</v>
      </c>
      <c r="I229" s="3776"/>
      <c r="J229" s="3099"/>
      <c r="K229" s="3220"/>
      <c r="L229" s="123"/>
      <c r="M229" s="486"/>
      <c r="N229" s="486"/>
      <c r="O229" s="3220"/>
      <c r="P229" s="3220"/>
      <c r="Q229" s="3220"/>
      <c r="R229" s="3220"/>
      <c r="S229" s="3220"/>
      <c r="T229" s="3220"/>
      <c r="U229" s="3220"/>
      <c r="V229" s="3089" t="s">
        <v>629</v>
      </c>
      <c r="W229" s="481">
        <v>1.5</v>
      </c>
      <c r="X229" s="481">
        <v>1.5</v>
      </c>
      <c r="Y229" s="481">
        <v>1.5</v>
      </c>
      <c r="Z229" s="3227">
        <v>1.5</v>
      </c>
      <c r="AA229" s="3227">
        <v>1.5</v>
      </c>
      <c r="AB229" s="539">
        <v>1.5</v>
      </c>
      <c r="AC229" s="539">
        <v>1.5</v>
      </c>
      <c r="AD229" s="487"/>
      <c r="AE229" s="3085"/>
      <c r="AF229" s="3085"/>
      <c r="AG229" s="3085"/>
      <c r="AI229" s="1930"/>
      <c r="AJ229" s="1930"/>
      <c r="AK229" s="1930"/>
      <c r="AL229" s="1930"/>
      <c r="AM229" s="1930"/>
      <c r="AN229" s="1930"/>
      <c r="AO229" s="1930"/>
      <c r="AP229" s="1930"/>
      <c r="AQ229" s="1930"/>
      <c r="AR229" s="1930"/>
      <c r="AS229" s="1930"/>
      <c r="BD229" s="1"/>
      <c r="BE229" s="1"/>
    </row>
    <row r="230" spans="1:57" s="456" customFormat="1" hidden="1" outlineLevel="1" x14ac:dyDescent="0.25">
      <c r="A230" s="3220"/>
      <c r="B230" s="3220"/>
      <c r="C230" s="3247"/>
      <c r="D230" s="3776" t="s">
        <v>632</v>
      </c>
      <c r="E230" s="3902" t="s">
        <v>700</v>
      </c>
      <c r="F230" s="3129" t="s">
        <v>693</v>
      </c>
      <c r="G230" s="539">
        <v>7.8</v>
      </c>
      <c r="H230" s="3776" t="s">
        <v>626</v>
      </c>
      <c r="I230" s="3776"/>
      <c r="J230" s="3099"/>
      <c r="K230" s="3220"/>
      <c r="L230" s="123"/>
      <c r="M230" s="486"/>
      <c r="N230" s="486"/>
      <c r="O230" s="3220"/>
      <c r="P230" s="3220"/>
      <c r="Q230" s="3220"/>
      <c r="R230" s="3220"/>
      <c r="S230" s="3220"/>
      <c r="T230" s="3220"/>
      <c r="U230" s="3220"/>
      <c r="V230" s="3872" t="s">
        <v>632</v>
      </c>
      <c r="W230" s="481">
        <v>7.8</v>
      </c>
      <c r="X230" s="481">
        <v>7.8</v>
      </c>
      <c r="Y230" s="481">
        <v>7.8</v>
      </c>
      <c r="Z230" s="3227">
        <v>7.8</v>
      </c>
      <c r="AA230" s="3227">
        <v>7.8</v>
      </c>
      <c r="AB230" s="539">
        <v>7.8</v>
      </c>
      <c r="AC230" s="539">
        <v>7.8</v>
      </c>
      <c r="AD230" s="487"/>
      <c r="AE230" s="3085"/>
      <c r="AF230" s="3085"/>
      <c r="AG230" s="3085"/>
      <c r="AI230" s="1930"/>
      <c r="AJ230" s="1930"/>
      <c r="AK230" s="1930"/>
      <c r="AL230" s="1930"/>
      <c r="AM230" s="1930"/>
      <c r="AN230" s="1930"/>
      <c r="AO230" s="1930"/>
      <c r="AP230" s="1930"/>
      <c r="AQ230" s="1930"/>
      <c r="AR230" s="1930"/>
      <c r="AS230" s="1930"/>
      <c r="BD230" s="1"/>
      <c r="BE230" s="1"/>
    </row>
    <row r="231" spans="1:57" s="456" customFormat="1" hidden="1" outlineLevel="1" x14ac:dyDescent="0.25">
      <c r="A231" s="3220"/>
      <c r="B231" s="3220"/>
      <c r="C231" s="3247"/>
      <c r="D231" s="3776"/>
      <c r="E231" s="3902"/>
      <c r="F231" s="3115" t="s">
        <v>620</v>
      </c>
      <c r="G231" s="492">
        <v>8.66</v>
      </c>
      <c r="H231" s="3776" t="s">
        <v>698</v>
      </c>
      <c r="I231" s="3776"/>
      <c r="J231" s="3099"/>
      <c r="K231" s="3220"/>
      <c r="L231" s="123"/>
      <c r="M231" s="486"/>
      <c r="N231" s="486"/>
      <c r="O231" s="3220"/>
      <c r="P231" s="3220"/>
      <c r="Q231" s="3220"/>
      <c r="R231" s="3220"/>
      <c r="S231" s="3220"/>
      <c r="T231" s="3220"/>
      <c r="U231" s="3220"/>
      <c r="V231" s="3873"/>
      <c r="W231" s="481"/>
      <c r="X231" s="481"/>
      <c r="Y231" s="481"/>
      <c r="Z231" s="3227"/>
      <c r="AA231" s="3227"/>
      <c r="AB231" s="349">
        <v>8.66</v>
      </c>
      <c r="AC231" s="492">
        <v>8.66</v>
      </c>
      <c r="AD231" s="487"/>
      <c r="AE231" s="3085"/>
      <c r="AF231" s="3085"/>
      <c r="AG231" s="3085"/>
      <c r="AI231" s="1930"/>
      <c r="AJ231" s="1930"/>
      <c r="AK231" s="1930"/>
      <c r="AL231" s="1930"/>
      <c r="AM231" s="1930"/>
      <c r="AN231" s="1930"/>
      <c r="AO231" s="1930"/>
      <c r="AP231" s="1930"/>
      <c r="AQ231" s="1930"/>
      <c r="AR231" s="1930"/>
      <c r="AS231" s="1930"/>
      <c r="BD231" s="1"/>
      <c r="BE231" s="1"/>
    </row>
    <row r="232" spans="1:57" s="456" customFormat="1" hidden="1" outlineLevel="1" x14ac:dyDescent="0.25">
      <c r="A232" s="3220"/>
      <c r="B232" s="3220"/>
      <c r="C232" s="3247"/>
      <c r="D232" s="3872" t="s">
        <v>200</v>
      </c>
      <c r="E232" s="3881" t="s">
        <v>701</v>
      </c>
      <c r="F232" s="3129" t="s">
        <v>617</v>
      </c>
      <c r="G232" s="2518">
        <v>4.28571428571429</v>
      </c>
      <c r="H232" s="3910" t="s">
        <v>690</v>
      </c>
      <c r="I232" s="3910"/>
      <c r="J232" s="3099"/>
      <c r="K232" s="3220"/>
      <c r="L232" s="3220"/>
      <c r="M232" s="540"/>
      <c r="N232" s="540"/>
      <c r="O232" s="3220"/>
      <c r="P232" s="3220"/>
      <c r="Q232" s="3220"/>
      <c r="R232" s="3220"/>
      <c r="S232" s="3220"/>
      <c r="T232" s="3220"/>
      <c r="U232" s="3220"/>
      <c r="V232" s="3872" t="s">
        <v>200</v>
      </c>
      <c r="W232" s="480">
        <v>4.3185840707964598</v>
      </c>
      <c r="X232" s="454">
        <v>4.2926829268292686</v>
      </c>
      <c r="Y232" s="454">
        <v>4.2329545454545459</v>
      </c>
      <c r="Z232" s="448">
        <v>4.2329545454545459</v>
      </c>
      <c r="AA232" s="448">
        <v>4.2329545454545459</v>
      </c>
      <c r="AB232" s="2048">
        <v>4.28571428571429</v>
      </c>
      <c r="AC232" s="2518">
        <v>4.28571428571429</v>
      </c>
      <c r="AD232" s="487"/>
      <c r="AE232" s="3085"/>
      <c r="AF232" s="3085"/>
      <c r="AG232" s="3085"/>
      <c r="AI232" s="1930"/>
      <c r="AJ232" s="1930"/>
      <c r="AK232" s="1930"/>
      <c r="AL232" s="1930"/>
      <c r="AM232" s="1930"/>
      <c r="AN232" s="1930"/>
      <c r="AO232" s="1930"/>
      <c r="AP232" s="1930"/>
      <c r="AQ232" s="1930"/>
      <c r="AR232" s="1930"/>
      <c r="AS232" s="1930"/>
      <c r="BD232" s="1"/>
      <c r="BE232" s="1"/>
    </row>
    <row r="233" spans="1:57" s="456" customFormat="1" hidden="1" outlineLevel="1" x14ac:dyDescent="0.25">
      <c r="A233" s="3220"/>
      <c r="B233" s="3220"/>
      <c r="C233" s="3247"/>
      <c r="D233" s="3874"/>
      <c r="E233" s="3820"/>
      <c r="F233" s="2045" t="s">
        <v>599</v>
      </c>
      <c r="G233" s="494">
        <v>1.7767584097859328</v>
      </c>
      <c r="H233" s="3776" t="s">
        <v>691</v>
      </c>
      <c r="I233" s="3776"/>
      <c r="J233" s="3099"/>
      <c r="K233" s="3220"/>
      <c r="L233" s="3220"/>
      <c r="M233" s="540"/>
      <c r="N233" s="540"/>
      <c r="O233" s="3220"/>
      <c r="P233" s="3220"/>
      <c r="Q233" s="3220"/>
      <c r="R233" s="3220"/>
      <c r="S233" s="3220"/>
      <c r="T233" s="3220"/>
      <c r="U233" s="3220"/>
      <c r="V233" s="3874"/>
      <c r="W233" s="480"/>
      <c r="X233" s="454"/>
      <c r="Y233" s="454"/>
      <c r="Z233" s="448"/>
      <c r="AA233" s="448"/>
      <c r="AB233" s="494">
        <v>1.7767584097859328</v>
      </c>
      <c r="AC233" s="494">
        <v>1.7767584097859328</v>
      </c>
      <c r="AD233" s="487"/>
      <c r="AE233" s="3085"/>
      <c r="AF233" s="3085"/>
      <c r="AG233" s="3085"/>
      <c r="AI233" s="1930"/>
      <c r="AJ233" s="1930"/>
      <c r="AK233" s="1930"/>
      <c r="AL233" s="1930"/>
      <c r="AM233" s="1930"/>
      <c r="AN233" s="1930"/>
      <c r="AO233" s="1930"/>
      <c r="AP233" s="1930"/>
      <c r="AQ233" s="1930"/>
      <c r="AR233" s="1930"/>
      <c r="AS233" s="1930"/>
      <c r="BD233" s="1"/>
      <c r="BE233" s="1"/>
    </row>
    <row r="234" spans="1:57" s="456" customFormat="1" ht="16.149999999999999" hidden="1" customHeight="1" outlineLevel="1" x14ac:dyDescent="0.25">
      <c r="A234" s="3220"/>
      <c r="B234" s="3220"/>
      <c r="C234" s="3247"/>
      <c r="D234" s="3874"/>
      <c r="E234" s="3820"/>
      <c r="F234" s="3115" t="s">
        <v>620</v>
      </c>
      <c r="G234" s="104">
        <v>2.67</v>
      </c>
      <c r="H234" s="3875" t="s">
        <v>702</v>
      </c>
      <c r="I234" s="3875"/>
      <c r="J234" s="3099" t="s">
        <v>703</v>
      </c>
      <c r="K234" s="479"/>
      <c r="L234" s="3220"/>
      <c r="M234" s="540"/>
      <c r="N234" s="540"/>
      <c r="O234" s="3220"/>
      <c r="P234" s="3220"/>
      <c r="Q234" s="3220"/>
      <c r="R234" s="3220"/>
      <c r="S234" s="3220"/>
      <c r="T234" s="3220"/>
      <c r="U234" s="3220"/>
      <c r="V234" s="3874"/>
      <c r="W234" s="480"/>
      <c r="X234" s="454"/>
      <c r="Y234" s="454"/>
      <c r="Z234" s="448"/>
      <c r="AA234" s="448"/>
      <c r="AB234" s="330">
        <v>2.67</v>
      </c>
      <c r="AC234" s="104">
        <v>2.67</v>
      </c>
      <c r="AD234" s="487"/>
      <c r="AE234" s="3085"/>
      <c r="AF234" s="3085"/>
      <c r="AG234" s="3085"/>
      <c r="AI234" s="1930"/>
      <c r="AJ234" s="1930"/>
      <c r="AK234" s="1930"/>
      <c r="AL234" s="1930"/>
      <c r="AM234" s="1930"/>
      <c r="AN234" s="1930"/>
      <c r="AO234" s="1930"/>
      <c r="AP234" s="1930"/>
      <c r="AQ234" s="1930"/>
      <c r="AR234" s="1930"/>
      <c r="AS234" s="1930"/>
      <c r="BD234" s="1"/>
      <c r="BE234" s="1"/>
    </row>
    <row r="235" spans="1:57" s="456" customFormat="1" hidden="1" outlineLevel="1" x14ac:dyDescent="0.25">
      <c r="A235" s="3220"/>
      <c r="B235" s="3220"/>
      <c r="C235" s="3247"/>
      <c r="D235" s="3873"/>
      <c r="E235" s="3821"/>
      <c r="F235" s="2046" t="s">
        <v>538</v>
      </c>
      <c r="G235" s="104">
        <v>2.65</v>
      </c>
      <c r="H235" s="3875" t="s">
        <v>704</v>
      </c>
      <c r="I235" s="3875"/>
      <c r="J235" s="3099"/>
      <c r="K235" s="479"/>
      <c r="L235" s="3220"/>
      <c r="M235" s="540"/>
      <c r="N235" s="540"/>
      <c r="O235" s="3220"/>
      <c r="P235" s="3220"/>
      <c r="Q235" s="3220"/>
      <c r="R235" s="3220"/>
      <c r="S235" s="3220"/>
      <c r="T235" s="3220"/>
      <c r="U235" s="3220"/>
      <c r="V235" s="3873"/>
      <c r="W235" s="480"/>
      <c r="X235" s="454"/>
      <c r="Y235" s="454"/>
      <c r="Z235" s="448"/>
      <c r="AA235" s="448"/>
      <c r="AB235" s="330">
        <v>2.65</v>
      </c>
      <c r="AC235" s="104">
        <v>2.65</v>
      </c>
      <c r="AD235" s="487"/>
      <c r="AE235" s="3085"/>
      <c r="AF235" s="3085"/>
      <c r="AG235" s="3085"/>
      <c r="AI235" s="1930"/>
      <c r="AJ235" s="1930"/>
      <c r="AK235" s="1930"/>
      <c r="AL235" s="1930"/>
      <c r="AM235" s="1930"/>
      <c r="AN235" s="1930"/>
      <c r="AO235" s="1930"/>
      <c r="AP235" s="1930"/>
      <c r="AQ235" s="1930"/>
      <c r="AR235" s="1930"/>
      <c r="AS235" s="1930"/>
      <c r="BD235" s="1"/>
      <c r="BE235" s="1"/>
    </row>
    <row r="236" spans="1:57" s="456" customFormat="1" hidden="1" outlineLevel="1" x14ac:dyDescent="0.25">
      <c r="A236" s="3220"/>
      <c r="B236" s="3220"/>
      <c r="C236" s="3247"/>
      <c r="D236" s="3872" t="s">
        <v>705</v>
      </c>
      <c r="E236" s="3881" t="s">
        <v>706</v>
      </c>
      <c r="F236" s="3129" t="s">
        <v>693</v>
      </c>
      <c r="G236" s="3227">
        <v>0.83199999999999996</v>
      </c>
      <c r="H236" s="3776" t="s">
        <v>690</v>
      </c>
      <c r="I236" s="3776"/>
      <c r="J236" s="3099"/>
      <c r="K236" s="3220"/>
      <c r="L236" s="3220"/>
      <c r="M236" s="486"/>
      <c r="N236" s="486"/>
      <c r="O236" s="3220"/>
      <c r="P236" s="3220"/>
      <c r="Q236" s="3220"/>
      <c r="R236" s="3220"/>
      <c r="S236" s="3220"/>
      <c r="T236" s="3220"/>
      <c r="U236" s="3220"/>
      <c r="V236" s="3872" t="s">
        <v>705</v>
      </c>
      <c r="W236" s="481">
        <v>0.6</v>
      </c>
      <c r="X236" s="481">
        <v>0.6</v>
      </c>
      <c r="Y236" s="481">
        <v>0.6</v>
      </c>
      <c r="Z236" s="3227">
        <v>0.6</v>
      </c>
      <c r="AA236" s="3227">
        <v>0.6</v>
      </c>
      <c r="AB236" s="538">
        <v>0.83199999999999996</v>
      </c>
      <c r="AC236" s="3227">
        <v>0.83199999999999996</v>
      </c>
      <c r="AD236" s="487"/>
      <c r="AE236" s="3085"/>
      <c r="AF236" s="3085"/>
      <c r="AG236" s="3085"/>
      <c r="AI236" s="1930"/>
      <c r="AJ236" s="1930"/>
      <c r="AK236" s="1930"/>
      <c r="AL236" s="1930"/>
      <c r="AM236" s="1930"/>
      <c r="AN236" s="1930"/>
      <c r="AO236" s="1930"/>
      <c r="AP236" s="1930"/>
      <c r="AQ236" s="1930"/>
      <c r="AR236" s="1930"/>
      <c r="AS236" s="1930"/>
      <c r="BD236" s="1"/>
      <c r="BE236" s="1"/>
    </row>
    <row r="237" spans="1:57" s="456" customFormat="1" hidden="1" outlineLevel="1" x14ac:dyDescent="0.25">
      <c r="A237" s="3220"/>
      <c r="B237" s="3220"/>
      <c r="C237" s="3247"/>
      <c r="D237" s="3873"/>
      <c r="E237" s="3821"/>
      <c r="F237" s="3115" t="s">
        <v>620</v>
      </c>
      <c r="G237" s="3226">
        <v>0.66</v>
      </c>
      <c r="H237" s="3776" t="s">
        <v>698</v>
      </c>
      <c r="I237" s="3776"/>
      <c r="J237" s="3099"/>
      <c r="K237" s="3220"/>
      <c r="L237" s="3220"/>
      <c r="M237" s="486"/>
      <c r="N237" s="486"/>
      <c r="O237" s="3220"/>
      <c r="P237" s="3220"/>
      <c r="Q237" s="3220"/>
      <c r="R237" s="3220"/>
      <c r="S237" s="3220"/>
      <c r="T237" s="3220"/>
      <c r="U237" s="3220"/>
      <c r="V237" s="3873"/>
      <c r="W237" s="481"/>
      <c r="X237" s="481"/>
      <c r="Y237" s="481"/>
      <c r="Z237" s="3227"/>
      <c r="AA237" s="3227"/>
      <c r="AB237" s="99">
        <v>0.66</v>
      </c>
      <c r="AC237" s="3226">
        <v>0.66</v>
      </c>
      <c r="AD237" s="487"/>
      <c r="AE237" s="3085"/>
      <c r="AF237" s="3085"/>
      <c r="AG237" s="3085"/>
      <c r="AI237" s="1930"/>
      <c r="AJ237" s="1930"/>
      <c r="AK237" s="1930"/>
      <c r="AL237" s="1930"/>
      <c r="AM237" s="1930"/>
      <c r="AN237" s="1930"/>
      <c r="AO237" s="1930"/>
      <c r="AP237" s="1930"/>
      <c r="AQ237" s="1930"/>
      <c r="AR237" s="1930"/>
      <c r="AS237" s="1930"/>
      <c r="BD237" s="1"/>
      <c r="BE237" s="1"/>
    </row>
    <row r="238" spans="1:57" s="456" customFormat="1" hidden="1" outlineLevel="1" x14ac:dyDescent="0.25">
      <c r="A238" s="3220"/>
      <c r="B238" s="3220"/>
      <c r="C238" s="3247"/>
      <c r="D238" s="3089">
        <v>365.25</v>
      </c>
      <c r="E238" s="3124" t="s">
        <v>707</v>
      </c>
      <c r="F238" s="3129" t="s">
        <v>135</v>
      </c>
      <c r="G238" s="539">
        <v>365.25</v>
      </c>
      <c r="H238" s="3776" t="s">
        <v>587</v>
      </c>
      <c r="I238" s="3776"/>
      <c r="J238" s="3099"/>
      <c r="K238" s="3220"/>
      <c r="L238" s="3220"/>
      <c r="M238" s="486"/>
      <c r="N238" s="486"/>
      <c r="O238" s="3220"/>
      <c r="P238" s="3220"/>
      <c r="Q238" s="3220"/>
      <c r="R238" s="3220"/>
      <c r="S238" s="3220"/>
      <c r="T238" s="3220"/>
      <c r="U238" s="3220"/>
      <c r="V238" s="3089">
        <v>365.25</v>
      </c>
      <c r="W238" s="481">
        <v>365</v>
      </c>
      <c r="X238" s="481">
        <v>365</v>
      </c>
      <c r="Y238" s="481">
        <v>365</v>
      </c>
      <c r="Z238" s="3227">
        <v>365</v>
      </c>
      <c r="AA238" s="3227">
        <v>365</v>
      </c>
      <c r="AB238" s="2047">
        <v>365.25</v>
      </c>
      <c r="AC238" s="539">
        <v>365.25</v>
      </c>
      <c r="AD238" s="487"/>
      <c r="AE238" s="3085"/>
      <c r="AF238" s="3085"/>
      <c r="AG238" s="3085"/>
      <c r="AI238" s="1930"/>
      <c r="AJ238" s="1930"/>
      <c r="AK238" s="1930"/>
      <c r="AL238" s="1930"/>
      <c r="AM238" s="1930"/>
      <c r="AN238" s="1930"/>
      <c r="AO238" s="1930"/>
      <c r="AP238" s="1930"/>
      <c r="AQ238" s="1930"/>
      <c r="AR238" s="1930"/>
      <c r="AS238" s="1930"/>
      <c r="BD238" s="1"/>
      <c r="BE238" s="1"/>
    </row>
    <row r="239" spans="1:57" s="456" customFormat="1" hidden="1" outlineLevel="1" x14ac:dyDescent="0.25">
      <c r="A239" s="3220"/>
      <c r="B239" s="3220"/>
      <c r="C239" s="3247"/>
      <c r="D239" s="3872" t="s">
        <v>708</v>
      </c>
      <c r="E239" s="3881" t="s">
        <v>709</v>
      </c>
      <c r="F239" s="3129" t="s">
        <v>617</v>
      </c>
      <c r="G239" s="2518">
        <v>2.1419999999999999</v>
      </c>
      <c r="H239" s="3971" t="s">
        <v>690</v>
      </c>
      <c r="I239" s="3971"/>
      <c r="J239" s="3099"/>
      <c r="K239" s="3220"/>
      <c r="L239" s="3220"/>
      <c r="M239" s="540"/>
      <c r="N239" s="540"/>
      <c r="O239" s="3220"/>
      <c r="P239" s="3220"/>
      <c r="Q239" s="3220"/>
      <c r="R239" s="3220"/>
      <c r="S239" s="3220"/>
      <c r="T239" s="3220"/>
      <c r="U239" s="3220"/>
      <c r="V239" s="3872" t="s">
        <v>708</v>
      </c>
      <c r="W239" s="480">
        <v>2.0647058823529409</v>
      </c>
      <c r="X239" s="454">
        <v>2.0048076923076925</v>
      </c>
      <c r="Y239" s="454">
        <v>1.9570000000000001</v>
      </c>
      <c r="Z239" s="448">
        <v>1.9570000000000001</v>
      </c>
      <c r="AA239" s="448">
        <v>1.9570000000000001</v>
      </c>
      <c r="AB239" s="2048">
        <v>2.1419999999999999</v>
      </c>
      <c r="AC239" s="2518">
        <v>2.1419999999999999</v>
      </c>
      <c r="AD239" s="487"/>
      <c r="AE239" s="3085"/>
      <c r="AF239" s="3085"/>
      <c r="AG239" s="3085"/>
      <c r="AI239" s="1930"/>
      <c r="AJ239" s="1930"/>
      <c r="AK239" s="1930"/>
      <c r="AL239" s="1930"/>
      <c r="AM239" s="1930"/>
      <c r="AN239" s="1930"/>
      <c r="AO239" s="1930"/>
      <c r="AP239" s="1930"/>
      <c r="AQ239" s="1930"/>
      <c r="AR239" s="1930"/>
      <c r="AS239" s="1930"/>
      <c r="BD239" s="1"/>
      <c r="BE239" s="1"/>
    </row>
    <row r="240" spans="1:57" s="456" customFormat="1" hidden="1" outlineLevel="1" x14ac:dyDescent="0.25">
      <c r="A240" s="3220"/>
      <c r="B240" s="3220"/>
      <c r="C240" s="3247"/>
      <c r="D240" s="3874"/>
      <c r="E240" s="3820"/>
      <c r="F240" s="2045" t="s">
        <v>599</v>
      </c>
      <c r="G240" s="448">
        <v>1.3371757925072045</v>
      </c>
      <c r="H240" s="3776" t="s">
        <v>691</v>
      </c>
      <c r="I240" s="3776"/>
      <c r="J240" s="3099"/>
      <c r="K240" s="3220"/>
      <c r="L240" s="3220"/>
      <c r="M240" s="540"/>
      <c r="N240" s="540"/>
      <c r="O240" s="3220"/>
      <c r="P240" s="3220"/>
      <c r="Q240" s="3220"/>
      <c r="R240" s="3220"/>
      <c r="S240" s="3220"/>
      <c r="T240" s="3220"/>
      <c r="U240" s="3220"/>
      <c r="V240" s="3874"/>
      <c r="W240" s="480"/>
      <c r="X240" s="454"/>
      <c r="Y240" s="454"/>
      <c r="Z240" s="448"/>
      <c r="AA240" s="448"/>
      <c r="AB240" s="448">
        <v>1.3371757925072045</v>
      </c>
      <c r="AC240" s="448">
        <v>1.3371757925072045</v>
      </c>
      <c r="AD240" s="487"/>
      <c r="AE240" s="3085"/>
      <c r="AF240" s="3085"/>
      <c r="AG240" s="3085"/>
      <c r="AI240" s="1930"/>
      <c r="AJ240" s="1930"/>
      <c r="AK240" s="1930"/>
      <c r="AL240" s="1930"/>
      <c r="AM240" s="1930"/>
      <c r="AN240" s="1930"/>
      <c r="AO240" s="1930"/>
      <c r="AP240" s="1930"/>
      <c r="AQ240" s="1930"/>
      <c r="AR240" s="1930"/>
      <c r="AS240" s="1930"/>
      <c r="BD240" s="1"/>
      <c r="BE240" s="1"/>
    </row>
    <row r="241" spans="1:57" s="456" customFormat="1" ht="105" hidden="1" outlineLevel="1" x14ac:dyDescent="0.25">
      <c r="A241" s="3220"/>
      <c r="B241" s="3220"/>
      <c r="C241" s="3247"/>
      <c r="D241" s="3873"/>
      <c r="E241" s="3821"/>
      <c r="F241" s="3115" t="s">
        <v>620</v>
      </c>
      <c r="G241" s="104">
        <v>2.0499999999999998</v>
      </c>
      <c r="H241" s="3971" t="s">
        <v>702</v>
      </c>
      <c r="I241" s="3971"/>
      <c r="J241" s="3099" t="s">
        <v>703</v>
      </c>
      <c r="K241" s="479"/>
      <c r="L241" s="3220"/>
      <c r="M241" s="540"/>
      <c r="N241" s="540"/>
      <c r="O241" s="3220"/>
      <c r="P241" s="3220"/>
      <c r="Q241" s="3220"/>
      <c r="R241" s="3220"/>
      <c r="S241" s="3220"/>
      <c r="T241" s="3220"/>
      <c r="U241" s="3220"/>
      <c r="V241" s="3873"/>
      <c r="W241" s="480"/>
      <c r="X241" s="454"/>
      <c r="Y241" s="454"/>
      <c r="Z241" s="448"/>
      <c r="AA241" s="448"/>
      <c r="AB241" s="330">
        <v>2.0499999999999998</v>
      </c>
      <c r="AC241" s="104">
        <v>2.0499999999999998</v>
      </c>
      <c r="AD241" s="487"/>
      <c r="AE241" s="3085"/>
      <c r="AF241" s="3085"/>
      <c r="AG241" s="3085"/>
      <c r="AI241" s="1930"/>
      <c r="AJ241" s="1930"/>
      <c r="AK241" s="1930"/>
      <c r="AL241" s="1930"/>
      <c r="AM241" s="1930"/>
      <c r="AN241" s="1930"/>
      <c r="AO241" s="1930"/>
      <c r="AP241" s="1930"/>
      <c r="AQ241" s="1930"/>
      <c r="AR241" s="1930"/>
      <c r="AS241" s="1930"/>
      <c r="BD241" s="1"/>
      <c r="BE241" s="1"/>
    </row>
    <row r="242" spans="1:57" s="456" customFormat="1" hidden="1" outlineLevel="1" x14ac:dyDescent="0.25">
      <c r="A242" s="3220"/>
      <c r="B242" s="3220"/>
      <c r="C242" s="3247"/>
      <c r="D242" s="3089">
        <v>8.33</v>
      </c>
      <c r="E242" s="3133" t="s">
        <v>647</v>
      </c>
      <c r="F242" s="3129" t="s">
        <v>135</v>
      </c>
      <c r="G242" s="539">
        <v>8.33</v>
      </c>
      <c r="H242" s="3867" t="s">
        <v>648</v>
      </c>
      <c r="I242" s="3867"/>
      <c r="J242" s="3099"/>
      <c r="K242" s="3220"/>
      <c r="L242" s="3220"/>
      <c r="M242" s="486"/>
      <c r="N242" s="486"/>
      <c r="O242" s="3220"/>
      <c r="P242" s="3220"/>
      <c r="Q242" s="3220"/>
      <c r="R242" s="3220"/>
      <c r="S242" s="3220"/>
      <c r="T242" s="3220"/>
      <c r="U242" s="3220"/>
      <c r="V242" s="3089">
        <v>8.33</v>
      </c>
      <c r="W242" s="481">
        <v>8.33</v>
      </c>
      <c r="X242" s="541">
        <v>8.33</v>
      </c>
      <c r="Y242" s="541">
        <v>8.33</v>
      </c>
      <c r="Z242" s="539">
        <v>8.33</v>
      </c>
      <c r="AA242" s="539">
        <v>8.33</v>
      </c>
      <c r="AB242" s="539">
        <v>8.33</v>
      </c>
      <c r="AC242" s="539">
        <v>8.33</v>
      </c>
      <c r="AD242" s="487"/>
      <c r="AE242" s="3085"/>
      <c r="AF242" s="3085"/>
      <c r="AG242" s="3085"/>
      <c r="AI242" s="1930"/>
      <c r="AJ242" s="1930"/>
      <c r="AK242" s="1930"/>
      <c r="AL242" s="1930"/>
      <c r="AM242" s="1930"/>
      <c r="AN242" s="1930"/>
      <c r="AO242" s="1930"/>
      <c r="AP242" s="1930"/>
      <c r="AQ242" s="1930"/>
      <c r="AR242" s="1930"/>
      <c r="AS242" s="1930"/>
      <c r="BD242" s="1"/>
      <c r="BE242" s="1"/>
    </row>
    <row r="243" spans="1:57" s="456" customFormat="1" hidden="1" outlineLevel="1" x14ac:dyDescent="0.25">
      <c r="A243" s="3220"/>
      <c r="B243" s="3220"/>
      <c r="C243" s="3247"/>
      <c r="D243" s="3089">
        <v>1</v>
      </c>
      <c r="E243" s="3124" t="s">
        <v>649</v>
      </c>
      <c r="F243" s="3129" t="s">
        <v>135</v>
      </c>
      <c r="G243" s="539">
        <v>1</v>
      </c>
      <c r="H243" s="3776" t="s">
        <v>650</v>
      </c>
      <c r="I243" s="3776"/>
      <c r="J243" s="3099"/>
      <c r="K243" s="3220"/>
      <c r="L243" s="3220"/>
      <c r="M243" s="486"/>
      <c r="N243" s="486"/>
      <c r="O243" s="3220"/>
      <c r="P243" s="3220"/>
      <c r="Q243" s="3220"/>
      <c r="R243" s="3220"/>
      <c r="S243" s="3220"/>
      <c r="T243" s="3220"/>
      <c r="U243" s="3220"/>
      <c r="V243" s="3089">
        <v>1</v>
      </c>
      <c r="W243" s="481">
        <v>1</v>
      </c>
      <c r="X243" s="541">
        <v>1</v>
      </c>
      <c r="Y243" s="541">
        <v>1</v>
      </c>
      <c r="Z243" s="539">
        <v>1</v>
      </c>
      <c r="AA243" s="539">
        <v>1</v>
      </c>
      <c r="AB243" s="539">
        <v>1</v>
      </c>
      <c r="AC243" s="539">
        <v>1</v>
      </c>
      <c r="AD243" s="487"/>
      <c r="AE243" s="3085"/>
      <c r="AF243" s="3085"/>
      <c r="AG243" s="3085"/>
      <c r="AI243" s="1930"/>
      <c r="AJ243" s="1930"/>
      <c r="AK243" s="1930"/>
      <c r="AL243" s="1930"/>
      <c r="AM243" s="1930"/>
      <c r="AN243" s="1930"/>
      <c r="AO243" s="1930"/>
      <c r="AP243" s="1930"/>
      <c r="AQ243" s="1930"/>
      <c r="AR243" s="1930"/>
      <c r="AS243" s="1930"/>
      <c r="BD243" s="1"/>
      <c r="BE243" s="1"/>
    </row>
    <row r="244" spans="1:57" s="456" customFormat="1" hidden="1" outlineLevel="1" x14ac:dyDescent="0.25">
      <c r="A244" s="3220"/>
      <c r="B244" s="3220"/>
      <c r="C244" s="3247"/>
      <c r="D244" s="3089" t="s">
        <v>710</v>
      </c>
      <c r="E244" s="3124" t="s">
        <v>711</v>
      </c>
      <c r="F244" s="3129" t="s">
        <v>135</v>
      </c>
      <c r="G244" s="3227">
        <v>105</v>
      </c>
      <c r="H244" s="3776" t="s">
        <v>712</v>
      </c>
      <c r="I244" s="3776"/>
      <c r="J244" s="3099"/>
      <c r="K244" s="3220"/>
      <c r="L244" s="3220"/>
      <c r="M244" s="486"/>
      <c r="N244" s="486"/>
      <c r="O244" s="3220"/>
      <c r="P244" s="3220"/>
      <c r="Q244" s="3220"/>
      <c r="R244" s="3220"/>
      <c r="S244" s="3220"/>
      <c r="T244" s="3220"/>
      <c r="U244" s="3220"/>
      <c r="V244" s="3089" t="s">
        <v>710</v>
      </c>
      <c r="W244" s="481">
        <v>105</v>
      </c>
      <c r="X244" s="481">
        <v>105</v>
      </c>
      <c r="Y244" s="481">
        <v>105</v>
      </c>
      <c r="Z244" s="3227">
        <v>105</v>
      </c>
      <c r="AA244" s="3227">
        <v>105</v>
      </c>
      <c r="AB244" s="3227">
        <v>105</v>
      </c>
      <c r="AC244" s="3227">
        <v>105</v>
      </c>
      <c r="AD244" s="487"/>
      <c r="AE244" s="3085"/>
      <c r="AF244" s="3085"/>
      <c r="AG244" s="3085"/>
      <c r="AI244" s="1930"/>
      <c r="AJ244" s="1930"/>
      <c r="AK244" s="1930"/>
      <c r="AL244" s="1930"/>
      <c r="AM244" s="1930"/>
      <c r="AN244" s="1930"/>
      <c r="AO244" s="1930"/>
      <c r="AP244" s="1930"/>
      <c r="AQ244" s="1930"/>
      <c r="AR244" s="1930"/>
      <c r="AS244" s="1930"/>
      <c r="BD244" s="1"/>
      <c r="BE244" s="1"/>
    </row>
    <row r="245" spans="1:57" s="456" customFormat="1" hidden="1" outlineLevel="1" x14ac:dyDescent="0.25">
      <c r="A245" s="3220"/>
      <c r="B245" s="3220"/>
      <c r="C245" s="3247"/>
      <c r="D245" s="3089" t="s">
        <v>654</v>
      </c>
      <c r="E245" s="3124" t="s">
        <v>655</v>
      </c>
      <c r="F245" s="3129" t="s">
        <v>135</v>
      </c>
      <c r="G245" s="3227">
        <v>61.3</v>
      </c>
      <c r="H245" s="3776" t="s">
        <v>656</v>
      </c>
      <c r="I245" s="3776"/>
      <c r="J245" s="3099"/>
      <c r="K245" s="3220"/>
      <c r="L245" s="3220"/>
      <c r="M245" s="486"/>
      <c r="N245" s="486"/>
      <c r="O245" s="3220"/>
      <c r="P245" s="3220"/>
      <c r="Q245" s="3220"/>
      <c r="R245" s="3220"/>
      <c r="S245" s="3220"/>
      <c r="T245" s="3220"/>
      <c r="U245" s="3220"/>
      <c r="V245" s="3089" t="s">
        <v>654</v>
      </c>
      <c r="W245" s="481">
        <v>61.3</v>
      </c>
      <c r="X245" s="481">
        <v>61.3</v>
      </c>
      <c r="Y245" s="481">
        <v>61.3</v>
      </c>
      <c r="Z245" s="3227">
        <v>61.3</v>
      </c>
      <c r="AA245" s="3227">
        <v>61.3</v>
      </c>
      <c r="AB245" s="3227">
        <v>61.3</v>
      </c>
      <c r="AC245" s="3227">
        <v>61.3</v>
      </c>
      <c r="AD245" s="487"/>
      <c r="AE245" s="3085"/>
      <c r="AF245" s="3085"/>
      <c r="AG245" s="3085"/>
      <c r="AI245" s="1930"/>
      <c r="AJ245" s="1930"/>
      <c r="AK245" s="1930"/>
      <c r="AL245" s="1930"/>
      <c r="AM245" s="1930"/>
      <c r="AN245" s="1930"/>
      <c r="AO245" s="1930"/>
      <c r="AP245" s="1930"/>
      <c r="AQ245" s="1930"/>
      <c r="AR245" s="1930"/>
      <c r="AS245" s="1930"/>
      <c r="BD245" s="1"/>
      <c r="BE245" s="1"/>
    </row>
    <row r="246" spans="1:57" s="456" customFormat="1" hidden="1" outlineLevel="1" x14ac:dyDescent="0.25">
      <c r="A246" s="3220"/>
      <c r="B246" s="3220"/>
      <c r="C246" s="3247"/>
      <c r="D246" s="3089" t="s">
        <v>657</v>
      </c>
      <c r="E246" s="3124" t="s">
        <v>658</v>
      </c>
      <c r="F246" s="3129" t="s">
        <v>135</v>
      </c>
      <c r="G246" s="3227">
        <v>0.98</v>
      </c>
      <c r="H246" s="3867" t="s">
        <v>659</v>
      </c>
      <c r="I246" s="3867"/>
      <c r="J246" s="3099"/>
      <c r="K246" s="3220"/>
      <c r="L246" s="3220"/>
      <c r="M246" s="486"/>
      <c r="N246" s="486"/>
      <c r="O246" s="3220"/>
      <c r="P246" s="3220"/>
      <c r="Q246" s="3220"/>
      <c r="R246" s="3220"/>
      <c r="S246" s="3220"/>
      <c r="T246" s="3220"/>
      <c r="U246" s="3220"/>
      <c r="V246" s="3089" t="s">
        <v>657</v>
      </c>
      <c r="W246" s="481">
        <v>0.98</v>
      </c>
      <c r="X246" s="481">
        <v>0.98</v>
      </c>
      <c r="Y246" s="481">
        <v>0.98</v>
      </c>
      <c r="Z246" s="3227">
        <v>0.98</v>
      </c>
      <c r="AA246" s="3227">
        <v>0.98</v>
      </c>
      <c r="AB246" s="3227">
        <v>0.98</v>
      </c>
      <c r="AC246" s="3227">
        <v>0.98</v>
      </c>
      <c r="AD246" s="487"/>
      <c r="AE246" s="3085"/>
      <c r="AF246" s="3085"/>
      <c r="AG246" s="3085"/>
      <c r="AI246" s="1930"/>
      <c r="AJ246" s="1930"/>
      <c r="AK246" s="1930"/>
      <c r="AL246" s="1930"/>
      <c r="AM246" s="1930"/>
      <c r="AN246" s="1930"/>
      <c r="AO246" s="1930"/>
      <c r="AP246" s="1930"/>
      <c r="AQ246" s="1930"/>
      <c r="AR246" s="1930"/>
      <c r="AS246" s="1930"/>
      <c r="BD246" s="1"/>
      <c r="BE246" s="1"/>
    </row>
    <row r="247" spans="1:57" s="456" customFormat="1" hidden="1" outlineLevel="1" x14ac:dyDescent="0.25">
      <c r="A247" s="3220"/>
      <c r="B247" s="3220"/>
      <c r="C247" s="3247"/>
      <c r="D247" s="3089">
        <v>3412</v>
      </c>
      <c r="E247" s="3133" t="s">
        <v>660</v>
      </c>
      <c r="F247" s="3129" t="s">
        <v>135</v>
      </c>
      <c r="G247" s="507">
        <v>3412</v>
      </c>
      <c r="H247" s="3867" t="s">
        <v>218</v>
      </c>
      <c r="I247" s="3867"/>
      <c r="J247" s="3099"/>
      <c r="K247" s="3220"/>
      <c r="L247" s="3220"/>
      <c r="M247" s="542"/>
      <c r="N247" s="542"/>
      <c r="O247" s="3220"/>
      <c r="P247" s="3220"/>
      <c r="Q247" s="3220"/>
      <c r="R247" s="3220"/>
      <c r="S247" s="3220"/>
      <c r="T247" s="3220"/>
      <c r="U247" s="3220"/>
      <c r="V247" s="3089">
        <v>3412</v>
      </c>
      <c r="W247" s="529">
        <v>3412</v>
      </c>
      <c r="X247" s="529">
        <v>3412</v>
      </c>
      <c r="Y247" s="543">
        <v>3413</v>
      </c>
      <c r="Z247" s="507">
        <v>3413</v>
      </c>
      <c r="AA247" s="507">
        <v>3413</v>
      </c>
      <c r="AB247" s="543">
        <v>3412</v>
      </c>
      <c r="AC247" s="507">
        <v>3412</v>
      </c>
      <c r="AD247" s="487"/>
      <c r="AE247" s="3085"/>
      <c r="AF247" s="3085"/>
      <c r="AG247" s="3085"/>
      <c r="AI247" s="1930"/>
      <c r="AJ247" s="1930"/>
      <c r="AK247" s="1930"/>
      <c r="AL247" s="1930"/>
      <c r="AM247" s="1930"/>
      <c r="AN247" s="1930"/>
      <c r="AO247" s="1930"/>
      <c r="AP247" s="1930"/>
      <c r="AQ247" s="1930"/>
      <c r="AR247" s="1930"/>
      <c r="AS247" s="1930"/>
      <c r="BD247" s="1"/>
      <c r="BE247" s="1"/>
    </row>
    <row r="248" spans="1:57" s="456" customFormat="1" hidden="1" outlineLevel="1" x14ac:dyDescent="0.25">
      <c r="A248" s="3220"/>
      <c r="B248" s="3220"/>
      <c r="C248" s="3247"/>
      <c r="D248" s="3872" t="s">
        <v>531</v>
      </c>
      <c r="E248" s="3881" t="s">
        <v>595</v>
      </c>
      <c r="F248" s="3129" t="s">
        <v>617</v>
      </c>
      <c r="G248" s="2519">
        <v>0.72</v>
      </c>
      <c r="H248" s="3910" t="s">
        <v>644</v>
      </c>
      <c r="I248" s="3910"/>
      <c r="J248" s="3099"/>
      <c r="K248" s="3220"/>
      <c r="L248" s="3220"/>
      <c r="M248" s="536"/>
      <c r="N248" s="536"/>
      <c r="O248" s="3220"/>
      <c r="P248" s="3220"/>
      <c r="Q248" s="3220"/>
      <c r="R248" s="3220"/>
      <c r="S248" s="3220"/>
      <c r="T248" s="3220"/>
      <c r="U248" s="3220"/>
      <c r="V248" s="3872" t="s">
        <v>531</v>
      </c>
      <c r="W248" s="515">
        <v>0.86</v>
      </c>
      <c r="X248" s="544">
        <v>0.89859999999999995</v>
      </c>
      <c r="Y248" s="544">
        <v>0.91869999999999996</v>
      </c>
      <c r="Z248" s="2168">
        <v>0.91869999999999996</v>
      </c>
      <c r="AA248" s="2168">
        <v>0.91869999999999996</v>
      </c>
      <c r="AB248" s="2200">
        <v>0.72</v>
      </c>
      <c r="AC248" s="2519">
        <v>0.72</v>
      </c>
      <c r="AD248" s="487"/>
      <c r="AE248" s="3085"/>
      <c r="AF248" s="3085"/>
      <c r="AG248" s="3085"/>
      <c r="AI248" s="1930"/>
      <c r="AJ248" s="1930"/>
      <c r="AK248" s="1930"/>
      <c r="AL248" s="1930"/>
      <c r="AM248" s="1930"/>
      <c r="AN248" s="1930"/>
      <c r="AO248" s="1930"/>
      <c r="AP248" s="1930"/>
      <c r="AQ248" s="1930"/>
      <c r="AR248" s="1930"/>
      <c r="AS248" s="1930"/>
      <c r="BD248" s="1"/>
      <c r="BE248" s="1"/>
    </row>
    <row r="249" spans="1:57" s="456" customFormat="1" hidden="1" outlineLevel="1" x14ac:dyDescent="0.25">
      <c r="A249" s="3220"/>
      <c r="B249" s="3220"/>
      <c r="C249" s="3247"/>
      <c r="D249" s="3873"/>
      <c r="E249" s="3821"/>
      <c r="F249" s="2520" t="s">
        <v>661</v>
      </c>
      <c r="G249" s="1040">
        <v>1</v>
      </c>
      <c r="H249" s="3867" t="s">
        <v>691</v>
      </c>
      <c r="I249" s="3867"/>
      <c r="J249" s="3099"/>
      <c r="K249" s="3220"/>
      <c r="L249" s="3220"/>
      <c r="M249" s="536"/>
      <c r="N249" s="536"/>
      <c r="O249" s="3220"/>
      <c r="P249" s="3220"/>
      <c r="Q249" s="3220"/>
      <c r="R249" s="3220"/>
      <c r="S249" s="3220"/>
      <c r="T249" s="3220"/>
      <c r="U249" s="3220"/>
      <c r="V249" s="3873"/>
      <c r="W249" s="515"/>
      <c r="X249" s="544"/>
      <c r="Y249" s="544"/>
      <c r="Z249" s="2168"/>
      <c r="AA249" s="2168"/>
      <c r="AB249" s="537">
        <v>1</v>
      </c>
      <c r="AC249" s="1040">
        <v>1</v>
      </c>
      <c r="AD249" s="487"/>
      <c r="AE249" s="3085"/>
      <c r="AF249" s="3085"/>
      <c r="AG249" s="3085"/>
      <c r="AI249" s="1930"/>
      <c r="AJ249" s="1930"/>
      <c r="AK249" s="1930"/>
      <c r="AL249" s="1930"/>
      <c r="AM249" s="1930"/>
      <c r="AN249" s="1930"/>
      <c r="AO249" s="1930"/>
      <c r="AP249" s="1930"/>
      <c r="AQ249" s="1930"/>
      <c r="AR249" s="1930"/>
      <c r="AS249" s="1930"/>
      <c r="BD249" s="1"/>
      <c r="BE249" s="1"/>
    </row>
    <row r="250" spans="1:57" s="456" customFormat="1" hidden="1" outlineLevel="1" x14ac:dyDescent="0.25">
      <c r="A250" s="3220"/>
      <c r="B250" s="3220"/>
      <c r="C250" s="3247"/>
      <c r="D250" s="3872" t="s">
        <v>133</v>
      </c>
      <c r="E250" s="3881" t="s">
        <v>252</v>
      </c>
      <c r="F250" s="3129" t="s">
        <v>617</v>
      </c>
      <c r="G250" s="1680">
        <v>0.54</v>
      </c>
      <c r="H250" s="3910" t="s">
        <v>713</v>
      </c>
      <c r="I250" s="3910"/>
      <c r="J250" s="3099"/>
      <c r="K250" s="3220"/>
      <c r="L250" s="3220"/>
      <c r="M250" s="536"/>
      <c r="N250" s="536"/>
      <c r="O250" s="3220"/>
      <c r="P250" s="3220"/>
      <c r="Q250" s="3220"/>
      <c r="R250" s="3220"/>
      <c r="S250" s="3220"/>
      <c r="T250" s="3220"/>
      <c r="U250" s="3220"/>
      <c r="V250" s="3872" t="s">
        <v>133</v>
      </c>
      <c r="W250" s="515">
        <v>0.64716066481994461</v>
      </c>
      <c r="X250" s="544">
        <v>0.5672268907563025</v>
      </c>
      <c r="Y250" s="544">
        <v>0.58549222797927458</v>
      </c>
      <c r="Z250" s="2168">
        <v>0.58549222797927458</v>
      </c>
      <c r="AA250" s="2168">
        <v>0.58549222797927458</v>
      </c>
      <c r="AB250" s="2049">
        <v>0.54</v>
      </c>
      <c r="AC250" s="1680">
        <v>0.54</v>
      </c>
      <c r="AD250" s="487"/>
      <c r="AE250" s="3226"/>
      <c r="AF250" s="3226"/>
      <c r="AG250" s="3226"/>
      <c r="AI250" s="1930"/>
      <c r="AJ250" s="1930"/>
      <c r="AK250" s="1930"/>
      <c r="AL250" s="1930"/>
      <c r="AM250" s="1930"/>
      <c r="AN250" s="1930"/>
      <c r="AO250" s="1930"/>
      <c r="AP250" s="1930"/>
      <c r="AQ250" s="1930"/>
      <c r="AR250" s="1930"/>
      <c r="AS250" s="1930"/>
      <c r="BD250" s="1"/>
      <c r="BE250" s="1"/>
    </row>
    <row r="251" spans="1:57" s="456" customFormat="1" hidden="1" outlineLevel="1" x14ac:dyDescent="0.25">
      <c r="A251" s="3220"/>
      <c r="B251" s="3220"/>
      <c r="C251" s="3247"/>
      <c r="D251" s="3874"/>
      <c r="E251" s="3820"/>
      <c r="F251" s="2046" t="s">
        <v>599</v>
      </c>
      <c r="G251" s="323">
        <v>1</v>
      </c>
      <c r="H251" s="3867" t="s">
        <v>691</v>
      </c>
      <c r="I251" s="3867"/>
      <c r="J251" s="3099"/>
      <c r="K251" s="3220"/>
      <c r="L251" s="3220"/>
      <c r="M251" s="536"/>
      <c r="N251" s="536"/>
      <c r="O251" s="3220"/>
      <c r="P251" s="3220"/>
      <c r="Q251" s="3220"/>
      <c r="R251" s="3220"/>
      <c r="S251" s="3220"/>
      <c r="T251" s="3220"/>
      <c r="U251" s="3220"/>
      <c r="V251" s="3874"/>
      <c r="W251" s="515"/>
      <c r="X251" s="544"/>
      <c r="Y251" s="544"/>
      <c r="Z251" s="2168"/>
      <c r="AA251" s="2168"/>
      <c r="AB251" s="323">
        <v>1</v>
      </c>
      <c r="AC251" s="323">
        <v>1</v>
      </c>
      <c r="AD251" s="487"/>
      <c r="AE251" s="3226"/>
      <c r="AF251" s="3226"/>
      <c r="AG251" s="3226"/>
      <c r="AI251" s="1930"/>
      <c r="AJ251" s="1930"/>
      <c r="AK251" s="1930"/>
      <c r="AL251" s="1930"/>
      <c r="AM251" s="1930"/>
      <c r="AN251" s="1930"/>
      <c r="AO251" s="1930"/>
      <c r="AP251" s="1930"/>
      <c r="AQ251" s="1930"/>
      <c r="AR251" s="1930"/>
      <c r="AS251" s="1930"/>
      <c r="BD251" s="1"/>
      <c r="BE251" s="1"/>
    </row>
    <row r="252" spans="1:57" s="456" customFormat="1" hidden="1" outlineLevel="1" x14ac:dyDescent="0.25">
      <c r="A252" s="3220"/>
      <c r="B252" s="3220"/>
      <c r="C252" s="3247"/>
      <c r="D252" s="3874"/>
      <c r="E252" s="3820"/>
      <c r="F252" s="3115" t="s">
        <v>620</v>
      </c>
      <c r="G252" s="2050">
        <f>'Income Eligible Deemed Table'!G869</f>
        <v>0.91346153846153844</v>
      </c>
      <c r="H252" s="3866" t="s">
        <v>714</v>
      </c>
      <c r="I252" s="3866"/>
      <c r="J252" s="3099"/>
      <c r="K252" s="3220"/>
      <c r="L252" s="3220"/>
      <c r="M252" s="536"/>
      <c r="N252" s="536"/>
      <c r="O252" s="3220"/>
      <c r="P252" s="3220"/>
      <c r="Q252" s="3220"/>
      <c r="R252" s="3220"/>
      <c r="S252" s="3220"/>
      <c r="T252" s="3220"/>
      <c r="U252" s="3220"/>
      <c r="V252" s="3874"/>
      <c r="W252" s="515"/>
      <c r="X252" s="544"/>
      <c r="Y252" s="544"/>
      <c r="Z252" s="2168"/>
      <c r="AA252" s="2168"/>
      <c r="AB252" s="2050">
        <v>0.94</v>
      </c>
      <c r="AC252" s="2050">
        <v>0.91346153846153844</v>
      </c>
      <c r="AD252" s="487"/>
      <c r="AE252" s="3226"/>
      <c r="AF252" s="3226"/>
      <c r="AG252" s="3226"/>
      <c r="AI252" s="1930"/>
      <c r="AJ252" s="1930"/>
      <c r="AK252" s="1930"/>
      <c r="AL252" s="1930"/>
      <c r="AM252" s="1930"/>
      <c r="AN252" s="1930"/>
      <c r="AO252" s="1930"/>
      <c r="AP252" s="1930"/>
      <c r="AQ252" s="1930"/>
      <c r="AR252" s="1930"/>
      <c r="AS252" s="1930"/>
      <c r="BD252" s="1"/>
      <c r="BE252" s="1"/>
    </row>
    <row r="253" spans="1:57" s="456" customFormat="1" hidden="1" outlineLevel="1" x14ac:dyDescent="0.25">
      <c r="A253" s="3220"/>
      <c r="B253" s="3220"/>
      <c r="C253" s="3247"/>
      <c r="D253" s="3873"/>
      <c r="E253" s="3821"/>
      <c r="F253" s="2046" t="s">
        <v>538</v>
      </c>
      <c r="G253" s="2517">
        <v>0.24</v>
      </c>
      <c r="H253" s="3866" t="s">
        <v>715</v>
      </c>
      <c r="I253" s="3866"/>
      <c r="J253" s="3099"/>
      <c r="K253" s="3220"/>
      <c r="L253" s="3220"/>
      <c r="M253" s="536"/>
      <c r="N253" s="536"/>
      <c r="O253" s="3220"/>
      <c r="P253" s="3220"/>
      <c r="Q253" s="3220"/>
      <c r="R253" s="3220"/>
      <c r="S253" s="3220"/>
      <c r="T253" s="3220"/>
      <c r="U253" s="3220"/>
      <c r="V253" s="3873"/>
      <c r="W253" s="515"/>
      <c r="X253" s="544"/>
      <c r="Y253" s="544"/>
      <c r="Z253" s="2168"/>
      <c r="AA253" s="2168"/>
      <c r="AB253" s="2050">
        <v>0.24</v>
      </c>
      <c r="AC253" s="2517">
        <v>0.24</v>
      </c>
      <c r="AD253" s="487"/>
      <c r="AE253" s="3226"/>
      <c r="AF253" s="3226"/>
      <c r="AG253" s="3226"/>
      <c r="AI253" s="1930"/>
      <c r="AJ253" s="1930"/>
      <c r="AK253" s="1930"/>
      <c r="AL253" s="1930"/>
      <c r="AM253" s="1930"/>
      <c r="AN253" s="1930"/>
      <c r="AO253" s="1930"/>
      <c r="AP253" s="1930"/>
      <c r="AQ253" s="1930"/>
      <c r="AR253" s="1930"/>
      <c r="AS253" s="1930"/>
      <c r="BD253" s="1"/>
      <c r="BE253" s="1"/>
    </row>
    <row r="254" spans="1:57" hidden="1" outlineLevel="1" x14ac:dyDescent="0.25">
      <c r="B254" s="1233"/>
      <c r="C254" s="1678"/>
      <c r="D254" s="2051" t="s">
        <v>542</v>
      </c>
      <c r="E254" s="3111" t="s">
        <v>167</v>
      </c>
      <c r="F254" s="3132" t="s">
        <v>135</v>
      </c>
      <c r="G254" s="2298">
        <v>10</v>
      </c>
      <c r="H254" s="3916"/>
      <c r="I254" s="3916"/>
      <c r="J254" s="3099"/>
      <c r="K254" s="3220"/>
      <c r="L254" s="249"/>
      <c r="M254" s="1159"/>
      <c r="N254" s="249"/>
      <c r="O254" s="249"/>
      <c r="P254" s="249"/>
      <c r="Q254" s="249"/>
      <c r="V254" s="3240" t="s">
        <v>542</v>
      </c>
      <c r="W254" s="441">
        <v>10</v>
      </c>
      <c r="X254" s="441">
        <v>10</v>
      </c>
      <c r="Y254" s="441">
        <v>10</v>
      </c>
      <c r="Z254" s="441">
        <v>10</v>
      </c>
      <c r="AA254" s="441">
        <v>10</v>
      </c>
      <c r="AB254" s="2298">
        <v>10</v>
      </c>
      <c r="AC254" s="2298">
        <v>10</v>
      </c>
      <c r="AD254" s="487"/>
      <c r="AE254" s="441"/>
      <c r="AF254" s="441"/>
      <c r="AG254" s="441"/>
      <c r="AH254" s="1930"/>
      <c r="AI254" s="1930"/>
      <c r="AJ254" s="1930"/>
      <c r="AK254" s="1930"/>
      <c r="AL254" s="1930"/>
      <c r="AM254" s="1930"/>
      <c r="AN254" s="1930"/>
      <c r="AO254" s="1930"/>
      <c r="AP254" s="1930"/>
      <c r="AQ254" s="1930"/>
      <c r="AR254" s="1930"/>
      <c r="AS254" s="1930"/>
      <c r="AT254" s="1930"/>
      <c r="AU254" s="1930"/>
      <c r="AV254" s="1930"/>
      <c r="AW254" s="1930"/>
      <c r="AX254" s="1930"/>
      <c r="AY254" s="1930"/>
      <c r="AZ254" s="1930"/>
      <c r="BA254" s="1930"/>
      <c r="BB254" s="1930"/>
      <c r="BC254" s="1930"/>
    </row>
    <row r="255" spans="1:57" hidden="1" outlineLevel="1" x14ac:dyDescent="0.25">
      <c r="B255" s="1233"/>
      <c r="C255" s="1678"/>
      <c r="D255" s="3110" t="s">
        <v>170</v>
      </c>
      <c r="E255" s="3111" t="s">
        <v>171</v>
      </c>
      <c r="F255" s="3131" t="s">
        <v>135</v>
      </c>
      <c r="G255" s="2297">
        <v>7</v>
      </c>
      <c r="H255" s="3915"/>
      <c r="I255" s="3915"/>
      <c r="J255" s="3099"/>
      <c r="K255" s="3220"/>
      <c r="L255" s="249"/>
      <c r="M255" s="1159"/>
      <c r="N255" s="249"/>
      <c r="O255" s="249"/>
      <c r="P255" s="249"/>
      <c r="Q255" s="249"/>
      <c r="V255" s="3242" t="s">
        <v>170</v>
      </c>
      <c r="W255" s="442">
        <v>7</v>
      </c>
      <c r="X255" s="442">
        <v>7</v>
      </c>
      <c r="Y255" s="442">
        <v>7</v>
      </c>
      <c r="Z255" s="442">
        <v>7</v>
      </c>
      <c r="AA255" s="442">
        <v>7</v>
      </c>
      <c r="AB255" s="2297">
        <v>7</v>
      </c>
      <c r="AC255" s="2297">
        <v>7</v>
      </c>
      <c r="AD255" s="487"/>
      <c r="AE255" s="443"/>
      <c r="AF255" s="443"/>
      <c r="AG255" s="443"/>
      <c r="AH255" s="1930"/>
      <c r="AI255" s="1930"/>
      <c r="AJ255" s="1930"/>
      <c r="AK255" s="1930"/>
      <c r="AL255" s="1930"/>
      <c r="AM255" s="1930"/>
      <c r="AN255" s="1930"/>
      <c r="AO255" s="1930"/>
      <c r="AP255" s="1930"/>
      <c r="AQ255" s="1930"/>
      <c r="AR255" s="1930"/>
      <c r="AS255" s="1930"/>
      <c r="AT255" s="1930"/>
      <c r="AU255" s="1930"/>
      <c r="AV255" s="1930"/>
      <c r="AW255" s="1930"/>
      <c r="AX255" s="1930"/>
      <c r="AY255" s="1930"/>
      <c r="AZ255" s="1930"/>
      <c r="BA255" s="1930"/>
      <c r="BB255" s="1930"/>
      <c r="BC255" s="1930"/>
    </row>
    <row r="256" spans="1:57" collapsed="1" x14ac:dyDescent="0.25">
      <c r="M256" s="3220"/>
      <c r="AC256" s="1930"/>
      <c r="AD256" s="1930"/>
      <c r="AE256" s="1930"/>
      <c r="AF256" s="1930"/>
      <c r="AG256" s="1930"/>
      <c r="AH256" s="1930"/>
      <c r="AI256" s="1930"/>
      <c r="AJ256" s="1930"/>
      <c r="AK256" s="1930"/>
      <c r="AL256" s="1930"/>
      <c r="AM256" s="1930"/>
      <c r="AN256" s="1930"/>
      <c r="AO256" s="1930"/>
      <c r="AP256" s="1930"/>
      <c r="AQ256" s="1930"/>
      <c r="AR256" s="1930"/>
      <c r="AS256" s="1930"/>
      <c r="AT256" s="1930"/>
      <c r="AU256" s="1930"/>
      <c r="AV256" s="1930"/>
      <c r="AW256" s="1930"/>
      <c r="AX256" s="1930"/>
      <c r="AY256" s="1930"/>
      <c r="AZ256" s="1930"/>
      <c r="BA256" s="1930"/>
      <c r="BB256" s="1930"/>
      <c r="BC256" s="1930"/>
    </row>
    <row r="257" spans="1:57" s="147" customFormat="1" x14ac:dyDescent="0.25">
      <c r="B257" s="3750" t="s">
        <v>716</v>
      </c>
      <c r="C257" s="3751"/>
      <c r="D257" s="3751"/>
      <c r="E257" s="3751"/>
      <c r="F257" s="3751"/>
      <c r="G257" s="3751"/>
      <c r="H257" s="3751"/>
      <c r="I257" s="3744"/>
      <c r="J257" s="3744"/>
      <c r="K257" s="3744"/>
      <c r="L257" s="3744"/>
      <c r="M257" s="3744"/>
      <c r="N257" s="3745"/>
      <c r="V257" s="3750" t="str">
        <f>B257</f>
        <v>Pipe Insulation</v>
      </c>
      <c r="W257" s="3751"/>
      <c r="X257" s="3751"/>
      <c r="Y257" s="3751"/>
      <c r="Z257" s="3751"/>
      <c r="AA257" s="3751"/>
      <c r="AB257" s="3751"/>
      <c r="AC257" s="3752"/>
      <c r="AD257" s="3752"/>
      <c r="AE257" s="3752"/>
      <c r="AF257" s="3752"/>
      <c r="AG257" s="3752"/>
      <c r="AH257" s="3753"/>
      <c r="AI257" s="1930"/>
      <c r="AJ257" s="1930"/>
      <c r="AK257" s="1930"/>
      <c r="AL257" s="1930"/>
      <c r="AM257" s="1930"/>
      <c r="AN257" s="1930"/>
      <c r="AO257" s="1930"/>
      <c r="AP257" s="1930"/>
      <c r="AQ257" s="1930"/>
      <c r="AR257" s="1930"/>
      <c r="AS257" s="1930"/>
      <c r="BD257" s="478"/>
      <c r="BE257" s="478"/>
    </row>
    <row r="258" spans="1:57" ht="18" customHeight="1" x14ac:dyDescent="0.25">
      <c r="M258" s="3220"/>
      <c r="AC258" s="1930"/>
      <c r="AD258" s="1930"/>
      <c r="AE258" s="1930"/>
      <c r="AF258" s="1930"/>
      <c r="AG258" s="1930"/>
      <c r="AH258" s="1930"/>
      <c r="AI258" s="1930"/>
      <c r="AJ258" s="1930"/>
      <c r="AK258" s="1930"/>
      <c r="AL258" s="1930"/>
      <c r="AM258" s="1930"/>
      <c r="AN258" s="1930"/>
      <c r="AO258" s="1930"/>
      <c r="AP258" s="1930"/>
      <c r="AQ258" s="1930"/>
      <c r="AR258" s="1930"/>
      <c r="AS258" s="1930"/>
      <c r="AT258" s="1930"/>
      <c r="AU258" s="1930"/>
      <c r="AV258" s="1930"/>
      <c r="AW258" s="1930"/>
      <c r="AX258" s="1930"/>
      <c r="AY258" s="1930"/>
      <c r="AZ258" s="1930"/>
      <c r="BA258" s="1930"/>
      <c r="BB258" s="1930"/>
      <c r="BC258" s="1930"/>
    </row>
    <row r="259" spans="1:57" ht="30" x14ac:dyDescent="0.25">
      <c r="C259" s="3086" t="s">
        <v>28</v>
      </c>
      <c r="D259" s="3086" t="s">
        <v>175</v>
      </c>
      <c r="E259" s="3086" t="s">
        <v>30</v>
      </c>
      <c r="F259" s="3086" t="s">
        <v>31</v>
      </c>
      <c r="G259" s="3086" t="s">
        <v>176</v>
      </c>
      <c r="H259" s="3086" t="s">
        <v>177</v>
      </c>
      <c r="I259" s="3086" t="s">
        <v>32</v>
      </c>
      <c r="J259" s="3086" t="s">
        <v>181</v>
      </c>
      <c r="K259" s="3086" t="s">
        <v>170</v>
      </c>
      <c r="L259" s="3086" t="s">
        <v>44</v>
      </c>
      <c r="M259" s="3220"/>
      <c r="P259" s="685"/>
      <c r="Q259" s="685"/>
      <c r="V259" s="551" t="s">
        <v>45</v>
      </c>
      <c r="W259" s="360">
        <f>$W$6</f>
        <v>43252</v>
      </c>
      <c r="X259" s="360">
        <f>$X$6</f>
        <v>43465</v>
      </c>
      <c r="Y259" s="360">
        <f>$Y$6</f>
        <v>43800</v>
      </c>
      <c r="Z259" s="360">
        <f>$Z$6</f>
        <v>43862</v>
      </c>
      <c r="AA259" s="360">
        <f>$AA$6</f>
        <v>44013</v>
      </c>
      <c r="AB259" s="360">
        <f>$AB$6</f>
        <v>44166</v>
      </c>
      <c r="AC259" s="1937">
        <f>$AC$6</f>
        <v>44531</v>
      </c>
      <c r="AD259" s="1937" t="str">
        <f>$AD$6</f>
        <v>-</v>
      </c>
      <c r="AE259" s="1937" t="str">
        <f>$AE$6</f>
        <v>-</v>
      </c>
      <c r="AF259" s="1937" t="str">
        <f>$AF$6</f>
        <v>-</v>
      </c>
      <c r="AG259" s="1937" t="str">
        <f>$AG$6</f>
        <v>-</v>
      </c>
      <c r="AH259" s="485"/>
      <c r="AI259" s="485"/>
      <c r="AJ259" s="485"/>
      <c r="AK259" s="485"/>
      <c r="AL259" s="485"/>
      <c r="AM259" s="485"/>
      <c r="AN259" s="485"/>
      <c r="AO259" s="485"/>
      <c r="AP259" s="485"/>
      <c r="AQ259" s="485"/>
      <c r="AR259" s="485"/>
      <c r="AS259" s="485"/>
      <c r="AT259" s="1930"/>
      <c r="AU259" s="1930"/>
      <c r="AV259" s="1930"/>
      <c r="AW259" s="1930"/>
      <c r="AX259" s="1930"/>
      <c r="AY259" s="1930"/>
      <c r="AZ259" s="1930"/>
      <c r="BA259" s="1930"/>
      <c r="BB259" s="1953" t="str">
        <f>$BB$6</f>
        <v>TRC (2020)</v>
      </c>
      <c r="BC259" s="1953" t="str">
        <f>$BC$6</f>
        <v>Benefit Lookup</v>
      </c>
      <c r="BD259" s="230" t="str">
        <f>$BD$6</f>
        <v>Benefits (2019 $)</v>
      </c>
      <c r="BE259" s="230" t="str">
        <f>$BE$6</f>
        <v>Incremental Cost (2019 $)</v>
      </c>
    </row>
    <row r="260" spans="1:57" x14ac:dyDescent="0.25">
      <c r="C260" s="3195" t="s">
        <v>717</v>
      </c>
      <c r="D260" s="3227" t="s">
        <v>509</v>
      </c>
      <c r="E260" s="3124" t="s">
        <v>716</v>
      </c>
      <c r="F260" s="531">
        <f>ROUND(((((G270/G272)-(G273/G275))*G277*G278*G280)/(G281*G282))*G283*G286*G288,2)</f>
        <v>3.24</v>
      </c>
      <c r="G260" s="3227" t="s">
        <v>184</v>
      </c>
      <c r="H260" s="449">
        <f>VLOOKUP(G260,'CP FACTORS'!$A$3:$B$38, 2, FALSE)</f>
        <v>8.8731800000000003E-5</v>
      </c>
      <c r="I260" s="450">
        <f>ROUND(F260*H260,6)</f>
        <v>2.8699999999999998E-4</v>
      </c>
      <c r="J260" s="141">
        <f>$G$295</f>
        <v>12</v>
      </c>
      <c r="K260" s="547">
        <f>$G$296</f>
        <v>2.87</v>
      </c>
      <c r="L260" s="1494" t="s">
        <v>718</v>
      </c>
      <c r="M260" s="353"/>
      <c r="P260" s="147"/>
      <c r="Q260" s="533"/>
      <c r="R260" s="1431"/>
      <c r="S260" s="576"/>
      <c r="T260" s="1478"/>
      <c r="U260" s="685"/>
      <c r="V260" s="1962" t="str">
        <f>F259</f>
        <v>kWh Annual Savings</v>
      </c>
      <c r="W260" s="68">
        <v>10.441734565420308</v>
      </c>
      <c r="X260" s="548">
        <v>3.3686994747178916</v>
      </c>
      <c r="Y260" s="549">
        <v>4.09</v>
      </c>
      <c r="Z260" s="65">
        <v>4.09</v>
      </c>
      <c r="AA260" s="65">
        <v>4.09</v>
      </c>
      <c r="AB260" s="1975">
        <v>3.24</v>
      </c>
      <c r="AC260" s="550">
        <v>3.24</v>
      </c>
      <c r="AD260" s="550"/>
      <c r="AE260" s="550"/>
      <c r="AF260" s="550"/>
      <c r="AG260" s="550"/>
      <c r="AH260" s="163"/>
      <c r="AI260" s="1930"/>
      <c r="AJ260" s="1930"/>
      <c r="AK260" s="1930"/>
      <c r="AL260" s="1930"/>
      <c r="AM260" s="1930"/>
      <c r="AN260" s="1930"/>
      <c r="AO260" s="1930"/>
      <c r="AP260" s="1930"/>
      <c r="AQ260" s="1930"/>
      <c r="AR260" s="1930"/>
      <c r="AS260" s="1930"/>
      <c r="AT260" s="1930"/>
      <c r="AU260" s="1930"/>
      <c r="AV260" s="1930"/>
      <c r="AW260" s="1930"/>
      <c r="AX260" s="1930"/>
      <c r="AY260" s="1930"/>
      <c r="AZ260" s="1930"/>
      <c r="BA260" s="1930"/>
      <c r="BB260" s="2448">
        <f>(BD260)/(BE260)</f>
        <v>0.4824560577854296</v>
      </c>
      <c r="BC260" s="3166" t="str">
        <f>CONCATENATE(G260," ",J260," Year EUL")</f>
        <v>Water Heating RES 12 Year EUL</v>
      </c>
      <c r="BD260" s="2446">
        <f>(INDEX('Avoided Cost Benefits'!$C$4:$C$857,MATCH(BC260,'Avoided Cost Benefits'!$A$4:$A$857,0)))*F260</f>
        <v>1.3068889908864396</v>
      </c>
      <c r="BE260" s="2447">
        <f>K260/(1.0595^(2020-2019))</f>
        <v>2.7088249174138741</v>
      </c>
    </row>
    <row r="261" spans="1:57" s="1930" customFormat="1" x14ac:dyDescent="0.25">
      <c r="A261" s="123"/>
      <c r="B261" s="123"/>
      <c r="C261" s="3195" t="s">
        <v>719</v>
      </c>
      <c r="D261" s="2667" t="s">
        <v>515</v>
      </c>
      <c r="E261" s="3124" t="s">
        <v>720</v>
      </c>
      <c r="F261" s="531">
        <f>ROUND(((((G270/G272)-(G273/G275))*G277*G278*G280)/(G281*G282))*G283*G287*G291,2)</f>
        <v>2.59</v>
      </c>
      <c r="G261" s="3227" t="s">
        <v>184</v>
      </c>
      <c r="H261" s="449">
        <f>VLOOKUP(G261,'CP FACTORS'!$A$3:$B$38, 2, FALSE)</f>
        <v>8.8731800000000003E-5</v>
      </c>
      <c r="I261" s="450">
        <f>ROUND(F261*H261,6)</f>
        <v>2.3000000000000001E-4</v>
      </c>
      <c r="J261" s="141">
        <f t="shared" ref="J261:J263" si="33">$G$295</f>
        <v>12</v>
      </c>
      <c r="K261" s="547">
        <f t="shared" ref="K261:K263" si="34">$G$296</f>
        <v>2.87</v>
      </c>
      <c r="L261" s="1494" t="s">
        <v>718</v>
      </c>
      <c r="M261" s="353"/>
      <c r="N261" s="123"/>
      <c r="O261" s="228"/>
      <c r="P261" s="147"/>
      <c r="Q261" s="147"/>
      <c r="R261" s="1431"/>
      <c r="S261" s="576"/>
      <c r="T261" s="685"/>
      <c r="U261" s="685"/>
      <c r="V261" s="1962" t="str">
        <f>V262</f>
        <v>kWh Annual Savings</v>
      </c>
      <c r="W261" s="68"/>
      <c r="X261" s="66"/>
      <c r="Y261" s="549"/>
      <c r="Z261" s="550"/>
      <c r="AA261" s="550"/>
      <c r="AB261" s="1975">
        <v>2.59</v>
      </c>
      <c r="AC261" s="550">
        <v>2.59</v>
      </c>
      <c r="AD261" s="550"/>
      <c r="AE261" s="550"/>
      <c r="AF261" s="550"/>
      <c r="AG261" s="550"/>
      <c r="AH261" s="163"/>
      <c r="BB261" s="2448">
        <f>(BD261)/(BE261)</f>
        <v>0.38566703384699463</v>
      </c>
      <c r="BC261" s="3166" t="str">
        <f>CONCATENATE(G261," ",J261," Year EUL")</f>
        <v>Water Heating RES 12 Year EUL</v>
      </c>
      <c r="BD261" s="2446">
        <f>(INDEX('Avoided Cost Benefits'!$C$4:$C$857,MATCH(BC261,'Avoided Cost Benefits'!$A$4:$A$857,0)))*F261</f>
        <v>1.044704471109839</v>
      </c>
      <c r="BE261" s="2447">
        <f>K261/(1.0595^(2020-2019))</f>
        <v>2.7088249174138741</v>
      </c>
    </row>
    <row r="262" spans="1:57" x14ac:dyDescent="0.25">
      <c r="C262" s="3195" t="s">
        <v>721</v>
      </c>
      <c r="D262" s="463" t="s">
        <v>322</v>
      </c>
      <c r="E262" s="3124" t="s">
        <v>716</v>
      </c>
      <c r="F262" s="531">
        <f>ROUND(((((G270/G272)-(G273/G275))*G277*G278*G280)/(G281*G282))*G284*G287*G289,2)</f>
        <v>15.01</v>
      </c>
      <c r="G262" s="3227" t="s">
        <v>184</v>
      </c>
      <c r="H262" s="449">
        <f>VLOOKUP(G262,'CP FACTORS'!$A$3:$B$38, 2, FALSE)</f>
        <v>8.8731800000000003E-5</v>
      </c>
      <c r="I262" s="450">
        <f>ROUND(F262*H262,6)</f>
        <v>1.3320000000000001E-3</v>
      </c>
      <c r="J262" s="141">
        <f t="shared" si="33"/>
        <v>12</v>
      </c>
      <c r="K262" s="547">
        <f t="shared" si="34"/>
        <v>2.87</v>
      </c>
      <c r="L262" s="1494" t="s">
        <v>718</v>
      </c>
      <c r="M262" s="353"/>
      <c r="O262" s="228"/>
      <c r="P262" s="147"/>
      <c r="Q262" s="147"/>
      <c r="R262" s="1431"/>
      <c r="S262" s="576"/>
      <c r="T262" s="685"/>
      <c r="U262" s="685"/>
      <c r="V262" s="1962" t="str">
        <f>V260</f>
        <v>kWh Annual Savings</v>
      </c>
      <c r="W262" s="68">
        <v>16.471996316343358</v>
      </c>
      <c r="X262" s="66">
        <v>16.471996316343358</v>
      </c>
      <c r="Y262" s="549">
        <v>15.01</v>
      </c>
      <c r="Z262" s="65">
        <v>15.01</v>
      </c>
      <c r="AA262" s="65">
        <v>15.01</v>
      </c>
      <c r="AB262" s="550">
        <v>15.01</v>
      </c>
      <c r="AC262" s="550">
        <v>15.01</v>
      </c>
      <c r="AD262" s="550"/>
      <c r="AE262" s="550"/>
      <c r="AF262" s="550"/>
      <c r="AG262" s="550"/>
      <c r="AH262" s="163"/>
      <c r="AI262" s="1930"/>
      <c r="AJ262" s="1930"/>
      <c r="AK262" s="1930"/>
      <c r="AL262" s="1930"/>
      <c r="AM262" s="1930"/>
      <c r="AN262" s="1930"/>
      <c r="AO262" s="1930"/>
      <c r="AP262" s="1930"/>
      <c r="AQ262" s="1930"/>
      <c r="AR262" s="1930"/>
      <c r="AS262" s="1930"/>
      <c r="AT262" s="1930"/>
      <c r="AU262" s="1930"/>
      <c r="AV262" s="1930"/>
      <c r="AW262" s="1930"/>
      <c r="AX262" s="1930"/>
      <c r="AY262" s="1930"/>
      <c r="AZ262" s="1930"/>
      <c r="BA262" s="1930"/>
      <c r="BB262" s="2448">
        <f>(BD262)/(BE262)</f>
        <v>2.2350819220244746</v>
      </c>
      <c r="BC262" s="3166" t="str">
        <f>CONCATENATE(G262," ",J262," Year EUL")</f>
        <v>Water Heating RES 12 Year EUL</v>
      </c>
      <c r="BD262" s="2446">
        <f>(INDEX('Avoided Cost Benefits'!$C$4:$C$857,MATCH(BC262,'Avoided Cost Benefits'!$A$4:$A$857,0)))*F262</f>
        <v>6.0544456028411906</v>
      </c>
      <c r="BE262" s="2447">
        <f>K262/(1.0595^(2020-2019))</f>
        <v>2.7088249174138741</v>
      </c>
    </row>
    <row r="263" spans="1:57" s="1930" customFormat="1" x14ac:dyDescent="0.25">
      <c r="A263" s="123"/>
      <c r="B263" s="123"/>
      <c r="C263" s="3195" t="s">
        <v>722</v>
      </c>
      <c r="D263" s="2734" t="s">
        <v>512</v>
      </c>
      <c r="E263" s="3124" t="s">
        <v>723</v>
      </c>
      <c r="F263" s="531">
        <f>ROUND(((((G271/G272)-(G274/G276))*G277*G279*G280)/(G281*G282))*G285*G287*G290,2)</f>
        <v>3.4</v>
      </c>
      <c r="G263" s="3227" t="s">
        <v>184</v>
      </c>
      <c r="H263" s="449">
        <f>VLOOKUP(G263,'CP FACTORS'!$A$3:$B$38, 2, FALSE)</f>
        <v>8.8731800000000003E-5</v>
      </c>
      <c r="I263" s="450">
        <f>ROUND(F263*H263,6)</f>
        <v>3.0200000000000002E-4</v>
      </c>
      <c r="J263" s="141">
        <f t="shared" si="33"/>
        <v>12</v>
      </c>
      <c r="K263" s="547">
        <f t="shared" si="34"/>
        <v>2.87</v>
      </c>
      <c r="L263" s="1494" t="s">
        <v>718</v>
      </c>
      <c r="M263" s="353"/>
      <c r="N263" s="123"/>
      <c r="O263" s="228"/>
      <c r="P263" s="147"/>
      <c r="Q263" s="147"/>
      <c r="R263" s="1431"/>
      <c r="S263" s="576"/>
      <c r="T263" s="685"/>
      <c r="U263" s="685"/>
      <c r="V263" s="1962" t="str">
        <f>V261</f>
        <v>kWh Annual Savings</v>
      </c>
      <c r="W263" s="68"/>
      <c r="X263" s="66"/>
      <c r="Y263" s="549"/>
      <c r="Z263" s="550"/>
      <c r="AA263" s="550"/>
      <c r="AB263" s="1975">
        <v>3.4</v>
      </c>
      <c r="AC263" s="550">
        <v>3.4</v>
      </c>
      <c r="AD263" s="550"/>
      <c r="AE263" s="550"/>
      <c r="AF263" s="550"/>
      <c r="AG263" s="550"/>
      <c r="AH263" s="163"/>
      <c r="BB263" s="2448">
        <f>(BD263)/(BE263)</f>
        <v>0.50628104829335197</v>
      </c>
      <c r="BC263" s="3166" t="str">
        <f>CONCATENATE(G263," ",J263," Year EUL")</f>
        <v>Water Heating RES 12 Year EUL</v>
      </c>
      <c r="BD263" s="2446">
        <f>(INDEX('Avoided Cost Benefits'!$C$4:$C$857,MATCH(BC263,'Avoided Cost Benefits'!$A$4:$A$857,0)))*F263</f>
        <v>1.3714267188314488</v>
      </c>
      <c r="BE263" s="2447">
        <f>K263/(1.0595^(2020-2019))</f>
        <v>2.7088249174138741</v>
      </c>
    </row>
    <row r="264" spans="1:57" hidden="1" outlineLevel="1" x14ac:dyDescent="0.25">
      <c r="M264" s="3220"/>
      <c r="O264" s="228"/>
      <c r="P264" s="147"/>
      <c r="Q264" s="147"/>
      <c r="AC264" s="1930"/>
      <c r="AD264" s="1930"/>
      <c r="AE264" s="1930"/>
      <c r="AF264" s="1930"/>
      <c r="AG264" s="1930"/>
      <c r="AH264" s="1930"/>
      <c r="AI264" s="1930"/>
      <c r="AJ264" s="1930"/>
      <c r="AK264" s="1930"/>
      <c r="AL264" s="1930"/>
      <c r="AM264" s="1930"/>
      <c r="AN264" s="1930"/>
      <c r="AO264" s="1930"/>
      <c r="AP264" s="1930"/>
      <c r="AQ264" s="1930"/>
      <c r="AR264" s="1930"/>
      <c r="AS264" s="1930"/>
      <c r="AT264" s="1930"/>
      <c r="AU264" s="1930"/>
      <c r="AV264" s="1930"/>
      <c r="AW264" s="1930"/>
      <c r="AX264" s="1930"/>
      <c r="AY264" s="1930"/>
      <c r="AZ264" s="1930"/>
      <c r="BA264" s="1930"/>
      <c r="BB264" s="1930"/>
      <c r="BC264" s="1930"/>
    </row>
    <row r="265" spans="1:57" hidden="1" outlineLevel="1" x14ac:dyDescent="0.25">
      <c r="D265" s="174" t="s">
        <v>108</v>
      </c>
      <c r="M265" s="3220"/>
      <c r="O265" s="1495"/>
      <c r="P265" s="1495"/>
      <c r="Q265" s="1495"/>
      <c r="AC265" s="1930"/>
      <c r="AD265" s="1930"/>
      <c r="AE265" s="1930"/>
      <c r="AF265" s="1930"/>
      <c r="AG265" s="1930"/>
      <c r="AH265" s="1930"/>
      <c r="AI265" s="1930"/>
      <c r="AJ265" s="1930"/>
      <c r="AK265" s="1930"/>
      <c r="AL265" s="1930"/>
      <c r="AM265" s="1930"/>
      <c r="AN265" s="1930"/>
      <c r="AO265" s="1930"/>
      <c r="AP265" s="1930"/>
      <c r="AQ265" s="1930"/>
      <c r="AR265" s="1930"/>
      <c r="AS265" s="1930"/>
      <c r="AT265" s="1930"/>
      <c r="AU265" s="1930"/>
      <c r="AV265" s="1930"/>
      <c r="AW265" s="1930"/>
      <c r="AX265" s="1930"/>
      <c r="AY265" s="1930"/>
      <c r="AZ265" s="1930"/>
      <c r="BA265" s="1930"/>
      <c r="BB265" s="1930"/>
      <c r="BC265" s="1930"/>
    </row>
    <row r="266" spans="1:57" hidden="1" outlineLevel="1" x14ac:dyDescent="0.25">
      <c r="M266" s="3220"/>
      <c r="O266" s="1495"/>
      <c r="P266" s="1495"/>
      <c r="Q266" s="1495"/>
      <c r="AC266" s="1930"/>
      <c r="AD266" s="1930"/>
      <c r="AE266" s="1930"/>
      <c r="AF266" s="1930"/>
      <c r="AG266" s="1930"/>
      <c r="AH266" s="1930"/>
      <c r="AI266" s="1930"/>
      <c r="AJ266" s="1930"/>
      <c r="AK266" s="1930"/>
      <c r="AL266" s="1930"/>
      <c r="AM266" s="1930"/>
      <c r="AN266" s="1930"/>
      <c r="AO266" s="1930"/>
      <c r="AP266" s="1930"/>
      <c r="AQ266" s="1930"/>
      <c r="AR266" s="1930"/>
      <c r="AS266" s="1930"/>
      <c r="AT266" s="1930"/>
      <c r="AU266" s="1930"/>
      <c r="AV266" s="1930"/>
      <c r="AW266" s="1930"/>
      <c r="AX266" s="1930"/>
      <c r="AY266" s="1930"/>
      <c r="AZ266" s="1930"/>
      <c r="BA266" s="1930"/>
      <c r="BB266" s="1930"/>
      <c r="BC266" s="1930"/>
    </row>
    <row r="267" spans="1:57" hidden="1" outlineLevel="1" x14ac:dyDescent="0.25">
      <c r="M267" s="557"/>
      <c r="N267" s="228"/>
      <c r="O267" s="228"/>
      <c r="P267" s="228"/>
      <c r="Q267" s="228"/>
      <c r="AC267" s="1930"/>
      <c r="AD267" s="1930"/>
      <c r="AE267" s="1930"/>
      <c r="AF267" s="1930"/>
      <c r="AG267" s="1930"/>
      <c r="AH267" s="1930"/>
      <c r="AI267" s="1930"/>
      <c r="AJ267" s="1930"/>
      <c r="AK267" s="1930"/>
      <c r="AL267" s="1930"/>
      <c r="AM267" s="1930"/>
      <c r="AN267" s="1930"/>
      <c r="AO267" s="1930"/>
      <c r="AP267" s="1930"/>
      <c r="AQ267" s="1930"/>
      <c r="AR267" s="1930"/>
      <c r="AS267" s="1930"/>
      <c r="AT267" s="1930"/>
      <c r="AU267" s="1930"/>
      <c r="AV267" s="1930"/>
      <c r="AW267" s="1930"/>
      <c r="AX267" s="1930"/>
      <c r="AY267" s="1930"/>
      <c r="AZ267" s="1930"/>
      <c r="BA267" s="1930"/>
      <c r="BB267" s="1930"/>
      <c r="BC267" s="1930"/>
    </row>
    <row r="268" spans="1:57" hidden="1" outlineLevel="1" x14ac:dyDescent="0.25">
      <c r="M268" s="557"/>
      <c r="N268" s="228"/>
      <c r="O268" s="228"/>
      <c r="P268" s="228"/>
      <c r="V268" s="551" t="s">
        <v>45</v>
      </c>
      <c r="W268" s="2409"/>
      <c r="X268" s="2409"/>
      <c r="Y268" s="2409"/>
      <c r="Z268" s="2409"/>
      <c r="AA268" s="2409"/>
      <c r="AB268" s="2409"/>
      <c r="AC268" s="552"/>
      <c r="AD268" s="552"/>
      <c r="AE268" s="552"/>
      <c r="AF268" s="552"/>
      <c r="AG268" s="552"/>
      <c r="AH268" s="485"/>
      <c r="AI268" s="1930"/>
      <c r="AJ268" s="1930"/>
      <c r="AK268" s="1930"/>
      <c r="AL268" s="1930"/>
      <c r="AM268" s="1930"/>
      <c r="AN268" s="1930"/>
      <c r="AO268" s="1930"/>
      <c r="AP268" s="1930"/>
      <c r="AQ268" s="1930"/>
      <c r="AR268" s="1930"/>
      <c r="AS268" s="1930"/>
      <c r="AT268" s="1930"/>
      <c r="AU268" s="1930"/>
      <c r="AV268" s="1930"/>
      <c r="AW268" s="1930"/>
      <c r="AX268" s="1930"/>
      <c r="AY268" s="1930"/>
      <c r="AZ268" s="1930"/>
      <c r="BA268" s="1930"/>
      <c r="BB268" s="1930"/>
      <c r="BC268" s="1930"/>
    </row>
    <row r="269" spans="1:57" hidden="1" outlineLevel="1" x14ac:dyDescent="0.25">
      <c r="D269" s="3236" t="s">
        <v>109</v>
      </c>
      <c r="E269" s="3205" t="s">
        <v>110</v>
      </c>
      <c r="F269" s="3086" t="s">
        <v>614</v>
      </c>
      <c r="G269" s="3086" t="s">
        <v>112</v>
      </c>
      <c r="H269" s="3923" t="s">
        <v>187</v>
      </c>
      <c r="I269" s="3931"/>
      <c r="J269" s="3773" t="s">
        <v>113</v>
      </c>
      <c r="K269" s="3773"/>
      <c r="L269" s="3773"/>
      <c r="M269" s="1496"/>
      <c r="N269" s="3159"/>
      <c r="O269" s="228"/>
      <c r="P269" s="228"/>
      <c r="V269" s="2542"/>
      <c r="W269" s="360">
        <f>$W$6</f>
        <v>43252</v>
      </c>
      <c r="X269" s="360">
        <f>$X$6</f>
        <v>43465</v>
      </c>
      <c r="Y269" s="360">
        <f>$Y$6</f>
        <v>43800</v>
      </c>
      <c r="Z269" s="360">
        <f>$Z$6</f>
        <v>43862</v>
      </c>
      <c r="AA269" s="360">
        <f>$AA$6</f>
        <v>44013</v>
      </c>
      <c r="AB269" s="360">
        <f>$AB$6</f>
        <v>44166</v>
      </c>
      <c r="AC269" s="1937">
        <f>$AC$6</f>
        <v>44531</v>
      </c>
      <c r="AD269" s="1937" t="str">
        <f>$AD$6</f>
        <v>-</v>
      </c>
      <c r="AE269" s="1937" t="str">
        <f>$AE$6</f>
        <v>-</v>
      </c>
      <c r="AF269" s="1937" t="str">
        <f>$AF$6</f>
        <v>-</v>
      </c>
      <c r="AG269" s="1937" t="str">
        <f>$AG$6</f>
        <v>-</v>
      </c>
      <c r="AH269" s="1930"/>
      <c r="AI269" s="1930"/>
      <c r="AJ269" s="1930"/>
      <c r="AK269" s="1930"/>
      <c r="AL269" s="1930"/>
      <c r="AM269" s="1930"/>
      <c r="AN269" s="1930"/>
      <c r="AO269" s="1930"/>
      <c r="AP269" s="1930"/>
      <c r="AQ269" s="1930"/>
      <c r="AR269" s="1930"/>
      <c r="AS269" s="1930"/>
      <c r="AT269" s="1930"/>
      <c r="AU269" s="1930"/>
      <c r="AV269" s="1930"/>
      <c r="AW269" s="1930"/>
      <c r="AX269" s="1930"/>
      <c r="AY269" s="1930"/>
      <c r="AZ269" s="1930"/>
      <c r="BA269" s="1930"/>
      <c r="BB269" s="1930"/>
      <c r="BC269" s="1930"/>
    </row>
    <row r="270" spans="1:57" ht="15.6" hidden="1" customHeight="1" outlineLevel="1" x14ac:dyDescent="0.25">
      <c r="D270" s="3976" t="s">
        <v>724</v>
      </c>
      <c r="E270" s="3898" t="s">
        <v>725</v>
      </c>
      <c r="F270" s="447" t="s">
        <v>693</v>
      </c>
      <c r="G270" s="553">
        <f>(PI()*G292)/12</f>
        <v>0.19634954084936207</v>
      </c>
      <c r="H270" s="3975" t="s">
        <v>726</v>
      </c>
      <c r="I270" s="3975"/>
      <c r="J270" s="3896" t="s">
        <v>727</v>
      </c>
      <c r="K270" s="3896"/>
      <c r="L270" s="3896"/>
      <c r="M270" s="557"/>
      <c r="N270" s="228"/>
      <c r="O270" s="228"/>
      <c r="P270" s="228"/>
      <c r="V270" s="3900" t="s">
        <v>724</v>
      </c>
      <c r="W270" s="554">
        <f>(PI()*W292)/12</f>
        <v>0.19634954084936207</v>
      </c>
      <c r="X270" s="554">
        <f>(PI()*X292)/12</f>
        <v>0.19634954084936207</v>
      </c>
      <c r="Y270" s="554">
        <f>(PI()*Y292)/12</f>
        <v>0.19634954084936207</v>
      </c>
      <c r="Z270" s="554">
        <f t="shared" ref="Z270:AA296" si="35">IF(Z$6="-","",Y270)</f>
        <v>0.19634954084936207</v>
      </c>
      <c r="AA270" s="554">
        <f t="shared" si="35"/>
        <v>0.19634954084936207</v>
      </c>
      <c r="AB270" s="554">
        <v>0.19634954084936207</v>
      </c>
      <c r="AC270" s="553">
        <v>0.19634954084936207</v>
      </c>
      <c r="AD270" s="554"/>
      <c r="AE270" s="554"/>
      <c r="AF270" s="554"/>
      <c r="AG270" s="554"/>
      <c r="AH270" s="1930"/>
      <c r="AI270" s="1930"/>
      <c r="AJ270" s="1930"/>
      <c r="AK270" s="1930"/>
      <c r="AL270" s="1930"/>
      <c r="AM270" s="1930"/>
      <c r="AN270" s="1930"/>
      <c r="AO270" s="1930"/>
      <c r="AP270" s="1930"/>
      <c r="AQ270" s="1930"/>
      <c r="AR270" s="1930"/>
      <c r="AS270" s="1930"/>
      <c r="AT270" s="1930"/>
      <c r="AU270" s="1930"/>
      <c r="AV270" s="1930"/>
      <c r="AW270" s="1930"/>
      <c r="AX270" s="1930"/>
      <c r="AY270" s="1930"/>
      <c r="AZ270" s="1930"/>
      <c r="BA270" s="1930"/>
      <c r="BB270" s="1930"/>
      <c r="BC270" s="1930"/>
    </row>
    <row r="271" spans="1:57" s="1930" customFormat="1" hidden="1" outlineLevel="1" x14ac:dyDescent="0.25">
      <c r="A271" s="123"/>
      <c r="B271" s="123"/>
      <c r="C271" s="329"/>
      <c r="D271" s="3976"/>
      <c r="E271" s="3898"/>
      <c r="F271" s="3115" t="s">
        <v>620</v>
      </c>
      <c r="G271" s="553">
        <v>0.14398966328953219</v>
      </c>
      <c r="H271" s="3975" t="s">
        <v>726</v>
      </c>
      <c r="I271" s="3975"/>
      <c r="J271" s="3907"/>
      <c r="K271" s="3908"/>
      <c r="L271" s="3909"/>
      <c r="M271" s="557"/>
      <c r="N271" s="228"/>
      <c r="O271" s="228"/>
      <c r="P271" s="228"/>
      <c r="Q271" s="123"/>
      <c r="R271" s="123"/>
      <c r="S271" s="123"/>
      <c r="T271" s="123"/>
      <c r="U271" s="123"/>
      <c r="V271" s="3901"/>
      <c r="W271" s="554"/>
      <c r="X271" s="554"/>
      <c r="Y271" s="554"/>
      <c r="Z271" s="554"/>
      <c r="AA271" s="554"/>
      <c r="AB271" s="1059">
        <v>0.14398966328953219</v>
      </c>
      <c r="AC271" s="553">
        <v>0.14398966328953219</v>
      </c>
      <c r="AD271" s="554"/>
      <c r="AE271" s="554"/>
      <c r="AF271" s="554"/>
      <c r="AG271" s="554"/>
      <c r="BD271" s="1"/>
      <c r="BE271" s="1"/>
    </row>
    <row r="272" spans="1:57" ht="32.25" hidden="1" outlineLevel="1" x14ac:dyDescent="0.25">
      <c r="D272" s="3145" t="s">
        <v>728</v>
      </c>
      <c r="E272" s="3123" t="s">
        <v>729</v>
      </c>
      <c r="F272" s="447" t="s">
        <v>135</v>
      </c>
      <c r="G272" s="141">
        <v>1</v>
      </c>
      <c r="H272" s="3977" t="s">
        <v>730</v>
      </c>
      <c r="I272" s="3977"/>
      <c r="J272" s="3907" t="s">
        <v>195</v>
      </c>
      <c r="K272" s="3908"/>
      <c r="L272" s="3909"/>
      <c r="M272" s="557"/>
      <c r="N272" s="228"/>
      <c r="O272" s="228"/>
      <c r="P272" s="228"/>
      <c r="V272" s="3145" t="s">
        <v>728</v>
      </c>
      <c r="W272" s="141">
        <v>1</v>
      </c>
      <c r="X272" s="141">
        <v>1</v>
      </c>
      <c r="Y272" s="141">
        <v>1</v>
      </c>
      <c r="Z272" s="141">
        <f t="shared" si="35"/>
        <v>1</v>
      </c>
      <c r="AA272" s="141">
        <f t="shared" si="35"/>
        <v>1</v>
      </c>
      <c r="AB272" s="141">
        <v>1</v>
      </c>
      <c r="AC272" s="141">
        <v>1</v>
      </c>
      <c r="AD272" s="554"/>
      <c r="AE272" s="141"/>
      <c r="AF272" s="141"/>
      <c r="AG272" s="141"/>
      <c r="AH272" s="1930"/>
      <c r="AI272" s="1930"/>
      <c r="AJ272" s="1930"/>
      <c r="AK272" s="1930"/>
      <c r="AL272" s="1930"/>
      <c r="AM272" s="1930"/>
      <c r="AN272" s="1930"/>
      <c r="AO272" s="1930"/>
      <c r="AP272" s="1930"/>
      <c r="AQ272" s="1930"/>
      <c r="AR272" s="1930"/>
      <c r="AS272" s="1930"/>
      <c r="AT272" s="1930"/>
      <c r="AU272" s="1930"/>
      <c r="AV272" s="1930"/>
      <c r="AW272" s="1930"/>
      <c r="AX272" s="1930"/>
      <c r="AY272" s="1930"/>
      <c r="AZ272" s="1930"/>
      <c r="BA272" s="1930"/>
      <c r="BB272" s="1930"/>
      <c r="BC272" s="1930"/>
    </row>
    <row r="273" spans="1:57" hidden="1" outlineLevel="1" x14ac:dyDescent="0.25">
      <c r="D273" s="3903" t="s">
        <v>731</v>
      </c>
      <c r="E273" s="3902" t="s">
        <v>732</v>
      </c>
      <c r="F273" s="447" t="s">
        <v>693</v>
      </c>
      <c r="G273" s="553">
        <f>(PI()*(G292+(G294*2))/12)</f>
        <v>0.45814892864851148</v>
      </c>
      <c r="H273" s="3776" t="s">
        <v>733</v>
      </c>
      <c r="I273" s="3776"/>
      <c r="J273" s="3904" t="s">
        <v>734</v>
      </c>
      <c r="K273" s="3905"/>
      <c r="L273" s="3906"/>
      <c r="M273" s="557"/>
      <c r="N273" s="228"/>
      <c r="O273" s="228"/>
      <c r="P273" s="228"/>
      <c r="V273" s="3900" t="s">
        <v>731</v>
      </c>
      <c r="W273" s="555">
        <f>(PI()*(W292+(W294*2))/12)</f>
        <v>0.45814892864851148</v>
      </c>
      <c r="X273" s="555">
        <f>(PI()*(X292+(X294*2))/12)</f>
        <v>0.45814892864851148</v>
      </c>
      <c r="Y273" s="555">
        <f>(PI()*(Y292+(Y294*2))/12)</f>
        <v>0.45814892864851148</v>
      </c>
      <c r="Z273" s="555">
        <f t="shared" si="35"/>
        <v>0.45814892864851148</v>
      </c>
      <c r="AA273" s="555">
        <f t="shared" si="35"/>
        <v>0.45814892864851148</v>
      </c>
      <c r="AB273" s="555">
        <v>0.45814892864851148</v>
      </c>
      <c r="AC273" s="65">
        <v>0.45814892864851148</v>
      </c>
      <c r="AD273" s="554"/>
      <c r="AE273" s="555"/>
      <c r="AF273" s="555"/>
      <c r="AG273" s="555"/>
      <c r="AH273" s="1930"/>
      <c r="AI273" s="1930"/>
      <c r="AJ273" s="1930"/>
      <c r="AK273" s="1930"/>
      <c r="AL273" s="1930"/>
      <c r="AM273" s="1930"/>
      <c r="AN273" s="1930"/>
      <c r="AO273" s="1930"/>
      <c r="AP273" s="1930"/>
      <c r="AQ273" s="1930"/>
      <c r="AR273" s="1930"/>
      <c r="AS273" s="1930"/>
      <c r="AT273" s="1930"/>
      <c r="AU273" s="1930"/>
      <c r="AV273" s="1930"/>
      <c r="AW273" s="1930"/>
      <c r="AX273" s="1930"/>
      <c r="AY273" s="1930"/>
      <c r="AZ273" s="1930"/>
      <c r="BA273" s="1930"/>
      <c r="BB273" s="1930"/>
      <c r="BC273" s="1930"/>
    </row>
    <row r="274" spans="1:57" s="1930" customFormat="1" hidden="1" outlineLevel="1" x14ac:dyDescent="0.25">
      <c r="A274" s="123"/>
      <c r="B274" s="123"/>
      <c r="C274" s="329"/>
      <c r="D274" s="3903"/>
      <c r="E274" s="3902"/>
      <c r="F274" s="3115" t="s">
        <v>620</v>
      </c>
      <c r="G274" s="553">
        <v>0.40578905108868163</v>
      </c>
      <c r="H274" s="3776" t="s">
        <v>733</v>
      </c>
      <c r="I274" s="3776"/>
      <c r="J274" s="3904"/>
      <c r="K274" s="3905"/>
      <c r="L274" s="3906"/>
      <c r="M274" s="557"/>
      <c r="N274" s="228"/>
      <c r="O274" s="228"/>
      <c r="P274" s="228"/>
      <c r="Q274" s="123"/>
      <c r="R274" s="123"/>
      <c r="S274" s="123"/>
      <c r="T274" s="123"/>
      <c r="U274" s="123"/>
      <c r="V274" s="3901"/>
      <c r="W274" s="555"/>
      <c r="X274" s="555"/>
      <c r="Y274" s="555"/>
      <c r="Z274" s="555"/>
      <c r="AA274" s="555"/>
      <c r="AB274" s="549">
        <v>0.40578905108868163</v>
      </c>
      <c r="AC274" s="65">
        <v>0.40578905108868163</v>
      </c>
      <c r="AD274" s="554"/>
      <c r="AE274" s="555"/>
      <c r="AF274" s="555"/>
      <c r="AG274" s="555"/>
      <c r="BD274" s="1"/>
      <c r="BE274" s="1"/>
    </row>
    <row r="275" spans="1:57" ht="15.6" hidden="1" customHeight="1" outlineLevel="1" x14ac:dyDescent="0.25">
      <c r="D275" s="3903" t="s">
        <v>735</v>
      </c>
      <c r="E275" s="3902" t="s">
        <v>736</v>
      </c>
      <c r="F275" s="447" t="s">
        <v>693</v>
      </c>
      <c r="G275" s="105">
        <f>1+3.54</f>
        <v>4.54</v>
      </c>
      <c r="H275" s="3776" t="s">
        <v>737</v>
      </c>
      <c r="I275" s="3776"/>
      <c r="J275" s="3904" t="s">
        <v>738</v>
      </c>
      <c r="K275" s="3905"/>
      <c r="L275" s="3906"/>
      <c r="M275" s="557"/>
      <c r="N275" s="228"/>
      <c r="O275" s="228"/>
      <c r="P275" s="228"/>
      <c r="V275" s="3900" t="s">
        <v>735</v>
      </c>
      <c r="W275" s="105">
        <f>4+1</f>
        <v>5</v>
      </c>
      <c r="X275" s="105">
        <f>4+1</f>
        <v>5</v>
      </c>
      <c r="Y275" s="115">
        <f>1+3.54</f>
        <v>4.54</v>
      </c>
      <c r="Z275" s="105">
        <f t="shared" si="35"/>
        <v>4.54</v>
      </c>
      <c r="AA275" s="105">
        <f t="shared" si="35"/>
        <v>4.54</v>
      </c>
      <c r="AB275" s="105">
        <v>4.54</v>
      </c>
      <c r="AC275" s="105">
        <v>4.54</v>
      </c>
      <c r="AD275" s="554"/>
      <c r="AE275" s="105"/>
      <c r="AF275" s="105"/>
      <c r="AG275" s="105"/>
      <c r="AH275" s="1930"/>
      <c r="AI275" s="1930"/>
      <c r="AJ275" s="1930"/>
      <c r="AK275" s="1930"/>
      <c r="AL275" s="1930"/>
      <c r="AM275" s="1930"/>
      <c r="AN275" s="1930"/>
      <c r="AO275" s="1930"/>
      <c r="AP275" s="1930"/>
      <c r="AQ275" s="1930"/>
      <c r="AR275" s="1930"/>
      <c r="AS275" s="1930"/>
      <c r="AT275" s="1930"/>
      <c r="AU275" s="1930"/>
      <c r="AV275" s="1930"/>
      <c r="AW275" s="1930"/>
      <c r="AX275" s="1930"/>
      <c r="AY275" s="1930"/>
      <c r="AZ275" s="1930"/>
      <c r="BA275" s="1930"/>
      <c r="BB275" s="1930"/>
      <c r="BC275" s="1930"/>
    </row>
    <row r="276" spans="1:57" s="1930" customFormat="1" hidden="1" outlineLevel="1" x14ac:dyDescent="0.25">
      <c r="A276" s="123"/>
      <c r="B276" s="123"/>
      <c r="C276" s="329"/>
      <c r="D276" s="3903"/>
      <c r="E276" s="3902"/>
      <c r="F276" s="3115" t="s">
        <v>620</v>
      </c>
      <c r="G276" s="105">
        <f>1+3.54</f>
        <v>4.54</v>
      </c>
      <c r="H276" s="3776" t="s">
        <v>737</v>
      </c>
      <c r="I276" s="3776"/>
      <c r="J276" s="3904"/>
      <c r="K276" s="3905"/>
      <c r="L276" s="3906"/>
      <c r="M276" s="557"/>
      <c r="N276" s="228"/>
      <c r="O276" s="228"/>
      <c r="P276" s="228"/>
      <c r="Q276" s="123"/>
      <c r="R276" s="123"/>
      <c r="S276" s="123"/>
      <c r="T276" s="123"/>
      <c r="U276" s="123"/>
      <c r="V276" s="3901"/>
      <c r="W276" s="105"/>
      <c r="X276" s="105"/>
      <c r="Y276" s="115"/>
      <c r="Z276" s="105"/>
      <c r="AA276" s="105"/>
      <c r="AB276" s="115">
        <v>4.54</v>
      </c>
      <c r="AC276" s="105">
        <v>4.54</v>
      </c>
      <c r="AD276" s="554"/>
      <c r="AE276" s="105"/>
      <c r="AF276" s="105"/>
      <c r="AG276" s="105"/>
      <c r="BD276" s="1"/>
      <c r="BE276" s="1"/>
    </row>
    <row r="277" spans="1:57" ht="30" hidden="1" outlineLevel="1" x14ac:dyDescent="0.25">
      <c r="D277" s="465" t="s">
        <v>739</v>
      </c>
      <c r="E277" s="3124" t="s">
        <v>740</v>
      </c>
      <c r="F277" s="447" t="s">
        <v>135</v>
      </c>
      <c r="G277" s="556">
        <v>1</v>
      </c>
      <c r="H277" s="3776" t="s">
        <v>741</v>
      </c>
      <c r="I277" s="3776"/>
      <c r="J277" s="3904" t="s">
        <v>195</v>
      </c>
      <c r="K277" s="3905"/>
      <c r="L277" s="3906"/>
      <c r="M277" s="557"/>
      <c r="N277" s="228"/>
      <c r="O277" s="228"/>
      <c r="P277" s="228"/>
      <c r="V277" s="2543" t="s">
        <v>739</v>
      </c>
      <c r="W277" s="556">
        <v>1</v>
      </c>
      <c r="X277" s="556">
        <v>1</v>
      </c>
      <c r="Y277" s="556">
        <v>1</v>
      </c>
      <c r="Z277" s="556">
        <f t="shared" si="35"/>
        <v>1</v>
      </c>
      <c r="AA277" s="556">
        <f t="shared" si="35"/>
        <v>1</v>
      </c>
      <c r="AB277" s="556">
        <v>1</v>
      </c>
      <c r="AC277" s="556">
        <v>1</v>
      </c>
      <c r="AD277" s="554"/>
      <c r="AE277" s="556"/>
      <c r="AF277" s="556"/>
      <c r="AG277" s="556"/>
      <c r="AH277" s="1930"/>
      <c r="AI277" s="1930"/>
      <c r="AJ277" s="1930"/>
      <c r="AK277" s="1930"/>
      <c r="AL277" s="1930"/>
      <c r="AM277" s="1930"/>
      <c r="AN277" s="1930"/>
      <c r="AO277" s="1930"/>
      <c r="AP277" s="1930"/>
      <c r="AQ277" s="1930"/>
      <c r="AR277" s="1930"/>
      <c r="AS277" s="1930"/>
      <c r="AT277" s="1930"/>
      <c r="AU277" s="1930"/>
      <c r="AV277" s="1930"/>
      <c r="AW277" s="1930"/>
      <c r="AX277" s="1930"/>
      <c r="AY277" s="1930"/>
      <c r="AZ277" s="1930"/>
      <c r="BA277" s="1930"/>
      <c r="BB277" s="1930"/>
      <c r="BC277" s="1930"/>
    </row>
    <row r="278" spans="1:57" hidden="1" outlineLevel="1" x14ac:dyDescent="0.25">
      <c r="D278" s="3903" t="s">
        <v>742</v>
      </c>
      <c r="E278" s="3902" t="s">
        <v>743</v>
      </c>
      <c r="F278" s="447" t="s">
        <v>693</v>
      </c>
      <c r="G278" s="556">
        <v>60</v>
      </c>
      <c r="H278" s="3776" t="s">
        <v>730</v>
      </c>
      <c r="I278" s="3776"/>
      <c r="J278" s="3776" t="s">
        <v>744</v>
      </c>
      <c r="K278" s="3776"/>
      <c r="L278" s="3776"/>
      <c r="M278" s="557"/>
      <c r="N278" s="228"/>
      <c r="O278" s="228"/>
      <c r="P278" s="228"/>
      <c r="V278" s="3900" t="s">
        <v>742</v>
      </c>
      <c r="W278" s="556">
        <v>60</v>
      </c>
      <c r="X278" s="556">
        <v>60</v>
      </c>
      <c r="Y278" s="556">
        <v>60</v>
      </c>
      <c r="Z278" s="556">
        <f t="shared" si="35"/>
        <v>60</v>
      </c>
      <c r="AA278" s="556">
        <f t="shared" si="35"/>
        <v>60</v>
      </c>
      <c r="AB278" s="556">
        <v>60</v>
      </c>
      <c r="AC278" s="556">
        <v>60</v>
      </c>
      <c r="AD278" s="554"/>
      <c r="AE278" s="556"/>
      <c r="AF278" s="556"/>
      <c r="AG278" s="556"/>
      <c r="AH278" s="1930"/>
      <c r="AI278" s="1930"/>
      <c r="AJ278" s="1930"/>
      <c r="AK278" s="1930"/>
      <c r="AL278" s="1930"/>
      <c r="AM278" s="1930"/>
      <c r="AN278" s="1930"/>
      <c r="AO278" s="1930"/>
      <c r="AP278" s="1930"/>
      <c r="AQ278" s="1930"/>
      <c r="AR278" s="1930"/>
      <c r="AS278" s="1930"/>
      <c r="AT278" s="1930"/>
      <c r="AU278" s="1930"/>
      <c r="AV278" s="1930"/>
      <c r="AW278" s="1930"/>
      <c r="AX278" s="1930"/>
      <c r="AY278" s="1930"/>
      <c r="AZ278" s="1930"/>
      <c r="BA278" s="1930"/>
      <c r="BB278" s="1930"/>
      <c r="BC278" s="1930"/>
    </row>
    <row r="279" spans="1:57" s="1930" customFormat="1" hidden="1" outlineLevel="1" x14ac:dyDescent="0.25">
      <c r="A279" s="123"/>
      <c r="B279" s="123"/>
      <c r="C279" s="329"/>
      <c r="D279" s="3903"/>
      <c r="E279" s="3902"/>
      <c r="F279" s="3115" t="s">
        <v>620</v>
      </c>
      <c r="G279" s="556">
        <v>58.9</v>
      </c>
      <c r="H279" s="3776" t="s">
        <v>536</v>
      </c>
      <c r="I279" s="3776"/>
      <c r="J279" s="3904"/>
      <c r="K279" s="3905"/>
      <c r="L279" s="3906"/>
      <c r="M279" s="557"/>
      <c r="N279" s="228"/>
      <c r="O279" s="228"/>
      <c r="P279" s="228"/>
      <c r="Q279" s="123"/>
      <c r="R279" s="123"/>
      <c r="S279" s="123"/>
      <c r="T279" s="123"/>
      <c r="U279" s="123"/>
      <c r="V279" s="3901"/>
      <c r="W279" s="556"/>
      <c r="X279" s="556"/>
      <c r="Y279" s="556"/>
      <c r="Z279" s="556"/>
      <c r="AA279" s="556"/>
      <c r="AB279" s="1067">
        <v>58.9</v>
      </c>
      <c r="AC279" s="556">
        <v>58.9</v>
      </c>
      <c r="AD279" s="554"/>
      <c r="AE279" s="556"/>
      <c r="AF279" s="556"/>
      <c r="AG279" s="556"/>
      <c r="BD279" s="1"/>
      <c r="BE279" s="1"/>
    </row>
    <row r="280" spans="1:57" hidden="1" outlineLevel="1" x14ac:dyDescent="0.25">
      <c r="D280" s="3125" t="s">
        <v>745</v>
      </c>
      <c r="E280" s="3124" t="s">
        <v>746</v>
      </c>
      <c r="F280" s="447" t="s">
        <v>135</v>
      </c>
      <c r="G280" s="3226">
        <v>8766</v>
      </c>
      <c r="H280" s="3776" t="s">
        <v>730</v>
      </c>
      <c r="I280" s="3776"/>
      <c r="J280" s="3776" t="s">
        <v>744</v>
      </c>
      <c r="K280" s="3776"/>
      <c r="L280" s="3776"/>
      <c r="M280" s="557"/>
      <c r="N280" s="228"/>
      <c r="O280" s="228"/>
      <c r="P280" s="228"/>
      <c r="V280" s="3145" t="s">
        <v>745</v>
      </c>
      <c r="W280" s="3226">
        <v>8766</v>
      </c>
      <c r="X280" s="3226">
        <v>8766</v>
      </c>
      <c r="Y280" s="3226">
        <v>8766</v>
      </c>
      <c r="Z280" s="3226">
        <f t="shared" si="35"/>
        <v>8766</v>
      </c>
      <c r="AA280" s="3226">
        <f t="shared" si="35"/>
        <v>8766</v>
      </c>
      <c r="AB280" s="3226">
        <v>8766</v>
      </c>
      <c r="AC280" s="3226">
        <v>8766</v>
      </c>
      <c r="AD280" s="554"/>
      <c r="AE280" s="3226"/>
      <c r="AF280" s="3226"/>
      <c r="AG280" s="3226"/>
      <c r="AH280" s="1930"/>
      <c r="AI280" s="1930"/>
      <c r="AJ280" s="1930"/>
      <c r="AK280" s="1930"/>
      <c r="AL280" s="1930"/>
      <c r="AM280" s="1930"/>
      <c r="AN280" s="1930"/>
      <c r="AO280" s="1930"/>
      <c r="AP280" s="1930"/>
      <c r="AQ280" s="1930"/>
      <c r="AR280" s="1930"/>
      <c r="AS280" s="1930"/>
      <c r="AT280" s="1930"/>
      <c r="AU280" s="1930"/>
      <c r="AV280" s="1930"/>
      <c r="AW280" s="1930"/>
      <c r="AX280" s="1930"/>
      <c r="AY280" s="1930"/>
      <c r="AZ280" s="1930"/>
      <c r="BA280" s="1930"/>
      <c r="BB280" s="1930"/>
      <c r="BC280" s="1930"/>
    </row>
    <row r="281" spans="1:57" ht="18" hidden="1" outlineLevel="1" x14ac:dyDescent="0.25">
      <c r="D281" s="3125" t="s">
        <v>747</v>
      </c>
      <c r="E281" s="3124" t="s">
        <v>748</v>
      </c>
      <c r="F281" s="447" t="s">
        <v>135</v>
      </c>
      <c r="G281" s="558">
        <v>0.98</v>
      </c>
      <c r="H281" s="3776" t="s">
        <v>730</v>
      </c>
      <c r="I281" s="3776"/>
      <c r="J281" s="3776" t="s">
        <v>195</v>
      </c>
      <c r="K281" s="3776" t="s">
        <v>195</v>
      </c>
      <c r="L281" s="3776" t="s">
        <v>195</v>
      </c>
      <c r="M281" s="557"/>
      <c r="N281" s="228"/>
      <c r="O281" s="228"/>
      <c r="P281" s="228"/>
      <c r="V281" s="3145" t="s">
        <v>747</v>
      </c>
      <c r="W281" s="558">
        <v>0.98</v>
      </c>
      <c r="X281" s="558">
        <v>0.98</v>
      </c>
      <c r="Y281" s="558">
        <v>0.98</v>
      </c>
      <c r="Z281" s="558">
        <f t="shared" si="35"/>
        <v>0.98</v>
      </c>
      <c r="AA281" s="558">
        <f t="shared" si="35"/>
        <v>0.98</v>
      </c>
      <c r="AB281" s="558">
        <v>0.98</v>
      </c>
      <c r="AC281" s="558">
        <v>0.98</v>
      </c>
      <c r="AD281" s="554"/>
      <c r="AE281" s="558"/>
      <c r="AF281" s="558"/>
      <c r="AG281" s="558"/>
      <c r="AH281" s="1930"/>
      <c r="AI281" s="1930"/>
      <c r="AJ281" s="1930"/>
      <c r="AK281" s="1930"/>
      <c r="AL281" s="1930"/>
      <c r="AM281" s="1930"/>
      <c r="AN281" s="1930"/>
      <c r="AO281" s="1930"/>
      <c r="AP281" s="1930"/>
      <c r="AQ281" s="1930"/>
      <c r="AR281" s="1930"/>
      <c r="AS281" s="1930"/>
      <c r="AT281" s="1930"/>
      <c r="AU281" s="1930"/>
      <c r="AV281" s="1930"/>
      <c r="AW281" s="1930"/>
      <c r="AX281" s="1930"/>
      <c r="AY281" s="1930"/>
      <c r="AZ281" s="1930"/>
      <c r="BA281" s="1930"/>
      <c r="BB281" s="1930"/>
      <c r="BC281" s="1930"/>
    </row>
    <row r="282" spans="1:57" hidden="1" outlineLevel="1" x14ac:dyDescent="0.25">
      <c r="D282" s="3125">
        <v>3412</v>
      </c>
      <c r="E282" s="3124" t="s">
        <v>749</v>
      </c>
      <c r="F282" s="447" t="s">
        <v>135</v>
      </c>
      <c r="G282" s="506">
        <v>3412</v>
      </c>
      <c r="H282" s="3776" t="s">
        <v>730</v>
      </c>
      <c r="I282" s="3776"/>
      <c r="J282" s="3776" t="s">
        <v>744</v>
      </c>
      <c r="K282" s="3776"/>
      <c r="L282" s="3776"/>
      <c r="M282" s="3220"/>
      <c r="O282" s="228"/>
      <c r="P282" s="228"/>
      <c r="V282" s="3145">
        <v>3412</v>
      </c>
      <c r="W282" s="506">
        <v>3412</v>
      </c>
      <c r="X282" s="506">
        <v>3412</v>
      </c>
      <c r="Y282" s="506">
        <v>3412</v>
      </c>
      <c r="Z282" s="506">
        <f t="shared" si="35"/>
        <v>3412</v>
      </c>
      <c r="AA282" s="506">
        <f t="shared" si="35"/>
        <v>3412</v>
      </c>
      <c r="AB282" s="506">
        <v>3412</v>
      </c>
      <c r="AC282" s="506">
        <v>3412</v>
      </c>
      <c r="AD282" s="554"/>
      <c r="AE282" s="506"/>
      <c r="AF282" s="506"/>
      <c r="AG282" s="506"/>
      <c r="AH282" s="1930"/>
      <c r="AI282" s="1930"/>
      <c r="AJ282" s="1930"/>
      <c r="AK282" s="1930"/>
      <c r="AL282" s="1930"/>
      <c r="AM282" s="1930"/>
      <c r="AN282" s="1930"/>
      <c r="AO282" s="1930"/>
      <c r="AP282" s="1930"/>
      <c r="AQ282" s="1930"/>
      <c r="AR282" s="1930"/>
      <c r="AS282" s="1930"/>
      <c r="AT282" s="1930"/>
      <c r="AU282" s="1930"/>
      <c r="AV282" s="1930"/>
      <c r="AW282" s="1930"/>
      <c r="AX282" s="1930"/>
      <c r="AY282" s="1930"/>
      <c r="AZ282" s="1930"/>
      <c r="BA282" s="1930"/>
      <c r="BB282" s="1930"/>
      <c r="BC282" s="1930"/>
    </row>
    <row r="283" spans="1:57" s="456" customFormat="1" hidden="1" outlineLevel="1" x14ac:dyDescent="0.25">
      <c r="A283" s="3220"/>
      <c r="B283" s="3220"/>
      <c r="C283" s="3247"/>
      <c r="D283" s="3872" t="s">
        <v>750</v>
      </c>
      <c r="E283" s="3881" t="s">
        <v>616</v>
      </c>
      <c r="F283" s="3127" t="s">
        <v>617</v>
      </c>
      <c r="G283" s="487">
        <v>0.42</v>
      </c>
      <c r="H283" s="3776" t="s">
        <v>751</v>
      </c>
      <c r="I283" s="3776"/>
      <c r="J283" s="3904"/>
      <c r="K283" s="3905"/>
      <c r="L283" s="3906"/>
      <c r="M283" s="557"/>
      <c r="N283" s="557"/>
      <c r="O283" s="557"/>
      <c r="P283" s="557"/>
      <c r="Q283" s="3220"/>
      <c r="R283" s="3220"/>
      <c r="S283" s="3220"/>
      <c r="T283" s="3220"/>
      <c r="U283" s="3220"/>
      <c r="V283" s="3887" t="s">
        <v>750</v>
      </c>
      <c r="W283" s="511">
        <v>1</v>
      </c>
      <c r="X283" s="513">
        <v>0.34429999999999999</v>
      </c>
      <c r="Y283" s="513">
        <v>0.46360000000000001</v>
      </c>
      <c r="Z283" s="511">
        <f t="shared" ref="Z283" si="36">IF(Z$6="-","",Y283)</f>
        <v>0.46360000000000001</v>
      </c>
      <c r="AA283" s="511">
        <f t="shared" ref="AA283" si="37">IF(AA$6="-","",Z283)</f>
        <v>0.46360000000000001</v>
      </c>
      <c r="AB283" s="490">
        <v>0.42</v>
      </c>
      <c r="AC283" s="511">
        <v>0.42</v>
      </c>
      <c r="AD283" s="554"/>
      <c r="AE283" s="511"/>
      <c r="AF283" s="511"/>
      <c r="AG283" s="511"/>
      <c r="AI283" s="1930"/>
      <c r="AJ283" s="1930"/>
      <c r="AK283" s="1930"/>
      <c r="AL283" s="1930"/>
      <c r="AM283" s="1930"/>
      <c r="AN283" s="1930"/>
      <c r="AO283" s="1930"/>
      <c r="AP283" s="1930"/>
      <c r="AQ283" s="1930"/>
      <c r="AR283" s="1930"/>
      <c r="AS283" s="1930"/>
      <c r="BD283" s="1"/>
      <c r="BE283" s="1"/>
    </row>
    <row r="284" spans="1:57" s="456" customFormat="1" hidden="1" outlineLevel="1" x14ac:dyDescent="0.25">
      <c r="A284" s="3220"/>
      <c r="B284" s="3220"/>
      <c r="C284" s="3247"/>
      <c r="D284" s="3874"/>
      <c r="E284" s="3820"/>
      <c r="F284" s="2041" t="s">
        <v>599</v>
      </c>
      <c r="G284" s="487">
        <v>1</v>
      </c>
      <c r="H284" s="3867" t="s">
        <v>752</v>
      </c>
      <c r="I284" s="3867"/>
      <c r="J284" s="3904"/>
      <c r="K284" s="3905"/>
      <c r="L284" s="3906"/>
      <c r="M284" s="557"/>
      <c r="N284" s="557"/>
      <c r="O284" s="557"/>
      <c r="P284" s="557"/>
      <c r="Q284" s="3220"/>
      <c r="R284" s="3220"/>
      <c r="S284" s="3220"/>
      <c r="T284" s="3220"/>
      <c r="U284" s="3220"/>
      <c r="V284" s="3913"/>
      <c r="W284" s="511"/>
      <c r="X284" s="513"/>
      <c r="Y284" s="513"/>
      <c r="Z284" s="511"/>
      <c r="AA284" s="511"/>
      <c r="AB284" s="487">
        <v>1</v>
      </c>
      <c r="AC284" s="511">
        <v>1</v>
      </c>
      <c r="AD284" s="554"/>
      <c r="AE284" s="511"/>
      <c r="AF284" s="511"/>
      <c r="AG284" s="511"/>
      <c r="AI284" s="1930"/>
      <c r="AJ284" s="1930"/>
      <c r="AK284" s="1930"/>
      <c r="AL284" s="1930"/>
      <c r="AM284" s="1930"/>
      <c r="AN284" s="1930"/>
      <c r="AO284" s="1930"/>
      <c r="AP284" s="1930"/>
      <c r="AQ284" s="1930"/>
      <c r="AR284" s="1930"/>
      <c r="AS284" s="1930"/>
      <c r="BD284" s="1"/>
      <c r="BE284" s="1"/>
    </row>
    <row r="285" spans="1:57" s="456" customFormat="1" hidden="1" outlineLevel="1" x14ac:dyDescent="0.25">
      <c r="A285" s="3220"/>
      <c r="B285" s="3220"/>
      <c r="C285" s="3247"/>
      <c r="D285" s="3873"/>
      <c r="E285" s="3821"/>
      <c r="F285" s="3115" t="s">
        <v>620</v>
      </c>
      <c r="G285" s="487">
        <v>0.42</v>
      </c>
      <c r="H285" s="3867" t="s">
        <v>751</v>
      </c>
      <c r="I285" s="3867"/>
      <c r="J285" s="3904"/>
      <c r="K285" s="3905"/>
      <c r="L285" s="3906"/>
      <c r="M285" s="557"/>
      <c r="N285" s="557"/>
      <c r="O285" s="557"/>
      <c r="P285" s="557"/>
      <c r="Q285" s="3220"/>
      <c r="R285" s="3220"/>
      <c r="S285" s="3220"/>
      <c r="T285" s="3220"/>
      <c r="U285" s="3220"/>
      <c r="V285" s="3888"/>
      <c r="W285" s="511"/>
      <c r="X285" s="513"/>
      <c r="Y285" s="513"/>
      <c r="Z285" s="511"/>
      <c r="AA285" s="511"/>
      <c r="AB285" s="490">
        <v>0.42</v>
      </c>
      <c r="AC285" s="511">
        <v>0.42</v>
      </c>
      <c r="AD285" s="554"/>
      <c r="AE285" s="511"/>
      <c r="AF285" s="511"/>
      <c r="AG285" s="511"/>
      <c r="AI285" s="1930"/>
      <c r="AJ285" s="1930"/>
      <c r="AK285" s="1930"/>
      <c r="AL285" s="1930"/>
      <c r="AM285" s="1930"/>
      <c r="AN285" s="1930"/>
      <c r="AO285" s="1930"/>
      <c r="AP285" s="1930"/>
      <c r="AQ285" s="1930"/>
      <c r="AR285" s="1930"/>
      <c r="AS285" s="1930"/>
      <c r="BD285" s="1"/>
      <c r="BE285" s="1"/>
    </row>
    <row r="286" spans="1:57" s="456" customFormat="1" hidden="1" outlineLevel="1" x14ac:dyDescent="0.25">
      <c r="A286" s="3220"/>
      <c r="B286" s="3220"/>
      <c r="C286" s="3247"/>
      <c r="D286" s="3776" t="s">
        <v>531</v>
      </c>
      <c r="E286" s="3902" t="s">
        <v>595</v>
      </c>
      <c r="F286" s="3129" t="s">
        <v>617</v>
      </c>
      <c r="G286" s="521">
        <v>0.91869999999999996</v>
      </c>
      <c r="H286" s="3776" t="s">
        <v>753</v>
      </c>
      <c r="I286" s="3776"/>
      <c r="J286" s="3776" t="s">
        <v>754</v>
      </c>
      <c r="K286" s="3776" t="s">
        <v>195</v>
      </c>
      <c r="L286" s="3776" t="s">
        <v>195</v>
      </c>
      <c r="M286" s="557"/>
      <c r="N286" s="557"/>
      <c r="O286" s="557"/>
      <c r="P286" s="557"/>
      <c r="Q286" s="3220"/>
      <c r="R286" s="3220"/>
      <c r="S286" s="3220"/>
      <c r="T286" s="3220"/>
      <c r="U286" s="3220"/>
      <c r="V286" s="3887" t="s">
        <v>531</v>
      </c>
      <c r="W286" s="521">
        <v>0.86</v>
      </c>
      <c r="X286" s="522">
        <v>0.89859999999999995</v>
      </c>
      <c r="Y286" s="522">
        <v>0.91869999999999996</v>
      </c>
      <c r="Z286" s="521">
        <f t="shared" si="35"/>
        <v>0.91869999999999996</v>
      </c>
      <c r="AA286" s="521">
        <f t="shared" si="35"/>
        <v>0.91869999999999996</v>
      </c>
      <c r="AB286" s="521">
        <v>0.91869999999999996</v>
      </c>
      <c r="AC286" s="521">
        <v>0.91869999999999996</v>
      </c>
      <c r="AD286" s="554"/>
      <c r="AE286" s="521"/>
      <c r="AF286" s="521"/>
      <c r="AG286" s="521"/>
      <c r="AI286" s="1930"/>
      <c r="AJ286" s="1930"/>
      <c r="AK286" s="1930"/>
      <c r="AL286" s="1930"/>
      <c r="AM286" s="1930"/>
      <c r="AN286" s="1930"/>
      <c r="AO286" s="1930"/>
      <c r="AP286" s="1930"/>
      <c r="AQ286" s="1930"/>
      <c r="AR286" s="1930"/>
      <c r="AS286" s="1930"/>
      <c r="BD286" s="1"/>
      <c r="BE286" s="1"/>
    </row>
    <row r="287" spans="1:57" s="456" customFormat="1" hidden="1" outlineLevel="1" x14ac:dyDescent="0.25">
      <c r="A287" s="3220"/>
      <c r="B287" s="3220"/>
      <c r="C287" s="3247"/>
      <c r="D287" s="3776"/>
      <c r="E287" s="3902"/>
      <c r="F287" s="2041" t="s">
        <v>661</v>
      </c>
      <c r="G287" s="487">
        <v>1</v>
      </c>
      <c r="H287" s="3867" t="s">
        <v>752</v>
      </c>
      <c r="I287" s="3867"/>
      <c r="J287" s="3904"/>
      <c r="K287" s="3905"/>
      <c r="L287" s="3906"/>
      <c r="M287" s="557"/>
      <c r="N287" s="557"/>
      <c r="O287" s="557"/>
      <c r="P287" s="557"/>
      <c r="Q287" s="3220"/>
      <c r="R287" s="3220"/>
      <c r="S287" s="3220"/>
      <c r="T287" s="3220"/>
      <c r="U287" s="3220"/>
      <c r="V287" s="3888"/>
      <c r="W287" s="521"/>
      <c r="X287" s="522"/>
      <c r="Y287" s="522"/>
      <c r="Z287" s="521"/>
      <c r="AA287" s="521"/>
      <c r="AB287" s="487">
        <v>1</v>
      </c>
      <c r="AC287" s="521">
        <v>1</v>
      </c>
      <c r="AD287" s="554"/>
      <c r="AE287" s="521"/>
      <c r="AF287" s="521"/>
      <c r="AG287" s="521"/>
      <c r="AI287" s="1930"/>
      <c r="AJ287" s="1930"/>
      <c r="AK287" s="1930"/>
      <c r="AL287" s="1930"/>
      <c r="AM287" s="1930"/>
      <c r="AN287" s="1930"/>
      <c r="AO287" s="1930"/>
      <c r="AP287" s="1930"/>
      <c r="AQ287" s="1930"/>
      <c r="AR287" s="1930"/>
      <c r="AS287" s="1930"/>
      <c r="BD287" s="1"/>
      <c r="BE287" s="1"/>
    </row>
    <row r="288" spans="1:57" s="456" customFormat="1" hidden="1" outlineLevel="1" x14ac:dyDescent="0.25">
      <c r="A288" s="3220"/>
      <c r="B288" s="3220"/>
      <c r="C288" s="3247"/>
      <c r="D288" s="3872" t="s">
        <v>133</v>
      </c>
      <c r="E288" s="3881" t="s">
        <v>252</v>
      </c>
      <c r="F288" s="3129" t="s">
        <v>617</v>
      </c>
      <c r="G288" s="521">
        <v>0.56000000000000005</v>
      </c>
      <c r="H288" s="3904" t="s">
        <v>534</v>
      </c>
      <c r="I288" s="3906"/>
      <c r="J288" s="3904"/>
      <c r="K288" s="3905"/>
      <c r="L288" s="3906"/>
      <c r="M288" s="557"/>
      <c r="N288" s="557"/>
      <c r="O288" s="557"/>
      <c r="P288" s="557"/>
      <c r="Q288" s="3220"/>
      <c r="R288" s="3220"/>
      <c r="S288" s="3220"/>
      <c r="T288" s="3220"/>
      <c r="U288" s="3220"/>
      <c r="V288" s="3887" t="s">
        <v>133</v>
      </c>
      <c r="W288" s="521">
        <v>0.73710263085776917</v>
      </c>
      <c r="X288" s="522">
        <v>0.66101694915254239</v>
      </c>
      <c r="Y288" s="522">
        <v>0.63917525773195871</v>
      </c>
      <c r="Z288" s="521">
        <f t="shared" ref="Z288" si="38">IF(Z$6="-","",Y288)</f>
        <v>0.63917525773195871</v>
      </c>
      <c r="AA288" s="521">
        <f t="shared" ref="AA288" si="39">IF(AA$6="-","",Z288)</f>
        <v>0.63917525773195871</v>
      </c>
      <c r="AB288" s="522">
        <v>0.56000000000000005</v>
      </c>
      <c r="AC288" s="521">
        <v>0.56000000000000005</v>
      </c>
      <c r="AD288" s="554"/>
      <c r="AE288" s="521"/>
      <c r="AF288" s="521"/>
      <c r="AG288" s="521"/>
      <c r="AI288" s="1930"/>
      <c r="AJ288" s="1930"/>
      <c r="AK288" s="1930"/>
      <c r="AL288" s="1930"/>
      <c r="AM288" s="1930"/>
      <c r="AN288" s="1930"/>
      <c r="AO288" s="1930"/>
      <c r="AP288" s="1930"/>
      <c r="AQ288" s="1930"/>
      <c r="AR288" s="1930"/>
      <c r="AS288" s="1930"/>
      <c r="BD288" s="1"/>
      <c r="BE288" s="1"/>
    </row>
    <row r="289" spans="1:57" s="456" customFormat="1" hidden="1" outlineLevel="1" x14ac:dyDescent="0.25">
      <c r="A289" s="3220"/>
      <c r="B289" s="3220"/>
      <c r="C289" s="3247"/>
      <c r="D289" s="3874"/>
      <c r="E289" s="3820"/>
      <c r="F289" s="2041" t="s">
        <v>599</v>
      </c>
      <c r="G289" s="487">
        <v>1</v>
      </c>
      <c r="H289" s="3867" t="s">
        <v>752</v>
      </c>
      <c r="I289" s="3867"/>
      <c r="J289" s="3904"/>
      <c r="K289" s="3905"/>
      <c r="L289" s="3906"/>
      <c r="M289" s="557"/>
      <c r="N289" s="557"/>
      <c r="O289" s="557"/>
      <c r="P289" s="557"/>
      <c r="Q289" s="3220"/>
      <c r="R289" s="3220"/>
      <c r="S289" s="3220"/>
      <c r="T289" s="3220"/>
      <c r="U289" s="3220"/>
      <c r="V289" s="3913"/>
      <c r="W289" s="521"/>
      <c r="X289" s="522"/>
      <c r="Y289" s="522"/>
      <c r="Z289" s="521"/>
      <c r="AA289" s="521"/>
      <c r="AB289" s="487">
        <v>1</v>
      </c>
      <c r="AC289" s="521">
        <v>1</v>
      </c>
      <c r="AD289" s="554"/>
      <c r="AE289" s="521"/>
      <c r="AF289" s="521"/>
      <c r="AG289" s="521"/>
      <c r="AI289" s="1930"/>
      <c r="AJ289" s="1930"/>
      <c r="AK289" s="1930"/>
      <c r="AL289" s="1930"/>
      <c r="AM289" s="1930"/>
      <c r="AN289" s="1930"/>
      <c r="AO289" s="1930"/>
      <c r="AP289" s="1930"/>
      <c r="AQ289" s="1930"/>
      <c r="AR289" s="1930"/>
      <c r="AS289" s="1930"/>
      <c r="BD289" s="1"/>
      <c r="BE289" s="1"/>
    </row>
    <row r="290" spans="1:57" s="456" customFormat="1" hidden="1" outlineLevel="1" x14ac:dyDescent="0.25">
      <c r="A290" s="3220"/>
      <c r="B290" s="3220"/>
      <c r="C290" s="3247"/>
      <c r="D290" s="3874"/>
      <c r="E290" s="3820"/>
      <c r="F290" s="3115" t="s">
        <v>620</v>
      </c>
      <c r="G290" s="521">
        <v>0.96</v>
      </c>
      <c r="H290" s="3776" t="s">
        <v>755</v>
      </c>
      <c r="I290" s="3776"/>
      <c r="J290" s="3904"/>
      <c r="K290" s="3905"/>
      <c r="L290" s="3906"/>
      <c r="M290" s="557"/>
      <c r="N290" s="557"/>
      <c r="O290" s="557"/>
      <c r="P290" s="557"/>
      <c r="Q290" s="3220"/>
      <c r="R290" s="3220"/>
      <c r="S290" s="3220"/>
      <c r="T290" s="3220"/>
      <c r="U290" s="3220"/>
      <c r="V290" s="3913"/>
      <c r="W290" s="521"/>
      <c r="X290" s="522"/>
      <c r="Y290" s="522"/>
      <c r="Z290" s="521"/>
      <c r="AA290" s="521"/>
      <c r="AB290" s="522">
        <v>0.96</v>
      </c>
      <c r="AC290" s="521">
        <v>0.96</v>
      </c>
      <c r="AD290" s="554"/>
      <c r="AE290" s="521"/>
      <c r="AF290" s="521"/>
      <c r="AG290" s="521"/>
      <c r="AI290" s="1930"/>
      <c r="AJ290" s="1930"/>
      <c r="AK290" s="1930"/>
      <c r="AL290" s="1930"/>
      <c r="AM290" s="1930"/>
      <c r="AN290" s="1930"/>
      <c r="AO290" s="1930"/>
      <c r="AP290" s="1930"/>
      <c r="AQ290" s="1930"/>
      <c r="AR290" s="1930"/>
      <c r="AS290" s="1930"/>
      <c r="BD290" s="1"/>
      <c r="BE290" s="1"/>
    </row>
    <row r="291" spans="1:57" s="456" customFormat="1" hidden="1" outlineLevel="1" x14ac:dyDescent="0.25">
      <c r="A291" s="3220"/>
      <c r="B291" s="3220"/>
      <c r="C291" s="3247"/>
      <c r="D291" s="3873"/>
      <c r="E291" s="3821"/>
      <c r="F291" s="3129" t="s">
        <v>538</v>
      </c>
      <c r="G291" s="2521">
        <v>0.41</v>
      </c>
      <c r="H291" s="3912" t="s">
        <v>539</v>
      </c>
      <c r="I291" s="3912"/>
      <c r="J291" s="3904"/>
      <c r="K291" s="3905"/>
      <c r="L291" s="3906"/>
      <c r="M291" s="557"/>
      <c r="N291" s="557"/>
      <c r="O291" s="557"/>
      <c r="P291" s="557"/>
      <c r="Q291" s="3220"/>
      <c r="R291" s="3220"/>
      <c r="S291" s="3220"/>
      <c r="T291" s="3220"/>
      <c r="U291" s="3220"/>
      <c r="V291" s="3888"/>
      <c r="W291" s="521"/>
      <c r="X291" s="522"/>
      <c r="Y291" s="522"/>
      <c r="Z291" s="521"/>
      <c r="AA291" s="521"/>
      <c r="AB291" s="2199">
        <v>0.41</v>
      </c>
      <c r="AC291" s="521">
        <v>0.41</v>
      </c>
      <c r="AD291" s="554"/>
      <c r="AE291" s="521"/>
      <c r="AF291" s="521"/>
      <c r="AG291" s="521"/>
      <c r="AI291" s="1930"/>
      <c r="AJ291" s="1930"/>
      <c r="AK291" s="1930"/>
      <c r="AL291" s="1930"/>
      <c r="AM291" s="1930"/>
      <c r="AN291" s="1930"/>
      <c r="AO291" s="1930"/>
      <c r="AP291" s="1930"/>
      <c r="AQ291" s="1930"/>
      <c r="AR291" s="1930"/>
      <c r="AS291" s="1930"/>
      <c r="BD291" s="1"/>
      <c r="BE291" s="1"/>
    </row>
    <row r="292" spans="1:57" s="456" customFormat="1" hidden="1" outlineLevel="1" x14ac:dyDescent="0.25">
      <c r="A292" s="3220"/>
      <c r="B292" s="3220"/>
      <c r="C292" s="3247"/>
      <c r="D292" s="3776" t="s">
        <v>756</v>
      </c>
      <c r="E292" s="3902" t="s">
        <v>757</v>
      </c>
      <c r="F292" s="3129" t="s">
        <v>693</v>
      </c>
      <c r="G292" s="559">
        <v>0.75</v>
      </c>
      <c r="H292" s="3914" t="s">
        <v>752</v>
      </c>
      <c r="I292" s="3914"/>
      <c r="J292" s="3776"/>
      <c r="K292" s="3776"/>
      <c r="L292" s="3776"/>
      <c r="M292" s="557"/>
      <c r="N292" s="1497" t="s">
        <v>758</v>
      </c>
      <c r="O292" s="557"/>
      <c r="P292" s="557"/>
      <c r="Q292" s="3220"/>
      <c r="R292" s="3220"/>
      <c r="S292" s="3220"/>
      <c r="T292" s="3220"/>
      <c r="U292" s="3220"/>
      <c r="V292" s="3887" t="s">
        <v>756</v>
      </c>
      <c r="W292" s="559">
        <v>0.75</v>
      </c>
      <c r="X292" s="559">
        <v>0.75</v>
      </c>
      <c r="Y292" s="559">
        <v>0.75</v>
      </c>
      <c r="Z292" s="559"/>
      <c r="AA292" s="559"/>
      <c r="AB292" s="559">
        <v>0.75</v>
      </c>
      <c r="AC292" s="559">
        <v>0.75</v>
      </c>
      <c r="AD292" s="554"/>
      <c r="AE292" s="559"/>
      <c r="AF292" s="559"/>
      <c r="AG292" s="559"/>
      <c r="AH292" s="3220"/>
      <c r="AI292" s="1930"/>
      <c r="AJ292" s="1930"/>
      <c r="AK292" s="1930"/>
      <c r="AL292" s="1930"/>
      <c r="AM292" s="1930"/>
      <c r="AN292" s="1930"/>
      <c r="AO292" s="1930"/>
      <c r="AP292" s="1930"/>
      <c r="AQ292" s="1930"/>
      <c r="AR292" s="1930"/>
      <c r="AS292" s="1930"/>
      <c r="BD292" s="1"/>
      <c r="BE292" s="1"/>
    </row>
    <row r="293" spans="1:57" s="456" customFormat="1" hidden="1" outlineLevel="1" x14ac:dyDescent="0.25">
      <c r="A293" s="3220"/>
      <c r="B293" s="3220"/>
      <c r="C293" s="3247"/>
      <c r="D293" s="3776"/>
      <c r="E293" s="3902"/>
      <c r="F293" s="3115" t="s">
        <v>620</v>
      </c>
      <c r="G293" s="559">
        <v>0.55000000000000004</v>
      </c>
      <c r="H293" s="3914" t="s">
        <v>757</v>
      </c>
      <c r="I293" s="3914"/>
      <c r="J293" s="3978"/>
      <c r="K293" s="3979"/>
      <c r="L293" s="3980"/>
      <c r="M293" s="557"/>
      <c r="N293" s="1497"/>
      <c r="O293" s="557"/>
      <c r="P293" s="557"/>
      <c r="Q293" s="3220"/>
      <c r="R293" s="3220"/>
      <c r="S293" s="3220"/>
      <c r="T293" s="3220"/>
      <c r="U293" s="3220"/>
      <c r="V293" s="3888"/>
      <c r="W293" s="559"/>
      <c r="X293" s="559"/>
      <c r="Y293" s="559"/>
      <c r="Z293" s="559"/>
      <c r="AA293" s="559"/>
      <c r="AB293" s="562">
        <v>0.55000000000000004</v>
      </c>
      <c r="AC293" s="559">
        <v>0.55000000000000004</v>
      </c>
      <c r="AD293" s="554"/>
      <c r="AE293" s="559"/>
      <c r="AF293" s="559"/>
      <c r="AG293" s="559"/>
      <c r="AH293" s="3220"/>
      <c r="AI293" s="1930"/>
      <c r="AJ293" s="1930"/>
      <c r="AK293" s="1930"/>
      <c r="AL293" s="1930"/>
      <c r="AM293" s="1930"/>
      <c r="AN293" s="1930"/>
      <c r="AO293" s="1930"/>
      <c r="AP293" s="1930"/>
      <c r="AQ293" s="1930"/>
      <c r="AR293" s="1930"/>
      <c r="AS293" s="1930"/>
      <c r="BD293" s="1"/>
      <c r="BE293" s="1"/>
    </row>
    <row r="294" spans="1:57" s="456" customFormat="1" hidden="1" outlineLevel="1" x14ac:dyDescent="0.25">
      <c r="A294" s="3220"/>
      <c r="B294" s="3220"/>
      <c r="C294" s="3247"/>
      <c r="D294" s="3089" t="s">
        <v>759</v>
      </c>
      <c r="E294" s="3124" t="s">
        <v>760</v>
      </c>
      <c r="F294" s="3246" t="s">
        <v>135</v>
      </c>
      <c r="G294" s="559">
        <v>0.5</v>
      </c>
      <c r="H294" s="3914" t="s">
        <v>752</v>
      </c>
      <c r="I294" s="3914"/>
      <c r="J294" s="3776"/>
      <c r="K294" s="3776"/>
      <c r="L294" s="3776"/>
      <c r="M294" s="557"/>
      <c r="N294" s="557"/>
      <c r="O294" s="557"/>
      <c r="P294" s="557"/>
      <c r="Q294" s="3220"/>
      <c r="R294" s="3220"/>
      <c r="S294" s="3220"/>
      <c r="T294" s="3220"/>
      <c r="U294" s="3220"/>
      <c r="V294" s="3089" t="s">
        <v>760</v>
      </c>
      <c r="W294" s="559">
        <v>0.5</v>
      </c>
      <c r="X294" s="562">
        <v>0.5</v>
      </c>
      <c r="Y294" s="562">
        <v>0.5</v>
      </c>
      <c r="Z294" s="562"/>
      <c r="AA294" s="562"/>
      <c r="AB294" s="559">
        <v>0.5</v>
      </c>
      <c r="AC294" s="559">
        <v>0.5</v>
      </c>
      <c r="AD294" s="554"/>
      <c r="AE294" s="562"/>
      <c r="AF294" s="562"/>
      <c r="AG294" s="562"/>
      <c r="AH294" s="479"/>
      <c r="AI294" s="1930"/>
      <c r="AJ294" s="1930"/>
      <c r="AK294" s="1930"/>
      <c r="AL294" s="1930"/>
      <c r="AM294" s="1930"/>
      <c r="AN294" s="1930"/>
      <c r="AO294" s="1930"/>
      <c r="AP294" s="1930"/>
      <c r="AQ294" s="1930"/>
      <c r="AR294" s="1930"/>
      <c r="AS294" s="1930"/>
      <c r="BD294" s="1"/>
      <c r="BE294" s="1"/>
    </row>
    <row r="295" spans="1:57" hidden="1" outlineLevel="1" x14ac:dyDescent="0.25">
      <c r="B295" s="1233"/>
      <c r="C295" s="1678"/>
      <c r="D295" s="2051" t="s">
        <v>542</v>
      </c>
      <c r="E295" s="3111" t="s">
        <v>167</v>
      </c>
      <c r="F295" s="3246" t="s">
        <v>135</v>
      </c>
      <c r="G295" s="2718">
        <v>12</v>
      </c>
      <c r="H295" s="3916"/>
      <c r="I295" s="3916"/>
      <c r="J295" s="3776"/>
      <c r="K295" s="3776"/>
      <c r="L295" s="3776"/>
      <c r="M295" s="1159"/>
      <c r="N295" s="249"/>
      <c r="O295" s="249"/>
      <c r="P295" s="249"/>
      <c r="Q295" s="249"/>
      <c r="V295" s="3240" t="s">
        <v>542</v>
      </c>
      <c r="W295" s="2718">
        <v>12</v>
      </c>
      <c r="X295" s="2718">
        <v>12</v>
      </c>
      <c r="Y295" s="2718">
        <v>12</v>
      </c>
      <c r="Z295" s="2718">
        <f t="shared" si="35"/>
        <v>12</v>
      </c>
      <c r="AA295" s="2718">
        <f t="shared" si="35"/>
        <v>12</v>
      </c>
      <c r="AB295" s="2718">
        <v>12</v>
      </c>
      <c r="AC295" s="2718">
        <v>12</v>
      </c>
      <c r="AD295" s="554"/>
      <c r="AE295" s="2718"/>
      <c r="AF295" s="2718"/>
      <c r="AG295" s="2718"/>
      <c r="AH295" s="1930"/>
      <c r="AI295" s="1930"/>
      <c r="AJ295" s="1930"/>
      <c r="AK295" s="1930"/>
      <c r="AL295" s="1930"/>
      <c r="AM295" s="1930"/>
      <c r="AN295" s="1930"/>
      <c r="AO295" s="1930"/>
      <c r="AP295" s="1930"/>
      <c r="AQ295" s="1930"/>
      <c r="AR295" s="1930"/>
      <c r="AS295" s="1930"/>
      <c r="AT295" s="1930"/>
      <c r="AU295" s="1930"/>
      <c r="AV295" s="1930"/>
      <c r="AW295" s="1930"/>
      <c r="AX295" s="1930"/>
      <c r="AY295" s="1930"/>
      <c r="AZ295" s="1930"/>
      <c r="BA295" s="1930"/>
      <c r="BB295" s="1930"/>
      <c r="BC295" s="1930"/>
    </row>
    <row r="296" spans="1:57" hidden="1" outlineLevel="1" x14ac:dyDescent="0.25">
      <c r="B296" s="1233"/>
      <c r="C296" s="1678"/>
      <c r="D296" s="3110" t="s">
        <v>170</v>
      </c>
      <c r="E296" s="3111" t="s">
        <v>171</v>
      </c>
      <c r="F296" s="3246" t="s">
        <v>135</v>
      </c>
      <c r="G296" s="547">
        <v>2.87</v>
      </c>
      <c r="H296" s="3915"/>
      <c r="I296" s="3915"/>
      <c r="J296" s="3776"/>
      <c r="K296" s="3776"/>
      <c r="L296" s="3776"/>
      <c r="M296" s="1159"/>
      <c r="N296" s="249"/>
      <c r="O296" s="249"/>
      <c r="P296" s="249"/>
      <c r="Q296" s="249"/>
      <c r="V296" s="3242" t="s">
        <v>170</v>
      </c>
      <c r="W296" s="547">
        <v>2.87</v>
      </c>
      <c r="X296" s="547">
        <v>2.87</v>
      </c>
      <c r="Y296" s="547">
        <v>2.87</v>
      </c>
      <c r="Z296" s="547">
        <f t="shared" si="35"/>
        <v>2.87</v>
      </c>
      <c r="AA296" s="547">
        <f t="shared" si="35"/>
        <v>2.87</v>
      </c>
      <c r="AB296" s="547">
        <v>2.87</v>
      </c>
      <c r="AC296" s="547">
        <v>2.87</v>
      </c>
      <c r="AD296" s="554"/>
      <c r="AE296" s="547"/>
      <c r="AF296" s="547"/>
      <c r="AG296" s="547"/>
      <c r="AH296" s="1930"/>
      <c r="AI296" s="1930"/>
      <c r="AJ296" s="1930"/>
      <c r="AK296" s="1930"/>
      <c r="AL296" s="1930"/>
      <c r="AM296" s="1930"/>
      <c r="AN296" s="1930"/>
      <c r="AO296" s="1930"/>
      <c r="AP296" s="1930"/>
      <c r="AQ296" s="1930"/>
      <c r="AR296" s="1930"/>
      <c r="AS296" s="1930"/>
      <c r="AT296" s="1930"/>
      <c r="AU296" s="1930"/>
      <c r="AV296" s="1930"/>
      <c r="AW296" s="1930"/>
      <c r="AX296" s="1930"/>
      <c r="AY296" s="1930"/>
      <c r="AZ296" s="1930"/>
      <c r="BA296" s="1930"/>
      <c r="BB296" s="1930"/>
      <c r="BC296" s="1930"/>
    </row>
    <row r="297" spans="1:57" collapsed="1" x14ac:dyDescent="0.25">
      <c r="M297" s="557"/>
      <c r="N297" s="228"/>
      <c r="O297" s="228"/>
      <c r="P297" s="228"/>
      <c r="AC297" s="1930"/>
      <c r="AD297" s="1930"/>
      <c r="AE297" s="1930"/>
      <c r="AF297" s="1930"/>
      <c r="AG297" s="1930"/>
      <c r="AH297" s="1930"/>
      <c r="AI297" s="1930"/>
      <c r="AJ297" s="1930"/>
      <c r="AK297" s="1930"/>
      <c r="AL297" s="1930"/>
      <c r="AM297" s="1930"/>
      <c r="AN297" s="1930"/>
      <c r="AO297" s="1930"/>
      <c r="AP297" s="1930"/>
      <c r="AQ297" s="1930"/>
      <c r="AR297" s="1930"/>
      <c r="AS297" s="1930"/>
      <c r="AT297" s="1930"/>
      <c r="AU297" s="1930"/>
      <c r="AV297" s="1930"/>
      <c r="AW297" s="1930"/>
      <c r="AX297" s="1930"/>
      <c r="AY297" s="1930"/>
      <c r="AZ297" s="1930"/>
      <c r="BA297" s="1930"/>
      <c r="BB297" s="1930"/>
      <c r="BC297" s="1930"/>
    </row>
    <row r="298" spans="1:57" x14ac:dyDescent="0.25">
      <c r="B298" s="3750" t="s">
        <v>761</v>
      </c>
      <c r="C298" s="3751"/>
      <c r="D298" s="3751"/>
      <c r="E298" s="3751"/>
      <c r="F298" s="3751"/>
      <c r="G298" s="3751"/>
      <c r="H298" s="3751"/>
      <c r="I298" s="3744"/>
      <c r="J298" s="3744"/>
      <c r="K298" s="3744"/>
      <c r="L298" s="3744"/>
      <c r="M298" s="3744"/>
      <c r="N298" s="3745"/>
      <c r="V298" s="3750" t="str">
        <f>B298</f>
        <v>Advanced Power Strips Tier 1  / Load Sensing</v>
      </c>
      <c r="W298" s="3751"/>
      <c r="X298" s="3751"/>
      <c r="Y298" s="3751"/>
      <c r="Z298" s="3751"/>
      <c r="AA298" s="3751"/>
      <c r="AB298" s="3751"/>
      <c r="AC298" s="3752"/>
      <c r="AD298" s="3752"/>
      <c r="AE298" s="3752"/>
      <c r="AF298" s="3752"/>
      <c r="AG298" s="3752"/>
      <c r="AH298" s="3753"/>
      <c r="AI298" s="1930"/>
      <c r="AJ298" s="1930"/>
      <c r="AK298" s="1930"/>
      <c r="AL298" s="1930"/>
      <c r="AM298" s="1930"/>
      <c r="AN298" s="1930"/>
      <c r="AO298" s="1930"/>
      <c r="AP298" s="1930"/>
      <c r="AQ298" s="1930"/>
      <c r="AR298" s="1930"/>
      <c r="AS298" s="1930"/>
      <c r="AT298" s="1930"/>
      <c r="AU298" s="1930"/>
      <c r="AV298" s="1930"/>
      <c r="AW298" s="1930"/>
      <c r="AX298" s="1930"/>
      <c r="AY298" s="1930"/>
      <c r="AZ298" s="1930"/>
      <c r="BA298" s="1930"/>
      <c r="BB298" s="1930"/>
      <c r="BC298" s="1930"/>
    </row>
    <row r="300" spans="1:57" ht="30" x14ac:dyDescent="0.25">
      <c r="C300" s="3086" t="s">
        <v>28</v>
      </c>
      <c r="D300" s="3086" t="s">
        <v>175</v>
      </c>
      <c r="E300" s="3086" t="s">
        <v>30</v>
      </c>
      <c r="F300" s="3086" t="s">
        <v>31</v>
      </c>
      <c r="G300" s="3086" t="s">
        <v>176</v>
      </c>
      <c r="H300" s="3086" t="s">
        <v>177</v>
      </c>
      <c r="I300" s="3086" t="s">
        <v>32</v>
      </c>
      <c r="J300" s="3086" t="s">
        <v>181</v>
      </c>
      <c r="K300" s="3086" t="s">
        <v>170</v>
      </c>
      <c r="L300" s="3086" t="s">
        <v>44</v>
      </c>
      <c r="M300" s="3220"/>
      <c r="V300" s="551" t="s">
        <v>45</v>
      </c>
      <c r="W300" s="360">
        <f>$W$6</f>
        <v>43252</v>
      </c>
      <c r="X300" s="360">
        <f>$X$6</f>
        <v>43465</v>
      </c>
      <c r="Y300" s="360">
        <f>$Y$6</f>
        <v>43800</v>
      </c>
      <c r="Z300" s="360">
        <f>$Z$6</f>
        <v>43862</v>
      </c>
      <c r="AA300" s="360">
        <f>$AA$6</f>
        <v>44013</v>
      </c>
      <c r="AB300" s="360">
        <f>$AB$6</f>
        <v>44166</v>
      </c>
      <c r="AC300" s="1937">
        <f>$AC$6</f>
        <v>44531</v>
      </c>
      <c r="AD300" s="1937" t="str">
        <f>$AD$6</f>
        <v>-</v>
      </c>
      <c r="AE300" s="1937" t="str">
        <f>$AE$6</f>
        <v>-</v>
      </c>
      <c r="AF300" s="1937" t="str">
        <f>$AF$6</f>
        <v>-</v>
      </c>
      <c r="AG300" s="1937" t="str">
        <f>$AG$6</f>
        <v>-</v>
      </c>
      <c r="AH300" s="1930"/>
      <c r="AI300" s="1930"/>
      <c r="AJ300" s="1930"/>
      <c r="AK300" s="1930"/>
      <c r="AL300" s="1930"/>
      <c r="AM300" s="1930"/>
      <c r="AN300" s="1930"/>
      <c r="AO300" s="1930"/>
      <c r="AP300" s="1930"/>
      <c r="AQ300" s="1930"/>
      <c r="AR300" s="1930"/>
      <c r="AS300" s="1930"/>
      <c r="AT300" s="1930"/>
      <c r="AU300" s="1930"/>
      <c r="AV300" s="1930"/>
      <c r="AW300" s="1930"/>
      <c r="AX300" s="1930"/>
      <c r="AY300" s="1930"/>
      <c r="AZ300" s="1930"/>
      <c r="BA300" s="1930"/>
      <c r="BB300" s="1953" t="str">
        <f>$BB$6</f>
        <v>TRC (2020)</v>
      </c>
      <c r="BC300" s="1953" t="str">
        <f>$BC$6</f>
        <v>Benefit Lookup</v>
      </c>
      <c r="BD300" s="230" t="str">
        <f>$BD$6</f>
        <v>Benefits (2019 $)</v>
      </c>
      <c r="BE300" s="230" t="str">
        <f>$BE$6</f>
        <v>Incremental Cost (2019 $)</v>
      </c>
    </row>
    <row r="301" spans="1:57" s="51" customFormat="1" x14ac:dyDescent="0.25">
      <c r="A301" s="123"/>
      <c r="B301" s="123"/>
      <c r="C301" s="3195" t="s">
        <v>762</v>
      </c>
      <c r="D301" s="3227" t="s">
        <v>763</v>
      </c>
      <c r="E301" s="3124" t="s">
        <v>764</v>
      </c>
      <c r="F301" s="531">
        <f>ROUND((G317*G323+G318*G324)*G327,2)</f>
        <v>29.45</v>
      </c>
      <c r="G301" s="563" t="s">
        <v>388</v>
      </c>
      <c r="H301" s="449">
        <f>VLOOKUP(G301,'CP FACTORS'!$A$3:$B$38, 2, FALSE)</f>
        <v>1.148238E-4</v>
      </c>
      <c r="I301" s="450">
        <f t="shared" ref="I301:I309" si="40">ROUND(F301*H301,6)</f>
        <v>3.382E-3</v>
      </c>
      <c r="J301" s="2718">
        <f>$G$361</f>
        <v>10</v>
      </c>
      <c r="K301" s="519">
        <f>$G$330</f>
        <v>20</v>
      </c>
      <c r="L301" s="451" t="s">
        <v>185</v>
      </c>
      <c r="M301" s="557"/>
      <c r="N301" s="228"/>
      <c r="O301" s="123"/>
      <c r="P301" s="123"/>
      <c r="Q301" s="123"/>
      <c r="R301" s="1431"/>
      <c r="S301" s="123"/>
      <c r="T301" s="123"/>
      <c r="U301" s="123"/>
      <c r="V301" s="1962" t="str">
        <f>F300</f>
        <v>kWh Annual Savings</v>
      </c>
      <c r="W301" s="564">
        <v>31</v>
      </c>
      <c r="X301" s="564">
        <v>31</v>
      </c>
      <c r="Y301" s="565">
        <v>31</v>
      </c>
      <c r="Z301" s="565">
        <v>31</v>
      </c>
      <c r="AA301" s="565">
        <v>31</v>
      </c>
      <c r="AB301" s="1975">
        <v>29.45</v>
      </c>
      <c r="AC301" s="550">
        <v>29.45</v>
      </c>
      <c r="AD301" s="160"/>
      <c r="AE301" s="160"/>
      <c r="AF301" s="160"/>
      <c r="AG301" s="160"/>
      <c r="AH301" s="163"/>
      <c r="AI301" s="1942"/>
      <c r="AJ301" s="1942"/>
      <c r="AK301" s="1942"/>
      <c r="AL301" s="1942"/>
      <c r="AM301" s="1942"/>
      <c r="AN301" s="1942"/>
      <c r="AO301" s="1942"/>
      <c r="AP301" s="1942"/>
      <c r="AQ301" s="1942"/>
      <c r="AR301" s="1942"/>
      <c r="AS301" s="1942"/>
      <c r="AT301" s="1942"/>
      <c r="AU301" s="1942"/>
      <c r="AV301" s="1942"/>
      <c r="AW301" s="1942"/>
      <c r="AX301" s="1942"/>
      <c r="AY301" s="1942"/>
      <c r="AZ301" s="1942"/>
      <c r="BA301" s="1942"/>
      <c r="BB301" s="2448">
        <f t="shared" ref="BB301" si="41">(BD301)/(BE301)</f>
        <v>0.53798242483706482</v>
      </c>
      <c r="BC301" s="3166" t="str">
        <f t="shared" ref="BC301" si="42">CONCATENATE(G301," ",J301," Year EUL")</f>
        <v>Miscellaneous RES 10 Year EUL</v>
      </c>
      <c r="BD301" s="2446">
        <f>(INDEX('Avoided Cost Benefits'!$C$4:$C$857,MATCH(BC301,'Avoided Cost Benefits'!$A$4:$A$857,0)))*F301</f>
        <v>10.155402073375456</v>
      </c>
      <c r="BE301" s="2447">
        <f t="shared" ref="BE301" si="43">K301/(1.0595^(2020-2019))</f>
        <v>18.876828692779611</v>
      </c>
    </row>
    <row r="302" spans="1:57" s="1942" customFormat="1" x14ac:dyDescent="0.25">
      <c r="A302" s="123"/>
      <c r="B302" s="123"/>
      <c r="C302" s="3195" t="s">
        <v>765</v>
      </c>
      <c r="D302" s="3227" t="s">
        <v>763</v>
      </c>
      <c r="E302" s="3124" t="s">
        <v>766</v>
      </c>
      <c r="F302" s="531">
        <f>ROUND((G$317*G$323+G$318*G$324)*G$327,2)</f>
        <v>29.45</v>
      </c>
      <c r="G302" s="563" t="s">
        <v>388</v>
      </c>
      <c r="H302" s="449">
        <f>VLOOKUP(G302,'CP FACTORS'!$A$3:$B$38, 2, FALSE)</f>
        <v>1.148238E-4</v>
      </c>
      <c r="I302" s="450">
        <f t="shared" si="40"/>
        <v>3.382E-3</v>
      </c>
      <c r="J302" s="2718">
        <f t="shared" ref="J302:J309" si="44">$G$361</f>
        <v>10</v>
      </c>
      <c r="K302" s="519">
        <f>$G$331</f>
        <v>30</v>
      </c>
      <c r="L302" s="451" t="s">
        <v>185</v>
      </c>
      <c r="M302" s="557"/>
      <c r="N302" s="228"/>
      <c r="O302" s="123"/>
      <c r="P302" s="123"/>
      <c r="Q302" s="123"/>
      <c r="R302" s="1431"/>
      <c r="S302" s="123"/>
      <c r="T302" s="123"/>
      <c r="U302" s="123"/>
      <c r="V302" s="1962" t="str">
        <f>V301</f>
        <v>kWh Annual Savings</v>
      </c>
      <c r="W302" s="564"/>
      <c r="X302" s="564"/>
      <c r="Y302" s="565"/>
      <c r="Z302" s="565"/>
      <c r="AA302" s="565"/>
      <c r="AB302" s="1975">
        <v>29.45</v>
      </c>
      <c r="AC302" s="550">
        <v>29.45</v>
      </c>
      <c r="AD302" s="160"/>
      <c r="AE302" s="160"/>
      <c r="AF302" s="160"/>
      <c r="AG302" s="160"/>
      <c r="AH302" s="163"/>
      <c r="BB302" s="2448">
        <f t="shared" ref="BB302:BB305" si="45">(BD302)/(BE302)</f>
        <v>0.35865494989137653</v>
      </c>
      <c r="BC302" s="3166" t="str">
        <f t="shared" ref="BC302:BC305" si="46">CONCATENATE(G302," ",J302," Year EUL")</f>
        <v>Miscellaneous RES 10 Year EUL</v>
      </c>
      <c r="BD302" s="2446">
        <f>(INDEX('Avoided Cost Benefits'!$C$4:$C$857,MATCH(BC302,'Avoided Cost Benefits'!$A$4:$A$857,0)))*F302</f>
        <v>10.155402073375456</v>
      </c>
      <c r="BE302" s="2447">
        <f t="shared" ref="BE302:BE305" si="47">K302/(1.0595^(2020-2019))</f>
        <v>28.315243039169417</v>
      </c>
    </row>
    <row r="303" spans="1:57" s="51" customFormat="1" x14ac:dyDescent="0.25">
      <c r="A303" s="123"/>
      <c r="B303" s="123"/>
      <c r="C303" s="3195" t="s">
        <v>767</v>
      </c>
      <c r="D303" s="3227" t="s">
        <v>763</v>
      </c>
      <c r="E303" s="3124" t="s">
        <v>768</v>
      </c>
      <c r="F303" s="531">
        <f>ROUND((G$317*G$323+G$318*G$324)*G$328,2)</f>
        <v>29.08</v>
      </c>
      <c r="G303" s="563" t="s">
        <v>388</v>
      </c>
      <c r="H303" s="449">
        <f>VLOOKUP(G303,'CP FACTORS'!$A$3:$B$38, 2, FALSE)</f>
        <v>1.148238E-4</v>
      </c>
      <c r="I303" s="450">
        <f t="shared" si="40"/>
        <v>3.339E-3</v>
      </c>
      <c r="J303" s="2718">
        <f t="shared" si="44"/>
        <v>10</v>
      </c>
      <c r="K303" s="519">
        <f>$G$330</f>
        <v>20</v>
      </c>
      <c r="L303" s="451" t="s">
        <v>185</v>
      </c>
      <c r="M303" s="557"/>
      <c r="N303" s="228"/>
      <c r="O303" s="123"/>
      <c r="P303" s="123"/>
      <c r="Q303" s="123"/>
      <c r="R303" s="1431"/>
      <c r="S303" s="123"/>
      <c r="T303" s="123"/>
      <c r="U303" s="123"/>
      <c r="V303" s="1962" t="str">
        <f t="shared" ref="V303:V309" si="48">V302</f>
        <v>kWh Annual Savings</v>
      </c>
      <c r="W303" s="564">
        <v>24.18</v>
      </c>
      <c r="X303" s="564">
        <v>24.18</v>
      </c>
      <c r="Y303" s="565">
        <v>24.18</v>
      </c>
      <c r="Z303" s="565">
        <v>24.18</v>
      </c>
      <c r="AA303" s="565">
        <v>24.18</v>
      </c>
      <c r="AB303" s="1975">
        <v>29.08</v>
      </c>
      <c r="AC303" s="550">
        <v>29.08</v>
      </c>
      <c r="AD303" s="160"/>
      <c r="AE303" s="160"/>
      <c r="AF303" s="160"/>
      <c r="AG303" s="160"/>
      <c r="AH303" s="163"/>
      <c r="AI303" s="1942"/>
      <c r="AJ303" s="1942"/>
      <c r="AK303" s="1942"/>
      <c r="AL303" s="1942"/>
      <c r="AM303" s="1942"/>
      <c r="AN303" s="1942"/>
      <c r="AO303" s="1942"/>
      <c r="AP303" s="1942"/>
      <c r="AQ303" s="1942"/>
      <c r="AR303" s="1942"/>
      <c r="AS303" s="1942"/>
      <c r="AT303" s="1942"/>
      <c r="AU303" s="1942"/>
      <c r="AV303" s="1942"/>
      <c r="AW303" s="1942"/>
      <c r="AX303" s="1942"/>
      <c r="AY303" s="1942"/>
      <c r="AZ303" s="1942"/>
      <c r="BA303" s="1942"/>
      <c r="BB303" s="2448">
        <f t="shared" si="45"/>
        <v>0.53122339267442598</v>
      </c>
      <c r="BC303" s="3166" t="str">
        <f t="shared" si="46"/>
        <v>Miscellaneous RES 10 Year EUL</v>
      </c>
      <c r="BD303" s="2446">
        <f>(INDEX('Avoided Cost Benefits'!$C$4:$C$857,MATCH(BC303,'Avoided Cost Benefits'!$A$4:$A$857,0)))*F303</f>
        <v>10.027812981112334</v>
      </c>
      <c r="BE303" s="2447">
        <f t="shared" si="47"/>
        <v>18.876828692779611</v>
      </c>
    </row>
    <row r="304" spans="1:57" s="51" customFormat="1" ht="30" x14ac:dyDescent="0.25">
      <c r="A304" s="123"/>
      <c r="B304" s="123"/>
      <c r="C304" s="3195" t="s">
        <v>769</v>
      </c>
      <c r="D304" s="3227" t="s">
        <v>763</v>
      </c>
      <c r="E304" s="3124" t="s">
        <v>770</v>
      </c>
      <c r="F304" s="531">
        <f>ROUND((G$317*G$319+G$318*G$320)*G$327,2)</f>
        <v>71.349999999999994</v>
      </c>
      <c r="G304" s="563" t="s">
        <v>388</v>
      </c>
      <c r="H304" s="449">
        <f>VLOOKUP(G304,'CP FACTORS'!$A$3:$B$38, 2, FALSE)</f>
        <v>1.148238E-4</v>
      </c>
      <c r="I304" s="450">
        <f t="shared" si="40"/>
        <v>8.1930000000000006E-3</v>
      </c>
      <c r="J304" s="2718">
        <f t="shared" si="44"/>
        <v>10</v>
      </c>
      <c r="K304" s="519">
        <f>$G$330</f>
        <v>20</v>
      </c>
      <c r="L304" s="451" t="s">
        <v>185</v>
      </c>
      <c r="M304" s="557"/>
      <c r="N304" s="228"/>
      <c r="O304" s="123"/>
      <c r="P304" s="123"/>
      <c r="Q304" s="123"/>
      <c r="R304" s="1431"/>
      <c r="S304" s="123"/>
      <c r="T304" s="123"/>
      <c r="U304" s="123"/>
      <c r="V304" s="1962" t="str">
        <f t="shared" si="48"/>
        <v>kWh Annual Savings</v>
      </c>
      <c r="W304" s="564">
        <v>75.099999999999994</v>
      </c>
      <c r="X304" s="564">
        <v>75.099999999999994</v>
      </c>
      <c r="Y304" s="565">
        <v>75.099999999999994</v>
      </c>
      <c r="Z304" s="565">
        <v>75.099999999999994</v>
      </c>
      <c r="AA304" s="565">
        <v>75.099999999999994</v>
      </c>
      <c r="AB304" s="1975">
        <v>71.349999999999994</v>
      </c>
      <c r="AC304" s="550">
        <v>71.349999999999994</v>
      </c>
      <c r="AD304" s="160"/>
      <c r="AE304" s="160"/>
      <c r="AF304" s="160"/>
      <c r="AG304" s="160"/>
      <c r="AH304" s="163"/>
      <c r="AI304" s="1942"/>
      <c r="AJ304" s="1942"/>
      <c r="AK304" s="1942"/>
      <c r="AL304" s="1942"/>
      <c r="AM304" s="1942"/>
      <c r="AN304" s="1942"/>
      <c r="AO304" s="1942"/>
      <c r="AP304" s="1942"/>
      <c r="AQ304" s="1942"/>
      <c r="AR304" s="1942"/>
      <c r="AS304" s="1942"/>
      <c r="AT304" s="1942"/>
      <c r="AU304" s="1942"/>
      <c r="AV304" s="1942"/>
      <c r="AW304" s="1942"/>
      <c r="AX304" s="1942"/>
      <c r="AY304" s="1942"/>
      <c r="AZ304" s="1942"/>
      <c r="BA304" s="1942"/>
      <c r="BB304" s="2448">
        <f t="shared" si="45"/>
        <v>1.3033971481196798</v>
      </c>
      <c r="BC304" s="3166" t="str">
        <f t="shared" si="46"/>
        <v>Miscellaneous RES 10 Year EUL</v>
      </c>
      <c r="BD304" s="2446">
        <f>(INDEX('Avoided Cost Benefits'!$C$4:$C$857,MATCH(BC304,'Avoided Cost Benefits'!$A$4:$A$857,0)))*F304</f>
        <v>24.604004683712688</v>
      </c>
      <c r="BE304" s="2447">
        <f t="shared" si="47"/>
        <v>18.876828692779611</v>
      </c>
    </row>
    <row r="305" spans="1:69" s="1942" customFormat="1" x14ac:dyDescent="0.25">
      <c r="A305" s="123"/>
      <c r="B305" s="123"/>
      <c r="C305" s="3195" t="s">
        <v>771</v>
      </c>
      <c r="D305" s="3227" t="s">
        <v>763</v>
      </c>
      <c r="E305" s="3124" t="s">
        <v>772</v>
      </c>
      <c r="F305" s="531">
        <f>ROUND((G$317*G$319+G$318*G$320)*G$327,2)</f>
        <v>71.349999999999994</v>
      </c>
      <c r="G305" s="563" t="s">
        <v>388</v>
      </c>
      <c r="H305" s="449">
        <f>VLOOKUP(G305,'CP FACTORS'!$A$3:$B$38, 2, FALSE)</f>
        <v>1.148238E-4</v>
      </c>
      <c r="I305" s="450">
        <f t="shared" si="40"/>
        <v>8.1930000000000006E-3</v>
      </c>
      <c r="J305" s="2718">
        <f t="shared" si="44"/>
        <v>10</v>
      </c>
      <c r="K305" s="519">
        <f>$G$331</f>
        <v>30</v>
      </c>
      <c r="L305" s="451" t="s">
        <v>185</v>
      </c>
      <c r="M305" s="557"/>
      <c r="N305" s="228"/>
      <c r="O305" s="123"/>
      <c r="P305" s="123"/>
      <c r="Q305" s="123"/>
      <c r="R305" s="1431"/>
      <c r="S305" s="123"/>
      <c r="T305" s="123"/>
      <c r="U305" s="123"/>
      <c r="V305" s="1962" t="str">
        <f t="shared" si="48"/>
        <v>kWh Annual Savings</v>
      </c>
      <c r="W305" s="564"/>
      <c r="X305" s="564"/>
      <c r="Y305" s="565"/>
      <c r="Z305" s="565"/>
      <c r="AA305" s="565"/>
      <c r="AB305" s="1975">
        <v>71.349999999999994</v>
      </c>
      <c r="AC305" s="550">
        <v>71.349999999999994</v>
      </c>
      <c r="AD305" s="160"/>
      <c r="AE305" s="160"/>
      <c r="AF305" s="160"/>
      <c r="AG305" s="160"/>
      <c r="AH305" s="163"/>
      <c r="BB305" s="2448">
        <f t="shared" si="45"/>
        <v>0.86893143207978651</v>
      </c>
      <c r="BC305" s="3166" t="str">
        <f t="shared" si="46"/>
        <v>Miscellaneous RES 10 Year EUL</v>
      </c>
      <c r="BD305" s="2446">
        <f>(INDEX('Avoided Cost Benefits'!$C$4:$C$857,MATCH(BC305,'Avoided Cost Benefits'!$A$4:$A$857,0)))*F305</f>
        <v>24.604004683712688</v>
      </c>
      <c r="BE305" s="2447">
        <f t="shared" si="47"/>
        <v>28.315243039169417</v>
      </c>
    </row>
    <row r="306" spans="1:69" s="51" customFormat="1" x14ac:dyDescent="0.25">
      <c r="A306" s="123"/>
      <c r="B306" s="123"/>
      <c r="C306" s="3195" t="s">
        <v>773</v>
      </c>
      <c r="D306" s="3227" t="s">
        <v>763</v>
      </c>
      <c r="E306" s="3124" t="s">
        <v>774</v>
      </c>
      <c r="F306" s="531">
        <f>ROUND((G$317*G$319+G$318*G$320)*G$328,2)</f>
        <v>70.44</v>
      </c>
      <c r="G306" s="563" t="s">
        <v>388</v>
      </c>
      <c r="H306" s="449">
        <f>VLOOKUP(G306,'CP FACTORS'!$A$3:$B$38, 2, FALSE)</f>
        <v>1.148238E-4</v>
      </c>
      <c r="I306" s="450">
        <f t="shared" si="40"/>
        <v>8.0879999999999997E-3</v>
      </c>
      <c r="J306" s="2718">
        <f t="shared" si="44"/>
        <v>10</v>
      </c>
      <c r="K306" s="519">
        <f>$G$330</f>
        <v>20</v>
      </c>
      <c r="L306" s="451" t="s">
        <v>185</v>
      </c>
      <c r="M306" s="557"/>
      <c r="N306" s="228"/>
      <c r="O306" s="123"/>
      <c r="P306" s="123"/>
      <c r="Q306" s="123"/>
      <c r="R306" s="1431"/>
      <c r="S306" s="123"/>
      <c r="T306" s="123"/>
      <c r="U306" s="123"/>
      <c r="V306" s="1962" t="str">
        <f t="shared" si="48"/>
        <v>kWh Annual Savings</v>
      </c>
      <c r="W306" s="564">
        <v>58.577999999999996</v>
      </c>
      <c r="X306" s="564">
        <v>58.577999999999996</v>
      </c>
      <c r="Y306" s="565">
        <v>58.58</v>
      </c>
      <c r="Z306" s="565">
        <v>58.58</v>
      </c>
      <c r="AA306" s="565">
        <v>58.58</v>
      </c>
      <c r="AB306" s="1975">
        <v>70.44</v>
      </c>
      <c r="AC306" s="550">
        <v>70.44</v>
      </c>
      <c r="AD306" s="160"/>
      <c r="AE306" s="160"/>
      <c r="AF306" s="160"/>
      <c r="AG306" s="160"/>
      <c r="AH306" s="163"/>
      <c r="AI306" s="1942"/>
      <c r="AJ306" s="1942"/>
      <c r="AK306" s="1942"/>
      <c r="AL306" s="1942"/>
      <c r="AM306" s="1942"/>
      <c r="AN306" s="1942"/>
      <c r="AO306" s="1942"/>
      <c r="AP306" s="1942"/>
      <c r="AQ306" s="1942"/>
      <c r="AR306" s="1942"/>
      <c r="AS306" s="1942"/>
      <c r="AT306" s="1942"/>
      <c r="AU306" s="1942"/>
      <c r="AV306" s="1942"/>
      <c r="AW306" s="1942"/>
      <c r="AX306" s="1942"/>
      <c r="AY306" s="1942"/>
      <c r="AZ306" s="1942"/>
      <c r="BA306" s="1942"/>
      <c r="BB306" s="2448">
        <f t="shared" ref="BB306:BB309" si="49">(BD306)/(BE306)</f>
        <v>1.2867735825304871</v>
      </c>
      <c r="BC306" s="3166" t="str">
        <f t="shared" ref="BC306:BC309" si="50">CONCATENATE(G306," ",J306," Year EUL")</f>
        <v>Miscellaneous RES 10 Year EUL</v>
      </c>
      <c r="BD306" s="2446">
        <f>(INDEX('Avoided Cost Benefits'!$C$4:$C$857,MATCH(BC306,'Avoided Cost Benefits'!$A$4:$A$857,0)))*F306</f>
        <v>24.290204483822311</v>
      </c>
      <c r="BE306" s="2447">
        <f t="shared" ref="BE306:BE309" si="51">K306/(1.0595^(2020-2019))</f>
        <v>18.876828692779611</v>
      </c>
      <c r="BF306" s="1942"/>
      <c r="BG306" s="1942"/>
      <c r="BH306" s="1942"/>
      <c r="BI306" s="1942"/>
      <c r="BJ306" s="1942"/>
      <c r="BK306" s="1942"/>
      <c r="BL306" s="1942"/>
      <c r="BM306" s="1942"/>
      <c r="BN306" s="1942"/>
      <c r="BO306" s="1942"/>
      <c r="BP306" s="1942"/>
      <c r="BQ306" s="1942"/>
    </row>
    <row r="307" spans="1:69" s="51" customFormat="1" x14ac:dyDescent="0.25">
      <c r="A307" s="123"/>
      <c r="B307" s="123"/>
      <c r="C307" s="3195" t="s">
        <v>775</v>
      </c>
      <c r="D307" s="3227" t="s">
        <v>763</v>
      </c>
      <c r="E307" s="3124" t="s">
        <v>776</v>
      </c>
      <c r="F307" s="531">
        <f>ROUND((G$317*G$325+G$318*G$321)*G$327,2)</f>
        <v>56.26</v>
      </c>
      <c r="G307" s="563" t="s">
        <v>388</v>
      </c>
      <c r="H307" s="449">
        <f>VLOOKUP(G307,'CP FACTORS'!$A$3:$B$38, 2, FALSE)</f>
        <v>1.148238E-4</v>
      </c>
      <c r="I307" s="450">
        <f t="shared" si="40"/>
        <v>6.4599999999999996E-3</v>
      </c>
      <c r="J307" s="2718">
        <f t="shared" si="44"/>
        <v>10</v>
      </c>
      <c r="K307" s="519">
        <f>$G$330</f>
        <v>20</v>
      </c>
      <c r="L307" s="451" t="s">
        <v>185</v>
      </c>
      <c r="M307" s="557"/>
      <c r="N307" s="228"/>
      <c r="O307" s="123"/>
      <c r="P307" s="123"/>
      <c r="Q307" s="123"/>
      <c r="R307" s="1431"/>
      <c r="S307" s="123"/>
      <c r="T307" s="123"/>
      <c r="U307" s="123"/>
      <c r="V307" s="1962" t="str">
        <f t="shared" si="48"/>
        <v>kWh Annual Savings</v>
      </c>
      <c r="W307" s="564">
        <v>59.224000000000004</v>
      </c>
      <c r="X307" s="564">
        <v>59.224000000000004</v>
      </c>
      <c r="Y307" s="565">
        <v>59.22</v>
      </c>
      <c r="Z307" s="565">
        <v>59.22</v>
      </c>
      <c r="AA307" s="565">
        <v>59.22</v>
      </c>
      <c r="AB307" s="1975">
        <v>56.26</v>
      </c>
      <c r="AC307" s="550">
        <v>56.26</v>
      </c>
      <c r="AD307" s="160"/>
      <c r="AE307" s="160"/>
      <c r="AF307" s="160"/>
      <c r="AG307" s="160"/>
      <c r="AH307" s="163"/>
      <c r="AI307" s="1942"/>
      <c r="AJ307" s="1942"/>
      <c r="AK307" s="1942"/>
      <c r="AL307" s="1942"/>
      <c r="AM307" s="1942"/>
      <c r="AN307" s="1942"/>
      <c r="AO307" s="1942"/>
      <c r="AP307" s="1942"/>
      <c r="AQ307" s="1942"/>
      <c r="AR307" s="1942"/>
      <c r="AS307" s="1942"/>
      <c r="AT307" s="1942"/>
      <c r="AU307" s="1942"/>
      <c r="AV307" s="1942"/>
      <c r="AW307" s="1942"/>
      <c r="AX307" s="1942"/>
      <c r="AY307" s="1942"/>
      <c r="AZ307" s="1942"/>
      <c r="BA307" s="1942"/>
      <c r="BB307" s="2448">
        <f t="shared" si="49"/>
        <v>1.0277382418109766</v>
      </c>
      <c r="BC307" s="3166" t="str">
        <f t="shared" si="50"/>
        <v>Miscellaneous RES 10 Year EUL</v>
      </c>
      <c r="BD307" s="2446">
        <f>(INDEX('Avoided Cost Benefits'!$C$4:$C$857,MATCH(BC307,'Avoided Cost Benefits'!$A$4:$A$857,0)))*F307</f>
        <v>19.400438731684314</v>
      </c>
      <c r="BE307" s="2447">
        <f t="shared" si="51"/>
        <v>18.876828692779611</v>
      </c>
      <c r="BF307" s="1942"/>
      <c r="BG307" s="1942"/>
      <c r="BH307" s="1942"/>
      <c r="BI307" s="1942"/>
      <c r="BJ307" s="1942"/>
      <c r="BK307" s="1942"/>
      <c r="BL307" s="1942"/>
      <c r="BM307" s="1942"/>
      <c r="BN307" s="1942"/>
      <c r="BO307" s="1942"/>
      <c r="BP307" s="1942"/>
      <c r="BQ307" s="1942"/>
    </row>
    <row r="308" spans="1:69" s="1942" customFormat="1" x14ac:dyDescent="0.25">
      <c r="A308" s="123"/>
      <c r="B308" s="123"/>
      <c r="C308" s="3195" t="s">
        <v>777</v>
      </c>
      <c r="D308" s="3227" t="s">
        <v>763</v>
      </c>
      <c r="E308" s="3124" t="s">
        <v>778</v>
      </c>
      <c r="F308" s="531">
        <f>ROUND((G$317*G$325+G$318*G$321)*G$327,2)</f>
        <v>56.26</v>
      </c>
      <c r="G308" s="563" t="s">
        <v>388</v>
      </c>
      <c r="H308" s="449">
        <f>VLOOKUP(G308,'CP FACTORS'!$A$3:$B$38, 2, FALSE)</f>
        <v>1.148238E-4</v>
      </c>
      <c r="I308" s="450">
        <f t="shared" si="40"/>
        <v>6.4599999999999996E-3</v>
      </c>
      <c r="J308" s="2718">
        <f t="shared" si="44"/>
        <v>10</v>
      </c>
      <c r="K308" s="519">
        <f>$G$331</f>
        <v>30</v>
      </c>
      <c r="L308" s="451" t="s">
        <v>185</v>
      </c>
      <c r="M308" s="557"/>
      <c r="N308" s="228"/>
      <c r="O308" s="123"/>
      <c r="P308" s="123"/>
      <c r="Q308" s="123"/>
      <c r="R308" s="1431"/>
      <c r="S308" s="123"/>
      <c r="T308" s="123"/>
      <c r="U308" s="123"/>
      <c r="V308" s="1962" t="str">
        <f t="shared" si="48"/>
        <v>kWh Annual Savings</v>
      </c>
      <c r="W308" s="564"/>
      <c r="X308" s="564"/>
      <c r="Y308" s="565"/>
      <c r="Z308" s="565"/>
      <c r="AA308" s="565"/>
      <c r="AB308" s="1975">
        <v>56.26</v>
      </c>
      <c r="AC308" s="550">
        <v>56.26</v>
      </c>
      <c r="AD308" s="160"/>
      <c r="AE308" s="160"/>
      <c r="AF308" s="160"/>
      <c r="AG308" s="160"/>
      <c r="AH308" s="163"/>
      <c r="BB308" s="2448">
        <f t="shared" si="49"/>
        <v>0.68515882787398441</v>
      </c>
      <c r="BC308" s="3166" t="str">
        <f t="shared" si="50"/>
        <v>Miscellaneous RES 10 Year EUL</v>
      </c>
      <c r="BD308" s="2446">
        <f>(INDEX('Avoided Cost Benefits'!$C$4:$C$857,MATCH(BC308,'Avoided Cost Benefits'!$A$4:$A$857,0)))*F308</f>
        <v>19.400438731684314</v>
      </c>
      <c r="BE308" s="2447">
        <f t="shared" si="51"/>
        <v>28.315243039169417</v>
      </c>
    </row>
    <row r="309" spans="1:69" s="51" customFormat="1" x14ac:dyDescent="0.25">
      <c r="A309" s="123"/>
      <c r="B309" s="123"/>
      <c r="C309" s="3195" t="s">
        <v>779</v>
      </c>
      <c r="D309" s="3227" t="s">
        <v>763</v>
      </c>
      <c r="E309" s="3124" t="s">
        <v>780</v>
      </c>
      <c r="F309" s="531">
        <f>ROUND((G$317*G$326+G$318*G$322)*G$328,2)</f>
        <v>50.59</v>
      </c>
      <c r="G309" s="563" t="s">
        <v>388</v>
      </c>
      <c r="H309" s="449">
        <f>VLOOKUP(G309,'CP FACTORS'!$A$3:$B$38, 2, FALSE)</f>
        <v>1.148238E-4</v>
      </c>
      <c r="I309" s="450">
        <f t="shared" si="40"/>
        <v>5.8089999999999999E-3</v>
      </c>
      <c r="J309" s="2718">
        <f t="shared" si="44"/>
        <v>10</v>
      </c>
      <c r="K309" s="519">
        <f>$G$330</f>
        <v>20</v>
      </c>
      <c r="L309" s="451" t="s">
        <v>185</v>
      </c>
      <c r="M309" s="557"/>
      <c r="N309" s="228"/>
      <c r="O309" s="123"/>
      <c r="P309" s="123"/>
      <c r="Q309" s="123"/>
      <c r="R309" s="1431"/>
      <c r="S309" s="123"/>
      <c r="T309" s="123"/>
      <c r="U309" s="123"/>
      <c r="V309" s="1962" t="str">
        <f t="shared" si="48"/>
        <v>kWh Annual Savings</v>
      </c>
      <c r="W309" s="564">
        <v>42.066960000000002</v>
      </c>
      <c r="X309" s="564">
        <v>42.066960000000002</v>
      </c>
      <c r="Y309" s="565">
        <v>42.07</v>
      </c>
      <c r="Z309" s="565">
        <v>42.07</v>
      </c>
      <c r="AA309" s="565">
        <v>42.07</v>
      </c>
      <c r="AB309" s="1975">
        <v>50.59</v>
      </c>
      <c r="AC309" s="550">
        <v>50.59</v>
      </c>
      <c r="AD309" s="160"/>
      <c r="AE309" s="160"/>
      <c r="AF309" s="160"/>
      <c r="AG309" s="160"/>
      <c r="AH309" s="163"/>
      <c r="AI309" s="1942"/>
      <c r="AJ309" s="1942"/>
      <c r="AK309" s="1942"/>
      <c r="AL309" s="1942"/>
      <c r="AM309" s="1942"/>
      <c r="AN309" s="1942"/>
      <c r="AO309" s="1942"/>
      <c r="AP309" s="1942"/>
      <c r="AQ309" s="1942"/>
      <c r="AR309" s="1942"/>
      <c r="AS309" s="1942"/>
      <c r="AT309" s="1942"/>
      <c r="AU309" s="1942"/>
      <c r="AV309" s="1942"/>
      <c r="AW309" s="1942"/>
      <c r="AX309" s="1942"/>
      <c r="AY309" s="1942"/>
      <c r="AZ309" s="1942"/>
      <c r="BA309" s="1942"/>
      <c r="BB309" s="2448">
        <f t="shared" si="49"/>
        <v>0.92416064083215987</v>
      </c>
      <c r="BC309" s="3166" t="str">
        <f t="shared" si="50"/>
        <v>Miscellaneous RES 10 Year EUL</v>
      </c>
      <c r="BD309" s="2446">
        <f>(INDEX('Avoided Cost Benefits'!$C$4:$C$857,MATCH(BC309,'Avoided Cost Benefits'!$A$4:$A$857,0)))*F309</f>
        <v>17.445222101598109</v>
      </c>
      <c r="BE309" s="2447">
        <f t="shared" si="51"/>
        <v>18.876828692779611</v>
      </c>
      <c r="BF309" s="1942"/>
      <c r="BG309" s="1942"/>
      <c r="BH309" s="1942"/>
      <c r="BI309" s="1942"/>
      <c r="BJ309" s="1942"/>
      <c r="BK309" s="1942"/>
      <c r="BL309" s="1942"/>
      <c r="BM309" s="1942"/>
      <c r="BN309" s="1942"/>
      <c r="BO309" s="1942"/>
      <c r="BP309" s="1942"/>
      <c r="BQ309" s="1942"/>
    </row>
    <row r="310" spans="1:69" hidden="1" outlineLevel="1" x14ac:dyDescent="0.25">
      <c r="M310" s="3220"/>
      <c r="X310" s="181" t="s">
        <v>408</v>
      </c>
      <c r="Y310" s="181" t="s">
        <v>409</v>
      </c>
      <c r="AC310" s="1930"/>
      <c r="AD310" s="1930"/>
      <c r="AE310" s="1930"/>
      <c r="AF310" s="1930"/>
      <c r="AG310" s="1930"/>
      <c r="AH310" s="1930"/>
      <c r="AI310" s="1930"/>
      <c r="AJ310" s="1930"/>
      <c r="AK310" s="1930"/>
      <c r="AL310" s="1930"/>
      <c r="AM310" s="1930"/>
      <c r="AN310" s="1930"/>
      <c r="AO310" s="1930"/>
      <c r="AP310" s="1930"/>
      <c r="AQ310" s="1930"/>
      <c r="AR310" s="1930"/>
      <c r="AS310" s="1930"/>
      <c r="AT310" s="1930"/>
      <c r="AU310" s="1930"/>
      <c r="AV310" s="1930"/>
      <c r="AW310" s="1930"/>
      <c r="AX310" s="1930"/>
      <c r="AY310" s="1930"/>
      <c r="AZ310" s="1930"/>
      <c r="BA310" s="1930"/>
      <c r="BB310" s="1930"/>
      <c r="BC310" s="1930"/>
      <c r="BF310" s="1930"/>
      <c r="BG310" s="1930"/>
      <c r="BH310" s="1930"/>
      <c r="BI310" s="1930"/>
      <c r="BJ310" s="1930"/>
      <c r="BK310" s="1930"/>
      <c r="BL310" s="1930"/>
      <c r="BM310" s="1930"/>
      <c r="BN310" s="1930"/>
      <c r="BO310" s="1930"/>
      <c r="BP310" s="1930"/>
      <c r="BQ310" s="1930"/>
    </row>
    <row r="311" spans="1:69" hidden="1" outlineLevel="1" x14ac:dyDescent="0.25">
      <c r="D311" s="174" t="s">
        <v>108</v>
      </c>
      <c r="M311" s="3220"/>
      <c r="AC311" s="1930"/>
      <c r="AD311" s="1930"/>
      <c r="AE311" s="1930"/>
      <c r="AF311" s="1930"/>
      <c r="AG311" s="1930"/>
      <c r="AH311" s="1930"/>
      <c r="AI311" s="1930"/>
      <c r="AJ311" s="1930"/>
      <c r="AK311" s="1930"/>
      <c r="AL311" s="1930"/>
      <c r="AM311" s="1930"/>
      <c r="AN311" s="1930"/>
      <c r="AO311" s="1930"/>
      <c r="AP311" s="1930"/>
      <c r="AQ311" s="1930"/>
      <c r="AR311" s="1930"/>
      <c r="AS311" s="1930"/>
      <c r="AT311" s="1930"/>
      <c r="AU311" s="1930"/>
      <c r="AV311" s="1930"/>
      <c r="AW311" s="1930"/>
      <c r="AX311" s="1930"/>
      <c r="AY311" s="1930"/>
      <c r="AZ311" s="1930"/>
      <c r="BA311" s="1930"/>
      <c r="BB311" s="1930"/>
      <c r="BC311" s="1930"/>
      <c r="BF311" s="1930"/>
      <c r="BG311" s="1930"/>
      <c r="BH311" s="1930"/>
      <c r="BI311" s="1930"/>
      <c r="BJ311" s="1930"/>
      <c r="BK311" s="1930"/>
      <c r="BL311" s="1930"/>
      <c r="BM311" s="1930"/>
      <c r="BN311" s="1930"/>
      <c r="BO311" s="1930"/>
      <c r="BP311" s="1930"/>
      <c r="BQ311" s="1930"/>
    </row>
    <row r="312" spans="1:69" hidden="1" outlineLevel="1" x14ac:dyDescent="0.25">
      <c r="M312" s="3220"/>
      <c r="AC312" s="1930"/>
      <c r="AD312" s="1930"/>
      <c r="AE312" s="1930"/>
      <c r="AF312" s="1930"/>
      <c r="AG312" s="1930"/>
      <c r="AH312" s="1930"/>
      <c r="AI312" s="1930"/>
      <c r="AJ312" s="1930"/>
      <c r="AK312" s="1930"/>
      <c r="AL312" s="1930"/>
      <c r="AM312" s="1930"/>
      <c r="AN312" s="1930"/>
      <c r="AO312" s="1930"/>
      <c r="AP312" s="1930"/>
      <c r="AQ312" s="1930"/>
      <c r="AR312" s="1930"/>
      <c r="AS312" s="1930"/>
      <c r="AT312" s="1930"/>
      <c r="AU312" s="1930"/>
      <c r="AV312" s="1930"/>
      <c r="AW312" s="1930"/>
      <c r="AX312" s="1930"/>
      <c r="AY312" s="1930"/>
      <c r="AZ312" s="1930"/>
      <c r="BA312" s="1930"/>
      <c r="BB312" s="1930"/>
      <c r="BC312" s="1930"/>
      <c r="BF312" s="1930"/>
      <c r="BG312" s="1930"/>
      <c r="BH312" s="1930"/>
      <c r="BI312" s="1930"/>
      <c r="BJ312" s="1930"/>
      <c r="BK312" s="1930"/>
      <c r="BL312" s="1930"/>
      <c r="BM312" s="1930"/>
      <c r="BN312" s="1930"/>
      <c r="BO312" s="1930"/>
      <c r="BP312" s="1930"/>
      <c r="BQ312" s="1930"/>
    </row>
    <row r="313" spans="1:69" hidden="1" outlineLevel="1" x14ac:dyDescent="0.25">
      <c r="M313" s="3220"/>
      <c r="AC313" s="1930"/>
      <c r="AD313" s="1930"/>
      <c r="AE313" s="1930"/>
      <c r="AF313" s="1930"/>
      <c r="AG313" s="1930"/>
      <c r="AH313" s="1930"/>
      <c r="AI313" s="1930"/>
      <c r="AJ313" s="1930"/>
      <c r="AK313" s="1930"/>
      <c r="AL313" s="1930"/>
      <c r="AM313" s="1930"/>
      <c r="AN313" s="1930"/>
      <c r="AO313" s="1930"/>
      <c r="AP313" s="1930"/>
      <c r="AQ313" s="1930"/>
      <c r="AR313" s="1930"/>
      <c r="AS313" s="1930"/>
      <c r="AT313" s="1930"/>
      <c r="AU313" s="1930"/>
      <c r="AV313" s="1930"/>
      <c r="AW313" s="1930"/>
      <c r="AX313" s="1930"/>
      <c r="AY313" s="1930"/>
      <c r="AZ313" s="1930"/>
      <c r="BA313" s="1930"/>
      <c r="BB313" s="1930"/>
      <c r="BC313" s="1930"/>
      <c r="BF313" s="1930"/>
      <c r="BG313" s="1930"/>
      <c r="BH313" s="1930"/>
      <c r="BI313" s="1930"/>
      <c r="BJ313" s="1930"/>
      <c r="BK313" s="1930"/>
      <c r="BL313" s="1930"/>
      <c r="BM313" s="1930"/>
      <c r="BN313" s="1930"/>
      <c r="BO313" s="1930"/>
      <c r="BP313" s="1930"/>
      <c r="BQ313" s="1930"/>
    </row>
    <row r="314" spans="1:69" hidden="1" outlineLevel="1" x14ac:dyDescent="0.25">
      <c r="M314" s="3220"/>
      <c r="AC314" s="1930"/>
      <c r="AD314" s="1930"/>
      <c r="AE314" s="1930"/>
      <c r="AF314" s="1930"/>
      <c r="AG314" s="1930"/>
      <c r="AH314" s="1930"/>
      <c r="AI314" s="1930"/>
      <c r="AJ314" s="1930"/>
      <c r="AK314" s="1930"/>
      <c r="AL314" s="1930"/>
      <c r="AM314" s="1930"/>
      <c r="AN314" s="1930"/>
      <c r="AO314" s="1930"/>
      <c r="AP314" s="1930"/>
      <c r="AQ314" s="1930"/>
      <c r="AR314" s="1930"/>
      <c r="AS314" s="1930"/>
      <c r="AT314" s="1930"/>
      <c r="AU314" s="1930"/>
      <c r="AV314" s="1930"/>
      <c r="AW314" s="1930"/>
      <c r="AX314" s="1930"/>
      <c r="AY314" s="1930"/>
      <c r="AZ314" s="1930"/>
      <c r="BA314" s="1930"/>
      <c r="BB314" s="1930"/>
      <c r="BC314" s="1930"/>
      <c r="BF314" s="1930"/>
      <c r="BG314" s="1930"/>
      <c r="BH314" s="1930"/>
      <c r="BI314" s="1930"/>
      <c r="BJ314" s="1930"/>
      <c r="BK314" s="1930"/>
      <c r="BL314" s="1930"/>
      <c r="BM314" s="1930"/>
      <c r="BN314" s="1930"/>
      <c r="BO314" s="1930"/>
      <c r="BP314" s="1930"/>
      <c r="BQ314" s="1930"/>
    </row>
    <row r="315" spans="1:69" hidden="1" outlineLevel="1" x14ac:dyDescent="0.25">
      <c r="M315" s="3220"/>
      <c r="AC315" s="1930"/>
      <c r="AD315" s="1930"/>
      <c r="AE315" s="1930"/>
      <c r="AF315" s="1930"/>
      <c r="AG315" s="1930"/>
      <c r="AH315" s="1930"/>
      <c r="AI315" s="1930"/>
      <c r="AJ315" s="1930"/>
      <c r="AK315" s="1930"/>
      <c r="AL315" s="1930"/>
      <c r="AM315" s="1930"/>
      <c r="AN315" s="1930"/>
      <c r="AO315" s="1930"/>
      <c r="AP315" s="1930"/>
      <c r="AQ315" s="1930"/>
      <c r="AR315" s="1930"/>
      <c r="AS315" s="1930"/>
      <c r="AT315" s="1930"/>
      <c r="AU315" s="1930"/>
      <c r="AV315" s="1930"/>
      <c r="AW315" s="1930"/>
      <c r="AX315" s="1930"/>
      <c r="AY315" s="1930"/>
      <c r="AZ315" s="1930"/>
      <c r="BA315" s="1930"/>
      <c r="BB315" s="1930"/>
      <c r="BC315" s="1930"/>
      <c r="BF315" s="1930"/>
      <c r="BG315" s="1930"/>
      <c r="BH315" s="1930"/>
      <c r="BI315" s="1930"/>
      <c r="BJ315" s="1930"/>
      <c r="BK315" s="1930"/>
      <c r="BL315" s="1930"/>
      <c r="BM315" s="1930"/>
      <c r="BN315" s="1930"/>
      <c r="BO315" s="1930"/>
      <c r="BP315" s="1930"/>
      <c r="BQ315" s="1930"/>
    </row>
    <row r="316" spans="1:69" hidden="1" outlineLevel="1" x14ac:dyDescent="0.25">
      <c r="D316" s="3236" t="s">
        <v>109</v>
      </c>
      <c r="E316" s="3205" t="s">
        <v>110</v>
      </c>
      <c r="F316" s="3034" t="s">
        <v>781</v>
      </c>
      <c r="G316" s="3034" t="s">
        <v>782</v>
      </c>
      <c r="H316" s="3773" t="s">
        <v>283</v>
      </c>
      <c r="I316" s="3773"/>
      <c r="K316" s="3220"/>
      <c r="M316" s="123"/>
      <c r="V316" s="551" t="s">
        <v>45</v>
      </c>
      <c r="W316" s="360">
        <f>$W$6</f>
        <v>43252</v>
      </c>
      <c r="X316" s="360">
        <f>$X$6</f>
        <v>43465</v>
      </c>
      <c r="Y316" s="360">
        <f>$Y$6</f>
        <v>43800</v>
      </c>
      <c r="Z316" s="360">
        <f>$Z$6</f>
        <v>43862</v>
      </c>
      <c r="AA316" s="360">
        <f>$AA$6</f>
        <v>44013</v>
      </c>
      <c r="AB316" s="360">
        <f>$AB$6</f>
        <v>44166</v>
      </c>
      <c r="AC316" s="1937">
        <f>$AC$6</f>
        <v>44531</v>
      </c>
      <c r="AD316" s="1937" t="str">
        <f>$AD$6</f>
        <v>-</v>
      </c>
      <c r="AE316" s="1937" t="str">
        <f>$AE$6</f>
        <v>-</v>
      </c>
      <c r="AF316" s="1937" t="str">
        <f>$AF$6</f>
        <v>-</v>
      </c>
      <c r="AG316" s="1937" t="str">
        <f>$AG$6</f>
        <v>-</v>
      </c>
      <c r="AH316" s="485"/>
      <c r="AI316" s="1930"/>
      <c r="AJ316" s="1930"/>
      <c r="AK316" s="1930"/>
      <c r="AL316" s="1930"/>
      <c r="AM316" s="1930"/>
      <c r="AN316" s="1930"/>
      <c r="AO316" s="1930"/>
      <c r="AP316" s="1930"/>
      <c r="AQ316" s="1930"/>
      <c r="AR316" s="1930"/>
      <c r="AS316" s="1930"/>
      <c r="AT316" s="1930"/>
      <c r="AU316" s="1930"/>
      <c r="AV316" s="1930"/>
      <c r="AW316" s="1930"/>
      <c r="AX316" s="1930"/>
      <c r="AY316" s="1930"/>
      <c r="AZ316" s="1930"/>
      <c r="BA316" s="1930"/>
      <c r="BB316" s="1930"/>
      <c r="BC316" s="1930"/>
      <c r="BF316" s="2202"/>
      <c r="BG316" s="2202"/>
      <c r="BH316" s="2202"/>
      <c r="BI316" s="2202"/>
      <c r="BJ316" s="2202"/>
      <c r="BK316" s="2202"/>
      <c r="BL316" s="2202"/>
      <c r="BM316" s="2202"/>
      <c r="BN316" s="2202"/>
      <c r="BO316" s="2202"/>
      <c r="BP316" s="2202"/>
      <c r="BQ316" s="2202"/>
    </row>
    <row r="317" spans="1:69" hidden="1" outlineLevel="1" x14ac:dyDescent="0.25">
      <c r="D317" s="3896" t="s">
        <v>783</v>
      </c>
      <c r="E317" s="3898" t="s">
        <v>784</v>
      </c>
      <c r="F317" s="3246" t="s">
        <v>785</v>
      </c>
      <c r="G317" s="3226">
        <v>31</v>
      </c>
      <c r="H317" s="3894"/>
      <c r="I317" s="3895"/>
      <c r="K317" s="3220"/>
      <c r="M317" s="123"/>
      <c r="V317" s="3887" t="s">
        <v>784</v>
      </c>
      <c r="W317" s="566">
        <v>31</v>
      </c>
      <c r="X317" s="566">
        <v>31</v>
      </c>
      <c r="Y317" s="566">
        <v>31</v>
      </c>
      <c r="Z317" s="566">
        <v>31</v>
      </c>
      <c r="AA317" s="566">
        <v>31</v>
      </c>
      <c r="AB317" s="3226">
        <v>31</v>
      </c>
      <c r="AC317" s="566">
        <v>31</v>
      </c>
      <c r="AD317" s="566"/>
      <c r="AE317" s="566"/>
      <c r="AF317" s="566"/>
      <c r="AG317" s="566"/>
      <c r="AH317" s="1930"/>
      <c r="AI317" s="1930"/>
      <c r="AJ317" s="1930"/>
      <c r="AK317" s="1930"/>
      <c r="AL317" s="1930"/>
      <c r="AM317" s="1930"/>
      <c r="AN317" s="1930"/>
      <c r="AO317" s="1930"/>
      <c r="AP317" s="1930"/>
      <c r="AQ317" s="1930"/>
      <c r="AR317" s="1930"/>
      <c r="AS317" s="1930"/>
      <c r="AT317" s="1930"/>
      <c r="AU317" s="1930"/>
      <c r="AV317" s="1930"/>
      <c r="AW317" s="1930"/>
      <c r="AX317" s="1930"/>
      <c r="AY317" s="1930"/>
      <c r="AZ317" s="1930"/>
      <c r="BA317" s="1930"/>
      <c r="BB317" s="1930"/>
      <c r="BC317" s="1930"/>
      <c r="BF317" s="2052"/>
      <c r="BG317" s="2052"/>
      <c r="BH317" s="2052"/>
      <c r="BI317" s="2052"/>
      <c r="BJ317" s="2052"/>
      <c r="BK317" s="2052"/>
      <c r="BL317" s="2052"/>
      <c r="BM317" s="2052"/>
      <c r="BN317" s="2052"/>
      <c r="BO317" s="2052"/>
      <c r="BP317" s="2052"/>
      <c r="BQ317" s="2052"/>
    </row>
    <row r="318" spans="1:69" s="1930" customFormat="1" hidden="1" outlineLevel="1" x14ac:dyDescent="0.25">
      <c r="A318" s="123"/>
      <c r="B318" s="123"/>
      <c r="C318" s="329"/>
      <c r="D318" s="3896"/>
      <c r="E318" s="3898"/>
      <c r="F318" s="3246" t="s">
        <v>786</v>
      </c>
      <c r="G318" s="3226">
        <v>75.099999999999994</v>
      </c>
      <c r="H318" s="3894"/>
      <c r="I318" s="3895"/>
      <c r="J318" s="123"/>
      <c r="K318" s="3220"/>
      <c r="L318" s="123"/>
      <c r="M318" s="123"/>
      <c r="N318" s="123"/>
      <c r="O318" s="123"/>
      <c r="P318" s="123"/>
      <c r="Q318" s="123"/>
      <c r="R318" s="123"/>
      <c r="S318" s="123"/>
      <c r="T318" s="123"/>
      <c r="U318" s="123"/>
      <c r="V318" s="3888"/>
      <c r="W318" s="566"/>
      <c r="X318" s="566"/>
      <c r="Y318" s="566"/>
      <c r="Z318" s="566"/>
      <c r="AA318" s="566"/>
      <c r="AB318" s="3226">
        <v>75.099999999999994</v>
      </c>
      <c r="AC318" s="566">
        <v>75.099999999999994</v>
      </c>
      <c r="AD318" s="566"/>
      <c r="AE318" s="566"/>
      <c r="AF318" s="566"/>
      <c r="AG318" s="566"/>
      <c r="BD318" s="1"/>
      <c r="BE318" s="1"/>
      <c r="BF318" s="2052"/>
      <c r="BG318" s="2052"/>
      <c r="BH318" s="2052"/>
      <c r="BI318" s="2052"/>
      <c r="BJ318" s="2052"/>
      <c r="BK318" s="2052"/>
      <c r="BL318" s="2052"/>
      <c r="BM318" s="2052"/>
      <c r="BN318" s="2052"/>
      <c r="BO318" s="2052"/>
      <c r="BP318" s="2052"/>
      <c r="BQ318" s="2052"/>
    </row>
    <row r="319" spans="1:69" hidden="1" outlineLevel="1" x14ac:dyDescent="0.25">
      <c r="D319" s="3896" t="s">
        <v>787</v>
      </c>
      <c r="E319" s="3897" t="s">
        <v>788</v>
      </c>
      <c r="F319" s="3246" t="s">
        <v>785</v>
      </c>
      <c r="G319" s="214">
        <v>0</v>
      </c>
      <c r="H319" s="3894"/>
      <c r="I319" s="3895"/>
      <c r="K319" s="3220"/>
      <c r="M319" s="123"/>
      <c r="V319" s="3889" t="s">
        <v>788</v>
      </c>
      <c r="W319" s="567">
        <v>0</v>
      </c>
      <c r="X319" s="567">
        <v>0</v>
      </c>
      <c r="Y319" s="567">
        <v>0</v>
      </c>
      <c r="Z319" s="567">
        <v>0</v>
      </c>
      <c r="AA319" s="567">
        <v>0</v>
      </c>
      <c r="AB319" s="214">
        <v>0</v>
      </c>
      <c r="AC319" s="3031">
        <v>0</v>
      </c>
      <c r="AD319" s="567"/>
      <c r="AE319" s="567"/>
      <c r="AF319" s="567"/>
      <c r="AG319" s="567"/>
      <c r="AH319" s="1930"/>
      <c r="AI319" s="1930"/>
      <c r="AJ319" s="1930"/>
      <c r="AK319" s="1930"/>
      <c r="AL319" s="1930"/>
      <c r="AM319" s="1930"/>
      <c r="AN319" s="1930"/>
      <c r="AO319" s="1930"/>
      <c r="AP319" s="1930"/>
      <c r="AQ319" s="1930"/>
      <c r="AR319" s="1930"/>
      <c r="AS319" s="1930"/>
      <c r="AT319" s="1930"/>
      <c r="AU319" s="1930"/>
      <c r="AV319" s="1930"/>
      <c r="AW319" s="1930"/>
      <c r="AX319" s="1930"/>
      <c r="AY319" s="1930"/>
      <c r="AZ319" s="1930"/>
      <c r="BA319" s="1930"/>
      <c r="BB319" s="1930"/>
      <c r="BC319" s="1930"/>
      <c r="BF319" s="2052"/>
      <c r="BG319" s="2052"/>
      <c r="BH319" s="2052"/>
      <c r="BI319" s="2052"/>
      <c r="BJ319" s="2052"/>
      <c r="BK319" s="2052"/>
      <c r="BL319" s="2052"/>
      <c r="BM319" s="2052"/>
      <c r="BN319" s="2052"/>
      <c r="BO319" s="2052"/>
      <c r="BP319" s="2052"/>
      <c r="BQ319" s="2052"/>
    </row>
    <row r="320" spans="1:69" s="1930" customFormat="1" hidden="1" outlineLevel="1" x14ac:dyDescent="0.25">
      <c r="A320" s="123"/>
      <c r="B320" s="123"/>
      <c r="C320" s="329"/>
      <c r="D320" s="3896"/>
      <c r="E320" s="3897"/>
      <c r="F320" s="3246" t="s">
        <v>786</v>
      </c>
      <c r="G320" s="214">
        <v>1</v>
      </c>
      <c r="H320" s="3894"/>
      <c r="I320" s="3895"/>
      <c r="J320" s="123"/>
      <c r="K320" s="3220"/>
      <c r="L320" s="123"/>
      <c r="M320" s="123"/>
      <c r="N320" s="123"/>
      <c r="O320" s="123"/>
      <c r="P320" s="123"/>
      <c r="Q320" s="123"/>
      <c r="R320" s="123"/>
      <c r="S320" s="123"/>
      <c r="T320" s="123"/>
      <c r="U320" s="123"/>
      <c r="V320" s="3890"/>
      <c r="W320" s="567"/>
      <c r="X320" s="567"/>
      <c r="Y320" s="567"/>
      <c r="Z320" s="567"/>
      <c r="AA320" s="567"/>
      <c r="AB320" s="214">
        <v>1</v>
      </c>
      <c r="AC320" s="3031">
        <v>1</v>
      </c>
      <c r="AD320" s="567"/>
      <c r="AE320" s="567"/>
      <c r="AF320" s="567"/>
      <c r="AG320" s="567"/>
      <c r="BD320" s="1"/>
      <c r="BE320" s="1"/>
      <c r="BF320" s="2052"/>
      <c r="BG320" s="2052"/>
      <c r="BH320" s="2052"/>
      <c r="BI320" s="2052"/>
      <c r="BJ320" s="2052"/>
      <c r="BK320" s="2052"/>
      <c r="BL320" s="2052"/>
      <c r="BM320" s="2052"/>
      <c r="BN320" s="2052"/>
      <c r="BO320" s="2052"/>
      <c r="BP320" s="2052"/>
      <c r="BQ320" s="2052"/>
    </row>
    <row r="321" spans="1:69" s="1930" customFormat="1" ht="30" hidden="1" outlineLevel="1" x14ac:dyDescent="0.25">
      <c r="A321" s="123"/>
      <c r="B321" s="123"/>
      <c r="C321" s="329"/>
      <c r="D321" s="3896"/>
      <c r="E321" s="3897"/>
      <c r="F321" s="3127" t="s">
        <v>789</v>
      </c>
      <c r="G321" s="214">
        <v>0.64</v>
      </c>
      <c r="H321" s="3894"/>
      <c r="I321" s="3895"/>
      <c r="J321" s="123"/>
      <c r="K321" s="3220"/>
      <c r="L321" s="123"/>
      <c r="M321" s="123"/>
      <c r="N321" s="123"/>
      <c r="O321" s="123"/>
      <c r="P321" s="123"/>
      <c r="Q321" s="123"/>
      <c r="R321" s="123"/>
      <c r="S321" s="123"/>
      <c r="T321" s="123"/>
      <c r="U321" s="123"/>
      <c r="V321" s="3890"/>
      <c r="W321" s="567"/>
      <c r="X321" s="567"/>
      <c r="Y321" s="567"/>
      <c r="Z321" s="567"/>
      <c r="AA321" s="567"/>
      <c r="AB321" s="214">
        <v>0.64</v>
      </c>
      <c r="AC321" s="3031">
        <v>0.64</v>
      </c>
      <c r="AD321" s="567"/>
      <c r="AE321" s="567"/>
      <c r="AF321" s="567"/>
      <c r="AG321" s="567"/>
      <c r="BD321" s="1"/>
      <c r="BE321" s="1"/>
      <c r="BF321" s="2052"/>
      <c r="BG321" s="2052"/>
      <c r="BH321" s="2052"/>
      <c r="BI321" s="2052"/>
      <c r="BJ321" s="2052"/>
      <c r="BK321" s="2052"/>
      <c r="BL321" s="2052"/>
      <c r="BM321" s="2052"/>
      <c r="BN321" s="2052"/>
      <c r="BO321" s="2052"/>
      <c r="BP321" s="2052"/>
      <c r="BQ321" s="2052"/>
    </row>
    <row r="322" spans="1:69" s="1930" customFormat="1" ht="30" hidden="1" outlineLevel="1" x14ac:dyDescent="0.25">
      <c r="A322" s="123"/>
      <c r="B322" s="123"/>
      <c r="C322" s="329"/>
      <c r="D322" s="3896"/>
      <c r="E322" s="3897"/>
      <c r="F322" s="3127" t="s">
        <v>790</v>
      </c>
      <c r="G322" s="214">
        <v>0.52</v>
      </c>
      <c r="H322" s="3894"/>
      <c r="I322" s="3895"/>
      <c r="J322" s="123"/>
      <c r="K322" s="3220"/>
      <c r="L322" s="123"/>
      <c r="M322" s="123"/>
      <c r="N322" s="123"/>
      <c r="O322" s="123"/>
      <c r="P322" s="123"/>
      <c r="Q322" s="123"/>
      <c r="R322" s="123"/>
      <c r="S322" s="123"/>
      <c r="T322" s="123"/>
      <c r="U322" s="123"/>
      <c r="V322" s="3891"/>
      <c r="W322" s="567"/>
      <c r="X322" s="567"/>
      <c r="Y322" s="567"/>
      <c r="Z322" s="567"/>
      <c r="AA322" s="567"/>
      <c r="AB322" s="214">
        <v>0.52</v>
      </c>
      <c r="AC322" s="3031">
        <v>0.52</v>
      </c>
      <c r="AD322" s="567"/>
      <c r="AE322" s="567"/>
      <c r="AF322" s="567"/>
      <c r="AG322" s="567"/>
      <c r="BD322" s="1"/>
      <c r="BE322" s="1"/>
      <c r="BF322" s="2052"/>
      <c r="BG322" s="2052"/>
      <c r="BH322" s="2052"/>
      <c r="BI322" s="2052"/>
      <c r="BJ322" s="2052"/>
      <c r="BK322" s="2052"/>
      <c r="BL322" s="2052"/>
      <c r="BM322" s="2052"/>
      <c r="BN322" s="2052"/>
      <c r="BO322" s="2052"/>
      <c r="BP322" s="2052"/>
      <c r="BQ322" s="2052"/>
    </row>
    <row r="323" spans="1:69" hidden="1" outlineLevel="1" x14ac:dyDescent="0.25">
      <c r="D323" s="3896" t="s">
        <v>791</v>
      </c>
      <c r="E323" s="3897" t="s">
        <v>792</v>
      </c>
      <c r="F323" s="3246" t="s">
        <v>785</v>
      </c>
      <c r="G323" s="214">
        <f>1-G319</f>
        <v>1</v>
      </c>
      <c r="H323" s="3894"/>
      <c r="I323" s="3895"/>
      <c r="K323" s="3220"/>
      <c r="M323" s="123"/>
      <c r="V323" s="3889" t="s">
        <v>792</v>
      </c>
      <c r="W323" s="568">
        <v>1</v>
      </c>
      <c r="X323" s="568">
        <v>1</v>
      </c>
      <c r="Y323" s="568">
        <v>1</v>
      </c>
      <c r="Z323" s="568">
        <v>1</v>
      </c>
      <c r="AA323" s="568">
        <v>1</v>
      </c>
      <c r="AB323" s="214">
        <v>1</v>
      </c>
      <c r="AC323" s="3032">
        <v>1</v>
      </c>
      <c r="AD323" s="568"/>
      <c r="AE323" s="568"/>
      <c r="AF323" s="568"/>
      <c r="AG323" s="568"/>
      <c r="AH323" s="1930"/>
      <c r="AI323" s="1930"/>
      <c r="AJ323" s="1930"/>
      <c r="AK323" s="1930"/>
      <c r="AL323" s="1930"/>
      <c r="AM323" s="1930"/>
      <c r="AN323" s="1930"/>
      <c r="AO323" s="1930"/>
      <c r="AP323" s="1930"/>
      <c r="AQ323" s="1930"/>
      <c r="AR323" s="1930"/>
      <c r="AS323" s="1930"/>
      <c r="AT323" s="1930"/>
      <c r="AU323" s="1930"/>
      <c r="AV323" s="1930"/>
      <c r="AW323" s="1930"/>
      <c r="AX323" s="1930"/>
      <c r="AY323" s="1930"/>
      <c r="AZ323" s="1930"/>
      <c r="BA323" s="1930"/>
      <c r="BB323" s="1930"/>
      <c r="BC323" s="1930"/>
      <c r="BF323" s="2052"/>
      <c r="BG323" s="2052"/>
      <c r="BH323" s="2052"/>
      <c r="BI323" s="2052"/>
      <c r="BJ323" s="2052"/>
      <c r="BK323" s="2052"/>
      <c r="BL323" s="2052"/>
      <c r="BM323" s="2052"/>
      <c r="BN323" s="2052"/>
      <c r="BO323" s="2052"/>
      <c r="BP323" s="2052"/>
      <c r="BQ323" s="2052"/>
    </row>
    <row r="324" spans="1:69" s="1930" customFormat="1" hidden="1" outlineLevel="1" x14ac:dyDescent="0.25">
      <c r="A324" s="123"/>
      <c r="B324" s="123"/>
      <c r="C324" s="329"/>
      <c r="D324" s="3896"/>
      <c r="E324" s="3897"/>
      <c r="F324" s="3246" t="s">
        <v>786</v>
      </c>
      <c r="G324" s="214">
        <f t="shared" ref="G324:G326" si="52">1-G320</f>
        <v>0</v>
      </c>
      <c r="H324" s="3894"/>
      <c r="I324" s="3895"/>
      <c r="J324" s="123"/>
      <c r="K324" s="3220"/>
      <c r="L324" s="123"/>
      <c r="M324" s="123"/>
      <c r="N324" s="123"/>
      <c r="O324" s="123"/>
      <c r="P324" s="123"/>
      <c r="Q324" s="123"/>
      <c r="R324" s="123"/>
      <c r="S324" s="123"/>
      <c r="T324" s="123"/>
      <c r="U324" s="123"/>
      <c r="V324" s="3890"/>
      <c r="W324" s="568"/>
      <c r="X324" s="568"/>
      <c r="Y324" s="568"/>
      <c r="Z324" s="568"/>
      <c r="AA324" s="568"/>
      <c r="AB324" s="214">
        <v>0</v>
      </c>
      <c r="AC324" s="3032">
        <v>0</v>
      </c>
      <c r="AD324" s="568"/>
      <c r="AE324" s="568"/>
      <c r="AF324" s="568"/>
      <c r="AG324" s="568"/>
      <c r="BD324" s="1"/>
      <c r="BE324" s="1"/>
      <c r="BF324" s="2052"/>
      <c r="BG324" s="2052"/>
      <c r="BH324" s="2052"/>
      <c r="BI324" s="2052"/>
      <c r="BJ324" s="2052"/>
      <c r="BK324" s="2052"/>
      <c r="BL324" s="2052"/>
      <c r="BM324" s="2052"/>
      <c r="BN324" s="2052"/>
      <c r="BO324" s="2052"/>
      <c r="BP324" s="2052"/>
      <c r="BQ324" s="2052"/>
    </row>
    <row r="325" spans="1:69" s="1930" customFormat="1" ht="30" hidden="1" outlineLevel="1" x14ac:dyDescent="0.25">
      <c r="A325" s="123"/>
      <c r="B325" s="123"/>
      <c r="C325" s="329"/>
      <c r="D325" s="3896"/>
      <c r="E325" s="3897"/>
      <c r="F325" s="3127" t="s">
        <v>789</v>
      </c>
      <c r="G325" s="214">
        <f t="shared" si="52"/>
        <v>0.36</v>
      </c>
      <c r="H325" s="3879"/>
      <c r="I325" s="3880"/>
      <c r="J325" s="123"/>
      <c r="K325" s="3220"/>
      <c r="L325" s="123"/>
      <c r="M325" s="123"/>
      <c r="N325" s="123"/>
      <c r="O325" s="123"/>
      <c r="P325" s="123"/>
      <c r="Q325" s="123"/>
      <c r="R325" s="123"/>
      <c r="S325" s="123"/>
      <c r="T325" s="123"/>
      <c r="U325" s="123"/>
      <c r="V325" s="3890"/>
      <c r="W325" s="568"/>
      <c r="X325" s="568"/>
      <c r="Y325" s="568"/>
      <c r="Z325" s="568"/>
      <c r="AA325" s="568"/>
      <c r="AB325" s="214">
        <v>0.36</v>
      </c>
      <c r="AC325" s="3032">
        <v>0.36</v>
      </c>
      <c r="AD325" s="568"/>
      <c r="AE325" s="568"/>
      <c r="AF325" s="568"/>
      <c r="AG325" s="568"/>
      <c r="BD325" s="1"/>
      <c r="BE325" s="1"/>
      <c r="BF325" s="2052"/>
      <c r="BG325" s="2052"/>
      <c r="BH325" s="2052"/>
      <c r="BI325" s="2052"/>
      <c r="BJ325" s="2052"/>
      <c r="BK325" s="2052"/>
      <c r="BL325" s="2052"/>
      <c r="BM325" s="2052"/>
      <c r="BN325" s="2052"/>
      <c r="BO325" s="2052"/>
      <c r="BP325" s="2052"/>
      <c r="BQ325" s="2052"/>
    </row>
    <row r="326" spans="1:69" s="1930" customFormat="1" ht="30" hidden="1" outlineLevel="1" x14ac:dyDescent="0.25">
      <c r="A326" s="123"/>
      <c r="B326" s="123"/>
      <c r="C326" s="329"/>
      <c r="D326" s="3896"/>
      <c r="E326" s="3897"/>
      <c r="F326" s="3127" t="s">
        <v>790</v>
      </c>
      <c r="G326" s="214">
        <f t="shared" si="52"/>
        <v>0.48</v>
      </c>
      <c r="H326" s="3879"/>
      <c r="I326" s="3880"/>
      <c r="J326" s="123"/>
      <c r="K326" s="3220"/>
      <c r="L326" s="123"/>
      <c r="M326" s="123"/>
      <c r="N326" s="123"/>
      <c r="O326" s="123"/>
      <c r="P326" s="123"/>
      <c r="Q326" s="123"/>
      <c r="R326" s="123"/>
      <c r="S326" s="123"/>
      <c r="T326" s="123"/>
      <c r="U326" s="123"/>
      <c r="V326" s="3891"/>
      <c r="W326" s="568"/>
      <c r="X326" s="568"/>
      <c r="Y326" s="568"/>
      <c r="Z326" s="568"/>
      <c r="AA326" s="568"/>
      <c r="AB326" s="214">
        <v>0.48</v>
      </c>
      <c r="AC326" s="3032">
        <v>0.48</v>
      </c>
      <c r="AD326" s="568"/>
      <c r="AE326" s="568"/>
      <c r="AF326" s="568"/>
      <c r="AG326" s="568"/>
      <c r="BD326" s="1"/>
      <c r="BE326" s="1"/>
      <c r="BF326" s="2052"/>
      <c r="BG326" s="2052"/>
      <c r="BH326" s="2052"/>
      <c r="BI326" s="2052"/>
      <c r="BJ326" s="2052"/>
      <c r="BK326" s="2052"/>
      <c r="BL326" s="2052"/>
      <c r="BM326" s="2052"/>
      <c r="BN326" s="2052"/>
      <c r="BO326" s="2052"/>
      <c r="BP326" s="2052"/>
      <c r="BQ326" s="2052"/>
    </row>
    <row r="327" spans="1:69" s="1930" customFormat="1" hidden="1" outlineLevel="1" x14ac:dyDescent="0.25">
      <c r="A327" s="123"/>
      <c r="B327" s="123"/>
      <c r="C327" s="329"/>
      <c r="D327" s="3887" t="s">
        <v>133</v>
      </c>
      <c r="E327" s="3881" t="s">
        <v>428</v>
      </c>
      <c r="F327" s="3127" t="s">
        <v>793</v>
      </c>
      <c r="G327" s="214">
        <v>0.95</v>
      </c>
      <c r="H327" s="3112" t="s">
        <v>794</v>
      </c>
      <c r="I327" s="3113"/>
      <c r="J327" s="123"/>
      <c r="K327" s="3220"/>
      <c r="L327" s="123"/>
      <c r="M327" s="123"/>
      <c r="N327" s="123"/>
      <c r="O327" s="123"/>
      <c r="P327" s="123"/>
      <c r="Q327" s="123"/>
      <c r="R327" s="123"/>
      <c r="S327" s="123"/>
      <c r="T327" s="123"/>
      <c r="U327" s="123"/>
      <c r="V327" s="3872" t="s">
        <v>133</v>
      </c>
      <c r="W327" s="215">
        <v>1</v>
      </c>
      <c r="X327" s="215">
        <v>1</v>
      </c>
      <c r="Y327" s="215">
        <v>1</v>
      </c>
      <c r="Z327" s="215">
        <v>1</v>
      </c>
      <c r="AA327" s="215">
        <v>1</v>
      </c>
      <c r="AB327" s="2042">
        <v>0.95</v>
      </c>
      <c r="AC327" s="3033">
        <v>0.95</v>
      </c>
      <c r="AD327" s="569"/>
      <c r="AE327" s="569"/>
      <c r="AF327" s="569"/>
      <c r="AG327" s="569"/>
      <c r="BD327" s="1"/>
      <c r="BE327" s="1"/>
      <c r="BF327" s="2052"/>
      <c r="BG327" s="2052"/>
      <c r="BH327" s="2052"/>
      <c r="BI327" s="2052"/>
      <c r="BJ327" s="2052"/>
      <c r="BK327" s="2052"/>
      <c r="BL327" s="2052"/>
      <c r="BM327" s="2052"/>
      <c r="BN327" s="2052"/>
      <c r="BO327" s="2052"/>
      <c r="BP327" s="2052"/>
      <c r="BQ327" s="2052"/>
    </row>
    <row r="328" spans="1:69" s="1930" customFormat="1" hidden="1" outlineLevel="1" x14ac:dyDescent="0.25">
      <c r="A328" s="123"/>
      <c r="B328" s="123"/>
      <c r="C328" s="329"/>
      <c r="D328" s="3888"/>
      <c r="E328" s="3821"/>
      <c r="F328" s="3127" t="s">
        <v>795</v>
      </c>
      <c r="G328" s="2522">
        <v>0.93799999999999994</v>
      </c>
      <c r="H328" s="3112" t="s">
        <v>796</v>
      </c>
      <c r="I328" s="3113"/>
      <c r="J328" s="123"/>
      <c r="K328" s="3220"/>
      <c r="L328" s="123"/>
      <c r="M328" s="123"/>
      <c r="N328" s="123"/>
      <c r="O328" s="123"/>
      <c r="P328" s="123"/>
      <c r="Q328" s="123"/>
      <c r="R328" s="123"/>
      <c r="S328" s="123"/>
      <c r="T328" s="123"/>
      <c r="U328" s="123"/>
      <c r="V328" s="3873"/>
      <c r="W328" s="215">
        <v>0.78</v>
      </c>
      <c r="X328" s="215">
        <v>0.78</v>
      </c>
      <c r="Y328" s="215">
        <v>0.78</v>
      </c>
      <c r="Z328" s="215">
        <v>0.78</v>
      </c>
      <c r="AA328" s="215">
        <v>0.78</v>
      </c>
      <c r="AB328" s="3029">
        <v>0.93799999999999994</v>
      </c>
      <c r="AC328" s="3030">
        <v>0.93799999999999994</v>
      </c>
      <c r="AD328" s="569"/>
      <c r="AE328" s="569"/>
      <c r="AF328" s="569"/>
      <c r="AG328" s="569"/>
      <c r="BD328" s="1"/>
      <c r="BE328" s="1"/>
      <c r="BF328" s="2052"/>
      <c r="BG328" s="2052"/>
      <c r="BH328" s="2052"/>
      <c r="BI328" s="2052"/>
      <c r="BJ328" s="2052"/>
      <c r="BK328" s="2052"/>
      <c r="BL328" s="2052"/>
      <c r="BM328" s="2052"/>
      <c r="BN328" s="2052"/>
      <c r="BO328" s="2052"/>
      <c r="BP328" s="2052"/>
      <c r="BQ328" s="2052"/>
    </row>
    <row r="329" spans="1:69" s="1930" customFormat="1" hidden="1" outlineLevel="1" x14ac:dyDescent="0.25">
      <c r="A329" s="123"/>
      <c r="B329" s="123"/>
      <c r="C329" s="329"/>
      <c r="D329" s="2051" t="s">
        <v>542</v>
      </c>
      <c r="E329" s="3111" t="s">
        <v>167</v>
      </c>
      <c r="F329" s="3132" t="s">
        <v>135</v>
      </c>
      <c r="G329" s="2298">
        <v>10</v>
      </c>
      <c r="H329" s="3112"/>
      <c r="I329" s="3113"/>
      <c r="J329" s="123"/>
      <c r="K329" s="3220"/>
      <c r="L329" s="123"/>
      <c r="M329" s="123"/>
      <c r="N329" s="123"/>
      <c r="O329" s="123"/>
      <c r="P329" s="123"/>
      <c r="Q329" s="123"/>
      <c r="R329" s="123"/>
      <c r="S329" s="123"/>
      <c r="T329" s="123"/>
      <c r="U329" s="123"/>
      <c r="V329" s="3240" t="s">
        <v>542</v>
      </c>
      <c r="W329" s="441">
        <v>10</v>
      </c>
      <c r="X329" s="441">
        <v>10</v>
      </c>
      <c r="Y329" s="441">
        <v>10</v>
      </c>
      <c r="Z329" s="441">
        <v>10</v>
      </c>
      <c r="AA329" s="441">
        <v>10</v>
      </c>
      <c r="AB329" s="2298">
        <v>10</v>
      </c>
      <c r="AC329" s="441">
        <v>10</v>
      </c>
      <c r="AD329" s="441"/>
      <c r="AE329" s="441"/>
      <c r="AF329" s="441"/>
      <c r="AG329" s="441"/>
      <c r="BD329" s="1"/>
      <c r="BE329" s="1"/>
    </row>
    <row r="330" spans="1:69" s="1930" customFormat="1" hidden="1" outlineLevel="1" x14ac:dyDescent="0.25">
      <c r="A330" s="123"/>
      <c r="B330" s="123"/>
      <c r="C330" s="329"/>
      <c r="D330" s="3877" t="s">
        <v>170</v>
      </c>
      <c r="E330" s="3878" t="s">
        <v>171</v>
      </c>
      <c r="F330" s="3131" t="s">
        <v>429</v>
      </c>
      <c r="G330" s="2297">
        <v>20</v>
      </c>
      <c r="H330" s="3112"/>
      <c r="I330" s="3113"/>
      <c r="J330" s="123"/>
      <c r="K330" s="3220"/>
      <c r="L330" s="123"/>
      <c r="M330" s="123"/>
      <c r="N330" s="123"/>
      <c r="O330" s="123"/>
      <c r="P330" s="123"/>
      <c r="Q330" s="123"/>
      <c r="R330" s="123"/>
      <c r="S330" s="123"/>
      <c r="T330" s="123"/>
      <c r="U330" s="123"/>
      <c r="V330" s="3892" t="s">
        <v>170</v>
      </c>
      <c r="W330" s="442">
        <v>20</v>
      </c>
      <c r="X330" s="442">
        <v>20</v>
      </c>
      <c r="Y330" s="442">
        <v>20</v>
      </c>
      <c r="Z330" s="442">
        <v>20</v>
      </c>
      <c r="AA330" s="442">
        <v>20</v>
      </c>
      <c r="AB330" s="2297">
        <v>20</v>
      </c>
      <c r="AC330" s="442">
        <v>20</v>
      </c>
      <c r="AD330" s="442"/>
      <c r="AE330" s="442"/>
      <c r="AF330" s="442"/>
      <c r="AG330" s="442"/>
      <c r="BD330" s="1"/>
      <c r="BE330" s="1"/>
    </row>
    <row r="331" spans="1:69" hidden="1" outlineLevel="1" x14ac:dyDescent="0.25">
      <c r="B331" s="1233"/>
      <c r="C331" s="1678"/>
      <c r="D331" s="3877"/>
      <c r="E331" s="3878"/>
      <c r="F331" s="3131" t="s">
        <v>797</v>
      </c>
      <c r="G331" s="2297">
        <v>30</v>
      </c>
      <c r="H331" s="3879"/>
      <c r="I331" s="3880"/>
      <c r="K331" s="3220"/>
      <c r="L331" s="249"/>
      <c r="M331" s="1159"/>
      <c r="N331" s="249"/>
      <c r="O331" s="249"/>
      <c r="P331" s="249"/>
      <c r="Q331" s="249"/>
      <c r="V331" s="3893"/>
      <c r="W331" s="550"/>
      <c r="X331" s="550"/>
      <c r="Y331" s="550"/>
      <c r="Z331" s="550"/>
      <c r="AA331" s="550"/>
      <c r="AB331" s="546">
        <v>30</v>
      </c>
      <c r="AC331" s="550">
        <v>30</v>
      </c>
      <c r="AD331" s="160"/>
      <c r="AE331" s="160"/>
      <c r="AF331" s="160"/>
      <c r="AG331" s="160"/>
      <c r="AH331" s="1930"/>
      <c r="AI331" s="1930"/>
      <c r="AJ331" s="1930"/>
      <c r="AK331" s="1930"/>
      <c r="AL331" s="1930"/>
      <c r="AM331" s="1930"/>
      <c r="AN331" s="1930"/>
      <c r="AO331" s="1930"/>
      <c r="AP331" s="1930"/>
      <c r="AQ331" s="1930"/>
      <c r="AR331" s="1930"/>
      <c r="AS331" s="1930"/>
      <c r="AT331" s="1930"/>
      <c r="AU331" s="1930"/>
      <c r="AV331" s="1930"/>
      <c r="AW331" s="1930"/>
      <c r="AX331" s="1930"/>
      <c r="AY331" s="1930"/>
      <c r="AZ331" s="1930"/>
      <c r="BA331" s="1930"/>
      <c r="BB331" s="1930"/>
      <c r="BC331" s="1930"/>
      <c r="BF331" s="1930"/>
      <c r="BG331" s="1930"/>
      <c r="BH331" s="1930"/>
      <c r="BI331" s="1930"/>
      <c r="BJ331" s="1930"/>
      <c r="BK331" s="1930"/>
      <c r="BL331" s="1930"/>
      <c r="BM331" s="1930"/>
      <c r="BN331" s="1930"/>
      <c r="BO331" s="1930"/>
      <c r="BP331" s="1930"/>
      <c r="BQ331" s="1930"/>
    </row>
    <row r="332" spans="1:69" hidden="1" outlineLevel="1" x14ac:dyDescent="0.25">
      <c r="B332" s="1233"/>
      <c r="C332" s="1678"/>
      <c r="K332" s="3220"/>
      <c r="L332" s="249"/>
      <c r="M332" s="1159"/>
      <c r="N332" s="249"/>
      <c r="O332" s="249"/>
      <c r="P332" s="249"/>
      <c r="Q332" s="249"/>
      <c r="AC332" s="1930"/>
      <c r="AD332" s="1930"/>
      <c r="AE332" s="1930"/>
      <c r="AF332" s="1930"/>
      <c r="AG332" s="1930"/>
      <c r="AH332" s="1930"/>
      <c r="AI332" s="1930"/>
      <c r="AJ332" s="1930"/>
      <c r="AK332" s="1930"/>
      <c r="AL332" s="1930"/>
      <c r="AM332" s="1930"/>
      <c r="AN332" s="1930"/>
      <c r="AO332" s="1930"/>
      <c r="AP332" s="1930"/>
      <c r="AQ332" s="1930"/>
      <c r="AR332" s="1930"/>
      <c r="AS332" s="1930"/>
      <c r="AT332" s="1930"/>
      <c r="AU332" s="1930"/>
      <c r="AV332" s="1930"/>
      <c r="AW332" s="1930"/>
      <c r="AX332" s="1930"/>
      <c r="AY332" s="1930"/>
      <c r="AZ332" s="1930"/>
      <c r="BA332" s="1930"/>
      <c r="BB332" s="1930"/>
      <c r="BC332" s="1930"/>
      <c r="BF332" s="1930"/>
      <c r="BG332" s="1930"/>
      <c r="BH332" s="1930"/>
      <c r="BI332" s="1930"/>
      <c r="BJ332" s="1930"/>
      <c r="BK332" s="1930"/>
      <c r="BL332" s="1930"/>
      <c r="BM332" s="1930"/>
      <c r="BN332" s="1930"/>
      <c r="BO332" s="1930"/>
      <c r="BP332" s="1930"/>
      <c r="BQ332" s="1930"/>
    </row>
    <row r="333" spans="1:69" collapsed="1" x14ac:dyDescent="0.25">
      <c r="M333" s="3220"/>
      <c r="AC333" s="1930"/>
      <c r="AD333" s="1930"/>
      <c r="AE333" s="1930"/>
      <c r="AF333" s="1930"/>
      <c r="AG333" s="1930"/>
      <c r="AH333" s="1930"/>
      <c r="AI333" s="1930"/>
      <c r="AJ333" s="1930"/>
      <c r="AK333" s="1930"/>
      <c r="AL333" s="1930"/>
      <c r="AM333" s="1930"/>
      <c r="AN333" s="1930"/>
      <c r="AO333" s="1930"/>
      <c r="AP333" s="1930"/>
      <c r="AQ333" s="1930"/>
      <c r="AR333" s="1930"/>
      <c r="AS333" s="1930"/>
      <c r="AT333" s="1930"/>
      <c r="AU333" s="1930"/>
      <c r="AV333" s="1930"/>
      <c r="AW333" s="1930"/>
      <c r="AX333" s="1930"/>
      <c r="AY333" s="1930"/>
      <c r="AZ333" s="1930"/>
      <c r="BA333" s="1930"/>
      <c r="BB333" s="1930"/>
      <c r="BC333" s="1930"/>
      <c r="BF333" s="1930"/>
      <c r="BG333" s="1930"/>
      <c r="BH333" s="1930"/>
      <c r="BI333" s="1930"/>
      <c r="BJ333" s="1930"/>
      <c r="BK333" s="1930"/>
      <c r="BL333" s="1930"/>
      <c r="BM333" s="1930"/>
      <c r="BN333" s="1930"/>
      <c r="BO333" s="1930"/>
      <c r="BP333" s="1930"/>
      <c r="BQ333" s="1930"/>
    </row>
    <row r="334" spans="1:69" s="1930" customFormat="1" x14ac:dyDescent="0.25">
      <c r="A334" s="123"/>
      <c r="B334" s="3750" t="s">
        <v>385</v>
      </c>
      <c r="C334" s="3751"/>
      <c r="D334" s="3751"/>
      <c r="E334" s="3751"/>
      <c r="F334" s="3751"/>
      <c r="G334" s="3751"/>
      <c r="H334" s="3751"/>
      <c r="I334" s="3744"/>
      <c r="J334" s="3744"/>
      <c r="K334" s="3744"/>
      <c r="L334" s="3744"/>
      <c r="M334" s="3744"/>
      <c r="N334" s="3744"/>
      <c r="O334" s="3745"/>
      <c r="P334" s="123"/>
      <c r="Q334" s="123"/>
      <c r="R334" s="123"/>
      <c r="S334" s="123"/>
      <c r="T334" s="123"/>
      <c r="U334" s="123"/>
      <c r="V334" s="3750" t="str">
        <f>B334</f>
        <v>Advanced Power Strips Tier 2  /  Advanced Control Stategies</v>
      </c>
      <c r="W334" s="3751"/>
      <c r="X334" s="3751"/>
      <c r="Y334" s="3751"/>
      <c r="Z334" s="3751"/>
      <c r="AA334" s="3751"/>
      <c r="AB334" s="3751"/>
      <c r="AC334" s="3744"/>
      <c r="AD334" s="3744"/>
      <c r="AE334" s="3744"/>
      <c r="AF334" s="3744"/>
      <c r="AG334" s="3744"/>
      <c r="AH334" s="3745"/>
      <c r="BD334" s="1"/>
      <c r="BE334" s="1"/>
    </row>
    <row r="335" spans="1:69" s="1930" customFormat="1" x14ac:dyDescent="0.25">
      <c r="A335" s="123"/>
      <c r="B335" s="123"/>
      <c r="C335" s="329"/>
      <c r="D335" s="329"/>
      <c r="E335" s="353"/>
      <c r="F335" s="123"/>
      <c r="G335" s="123"/>
      <c r="H335" s="123"/>
      <c r="I335" s="123"/>
      <c r="J335" s="123"/>
      <c r="K335" s="123"/>
      <c r="L335" s="123"/>
      <c r="M335" s="3220"/>
      <c r="N335" s="123"/>
      <c r="O335" s="123"/>
      <c r="P335" s="123"/>
      <c r="Q335" s="123"/>
      <c r="R335" s="123"/>
      <c r="S335" s="123"/>
      <c r="T335" s="123"/>
      <c r="U335" s="123"/>
      <c r="V335" s="123"/>
      <c r="W335" s="2004"/>
      <c r="X335" s="2004"/>
      <c r="Y335" s="2004"/>
      <c r="Z335" s="2004"/>
      <c r="AA335" s="2004"/>
      <c r="AB335" s="2004"/>
      <c r="AC335" s="100"/>
      <c r="AD335" s="100"/>
      <c r="AE335" s="100"/>
      <c r="AF335" s="100"/>
      <c r="AG335" s="100"/>
      <c r="AH335" s="100"/>
      <c r="BD335" s="1"/>
      <c r="BE335" s="1"/>
    </row>
    <row r="336" spans="1:69" s="1930" customFormat="1" ht="30" x14ac:dyDescent="0.25">
      <c r="A336" s="123"/>
      <c r="B336" s="123"/>
      <c r="C336" s="3086" t="s">
        <v>28</v>
      </c>
      <c r="D336" s="3086" t="s">
        <v>175</v>
      </c>
      <c r="E336" s="3086" t="s">
        <v>30</v>
      </c>
      <c r="F336" s="3086" t="s">
        <v>31</v>
      </c>
      <c r="G336" s="3086" t="s">
        <v>176</v>
      </c>
      <c r="H336" s="3086" t="s">
        <v>177</v>
      </c>
      <c r="I336" s="3086" t="s">
        <v>32</v>
      </c>
      <c r="J336" s="3086" t="s">
        <v>181</v>
      </c>
      <c r="K336" s="3086" t="s">
        <v>170</v>
      </c>
      <c r="L336" s="3086" t="s">
        <v>44</v>
      </c>
      <c r="M336" s="3220"/>
      <c r="N336" s="123"/>
      <c r="O336" s="123"/>
      <c r="P336" s="123"/>
      <c r="Q336" s="123"/>
      <c r="R336" s="123"/>
      <c r="S336" s="123"/>
      <c r="T336" s="123"/>
      <c r="U336" s="123"/>
      <c r="V336" s="551" t="s">
        <v>45</v>
      </c>
      <c r="W336" s="2409">
        <f>$W$6</f>
        <v>43252</v>
      </c>
      <c r="X336" s="2409">
        <f>$X$6</f>
        <v>43465</v>
      </c>
      <c r="Y336" s="2409">
        <f>$Y$6</f>
        <v>43800</v>
      </c>
      <c r="Z336" s="2409">
        <f>$Z$6</f>
        <v>43862</v>
      </c>
      <c r="AA336" s="2409">
        <f>$AA$6</f>
        <v>44013</v>
      </c>
      <c r="AB336" s="2409">
        <f>$AB$6</f>
        <v>44166</v>
      </c>
      <c r="AC336" s="552">
        <f>$AC$6</f>
        <v>44531</v>
      </c>
      <c r="AD336" s="2082" t="str">
        <f>$AD$6</f>
        <v>-</v>
      </c>
      <c r="AE336" s="2082" t="str">
        <f>$AE$6</f>
        <v>-</v>
      </c>
      <c r="AF336" s="2082" t="str">
        <f>$AF$6</f>
        <v>-</v>
      </c>
      <c r="AG336" s="2082" t="str">
        <f>$AG$6</f>
        <v>-</v>
      </c>
      <c r="AH336" s="100"/>
      <c r="BB336" s="1953" t="str">
        <f>$BB$6</f>
        <v>TRC (2020)</v>
      </c>
      <c r="BC336" s="1953" t="str">
        <f>$BC$6</f>
        <v>Benefit Lookup</v>
      </c>
      <c r="BD336" s="230" t="str">
        <f>$BD$6</f>
        <v>Benefits (2019 $)</v>
      </c>
      <c r="BE336" s="230" t="str">
        <f>$BE$6</f>
        <v>Incremental Cost (2019 $)</v>
      </c>
    </row>
    <row r="337" spans="1:57" s="1930" customFormat="1" ht="30" x14ac:dyDescent="0.25">
      <c r="A337" s="123"/>
      <c r="B337" s="123"/>
      <c r="C337" s="3039" t="s">
        <v>798</v>
      </c>
      <c r="D337" s="3226" t="s">
        <v>763</v>
      </c>
      <c r="E337" s="3123" t="s">
        <v>799</v>
      </c>
      <c r="F337" s="3038">
        <f>ROUND(G348*G357*G358, 2)</f>
        <v>153.9</v>
      </c>
      <c r="G337" s="2523" t="s">
        <v>388</v>
      </c>
      <c r="H337" s="449">
        <f>VLOOKUP(G337,'CP FACTORS'!$A$3:$B$38, 2, FALSE)</f>
        <v>1.148238E-4</v>
      </c>
      <c r="I337" s="2524">
        <f t="shared" ref="I337" si="53">ROUND(H337*F337,6)</f>
        <v>1.7670999999999999E-2</v>
      </c>
      <c r="J337" s="141">
        <f>G361</f>
        <v>10</v>
      </c>
      <c r="K337" s="1169">
        <f>G361</f>
        <v>10</v>
      </c>
      <c r="L337" s="3226" t="s">
        <v>185</v>
      </c>
      <c r="M337" s="3220"/>
      <c r="N337" s="123"/>
      <c r="O337" s="123"/>
      <c r="P337" s="123"/>
      <c r="Q337" s="123"/>
      <c r="R337" s="123"/>
      <c r="S337" s="123"/>
      <c r="T337" s="123"/>
      <c r="U337" s="123"/>
      <c r="V337" s="1958" t="s">
        <v>31</v>
      </c>
      <c r="W337" s="2203"/>
      <c r="X337" s="2203"/>
      <c r="Y337" s="1951"/>
      <c r="Z337" s="1951"/>
      <c r="AA337" s="1951"/>
      <c r="AB337" s="1975">
        <v>126.36</v>
      </c>
      <c r="AC337" s="1975">
        <v>153.9</v>
      </c>
      <c r="AD337" s="1958"/>
      <c r="AE337" s="1958"/>
      <c r="AF337" s="1958"/>
      <c r="AG337" s="1958"/>
      <c r="AH337" s="2204"/>
      <c r="BB337" s="2448">
        <f t="shared" ref="BB337" si="54">(BD337)/(BE337)</f>
        <v>5.6227840531357742</v>
      </c>
      <c r="BC337" s="3166" t="str">
        <f t="shared" ref="BC337" si="55">CONCATENATE(G337," ",J337," Year EUL")</f>
        <v>Miscellaneous RES 10 Year EUL</v>
      </c>
      <c r="BD337" s="2446">
        <f>(INDEX('Avoided Cost Benefits'!$C$4:$C$857,MATCH(BC337,'Avoided Cost Benefits'!$A$4:$A$857,0)))*F337</f>
        <v>53.070165673768507</v>
      </c>
      <c r="BE337" s="2447">
        <f t="shared" ref="BE337" si="56">K337/(1.0595^(2020-2019))</f>
        <v>9.4384143463898056</v>
      </c>
    </row>
    <row r="338" spans="1:57" s="1930" customFormat="1" x14ac:dyDescent="0.25">
      <c r="A338" s="123"/>
      <c r="B338" s="123"/>
      <c r="C338" s="3039" t="s">
        <v>800</v>
      </c>
      <c r="D338" s="2734" t="s">
        <v>512</v>
      </c>
      <c r="E338" s="3123" t="s">
        <v>801</v>
      </c>
      <c r="F338" s="3038">
        <f>ROUND(G348*G357*G360, 2)</f>
        <v>151.96</v>
      </c>
      <c r="G338" s="2523" t="s">
        <v>388</v>
      </c>
      <c r="H338" s="449">
        <f>VLOOKUP(G338,'CP FACTORS'!$A$3:$B$38, 2, FALSE)</f>
        <v>1.148238E-4</v>
      </c>
      <c r="I338" s="2524">
        <f t="shared" ref="I338" si="57">ROUND(H338*F338,6)</f>
        <v>1.7448999999999999E-2</v>
      </c>
      <c r="J338" s="141">
        <f>G361</f>
        <v>10</v>
      </c>
      <c r="K338" s="1169">
        <f>G362</f>
        <v>30</v>
      </c>
      <c r="L338" s="3226" t="s">
        <v>185</v>
      </c>
      <c r="M338" s="3220"/>
      <c r="N338" s="123"/>
      <c r="O338" s="123"/>
      <c r="P338" s="123"/>
      <c r="Q338" s="123"/>
      <c r="R338" s="123"/>
      <c r="S338" s="123"/>
      <c r="T338" s="123"/>
      <c r="U338" s="123"/>
      <c r="V338" s="1962" t="s">
        <v>31</v>
      </c>
      <c r="W338" s="2203"/>
      <c r="X338" s="2203"/>
      <c r="Y338" s="1951"/>
      <c r="Z338" s="1951"/>
      <c r="AA338" s="1951"/>
      <c r="AB338" s="1975">
        <v>126.36</v>
      </c>
      <c r="AC338" s="1975">
        <v>151.96</v>
      </c>
      <c r="AD338" s="1958"/>
      <c r="AE338" s="1958"/>
      <c r="AF338" s="1958"/>
      <c r="AG338" s="1958"/>
      <c r="AH338" s="2204"/>
      <c r="BB338" s="2448">
        <f t="shared" ref="BB338" si="58">(BD338)/(BE338)</f>
        <v>1.8506351845668449</v>
      </c>
      <c r="BC338" s="3166" t="str">
        <f t="shared" ref="BC338" si="59">CONCATENATE(G338," ",J338," Year EUL")</f>
        <v>Miscellaneous RES 10 Year EUL</v>
      </c>
      <c r="BD338" s="2446">
        <f>(INDEX('Avoided Cost Benefits'!$C$4:$C$857,MATCH(BC338,'Avoided Cost Benefits'!$A$4:$A$857,0)))*F338</f>
        <v>52.401185027848364</v>
      </c>
      <c r="BE338" s="2447">
        <f t="shared" ref="BE338" si="60">K338/(1.0595^(2020-2019))</f>
        <v>28.315243039169417</v>
      </c>
    </row>
    <row r="339" spans="1:57" s="1930" customFormat="1" x14ac:dyDescent="0.25">
      <c r="A339" s="123"/>
      <c r="B339" s="123"/>
      <c r="C339" s="329"/>
      <c r="D339" s="329"/>
      <c r="E339" s="353"/>
      <c r="F339" s="123"/>
      <c r="G339" s="123"/>
      <c r="H339" s="123" t="s">
        <v>407</v>
      </c>
      <c r="I339" s="151"/>
      <c r="J339" s="123"/>
      <c r="K339" s="123"/>
      <c r="L339" s="576"/>
      <c r="M339" s="3220"/>
      <c r="N339" s="123"/>
      <c r="O339" s="123"/>
      <c r="P339" s="123"/>
      <c r="Q339" s="123"/>
      <c r="R339" s="123"/>
      <c r="S339" s="123"/>
      <c r="T339" s="123"/>
      <c r="U339" s="123"/>
      <c r="V339" s="123"/>
      <c r="W339" s="103"/>
      <c r="X339" s="103"/>
      <c r="Y339" s="103"/>
      <c r="Z339" s="103"/>
      <c r="AA339" s="103"/>
      <c r="AB339" s="103"/>
      <c r="AH339" s="163"/>
      <c r="BD339" s="1"/>
      <c r="BE339" s="1"/>
    </row>
    <row r="340" spans="1:57" s="1930" customFormat="1" hidden="1" outlineLevel="1" x14ac:dyDescent="0.25">
      <c r="A340" s="123"/>
      <c r="B340" s="123"/>
      <c r="C340" s="329"/>
      <c r="D340" s="174" t="s">
        <v>108</v>
      </c>
      <c r="E340" s="353"/>
      <c r="F340" s="123"/>
      <c r="G340" s="123"/>
      <c r="H340" s="123"/>
      <c r="I340" s="123"/>
      <c r="J340" s="123"/>
      <c r="K340" s="123"/>
      <c r="L340" s="123"/>
      <c r="M340" s="3220"/>
      <c r="N340" s="123"/>
      <c r="O340" s="123"/>
      <c r="P340" s="123"/>
      <c r="Q340" s="123"/>
      <c r="R340" s="123"/>
      <c r="S340" s="123"/>
      <c r="T340" s="123"/>
      <c r="U340" s="123"/>
      <c r="V340" s="123"/>
      <c r="W340" s="103"/>
      <c r="X340" s="103"/>
      <c r="Y340" s="103"/>
      <c r="Z340" s="103"/>
      <c r="AA340" s="103"/>
      <c r="AB340" s="103"/>
      <c r="AH340" s="163"/>
      <c r="BD340" s="1"/>
      <c r="BE340" s="1"/>
    </row>
    <row r="341" spans="1:57" s="1930" customFormat="1" hidden="1" outlineLevel="1" x14ac:dyDescent="0.25">
      <c r="A341" s="123"/>
      <c r="B341" s="123"/>
      <c r="C341" s="329"/>
      <c r="D341" s="329"/>
      <c r="E341" s="353"/>
      <c r="F341" s="123"/>
      <c r="G341" s="123"/>
      <c r="H341" s="123"/>
      <c r="I341" s="123"/>
      <c r="J341" s="123"/>
      <c r="K341" s="123"/>
      <c r="L341" s="123"/>
      <c r="M341" s="3220"/>
      <c r="N341" s="123"/>
      <c r="O341" s="123"/>
      <c r="P341" s="123"/>
      <c r="Q341" s="123"/>
      <c r="R341" s="123"/>
      <c r="S341" s="123"/>
      <c r="T341" s="123"/>
      <c r="U341" s="123"/>
      <c r="V341" s="123"/>
      <c r="W341" s="103"/>
      <c r="X341" s="103"/>
      <c r="Y341" s="103"/>
      <c r="Z341" s="103"/>
      <c r="AA341" s="103"/>
      <c r="AB341" s="103"/>
      <c r="AH341" s="163"/>
      <c r="BD341" s="1"/>
      <c r="BE341" s="1"/>
    </row>
    <row r="342" spans="1:57" s="1930" customFormat="1" hidden="1" outlineLevel="1" x14ac:dyDescent="0.25">
      <c r="A342" s="123"/>
      <c r="B342" s="123"/>
      <c r="C342" s="329"/>
      <c r="D342" s="329"/>
      <c r="E342" s="353"/>
      <c r="F342" s="123"/>
      <c r="G342" s="123"/>
      <c r="H342" s="123"/>
      <c r="I342" s="123"/>
      <c r="J342" s="123"/>
      <c r="K342" s="123"/>
      <c r="L342" s="123"/>
      <c r="M342" s="3220"/>
      <c r="N342" s="123"/>
      <c r="O342" s="123"/>
      <c r="P342" s="123"/>
      <c r="Q342" s="123"/>
      <c r="R342" s="123"/>
      <c r="S342" s="123"/>
      <c r="T342" s="123"/>
      <c r="U342" s="123"/>
      <c r="V342" s="123"/>
      <c r="W342" s="103"/>
      <c r="X342" s="103"/>
      <c r="Y342" s="103"/>
      <c r="Z342" s="103"/>
      <c r="AA342" s="103"/>
      <c r="AB342" s="103"/>
      <c r="AH342" s="163"/>
      <c r="BD342" s="1"/>
      <c r="BE342" s="1"/>
    </row>
    <row r="343" spans="1:57" s="1930" customFormat="1" hidden="1" outlineLevel="1" x14ac:dyDescent="0.25">
      <c r="A343" s="123"/>
      <c r="B343" s="123"/>
      <c r="C343" s="329"/>
      <c r="D343" s="329"/>
      <c r="E343" s="353"/>
      <c r="F343" s="123"/>
      <c r="G343" s="123"/>
      <c r="H343" s="123"/>
      <c r="I343" s="123"/>
      <c r="J343" s="123"/>
      <c r="K343" s="123"/>
      <c r="L343" s="123"/>
      <c r="M343" s="3220"/>
      <c r="N343" s="123"/>
      <c r="O343" s="123"/>
      <c r="P343" s="123"/>
      <c r="Q343" s="123"/>
      <c r="R343" s="123"/>
      <c r="S343" s="123"/>
      <c r="T343" s="123"/>
      <c r="U343" s="123"/>
      <c r="V343" s="123"/>
      <c r="W343" s="103"/>
      <c r="X343" s="103"/>
      <c r="Y343" s="103"/>
      <c r="Z343" s="103"/>
      <c r="AA343" s="103"/>
      <c r="AB343" s="103"/>
      <c r="AH343" s="163"/>
      <c r="BD343" s="1"/>
      <c r="BE343" s="1"/>
    </row>
    <row r="344" spans="1:57" s="1930" customFormat="1" hidden="1" outlineLevel="1" x14ac:dyDescent="0.25">
      <c r="A344" s="123"/>
      <c r="B344" s="123"/>
      <c r="C344" s="329"/>
      <c r="D344" s="329"/>
      <c r="E344" s="353"/>
      <c r="F344" s="123"/>
      <c r="G344" s="123"/>
      <c r="H344" s="123"/>
      <c r="I344" s="123"/>
      <c r="J344" s="123"/>
      <c r="K344" s="123"/>
      <c r="L344" s="123"/>
      <c r="M344" s="3220"/>
      <c r="N344" s="123"/>
      <c r="O344" s="123"/>
      <c r="P344" s="123"/>
      <c r="Q344" s="123"/>
      <c r="R344" s="123"/>
      <c r="S344" s="123"/>
      <c r="T344" s="123"/>
      <c r="U344" s="123"/>
      <c r="V344" s="123"/>
      <c r="W344" s="103"/>
      <c r="X344" s="103"/>
      <c r="Y344" s="103"/>
      <c r="Z344" s="103"/>
      <c r="AA344" s="103"/>
      <c r="AB344" s="103"/>
      <c r="AH344" s="163"/>
      <c r="BD344" s="1"/>
      <c r="BE344" s="1"/>
    </row>
    <row r="345" spans="1:57" s="1930" customFormat="1" hidden="1" outlineLevel="1" x14ac:dyDescent="0.25">
      <c r="A345" s="123"/>
      <c r="B345" s="123"/>
      <c r="C345" s="329"/>
      <c r="D345" s="329"/>
      <c r="E345" s="353"/>
      <c r="F345" s="123"/>
      <c r="G345" s="123"/>
      <c r="H345" s="123"/>
      <c r="I345" s="123"/>
      <c r="J345" s="123"/>
      <c r="K345" s="123"/>
      <c r="L345" s="123"/>
      <c r="M345" s="3220"/>
      <c r="N345" s="123"/>
      <c r="O345" s="123"/>
      <c r="P345" s="123"/>
      <c r="Q345" s="123"/>
      <c r="R345" s="123"/>
      <c r="S345" s="123"/>
      <c r="T345" s="123"/>
      <c r="U345" s="123"/>
      <c r="V345" s="123"/>
      <c r="W345" s="103"/>
      <c r="X345" s="103"/>
      <c r="Y345" s="103"/>
      <c r="Z345" s="103"/>
      <c r="AA345" s="103"/>
      <c r="AB345" s="103"/>
      <c r="AH345" s="163"/>
      <c r="BD345" s="1"/>
      <c r="BE345" s="1"/>
    </row>
    <row r="346" spans="1:57" s="1930" customFormat="1" hidden="1" outlineLevel="1" x14ac:dyDescent="0.25">
      <c r="A346" s="123"/>
      <c r="B346" s="123"/>
      <c r="C346" s="329"/>
      <c r="D346" s="329"/>
      <c r="E346" s="353"/>
      <c r="F346" s="123"/>
      <c r="G346" s="123"/>
      <c r="H346" s="123"/>
      <c r="I346" s="123"/>
      <c r="J346" s="123"/>
      <c r="K346" s="123"/>
      <c r="L346" s="123"/>
      <c r="M346" s="3220"/>
      <c r="N346" s="123"/>
      <c r="O346" s="123"/>
      <c r="P346" s="123"/>
      <c r="Q346" s="123"/>
      <c r="R346" s="123"/>
      <c r="S346" s="123"/>
      <c r="T346" s="123"/>
      <c r="U346" s="123"/>
      <c r="V346" s="123"/>
      <c r="W346" s="103"/>
      <c r="X346" s="103"/>
      <c r="Y346" s="103"/>
      <c r="Z346" s="103"/>
      <c r="AA346" s="103"/>
      <c r="AB346" s="103"/>
      <c r="AH346" s="163"/>
      <c r="BD346" s="1"/>
      <c r="BE346" s="1"/>
    </row>
    <row r="347" spans="1:57" hidden="1" outlineLevel="1" x14ac:dyDescent="0.25">
      <c r="D347" s="3236" t="s">
        <v>109</v>
      </c>
      <c r="E347" s="3205" t="s">
        <v>110</v>
      </c>
      <c r="F347" s="3236" t="s">
        <v>186</v>
      </c>
      <c r="G347" s="3086" t="s">
        <v>112</v>
      </c>
      <c r="H347" s="3086" t="s">
        <v>187</v>
      </c>
      <c r="I347" s="3086" t="s">
        <v>410</v>
      </c>
      <c r="M347" s="3220"/>
      <c r="V347" s="2536" t="s">
        <v>45</v>
      </c>
      <c r="W347" s="2538">
        <f>$W$6</f>
        <v>43252</v>
      </c>
      <c r="X347" s="2538">
        <f>$X$6</f>
        <v>43465</v>
      </c>
      <c r="Y347" s="2538">
        <f>$Y$6</f>
        <v>43800</v>
      </c>
      <c r="Z347" s="2538">
        <f>$Z$6</f>
        <v>43862</v>
      </c>
      <c r="AA347" s="2538">
        <f>$AA$6</f>
        <v>44013</v>
      </c>
      <c r="AB347" s="2538">
        <f>$AB$6</f>
        <v>44166</v>
      </c>
      <c r="AC347" s="2539">
        <f>$AC$6</f>
        <v>44531</v>
      </c>
      <c r="AD347" s="2539" t="str">
        <f>$AD$6</f>
        <v>-</v>
      </c>
      <c r="AE347" s="2539" t="str">
        <f>$AE$6</f>
        <v>-</v>
      </c>
      <c r="AF347" s="2539" t="str">
        <f>$AF$6</f>
        <v>-</v>
      </c>
      <c r="AG347" s="2539" t="str">
        <f>$AG$6</f>
        <v>-</v>
      </c>
      <c r="AH347" s="1930"/>
      <c r="AI347" s="1930"/>
      <c r="AJ347" s="1930"/>
      <c r="AK347" s="1930"/>
      <c r="AL347" s="1930"/>
      <c r="AM347" s="1930"/>
      <c r="AN347" s="1930"/>
      <c r="AO347" s="1930"/>
      <c r="AP347" s="1930"/>
      <c r="AQ347" s="1930"/>
      <c r="AR347" s="1930"/>
      <c r="AS347" s="1930"/>
      <c r="AT347" s="1930"/>
      <c r="AU347" s="1930"/>
      <c r="AV347" s="1930"/>
      <c r="AW347" s="1930"/>
      <c r="AX347" s="1930"/>
      <c r="AY347" s="1930"/>
      <c r="AZ347" s="1930"/>
      <c r="BA347" s="1930"/>
      <c r="BB347" s="1930"/>
      <c r="BC347" s="1930"/>
    </row>
    <row r="348" spans="1:57" hidden="1" outlineLevel="1" x14ac:dyDescent="0.25">
      <c r="D348" s="3123" t="s">
        <v>411</v>
      </c>
      <c r="E348" s="3144" t="s">
        <v>412</v>
      </c>
      <c r="F348" s="3121" t="s">
        <v>135</v>
      </c>
      <c r="G348" s="1736">
        <v>432</v>
      </c>
      <c r="H348" s="3226"/>
      <c r="I348" s="3226"/>
      <c r="M348" s="3220"/>
      <c r="V348" s="3123" t="s">
        <v>411</v>
      </c>
      <c r="W348" s="115"/>
      <c r="X348" s="115"/>
      <c r="Y348" s="115"/>
      <c r="Z348" s="115"/>
      <c r="AA348" s="115"/>
      <c r="AB348" s="1179">
        <v>432</v>
      </c>
      <c r="AC348" s="3036">
        <v>432</v>
      </c>
      <c r="AD348" s="115"/>
      <c r="AE348" s="115"/>
      <c r="AF348" s="115"/>
      <c r="AG348" s="115"/>
      <c r="AH348" s="1930"/>
      <c r="AI348" s="1930"/>
      <c r="AJ348" s="1930"/>
      <c r="AK348" s="1930"/>
      <c r="AL348" s="1930"/>
      <c r="AM348" s="1930"/>
      <c r="AN348" s="1930"/>
      <c r="AO348" s="1930"/>
      <c r="AP348" s="1930"/>
      <c r="AQ348" s="1930"/>
      <c r="AR348" s="1930"/>
      <c r="AS348" s="1930"/>
      <c r="AT348" s="1930"/>
      <c r="AU348" s="1930"/>
      <c r="AV348" s="1930"/>
      <c r="AW348" s="1930"/>
      <c r="AX348" s="1930"/>
      <c r="AY348" s="1930"/>
      <c r="AZ348" s="1930"/>
      <c r="BA348" s="1930"/>
      <c r="BB348" s="1930"/>
      <c r="BC348" s="1930"/>
    </row>
    <row r="349" spans="1:57" hidden="1" outlineLevel="1" x14ac:dyDescent="0.25">
      <c r="D349" s="3882" t="s">
        <v>414</v>
      </c>
      <c r="E349" s="3882" t="s">
        <v>415</v>
      </c>
      <c r="F349" s="2525" t="s">
        <v>416</v>
      </c>
      <c r="G349" s="2526">
        <v>0.55000000000000004</v>
      </c>
      <c r="H349" s="2525" t="s">
        <v>417</v>
      </c>
      <c r="I349" s="2525"/>
      <c r="M349" s="3220"/>
      <c r="V349" s="3882" t="s">
        <v>414</v>
      </c>
      <c r="W349" s="115"/>
      <c r="X349" s="115"/>
      <c r="Y349" s="115"/>
      <c r="Z349" s="115"/>
      <c r="AA349" s="115"/>
      <c r="AB349" s="598">
        <v>0.55000000000000004</v>
      </c>
      <c r="AC349" s="214">
        <v>0.55000000000000004</v>
      </c>
      <c r="AD349" s="115"/>
      <c r="AE349" s="115"/>
      <c r="AF349" s="115"/>
      <c r="AG349" s="115"/>
      <c r="AH349" s="1930"/>
      <c r="AI349" s="1930"/>
      <c r="AJ349" s="1930"/>
      <c r="AK349" s="1930"/>
      <c r="AL349" s="1930"/>
      <c r="AM349" s="1930"/>
      <c r="AN349" s="1930"/>
      <c r="AO349" s="1930"/>
      <c r="AP349" s="1930"/>
      <c r="AQ349" s="1930"/>
      <c r="AR349" s="1930"/>
      <c r="AS349" s="1930"/>
      <c r="AT349" s="1930"/>
      <c r="AU349" s="1930"/>
      <c r="AV349" s="1930"/>
      <c r="AW349" s="1930"/>
      <c r="AX349" s="1930"/>
      <c r="AY349" s="1930"/>
      <c r="AZ349" s="1930"/>
      <c r="BA349" s="1930"/>
      <c r="BB349" s="1930"/>
      <c r="BC349" s="1930"/>
    </row>
    <row r="350" spans="1:57" hidden="1" outlineLevel="1" x14ac:dyDescent="0.25">
      <c r="D350" s="3882"/>
      <c r="E350" s="3882"/>
      <c r="F350" s="2525" t="s">
        <v>418</v>
      </c>
      <c r="G350" s="2526">
        <v>0.5</v>
      </c>
      <c r="H350" s="2525" t="s">
        <v>417</v>
      </c>
      <c r="I350" s="2525" t="s">
        <v>419</v>
      </c>
      <c r="M350" s="3220"/>
      <c r="V350" s="3882"/>
      <c r="W350" s="945"/>
      <c r="X350" s="945"/>
      <c r="Y350" s="945"/>
      <c r="Z350" s="945"/>
      <c r="AA350" s="945"/>
      <c r="AB350" s="598">
        <v>0.5</v>
      </c>
      <c r="AC350" s="3037">
        <v>0.5</v>
      </c>
      <c r="AD350" s="945"/>
      <c r="AE350" s="945"/>
      <c r="AF350" s="945"/>
      <c r="AG350" s="945"/>
      <c r="AH350" s="1930"/>
      <c r="AI350" s="1930"/>
      <c r="AJ350" s="1930"/>
      <c r="AK350" s="1930"/>
      <c r="AL350" s="1930"/>
      <c r="AM350" s="1930"/>
      <c r="AN350" s="1930"/>
      <c r="AO350" s="1930"/>
      <c r="AP350" s="1930"/>
      <c r="AQ350" s="1930"/>
      <c r="AR350" s="1930"/>
      <c r="AS350" s="1930"/>
      <c r="AT350" s="1930"/>
      <c r="AU350" s="1930"/>
      <c r="AV350" s="1930"/>
      <c r="AW350" s="1930"/>
      <c r="AX350" s="1930"/>
      <c r="AY350" s="1930"/>
      <c r="AZ350" s="1930"/>
      <c r="BA350" s="1930"/>
      <c r="BB350" s="1930"/>
      <c r="BC350" s="1930"/>
    </row>
    <row r="351" spans="1:57" hidden="1" outlineLevel="1" x14ac:dyDescent="0.25">
      <c r="D351" s="3882"/>
      <c r="E351" s="3882"/>
      <c r="F351" s="2525" t="s">
        <v>420</v>
      </c>
      <c r="G351" s="2526">
        <v>0.45</v>
      </c>
      <c r="H351" s="2525" t="s">
        <v>417</v>
      </c>
      <c r="I351" s="2525"/>
      <c r="M351" s="3220"/>
      <c r="V351" s="3882"/>
      <c r="W351" s="945"/>
      <c r="X351" s="945"/>
      <c r="Y351" s="945"/>
      <c r="Z351" s="945"/>
      <c r="AA351" s="945"/>
      <c r="AB351" s="598">
        <v>0.45</v>
      </c>
      <c r="AC351" s="3037">
        <v>0.45</v>
      </c>
      <c r="AD351" s="945"/>
      <c r="AE351" s="945"/>
      <c r="AF351" s="945"/>
      <c r="AG351" s="945"/>
      <c r="AH351" s="1930"/>
      <c r="AI351" s="1930"/>
      <c r="AJ351" s="1930"/>
      <c r="AK351" s="1930"/>
      <c r="AL351" s="1930"/>
      <c r="AM351" s="1930"/>
      <c r="AN351" s="1930"/>
      <c r="AO351" s="1930"/>
      <c r="AP351" s="1930"/>
      <c r="AQ351" s="1930"/>
      <c r="AR351" s="1930"/>
      <c r="AS351" s="1930"/>
      <c r="AT351" s="1930"/>
      <c r="AU351" s="1930"/>
      <c r="AV351" s="1930"/>
      <c r="AW351" s="1930"/>
      <c r="AX351" s="1930"/>
      <c r="AY351" s="1930"/>
      <c r="AZ351" s="1930"/>
      <c r="BA351" s="1930"/>
      <c r="BB351" s="1930"/>
      <c r="BC351" s="1930"/>
    </row>
    <row r="352" spans="1:57" hidden="1" outlineLevel="1" x14ac:dyDescent="0.25">
      <c r="D352" s="3882"/>
      <c r="E352" s="3882"/>
      <c r="F352" s="2525" t="s">
        <v>421</v>
      </c>
      <c r="G352" s="2526">
        <v>0.4</v>
      </c>
      <c r="H352" s="2525" t="s">
        <v>417</v>
      </c>
      <c r="I352" s="2525"/>
      <c r="M352" s="3220"/>
      <c r="V352" s="3882"/>
      <c r="W352" s="945"/>
      <c r="X352" s="945"/>
      <c r="Y352" s="945"/>
      <c r="Z352" s="945"/>
      <c r="AA352" s="945"/>
      <c r="AB352" s="598">
        <v>0.4</v>
      </c>
      <c r="AC352" s="3037">
        <v>0.4</v>
      </c>
      <c r="AD352" s="945"/>
      <c r="AE352" s="945"/>
      <c r="AF352" s="945"/>
      <c r="AG352" s="945"/>
      <c r="AH352" s="1930"/>
      <c r="AI352" s="1930"/>
      <c r="AJ352" s="1930"/>
      <c r="AK352" s="1930"/>
      <c r="AL352" s="1930"/>
      <c r="AM352" s="1930"/>
      <c r="AN352" s="1930"/>
      <c r="AO352" s="1930"/>
      <c r="AP352" s="1930"/>
      <c r="AQ352" s="1930"/>
      <c r="AR352" s="1930"/>
      <c r="AS352" s="1930"/>
      <c r="AT352" s="1930"/>
      <c r="AU352" s="1930"/>
      <c r="AV352" s="1930"/>
      <c r="AW352" s="1930"/>
      <c r="AX352" s="1930"/>
      <c r="AY352" s="1930"/>
      <c r="AZ352" s="1930"/>
      <c r="BA352" s="1930"/>
      <c r="BB352" s="1930"/>
      <c r="BC352" s="1930"/>
    </row>
    <row r="353" spans="4:55" hidden="1" outlineLevel="1" x14ac:dyDescent="0.25">
      <c r="D353" s="3882"/>
      <c r="E353" s="3882"/>
      <c r="F353" s="2525" t="s">
        <v>422</v>
      </c>
      <c r="G353" s="2526">
        <v>0.35</v>
      </c>
      <c r="H353" s="2525" t="s">
        <v>417</v>
      </c>
      <c r="I353" s="2525"/>
      <c r="M353" s="3220"/>
      <c r="V353" s="3882"/>
      <c r="W353" s="945"/>
      <c r="X353" s="945"/>
      <c r="Y353" s="945"/>
      <c r="Z353" s="945"/>
      <c r="AA353" s="945"/>
      <c r="AB353" s="598">
        <v>0.35</v>
      </c>
      <c r="AC353" s="3037">
        <v>0.35</v>
      </c>
      <c r="AD353" s="945"/>
      <c r="AE353" s="945"/>
      <c r="AF353" s="945"/>
      <c r="AG353" s="945"/>
      <c r="AH353" s="1930"/>
      <c r="AI353" s="1930"/>
      <c r="AJ353" s="1930"/>
      <c r="AK353" s="1930"/>
      <c r="AL353" s="1930"/>
      <c r="AM353" s="1930"/>
      <c r="AN353" s="1930"/>
      <c r="AO353" s="1930"/>
      <c r="AP353" s="1930"/>
      <c r="AQ353" s="1930"/>
      <c r="AR353" s="1930"/>
      <c r="AS353" s="1930"/>
      <c r="AT353" s="1930"/>
      <c r="AU353" s="1930"/>
      <c r="AV353" s="1930"/>
      <c r="AW353" s="1930"/>
      <c r="AX353" s="1930"/>
      <c r="AY353" s="1930"/>
      <c r="AZ353" s="1930"/>
      <c r="BA353" s="1930"/>
      <c r="BB353" s="1930"/>
      <c r="BC353" s="1930"/>
    </row>
    <row r="354" spans="4:55" hidden="1" outlineLevel="1" x14ac:dyDescent="0.25">
      <c r="D354" s="3882"/>
      <c r="E354" s="3882"/>
      <c r="F354" s="2525" t="s">
        <v>423</v>
      </c>
      <c r="G354" s="2526">
        <v>0.3</v>
      </c>
      <c r="H354" s="2525" t="s">
        <v>417</v>
      </c>
      <c r="I354" s="2525"/>
      <c r="M354" s="3220"/>
      <c r="V354" s="3882"/>
      <c r="W354" s="2196"/>
      <c r="X354" s="2196"/>
      <c r="Y354" s="2196"/>
      <c r="Z354" s="2196"/>
      <c r="AA354" s="2196"/>
      <c r="AB354" s="598">
        <v>0.3</v>
      </c>
      <c r="AC354" s="2638">
        <v>0.3</v>
      </c>
      <c r="AD354" s="2196"/>
      <c r="AE354" s="2196"/>
      <c r="AF354" s="2196"/>
      <c r="AG354" s="2196"/>
      <c r="AH354" s="1930"/>
      <c r="AI354" s="1930"/>
      <c r="AJ354" s="1930"/>
      <c r="AK354" s="1930"/>
      <c r="AL354" s="1930"/>
      <c r="AM354" s="1930"/>
      <c r="AN354" s="1930"/>
      <c r="AO354" s="1930"/>
      <c r="AP354" s="1930"/>
      <c r="AQ354" s="1930"/>
      <c r="AR354" s="1930"/>
      <c r="AS354" s="1930"/>
      <c r="AT354" s="1930"/>
      <c r="AU354" s="1930"/>
      <c r="AV354" s="1930"/>
      <c r="AW354" s="1930"/>
      <c r="AX354" s="1930"/>
      <c r="AY354" s="1930"/>
      <c r="AZ354" s="1930"/>
      <c r="BA354" s="1930"/>
      <c r="BB354" s="1930"/>
      <c r="BC354" s="1930"/>
    </row>
    <row r="355" spans="4:55" hidden="1" outlineLevel="1" x14ac:dyDescent="0.25">
      <c r="D355" s="3882"/>
      <c r="E355" s="3882"/>
      <c r="F355" s="2525" t="s">
        <v>424</v>
      </c>
      <c r="G355" s="2526">
        <v>0.25</v>
      </c>
      <c r="H355" s="2525" t="s">
        <v>417</v>
      </c>
      <c r="I355" s="2525" t="s">
        <v>419</v>
      </c>
      <c r="M355" s="3220"/>
      <c r="V355" s="3882"/>
      <c r="W355" s="2196"/>
      <c r="X355" s="2196"/>
      <c r="Y355" s="2196"/>
      <c r="Z355" s="2196"/>
      <c r="AA355" s="2196"/>
      <c r="AB355" s="598">
        <v>0.25</v>
      </c>
      <c r="AC355" s="2638">
        <v>0.25</v>
      </c>
      <c r="AD355" s="2196"/>
      <c r="AE355" s="2196"/>
      <c r="AF355" s="2196"/>
      <c r="AG355" s="2196"/>
      <c r="AH355" s="1930"/>
      <c r="AI355" s="1930"/>
      <c r="AJ355" s="1930"/>
      <c r="AK355" s="1930"/>
      <c r="AL355" s="1930"/>
      <c r="AM355" s="1930"/>
      <c r="AN355" s="1930"/>
      <c r="AO355" s="1930"/>
      <c r="AP355" s="1930"/>
      <c r="AQ355" s="1930"/>
      <c r="AR355" s="1930"/>
      <c r="AS355" s="1930"/>
      <c r="AT355" s="1930"/>
      <c r="AU355" s="1930"/>
      <c r="AV355" s="1930"/>
      <c r="AW355" s="1930"/>
      <c r="AX355" s="1930"/>
      <c r="AY355" s="1930"/>
      <c r="AZ355" s="1930"/>
      <c r="BA355" s="1930"/>
      <c r="BB355" s="1930"/>
      <c r="BC355" s="1930"/>
    </row>
    <row r="356" spans="4:55" hidden="1" outlineLevel="1" x14ac:dyDescent="0.25">
      <c r="D356" s="3882"/>
      <c r="E356" s="3882"/>
      <c r="F356" s="2525" t="s">
        <v>425</v>
      </c>
      <c r="G356" s="2526">
        <v>0.2</v>
      </c>
      <c r="H356" s="2525" t="s">
        <v>417</v>
      </c>
      <c r="I356" s="2525"/>
      <c r="M356" s="3220"/>
      <c r="V356" s="3882"/>
      <c r="W356" s="2196"/>
      <c r="X356" s="2196"/>
      <c r="Y356" s="2196"/>
      <c r="Z356" s="2196"/>
      <c r="AA356" s="2196"/>
      <c r="AB356" s="598">
        <v>0.2</v>
      </c>
      <c r="AC356" s="2638">
        <v>0.2</v>
      </c>
      <c r="AD356" s="2196"/>
      <c r="AE356" s="2196"/>
      <c r="AF356" s="2196"/>
      <c r="AG356" s="2196"/>
      <c r="AH356" s="1930"/>
      <c r="AI356" s="1930"/>
      <c r="AJ356" s="1930"/>
      <c r="AK356" s="1930"/>
      <c r="AL356" s="1930"/>
      <c r="AM356" s="1930"/>
      <c r="AN356" s="1930"/>
      <c r="AO356" s="1930"/>
      <c r="AP356" s="1930"/>
      <c r="AQ356" s="1930"/>
      <c r="AR356" s="1930"/>
      <c r="AS356" s="1930"/>
      <c r="AT356" s="1930"/>
      <c r="AU356" s="1930"/>
      <c r="AV356" s="1930"/>
      <c r="AW356" s="1930"/>
      <c r="AX356" s="1930"/>
      <c r="AY356" s="1930"/>
      <c r="AZ356" s="1930"/>
      <c r="BA356" s="1930"/>
      <c r="BB356" s="1930"/>
      <c r="BC356" s="1930"/>
    </row>
    <row r="357" spans="4:55" hidden="1" outlineLevel="1" x14ac:dyDescent="0.25">
      <c r="D357" s="3882"/>
      <c r="E357" s="3882"/>
      <c r="F357" s="2525" t="s">
        <v>426</v>
      </c>
      <c r="G357" s="2527">
        <f>AVERAGE(G350,G355)</f>
        <v>0.375</v>
      </c>
      <c r="H357" s="2528" t="s">
        <v>427</v>
      </c>
      <c r="I357" s="2528"/>
      <c r="M357" s="3220"/>
      <c r="V357" s="3882"/>
      <c r="W357" s="2196"/>
      <c r="X357" s="2196"/>
      <c r="Y357" s="2196"/>
      <c r="Z357" s="2196"/>
      <c r="AA357" s="2196"/>
      <c r="AB357" s="2205">
        <v>0.375</v>
      </c>
      <c r="AC357" s="2522">
        <v>0.375</v>
      </c>
      <c r="AD357" s="2196"/>
      <c r="AE357" s="2196"/>
      <c r="AF357" s="2196"/>
      <c r="AG357" s="2196"/>
      <c r="AH357" s="1930"/>
      <c r="AI357" s="1930"/>
      <c r="AJ357" s="1930"/>
      <c r="AK357" s="1930"/>
      <c r="AL357" s="1930"/>
      <c r="AM357" s="1930"/>
      <c r="AN357" s="1930"/>
      <c r="AO357" s="1930"/>
      <c r="AP357" s="1930"/>
      <c r="AQ357" s="1930"/>
      <c r="AR357" s="1930"/>
      <c r="AS357" s="1930"/>
      <c r="AT357" s="1930"/>
      <c r="AU357" s="1930"/>
      <c r="AV357" s="1930"/>
      <c r="AW357" s="1930"/>
      <c r="AX357" s="1930"/>
      <c r="AY357" s="1930"/>
      <c r="AZ357" s="1930"/>
      <c r="BA357" s="1930"/>
      <c r="BB357" s="1930"/>
      <c r="BC357" s="1930"/>
    </row>
    <row r="358" spans="4:55" hidden="1" outlineLevel="1" x14ac:dyDescent="0.25">
      <c r="D358" s="3884" t="s">
        <v>133</v>
      </c>
      <c r="E358" s="3884" t="s">
        <v>428</v>
      </c>
      <c r="F358" s="3121" t="s">
        <v>793</v>
      </c>
      <c r="G358" s="2042">
        <f>G327</f>
        <v>0.95</v>
      </c>
      <c r="H358" s="2528" t="s">
        <v>802</v>
      </c>
      <c r="I358" s="2528"/>
      <c r="M358" s="3220"/>
      <c r="V358" s="3882" t="s">
        <v>133</v>
      </c>
      <c r="W358" s="2042"/>
      <c r="X358" s="2042"/>
      <c r="Y358" s="2042"/>
      <c r="Z358" s="2042"/>
      <c r="AA358" s="2042"/>
      <c r="AB358" s="2042">
        <v>1</v>
      </c>
      <c r="AC358" s="3035">
        <v>0.95</v>
      </c>
      <c r="AD358" s="2201"/>
      <c r="AE358" s="2201"/>
      <c r="AF358" s="2201"/>
      <c r="AG358" s="2201"/>
      <c r="AH358" s="1930"/>
      <c r="AI358" s="1930"/>
      <c r="AJ358" s="1930"/>
      <c r="AK358" s="1930"/>
      <c r="AL358" s="1930"/>
      <c r="AM358" s="1930"/>
      <c r="AN358" s="1930"/>
      <c r="AO358" s="1930"/>
      <c r="AP358" s="1930"/>
      <c r="AQ358" s="1930"/>
      <c r="AR358" s="1930"/>
      <c r="AS358" s="1930"/>
      <c r="AT358" s="1930"/>
      <c r="AU358" s="1930"/>
      <c r="AV358" s="1930"/>
      <c r="AW358" s="1930"/>
      <c r="AX358" s="1930"/>
      <c r="AY358" s="1930"/>
      <c r="AZ358" s="1930"/>
      <c r="BA358" s="1930"/>
      <c r="BB358" s="1930"/>
      <c r="BC358" s="1930"/>
    </row>
    <row r="359" spans="4:55" hidden="1" outlineLevel="1" x14ac:dyDescent="0.25">
      <c r="D359" s="3885"/>
      <c r="E359" s="3885"/>
      <c r="F359" s="3121" t="s">
        <v>795</v>
      </c>
      <c r="G359" s="3029">
        <f>G328</f>
        <v>0.93799999999999994</v>
      </c>
      <c r="H359" s="2528" t="s">
        <v>802</v>
      </c>
      <c r="I359" s="2528"/>
      <c r="M359" s="3220"/>
      <c r="V359" s="3882"/>
      <c r="W359" s="2042"/>
      <c r="X359" s="2042"/>
      <c r="Y359" s="2042"/>
      <c r="Z359" s="2042"/>
      <c r="AA359" s="2042"/>
      <c r="AB359" s="2042">
        <v>0.78</v>
      </c>
      <c r="AC359" s="3035">
        <v>0.93799999999999994</v>
      </c>
      <c r="AD359" s="2201"/>
      <c r="AE359" s="2201"/>
      <c r="AF359" s="2201"/>
      <c r="AG359" s="2201"/>
      <c r="AH359" s="1930"/>
      <c r="AI359" s="1930"/>
      <c r="AJ359" s="1930"/>
      <c r="AK359" s="1930"/>
      <c r="AL359" s="1930"/>
      <c r="AM359" s="1930"/>
      <c r="AN359" s="1930"/>
      <c r="AO359" s="1930"/>
      <c r="AP359" s="1930"/>
      <c r="AQ359" s="1930"/>
      <c r="AR359" s="1930"/>
      <c r="AS359" s="1930"/>
      <c r="AT359" s="1930"/>
      <c r="AU359" s="1930"/>
      <c r="AV359" s="1930"/>
      <c r="AW359" s="1930"/>
      <c r="AX359" s="1930"/>
      <c r="AY359" s="1930"/>
      <c r="AZ359" s="1930"/>
      <c r="BA359" s="1930"/>
      <c r="BB359" s="1930"/>
      <c r="BC359" s="1930"/>
    </row>
    <row r="360" spans="4:55" hidden="1" outlineLevel="1" x14ac:dyDescent="0.25">
      <c r="D360" s="3886"/>
      <c r="E360" s="3886"/>
      <c r="F360" s="3115" t="s">
        <v>620</v>
      </c>
      <c r="G360" s="3029">
        <f>G359</f>
        <v>0.93799999999999994</v>
      </c>
      <c r="H360" s="2528" t="s">
        <v>802</v>
      </c>
      <c r="I360" s="2528"/>
      <c r="M360" s="3220"/>
      <c r="V360" s="3882"/>
      <c r="W360" s="545"/>
      <c r="X360" s="545"/>
      <c r="Y360" s="545"/>
      <c r="Z360" s="545"/>
      <c r="AA360" s="545"/>
      <c r="AB360" s="2042">
        <v>0.78</v>
      </c>
      <c r="AC360" s="632">
        <v>0.93799999999999994</v>
      </c>
      <c r="AD360" s="545"/>
      <c r="AE360" s="545"/>
      <c r="AF360" s="545"/>
      <c r="AG360" s="545"/>
      <c r="AH360" s="1930"/>
      <c r="AI360" s="1930"/>
      <c r="AJ360" s="1930"/>
      <c r="AK360" s="1930"/>
      <c r="AL360" s="1930"/>
      <c r="AM360" s="1930"/>
      <c r="AN360" s="1930"/>
      <c r="AO360" s="1930"/>
      <c r="AP360" s="1930"/>
      <c r="AQ360" s="1930"/>
      <c r="AR360" s="1930"/>
      <c r="AS360" s="1930"/>
      <c r="AT360" s="1930"/>
      <c r="AU360" s="1930"/>
      <c r="AV360" s="1930"/>
      <c r="AW360" s="1930"/>
      <c r="AX360" s="1930"/>
      <c r="AY360" s="1930"/>
      <c r="AZ360" s="1930"/>
      <c r="BA360" s="1930"/>
      <c r="BB360" s="1930"/>
      <c r="BC360" s="1930"/>
    </row>
    <row r="361" spans="4:55" hidden="1" outlineLevel="1" x14ac:dyDescent="0.25">
      <c r="D361" s="2529" t="s">
        <v>181</v>
      </c>
      <c r="E361" s="2529" t="s">
        <v>167</v>
      </c>
      <c r="F361" s="2530" t="s">
        <v>135</v>
      </c>
      <c r="G361" s="2531">
        <v>10</v>
      </c>
      <c r="H361" s="2528"/>
      <c r="I361" s="2528"/>
      <c r="M361" s="3220"/>
      <c r="V361" s="2537" t="s">
        <v>181</v>
      </c>
      <c r="W361" s="682"/>
      <c r="X361" s="682"/>
      <c r="Y361" s="682"/>
      <c r="Z361" s="682"/>
      <c r="AA361" s="682"/>
      <c r="AB361" s="2206">
        <v>10</v>
      </c>
      <c r="AC361" s="158">
        <v>10</v>
      </c>
      <c r="AD361" s="682"/>
      <c r="AE361" s="682"/>
      <c r="AF361" s="682"/>
      <c r="AG361" s="682"/>
      <c r="AH361" s="1930"/>
      <c r="AI361" s="1930"/>
      <c r="AJ361" s="1930"/>
      <c r="AK361" s="1930"/>
      <c r="AL361" s="1930"/>
      <c r="AM361" s="1930"/>
      <c r="AN361" s="1930"/>
      <c r="AO361" s="1930"/>
      <c r="AP361" s="1930"/>
      <c r="AQ361" s="1930"/>
      <c r="AR361" s="1930"/>
      <c r="AS361" s="1930"/>
      <c r="AT361" s="1930"/>
      <c r="AU361" s="1930"/>
      <c r="AV361" s="1930"/>
      <c r="AW361" s="1930"/>
      <c r="AX361" s="1930"/>
      <c r="AY361" s="1930"/>
      <c r="AZ361" s="1930"/>
      <c r="BA361" s="1930"/>
      <c r="BB361" s="1930"/>
      <c r="BC361" s="1930"/>
    </row>
    <row r="362" spans="4:55" hidden="1" outlineLevel="1" x14ac:dyDescent="0.25">
      <c r="D362" s="3899" t="s">
        <v>170</v>
      </c>
      <c r="E362" s="3876" t="s">
        <v>171</v>
      </c>
      <c r="F362" s="2532" t="s">
        <v>429</v>
      </c>
      <c r="G362" s="2533">
        <v>30</v>
      </c>
      <c r="H362" s="2532" t="s">
        <v>432</v>
      </c>
      <c r="I362" s="2534" t="s">
        <v>433</v>
      </c>
      <c r="M362" s="3220"/>
      <c r="V362" s="3883" t="s">
        <v>170</v>
      </c>
      <c r="W362" s="1975"/>
      <c r="X362" s="1975"/>
      <c r="Y362" s="1975"/>
      <c r="Z362" s="1975"/>
      <c r="AA362" s="1975"/>
      <c r="AB362" s="2207">
        <v>30</v>
      </c>
      <c r="AC362" s="1698">
        <v>30</v>
      </c>
      <c r="AD362" s="1958"/>
      <c r="AE362" s="1958"/>
      <c r="AF362" s="1958"/>
      <c r="AG362" s="1958"/>
      <c r="AH362" s="1930"/>
      <c r="AI362" s="1930"/>
      <c r="AJ362" s="1930"/>
      <c r="AK362" s="1930"/>
      <c r="AL362" s="1930"/>
      <c r="AM362" s="1930"/>
      <c r="AN362" s="1930"/>
      <c r="AO362" s="1930"/>
      <c r="AP362" s="1930"/>
      <c r="AQ362" s="1930"/>
      <c r="AR362" s="1930"/>
      <c r="AS362" s="1930"/>
      <c r="AT362" s="1930"/>
      <c r="AU362" s="1930"/>
      <c r="AV362" s="1930"/>
      <c r="AW362" s="1930"/>
      <c r="AX362" s="1930"/>
      <c r="AY362" s="1930"/>
      <c r="AZ362" s="1930"/>
      <c r="BA362" s="1930"/>
      <c r="BB362" s="1930"/>
      <c r="BC362" s="1930"/>
    </row>
    <row r="363" spans="4:55" hidden="1" outlineLevel="1" x14ac:dyDescent="0.25">
      <c r="D363" s="3899"/>
      <c r="E363" s="3876"/>
      <c r="F363" s="2535" t="s">
        <v>430</v>
      </c>
      <c r="G363" s="2533">
        <v>60</v>
      </c>
      <c r="H363" s="2532" t="s">
        <v>434</v>
      </c>
      <c r="I363" s="2532" t="s">
        <v>434</v>
      </c>
      <c r="M363" s="3220"/>
      <c r="V363" s="3883"/>
      <c r="W363" s="550"/>
      <c r="X363" s="550"/>
      <c r="Y363" s="550"/>
      <c r="Z363" s="550"/>
      <c r="AA363" s="550"/>
      <c r="AB363" s="2207">
        <v>60</v>
      </c>
      <c r="AC363" s="1698">
        <v>60</v>
      </c>
      <c r="AD363" s="160"/>
      <c r="AE363" s="160"/>
      <c r="AF363" s="160"/>
      <c r="AG363" s="160"/>
      <c r="AH363" s="1930"/>
      <c r="AI363" s="1930"/>
      <c r="AJ363" s="1930"/>
      <c r="AK363" s="1930"/>
      <c r="AL363" s="1930"/>
      <c r="AM363" s="1930"/>
      <c r="AN363" s="1930"/>
      <c r="AO363" s="1930"/>
      <c r="AP363" s="1930"/>
      <c r="AQ363" s="1930"/>
      <c r="AR363" s="1930"/>
      <c r="AS363" s="1930"/>
      <c r="AT363" s="1930"/>
      <c r="AU363" s="1930"/>
      <c r="AV363" s="1930"/>
      <c r="AW363" s="1930"/>
      <c r="AX363" s="1930"/>
      <c r="AY363" s="1930"/>
      <c r="AZ363" s="1930"/>
      <c r="BA363" s="1930"/>
      <c r="BB363" s="1930"/>
      <c r="BC363" s="1930"/>
    </row>
    <row r="364" spans="4:55" hidden="1" outlineLevel="1" x14ac:dyDescent="0.25">
      <c r="M364" s="3220"/>
      <c r="AC364" s="1930"/>
      <c r="AD364" s="1930"/>
      <c r="AE364" s="1930"/>
      <c r="AF364" s="1930"/>
      <c r="AG364" s="1930"/>
      <c r="AH364" s="1930"/>
      <c r="AI364" s="1930"/>
      <c r="AJ364" s="1930"/>
      <c r="AK364" s="1930"/>
      <c r="AL364" s="1930"/>
      <c r="AM364" s="1930"/>
      <c r="AN364" s="1930"/>
      <c r="AO364" s="1930"/>
      <c r="AP364" s="1930"/>
      <c r="AQ364" s="1930"/>
      <c r="AR364" s="1930"/>
      <c r="AS364" s="1930"/>
      <c r="AT364" s="1930"/>
      <c r="AU364" s="1930"/>
      <c r="AV364" s="1930"/>
      <c r="AW364" s="1930"/>
      <c r="AX364" s="1930"/>
      <c r="AY364" s="1930"/>
      <c r="AZ364" s="1930"/>
      <c r="BA364" s="1930"/>
      <c r="BB364" s="1930"/>
      <c r="BC364" s="1930"/>
    </row>
    <row r="365" spans="4:55" collapsed="1" x14ac:dyDescent="0.25">
      <c r="M365" s="3220"/>
      <c r="AC365" s="1930"/>
      <c r="AD365" s="1930"/>
      <c r="AE365" s="1930"/>
      <c r="AF365" s="1930"/>
      <c r="AG365" s="1930"/>
      <c r="AH365" s="1930"/>
      <c r="AI365" s="1930"/>
      <c r="AJ365" s="1930"/>
      <c r="AK365" s="1930"/>
      <c r="AL365" s="1930"/>
      <c r="AM365" s="1930"/>
      <c r="AN365" s="1930"/>
      <c r="AO365" s="1930"/>
      <c r="AP365" s="1930"/>
      <c r="AQ365" s="1930"/>
      <c r="AR365" s="1930"/>
      <c r="AS365" s="1930"/>
      <c r="AT365" s="1930"/>
      <c r="AU365" s="1930"/>
      <c r="AV365" s="1930"/>
      <c r="AW365" s="1930"/>
      <c r="AX365" s="1930"/>
      <c r="AY365" s="1930"/>
      <c r="AZ365" s="1930"/>
      <c r="BA365" s="1930"/>
      <c r="BB365" s="1930"/>
      <c r="BC365" s="1930"/>
    </row>
  </sheetData>
  <mergeCells count="424">
    <mergeCell ref="J203:K203"/>
    <mergeCell ref="D327:D328"/>
    <mergeCell ref="E327:E328"/>
    <mergeCell ref="V327:V328"/>
    <mergeCell ref="J193:K193"/>
    <mergeCell ref="J194:K194"/>
    <mergeCell ref="J195:K195"/>
    <mergeCell ref="J196:K196"/>
    <mergeCell ref="J197:K197"/>
    <mergeCell ref="J198:K198"/>
    <mergeCell ref="J199:K199"/>
    <mergeCell ref="J201:K201"/>
    <mergeCell ref="J202:K202"/>
    <mergeCell ref="J289:L289"/>
    <mergeCell ref="J290:L290"/>
    <mergeCell ref="J291:L291"/>
    <mergeCell ref="J293:L293"/>
    <mergeCell ref="H269:I269"/>
    <mergeCell ref="J288:L288"/>
    <mergeCell ref="J287:L287"/>
    <mergeCell ref="J285:L285"/>
    <mergeCell ref="J284:L284"/>
    <mergeCell ref="J283:L283"/>
    <mergeCell ref="J279:L279"/>
    <mergeCell ref="H221:I221"/>
    <mergeCell ref="H239:I239"/>
    <mergeCell ref="E286:E287"/>
    <mergeCell ref="D286:D287"/>
    <mergeCell ref="H270:I270"/>
    <mergeCell ref="E275:E276"/>
    <mergeCell ref="D275:D276"/>
    <mergeCell ref="E273:E274"/>
    <mergeCell ref="D273:D274"/>
    <mergeCell ref="E270:E271"/>
    <mergeCell ref="D270:D271"/>
    <mergeCell ref="H281:I281"/>
    <mergeCell ref="H280:I280"/>
    <mergeCell ref="H279:I279"/>
    <mergeCell ref="H278:I278"/>
    <mergeCell ref="H271:I271"/>
    <mergeCell ref="H272:I272"/>
    <mergeCell ref="H273:I273"/>
    <mergeCell ref="H284:I284"/>
    <mergeCell ref="H282:I282"/>
    <mergeCell ref="H247:I247"/>
    <mergeCell ref="H246:I246"/>
    <mergeCell ref="H243:I243"/>
    <mergeCell ref="H242:I242"/>
    <mergeCell ref="J200:K200"/>
    <mergeCell ref="H203:I203"/>
    <mergeCell ref="H202:I202"/>
    <mergeCell ref="H316:I316"/>
    <mergeCell ref="E248:E249"/>
    <mergeCell ref="H317:I317"/>
    <mergeCell ref="H318:I318"/>
    <mergeCell ref="H319:I319"/>
    <mergeCell ref="H320:I320"/>
    <mergeCell ref="H245:I245"/>
    <mergeCell ref="H244:I244"/>
    <mergeCell ref="H255:I255"/>
    <mergeCell ref="H254:I254"/>
    <mergeCell ref="H253:I253"/>
    <mergeCell ref="H252:I252"/>
    <mergeCell ref="H250:I250"/>
    <mergeCell ref="H288:I288"/>
    <mergeCell ref="H290:I290"/>
    <mergeCell ref="H292:I292"/>
    <mergeCell ref="H294:I294"/>
    <mergeCell ref="H285:I285"/>
    <mergeCell ref="H286:I286"/>
    <mergeCell ref="H287:I287"/>
    <mergeCell ref="H289:I289"/>
    <mergeCell ref="D147:D150"/>
    <mergeCell ref="E145:E146"/>
    <mergeCell ref="D145:D146"/>
    <mergeCell ref="H241:I241"/>
    <mergeCell ref="H240:I240"/>
    <mergeCell ref="H238:I238"/>
    <mergeCell ref="H237:I237"/>
    <mergeCell ref="H236:I236"/>
    <mergeCell ref="E170:E172"/>
    <mergeCell ref="D170:D172"/>
    <mergeCell ref="H170:I170"/>
    <mergeCell ref="H172:I172"/>
    <mergeCell ref="H171:I171"/>
    <mergeCell ref="E198:E201"/>
    <mergeCell ref="D198:D201"/>
    <mergeCell ref="E196:E197"/>
    <mergeCell ref="D196:D197"/>
    <mergeCell ref="H195:I195"/>
    <mergeCell ref="H194:I194"/>
    <mergeCell ref="H193:I193"/>
    <mergeCell ref="B206:N206"/>
    <mergeCell ref="E179:E182"/>
    <mergeCell ref="D179:D182"/>
    <mergeCell ref="H192:I192"/>
    <mergeCell ref="E122:E124"/>
    <mergeCell ref="E126:E128"/>
    <mergeCell ref="E136:E138"/>
    <mergeCell ref="E133:E134"/>
    <mergeCell ref="H129:I129"/>
    <mergeCell ref="H125:I125"/>
    <mergeCell ref="H124:I124"/>
    <mergeCell ref="E118:E120"/>
    <mergeCell ref="D118:D120"/>
    <mergeCell ref="H122:I122"/>
    <mergeCell ref="H138:I138"/>
    <mergeCell ref="H117:I117"/>
    <mergeCell ref="H121:I121"/>
    <mergeCell ref="H120:I120"/>
    <mergeCell ref="H119:I119"/>
    <mergeCell ref="H133:I133"/>
    <mergeCell ref="H132:I132"/>
    <mergeCell ref="H131:I131"/>
    <mergeCell ref="H130:I130"/>
    <mergeCell ref="H128:I128"/>
    <mergeCell ref="H127:I127"/>
    <mergeCell ref="H126:I126"/>
    <mergeCell ref="H118:I118"/>
    <mergeCell ref="V118:V120"/>
    <mergeCell ref="D30:D33"/>
    <mergeCell ref="D28:D29"/>
    <mergeCell ref="A1:O1"/>
    <mergeCell ref="D2:J2"/>
    <mergeCell ref="B4:N4"/>
    <mergeCell ref="D133:D134"/>
    <mergeCell ref="G21:H21"/>
    <mergeCell ref="G22:H22"/>
    <mergeCell ref="G27:H27"/>
    <mergeCell ref="G26:H26"/>
    <mergeCell ref="G25:H25"/>
    <mergeCell ref="G24:H24"/>
    <mergeCell ref="G23:H23"/>
    <mergeCell ref="G33:H33"/>
    <mergeCell ref="G32:H32"/>
    <mergeCell ref="G31:H31"/>
    <mergeCell ref="G30:H30"/>
    <mergeCell ref="G29:H29"/>
    <mergeCell ref="G28:H28"/>
    <mergeCell ref="G37:H37"/>
    <mergeCell ref="G36:H36"/>
    <mergeCell ref="V4:AH4"/>
    <mergeCell ref="D22:D23"/>
    <mergeCell ref="V22:V23"/>
    <mergeCell ref="D25:D26"/>
    <mergeCell ref="V25:V26"/>
    <mergeCell ref="D94:D97"/>
    <mergeCell ref="E94:E97"/>
    <mergeCell ref="D34:D35"/>
    <mergeCell ref="V34:V35"/>
    <mergeCell ref="D36:D37"/>
    <mergeCell ref="V36:V37"/>
    <mergeCell ref="D39:D40"/>
    <mergeCell ref="V39:V40"/>
    <mergeCell ref="B43:N43"/>
    <mergeCell ref="V43:AH43"/>
    <mergeCell ref="V94:V97"/>
    <mergeCell ref="I90:I93"/>
    <mergeCell ref="G35:H35"/>
    <mergeCell ref="G34:H34"/>
    <mergeCell ref="G38:H38"/>
    <mergeCell ref="G39:H39"/>
    <mergeCell ref="G40:H40"/>
    <mergeCell ref="G41:H41"/>
    <mergeCell ref="E90:E93"/>
    <mergeCell ref="D90:D93"/>
    <mergeCell ref="V30:V33"/>
    <mergeCell ref="J136:K136"/>
    <mergeCell ref="B102:N102"/>
    <mergeCell ref="V102:AH102"/>
    <mergeCell ref="J117:K117"/>
    <mergeCell ref="J121:K121"/>
    <mergeCell ref="J122:K122"/>
    <mergeCell ref="J125:K125"/>
    <mergeCell ref="J126:K126"/>
    <mergeCell ref="J133:K133"/>
    <mergeCell ref="J135:K135"/>
    <mergeCell ref="D122:D124"/>
    <mergeCell ref="D126:D128"/>
    <mergeCell ref="E129:E132"/>
    <mergeCell ref="D129:D132"/>
    <mergeCell ref="V122:V124"/>
    <mergeCell ref="V129:V132"/>
    <mergeCell ref="V126:V128"/>
    <mergeCell ref="V133:V134"/>
    <mergeCell ref="V136:V138"/>
    <mergeCell ref="H137:I137"/>
    <mergeCell ref="H136:I136"/>
    <mergeCell ref="H123:I123"/>
    <mergeCell ref="H135:I135"/>
    <mergeCell ref="H134:I134"/>
    <mergeCell ref="J138:K138"/>
    <mergeCell ref="J172:K172"/>
    <mergeCell ref="J139:K139"/>
    <mergeCell ref="J140:K140"/>
    <mergeCell ref="J141:K141"/>
    <mergeCell ref="J142:K142"/>
    <mergeCell ref="J143:K143"/>
    <mergeCell ref="J144:K144"/>
    <mergeCell ref="J151:K151"/>
    <mergeCell ref="J152:K152"/>
    <mergeCell ref="B154:N154"/>
    <mergeCell ref="H148:I148"/>
    <mergeCell ref="H146:I146"/>
    <mergeCell ref="D136:D138"/>
    <mergeCell ref="H142:I142"/>
    <mergeCell ref="H141:I141"/>
    <mergeCell ref="H140:I140"/>
    <mergeCell ref="H139:I139"/>
    <mergeCell ref="J170:K170"/>
    <mergeCell ref="J171:K171"/>
    <mergeCell ref="H144:I144"/>
    <mergeCell ref="H143:I143"/>
    <mergeCell ref="E147:E150"/>
    <mergeCell ref="H169:I169"/>
    <mergeCell ref="V147:V150"/>
    <mergeCell ref="V145:V146"/>
    <mergeCell ref="H147:I147"/>
    <mergeCell ref="H145:I145"/>
    <mergeCell ref="H149:I149"/>
    <mergeCell ref="H150:I150"/>
    <mergeCell ref="H151:I151"/>
    <mergeCell ref="J169:K169"/>
    <mergeCell ref="J189:K189"/>
    <mergeCell ref="J173:K173"/>
    <mergeCell ref="J174:K174"/>
    <mergeCell ref="J176:K176"/>
    <mergeCell ref="J177:K177"/>
    <mergeCell ref="J179:K179"/>
    <mergeCell ref="J180:K180"/>
    <mergeCell ref="J182:K182"/>
    <mergeCell ref="H152:I152"/>
    <mergeCell ref="V154:AH154"/>
    <mergeCell ref="V177:V178"/>
    <mergeCell ref="V183:V184"/>
    <mergeCell ref="V179:V182"/>
    <mergeCell ref="H186:I186"/>
    <mergeCell ref="H185:I185"/>
    <mergeCell ref="J183:K183"/>
    <mergeCell ref="J175:K175"/>
    <mergeCell ref="J192:K192"/>
    <mergeCell ref="J184:K184"/>
    <mergeCell ref="H188:I188"/>
    <mergeCell ref="H187:I187"/>
    <mergeCell ref="H181:I181"/>
    <mergeCell ref="H184:I184"/>
    <mergeCell ref="H183:I183"/>
    <mergeCell ref="V174:V175"/>
    <mergeCell ref="H191:I191"/>
    <mergeCell ref="H190:I190"/>
    <mergeCell ref="H189:I189"/>
    <mergeCell ref="J185:K185"/>
    <mergeCell ref="J186:K186"/>
    <mergeCell ref="J187:K187"/>
    <mergeCell ref="J188:K188"/>
    <mergeCell ref="J190:K190"/>
    <mergeCell ref="J191:K191"/>
    <mergeCell ref="V206:AH206"/>
    <mergeCell ref="B257:N257"/>
    <mergeCell ref="V257:AH257"/>
    <mergeCell ref="V170:V172"/>
    <mergeCell ref="J292:L292"/>
    <mergeCell ref="J294:L294"/>
    <mergeCell ref="J295:L295"/>
    <mergeCell ref="J296:L296"/>
    <mergeCell ref="E292:E293"/>
    <mergeCell ref="D292:D293"/>
    <mergeCell ref="H293:I293"/>
    <mergeCell ref="H296:I296"/>
    <mergeCell ref="H295:I295"/>
    <mergeCell ref="E177:E178"/>
    <mergeCell ref="D177:D178"/>
    <mergeCell ref="E174:E175"/>
    <mergeCell ref="D174:D175"/>
    <mergeCell ref="E191:E192"/>
    <mergeCell ref="D191:D192"/>
    <mergeCell ref="E186:E188"/>
    <mergeCell ref="D186:D188"/>
    <mergeCell ref="E183:E184"/>
    <mergeCell ref="D183:D184"/>
    <mergeCell ref="J282:L282"/>
    <mergeCell ref="V298:AH298"/>
    <mergeCell ref="H291:I291"/>
    <mergeCell ref="E283:E285"/>
    <mergeCell ref="D283:D285"/>
    <mergeCell ref="V286:V287"/>
    <mergeCell ref="V283:V285"/>
    <mergeCell ref="E288:E291"/>
    <mergeCell ref="D288:D291"/>
    <mergeCell ref="V292:V293"/>
    <mergeCell ref="V288:V291"/>
    <mergeCell ref="B298:N298"/>
    <mergeCell ref="J286:L286"/>
    <mergeCell ref="H283:I283"/>
    <mergeCell ref="V222:V224"/>
    <mergeCell ref="V225:V226"/>
    <mergeCell ref="V230:V231"/>
    <mergeCell ref="V227:V228"/>
    <mergeCell ref="E232:E235"/>
    <mergeCell ref="D232:D235"/>
    <mergeCell ref="V232:V235"/>
    <mergeCell ref="H224:I224"/>
    <mergeCell ref="E222:E224"/>
    <mergeCell ref="D222:D224"/>
    <mergeCell ref="H223:I223"/>
    <mergeCell ref="H222:I222"/>
    <mergeCell ref="E227:E228"/>
    <mergeCell ref="D227:D228"/>
    <mergeCell ref="E230:E231"/>
    <mergeCell ref="D230:D231"/>
    <mergeCell ref="H235:I235"/>
    <mergeCell ref="H234:I234"/>
    <mergeCell ref="H233:I233"/>
    <mergeCell ref="V239:V241"/>
    <mergeCell ref="V236:V237"/>
    <mergeCell ref="E225:E226"/>
    <mergeCell ref="D225:D226"/>
    <mergeCell ref="H232:I232"/>
    <mergeCell ref="H231:I231"/>
    <mergeCell ref="H230:I230"/>
    <mergeCell ref="H229:I229"/>
    <mergeCell ref="H228:I228"/>
    <mergeCell ref="H227:I227"/>
    <mergeCell ref="H226:I226"/>
    <mergeCell ref="H225:I225"/>
    <mergeCell ref="D239:D241"/>
    <mergeCell ref="D236:D237"/>
    <mergeCell ref="E239:E241"/>
    <mergeCell ref="E236:E237"/>
    <mergeCell ref="V250:V253"/>
    <mergeCell ref="V248:V249"/>
    <mergeCell ref="V278:V279"/>
    <mergeCell ref="V275:V276"/>
    <mergeCell ref="V273:V274"/>
    <mergeCell ref="V270:V271"/>
    <mergeCell ref="E278:E279"/>
    <mergeCell ref="D278:D279"/>
    <mergeCell ref="H276:I276"/>
    <mergeCell ref="H275:I275"/>
    <mergeCell ref="H251:I251"/>
    <mergeCell ref="J276:L276"/>
    <mergeCell ref="J274:L274"/>
    <mergeCell ref="J271:L271"/>
    <mergeCell ref="J269:L269"/>
    <mergeCell ref="J270:L270"/>
    <mergeCell ref="J272:L272"/>
    <mergeCell ref="J273:L273"/>
    <mergeCell ref="J275:L275"/>
    <mergeCell ref="J277:L277"/>
    <mergeCell ref="J278:L278"/>
    <mergeCell ref="H249:I249"/>
    <mergeCell ref="H248:I248"/>
    <mergeCell ref="H274:I274"/>
    <mergeCell ref="V349:V357"/>
    <mergeCell ref="V358:V360"/>
    <mergeCell ref="V362:V363"/>
    <mergeCell ref="D349:D357"/>
    <mergeCell ref="E349:E357"/>
    <mergeCell ref="D358:D360"/>
    <mergeCell ref="E358:E360"/>
    <mergeCell ref="V317:V318"/>
    <mergeCell ref="V319:V322"/>
    <mergeCell ref="V323:V326"/>
    <mergeCell ref="V330:V331"/>
    <mergeCell ref="V334:AH334"/>
    <mergeCell ref="H322:I322"/>
    <mergeCell ref="H323:I323"/>
    <mergeCell ref="H324:I324"/>
    <mergeCell ref="H325:I325"/>
    <mergeCell ref="H321:I321"/>
    <mergeCell ref="D319:D322"/>
    <mergeCell ref="E319:E322"/>
    <mergeCell ref="E323:E326"/>
    <mergeCell ref="D323:D326"/>
    <mergeCell ref="E317:E318"/>
    <mergeCell ref="D317:D318"/>
    <mergeCell ref="D362:D363"/>
    <mergeCell ref="E362:E363"/>
    <mergeCell ref="D330:D331"/>
    <mergeCell ref="E330:E331"/>
    <mergeCell ref="B334:O334"/>
    <mergeCell ref="H326:I326"/>
    <mergeCell ref="H331:I331"/>
    <mergeCell ref="D248:D249"/>
    <mergeCell ref="E250:E253"/>
    <mergeCell ref="D250:D253"/>
    <mergeCell ref="H277:I277"/>
    <mergeCell ref="J280:L280"/>
    <mergeCell ref="J281:L281"/>
    <mergeCell ref="H201:I201"/>
    <mergeCell ref="H200:I200"/>
    <mergeCell ref="H199:I199"/>
    <mergeCell ref="H198:I198"/>
    <mergeCell ref="H197:I197"/>
    <mergeCell ref="H196:I196"/>
    <mergeCell ref="E98:E99"/>
    <mergeCell ref="D98:D99"/>
    <mergeCell ref="V98:V99"/>
    <mergeCell ref="V196:V197"/>
    <mergeCell ref="V198:V201"/>
    <mergeCell ref="V186:V188"/>
    <mergeCell ref="V191:V192"/>
    <mergeCell ref="H182:I182"/>
    <mergeCell ref="H180:I180"/>
    <mergeCell ref="H175:I175"/>
    <mergeCell ref="H174:I174"/>
    <mergeCell ref="H173:I173"/>
    <mergeCell ref="H179:I179"/>
    <mergeCell ref="H178:I178"/>
    <mergeCell ref="H177:I177"/>
    <mergeCell ref="H176:I176"/>
    <mergeCell ref="J178:K178"/>
    <mergeCell ref="J181:K181"/>
    <mergeCell ref="V28:V29"/>
    <mergeCell ref="V90:V93"/>
    <mergeCell ref="E77:E83"/>
    <mergeCell ref="D77:D83"/>
    <mergeCell ref="E70:E76"/>
    <mergeCell ref="D70:D76"/>
    <mergeCell ref="V70:V76"/>
    <mergeCell ref="V77:V83"/>
    <mergeCell ref="D84:D85"/>
    <mergeCell ref="E84:E85"/>
    <mergeCell ref="V84:V85"/>
  </mergeCells>
  <conditionalFormatting sqref="AH7:AH10 AH105:AH108 AH157:AH160 AH209:AH212 AH260:AH263">
    <cfRule type="cellIs" dxfId="357" priority="37" operator="lessThan">
      <formula>-0.1</formula>
    </cfRule>
    <cfRule type="cellIs" dxfId="356" priority="38" operator="greaterThan">
      <formula>0.1</formula>
    </cfRule>
  </conditionalFormatting>
  <conditionalFormatting sqref="AH46:AH57">
    <cfRule type="cellIs" dxfId="355" priority="35" operator="lessThan">
      <formula>-0.1</formula>
    </cfRule>
    <cfRule type="cellIs" dxfId="354" priority="36" operator="greaterThan">
      <formula>0.1</formula>
    </cfRule>
  </conditionalFormatting>
  <conditionalFormatting sqref="AH301:AH309">
    <cfRule type="cellIs" dxfId="353" priority="25" operator="lessThan">
      <formula>-0.1</formula>
    </cfRule>
    <cfRule type="cellIs" dxfId="352" priority="26" operator="greaterThan">
      <formula>0.1</formula>
    </cfRule>
  </conditionalFormatting>
  <conditionalFormatting sqref="AH11">
    <cfRule type="cellIs" dxfId="351" priority="23" operator="lessThan">
      <formula>-0.1</formula>
    </cfRule>
    <cfRule type="cellIs" dxfId="350" priority="24" operator="greaterThan">
      <formula>0.1</formula>
    </cfRule>
  </conditionalFormatting>
  <conditionalFormatting sqref="B335:B336 B1:B326 B329:B333 B338:B1048576">
    <cfRule type="cellIs" dxfId="349" priority="22" operator="equal">
      <formula>"x"</formula>
    </cfRule>
  </conditionalFormatting>
  <conditionalFormatting sqref="E11">
    <cfRule type="cellIs" dxfId="348" priority="21" operator="equal">
      <formula>"x"</formula>
    </cfRule>
  </conditionalFormatting>
  <conditionalFormatting sqref="H357">
    <cfRule type="cellIs" dxfId="347" priority="16" operator="equal">
      <formula>"x"</formula>
    </cfRule>
  </conditionalFormatting>
  <conditionalFormatting sqref="D347:E348 D349 F363 G347:H348 F348 D358 H349:H356 D361:H361 G349:G357 H362:H363">
    <cfRule type="cellIs" dxfId="346" priority="20" operator="equal">
      <formula>"x"</formula>
    </cfRule>
  </conditionalFormatting>
  <conditionalFormatting sqref="F347">
    <cfRule type="cellIs" dxfId="345" priority="19" operator="equal">
      <formula>"x"</formula>
    </cfRule>
  </conditionalFormatting>
  <conditionalFormatting sqref="I347:I363">
    <cfRule type="cellIs" dxfId="344" priority="18" operator="equal">
      <formula>"x"</formula>
    </cfRule>
  </conditionalFormatting>
  <conditionalFormatting sqref="F349:F357">
    <cfRule type="cellIs" dxfId="343" priority="17" operator="equal">
      <formula>"x"</formula>
    </cfRule>
  </conditionalFormatting>
  <conditionalFormatting sqref="B334:O334">
    <cfRule type="cellIs" dxfId="342" priority="15" operator="equal">
      <formula>"x"</formula>
    </cfRule>
  </conditionalFormatting>
  <conditionalFormatting sqref="C336:L336 F339:L339 F338:G338 I338:L338">
    <cfRule type="cellIs" dxfId="341" priority="14" operator="equal">
      <formula>"x"</formula>
    </cfRule>
  </conditionalFormatting>
  <conditionalFormatting sqref="C339:E341">
    <cfRule type="cellIs" dxfId="340" priority="13" operator="equal">
      <formula>"x"</formula>
    </cfRule>
  </conditionalFormatting>
  <conditionalFormatting sqref="C342:E343">
    <cfRule type="cellIs" dxfId="339" priority="12" operator="equal">
      <formula>"x"</formula>
    </cfRule>
  </conditionalFormatting>
  <conditionalFormatting sqref="AH338:AH346">
    <cfRule type="cellIs" dxfId="338" priority="10" operator="lessThan">
      <formula>-0.1</formula>
    </cfRule>
    <cfRule type="cellIs" dxfId="337" priority="11" operator="greaterThan">
      <formula>0.1</formula>
    </cfRule>
  </conditionalFormatting>
  <conditionalFormatting sqref="V348:V349 V358 V361">
    <cfRule type="cellIs" dxfId="336" priority="9" operator="equal">
      <formula>"x"</formula>
    </cfRule>
  </conditionalFormatting>
  <conditionalFormatting sqref="AB361 AB348:AB357">
    <cfRule type="cellIs" dxfId="335" priority="8" operator="equal">
      <formula>"x"</formula>
    </cfRule>
  </conditionalFormatting>
  <conditionalFormatting sqref="B327:B328">
    <cfRule type="cellIs" dxfId="334" priority="7" operator="equal">
      <formula>"x"</formula>
    </cfRule>
  </conditionalFormatting>
  <conditionalFormatting sqref="H358:H360">
    <cfRule type="cellIs" dxfId="333" priority="6" operator="equal">
      <formula>"x"</formula>
    </cfRule>
  </conditionalFormatting>
  <conditionalFormatting sqref="B337">
    <cfRule type="cellIs" dxfId="332" priority="5" operator="equal">
      <formula>"x"</formula>
    </cfRule>
  </conditionalFormatting>
  <conditionalFormatting sqref="D337 F337:G337 I337:L337">
    <cfRule type="cellIs" dxfId="331" priority="4" operator="equal">
      <formula>"x"</formula>
    </cfRule>
  </conditionalFormatting>
  <conditionalFormatting sqref="AH337">
    <cfRule type="cellIs" dxfId="330" priority="2" operator="lessThan">
      <formula>-0.1</formula>
    </cfRule>
    <cfRule type="cellIs" dxfId="329" priority="3" operator="greaterThan">
      <formula>0.1</formula>
    </cfRule>
  </conditionalFormatting>
  <conditionalFormatting sqref="AC361">
    <cfRule type="cellIs" dxfId="328" priority="1" operator="equal">
      <formula>"x"</formula>
    </cfRule>
  </conditionalFormatting>
  <hyperlinks>
    <hyperlink ref="H141" r:id="rId1" display="http://ilsagfiles.org/SAG_files/Technical_Reference_Manual/Version_5/Final/IL-TRM_Version_5.0_dated_February-11-2016_Final_Compiled_Volumes_1-4.pdf"/>
    <hyperlink ref="H143" r:id="rId2" display="http://www.nrel.gov/docs/fy10osti/47246.pdf"/>
    <hyperlink ref="H133" r:id="rId3" display="http://ilsagfiles.org/SAG_files/Technical_Reference_Manual/Version_5/Final/IL-TRM_Version_5.0_dated_February-11-2016_Final_Compiled_Volumes_1-4.pdf"/>
    <hyperlink ref="H191" r:id="rId4" display="http://ilsagfiles.org/SAG_files/Technical_Reference_Manual/Version_5/Final/IL-TRM_Version_5.0_dated_February-11-2016_Final_Compiled_Volumes_1-4.pdf"/>
    <hyperlink ref="H194" r:id="rId5" display="http://www.nrel.gov/docs/fy10osti/47246.pdf"/>
    <hyperlink ref="H193" r:id="rId6" display="https://www.efis.psc.mo.gov/mpsc/commoncomponents/viewdocument.asp?DocId=935658483"/>
    <hyperlink ref="H183" r:id="rId7" display="http://ilsagfiles.org/SAG_files/Technical_Reference_Manual/Version_5/Final/IL-TRM_Version_5.0_dated_February-11-2016_Final_Compiled_Volumes_1-4.pdf"/>
    <hyperlink ref="H245" r:id="rId8" display="https://www.efis.psc.mo.gov/mpsc/commoncomponents/viewdocument.asp?DocId=935658483"/>
    <hyperlink ref="H246" r:id="rId9" display="http://www.nrel.gov/docs/fy10osti/47246.pdf"/>
  </hyperlinks>
  <pageMargins left="0.7" right="0.7" top="0.75" bottom="0.75" header="0.3" footer="0.3"/>
  <pageSetup scale="10" fitToHeight="0" orientation="landscape" r:id="rId10"/>
  <rowBreaks count="1" manualBreakCount="1">
    <brk id="297" max="69" man="1"/>
  </rowBreaks>
  <drawing r:id="rId11"/>
  <legacyDrawing r:id="rId1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4233"/>
  <sheetViews>
    <sheetView zoomScale="70" zoomScaleNormal="70" workbookViewId="0">
      <selection sqref="A1:O1"/>
    </sheetView>
  </sheetViews>
  <sheetFormatPr defaultRowHeight="15" outlineLevelRow="1" x14ac:dyDescent="0.25"/>
  <cols>
    <col min="1" max="1" width="6" style="1267" customWidth="1"/>
    <col min="2" max="2" width="27.140625" style="123" customWidth="1"/>
    <col min="3" max="3" width="19.140625" style="328" customWidth="1"/>
    <col min="4" max="4" width="17.85546875" style="329" customWidth="1"/>
    <col min="5" max="5" width="64" style="329" customWidth="1"/>
    <col min="6" max="6" width="22.28515625" style="123" customWidth="1"/>
    <col min="7" max="7" width="17.7109375" style="329" customWidth="1"/>
    <col min="8" max="8" width="17.85546875" style="123" customWidth="1"/>
    <col min="9" max="9" width="14.85546875" style="123" customWidth="1"/>
    <col min="10" max="10" width="9.7109375" style="123" customWidth="1"/>
    <col min="11" max="11" width="13" style="123" customWidth="1"/>
    <col min="12" max="12" width="15.85546875" style="123" customWidth="1"/>
    <col min="13" max="13" width="15.5703125" style="123" customWidth="1"/>
    <col min="14" max="14" width="11.140625" style="123" customWidth="1"/>
    <col min="15" max="15" width="11.85546875" style="123" customWidth="1"/>
    <col min="16" max="16" width="14" style="123" customWidth="1"/>
    <col min="17" max="17" width="16.85546875" style="123" customWidth="1"/>
    <col min="18" max="18" width="21.85546875" style="123" customWidth="1"/>
    <col min="19" max="19" width="14.42578125" style="123" customWidth="1"/>
    <col min="20" max="20" width="83.42578125" style="123" customWidth="1"/>
    <col min="21" max="21" width="11.85546875" style="123" customWidth="1"/>
    <col min="22" max="22" width="20.5703125" style="123" customWidth="1"/>
    <col min="23" max="23" width="15.42578125" customWidth="1"/>
    <col min="24" max="24" width="18" customWidth="1"/>
    <col min="25" max="26" width="16.7109375" customWidth="1"/>
    <col min="27" max="28" width="17.42578125" customWidth="1"/>
    <col min="29" max="29" width="18.7109375" customWidth="1"/>
    <col min="30" max="33" width="15.42578125" customWidth="1"/>
    <col min="34" max="51" width="9.140625" customWidth="1"/>
    <col min="52" max="52" width="12.140625" customWidth="1"/>
    <col min="53" max="53" width="9.140625" customWidth="1"/>
    <col min="54" max="54" width="13.140625" style="575" bestFit="1" customWidth="1"/>
    <col min="55" max="55" width="26.42578125" style="576" customWidth="1"/>
    <col min="56" max="56" width="13.140625" style="577" customWidth="1"/>
    <col min="57" max="57" width="19" customWidth="1"/>
    <col min="60" max="60" width="10" customWidth="1"/>
  </cols>
  <sheetData>
    <row r="1" spans="1:57" s="23" customFormat="1" ht="18.75" x14ac:dyDescent="0.3">
      <c r="A1" s="3756" t="s">
        <v>803</v>
      </c>
      <c r="B1" s="3951"/>
      <c r="C1" s="3951"/>
      <c r="D1" s="3951"/>
      <c r="E1" s="3951"/>
      <c r="F1" s="3951"/>
      <c r="G1" s="3951"/>
      <c r="H1" s="3951"/>
      <c r="I1" s="3951"/>
      <c r="J1" s="3951"/>
      <c r="K1" s="3951"/>
      <c r="L1" s="3951"/>
      <c r="M1" s="3951"/>
      <c r="N1" s="3951"/>
      <c r="O1" s="3951"/>
      <c r="P1" s="3758"/>
      <c r="Q1" s="4149"/>
      <c r="R1" s="4149"/>
      <c r="S1" s="1965"/>
      <c r="T1" s="1965"/>
      <c r="U1" s="1965"/>
      <c r="V1" s="2540"/>
      <c r="W1" s="31"/>
      <c r="X1" s="31"/>
      <c r="Y1" s="32"/>
      <c r="Z1" s="32"/>
      <c r="AA1" s="32"/>
      <c r="AB1" s="32"/>
      <c r="AC1" s="32"/>
      <c r="AD1" s="32"/>
      <c r="AE1" s="32"/>
      <c r="AF1" s="32"/>
      <c r="AG1" s="32"/>
      <c r="AH1" s="32"/>
      <c r="AI1" s="1931"/>
      <c r="AJ1" s="1931"/>
      <c r="AK1" s="1931"/>
      <c r="AL1" s="1931"/>
      <c r="AM1" s="1931"/>
      <c r="AN1" s="1931"/>
      <c r="AO1" s="1931"/>
      <c r="AP1" s="1931"/>
      <c r="AQ1" s="1931"/>
      <c r="AR1" s="1931"/>
      <c r="AS1" s="1931"/>
      <c r="AT1" s="1931"/>
      <c r="AU1" s="1931"/>
      <c r="AV1" s="1931"/>
      <c r="AW1" s="1931"/>
      <c r="AX1" s="1931"/>
      <c r="AY1" s="1931"/>
      <c r="AZ1" s="1931"/>
      <c r="BA1" s="1931"/>
      <c r="BB1" s="570"/>
      <c r="BC1" s="571"/>
      <c r="BD1" s="572"/>
      <c r="BE1" s="1931"/>
    </row>
    <row r="2" spans="1:57" s="23" customFormat="1" ht="30" hidden="1" customHeight="1" outlineLevel="1" x14ac:dyDescent="0.35">
      <c r="A2" s="2056"/>
      <c r="B2" s="1280"/>
      <c r="C2" s="143"/>
      <c r="D2" s="3760" t="s">
        <v>25</v>
      </c>
      <c r="E2" s="3761"/>
      <c r="F2" s="3762"/>
      <c r="G2" s="3762"/>
      <c r="H2" s="3762"/>
      <c r="I2" s="3762"/>
      <c r="J2" s="3762"/>
      <c r="K2" s="873"/>
      <c r="L2" s="873"/>
      <c r="M2" s="1965"/>
      <c r="N2" s="1965"/>
      <c r="O2" s="1965"/>
      <c r="P2" s="1965"/>
      <c r="Q2" s="1965"/>
      <c r="R2" s="1965"/>
      <c r="S2" s="1965"/>
      <c r="T2" s="1965"/>
      <c r="U2" s="1965"/>
      <c r="V2" s="1965"/>
      <c r="W2" s="1931"/>
      <c r="X2" s="1931"/>
      <c r="Y2" s="1931"/>
      <c r="Z2" s="1931"/>
      <c r="AA2" s="1931"/>
      <c r="AB2" s="1931"/>
      <c r="AC2" s="1931"/>
      <c r="AD2" s="1931"/>
      <c r="AE2" s="1931"/>
      <c r="AF2" s="1931"/>
      <c r="AG2" s="1931"/>
      <c r="AH2" s="1931"/>
      <c r="AI2" s="1931"/>
      <c r="AJ2" s="1931"/>
      <c r="AK2" s="1931"/>
      <c r="AL2" s="1931"/>
      <c r="AM2" s="1931"/>
      <c r="AN2" s="1931"/>
      <c r="AO2" s="1931"/>
      <c r="AP2" s="1931"/>
      <c r="AQ2" s="1931"/>
      <c r="AR2" s="1931"/>
      <c r="AS2" s="1931"/>
      <c r="AT2" s="1931"/>
      <c r="AU2" s="1931"/>
      <c r="AV2" s="1931"/>
      <c r="AW2" s="1931"/>
      <c r="AX2" s="1931"/>
      <c r="AY2" s="1931"/>
      <c r="AZ2" s="1931"/>
      <c r="BA2" s="1931"/>
      <c r="BB2" s="570"/>
      <c r="BC2" s="571"/>
      <c r="BD2" s="572"/>
      <c r="BE2" s="1931"/>
    </row>
    <row r="3" spans="1:57" s="26" customFormat="1" ht="33.75" customHeight="1" collapsed="1" x14ac:dyDescent="0.25">
      <c r="A3" s="2057"/>
      <c r="B3" s="874"/>
      <c r="C3" s="144"/>
      <c r="D3" s="145"/>
      <c r="E3" s="145"/>
      <c r="F3" s="144"/>
      <c r="G3" s="145"/>
      <c r="H3" s="144"/>
      <c r="I3" s="144"/>
      <c r="J3" s="144"/>
      <c r="K3" s="874"/>
      <c r="L3" s="874"/>
      <c r="M3" s="1458"/>
      <c r="N3" s="874"/>
      <c r="O3" s="874"/>
      <c r="P3" s="874"/>
      <c r="Q3" s="874"/>
      <c r="R3" s="874"/>
      <c r="S3" s="874"/>
      <c r="T3" s="874"/>
      <c r="U3" s="874"/>
      <c r="V3" s="874"/>
      <c r="W3" s="1933"/>
      <c r="X3" s="1933"/>
      <c r="Y3" s="1933"/>
      <c r="Z3" s="1933"/>
      <c r="AA3" s="1933"/>
      <c r="AB3" s="1933"/>
      <c r="AC3" s="1933"/>
      <c r="AD3" s="1933"/>
      <c r="AE3" s="1933"/>
      <c r="AF3" s="1933"/>
      <c r="AG3" s="1933"/>
      <c r="AH3" s="1933"/>
      <c r="AI3" s="1933"/>
      <c r="AJ3" s="1933"/>
      <c r="AK3" s="1933"/>
      <c r="AL3" s="1933"/>
      <c r="AM3" s="1933"/>
      <c r="AN3" s="1933"/>
      <c r="AO3" s="1933"/>
      <c r="AP3" s="1933"/>
      <c r="AQ3" s="1933"/>
      <c r="AR3" s="1933"/>
      <c r="AS3" s="1933"/>
      <c r="AT3" s="1933"/>
      <c r="AU3" s="1933"/>
      <c r="AV3" s="1933"/>
      <c r="AW3" s="1933"/>
      <c r="AX3" s="1933"/>
      <c r="AY3" s="1933"/>
      <c r="AZ3" s="1933"/>
      <c r="BA3" s="1933"/>
      <c r="BB3" s="573"/>
      <c r="BC3" s="571"/>
      <c r="BD3" s="574"/>
      <c r="BE3" s="1933"/>
    </row>
    <row r="4" spans="1:57" x14ac:dyDescent="0.25">
      <c r="B4" s="3750" t="s">
        <v>804</v>
      </c>
      <c r="C4" s="3751"/>
      <c r="D4" s="3751"/>
      <c r="E4" s="3751"/>
      <c r="F4" s="3751"/>
      <c r="G4" s="3751"/>
      <c r="H4" s="3751"/>
      <c r="I4" s="3751"/>
      <c r="J4" s="3751"/>
      <c r="K4" s="3751"/>
      <c r="L4" s="3751"/>
      <c r="M4" s="3751"/>
      <c r="N4" s="3751"/>
      <c r="O4" s="3751"/>
      <c r="P4" s="3751"/>
      <c r="Q4" s="4120"/>
      <c r="R4" s="249"/>
      <c r="V4" s="3750" t="str">
        <f>B4</f>
        <v>ECM/ Blower Motor</v>
      </c>
      <c r="W4" s="3751"/>
      <c r="X4" s="3751"/>
      <c r="Y4" s="3751"/>
      <c r="Z4" s="3751"/>
      <c r="AA4" s="3751"/>
      <c r="AB4" s="3751"/>
      <c r="AC4" s="3752"/>
      <c r="AD4" s="3752"/>
      <c r="AE4" s="3752"/>
      <c r="AF4" s="3752"/>
      <c r="AG4" s="3752"/>
      <c r="AH4" s="3753"/>
      <c r="AI4" s="1930"/>
      <c r="AJ4" s="1930"/>
      <c r="AK4" s="1930"/>
      <c r="AL4" s="1930"/>
      <c r="AM4" s="1930"/>
      <c r="AN4" s="1930"/>
      <c r="AO4" s="1930"/>
      <c r="AP4" s="1930"/>
      <c r="AQ4" s="1930"/>
      <c r="AR4" s="1930"/>
      <c r="AS4" s="1930"/>
      <c r="AT4" s="1930"/>
      <c r="AU4" s="1930"/>
      <c r="AV4" s="1930"/>
      <c r="AW4" s="1930"/>
      <c r="AX4" s="1930"/>
      <c r="AY4" s="1930"/>
      <c r="AZ4" s="1930"/>
      <c r="BA4" s="1930"/>
      <c r="BE4" s="1930"/>
    </row>
    <row r="5" spans="1:57" x14ac:dyDescent="0.25">
      <c r="A5" s="2058"/>
      <c r="C5" s="225"/>
      <c r="D5" s="419"/>
      <c r="E5" s="419"/>
      <c r="F5" s="226"/>
      <c r="G5" s="419"/>
      <c r="H5" s="226"/>
      <c r="I5" s="226"/>
      <c r="J5" s="226"/>
      <c r="K5" s="226"/>
      <c r="L5" s="1438"/>
      <c r="M5" s="249"/>
      <c r="N5" s="249"/>
      <c r="O5" s="249"/>
      <c r="P5" s="249"/>
      <c r="Q5" s="249"/>
      <c r="R5" s="249"/>
      <c r="W5" s="1930"/>
      <c r="X5" s="1930"/>
      <c r="Y5" s="1930"/>
      <c r="Z5" s="1930"/>
      <c r="AA5" s="1930"/>
      <c r="AB5" s="1930"/>
      <c r="AC5" s="1930"/>
      <c r="AD5" s="1930"/>
      <c r="AE5" s="1930"/>
      <c r="AF5" s="1930"/>
      <c r="AG5" s="1930"/>
      <c r="AH5" s="1930"/>
      <c r="AI5" s="1930"/>
      <c r="AJ5" s="1930"/>
      <c r="AK5" s="1930"/>
      <c r="AL5" s="1930"/>
      <c r="AM5" s="1930"/>
      <c r="AN5" s="1930"/>
      <c r="AO5" s="1930"/>
      <c r="AP5" s="1930"/>
      <c r="AQ5" s="1930"/>
      <c r="AR5" s="1930"/>
      <c r="AS5" s="1930"/>
      <c r="AT5" s="1930"/>
      <c r="AU5" s="1930"/>
      <c r="AV5" s="1930"/>
      <c r="AW5" s="1930"/>
      <c r="AX5" s="1930"/>
      <c r="AY5" s="1930"/>
      <c r="AZ5" s="1930"/>
      <c r="BA5" s="1930"/>
      <c r="BE5" s="1930"/>
    </row>
    <row r="6" spans="1:57" ht="30" x14ac:dyDescent="0.25">
      <c r="C6" s="3086" t="s">
        <v>28</v>
      </c>
      <c r="D6" s="3086" t="s">
        <v>175</v>
      </c>
      <c r="E6" s="3086" t="s">
        <v>30</v>
      </c>
      <c r="F6" s="3086" t="s">
        <v>31</v>
      </c>
      <c r="G6" s="3086" t="s">
        <v>176</v>
      </c>
      <c r="H6" s="3086" t="s">
        <v>177</v>
      </c>
      <c r="I6" s="3086" t="s">
        <v>506</v>
      </c>
      <c r="J6" s="3086" t="s">
        <v>507</v>
      </c>
      <c r="K6" s="3086" t="s">
        <v>805</v>
      </c>
      <c r="L6" s="3086" t="s">
        <v>806</v>
      </c>
      <c r="M6" s="3086" t="s">
        <v>32</v>
      </c>
      <c r="N6" s="3140" t="s">
        <v>181</v>
      </c>
      <c r="O6" s="3086" t="s">
        <v>170</v>
      </c>
      <c r="P6" s="3086" t="s">
        <v>44</v>
      </c>
      <c r="Q6" s="249"/>
      <c r="V6" s="551" t="s">
        <v>45</v>
      </c>
      <c r="W6" s="1937">
        <v>43252</v>
      </c>
      <c r="X6" s="1937">
        <v>43465</v>
      </c>
      <c r="Y6" s="1937">
        <v>43800</v>
      </c>
      <c r="Z6" s="1937">
        <v>43862</v>
      </c>
      <c r="AA6" s="1937">
        <v>44013</v>
      </c>
      <c r="AB6" s="1937">
        <v>44166</v>
      </c>
      <c r="AC6" s="1937">
        <v>44531</v>
      </c>
      <c r="AD6" s="1937" t="s">
        <v>46</v>
      </c>
      <c r="AE6" s="1937" t="s">
        <v>46</v>
      </c>
      <c r="AF6" s="1937" t="s">
        <v>46</v>
      </c>
      <c r="AG6" s="1937" t="s">
        <v>46</v>
      </c>
      <c r="AH6" s="1930"/>
      <c r="AI6" s="1930"/>
      <c r="AJ6" s="1930"/>
      <c r="AK6" s="1930"/>
      <c r="AL6" s="1930"/>
      <c r="AM6" s="1930"/>
      <c r="AN6" s="1930"/>
      <c r="AO6" s="1930"/>
      <c r="AP6" s="1930"/>
      <c r="AQ6" s="1930"/>
      <c r="AR6" s="1930"/>
      <c r="AS6" s="1930"/>
      <c r="AT6" s="1930"/>
      <c r="AU6" s="1930"/>
      <c r="AV6" s="1930"/>
      <c r="AW6" s="1930"/>
      <c r="AX6" s="1930"/>
      <c r="AY6" s="1930"/>
      <c r="AZ6" s="1930"/>
      <c r="BA6" s="1930"/>
      <c r="BB6" s="1953" t="s">
        <v>47</v>
      </c>
      <c r="BC6" s="49" t="s">
        <v>48</v>
      </c>
      <c r="BD6" s="578" t="s">
        <v>49</v>
      </c>
      <c r="BE6" s="50" t="s">
        <v>50</v>
      </c>
    </row>
    <row r="7" spans="1:57" x14ac:dyDescent="0.25">
      <c r="A7" s="1267" t="str">
        <f t="shared" ref="A7:A18" si="0">C7&amp;G7</f>
        <v>350050_2021_12_HVAC RES</v>
      </c>
      <c r="C7" s="2734" t="s">
        <v>807</v>
      </c>
      <c r="D7" s="2667" t="s">
        <v>320</v>
      </c>
      <c r="E7" s="3166" t="s">
        <v>808</v>
      </c>
      <c r="F7" s="675">
        <f>ROUND(I7+J7+K7+L7,2)</f>
        <v>0</v>
      </c>
      <c r="G7" s="420" t="s">
        <v>438</v>
      </c>
      <c r="H7" s="155">
        <f>VLOOKUP(G7,'CP FACTORS'!$A$3:$B$38, 2, FALSE)</f>
        <v>4.6608050000000002E-4</v>
      </c>
      <c r="I7" s="2732">
        <f>0</f>
        <v>0</v>
      </c>
      <c r="J7" s="2732">
        <f>0</f>
        <v>0</v>
      </c>
      <c r="K7" s="2732">
        <f>0</f>
        <v>0</v>
      </c>
      <c r="L7" s="3661">
        <v>0</v>
      </c>
      <c r="M7" s="2978">
        <f>ROUND(H7*F7,6)</f>
        <v>0</v>
      </c>
      <c r="N7" s="2298">
        <f t="shared" ref="N7:N18" si="1">I89</f>
        <v>20</v>
      </c>
      <c r="O7" s="2297">
        <f>I101</f>
        <v>0</v>
      </c>
      <c r="P7" s="2667" t="s">
        <v>185</v>
      </c>
      <c r="Q7" s="249"/>
      <c r="V7" s="1962" t="s">
        <v>31</v>
      </c>
      <c r="W7" s="160">
        <v>591.90332067911811</v>
      </c>
      <c r="X7" s="1960">
        <v>619.79873095030314</v>
      </c>
      <c r="Y7" s="112">
        <v>582</v>
      </c>
      <c r="Z7" s="109">
        <v>582</v>
      </c>
      <c r="AA7" s="109">
        <v>582</v>
      </c>
      <c r="AB7" s="2055">
        <v>582</v>
      </c>
      <c r="AC7" s="1940">
        <v>0</v>
      </c>
      <c r="AD7" s="160"/>
      <c r="AE7" s="160"/>
      <c r="AF7" s="160"/>
      <c r="AG7" s="160"/>
      <c r="AH7" s="163"/>
      <c r="AI7" s="1930"/>
      <c r="AJ7" s="1930"/>
      <c r="AK7" s="1930"/>
      <c r="AL7" s="1930"/>
      <c r="AM7" s="1930"/>
      <c r="AN7" s="1930"/>
      <c r="AO7" s="1930"/>
      <c r="AP7" s="1930"/>
      <c r="AQ7" s="1930"/>
      <c r="AR7" s="1930"/>
      <c r="AS7" s="1930"/>
      <c r="AT7" s="1930"/>
      <c r="AU7" s="1930"/>
      <c r="AV7" s="1930"/>
      <c r="AW7" s="1930"/>
      <c r="AX7" s="1930"/>
      <c r="AY7" s="1930"/>
      <c r="AZ7" s="1930"/>
      <c r="BA7" s="1930"/>
      <c r="BB7" s="239" t="str">
        <f>IFERROR((BD7)/(BE7),"")</f>
        <v/>
      </c>
      <c r="BC7" s="3166" t="str">
        <f>CONCATENATE(G7," ",N7," Year EUL")</f>
        <v>HVAC RES 20 Year EUL</v>
      </c>
      <c r="BD7" s="581">
        <f>(INDEX('Avoided Cost Benefits'!$C$4:$C$857,MATCH(BC7,'Avoided Cost Benefits'!$A$4:$A$857,0)))*F7</f>
        <v>0</v>
      </c>
      <c r="BE7" s="1946">
        <f t="shared" ref="BE7:BE18" si="2">O7/(1.0595^(2020-2019))</f>
        <v>0</v>
      </c>
    </row>
    <row r="8" spans="1:57" x14ac:dyDescent="0.25">
      <c r="A8" s="1267" t="str">
        <f t="shared" si="0"/>
        <v>350100_2021_12_HVAC RES</v>
      </c>
      <c r="C8" s="2734" t="s">
        <v>809</v>
      </c>
      <c r="D8" s="2667" t="s">
        <v>322</v>
      </c>
      <c r="E8" s="3166" t="s">
        <v>810</v>
      </c>
      <c r="F8" s="675">
        <f t="shared" ref="F8:F18" si="3">ROUND(I8+J8+K8+L8,2)</f>
        <v>0</v>
      </c>
      <c r="G8" s="420" t="s">
        <v>438</v>
      </c>
      <c r="H8" s="155">
        <f>VLOOKUP(G8,'CP FACTORS'!$A$3:$B$38, 2, FALSE)</f>
        <v>4.6608050000000002E-4</v>
      </c>
      <c r="I8" s="2732">
        <f>0</f>
        <v>0</v>
      </c>
      <c r="J8" s="2732">
        <f>0</f>
        <v>0</v>
      </c>
      <c r="K8" s="2732">
        <f>0</f>
        <v>0</v>
      </c>
      <c r="L8" s="3661">
        <v>0</v>
      </c>
      <c r="M8" s="2978">
        <f>ROUND(H8*F8,6)</f>
        <v>0</v>
      </c>
      <c r="N8" s="2298">
        <f t="shared" si="1"/>
        <v>20</v>
      </c>
      <c r="O8" s="2297">
        <f t="shared" ref="O8:O18" si="4">I102</f>
        <v>0</v>
      </c>
      <c r="P8" s="2667" t="s">
        <v>185</v>
      </c>
      <c r="Q8" s="249"/>
      <c r="V8" s="1962" t="s">
        <v>31</v>
      </c>
      <c r="W8" s="160">
        <v>591.90332067911811</v>
      </c>
      <c r="X8" s="1960">
        <v>619.79873095030314</v>
      </c>
      <c r="Y8" s="112">
        <v>582</v>
      </c>
      <c r="Z8" s="109">
        <v>582</v>
      </c>
      <c r="AA8" s="109">
        <v>582</v>
      </c>
      <c r="AB8" s="2055">
        <v>582</v>
      </c>
      <c r="AC8" s="1940">
        <v>0</v>
      </c>
      <c r="AD8" s="160"/>
      <c r="AE8" s="160"/>
      <c r="AF8" s="160"/>
      <c r="AG8" s="160"/>
      <c r="AH8" s="163"/>
      <c r="AI8" s="1930"/>
      <c r="AJ8" s="1930"/>
      <c r="AK8" s="1930"/>
      <c r="AL8" s="1930"/>
      <c r="AM8" s="1930"/>
      <c r="AN8" s="1930"/>
      <c r="AO8" s="1930"/>
      <c r="AP8" s="1930"/>
      <c r="AQ8" s="1930"/>
      <c r="AR8" s="1930"/>
      <c r="AS8" s="1930"/>
      <c r="AT8" s="1930"/>
      <c r="AU8" s="1930"/>
      <c r="AV8" s="1930"/>
      <c r="AW8" s="1930"/>
      <c r="AX8" s="1930"/>
      <c r="AY8" s="1930"/>
      <c r="AZ8" s="1930"/>
      <c r="BA8" s="1930"/>
      <c r="BB8" s="244" t="str">
        <f>IFERROR((BD8)/(BE8),"")</f>
        <v/>
      </c>
      <c r="BC8" s="3166" t="str">
        <f t="shared" ref="BC8:BC17" si="5">CONCATENATE(G8," ",N8," Year EUL")</f>
        <v>HVAC RES 20 Year EUL</v>
      </c>
      <c r="BD8" s="582">
        <f>(INDEX('Avoided Cost Benefits'!$C$4:$C$857,MATCH(BC8,'Avoided Cost Benefits'!$A$4:$A$857,0)))*F8</f>
        <v>0</v>
      </c>
      <c r="BE8" s="1949">
        <f t="shared" si="2"/>
        <v>0</v>
      </c>
    </row>
    <row r="9" spans="1:57" x14ac:dyDescent="0.25">
      <c r="A9" s="1267" t="str">
        <f t="shared" si="0"/>
        <v>350150_2021_12_HVAC RES</v>
      </c>
      <c r="C9" s="2734" t="s">
        <v>811</v>
      </c>
      <c r="D9" s="2667" t="s">
        <v>320</v>
      </c>
      <c r="E9" s="3166" t="s">
        <v>812</v>
      </c>
      <c r="F9" s="579">
        <f t="shared" si="3"/>
        <v>582</v>
      </c>
      <c r="G9" s="420" t="s">
        <v>438</v>
      </c>
      <c r="H9" s="155">
        <f>VLOOKUP(G9,'CP FACTORS'!$A$3:$B$38, 2, FALSE)</f>
        <v>4.6608050000000002E-4</v>
      </c>
      <c r="I9" s="979">
        <f t="shared" ref="I9:I17" si="6">(1-I43)*I$53*I$54/I$55*I78*$I$88</f>
        <v>264.14545423487061</v>
      </c>
      <c r="J9" s="979">
        <f t="shared" ref="J9:J17" si="7">(1-I58)*I$68*I$69/I$70*I78*I$88</f>
        <v>31.133309957924254</v>
      </c>
      <c r="K9" s="3661">
        <f t="shared" ref="K9:K11" si="8">($I$71*I$69/I$70+$I$72*$I$73-$I$75)*I78*$I$88</f>
        <v>286.72123580720518</v>
      </c>
      <c r="L9" s="3661">
        <v>0</v>
      </c>
      <c r="M9" s="580">
        <f t="shared" ref="M9:M18" si="9">ROUND(H9*F9,6)</f>
        <v>0.27125899999999997</v>
      </c>
      <c r="N9" s="2298">
        <f t="shared" si="1"/>
        <v>6</v>
      </c>
      <c r="O9" s="2297">
        <f t="shared" si="4"/>
        <v>74.327224020150311</v>
      </c>
      <c r="P9" s="2667" t="s">
        <v>185</v>
      </c>
      <c r="Q9" s="249"/>
      <c r="V9" s="1962" t="s">
        <v>31</v>
      </c>
      <c r="W9" s="160">
        <v>591.90332067911811</v>
      </c>
      <c r="X9" s="1960">
        <v>619.79873095030314</v>
      </c>
      <c r="Y9" s="112">
        <v>582</v>
      </c>
      <c r="Z9" s="109">
        <v>582</v>
      </c>
      <c r="AA9" s="109">
        <v>582</v>
      </c>
      <c r="AB9" s="2055">
        <v>582</v>
      </c>
      <c r="AC9" s="127">
        <v>582</v>
      </c>
      <c r="AD9" s="160"/>
      <c r="AE9" s="160"/>
      <c r="AF9" s="160"/>
      <c r="AG9" s="160"/>
      <c r="AH9" s="163"/>
      <c r="AI9" s="1930"/>
      <c r="AJ9" s="1930"/>
      <c r="AK9" s="1930"/>
      <c r="AL9" s="1930"/>
      <c r="AM9" s="1930"/>
      <c r="AN9" s="1930"/>
      <c r="AO9" s="1930"/>
      <c r="AP9" s="1930"/>
      <c r="AQ9" s="1930"/>
      <c r="AR9" s="1930"/>
      <c r="AS9" s="1930"/>
      <c r="AT9" s="1930"/>
      <c r="AU9" s="1930"/>
      <c r="AV9" s="1930"/>
      <c r="AW9" s="1930"/>
      <c r="AX9" s="1930"/>
      <c r="AY9" s="1930"/>
      <c r="AZ9" s="1930"/>
      <c r="BA9" s="1930"/>
      <c r="BB9" s="244">
        <f>(BD9+BD10)/(BE9+BE10)</f>
        <v>3.0599660110586155</v>
      </c>
      <c r="BC9" s="583" t="str">
        <f t="shared" si="5"/>
        <v>HVAC RES 6 Year EUL</v>
      </c>
      <c r="BD9" s="582">
        <f>(INDEX('Avoided Cost Benefits'!$C$4:$C$857,MATCH(BC9,'Avoided Cost Benefits'!$A$4:$A$857,0)))*F9</f>
        <v>214.66614365077814</v>
      </c>
      <c r="BE9" s="1949">
        <f t="shared" si="2"/>
        <v>70.153113751911562</v>
      </c>
    </row>
    <row r="10" spans="1:57" x14ac:dyDescent="0.25">
      <c r="A10" s="1267" t="str">
        <f t="shared" si="0"/>
        <v>350150_2021_12_HVAC RES ER2</v>
      </c>
      <c r="B10" s="228"/>
      <c r="C10" s="2734" t="s">
        <v>811</v>
      </c>
      <c r="D10" s="2667" t="s">
        <v>320</v>
      </c>
      <c r="E10" s="3166" t="s">
        <v>813</v>
      </c>
      <c r="F10" s="675">
        <f t="shared" si="3"/>
        <v>0</v>
      </c>
      <c r="G10" s="3166" t="str">
        <f>'CP FACTORS'!$A$17</f>
        <v>HVAC RES ER2</v>
      </c>
      <c r="H10" s="155">
        <f>VLOOKUP(G10,'CP FACTORS'!$A$3:$B$38, 2, FALSE)</f>
        <v>4.6608050000000002E-4</v>
      </c>
      <c r="I10" s="2732">
        <f>0</f>
        <v>0</v>
      </c>
      <c r="J10" s="2732">
        <f>0</f>
        <v>0</v>
      </c>
      <c r="K10" s="2732">
        <f>0</f>
        <v>0</v>
      </c>
      <c r="L10" s="3661">
        <v>0</v>
      </c>
      <c r="M10" s="2978">
        <f t="shared" si="9"/>
        <v>0</v>
      </c>
      <c r="N10" s="3664">
        <f t="shared" si="1"/>
        <v>0</v>
      </c>
      <c r="O10" s="2297">
        <f t="shared" si="4"/>
        <v>0</v>
      </c>
      <c r="P10" s="2667" t="s">
        <v>185</v>
      </c>
      <c r="Q10" s="249"/>
      <c r="V10" s="1962" t="s">
        <v>31</v>
      </c>
      <c r="W10" s="160">
        <v>591.90332067911811</v>
      </c>
      <c r="X10" s="1960">
        <v>619.79873095030314</v>
      </c>
      <c r="Y10" s="112">
        <v>582</v>
      </c>
      <c r="Z10" s="109">
        <v>582</v>
      </c>
      <c r="AA10" s="109">
        <v>582</v>
      </c>
      <c r="AB10" s="2055">
        <v>582</v>
      </c>
      <c r="AC10" s="1940">
        <v>0</v>
      </c>
      <c r="AD10" s="160"/>
      <c r="AE10" s="160"/>
      <c r="AF10" s="160"/>
      <c r="AG10" s="160"/>
      <c r="AH10" s="163"/>
      <c r="AI10" s="1930"/>
      <c r="AJ10" s="1930"/>
      <c r="AK10" s="1930"/>
      <c r="AL10" s="1930"/>
      <c r="AM10" s="1930"/>
      <c r="AN10" s="1930"/>
      <c r="AO10" s="1930"/>
      <c r="AP10" s="1930"/>
      <c r="AQ10" s="1930"/>
      <c r="AR10" s="1930"/>
      <c r="AS10" s="1930"/>
      <c r="AT10" s="1930"/>
      <c r="AU10" s="1930"/>
      <c r="AV10" s="1930"/>
      <c r="AW10" s="1930"/>
      <c r="AX10" s="1930"/>
      <c r="AY10" s="1930"/>
      <c r="AZ10" s="1930"/>
      <c r="BA10" s="1930"/>
      <c r="BB10" s="242"/>
      <c r="BC10" s="1948" t="str">
        <f t="shared" si="5"/>
        <v>HVAC RES ER2 0 Year EUL</v>
      </c>
      <c r="BD10" s="3674">
        <v>0</v>
      </c>
      <c r="BE10" s="1949">
        <f t="shared" si="2"/>
        <v>0</v>
      </c>
    </row>
    <row r="11" spans="1:57" x14ac:dyDescent="0.25">
      <c r="A11" s="1267" t="str">
        <f t="shared" si="0"/>
        <v>350175_2021_12_HVAC RES</v>
      </c>
      <c r="B11" s="228"/>
      <c r="C11" s="3040" t="s">
        <v>814</v>
      </c>
      <c r="D11" s="2667" t="s">
        <v>322</v>
      </c>
      <c r="E11" s="3166" t="s">
        <v>815</v>
      </c>
      <c r="F11" s="579">
        <f t="shared" si="3"/>
        <v>582</v>
      </c>
      <c r="G11" s="3166" t="s">
        <v>438</v>
      </c>
      <c r="H11" s="155">
        <f>VLOOKUP(G11,'CP FACTORS'!$A$3:$B$38, 2, FALSE)</f>
        <v>4.6608050000000002E-4</v>
      </c>
      <c r="I11" s="979">
        <f t="shared" si="6"/>
        <v>264.14545423487061</v>
      </c>
      <c r="J11" s="979">
        <f t="shared" si="7"/>
        <v>31.133309957924254</v>
      </c>
      <c r="K11" s="3661">
        <f t="shared" si="8"/>
        <v>286.72123580720518</v>
      </c>
      <c r="L11" s="3661">
        <v>0</v>
      </c>
      <c r="M11" s="580">
        <f t="shared" si="9"/>
        <v>0.27125899999999997</v>
      </c>
      <c r="N11" s="2298">
        <f t="shared" si="1"/>
        <v>6</v>
      </c>
      <c r="O11" s="2297">
        <f t="shared" si="4"/>
        <v>74.327224020150311</v>
      </c>
      <c r="P11" s="2667" t="s">
        <v>185</v>
      </c>
      <c r="Q11" s="249"/>
      <c r="V11" s="1962" t="s">
        <v>31</v>
      </c>
      <c r="W11" s="160">
        <v>591.90332067911811</v>
      </c>
      <c r="X11" s="1960">
        <v>619.79873095030314</v>
      </c>
      <c r="Y11" s="112">
        <v>582</v>
      </c>
      <c r="Z11" s="109">
        <v>582</v>
      </c>
      <c r="AA11" s="109">
        <v>582</v>
      </c>
      <c r="AB11" s="2055">
        <v>582</v>
      </c>
      <c r="AC11" s="127">
        <v>582</v>
      </c>
      <c r="AD11" s="160"/>
      <c r="AE11" s="160"/>
      <c r="AF11" s="160"/>
      <c r="AG11" s="160"/>
      <c r="AH11" s="163"/>
      <c r="AI11" s="1930"/>
      <c r="AJ11" s="1930"/>
      <c r="AK11" s="1930"/>
      <c r="AL11" s="1930"/>
      <c r="AM11" s="1930"/>
      <c r="AN11" s="1930"/>
      <c r="AO11" s="1930"/>
      <c r="AP11" s="1930"/>
      <c r="AQ11" s="1930"/>
      <c r="AR11" s="1930"/>
      <c r="AS11" s="1930"/>
      <c r="AT11" s="1930"/>
      <c r="AU11" s="1930"/>
      <c r="AV11" s="1930"/>
      <c r="AW11" s="1930"/>
      <c r="AX11" s="1930"/>
      <c r="AY11" s="1930"/>
      <c r="AZ11" s="1930"/>
      <c r="BA11" s="1930"/>
      <c r="BB11" s="244">
        <f>(BD11+BD12)/(BE11+BE12)</f>
        <v>3.0599660110586155</v>
      </c>
      <c r="BC11" s="583" t="str">
        <f t="shared" si="5"/>
        <v>HVAC RES 6 Year EUL</v>
      </c>
      <c r="BD11" s="582">
        <f>(INDEX('Avoided Cost Benefits'!$C$4:$C$857,MATCH(BC11,'Avoided Cost Benefits'!$A$4:$A$857,0)))*F11</f>
        <v>214.66614365077814</v>
      </c>
      <c r="BE11" s="1949">
        <f t="shared" si="2"/>
        <v>70.153113751911562</v>
      </c>
    </row>
    <row r="12" spans="1:57" x14ac:dyDescent="0.25">
      <c r="A12" s="1267" t="str">
        <f t="shared" si="0"/>
        <v>350175_2021_12_HVAC RES ER2</v>
      </c>
      <c r="B12" s="228"/>
      <c r="C12" s="3040" t="s">
        <v>814</v>
      </c>
      <c r="D12" s="2667" t="s">
        <v>322</v>
      </c>
      <c r="E12" s="3166" t="s">
        <v>816</v>
      </c>
      <c r="F12" s="675">
        <f t="shared" si="3"/>
        <v>0</v>
      </c>
      <c r="G12" s="3166" t="str">
        <f>'CP FACTORS'!$A$17</f>
        <v>HVAC RES ER2</v>
      </c>
      <c r="H12" s="155">
        <f>VLOOKUP(G12,'CP FACTORS'!$A$3:$B$38, 2, FALSE)</f>
        <v>4.6608050000000002E-4</v>
      </c>
      <c r="I12" s="2732">
        <f>0</f>
        <v>0</v>
      </c>
      <c r="J12" s="2732">
        <f>0</f>
        <v>0</v>
      </c>
      <c r="K12" s="2732">
        <f>0</f>
        <v>0</v>
      </c>
      <c r="L12" s="3661">
        <v>0</v>
      </c>
      <c r="M12" s="2978">
        <f t="shared" si="9"/>
        <v>0</v>
      </c>
      <c r="N12" s="3664">
        <f t="shared" si="1"/>
        <v>0</v>
      </c>
      <c r="O12" s="2297">
        <f t="shared" si="4"/>
        <v>0</v>
      </c>
      <c r="P12" s="2667" t="s">
        <v>185</v>
      </c>
      <c r="Q12" s="249"/>
      <c r="R12" s="1498"/>
      <c r="V12" s="1962" t="s">
        <v>31</v>
      </c>
      <c r="W12" s="160">
        <v>591.90332067911811</v>
      </c>
      <c r="X12" s="1960">
        <v>619.79873095030314</v>
      </c>
      <c r="Y12" s="112">
        <v>582</v>
      </c>
      <c r="Z12" s="109">
        <v>582</v>
      </c>
      <c r="AA12" s="109">
        <v>582</v>
      </c>
      <c r="AB12" s="2055">
        <v>582</v>
      </c>
      <c r="AC12" s="1940">
        <v>0</v>
      </c>
      <c r="AD12" s="160"/>
      <c r="AE12" s="160"/>
      <c r="AF12" s="160"/>
      <c r="AG12" s="160"/>
      <c r="AH12" s="163"/>
      <c r="AI12" s="1930"/>
      <c r="AJ12" s="1930"/>
      <c r="AK12" s="1930"/>
      <c r="AL12" s="1930"/>
      <c r="AM12" s="1930"/>
      <c r="AN12" s="1930"/>
      <c r="AO12" s="1930"/>
      <c r="AP12" s="1930"/>
      <c r="AQ12" s="1930"/>
      <c r="AR12" s="1930"/>
      <c r="AS12" s="1930"/>
      <c r="AT12" s="1930"/>
      <c r="AU12" s="1930"/>
      <c r="AV12" s="1930"/>
      <c r="AW12" s="1930"/>
      <c r="AX12" s="1930"/>
      <c r="AY12" s="1930"/>
      <c r="AZ12" s="1930"/>
      <c r="BA12" s="1930"/>
      <c r="BB12" s="242"/>
      <c r="BC12" s="1948" t="str">
        <f t="shared" si="5"/>
        <v>HVAC RES ER2 0 Year EUL</v>
      </c>
      <c r="BD12" s="3674">
        <v>0</v>
      </c>
      <c r="BE12" s="1949">
        <f t="shared" si="2"/>
        <v>0</v>
      </c>
    </row>
    <row r="13" spans="1:57" x14ac:dyDescent="0.25">
      <c r="A13" s="1267" t="str">
        <f t="shared" si="0"/>
        <v>350200_2021_12_HVAC RES</v>
      </c>
      <c r="B13" s="228"/>
      <c r="C13" s="2734" t="s">
        <v>817</v>
      </c>
      <c r="D13" s="2667" t="s">
        <v>320</v>
      </c>
      <c r="E13" s="3166" t="s">
        <v>818</v>
      </c>
      <c r="F13" s="675">
        <f t="shared" si="3"/>
        <v>0</v>
      </c>
      <c r="G13" s="3166" t="s">
        <v>438</v>
      </c>
      <c r="H13" s="155">
        <f>VLOOKUP(G13,'CP FACTORS'!$A$3:$B$38, 2, FALSE)</f>
        <v>4.6608050000000002E-4</v>
      </c>
      <c r="I13" s="2732">
        <f>0</f>
        <v>0</v>
      </c>
      <c r="J13" s="2732">
        <f>0</f>
        <v>0</v>
      </c>
      <c r="K13" s="3661">
        <v>0</v>
      </c>
      <c r="L13" s="2732">
        <f>0</f>
        <v>0</v>
      </c>
      <c r="M13" s="2978">
        <f t="shared" si="9"/>
        <v>0</v>
      </c>
      <c r="N13" s="2298">
        <f t="shared" si="1"/>
        <v>20</v>
      </c>
      <c r="O13" s="2297">
        <f t="shared" si="4"/>
        <v>0</v>
      </c>
      <c r="P13" s="2667" t="s">
        <v>185</v>
      </c>
      <c r="Q13" s="249"/>
      <c r="V13" s="1962" t="s">
        <v>31</v>
      </c>
      <c r="W13" s="160">
        <v>3255.9033206791182</v>
      </c>
      <c r="X13" s="1960">
        <v>3283.7987309503033</v>
      </c>
      <c r="Y13" s="112">
        <v>582</v>
      </c>
      <c r="Z13" s="109">
        <v>582</v>
      </c>
      <c r="AA13" s="109">
        <v>582</v>
      </c>
      <c r="AB13" s="2055">
        <v>582</v>
      </c>
      <c r="AC13" s="1940">
        <v>0</v>
      </c>
      <c r="AD13" s="160"/>
      <c r="AE13" s="160"/>
      <c r="AF13" s="160"/>
      <c r="AG13" s="160"/>
      <c r="AH13" s="163"/>
      <c r="AI13" s="1930"/>
      <c r="AJ13" s="1930"/>
      <c r="AK13" s="1930"/>
      <c r="AL13" s="1930"/>
      <c r="AM13" s="1930"/>
      <c r="AN13" s="1930"/>
      <c r="AO13" s="1930"/>
      <c r="AP13" s="1930"/>
      <c r="AQ13" s="1930"/>
      <c r="AR13" s="1930"/>
      <c r="AS13" s="1930"/>
      <c r="AT13" s="1930"/>
      <c r="AU13" s="1930"/>
      <c r="AV13" s="1930"/>
      <c r="AW13" s="1930"/>
      <c r="AX13" s="1930"/>
      <c r="AY13" s="1930"/>
      <c r="AZ13" s="1930"/>
      <c r="BA13" s="1930"/>
      <c r="BB13" s="244" t="str">
        <f>IFERROR((BD13)/(BE13),"")</f>
        <v/>
      </c>
      <c r="BC13" s="3166" t="str">
        <f t="shared" si="5"/>
        <v>HVAC RES 20 Year EUL</v>
      </c>
      <c r="BD13" s="582">
        <f>(INDEX('Avoided Cost Benefits'!$C$4:$C$857,MATCH(BC13,'Avoided Cost Benefits'!$A$4:$A$857,0)))*F13</f>
        <v>0</v>
      </c>
      <c r="BE13" s="1949">
        <f t="shared" si="2"/>
        <v>0</v>
      </c>
    </row>
    <row r="14" spans="1:57" x14ac:dyDescent="0.25">
      <c r="A14" s="1267" t="str">
        <f t="shared" si="0"/>
        <v>350250_2021_12_HVAC RES</v>
      </c>
      <c r="B14" s="228"/>
      <c r="C14" s="2734" t="s">
        <v>819</v>
      </c>
      <c r="D14" s="2667" t="s">
        <v>322</v>
      </c>
      <c r="E14" s="3166" t="s">
        <v>820</v>
      </c>
      <c r="F14" s="675">
        <f t="shared" si="3"/>
        <v>0</v>
      </c>
      <c r="G14" s="3166" t="s">
        <v>438</v>
      </c>
      <c r="H14" s="155">
        <f>VLOOKUP(G14,'CP FACTORS'!$A$3:$B$38, 2, FALSE)</f>
        <v>4.6608050000000002E-4</v>
      </c>
      <c r="I14" s="2732">
        <f>0</f>
        <v>0</v>
      </c>
      <c r="J14" s="2732">
        <f>0</f>
        <v>0</v>
      </c>
      <c r="K14" s="3661">
        <v>0</v>
      </c>
      <c r="L14" s="2732">
        <f>0</f>
        <v>0</v>
      </c>
      <c r="M14" s="2978">
        <f t="shared" si="9"/>
        <v>0</v>
      </c>
      <c r="N14" s="2298">
        <f t="shared" si="1"/>
        <v>20</v>
      </c>
      <c r="O14" s="2297">
        <f t="shared" si="4"/>
        <v>0</v>
      </c>
      <c r="P14" s="2667" t="s">
        <v>185</v>
      </c>
      <c r="Q14" s="249"/>
      <c r="V14" s="1962" t="s">
        <v>31</v>
      </c>
      <c r="W14" s="160">
        <v>3255.9033206791182</v>
      </c>
      <c r="X14" s="1960">
        <v>3283.7987309503033</v>
      </c>
      <c r="Y14" s="112">
        <v>582</v>
      </c>
      <c r="Z14" s="109">
        <v>582</v>
      </c>
      <c r="AA14" s="109">
        <v>582</v>
      </c>
      <c r="AB14" s="2055">
        <v>582</v>
      </c>
      <c r="AC14" s="1940">
        <v>0</v>
      </c>
      <c r="AD14" s="160"/>
      <c r="AE14" s="160"/>
      <c r="AF14" s="160"/>
      <c r="AG14" s="160"/>
      <c r="AH14" s="163"/>
      <c r="AI14" s="1930"/>
      <c r="AJ14" s="1930"/>
      <c r="AK14" s="1930"/>
      <c r="AL14" s="1930"/>
      <c r="AM14" s="1930"/>
      <c r="AN14" s="1930"/>
      <c r="AO14" s="1930"/>
      <c r="AP14" s="1930"/>
      <c r="AQ14" s="1930"/>
      <c r="AR14" s="1930"/>
      <c r="AS14" s="1930"/>
      <c r="AT14" s="1930"/>
      <c r="AU14" s="1930"/>
      <c r="AV14" s="1930"/>
      <c r="AW14" s="1930"/>
      <c r="AX14" s="1930"/>
      <c r="AY14" s="1930"/>
      <c r="AZ14" s="1930"/>
      <c r="BA14" s="1930"/>
      <c r="BB14" s="244" t="str">
        <f>IFERROR((BD14)/(BE14),"")</f>
        <v/>
      </c>
      <c r="BC14" s="3166" t="str">
        <f t="shared" si="5"/>
        <v>HVAC RES 20 Year EUL</v>
      </c>
      <c r="BD14" s="582">
        <f>(INDEX('Avoided Cost Benefits'!$C$4:$C$857,MATCH(BC14,'Avoided Cost Benefits'!$A$4:$A$857,0)))*F14</f>
        <v>0</v>
      </c>
      <c r="BE14" s="1949">
        <f t="shared" si="2"/>
        <v>0</v>
      </c>
    </row>
    <row r="15" spans="1:57" x14ac:dyDescent="0.25">
      <c r="A15" s="1267" t="str">
        <f t="shared" si="0"/>
        <v>350300_2021_12_HVAC RES</v>
      </c>
      <c r="B15" s="228"/>
      <c r="C15" s="2734" t="s">
        <v>821</v>
      </c>
      <c r="D15" s="2667" t="s">
        <v>320</v>
      </c>
      <c r="E15" s="3166" t="s">
        <v>822</v>
      </c>
      <c r="F15" s="579">
        <f t="shared" si="3"/>
        <v>582</v>
      </c>
      <c r="G15" s="3166" t="s">
        <v>438</v>
      </c>
      <c r="H15" s="155">
        <f>VLOOKUP(G15,'CP FACTORS'!$A$3:$B$38, 2, FALSE)</f>
        <v>4.6608050000000002E-4</v>
      </c>
      <c r="I15" s="979">
        <f t="shared" si="6"/>
        <v>264.14545423487061</v>
      </c>
      <c r="J15" s="979">
        <f t="shared" si="7"/>
        <v>31.133309957924254</v>
      </c>
      <c r="K15" s="3661">
        <v>0</v>
      </c>
      <c r="L15" s="3661">
        <f t="shared" ref="L15:L17" si="10">($I$71*I$69/I$70+$I$72*$I$74-$I$75)*I78*$I$88</f>
        <v>286.72123580720518</v>
      </c>
      <c r="M15" s="580">
        <f t="shared" si="9"/>
        <v>0.27125899999999997</v>
      </c>
      <c r="N15" s="2298">
        <f t="shared" si="1"/>
        <v>6</v>
      </c>
      <c r="O15" s="2297">
        <f t="shared" si="4"/>
        <v>74.327224020150311</v>
      </c>
      <c r="P15" s="2667" t="s">
        <v>185</v>
      </c>
      <c r="Q15" s="249"/>
      <c r="V15" s="1962" t="s">
        <v>31</v>
      </c>
      <c r="W15" s="160">
        <v>3255.9033206791182</v>
      </c>
      <c r="X15" s="1960">
        <v>3283.7987309503033</v>
      </c>
      <c r="Y15" s="112">
        <v>582</v>
      </c>
      <c r="Z15" s="109">
        <v>582</v>
      </c>
      <c r="AA15" s="109">
        <v>582</v>
      </c>
      <c r="AB15" s="2055">
        <v>582</v>
      </c>
      <c r="AC15" s="127">
        <v>582</v>
      </c>
      <c r="AD15" s="160"/>
      <c r="AE15" s="160"/>
      <c r="AF15" s="160"/>
      <c r="AG15" s="160"/>
      <c r="AH15" s="163"/>
      <c r="AI15" s="1930"/>
      <c r="AJ15" s="1930"/>
      <c r="AK15" s="1930"/>
      <c r="AL15" s="1930"/>
      <c r="AM15" s="1930"/>
      <c r="AN15" s="1930"/>
      <c r="AO15" s="1930"/>
      <c r="AP15" s="1930"/>
      <c r="AQ15" s="1930"/>
      <c r="AR15" s="1930"/>
      <c r="AS15" s="1930"/>
      <c r="AT15" s="1930"/>
      <c r="AU15" s="1930"/>
      <c r="AV15" s="1930"/>
      <c r="AW15" s="1930"/>
      <c r="AX15" s="1930"/>
      <c r="AY15" s="1930"/>
      <c r="AZ15" s="1930"/>
      <c r="BA15" s="1930"/>
      <c r="BB15" s="244">
        <f>(BD15+BD16)/(BE15+BE16)</f>
        <v>3.0599660110586155</v>
      </c>
      <c r="BC15" s="583" t="str">
        <f t="shared" si="5"/>
        <v>HVAC RES 6 Year EUL</v>
      </c>
      <c r="BD15" s="582">
        <f>(INDEX('Avoided Cost Benefits'!$C$4:$C$857,MATCH(BC15,'Avoided Cost Benefits'!$A$4:$A$857,0)))*F15</f>
        <v>214.66614365077814</v>
      </c>
      <c r="BE15" s="1949">
        <f t="shared" si="2"/>
        <v>70.153113751911562</v>
      </c>
    </row>
    <row r="16" spans="1:57" x14ac:dyDescent="0.25">
      <c r="A16" s="1267" t="str">
        <f t="shared" si="0"/>
        <v>350300_2021_12_HVAC RES ER2</v>
      </c>
      <c r="B16" s="228"/>
      <c r="C16" s="2734" t="s">
        <v>821</v>
      </c>
      <c r="D16" s="2667" t="s">
        <v>320</v>
      </c>
      <c r="E16" s="3166" t="s">
        <v>823</v>
      </c>
      <c r="F16" s="675">
        <f t="shared" si="3"/>
        <v>0</v>
      </c>
      <c r="G16" s="3166" t="str">
        <f>'CP FACTORS'!$A$17</f>
        <v>HVAC RES ER2</v>
      </c>
      <c r="H16" s="155">
        <f>VLOOKUP(G16,'CP FACTORS'!$A$3:$B$38, 2, FALSE)</f>
        <v>4.6608050000000002E-4</v>
      </c>
      <c r="I16" s="2732">
        <f>0</f>
        <v>0</v>
      </c>
      <c r="J16" s="2732">
        <f>0</f>
        <v>0</v>
      </c>
      <c r="K16" s="3661">
        <v>0</v>
      </c>
      <c r="L16" s="2732">
        <v>0</v>
      </c>
      <c r="M16" s="2978">
        <f t="shared" si="9"/>
        <v>0</v>
      </c>
      <c r="N16" s="3664">
        <f t="shared" si="1"/>
        <v>0</v>
      </c>
      <c r="O16" s="2297">
        <f t="shared" si="4"/>
        <v>0</v>
      </c>
      <c r="P16" s="2667" t="s">
        <v>185</v>
      </c>
      <c r="Q16" s="249"/>
      <c r="V16" s="1962" t="s">
        <v>31</v>
      </c>
      <c r="W16" s="160">
        <v>3255.9033206791182</v>
      </c>
      <c r="X16" s="1960">
        <v>3283.7987309503033</v>
      </c>
      <c r="Y16" s="112">
        <v>582</v>
      </c>
      <c r="Z16" s="109">
        <v>582</v>
      </c>
      <c r="AA16" s="109">
        <v>582</v>
      </c>
      <c r="AB16" s="2055">
        <v>582</v>
      </c>
      <c r="AC16" s="1940">
        <v>0</v>
      </c>
      <c r="AD16" s="160"/>
      <c r="AE16" s="160"/>
      <c r="AF16" s="160"/>
      <c r="AG16" s="160"/>
      <c r="AH16" s="163"/>
      <c r="AI16" s="1930"/>
      <c r="AJ16" s="1930"/>
      <c r="AK16" s="1930"/>
      <c r="AL16" s="1930"/>
      <c r="AM16" s="1930"/>
      <c r="AN16" s="1930"/>
      <c r="AO16" s="1930"/>
      <c r="AP16" s="1930"/>
      <c r="AQ16" s="1930"/>
      <c r="AR16" s="1930"/>
      <c r="AS16" s="1930"/>
      <c r="AT16" s="1930"/>
      <c r="AU16" s="1930"/>
      <c r="AV16" s="1930"/>
      <c r="AW16" s="1930"/>
      <c r="AX16" s="1930"/>
      <c r="AY16" s="1930"/>
      <c r="AZ16" s="1930"/>
      <c r="BA16" s="1930"/>
      <c r="BB16" s="242"/>
      <c r="BC16" s="1948" t="str">
        <f t="shared" si="5"/>
        <v>HVAC RES ER2 0 Year EUL</v>
      </c>
      <c r="BD16" s="3674">
        <v>0</v>
      </c>
      <c r="BE16" s="1949">
        <f t="shared" si="2"/>
        <v>0</v>
      </c>
    </row>
    <row r="17" spans="1:57" x14ac:dyDescent="0.25">
      <c r="A17" s="1267" t="str">
        <f t="shared" si="0"/>
        <v>350350_2021_12_HVAC RES</v>
      </c>
      <c r="B17" s="228"/>
      <c r="C17" s="2734" t="s">
        <v>824</v>
      </c>
      <c r="D17" s="2667" t="s">
        <v>322</v>
      </c>
      <c r="E17" s="3166" t="s">
        <v>825</v>
      </c>
      <c r="F17" s="579">
        <f t="shared" si="3"/>
        <v>582</v>
      </c>
      <c r="G17" s="3166" t="s">
        <v>438</v>
      </c>
      <c r="H17" s="155">
        <f>VLOOKUP(G17,'CP FACTORS'!$A$3:$B$38, 2, FALSE)</f>
        <v>4.6608050000000002E-4</v>
      </c>
      <c r="I17" s="979">
        <f t="shared" si="6"/>
        <v>264.14545423487061</v>
      </c>
      <c r="J17" s="979">
        <f t="shared" si="7"/>
        <v>31.133309957924254</v>
      </c>
      <c r="K17" s="3661">
        <v>0</v>
      </c>
      <c r="L17" s="3661">
        <f t="shared" si="10"/>
        <v>286.72123580720518</v>
      </c>
      <c r="M17" s="580">
        <f t="shared" si="9"/>
        <v>0.27125899999999997</v>
      </c>
      <c r="N17" s="2298">
        <f t="shared" si="1"/>
        <v>6</v>
      </c>
      <c r="O17" s="2297">
        <f t="shared" si="4"/>
        <v>74.327224020150311</v>
      </c>
      <c r="P17" s="2667" t="s">
        <v>185</v>
      </c>
      <c r="Q17" s="249"/>
      <c r="V17" s="1962" t="s">
        <v>31</v>
      </c>
      <c r="W17" s="160">
        <v>3255.9033206791182</v>
      </c>
      <c r="X17" s="1960">
        <v>3283.7987309503033</v>
      </c>
      <c r="Y17" s="112">
        <v>582</v>
      </c>
      <c r="Z17" s="109">
        <v>582</v>
      </c>
      <c r="AA17" s="109">
        <v>582</v>
      </c>
      <c r="AB17" s="2055">
        <v>582</v>
      </c>
      <c r="AC17" s="127">
        <v>582</v>
      </c>
      <c r="AD17" s="160"/>
      <c r="AE17" s="160"/>
      <c r="AF17" s="160"/>
      <c r="AG17" s="160"/>
      <c r="AH17" s="163"/>
      <c r="AI17" s="1930"/>
      <c r="AJ17" s="1930"/>
      <c r="AK17" s="1930"/>
      <c r="AL17" s="1930"/>
      <c r="AM17" s="1930"/>
      <c r="AN17" s="1930"/>
      <c r="AO17" s="1930"/>
      <c r="AP17" s="1930"/>
      <c r="AQ17" s="1930"/>
      <c r="AR17" s="1930"/>
      <c r="AS17" s="1930"/>
      <c r="AT17" s="1930"/>
      <c r="AU17" s="1930"/>
      <c r="AV17" s="1930"/>
      <c r="AW17" s="1930"/>
      <c r="AX17" s="1930"/>
      <c r="AY17" s="1930"/>
      <c r="AZ17" s="1930"/>
      <c r="BA17" s="1930"/>
      <c r="BB17" s="244">
        <f>(BD17+BD18)/(BE17+BE18)</f>
        <v>3.0599660110586155</v>
      </c>
      <c r="BC17" s="583" t="str">
        <f t="shared" si="5"/>
        <v>HVAC RES 6 Year EUL</v>
      </c>
      <c r="BD17" s="582">
        <f>(INDEX('Avoided Cost Benefits'!$C$4:$C$857,MATCH(BC17,'Avoided Cost Benefits'!$A$4:$A$857,0)))*F17</f>
        <v>214.66614365077814</v>
      </c>
      <c r="BE17" s="1949">
        <f t="shared" si="2"/>
        <v>70.153113751911562</v>
      </c>
    </row>
    <row r="18" spans="1:57" x14ac:dyDescent="0.25">
      <c r="A18" s="1267" t="str">
        <f t="shared" si="0"/>
        <v>350350_2021_12_HVAC RES ER2</v>
      </c>
      <c r="B18" s="2058"/>
      <c r="C18" s="2734" t="s">
        <v>824</v>
      </c>
      <c r="D18" s="2667" t="s">
        <v>322</v>
      </c>
      <c r="E18" s="3166" t="s">
        <v>826</v>
      </c>
      <c r="F18" s="675">
        <f t="shared" si="3"/>
        <v>0</v>
      </c>
      <c r="G18" s="3166" t="str">
        <f>'CP FACTORS'!$A$17</f>
        <v>HVAC RES ER2</v>
      </c>
      <c r="H18" s="155">
        <f>VLOOKUP(G18,'CP FACTORS'!$A$3:$B$38, 2, FALSE)</f>
        <v>4.6608050000000002E-4</v>
      </c>
      <c r="I18" s="2732">
        <f>0</f>
        <v>0</v>
      </c>
      <c r="J18" s="2732">
        <f>0</f>
        <v>0</v>
      </c>
      <c r="K18" s="3661">
        <v>0</v>
      </c>
      <c r="L18" s="2732">
        <v>0</v>
      </c>
      <c r="M18" s="2978">
        <f t="shared" si="9"/>
        <v>0</v>
      </c>
      <c r="N18" s="3664">
        <f t="shared" si="1"/>
        <v>0</v>
      </c>
      <c r="O18" s="2297">
        <f t="shared" si="4"/>
        <v>0</v>
      </c>
      <c r="P18" s="2667" t="s">
        <v>185</v>
      </c>
      <c r="Q18" s="249"/>
      <c r="V18" s="1962" t="s">
        <v>31</v>
      </c>
      <c r="W18" s="160">
        <v>3255.9033206791182</v>
      </c>
      <c r="X18" s="1960">
        <v>3283.7987309503033</v>
      </c>
      <c r="Y18" s="112">
        <v>582</v>
      </c>
      <c r="Z18" s="109">
        <v>582</v>
      </c>
      <c r="AA18" s="109">
        <v>582</v>
      </c>
      <c r="AB18" s="2055">
        <v>582</v>
      </c>
      <c r="AC18" s="1940">
        <v>0</v>
      </c>
      <c r="AD18" s="160"/>
      <c r="AE18" s="160"/>
      <c r="AF18" s="160"/>
      <c r="AG18" s="160"/>
      <c r="AH18" s="163"/>
      <c r="AI18" s="1930"/>
      <c r="AJ18" s="1930"/>
      <c r="AK18" s="1930"/>
      <c r="AL18" s="1930"/>
      <c r="AM18" s="1930"/>
      <c r="AN18" s="1930"/>
      <c r="AO18" s="1930"/>
      <c r="AP18" s="1930"/>
      <c r="AQ18" s="1930"/>
      <c r="AR18" s="1930"/>
      <c r="AS18" s="1930"/>
      <c r="AT18" s="1930"/>
      <c r="AU18" s="1930"/>
      <c r="AV18" s="1930"/>
      <c r="AW18" s="1930"/>
      <c r="AX18" s="1930"/>
      <c r="AY18" s="1930"/>
      <c r="AZ18" s="1930"/>
      <c r="BA18" s="1930"/>
      <c r="BB18" s="246"/>
      <c r="BC18" s="1948" t="str">
        <f>CONCATENATE(G18," ",N18," Year EUL")</f>
        <v>HVAC RES ER2 0 Year EUL</v>
      </c>
      <c r="BD18" s="3674">
        <v>0</v>
      </c>
      <c r="BE18" s="1950">
        <f t="shared" si="2"/>
        <v>0</v>
      </c>
    </row>
    <row r="19" spans="1:57" x14ac:dyDescent="0.25">
      <c r="B19" s="2058"/>
      <c r="C19" s="3981" t="s">
        <v>827</v>
      </c>
      <c r="D19" s="3981"/>
      <c r="E19" s="3981"/>
      <c r="F19" s="3981"/>
      <c r="G19" s="3981"/>
      <c r="H19" s="3981"/>
      <c r="I19" s="3981"/>
      <c r="J19" s="3981"/>
      <c r="K19" s="3981"/>
      <c r="L19" s="3981"/>
      <c r="M19" s="1027"/>
      <c r="N19" s="1500"/>
      <c r="O19" s="1027"/>
      <c r="P19" s="1027"/>
      <c r="Q19" s="249"/>
      <c r="R19" s="249"/>
      <c r="S19" s="576"/>
      <c r="T19" s="576"/>
      <c r="U19" s="576"/>
      <c r="V19" s="576"/>
      <c r="W19" s="422"/>
      <c r="X19" s="576"/>
      <c r="Y19" s="422"/>
      <c r="Z19" s="422"/>
      <c r="AA19" s="422"/>
      <c r="AB19" s="422"/>
      <c r="AC19" s="1930"/>
      <c r="AD19" s="1930"/>
      <c r="AE19" s="1930"/>
      <c r="AF19" s="1930"/>
      <c r="AG19" s="1930"/>
      <c r="AH19" s="1930"/>
      <c r="AI19" s="1930"/>
      <c r="AJ19" s="1930"/>
      <c r="AK19" s="1930"/>
      <c r="AL19" s="1930"/>
      <c r="AM19" s="1930"/>
      <c r="AN19" s="1930"/>
      <c r="AO19" s="1930"/>
      <c r="AP19" s="1930"/>
      <c r="AQ19" s="1930"/>
      <c r="AR19" s="1930"/>
      <c r="AS19" s="1930"/>
      <c r="AT19" s="1930"/>
      <c r="AU19" s="1930"/>
      <c r="AV19" s="1930"/>
      <c r="AW19" s="1930"/>
      <c r="AX19" s="1930"/>
      <c r="AY19" s="1930"/>
      <c r="AZ19" s="1930"/>
      <c r="BA19" s="1930"/>
      <c r="BC19" s="584"/>
      <c r="BE19" s="585"/>
    </row>
    <row r="20" spans="1:57" ht="19.5" customHeight="1" x14ac:dyDescent="0.25">
      <c r="B20" s="2058"/>
      <c r="C20" s="3982"/>
      <c r="D20" s="3982"/>
      <c r="E20" s="3982"/>
      <c r="F20" s="3982"/>
      <c r="G20" s="3982"/>
      <c r="H20" s="3982"/>
      <c r="I20" s="3982"/>
      <c r="J20" s="3982"/>
      <c r="K20" s="3982"/>
      <c r="L20" s="3982"/>
      <c r="M20" s="1027"/>
      <c r="N20" s="1500"/>
      <c r="O20" s="1027"/>
      <c r="P20" s="1027"/>
      <c r="Q20" s="249"/>
      <c r="R20" s="249"/>
      <c r="S20" s="576"/>
      <c r="T20" s="576"/>
      <c r="U20" s="576"/>
      <c r="V20" s="576"/>
      <c r="W20" s="422"/>
      <c r="X20" s="422"/>
      <c r="Y20" s="422"/>
      <c r="Z20" s="422"/>
      <c r="AA20" s="422"/>
      <c r="AB20" s="422"/>
      <c r="AC20" s="1930"/>
      <c r="AD20" s="1930"/>
      <c r="AE20" s="1930"/>
      <c r="AF20" s="1930"/>
      <c r="AG20" s="1930"/>
      <c r="AH20" s="1930"/>
      <c r="AI20" s="1930"/>
      <c r="AJ20" s="1930"/>
      <c r="AK20" s="1930"/>
      <c r="AL20" s="1930"/>
      <c r="AM20" s="1930"/>
      <c r="AN20" s="1930"/>
      <c r="AO20" s="1930"/>
      <c r="AP20" s="1930"/>
      <c r="AQ20" s="1930"/>
      <c r="AR20" s="1930"/>
      <c r="AS20" s="1930"/>
      <c r="AT20" s="1930"/>
      <c r="AU20" s="1930"/>
      <c r="AV20" s="1930"/>
      <c r="AW20" s="1930"/>
      <c r="AX20" s="1930"/>
      <c r="AY20" s="1930"/>
      <c r="AZ20" s="1930"/>
      <c r="BA20" s="1930"/>
      <c r="BC20" s="584"/>
      <c r="BE20" s="585"/>
    </row>
    <row r="21" spans="1:57" s="1930" customFormat="1" ht="19.5" customHeight="1" x14ac:dyDescent="0.25">
      <c r="A21" s="1267"/>
      <c r="B21" s="2058"/>
      <c r="C21" s="3584"/>
      <c r="D21" s="3584"/>
      <c r="E21" s="3584"/>
      <c r="F21" s="3584"/>
      <c r="G21" s="3584"/>
      <c r="H21" s="3584"/>
      <c r="I21" s="3584"/>
      <c r="J21" s="3584"/>
      <c r="K21" s="3584"/>
      <c r="L21" s="3584"/>
      <c r="M21" s="1027"/>
      <c r="N21" s="1500"/>
      <c r="O21" s="1027"/>
      <c r="P21" s="1027"/>
      <c r="Q21" s="249"/>
      <c r="R21" s="249"/>
      <c r="S21" s="576"/>
      <c r="T21" s="576"/>
      <c r="U21" s="576"/>
      <c r="V21" s="576"/>
      <c r="W21" s="422"/>
      <c r="X21" s="422"/>
      <c r="Y21" s="422"/>
      <c r="Z21" s="422"/>
      <c r="AA21" s="422"/>
      <c r="AB21" s="422"/>
      <c r="BB21" s="575"/>
      <c r="BC21" s="584"/>
      <c r="BD21" s="577"/>
      <c r="BE21" s="585"/>
    </row>
    <row r="22" spans="1:57" s="1930" customFormat="1" ht="19.5" hidden="1" customHeight="1" outlineLevel="1" x14ac:dyDescent="0.25">
      <c r="A22" s="1267"/>
      <c r="B22" s="1437"/>
      <c r="C22" s="225"/>
      <c r="D22" s="174" t="s">
        <v>108</v>
      </c>
      <c r="E22" s="1213"/>
      <c r="F22" s="1499"/>
      <c r="G22" s="1213"/>
      <c r="H22" s="1027"/>
      <c r="I22" s="1027"/>
      <c r="J22" s="1027"/>
      <c r="K22" s="1027"/>
      <c r="L22" s="1027"/>
      <c r="M22" s="1027"/>
      <c r="N22" s="1500"/>
      <c r="O22" s="1027"/>
      <c r="P22" s="1027"/>
      <c r="Q22" s="249"/>
      <c r="R22" s="249"/>
      <c r="S22" s="576"/>
      <c r="T22" s="576"/>
      <c r="U22" s="576"/>
      <c r="V22" s="576"/>
      <c r="W22" s="422"/>
      <c r="X22" s="422"/>
      <c r="Y22" s="422"/>
      <c r="Z22" s="422"/>
      <c r="AA22" s="422"/>
      <c r="AB22" s="422"/>
      <c r="BB22" s="575"/>
      <c r="BC22" s="584"/>
      <c r="BD22" s="577"/>
      <c r="BE22" s="585"/>
    </row>
    <row r="23" spans="1:57" s="1930" customFormat="1" ht="19.5" hidden="1" customHeight="1" outlineLevel="1" x14ac:dyDescent="0.25">
      <c r="A23" s="1267"/>
      <c r="B23" s="1437"/>
      <c r="C23" s="225"/>
      <c r="D23" s="225"/>
      <c r="E23" s="1213"/>
      <c r="F23" s="1499"/>
      <c r="G23" s="1213"/>
      <c r="H23" s="1027"/>
      <c r="I23" s="1027"/>
      <c r="J23" s="1027"/>
      <c r="K23" s="1027"/>
      <c r="L23" s="1027"/>
      <c r="M23" s="1027"/>
      <c r="N23" s="1500"/>
      <c r="O23" s="1027"/>
      <c r="P23" s="1027"/>
      <c r="Q23" s="249"/>
      <c r="R23" s="249"/>
      <c r="S23" s="576"/>
      <c r="T23" s="576"/>
      <c r="U23" s="576"/>
      <c r="V23" s="576"/>
      <c r="W23" s="422"/>
      <c r="X23" s="422"/>
      <c r="Y23" s="422"/>
      <c r="Z23" s="422"/>
      <c r="AA23" s="422"/>
      <c r="AB23" s="422"/>
      <c r="BB23" s="575"/>
      <c r="BC23" s="584"/>
      <c r="BD23" s="577"/>
      <c r="BE23" s="585"/>
    </row>
    <row r="24" spans="1:57" s="1930" customFormat="1" ht="19.5" hidden="1" customHeight="1" outlineLevel="1" x14ac:dyDescent="0.25">
      <c r="A24" s="1267"/>
      <c r="B24" s="1437"/>
      <c r="C24" s="225"/>
      <c r="D24" s="225"/>
      <c r="E24" s="1213"/>
      <c r="F24" s="1499"/>
      <c r="G24" s="1213"/>
      <c r="H24" s="1027"/>
      <c r="I24" s="1027"/>
      <c r="J24" s="1027"/>
      <c r="K24" s="1027"/>
      <c r="L24" s="1027"/>
      <c r="M24" s="1027"/>
      <c r="N24" s="1500"/>
      <c r="O24" s="1027"/>
      <c r="P24" s="1027"/>
      <c r="Q24" s="249"/>
      <c r="R24" s="249"/>
      <c r="S24" s="576"/>
      <c r="T24" s="576"/>
      <c r="U24" s="576"/>
      <c r="V24" s="576"/>
      <c r="W24" s="422"/>
      <c r="X24" s="422"/>
      <c r="Y24" s="422"/>
      <c r="Z24" s="422"/>
      <c r="AA24" s="422"/>
      <c r="AB24" s="422"/>
      <c r="BB24" s="575"/>
      <c r="BC24" s="584"/>
      <c r="BD24" s="577"/>
      <c r="BE24" s="585"/>
    </row>
    <row r="25" spans="1:57" ht="19.5" hidden="1" customHeight="1" outlineLevel="1" x14ac:dyDescent="0.4">
      <c r="B25" s="1437"/>
      <c r="C25" s="225"/>
      <c r="D25" s="225"/>
      <c r="E25" s="1213"/>
      <c r="F25" s="1499"/>
      <c r="G25" s="1213"/>
      <c r="H25" s="1027"/>
      <c r="I25" s="1027"/>
      <c r="J25" s="1027"/>
      <c r="K25" s="1027"/>
      <c r="L25" s="1027"/>
      <c r="M25" s="1027"/>
      <c r="N25" s="1500"/>
      <c r="O25" s="1027"/>
      <c r="P25" s="1027"/>
      <c r="Q25" s="249"/>
      <c r="R25" s="249"/>
      <c r="S25" s="1501"/>
      <c r="T25" s="1502"/>
      <c r="U25" s="1502"/>
      <c r="V25" s="1502"/>
      <c r="W25" s="586"/>
      <c r="X25" s="586"/>
      <c r="Y25" s="586"/>
      <c r="Z25" s="586"/>
      <c r="AA25" s="587"/>
      <c r="AB25" s="587"/>
      <c r="AC25" s="588"/>
      <c r="AD25" s="1930"/>
      <c r="AE25" s="1930"/>
      <c r="AF25" s="1930"/>
      <c r="AG25" s="1930"/>
      <c r="AH25" s="1930"/>
      <c r="AI25" s="1930"/>
      <c r="AJ25" s="1930"/>
      <c r="AK25" s="1930"/>
      <c r="AL25" s="1930"/>
      <c r="AM25" s="1930"/>
      <c r="AN25" s="1930"/>
      <c r="AO25" s="1930"/>
      <c r="AP25" s="1930"/>
      <c r="AQ25" s="1930"/>
      <c r="AR25" s="1930"/>
      <c r="AS25" s="1930"/>
      <c r="AT25" s="1930"/>
      <c r="AU25" s="1930"/>
      <c r="AV25" s="1930"/>
      <c r="AW25" s="1930"/>
      <c r="AX25" s="1930"/>
      <c r="AY25" s="1930"/>
      <c r="AZ25" s="1930"/>
      <c r="BA25" s="1930"/>
      <c r="BC25" s="584"/>
      <c r="BE25" s="585"/>
    </row>
    <row r="26" spans="1:57" ht="19.5" hidden="1" customHeight="1" outlineLevel="1" x14ac:dyDescent="0.45">
      <c r="B26" s="1437"/>
      <c r="C26" s="225"/>
      <c r="D26" s="225"/>
      <c r="E26" s="1213"/>
      <c r="F26" s="1499"/>
      <c r="G26" s="1213"/>
      <c r="H26" s="1027"/>
      <c r="I26" s="1027"/>
      <c r="J26" s="1027"/>
      <c r="K26" s="1027"/>
      <c r="L26" s="1027"/>
      <c r="M26" s="1027"/>
      <c r="N26" s="1500"/>
      <c r="O26" s="1027"/>
      <c r="P26" s="1027"/>
      <c r="Q26" s="249"/>
      <c r="R26" s="249"/>
      <c r="S26" s="1501"/>
      <c r="T26" s="1503"/>
      <c r="U26" s="1503"/>
      <c r="V26" s="1503"/>
      <c r="W26" s="589"/>
      <c r="X26" s="589"/>
      <c r="Y26" s="589"/>
      <c r="Z26" s="589"/>
      <c r="AA26" s="422"/>
      <c r="AB26" s="422"/>
      <c r="AC26" s="1930"/>
      <c r="AD26" s="1930"/>
      <c r="AE26" s="1930"/>
      <c r="AF26" s="1930"/>
      <c r="AG26" s="1930"/>
      <c r="AH26" s="1930"/>
      <c r="AI26" s="1930"/>
      <c r="AJ26" s="1930"/>
      <c r="AK26" s="1930"/>
      <c r="AL26" s="1930"/>
      <c r="AM26" s="1930"/>
      <c r="AN26" s="1930"/>
      <c r="AO26" s="1930"/>
      <c r="AP26" s="1930"/>
      <c r="AQ26" s="1930"/>
      <c r="AR26" s="1930"/>
      <c r="AS26" s="1930"/>
      <c r="AT26" s="1930"/>
      <c r="AU26" s="1930"/>
      <c r="AV26" s="1930"/>
      <c r="AW26" s="1930"/>
      <c r="AX26" s="1930"/>
      <c r="AY26" s="1930"/>
      <c r="AZ26" s="1930"/>
      <c r="BA26" s="1930"/>
      <c r="BC26" s="584"/>
      <c r="BE26" s="585"/>
    </row>
    <row r="27" spans="1:57" ht="19.5" hidden="1" customHeight="1" outlineLevel="1" x14ac:dyDescent="0.45">
      <c r="B27" s="1437"/>
      <c r="C27" s="225"/>
      <c r="D27" s="429"/>
      <c r="E27" s="1213"/>
      <c r="F27" s="1499"/>
      <c r="G27" s="1213"/>
      <c r="H27" s="1027"/>
      <c r="I27" s="1027"/>
      <c r="J27" s="1027"/>
      <c r="K27" s="1027"/>
      <c r="L27" s="1027"/>
      <c r="M27" s="1027"/>
      <c r="N27" s="1500"/>
      <c r="O27" s="1027"/>
      <c r="P27" s="1027"/>
      <c r="Q27" s="249"/>
      <c r="R27" s="249"/>
      <c r="S27" s="1501"/>
      <c r="T27" s="1503"/>
      <c r="U27" s="1503"/>
      <c r="V27" s="1503"/>
      <c r="W27" s="589"/>
      <c r="X27" s="589"/>
      <c r="Y27" s="589"/>
      <c r="Z27" s="589"/>
      <c r="AA27" s="422"/>
      <c r="AB27" s="422"/>
      <c r="AC27" s="1930"/>
      <c r="AD27" s="1930"/>
      <c r="AE27" s="1930"/>
      <c r="AF27" s="1930"/>
      <c r="AG27" s="1930"/>
      <c r="AH27" s="1930"/>
      <c r="AI27" s="1930"/>
      <c r="AJ27" s="1930"/>
      <c r="AK27" s="1930"/>
      <c r="AL27" s="1930"/>
      <c r="AM27" s="1930"/>
      <c r="AN27" s="1930"/>
      <c r="AO27" s="1930"/>
      <c r="AP27" s="1930"/>
      <c r="AQ27" s="1930"/>
      <c r="AR27" s="1930"/>
      <c r="AS27" s="1930"/>
      <c r="AT27" s="1930"/>
      <c r="AU27" s="1930"/>
      <c r="AV27" s="1930"/>
      <c r="AW27" s="1930"/>
      <c r="AX27" s="1930"/>
      <c r="AY27" s="1930"/>
      <c r="AZ27" s="1930"/>
      <c r="BA27" s="1930"/>
      <c r="BC27" s="584"/>
      <c r="BE27" s="585"/>
    </row>
    <row r="28" spans="1:57" s="1930" customFormat="1" ht="19.5" hidden="1" customHeight="1" outlineLevel="1" x14ac:dyDescent="0.45">
      <c r="A28" s="1267"/>
      <c r="B28" s="1437"/>
      <c r="C28" s="225"/>
      <c r="D28" s="429"/>
      <c r="E28" s="1213"/>
      <c r="F28" s="1499"/>
      <c r="G28" s="1213"/>
      <c r="H28" s="1027"/>
      <c r="I28" s="1027"/>
      <c r="J28" s="1027"/>
      <c r="K28" s="1027"/>
      <c r="L28" s="1027"/>
      <c r="M28" s="1027"/>
      <c r="N28" s="1500"/>
      <c r="O28" s="1027"/>
      <c r="P28" s="1027"/>
      <c r="Q28" s="249"/>
      <c r="R28" s="249"/>
      <c r="S28" s="1501"/>
      <c r="T28" s="1503"/>
      <c r="U28" s="1503"/>
      <c r="V28" s="1503"/>
      <c r="W28" s="589"/>
      <c r="X28" s="589"/>
      <c r="Y28" s="589"/>
      <c r="Z28" s="589"/>
      <c r="AA28" s="422"/>
      <c r="AB28" s="422"/>
      <c r="BB28" s="575"/>
      <c r="BC28" s="584"/>
      <c r="BD28" s="577"/>
      <c r="BE28" s="585"/>
    </row>
    <row r="29" spans="1:57" s="1930" customFormat="1" ht="19.5" hidden="1" customHeight="1" outlineLevel="1" x14ac:dyDescent="0.45">
      <c r="A29" s="1267"/>
      <c r="B29" s="1437"/>
      <c r="C29" s="225"/>
      <c r="D29" s="429"/>
      <c r="E29" s="1213"/>
      <c r="F29" s="1499"/>
      <c r="G29" s="1213"/>
      <c r="H29" s="1027"/>
      <c r="I29" s="1027"/>
      <c r="J29" s="1027"/>
      <c r="K29" s="1027"/>
      <c r="L29" s="1027"/>
      <c r="M29" s="1027"/>
      <c r="N29" s="1500"/>
      <c r="O29" s="1027"/>
      <c r="P29" s="1027"/>
      <c r="Q29" s="249"/>
      <c r="R29" s="249"/>
      <c r="S29" s="1501"/>
      <c r="T29" s="1503"/>
      <c r="U29" s="1503"/>
      <c r="V29" s="1503"/>
      <c r="W29" s="589"/>
      <c r="X29" s="589"/>
      <c r="Y29" s="589"/>
      <c r="Z29" s="589"/>
      <c r="AA29" s="422"/>
      <c r="AB29" s="422"/>
      <c r="BB29" s="575"/>
      <c r="BC29" s="584"/>
      <c r="BD29" s="577"/>
      <c r="BE29" s="585"/>
    </row>
    <row r="30" spans="1:57" s="1930" customFormat="1" ht="19.5" hidden="1" customHeight="1" outlineLevel="1" x14ac:dyDescent="0.45">
      <c r="A30" s="1267"/>
      <c r="B30" s="1437"/>
      <c r="C30" s="225"/>
      <c r="D30" s="429"/>
      <c r="E30" s="1213"/>
      <c r="F30" s="1499"/>
      <c r="G30" s="1213"/>
      <c r="H30" s="1027"/>
      <c r="I30" s="1027"/>
      <c r="J30" s="1027"/>
      <c r="K30" s="1027"/>
      <c r="L30" s="1027"/>
      <c r="M30" s="1027"/>
      <c r="N30" s="1500"/>
      <c r="O30" s="1027"/>
      <c r="P30" s="1027"/>
      <c r="Q30" s="249"/>
      <c r="R30" s="249"/>
      <c r="S30" s="1501"/>
      <c r="T30" s="1503"/>
      <c r="U30" s="1503"/>
      <c r="V30" s="1503"/>
      <c r="W30" s="589"/>
      <c r="X30" s="589"/>
      <c r="Y30" s="589"/>
      <c r="Z30" s="589"/>
      <c r="AA30" s="422"/>
      <c r="AB30" s="422"/>
      <c r="BB30" s="575"/>
      <c r="BC30" s="584"/>
      <c r="BD30" s="577"/>
      <c r="BE30" s="585"/>
    </row>
    <row r="31" spans="1:57" s="1930" customFormat="1" ht="19.5" hidden="1" customHeight="1" outlineLevel="1" x14ac:dyDescent="0.45">
      <c r="A31" s="1267"/>
      <c r="B31" s="1437"/>
      <c r="C31" s="225"/>
      <c r="D31" s="429"/>
      <c r="E31" s="1213"/>
      <c r="F31" s="1499"/>
      <c r="G31" s="1213"/>
      <c r="H31" s="1027"/>
      <c r="I31" s="1027"/>
      <c r="J31" s="1027"/>
      <c r="K31" s="1027"/>
      <c r="L31" s="1027"/>
      <c r="M31" s="1027"/>
      <c r="N31" s="1500"/>
      <c r="O31" s="1027"/>
      <c r="P31" s="1027"/>
      <c r="Q31" s="249"/>
      <c r="R31" s="249"/>
      <c r="S31" s="1501"/>
      <c r="T31" s="1503"/>
      <c r="U31" s="1503"/>
      <c r="V31" s="1503"/>
      <c r="W31" s="589"/>
      <c r="X31" s="589"/>
      <c r="Y31" s="589"/>
      <c r="Z31" s="589"/>
      <c r="AA31" s="422"/>
      <c r="AB31" s="422"/>
      <c r="BB31" s="575"/>
      <c r="BC31" s="584"/>
      <c r="BD31" s="577"/>
      <c r="BE31" s="585"/>
    </row>
    <row r="32" spans="1:57" ht="19.5" hidden="1" customHeight="1" outlineLevel="1" x14ac:dyDescent="0.35">
      <c r="B32" s="1437"/>
      <c r="C32" s="225"/>
      <c r="D32" s="429"/>
      <c r="E32" s="1213"/>
      <c r="F32" s="1499"/>
      <c r="G32" s="1213"/>
      <c r="H32" s="1027"/>
      <c r="I32" s="1027"/>
      <c r="J32" s="1027"/>
      <c r="K32" s="1027"/>
      <c r="L32" s="1027"/>
      <c r="M32" s="1027"/>
      <c r="N32" s="1500"/>
      <c r="O32" s="1027"/>
      <c r="P32" s="1027"/>
      <c r="Q32" s="249"/>
      <c r="R32" s="249"/>
      <c r="S32" s="1501"/>
      <c r="T32" s="576"/>
      <c r="U32" s="576"/>
      <c r="V32" s="576"/>
      <c r="W32" s="422"/>
      <c r="X32" s="422"/>
      <c r="Y32" s="422"/>
      <c r="Z32" s="422"/>
      <c r="AA32" s="422"/>
      <c r="AB32" s="422"/>
      <c r="AC32" s="1930"/>
      <c r="AD32" s="1930"/>
      <c r="AE32" s="1930"/>
      <c r="AF32" s="1930"/>
      <c r="AG32" s="1930"/>
      <c r="AH32" s="1930"/>
      <c r="AI32" s="1930"/>
      <c r="AJ32" s="1930"/>
      <c r="AK32" s="1930"/>
      <c r="AL32" s="1930"/>
      <c r="AM32" s="1930"/>
      <c r="AN32" s="1930"/>
      <c r="AO32" s="1930"/>
      <c r="AP32" s="1930"/>
      <c r="AQ32" s="1930"/>
      <c r="AR32" s="1930"/>
      <c r="AS32" s="1930"/>
      <c r="AT32" s="1930"/>
      <c r="AU32" s="1930"/>
      <c r="AV32" s="1930"/>
      <c r="AW32" s="1930"/>
      <c r="AX32" s="1930"/>
      <c r="AY32" s="1930"/>
      <c r="AZ32" s="1930"/>
      <c r="BA32" s="1930"/>
      <c r="BC32" s="584"/>
      <c r="BE32" s="585"/>
    </row>
    <row r="33" spans="2:57" ht="19.5" hidden="1" customHeight="1" outlineLevel="1" x14ac:dyDescent="0.25">
      <c r="B33" s="1437"/>
      <c r="C33" s="225"/>
      <c r="D33" s="429"/>
      <c r="E33" s="1213"/>
      <c r="F33" s="1499"/>
      <c r="G33" s="1213"/>
      <c r="H33" s="1027"/>
      <c r="I33" s="1027"/>
      <c r="J33" s="1027"/>
      <c r="K33" s="1027"/>
      <c r="L33" s="1027"/>
      <c r="M33" s="1027"/>
      <c r="N33" s="1500"/>
      <c r="O33" s="1027"/>
      <c r="P33" s="1027"/>
      <c r="Q33" s="249"/>
      <c r="R33" s="249"/>
      <c r="W33" s="1930"/>
      <c r="X33" s="1930"/>
      <c r="Y33" s="1930"/>
      <c r="Z33" s="1930"/>
      <c r="AA33" s="1930"/>
      <c r="AB33" s="1930"/>
      <c r="AC33" s="1930"/>
      <c r="AD33" s="1930"/>
      <c r="AE33" s="1930"/>
      <c r="AF33" s="1930"/>
      <c r="AG33" s="1930"/>
      <c r="AH33" s="1930"/>
      <c r="AI33" s="1930"/>
      <c r="AJ33" s="1930"/>
      <c r="AK33" s="1930"/>
      <c r="AL33" s="1930"/>
      <c r="AM33" s="1930"/>
      <c r="AN33" s="1930"/>
      <c r="AO33" s="1930"/>
      <c r="AP33" s="1930"/>
      <c r="AQ33" s="1930"/>
      <c r="AR33" s="1930"/>
      <c r="AS33" s="1930"/>
      <c r="AT33" s="1930"/>
      <c r="AU33" s="1930"/>
      <c r="AV33" s="1930"/>
      <c r="AW33" s="1930"/>
      <c r="AX33" s="1930"/>
      <c r="AY33" s="1930"/>
      <c r="AZ33" s="1930"/>
      <c r="BA33" s="1930"/>
      <c r="BC33" s="584"/>
      <c r="BE33" s="585"/>
    </row>
    <row r="34" spans="2:57" ht="19.5" hidden="1" customHeight="1" outlineLevel="1" x14ac:dyDescent="0.25">
      <c r="B34" s="1437"/>
      <c r="C34" s="225"/>
      <c r="D34" s="429"/>
      <c r="E34" s="1213"/>
      <c r="F34" s="1499"/>
      <c r="G34" s="1213"/>
      <c r="H34" s="1027"/>
      <c r="I34" s="1027"/>
      <c r="J34" s="1027"/>
      <c r="K34" s="1027"/>
      <c r="L34" s="1027"/>
      <c r="M34" s="1027"/>
      <c r="N34" s="1500"/>
      <c r="O34" s="1027"/>
      <c r="P34" s="1027"/>
      <c r="Q34" s="249"/>
      <c r="R34" s="249"/>
      <c r="W34" s="1930"/>
      <c r="X34" s="1930"/>
      <c r="Y34" s="1930"/>
      <c r="Z34" s="1930"/>
      <c r="AA34" s="1930"/>
      <c r="AB34" s="1930"/>
      <c r="AC34" s="1930"/>
      <c r="AD34" s="1930"/>
      <c r="AE34" s="1930"/>
      <c r="AF34" s="1930"/>
      <c r="AG34" s="1930"/>
      <c r="AH34" s="1930"/>
      <c r="AI34" s="1930"/>
      <c r="AJ34" s="1930"/>
      <c r="AK34" s="1930"/>
      <c r="AL34" s="1930"/>
      <c r="AM34" s="1930"/>
      <c r="AN34" s="1930"/>
      <c r="AO34" s="1930"/>
      <c r="AP34" s="1930"/>
      <c r="AQ34" s="1930"/>
      <c r="AR34" s="1930"/>
      <c r="AS34" s="1930"/>
      <c r="AT34" s="1930"/>
      <c r="AU34" s="1930"/>
      <c r="AV34" s="1930"/>
      <c r="AW34" s="1930"/>
      <c r="AX34" s="1930"/>
      <c r="AY34" s="1930"/>
      <c r="AZ34" s="1930"/>
      <c r="BA34" s="1930"/>
      <c r="BC34" s="584"/>
      <c r="BE34" s="585"/>
    </row>
    <row r="35" spans="2:57" ht="19.5" hidden="1" customHeight="1" outlineLevel="1" x14ac:dyDescent="0.25">
      <c r="B35" s="1437"/>
      <c r="C35" s="225"/>
      <c r="D35" s="429"/>
      <c r="E35" s="1213"/>
      <c r="F35" s="1499"/>
      <c r="G35" s="1213"/>
      <c r="H35" s="1027"/>
      <c r="I35" s="1027"/>
      <c r="J35" s="1027"/>
      <c r="K35" s="1027"/>
      <c r="L35" s="1027"/>
      <c r="M35" s="1027"/>
      <c r="N35" s="1500"/>
      <c r="O35" s="1027"/>
      <c r="P35" s="1027"/>
      <c r="Q35" s="249"/>
      <c r="R35" s="249"/>
      <c r="W35" s="1930"/>
      <c r="X35" s="1930"/>
      <c r="Y35" s="1930"/>
      <c r="Z35" s="1930"/>
      <c r="AA35" s="1930"/>
      <c r="AB35" s="1930"/>
      <c r="AC35" s="1930"/>
      <c r="AD35" s="1930"/>
      <c r="AE35" s="1930"/>
      <c r="AF35" s="1930"/>
      <c r="AG35" s="1930"/>
      <c r="AH35" s="1930"/>
      <c r="AI35" s="1930"/>
      <c r="AJ35" s="1930"/>
      <c r="AK35" s="1930"/>
      <c r="AL35" s="1930"/>
      <c r="AM35" s="1930"/>
      <c r="AN35" s="1930"/>
      <c r="AO35" s="1930"/>
      <c r="AP35" s="1930"/>
      <c r="AQ35" s="1930"/>
      <c r="AR35" s="1930"/>
      <c r="AS35" s="1930"/>
      <c r="AT35" s="1930"/>
      <c r="AU35" s="1930"/>
      <c r="AV35" s="1930"/>
      <c r="AW35" s="1930"/>
      <c r="AX35" s="1930"/>
      <c r="AY35" s="1930"/>
      <c r="AZ35" s="1930"/>
      <c r="BA35" s="1930"/>
      <c r="BC35" s="584"/>
      <c r="BE35" s="585"/>
    </row>
    <row r="36" spans="2:57" ht="19.5" hidden="1" customHeight="1" outlineLevel="1" x14ac:dyDescent="0.25">
      <c r="B36" s="1437"/>
      <c r="C36" s="225"/>
      <c r="D36" s="429"/>
      <c r="E36" s="1213"/>
      <c r="F36" s="1499"/>
      <c r="G36" s="1213"/>
      <c r="H36" s="1027"/>
      <c r="I36" s="1027"/>
      <c r="J36" s="1027"/>
      <c r="K36" s="1027"/>
      <c r="L36" s="1027"/>
      <c r="M36" s="1027"/>
      <c r="N36" s="1500"/>
      <c r="O36" s="1027"/>
      <c r="P36" s="1027"/>
      <c r="Q36" s="249"/>
      <c r="R36" s="249"/>
      <c r="W36" s="1930"/>
      <c r="X36" s="1930"/>
      <c r="Y36" s="1930"/>
      <c r="Z36" s="1930"/>
      <c r="AA36" s="1930"/>
      <c r="AB36" s="1930"/>
      <c r="AC36" s="1930"/>
      <c r="AD36" s="1930"/>
      <c r="AE36" s="1930"/>
      <c r="AF36" s="1930"/>
      <c r="AG36" s="1930"/>
      <c r="AH36" s="1930"/>
      <c r="AI36" s="1930"/>
      <c r="AJ36" s="1930"/>
      <c r="AK36" s="1930"/>
      <c r="AL36" s="1930"/>
      <c r="AM36" s="1930"/>
      <c r="AN36" s="1930"/>
      <c r="AO36" s="1930"/>
      <c r="AP36" s="1930"/>
      <c r="AQ36" s="1930"/>
      <c r="AR36" s="1930"/>
      <c r="AS36" s="1930"/>
      <c r="AT36" s="1930"/>
      <c r="AU36" s="1930"/>
      <c r="AV36" s="1930"/>
      <c r="AW36" s="1930"/>
      <c r="AX36" s="1930"/>
      <c r="AY36" s="1930"/>
      <c r="AZ36" s="1930"/>
      <c r="BA36" s="1930"/>
      <c r="BC36" s="584"/>
      <c r="BE36" s="585"/>
    </row>
    <row r="37" spans="2:57" ht="19.5" hidden="1" customHeight="1" outlineLevel="1" x14ac:dyDescent="0.25">
      <c r="B37" s="1437"/>
      <c r="C37" s="225"/>
      <c r="D37" s="429"/>
      <c r="E37" s="1213"/>
      <c r="F37" s="1499"/>
      <c r="G37" s="1213"/>
      <c r="H37" s="1027"/>
      <c r="I37" s="1027"/>
      <c r="J37" s="1027"/>
      <c r="K37" s="1027"/>
      <c r="L37" s="1027"/>
      <c r="M37" s="1027"/>
      <c r="N37" s="1500"/>
      <c r="O37" s="1027"/>
      <c r="P37" s="1027"/>
      <c r="Q37" s="249"/>
      <c r="R37" s="249"/>
      <c r="W37" s="1930"/>
      <c r="X37" s="1930"/>
      <c r="Y37" s="1930"/>
      <c r="Z37" s="1930"/>
      <c r="AA37" s="1930"/>
      <c r="AB37" s="1930"/>
      <c r="AC37" s="1930"/>
      <c r="AD37" s="1930"/>
      <c r="AE37" s="1930"/>
      <c r="AF37" s="1930"/>
      <c r="AG37" s="1930"/>
      <c r="AH37" s="1930"/>
      <c r="AI37" s="1930"/>
      <c r="AJ37" s="1930"/>
      <c r="AK37" s="1930"/>
      <c r="AL37" s="1930"/>
      <c r="AM37" s="1930"/>
      <c r="AN37" s="1930"/>
      <c r="AO37" s="1930"/>
      <c r="AP37" s="1930"/>
      <c r="AQ37" s="1930"/>
      <c r="AR37" s="1930"/>
      <c r="AS37" s="1930"/>
      <c r="AT37" s="1930"/>
      <c r="AU37" s="1930"/>
      <c r="AV37" s="1930"/>
      <c r="AW37" s="1930"/>
      <c r="AX37" s="1930"/>
      <c r="AY37" s="1930"/>
      <c r="AZ37" s="1930"/>
      <c r="BA37" s="1930"/>
      <c r="BC37" s="584"/>
      <c r="BE37" s="585"/>
    </row>
    <row r="38" spans="2:57" ht="21" hidden="1" customHeight="1" outlineLevel="1" x14ac:dyDescent="0.25">
      <c r="B38" s="1437"/>
      <c r="C38" s="225"/>
      <c r="D38" s="429"/>
      <c r="E38" s="1213"/>
      <c r="F38" s="1499"/>
      <c r="G38" s="1213"/>
      <c r="H38" s="1027"/>
      <c r="I38" s="1027"/>
      <c r="J38" s="1027"/>
      <c r="K38" s="1027"/>
      <c r="L38" s="1027"/>
      <c r="M38" s="1027"/>
      <c r="N38" s="1500"/>
      <c r="O38" s="1027"/>
      <c r="P38" s="1027"/>
      <c r="Q38" s="249"/>
      <c r="R38" s="249"/>
      <c r="W38" s="1930"/>
      <c r="X38" s="1930"/>
      <c r="Y38" s="1930"/>
      <c r="Z38" s="1930"/>
      <c r="AA38" s="1930"/>
      <c r="AB38" s="1930"/>
      <c r="AC38" s="1930"/>
      <c r="AD38" s="1930"/>
      <c r="AE38" s="1930"/>
      <c r="AF38" s="1930"/>
      <c r="AG38" s="1930"/>
      <c r="AH38" s="1930"/>
      <c r="AI38" s="1930"/>
      <c r="AJ38" s="1930"/>
      <c r="AK38" s="1930"/>
      <c r="AL38" s="1930"/>
      <c r="AM38" s="1930"/>
      <c r="AN38" s="1930"/>
      <c r="AO38" s="1930"/>
      <c r="AP38" s="1930"/>
      <c r="AQ38" s="1930"/>
      <c r="AR38" s="1930"/>
      <c r="AS38" s="1930"/>
      <c r="AT38" s="1930"/>
      <c r="AU38" s="1930"/>
      <c r="AV38" s="1930"/>
      <c r="AW38" s="1930"/>
      <c r="AX38" s="1930"/>
      <c r="AY38" s="1930"/>
      <c r="AZ38" s="1930"/>
      <c r="BA38" s="1930"/>
      <c r="BC38" s="584"/>
      <c r="BE38" s="585"/>
    </row>
    <row r="39" spans="2:57" ht="21" hidden="1" customHeight="1" outlineLevel="1" x14ac:dyDescent="0.25">
      <c r="B39" s="1437"/>
      <c r="C39" s="225"/>
      <c r="D39" s="247"/>
      <c r="E39" s="1213"/>
      <c r="F39" s="1027"/>
      <c r="G39" s="1213"/>
      <c r="H39" s="1027"/>
      <c r="I39" s="1027"/>
      <c r="J39" s="1027"/>
      <c r="K39" s="1027"/>
      <c r="L39" s="1027"/>
      <c r="M39" s="1027"/>
      <c r="N39" s="1500"/>
      <c r="O39" s="1027"/>
      <c r="P39" s="1027"/>
      <c r="Q39" s="249"/>
      <c r="R39" s="249"/>
      <c r="W39" s="1930"/>
      <c r="X39" s="1930"/>
      <c r="Y39" s="1930"/>
      <c r="Z39" s="1930"/>
      <c r="AA39" s="1930"/>
      <c r="AB39" s="1930"/>
      <c r="AC39" s="1930"/>
      <c r="AD39" s="1930"/>
      <c r="AE39" s="1930"/>
      <c r="AF39" s="1930"/>
      <c r="AG39" s="1930"/>
      <c r="AH39" s="1930"/>
      <c r="AI39" s="1930"/>
      <c r="AJ39" s="1930"/>
      <c r="AK39" s="1930"/>
      <c r="AL39" s="1930"/>
      <c r="AM39" s="1930"/>
      <c r="AN39" s="1930"/>
      <c r="AO39" s="1930"/>
      <c r="AP39" s="1930"/>
      <c r="AQ39" s="1930"/>
      <c r="AR39" s="1930"/>
      <c r="AS39" s="1930"/>
      <c r="AT39" s="1930"/>
      <c r="AU39" s="1930"/>
      <c r="AV39" s="1930"/>
      <c r="AW39" s="1930"/>
      <c r="AX39" s="1930"/>
      <c r="AY39" s="1930"/>
      <c r="AZ39" s="1930"/>
      <c r="BA39" s="1930"/>
      <c r="BC39" s="584"/>
      <c r="BE39" s="585"/>
    </row>
    <row r="40" spans="2:57" ht="15.75" hidden="1" outlineLevel="1" thickBot="1" x14ac:dyDescent="0.3">
      <c r="B40" s="1437"/>
      <c r="C40" s="225"/>
      <c r="D40" s="380" t="s">
        <v>109</v>
      </c>
      <c r="E40" s="380" t="s">
        <v>110</v>
      </c>
      <c r="F40" s="4068" t="s">
        <v>186</v>
      </c>
      <c r="G40" s="4068"/>
      <c r="H40" s="4068"/>
      <c r="I40" s="3161" t="s">
        <v>112</v>
      </c>
      <c r="J40" s="3161" t="s">
        <v>187</v>
      </c>
      <c r="K40" s="3161" t="s">
        <v>283</v>
      </c>
      <c r="L40" s="249"/>
      <c r="M40" s="249"/>
      <c r="N40" s="905"/>
      <c r="O40" s="249"/>
      <c r="P40" s="249"/>
      <c r="Q40" s="249"/>
      <c r="R40" s="249"/>
      <c r="V40" s="551" t="s">
        <v>45</v>
      </c>
      <c r="W40" s="1937">
        <v>43252</v>
      </c>
      <c r="X40" s="1937">
        <f>$X$6</f>
        <v>43465</v>
      </c>
      <c r="Y40" s="1937">
        <f>$Y$6</f>
        <v>43800</v>
      </c>
      <c r="Z40" s="1937">
        <f>$Z$6</f>
        <v>43862</v>
      </c>
      <c r="AA40" s="1937">
        <f>$AA$6</f>
        <v>44013</v>
      </c>
      <c r="AB40" s="1937">
        <f>$AB$6</f>
        <v>44166</v>
      </c>
      <c r="AC40" s="1937">
        <f>$AC$6</f>
        <v>44531</v>
      </c>
      <c r="AD40" s="1937" t="str">
        <f>$AD$6</f>
        <v>-</v>
      </c>
      <c r="AE40" s="1937" t="str">
        <f>$AE$6</f>
        <v>-</v>
      </c>
      <c r="AF40" s="1937" t="str">
        <f>$AF$6</f>
        <v>-</v>
      </c>
      <c r="AG40" s="1937" t="str">
        <f>$AG$6</f>
        <v>-</v>
      </c>
      <c r="AH40" s="1930"/>
      <c r="AI40" s="1930"/>
      <c r="AJ40" s="1930"/>
      <c r="AK40" s="1930"/>
      <c r="AL40" s="1930"/>
      <c r="AM40" s="1930"/>
      <c r="AN40" s="1930"/>
      <c r="AO40" s="1930"/>
      <c r="AP40" s="1930"/>
      <c r="AQ40" s="1930"/>
      <c r="AR40" s="1930"/>
      <c r="AS40" s="1930"/>
      <c r="AT40" s="1930"/>
      <c r="AU40" s="1930"/>
      <c r="AV40" s="1930"/>
      <c r="AW40" s="1930"/>
      <c r="AX40" s="1930"/>
      <c r="AY40" s="1930"/>
      <c r="AZ40" s="1930"/>
      <c r="BA40" s="1930"/>
      <c r="BC40" s="584"/>
      <c r="BE40" s="585"/>
    </row>
    <row r="41" spans="2:57" hidden="1" outlineLevel="1" x14ac:dyDescent="0.25">
      <c r="B41" s="1437"/>
      <c r="C41" s="225"/>
      <c r="D41" s="4138" t="s">
        <v>828</v>
      </c>
      <c r="E41" s="4141" t="s">
        <v>829</v>
      </c>
      <c r="F41" s="4105" t="str">
        <f t="shared" ref="F41:F52" si="11">E7</f>
        <v>ECM Auto Fan ROF-SF</v>
      </c>
      <c r="G41" s="4105"/>
      <c r="H41" s="4105"/>
      <c r="I41" s="590">
        <v>0.16336956521739129</v>
      </c>
      <c r="J41" s="591" t="s">
        <v>285</v>
      </c>
      <c r="K41" s="592" t="s">
        <v>830</v>
      </c>
      <c r="L41" s="249"/>
      <c r="M41" s="249"/>
      <c r="N41" s="905"/>
      <c r="O41" s="249"/>
      <c r="P41" s="249"/>
      <c r="Q41" s="249"/>
      <c r="R41" s="249"/>
      <c r="V41" s="4138" t="s">
        <v>828</v>
      </c>
      <c r="W41" s="593">
        <v>0.16</v>
      </c>
      <c r="X41" s="593">
        <f>1759/10801</f>
        <v>0.16285529117674288</v>
      </c>
      <c r="Y41" s="594">
        <v>0.16336956521739129</v>
      </c>
      <c r="Z41" s="590">
        <v>0.16336956521739129</v>
      </c>
      <c r="AA41" s="590">
        <v>0.16336956521739129</v>
      </c>
      <c r="AB41" s="593">
        <v>0.16336956521739129</v>
      </c>
      <c r="AC41" s="593">
        <v>0.16336956521739129</v>
      </c>
      <c r="AD41" s="593"/>
      <c r="AE41" s="593"/>
      <c r="AF41" s="593"/>
      <c r="AG41" s="593"/>
      <c r="AH41" s="1930"/>
      <c r="AI41" s="1930"/>
      <c r="AJ41" s="1930"/>
      <c r="AK41" s="1930"/>
      <c r="AL41" s="1930"/>
      <c r="AM41" s="1930"/>
      <c r="AN41" s="1930"/>
      <c r="AO41" s="1930"/>
      <c r="AP41" s="1930"/>
      <c r="AQ41" s="1930"/>
      <c r="AR41" s="1930"/>
      <c r="AS41" s="1930"/>
      <c r="AT41" s="1930"/>
      <c r="AU41" s="1930"/>
      <c r="AV41" s="1930"/>
      <c r="AW41" s="1930"/>
      <c r="AX41" s="1930"/>
      <c r="AY41" s="1930"/>
      <c r="AZ41" s="1930"/>
      <c r="BA41" s="1930"/>
      <c r="BC41" s="584"/>
      <c r="BE41" s="585"/>
    </row>
    <row r="42" spans="2:57" hidden="1" outlineLevel="1" x14ac:dyDescent="0.25">
      <c r="B42" s="1437"/>
      <c r="C42" s="225"/>
      <c r="D42" s="4139"/>
      <c r="E42" s="4142"/>
      <c r="F42" s="4110" t="str">
        <f t="shared" si="11"/>
        <v>ECM Auto Fan ROF-MF</v>
      </c>
      <c r="G42" s="4110"/>
      <c r="H42" s="4110"/>
      <c r="I42" s="595">
        <f>I41</f>
        <v>0.16336956521739129</v>
      </c>
      <c r="J42" s="596" t="s">
        <v>285</v>
      </c>
      <c r="K42" s="597"/>
      <c r="L42" s="249"/>
      <c r="M42" s="249"/>
      <c r="N42" s="905"/>
      <c r="O42" s="249"/>
      <c r="P42" s="249"/>
      <c r="Q42" s="249"/>
      <c r="R42" s="249"/>
      <c r="V42" s="4139"/>
      <c r="W42" s="94">
        <v>0.16</v>
      </c>
      <c r="X42" s="94">
        <f t="shared" ref="X42:X52" si="12">1759/10801</f>
        <v>0.16285529117674288</v>
      </c>
      <c r="Y42" s="598">
        <v>0.16336956521739129</v>
      </c>
      <c r="Z42" s="599">
        <v>0.16336956521739129</v>
      </c>
      <c r="AA42" s="599">
        <v>0.16336956521739129</v>
      </c>
      <c r="AB42" s="94">
        <v>0.16336956521739129</v>
      </c>
      <c r="AC42" s="94">
        <v>0.16336956521739129</v>
      </c>
      <c r="AD42" s="94"/>
      <c r="AE42" s="94"/>
      <c r="AF42" s="94"/>
      <c r="AG42" s="94"/>
      <c r="AH42" s="1930"/>
      <c r="AI42" s="1930"/>
      <c r="AJ42" s="1930"/>
      <c r="AK42" s="1930"/>
      <c r="AL42" s="1930"/>
      <c r="AM42" s="1930"/>
      <c r="AN42" s="1930"/>
      <c r="AO42" s="1930"/>
      <c r="AP42" s="1930"/>
      <c r="AQ42" s="1930"/>
      <c r="AR42" s="1930"/>
      <c r="AS42" s="1930"/>
      <c r="AT42" s="1930"/>
      <c r="AU42" s="1930"/>
      <c r="AV42" s="1930"/>
      <c r="AW42" s="1930"/>
      <c r="AX42" s="1930"/>
      <c r="AY42" s="1930"/>
      <c r="AZ42" s="1930"/>
      <c r="BA42" s="1930"/>
      <c r="BC42" s="584"/>
      <c r="BE42" s="585"/>
    </row>
    <row r="43" spans="2:57" hidden="1" outlineLevel="1" x14ac:dyDescent="0.25">
      <c r="B43" s="1437"/>
      <c r="C43" s="225"/>
      <c r="D43" s="4139"/>
      <c r="E43" s="4143"/>
      <c r="F43" s="4110" t="str">
        <f t="shared" si="11"/>
        <v>ECM Auto Fan ER1 - SF</v>
      </c>
      <c r="G43" s="4110"/>
      <c r="H43" s="4110"/>
      <c r="I43" s="599">
        <f t="shared" ref="I43:I52" si="13">I42</f>
        <v>0.16336956521739129</v>
      </c>
      <c r="J43" s="596" t="s">
        <v>285</v>
      </c>
      <c r="K43" s="600"/>
      <c r="L43" s="249"/>
      <c r="M43" s="249"/>
      <c r="N43" s="905"/>
      <c r="O43" s="249"/>
      <c r="P43" s="249"/>
      <c r="Q43" s="249"/>
      <c r="R43" s="249"/>
      <c r="V43" s="4139"/>
      <c r="W43" s="94">
        <v>0.16</v>
      </c>
      <c r="X43" s="94">
        <f t="shared" si="12"/>
        <v>0.16285529117674288</v>
      </c>
      <c r="Y43" s="598">
        <v>0.16336956521739129</v>
      </c>
      <c r="Z43" s="599">
        <v>0.16336956521739129</v>
      </c>
      <c r="AA43" s="599">
        <v>0.16336956521739129</v>
      </c>
      <c r="AB43" s="94">
        <v>0.16336956521739129</v>
      </c>
      <c r="AC43" s="94">
        <v>0.16336956521739129</v>
      </c>
      <c r="AD43" s="94"/>
      <c r="AE43" s="94"/>
      <c r="AF43" s="94"/>
      <c r="AG43" s="94"/>
      <c r="AH43" s="1930"/>
      <c r="AI43" s="1930"/>
      <c r="AJ43" s="1930"/>
      <c r="AK43" s="1930"/>
      <c r="AL43" s="1930"/>
      <c r="AM43" s="1930"/>
      <c r="AN43" s="1930"/>
      <c r="AO43" s="1930"/>
      <c r="AP43" s="1930"/>
      <c r="AQ43" s="1930"/>
      <c r="AR43" s="1930"/>
      <c r="AS43" s="1930"/>
      <c r="AT43" s="1930"/>
      <c r="AU43" s="1930"/>
      <c r="AV43" s="1930"/>
      <c r="AW43" s="1930"/>
      <c r="AX43" s="1930"/>
      <c r="AY43" s="1930"/>
      <c r="AZ43" s="1930"/>
      <c r="BA43" s="1930"/>
      <c r="BC43" s="584"/>
      <c r="BE43" s="585"/>
    </row>
    <row r="44" spans="2:57" hidden="1" outlineLevel="1" x14ac:dyDescent="0.25">
      <c r="B44" s="1437"/>
      <c r="C44" s="225"/>
      <c r="D44" s="4139"/>
      <c r="E44" s="4143"/>
      <c r="F44" s="4110" t="str">
        <f t="shared" si="11"/>
        <v>ECM Auto Fan ER2 - SF</v>
      </c>
      <c r="G44" s="4110"/>
      <c r="H44" s="4110"/>
      <c r="I44" s="599">
        <f t="shared" si="13"/>
        <v>0.16336956521739129</v>
      </c>
      <c r="J44" s="596" t="s">
        <v>285</v>
      </c>
      <c r="K44" s="600"/>
      <c r="L44" s="249"/>
      <c r="M44" s="249"/>
      <c r="N44" s="905"/>
      <c r="O44" s="249"/>
      <c r="P44" s="249"/>
      <c r="Q44" s="249"/>
      <c r="R44" s="249"/>
      <c r="V44" s="4139"/>
      <c r="W44" s="94">
        <v>0.16</v>
      </c>
      <c r="X44" s="95">
        <f t="shared" si="12"/>
        <v>0.16285529117674288</v>
      </c>
      <c r="Y44" s="598">
        <v>0.16336956521739129</v>
      </c>
      <c r="Z44" s="599">
        <v>0.16336956521739129</v>
      </c>
      <c r="AA44" s="599">
        <v>0.16336956521739129</v>
      </c>
      <c r="AB44" s="94">
        <v>0.16336956521739129</v>
      </c>
      <c r="AC44" s="94">
        <v>0.16336956521739129</v>
      </c>
      <c r="AD44" s="94"/>
      <c r="AE44" s="94"/>
      <c r="AF44" s="94"/>
      <c r="AG44" s="94"/>
      <c r="AH44" s="1930"/>
      <c r="AI44" s="1930"/>
      <c r="AJ44" s="1930"/>
      <c r="AK44" s="1930"/>
      <c r="AL44" s="1930"/>
      <c r="AM44" s="1930"/>
      <c r="AN44" s="1930"/>
      <c r="AO44" s="1930"/>
      <c r="AP44" s="1930"/>
      <c r="AQ44" s="1930"/>
      <c r="AR44" s="1930"/>
      <c r="AS44" s="1930"/>
      <c r="AT44" s="1930"/>
      <c r="AU44" s="1930"/>
      <c r="AV44" s="1930"/>
      <c r="AW44" s="1930"/>
      <c r="AX44" s="1930"/>
      <c r="AY44" s="1930"/>
      <c r="AZ44" s="1930"/>
      <c r="BA44" s="1930"/>
      <c r="BC44" s="584"/>
      <c r="BE44" s="585"/>
    </row>
    <row r="45" spans="2:57" hidden="1" outlineLevel="1" x14ac:dyDescent="0.25">
      <c r="B45" s="1437"/>
      <c r="C45" s="225"/>
      <c r="D45" s="4139"/>
      <c r="E45" s="4143"/>
      <c r="F45" s="4110" t="str">
        <f t="shared" si="11"/>
        <v>ECM Auto Fan ER1 - MF</v>
      </c>
      <c r="G45" s="4110"/>
      <c r="H45" s="4110"/>
      <c r="I45" s="599">
        <f t="shared" si="13"/>
        <v>0.16336956521739129</v>
      </c>
      <c r="J45" s="596" t="s">
        <v>285</v>
      </c>
      <c r="K45" s="600"/>
      <c r="L45" s="249"/>
      <c r="M45" s="249"/>
      <c r="N45" s="905"/>
      <c r="O45" s="249"/>
      <c r="P45" s="249"/>
      <c r="Q45" s="249"/>
      <c r="R45" s="249"/>
      <c r="V45" s="4139"/>
      <c r="W45" s="94">
        <v>0.16</v>
      </c>
      <c r="X45" s="94">
        <f t="shared" si="12"/>
        <v>0.16285529117674288</v>
      </c>
      <c r="Y45" s="598">
        <v>0.16336956521739129</v>
      </c>
      <c r="Z45" s="599">
        <v>0.16336956521739129</v>
      </c>
      <c r="AA45" s="599">
        <v>0.16336956521739129</v>
      </c>
      <c r="AB45" s="94">
        <v>0.16336956521739129</v>
      </c>
      <c r="AC45" s="94">
        <v>0.16336956521739129</v>
      </c>
      <c r="AD45" s="94"/>
      <c r="AE45" s="94"/>
      <c r="AF45" s="94"/>
      <c r="AG45" s="94"/>
      <c r="AH45" s="1930"/>
      <c r="AI45" s="1930"/>
      <c r="AJ45" s="1930"/>
      <c r="AK45" s="1930"/>
      <c r="AL45" s="1930"/>
      <c r="AM45" s="1930"/>
      <c r="AN45" s="1930"/>
      <c r="AO45" s="1930"/>
      <c r="AP45" s="1930"/>
      <c r="AQ45" s="1930"/>
      <c r="AR45" s="1930"/>
      <c r="AS45" s="1930"/>
      <c r="AT45" s="1930"/>
      <c r="AU45" s="1930"/>
      <c r="AV45" s="1930"/>
      <c r="AW45" s="1930"/>
      <c r="AX45" s="1930"/>
      <c r="AY45" s="1930"/>
      <c r="AZ45" s="1930"/>
      <c r="BA45" s="1930"/>
      <c r="BC45" s="584"/>
      <c r="BE45" s="585"/>
    </row>
    <row r="46" spans="2:57" hidden="1" outlineLevel="1" x14ac:dyDescent="0.25">
      <c r="B46" s="1437"/>
      <c r="C46" s="225"/>
      <c r="D46" s="4139"/>
      <c r="E46" s="4143"/>
      <c r="F46" s="4110" t="str">
        <f t="shared" si="11"/>
        <v>ECM Auto Fan ER2 - MF</v>
      </c>
      <c r="G46" s="4110"/>
      <c r="H46" s="4110"/>
      <c r="I46" s="599">
        <f t="shared" si="13"/>
        <v>0.16336956521739129</v>
      </c>
      <c r="J46" s="596" t="s">
        <v>285</v>
      </c>
      <c r="K46" s="600"/>
      <c r="L46" s="249"/>
      <c r="M46" s="249"/>
      <c r="N46" s="905"/>
      <c r="O46" s="249"/>
      <c r="P46" s="249"/>
      <c r="Q46" s="249"/>
      <c r="R46" s="249"/>
      <c r="V46" s="4139"/>
      <c r="W46" s="94">
        <v>0.16</v>
      </c>
      <c r="X46" s="94">
        <f t="shared" si="12"/>
        <v>0.16285529117674288</v>
      </c>
      <c r="Y46" s="598">
        <v>0.16336956521739129</v>
      </c>
      <c r="Z46" s="599">
        <v>0.16336956521739129</v>
      </c>
      <c r="AA46" s="599">
        <v>0.16336956521739129</v>
      </c>
      <c r="AB46" s="94">
        <v>0.16336956521739129</v>
      </c>
      <c r="AC46" s="94">
        <v>0.16336956521739129</v>
      </c>
      <c r="AD46" s="94"/>
      <c r="AE46" s="94"/>
      <c r="AF46" s="94"/>
      <c r="AG46" s="94"/>
      <c r="AH46" s="1930"/>
      <c r="AI46" s="1930"/>
      <c r="AJ46" s="1930"/>
      <c r="AK46" s="1930"/>
      <c r="AL46" s="1930"/>
      <c r="AM46" s="1930"/>
      <c r="AN46" s="1930"/>
      <c r="AO46" s="1930"/>
      <c r="AP46" s="1930"/>
      <c r="AQ46" s="1930"/>
      <c r="AR46" s="1930"/>
      <c r="AS46" s="1930"/>
      <c r="AT46" s="1930"/>
      <c r="AU46" s="1930"/>
      <c r="AV46" s="1930"/>
      <c r="AW46" s="1930"/>
      <c r="AX46" s="1930"/>
      <c r="AY46" s="1930"/>
      <c r="AZ46" s="1930"/>
      <c r="BA46" s="1930"/>
      <c r="BC46" s="584"/>
      <c r="BE46" s="585"/>
    </row>
    <row r="47" spans="2:57" hidden="1" outlineLevel="1" x14ac:dyDescent="0.25">
      <c r="B47" s="1437"/>
      <c r="C47" s="225"/>
      <c r="D47" s="4139"/>
      <c r="E47" s="4143"/>
      <c r="F47" s="4110" t="str">
        <f t="shared" si="11"/>
        <v>ECM Continuous Fan ROF- SF</v>
      </c>
      <c r="G47" s="4110"/>
      <c r="H47" s="4110"/>
      <c r="I47" s="599">
        <f t="shared" si="13"/>
        <v>0.16336956521739129</v>
      </c>
      <c r="J47" s="596" t="s">
        <v>285</v>
      </c>
      <c r="K47" s="600"/>
      <c r="L47" s="249"/>
      <c r="M47" s="249"/>
      <c r="N47" s="905"/>
      <c r="O47" s="249"/>
      <c r="P47" s="249"/>
      <c r="Q47" s="249"/>
      <c r="R47" s="249"/>
      <c r="V47" s="4139"/>
      <c r="W47" s="94">
        <v>0.16</v>
      </c>
      <c r="X47" s="94">
        <f t="shared" si="12"/>
        <v>0.16285529117674288</v>
      </c>
      <c r="Y47" s="598">
        <v>0.16336956521739129</v>
      </c>
      <c r="Z47" s="599">
        <v>0.16336956521739129</v>
      </c>
      <c r="AA47" s="599">
        <v>0.16336956521739129</v>
      </c>
      <c r="AB47" s="94">
        <v>0.16336956521739129</v>
      </c>
      <c r="AC47" s="94">
        <v>0.16336956521739129</v>
      </c>
      <c r="AD47" s="94"/>
      <c r="AE47" s="94"/>
      <c r="AF47" s="94"/>
      <c r="AG47" s="94"/>
      <c r="AH47" s="1930"/>
      <c r="AI47" s="1930"/>
      <c r="AJ47" s="1930"/>
      <c r="AK47" s="1930"/>
      <c r="AL47" s="1930"/>
      <c r="AM47" s="1930"/>
      <c r="AN47" s="1930"/>
      <c r="AO47" s="1930"/>
      <c r="AP47" s="1930"/>
      <c r="AQ47" s="1930"/>
      <c r="AR47" s="1930"/>
      <c r="AS47" s="1930"/>
      <c r="AT47" s="1930"/>
      <c r="AU47" s="1930"/>
      <c r="AV47" s="1930"/>
      <c r="AW47" s="1930"/>
      <c r="AX47" s="1930"/>
      <c r="AY47" s="1930"/>
      <c r="AZ47" s="1930"/>
      <c r="BA47" s="1930"/>
      <c r="BC47" s="584"/>
      <c r="BE47" s="585"/>
    </row>
    <row r="48" spans="2:57" hidden="1" outlineLevel="1" x14ac:dyDescent="0.25">
      <c r="B48" s="1437"/>
      <c r="C48" s="225"/>
      <c r="D48" s="4139"/>
      <c r="E48" s="4143"/>
      <c r="F48" s="4110" t="str">
        <f t="shared" si="11"/>
        <v>ECM Continuous Fan ROF- MF</v>
      </c>
      <c r="G48" s="4110"/>
      <c r="H48" s="4110"/>
      <c r="I48" s="599">
        <f t="shared" si="13"/>
        <v>0.16336956521739129</v>
      </c>
      <c r="J48" s="596" t="s">
        <v>285</v>
      </c>
      <c r="K48" s="600"/>
      <c r="L48" s="249"/>
      <c r="M48" s="249"/>
      <c r="N48" s="905"/>
      <c r="O48" s="249"/>
      <c r="P48" s="249"/>
      <c r="Q48" s="249"/>
      <c r="R48" s="249"/>
      <c r="V48" s="4139"/>
      <c r="W48" s="94">
        <v>0.16</v>
      </c>
      <c r="X48" s="94">
        <f t="shared" si="12"/>
        <v>0.16285529117674288</v>
      </c>
      <c r="Y48" s="598">
        <v>0.16336956521739129</v>
      </c>
      <c r="Z48" s="599">
        <v>0.16336956521739129</v>
      </c>
      <c r="AA48" s="599">
        <v>0.16336956521739129</v>
      </c>
      <c r="AB48" s="94">
        <v>0.16336956521739129</v>
      </c>
      <c r="AC48" s="94">
        <v>0.16336956521739129</v>
      </c>
      <c r="AD48" s="94"/>
      <c r="AE48" s="94"/>
      <c r="AF48" s="94"/>
      <c r="AG48" s="94"/>
      <c r="AH48" s="1930"/>
      <c r="AI48" s="1930"/>
      <c r="AJ48" s="1930"/>
      <c r="AK48" s="1930"/>
      <c r="AL48" s="1930"/>
      <c r="AM48" s="1930"/>
      <c r="AN48" s="1930"/>
      <c r="AO48" s="1930"/>
      <c r="AP48" s="1930"/>
      <c r="AQ48" s="1930"/>
      <c r="AR48" s="1930"/>
      <c r="AS48" s="1930"/>
      <c r="AT48" s="1930"/>
      <c r="AU48" s="1930"/>
      <c r="AV48" s="1930"/>
      <c r="AW48" s="1930"/>
      <c r="AX48" s="1930"/>
      <c r="AY48" s="1930"/>
      <c r="AZ48" s="1930"/>
      <c r="BA48" s="1930"/>
      <c r="BC48" s="584"/>
      <c r="BE48" s="585"/>
    </row>
    <row r="49" spans="2:57" hidden="1" outlineLevel="1" x14ac:dyDescent="0.25">
      <c r="B49" s="1437"/>
      <c r="C49" s="225"/>
      <c r="D49" s="4139"/>
      <c r="E49" s="4143"/>
      <c r="F49" s="4110" t="str">
        <f t="shared" si="11"/>
        <v>ECM Continuous Fan ER1 - SF</v>
      </c>
      <c r="G49" s="4110"/>
      <c r="H49" s="4110"/>
      <c r="I49" s="599">
        <f t="shared" si="13"/>
        <v>0.16336956521739129</v>
      </c>
      <c r="J49" s="596" t="s">
        <v>285</v>
      </c>
      <c r="K49" s="600"/>
      <c r="L49" s="249"/>
      <c r="M49" s="249"/>
      <c r="N49" s="905"/>
      <c r="O49" s="249"/>
      <c r="P49" s="249"/>
      <c r="Q49" s="249"/>
      <c r="R49" s="249"/>
      <c r="V49" s="4139"/>
      <c r="W49" s="94">
        <v>0.16</v>
      </c>
      <c r="X49" s="94">
        <f t="shared" si="12"/>
        <v>0.16285529117674288</v>
      </c>
      <c r="Y49" s="598">
        <v>0.16336956521739129</v>
      </c>
      <c r="Z49" s="599">
        <v>0.16336956521739129</v>
      </c>
      <c r="AA49" s="599">
        <v>0.16336956521739129</v>
      </c>
      <c r="AB49" s="94">
        <v>0.16336956521739129</v>
      </c>
      <c r="AC49" s="94">
        <v>0.16336956521739129</v>
      </c>
      <c r="AD49" s="94"/>
      <c r="AE49" s="94"/>
      <c r="AF49" s="94"/>
      <c r="AG49" s="94"/>
      <c r="AH49" s="1930"/>
      <c r="AI49" s="1930"/>
      <c r="AJ49" s="1930"/>
      <c r="AK49" s="1930"/>
      <c r="AL49" s="1930"/>
      <c r="AM49" s="1930"/>
      <c r="AN49" s="1930"/>
      <c r="AO49" s="1930"/>
      <c r="AP49" s="1930"/>
      <c r="AQ49" s="1930"/>
      <c r="AR49" s="1930"/>
      <c r="AS49" s="1930"/>
      <c r="AT49" s="1930"/>
      <c r="AU49" s="1930"/>
      <c r="AV49" s="1930"/>
      <c r="AW49" s="1930"/>
      <c r="AX49" s="1930"/>
      <c r="AY49" s="1930"/>
      <c r="AZ49" s="1930"/>
      <c r="BA49" s="1930"/>
      <c r="BC49" s="584"/>
      <c r="BE49" s="585"/>
    </row>
    <row r="50" spans="2:57" hidden="1" outlineLevel="1" x14ac:dyDescent="0.25">
      <c r="B50" s="1437"/>
      <c r="C50" s="225"/>
      <c r="D50" s="4139"/>
      <c r="E50" s="4144"/>
      <c r="F50" s="4110" t="str">
        <f t="shared" si="11"/>
        <v>ECM Continuous Fan ER2 - SF</v>
      </c>
      <c r="G50" s="4110"/>
      <c r="H50" s="4110"/>
      <c r="I50" s="599">
        <f t="shared" si="13"/>
        <v>0.16336956521739129</v>
      </c>
      <c r="J50" s="596" t="s">
        <v>285</v>
      </c>
      <c r="K50" s="601"/>
      <c r="L50" s="249"/>
      <c r="M50" s="249"/>
      <c r="N50" s="905"/>
      <c r="O50" s="249"/>
      <c r="P50" s="249"/>
      <c r="Q50" s="249"/>
      <c r="R50" s="249"/>
      <c r="V50" s="4139"/>
      <c r="W50" s="94">
        <v>0.16</v>
      </c>
      <c r="X50" s="94">
        <f t="shared" si="12"/>
        <v>0.16285529117674288</v>
      </c>
      <c r="Y50" s="598">
        <v>0.16336956521739129</v>
      </c>
      <c r="Z50" s="599">
        <v>0.16336956521739129</v>
      </c>
      <c r="AA50" s="599">
        <v>0.16336956521739129</v>
      </c>
      <c r="AB50" s="94">
        <v>0.16336956521739129</v>
      </c>
      <c r="AC50" s="94">
        <v>0.16336956521739129</v>
      </c>
      <c r="AD50" s="94"/>
      <c r="AE50" s="94"/>
      <c r="AF50" s="94"/>
      <c r="AG50" s="94"/>
      <c r="AH50" s="1930"/>
      <c r="AI50" s="1930"/>
      <c r="AJ50" s="1930"/>
      <c r="AK50" s="1930"/>
      <c r="AL50" s="1930"/>
      <c r="AM50" s="1930"/>
      <c r="AN50" s="1930"/>
      <c r="AO50" s="1930"/>
      <c r="AP50" s="1930"/>
      <c r="AQ50" s="1930"/>
      <c r="AR50" s="1930"/>
      <c r="AS50" s="1930"/>
      <c r="AT50" s="1930"/>
      <c r="AU50" s="1930"/>
      <c r="AV50" s="1930"/>
      <c r="AW50" s="1930"/>
      <c r="AX50" s="1930"/>
      <c r="AY50" s="1930"/>
      <c r="AZ50" s="1930"/>
      <c r="BA50" s="1930"/>
      <c r="BC50" s="584"/>
      <c r="BE50" s="585"/>
    </row>
    <row r="51" spans="2:57" hidden="1" outlineLevel="1" x14ac:dyDescent="0.25">
      <c r="B51" s="1437"/>
      <c r="C51" s="225"/>
      <c r="D51" s="4139"/>
      <c r="E51" s="4144"/>
      <c r="F51" s="4110" t="str">
        <f t="shared" si="11"/>
        <v>ECM Continuous Fan ER1 - MF</v>
      </c>
      <c r="G51" s="4110"/>
      <c r="H51" s="4110"/>
      <c r="I51" s="599">
        <f t="shared" si="13"/>
        <v>0.16336956521739129</v>
      </c>
      <c r="J51" s="596" t="s">
        <v>285</v>
      </c>
      <c r="K51" s="601"/>
      <c r="L51" s="249"/>
      <c r="M51" s="249"/>
      <c r="N51" s="905"/>
      <c r="O51" s="249"/>
      <c r="P51" s="249"/>
      <c r="Q51" s="249"/>
      <c r="R51" s="249"/>
      <c r="V51" s="4139"/>
      <c r="W51" s="94">
        <v>0.16</v>
      </c>
      <c r="X51" s="94">
        <f t="shared" si="12"/>
        <v>0.16285529117674288</v>
      </c>
      <c r="Y51" s="598">
        <v>0.16336956521739129</v>
      </c>
      <c r="Z51" s="599">
        <v>0.16336956521739129</v>
      </c>
      <c r="AA51" s="599">
        <v>0.16336956521739129</v>
      </c>
      <c r="AB51" s="94">
        <v>0.16336956521739129</v>
      </c>
      <c r="AC51" s="94">
        <v>0.16336956521739129</v>
      </c>
      <c r="AD51" s="94"/>
      <c r="AE51" s="94"/>
      <c r="AF51" s="94"/>
      <c r="AG51" s="94"/>
      <c r="AH51" s="1930"/>
      <c r="AI51" s="1930"/>
      <c r="AJ51" s="1930"/>
      <c r="AK51" s="1930"/>
      <c r="AL51" s="1930"/>
      <c r="AM51" s="1930"/>
      <c r="AN51" s="1930"/>
      <c r="AO51" s="1930"/>
      <c r="AP51" s="1930"/>
      <c r="AQ51" s="1930"/>
      <c r="AR51" s="1930"/>
      <c r="AS51" s="1930"/>
      <c r="AT51" s="1930"/>
      <c r="AU51" s="1930"/>
      <c r="AV51" s="1930"/>
      <c r="AW51" s="1930"/>
      <c r="AX51" s="1930"/>
      <c r="AY51" s="1930"/>
      <c r="AZ51" s="1930"/>
      <c r="BA51" s="1930"/>
      <c r="BC51" s="584"/>
      <c r="BE51" s="585"/>
    </row>
    <row r="52" spans="2:57" ht="15.75" hidden="1" outlineLevel="1" thickBot="1" x14ac:dyDescent="0.3">
      <c r="B52" s="1437"/>
      <c r="C52" s="225"/>
      <c r="D52" s="4140"/>
      <c r="E52" s="4145"/>
      <c r="F52" s="4119" t="str">
        <f t="shared" si="11"/>
        <v>ECM Continuous Fan ER2 - MF</v>
      </c>
      <c r="G52" s="4119"/>
      <c r="H52" s="4119"/>
      <c r="I52" s="599">
        <f t="shared" si="13"/>
        <v>0.16336956521739129</v>
      </c>
      <c r="J52" s="602" t="s">
        <v>285</v>
      </c>
      <c r="K52" s="603"/>
      <c r="L52" s="249"/>
      <c r="M52" s="249"/>
      <c r="N52" s="905"/>
      <c r="O52" s="249"/>
      <c r="P52" s="249"/>
      <c r="Q52" s="249"/>
      <c r="R52" s="249"/>
      <c r="V52" s="4140"/>
      <c r="W52" s="604">
        <v>0.16</v>
      </c>
      <c r="X52" s="604">
        <f t="shared" si="12"/>
        <v>0.16285529117674288</v>
      </c>
      <c r="Y52" s="605">
        <v>0.16336956521739129</v>
      </c>
      <c r="Z52" s="1760">
        <v>0.16336956521739129</v>
      </c>
      <c r="AA52" s="1760">
        <v>0.16336956521739129</v>
      </c>
      <c r="AB52" s="604">
        <v>0.16336956521739129</v>
      </c>
      <c r="AC52" s="604">
        <v>0.16336956521739129</v>
      </c>
      <c r="AD52" s="604"/>
      <c r="AE52" s="604"/>
      <c r="AF52" s="604"/>
      <c r="AG52" s="604"/>
      <c r="AH52" s="1930"/>
      <c r="AI52" s="1930"/>
      <c r="AJ52" s="1930"/>
      <c r="AK52" s="1930"/>
      <c r="AL52" s="1930"/>
      <c r="AM52" s="1930"/>
      <c r="AN52" s="1930"/>
      <c r="AO52" s="1930"/>
      <c r="AP52" s="1930"/>
      <c r="AQ52" s="1930"/>
      <c r="AR52" s="1930"/>
      <c r="AS52" s="1930"/>
      <c r="AT52" s="1930"/>
      <c r="AU52" s="1930"/>
      <c r="AV52" s="1930"/>
      <c r="AW52" s="1930"/>
      <c r="AX52" s="1930"/>
      <c r="AY52" s="1930"/>
      <c r="AZ52" s="1930"/>
      <c r="BA52" s="1930"/>
      <c r="BC52" s="584"/>
      <c r="BE52" s="585"/>
    </row>
    <row r="53" spans="2:57" ht="15.75" hidden="1" outlineLevel="1" thickBot="1" x14ac:dyDescent="0.3">
      <c r="B53" s="1437"/>
      <c r="C53" s="225"/>
      <c r="D53" s="1504" t="s">
        <v>831</v>
      </c>
      <c r="E53" s="3178" t="s">
        <v>832</v>
      </c>
      <c r="F53" s="4134" t="s">
        <v>135</v>
      </c>
      <c r="G53" s="4134"/>
      <c r="H53" s="4134"/>
      <c r="I53" s="1505">
        <v>400</v>
      </c>
      <c r="J53" s="1506" t="s">
        <v>833</v>
      </c>
      <c r="K53" s="606"/>
      <c r="L53" s="249"/>
      <c r="M53" s="249"/>
      <c r="N53" s="905"/>
      <c r="O53" s="249"/>
      <c r="P53" s="249"/>
      <c r="Q53" s="249"/>
      <c r="R53" s="249"/>
      <c r="V53" s="1504" t="s">
        <v>831</v>
      </c>
      <c r="W53" s="607"/>
      <c r="X53" s="607"/>
      <c r="Y53" s="608">
        <v>400</v>
      </c>
      <c r="Z53" s="608">
        <v>400</v>
      </c>
      <c r="AA53" s="608">
        <v>400</v>
      </c>
      <c r="AB53" s="2064">
        <v>400</v>
      </c>
      <c r="AC53" s="2064">
        <v>400</v>
      </c>
      <c r="AD53" s="609"/>
      <c r="AE53" s="609"/>
      <c r="AF53" s="609"/>
      <c r="AG53" s="609"/>
      <c r="AH53" s="1930"/>
      <c r="AI53" s="1930"/>
      <c r="AJ53" s="1930"/>
      <c r="AK53" s="1930"/>
      <c r="AL53" s="1930"/>
      <c r="AM53" s="1930"/>
      <c r="AN53" s="1930"/>
      <c r="AO53" s="1930"/>
      <c r="AP53" s="1930"/>
      <c r="AQ53" s="1930"/>
      <c r="AR53" s="1930"/>
      <c r="AS53" s="1930"/>
      <c r="AT53" s="1930"/>
      <c r="AU53" s="1930"/>
      <c r="AV53" s="1930"/>
      <c r="AW53" s="1930"/>
      <c r="AX53" s="1930"/>
      <c r="AY53" s="1930"/>
      <c r="AZ53" s="1930"/>
      <c r="BA53" s="1930"/>
      <c r="BC53" s="584"/>
      <c r="BE53" s="585"/>
    </row>
    <row r="54" spans="2:57" ht="18" hidden="1" outlineLevel="1" x14ac:dyDescent="0.25">
      <c r="B54" s="1437"/>
      <c r="C54" s="225"/>
      <c r="D54" s="610" t="s">
        <v>834</v>
      </c>
      <c r="E54" s="3178" t="s">
        <v>835</v>
      </c>
      <c r="F54" s="4134" t="s">
        <v>135</v>
      </c>
      <c r="G54" s="4134"/>
      <c r="H54" s="4134"/>
      <c r="I54" s="1507">
        <v>2009</v>
      </c>
      <c r="J54" s="591" t="s">
        <v>285</v>
      </c>
      <c r="K54" s="592"/>
      <c r="L54" s="249"/>
      <c r="M54" s="249"/>
      <c r="N54" s="905"/>
      <c r="O54" s="249"/>
      <c r="P54" s="249"/>
      <c r="Q54" s="249"/>
      <c r="R54" s="249"/>
      <c r="V54" s="610" t="s">
        <v>834</v>
      </c>
      <c r="W54" s="611">
        <v>2009</v>
      </c>
      <c r="X54" s="611">
        <v>2009</v>
      </c>
      <c r="Y54" s="612">
        <v>2009</v>
      </c>
      <c r="Z54" s="1507">
        <v>2009</v>
      </c>
      <c r="AA54" s="1507">
        <v>2009</v>
      </c>
      <c r="AB54" s="611">
        <v>2009</v>
      </c>
      <c r="AC54" s="611">
        <v>2009</v>
      </c>
      <c r="AD54" s="611"/>
      <c r="AE54" s="611"/>
      <c r="AF54" s="611"/>
      <c r="AG54" s="611"/>
      <c r="AH54" s="1930"/>
      <c r="AI54" s="1930"/>
      <c r="AJ54" s="1930"/>
      <c r="AK54" s="1930"/>
      <c r="AL54" s="1930"/>
      <c r="AM54" s="1930"/>
      <c r="AN54" s="1930"/>
      <c r="AO54" s="1930"/>
      <c r="AP54" s="1930"/>
      <c r="AQ54" s="1930"/>
      <c r="AR54" s="1930"/>
      <c r="AS54" s="1930"/>
      <c r="AT54" s="1930"/>
      <c r="AU54" s="1930"/>
      <c r="AV54" s="1930"/>
      <c r="AW54" s="1930"/>
      <c r="AX54" s="1930"/>
      <c r="AY54" s="1930"/>
      <c r="AZ54" s="1930"/>
      <c r="BA54" s="1930"/>
      <c r="BC54" s="584"/>
      <c r="BE54" s="585"/>
    </row>
    <row r="55" spans="2:57" ht="18.75" hidden="1" outlineLevel="1" thickBot="1" x14ac:dyDescent="0.3">
      <c r="B55" s="1437"/>
      <c r="C55" s="225"/>
      <c r="D55" s="613" t="s">
        <v>836</v>
      </c>
      <c r="E55" s="3180" t="s">
        <v>837</v>
      </c>
      <c r="F55" s="4148" t="s">
        <v>135</v>
      </c>
      <c r="G55" s="4148"/>
      <c r="H55" s="4148"/>
      <c r="I55" s="1508">
        <v>2545.25</v>
      </c>
      <c r="J55" s="1506" t="s">
        <v>838</v>
      </c>
      <c r="K55" s="603"/>
      <c r="L55" s="249"/>
      <c r="M55" s="249"/>
      <c r="N55" s="905"/>
      <c r="O55" s="249"/>
      <c r="P55" s="249"/>
      <c r="Q55" s="249"/>
      <c r="R55" s="249"/>
      <c r="V55" s="613" t="s">
        <v>836</v>
      </c>
      <c r="W55" s="614">
        <v>2545.25</v>
      </c>
      <c r="X55" s="614">
        <v>2545.25</v>
      </c>
      <c r="Y55" s="615">
        <v>2545.25</v>
      </c>
      <c r="Z55" s="1508">
        <v>2545.25</v>
      </c>
      <c r="AA55" s="1508">
        <v>2545.25</v>
      </c>
      <c r="AB55" s="614">
        <v>2545.25</v>
      </c>
      <c r="AC55" s="614">
        <v>2545.25</v>
      </c>
      <c r="AD55" s="614"/>
      <c r="AE55" s="614"/>
      <c r="AF55" s="614"/>
      <c r="AG55" s="614"/>
      <c r="AH55" s="1930"/>
      <c r="AI55" s="1930"/>
      <c r="AJ55" s="1930"/>
      <c r="AK55" s="1930"/>
      <c r="AL55" s="1930"/>
      <c r="AM55" s="1930"/>
      <c r="AN55" s="1930"/>
      <c r="AO55" s="1930"/>
      <c r="AP55" s="1930"/>
      <c r="AQ55" s="1930"/>
      <c r="AR55" s="1930"/>
      <c r="AS55" s="1930"/>
      <c r="AT55" s="1930"/>
      <c r="AU55" s="1930"/>
      <c r="AV55" s="1930"/>
      <c r="AW55" s="1930"/>
      <c r="AX55" s="1930"/>
      <c r="AY55" s="1930"/>
      <c r="AZ55" s="1930"/>
      <c r="BA55" s="1930"/>
      <c r="BC55" s="584"/>
      <c r="BE55" s="585"/>
    </row>
    <row r="56" spans="2:57" ht="15" hidden="1" customHeight="1" outlineLevel="1" x14ac:dyDescent="0.25">
      <c r="B56" s="1437"/>
      <c r="C56" s="225"/>
      <c r="D56" s="4138" t="s">
        <v>839</v>
      </c>
      <c r="E56" s="4141" t="s">
        <v>840</v>
      </c>
      <c r="F56" s="4105" t="str">
        <f t="shared" ref="F56:F67" si="14">E7</f>
        <v>ECM Auto Fan ROF-SF</v>
      </c>
      <c r="G56" s="4105"/>
      <c r="H56" s="4105"/>
      <c r="I56" s="616">
        <v>0.80141304347826092</v>
      </c>
      <c r="J56" s="591" t="s">
        <v>285</v>
      </c>
      <c r="K56" s="592"/>
      <c r="L56" s="249"/>
      <c r="M56" s="249"/>
      <c r="N56" s="905"/>
      <c r="O56" s="249"/>
      <c r="P56" s="249"/>
      <c r="Q56" s="249"/>
      <c r="R56" s="249"/>
      <c r="V56" s="4138" t="s">
        <v>839</v>
      </c>
      <c r="W56" s="593">
        <v>0.97</v>
      </c>
      <c r="X56" s="593">
        <f>8493/10801</f>
        <v>0.78631608184427371</v>
      </c>
      <c r="Y56" s="594">
        <v>0.80141304347826092</v>
      </c>
      <c r="Z56" s="590">
        <v>0.80141304347826092</v>
      </c>
      <c r="AA56" s="590">
        <v>0.80141304347826092</v>
      </c>
      <c r="AB56" s="593">
        <v>0.80141304347826092</v>
      </c>
      <c r="AC56" s="593">
        <v>0.80141304347826092</v>
      </c>
      <c r="AD56" s="593"/>
      <c r="AE56" s="593"/>
      <c r="AF56" s="593"/>
      <c r="AG56" s="593"/>
      <c r="AH56" s="1930"/>
      <c r="AI56" s="1930"/>
      <c r="AJ56" s="1930"/>
      <c r="AK56" s="1930"/>
      <c r="AL56" s="1930"/>
      <c r="AM56" s="1930"/>
      <c r="AN56" s="1930"/>
      <c r="AO56" s="1930"/>
      <c r="AP56" s="1930"/>
      <c r="AQ56" s="1930"/>
      <c r="AR56" s="1930"/>
      <c r="AS56" s="1930"/>
      <c r="AT56" s="1930"/>
      <c r="AU56" s="1930"/>
      <c r="AV56" s="1930"/>
      <c r="AW56" s="1930"/>
      <c r="AX56" s="1930"/>
      <c r="AY56" s="1930"/>
      <c r="AZ56" s="1930"/>
      <c r="BA56" s="1930"/>
      <c r="BC56" s="584"/>
      <c r="BE56" s="585"/>
    </row>
    <row r="57" spans="2:57" hidden="1" outlineLevel="1" x14ac:dyDescent="0.25">
      <c r="B57" s="1437"/>
      <c r="C57" s="225"/>
      <c r="D57" s="4139"/>
      <c r="E57" s="4142"/>
      <c r="F57" s="4110" t="str">
        <f t="shared" si="14"/>
        <v>ECM Auto Fan ROF-MF</v>
      </c>
      <c r="G57" s="4110"/>
      <c r="H57" s="4110"/>
      <c r="I57" s="595">
        <f>I56</f>
        <v>0.80141304347826092</v>
      </c>
      <c r="J57" s="596" t="s">
        <v>285</v>
      </c>
      <c r="K57" s="597"/>
      <c r="L57" s="249"/>
      <c r="M57" s="249"/>
      <c r="N57" s="905"/>
      <c r="O57" s="249"/>
      <c r="P57" s="249"/>
      <c r="Q57" s="249"/>
      <c r="R57" s="249"/>
      <c r="V57" s="4139"/>
      <c r="W57" s="94">
        <v>0.97</v>
      </c>
      <c r="X57" s="94">
        <f t="shared" ref="X57:X67" si="15">8493/10801</f>
        <v>0.78631608184427371</v>
      </c>
      <c r="Y57" s="598">
        <v>0.80141304347826092</v>
      </c>
      <c r="Z57" s="599">
        <v>0.80141304347826092</v>
      </c>
      <c r="AA57" s="599">
        <v>0.80141304347826092</v>
      </c>
      <c r="AB57" s="94">
        <v>0.80141304347826092</v>
      </c>
      <c r="AC57" s="94">
        <v>0.80141304347826092</v>
      </c>
      <c r="AD57" s="94"/>
      <c r="AE57" s="94"/>
      <c r="AF57" s="94"/>
      <c r="AG57" s="94"/>
      <c r="AH57" s="1930"/>
      <c r="AI57" s="1930"/>
      <c r="AJ57" s="1930"/>
      <c r="AK57" s="1930"/>
      <c r="AL57" s="1930"/>
      <c r="AM57" s="1930"/>
      <c r="AN57" s="1930"/>
      <c r="AO57" s="1930"/>
      <c r="AP57" s="1930"/>
      <c r="AQ57" s="1930"/>
      <c r="AR57" s="1930"/>
      <c r="AS57" s="1930"/>
      <c r="AT57" s="1930"/>
      <c r="AU57" s="1930"/>
      <c r="AV57" s="1930"/>
      <c r="AW57" s="1930"/>
      <c r="AX57" s="1930"/>
      <c r="AY57" s="1930"/>
      <c r="AZ57" s="1930"/>
      <c r="BA57" s="1930"/>
      <c r="BC57" s="584"/>
      <c r="BE57" s="585"/>
    </row>
    <row r="58" spans="2:57" hidden="1" outlineLevel="1" x14ac:dyDescent="0.25">
      <c r="B58" s="1437"/>
      <c r="C58" s="225"/>
      <c r="D58" s="4139"/>
      <c r="E58" s="4143"/>
      <c r="F58" s="4110" t="str">
        <f t="shared" si="14"/>
        <v>ECM Auto Fan ER1 - SF</v>
      </c>
      <c r="G58" s="4110"/>
      <c r="H58" s="4110"/>
      <c r="I58" s="599">
        <f t="shared" ref="I58:I67" si="16">I57</f>
        <v>0.80141304347826092</v>
      </c>
      <c r="J58" s="596" t="s">
        <v>285</v>
      </c>
      <c r="K58" s="600"/>
      <c r="L58" s="249"/>
      <c r="M58" s="249"/>
      <c r="N58" s="905"/>
      <c r="O58" s="249"/>
      <c r="P58" s="249"/>
      <c r="Q58" s="249"/>
      <c r="R58" s="249"/>
      <c r="V58" s="4139"/>
      <c r="W58" s="94">
        <v>0.97</v>
      </c>
      <c r="X58" s="94">
        <f t="shared" si="15"/>
        <v>0.78631608184427371</v>
      </c>
      <c r="Y58" s="598">
        <v>0.80141304347826092</v>
      </c>
      <c r="Z58" s="599">
        <v>0.80141304347826092</v>
      </c>
      <c r="AA58" s="599">
        <v>0.80141304347826092</v>
      </c>
      <c r="AB58" s="94">
        <v>0.80141304347826092</v>
      </c>
      <c r="AC58" s="94">
        <v>0.80141304347826092</v>
      </c>
      <c r="AD58" s="94"/>
      <c r="AE58" s="94"/>
      <c r="AF58" s="94"/>
      <c r="AG58" s="94"/>
      <c r="AH58" s="1930"/>
      <c r="AI58" s="1930"/>
      <c r="AJ58" s="1930"/>
      <c r="AK58" s="1930"/>
      <c r="AL58" s="1930"/>
      <c r="AM58" s="1930"/>
      <c r="AN58" s="1930"/>
      <c r="AO58" s="1930"/>
      <c r="AP58" s="1930"/>
      <c r="AQ58" s="1930"/>
      <c r="AR58" s="1930"/>
      <c r="AS58" s="1930"/>
      <c r="AT58" s="1930"/>
      <c r="AU58" s="1930"/>
      <c r="AV58" s="1930"/>
      <c r="AW58" s="1930"/>
      <c r="AX58" s="1930"/>
      <c r="AY58" s="1930"/>
      <c r="AZ58" s="1930"/>
      <c r="BA58" s="1930"/>
      <c r="BC58" s="584"/>
      <c r="BE58" s="585"/>
    </row>
    <row r="59" spans="2:57" ht="15" hidden="1" customHeight="1" outlineLevel="1" x14ac:dyDescent="0.25">
      <c r="B59" s="1437"/>
      <c r="C59" s="225"/>
      <c r="D59" s="4139"/>
      <c r="E59" s="4143"/>
      <c r="F59" s="4110" t="str">
        <f t="shared" si="14"/>
        <v>ECM Auto Fan ER2 - SF</v>
      </c>
      <c r="G59" s="4110"/>
      <c r="H59" s="4110"/>
      <c r="I59" s="599">
        <f t="shared" si="16"/>
        <v>0.80141304347826092</v>
      </c>
      <c r="J59" s="596" t="s">
        <v>285</v>
      </c>
      <c r="K59" s="600"/>
      <c r="L59" s="1027"/>
      <c r="M59" s="249"/>
      <c r="N59" s="905"/>
      <c r="O59" s="249"/>
      <c r="P59" s="249"/>
      <c r="Q59" s="249"/>
      <c r="R59" s="249"/>
      <c r="V59" s="4139"/>
      <c r="W59" s="94">
        <v>0.97</v>
      </c>
      <c r="X59" s="94">
        <f t="shared" si="15"/>
        <v>0.78631608184427371</v>
      </c>
      <c r="Y59" s="598">
        <v>0.80141304347826092</v>
      </c>
      <c r="Z59" s="599">
        <v>0.80141304347826092</v>
      </c>
      <c r="AA59" s="599">
        <v>0.80141304347826092</v>
      </c>
      <c r="AB59" s="94">
        <v>0.80141304347826092</v>
      </c>
      <c r="AC59" s="94">
        <v>0.80141304347826092</v>
      </c>
      <c r="AD59" s="94"/>
      <c r="AE59" s="94"/>
      <c r="AF59" s="94"/>
      <c r="AG59" s="94"/>
      <c r="AH59" s="1930"/>
      <c r="AI59" s="1930"/>
      <c r="AJ59" s="1930"/>
      <c r="AK59" s="1930"/>
      <c r="AL59" s="1930"/>
      <c r="AM59" s="1930"/>
      <c r="AN59" s="1930"/>
      <c r="AO59" s="1930"/>
      <c r="AP59" s="1930"/>
      <c r="AQ59" s="1930"/>
      <c r="AR59" s="1930"/>
      <c r="AS59" s="1930"/>
      <c r="AT59" s="1930"/>
      <c r="AU59" s="1930"/>
      <c r="AV59" s="1930"/>
      <c r="AW59" s="1930"/>
      <c r="AX59" s="1930"/>
      <c r="AY59" s="1930"/>
      <c r="AZ59" s="1930"/>
      <c r="BA59" s="1930"/>
      <c r="BC59" s="584"/>
      <c r="BE59" s="585"/>
    </row>
    <row r="60" spans="2:57" hidden="1" outlineLevel="1" x14ac:dyDescent="0.25">
      <c r="B60" s="1437"/>
      <c r="C60" s="225"/>
      <c r="D60" s="4139"/>
      <c r="E60" s="4143"/>
      <c r="F60" s="4110" t="str">
        <f t="shared" si="14"/>
        <v>ECM Auto Fan ER1 - MF</v>
      </c>
      <c r="G60" s="4110"/>
      <c r="H60" s="4110"/>
      <c r="I60" s="599">
        <f t="shared" si="16"/>
        <v>0.80141304347826092</v>
      </c>
      <c r="J60" s="596" t="s">
        <v>285</v>
      </c>
      <c r="K60" s="600"/>
      <c r="L60" s="1027"/>
      <c r="M60" s="249"/>
      <c r="N60" s="905"/>
      <c r="O60" s="249"/>
      <c r="P60" s="249"/>
      <c r="Q60" s="249"/>
      <c r="R60" s="249"/>
      <c r="V60" s="4139"/>
      <c r="W60" s="94">
        <v>0.97</v>
      </c>
      <c r="X60" s="94">
        <f t="shared" si="15"/>
        <v>0.78631608184427371</v>
      </c>
      <c r="Y60" s="598">
        <v>0.80141304347826092</v>
      </c>
      <c r="Z60" s="599">
        <v>0.80141304347826092</v>
      </c>
      <c r="AA60" s="599">
        <v>0.80141304347826092</v>
      </c>
      <c r="AB60" s="94">
        <v>0.80141304347826092</v>
      </c>
      <c r="AC60" s="94">
        <v>0.80141304347826092</v>
      </c>
      <c r="AD60" s="94"/>
      <c r="AE60" s="94"/>
      <c r="AF60" s="94"/>
      <c r="AG60" s="94"/>
      <c r="AH60" s="1930"/>
      <c r="AI60" s="1930"/>
      <c r="AJ60" s="1930"/>
      <c r="AK60" s="1930"/>
      <c r="AL60" s="1930"/>
      <c r="AM60" s="1930"/>
      <c r="AN60" s="1930"/>
      <c r="AO60" s="1930"/>
      <c r="AP60" s="1930"/>
      <c r="AQ60" s="1930"/>
      <c r="AR60" s="1930"/>
      <c r="AS60" s="1930"/>
      <c r="AT60" s="1930"/>
      <c r="AU60" s="1930"/>
      <c r="AV60" s="1930"/>
      <c r="AW60" s="1930"/>
      <c r="AX60" s="1930"/>
      <c r="AY60" s="1930"/>
      <c r="AZ60" s="1930"/>
      <c r="BA60" s="1930"/>
      <c r="BC60" s="584"/>
      <c r="BE60" s="585"/>
    </row>
    <row r="61" spans="2:57" hidden="1" outlineLevel="1" x14ac:dyDescent="0.25">
      <c r="B61" s="1437"/>
      <c r="C61" s="225"/>
      <c r="D61" s="4139"/>
      <c r="E61" s="4143"/>
      <c r="F61" s="4110" t="str">
        <f t="shared" si="14"/>
        <v>ECM Auto Fan ER2 - MF</v>
      </c>
      <c r="G61" s="4110"/>
      <c r="H61" s="4110"/>
      <c r="I61" s="599">
        <f t="shared" si="16"/>
        <v>0.80141304347826092</v>
      </c>
      <c r="J61" s="596" t="s">
        <v>285</v>
      </c>
      <c r="K61" s="600"/>
      <c r="L61" s="1027"/>
      <c r="M61" s="249"/>
      <c r="N61" s="905"/>
      <c r="O61" s="249"/>
      <c r="P61" s="249"/>
      <c r="Q61" s="249"/>
      <c r="R61" s="905"/>
      <c r="V61" s="4139"/>
      <c r="W61" s="94">
        <v>0.97</v>
      </c>
      <c r="X61" s="94">
        <f t="shared" si="15"/>
        <v>0.78631608184427371</v>
      </c>
      <c r="Y61" s="598">
        <v>0.80141304347826092</v>
      </c>
      <c r="Z61" s="599">
        <v>0.80141304347826092</v>
      </c>
      <c r="AA61" s="599">
        <v>0.80141304347826092</v>
      </c>
      <c r="AB61" s="94">
        <v>0.80141304347826092</v>
      </c>
      <c r="AC61" s="94">
        <v>0.80141304347826092</v>
      </c>
      <c r="AD61" s="94"/>
      <c r="AE61" s="94"/>
      <c r="AF61" s="94"/>
      <c r="AG61" s="94"/>
      <c r="AH61" s="1930"/>
      <c r="AI61" s="1930"/>
      <c r="AJ61" s="1930"/>
      <c r="AK61" s="1930"/>
      <c r="AL61" s="1930"/>
      <c r="AM61" s="1930"/>
      <c r="AN61" s="1930"/>
      <c r="AO61" s="1930"/>
      <c r="AP61" s="1930"/>
      <c r="AQ61" s="1930"/>
      <c r="AR61" s="1930"/>
      <c r="AS61" s="1930"/>
      <c r="AT61" s="1930"/>
      <c r="AU61" s="1930"/>
      <c r="AV61" s="1930"/>
      <c r="AW61" s="1930"/>
      <c r="AX61" s="1930"/>
      <c r="AY61" s="1930"/>
      <c r="AZ61" s="1930"/>
      <c r="BA61" s="1930"/>
      <c r="BC61" s="584"/>
      <c r="BE61" s="585"/>
    </row>
    <row r="62" spans="2:57" hidden="1" outlineLevel="1" x14ac:dyDescent="0.25">
      <c r="B62" s="1437"/>
      <c r="C62" s="225"/>
      <c r="D62" s="4139"/>
      <c r="E62" s="4143"/>
      <c r="F62" s="4110" t="str">
        <f t="shared" si="14"/>
        <v>ECM Continuous Fan ROF- SF</v>
      </c>
      <c r="G62" s="4110"/>
      <c r="H62" s="4110"/>
      <c r="I62" s="599">
        <f t="shared" si="16"/>
        <v>0.80141304347826092</v>
      </c>
      <c r="J62" s="596" t="s">
        <v>285</v>
      </c>
      <c r="K62" s="600"/>
      <c r="L62" s="1027"/>
      <c r="M62" s="249"/>
      <c r="N62" s="905"/>
      <c r="O62" s="249"/>
      <c r="P62" s="249"/>
      <c r="Q62" s="249"/>
      <c r="R62" s="905"/>
      <c r="V62" s="4139"/>
      <c r="W62" s="94">
        <v>0.97</v>
      </c>
      <c r="X62" s="94">
        <f t="shared" si="15"/>
        <v>0.78631608184427371</v>
      </c>
      <c r="Y62" s="598">
        <v>0.80141304347826092</v>
      </c>
      <c r="Z62" s="599">
        <v>0.80141304347826092</v>
      </c>
      <c r="AA62" s="599">
        <v>0.80141304347826092</v>
      </c>
      <c r="AB62" s="94">
        <v>0.80141304347826092</v>
      </c>
      <c r="AC62" s="94">
        <v>0.80141304347826092</v>
      </c>
      <c r="AD62" s="94"/>
      <c r="AE62" s="94"/>
      <c r="AF62" s="94"/>
      <c r="AG62" s="94"/>
      <c r="AH62" s="1930"/>
      <c r="AI62" s="1930"/>
      <c r="AJ62" s="1930"/>
      <c r="AK62" s="1930"/>
      <c r="AL62" s="1930"/>
      <c r="AM62" s="1930"/>
      <c r="AN62" s="1930"/>
      <c r="AO62" s="1930"/>
      <c r="AP62" s="1930"/>
      <c r="AQ62" s="1930"/>
      <c r="AR62" s="1930"/>
      <c r="AS62" s="1930"/>
      <c r="AT62" s="1930"/>
      <c r="AU62" s="1930"/>
      <c r="AV62" s="1930"/>
      <c r="AW62" s="1930"/>
      <c r="AX62" s="1930"/>
      <c r="AY62" s="1930"/>
      <c r="AZ62" s="1930"/>
      <c r="BA62" s="1930"/>
      <c r="BC62" s="584"/>
      <c r="BE62" s="585"/>
    </row>
    <row r="63" spans="2:57" hidden="1" outlineLevel="1" x14ac:dyDescent="0.25">
      <c r="B63" s="1437"/>
      <c r="C63" s="225"/>
      <c r="D63" s="4139"/>
      <c r="E63" s="4143"/>
      <c r="F63" s="4110" t="str">
        <f t="shared" si="14"/>
        <v>ECM Continuous Fan ROF- MF</v>
      </c>
      <c r="G63" s="4110"/>
      <c r="H63" s="4110"/>
      <c r="I63" s="599">
        <f t="shared" si="16"/>
        <v>0.80141304347826092</v>
      </c>
      <c r="J63" s="596" t="s">
        <v>285</v>
      </c>
      <c r="K63" s="600"/>
      <c r="L63" s="1027"/>
      <c r="M63" s="249"/>
      <c r="N63" s="905"/>
      <c r="O63" s="249"/>
      <c r="P63" s="249"/>
      <c r="Q63" s="249"/>
      <c r="R63" s="249"/>
      <c r="V63" s="4139"/>
      <c r="W63" s="94">
        <v>0.97</v>
      </c>
      <c r="X63" s="94">
        <f t="shared" si="15"/>
        <v>0.78631608184427371</v>
      </c>
      <c r="Y63" s="598">
        <v>0.80141304347826092</v>
      </c>
      <c r="Z63" s="599">
        <v>0.80141304347826092</v>
      </c>
      <c r="AA63" s="599">
        <v>0.80141304347826092</v>
      </c>
      <c r="AB63" s="94">
        <v>0.80141304347826092</v>
      </c>
      <c r="AC63" s="94">
        <v>0.80141304347826092</v>
      </c>
      <c r="AD63" s="94"/>
      <c r="AE63" s="94"/>
      <c r="AF63" s="94"/>
      <c r="AG63" s="94"/>
      <c r="AH63" s="1930"/>
      <c r="AI63" s="1930"/>
      <c r="AJ63" s="1930"/>
      <c r="AK63" s="1930"/>
      <c r="AL63" s="1930"/>
      <c r="AM63" s="1930"/>
      <c r="AN63" s="1930"/>
      <c r="AO63" s="1930"/>
      <c r="AP63" s="1930"/>
      <c r="AQ63" s="1930"/>
      <c r="AR63" s="1930"/>
      <c r="AS63" s="1930"/>
      <c r="AT63" s="1930"/>
      <c r="AU63" s="1930"/>
      <c r="AV63" s="1930"/>
      <c r="AW63" s="1930"/>
      <c r="AX63" s="1930"/>
      <c r="AY63" s="1930"/>
      <c r="AZ63" s="1930"/>
      <c r="BA63" s="1930"/>
      <c r="BC63" s="584"/>
      <c r="BE63" s="585"/>
    </row>
    <row r="64" spans="2:57" hidden="1" outlineLevel="1" x14ac:dyDescent="0.25">
      <c r="B64" s="1437"/>
      <c r="C64" s="225"/>
      <c r="D64" s="4139"/>
      <c r="E64" s="4143"/>
      <c r="F64" s="4110" t="str">
        <f t="shared" si="14"/>
        <v>ECM Continuous Fan ER1 - SF</v>
      </c>
      <c r="G64" s="4110"/>
      <c r="H64" s="4110"/>
      <c r="I64" s="599">
        <f t="shared" si="16"/>
        <v>0.80141304347826092</v>
      </c>
      <c r="J64" s="596" t="s">
        <v>285</v>
      </c>
      <c r="K64" s="600"/>
      <c r="L64" s="1027"/>
      <c r="M64" s="249"/>
      <c r="N64" s="905"/>
      <c r="O64" s="249"/>
      <c r="P64" s="249"/>
      <c r="Q64" s="249"/>
      <c r="R64" s="249"/>
      <c r="V64" s="4139"/>
      <c r="W64" s="94">
        <v>0.97</v>
      </c>
      <c r="X64" s="94">
        <f t="shared" si="15"/>
        <v>0.78631608184427371</v>
      </c>
      <c r="Y64" s="598">
        <v>0.80141304347826092</v>
      </c>
      <c r="Z64" s="599">
        <v>0.80141304347826092</v>
      </c>
      <c r="AA64" s="599">
        <v>0.80141304347826092</v>
      </c>
      <c r="AB64" s="94">
        <v>0.80141304347826092</v>
      </c>
      <c r="AC64" s="94">
        <v>0.80141304347826092</v>
      </c>
      <c r="AD64" s="94"/>
      <c r="AE64" s="94"/>
      <c r="AF64" s="94"/>
      <c r="AG64" s="94"/>
      <c r="AH64" s="1930"/>
      <c r="AI64" s="1930"/>
      <c r="AJ64" s="1930"/>
      <c r="AK64" s="1930"/>
      <c r="AL64" s="1930"/>
      <c r="AM64" s="1930"/>
      <c r="AN64" s="1930"/>
      <c r="AO64" s="1930"/>
      <c r="AP64" s="1930"/>
      <c r="AQ64" s="1930"/>
      <c r="AR64" s="1930"/>
      <c r="AS64" s="1930"/>
      <c r="AT64" s="1930"/>
      <c r="AU64" s="1930"/>
      <c r="AV64" s="1930"/>
      <c r="AW64" s="1930"/>
      <c r="AX64" s="1930"/>
      <c r="AY64" s="1930"/>
      <c r="AZ64" s="1930"/>
      <c r="BA64" s="1930"/>
      <c r="BC64" s="584"/>
      <c r="BE64" s="585"/>
    </row>
    <row r="65" spans="1:57" ht="18" hidden="1" customHeight="1" outlineLevel="1" x14ac:dyDescent="0.25">
      <c r="B65" s="1437"/>
      <c r="C65" s="253"/>
      <c r="D65" s="4139"/>
      <c r="E65" s="4144"/>
      <c r="F65" s="4110" t="str">
        <f t="shared" si="14"/>
        <v>ECM Continuous Fan ER2 - SF</v>
      </c>
      <c r="G65" s="4110"/>
      <c r="H65" s="4110"/>
      <c r="I65" s="599">
        <f t="shared" si="16"/>
        <v>0.80141304347826092</v>
      </c>
      <c r="J65" s="596" t="s">
        <v>285</v>
      </c>
      <c r="K65" s="601"/>
      <c r="L65" s="1027"/>
      <c r="M65" s="249"/>
      <c r="N65" s="905"/>
      <c r="O65" s="249"/>
      <c r="P65" s="249"/>
      <c r="Q65" s="249"/>
      <c r="R65" s="249"/>
      <c r="V65" s="4139"/>
      <c r="W65" s="94">
        <v>0.97</v>
      </c>
      <c r="X65" s="94">
        <f t="shared" si="15"/>
        <v>0.78631608184427371</v>
      </c>
      <c r="Y65" s="598">
        <v>0.80141304347826092</v>
      </c>
      <c r="Z65" s="599">
        <v>0.80141304347826092</v>
      </c>
      <c r="AA65" s="599">
        <v>0.80141304347826092</v>
      </c>
      <c r="AB65" s="94">
        <v>0.80141304347826092</v>
      </c>
      <c r="AC65" s="94">
        <v>0.80141304347826092</v>
      </c>
      <c r="AD65" s="94"/>
      <c r="AE65" s="94"/>
      <c r="AF65" s="94"/>
      <c r="AG65" s="94"/>
      <c r="AH65" s="1930"/>
      <c r="AI65" s="1930"/>
      <c r="AJ65" s="1930"/>
      <c r="AK65" s="1930"/>
      <c r="AL65" s="1930"/>
      <c r="AM65" s="1930"/>
      <c r="AN65" s="1930"/>
      <c r="AO65" s="1930"/>
      <c r="AP65" s="1930"/>
      <c r="AQ65" s="1930"/>
      <c r="AR65" s="1930"/>
      <c r="AS65" s="1930"/>
      <c r="AT65" s="1930"/>
      <c r="AU65" s="1930"/>
      <c r="AV65" s="1930"/>
      <c r="AW65" s="1930"/>
      <c r="AX65" s="1930"/>
      <c r="AY65" s="1930"/>
      <c r="AZ65" s="1930"/>
      <c r="BA65" s="1930"/>
      <c r="BC65" s="584"/>
      <c r="BE65" s="585"/>
    </row>
    <row r="66" spans="1:57" ht="18" hidden="1" customHeight="1" outlineLevel="1" x14ac:dyDescent="0.25">
      <c r="B66" s="1437"/>
      <c r="C66" s="253"/>
      <c r="D66" s="4139"/>
      <c r="E66" s="4144"/>
      <c r="F66" s="4110" t="str">
        <f t="shared" si="14"/>
        <v>ECM Continuous Fan ER1 - MF</v>
      </c>
      <c r="G66" s="4110"/>
      <c r="H66" s="4110"/>
      <c r="I66" s="599">
        <f t="shared" si="16"/>
        <v>0.80141304347826092</v>
      </c>
      <c r="J66" s="596" t="s">
        <v>285</v>
      </c>
      <c r="K66" s="601"/>
      <c r="L66" s="1027"/>
      <c r="M66" s="249"/>
      <c r="N66" s="905"/>
      <c r="O66" s="249"/>
      <c r="P66" s="249"/>
      <c r="Q66" s="249"/>
      <c r="R66" s="249"/>
      <c r="V66" s="4139"/>
      <c r="W66" s="94">
        <v>0.97</v>
      </c>
      <c r="X66" s="94">
        <f t="shared" si="15"/>
        <v>0.78631608184427371</v>
      </c>
      <c r="Y66" s="598">
        <v>0.80141304347826092</v>
      </c>
      <c r="Z66" s="599">
        <v>0.80141304347826092</v>
      </c>
      <c r="AA66" s="599">
        <v>0.80141304347826092</v>
      </c>
      <c r="AB66" s="94">
        <v>0.80141304347826092</v>
      </c>
      <c r="AC66" s="94">
        <v>0.80141304347826092</v>
      </c>
      <c r="AD66" s="94"/>
      <c r="AE66" s="94"/>
      <c r="AF66" s="94"/>
      <c r="AG66" s="94"/>
      <c r="AH66" s="1930"/>
      <c r="AI66" s="1930"/>
      <c r="AJ66" s="1930"/>
      <c r="AK66" s="1930"/>
      <c r="AL66" s="1930"/>
      <c r="AM66" s="1930"/>
      <c r="AN66" s="1930"/>
      <c r="AO66" s="1930"/>
      <c r="AP66" s="1930"/>
      <c r="AQ66" s="1930"/>
      <c r="AR66" s="1930"/>
      <c r="AS66" s="1930"/>
      <c r="AT66" s="1930"/>
      <c r="AU66" s="1930"/>
      <c r="AV66" s="1930"/>
      <c r="AW66" s="1930"/>
      <c r="AX66" s="1930"/>
      <c r="AY66" s="1930"/>
      <c r="AZ66" s="1930"/>
      <c r="BA66" s="1930"/>
      <c r="BC66" s="584"/>
      <c r="BE66" s="585"/>
    </row>
    <row r="67" spans="1:57" ht="18" hidden="1" customHeight="1" outlineLevel="1" thickBot="1" x14ac:dyDescent="0.3">
      <c r="B67" s="1437"/>
      <c r="C67" s="253"/>
      <c r="D67" s="4140"/>
      <c r="E67" s="4145"/>
      <c r="F67" s="4119" t="str">
        <f t="shared" si="14"/>
        <v>ECM Continuous Fan ER2 - MF</v>
      </c>
      <c r="G67" s="4119"/>
      <c r="H67" s="4119"/>
      <c r="I67" s="599">
        <f t="shared" si="16"/>
        <v>0.80141304347826092</v>
      </c>
      <c r="J67" s="602" t="s">
        <v>285</v>
      </c>
      <c r="K67" s="603"/>
      <c r="L67" s="1027"/>
      <c r="M67" s="249"/>
      <c r="N67" s="905"/>
      <c r="O67" s="249"/>
      <c r="P67" s="249"/>
      <c r="Q67" s="249"/>
      <c r="R67" s="249"/>
      <c r="V67" s="4140"/>
      <c r="W67" s="619">
        <v>0.97</v>
      </c>
      <c r="X67" s="619">
        <f t="shared" si="15"/>
        <v>0.78631608184427371</v>
      </c>
      <c r="Y67" s="620">
        <v>0.80141304347826092</v>
      </c>
      <c r="Z67" s="2208">
        <v>0.80141304347826092</v>
      </c>
      <c r="AA67" s="2208">
        <v>0.80141304347826092</v>
      </c>
      <c r="AB67" s="619">
        <v>0.80141304347826092</v>
      </c>
      <c r="AC67" s="619">
        <v>0.80141304347826092</v>
      </c>
      <c r="AD67" s="619"/>
      <c r="AE67" s="619"/>
      <c r="AF67" s="619"/>
      <c r="AG67" s="619"/>
      <c r="AH67" s="1930"/>
      <c r="AI67" s="1930"/>
      <c r="AJ67" s="1930"/>
      <c r="AK67" s="1930"/>
      <c r="AL67" s="1930"/>
      <c r="AM67" s="1930"/>
      <c r="AN67" s="1930"/>
      <c r="AO67" s="1930"/>
      <c r="AP67" s="1930"/>
      <c r="AQ67" s="1930"/>
      <c r="AR67" s="1930"/>
      <c r="AS67" s="1930"/>
      <c r="AT67" s="1930"/>
      <c r="AU67" s="1930"/>
      <c r="AV67" s="1930"/>
      <c r="AW67" s="1930"/>
      <c r="AX67" s="1930"/>
      <c r="AY67" s="1930"/>
      <c r="AZ67" s="1930"/>
      <c r="BA67" s="1930"/>
      <c r="BC67" s="584"/>
      <c r="BE67" s="585"/>
    </row>
    <row r="68" spans="1:57" ht="15.75" hidden="1" outlineLevel="1" thickBot="1" x14ac:dyDescent="0.3">
      <c r="B68" s="1437"/>
      <c r="C68" s="253"/>
      <c r="D68" s="1504" t="s">
        <v>841</v>
      </c>
      <c r="E68" s="3178" t="s">
        <v>842</v>
      </c>
      <c r="F68" s="4134" t="s">
        <v>135</v>
      </c>
      <c r="G68" s="4134"/>
      <c r="H68" s="4134"/>
      <c r="I68" s="1505">
        <v>70</v>
      </c>
      <c r="J68" s="1506" t="s">
        <v>843</v>
      </c>
      <c r="K68" s="1848"/>
      <c r="L68" s="1027"/>
      <c r="M68" s="249"/>
      <c r="N68" s="905"/>
      <c r="O68" s="249"/>
      <c r="P68" s="249"/>
      <c r="Q68" s="249"/>
      <c r="R68" s="249"/>
      <c r="V68" s="1504" t="s">
        <v>841</v>
      </c>
      <c r="W68" s="609"/>
      <c r="X68" s="609"/>
      <c r="Y68" s="607">
        <v>70</v>
      </c>
      <c r="Z68" s="607">
        <v>70</v>
      </c>
      <c r="AA68" s="607">
        <v>70</v>
      </c>
      <c r="AB68" s="2064">
        <v>70</v>
      </c>
      <c r="AC68" s="2064">
        <v>70</v>
      </c>
      <c r="AD68" s="609"/>
      <c r="AE68" s="609"/>
      <c r="AF68" s="609"/>
      <c r="AG68" s="609"/>
      <c r="AH68" s="1930"/>
      <c r="AI68" s="1930"/>
      <c r="AJ68" s="1930"/>
      <c r="AK68" s="1930"/>
      <c r="AL68" s="1930"/>
      <c r="AM68" s="1930"/>
      <c r="AN68" s="1930"/>
      <c r="AO68" s="1930"/>
      <c r="AP68" s="1930"/>
      <c r="AQ68" s="1930"/>
      <c r="AR68" s="1930"/>
      <c r="AS68" s="1930"/>
      <c r="AT68" s="1930"/>
      <c r="AU68" s="1930"/>
      <c r="AV68" s="1930"/>
      <c r="AW68" s="1930"/>
      <c r="AX68" s="1930"/>
      <c r="AY68" s="1930"/>
      <c r="AZ68" s="1930"/>
      <c r="BA68" s="1930"/>
      <c r="BC68" s="584"/>
      <c r="BE68" s="585"/>
    </row>
    <row r="69" spans="1:57" ht="18" hidden="1" customHeight="1" outlineLevel="1" x14ac:dyDescent="0.25">
      <c r="B69" s="1437"/>
      <c r="C69" s="253"/>
      <c r="D69" s="610" t="s">
        <v>844</v>
      </c>
      <c r="E69" s="3178" t="s">
        <v>845</v>
      </c>
      <c r="F69" s="4134" t="s">
        <v>135</v>
      </c>
      <c r="G69" s="4134"/>
      <c r="H69" s="4134"/>
      <c r="I69" s="1509">
        <v>1215</v>
      </c>
      <c r="J69" s="591" t="s">
        <v>838</v>
      </c>
      <c r="K69" s="592"/>
      <c r="L69" s="1027"/>
      <c r="M69" s="249"/>
      <c r="N69" s="905"/>
      <c r="O69" s="249"/>
      <c r="P69" s="249"/>
      <c r="Q69" s="249"/>
      <c r="R69" s="249"/>
      <c r="V69" s="610" t="s">
        <v>844</v>
      </c>
      <c r="W69" s="623">
        <v>1215</v>
      </c>
      <c r="X69" s="622">
        <v>1215</v>
      </c>
      <c r="Y69" s="624">
        <v>1215</v>
      </c>
      <c r="Z69" s="1509">
        <v>1215</v>
      </c>
      <c r="AA69" s="1509">
        <v>1215</v>
      </c>
      <c r="AB69" s="623">
        <v>1215</v>
      </c>
      <c r="AC69" s="623">
        <v>1215</v>
      </c>
      <c r="AD69" s="623"/>
      <c r="AE69" s="623"/>
      <c r="AF69" s="623"/>
      <c r="AG69" s="623"/>
      <c r="AH69" s="1930"/>
      <c r="AI69" s="1930"/>
      <c r="AJ69" s="1930"/>
      <c r="AK69" s="1930"/>
      <c r="AL69" s="1930"/>
      <c r="AM69" s="1930"/>
      <c r="AN69" s="1930"/>
      <c r="AO69" s="1930"/>
      <c r="AP69" s="1930"/>
      <c r="AQ69" s="1930"/>
      <c r="AR69" s="1930"/>
      <c r="AS69" s="1930"/>
      <c r="AT69" s="1930"/>
      <c r="AU69" s="1930"/>
      <c r="AV69" s="1930"/>
      <c r="AW69" s="1930"/>
      <c r="AX69" s="1930"/>
      <c r="AY69" s="1930"/>
      <c r="AZ69" s="1930"/>
      <c r="BA69" s="1930"/>
      <c r="BC69" s="584"/>
      <c r="BE69" s="585"/>
    </row>
    <row r="70" spans="1:57" ht="18" hidden="1" customHeight="1" outlineLevel="1" x14ac:dyDescent="0.25">
      <c r="B70" s="1437"/>
      <c r="C70" s="253"/>
      <c r="D70" s="625" t="s">
        <v>846</v>
      </c>
      <c r="E70" s="3179" t="s">
        <v>847</v>
      </c>
      <c r="F70" s="4135" t="s">
        <v>135</v>
      </c>
      <c r="G70" s="4135"/>
      <c r="H70" s="4135"/>
      <c r="I70" s="629">
        <v>542.5</v>
      </c>
      <c r="J70" s="1510" t="s">
        <v>838</v>
      </c>
      <c r="K70" s="600"/>
      <c r="L70" s="1027"/>
      <c r="M70" s="249"/>
      <c r="N70" s="905"/>
      <c r="O70" s="249"/>
      <c r="P70" s="249"/>
      <c r="Q70" s="249"/>
      <c r="R70" s="249"/>
      <c r="V70" s="625" t="s">
        <v>846</v>
      </c>
      <c r="W70" s="626">
        <v>542.5</v>
      </c>
      <c r="X70" s="626">
        <v>542.5</v>
      </c>
      <c r="Y70" s="627">
        <v>542.5</v>
      </c>
      <c r="Z70" s="629">
        <v>542.5</v>
      </c>
      <c r="AA70" s="629">
        <v>542.5</v>
      </c>
      <c r="AB70" s="626">
        <v>542.5</v>
      </c>
      <c r="AC70" s="626">
        <v>542.5</v>
      </c>
      <c r="AD70" s="626"/>
      <c r="AE70" s="626"/>
      <c r="AF70" s="626"/>
      <c r="AG70" s="626"/>
      <c r="AH70" s="1930"/>
      <c r="AI70" s="1930"/>
      <c r="AJ70" s="1930"/>
      <c r="AK70" s="1930"/>
      <c r="AL70" s="1930"/>
      <c r="AM70" s="1930"/>
      <c r="AN70" s="1930"/>
      <c r="AO70" s="1930"/>
      <c r="AP70" s="1930"/>
      <c r="AQ70" s="1930"/>
      <c r="AR70" s="1930"/>
      <c r="AS70" s="1930"/>
      <c r="AT70" s="1930"/>
      <c r="AU70" s="1930"/>
      <c r="AV70" s="1930"/>
      <c r="AW70" s="1930"/>
      <c r="AX70" s="1930"/>
      <c r="AY70" s="1930"/>
      <c r="AZ70" s="1930"/>
      <c r="BA70" s="1930"/>
      <c r="BC70" s="584"/>
      <c r="BE70" s="585"/>
    </row>
    <row r="71" spans="1:57" s="227" customFormat="1" ht="27" hidden="1" customHeight="1" outlineLevel="1" x14ac:dyDescent="0.25">
      <c r="A71" s="1267"/>
      <c r="B71" s="1437"/>
      <c r="C71" s="1511"/>
      <c r="D71" s="3174" t="s">
        <v>848</v>
      </c>
      <c r="E71" s="3179" t="s">
        <v>849</v>
      </c>
      <c r="F71" s="4135" t="s">
        <v>135</v>
      </c>
      <c r="G71" s="4135"/>
      <c r="H71" s="4135"/>
      <c r="I71" s="952">
        <v>25</v>
      </c>
      <c r="J71" s="4136" t="s">
        <v>833</v>
      </c>
      <c r="K71" s="600"/>
      <c r="L71" s="229"/>
      <c r="M71" s="229"/>
      <c r="N71" s="1512"/>
      <c r="O71" s="229"/>
      <c r="P71" s="229"/>
      <c r="Q71" s="229"/>
      <c r="R71" s="229"/>
      <c r="S71" s="228"/>
      <c r="T71" s="228"/>
      <c r="U71" s="228"/>
      <c r="V71" s="3174" t="s">
        <v>848</v>
      </c>
      <c r="W71" s="617"/>
      <c r="X71" s="617"/>
      <c r="Y71" s="629">
        <v>25</v>
      </c>
      <c r="Z71" s="629">
        <v>25</v>
      </c>
      <c r="AA71" s="629">
        <v>25</v>
      </c>
      <c r="AB71" s="629">
        <v>25</v>
      </c>
      <c r="AC71" s="629">
        <v>25</v>
      </c>
      <c r="AD71" s="629"/>
      <c r="AE71" s="629"/>
      <c r="AF71" s="629"/>
      <c r="AG71" s="629"/>
      <c r="BB71" s="630"/>
      <c r="BC71" s="584"/>
      <c r="BD71" s="631"/>
      <c r="BE71" s="585"/>
    </row>
    <row r="72" spans="1:57" s="227" customFormat="1" ht="27" hidden="1" customHeight="1" outlineLevel="1" x14ac:dyDescent="0.25">
      <c r="A72" s="1267"/>
      <c r="B72" s="1437"/>
      <c r="C72" s="1511"/>
      <c r="D72" s="3174" t="s">
        <v>850</v>
      </c>
      <c r="E72" s="3179" t="s">
        <v>851</v>
      </c>
      <c r="F72" s="4135" t="s">
        <v>135</v>
      </c>
      <c r="G72" s="4135"/>
      <c r="H72" s="4135"/>
      <c r="I72" s="952">
        <v>2960</v>
      </c>
      <c r="J72" s="4137"/>
      <c r="K72" s="600"/>
      <c r="L72" s="229"/>
      <c r="M72" s="229"/>
      <c r="N72" s="1512"/>
      <c r="O72" s="229"/>
      <c r="P72" s="229"/>
      <c r="Q72" s="229"/>
      <c r="R72" s="229"/>
      <c r="S72" s="228"/>
      <c r="T72" s="228"/>
      <c r="U72" s="228"/>
      <c r="V72" s="3174" t="s">
        <v>850</v>
      </c>
      <c r="W72" s="617"/>
      <c r="X72" s="617"/>
      <c r="Y72" s="629">
        <v>2960</v>
      </c>
      <c r="Z72" s="629">
        <v>2960</v>
      </c>
      <c r="AA72" s="629">
        <v>2960</v>
      </c>
      <c r="AB72" s="629">
        <v>2960</v>
      </c>
      <c r="AC72" s="629">
        <v>2960</v>
      </c>
      <c r="AD72" s="629"/>
      <c r="AE72" s="629"/>
      <c r="AF72" s="629"/>
      <c r="AG72" s="629"/>
      <c r="BB72" s="630"/>
      <c r="BC72" s="584"/>
      <c r="BD72" s="631"/>
      <c r="BE72" s="585"/>
    </row>
    <row r="73" spans="1:57" s="227" customFormat="1" hidden="1" outlineLevel="1" x14ac:dyDescent="0.25">
      <c r="A73" s="1267"/>
      <c r="B73" s="1437"/>
      <c r="C73" s="1511"/>
      <c r="D73" s="4146" t="s">
        <v>852</v>
      </c>
      <c r="E73" s="4147" t="s">
        <v>853</v>
      </c>
      <c r="F73" s="4135" t="s">
        <v>854</v>
      </c>
      <c r="G73" s="4135"/>
      <c r="H73" s="4135"/>
      <c r="I73" s="633">
        <v>8.8084612296306403E-2</v>
      </c>
      <c r="J73" s="1510" t="s">
        <v>855</v>
      </c>
      <c r="K73" s="1849"/>
      <c r="L73" s="229"/>
      <c r="M73" s="229"/>
      <c r="N73" s="1512"/>
      <c r="O73" s="229"/>
      <c r="P73" s="229"/>
      <c r="Q73" s="229"/>
      <c r="R73" s="229"/>
      <c r="S73" s="228"/>
      <c r="T73" s="228"/>
      <c r="U73" s="228"/>
      <c r="V73" s="4146" t="s">
        <v>852</v>
      </c>
      <c r="W73" s="617"/>
      <c r="X73" s="617"/>
      <c r="Y73" s="632">
        <v>8.8084612296306403E-2</v>
      </c>
      <c r="Z73" s="633">
        <v>8.8084612296306403E-2</v>
      </c>
      <c r="AA73" s="633">
        <v>8.8084612296306403E-2</v>
      </c>
      <c r="AB73" s="633">
        <v>8.8084612296306403E-2</v>
      </c>
      <c r="AC73" s="633">
        <v>8.8084612296306403E-2</v>
      </c>
      <c r="AD73" s="633"/>
      <c r="AE73" s="633"/>
      <c r="AF73" s="633"/>
      <c r="AG73" s="633"/>
      <c r="BB73" s="630"/>
      <c r="BC73" s="584"/>
      <c r="BD73" s="631"/>
      <c r="BE73" s="585"/>
    </row>
    <row r="74" spans="1:57" s="227" customFormat="1" hidden="1" outlineLevel="1" x14ac:dyDescent="0.25">
      <c r="A74" s="1267"/>
      <c r="B74" s="1437"/>
      <c r="C74" s="1511"/>
      <c r="D74" s="4146"/>
      <c r="E74" s="4147"/>
      <c r="F74" s="4135" t="s">
        <v>856</v>
      </c>
      <c r="G74" s="4135"/>
      <c r="H74" s="4135"/>
      <c r="I74" s="633">
        <v>8.8084612296306403E-2</v>
      </c>
      <c r="J74" s="1510" t="s">
        <v>855</v>
      </c>
      <c r="K74" s="1849"/>
      <c r="L74" s="229"/>
      <c r="M74" s="229"/>
      <c r="N74" s="1512"/>
      <c r="O74" s="229"/>
      <c r="P74" s="229"/>
      <c r="Q74" s="229"/>
      <c r="R74" s="229"/>
      <c r="S74" s="228"/>
      <c r="T74" s="228"/>
      <c r="U74" s="228"/>
      <c r="V74" s="4146"/>
      <c r="W74" s="617"/>
      <c r="X74" s="617"/>
      <c r="Y74" s="632">
        <v>8.8084612296306403E-2</v>
      </c>
      <c r="Z74" s="633">
        <v>8.8084612296306403E-2</v>
      </c>
      <c r="AA74" s="633">
        <v>8.8084612296306403E-2</v>
      </c>
      <c r="AB74" s="633">
        <v>8.8084612296306403E-2</v>
      </c>
      <c r="AC74" s="633">
        <v>8.8084612296306403E-2</v>
      </c>
      <c r="AD74" s="633"/>
      <c r="AE74" s="633"/>
      <c r="AF74" s="633"/>
      <c r="AG74" s="633"/>
      <c r="BB74" s="630"/>
      <c r="BC74" s="584"/>
      <c r="BD74" s="631"/>
      <c r="BE74" s="585"/>
    </row>
    <row r="75" spans="1:57" s="227" customFormat="1" ht="15.75" hidden="1" outlineLevel="1" thickBot="1" x14ac:dyDescent="0.3">
      <c r="A75" s="1267"/>
      <c r="B75" s="1437"/>
      <c r="C75" s="1511"/>
      <c r="D75" s="1513" t="s">
        <v>857</v>
      </c>
      <c r="E75" s="3180" t="s">
        <v>858</v>
      </c>
      <c r="F75" s="4148" t="s">
        <v>135</v>
      </c>
      <c r="G75" s="4148"/>
      <c r="H75" s="4148"/>
      <c r="I75" s="1514">
        <v>30</v>
      </c>
      <c r="J75" s="1506" t="s">
        <v>833</v>
      </c>
      <c r="K75" s="1850"/>
      <c r="L75" s="229"/>
      <c r="M75" s="229"/>
      <c r="N75" s="1512"/>
      <c r="O75" s="229"/>
      <c r="P75" s="229"/>
      <c r="Q75" s="229"/>
      <c r="R75" s="229"/>
      <c r="S75" s="228"/>
      <c r="T75" s="228"/>
      <c r="U75" s="228"/>
      <c r="V75" s="1513" t="s">
        <v>857</v>
      </c>
      <c r="W75" s="621"/>
      <c r="X75" s="621"/>
      <c r="Y75" s="629">
        <v>30</v>
      </c>
      <c r="Z75" s="629">
        <v>30</v>
      </c>
      <c r="AA75" s="629">
        <v>30</v>
      </c>
      <c r="AB75" s="634">
        <v>30</v>
      </c>
      <c r="AC75" s="634">
        <v>30</v>
      </c>
      <c r="AD75" s="634"/>
      <c r="AE75" s="634"/>
      <c r="AF75" s="634"/>
      <c r="AG75" s="634"/>
      <c r="BB75" s="630"/>
      <c r="BC75" s="584"/>
      <c r="BD75" s="631"/>
      <c r="BE75" s="585"/>
    </row>
    <row r="76" spans="1:57" ht="16.5" hidden="1" customHeight="1" outlineLevel="1" x14ac:dyDescent="0.25">
      <c r="B76" s="1437"/>
      <c r="C76" s="253"/>
      <c r="D76" s="4108" t="s">
        <v>294</v>
      </c>
      <c r="E76" s="4103" t="s">
        <v>859</v>
      </c>
      <c r="F76" s="4105" t="str">
        <f t="shared" ref="F76:F87" si="17">E7</f>
        <v>ECM Auto Fan ROF-SF</v>
      </c>
      <c r="G76" s="4105"/>
      <c r="H76" s="4105"/>
      <c r="I76" s="1515">
        <v>1</v>
      </c>
      <c r="J76" s="636"/>
      <c r="K76" s="637"/>
      <c r="L76" s="1027"/>
      <c r="M76" s="249"/>
      <c r="N76" s="905"/>
      <c r="O76" s="249"/>
      <c r="P76" s="249"/>
      <c r="Q76" s="249"/>
      <c r="R76" s="249"/>
      <c r="V76" s="4108" t="s">
        <v>294</v>
      </c>
      <c r="W76" s="635">
        <v>1</v>
      </c>
      <c r="X76" s="635">
        <v>1</v>
      </c>
      <c r="Y76" s="635">
        <v>1</v>
      </c>
      <c r="Z76" s="1515">
        <v>1</v>
      </c>
      <c r="AA76" s="1515">
        <v>1</v>
      </c>
      <c r="AB76" s="1516">
        <v>1</v>
      </c>
      <c r="AC76" s="638">
        <v>1</v>
      </c>
      <c r="AD76" s="638"/>
      <c r="AE76" s="638"/>
      <c r="AF76" s="638"/>
      <c r="AG76" s="638"/>
      <c r="AH76" s="1930"/>
      <c r="AI76" s="1930"/>
      <c r="AJ76" s="1930"/>
      <c r="AK76" s="1930"/>
      <c r="AL76" s="1930"/>
      <c r="AM76" s="1930"/>
      <c r="AN76" s="1930"/>
      <c r="AO76" s="1930"/>
      <c r="AP76" s="1930"/>
      <c r="AQ76" s="1930"/>
      <c r="AR76" s="1930"/>
      <c r="AS76" s="1930"/>
      <c r="AT76" s="1930"/>
      <c r="AU76" s="1930"/>
      <c r="AV76" s="1930"/>
      <c r="AW76" s="1930"/>
      <c r="AX76" s="1930"/>
      <c r="AY76" s="1930"/>
      <c r="AZ76" s="1930"/>
      <c r="BA76" s="1930"/>
      <c r="BC76" s="584"/>
      <c r="BE76" s="585"/>
    </row>
    <row r="77" spans="1:57" ht="18" hidden="1" customHeight="1" outlineLevel="1" x14ac:dyDescent="0.25">
      <c r="B77" s="1437"/>
      <c r="C77" s="253"/>
      <c r="D77" s="4108"/>
      <c r="E77" s="4103"/>
      <c r="F77" s="4110" t="str">
        <f t="shared" si="17"/>
        <v>ECM Auto Fan ROF-MF</v>
      </c>
      <c r="G77" s="4110"/>
      <c r="H77" s="4110"/>
      <c r="I77" s="1516">
        <v>1</v>
      </c>
      <c r="J77" s="640"/>
      <c r="K77" s="637"/>
      <c r="L77" s="1027"/>
      <c r="M77" s="249"/>
      <c r="N77" s="905"/>
      <c r="O77" s="249"/>
      <c r="P77" s="249"/>
      <c r="Q77" s="249"/>
      <c r="R77" s="249"/>
      <c r="V77" s="4108"/>
      <c r="W77" s="639">
        <v>1</v>
      </c>
      <c r="X77" s="639">
        <v>1</v>
      </c>
      <c r="Y77" s="639">
        <v>1</v>
      </c>
      <c r="Z77" s="1516">
        <v>1</v>
      </c>
      <c r="AA77" s="1516">
        <v>1</v>
      </c>
      <c r="AB77" s="639">
        <v>1</v>
      </c>
      <c r="AC77" s="639">
        <v>1</v>
      </c>
      <c r="AD77" s="639"/>
      <c r="AE77" s="639"/>
      <c r="AF77" s="639"/>
      <c r="AG77" s="639"/>
      <c r="AH77" s="1930"/>
      <c r="AI77" s="1930"/>
      <c r="AJ77" s="1930"/>
      <c r="AK77" s="1930"/>
      <c r="AL77" s="1930"/>
      <c r="AM77" s="1930"/>
      <c r="AN77" s="1930"/>
      <c r="AO77" s="1930"/>
      <c r="AP77" s="1930"/>
      <c r="AQ77" s="1930"/>
      <c r="AR77" s="1930"/>
      <c r="AS77" s="1930"/>
      <c r="AT77" s="1930"/>
      <c r="AU77" s="1930"/>
      <c r="AV77" s="1930"/>
      <c r="AW77" s="1930"/>
      <c r="AX77" s="1930"/>
      <c r="AY77" s="1930"/>
      <c r="AZ77" s="1930"/>
      <c r="BA77" s="1930"/>
      <c r="BC77" s="584"/>
      <c r="BE77" s="585"/>
    </row>
    <row r="78" spans="1:57" ht="18" hidden="1" customHeight="1" outlineLevel="1" x14ac:dyDescent="0.25">
      <c r="B78" s="1437"/>
      <c r="C78" s="253"/>
      <c r="D78" s="4108"/>
      <c r="E78" s="4103"/>
      <c r="F78" s="4110" t="str">
        <f t="shared" si="17"/>
        <v>ECM Auto Fan ER1 - SF</v>
      </c>
      <c r="G78" s="4110"/>
      <c r="H78" s="4110"/>
      <c r="I78" s="944">
        <v>1</v>
      </c>
      <c r="J78" s="640"/>
      <c r="K78" s="641"/>
      <c r="L78" s="1027"/>
      <c r="M78" s="249"/>
      <c r="N78" s="905"/>
      <c r="O78" s="249"/>
      <c r="P78" s="249"/>
      <c r="Q78" s="249"/>
      <c r="R78" s="249"/>
      <c r="V78" s="4108"/>
      <c r="W78" s="476">
        <v>1</v>
      </c>
      <c r="X78" s="476">
        <v>1</v>
      </c>
      <c r="Y78" s="476">
        <v>1</v>
      </c>
      <c r="Z78" s="944">
        <v>1</v>
      </c>
      <c r="AA78" s="944">
        <v>1</v>
      </c>
      <c r="AB78" s="476">
        <v>1</v>
      </c>
      <c r="AC78" s="476">
        <v>1</v>
      </c>
      <c r="AD78" s="476"/>
      <c r="AE78" s="476"/>
      <c r="AF78" s="476"/>
      <c r="AG78" s="476"/>
      <c r="AH78" s="1930"/>
      <c r="AI78" s="1930"/>
      <c r="AJ78" s="1930"/>
      <c r="AK78" s="1930"/>
      <c r="AL78" s="1930"/>
      <c r="AM78" s="1930"/>
      <c r="AN78" s="1930"/>
      <c r="AO78" s="1930"/>
      <c r="AP78" s="1930"/>
      <c r="AQ78" s="1930"/>
      <c r="AR78" s="1930"/>
      <c r="AS78" s="1930"/>
      <c r="AT78" s="1930"/>
      <c r="AU78" s="1930"/>
      <c r="AV78" s="1930"/>
      <c r="AW78" s="1930"/>
      <c r="AX78" s="1930"/>
      <c r="AY78" s="1930"/>
      <c r="AZ78" s="1930"/>
      <c r="BA78" s="1930"/>
      <c r="BC78" s="584"/>
      <c r="BE78" s="585"/>
    </row>
    <row r="79" spans="1:57" ht="18" hidden="1" customHeight="1" outlineLevel="1" x14ac:dyDescent="0.25">
      <c r="B79" s="1437"/>
      <c r="C79" s="253"/>
      <c r="D79" s="4108"/>
      <c r="E79" s="4103"/>
      <c r="F79" s="4110" t="str">
        <f t="shared" si="17"/>
        <v>ECM Auto Fan ER2 - SF</v>
      </c>
      <c r="G79" s="4110"/>
      <c r="H79" s="4110"/>
      <c r="I79" s="944">
        <v>1</v>
      </c>
      <c r="J79" s="640"/>
      <c r="K79" s="600"/>
      <c r="L79" s="1027"/>
      <c r="M79" s="249"/>
      <c r="N79" s="905"/>
      <c r="O79" s="249"/>
      <c r="P79" s="249"/>
      <c r="Q79" s="249"/>
      <c r="R79" s="249"/>
      <c r="V79" s="4108"/>
      <c r="W79" s="476">
        <v>1</v>
      </c>
      <c r="X79" s="476">
        <v>1</v>
      </c>
      <c r="Y79" s="476">
        <v>1</v>
      </c>
      <c r="Z79" s="944">
        <v>1</v>
      </c>
      <c r="AA79" s="944">
        <v>1</v>
      </c>
      <c r="AB79" s="476">
        <v>1</v>
      </c>
      <c r="AC79" s="476">
        <v>1</v>
      </c>
      <c r="AD79" s="476"/>
      <c r="AE79" s="476"/>
      <c r="AF79" s="476"/>
      <c r="AG79" s="476"/>
      <c r="AH79" s="1930"/>
      <c r="AI79" s="1930"/>
      <c r="AJ79" s="1930"/>
      <c r="AK79" s="1930"/>
      <c r="AL79" s="1930"/>
      <c r="AM79" s="1930"/>
      <c r="AN79" s="1930"/>
      <c r="AO79" s="1930"/>
      <c r="AP79" s="1930"/>
      <c r="AQ79" s="1930"/>
      <c r="AR79" s="1930"/>
      <c r="AS79" s="1930"/>
      <c r="AT79" s="1930"/>
      <c r="AU79" s="1930"/>
      <c r="AV79" s="1930"/>
      <c r="AW79" s="1930"/>
      <c r="AX79" s="1930"/>
      <c r="AY79" s="1930"/>
      <c r="AZ79" s="1930"/>
      <c r="BA79" s="1930"/>
      <c r="BC79" s="584"/>
      <c r="BE79" s="585"/>
    </row>
    <row r="80" spans="1:57" ht="18" hidden="1" customHeight="1" outlineLevel="1" x14ac:dyDescent="0.25">
      <c r="B80" s="1437"/>
      <c r="C80" s="253"/>
      <c r="D80" s="4108"/>
      <c r="E80" s="4103"/>
      <c r="F80" s="4110" t="str">
        <f t="shared" si="17"/>
        <v>ECM Auto Fan ER1 - MF</v>
      </c>
      <c r="G80" s="4110"/>
      <c r="H80" s="4110"/>
      <c r="I80" s="944">
        <v>1</v>
      </c>
      <c r="J80" s="640"/>
      <c r="K80" s="600"/>
      <c r="L80" s="1027"/>
      <c r="M80" s="249"/>
      <c r="N80" s="905"/>
      <c r="O80" s="249"/>
      <c r="P80" s="249"/>
      <c r="Q80" s="249"/>
      <c r="R80" s="249"/>
      <c r="V80" s="4108"/>
      <c r="W80" s="476">
        <v>1</v>
      </c>
      <c r="X80" s="476">
        <v>1</v>
      </c>
      <c r="Y80" s="476">
        <v>1</v>
      </c>
      <c r="Z80" s="944">
        <v>1</v>
      </c>
      <c r="AA80" s="944">
        <v>1</v>
      </c>
      <c r="AB80" s="476">
        <v>1</v>
      </c>
      <c r="AC80" s="476">
        <v>1</v>
      </c>
      <c r="AD80" s="476"/>
      <c r="AE80" s="476"/>
      <c r="AF80" s="476"/>
      <c r="AG80" s="476"/>
      <c r="AH80" s="1930"/>
      <c r="AI80" s="1930"/>
      <c r="AJ80" s="1930"/>
      <c r="AK80" s="1930"/>
      <c r="AL80" s="1930"/>
      <c r="AM80" s="1930"/>
      <c r="AN80" s="1930"/>
      <c r="AO80" s="1930"/>
      <c r="AP80" s="1930"/>
      <c r="AQ80" s="1930"/>
      <c r="AR80" s="1930"/>
      <c r="AS80" s="1930"/>
      <c r="AT80" s="1930"/>
      <c r="AU80" s="1930"/>
      <c r="AV80" s="1930"/>
      <c r="AW80" s="1930"/>
      <c r="AX80" s="1930"/>
      <c r="AY80" s="1930"/>
      <c r="AZ80" s="1930"/>
      <c r="BA80" s="1930"/>
      <c r="BC80" s="584"/>
      <c r="BE80" s="585"/>
    </row>
    <row r="81" spans="1:57" ht="18" hidden="1" customHeight="1" outlineLevel="1" x14ac:dyDescent="0.25">
      <c r="B81" s="1437"/>
      <c r="C81" s="253"/>
      <c r="D81" s="4108"/>
      <c r="E81" s="4103"/>
      <c r="F81" s="4110" t="str">
        <f t="shared" si="17"/>
        <v>ECM Auto Fan ER2 - MF</v>
      </c>
      <c r="G81" s="4110"/>
      <c r="H81" s="4110"/>
      <c r="I81" s="944">
        <v>1</v>
      </c>
      <c r="J81" s="640"/>
      <c r="K81" s="600"/>
      <c r="L81" s="1027"/>
      <c r="M81" s="249"/>
      <c r="N81" s="905"/>
      <c r="O81" s="249"/>
      <c r="P81" s="249"/>
      <c r="Q81" s="249"/>
      <c r="R81" s="249"/>
      <c r="V81" s="4108"/>
      <c r="W81" s="476">
        <v>1</v>
      </c>
      <c r="X81" s="476">
        <v>1</v>
      </c>
      <c r="Y81" s="476">
        <v>1</v>
      </c>
      <c r="Z81" s="944">
        <v>1</v>
      </c>
      <c r="AA81" s="944">
        <v>1</v>
      </c>
      <c r="AB81" s="476">
        <v>1</v>
      </c>
      <c r="AC81" s="476">
        <v>1</v>
      </c>
      <c r="AD81" s="476"/>
      <c r="AE81" s="476"/>
      <c r="AF81" s="476"/>
      <c r="AG81" s="476"/>
      <c r="AH81" s="1930"/>
      <c r="AI81" s="1930"/>
      <c r="AJ81" s="1930"/>
      <c r="AK81" s="1930"/>
      <c r="AL81" s="1930"/>
      <c r="AM81" s="1930"/>
      <c r="AN81" s="1930"/>
      <c r="AO81" s="1930"/>
      <c r="AP81" s="1930"/>
      <c r="AQ81" s="1930"/>
      <c r="AR81" s="1930"/>
      <c r="AS81" s="1930"/>
      <c r="AT81" s="1930"/>
      <c r="AU81" s="1930"/>
      <c r="AV81" s="1930"/>
      <c r="AW81" s="1930"/>
      <c r="AX81" s="1930"/>
      <c r="AY81" s="1930"/>
      <c r="AZ81" s="1930"/>
      <c r="BA81" s="1930"/>
      <c r="BC81" s="584"/>
      <c r="BE81" s="585"/>
    </row>
    <row r="82" spans="1:57" hidden="1" outlineLevel="1" x14ac:dyDescent="0.25">
      <c r="B82" s="1437"/>
      <c r="C82" s="267"/>
      <c r="D82" s="4108"/>
      <c r="E82" s="4103"/>
      <c r="F82" s="4110" t="str">
        <f t="shared" si="17"/>
        <v>ECM Continuous Fan ROF- SF</v>
      </c>
      <c r="G82" s="4110"/>
      <c r="H82" s="4110"/>
      <c r="I82" s="944">
        <v>1</v>
      </c>
      <c r="J82" s="640"/>
      <c r="K82" s="600"/>
      <c r="L82" s="1027"/>
      <c r="M82" s="249"/>
      <c r="N82" s="905"/>
      <c r="O82" s="249"/>
      <c r="P82" s="249"/>
      <c r="Q82" s="249"/>
      <c r="R82" s="249"/>
      <c r="V82" s="4108"/>
      <c r="W82" s="476">
        <v>1</v>
      </c>
      <c r="X82" s="476">
        <v>1</v>
      </c>
      <c r="Y82" s="476">
        <v>1</v>
      </c>
      <c r="Z82" s="944">
        <v>1</v>
      </c>
      <c r="AA82" s="944">
        <v>1</v>
      </c>
      <c r="AB82" s="476">
        <v>1</v>
      </c>
      <c r="AC82" s="476">
        <v>1</v>
      </c>
      <c r="AD82" s="476"/>
      <c r="AE82" s="476"/>
      <c r="AF82" s="476"/>
      <c r="AG82" s="476"/>
      <c r="AH82" s="1930"/>
      <c r="AI82" s="1930"/>
      <c r="AJ82" s="1930"/>
      <c r="AK82" s="1930"/>
      <c r="AL82" s="1930"/>
      <c r="AM82" s="1930"/>
      <c r="AN82" s="1930"/>
      <c r="AO82" s="1930"/>
      <c r="AP82" s="1930"/>
      <c r="AQ82" s="1930"/>
      <c r="AR82" s="1930"/>
      <c r="AS82" s="1930"/>
      <c r="AT82" s="1930"/>
      <c r="AU82" s="1930"/>
      <c r="AV82" s="1930"/>
      <c r="AW82" s="1930"/>
      <c r="AX82" s="1930"/>
      <c r="AY82" s="1930"/>
      <c r="AZ82" s="1930"/>
      <c r="BA82" s="1930"/>
      <c r="BC82" s="584"/>
      <c r="BE82" s="585"/>
    </row>
    <row r="83" spans="1:57" hidden="1" outlineLevel="1" x14ac:dyDescent="0.25">
      <c r="B83" s="1437"/>
      <c r="C83" s="267"/>
      <c r="D83" s="4108"/>
      <c r="E83" s="4103"/>
      <c r="F83" s="4110" t="str">
        <f t="shared" si="17"/>
        <v>ECM Continuous Fan ROF- MF</v>
      </c>
      <c r="G83" s="4110"/>
      <c r="H83" s="4110"/>
      <c r="I83" s="944">
        <v>1</v>
      </c>
      <c r="J83" s="640"/>
      <c r="K83" s="600"/>
      <c r="L83" s="1027"/>
      <c r="M83" s="249"/>
      <c r="N83" s="905"/>
      <c r="O83" s="249"/>
      <c r="P83" s="249"/>
      <c r="Q83" s="249"/>
      <c r="R83" s="249"/>
      <c r="V83" s="4108"/>
      <c r="W83" s="476">
        <v>1</v>
      </c>
      <c r="X83" s="476">
        <v>1</v>
      </c>
      <c r="Y83" s="476">
        <v>1</v>
      </c>
      <c r="Z83" s="944">
        <v>1</v>
      </c>
      <c r="AA83" s="944">
        <v>1</v>
      </c>
      <c r="AB83" s="476">
        <v>1</v>
      </c>
      <c r="AC83" s="476">
        <v>1</v>
      </c>
      <c r="AD83" s="476"/>
      <c r="AE83" s="476"/>
      <c r="AF83" s="476"/>
      <c r="AG83" s="476"/>
      <c r="AH83" s="1930"/>
      <c r="AI83" s="1930"/>
      <c r="AJ83" s="1930"/>
      <c r="AK83" s="1930"/>
      <c r="AL83" s="1930"/>
      <c r="AM83" s="1930"/>
      <c r="AN83" s="1930"/>
      <c r="AO83" s="1930"/>
      <c r="AP83" s="1930"/>
      <c r="AQ83" s="1930"/>
      <c r="AR83" s="1930"/>
      <c r="AS83" s="1930"/>
      <c r="AT83" s="1930"/>
      <c r="AU83" s="1930"/>
      <c r="AV83" s="1930"/>
      <c r="AW83" s="1930"/>
      <c r="AX83" s="1930"/>
      <c r="AY83" s="1930"/>
      <c r="AZ83" s="1930"/>
      <c r="BA83" s="1930"/>
      <c r="BC83" s="584"/>
      <c r="BE83" s="585"/>
    </row>
    <row r="84" spans="1:57" hidden="1" outlineLevel="1" x14ac:dyDescent="0.25">
      <c r="B84" s="1437"/>
      <c r="C84" s="268"/>
      <c r="D84" s="4108"/>
      <c r="E84" s="4103"/>
      <c r="F84" s="4110" t="str">
        <f t="shared" si="17"/>
        <v>ECM Continuous Fan ER1 - SF</v>
      </c>
      <c r="G84" s="4110"/>
      <c r="H84" s="4110"/>
      <c r="I84" s="944">
        <v>1</v>
      </c>
      <c r="J84" s="640"/>
      <c r="K84" s="600"/>
      <c r="L84" s="1027"/>
      <c r="M84" s="249"/>
      <c r="N84" s="905"/>
      <c r="O84" s="249"/>
      <c r="P84" s="249"/>
      <c r="Q84" s="249"/>
      <c r="R84" s="249"/>
      <c r="V84" s="4108"/>
      <c r="W84" s="476">
        <v>1</v>
      </c>
      <c r="X84" s="476">
        <v>1</v>
      </c>
      <c r="Y84" s="476">
        <v>1</v>
      </c>
      <c r="Z84" s="944">
        <v>1</v>
      </c>
      <c r="AA84" s="944">
        <v>1</v>
      </c>
      <c r="AB84" s="476">
        <v>1</v>
      </c>
      <c r="AC84" s="476">
        <v>1</v>
      </c>
      <c r="AD84" s="476"/>
      <c r="AE84" s="476"/>
      <c r="AF84" s="476"/>
      <c r="AG84" s="476"/>
      <c r="AH84" s="1930"/>
      <c r="AI84" s="1930"/>
      <c r="AJ84" s="1930"/>
      <c r="AK84" s="1930"/>
      <c r="AL84" s="1930"/>
      <c r="AM84" s="1930"/>
      <c r="AN84" s="1930"/>
      <c r="AO84" s="1930"/>
      <c r="AP84" s="1930"/>
      <c r="AQ84" s="1930"/>
      <c r="AR84" s="1930"/>
      <c r="AS84" s="1930"/>
      <c r="AT84" s="1930"/>
      <c r="AU84" s="1930"/>
      <c r="AV84" s="1930"/>
      <c r="AW84" s="1930"/>
      <c r="AX84" s="1930"/>
      <c r="AY84" s="1930"/>
      <c r="AZ84" s="1930"/>
      <c r="BA84" s="1930"/>
      <c r="BC84" s="584"/>
      <c r="BE84" s="585"/>
    </row>
    <row r="85" spans="1:57" hidden="1" outlineLevel="1" x14ac:dyDescent="0.25">
      <c r="B85" s="1437"/>
      <c r="C85" s="268"/>
      <c r="D85" s="4108"/>
      <c r="E85" s="4103"/>
      <c r="F85" s="4110" t="str">
        <f t="shared" si="17"/>
        <v>ECM Continuous Fan ER2 - SF</v>
      </c>
      <c r="G85" s="4110"/>
      <c r="H85" s="4110"/>
      <c r="I85" s="1517">
        <v>1</v>
      </c>
      <c r="J85" s="643"/>
      <c r="K85" s="600"/>
      <c r="L85" s="1027"/>
      <c r="M85" s="249"/>
      <c r="N85" s="905"/>
      <c r="O85" s="249"/>
      <c r="P85" s="249"/>
      <c r="Q85" s="249"/>
      <c r="R85" s="249"/>
      <c r="V85" s="4108"/>
      <c r="W85" s="642">
        <v>1</v>
      </c>
      <c r="X85" s="642">
        <v>1</v>
      </c>
      <c r="Y85" s="642">
        <v>1</v>
      </c>
      <c r="Z85" s="1517">
        <v>1</v>
      </c>
      <c r="AA85" s="1517">
        <v>1</v>
      </c>
      <c r="AB85" s="642">
        <v>1</v>
      </c>
      <c r="AC85" s="642">
        <v>1</v>
      </c>
      <c r="AD85" s="642"/>
      <c r="AE85" s="642"/>
      <c r="AF85" s="642"/>
      <c r="AG85" s="642"/>
      <c r="AH85" s="1930"/>
      <c r="AI85" s="1930"/>
      <c r="AJ85" s="1930"/>
      <c r="AK85" s="1930"/>
      <c r="AL85" s="1930"/>
      <c r="AM85" s="1930"/>
      <c r="AN85" s="1930"/>
      <c r="AO85" s="1930"/>
      <c r="AP85" s="1930"/>
      <c r="AQ85" s="1930"/>
      <c r="AR85" s="1930"/>
      <c r="AS85" s="1930"/>
      <c r="AT85" s="1930"/>
      <c r="AU85" s="1930"/>
      <c r="AV85" s="1930"/>
      <c r="AW85" s="1930"/>
      <c r="AX85" s="1930"/>
      <c r="AY85" s="1930"/>
      <c r="AZ85" s="1930"/>
      <c r="BA85" s="1930"/>
      <c r="BC85" s="584"/>
      <c r="BE85" s="585"/>
    </row>
    <row r="86" spans="1:57" ht="16.5" hidden="1" customHeight="1" outlineLevel="1" x14ac:dyDescent="0.25">
      <c r="B86" s="1437"/>
      <c r="C86" s="268"/>
      <c r="D86" s="4108"/>
      <c r="E86" s="4103"/>
      <c r="F86" s="4110" t="str">
        <f t="shared" si="17"/>
        <v>ECM Continuous Fan ER1 - MF</v>
      </c>
      <c r="G86" s="4110"/>
      <c r="H86" s="4110"/>
      <c r="I86" s="944">
        <v>1</v>
      </c>
      <c r="J86" s="640"/>
      <c r="K86" s="600"/>
      <c r="L86" s="1027"/>
      <c r="M86" s="249"/>
      <c r="N86" s="905"/>
      <c r="O86" s="249"/>
      <c r="P86" s="249"/>
      <c r="Q86" s="249"/>
      <c r="R86" s="249"/>
      <c r="V86" s="4108"/>
      <c r="W86" s="476">
        <v>1</v>
      </c>
      <c r="X86" s="476">
        <v>1</v>
      </c>
      <c r="Y86" s="476">
        <v>1</v>
      </c>
      <c r="Z86" s="944">
        <v>1</v>
      </c>
      <c r="AA86" s="944">
        <v>1</v>
      </c>
      <c r="AB86" s="476">
        <v>1</v>
      </c>
      <c r="AC86" s="476">
        <v>1</v>
      </c>
      <c r="AD86" s="476"/>
      <c r="AE86" s="476"/>
      <c r="AF86" s="476"/>
      <c r="AG86" s="476"/>
      <c r="AH86" s="1930"/>
      <c r="AI86" s="1930"/>
      <c r="AJ86" s="1930"/>
      <c r="AK86" s="1930"/>
      <c r="AL86" s="1930"/>
      <c r="AM86" s="1930"/>
      <c r="AN86" s="1930"/>
      <c r="AO86" s="1930"/>
      <c r="AP86" s="1930"/>
      <c r="AQ86" s="1930"/>
      <c r="AR86" s="1930"/>
      <c r="AS86" s="1930"/>
      <c r="AT86" s="1930"/>
      <c r="AU86" s="1930"/>
      <c r="AV86" s="1930"/>
      <c r="AW86" s="1930"/>
      <c r="AX86" s="1930"/>
      <c r="AY86" s="1930"/>
      <c r="AZ86" s="1930"/>
      <c r="BA86" s="1930"/>
      <c r="BC86" s="584"/>
      <c r="BE86" s="585"/>
    </row>
    <row r="87" spans="1:57" ht="15.75" hidden="1" outlineLevel="1" thickBot="1" x14ac:dyDescent="0.3">
      <c r="B87" s="1683"/>
      <c r="C87" s="225"/>
      <c r="D87" s="4109"/>
      <c r="E87" s="4104"/>
      <c r="F87" s="4119" t="str">
        <f t="shared" si="17"/>
        <v>ECM Continuous Fan ER2 - MF</v>
      </c>
      <c r="G87" s="4119"/>
      <c r="H87" s="4119"/>
      <c r="I87" s="1518">
        <v>1</v>
      </c>
      <c r="J87" s="645"/>
      <c r="K87" s="603"/>
      <c r="L87" s="1027"/>
      <c r="M87" s="249"/>
      <c r="N87" s="905"/>
      <c r="O87" s="249"/>
      <c r="P87" s="249"/>
      <c r="Q87" s="249"/>
      <c r="R87" s="249"/>
      <c r="V87" s="4109"/>
      <c r="W87" s="644">
        <v>1</v>
      </c>
      <c r="X87" s="644">
        <v>1</v>
      </c>
      <c r="Y87" s="644">
        <v>1</v>
      </c>
      <c r="Z87" s="1518">
        <v>1</v>
      </c>
      <c r="AA87" s="1518">
        <v>1</v>
      </c>
      <c r="AB87" s="644">
        <v>1</v>
      </c>
      <c r="AC87" s="644">
        <v>1</v>
      </c>
      <c r="AD87" s="644"/>
      <c r="AE87" s="644"/>
      <c r="AF87" s="644"/>
      <c r="AG87" s="644"/>
      <c r="AH87" s="1930"/>
      <c r="AI87" s="1930"/>
      <c r="AJ87" s="1930"/>
      <c r="AK87" s="1930"/>
      <c r="AL87" s="1930"/>
      <c r="AM87" s="1930"/>
      <c r="AN87" s="1930"/>
      <c r="AO87" s="1930"/>
      <c r="AP87" s="1930"/>
      <c r="AQ87" s="1930"/>
      <c r="AR87" s="1930"/>
      <c r="AS87" s="1930"/>
      <c r="AT87" s="1930"/>
      <c r="AU87" s="1930"/>
      <c r="AV87" s="1930"/>
      <c r="AW87" s="1930"/>
      <c r="AX87" s="1930"/>
      <c r="AY87" s="1930"/>
      <c r="AZ87" s="1930"/>
      <c r="BA87" s="1930"/>
      <c r="BC87" s="584"/>
      <c r="BE87" s="585"/>
    </row>
    <row r="88" spans="1:57" s="1930" customFormat="1" ht="210.75" hidden="1" outlineLevel="1" thickBot="1" x14ac:dyDescent="0.3">
      <c r="A88" s="1267"/>
      <c r="B88" s="1683"/>
      <c r="C88" s="225"/>
      <c r="D88" s="3167" t="s">
        <v>133</v>
      </c>
      <c r="E88" s="3168" t="s">
        <v>860</v>
      </c>
      <c r="F88" s="4126" t="s">
        <v>135</v>
      </c>
      <c r="G88" s="4127"/>
      <c r="H88" s="4128"/>
      <c r="I88" s="2209">
        <v>1</v>
      </c>
      <c r="J88" s="2704" t="s">
        <v>861</v>
      </c>
      <c r="K88" s="2544"/>
      <c r="L88" s="1027"/>
      <c r="M88" s="249"/>
      <c r="N88" s="905"/>
      <c r="O88" s="249"/>
      <c r="P88" s="249"/>
      <c r="Q88" s="249"/>
      <c r="R88" s="249"/>
      <c r="S88" s="123"/>
      <c r="T88" s="123"/>
      <c r="U88" s="123"/>
      <c r="V88" s="3167" t="s">
        <v>133</v>
      </c>
      <c r="W88" s="2062"/>
      <c r="X88" s="2062"/>
      <c r="Y88" s="2062"/>
      <c r="Z88" s="2209"/>
      <c r="AA88" s="2209"/>
      <c r="AB88" s="2063">
        <v>1</v>
      </c>
      <c r="AC88" s="2062">
        <v>1</v>
      </c>
      <c r="AD88" s="2062"/>
      <c r="AE88" s="2062"/>
      <c r="AF88" s="2062"/>
      <c r="AG88" s="2062"/>
      <c r="BB88" s="575"/>
      <c r="BC88" s="584"/>
      <c r="BD88" s="577"/>
      <c r="BE88" s="585"/>
    </row>
    <row r="89" spans="1:57" ht="18" hidden="1" customHeight="1" outlineLevel="1" x14ac:dyDescent="0.25">
      <c r="B89" s="1437"/>
      <c r="C89" s="253"/>
      <c r="D89" s="4107" t="str">
        <f>N6</f>
        <v>EUL</v>
      </c>
      <c r="E89" s="4102" t="s">
        <v>862</v>
      </c>
      <c r="F89" s="4105" t="str">
        <f t="shared" ref="F89:F100" si="18">E7</f>
        <v>ECM Auto Fan ROF-SF</v>
      </c>
      <c r="G89" s="4105"/>
      <c r="H89" s="4105"/>
      <c r="I89" s="3659">
        <v>20</v>
      </c>
      <c r="J89" s="636"/>
      <c r="K89" s="647" t="s">
        <v>185</v>
      </c>
      <c r="L89" s="1027"/>
      <c r="M89" s="249"/>
      <c r="N89" s="905"/>
      <c r="O89" s="249"/>
      <c r="P89" s="249"/>
      <c r="Q89" s="249"/>
      <c r="R89" s="249"/>
      <c r="V89" s="4107" t="s">
        <v>181</v>
      </c>
      <c r="W89" s="646">
        <v>20</v>
      </c>
      <c r="X89" s="646">
        <v>20</v>
      </c>
      <c r="Y89" s="646">
        <v>20</v>
      </c>
      <c r="Z89" s="1519">
        <v>20</v>
      </c>
      <c r="AA89" s="1519">
        <v>20</v>
      </c>
      <c r="AB89" s="646">
        <v>20</v>
      </c>
      <c r="AC89" s="3659">
        <v>20</v>
      </c>
      <c r="AD89" s="646"/>
      <c r="AE89" s="646"/>
      <c r="AF89" s="646"/>
      <c r="AG89" s="646"/>
      <c r="AH89" s="1930"/>
      <c r="AI89" s="1930"/>
      <c r="AJ89" s="1930"/>
      <c r="AK89" s="1930"/>
      <c r="AL89" s="1930"/>
      <c r="AM89" s="1930"/>
      <c r="AN89" s="1930"/>
      <c r="AO89" s="1930"/>
      <c r="AP89" s="1930"/>
      <c r="AQ89" s="1930"/>
      <c r="AR89" s="1930"/>
      <c r="AS89" s="1930"/>
      <c r="AT89" s="1930"/>
      <c r="AU89" s="1930"/>
      <c r="AV89" s="1930"/>
      <c r="AW89" s="1930"/>
      <c r="AX89" s="1930"/>
      <c r="AY89" s="1930"/>
      <c r="AZ89" s="1930"/>
      <c r="BA89" s="1930"/>
      <c r="BC89" s="584"/>
      <c r="BE89" s="585"/>
    </row>
    <row r="90" spans="1:57" ht="18" hidden="1" customHeight="1" outlineLevel="1" x14ac:dyDescent="0.25">
      <c r="B90" s="1437"/>
      <c r="C90" s="253"/>
      <c r="D90" s="4108"/>
      <c r="E90" s="4103"/>
      <c r="F90" s="4110" t="str">
        <f t="shared" si="18"/>
        <v>ECM Auto Fan ROF-MF</v>
      </c>
      <c r="G90" s="4110"/>
      <c r="H90" s="4110"/>
      <c r="I90" s="3660">
        <v>20</v>
      </c>
      <c r="J90" s="640"/>
      <c r="K90" s="637" t="s">
        <v>185</v>
      </c>
      <c r="L90" s="1027"/>
      <c r="M90" s="249"/>
      <c r="N90" s="905"/>
      <c r="O90" s="249"/>
      <c r="P90" s="249"/>
      <c r="Q90" s="249"/>
      <c r="R90" s="249"/>
      <c r="V90" s="4108"/>
      <c r="W90" s="648">
        <v>20</v>
      </c>
      <c r="X90" s="648">
        <v>20</v>
      </c>
      <c r="Y90" s="648">
        <v>20</v>
      </c>
      <c r="Z90" s="1520">
        <v>20</v>
      </c>
      <c r="AA90" s="1520">
        <v>20</v>
      </c>
      <c r="AB90" s="648">
        <v>20</v>
      </c>
      <c r="AC90" s="3660">
        <v>20</v>
      </c>
      <c r="AD90" s="648"/>
      <c r="AE90" s="648"/>
      <c r="AF90" s="648"/>
      <c r="AG90" s="648"/>
      <c r="AH90" s="1930"/>
      <c r="AI90" s="1930"/>
      <c r="AJ90" s="1930"/>
      <c r="AK90" s="1930"/>
      <c r="AL90" s="1930"/>
      <c r="AM90" s="1930"/>
      <c r="AN90" s="1930"/>
      <c r="AO90" s="1930"/>
      <c r="AP90" s="1930"/>
      <c r="AQ90" s="1930"/>
      <c r="AR90" s="1930"/>
      <c r="AS90" s="1930"/>
      <c r="AT90" s="1930"/>
      <c r="AU90" s="1930"/>
      <c r="AV90" s="1930"/>
      <c r="AW90" s="1930"/>
      <c r="AX90" s="1930"/>
      <c r="AY90" s="1930"/>
      <c r="AZ90" s="1930"/>
      <c r="BA90" s="1930"/>
      <c r="BC90" s="584"/>
      <c r="BE90" s="585"/>
    </row>
    <row r="91" spans="1:57" ht="18" hidden="1" customHeight="1" outlineLevel="1" x14ac:dyDescent="0.25">
      <c r="B91" s="1437"/>
      <c r="C91" s="253"/>
      <c r="D91" s="4108"/>
      <c r="E91" s="4103"/>
      <c r="F91" s="4110" t="str">
        <f t="shared" si="18"/>
        <v>ECM Auto Fan ER1 - SF</v>
      </c>
      <c r="G91" s="4110"/>
      <c r="H91" s="4110"/>
      <c r="I91" s="987">
        <v>6</v>
      </c>
      <c r="J91" s="640"/>
      <c r="K91" s="641" t="s">
        <v>185</v>
      </c>
      <c r="L91" s="1027"/>
      <c r="M91" s="249"/>
      <c r="N91" s="905"/>
      <c r="O91" s="249"/>
      <c r="P91" s="249"/>
      <c r="Q91" s="249"/>
      <c r="R91" s="249"/>
      <c r="V91" s="4108"/>
      <c r="W91" s="649">
        <v>6</v>
      </c>
      <c r="X91" s="649">
        <v>6</v>
      </c>
      <c r="Y91" s="649">
        <v>6</v>
      </c>
      <c r="Z91" s="1224">
        <v>6</v>
      </c>
      <c r="AA91" s="1224">
        <v>6</v>
      </c>
      <c r="AB91" s="649">
        <v>6</v>
      </c>
      <c r="AC91" s="987">
        <v>6</v>
      </c>
      <c r="AD91" s="649"/>
      <c r="AE91" s="649"/>
      <c r="AF91" s="649"/>
      <c r="AG91" s="649"/>
      <c r="AH91" s="1930"/>
      <c r="AI91" s="1930"/>
      <c r="AJ91" s="1930"/>
      <c r="AK91" s="1930"/>
      <c r="AL91" s="1930"/>
      <c r="AM91" s="1930"/>
      <c r="AN91" s="1930"/>
      <c r="AO91" s="1930"/>
      <c r="AP91" s="1930"/>
      <c r="AQ91" s="1930"/>
      <c r="AR91" s="1930"/>
      <c r="AS91" s="1930"/>
      <c r="AT91" s="1930"/>
      <c r="AU91" s="1930"/>
      <c r="AV91" s="1930"/>
      <c r="AW91" s="1930"/>
      <c r="AX91" s="1930"/>
      <c r="AY91" s="1930"/>
      <c r="AZ91" s="1930"/>
      <c r="BA91" s="1930"/>
      <c r="BC91" s="584"/>
      <c r="BE91" s="585"/>
    </row>
    <row r="92" spans="1:57" ht="18" hidden="1" customHeight="1" outlineLevel="1" x14ac:dyDescent="0.25">
      <c r="B92" s="1437"/>
      <c r="C92" s="253"/>
      <c r="D92" s="4108"/>
      <c r="E92" s="4103"/>
      <c r="F92" s="4110" t="str">
        <f t="shared" si="18"/>
        <v>ECM Auto Fan ER2 - SF</v>
      </c>
      <c r="G92" s="4110"/>
      <c r="H92" s="4110"/>
      <c r="I92" s="3663">
        <v>0</v>
      </c>
      <c r="J92" s="640"/>
      <c r="K92" s="600" t="s">
        <v>185</v>
      </c>
      <c r="L92" s="1027"/>
      <c r="M92" s="249"/>
      <c r="N92" s="905"/>
      <c r="O92" s="249"/>
      <c r="P92" s="249"/>
      <c r="Q92" s="249"/>
      <c r="R92" s="249"/>
      <c r="V92" s="4108"/>
      <c r="W92" s="649">
        <v>12</v>
      </c>
      <c r="X92" s="649">
        <v>12</v>
      </c>
      <c r="Y92" s="649">
        <v>12</v>
      </c>
      <c r="Z92" s="1224">
        <v>12</v>
      </c>
      <c r="AA92" s="1224">
        <v>12</v>
      </c>
      <c r="AB92" s="649">
        <v>12</v>
      </c>
      <c r="AC92" s="3663">
        <v>0</v>
      </c>
      <c r="AD92" s="649"/>
      <c r="AE92" s="649"/>
      <c r="AF92" s="649"/>
      <c r="AG92" s="649"/>
      <c r="AH92" s="1930"/>
      <c r="AI92" s="1930"/>
      <c r="AJ92" s="1930"/>
      <c r="AK92" s="1930"/>
      <c r="AL92" s="1930"/>
      <c r="AM92" s="1930"/>
      <c r="AN92" s="1930"/>
      <c r="AO92" s="1930"/>
      <c r="AP92" s="1930"/>
      <c r="AQ92" s="1930"/>
      <c r="AR92" s="1930"/>
      <c r="AS92" s="1930"/>
      <c r="AT92" s="1930"/>
      <c r="AU92" s="1930"/>
      <c r="AV92" s="1930"/>
      <c r="AW92" s="1930"/>
      <c r="AX92" s="1930"/>
      <c r="AY92" s="1930"/>
      <c r="AZ92" s="1930"/>
      <c r="BA92" s="1930"/>
      <c r="BC92" s="584"/>
      <c r="BE92" s="585"/>
    </row>
    <row r="93" spans="1:57" ht="18" hidden="1" customHeight="1" outlineLevel="1" x14ac:dyDescent="0.25">
      <c r="B93" s="1437"/>
      <c r="C93" s="253"/>
      <c r="D93" s="4108"/>
      <c r="E93" s="4103"/>
      <c r="F93" s="4110" t="str">
        <f t="shared" si="18"/>
        <v>ECM Auto Fan ER1 - MF</v>
      </c>
      <c r="G93" s="4110"/>
      <c r="H93" s="4110"/>
      <c r="I93" s="987">
        <v>6</v>
      </c>
      <c r="J93" s="640"/>
      <c r="K93" s="600" t="s">
        <v>185</v>
      </c>
      <c r="L93" s="1027"/>
      <c r="M93" s="249"/>
      <c r="N93" s="905"/>
      <c r="O93" s="249"/>
      <c r="P93" s="249"/>
      <c r="Q93" s="249"/>
      <c r="R93" s="249"/>
      <c r="V93" s="4108"/>
      <c r="W93" s="649">
        <v>6</v>
      </c>
      <c r="X93" s="649">
        <v>6</v>
      </c>
      <c r="Y93" s="649">
        <v>6</v>
      </c>
      <c r="Z93" s="1224">
        <v>6</v>
      </c>
      <c r="AA93" s="1224">
        <v>6</v>
      </c>
      <c r="AB93" s="649">
        <v>6</v>
      </c>
      <c r="AC93" s="987">
        <v>6</v>
      </c>
      <c r="AD93" s="649"/>
      <c r="AE93" s="649"/>
      <c r="AF93" s="649"/>
      <c r="AG93" s="649"/>
      <c r="AH93" s="1930"/>
      <c r="AI93" s="1930"/>
      <c r="AJ93" s="1930"/>
      <c r="AK93" s="1930"/>
      <c r="AL93" s="1930"/>
      <c r="AM93" s="1930"/>
      <c r="AN93" s="1930"/>
      <c r="AO93" s="1930"/>
      <c r="AP93" s="1930"/>
      <c r="AQ93" s="1930"/>
      <c r="AR93" s="1930"/>
      <c r="AS93" s="1930"/>
      <c r="AT93" s="1930"/>
      <c r="AU93" s="1930"/>
      <c r="AV93" s="1930"/>
      <c r="AW93" s="1930"/>
      <c r="AX93" s="1930"/>
      <c r="AY93" s="1930"/>
      <c r="AZ93" s="1930"/>
      <c r="BA93" s="1930"/>
      <c r="BC93" s="584"/>
      <c r="BE93" s="585"/>
    </row>
    <row r="94" spans="1:57" ht="18" hidden="1" customHeight="1" outlineLevel="1" x14ac:dyDescent="0.25">
      <c r="B94" s="1437"/>
      <c r="C94" s="253"/>
      <c r="D94" s="4108"/>
      <c r="E94" s="4103"/>
      <c r="F94" s="4110" t="str">
        <f t="shared" si="18"/>
        <v>ECM Auto Fan ER2 - MF</v>
      </c>
      <c r="G94" s="4110"/>
      <c r="H94" s="4110"/>
      <c r="I94" s="3663">
        <v>0</v>
      </c>
      <c r="J94" s="640"/>
      <c r="K94" s="600" t="s">
        <v>185</v>
      </c>
      <c r="L94" s="1027"/>
      <c r="M94" s="249"/>
      <c r="N94" s="905"/>
      <c r="O94" s="249"/>
      <c r="P94" s="249"/>
      <c r="Q94" s="249"/>
      <c r="R94" s="249"/>
      <c r="V94" s="4108"/>
      <c r="W94" s="649">
        <v>12</v>
      </c>
      <c r="X94" s="649">
        <v>12</v>
      </c>
      <c r="Y94" s="649">
        <v>12</v>
      </c>
      <c r="Z94" s="1224">
        <v>12</v>
      </c>
      <c r="AA94" s="1224">
        <v>12</v>
      </c>
      <c r="AB94" s="649">
        <v>12</v>
      </c>
      <c r="AC94" s="3663">
        <v>0</v>
      </c>
      <c r="AD94" s="649"/>
      <c r="AE94" s="649"/>
      <c r="AF94" s="649"/>
      <c r="AG94" s="649"/>
      <c r="AH94" s="1930"/>
      <c r="AI94" s="1930"/>
      <c r="AJ94" s="1930"/>
      <c r="AK94" s="1930"/>
      <c r="AL94" s="1930"/>
      <c r="AM94" s="1930"/>
      <c r="AN94" s="1930"/>
      <c r="AO94" s="1930"/>
      <c r="AP94" s="1930"/>
      <c r="AQ94" s="1930"/>
      <c r="AR94" s="1930"/>
      <c r="AS94" s="1930"/>
      <c r="AT94" s="1930"/>
      <c r="AU94" s="1930"/>
      <c r="AV94" s="1930"/>
      <c r="AW94" s="1930"/>
      <c r="AX94" s="1930"/>
      <c r="AY94" s="1930"/>
      <c r="AZ94" s="1930"/>
      <c r="BA94" s="1930"/>
      <c r="BC94" s="584"/>
      <c r="BE94" s="585"/>
    </row>
    <row r="95" spans="1:57" hidden="1" outlineLevel="1" x14ac:dyDescent="0.25">
      <c r="B95" s="1437"/>
      <c r="C95" s="267"/>
      <c r="D95" s="4108"/>
      <c r="E95" s="4103"/>
      <c r="F95" s="4110" t="str">
        <f t="shared" si="18"/>
        <v>ECM Continuous Fan ROF- SF</v>
      </c>
      <c r="G95" s="4110"/>
      <c r="H95" s="4110"/>
      <c r="I95" s="987">
        <v>20</v>
      </c>
      <c r="J95" s="640"/>
      <c r="K95" s="600" t="s">
        <v>185</v>
      </c>
      <c r="L95" s="1027"/>
      <c r="M95" s="249"/>
      <c r="N95" s="905"/>
      <c r="O95" s="3773" t="s">
        <v>171</v>
      </c>
      <c r="P95" s="3772"/>
      <c r="Q95" s="3772"/>
      <c r="R95" s="3774"/>
      <c r="V95" s="4108"/>
      <c r="W95" s="649">
        <v>20</v>
      </c>
      <c r="X95" s="649">
        <v>20</v>
      </c>
      <c r="Y95" s="649">
        <v>20</v>
      </c>
      <c r="Z95" s="1224">
        <v>20</v>
      </c>
      <c r="AA95" s="1224">
        <v>20</v>
      </c>
      <c r="AB95" s="649">
        <v>20</v>
      </c>
      <c r="AC95" s="987">
        <v>20</v>
      </c>
      <c r="AD95" s="649"/>
      <c r="AE95" s="649"/>
      <c r="AF95" s="649"/>
      <c r="AG95" s="649"/>
      <c r="AH95" s="1930"/>
      <c r="AI95" s="1930"/>
      <c r="AJ95" s="1930"/>
      <c r="AK95" s="1930"/>
      <c r="AL95" s="1930"/>
      <c r="AM95" s="1930"/>
      <c r="AN95" s="1930"/>
      <c r="AO95" s="1930"/>
      <c r="AP95" s="1930"/>
      <c r="AQ95" s="1930"/>
      <c r="AR95" s="1930"/>
      <c r="AS95" s="1930"/>
      <c r="AT95" s="1930"/>
      <c r="AU95" s="1930"/>
      <c r="AV95" s="1930"/>
      <c r="AW95" s="1930"/>
      <c r="AX95" s="1930"/>
      <c r="AY95" s="1930"/>
      <c r="AZ95" s="1930"/>
      <c r="BA95" s="1930"/>
      <c r="BC95" s="584"/>
      <c r="BE95" s="585"/>
    </row>
    <row r="96" spans="1:57" hidden="1" outlineLevel="1" x14ac:dyDescent="0.25">
      <c r="B96" s="1437"/>
      <c r="C96" s="267"/>
      <c r="D96" s="4108"/>
      <c r="E96" s="4103"/>
      <c r="F96" s="4110" t="str">
        <f t="shared" si="18"/>
        <v>ECM Continuous Fan ROF- MF</v>
      </c>
      <c r="G96" s="4110"/>
      <c r="H96" s="4110"/>
      <c r="I96" s="987">
        <v>20</v>
      </c>
      <c r="J96" s="640"/>
      <c r="K96" s="600" t="s">
        <v>185</v>
      </c>
      <c r="L96" s="1027"/>
      <c r="M96" s="249"/>
      <c r="N96" s="905"/>
      <c r="O96" s="1521"/>
      <c r="P96" s="650"/>
      <c r="Q96" s="3161" t="s">
        <v>863</v>
      </c>
      <c r="R96" s="3136" t="s">
        <v>864</v>
      </c>
      <c r="V96" s="4108"/>
      <c r="W96" s="649">
        <v>20</v>
      </c>
      <c r="X96" s="649">
        <v>20</v>
      </c>
      <c r="Y96" s="649">
        <v>20</v>
      </c>
      <c r="Z96" s="1224">
        <v>20</v>
      </c>
      <c r="AA96" s="1224">
        <v>20</v>
      </c>
      <c r="AB96" s="649">
        <v>20</v>
      </c>
      <c r="AC96" s="987">
        <v>20</v>
      </c>
      <c r="AD96" s="649"/>
      <c r="AE96" s="649"/>
      <c r="AF96" s="649"/>
      <c r="AG96" s="649"/>
      <c r="AH96" s="1930"/>
      <c r="AI96" s="1930"/>
      <c r="AJ96" s="1930"/>
      <c r="AK96" s="1930"/>
      <c r="AL96" s="1930"/>
      <c r="AM96" s="1930"/>
      <c r="AN96" s="1930"/>
      <c r="AO96" s="1930"/>
      <c r="AP96" s="1930"/>
      <c r="AQ96" s="1930"/>
      <c r="AR96" s="1930"/>
      <c r="AS96" s="1930"/>
      <c r="AT96" s="1930"/>
      <c r="AU96" s="1930"/>
      <c r="AV96" s="1930"/>
      <c r="AW96" s="1930"/>
      <c r="AX96" s="1930"/>
      <c r="AY96" s="1930"/>
      <c r="AZ96" s="1930"/>
      <c r="BA96" s="1930"/>
      <c r="BC96" s="584"/>
      <c r="BE96" s="585"/>
    </row>
    <row r="97" spans="2:57" hidden="1" outlineLevel="1" x14ac:dyDescent="0.25">
      <c r="B97" s="1437"/>
      <c r="C97" s="268"/>
      <c r="D97" s="4108"/>
      <c r="E97" s="4103"/>
      <c r="F97" s="4110" t="str">
        <f t="shared" si="18"/>
        <v>ECM Continuous Fan ER1 - SF</v>
      </c>
      <c r="G97" s="4110"/>
      <c r="H97" s="4110"/>
      <c r="I97" s="987">
        <v>6</v>
      </c>
      <c r="J97" s="640"/>
      <c r="K97" s="600" t="s">
        <v>185</v>
      </c>
      <c r="L97" s="1027"/>
      <c r="M97" s="249"/>
      <c r="N97" s="905"/>
      <c r="O97" s="4131" t="s">
        <v>865</v>
      </c>
      <c r="P97" s="4132"/>
      <c r="Q97" s="1220">
        <f>($Q$103/1+R97)-$Q$102/((1+$Q$105)^($Q$106-1))</f>
        <v>74.327224020150311</v>
      </c>
      <c r="R97" s="651">
        <v>0</v>
      </c>
      <c r="V97" s="4108"/>
      <c r="W97" s="649">
        <v>6</v>
      </c>
      <c r="X97" s="649">
        <v>6</v>
      </c>
      <c r="Y97" s="649">
        <v>6</v>
      </c>
      <c r="Z97" s="1224">
        <v>6</v>
      </c>
      <c r="AA97" s="1224">
        <v>6</v>
      </c>
      <c r="AB97" s="649">
        <v>6</v>
      </c>
      <c r="AC97" s="987">
        <v>6</v>
      </c>
      <c r="AD97" s="649"/>
      <c r="AE97" s="649"/>
      <c r="AF97" s="649"/>
      <c r="AG97" s="649"/>
      <c r="AH97" s="1930"/>
      <c r="AI97" s="1930"/>
      <c r="AJ97" s="1930"/>
      <c r="AK97" s="1930"/>
      <c r="AL97" s="1930"/>
      <c r="AM97" s="1930"/>
      <c r="AN97" s="1930"/>
      <c r="AO97" s="1930"/>
      <c r="AP97" s="1930"/>
      <c r="AQ97" s="1930"/>
      <c r="AR97" s="1930"/>
      <c r="AS97" s="1930"/>
      <c r="AT97" s="1930"/>
      <c r="AU97" s="1930"/>
      <c r="AV97" s="1930"/>
      <c r="AW97" s="1930"/>
      <c r="AX97" s="1930"/>
      <c r="AY97" s="1930"/>
      <c r="AZ97" s="1930"/>
      <c r="BA97" s="1930"/>
      <c r="BC97" s="584"/>
      <c r="BE97" s="585"/>
    </row>
    <row r="98" spans="2:57" hidden="1" outlineLevel="1" x14ac:dyDescent="0.25">
      <c r="B98" s="1437"/>
      <c r="C98" s="268"/>
      <c r="D98" s="4108"/>
      <c r="E98" s="4103"/>
      <c r="F98" s="4110" t="str">
        <f t="shared" si="18"/>
        <v>ECM Continuous Fan ER2 - SF</v>
      </c>
      <c r="G98" s="4110"/>
      <c r="H98" s="4110"/>
      <c r="I98" s="3663">
        <v>0</v>
      </c>
      <c r="J98" s="643"/>
      <c r="K98" s="600" t="s">
        <v>185</v>
      </c>
      <c r="L98" s="1027"/>
      <c r="M98" s="249"/>
      <c r="N98" s="905"/>
      <c r="O98" s="4133"/>
      <c r="P98" s="4133"/>
      <c r="Q98" s="653"/>
      <c r="R98" s="654"/>
      <c r="V98" s="4108"/>
      <c r="W98" s="652">
        <v>12</v>
      </c>
      <c r="X98" s="652">
        <v>12</v>
      </c>
      <c r="Y98" s="652">
        <v>12</v>
      </c>
      <c r="Z98" s="1522">
        <v>12</v>
      </c>
      <c r="AA98" s="1522">
        <v>12</v>
      </c>
      <c r="AB98" s="652">
        <v>12</v>
      </c>
      <c r="AC98" s="3663">
        <v>0</v>
      </c>
      <c r="AD98" s="652"/>
      <c r="AE98" s="652"/>
      <c r="AF98" s="652"/>
      <c r="AG98" s="652"/>
      <c r="AH98" s="1930"/>
      <c r="AI98" s="1930"/>
      <c r="AJ98" s="1930"/>
      <c r="AK98" s="1930"/>
      <c r="AL98" s="1930"/>
      <c r="AM98" s="1930"/>
      <c r="AN98" s="1930"/>
      <c r="AO98" s="1930"/>
      <c r="AP98" s="1930"/>
      <c r="AQ98" s="1930"/>
      <c r="AR98" s="1930"/>
      <c r="AS98" s="1930"/>
      <c r="AT98" s="1930"/>
      <c r="AU98" s="1930"/>
      <c r="AV98" s="1930"/>
      <c r="AW98" s="1930"/>
      <c r="AX98" s="1930"/>
      <c r="AY98" s="1930"/>
      <c r="AZ98" s="1930"/>
      <c r="BA98" s="1930"/>
      <c r="BC98" s="584"/>
      <c r="BE98" s="585"/>
    </row>
    <row r="99" spans="2:57" ht="16.5" hidden="1" customHeight="1" outlineLevel="1" x14ac:dyDescent="0.25">
      <c r="B99" s="1437"/>
      <c r="C99" s="268"/>
      <c r="D99" s="4108"/>
      <c r="E99" s="4103"/>
      <c r="F99" s="4110" t="str">
        <f t="shared" si="18"/>
        <v>ECM Continuous Fan ER1 - MF</v>
      </c>
      <c r="G99" s="4110"/>
      <c r="H99" s="4110"/>
      <c r="I99" s="987">
        <v>6</v>
      </c>
      <c r="J99" s="640"/>
      <c r="K99" s="600" t="s">
        <v>185</v>
      </c>
      <c r="L99" s="1027"/>
      <c r="M99" s="249"/>
      <c r="N99" s="905"/>
      <c r="O99" s="229"/>
      <c r="P99" s="229"/>
      <c r="Q99" s="229"/>
      <c r="R99" s="229"/>
      <c r="V99" s="4108"/>
      <c r="W99" s="649">
        <v>6</v>
      </c>
      <c r="X99" s="649">
        <v>6</v>
      </c>
      <c r="Y99" s="649">
        <v>6</v>
      </c>
      <c r="Z99" s="1224">
        <v>6</v>
      </c>
      <c r="AA99" s="1224">
        <v>6</v>
      </c>
      <c r="AB99" s="649">
        <v>6</v>
      </c>
      <c r="AC99" s="987">
        <v>6</v>
      </c>
      <c r="AD99" s="649"/>
      <c r="AE99" s="649"/>
      <c r="AF99" s="649"/>
      <c r="AG99" s="649"/>
      <c r="AH99" s="1930"/>
      <c r="AI99" s="1930"/>
      <c r="AJ99" s="1930"/>
      <c r="AK99" s="1930"/>
      <c r="AL99" s="1930"/>
      <c r="AM99" s="1930"/>
      <c r="AN99" s="1930"/>
      <c r="AO99" s="1930"/>
      <c r="AP99" s="1930"/>
      <c r="AQ99" s="1930"/>
      <c r="AR99" s="1930"/>
      <c r="AS99" s="1930"/>
      <c r="AT99" s="1930"/>
      <c r="AU99" s="1930"/>
      <c r="AV99" s="1930"/>
      <c r="AW99" s="1930"/>
      <c r="AX99" s="1930"/>
      <c r="AY99" s="1930"/>
      <c r="AZ99" s="1930"/>
      <c r="BA99" s="1930"/>
      <c r="BC99" s="584"/>
      <c r="BE99" s="585"/>
    </row>
    <row r="100" spans="2:57" ht="15.75" hidden="1" outlineLevel="1" thickBot="1" x14ac:dyDescent="0.3">
      <c r="B100" s="1683"/>
      <c r="C100" s="225"/>
      <c r="D100" s="4109"/>
      <c r="E100" s="4104"/>
      <c r="F100" s="4119" t="str">
        <f t="shared" si="18"/>
        <v>ECM Continuous Fan ER2 - MF</v>
      </c>
      <c r="G100" s="4119"/>
      <c r="H100" s="4119"/>
      <c r="I100" s="3663">
        <v>0</v>
      </c>
      <c r="J100" s="645"/>
      <c r="K100" s="603" t="s">
        <v>185</v>
      </c>
      <c r="L100" s="1027"/>
      <c r="M100" s="249"/>
      <c r="N100" s="905"/>
      <c r="O100" s="229"/>
      <c r="P100" s="229"/>
      <c r="Q100" s="229"/>
      <c r="R100" s="229"/>
      <c r="V100" s="4109"/>
      <c r="W100" s="655">
        <v>12</v>
      </c>
      <c r="X100" s="655">
        <v>12</v>
      </c>
      <c r="Y100" s="655">
        <v>12</v>
      </c>
      <c r="Z100" s="1523">
        <v>12</v>
      </c>
      <c r="AA100" s="1523">
        <v>12</v>
      </c>
      <c r="AB100" s="655">
        <v>12</v>
      </c>
      <c r="AC100" s="3663">
        <v>0</v>
      </c>
      <c r="AD100" s="655"/>
      <c r="AE100" s="655"/>
      <c r="AF100" s="655"/>
      <c r="AG100" s="655"/>
      <c r="AH100" s="1930"/>
      <c r="AI100" s="1930"/>
      <c r="AJ100" s="1930"/>
      <c r="AK100" s="1930"/>
      <c r="AL100" s="1930"/>
      <c r="AM100" s="1930"/>
      <c r="AN100" s="1930"/>
      <c r="AO100" s="1930"/>
      <c r="AP100" s="1930"/>
      <c r="AQ100" s="1930"/>
      <c r="AR100" s="1930"/>
      <c r="AS100" s="1930"/>
      <c r="AT100" s="1930"/>
      <c r="AU100" s="1930"/>
      <c r="AV100" s="1930"/>
      <c r="AW100" s="1930"/>
      <c r="AX100" s="1930"/>
      <c r="AY100" s="1930"/>
      <c r="AZ100" s="1930"/>
      <c r="BA100" s="1930"/>
      <c r="BC100" s="584"/>
      <c r="BE100" s="585"/>
    </row>
    <row r="101" spans="2:57" ht="18" hidden="1" customHeight="1" outlineLevel="1" x14ac:dyDescent="0.25">
      <c r="B101" s="1437"/>
      <c r="C101" s="253"/>
      <c r="D101" s="4107" t="str">
        <f>O6</f>
        <v>Inc. Cost</v>
      </c>
      <c r="E101" s="4102" t="s">
        <v>543</v>
      </c>
      <c r="F101" s="4105" t="str">
        <f t="shared" ref="F101:F112" si="19">E7</f>
        <v>ECM Auto Fan ROF-SF</v>
      </c>
      <c r="G101" s="4105"/>
      <c r="H101" s="4105"/>
      <c r="I101" s="1524">
        <f>$R$97</f>
        <v>0</v>
      </c>
      <c r="J101" s="640"/>
      <c r="K101" s="647" t="s">
        <v>185</v>
      </c>
      <c r="L101" s="1027"/>
      <c r="M101" s="1525"/>
      <c r="N101" s="905"/>
      <c r="O101" s="3923" t="s">
        <v>866</v>
      </c>
      <c r="P101" s="4115"/>
      <c r="Q101" s="3924"/>
      <c r="R101" s="229"/>
      <c r="V101" s="4107" t="s">
        <v>170</v>
      </c>
      <c r="W101" s="656">
        <f t="shared" ref="W101:AA102" si="20">$R$97</f>
        <v>0</v>
      </c>
      <c r="X101" s="656">
        <f t="shared" si="20"/>
        <v>0</v>
      </c>
      <c r="Y101" s="656">
        <f t="shared" si="20"/>
        <v>0</v>
      </c>
      <c r="Z101" s="1524">
        <f t="shared" si="20"/>
        <v>0</v>
      </c>
      <c r="AA101" s="1524">
        <f t="shared" si="20"/>
        <v>0</v>
      </c>
      <c r="AB101" s="656">
        <v>0</v>
      </c>
      <c r="AC101" s="656">
        <v>0</v>
      </c>
      <c r="AD101" s="656"/>
      <c r="AE101" s="656"/>
      <c r="AF101" s="656"/>
      <c r="AG101" s="656"/>
      <c r="AH101" s="1930"/>
      <c r="AI101" s="1930"/>
      <c r="AJ101" s="1930"/>
      <c r="AK101" s="1930"/>
      <c r="AL101" s="1930"/>
      <c r="AM101" s="1930"/>
      <c r="AN101" s="1930"/>
      <c r="AO101" s="1930"/>
      <c r="AP101" s="1930"/>
      <c r="AQ101" s="1930"/>
      <c r="AR101" s="1930"/>
      <c r="AS101" s="1930"/>
      <c r="AT101" s="1930"/>
      <c r="AU101" s="1930"/>
      <c r="AV101" s="1930"/>
      <c r="AW101" s="1930"/>
      <c r="AX101" s="1930"/>
      <c r="AY101" s="1930"/>
      <c r="AZ101" s="1930"/>
      <c r="BA101" s="1930"/>
      <c r="BC101" s="584"/>
      <c r="BE101" s="585"/>
    </row>
    <row r="102" spans="2:57" ht="18" hidden="1" customHeight="1" outlineLevel="1" x14ac:dyDescent="0.25">
      <c r="B102" s="1437"/>
      <c r="C102" s="253"/>
      <c r="D102" s="4108"/>
      <c r="E102" s="4103"/>
      <c r="F102" s="4110" t="str">
        <f t="shared" si="19"/>
        <v>ECM Auto Fan ROF-MF</v>
      </c>
      <c r="G102" s="4110"/>
      <c r="H102" s="4110"/>
      <c r="I102" s="1526">
        <f>$R$97</f>
        <v>0</v>
      </c>
      <c r="J102" s="640"/>
      <c r="K102" s="637" t="s">
        <v>185</v>
      </c>
      <c r="L102" s="1027"/>
      <c r="M102" s="249"/>
      <c r="N102" s="905"/>
      <c r="O102" s="4111" t="s">
        <v>867</v>
      </c>
      <c r="P102" s="4112"/>
      <c r="Q102" s="658">
        <f>Q103*(1+Q104)^Q106</f>
        <v>534.92714915040006</v>
      </c>
      <c r="R102" s="229"/>
      <c r="V102" s="4108"/>
      <c r="W102" s="657">
        <f t="shared" si="20"/>
        <v>0</v>
      </c>
      <c r="X102" s="657">
        <f t="shared" si="20"/>
        <v>0</v>
      </c>
      <c r="Y102" s="657">
        <f t="shared" si="20"/>
        <v>0</v>
      </c>
      <c r="Z102" s="1526">
        <f t="shared" si="20"/>
        <v>0</v>
      </c>
      <c r="AA102" s="1526">
        <f t="shared" si="20"/>
        <v>0</v>
      </c>
      <c r="AB102" s="657">
        <v>0</v>
      </c>
      <c r="AC102" s="657">
        <v>0</v>
      </c>
      <c r="AD102" s="657"/>
      <c r="AE102" s="657"/>
      <c r="AF102" s="657"/>
      <c r="AG102" s="657"/>
      <c r="AH102" s="1930"/>
      <c r="AI102" s="1930"/>
      <c r="AJ102" s="1930"/>
      <c r="AK102" s="1930"/>
      <c r="AL102" s="1930"/>
      <c r="AM102" s="1930"/>
      <c r="AN102" s="1930"/>
      <c r="AO102" s="1930"/>
      <c r="AP102" s="1930"/>
      <c r="AQ102" s="1930"/>
      <c r="AR102" s="1930"/>
      <c r="AS102" s="1930"/>
      <c r="AT102" s="1930"/>
      <c r="AU102" s="1930"/>
      <c r="AV102" s="1930"/>
      <c r="AW102" s="1930"/>
      <c r="AX102" s="1930"/>
      <c r="AY102" s="1930"/>
      <c r="AZ102" s="1930"/>
      <c r="BA102" s="1930"/>
      <c r="BC102" s="584"/>
      <c r="BE102" s="585"/>
    </row>
    <row r="103" spans="2:57" ht="18" hidden="1" customHeight="1" outlineLevel="1" x14ac:dyDescent="0.25">
      <c r="B103" s="1437"/>
      <c r="C103" s="253"/>
      <c r="D103" s="4108"/>
      <c r="E103" s="4103"/>
      <c r="F103" s="4110" t="str">
        <f t="shared" si="19"/>
        <v>ECM Auto Fan ER1 - SF</v>
      </c>
      <c r="G103" s="4110"/>
      <c r="H103" s="4110"/>
      <c r="I103" s="1225">
        <f>$Q$97</f>
        <v>74.327224020150311</v>
      </c>
      <c r="J103" s="640"/>
      <c r="K103" s="641" t="s">
        <v>185</v>
      </c>
      <c r="L103" s="1027"/>
      <c r="M103" s="249"/>
      <c r="N103" s="905"/>
      <c r="O103" s="4111" t="s">
        <v>868</v>
      </c>
      <c r="P103" s="4112"/>
      <c r="Q103" s="2670">
        <v>475</v>
      </c>
      <c r="R103" s="1527" t="s">
        <v>869</v>
      </c>
      <c r="V103" s="4108"/>
      <c r="W103" s="659">
        <f>$Q$97</f>
        <v>74.327224020150311</v>
      </c>
      <c r="X103" s="659">
        <f>$Q$97</f>
        <v>74.327224020150311</v>
      </c>
      <c r="Y103" s="659">
        <f>$Q$97</f>
        <v>74.327224020150311</v>
      </c>
      <c r="Z103" s="1225">
        <f t="shared" ref="Z103:AA103" si="21">$Q$97</f>
        <v>74.327224020150311</v>
      </c>
      <c r="AA103" s="1225">
        <f t="shared" si="21"/>
        <v>74.327224020150311</v>
      </c>
      <c r="AB103" s="659">
        <v>74.327224020150311</v>
      </c>
      <c r="AC103" s="659">
        <v>74.327224020150311</v>
      </c>
      <c r="AD103" s="659"/>
      <c r="AE103" s="659"/>
      <c r="AF103" s="659"/>
      <c r="AG103" s="659"/>
      <c r="AH103" s="1930"/>
      <c r="AI103" s="1930"/>
      <c r="AJ103" s="1930"/>
      <c r="AK103" s="1930"/>
      <c r="AL103" s="1930"/>
      <c r="AM103" s="1930"/>
      <c r="AN103" s="1930"/>
      <c r="AO103" s="1930"/>
      <c r="AP103" s="1930"/>
      <c r="AQ103" s="1930"/>
      <c r="AR103" s="1930"/>
      <c r="AS103" s="1930"/>
      <c r="AT103" s="1930"/>
      <c r="AU103" s="1930"/>
      <c r="AV103" s="1930"/>
      <c r="AW103" s="1930"/>
      <c r="AX103" s="1930"/>
      <c r="AY103" s="1930"/>
      <c r="AZ103" s="1930"/>
      <c r="BA103" s="1930"/>
      <c r="BC103" s="584"/>
      <c r="BE103" s="585"/>
    </row>
    <row r="104" spans="2:57" ht="18" hidden="1" customHeight="1" outlineLevel="1" x14ac:dyDescent="0.25">
      <c r="B104" s="1437"/>
      <c r="C104" s="253"/>
      <c r="D104" s="4108"/>
      <c r="E104" s="4103"/>
      <c r="F104" s="4110" t="str">
        <f t="shared" si="19"/>
        <v>ECM Auto Fan ER2 - SF</v>
      </c>
      <c r="G104" s="4110"/>
      <c r="H104" s="4110"/>
      <c r="I104" s="1225"/>
      <c r="J104" s="640"/>
      <c r="K104" s="600" t="s">
        <v>185</v>
      </c>
      <c r="L104" s="1027"/>
      <c r="M104" s="249"/>
      <c r="N104" s="905"/>
      <c r="O104" s="4111" t="s">
        <v>870</v>
      </c>
      <c r="P104" s="4112"/>
      <c r="Q104" s="660">
        <v>0.02</v>
      </c>
      <c r="R104" s="229"/>
      <c r="V104" s="4108"/>
      <c r="W104" s="659"/>
      <c r="X104" s="659"/>
      <c r="Y104" s="659"/>
      <c r="Z104" s="1225"/>
      <c r="AA104" s="1225"/>
      <c r="AB104" s="659"/>
      <c r="AC104" s="659"/>
      <c r="AD104" s="659"/>
      <c r="AE104" s="659"/>
      <c r="AF104" s="659"/>
      <c r="AG104" s="659"/>
      <c r="AH104" s="1930"/>
      <c r="AI104" s="1930"/>
      <c r="AJ104" s="1930"/>
      <c r="AK104" s="1930"/>
      <c r="AL104" s="1930"/>
      <c r="AM104" s="1930"/>
      <c r="AN104" s="1930"/>
      <c r="AO104" s="1930"/>
      <c r="AP104" s="1930"/>
      <c r="AQ104" s="1930"/>
      <c r="AR104" s="1930"/>
      <c r="AS104" s="1930"/>
      <c r="AT104" s="1930"/>
      <c r="AU104" s="1930"/>
      <c r="AV104" s="1930"/>
      <c r="AW104" s="1930"/>
      <c r="AX104" s="1930"/>
      <c r="AY104" s="1930"/>
      <c r="AZ104" s="1930"/>
      <c r="BA104" s="1930"/>
      <c r="BC104" s="584"/>
      <c r="BE104" s="585"/>
    </row>
    <row r="105" spans="2:57" ht="18" hidden="1" customHeight="1" outlineLevel="1" x14ac:dyDescent="0.25">
      <c r="B105" s="1437"/>
      <c r="C105" s="253"/>
      <c r="D105" s="4108"/>
      <c r="E105" s="4103"/>
      <c r="F105" s="4110" t="str">
        <f t="shared" si="19"/>
        <v>ECM Auto Fan ER1 - MF</v>
      </c>
      <c r="G105" s="4110"/>
      <c r="H105" s="4110"/>
      <c r="I105" s="1225">
        <f>$Q$97</f>
        <v>74.327224020150311</v>
      </c>
      <c r="J105" s="640"/>
      <c r="K105" s="600" t="s">
        <v>185</v>
      </c>
      <c r="L105" s="1027"/>
      <c r="M105" s="1528"/>
      <c r="N105" s="905"/>
      <c r="O105" s="4113" t="s">
        <v>871</v>
      </c>
      <c r="P105" s="4114"/>
      <c r="Q105" s="660">
        <v>5.9499999999999997E-2</v>
      </c>
      <c r="R105" s="229"/>
      <c r="V105" s="4108"/>
      <c r="W105" s="659">
        <f>$Q$97</f>
        <v>74.327224020150311</v>
      </c>
      <c r="X105" s="659">
        <f>$Q$97</f>
        <v>74.327224020150311</v>
      </c>
      <c r="Y105" s="659">
        <f>$Q$97</f>
        <v>74.327224020150311</v>
      </c>
      <c r="Z105" s="1225">
        <f t="shared" ref="Z105:AA105" si="22">$Q$97</f>
        <v>74.327224020150311</v>
      </c>
      <c r="AA105" s="1225">
        <f t="shared" si="22"/>
        <v>74.327224020150311</v>
      </c>
      <c r="AB105" s="659">
        <v>74.327224020150311</v>
      </c>
      <c r="AC105" s="659">
        <v>74.327224020150311</v>
      </c>
      <c r="AD105" s="659"/>
      <c r="AE105" s="659"/>
      <c r="AF105" s="659"/>
      <c r="AG105" s="659"/>
      <c r="AH105" s="1930"/>
      <c r="AI105" s="1930"/>
      <c r="AJ105" s="1930"/>
      <c r="AK105" s="1930"/>
      <c r="AL105" s="1930"/>
      <c r="AM105" s="1930"/>
      <c r="AN105" s="1930"/>
      <c r="AO105" s="1930"/>
      <c r="AP105" s="1930"/>
      <c r="AQ105" s="1930"/>
      <c r="AR105" s="1930"/>
      <c r="AS105" s="1930"/>
      <c r="AT105" s="1930"/>
      <c r="AU105" s="1930"/>
      <c r="AV105" s="1930"/>
      <c r="AW105" s="1930"/>
      <c r="AX105" s="1930"/>
      <c r="AY105" s="1930"/>
      <c r="AZ105" s="1930"/>
      <c r="BA105" s="1930"/>
      <c r="BC105" s="584"/>
      <c r="BE105" s="585"/>
    </row>
    <row r="106" spans="2:57" ht="18" hidden="1" customHeight="1" outlineLevel="1" x14ac:dyDescent="0.25">
      <c r="B106" s="1437"/>
      <c r="C106" s="253"/>
      <c r="D106" s="4108"/>
      <c r="E106" s="4103"/>
      <c r="F106" s="4110" t="str">
        <f t="shared" si="19"/>
        <v>ECM Auto Fan ER2 - MF</v>
      </c>
      <c r="G106" s="4110"/>
      <c r="H106" s="4110"/>
      <c r="I106" s="1225"/>
      <c r="J106" s="640"/>
      <c r="K106" s="600" t="s">
        <v>185</v>
      </c>
      <c r="L106" s="1027"/>
      <c r="M106" s="249"/>
      <c r="N106" s="905"/>
      <c r="O106" s="661" t="s">
        <v>872</v>
      </c>
      <c r="P106" s="662"/>
      <c r="Q106" s="2670">
        <v>6</v>
      </c>
      <c r="R106" s="229"/>
      <c r="V106" s="4108"/>
      <c r="W106" s="659"/>
      <c r="X106" s="659"/>
      <c r="Y106" s="659"/>
      <c r="Z106" s="1225"/>
      <c r="AA106" s="1225"/>
      <c r="AB106" s="659"/>
      <c r="AC106" s="659"/>
      <c r="AD106" s="659"/>
      <c r="AE106" s="659"/>
      <c r="AF106" s="659"/>
      <c r="AG106" s="659"/>
      <c r="AH106" s="1930"/>
      <c r="AI106" s="1930"/>
      <c r="AJ106" s="1930"/>
      <c r="AK106" s="1930"/>
      <c r="AL106" s="1930"/>
      <c r="AM106" s="1930"/>
      <c r="AN106" s="1930"/>
      <c r="AO106" s="1930"/>
      <c r="AP106" s="1930"/>
      <c r="AQ106" s="1930"/>
      <c r="AR106" s="1930"/>
      <c r="AS106" s="1930"/>
      <c r="AT106" s="1930"/>
      <c r="AU106" s="1930"/>
      <c r="AV106" s="1930"/>
      <c r="AW106" s="1930"/>
      <c r="AX106" s="1930"/>
      <c r="AY106" s="1930"/>
      <c r="AZ106" s="1930"/>
      <c r="BA106" s="1930"/>
      <c r="BC106" s="584"/>
      <c r="BE106" s="585"/>
    </row>
    <row r="107" spans="2:57" ht="15" hidden="1" customHeight="1" outlineLevel="1" x14ac:dyDescent="0.25">
      <c r="B107" s="1437"/>
      <c r="C107" s="267"/>
      <c r="D107" s="4108"/>
      <c r="E107" s="4103"/>
      <c r="F107" s="4110" t="str">
        <f t="shared" si="19"/>
        <v>ECM Continuous Fan ROF- SF</v>
      </c>
      <c r="G107" s="4110"/>
      <c r="H107" s="4110"/>
      <c r="I107" s="1225">
        <f>$R$97</f>
        <v>0</v>
      </c>
      <c r="J107" s="640"/>
      <c r="K107" s="600" t="s">
        <v>185</v>
      </c>
      <c r="L107" s="1027"/>
      <c r="M107" s="249"/>
      <c r="N107" s="905"/>
      <c r="V107" s="4108"/>
      <c r="W107" s="659">
        <f t="shared" ref="W107:AA108" si="23">$R$97</f>
        <v>0</v>
      </c>
      <c r="X107" s="659">
        <f t="shared" si="23"/>
        <v>0</v>
      </c>
      <c r="Y107" s="659">
        <f t="shared" si="23"/>
        <v>0</v>
      </c>
      <c r="Z107" s="1225">
        <f t="shared" si="23"/>
        <v>0</v>
      </c>
      <c r="AA107" s="1225">
        <f t="shared" si="23"/>
        <v>0</v>
      </c>
      <c r="AB107" s="659">
        <v>0</v>
      </c>
      <c r="AC107" s="659">
        <v>0</v>
      </c>
      <c r="AD107" s="659"/>
      <c r="AE107" s="659"/>
      <c r="AF107" s="659"/>
      <c r="AG107" s="659"/>
      <c r="AH107" s="1930"/>
      <c r="AI107" s="1930"/>
      <c r="AJ107" s="1930"/>
      <c r="AK107" s="1930"/>
      <c r="AL107" s="1930"/>
      <c r="AM107" s="1930"/>
      <c r="AN107" s="1930"/>
      <c r="AO107" s="1930"/>
      <c r="AP107" s="1930"/>
      <c r="AQ107" s="1930"/>
      <c r="AR107" s="1930"/>
      <c r="AS107" s="1930"/>
      <c r="AT107" s="1930"/>
      <c r="AU107" s="1930"/>
      <c r="AV107" s="1930"/>
      <c r="AW107" s="1930"/>
      <c r="AX107" s="1930"/>
      <c r="AY107" s="1930"/>
      <c r="AZ107" s="1930"/>
      <c r="BA107" s="1930"/>
      <c r="BC107" s="584"/>
      <c r="BE107" s="585"/>
    </row>
    <row r="108" spans="2:57" hidden="1" outlineLevel="1" x14ac:dyDescent="0.25">
      <c r="B108" s="1437"/>
      <c r="C108" s="267"/>
      <c r="D108" s="4108"/>
      <c r="E108" s="4103"/>
      <c r="F108" s="4110" t="str">
        <f t="shared" si="19"/>
        <v>ECM Continuous Fan ROF- MF</v>
      </c>
      <c r="G108" s="4110"/>
      <c r="H108" s="4110"/>
      <c r="I108" s="1225">
        <f>$R$97</f>
        <v>0</v>
      </c>
      <c r="J108" s="640"/>
      <c r="K108" s="600" t="s">
        <v>185</v>
      </c>
      <c r="L108" s="1027"/>
      <c r="M108" s="249"/>
      <c r="N108" s="905"/>
      <c r="V108" s="4108"/>
      <c r="W108" s="659">
        <f t="shared" si="23"/>
        <v>0</v>
      </c>
      <c r="X108" s="659">
        <f t="shared" si="23"/>
        <v>0</v>
      </c>
      <c r="Y108" s="659">
        <f t="shared" si="23"/>
        <v>0</v>
      </c>
      <c r="Z108" s="1225">
        <f t="shared" si="23"/>
        <v>0</v>
      </c>
      <c r="AA108" s="1225">
        <f t="shared" si="23"/>
        <v>0</v>
      </c>
      <c r="AB108" s="659">
        <v>0</v>
      </c>
      <c r="AC108" s="659">
        <v>0</v>
      </c>
      <c r="AD108" s="659"/>
      <c r="AE108" s="659"/>
      <c r="AF108" s="659"/>
      <c r="AG108" s="659"/>
      <c r="AH108" s="1930"/>
      <c r="AI108" s="1930"/>
      <c r="AJ108" s="1930"/>
      <c r="AK108" s="1930"/>
      <c r="AL108" s="1930"/>
      <c r="AM108" s="1930"/>
      <c r="AN108" s="1930"/>
      <c r="AO108" s="1930"/>
      <c r="AP108" s="1930"/>
      <c r="AQ108" s="1930"/>
      <c r="AR108" s="1930"/>
      <c r="AS108" s="1930"/>
      <c r="AT108" s="1930"/>
      <c r="AU108" s="1930"/>
      <c r="AV108" s="1930"/>
      <c r="AW108" s="1930"/>
      <c r="AX108" s="1930"/>
      <c r="AY108" s="1930"/>
      <c r="AZ108" s="1930"/>
      <c r="BA108" s="1930"/>
      <c r="BC108" s="584"/>
      <c r="BE108" s="585"/>
    </row>
    <row r="109" spans="2:57" hidden="1" outlineLevel="1" x14ac:dyDescent="0.25">
      <c r="B109" s="1437"/>
      <c r="C109" s="268"/>
      <c r="D109" s="4108"/>
      <c r="E109" s="4103"/>
      <c r="F109" s="4110" t="str">
        <f t="shared" si="19"/>
        <v>ECM Continuous Fan ER1 - SF</v>
      </c>
      <c r="G109" s="4110"/>
      <c r="H109" s="4110"/>
      <c r="I109" s="1225">
        <f>$Q$97</f>
        <v>74.327224020150311</v>
      </c>
      <c r="J109" s="640"/>
      <c r="K109" s="600" t="s">
        <v>185</v>
      </c>
      <c r="L109" s="1027"/>
      <c r="M109" s="249"/>
      <c r="N109" s="905"/>
      <c r="V109" s="4108"/>
      <c r="W109" s="659">
        <f>$Q$97</f>
        <v>74.327224020150311</v>
      </c>
      <c r="X109" s="659">
        <f>$Q$97</f>
        <v>74.327224020150311</v>
      </c>
      <c r="Y109" s="659">
        <f>$Q$97</f>
        <v>74.327224020150311</v>
      </c>
      <c r="Z109" s="1225">
        <f t="shared" ref="Z109:AA109" si="24">$Q$97</f>
        <v>74.327224020150311</v>
      </c>
      <c r="AA109" s="1225">
        <f t="shared" si="24"/>
        <v>74.327224020150311</v>
      </c>
      <c r="AB109" s="659">
        <v>74.327224020150311</v>
      </c>
      <c r="AC109" s="659">
        <v>74.327224020150311</v>
      </c>
      <c r="AD109" s="659"/>
      <c r="AE109" s="659"/>
      <c r="AF109" s="659"/>
      <c r="AG109" s="659"/>
      <c r="AH109" s="1930"/>
      <c r="AI109" s="1930"/>
      <c r="AJ109" s="1930"/>
      <c r="AK109" s="1930"/>
      <c r="AL109" s="1930"/>
      <c r="AM109" s="1930"/>
      <c r="AN109" s="1930"/>
      <c r="AO109" s="1930"/>
      <c r="AP109" s="1930"/>
      <c r="AQ109" s="1930"/>
      <c r="AR109" s="1930"/>
      <c r="AS109" s="1930"/>
      <c r="AT109" s="1930"/>
      <c r="AU109" s="1930"/>
      <c r="AV109" s="1930"/>
      <c r="AW109" s="1930"/>
      <c r="AX109" s="1930"/>
      <c r="AY109" s="1930"/>
      <c r="AZ109" s="1930"/>
      <c r="BA109" s="1930"/>
      <c r="BC109" s="584"/>
      <c r="BE109" s="585"/>
    </row>
    <row r="110" spans="2:57" hidden="1" outlineLevel="1" x14ac:dyDescent="0.25">
      <c r="B110" s="1437"/>
      <c r="C110" s="268"/>
      <c r="D110" s="4108"/>
      <c r="E110" s="4103"/>
      <c r="F110" s="4110" t="str">
        <f t="shared" si="19"/>
        <v>ECM Continuous Fan ER2 - SF</v>
      </c>
      <c r="G110" s="4110"/>
      <c r="H110" s="4110"/>
      <c r="I110" s="1529"/>
      <c r="J110" s="643"/>
      <c r="K110" s="600" t="s">
        <v>185</v>
      </c>
      <c r="L110" s="1027"/>
      <c r="M110" s="249"/>
      <c r="N110" s="905"/>
      <c r="V110" s="4108"/>
      <c r="W110" s="663"/>
      <c r="X110" s="663"/>
      <c r="Y110" s="663"/>
      <c r="Z110" s="1529"/>
      <c r="AA110" s="1529"/>
      <c r="AB110" s="663"/>
      <c r="AC110" s="663"/>
      <c r="AD110" s="663"/>
      <c r="AE110" s="663"/>
      <c r="AF110" s="663"/>
      <c r="AG110" s="663"/>
      <c r="AH110" s="1930"/>
      <c r="AI110" s="1930"/>
      <c r="AJ110" s="1930"/>
      <c r="AK110" s="1930"/>
      <c r="AL110" s="1930"/>
      <c r="AM110" s="1930"/>
      <c r="AN110" s="1930"/>
      <c r="AO110" s="1930"/>
      <c r="AP110" s="1930"/>
      <c r="AQ110" s="1930"/>
      <c r="AR110" s="1930"/>
      <c r="AS110" s="1930"/>
      <c r="AT110" s="1930"/>
      <c r="AU110" s="1930"/>
      <c r="AV110" s="1930"/>
      <c r="AW110" s="1930"/>
      <c r="AX110" s="1930"/>
      <c r="AY110" s="1930"/>
      <c r="AZ110" s="1930"/>
      <c r="BA110" s="1930"/>
      <c r="BC110" s="584"/>
      <c r="BE110" s="585"/>
    </row>
    <row r="111" spans="2:57" ht="16.5" hidden="1" customHeight="1" outlineLevel="1" x14ac:dyDescent="0.25">
      <c r="B111" s="1437"/>
      <c r="C111" s="268"/>
      <c r="D111" s="4108"/>
      <c r="E111" s="4103"/>
      <c r="F111" s="4110" t="str">
        <f t="shared" si="19"/>
        <v>ECM Continuous Fan ER1 - MF</v>
      </c>
      <c r="G111" s="4110"/>
      <c r="H111" s="4110"/>
      <c r="I111" s="1225">
        <f>$Q$97</f>
        <v>74.327224020150311</v>
      </c>
      <c r="J111" s="640"/>
      <c r="K111" s="600" t="s">
        <v>185</v>
      </c>
      <c r="L111" s="1027"/>
      <c r="M111" s="249"/>
      <c r="N111" s="905"/>
      <c r="O111" s="249"/>
      <c r="P111" s="249"/>
      <c r="Q111" s="249"/>
      <c r="R111" s="249"/>
      <c r="V111" s="4108"/>
      <c r="W111" s="659">
        <f>$Q$97</f>
        <v>74.327224020150311</v>
      </c>
      <c r="X111" s="659">
        <f>$Q$97</f>
        <v>74.327224020150311</v>
      </c>
      <c r="Y111" s="659">
        <f>$Q$97</f>
        <v>74.327224020150311</v>
      </c>
      <c r="Z111" s="1225">
        <f t="shared" ref="Z111:AA111" si="25">$Q$97</f>
        <v>74.327224020150311</v>
      </c>
      <c r="AA111" s="1225">
        <f t="shared" si="25"/>
        <v>74.327224020150311</v>
      </c>
      <c r="AB111" s="659">
        <v>74.327224020150311</v>
      </c>
      <c r="AC111" s="659">
        <v>74.327224020150311</v>
      </c>
      <c r="AD111" s="659"/>
      <c r="AE111" s="659"/>
      <c r="AF111" s="659"/>
      <c r="AG111" s="659"/>
      <c r="AH111" s="1930"/>
      <c r="AI111" s="1930"/>
      <c r="AJ111" s="1930"/>
      <c r="AK111" s="1930"/>
      <c r="AL111" s="1930"/>
      <c r="AM111" s="1930"/>
      <c r="AN111" s="1930"/>
      <c r="AO111" s="1930"/>
      <c r="AP111" s="1930"/>
      <c r="AQ111" s="1930"/>
      <c r="AR111" s="1930"/>
      <c r="AS111" s="1930"/>
      <c r="AT111" s="1930"/>
      <c r="AU111" s="1930"/>
      <c r="AV111" s="1930"/>
      <c r="AW111" s="1930"/>
      <c r="AX111" s="1930"/>
      <c r="AY111" s="1930"/>
      <c r="AZ111" s="1930"/>
      <c r="BA111" s="1930"/>
      <c r="BC111" s="584"/>
      <c r="BE111" s="585"/>
    </row>
    <row r="112" spans="2:57" ht="15.75" hidden="1" outlineLevel="1" thickBot="1" x14ac:dyDescent="0.3">
      <c r="B112" s="1683"/>
      <c r="C112" s="225"/>
      <c r="D112" s="4109"/>
      <c r="E112" s="4104"/>
      <c r="F112" s="4119" t="str">
        <f t="shared" si="19"/>
        <v>ECM Continuous Fan ER2 - MF</v>
      </c>
      <c r="G112" s="4119"/>
      <c r="H112" s="4119"/>
      <c r="I112" s="1530"/>
      <c r="J112" s="645"/>
      <c r="K112" s="603" t="s">
        <v>185</v>
      </c>
      <c r="L112" s="1027"/>
      <c r="M112" s="249"/>
      <c r="N112" s="905"/>
      <c r="O112" s="249"/>
      <c r="P112" s="249"/>
      <c r="Q112" s="249"/>
      <c r="R112" s="249"/>
      <c r="V112" s="4109"/>
      <c r="W112" s="664"/>
      <c r="X112" s="664"/>
      <c r="Y112" s="664"/>
      <c r="Z112" s="1530"/>
      <c r="AA112" s="1530"/>
      <c r="AB112" s="664"/>
      <c r="AC112" s="664"/>
      <c r="AD112" s="664"/>
      <c r="AE112" s="664"/>
      <c r="AF112" s="664"/>
      <c r="AG112" s="664"/>
      <c r="AH112" s="1930"/>
      <c r="AI112" s="1930"/>
      <c r="AJ112" s="1930"/>
      <c r="AK112" s="1930"/>
      <c r="AL112" s="1930"/>
      <c r="AM112" s="1930"/>
      <c r="AN112" s="1930"/>
      <c r="AO112" s="1930"/>
      <c r="AP112" s="1930"/>
      <c r="AQ112" s="1930"/>
      <c r="AR112" s="1930"/>
      <c r="AS112" s="1930"/>
      <c r="AT112" s="1930"/>
      <c r="AU112" s="1930"/>
      <c r="AV112" s="1930"/>
      <c r="AW112" s="1930"/>
      <c r="AX112" s="1930"/>
      <c r="AY112" s="1930"/>
      <c r="AZ112" s="1930"/>
      <c r="BA112" s="1930"/>
      <c r="BC112" s="584"/>
      <c r="BE112" s="585"/>
    </row>
    <row r="113" spans="1:57" hidden="1" outlineLevel="1" x14ac:dyDescent="0.25">
      <c r="B113" s="228"/>
      <c r="N113" s="328"/>
      <c r="W113" s="1930"/>
      <c r="X113" s="1930"/>
      <c r="Y113" s="1930"/>
      <c r="Z113" s="1930"/>
      <c r="AA113" s="1930"/>
      <c r="AB113" s="1930"/>
      <c r="AC113" s="1930"/>
      <c r="AD113" s="1930"/>
      <c r="AE113" s="1930"/>
      <c r="AF113" s="1930"/>
      <c r="AG113" s="1930"/>
      <c r="AH113" s="1930"/>
      <c r="AI113" s="1930"/>
      <c r="AJ113" s="1930"/>
      <c r="AK113" s="1930"/>
      <c r="AL113" s="1930"/>
      <c r="AM113" s="1930"/>
      <c r="AN113" s="1930"/>
      <c r="AO113" s="1930"/>
      <c r="AP113" s="1930"/>
      <c r="AQ113" s="1930"/>
      <c r="AR113" s="1930"/>
      <c r="AS113" s="1930"/>
      <c r="AT113" s="1930"/>
      <c r="AU113" s="1930"/>
      <c r="AV113" s="1930"/>
      <c r="AW113" s="1930"/>
      <c r="AX113" s="1930"/>
      <c r="AY113" s="1930"/>
      <c r="AZ113" s="1930"/>
      <c r="BA113" s="1930"/>
      <c r="BC113" s="584"/>
      <c r="BE113" s="1930"/>
    </row>
    <row r="114" spans="1:57" collapsed="1" x14ac:dyDescent="0.25">
      <c r="B114" s="228"/>
      <c r="W114" s="1930"/>
      <c r="X114" s="1930"/>
      <c r="Y114" s="1930"/>
      <c r="Z114" s="1930"/>
      <c r="AA114" s="1930"/>
      <c r="AB114" s="1930"/>
      <c r="AC114" s="1930"/>
      <c r="AD114" s="1930"/>
      <c r="AE114" s="1930"/>
      <c r="AF114" s="1930"/>
      <c r="AG114" s="1930"/>
      <c r="AH114" s="1930"/>
      <c r="AI114" s="1930"/>
      <c r="AJ114" s="1930"/>
      <c r="AK114" s="1930"/>
      <c r="AL114" s="1930"/>
      <c r="AM114" s="1930"/>
      <c r="AN114" s="1930"/>
      <c r="AO114" s="1930"/>
      <c r="AP114" s="1930"/>
      <c r="AQ114" s="1930"/>
      <c r="AR114" s="1930"/>
      <c r="AS114" s="1930"/>
      <c r="AT114" s="1930"/>
      <c r="AU114" s="1930"/>
      <c r="AV114" s="1930"/>
      <c r="AW114" s="1930"/>
      <c r="AX114" s="1930"/>
      <c r="AY114" s="1930"/>
      <c r="AZ114" s="1930"/>
      <c r="BA114" s="1930"/>
      <c r="BC114" s="584"/>
      <c r="BE114" s="1930"/>
    </row>
    <row r="115" spans="1:57" x14ac:dyDescent="0.25">
      <c r="B115" s="3750" t="s">
        <v>873</v>
      </c>
      <c r="C115" s="3751"/>
      <c r="D115" s="3751"/>
      <c r="E115" s="3751"/>
      <c r="F115" s="3751"/>
      <c r="G115" s="3751"/>
      <c r="H115" s="3751"/>
      <c r="I115" s="3751"/>
      <c r="J115" s="3751"/>
      <c r="K115" s="3751"/>
      <c r="L115" s="3751"/>
      <c r="M115" s="3751"/>
      <c r="N115" s="3751"/>
      <c r="O115" s="3751"/>
      <c r="P115" s="3751"/>
      <c r="Q115" s="4120"/>
      <c r="V115" s="3750" t="str">
        <f>B115</f>
        <v>Central Air Conditioners</v>
      </c>
      <c r="W115" s="3751"/>
      <c r="X115" s="3751"/>
      <c r="Y115" s="3751"/>
      <c r="Z115" s="3751"/>
      <c r="AA115" s="3751"/>
      <c r="AB115" s="3751"/>
      <c r="AC115" s="3752"/>
      <c r="AD115" s="3752"/>
      <c r="AE115" s="3752"/>
      <c r="AF115" s="3752"/>
      <c r="AG115" s="3752"/>
      <c r="AH115" s="3753"/>
      <c r="AI115" s="1930"/>
      <c r="AJ115" s="1930"/>
      <c r="AK115" s="1930"/>
      <c r="AL115" s="1930"/>
      <c r="AM115" s="1930"/>
      <c r="AN115" s="1930"/>
      <c r="AO115" s="1930"/>
      <c r="AP115" s="1930"/>
      <c r="AQ115" s="1930"/>
      <c r="AR115" s="1930"/>
      <c r="AS115" s="1930"/>
      <c r="AT115" s="1930"/>
      <c r="AU115" s="1930"/>
      <c r="AV115" s="1930"/>
      <c r="AW115" s="1930"/>
      <c r="AX115" s="1930"/>
      <c r="AY115" s="1930"/>
      <c r="AZ115" s="1930"/>
      <c r="BA115" s="1930"/>
      <c r="BC115" s="584"/>
      <c r="BE115" s="1930"/>
    </row>
    <row r="116" spans="1:57" x14ac:dyDescent="0.25">
      <c r="H116" s="328"/>
      <c r="I116" s="328"/>
      <c r="J116" s="328"/>
      <c r="K116" s="328"/>
      <c r="L116" s="328"/>
      <c r="M116" s="328"/>
      <c r="W116" s="1942"/>
      <c r="X116" s="1942"/>
      <c r="Y116" s="1942"/>
      <c r="Z116" s="1942"/>
      <c r="AA116" s="1930"/>
      <c r="AB116" s="1930"/>
      <c r="AC116" s="1930"/>
      <c r="AD116" s="1930"/>
      <c r="AE116" s="1930"/>
      <c r="AF116" s="1930"/>
      <c r="AG116" s="1930"/>
      <c r="AH116" s="1930"/>
      <c r="AI116" s="1930"/>
      <c r="AJ116" s="1930"/>
      <c r="AK116" s="1930"/>
      <c r="AL116" s="1930"/>
      <c r="AM116" s="1930"/>
      <c r="AN116" s="1930"/>
      <c r="AO116" s="1930"/>
      <c r="AP116" s="1930"/>
      <c r="AQ116" s="1930"/>
      <c r="AR116" s="1930"/>
      <c r="AS116" s="1930"/>
      <c r="AT116" s="1930"/>
      <c r="AU116" s="1930"/>
      <c r="AV116" s="1930"/>
      <c r="AW116" s="1930"/>
      <c r="AX116" s="1930"/>
      <c r="AY116" s="1930"/>
      <c r="AZ116" s="1930"/>
      <c r="BA116" s="1930"/>
      <c r="BC116" s="584"/>
      <c r="BE116" s="1930"/>
    </row>
    <row r="117" spans="1:57" x14ac:dyDescent="0.25">
      <c r="D117" s="329" t="s">
        <v>874</v>
      </c>
      <c r="H117" s="328"/>
      <c r="I117" s="328"/>
      <c r="J117" s="328"/>
      <c r="K117" s="328"/>
      <c r="L117" s="328"/>
      <c r="M117" s="328"/>
      <c r="W117" s="1942"/>
      <c r="X117" s="1942"/>
      <c r="Y117" s="1942"/>
      <c r="Z117" s="1942"/>
      <c r="AA117" s="1930"/>
      <c r="AB117" s="1930"/>
      <c r="AC117" s="1930"/>
      <c r="AD117" s="1930"/>
      <c r="AE117" s="1930"/>
      <c r="AF117" s="1930"/>
      <c r="AG117" s="1930"/>
      <c r="AH117" s="1930"/>
      <c r="AI117" s="1930"/>
      <c r="AJ117" s="1930"/>
      <c r="AK117" s="1930"/>
      <c r="AL117" s="1930"/>
      <c r="AM117" s="1930"/>
      <c r="AN117" s="1930"/>
      <c r="AO117" s="1930"/>
      <c r="AP117" s="1930"/>
      <c r="AQ117" s="1930"/>
      <c r="AR117" s="1930"/>
      <c r="AS117" s="1930"/>
      <c r="AT117" s="1930"/>
      <c r="AU117" s="1930"/>
      <c r="AV117" s="1930"/>
      <c r="AW117" s="1930"/>
      <c r="AX117" s="1930"/>
      <c r="AY117" s="1930"/>
      <c r="AZ117" s="1930"/>
      <c r="BA117" s="1930"/>
      <c r="BC117" s="584"/>
      <c r="BE117" s="1930"/>
    </row>
    <row r="118" spans="1:57" s="51" customFormat="1" ht="30" x14ac:dyDescent="0.25">
      <c r="A118" s="1267"/>
      <c r="B118" s="123"/>
      <c r="C118" s="3086" t="s">
        <v>28</v>
      </c>
      <c r="D118" s="3086" t="s">
        <v>175</v>
      </c>
      <c r="E118" s="3086" t="s">
        <v>30</v>
      </c>
      <c r="F118" s="3086" t="s">
        <v>31</v>
      </c>
      <c r="G118" s="3086" t="s">
        <v>176</v>
      </c>
      <c r="H118" s="3086" t="s">
        <v>177</v>
      </c>
      <c r="I118" s="3086" t="s">
        <v>32</v>
      </c>
      <c r="J118" s="3140" t="s">
        <v>181</v>
      </c>
      <c r="K118" s="3086" t="s">
        <v>170</v>
      </c>
      <c r="L118" s="3086" t="s">
        <v>875</v>
      </c>
      <c r="M118" s="123"/>
      <c r="N118" s="123"/>
      <c r="O118" s="123"/>
      <c r="P118" s="123"/>
      <c r="Q118" s="123"/>
      <c r="R118" s="123"/>
      <c r="S118" s="123"/>
      <c r="T118" s="123"/>
      <c r="U118" s="123"/>
      <c r="V118" s="551" t="s">
        <v>45</v>
      </c>
      <c r="W118" s="1937">
        <f>W$6</f>
        <v>43252</v>
      </c>
      <c r="X118" s="1937">
        <f t="shared" ref="X118:AG118" si="26">X$6</f>
        <v>43465</v>
      </c>
      <c r="Y118" s="1937">
        <f t="shared" si="26"/>
        <v>43800</v>
      </c>
      <c r="Z118" s="1937">
        <f t="shared" si="26"/>
        <v>43862</v>
      </c>
      <c r="AA118" s="1937">
        <f t="shared" si="26"/>
        <v>44013</v>
      </c>
      <c r="AB118" s="1937">
        <f t="shared" si="26"/>
        <v>44166</v>
      </c>
      <c r="AC118" s="1937">
        <f t="shared" si="26"/>
        <v>44531</v>
      </c>
      <c r="AD118" s="1937" t="str">
        <f t="shared" si="26"/>
        <v>-</v>
      </c>
      <c r="AE118" s="1937" t="str">
        <f t="shared" si="26"/>
        <v>-</v>
      </c>
      <c r="AF118" s="1937" t="str">
        <f t="shared" si="26"/>
        <v>-</v>
      </c>
      <c r="AG118" s="1937" t="str">
        <f t="shared" si="26"/>
        <v>-</v>
      </c>
      <c r="AH118" s="1942"/>
      <c r="AI118" s="1942"/>
      <c r="AJ118" s="1942"/>
      <c r="AK118" s="1942"/>
      <c r="AL118" s="1942"/>
      <c r="AM118" s="1942"/>
      <c r="AN118" s="1942"/>
      <c r="AO118" s="1942"/>
      <c r="AP118" s="1942"/>
      <c r="AQ118" s="1942"/>
      <c r="AR118" s="1942"/>
      <c r="AS118" s="1942"/>
      <c r="AT118" s="1942"/>
      <c r="AU118" s="1942"/>
      <c r="AV118" s="1942"/>
      <c r="AW118" s="1942"/>
      <c r="AX118" s="1942"/>
      <c r="AY118" s="1930"/>
      <c r="AZ118" s="1930"/>
      <c r="BA118" s="1942"/>
      <c r="BB118" s="1953" t="str">
        <f>$BB$6</f>
        <v>TRC (2020)</v>
      </c>
      <c r="BC118" s="1953" t="str">
        <f>$BC$6</f>
        <v>Benefit Lookup</v>
      </c>
      <c r="BD118" s="665" t="str">
        <f>$BD$6</f>
        <v>Benefits (2019 $)</v>
      </c>
      <c r="BE118" s="230" t="str">
        <f>$BE$6</f>
        <v>Incremental Cost (2019 $)</v>
      </c>
    </row>
    <row r="119" spans="1:57" s="51" customFormat="1" x14ac:dyDescent="0.25">
      <c r="A119" s="1267" t="str">
        <f t="shared" ref="A119:A182" si="27">C119&amp;G119</f>
        <v>350400_2021_12_Cooling RES</v>
      </c>
      <c r="B119" s="123"/>
      <c r="C119" s="1975" t="s">
        <v>876</v>
      </c>
      <c r="D119" s="2667" t="s">
        <v>320</v>
      </c>
      <c r="E119" s="2878" t="s">
        <v>877</v>
      </c>
      <c r="F119" s="425">
        <f>ROUND(((J203*J275*(1/J491-1/J419))/1000)*J563*$J$635,2)</f>
        <v>1529.78</v>
      </c>
      <c r="G119" s="878" t="s">
        <v>258</v>
      </c>
      <c r="H119" s="155">
        <f>VLOOKUP(G119,'CP FACTORS'!$A$3:$B$38, 2, FALSE)</f>
        <v>9.4741810000000004E-4</v>
      </c>
      <c r="I119" s="1531">
        <f>ROUND(F119*H119,6)</f>
        <v>1.449341</v>
      </c>
      <c r="J119" s="666">
        <f t="shared" ref="J119:J125" si="28">J636</f>
        <v>6</v>
      </c>
      <c r="K119" s="442">
        <f>J708</f>
        <v>444.07830140084025</v>
      </c>
      <c r="L119" s="65">
        <f>K275</f>
        <v>2.98</v>
      </c>
      <c r="M119" s="123"/>
      <c r="N119" s="123"/>
      <c r="O119" s="123"/>
      <c r="P119" s="123"/>
      <c r="Q119" s="123"/>
      <c r="R119" s="123"/>
      <c r="S119" s="123"/>
      <c r="T119" s="123"/>
      <c r="U119" s="123"/>
      <c r="V119" s="1962" t="s">
        <v>31</v>
      </c>
      <c r="W119" s="668">
        <v>1612.0233596702167</v>
      </c>
      <c r="X119" s="669">
        <v>1572.0312023114329</v>
      </c>
      <c r="Y119" s="1961">
        <v>1532.85</v>
      </c>
      <c r="Z119" s="670">
        <v>1532.85</v>
      </c>
      <c r="AA119" s="670">
        <v>1532.85</v>
      </c>
      <c r="AB119" s="2055">
        <v>1532.85</v>
      </c>
      <c r="AC119" s="2977">
        <v>1529.78</v>
      </c>
      <c r="AD119" s="1941"/>
      <c r="AE119" s="1941"/>
      <c r="AF119" s="1941"/>
      <c r="AG119" s="1941"/>
      <c r="AH119" s="163"/>
      <c r="AI119" s="1942"/>
      <c r="AJ119" s="1942"/>
      <c r="AK119" s="1942"/>
      <c r="AL119" s="1942"/>
      <c r="AM119" s="1942"/>
      <c r="AN119" s="1942"/>
      <c r="AO119" s="1942"/>
      <c r="AP119" s="1942"/>
      <c r="AQ119" s="1942"/>
      <c r="AR119" s="1942"/>
      <c r="AS119" s="1942"/>
      <c r="AT119" s="1942"/>
      <c r="AU119" s="1942"/>
      <c r="AV119" s="1942"/>
      <c r="AW119" s="1942"/>
      <c r="AX119" s="1942"/>
      <c r="AY119" s="1930"/>
      <c r="AZ119" s="1930"/>
      <c r="BA119" s="1942"/>
      <c r="BB119" s="239">
        <f>(BD119+BD120)/(BE119+BE120)</f>
        <v>2.6648668150750519</v>
      </c>
      <c r="BC119" s="3115" t="str">
        <f t="shared" ref="BC119:BC154" si="29">CONCATENATE(G119," ",J119," Year EUL")</f>
        <v>Cooling RES 6 Year EUL</v>
      </c>
      <c r="BD119" s="671">
        <f>(INDEX('Avoided Cost Benefits'!$C$4:$C$857,MATCH(BC119,'Avoided Cost Benefits'!$A$4:$A$857,0)))*F119</f>
        <v>889.54284277471561</v>
      </c>
      <c r="BE119" s="1946">
        <f>K119/(1.0595^(2020-2019))</f>
        <v>419.13950108621066</v>
      </c>
    </row>
    <row r="120" spans="1:57" s="51" customFormat="1" x14ac:dyDescent="0.25">
      <c r="A120" s="1267" t="str">
        <f t="shared" si="27"/>
        <v>350400_2021_12_Cooling RES ER2</v>
      </c>
      <c r="B120" s="123"/>
      <c r="C120" s="1975" t="s">
        <v>876</v>
      </c>
      <c r="D120" s="1532" t="s">
        <v>320</v>
      </c>
      <c r="E120" s="3005" t="s">
        <v>878</v>
      </c>
      <c r="F120" s="425">
        <f>ROUND(((J204*J276*(1/J348-1/J420))/1000)*J564*$J$635,2)</f>
        <v>192.34</v>
      </c>
      <c r="G120" s="878" t="s">
        <v>879</v>
      </c>
      <c r="H120" s="155">
        <f>VLOOKUP(G120,'CP FACTORS'!$A$3:$B$38, 2, FALSE)</f>
        <v>9.4741810000000004E-4</v>
      </c>
      <c r="I120" s="1531">
        <f t="shared" ref="I120:I154" si="30">ROUND(F120*H120,6)</f>
        <v>0.182226</v>
      </c>
      <c r="J120" s="666">
        <f t="shared" si="28"/>
        <v>12</v>
      </c>
      <c r="K120" s="442">
        <f t="shared" ref="K120:K154" si="31">J709</f>
        <v>0</v>
      </c>
      <c r="L120" s="65">
        <f t="shared" ref="L120:L154" si="32">K276</f>
        <v>2.98</v>
      </c>
      <c r="M120" s="123"/>
      <c r="N120" s="123"/>
      <c r="O120" s="123"/>
      <c r="P120" s="123"/>
      <c r="Q120" s="123"/>
      <c r="R120" s="123"/>
      <c r="S120" s="123"/>
      <c r="T120" s="123"/>
      <c r="U120" s="123"/>
      <c r="V120" s="1962" t="s">
        <v>31</v>
      </c>
      <c r="W120" s="668">
        <v>925.30140845070434</v>
      </c>
      <c r="X120" s="669">
        <v>200.42516297262068</v>
      </c>
      <c r="Y120" s="1961">
        <v>192.72</v>
      </c>
      <c r="Z120" s="670">
        <v>192.72</v>
      </c>
      <c r="AA120" s="670">
        <v>192.72</v>
      </c>
      <c r="AB120" s="2055">
        <v>192.72</v>
      </c>
      <c r="AC120" s="2977">
        <v>192.34</v>
      </c>
      <c r="AD120" s="1941"/>
      <c r="AE120" s="1941"/>
      <c r="AF120" s="1941"/>
      <c r="AG120" s="1941"/>
      <c r="AH120" s="163"/>
      <c r="AI120" s="1942"/>
      <c r="AJ120" s="1942"/>
      <c r="AK120" s="1942"/>
      <c r="AL120" s="1942"/>
      <c r="AM120" s="1942"/>
      <c r="AN120" s="1942"/>
      <c r="AO120" s="1942"/>
      <c r="AP120" s="1942"/>
      <c r="AQ120" s="1942"/>
      <c r="AR120" s="1942"/>
      <c r="AS120" s="1942"/>
      <c r="AT120" s="1942"/>
      <c r="AU120" s="1942"/>
      <c r="AV120" s="1942"/>
      <c r="AW120" s="1942"/>
      <c r="AX120" s="1942"/>
      <c r="AY120" s="1930"/>
      <c r="AZ120" s="1930"/>
      <c r="BA120" s="1942"/>
      <c r="BB120" s="242"/>
      <c r="BC120" s="3116" t="str">
        <f t="shared" si="29"/>
        <v>Cooling RES ER2 12 Year EUL</v>
      </c>
      <c r="BD120" s="673">
        <f>(INDEX('Avoided Cost Benefits'!$C$4:$C$857,MATCH(BC120,'Avoided Cost Benefits'!$A$4:$A$857,0)))*F120</f>
        <v>227.40810455704087</v>
      </c>
      <c r="BE120" s="1949">
        <f t="shared" ref="BE120:BE154" si="33">K120/(1.0595^(2020-2019))</f>
        <v>0</v>
      </c>
    </row>
    <row r="121" spans="1:57" s="51" customFormat="1" x14ac:dyDescent="0.25">
      <c r="A121" s="1267" t="str">
        <f t="shared" si="27"/>
        <v>350450_2021_12_Cooling RES</v>
      </c>
      <c r="B121" s="123"/>
      <c r="C121" s="1975" t="s">
        <v>880</v>
      </c>
      <c r="D121" s="1532" t="s">
        <v>320</v>
      </c>
      <c r="E121" s="3006" t="s">
        <v>881</v>
      </c>
      <c r="F121" s="425">
        <f>ROUND(((J205*J277*(1/J349-1/J421))/1000)*J565*$J$635,2)</f>
        <v>191.69</v>
      </c>
      <c r="G121" s="878" t="s">
        <v>258</v>
      </c>
      <c r="H121" s="155">
        <f>VLOOKUP(G121,'CP FACTORS'!$A$3:$B$38, 2, FALSE)</f>
        <v>9.4741810000000004E-4</v>
      </c>
      <c r="I121" s="1531">
        <f t="shared" si="30"/>
        <v>0.18161099999999999</v>
      </c>
      <c r="J121" s="666">
        <f t="shared" si="28"/>
        <v>18</v>
      </c>
      <c r="K121" s="442">
        <f t="shared" si="31"/>
        <v>0</v>
      </c>
      <c r="L121" s="65">
        <f t="shared" si="32"/>
        <v>2.97</v>
      </c>
      <c r="M121" s="123"/>
      <c r="N121" s="123"/>
      <c r="O121" s="123"/>
      <c r="P121" s="123"/>
      <c r="Q121" s="123"/>
      <c r="R121" s="123"/>
      <c r="S121" s="123"/>
      <c r="T121" s="123"/>
      <c r="U121" s="123"/>
      <c r="V121" s="1962" t="s">
        <v>31</v>
      </c>
      <c r="W121" s="668">
        <v>203.36294691224271</v>
      </c>
      <c r="X121" s="669">
        <v>200.42516297262068</v>
      </c>
      <c r="Y121" s="1961">
        <v>192.07</v>
      </c>
      <c r="Z121" s="670">
        <v>192.07</v>
      </c>
      <c r="AA121" s="670">
        <v>192.07</v>
      </c>
      <c r="AB121" s="2055">
        <v>192.07</v>
      </c>
      <c r="AC121" s="2977">
        <v>191.69</v>
      </c>
      <c r="AD121" s="1941"/>
      <c r="AE121" s="1941"/>
      <c r="AF121" s="1941"/>
      <c r="AG121" s="1941"/>
      <c r="AH121" s="163"/>
      <c r="AI121" s="1942"/>
      <c r="AJ121" s="1942"/>
      <c r="AK121" s="1942"/>
      <c r="AL121" s="1942"/>
      <c r="AM121" s="1942"/>
      <c r="AN121" s="1942"/>
      <c r="AO121" s="1942"/>
      <c r="AP121" s="1942"/>
      <c r="AQ121" s="1942"/>
      <c r="AR121" s="1942"/>
      <c r="AS121" s="1942"/>
      <c r="AT121" s="1942"/>
      <c r="AU121" s="1942"/>
      <c r="AV121" s="1942"/>
      <c r="AW121" s="1942"/>
      <c r="AX121" s="1942"/>
      <c r="AY121" s="1930"/>
      <c r="AZ121" s="1930"/>
      <c r="BA121" s="1942"/>
      <c r="BB121" s="244" t="str">
        <f>IFERROR((BD121)/(BE121),"")</f>
        <v/>
      </c>
      <c r="BC121" s="674" t="str">
        <f t="shared" si="29"/>
        <v>Cooling RES 18 Year EUL</v>
      </c>
      <c r="BD121" s="673">
        <f>(INDEX('Avoided Cost Benefits'!$C$4:$C$857,MATCH(BC121,'Avoided Cost Benefits'!$A$4:$A$857,0)))*F121</f>
        <v>338.10429346637727</v>
      </c>
      <c r="BE121" s="1949">
        <f t="shared" si="33"/>
        <v>0</v>
      </c>
    </row>
    <row r="122" spans="1:57" s="51" customFormat="1" x14ac:dyDescent="0.25">
      <c r="A122" s="1267" t="str">
        <f t="shared" si="27"/>
        <v>350500_2021_12_Cooling RES</v>
      </c>
      <c r="B122" s="228"/>
      <c r="C122" s="1975" t="s">
        <v>882</v>
      </c>
      <c r="D122" s="1532" t="s">
        <v>322</v>
      </c>
      <c r="E122" s="2878" t="s">
        <v>883</v>
      </c>
      <c r="F122" s="425">
        <f>ROUND(((J206*J278*(1/J494-1/J422))/1000)*J566*$J$635,2)</f>
        <v>1011.98</v>
      </c>
      <c r="G122" s="878" t="s">
        <v>258</v>
      </c>
      <c r="H122" s="155">
        <f>VLOOKUP(G122,'CP FACTORS'!$A$3:$B$38, 2, FALSE)</f>
        <v>9.4741810000000004E-4</v>
      </c>
      <c r="I122" s="1531">
        <f t="shared" si="30"/>
        <v>0.95876799999999995</v>
      </c>
      <c r="J122" s="666">
        <f t="shared" si="28"/>
        <v>6</v>
      </c>
      <c r="K122" s="442">
        <f t="shared" si="31"/>
        <v>388.26502607230418</v>
      </c>
      <c r="L122" s="65">
        <f t="shared" si="32"/>
        <v>2</v>
      </c>
      <c r="M122" s="123"/>
      <c r="N122" s="123"/>
      <c r="O122" s="123"/>
      <c r="P122" s="123"/>
      <c r="Q122" s="123"/>
      <c r="R122" s="123"/>
      <c r="S122" s="123"/>
      <c r="T122" s="123"/>
      <c r="U122" s="123"/>
      <c r="V122" s="1962" t="s">
        <v>31</v>
      </c>
      <c r="W122" s="668">
        <v>1047.8151837856408</v>
      </c>
      <c r="X122" s="669">
        <v>1489.5657573374176</v>
      </c>
      <c r="Y122" s="1961">
        <v>1014.01</v>
      </c>
      <c r="Z122" s="670">
        <v>1014.01</v>
      </c>
      <c r="AA122" s="670">
        <v>1014.01</v>
      </c>
      <c r="AB122" s="2055">
        <v>1014.01</v>
      </c>
      <c r="AC122" s="2977">
        <v>1011.98</v>
      </c>
      <c r="AD122" s="1941"/>
      <c r="AE122" s="1941"/>
      <c r="AF122" s="1941"/>
      <c r="AG122" s="1941"/>
      <c r="AH122" s="163"/>
      <c r="AI122" s="1942"/>
      <c r="AJ122" s="1942"/>
      <c r="AK122" s="1942"/>
      <c r="AL122" s="1942"/>
      <c r="AM122" s="1942"/>
      <c r="AN122" s="1942"/>
      <c r="AO122" s="1942"/>
      <c r="AP122" s="1942"/>
      <c r="AQ122" s="1942"/>
      <c r="AR122" s="1942"/>
      <c r="AS122" s="1942"/>
      <c r="AT122" s="1942"/>
      <c r="AU122" s="1942"/>
      <c r="AV122" s="1942"/>
      <c r="AW122" s="1942"/>
      <c r="AX122" s="1942"/>
      <c r="AY122" s="1930"/>
      <c r="AZ122" s="1930"/>
      <c r="BA122" s="1942"/>
      <c r="BB122" s="244">
        <f>(BD122+BD123)/(BE122+BE123)</f>
        <v>1.9747302226288534</v>
      </c>
      <c r="BC122" s="3115" t="str">
        <f t="shared" si="29"/>
        <v>Cooling RES 6 Year EUL</v>
      </c>
      <c r="BD122" s="673">
        <f>(INDEX('Avoided Cost Benefits'!$C$4:$C$857,MATCH(BC122,'Avoided Cost Benefits'!$A$4:$A$857,0)))*F122</f>
        <v>588.4503432069688</v>
      </c>
      <c r="BE122" s="1949">
        <f t="shared" si="33"/>
        <v>366.46061922822474</v>
      </c>
    </row>
    <row r="123" spans="1:57" s="51" customFormat="1" x14ac:dyDescent="0.25">
      <c r="A123" s="1267" t="str">
        <f t="shared" si="27"/>
        <v>350500_2021_12_Cooling RES ER2</v>
      </c>
      <c r="B123" s="228"/>
      <c r="C123" s="1975" t="s">
        <v>882</v>
      </c>
      <c r="D123" s="1532" t="s">
        <v>322</v>
      </c>
      <c r="E123" s="3005" t="s">
        <v>884</v>
      </c>
      <c r="F123" s="425">
        <f>ROUND(((J207*J279*(1/J351-1/J423))/1000)*J567*$J$635,2)</f>
        <v>114.36</v>
      </c>
      <c r="G123" s="878" t="s">
        <v>879</v>
      </c>
      <c r="H123" s="155">
        <f>VLOOKUP(G123,'CP FACTORS'!$A$3:$B$38, 2, FALSE)</f>
        <v>9.4741810000000004E-4</v>
      </c>
      <c r="I123" s="1531">
        <f t="shared" si="30"/>
        <v>0.108347</v>
      </c>
      <c r="J123" s="666">
        <f t="shared" si="28"/>
        <v>12</v>
      </c>
      <c r="K123" s="442">
        <f t="shared" si="31"/>
        <v>0</v>
      </c>
      <c r="L123" s="65">
        <f t="shared" si="32"/>
        <v>2</v>
      </c>
      <c r="M123" s="123"/>
      <c r="N123" s="123"/>
      <c r="O123" s="123"/>
      <c r="P123" s="123"/>
      <c r="Q123" s="123"/>
      <c r="R123" s="123"/>
      <c r="S123" s="123"/>
      <c r="T123" s="123"/>
      <c r="U123" s="123"/>
      <c r="V123" s="1962" t="s">
        <v>31</v>
      </c>
      <c r="W123" s="668">
        <v>601.44591549295785</v>
      </c>
      <c r="X123" s="669">
        <v>232.04244031830254</v>
      </c>
      <c r="Y123" s="1961">
        <v>114.59</v>
      </c>
      <c r="Z123" s="670">
        <v>114.59</v>
      </c>
      <c r="AA123" s="670">
        <v>114.59</v>
      </c>
      <c r="AB123" s="2055">
        <v>114.59</v>
      </c>
      <c r="AC123" s="2977">
        <v>114.36</v>
      </c>
      <c r="AD123" s="1941"/>
      <c r="AE123" s="1941"/>
      <c r="AF123" s="1941"/>
      <c r="AG123" s="1941"/>
      <c r="AH123" s="163"/>
      <c r="AI123" s="1942"/>
      <c r="AJ123" s="1942"/>
      <c r="AK123" s="1942"/>
      <c r="AL123" s="1942"/>
      <c r="AM123" s="1942"/>
      <c r="AN123" s="1942"/>
      <c r="AO123" s="1942"/>
      <c r="AP123" s="1942"/>
      <c r="AQ123" s="1942"/>
      <c r="AR123" s="1942"/>
      <c r="AS123" s="1942"/>
      <c r="AT123" s="1942"/>
      <c r="AU123" s="1942"/>
      <c r="AV123" s="1942"/>
      <c r="AW123" s="1942"/>
      <c r="AX123" s="1942"/>
      <c r="AY123" s="1930"/>
      <c r="AZ123" s="1930"/>
      <c r="BA123" s="1942"/>
      <c r="BB123" s="242"/>
      <c r="BC123" s="3116" t="str">
        <f t="shared" si="29"/>
        <v>Cooling RES ER2 12 Year EUL</v>
      </c>
      <c r="BD123" s="673">
        <f>(INDEX('Avoided Cost Benefits'!$C$4:$C$857,MATCH(BC123,'Avoided Cost Benefits'!$A$4:$A$857,0)))*F123</f>
        <v>135.21051698629091</v>
      </c>
      <c r="BE123" s="1949">
        <f t="shared" si="33"/>
        <v>0</v>
      </c>
    </row>
    <row r="124" spans="1:57" s="51" customFormat="1" x14ac:dyDescent="0.25">
      <c r="A124" s="1267" t="str">
        <f t="shared" si="27"/>
        <v>350501_2021_12_Cooling RES</v>
      </c>
      <c r="B124" s="228"/>
      <c r="C124" s="3041" t="s">
        <v>885</v>
      </c>
      <c r="D124" s="1532" t="s">
        <v>317</v>
      </c>
      <c r="E124" s="3005" t="s">
        <v>886</v>
      </c>
      <c r="F124" s="425">
        <f>ROUND(((J208*J280*(1/J496-1/J424))/1000)*J568*$J$635,2)</f>
        <v>735.98</v>
      </c>
      <c r="G124" s="878" t="s">
        <v>258</v>
      </c>
      <c r="H124" s="155">
        <f>VLOOKUP(G124,'CP FACTORS'!$A$3:$B$38, 2, FALSE)</f>
        <v>9.4741810000000004E-4</v>
      </c>
      <c r="I124" s="1531">
        <f t="shared" si="30"/>
        <v>0.69728100000000004</v>
      </c>
      <c r="J124" s="666">
        <f t="shared" si="28"/>
        <v>6</v>
      </c>
      <c r="K124" s="442">
        <f t="shared" si="31"/>
        <v>298.03912845693981</v>
      </c>
      <c r="L124" s="65">
        <f t="shared" si="32"/>
        <v>2</v>
      </c>
      <c r="M124" s="123"/>
      <c r="N124" s="123"/>
      <c r="O124" s="123"/>
      <c r="P124" s="123"/>
      <c r="Q124" s="123"/>
      <c r="R124" s="123"/>
      <c r="S124" s="123"/>
      <c r="T124" s="123"/>
      <c r="U124" s="123"/>
      <c r="V124" s="1962" t="s">
        <v>31</v>
      </c>
      <c r="W124" s="668"/>
      <c r="X124" s="669"/>
      <c r="Y124" s="1961">
        <v>737.46</v>
      </c>
      <c r="Z124" s="670">
        <v>737.46</v>
      </c>
      <c r="AA124" s="670">
        <v>737.46</v>
      </c>
      <c r="AB124" s="2055">
        <v>737.46</v>
      </c>
      <c r="AC124" s="2977">
        <v>735.98</v>
      </c>
      <c r="AD124" s="1941"/>
      <c r="AE124" s="1941"/>
      <c r="AF124" s="1941"/>
      <c r="AG124" s="1941"/>
      <c r="AH124" s="163"/>
      <c r="AI124" s="1942"/>
      <c r="AJ124" s="1942"/>
      <c r="AK124" s="1942"/>
      <c r="AL124" s="1942"/>
      <c r="AM124" s="1942"/>
      <c r="AN124" s="1942"/>
      <c r="AO124" s="1942"/>
      <c r="AP124" s="1942"/>
      <c r="AQ124" s="1942"/>
      <c r="AR124" s="1942"/>
      <c r="AS124" s="1942"/>
      <c r="AT124" s="1942"/>
      <c r="AU124" s="1942"/>
      <c r="AV124" s="1942"/>
      <c r="AW124" s="1942"/>
      <c r="AX124" s="1942"/>
      <c r="AY124" s="1930"/>
      <c r="AZ124" s="1930"/>
      <c r="BA124" s="1942"/>
      <c r="BB124" s="244">
        <f>(BD124+BD125)/(BE124+BE125)</f>
        <v>1.870925774407441</v>
      </c>
      <c r="BC124" s="3115" t="str">
        <f t="shared" si="29"/>
        <v>Cooling RES 6 Year EUL</v>
      </c>
      <c r="BD124" s="673">
        <f>(INDEX('Avoided Cost Benefits'!$C$4:$C$857,MATCH(BC124,'Avoided Cost Benefits'!$A$4:$A$857,0)))*F124</f>
        <v>427.96071423690677</v>
      </c>
      <c r="BE124" s="1949">
        <f t="shared" si="33"/>
        <v>281.30167858134951</v>
      </c>
    </row>
    <row r="125" spans="1:57" s="51" customFormat="1" x14ac:dyDescent="0.25">
      <c r="A125" s="1267" t="str">
        <f t="shared" si="27"/>
        <v>350501_2021_12_Cooling RES ER2</v>
      </c>
      <c r="B125" s="228"/>
      <c r="C125" s="3041" t="s">
        <v>885</v>
      </c>
      <c r="D125" s="1532" t="s">
        <v>317</v>
      </c>
      <c r="E125" s="3005" t="s">
        <v>887</v>
      </c>
      <c r="F125" s="425">
        <f>ROUND(((J209*J281*(1/J353-1/J425))/1000)*J569*$J$635,2)</f>
        <v>83.17</v>
      </c>
      <c r="G125" s="878" t="s">
        <v>879</v>
      </c>
      <c r="H125" s="155">
        <f>VLOOKUP(G125,'CP FACTORS'!$A$3:$B$38, 2, FALSE)</f>
        <v>9.4741810000000004E-4</v>
      </c>
      <c r="I125" s="1531">
        <f t="shared" si="30"/>
        <v>7.8797000000000006E-2</v>
      </c>
      <c r="J125" s="666">
        <f t="shared" si="28"/>
        <v>12</v>
      </c>
      <c r="K125" s="442">
        <f t="shared" si="31"/>
        <v>0</v>
      </c>
      <c r="L125" s="65">
        <f t="shared" si="32"/>
        <v>2</v>
      </c>
      <c r="M125" s="123"/>
      <c r="N125" s="123"/>
      <c r="O125" s="123"/>
      <c r="P125" s="123"/>
      <c r="Q125" s="123"/>
      <c r="R125" s="123"/>
      <c r="S125" s="123"/>
      <c r="T125" s="123"/>
      <c r="U125" s="123"/>
      <c r="V125" s="1962" t="s">
        <v>31</v>
      </c>
      <c r="W125" s="668"/>
      <c r="X125" s="669"/>
      <c r="Y125" s="1961">
        <v>83.34</v>
      </c>
      <c r="Z125" s="670">
        <v>83.34</v>
      </c>
      <c r="AA125" s="670">
        <v>83.34</v>
      </c>
      <c r="AB125" s="2055">
        <v>83.34</v>
      </c>
      <c r="AC125" s="2977">
        <v>83.17</v>
      </c>
      <c r="AD125" s="1941"/>
      <c r="AE125" s="1941"/>
      <c r="AF125" s="1941"/>
      <c r="AG125" s="1941"/>
      <c r="AH125" s="163"/>
      <c r="AI125" s="1942"/>
      <c r="AJ125" s="1942"/>
      <c r="AK125" s="1942"/>
      <c r="AL125" s="1942"/>
      <c r="AM125" s="1942"/>
      <c r="AN125" s="1942"/>
      <c r="AO125" s="1942"/>
      <c r="AP125" s="1942"/>
      <c r="AQ125" s="1942"/>
      <c r="AR125" s="1942"/>
      <c r="AS125" s="1942"/>
      <c r="AT125" s="1942"/>
      <c r="AU125" s="1942"/>
      <c r="AV125" s="1942"/>
      <c r="AW125" s="1942"/>
      <c r="AX125" s="1942"/>
      <c r="AY125" s="1930"/>
      <c r="AZ125" s="1930"/>
      <c r="BA125" s="1942"/>
      <c r="BB125" s="242"/>
      <c r="BC125" s="3116" t="str">
        <f t="shared" si="29"/>
        <v>Cooling RES ER2 12 Year EUL</v>
      </c>
      <c r="BD125" s="673">
        <f>(INDEX('Avoided Cost Benefits'!$C$4:$C$857,MATCH(BC125,'Avoided Cost Benefits'!$A$4:$A$857,0)))*F125</f>
        <v>98.333846605017627</v>
      </c>
      <c r="BE125" s="1949">
        <f t="shared" si="33"/>
        <v>0</v>
      </c>
    </row>
    <row r="126" spans="1:57" s="51" customFormat="1" x14ac:dyDescent="0.25">
      <c r="A126" s="1267" t="str">
        <f t="shared" si="27"/>
        <v>350550_2021_12_Cooling RES</v>
      </c>
      <c r="B126" s="228"/>
      <c r="C126" s="1975" t="s">
        <v>888</v>
      </c>
      <c r="D126" s="1532" t="s">
        <v>322</v>
      </c>
      <c r="E126" s="3006" t="s">
        <v>889</v>
      </c>
      <c r="F126" s="425">
        <f>ROUND(((J210*J282*(1/J354-1/J426))/1000)*J570*$J$635,2)</f>
        <v>114.36</v>
      </c>
      <c r="G126" s="878" t="s">
        <v>258</v>
      </c>
      <c r="H126" s="155">
        <f>VLOOKUP(G126,'CP FACTORS'!$A$3:$B$38, 2, FALSE)</f>
        <v>9.4741810000000004E-4</v>
      </c>
      <c r="I126" s="1531">
        <f t="shared" si="30"/>
        <v>0.108347</v>
      </c>
      <c r="J126" s="676">
        <v>18</v>
      </c>
      <c r="K126" s="442">
        <f t="shared" si="31"/>
        <v>0</v>
      </c>
      <c r="L126" s="65">
        <f t="shared" si="32"/>
        <v>2</v>
      </c>
      <c r="M126" s="123"/>
      <c r="N126" s="123"/>
      <c r="O126" s="123"/>
      <c r="P126" s="123"/>
      <c r="Q126" s="123"/>
      <c r="R126" s="123"/>
      <c r="S126" s="123"/>
      <c r="T126" s="123"/>
      <c r="U126" s="123"/>
      <c r="V126" s="1962" t="s">
        <v>31</v>
      </c>
      <c r="W126" s="668">
        <v>132.18591549295778</v>
      </c>
      <c r="X126" s="669">
        <v>232.04244031830254</v>
      </c>
      <c r="Y126" s="1961">
        <v>114.59</v>
      </c>
      <c r="Z126" s="670">
        <v>114.59</v>
      </c>
      <c r="AA126" s="670">
        <v>114.59</v>
      </c>
      <c r="AB126" s="2055">
        <v>114.59</v>
      </c>
      <c r="AC126" s="2977">
        <v>114.36</v>
      </c>
      <c r="AD126" s="1941"/>
      <c r="AE126" s="1941"/>
      <c r="AF126" s="1941"/>
      <c r="AG126" s="1941"/>
      <c r="AH126" s="163"/>
      <c r="AI126" s="1942"/>
      <c r="AJ126" s="1942"/>
      <c r="AK126" s="1942"/>
      <c r="AL126" s="1942"/>
      <c r="AM126" s="1942"/>
      <c r="AN126" s="1942"/>
      <c r="AO126" s="1942"/>
      <c r="AP126" s="1942"/>
      <c r="AQ126" s="1942"/>
      <c r="AR126" s="1942"/>
      <c r="AS126" s="1942"/>
      <c r="AT126" s="1942"/>
      <c r="AU126" s="1942"/>
      <c r="AV126" s="1942"/>
      <c r="AW126" s="1942"/>
      <c r="AX126" s="1942"/>
      <c r="AY126" s="1930"/>
      <c r="AZ126" s="1930"/>
      <c r="BA126" s="1942"/>
      <c r="BB126" s="244" t="str">
        <f>IFERROR((BD126)/(BE126),"")</f>
        <v/>
      </c>
      <c r="BC126" s="674" t="str">
        <f t="shared" si="29"/>
        <v>Cooling RES 18 Year EUL</v>
      </c>
      <c r="BD126" s="673">
        <f>(INDEX('Avoided Cost Benefits'!$C$4:$C$857,MATCH(BC126,'Avoided Cost Benefits'!$A$4:$A$857,0)))*F126</f>
        <v>201.70904585953832</v>
      </c>
      <c r="BE126" s="1949">
        <f t="shared" si="33"/>
        <v>0</v>
      </c>
    </row>
    <row r="127" spans="1:57" s="51" customFormat="1" x14ac:dyDescent="0.25">
      <c r="A127" s="1267" t="str">
        <f t="shared" si="27"/>
        <v>350551_2021_12_Cooling RES</v>
      </c>
      <c r="B127" s="228"/>
      <c r="C127" s="1975" t="s">
        <v>890</v>
      </c>
      <c r="D127" s="1532" t="s">
        <v>317</v>
      </c>
      <c r="E127" s="3005" t="s">
        <v>891</v>
      </c>
      <c r="F127" s="425">
        <f>ROUND(((J211*J283*(1/J355-1/J427))/1000)*J571*$J$635,2)</f>
        <v>83.17</v>
      </c>
      <c r="G127" s="878" t="s">
        <v>258</v>
      </c>
      <c r="H127" s="155">
        <f>VLOOKUP(G127,'CP FACTORS'!$A$3:$B$38, 2, FALSE)</f>
        <v>9.4741810000000004E-4</v>
      </c>
      <c r="I127" s="1531">
        <f t="shared" si="30"/>
        <v>7.8797000000000006E-2</v>
      </c>
      <c r="J127" s="676">
        <v>18</v>
      </c>
      <c r="K127" s="442">
        <f t="shared" si="31"/>
        <v>0</v>
      </c>
      <c r="L127" s="65">
        <f t="shared" si="32"/>
        <v>2</v>
      </c>
      <c r="M127" s="123"/>
      <c r="N127" s="123"/>
      <c r="O127" s="123"/>
      <c r="P127" s="123"/>
      <c r="Q127" s="123"/>
      <c r="R127" s="123"/>
      <c r="S127" s="123"/>
      <c r="T127" s="123"/>
      <c r="U127" s="123"/>
      <c r="V127" s="1962" t="s">
        <v>31</v>
      </c>
      <c r="W127" s="668"/>
      <c r="X127" s="669"/>
      <c r="Y127" s="1961">
        <v>83.34</v>
      </c>
      <c r="Z127" s="670">
        <v>83.34</v>
      </c>
      <c r="AA127" s="670">
        <v>83.34</v>
      </c>
      <c r="AB127" s="2055">
        <v>83.34</v>
      </c>
      <c r="AC127" s="2977">
        <v>83.17</v>
      </c>
      <c r="AD127" s="1941"/>
      <c r="AE127" s="1941"/>
      <c r="AF127" s="1941"/>
      <c r="AG127" s="1941"/>
      <c r="AH127" s="163"/>
      <c r="AI127" s="1942"/>
      <c r="AJ127" s="1942"/>
      <c r="AK127" s="1942"/>
      <c r="AL127" s="1942"/>
      <c r="AM127" s="1942"/>
      <c r="AN127" s="1942"/>
      <c r="AO127" s="1942"/>
      <c r="AP127" s="1942"/>
      <c r="AQ127" s="1942"/>
      <c r="AR127" s="1942"/>
      <c r="AS127" s="1942"/>
      <c r="AT127" s="1942"/>
      <c r="AU127" s="1942"/>
      <c r="AV127" s="1942"/>
      <c r="AW127" s="1942"/>
      <c r="AX127" s="1942"/>
      <c r="AY127" s="1930"/>
      <c r="AZ127" s="1930"/>
      <c r="BA127" s="1942"/>
      <c r="BB127" s="244" t="str">
        <f>IFERROR((BD127)/(BE127),"")</f>
        <v/>
      </c>
      <c r="BC127" s="674" t="str">
        <f t="shared" si="29"/>
        <v>Cooling RES 18 Year EUL</v>
      </c>
      <c r="BD127" s="673">
        <f>(INDEX('Avoided Cost Benefits'!$C$4:$C$857,MATCH(BC127,'Avoided Cost Benefits'!$A$4:$A$857,0)))*F127</f>
        <v>146.69588443632216</v>
      </c>
      <c r="BE127" s="1949">
        <f t="shared" si="33"/>
        <v>0</v>
      </c>
    </row>
    <row r="128" spans="1:57" s="51" customFormat="1" x14ac:dyDescent="0.25">
      <c r="A128" s="1267" t="str">
        <f t="shared" si="27"/>
        <v>350600_2021_12_Cooling RES</v>
      </c>
      <c r="B128" s="228"/>
      <c r="C128" s="1975" t="s">
        <v>892</v>
      </c>
      <c r="D128" s="1532" t="s">
        <v>320</v>
      </c>
      <c r="E128" s="2878" t="s">
        <v>893</v>
      </c>
      <c r="F128" s="425">
        <f>ROUND(((J212*J284*(1/J500-1/J428))/1000)*J572*$J$635,2)</f>
        <v>1789.74</v>
      </c>
      <c r="G128" s="878" t="s">
        <v>258</v>
      </c>
      <c r="H128" s="155">
        <f>VLOOKUP(G128,'CP FACTORS'!$A$3:$B$38, 2, FALSE)</f>
        <v>9.4741810000000004E-4</v>
      </c>
      <c r="I128" s="1531">
        <f t="shared" si="30"/>
        <v>1.695632</v>
      </c>
      <c r="J128" s="666">
        <f t="shared" ref="J128:J135" si="34">J645</f>
        <v>6</v>
      </c>
      <c r="K128" s="682">
        <f t="shared" si="31"/>
        <v>574.35262787904776</v>
      </c>
      <c r="L128" s="65">
        <f t="shared" si="32"/>
        <v>3.1294724977457173</v>
      </c>
      <c r="M128" s="123"/>
      <c r="N128" s="123"/>
      <c r="O128" s="123"/>
      <c r="P128" s="123"/>
      <c r="Q128" s="123"/>
      <c r="R128" s="123"/>
      <c r="S128" s="123"/>
      <c r="T128" s="123"/>
      <c r="U128" s="123"/>
      <c r="V128" s="1962" t="s">
        <v>31</v>
      </c>
      <c r="W128" s="668">
        <v>1932.6604621309377</v>
      </c>
      <c r="X128" s="669">
        <v>1720.1937397650352</v>
      </c>
      <c r="Y128" s="1961">
        <v>1844.27</v>
      </c>
      <c r="Z128" s="670">
        <v>1844.27</v>
      </c>
      <c r="AA128" s="670">
        <v>1844.27</v>
      </c>
      <c r="AB128" s="1857">
        <v>2258.48</v>
      </c>
      <c r="AC128" s="2977">
        <v>1789.74</v>
      </c>
      <c r="AD128" s="1941"/>
      <c r="AE128" s="1941"/>
      <c r="AF128" s="1941"/>
      <c r="AG128" s="1941"/>
      <c r="AH128" s="163"/>
      <c r="AI128" s="1942"/>
      <c r="AJ128" s="1942"/>
      <c r="AK128" s="1942"/>
      <c r="AL128" s="1942"/>
      <c r="AM128" s="1942"/>
      <c r="AN128" s="1942"/>
      <c r="AO128" s="1942"/>
      <c r="AP128" s="1942"/>
      <c r="AQ128" s="1942"/>
      <c r="AR128" s="1942"/>
      <c r="AS128" s="1942"/>
      <c r="AT128" s="1942"/>
      <c r="AU128" s="1942"/>
      <c r="AV128" s="1942"/>
      <c r="AW128" s="1942"/>
      <c r="AX128" s="1942"/>
      <c r="AY128" s="1930"/>
      <c r="AZ128" s="1930"/>
      <c r="BA128" s="1942"/>
      <c r="BB128" s="244">
        <f>(BD128+BD129)/(BE128+BE129)</f>
        <v>2.679007518207916</v>
      </c>
      <c r="BC128" s="3115" t="str">
        <f t="shared" si="29"/>
        <v>Cooling RES 6 Year EUL</v>
      </c>
      <c r="BD128" s="673">
        <f>(INDEX('Avoided Cost Benefits'!$C$4:$C$857,MATCH(BC128,'Avoided Cost Benefits'!$A$4:$A$857,0)))*F128</f>
        <v>1040.7054657713002</v>
      </c>
      <c r="BE128" s="1949">
        <f t="shared" si="33"/>
        <v>542.09780828602902</v>
      </c>
    </row>
    <row r="129" spans="1:57" s="51" customFormat="1" x14ac:dyDescent="0.25">
      <c r="A129" s="1267" t="str">
        <f t="shared" si="27"/>
        <v>350600_2021_12_Cooling RES ER2</v>
      </c>
      <c r="B129" s="228"/>
      <c r="C129" s="1975" t="s">
        <v>892</v>
      </c>
      <c r="D129" s="1532" t="s">
        <v>320</v>
      </c>
      <c r="E129" s="3005" t="s">
        <v>894</v>
      </c>
      <c r="F129" s="425">
        <f>ROUND(((J213*J285*(1/J357-1/J429))/1000)*J573*$J$635,2)</f>
        <v>348.11</v>
      </c>
      <c r="G129" s="878" t="s">
        <v>879</v>
      </c>
      <c r="H129" s="155">
        <f>VLOOKUP(G129,'CP FACTORS'!$A$3:$B$38, 2, FALSE)</f>
        <v>9.4741810000000004E-4</v>
      </c>
      <c r="I129" s="1531">
        <f t="shared" si="30"/>
        <v>0.32980599999999999</v>
      </c>
      <c r="J129" s="666">
        <f t="shared" si="34"/>
        <v>12</v>
      </c>
      <c r="K129" s="442">
        <f t="shared" si="31"/>
        <v>0</v>
      </c>
      <c r="L129" s="65">
        <f t="shared" si="32"/>
        <v>3.1294724977457173</v>
      </c>
      <c r="M129" s="123"/>
      <c r="N129" s="123"/>
      <c r="O129" s="123"/>
      <c r="P129" s="123"/>
      <c r="Q129" s="123"/>
      <c r="R129" s="123"/>
      <c r="S129" s="123"/>
      <c r="T129" s="123"/>
      <c r="U129" s="123"/>
      <c r="V129" s="1962" t="s">
        <v>31</v>
      </c>
      <c r="W129" s="668">
        <v>1177.266315789474</v>
      </c>
      <c r="X129" s="669">
        <v>348.58770042622297</v>
      </c>
      <c r="Y129" s="1961">
        <v>373.73</v>
      </c>
      <c r="Z129" s="670">
        <v>373.73</v>
      </c>
      <c r="AA129" s="670">
        <v>373.73</v>
      </c>
      <c r="AB129" s="1857">
        <v>363.6</v>
      </c>
      <c r="AC129" s="2977">
        <v>348.11</v>
      </c>
      <c r="AD129" s="1941"/>
      <c r="AE129" s="1941"/>
      <c r="AF129" s="1941"/>
      <c r="AG129" s="1941"/>
      <c r="AH129" s="163"/>
      <c r="AI129" s="1942"/>
      <c r="AJ129" s="1942"/>
      <c r="AK129" s="1942"/>
      <c r="AL129" s="1942"/>
      <c r="AM129" s="1942"/>
      <c r="AN129" s="1942"/>
      <c r="AO129" s="1942"/>
      <c r="AP129" s="1942"/>
      <c r="AQ129" s="1942"/>
      <c r="AR129" s="1942"/>
      <c r="AS129" s="1942"/>
      <c r="AT129" s="1942"/>
      <c r="AU129" s="1942"/>
      <c r="AV129" s="1942"/>
      <c r="AW129" s="1942"/>
      <c r="AX129" s="1942"/>
      <c r="AY129" s="1930"/>
      <c r="AZ129" s="1930"/>
      <c r="BA129" s="1942"/>
      <c r="BB129" s="242"/>
      <c r="BC129" s="3116" t="str">
        <f t="shared" si="29"/>
        <v>Cooling RES ER2 12 Year EUL</v>
      </c>
      <c r="BD129" s="673">
        <f>(INDEX('Avoided Cost Benefits'!$C$4:$C$857,MATCH(BC129,'Avoided Cost Benefits'!$A$4:$A$857,0)))*F129</f>
        <v>411.57863823100496</v>
      </c>
      <c r="BE129" s="1949">
        <f t="shared" si="33"/>
        <v>0</v>
      </c>
    </row>
    <row r="130" spans="1:57" s="51" customFormat="1" x14ac:dyDescent="0.25">
      <c r="A130" s="1267" t="str">
        <f t="shared" si="27"/>
        <v>350650_2021_12_Cooling RES</v>
      </c>
      <c r="B130" s="228"/>
      <c r="C130" s="1975" t="s">
        <v>895</v>
      </c>
      <c r="D130" s="1532" t="s">
        <v>320</v>
      </c>
      <c r="E130" s="3006" t="s">
        <v>896</v>
      </c>
      <c r="F130" s="425">
        <f>ROUND(((J214*J286*(1/J358-1/J430))/1000)*J574*$J$635,2)</f>
        <v>347.48</v>
      </c>
      <c r="G130" s="878" t="s">
        <v>258</v>
      </c>
      <c r="H130" s="155">
        <f>VLOOKUP(G130,'CP FACTORS'!$A$3:$B$38, 2, FALSE)</f>
        <v>9.4741810000000004E-4</v>
      </c>
      <c r="I130" s="1531">
        <f t="shared" si="30"/>
        <v>0.32920899999999997</v>
      </c>
      <c r="J130" s="666">
        <f t="shared" si="34"/>
        <v>18</v>
      </c>
      <c r="K130" s="442">
        <f t="shared" si="31"/>
        <v>108</v>
      </c>
      <c r="L130" s="65">
        <f t="shared" si="32"/>
        <v>3.1133333333333333</v>
      </c>
      <c r="M130" s="123"/>
      <c r="N130" s="123"/>
      <c r="O130" s="123"/>
      <c r="P130" s="123"/>
      <c r="Q130" s="123"/>
      <c r="R130" s="123"/>
      <c r="S130" s="123"/>
      <c r="T130" s="123"/>
      <c r="U130" s="123"/>
      <c r="V130" s="1962" t="s">
        <v>31</v>
      </c>
      <c r="W130" s="668">
        <v>334.67345899133977</v>
      </c>
      <c r="X130" s="669">
        <v>348.58770042622297</v>
      </c>
      <c r="Y130" s="1961">
        <v>369.27</v>
      </c>
      <c r="Z130" s="670">
        <v>369.27</v>
      </c>
      <c r="AA130" s="670">
        <v>369.27</v>
      </c>
      <c r="AB130" s="1857">
        <v>373.31</v>
      </c>
      <c r="AC130" s="2977">
        <v>347.48</v>
      </c>
      <c r="AD130" s="1941"/>
      <c r="AE130" s="1941"/>
      <c r="AF130" s="1941"/>
      <c r="AG130" s="1941"/>
      <c r="AH130" s="163"/>
      <c r="AI130" s="1942"/>
      <c r="AJ130" s="1942"/>
      <c r="AK130" s="1942"/>
      <c r="AL130" s="1942"/>
      <c r="AM130" s="1942"/>
      <c r="AN130" s="1942"/>
      <c r="AO130" s="1942"/>
      <c r="AP130" s="1942"/>
      <c r="AQ130" s="1942"/>
      <c r="AR130" s="1942"/>
      <c r="AS130" s="1942"/>
      <c r="AT130" s="1942"/>
      <c r="AU130" s="1942"/>
      <c r="AV130" s="1942"/>
      <c r="AW130" s="1942"/>
      <c r="AX130" s="1942"/>
      <c r="AY130" s="1930"/>
      <c r="AZ130" s="1930"/>
      <c r="BA130" s="1942"/>
      <c r="BB130" s="244">
        <f>(BD130)/(BE130)</f>
        <v>6.0125437119428815</v>
      </c>
      <c r="BC130" s="674" t="str">
        <f t="shared" si="29"/>
        <v>Cooling RES 18 Year EUL</v>
      </c>
      <c r="BD130" s="673">
        <f>(INDEX('Avoided Cost Benefits'!$C$4:$C$857,MATCH(BC130,'Avoided Cost Benefits'!$A$4:$A$857,0)))*F130</f>
        <v>612.88789135425304</v>
      </c>
      <c r="BE130" s="1949">
        <f t="shared" si="33"/>
        <v>101.93487494100989</v>
      </c>
    </row>
    <row r="131" spans="1:57" s="51" customFormat="1" x14ac:dyDescent="0.25">
      <c r="A131" s="1267" t="str">
        <f t="shared" si="27"/>
        <v>350700_2021_12_Cooling RES</v>
      </c>
      <c r="B131" s="228"/>
      <c r="C131" s="1975" t="s">
        <v>897</v>
      </c>
      <c r="D131" s="1532" t="s">
        <v>322</v>
      </c>
      <c r="E131" s="2878" t="s">
        <v>898</v>
      </c>
      <c r="F131" s="425">
        <f>ROUND(((J215*J287*(1/J503-1/J431))/1000)*J575*$J$635,2)</f>
        <v>1478.57</v>
      </c>
      <c r="G131" s="878" t="s">
        <v>258</v>
      </c>
      <c r="H131" s="155">
        <f>VLOOKUP(G131,'CP FACTORS'!$A$3:$B$38, 2, FALSE)</f>
        <v>9.4741810000000004E-4</v>
      </c>
      <c r="I131" s="1531">
        <f t="shared" si="30"/>
        <v>1.4008240000000001</v>
      </c>
      <c r="J131" s="666">
        <f t="shared" si="34"/>
        <v>6</v>
      </c>
      <c r="K131" s="682">
        <f t="shared" si="31"/>
        <v>478.77486813988367</v>
      </c>
      <c r="L131" s="65">
        <f t="shared" si="32"/>
        <v>2.4880952380952381</v>
      </c>
      <c r="M131" s="123"/>
      <c r="N131" s="123"/>
      <c r="O131" s="123"/>
      <c r="P131" s="123"/>
      <c r="Q131" s="123"/>
      <c r="R131" s="123"/>
      <c r="S131" s="123"/>
      <c r="T131" s="123"/>
      <c r="U131" s="123"/>
      <c r="V131" s="1962" t="s">
        <v>31</v>
      </c>
      <c r="W131" s="668">
        <v>1256.2293003851096</v>
      </c>
      <c r="X131" s="669">
        <v>1592.2642887629986</v>
      </c>
      <c r="Y131" s="1961">
        <v>1113.32</v>
      </c>
      <c r="Z131" s="670">
        <v>1113.32</v>
      </c>
      <c r="AA131" s="670">
        <v>1113.32</v>
      </c>
      <c r="AB131" s="1857">
        <v>1738.76</v>
      </c>
      <c r="AC131" s="2977">
        <v>1478.57</v>
      </c>
      <c r="AD131" s="1941"/>
      <c r="AE131" s="1941"/>
      <c r="AF131" s="1941"/>
      <c r="AG131" s="1941"/>
      <c r="AH131" s="163"/>
      <c r="AI131" s="1942"/>
      <c r="AJ131" s="1942"/>
      <c r="AK131" s="1942"/>
      <c r="AL131" s="1942"/>
      <c r="AM131" s="1942"/>
      <c r="AN131" s="1942"/>
      <c r="AO131" s="1942"/>
      <c r="AP131" s="1942"/>
      <c r="AQ131" s="1942"/>
      <c r="AR131" s="1942"/>
      <c r="AS131" s="1942"/>
      <c r="AT131" s="1942"/>
      <c r="AU131" s="1942"/>
      <c r="AV131" s="1942"/>
      <c r="AW131" s="1942"/>
      <c r="AX131" s="1942"/>
      <c r="AY131" s="1930"/>
      <c r="AZ131" s="1930"/>
      <c r="BA131" s="1942"/>
      <c r="BB131" s="244">
        <f>(BD131+BD132)/(BE131+BE132)</f>
        <v>2.6575998596119068</v>
      </c>
      <c r="BC131" s="3115" t="str">
        <f t="shared" si="29"/>
        <v>Cooling RES 6 Year EUL</v>
      </c>
      <c r="BD131" s="673">
        <f>(INDEX('Avoided Cost Benefits'!$C$4:$C$857,MATCH(BC131,'Avoided Cost Benefits'!$A$4:$A$857,0)))*F131</f>
        <v>859.76503879081383</v>
      </c>
      <c r="BE131" s="1949">
        <f t="shared" si="33"/>
        <v>451.88755841423654</v>
      </c>
    </row>
    <row r="132" spans="1:57" s="51" customFormat="1" x14ac:dyDescent="0.25">
      <c r="A132" s="1267" t="str">
        <f t="shared" si="27"/>
        <v>350700_2021_12_Cooling RES ER2</v>
      </c>
      <c r="B132" s="228"/>
      <c r="C132" s="1975" t="s">
        <v>897</v>
      </c>
      <c r="D132" s="1532" t="s">
        <v>322</v>
      </c>
      <c r="E132" s="3005" t="s">
        <v>899</v>
      </c>
      <c r="F132" s="425">
        <f>ROUND(((J216*J288*(1/J360-1/J432))/1000)*J576*$J$635,2)</f>
        <v>288.56</v>
      </c>
      <c r="G132" s="878" t="s">
        <v>879</v>
      </c>
      <c r="H132" s="155">
        <f>VLOOKUP(G132,'CP FACTORS'!$A$3:$B$38, 2, FALSE)</f>
        <v>9.4741810000000004E-4</v>
      </c>
      <c r="I132" s="1531">
        <f t="shared" si="30"/>
        <v>0.27338699999999999</v>
      </c>
      <c r="J132" s="666">
        <f t="shared" si="34"/>
        <v>12</v>
      </c>
      <c r="K132" s="442">
        <f t="shared" si="31"/>
        <v>0</v>
      </c>
      <c r="L132" s="65">
        <f t="shared" si="32"/>
        <v>2.4880952380952381</v>
      </c>
      <c r="M132" s="123"/>
      <c r="N132" s="123"/>
      <c r="O132" s="123"/>
      <c r="P132" s="123"/>
      <c r="Q132" s="123"/>
      <c r="R132" s="123"/>
      <c r="S132" s="123"/>
      <c r="T132" s="123"/>
      <c r="U132" s="123"/>
      <c r="V132" s="1962" t="s">
        <v>31</v>
      </c>
      <c r="W132" s="668">
        <v>765.22310526315812</v>
      </c>
      <c r="X132" s="669">
        <v>322.66350822001232</v>
      </c>
      <c r="Y132" s="1961">
        <v>213.91</v>
      </c>
      <c r="Z132" s="670">
        <v>213.91</v>
      </c>
      <c r="AA132" s="670">
        <v>213.91</v>
      </c>
      <c r="AB132" s="1857">
        <v>263.63</v>
      </c>
      <c r="AC132" s="2977">
        <v>288.56</v>
      </c>
      <c r="AD132" s="1941"/>
      <c r="AE132" s="1941"/>
      <c r="AF132" s="1941"/>
      <c r="AG132" s="1941"/>
      <c r="AH132" s="163"/>
      <c r="AI132" s="1942"/>
      <c r="AJ132" s="1942"/>
      <c r="AK132" s="1942"/>
      <c r="AL132" s="1942"/>
      <c r="AM132" s="1942"/>
      <c r="AN132" s="1942"/>
      <c r="AO132" s="1942"/>
      <c r="AP132" s="1942"/>
      <c r="AQ132" s="1942"/>
      <c r="AR132" s="1942"/>
      <c r="AS132" s="1942"/>
      <c r="AT132" s="1942"/>
      <c r="AU132" s="1942"/>
      <c r="AV132" s="1942"/>
      <c r="AW132" s="1942"/>
      <c r="AX132" s="1942"/>
      <c r="AY132" s="1930"/>
      <c r="AZ132" s="1930"/>
      <c r="BA132" s="1942"/>
      <c r="BB132" s="242"/>
      <c r="BC132" s="3116" t="str">
        <f t="shared" si="29"/>
        <v>Cooling RES ER2 12 Year EUL</v>
      </c>
      <c r="BD132" s="673">
        <f>(INDEX('Avoided Cost Benefits'!$C$4:$C$857,MATCH(BC132,'Avoided Cost Benefits'!$A$4:$A$857,0)))*F132</f>
        <v>341.17127301122861</v>
      </c>
      <c r="BE132" s="1949">
        <f t="shared" si="33"/>
        <v>0</v>
      </c>
    </row>
    <row r="133" spans="1:57" s="51" customFormat="1" x14ac:dyDescent="0.25">
      <c r="A133" s="1267" t="str">
        <f t="shared" si="27"/>
        <v>350701_2021_12_Cooling RES</v>
      </c>
      <c r="B133" s="228"/>
      <c r="C133" s="1975" t="s">
        <v>900</v>
      </c>
      <c r="D133" s="1532" t="s">
        <v>317</v>
      </c>
      <c r="E133" s="3005" t="s">
        <v>901</v>
      </c>
      <c r="F133" s="425">
        <f>ROUND(((J217*J289*(1/J505-1/J433))/1000)*J577*$J$635,2)</f>
        <v>1058.6099999999999</v>
      </c>
      <c r="G133" s="878" t="s">
        <v>258</v>
      </c>
      <c r="H133" s="155">
        <f>VLOOKUP(G133,'CP FACTORS'!$A$3:$B$38, 2, FALSE)</f>
        <v>9.4741810000000004E-4</v>
      </c>
      <c r="I133" s="1531">
        <f t="shared" si="30"/>
        <v>1.0029459999999999</v>
      </c>
      <c r="J133" s="666">
        <f t="shared" si="34"/>
        <v>6</v>
      </c>
      <c r="K133" s="682">
        <f t="shared" si="31"/>
        <v>478.77486813988367</v>
      </c>
      <c r="L133" s="65">
        <f t="shared" si="32"/>
        <v>2.4880952380952381</v>
      </c>
      <c r="M133" s="123"/>
      <c r="N133" s="123"/>
      <c r="O133" s="123"/>
      <c r="P133" s="123"/>
      <c r="Q133" s="123"/>
      <c r="R133" s="123"/>
      <c r="S133" s="123"/>
      <c r="T133" s="123"/>
      <c r="U133" s="123"/>
      <c r="V133" s="1962" t="s">
        <v>31</v>
      </c>
      <c r="W133" s="668"/>
      <c r="X133" s="669"/>
      <c r="Y133" s="1961">
        <v>809.69</v>
      </c>
      <c r="Z133" s="670">
        <v>809.69</v>
      </c>
      <c r="AA133" s="670">
        <v>809.69</v>
      </c>
      <c r="AB133" s="1857">
        <v>1078.19</v>
      </c>
      <c r="AC133" s="2977">
        <v>1058.6099999999999</v>
      </c>
      <c r="AD133" s="1941"/>
      <c r="AE133" s="1941"/>
      <c r="AF133" s="1941"/>
      <c r="AG133" s="1941"/>
      <c r="AH133" s="163"/>
      <c r="AI133" s="1942"/>
      <c r="AJ133" s="1942"/>
      <c r="AK133" s="1942"/>
      <c r="AL133" s="1942"/>
      <c r="AM133" s="1942"/>
      <c r="AN133" s="1942"/>
      <c r="AO133" s="1942"/>
      <c r="AP133" s="1942"/>
      <c r="AQ133" s="1942"/>
      <c r="AR133" s="1942"/>
      <c r="AS133" s="1942"/>
      <c r="AT133" s="1942"/>
      <c r="AU133" s="1942"/>
      <c r="AV133" s="1942"/>
      <c r="AW133" s="1942"/>
      <c r="AX133" s="1942"/>
      <c r="AY133" s="1930"/>
      <c r="AZ133" s="1930"/>
      <c r="BA133" s="1942"/>
      <c r="BB133" s="244">
        <f>(BD133+BD134)/(BE133+BE134)</f>
        <v>1.8368750600370269</v>
      </c>
      <c r="BC133" s="3115" t="str">
        <f t="shared" si="29"/>
        <v>Cooling RES 6 Year EUL</v>
      </c>
      <c r="BD133" s="673">
        <f>(INDEX('Avoided Cost Benefits'!$C$4:$C$857,MATCH(BC133,'Avoided Cost Benefits'!$A$4:$A$857,0)))*F133</f>
        <v>615.56494972462815</v>
      </c>
      <c r="BE133" s="1949">
        <f t="shared" si="33"/>
        <v>451.88755841423654</v>
      </c>
    </row>
    <row r="134" spans="1:57" s="51" customFormat="1" x14ac:dyDescent="0.25">
      <c r="A134" s="1267" t="str">
        <f t="shared" si="27"/>
        <v>350701_2021_12_Cooling RES ER2</v>
      </c>
      <c r="B134" s="228"/>
      <c r="C134" s="1975" t="s">
        <v>900</v>
      </c>
      <c r="D134" s="1532" t="s">
        <v>317</v>
      </c>
      <c r="E134" s="3005" t="s">
        <v>902</v>
      </c>
      <c r="F134" s="425">
        <f>ROUND(((J218*J290*(1/J362-1/J434))/1000)*J578*$J$635,2)</f>
        <v>193.15</v>
      </c>
      <c r="G134" s="878" t="s">
        <v>879</v>
      </c>
      <c r="H134" s="155">
        <f>VLOOKUP(G134,'CP FACTORS'!$A$3:$B$38, 2, FALSE)</f>
        <v>9.4741810000000004E-4</v>
      </c>
      <c r="I134" s="1531">
        <f t="shared" si="30"/>
        <v>0.18299399999999999</v>
      </c>
      <c r="J134" s="666">
        <f t="shared" si="34"/>
        <v>12</v>
      </c>
      <c r="K134" s="442">
        <v>8</v>
      </c>
      <c r="L134" s="65">
        <f t="shared" si="32"/>
        <v>2.4880952380952381</v>
      </c>
      <c r="M134" s="123"/>
      <c r="N134" s="123"/>
      <c r="O134" s="123"/>
      <c r="P134" s="123"/>
      <c r="Q134" s="123"/>
      <c r="R134" s="123"/>
      <c r="S134" s="123"/>
      <c r="T134" s="123"/>
      <c r="U134" s="123"/>
      <c r="V134" s="1962" t="s">
        <v>31</v>
      </c>
      <c r="W134" s="668"/>
      <c r="X134" s="669"/>
      <c r="Y134" s="1961">
        <v>155.57</v>
      </c>
      <c r="Z134" s="670">
        <v>155.57</v>
      </c>
      <c r="AA134" s="670">
        <v>155.57</v>
      </c>
      <c r="AB134" s="2055">
        <v>155.57</v>
      </c>
      <c r="AC134" s="2977">
        <v>193.15</v>
      </c>
      <c r="AD134" s="1941"/>
      <c r="AE134" s="1941"/>
      <c r="AF134" s="1941"/>
      <c r="AG134" s="1941"/>
      <c r="AH134" s="163"/>
      <c r="AI134" s="1942"/>
      <c r="AJ134" s="1942"/>
      <c r="AK134" s="1942"/>
      <c r="AL134" s="1942"/>
      <c r="AM134" s="1942"/>
      <c r="AN134" s="1942"/>
      <c r="AO134" s="1942"/>
      <c r="AP134" s="1942"/>
      <c r="AQ134" s="1942"/>
      <c r="AR134" s="1942"/>
      <c r="AS134" s="1942"/>
      <c r="AT134" s="1942"/>
      <c r="AU134" s="1942"/>
      <c r="AV134" s="1942"/>
      <c r="AW134" s="1942"/>
      <c r="AX134" s="1942"/>
      <c r="AY134" s="1930"/>
      <c r="AZ134" s="1930"/>
      <c r="BA134" s="1942"/>
      <c r="BB134" s="242"/>
      <c r="BC134" s="3116" t="str">
        <f t="shared" si="29"/>
        <v>Cooling RES ER2 12 Year EUL</v>
      </c>
      <c r="BD134" s="673">
        <f>(INDEX('Avoided Cost Benefits'!$C$4:$C$857,MATCH(BC134,'Avoided Cost Benefits'!$A$4:$A$857,0)))*F134</f>
        <v>228.36578660285144</v>
      </c>
      <c r="BE134" s="1949">
        <f t="shared" si="33"/>
        <v>7.5507314771118441</v>
      </c>
    </row>
    <row r="135" spans="1:57" s="51" customFormat="1" x14ac:dyDescent="0.25">
      <c r="A135" s="1267" t="str">
        <f t="shared" si="27"/>
        <v>350750_2021_12_Cooling RES</v>
      </c>
      <c r="B135" s="228"/>
      <c r="C135" s="1975" t="s">
        <v>903</v>
      </c>
      <c r="D135" s="1532" t="s">
        <v>322</v>
      </c>
      <c r="E135" s="3006" t="s">
        <v>904</v>
      </c>
      <c r="F135" s="425">
        <f>ROUND(((J219*J291*(1/J363-1/J435))/1000)*J579*$J$635,2)</f>
        <v>309.3</v>
      </c>
      <c r="G135" s="878" t="s">
        <v>258</v>
      </c>
      <c r="H135" s="155">
        <f>VLOOKUP(G135,'CP FACTORS'!$A$3:$B$38, 2, FALSE)</f>
        <v>9.4741810000000004E-4</v>
      </c>
      <c r="I135" s="1531">
        <f t="shared" si="30"/>
        <v>0.29303600000000002</v>
      </c>
      <c r="J135" s="666">
        <f t="shared" si="34"/>
        <v>18</v>
      </c>
      <c r="K135" s="442">
        <f t="shared" si="31"/>
        <v>108</v>
      </c>
      <c r="L135" s="65">
        <f t="shared" si="32"/>
        <v>2.75</v>
      </c>
      <c r="M135" s="123"/>
      <c r="N135" s="123"/>
      <c r="O135" s="123"/>
      <c r="P135" s="123"/>
      <c r="Q135" s="123"/>
      <c r="R135" s="123"/>
      <c r="S135" s="123"/>
      <c r="T135" s="123"/>
      <c r="U135" s="123"/>
      <c r="V135" s="1962" t="s">
        <v>31</v>
      </c>
      <c r="W135" s="668">
        <v>217.53774834437087</v>
      </c>
      <c r="X135" s="669">
        <v>322.66350822001232</v>
      </c>
      <c r="Y135" s="1961">
        <v>213.91</v>
      </c>
      <c r="Z135" s="670">
        <v>213.91</v>
      </c>
      <c r="AA135" s="670">
        <v>213.91</v>
      </c>
      <c r="AB135" s="1857">
        <v>230.82</v>
      </c>
      <c r="AC135" s="2977">
        <v>309.3</v>
      </c>
      <c r="AD135" s="1941"/>
      <c r="AE135" s="1941"/>
      <c r="AF135" s="1941"/>
      <c r="AG135" s="1941"/>
      <c r="AH135" s="163"/>
      <c r="AI135" s="1942"/>
      <c r="AJ135" s="1942"/>
      <c r="AK135" s="1942"/>
      <c r="AL135" s="1942"/>
      <c r="AM135" s="1942"/>
      <c r="AN135" s="1942"/>
      <c r="AO135" s="1942"/>
      <c r="AP135" s="1942"/>
      <c r="AQ135" s="1942"/>
      <c r="AR135" s="1942"/>
      <c r="AS135" s="1942"/>
      <c r="AT135" s="1942"/>
      <c r="AU135" s="1942"/>
      <c r="AV135" s="1942"/>
      <c r="AW135" s="1942"/>
      <c r="AX135" s="1942"/>
      <c r="AY135" s="1930"/>
      <c r="AZ135" s="1930"/>
      <c r="BA135" s="1942"/>
      <c r="BB135" s="244">
        <f>(BD135)/(BE135)</f>
        <v>5.3519044840103982</v>
      </c>
      <c r="BC135" s="674" t="str">
        <f t="shared" si="29"/>
        <v>Cooling RES 18 Year EUL</v>
      </c>
      <c r="BD135" s="673">
        <f>(INDEX('Avoided Cost Benefits'!$C$4:$C$857,MATCH(BC135,'Avoided Cost Benefits'!$A$4:$A$857,0)))*F135</f>
        <v>545.54571427383007</v>
      </c>
      <c r="BE135" s="1949">
        <f t="shared" si="33"/>
        <v>101.93487494100989</v>
      </c>
    </row>
    <row r="136" spans="1:57" s="51" customFormat="1" x14ac:dyDescent="0.25">
      <c r="A136" s="1267" t="str">
        <f t="shared" si="27"/>
        <v>350751_2021_12_Cooling RES</v>
      </c>
      <c r="B136" s="228"/>
      <c r="C136" s="1975" t="s">
        <v>905</v>
      </c>
      <c r="D136" s="1532" t="s">
        <v>317</v>
      </c>
      <c r="E136" s="3005" t="s">
        <v>906</v>
      </c>
      <c r="F136" s="425">
        <f>ROUND(((J220*J292*(1/J364-1/J436))/1000)*J580*$J$635,2)</f>
        <v>213.48</v>
      </c>
      <c r="G136" s="878" t="s">
        <v>258</v>
      </c>
      <c r="H136" s="155">
        <f>VLOOKUP(G136,'CP FACTORS'!$A$3:$B$38, 2, FALSE)</f>
        <v>9.4741810000000004E-4</v>
      </c>
      <c r="I136" s="1531">
        <f t="shared" si="30"/>
        <v>0.20225499999999999</v>
      </c>
      <c r="J136" s="676">
        <v>18</v>
      </c>
      <c r="K136" s="442">
        <f t="shared" si="31"/>
        <v>108</v>
      </c>
      <c r="L136" s="65">
        <f t="shared" si="32"/>
        <v>2.75</v>
      </c>
      <c r="M136" s="123"/>
      <c r="N136" s="123"/>
      <c r="O136" s="123"/>
      <c r="P136" s="123"/>
      <c r="Q136" s="123"/>
      <c r="R136" s="123"/>
      <c r="S136" s="123"/>
      <c r="T136" s="123"/>
      <c r="U136" s="123"/>
      <c r="V136" s="1962" t="s">
        <v>31</v>
      </c>
      <c r="W136" s="668"/>
      <c r="X136" s="669"/>
      <c r="Y136" s="1961">
        <v>155.57</v>
      </c>
      <c r="Z136" s="670">
        <v>155.57</v>
      </c>
      <c r="AA136" s="670">
        <v>155.57</v>
      </c>
      <c r="AB136" s="2055">
        <v>155.57</v>
      </c>
      <c r="AC136" s="2977">
        <v>213.48</v>
      </c>
      <c r="AD136" s="1941"/>
      <c r="AE136" s="1941"/>
      <c r="AF136" s="1941"/>
      <c r="AG136" s="1941"/>
      <c r="AH136" s="163"/>
      <c r="AI136" s="1942"/>
      <c r="AJ136" s="1942"/>
      <c r="AK136" s="1942"/>
      <c r="AL136" s="1942"/>
      <c r="AM136" s="1942"/>
      <c r="AN136" s="1942"/>
      <c r="AO136" s="1942"/>
      <c r="AP136" s="1942"/>
      <c r="AQ136" s="1942"/>
      <c r="AR136" s="1942"/>
      <c r="AS136" s="1942"/>
      <c r="AT136" s="1942"/>
      <c r="AU136" s="1942"/>
      <c r="AV136" s="1942"/>
      <c r="AW136" s="1942"/>
      <c r="AX136" s="1942"/>
      <c r="AY136" s="1930"/>
      <c r="AZ136" s="1930"/>
      <c r="BA136" s="1942"/>
      <c r="BB136" s="244">
        <f>(BD136)/(BE136)</f>
        <v>3.6939042006031029</v>
      </c>
      <c r="BC136" s="674" t="str">
        <f t="shared" si="29"/>
        <v>Cooling RES 18 Year EUL</v>
      </c>
      <c r="BD136" s="673">
        <f>(INDEX('Avoided Cost Benefits'!$C$4:$C$857,MATCH(BC136,'Avoided Cost Benefits'!$A$4:$A$857,0)))*F136</f>
        <v>376.53766273254843</v>
      </c>
      <c r="BE136" s="1949">
        <f t="shared" si="33"/>
        <v>101.93487494100989</v>
      </c>
    </row>
    <row r="137" spans="1:57" s="51" customFormat="1" x14ac:dyDescent="0.25">
      <c r="A137" s="1267" t="str">
        <f t="shared" si="27"/>
        <v>350800_2021_12_Cooling RES</v>
      </c>
      <c r="B137" s="228"/>
      <c r="C137" s="1975" t="s">
        <v>907</v>
      </c>
      <c r="D137" s="1532" t="s">
        <v>320</v>
      </c>
      <c r="E137" s="2878" t="s">
        <v>908</v>
      </c>
      <c r="F137" s="425">
        <f>ROUND(((J221*J293*(1/J509-1/J437))/1000)*J581*$J$635,2)</f>
        <v>1809.8</v>
      </c>
      <c r="G137" s="878" t="s">
        <v>258</v>
      </c>
      <c r="H137" s="155">
        <f>VLOOKUP(G137,'CP FACTORS'!$A$3:$B$38, 2, FALSE)</f>
        <v>9.4741810000000004E-4</v>
      </c>
      <c r="I137" s="1531">
        <f t="shared" si="30"/>
        <v>1.714637</v>
      </c>
      <c r="J137" s="666">
        <f t="shared" ref="J137:J144" si="35">J654</f>
        <v>6</v>
      </c>
      <c r="K137" s="682">
        <f t="shared" si="31"/>
        <v>661.30099318631073</v>
      </c>
      <c r="L137" s="65">
        <f t="shared" si="32"/>
        <v>2.9546522664048429</v>
      </c>
      <c r="M137" s="123"/>
      <c r="N137" s="1533"/>
      <c r="O137" s="1534"/>
      <c r="P137" s="123"/>
      <c r="Q137" s="123"/>
      <c r="R137" s="1431"/>
      <c r="S137" s="123"/>
      <c r="T137" s="123"/>
      <c r="U137" s="123"/>
      <c r="V137" s="1962" t="s">
        <v>31</v>
      </c>
      <c r="W137" s="668">
        <v>1921.8676829268297</v>
      </c>
      <c r="X137" s="669">
        <v>1872.8908664383187</v>
      </c>
      <c r="Y137" s="1961">
        <v>1880.22</v>
      </c>
      <c r="Z137" s="670">
        <v>1880.22</v>
      </c>
      <c r="AA137" s="670">
        <v>1880.22</v>
      </c>
      <c r="AB137" s="1857">
        <v>2198.3200000000002</v>
      </c>
      <c r="AC137" s="2977">
        <v>1809.8</v>
      </c>
      <c r="AD137" s="1941"/>
      <c r="AE137" s="1941"/>
      <c r="AF137" s="1941"/>
      <c r="AG137" s="1941"/>
      <c r="AH137" s="163"/>
      <c r="AI137" s="1942"/>
      <c r="AJ137" s="1942"/>
      <c r="AK137" s="1942"/>
      <c r="AL137" s="1942"/>
      <c r="AM137" s="1942"/>
      <c r="AN137" s="1942"/>
      <c r="AO137" s="1942"/>
      <c r="AP137" s="1942"/>
      <c r="AQ137" s="1942"/>
      <c r="AR137" s="1942"/>
      <c r="AS137" s="1942"/>
      <c r="AT137" s="1942"/>
      <c r="AU137" s="1942"/>
      <c r="AV137" s="1942"/>
      <c r="AW137" s="1942"/>
      <c r="AX137" s="1942"/>
      <c r="AY137" s="1930"/>
      <c r="AZ137" s="1930"/>
      <c r="BA137" s="1942"/>
      <c r="BB137" s="244">
        <f>(BD137+BD138)/(BE137+BE138)</f>
        <v>2.5324207021527885</v>
      </c>
      <c r="BC137" s="3115" t="str">
        <f t="shared" si="29"/>
        <v>Cooling RES 6 Year EUL</v>
      </c>
      <c r="BD137" s="673">
        <f>(INDEX('Avoided Cost Benefits'!$C$4:$C$857,MATCH(BC137,'Avoided Cost Benefits'!$A$4:$A$857,0)))*F137</f>
        <v>1052.3700380797764</v>
      </c>
      <c r="BE137" s="1949">
        <f t="shared" si="33"/>
        <v>624.1632781371502</v>
      </c>
    </row>
    <row r="138" spans="1:57" s="51" customFormat="1" x14ac:dyDescent="0.25">
      <c r="A138" s="1267" t="str">
        <f t="shared" si="27"/>
        <v>350800_2021_12_Cooling RES ER2</v>
      </c>
      <c r="B138" s="228"/>
      <c r="C138" s="1975" t="s">
        <v>907</v>
      </c>
      <c r="D138" s="1532" t="s">
        <v>320</v>
      </c>
      <c r="E138" s="3005" t="s">
        <v>909</v>
      </c>
      <c r="F138" s="425">
        <f>ROUND(((J222*J294*(1/J366-1/J438))/1000)*J582*$J$635,2)</f>
        <v>446.81</v>
      </c>
      <c r="G138" s="878" t="s">
        <v>879</v>
      </c>
      <c r="H138" s="155">
        <f>VLOOKUP(G138,'CP FACTORS'!$A$3:$B$38, 2, FALSE)</f>
        <v>9.4741810000000004E-4</v>
      </c>
      <c r="I138" s="1531">
        <f t="shared" si="30"/>
        <v>0.42331600000000003</v>
      </c>
      <c r="J138" s="666">
        <f t="shared" si="35"/>
        <v>12</v>
      </c>
      <c r="K138" s="442">
        <f t="shared" si="31"/>
        <v>0</v>
      </c>
      <c r="L138" s="65">
        <f t="shared" si="32"/>
        <v>2.9546522664048429</v>
      </c>
      <c r="M138" s="123"/>
      <c r="N138" s="1533"/>
      <c r="O138" s="1534"/>
      <c r="P138" s="123"/>
      <c r="Q138" s="123"/>
      <c r="R138" s="1431"/>
      <c r="S138" s="123"/>
      <c r="T138" s="123"/>
      <c r="U138" s="123"/>
      <c r="V138" s="1962" t="s">
        <v>31</v>
      </c>
      <c r="W138" s="668">
        <v>1212.2550000000003</v>
      </c>
      <c r="X138" s="669">
        <v>501.2848270995064</v>
      </c>
      <c r="Y138" s="1961">
        <v>504.12</v>
      </c>
      <c r="Z138" s="670">
        <v>504.12</v>
      </c>
      <c r="AA138" s="670">
        <v>504.12</v>
      </c>
      <c r="AB138" s="1857">
        <v>451.39</v>
      </c>
      <c r="AC138" s="2977">
        <v>446.81</v>
      </c>
      <c r="AD138" s="1941"/>
      <c r="AE138" s="1941"/>
      <c r="AF138" s="1941"/>
      <c r="AG138" s="1941"/>
      <c r="AH138" s="163"/>
      <c r="AI138" s="1942"/>
      <c r="AJ138" s="1942"/>
      <c r="AK138" s="1942"/>
      <c r="AL138" s="1942"/>
      <c r="AM138" s="1942"/>
      <c r="AN138" s="1942"/>
      <c r="AO138" s="1942"/>
      <c r="AP138" s="1942"/>
      <c r="AQ138" s="1942"/>
      <c r="AR138" s="1942"/>
      <c r="AS138" s="1942"/>
      <c r="AT138" s="1942"/>
      <c r="AU138" s="1942"/>
      <c r="AV138" s="1942"/>
      <c r="AW138" s="1942"/>
      <c r="AX138" s="1942"/>
      <c r="AY138" s="1930"/>
      <c r="AZ138" s="1930"/>
      <c r="BA138" s="1942"/>
      <c r="BB138" s="242"/>
      <c r="BC138" s="3116" t="str">
        <f t="shared" si="29"/>
        <v>Cooling RES ER2 12 Year EUL</v>
      </c>
      <c r="BD138" s="673">
        <f>(INDEX('Avoided Cost Benefits'!$C$4:$C$857,MATCH(BC138,'Avoided Cost Benefits'!$A$4:$A$857,0)))*F138</f>
        <v>528.27396899829171</v>
      </c>
      <c r="BE138" s="1949">
        <f t="shared" si="33"/>
        <v>0</v>
      </c>
    </row>
    <row r="139" spans="1:57" s="51" customFormat="1" x14ac:dyDescent="0.25">
      <c r="A139" s="1267" t="str">
        <f t="shared" si="27"/>
        <v>350850_2021_12_Cooling RES</v>
      </c>
      <c r="B139" s="228"/>
      <c r="C139" s="1975" t="s">
        <v>910</v>
      </c>
      <c r="D139" s="1532" t="s">
        <v>320</v>
      </c>
      <c r="E139" s="3006" t="s">
        <v>911</v>
      </c>
      <c r="F139" s="425">
        <f>ROUND(((J223*J295*(1/J367-1/J439))/1000)*J583*$J$635,2)</f>
        <v>459.15</v>
      </c>
      <c r="G139" s="878" t="s">
        <v>258</v>
      </c>
      <c r="H139" s="155">
        <f>VLOOKUP(G139,'CP FACTORS'!$A$3:$B$38, 2, FALSE)</f>
        <v>9.4741810000000004E-4</v>
      </c>
      <c r="I139" s="1531">
        <f t="shared" si="30"/>
        <v>0.43500699999999998</v>
      </c>
      <c r="J139" s="666">
        <f t="shared" si="35"/>
        <v>18</v>
      </c>
      <c r="K139" s="442">
        <f t="shared" si="31"/>
        <v>221</v>
      </c>
      <c r="L139" s="65">
        <f t="shared" si="32"/>
        <v>3.0332576769025361</v>
      </c>
      <c r="M139" s="123"/>
      <c r="N139" s="1533"/>
      <c r="O139" s="1534"/>
      <c r="P139" s="123"/>
      <c r="Q139" s="123"/>
      <c r="R139" s="1431"/>
      <c r="S139" s="123"/>
      <c r="T139" s="123"/>
      <c r="U139" s="123"/>
      <c r="V139" s="1962" t="s">
        <v>31</v>
      </c>
      <c r="W139" s="668">
        <v>436.17115384615397</v>
      </c>
      <c r="X139" s="669">
        <v>501.2848270995064</v>
      </c>
      <c r="Y139" s="1961">
        <v>493.75</v>
      </c>
      <c r="Z139" s="670">
        <v>493.75</v>
      </c>
      <c r="AA139" s="670">
        <v>493.75</v>
      </c>
      <c r="AB139" s="1857">
        <v>458.17</v>
      </c>
      <c r="AC139" s="2977">
        <v>459.15</v>
      </c>
      <c r="AD139" s="1941"/>
      <c r="AE139" s="1941"/>
      <c r="AF139" s="1941"/>
      <c r="AG139" s="1941"/>
      <c r="AH139" s="163"/>
      <c r="AI139" s="1942"/>
      <c r="AJ139" s="1942"/>
      <c r="AK139" s="1942"/>
      <c r="AL139" s="1942"/>
      <c r="AM139" s="1942"/>
      <c r="AN139" s="1942"/>
      <c r="AO139" s="1942"/>
      <c r="AP139" s="1942"/>
      <c r="AQ139" s="1942"/>
      <c r="AR139" s="1942"/>
      <c r="AS139" s="1942"/>
      <c r="AT139" s="1942"/>
      <c r="AU139" s="1942"/>
      <c r="AV139" s="1942"/>
      <c r="AW139" s="1942"/>
      <c r="AX139" s="1942"/>
      <c r="AY139" s="1930"/>
      <c r="AZ139" s="1930"/>
      <c r="BA139" s="1942"/>
      <c r="BB139" s="244">
        <f>(BD139)/(BE139)</f>
        <v>3.8825271768832033</v>
      </c>
      <c r="BC139" s="674" t="str">
        <f t="shared" si="29"/>
        <v>Cooling RES 18 Year EUL</v>
      </c>
      <c r="BD139" s="673">
        <f>(INDEX('Avoided Cost Benefits'!$C$4:$C$857,MATCH(BC139,'Avoided Cost Benefits'!$A$4:$A$857,0)))*F139</f>
        <v>809.85229456459444</v>
      </c>
      <c r="BE139" s="1949">
        <f t="shared" si="33"/>
        <v>208.58895705521471</v>
      </c>
    </row>
    <row r="140" spans="1:57" s="51" customFormat="1" x14ac:dyDescent="0.25">
      <c r="A140" s="1267" t="str">
        <f t="shared" si="27"/>
        <v>350900_2021_12_Cooling RES</v>
      </c>
      <c r="B140" s="228"/>
      <c r="C140" s="1975" t="s">
        <v>912</v>
      </c>
      <c r="D140" s="1532" t="s">
        <v>322</v>
      </c>
      <c r="E140" s="2878" t="s">
        <v>913</v>
      </c>
      <c r="F140" s="425">
        <f>ROUND(((J224*J296*(1/J512-1/J440))/1000)*J584*$J$635,2)</f>
        <v>1518.6</v>
      </c>
      <c r="G140" s="878" t="s">
        <v>258</v>
      </c>
      <c r="H140" s="155">
        <f>VLOOKUP(G140,'CP FACTORS'!$A$3:$B$38, 2, FALSE)</f>
        <v>9.4741810000000004E-4</v>
      </c>
      <c r="I140" s="1531">
        <f t="shared" si="30"/>
        <v>1.4387490000000001</v>
      </c>
      <c r="J140" s="666">
        <f t="shared" si="35"/>
        <v>6</v>
      </c>
      <c r="K140" s="682">
        <f t="shared" si="31"/>
        <v>596.24203522590619</v>
      </c>
      <c r="L140" s="65">
        <f t="shared" si="32"/>
        <v>2.5180722891566263</v>
      </c>
      <c r="M140" s="123"/>
      <c r="N140" s="1533"/>
      <c r="O140" s="123"/>
      <c r="P140" s="123"/>
      <c r="Q140" s="123"/>
      <c r="R140" s="123"/>
      <c r="S140" s="123"/>
      <c r="T140" s="123"/>
      <c r="U140" s="123"/>
      <c r="V140" s="1962" t="s">
        <v>31</v>
      </c>
      <c r="W140" s="668">
        <v>1249.2139939024394</v>
      </c>
      <c r="X140" s="669">
        <v>1710.3337488745497</v>
      </c>
      <c r="Y140" s="1961">
        <v>1200.22</v>
      </c>
      <c r="Z140" s="670">
        <v>1200.22</v>
      </c>
      <c r="AA140" s="670">
        <v>1200.22</v>
      </c>
      <c r="AB140" s="1857">
        <v>1687.17</v>
      </c>
      <c r="AC140" s="2977">
        <v>1518.6</v>
      </c>
      <c r="AD140" s="1941"/>
      <c r="AE140" s="1941"/>
      <c r="AF140" s="1941"/>
      <c r="AG140" s="1941"/>
      <c r="AH140" s="163"/>
      <c r="AI140" s="1942"/>
      <c r="AJ140" s="1942"/>
      <c r="AK140" s="1942"/>
      <c r="AL140" s="1942"/>
      <c r="AM140" s="1942"/>
      <c r="AN140" s="1942"/>
      <c r="AO140" s="1942"/>
      <c r="AP140" s="1942"/>
      <c r="AQ140" s="1942"/>
      <c r="AR140" s="1942"/>
      <c r="AS140" s="1942"/>
      <c r="AT140" s="1942"/>
      <c r="AU140" s="1942"/>
      <c r="AV140" s="1942"/>
      <c r="AW140" s="1942"/>
      <c r="AX140" s="1942"/>
      <c r="AY140" s="1930"/>
      <c r="AZ140" s="1930"/>
      <c r="BA140" s="1942"/>
      <c r="BB140" s="244">
        <f>(BD140+BD141)/(BE140+BE141)</f>
        <v>2.3645294345733636</v>
      </c>
      <c r="BC140" s="3115" t="str">
        <f t="shared" si="29"/>
        <v>Cooling RES 6 Year EUL</v>
      </c>
      <c r="BD140" s="673">
        <f>(INDEX('Avoided Cost Benefits'!$C$4:$C$857,MATCH(BC140,'Avoided Cost Benefits'!$A$4:$A$857,0)))*F140</f>
        <v>883.04184983310211</v>
      </c>
      <c r="BE140" s="1949">
        <f t="shared" si="33"/>
        <v>562.75793791968488</v>
      </c>
    </row>
    <row r="141" spans="1:57" s="51" customFormat="1" x14ac:dyDescent="0.25">
      <c r="A141" s="1267" t="str">
        <f t="shared" si="27"/>
        <v>350900_2021_12_Cooling RES ER2</v>
      </c>
      <c r="B141" s="228"/>
      <c r="C141" s="1975" t="s">
        <v>912</v>
      </c>
      <c r="D141" s="1532" t="s">
        <v>322</v>
      </c>
      <c r="E141" s="3005" t="s">
        <v>914</v>
      </c>
      <c r="F141" s="425">
        <f>ROUND(((J225*J297*(1/J369-1/J441))/1000)*J585*$J$635,2)</f>
        <v>378.59</v>
      </c>
      <c r="G141" s="878" t="s">
        <v>879</v>
      </c>
      <c r="H141" s="155">
        <f>VLOOKUP(G141,'CP FACTORS'!$A$3:$B$38, 2, FALSE)</f>
        <v>9.4741810000000004E-4</v>
      </c>
      <c r="I141" s="1531">
        <f t="shared" si="30"/>
        <v>0.35868299999999997</v>
      </c>
      <c r="J141" s="666">
        <f t="shared" si="35"/>
        <v>12</v>
      </c>
      <c r="K141" s="442">
        <f t="shared" si="31"/>
        <v>0</v>
      </c>
      <c r="L141" s="65">
        <f t="shared" si="32"/>
        <v>2.5180722891566263</v>
      </c>
      <c r="M141" s="123"/>
      <c r="N141" s="1533"/>
      <c r="O141" s="123"/>
      <c r="P141" s="123"/>
      <c r="Q141" s="123"/>
      <c r="R141" s="123"/>
      <c r="S141" s="123"/>
      <c r="T141" s="123"/>
      <c r="U141" s="123"/>
      <c r="V141" s="1962" t="s">
        <v>31</v>
      </c>
      <c r="W141" s="668">
        <v>787.9657500000003</v>
      </c>
      <c r="X141" s="669">
        <v>428.65550480769241</v>
      </c>
      <c r="Y141" s="1961">
        <v>300.81</v>
      </c>
      <c r="Z141" s="670">
        <v>300.81</v>
      </c>
      <c r="AA141" s="670">
        <v>300.81</v>
      </c>
      <c r="AB141" s="1857">
        <v>391.02</v>
      </c>
      <c r="AC141" s="2977">
        <v>378.59</v>
      </c>
      <c r="AD141" s="1941"/>
      <c r="AE141" s="1941"/>
      <c r="AF141" s="1941"/>
      <c r="AG141" s="1941"/>
      <c r="AH141" s="163"/>
      <c r="AI141" s="1942"/>
      <c r="AJ141" s="1942"/>
      <c r="AK141" s="1942"/>
      <c r="AL141" s="1942"/>
      <c r="AM141" s="1942"/>
      <c r="AN141" s="1942"/>
      <c r="AO141" s="1942"/>
      <c r="AP141" s="1942"/>
      <c r="AQ141" s="1942"/>
      <c r="AR141" s="1942"/>
      <c r="AS141" s="1942"/>
      <c r="AT141" s="1942"/>
      <c r="AU141" s="1942"/>
      <c r="AV141" s="1942"/>
      <c r="AW141" s="1942"/>
      <c r="AX141" s="1942"/>
      <c r="AY141" s="1930"/>
      <c r="AZ141" s="1930"/>
      <c r="BA141" s="1942"/>
      <c r="BB141" s="242"/>
      <c r="BC141" s="3116" t="str">
        <f t="shared" si="29"/>
        <v>Cooling RES ER2 12 Year EUL</v>
      </c>
      <c r="BD141" s="673">
        <f>(INDEX('Avoided Cost Benefits'!$C$4:$C$857,MATCH(BC141,'Avoided Cost Benefits'!$A$4:$A$857,0)))*F141</f>
        <v>447.61585891780231</v>
      </c>
      <c r="BE141" s="1949">
        <f t="shared" si="33"/>
        <v>0</v>
      </c>
    </row>
    <row r="142" spans="1:57" s="51" customFormat="1" x14ac:dyDescent="0.25">
      <c r="A142" s="1267" t="str">
        <f t="shared" si="27"/>
        <v>350901_2021_12_Cooling RES</v>
      </c>
      <c r="B142" s="228"/>
      <c r="C142" s="1975" t="s">
        <v>915</v>
      </c>
      <c r="D142" s="1532" t="s">
        <v>317</v>
      </c>
      <c r="E142" s="2878" t="s">
        <v>916</v>
      </c>
      <c r="F142" s="425">
        <f>ROUND(((J226*J298*(1/J514-1/J442))/1000)*J586*$J$635,2)</f>
        <v>1103.99</v>
      </c>
      <c r="G142" s="878" t="s">
        <v>258</v>
      </c>
      <c r="H142" s="155">
        <f>VLOOKUP(G142,'CP FACTORS'!$A$3:$B$38, 2, FALSE)</f>
        <v>9.4741810000000004E-4</v>
      </c>
      <c r="I142" s="1531">
        <f t="shared" si="30"/>
        <v>1.0459400000000001</v>
      </c>
      <c r="J142" s="666">
        <f t="shared" si="35"/>
        <v>6</v>
      </c>
      <c r="K142" s="682">
        <f t="shared" si="31"/>
        <v>596.24203522590619</v>
      </c>
      <c r="L142" s="65">
        <f t="shared" si="32"/>
        <v>2.5180722891566263</v>
      </c>
      <c r="M142" s="123"/>
      <c r="N142" s="1533"/>
      <c r="O142" s="123"/>
      <c r="P142" s="123"/>
      <c r="Q142" s="123"/>
      <c r="R142" s="123"/>
      <c r="S142" s="123"/>
      <c r="T142" s="123"/>
      <c r="U142" s="123"/>
      <c r="V142" s="1962" t="s">
        <v>31</v>
      </c>
      <c r="W142" s="668"/>
      <c r="X142" s="669"/>
      <c r="Y142" s="1961">
        <v>872.89</v>
      </c>
      <c r="Z142" s="670">
        <v>872.89</v>
      </c>
      <c r="AA142" s="670">
        <v>872.89</v>
      </c>
      <c r="AB142" s="1857">
        <v>951.94</v>
      </c>
      <c r="AC142" s="2977">
        <v>1103.99</v>
      </c>
      <c r="AD142" s="1941"/>
      <c r="AE142" s="1941"/>
      <c r="AF142" s="1941"/>
      <c r="AG142" s="1941"/>
      <c r="AH142" s="163"/>
      <c r="AI142" s="1942"/>
      <c r="AJ142" s="1942"/>
      <c r="AK142" s="1942"/>
      <c r="AL142" s="1942"/>
      <c r="AM142" s="1942"/>
      <c r="AN142" s="1942"/>
      <c r="AO142" s="1942"/>
      <c r="AP142" s="1942"/>
      <c r="AQ142" s="1942"/>
      <c r="AR142" s="1942"/>
      <c r="AS142" s="1942"/>
      <c r="AT142" s="1942"/>
      <c r="AU142" s="1942"/>
      <c r="AV142" s="1942"/>
      <c r="AW142" s="1942"/>
      <c r="AX142" s="1942"/>
      <c r="AY142" s="1930"/>
      <c r="AZ142" s="1930"/>
      <c r="BA142" s="1942"/>
      <c r="BB142" s="244">
        <f>(BD142+BD143)/(BE142+BE143)</f>
        <v>1.7182549484720095</v>
      </c>
      <c r="BC142" s="3115" t="str">
        <f t="shared" si="29"/>
        <v>Cooling RES 6 Year EUL</v>
      </c>
      <c r="BD142" s="673">
        <f>(INDEX('Avoided Cost Benefits'!$C$4:$C$857,MATCH(BC142,'Avoided Cost Benefits'!$A$4:$A$857,0)))*F142</f>
        <v>641.95270103861878</v>
      </c>
      <c r="BE142" s="1949">
        <f t="shared" si="33"/>
        <v>562.75793791968488</v>
      </c>
    </row>
    <row r="143" spans="1:57" s="51" customFormat="1" x14ac:dyDescent="0.25">
      <c r="A143" s="1267" t="str">
        <f t="shared" si="27"/>
        <v>350901_2021_12_Cooling RES ER2</v>
      </c>
      <c r="B143" s="228"/>
      <c r="C143" s="1975" t="s">
        <v>915</v>
      </c>
      <c r="D143" s="1532" t="s">
        <v>317</v>
      </c>
      <c r="E143" s="3005" t="s">
        <v>917</v>
      </c>
      <c r="F143" s="425">
        <f>ROUND(((J227*J299*(1/J371-1/J443))/1000)*J587*$J$635,2)</f>
        <v>274.89</v>
      </c>
      <c r="G143" s="878" t="s">
        <v>879</v>
      </c>
      <c r="H143" s="155">
        <f>VLOOKUP(G143,'CP FACTORS'!$A$3:$B$38, 2, FALSE)</f>
        <v>9.4741810000000004E-4</v>
      </c>
      <c r="I143" s="1531">
        <f t="shared" si="30"/>
        <v>0.260436</v>
      </c>
      <c r="J143" s="666">
        <f t="shared" si="35"/>
        <v>12</v>
      </c>
      <c r="K143" s="442">
        <f t="shared" si="31"/>
        <v>0</v>
      </c>
      <c r="L143" s="65">
        <f t="shared" si="32"/>
        <v>2.5180722891566263</v>
      </c>
      <c r="M143" s="123"/>
      <c r="N143" s="1533"/>
      <c r="O143" s="123"/>
      <c r="P143" s="123"/>
      <c r="Q143" s="123"/>
      <c r="R143" s="123"/>
      <c r="S143" s="123"/>
      <c r="T143" s="123"/>
      <c r="U143" s="123"/>
      <c r="V143" s="1962" t="s">
        <v>31</v>
      </c>
      <c r="W143" s="668"/>
      <c r="X143" s="669"/>
      <c r="Y143" s="1961">
        <v>218.77</v>
      </c>
      <c r="Z143" s="670">
        <v>218.77</v>
      </c>
      <c r="AA143" s="670">
        <v>218.77</v>
      </c>
      <c r="AB143" s="2055">
        <v>218.77</v>
      </c>
      <c r="AC143" s="2977">
        <v>274.89</v>
      </c>
      <c r="AD143" s="1941"/>
      <c r="AE143" s="1941"/>
      <c r="AF143" s="1941"/>
      <c r="AG143" s="1941"/>
      <c r="AH143" s="163"/>
      <c r="AI143" s="1942"/>
      <c r="AJ143" s="1942"/>
      <c r="AK143" s="1942"/>
      <c r="AL143" s="1942"/>
      <c r="AM143" s="1942"/>
      <c r="AN143" s="1942"/>
      <c r="AO143" s="1942"/>
      <c r="AP143" s="1942"/>
      <c r="AQ143" s="1942"/>
      <c r="AR143" s="1942"/>
      <c r="AS143" s="1942"/>
      <c r="AT143" s="1942"/>
      <c r="AU143" s="1942"/>
      <c r="AV143" s="1942"/>
      <c r="AW143" s="1942"/>
      <c r="AX143" s="1942"/>
      <c r="AY143" s="1930"/>
      <c r="AZ143" s="1930"/>
      <c r="BA143" s="1942"/>
      <c r="BB143" s="242"/>
      <c r="BC143" s="3116" t="str">
        <f t="shared" si="29"/>
        <v>Cooling RES ER2 12 Year EUL</v>
      </c>
      <c r="BD143" s="673">
        <f>(INDEX('Avoided Cost Benefits'!$C$4:$C$857,MATCH(BC143,'Avoided Cost Benefits'!$A$4:$A$857,0)))*F143</f>
        <v>325.00891058378375</v>
      </c>
      <c r="BE143" s="1949">
        <f t="shared" si="33"/>
        <v>0</v>
      </c>
    </row>
    <row r="144" spans="1:57" s="51" customFormat="1" x14ac:dyDescent="0.25">
      <c r="A144" s="1267" t="str">
        <f t="shared" si="27"/>
        <v>350950_2021_12_Cooling RES</v>
      </c>
      <c r="B144" s="228"/>
      <c r="C144" s="1975" t="s">
        <v>918</v>
      </c>
      <c r="D144" s="1532" t="s">
        <v>322</v>
      </c>
      <c r="E144" s="3006" t="s">
        <v>919</v>
      </c>
      <c r="F144" s="425">
        <f>ROUND(((J228*J300*(1/J372-1/J444))/1000)*J588*$J$635,2)</f>
        <v>315.22000000000003</v>
      </c>
      <c r="G144" s="878" t="s">
        <v>258</v>
      </c>
      <c r="H144" s="155">
        <f>VLOOKUP(G144,'CP FACTORS'!$A$3:$B$38, 2, FALSE)</f>
        <v>9.4741810000000004E-4</v>
      </c>
      <c r="I144" s="1531">
        <f t="shared" si="30"/>
        <v>0.29864499999999999</v>
      </c>
      <c r="J144" s="666">
        <f t="shared" si="35"/>
        <v>18</v>
      </c>
      <c r="K144" s="442">
        <f t="shared" si="31"/>
        <v>221</v>
      </c>
      <c r="L144" s="65">
        <f t="shared" si="32"/>
        <v>2.1</v>
      </c>
      <c r="M144" s="123"/>
      <c r="N144" s="1533"/>
      <c r="O144" s="123"/>
      <c r="P144" s="123"/>
      <c r="Q144" s="123"/>
      <c r="R144" s="123"/>
      <c r="S144" s="123"/>
      <c r="T144" s="123"/>
      <c r="U144" s="123"/>
      <c r="V144" s="1962" t="s">
        <v>31</v>
      </c>
      <c r="W144" s="668">
        <v>283.51125000000008</v>
      </c>
      <c r="X144" s="669">
        <v>428.65550480769241</v>
      </c>
      <c r="Y144" s="1961">
        <v>300.81</v>
      </c>
      <c r="Z144" s="670">
        <v>300.81</v>
      </c>
      <c r="AA144" s="670">
        <v>300.81</v>
      </c>
      <c r="AB144" s="1857">
        <v>408.24</v>
      </c>
      <c r="AC144" s="2977">
        <v>315.22000000000003</v>
      </c>
      <c r="AD144" s="1941"/>
      <c r="AE144" s="1941"/>
      <c r="AF144" s="1941"/>
      <c r="AG144" s="1941"/>
      <c r="AH144" s="163"/>
      <c r="AI144" s="1942"/>
      <c r="AJ144" s="1942"/>
      <c r="AK144" s="1942"/>
      <c r="AL144" s="1942"/>
      <c r="AM144" s="1942"/>
      <c r="AN144" s="1942"/>
      <c r="AO144" s="1942"/>
      <c r="AP144" s="1942"/>
      <c r="AQ144" s="1942"/>
      <c r="AR144" s="1942"/>
      <c r="AS144" s="1942"/>
      <c r="AT144" s="1942"/>
      <c r="AU144" s="1942"/>
      <c r="AV144" s="1942"/>
      <c r="AW144" s="1942"/>
      <c r="AX144" s="1942"/>
      <c r="AY144" s="1930"/>
      <c r="AZ144" s="1930"/>
      <c r="BA144" s="1942"/>
      <c r="BB144" s="244">
        <f>(BD144)/(BE144)</f>
        <v>2.6654692729981999</v>
      </c>
      <c r="BC144" s="674" t="str">
        <f t="shared" si="29"/>
        <v>Cooling RES 18 Year EUL</v>
      </c>
      <c r="BD144" s="673">
        <f>(INDEX('Avoided Cost Benefits'!$C$4:$C$857,MATCH(BC144,'Avoided Cost Benefits'!$A$4:$A$857,0)))*F144</f>
        <v>555.98745571741586</v>
      </c>
      <c r="BE144" s="1949">
        <f t="shared" si="33"/>
        <v>208.58895705521471</v>
      </c>
    </row>
    <row r="145" spans="1:57" s="51" customFormat="1" x14ac:dyDescent="0.25">
      <c r="A145" s="1267" t="str">
        <f t="shared" si="27"/>
        <v>350951_2021_12_Cooling RES</v>
      </c>
      <c r="B145" s="228"/>
      <c r="C145" s="1975" t="s">
        <v>920</v>
      </c>
      <c r="D145" s="1532" t="s">
        <v>317</v>
      </c>
      <c r="E145" s="3005" t="s">
        <v>921</v>
      </c>
      <c r="F145" s="425">
        <f>ROUND(((J229*J301*(1/J373-1/J445))/1000)*J589*$J$635,2)</f>
        <v>229.25</v>
      </c>
      <c r="G145" s="878" t="s">
        <v>258</v>
      </c>
      <c r="H145" s="155">
        <f>VLOOKUP(G145,'CP FACTORS'!$A$3:$B$38, 2, FALSE)</f>
        <v>9.4741810000000004E-4</v>
      </c>
      <c r="I145" s="1531">
        <f t="shared" si="30"/>
        <v>0.217196</v>
      </c>
      <c r="J145" s="676">
        <v>18</v>
      </c>
      <c r="K145" s="442">
        <f t="shared" si="31"/>
        <v>221</v>
      </c>
      <c r="L145" s="65">
        <f t="shared" si="32"/>
        <v>2.1</v>
      </c>
      <c r="M145" s="123"/>
      <c r="N145" s="1533"/>
      <c r="O145" s="123"/>
      <c r="P145" s="123"/>
      <c r="Q145" s="123"/>
      <c r="R145" s="123"/>
      <c r="S145" s="123"/>
      <c r="T145" s="123"/>
      <c r="U145" s="123"/>
      <c r="V145" s="1962" t="s">
        <v>31</v>
      </c>
      <c r="W145" s="668"/>
      <c r="X145" s="669"/>
      <c r="Y145" s="1961">
        <v>218.77</v>
      </c>
      <c r="Z145" s="670">
        <v>218.77</v>
      </c>
      <c r="AA145" s="670">
        <v>218.77</v>
      </c>
      <c r="AB145" s="2055">
        <v>218.77</v>
      </c>
      <c r="AC145" s="2977">
        <v>229.25</v>
      </c>
      <c r="AD145" s="1941"/>
      <c r="AE145" s="1941"/>
      <c r="AF145" s="1941"/>
      <c r="AG145" s="1941"/>
      <c r="AH145" s="163"/>
      <c r="AI145" s="1942"/>
      <c r="AJ145" s="1942"/>
      <c r="AK145" s="1942"/>
      <c r="AL145" s="1942"/>
      <c r="AM145" s="1942"/>
      <c r="AN145" s="1942"/>
      <c r="AO145" s="1942"/>
      <c r="AP145" s="1942"/>
      <c r="AQ145" s="1942"/>
      <c r="AR145" s="1942"/>
      <c r="AS145" s="1942"/>
      <c r="AT145" s="1942"/>
      <c r="AU145" s="1942"/>
      <c r="AV145" s="1942"/>
      <c r="AW145" s="1942"/>
      <c r="AX145" s="1942"/>
      <c r="AY145" s="1930"/>
      <c r="AZ145" s="1930"/>
      <c r="BA145" s="1942"/>
      <c r="BB145" s="244">
        <f>(BD145)/(BE145)</f>
        <v>1.9385154204518662</v>
      </c>
      <c r="BC145" s="674" t="str">
        <f t="shared" si="29"/>
        <v>Cooling RES 18 Year EUL</v>
      </c>
      <c r="BD145" s="673">
        <f>(INDEX('Avoided Cost Benefits'!$C$4:$C$857,MATCH(BC145,'Avoided Cost Benefits'!$A$4:$A$857,0)))*F145</f>
        <v>404.35290978750578</v>
      </c>
      <c r="BE145" s="1949">
        <f t="shared" si="33"/>
        <v>208.58895705521471</v>
      </c>
    </row>
    <row r="146" spans="1:57" s="51" customFormat="1" x14ac:dyDescent="0.25">
      <c r="A146" s="1267" t="str">
        <f t="shared" si="27"/>
        <v>351000_2021_12_Cooling RES</v>
      </c>
      <c r="B146" s="228"/>
      <c r="C146" s="2038" t="s">
        <v>922</v>
      </c>
      <c r="D146" s="1532" t="s">
        <v>320</v>
      </c>
      <c r="E146" s="2878" t="s">
        <v>923</v>
      </c>
      <c r="F146" s="425">
        <f>ROUND(((J230*J302*(1/J518-1/J446))/1000)*J590*$J$635,2)</f>
        <v>1896.58</v>
      </c>
      <c r="G146" s="878" t="s">
        <v>258</v>
      </c>
      <c r="H146" s="155">
        <f>VLOOKUP(G146,'CP FACTORS'!$A$3:$B$38, 2, FALSE)</f>
        <v>9.4741810000000004E-4</v>
      </c>
      <c r="I146" s="1531">
        <f t="shared" si="30"/>
        <v>1.796854</v>
      </c>
      <c r="J146" s="666">
        <f t="shared" ref="J146:J161" si="36">J663</f>
        <v>6</v>
      </c>
      <c r="K146" s="682">
        <f t="shared" si="31"/>
        <v>1055.0097130498366</v>
      </c>
      <c r="L146" s="65">
        <f t="shared" si="32"/>
        <v>2.9191449814126398</v>
      </c>
      <c r="M146" s="123"/>
      <c r="N146" s="1533"/>
      <c r="O146" s="123"/>
      <c r="P146" s="123"/>
      <c r="Q146" s="123"/>
      <c r="R146" s="123"/>
      <c r="S146" s="123"/>
      <c r="T146" s="123"/>
      <c r="U146" s="123"/>
      <c r="V146" s="1962" t="s">
        <v>31</v>
      </c>
      <c r="W146" s="668">
        <v>2040.7162123385942</v>
      </c>
      <c r="X146" s="669">
        <v>1979.1918367346937</v>
      </c>
      <c r="Y146" s="1961">
        <v>1953.65</v>
      </c>
      <c r="Z146" s="670">
        <v>1953.65</v>
      </c>
      <c r="AA146" s="670">
        <v>1953.65</v>
      </c>
      <c r="AB146" s="1857">
        <v>2431.04</v>
      </c>
      <c r="AC146" s="2977">
        <v>1896.58</v>
      </c>
      <c r="AD146" s="1941"/>
      <c r="AE146" s="1941"/>
      <c r="AF146" s="1941"/>
      <c r="AG146" s="1941"/>
      <c r="AH146" s="163"/>
      <c r="AI146" s="1942"/>
      <c r="AJ146" s="1942"/>
      <c r="AK146" s="1942"/>
      <c r="AL146" s="1942"/>
      <c r="AM146" s="1942"/>
      <c r="AN146" s="1942"/>
      <c r="AO146" s="1942"/>
      <c r="AP146" s="1942"/>
      <c r="AQ146" s="1942"/>
      <c r="AR146" s="1942"/>
      <c r="AS146" s="1942"/>
      <c r="AT146" s="1942"/>
      <c r="AU146" s="1942"/>
      <c r="AV146" s="1942"/>
      <c r="AW146" s="1942"/>
      <c r="AX146" s="1942"/>
      <c r="AY146" s="1930"/>
      <c r="AZ146" s="1930"/>
      <c r="BA146" s="1942"/>
      <c r="BB146" s="244">
        <f>(BD146+BD147)/(BE146+BE147)</f>
        <v>1.7919524841874155</v>
      </c>
      <c r="BC146" s="3115" t="str">
        <f t="shared" si="29"/>
        <v>Cooling RES 6 Year EUL</v>
      </c>
      <c r="BD146" s="673">
        <f>(INDEX('Avoided Cost Benefits'!$C$4:$C$857,MATCH(BC146,'Avoided Cost Benefits'!$A$4:$A$857,0)))*F146</f>
        <v>1102.8312337392763</v>
      </c>
      <c r="BE146" s="1949">
        <f t="shared" si="33"/>
        <v>995.76188112301702</v>
      </c>
    </row>
    <row r="147" spans="1:57" s="51" customFormat="1" x14ac:dyDescent="0.25">
      <c r="A147" s="1267" t="str">
        <f t="shared" si="27"/>
        <v>351000_2021_12_Cooling RES ER2</v>
      </c>
      <c r="B147" s="228"/>
      <c r="C147" s="2038" t="s">
        <v>922</v>
      </c>
      <c r="D147" s="1532" t="s">
        <v>320</v>
      </c>
      <c r="E147" s="3005" t="s">
        <v>924</v>
      </c>
      <c r="F147" s="425">
        <f>ROUND(((J231*J303*(1/J375-1/J447))/1000)*J591*$J$635,2)</f>
        <v>576.42999999999995</v>
      </c>
      <c r="G147" s="878" t="s">
        <v>879</v>
      </c>
      <c r="H147" s="155">
        <f>VLOOKUP(G147,'CP FACTORS'!$A$3:$B$38, 2, FALSE)</f>
        <v>9.4741810000000004E-4</v>
      </c>
      <c r="I147" s="1531">
        <f t="shared" si="30"/>
        <v>0.54612000000000005</v>
      </c>
      <c r="J147" s="666">
        <f t="shared" si="36"/>
        <v>12</v>
      </c>
      <c r="K147" s="442">
        <f t="shared" si="31"/>
        <v>0</v>
      </c>
      <c r="L147" s="65">
        <f t="shared" si="32"/>
        <v>2.9191449814126398</v>
      </c>
      <c r="M147" s="123"/>
      <c r="N147" s="1533"/>
      <c r="O147" s="123"/>
      <c r="P147" s="123"/>
      <c r="Q147" s="123"/>
      <c r="R147" s="123"/>
      <c r="S147" s="123"/>
      <c r="T147" s="123"/>
      <c r="U147" s="123"/>
      <c r="V147" s="1962" t="s">
        <v>31</v>
      </c>
      <c r="W147" s="668">
        <v>1331.1035294117648</v>
      </c>
      <c r="X147" s="669">
        <v>585.10045248868789</v>
      </c>
      <c r="Y147" s="1961">
        <v>577.54999999999995</v>
      </c>
      <c r="Z147" s="670">
        <v>577.54999999999995</v>
      </c>
      <c r="AA147" s="670">
        <v>577.54999999999995</v>
      </c>
      <c r="AB147" s="1857">
        <v>645.84</v>
      </c>
      <c r="AC147" s="2977">
        <v>576.42999999999995</v>
      </c>
      <c r="AD147" s="1941"/>
      <c r="AE147" s="1941"/>
      <c r="AF147" s="1941"/>
      <c r="AG147" s="1941"/>
      <c r="AH147" s="163"/>
      <c r="AI147" s="1942"/>
      <c r="AJ147" s="1942"/>
      <c r="AK147" s="1942"/>
      <c r="AL147" s="1942"/>
      <c r="AM147" s="1942"/>
      <c r="AN147" s="1942"/>
      <c r="AO147" s="1942"/>
      <c r="AP147" s="1942"/>
      <c r="AQ147" s="1942"/>
      <c r="AR147" s="1942"/>
      <c r="AS147" s="1942"/>
      <c r="AT147" s="1942"/>
      <c r="AU147" s="1942"/>
      <c r="AV147" s="1942"/>
      <c r="AW147" s="1942"/>
      <c r="AX147" s="1942"/>
      <c r="AY147" s="1930"/>
      <c r="AZ147" s="1930"/>
      <c r="BA147" s="1942"/>
      <c r="BB147" s="242"/>
      <c r="BC147" s="3116" t="str">
        <f t="shared" si="29"/>
        <v>Cooling RES ER2 12 Year EUL</v>
      </c>
      <c r="BD147" s="673">
        <f>(INDEX('Avoided Cost Benefits'!$C$4:$C$857,MATCH(BC147,'Avoided Cost Benefits'!$A$4:$A$857,0)))*F147</f>
        <v>681.52674279824816</v>
      </c>
      <c r="BE147" s="1949">
        <f t="shared" si="33"/>
        <v>0</v>
      </c>
    </row>
    <row r="148" spans="1:57" s="51" customFormat="1" x14ac:dyDescent="0.25">
      <c r="A148" s="1267" t="str">
        <f t="shared" si="27"/>
        <v>351050_2021_12_Cooling RES</v>
      </c>
      <c r="B148" s="228"/>
      <c r="C148" s="2038" t="s">
        <v>925</v>
      </c>
      <c r="D148" s="1532" t="s">
        <v>320</v>
      </c>
      <c r="E148" s="3006" t="s">
        <v>926</v>
      </c>
      <c r="F148" s="425">
        <f>ROUND(((J232*J304*(1/J376-1/J448))/1000)*J592*$J$635,2)</f>
        <v>595.16999999999996</v>
      </c>
      <c r="G148" s="878" t="s">
        <v>258</v>
      </c>
      <c r="H148" s="155">
        <f>VLOOKUP(G148,'CP FACTORS'!$A$3:$B$38, 2, FALSE)</f>
        <v>9.4741810000000004E-4</v>
      </c>
      <c r="I148" s="1531">
        <f t="shared" si="30"/>
        <v>0.56387500000000002</v>
      </c>
      <c r="J148" s="666">
        <f t="shared" si="36"/>
        <v>18</v>
      </c>
      <c r="K148" s="442">
        <f t="shared" si="31"/>
        <v>620</v>
      </c>
      <c r="L148" s="65">
        <f t="shared" si="32"/>
        <v>3.0298913043478262</v>
      </c>
      <c r="M148" s="123"/>
      <c r="N148" s="1533"/>
      <c r="O148" s="123"/>
      <c r="P148" s="123"/>
      <c r="Q148" s="123"/>
      <c r="R148" s="123"/>
      <c r="S148" s="123"/>
      <c r="T148" s="123"/>
      <c r="U148" s="123"/>
      <c r="V148" s="1962" t="s">
        <v>31</v>
      </c>
      <c r="W148" s="668">
        <v>547.35203619909521</v>
      </c>
      <c r="X148" s="669">
        <v>547.35203619909521</v>
      </c>
      <c r="Y148" s="1961">
        <v>564.34</v>
      </c>
      <c r="Z148" s="670">
        <v>564.34</v>
      </c>
      <c r="AA148" s="670">
        <v>564.34</v>
      </c>
      <c r="AB148" s="1857">
        <v>665.3</v>
      </c>
      <c r="AC148" s="2977">
        <v>595.16999999999996</v>
      </c>
      <c r="AD148" s="1941"/>
      <c r="AE148" s="1941"/>
      <c r="AF148" s="1941"/>
      <c r="AG148" s="1941"/>
      <c r="AH148" s="163"/>
      <c r="AI148" s="1942"/>
      <c r="AJ148" s="1942"/>
      <c r="AK148" s="1942"/>
      <c r="AL148" s="1942"/>
      <c r="AM148" s="1942"/>
      <c r="AN148" s="1942"/>
      <c r="AO148" s="1942"/>
      <c r="AP148" s="1942"/>
      <c r="AQ148" s="1942"/>
      <c r="AR148" s="1942"/>
      <c r="AS148" s="1942"/>
      <c r="AT148" s="1942"/>
      <c r="AU148" s="1942"/>
      <c r="AV148" s="1942"/>
      <c r="AW148" s="1942"/>
      <c r="AX148" s="1942"/>
      <c r="AY148" s="1930"/>
      <c r="AZ148" s="1930"/>
      <c r="BA148" s="1942"/>
      <c r="BB148" s="244">
        <f>(BD148)/(BE148)</f>
        <v>1.7939136401073945</v>
      </c>
      <c r="BC148" s="674" t="str">
        <f t="shared" si="29"/>
        <v>Cooling RES 18 Year EUL</v>
      </c>
      <c r="BD148" s="673">
        <f>(INDEX('Avoided Cost Benefits'!$C$4:$C$857,MATCH(BC148,'Avoided Cost Benefits'!$A$4:$A$857,0)))*F148</f>
        <v>1049.7654146923874</v>
      </c>
      <c r="BE148" s="1949">
        <f t="shared" si="33"/>
        <v>585.18168947616789</v>
      </c>
    </row>
    <row r="149" spans="1:57" s="51" customFormat="1" x14ac:dyDescent="0.25">
      <c r="A149" s="1267" t="str">
        <f t="shared" si="27"/>
        <v>351100_2021_12_Cooling RES</v>
      </c>
      <c r="B149" s="228"/>
      <c r="C149" s="2038" t="s">
        <v>927</v>
      </c>
      <c r="D149" s="1532" t="s">
        <v>322</v>
      </c>
      <c r="E149" s="2878" t="s">
        <v>928</v>
      </c>
      <c r="F149" s="425">
        <f>ROUND(((J233*J305*(1/J521-1/J449))/1000)*J593*$J$635,2)</f>
        <v>1604.29</v>
      </c>
      <c r="G149" s="878" t="s">
        <v>258</v>
      </c>
      <c r="H149" s="155">
        <f>VLOOKUP(G149,'CP FACTORS'!$A$3:$B$38, 2, FALSE)</f>
        <v>9.4741810000000004E-4</v>
      </c>
      <c r="I149" s="1531">
        <f t="shared" si="30"/>
        <v>1.519933</v>
      </c>
      <c r="J149" s="666">
        <f t="shared" si="36"/>
        <v>6</v>
      </c>
      <c r="K149" s="682">
        <f t="shared" si="31"/>
        <v>1001.8626333354541</v>
      </c>
      <c r="L149" s="65">
        <f t="shared" si="32"/>
        <v>2.5625</v>
      </c>
      <c r="M149" s="123"/>
      <c r="N149" s="1533"/>
      <c r="O149" s="123"/>
      <c r="P149" s="123"/>
      <c r="Q149" s="123"/>
      <c r="R149" s="123"/>
      <c r="S149" s="123"/>
      <c r="T149" s="123"/>
      <c r="U149" s="123"/>
      <c r="V149" s="1962" t="s">
        <v>31</v>
      </c>
      <c r="W149" s="668">
        <v>1326.4655380200863</v>
      </c>
      <c r="X149" s="669">
        <v>1979.1918367346937</v>
      </c>
      <c r="Y149" s="1961">
        <v>1276.9000000000001</v>
      </c>
      <c r="Z149" s="670">
        <v>1276.9000000000001</v>
      </c>
      <c r="AA149" s="670">
        <v>1276.9000000000001</v>
      </c>
      <c r="AB149" s="1857">
        <v>2200.86</v>
      </c>
      <c r="AC149" s="2977">
        <v>1604.29</v>
      </c>
      <c r="AD149" s="1941"/>
      <c r="AE149" s="1941"/>
      <c r="AF149" s="1941"/>
      <c r="AG149" s="1941"/>
      <c r="AH149" s="163"/>
      <c r="AI149" s="1942"/>
      <c r="AJ149" s="1942"/>
      <c r="AK149" s="1942"/>
      <c r="AL149" s="1942"/>
      <c r="AM149" s="1942"/>
      <c r="AN149" s="1942"/>
      <c r="AO149" s="1942"/>
      <c r="AP149" s="1942"/>
      <c r="AQ149" s="1942"/>
      <c r="AR149" s="1942"/>
      <c r="AS149" s="1942"/>
      <c r="AT149" s="1942"/>
      <c r="AU149" s="1942"/>
      <c r="AV149" s="1942"/>
      <c r="AW149" s="1942"/>
      <c r="AX149" s="1942"/>
      <c r="AY149" s="1930"/>
      <c r="AZ149" s="1930"/>
      <c r="BA149" s="1942"/>
      <c r="BB149" s="244">
        <f>(BD149+BD150)/(BE149+BE150)</f>
        <v>1.6079202666721666</v>
      </c>
      <c r="BC149" s="3115" t="str">
        <f t="shared" si="29"/>
        <v>Cooling RES 6 Year EUL</v>
      </c>
      <c r="BD149" s="673">
        <f>(INDEX('Avoided Cost Benefits'!$C$4:$C$857,MATCH(BC149,'Avoided Cost Benefits'!$A$4:$A$857,0)))*F149</f>
        <v>932.86922775500295</v>
      </c>
      <c r="BE149" s="1949">
        <f t="shared" si="33"/>
        <v>945.59946515852198</v>
      </c>
    </row>
    <row r="150" spans="1:57" s="51" customFormat="1" x14ac:dyDescent="0.25">
      <c r="A150" s="1267" t="str">
        <f t="shared" si="27"/>
        <v>351100_2021_12_Cooling RES ER2</v>
      </c>
      <c r="B150" s="228"/>
      <c r="C150" s="2038" t="s">
        <v>927</v>
      </c>
      <c r="D150" s="1532" t="s">
        <v>322</v>
      </c>
      <c r="E150" s="3005" t="s">
        <v>929</v>
      </c>
      <c r="F150" s="425">
        <f>ROUND(((J234*J306*(1/J378-1/J450))/1000)*J594*$J$635,2)</f>
        <v>496.97</v>
      </c>
      <c r="G150" s="878" t="s">
        <v>879</v>
      </c>
      <c r="H150" s="155">
        <f>VLOOKUP(G150,'CP FACTORS'!$A$3:$B$38, 2, FALSE)</f>
        <v>9.4741810000000004E-4</v>
      </c>
      <c r="I150" s="1531">
        <f t="shared" si="30"/>
        <v>0.47083799999999998</v>
      </c>
      <c r="J150" s="666">
        <f t="shared" si="36"/>
        <v>12</v>
      </c>
      <c r="K150" s="442">
        <f t="shared" si="31"/>
        <v>0</v>
      </c>
      <c r="L150" s="65">
        <f t="shared" si="32"/>
        <v>2.5625</v>
      </c>
      <c r="M150" s="123"/>
      <c r="N150" s="1533"/>
      <c r="O150" s="123"/>
      <c r="P150" s="123"/>
      <c r="Q150" s="123"/>
      <c r="R150" s="123"/>
      <c r="S150" s="123"/>
      <c r="T150" s="123"/>
      <c r="U150" s="123"/>
      <c r="V150" s="1962" t="s">
        <v>31</v>
      </c>
      <c r="W150" s="668">
        <v>865.21729411764716</v>
      </c>
      <c r="X150" s="669">
        <v>585.10045248868789</v>
      </c>
      <c r="Y150" s="1961">
        <v>377.48</v>
      </c>
      <c r="Z150" s="670">
        <v>377.48</v>
      </c>
      <c r="AA150" s="670">
        <v>377.48</v>
      </c>
      <c r="AB150" s="1857">
        <v>475.26</v>
      </c>
      <c r="AC150" s="2977">
        <v>496.97</v>
      </c>
      <c r="AD150" s="1941"/>
      <c r="AE150" s="1941"/>
      <c r="AF150" s="1941"/>
      <c r="AG150" s="1941"/>
      <c r="AH150" s="163"/>
      <c r="AI150" s="1942"/>
      <c r="AJ150" s="1942"/>
      <c r="AK150" s="1942"/>
      <c r="AL150" s="1942"/>
      <c r="AM150" s="1942"/>
      <c r="AN150" s="1942"/>
      <c r="AO150" s="1942"/>
      <c r="AP150" s="1942"/>
      <c r="AQ150" s="1942"/>
      <c r="AR150" s="1942"/>
      <c r="AS150" s="1942"/>
      <c r="AT150" s="1942"/>
      <c r="AU150" s="1942"/>
      <c r="AV150" s="1942"/>
      <c r="AW150" s="1942"/>
      <c r="AX150" s="1942"/>
      <c r="AY150" s="1930"/>
      <c r="AZ150" s="1930"/>
      <c r="BA150" s="1942"/>
      <c r="BB150" s="242"/>
      <c r="BC150" s="3116" t="str">
        <f t="shared" si="29"/>
        <v>Cooling RES ER2 12 Year EUL</v>
      </c>
      <c r="BD150" s="673">
        <f>(INDEX('Avoided Cost Benefits'!$C$4:$C$857,MATCH(BC150,'Avoided Cost Benefits'!$A$4:$A$857,0)))*F150</f>
        <v>587.57931642774565</v>
      </c>
      <c r="BE150" s="1949">
        <f t="shared" si="33"/>
        <v>0</v>
      </c>
    </row>
    <row r="151" spans="1:57" s="51" customFormat="1" x14ac:dyDescent="0.25">
      <c r="A151" s="1267" t="str">
        <f t="shared" si="27"/>
        <v>351101_2021_12_Cooling RES</v>
      </c>
      <c r="B151" s="228"/>
      <c r="C151" s="2038" t="s">
        <v>930</v>
      </c>
      <c r="D151" s="1532" t="s">
        <v>317</v>
      </c>
      <c r="E151" s="3005" t="s">
        <v>931</v>
      </c>
      <c r="F151" s="425">
        <f>ROUND(((J235*J307*(1/J523-1/J451))/1000)*J595*$J$635,2)</f>
        <v>1187.46</v>
      </c>
      <c r="G151" s="878" t="s">
        <v>258</v>
      </c>
      <c r="H151" s="155">
        <f>VLOOKUP(G151,'CP FACTORS'!$A$3:$B$38, 2, FALSE)</f>
        <v>9.4741810000000004E-4</v>
      </c>
      <c r="I151" s="1531">
        <f t="shared" si="30"/>
        <v>1.125021</v>
      </c>
      <c r="J151" s="666">
        <f t="shared" si="36"/>
        <v>6</v>
      </c>
      <c r="K151" s="682">
        <f t="shared" si="31"/>
        <v>1001.8626333354541</v>
      </c>
      <c r="L151" s="65">
        <f t="shared" si="32"/>
        <v>2.5625</v>
      </c>
      <c r="M151" s="123"/>
      <c r="N151" s="1533"/>
      <c r="O151" s="123"/>
      <c r="P151" s="123"/>
      <c r="Q151" s="123"/>
      <c r="R151" s="123"/>
      <c r="S151" s="123"/>
      <c r="T151" s="123"/>
      <c r="U151" s="123"/>
      <c r="V151" s="1962" t="s">
        <v>31</v>
      </c>
      <c r="W151" s="668"/>
      <c r="X151" s="669"/>
      <c r="Y151" s="1961">
        <v>928.65</v>
      </c>
      <c r="Z151" s="670">
        <v>928.65</v>
      </c>
      <c r="AA151" s="670">
        <v>928.65</v>
      </c>
      <c r="AB151" s="2055">
        <v>928.65</v>
      </c>
      <c r="AC151" s="2977">
        <v>1187.46</v>
      </c>
      <c r="AD151" s="1941"/>
      <c r="AE151" s="1941"/>
      <c r="AF151" s="1941"/>
      <c r="AG151" s="1941"/>
      <c r="AH151" s="163"/>
      <c r="AI151" s="1942"/>
      <c r="AJ151" s="1942"/>
      <c r="AK151" s="1942"/>
      <c r="AL151" s="1942"/>
      <c r="AM151" s="1942"/>
      <c r="AN151" s="1942"/>
      <c r="AO151" s="1942"/>
      <c r="AP151" s="1942"/>
      <c r="AQ151" s="1942"/>
      <c r="AR151" s="1942"/>
      <c r="AS151" s="1942"/>
      <c r="AT151" s="1942"/>
      <c r="AU151" s="1942"/>
      <c r="AV151" s="1942"/>
      <c r="AW151" s="1942"/>
      <c r="AX151" s="1942"/>
      <c r="AY151" s="1930"/>
      <c r="AZ151" s="1930"/>
      <c r="BA151" s="1942"/>
      <c r="BB151" s="244">
        <f>(BD151+BD152)/(BE151+BE152)</f>
        <v>1.1691335189773828</v>
      </c>
      <c r="BC151" s="3115" t="str">
        <f t="shared" si="29"/>
        <v>Cooling RES 6 Year EUL</v>
      </c>
      <c r="BD151" s="673">
        <f>(INDEX('Avoided Cost Benefits'!$C$4:$C$857,MATCH(BC151,'Avoided Cost Benefits'!$A$4:$A$857,0)))*F151</f>
        <v>690.48918411880391</v>
      </c>
      <c r="BE151" s="1949">
        <f t="shared" si="33"/>
        <v>945.59946515852198</v>
      </c>
    </row>
    <row r="152" spans="1:57" s="51" customFormat="1" x14ac:dyDescent="0.25">
      <c r="A152" s="1267" t="str">
        <f t="shared" si="27"/>
        <v>351101_2021_12_Cooling RES ER2</v>
      </c>
      <c r="B152" s="228"/>
      <c r="C152" s="2038" t="s">
        <v>930</v>
      </c>
      <c r="D152" s="1532" t="s">
        <v>317</v>
      </c>
      <c r="E152" s="3005" t="s">
        <v>932</v>
      </c>
      <c r="F152" s="425">
        <f>ROUND(((J236*J308*(1/J380-1/J452))/1000)*J596*$J$635,2)</f>
        <v>351.04</v>
      </c>
      <c r="G152" s="878" t="s">
        <v>879</v>
      </c>
      <c r="H152" s="155">
        <f>VLOOKUP(G152,'CP FACTORS'!$A$3:$B$38, 2, FALSE)</f>
        <v>9.4741810000000004E-4</v>
      </c>
      <c r="I152" s="1531">
        <f t="shared" si="30"/>
        <v>0.33258199999999999</v>
      </c>
      <c r="J152" s="666">
        <f t="shared" si="36"/>
        <v>12</v>
      </c>
      <c r="K152" s="442">
        <f t="shared" si="31"/>
        <v>0</v>
      </c>
      <c r="L152" s="65">
        <f t="shared" si="32"/>
        <v>2.5625</v>
      </c>
      <c r="M152" s="123"/>
      <c r="N152" s="1533"/>
      <c r="O152" s="123"/>
      <c r="P152" s="123"/>
      <c r="Q152" s="123"/>
      <c r="R152" s="123"/>
      <c r="S152" s="123"/>
      <c r="T152" s="123"/>
      <c r="U152" s="123"/>
      <c r="V152" s="1962" t="s">
        <v>31</v>
      </c>
      <c r="W152" s="668"/>
      <c r="X152" s="669"/>
      <c r="Y152" s="1961">
        <v>274.52999999999997</v>
      </c>
      <c r="Z152" s="670">
        <v>274.52999999999997</v>
      </c>
      <c r="AA152" s="670">
        <v>274.52999999999997</v>
      </c>
      <c r="AB152" s="2055">
        <v>274.52999999999997</v>
      </c>
      <c r="AC152" s="2977">
        <v>351.04</v>
      </c>
      <c r="AD152" s="1941"/>
      <c r="AE152" s="1941"/>
      <c r="AF152" s="1941"/>
      <c r="AG152" s="1941"/>
      <c r="AH152" s="163"/>
      <c r="AI152" s="1942"/>
      <c r="AJ152" s="1942"/>
      <c r="AK152" s="1942"/>
      <c r="AL152" s="1942"/>
      <c r="AM152" s="1942"/>
      <c r="AN152" s="1942"/>
      <c r="AO152" s="1942"/>
      <c r="AP152" s="1942"/>
      <c r="AQ152" s="1942"/>
      <c r="AR152" s="1942"/>
      <c r="AS152" s="1942"/>
      <c r="AT152" s="1942"/>
      <c r="AU152" s="1942"/>
      <c r="AV152" s="1942"/>
      <c r="AW152" s="1942"/>
      <c r="AX152" s="1942"/>
      <c r="AY152" s="1930"/>
      <c r="AZ152" s="1930"/>
      <c r="BA152" s="1942"/>
      <c r="BB152" s="242"/>
      <c r="BC152" s="3116" t="str">
        <f t="shared" si="29"/>
        <v>Cooling RES ER2 12 Year EUL</v>
      </c>
      <c r="BD152" s="673">
        <f>(INDEX('Avoided Cost Benefits'!$C$4:$C$857,MATCH(BC152,'Avoided Cost Benefits'!$A$4:$A$857,0)))*F152</f>
        <v>415.04284612510986</v>
      </c>
      <c r="BE152" s="1949">
        <f t="shared" si="33"/>
        <v>0</v>
      </c>
    </row>
    <row r="153" spans="1:57" s="51" customFormat="1" x14ac:dyDescent="0.25">
      <c r="A153" s="1267" t="str">
        <f t="shared" si="27"/>
        <v>351150_2021_12_Cooling RES</v>
      </c>
      <c r="B153" s="228"/>
      <c r="C153" s="2038" t="s">
        <v>933</v>
      </c>
      <c r="D153" s="1532" t="s">
        <v>322</v>
      </c>
      <c r="E153" s="3006" t="s">
        <v>934</v>
      </c>
      <c r="F153" s="425">
        <f>ROUND(((J237*J309*(1/J381-1/J453))/1000)*J597*$J$635,2)</f>
        <v>518</v>
      </c>
      <c r="G153" s="878" t="s">
        <v>258</v>
      </c>
      <c r="H153" s="155">
        <f>VLOOKUP(G153,'CP FACTORS'!$A$3:$B$38, 2, FALSE)</f>
        <v>9.4741810000000004E-4</v>
      </c>
      <c r="I153" s="1531">
        <f t="shared" si="30"/>
        <v>0.490763</v>
      </c>
      <c r="J153" s="666">
        <f t="shared" si="36"/>
        <v>18</v>
      </c>
      <c r="K153" s="442">
        <f t="shared" si="31"/>
        <v>620</v>
      </c>
      <c r="L153" s="65">
        <f t="shared" si="32"/>
        <v>2.75</v>
      </c>
      <c r="M153" s="123"/>
      <c r="N153" s="1533"/>
      <c r="O153" s="123"/>
      <c r="P153" s="123"/>
      <c r="Q153" s="123"/>
      <c r="R153" s="123"/>
      <c r="S153" s="123"/>
      <c r="T153" s="123"/>
      <c r="U153" s="123"/>
      <c r="V153" s="1962" t="s">
        <v>31</v>
      </c>
      <c r="W153" s="668">
        <v>355.77882352941191</v>
      </c>
      <c r="X153" s="669">
        <v>547.35203619909521</v>
      </c>
      <c r="Y153" s="1961">
        <v>377.48</v>
      </c>
      <c r="Z153" s="670">
        <v>377.48</v>
      </c>
      <c r="AA153" s="670">
        <v>377.48</v>
      </c>
      <c r="AB153" s="1857">
        <v>754.97</v>
      </c>
      <c r="AC153" s="2977">
        <v>518</v>
      </c>
      <c r="AD153" s="1941"/>
      <c r="AE153" s="1941"/>
      <c r="AF153" s="1941"/>
      <c r="AG153" s="1941"/>
      <c r="AH153" s="163"/>
      <c r="AI153" s="1942"/>
      <c r="AJ153" s="1942"/>
      <c r="AK153" s="1942"/>
      <c r="AL153" s="1942"/>
      <c r="AM153" s="1942"/>
      <c r="AN153" s="1942"/>
      <c r="AO153" s="1942"/>
      <c r="AP153" s="1942"/>
      <c r="AQ153" s="1942"/>
      <c r="AR153" s="1942"/>
      <c r="AS153" s="1942"/>
      <c r="AT153" s="1942"/>
      <c r="AU153" s="1942"/>
      <c r="AV153" s="1942"/>
      <c r="AW153" s="1942"/>
      <c r="AX153" s="1942"/>
      <c r="AY153" s="1930"/>
      <c r="AZ153" s="1930"/>
      <c r="BA153" s="1942"/>
      <c r="BB153" s="244">
        <f>(BD153)/(BE153)</f>
        <v>1.5613140204910032</v>
      </c>
      <c r="BC153" s="674" t="str">
        <f t="shared" si="29"/>
        <v>Cooling RES 18 Year EUL</v>
      </c>
      <c r="BD153" s="673">
        <f>(INDEX('Avoided Cost Benefits'!$C$4:$C$857,MATCH(BC153,'Avoided Cost Benefits'!$A$4:$A$857,0)))*F153</f>
        <v>913.65237631375351</v>
      </c>
      <c r="BE153" s="1949">
        <f t="shared" si="33"/>
        <v>585.18168947616789</v>
      </c>
    </row>
    <row r="154" spans="1:57" s="51" customFormat="1" x14ac:dyDescent="0.25">
      <c r="A154" s="1267" t="str">
        <f t="shared" si="27"/>
        <v>351151_2021_12_Cooling RES</v>
      </c>
      <c r="B154" s="228"/>
      <c r="C154" s="2038" t="s">
        <v>935</v>
      </c>
      <c r="D154" s="1532" t="s">
        <v>317</v>
      </c>
      <c r="E154" s="3005" t="s">
        <v>936</v>
      </c>
      <c r="F154" s="425">
        <f>ROUND(((J238*J310*(1/J382-1/J454))/1000)*J598*$J$635,2)</f>
        <v>376.73</v>
      </c>
      <c r="G154" s="878" t="s">
        <v>258</v>
      </c>
      <c r="H154" s="155">
        <f>VLOOKUP(G154,'CP FACTORS'!$A$3:$B$38, 2, FALSE)</f>
        <v>9.4741810000000004E-4</v>
      </c>
      <c r="I154" s="1531">
        <f t="shared" si="30"/>
        <v>0.35692099999999999</v>
      </c>
      <c r="J154" s="666">
        <f t="shared" si="36"/>
        <v>18</v>
      </c>
      <c r="K154" s="442">
        <f t="shared" si="31"/>
        <v>620</v>
      </c>
      <c r="L154" s="65">
        <f t="shared" si="32"/>
        <v>2.75</v>
      </c>
      <c r="M154" s="123"/>
      <c r="N154" s="1533"/>
      <c r="O154" s="123"/>
      <c r="P154" s="123"/>
      <c r="Q154" s="123"/>
      <c r="R154" s="123"/>
      <c r="S154" s="123"/>
      <c r="T154" s="123"/>
      <c r="U154" s="123"/>
      <c r="V154" s="1962" t="s">
        <v>31</v>
      </c>
      <c r="W154" s="668"/>
      <c r="X154" s="669"/>
      <c r="Y154" s="1961">
        <v>274.52999999999997</v>
      </c>
      <c r="Z154" s="670">
        <v>274.52999999999997</v>
      </c>
      <c r="AA154" s="670">
        <v>274.52999999999997</v>
      </c>
      <c r="AB154" s="2055">
        <v>274.52999999999997</v>
      </c>
      <c r="AC154" s="2977">
        <v>376.73</v>
      </c>
      <c r="AD154" s="1941"/>
      <c r="AE154" s="1941"/>
      <c r="AF154" s="1941"/>
      <c r="AG154" s="1941"/>
      <c r="AH154" s="163"/>
      <c r="AI154" s="1942"/>
      <c r="AJ154" s="1942"/>
      <c r="AK154" s="1942"/>
      <c r="AL154" s="1942"/>
      <c r="AM154" s="1942"/>
      <c r="AN154" s="1942"/>
      <c r="AO154" s="1942"/>
      <c r="AP154" s="1942"/>
      <c r="AQ154" s="1942"/>
      <c r="AR154" s="1942"/>
      <c r="AS154" s="1942"/>
      <c r="AT154" s="1942"/>
      <c r="AU154" s="1942"/>
      <c r="AV154" s="1942"/>
      <c r="AW154" s="1942"/>
      <c r="AX154" s="1942"/>
      <c r="AY154" s="1930"/>
      <c r="AZ154" s="1930"/>
      <c r="BA154" s="1942"/>
      <c r="BB154" s="310">
        <f>(BD154)/(BE154)</f>
        <v>1.135509326138177</v>
      </c>
      <c r="BC154" s="674" t="str">
        <f t="shared" si="29"/>
        <v>Cooling RES 18 Year EUL</v>
      </c>
      <c r="BD154" s="677">
        <f>(INDEX('Avoided Cost Benefits'!$C$4:$C$857,MATCH(BC154,'Avoided Cost Benefits'!$A$4:$A$857,0)))*F154</f>
        <v>664.47926588548341</v>
      </c>
      <c r="BE154" s="1950">
        <f t="shared" si="33"/>
        <v>585.18168947616789</v>
      </c>
    </row>
    <row r="155" spans="1:57" s="51" customFormat="1" x14ac:dyDescent="0.25">
      <c r="A155" s="1267" t="str">
        <f t="shared" si="27"/>
        <v>351160_2021_12_Cooling RES</v>
      </c>
      <c r="B155" s="228"/>
      <c r="C155" s="1975" t="s">
        <v>4320</v>
      </c>
      <c r="D155" s="2667" t="s">
        <v>320</v>
      </c>
      <c r="E155" s="2878" t="s">
        <v>937</v>
      </c>
      <c r="F155" s="425">
        <f>ROUND(((J239*J311*(1/J527-1/J455))/1000)*J599*$J$635,2)</f>
        <v>2213.29</v>
      </c>
      <c r="G155" s="878" t="s">
        <v>258</v>
      </c>
      <c r="H155" s="155">
        <f>VLOOKUP(G155,'CP FACTORS'!$A$3:$B$38, 2, FALSE)</f>
        <v>9.4741810000000004E-4</v>
      </c>
      <c r="I155" s="1531">
        <f>ROUND(F155*H155,6)</f>
        <v>2.096911</v>
      </c>
      <c r="J155" s="666">
        <f t="shared" si="36"/>
        <v>6</v>
      </c>
      <c r="K155" s="682">
        <f>J744</f>
        <v>1309.7244675645725</v>
      </c>
      <c r="L155" s="65">
        <f>K311</f>
        <v>3.2415730337078652</v>
      </c>
      <c r="M155" s="123"/>
      <c r="N155" s="123"/>
      <c r="O155" s="123"/>
      <c r="P155" s="123"/>
      <c r="Q155" s="123"/>
      <c r="R155" s="123"/>
      <c r="S155" s="123"/>
      <c r="T155" s="123"/>
      <c r="U155" s="123"/>
      <c r="V155" s="1962" t="s">
        <v>31</v>
      </c>
      <c r="W155" s="668"/>
      <c r="X155" s="669"/>
      <c r="Y155" s="1961"/>
      <c r="Z155" s="1961">
        <v>2017.58</v>
      </c>
      <c r="AA155" s="670">
        <v>2017.58</v>
      </c>
      <c r="AB155" s="2055">
        <v>2017.58</v>
      </c>
      <c r="AC155" s="2977">
        <v>2213.29</v>
      </c>
      <c r="AD155" s="1941"/>
      <c r="AE155" s="1941"/>
      <c r="AF155" s="1941"/>
      <c r="AG155" s="1941"/>
      <c r="AH155" s="163"/>
      <c r="AI155" s="1942"/>
      <c r="AJ155" s="1942"/>
      <c r="AK155" s="1942"/>
      <c r="AL155" s="1942"/>
      <c r="AM155" s="1942"/>
      <c r="AN155" s="1942"/>
      <c r="AO155" s="1942"/>
      <c r="AP155" s="1942"/>
      <c r="AQ155" s="1942"/>
      <c r="AR155" s="1942"/>
      <c r="AS155" s="1942"/>
      <c r="AT155" s="1942"/>
      <c r="AU155" s="1942"/>
      <c r="AV155" s="1942"/>
      <c r="AW155" s="1942"/>
      <c r="AX155" s="1942"/>
      <c r="AY155" s="1930"/>
      <c r="AZ155" s="1930"/>
      <c r="BA155" s="1942"/>
      <c r="BB155" s="239">
        <f>(BD155+BD156)/(BE155+BE156)</f>
        <v>1.730551074483675</v>
      </c>
      <c r="BC155" s="3115" t="str">
        <f t="shared" ref="BC155:BC190" si="37">CONCATENATE(G155," ",J155," Year EUL")</f>
        <v>Cooling RES 6 Year EUL</v>
      </c>
      <c r="BD155" s="671">
        <f>(INDEX('Avoided Cost Benefits'!$C$4:$C$857,MATCH(BC155,'Avoided Cost Benefits'!$A$4:$A$857,0)))*F155</f>
        <v>1286.9930829824225</v>
      </c>
      <c r="BE155" s="1946">
        <f>K155/(1.0595^(2020-2019))</f>
        <v>1236.1722204479211</v>
      </c>
    </row>
    <row r="156" spans="1:57" s="51" customFormat="1" x14ac:dyDescent="0.25">
      <c r="A156" s="1267" t="str">
        <f t="shared" si="27"/>
        <v>351160_2021_12_Cooling RES ER2</v>
      </c>
      <c r="B156" s="228"/>
      <c r="C156" s="1975" t="s">
        <v>4320</v>
      </c>
      <c r="D156" s="1532" t="s">
        <v>320</v>
      </c>
      <c r="E156" s="3005" t="s">
        <v>938</v>
      </c>
      <c r="F156" s="425">
        <f>ROUND(((J240*J312*(1/J384-1/J456))/1000)*J600*$J$635,2)</f>
        <v>720.84</v>
      </c>
      <c r="G156" s="878" t="s">
        <v>879</v>
      </c>
      <c r="H156" s="155">
        <f>VLOOKUP(G156,'CP FACTORS'!$A$3:$B$38, 2, FALSE)</f>
        <v>9.4741810000000004E-4</v>
      </c>
      <c r="I156" s="1531">
        <f t="shared" ref="I156:I190" si="38">ROUND(F156*H156,6)</f>
        <v>0.68293700000000002</v>
      </c>
      <c r="J156" s="666">
        <f t="shared" si="36"/>
        <v>12</v>
      </c>
      <c r="K156" s="442">
        <f t="shared" ref="K156:K190" si="39">J745</f>
        <v>0</v>
      </c>
      <c r="L156" s="65">
        <f t="shared" ref="L156:L190" si="40">K312</f>
        <v>3.2415730337078652</v>
      </c>
      <c r="M156" s="123"/>
      <c r="N156" s="123"/>
      <c r="O156" s="123"/>
      <c r="P156" s="123"/>
      <c r="Q156" s="123"/>
      <c r="R156" s="123"/>
      <c r="S156" s="123"/>
      <c r="T156" s="123"/>
      <c r="U156" s="123"/>
      <c r="V156" s="1962" t="s">
        <v>31</v>
      </c>
      <c r="W156" s="668"/>
      <c r="X156" s="669"/>
      <c r="Y156" s="1961"/>
      <c r="Z156" s="1961">
        <v>668.46</v>
      </c>
      <c r="AA156" s="670">
        <v>668.46</v>
      </c>
      <c r="AB156" s="2055">
        <v>668.46</v>
      </c>
      <c r="AC156" s="2977">
        <v>720.84</v>
      </c>
      <c r="AD156" s="1941"/>
      <c r="AE156" s="1941"/>
      <c r="AF156" s="1941"/>
      <c r="AG156" s="1941"/>
      <c r="AH156" s="163"/>
      <c r="AI156" s="1942"/>
      <c r="AJ156" s="1942"/>
      <c r="AK156" s="1942"/>
      <c r="AL156" s="1942"/>
      <c r="AM156" s="1942"/>
      <c r="AN156" s="1942"/>
      <c r="AO156" s="1942"/>
      <c r="AP156" s="1942"/>
      <c r="AQ156" s="1942"/>
      <c r="AR156" s="1942"/>
      <c r="AS156" s="1942"/>
      <c r="AT156" s="1942"/>
      <c r="AU156" s="1942"/>
      <c r="AV156" s="1942"/>
      <c r="AW156" s="1942"/>
      <c r="AX156" s="1942"/>
      <c r="AY156" s="1930"/>
      <c r="AZ156" s="1930"/>
      <c r="BA156" s="1942"/>
      <c r="BB156" s="242"/>
      <c r="BC156" s="3116" t="str">
        <f t="shared" si="37"/>
        <v>Cooling RES ER2 12 Year EUL</v>
      </c>
      <c r="BD156" s="673">
        <f>(INDEX('Avoided Cost Benefits'!$C$4:$C$857,MATCH(BC156,'Avoided Cost Benefits'!$A$4:$A$857,0)))*F156</f>
        <v>852.26608136059758</v>
      </c>
      <c r="BE156" s="1949">
        <f t="shared" ref="BE156:BE190" si="41">K156/(1.0595^(2020-2019))</f>
        <v>0</v>
      </c>
    </row>
    <row r="157" spans="1:57" s="51" customFormat="1" x14ac:dyDescent="0.25">
      <c r="A157" s="1267" t="str">
        <f t="shared" si="27"/>
        <v>351161_2021_12_Cooling RES</v>
      </c>
      <c r="B157" s="228"/>
      <c r="C157" s="1975" t="s">
        <v>4321</v>
      </c>
      <c r="D157" s="1532" t="s">
        <v>320</v>
      </c>
      <c r="E157" s="3006" t="s">
        <v>939</v>
      </c>
      <c r="F157" s="425">
        <f>ROUND(((J241*J313*(1/J385-1/J457))/1000)*J601*$J$635,2)</f>
        <v>706.92</v>
      </c>
      <c r="G157" s="878" t="s">
        <v>258</v>
      </c>
      <c r="H157" s="155">
        <f>VLOOKUP(G157,'CP FACTORS'!$A$3:$B$38, 2, FALSE)</f>
        <v>9.4741810000000004E-4</v>
      </c>
      <c r="I157" s="1531">
        <f t="shared" si="38"/>
        <v>0.66974900000000004</v>
      </c>
      <c r="J157" s="666">
        <f t="shared" si="36"/>
        <v>18</v>
      </c>
      <c r="K157" s="442">
        <f t="shared" si="39"/>
        <v>826.66666666666708</v>
      </c>
      <c r="L157" s="65">
        <f t="shared" si="40"/>
        <v>3.1730769230769234</v>
      </c>
      <c r="M157" s="123"/>
      <c r="N157" s="123"/>
      <c r="O157" s="123"/>
      <c r="P157" s="123"/>
      <c r="Q157" s="123"/>
      <c r="R157" s="123"/>
      <c r="S157" s="123"/>
      <c r="T157" s="123"/>
      <c r="U157" s="123"/>
      <c r="V157" s="1962" t="s">
        <v>31</v>
      </c>
      <c r="W157" s="668"/>
      <c r="X157" s="669"/>
      <c r="Y157" s="1961"/>
      <c r="Z157" s="1961">
        <v>668.46</v>
      </c>
      <c r="AA157" s="670">
        <v>668.46</v>
      </c>
      <c r="AB157" s="2055">
        <v>668.46</v>
      </c>
      <c r="AC157" s="2977">
        <v>706.92</v>
      </c>
      <c r="AD157" s="1941"/>
      <c r="AE157" s="1941"/>
      <c r="AF157" s="1941"/>
      <c r="AG157" s="1941"/>
      <c r="AH157" s="163"/>
      <c r="AI157" s="1942"/>
      <c r="AJ157" s="1942"/>
      <c r="AK157" s="1942"/>
      <c r="AL157" s="1942"/>
      <c r="AM157" s="1942"/>
      <c r="AN157" s="1942"/>
      <c r="AO157" s="1942"/>
      <c r="AP157" s="1942"/>
      <c r="AQ157" s="1942"/>
      <c r="AR157" s="1942"/>
      <c r="AS157" s="1942"/>
      <c r="AT157" s="1942"/>
      <c r="AU157" s="1942"/>
      <c r="AV157" s="1942"/>
      <c r="AW157" s="1942"/>
      <c r="AX157" s="1942"/>
      <c r="AY157" s="1930"/>
      <c r="AZ157" s="1930"/>
      <c r="BA157" s="1942"/>
      <c r="BB157" s="244">
        <f>IFERROR((BD157)/(BE157),"")</f>
        <v>1.5980561400079625</v>
      </c>
      <c r="BC157" s="674" t="str">
        <f t="shared" si="37"/>
        <v>Cooling RES 18 Year EUL</v>
      </c>
      <c r="BD157" s="673">
        <f>(INDEX('Avoided Cost Benefits'!$C$4:$C$857,MATCH(BC157,'Avoided Cost Benefits'!$A$4:$A$857,0)))*F157</f>
        <v>1246.8709225168313</v>
      </c>
      <c r="BE157" s="1949">
        <f t="shared" si="41"/>
        <v>780.24225263489097</v>
      </c>
    </row>
    <row r="158" spans="1:57" s="51" customFormat="1" x14ac:dyDescent="0.25">
      <c r="A158" s="1267" t="str">
        <f t="shared" si="27"/>
        <v>351162_2021_12_Cooling RES</v>
      </c>
      <c r="B158" s="228"/>
      <c r="C158" s="1975" t="s">
        <v>4322</v>
      </c>
      <c r="D158" s="1532" t="s">
        <v>322</v>
      </c>
      <c r="E158" s="2878" t="s">
        <v>940</v>
      </c>
      <c r="F158" s="425">
        <f>ROUND(((J242*J314*(1/J530-1/J458))/1000)*J602*$J$635,2)</f>
        <v>2910.14</v>
      </c>
      <c r="G158" s="878" t="s">
        <v>258</v>
      </c>
      <c r="H158" s="155">
        <f>VLOOKUP(G158,'CP FACTORS'!$A$3:$B$38, 2, FALSE)</f>
        <v>9.4741810000000004E-4</v>
      </c>
      <c r="I158" s="1531">
        <f t="shared" si="38"/>
        <v>2.7571189999999999</v>
      </c>
      <c r="J158" s="666">
        <f t="shared" si="36"/>
        <v>6</v>
      </c>
      <c r="K158" s="682">
        <f t="shared" si="39"/>
        <v>1409.0642057751234</v>
      </c>
      <c r="L158" s="65">
        <f t="shared" si="40"/>
        <v>3</v>
      </c>
      <c r="M158" s="123"/>
      <c r="N158" s="123"/>
      <c r="O158" s="123"/>
      <c r="P158" s="123"/>
      <c r="Q158" s="123"/>
      <c r="R158" s="123"/>
      <c r="S158" s="123"/>
      <c r="T158" s="123"/>
      <c r="U158" s="123"/>
      <c r="V158" s="1962" t="s">
        <v>31</v>
      </c>
      <c r="W158" s="668"/>
      <c r="X158" s="669"/>
      <c r="Y158" s="1961"/>
      <c r="Z158" s="1961">
        <v>1345.05</v>
      </c>
      <c r="AA158" s="670">
        <v>1345.05</v>
      </c>
      <c r="AB158" s="2055">
        <v>1345.05</v>
      </c>
      <c r="AC158" s="2977">
        <v>2910.14</v>
      </c>
      <c r="AD158" s="1941"/>
      <c r="AE158" s="1941"/>
      <c r="AF158" s="1941"/>
      <c r="AG158" s="1941"/>
      <c r="AH158" s="163"/>
      <c r="AI158" s="1942"/>
      <c r="AJ158" s="1942"/>
      <c r="AK158" s="1942"/>
      <c r="AL158" s="1942"/>
      <c r="AM158" s="1942"/>
      <c r="AN158" s="1942"/>
      <c r="AO158" s="1942"/>
      <c r="AP158" s="1942"/>
      <c r="AQ158" s="1942"/>
      <c r="AR158" s="1942"/>
      <c r="AS158" s="1942"/>
      <c r="AT158" s="1942"/>
      <c r="AU158" s="1942"/>
      <c r="AV158" s="1942"/>
      <c r="AW158" s="1942"/>
      <c r="AX158" s="1942"/>
      <c r="AY158" s="1930"/>
      <c r="AZ158" s="1930"/>
      <c r="BA158" s="1942"/>
      <c r="BB158" s="244">
        <f>(BD158+BD159)/(BE158+BE159)</f>
        <v>1.8654711520104992</v>
      </c>
      <c r="BC158" s="3115" t="str">
        <f t="shared" si="37"/>
        <v>Cooling RES 6 Year EUL</v>
      </c>
      <c r="BD158" s="673">
        <f>(INDEX('Avoided Cost Benefits'!$C$4:$C$857,MATCH(BC158,'Avoided Cost Benefits'!$A$4:$A$857,0)))*F158</f>
        <v>1692.2003219236824</v>
      </c>
      <c r="BE158" s="1949">
        <f t="shared" si="41"/>
        <v>1329.9331814772281</v>
      </c>
    </row>
    <row r="159" spans="1:57" s="51" customFormat="1" x14ac:dyDescent="0.25">
      <c r="A159" s="1267" t="str">
        <f t="shared" si="27"/>
        <v>351162_2021_12_Cooling RES ER2</v>
      </c>
      <c r="B159" s="228"/>
      <c r="C159" s="1975" t="s">
        <v>4322</v>
      </c>
      <c r="D159" s="1532" t="s">
        <v>322</v>
      </c>
      <c r="E159" s="3005" t="s">
        <v>941</v>
      </c>
      <c r="F159" s="425">
        <f>ROUND(((J243*J315*(1/J387-1/J459))/1000)*J603*$J$635,2)</f>
        <v>667.12</v>
      </c>
      <c r="G159" s="878" t="s">
        <v>879</v>
      </c>
      <c r="H159" s="155">
        <f>VLOOKUP(G159,'CP FACTORS'!$A$3:$B$38, 2, FALSE)</f>
        <v>9.4741810000000004E-4</v>
      </c>
      <c r="I159" s="1531">
        <f t="shared" si="38"/>
        <v>0.63204199999999999</v>
      </c>
      <c r="J159" s="666">
        <f t="shared" si="36"/>
        <v>12</v>
      </c>
      <c r="K159" s="442">
        <f t="shared" si="39"/>
        <v>0</v>
      </c>
      <c r="L159" s="65">
        <f t="shared" si="40"/>
        <v>3</v>
      </c>
      <c r="M159" s="123"/>
      <c r="N159" s="123"/>
      <c r="O159" s="123"/>
      <c r="P159" s="123"/>
      <c r="Q159" s="123"/>
      <c r="R159" s="123"/>
      <c r="S159" s="123"/>
      <c r="T159" s="123"/>
      <c r="U159" s="123"/>
      <c r="V159" s="1962" t="s">
        <v>31</v>
      </c>
      <c r="W159" s="668"/>
      <c r="X159" s="669"/>
      <c r="Y159" s="1961"/>
      <c r="Z159" s="1961">
        <v>445.64</v>
      </c>
      <c r="AA159" s="670">
        <v>445.64</v>
      </c>
      <c r="AB159" s="2055">
        <v>445.64</v>
      </c>
      <c r="AC159" s="2977">
        <v>667.12</v>
      </c>
      <c r="AD159" s="1941"/>
      <c r="AE159" s="1941"/>
      <c r="AF159" s="1941"/>
      <c r="AG159" s="1941"/>
      <c r="AH159" s="163"/>
      <c r="AI159" s="1942"/>
      <c r="AJ159" s="1942"/>
      <c r="AK159" s="1942"/>
      <c r="AL159" s="1942"/>
      <c r="AM159" s="1942"/>
      <c r="AN159" s="1942"/>
      <c r="AO159" s="1942"/>
      <c r="AP159" s="1942"/>
      <c r="AQ159" s="1942"/>
      <c r="AR159" s="1942"/>
      <c r="AS159" s="1942"/>
      <c r="AT159" s="1942"/>
      <c r="AU159" s="1942"/>
      <c r="AV159" s="1942"/>
      <c r="AW159" s="1942"/>
      <c r="AX159" s="1942"/>
      <c r="AY159" s="1930"/>
      <c r="AZ159" s="1930"/>
      <c r="BA159" s="1942"/>
      <c r="BB159" s="242"/>
      <c r="BC159" s="3116" t="str">
        <f t="shared" si="37"/>
        <v>Cooling RES ER2 12 Year EUL</v>
      </c>
      <c r="BD159" s="673">
        <f>(INDEX('Avoided Cost Benefits'!$C$4:$C$857,MATCH(BC159,'Avoided Cost Benefits'!$A$4:$A$857,0)))*F159</f>
        <v>788.75166222363055</v>
      </c>
      <c r="BE159" s="1949">
        <f t="shared" si="41"/>
        <v>0</v>
      </c>
    </row>
    <row r="160" spans="1:57" s="51" customFormat="1" x14ac:dyDescent="0.25">
      <c r="A160" s="1267" t="str">
        <f t="shared" si="27"/>
        <v>351163_2021_12_Cooling RES</v>
      </c>
      <c r="B160" s="228"/>
      <c r="C160" s="1975" t="s">
        <v>4323</v>
      </c>
      <c r="D160" s="1532" t="s">
        <v>317</v>
      </c>
      <c r="E160" s="2878" t="s">
        <v>942</v>
      </c>
      <c r="F160" s="425">
        <f>ROUND(((J244*J316*(1/J532-1/J460))/1000)*J604*$J$635,2)</f>
        <v>1464.4</v>
      </c>
      <c r="G160" s="878" t="s">
        <v>258</v>
      </c>
      <c r="H160" s="155">
        <f>VLOOKUP(G160,'CP FACTORS'!$A$3:$B$38, 2, FALSE)</f>
        <v>9.4741810000000004E-4</v>
      </c>
      <c r="I160" s="1531">
        <f t="shared" si="38"/>
        <v>1.387399</v>
      </c>
      <c r="J160" s="666">
        <f t="shared" si="36"/>
        <v>6</v>
      </c>
      <c r="K160" s="682">
        <f t="shared" si="39"/>
        <v>1273.7253593520768</v>
      </c>
      <c r="L160" s="65">
        <f t="shared" si="40"/>
        <v>3</v>
      </c>
      <c r="M160" s="123"/>
      <c r="N160" s="123"/>
      <c r="O160" s="123"/>
      <c r="P160" s="123"/>
      <c r="Q160" s="123"/>
      <c r="R160" s="123"/>
      <c r="S160" s="123"/>
      <c r="T160" s="123"/>
      <c r="U160" s="123"/>
      <c r="V160" s="1962" t="s">
        <v>31</v>
      </c>
      <c r="W160" s="668"/>
      <c r="X160" s="669"/>
      <c r="Y160" s="1961"/>
      <c r="Z160" s="1961">
        <v>978.22</v>
      </c>
      <c r="AA160" s="670">
        <v>978.22</v>
      </c>
      <c r="AB160" s="2055">
        <v>978.22</v>
      </c>
      <c r="AC160" s="2977">
        <v>1464.4</v>
      </c>
      <c r="AD160" s="1941"/>
      <c r="AE160" s="1941"/>
      <c r="AF160" s="1941"/>
      <c r="AG160" s="1941"/>
      <c r="AH160" s="163"/>
      <c r="AI160" s="1942"/>
      <c r="AJ160" s="1942"/>
      <c r="AK160" s="1942"/>
      <c r="AL160" s="1942"/>
      <c r="AM160" s="1942"/>
      <c r="AN160" s="1942"/>
      <c r="AO160" s="1942"/>
      <c r="AP160" s="1942"/>
      <c r="AQ160" s="1942"/>
      <c r="AR160" s="1942"/>
      <c r="AS160" s="1942"/>
      <c r="AT160" s="1942"/>
      <c r="AU160" s="1942"/>
      <c r="AV160" s="1942"/>
      <c r="AW160" s="1942"/>
      <c r="AX160" s="1942"/>
      <c r="AY160" s="1930"/>
      <c r="AZ160" s="1930"/>
      <c r="BA160" s="1942"/>
      <c r="BB160" s="244">
        <f>(BD160+BD161)/(BE160+BE161)</f>
        <v>1.1854694142501423</v>
      </c>
      <c r="BC160" s="3115" t="str">
        <f t="shared" si="37"/>
        <v>Cooling RES 6 Year EUL</v>
      </c>
      <c r="BD160" s="673">
        <f>(INDEX('Avoided Cost Benefits'!$C$4:$C$857,MATCH(BC160,'Avoided Cost Benefits'!$A$4:$A$857,0)))*F160</f>
        <v>851.52540820202489</v>
      </c>
      <c r="BE160" s="1949">
        <f t="shared" si="41"/>
        <v>1202.1947705069151</v>
      </c>
    </row>
    <row r="161" spans="1:57" s="51" customFormat="1" x14ac:dyDescent="0.25">
      <c r="A161" s="1267" t="str">
        <f t="shared" si="27"/>
        <v>351163_2021_12_Cooling RES ER2</v>
      </c>
      <c r="B161" s="228"/>
      <c r="C161" s="1975" t="s">
        <v>4323</v>
      </c>
      <c r="D161" s="1532" t="s">
        <v>317</v>
      </c>
      <c r="E161" s="3005" t="s">
        <v>943</v>
      </c>
      <c r="F161" s="425">
        <f>ROUND(((J245*J317*(1/J389-1/J461))/1000)*J605*$J$635,2)</f>
        <v>485.18</v>
      </c>
      <c r="G161" s="878" t="s">
        <v>879</v>
      </c>
      <c r="H161" s="155">
        <f>VLOOKUP(G161,'CP FACTORS'!$A$3:$B$38, 2, FALSE)</f>
        <v>9.4741810000000004E-4</v>
      </c>
      <c r="I161" s="1531">
        <f t="shared" si="38"/>
        <v>0.45966800000000002</v>
      </c>
      <c r="J161" s="666">
        <f t="shared" si="36"/>
        <v>12</v>
      </c>
      <c r="K161" s="442">
        <f t="shared" si="39"/>
        <v>0</v>
      </c>
      <c r="L161" s="65">
        <f t="shared" si="40"/>
        <v>3</v>
      </c>
      <c r="M161" s="123"/>
      <c r="N161" s="123"/>
      <c r="O161" s="123"/>
      <c r="P161" s="123"/>
      <c r="Q161" s="123"/>
      <c r="R161" s="123"/>
      <c r="S161" s="123"/>
      <c r="T161" s="123"/>
      <c r="U161" s="123"/>
      <c r="V161" s="1962" t="s">
        <v>31</v>
      </c>
      <c r="W161" s="668"/>
      <c r="X161" s="669"/>
      <c r="Y161" s="1961"/>
      <c r="Z161" s="1961">
        <v>324.10000000000002</v>
      </c>
      <c r="AA161" s="670">
        <v>324.10000000000002</v>
      </c>
      <c r="AB161" s="2055">
        <v>324.10000000000002</v>
      </c>
      <c r="AC161" s="2977">
        <v>485.18</v>
      </c>
      <c r="AD161" s="1941"/>
      <c r="AE161" s="1941"/>
      <c r="AF161" s="1941"/>
      <c r="AG161" s="1941"/>
      <c r="AH161" s="163"/>
      <c r="AI161" s="1942"/>
      <c r="AJ161" s="1942"/>
      <c r="AK161" s="1942"/>
      <c r="AL161" s="1942"/>
      <c r="AM161" s="1942"/>
      <c r="AN161" s="1942"/>
      <c r="AO161" s="1942"/>
      <c r="AP161" s="1942"/>
      <c r="AQ161" s="1942"/>
      <c r="AR161" s="1942"/>
      <c r="AS161" s="1942"/>
      <c r="AT161" s="1942"/>
      <c r="AU161" s="1942"/>
      <c r="AV161" s="1942"/>
      <c r="AW161" s="1942"/>
      <c r="AX161" s="1942"/>
      <c r="AY161" s="1930"/>
      <c r="AZ161" s="1930"/>
      <c r="BA161" s="1942"/>
      <c r="BB161" s="242"/>
      <c r="BC161" s="3116" t="str">
        <f t="shared" si="37"/>
        <v>Cooling RES ER2 12 Year EUL</v>
      </c>
      <c r="BD161" s="673">
        <f>(INDEX('Avoided Cost Benefits'!$C$4:$C$857,MATCH(BC161,'Avoided Cost Benefits'!$A$4:$A$857,0)))*F161</f>
        <v>573.63972220539199</v>
      </c>
      <c r="BE161" s="1949">
        <f t="shared" si="41"/>
        <v>0</v>
      </c>
    </row>
    <row r="162" spans="1:57" s="51" customFormat="1" x14ac:dyDescent="0.25">
      <c r="A162" s="1267" t="str">
        <f t="shared" si="27"/>
        <v>351164_2021_12_Cooling RES</v>
      </c>
      <c r="B162" s="228"/>
      <c r="C162" s="1975" t="s">
        <v>4324</v>
      </c>
      <c r="D162" s="1532" t="s">
        <v>322</v>
      </c>
      <c r="E162" s="3006" t="s">
        <v>944</v>
      </c>
      <c r="F162" s="425">
        <f>ROUND(((J246*J318*(1/J390-1/J462))/1000)*J606*$J$635,2)</f>
        <v>444.75</v>
      </c>
      <c r="G162" s="878" t="s">
        <v>258</v>
      </c>
      <c r="H162" s="155">
        <f>VLOOKUP(G162,'CP FACTORS'!$A$3:$B$38, 2, FALSE)</f>
        <v>9.4741810000000004E-4</v>
      </c>
      <c r="I162" s="1531">
        <f t="shared" si="38"/>
        <v>0.42136400000000002</v>
      </c>
      <c r="J162" s="676">
        <v>18</v>
      </c>
      <c r="K162" s="442">
        <f t="shared" si="39"/>
        <v>826.66666666666708</v>
      </c>
      <c r="L162" s="65">
        <f t="shared" si="40"/>
        <v>2</v>
      </c>
      <c r="M162" s="123"/>
      <c r="N162" s="123"/>
      <c r="O162" s="123"/>
      <c r="P162" s="123"/>
      <c r="Q162" s="123"/>
      <c r="R162" s="123"/>
      <c r="S162" s="123"/>
      <c r="T162" s="123"/>
      <c r="U162" s="123"/>
      <c r="V162" s="1962" t="s">
        <v>31</v>
      </c>
      <c r="W162" s="668"/>
      <c r="X162" s="669"/>
      <c r="Y162" s="1961"/>
      <c r="Z162" s="1961">
        <v>445.64</v>
      </c>
      <c r="AA162" s="670">
        <v>445.64</v>
      </c>
      <c r="AB162" s="2055">
        <v>445.64</v>
      </c>
      <c r="AC162" s="2977">
        <v>444.75</v>
      </c>
      <c r="AD162" s="1941"/>
      <c r="AE162" s="1941"/>
      <c r="AF162" s="1941"/>
      <c r="AG162" s="1941"/>
      <c r="AH162" s="163"/>
      <c r="AI162" s="1942"/>
      <c r="AJ162" s="1942"/>
      <c r="AK162" s="1942"/>
      <c r="AL162" s="1942"/>
      <c r="AM162" s="1942"/>
      <c r="AN162" s="1942"/>
      <c r="AO162" s="1942"/>
      <c r="AP162" s="1942"/>
      <c r="AQ162" s="1942"/>
      <c r="AR162" s="1942"/>
      <c r="AS162" s="1942"/>
      <c r="AT162" s="1942"/>
      <c r="AU162" s="1942"/>
      <c r="AV162" s="1942"/>
      <c r="AW162" s="1942"/>
      <c r="AX162" s="1942"/>
      <c r="AY162" s="1930"/>
      <c r="AZ162" s="1930"/>
      <c r="BA162" s="1942"/>
      <c r="BB162" s="244">
        <f>IFERROR((BD162)/(BE162),"")</f>
        <v>1.0053973126641507</v>
      </c>
      <c r="BC162" s="674" t="str">
        <f t="shared" si="37"/>
        <v>Cooling RES 18 Year EUL</v>
      </c>
      <c r="BD162" s="673">
        <f>(INDEX('Avoided Cost Benefits'!$C$4:$C$857,MATCH(BC162,'Avoided Cost Benefits'!$A$4:$A$857,0)))*F162</f>
        <v>784.45346402614268</v>
      </c>
      <c r="BE162" s="1949">
        <f t="shared" si="41"/>
        <v>780.24225263489097</v>
      </c>
    </row>
    <row r="163" spans="1:57" s="51" customFormat="1" x14ac:dyDescent="0.25">
      <c r="A163" s="1267" t="str">
        <f t="shared" si="27"/>
        <v>351165_2021_12_Cooling RES</v>
      </c>
      <c r="B163" s="228"/>
      <c r="C163" s="1975" t="s">
        <v>4325</v>
      </c>
      <c r="D163" s="1532" t="s">
        <v>317</v>
      </c>
      <c r="E163" s="3005" t="s">
        <v>945</v>
      </c>
      <c r="F163" s="425">
        <f>ROUND(((J247*J319*(1/J391-1/J463))/1000)*J607*$J$635,2)</f>
        <v>323.45</v>
      </c>
      <c r="G163" s="878" t="s">
        <v>258</v>
      </c>
      <c r="H163" s="155">
        <f>VLOOKUP(G163,'CP FACTORS'!$A$3:$B$38, 2, FALSE)</f>
        <v>9.4741810000000004E-4</v>
      </c>
      <c r="I163" s="1531">
        <f t="shared" si="38"/>
        <v>0.30644199999999999</v>
      </c>
      <c r="J163" s="676">
        <v>18</v>
      </c>
      <c r="K163" s="442">
        <f t="shared" si="39"/>
        <v>826.66666666666708</v>
      </c>
      <c r="L163" s="65">
        <f t="shared" si="40"/>
        <v>2</v>
      </c>
      <c r="M163" s="123"/>
      <c r="N163" s="123"/>
      <c r="O163" s="123"/>
      <c r="P163" s="123"/>
      <c r="Q163" s="123"/>
      <c r="R163" s="123"/>
      <c r="S163" s="123"/>
      <c r="T163" s="123"/>
      <c r="U163" s="123"/>
      <c r="V163" s="1962" t="s">
        <v>31</v>
      </c>
      <c r="W163" s="668"/>
      <c r="X163" s="669"/>
      <c r="Y163" s="1961"/>
      <c r="Z163" s="1961">
        <v>324.10000000000002</v>
      </c>
      <c r="AA163" s="670">
        <v>324.10000000000002</v>
      </c>
      <c r="AB163" s="2055">
        <v>324.10000000000002</v>
      </c>
      <c r="AC163" s="2977">
        <v>323.45</v>
      </c>
      <c r="AD163" s="1941"/>
      <c r="AE163" s="1941"/>
      <c r="AF163" s="1941"/>
      <c r="AG163" s="1941"/>
      <c r="AH163" s="163"/>
      <c r="AI163" s="1942"/>
      <c r="AJ163" s="1942"/>
      <c r="AK163" s="1942"/>
      <c r="AL163" s="1942"/>
      <c r="AM163" s="1942"/>
      <c r="AN163" s="1942"/>
      <c r="AO163" s="1942"/>
      <c r="AP163" s="1942"/>
      <c r="AQ163" s="1942"/>
      <c r="AR163" s="1942"/>
      <c r="AS163" s="1942"/>
      <c r="AT163" s="1942"/>
      <c r="AU163" s="1942"/>
      <c r="AV163" s="1942"/>
      <c r="AW163" s="1942"/>
      <c r="AX163" s="1942"/>
      <c r="AY163" s="1930"/>
      <c r="AZ163" s="1930"/>
      <c r="BA163" s="1942"/>
      <c r="BB163" s="244">
        <f>IFERROR((BD163)/(BE163),"")</f>
        <v>0.73118777016575487</v>
      </c>
      <c r="BC163" s="674" t="str">
        <f t="shared" si="37"/>
        <v>Cooling RES 18 Year EUL</v>
      </c>
      <c r="BD163" s="673">
        <f>(INDEX('Avoided Cost Benefits'!$C$4:$C$857,MATCH(BC163,'Avoided Cost Benefits'!$A$4:$A$857,0)))*F163</f>
        <v>570.50359289321148</v>
      </c>
      <c r="BE163" s="1949">
        <f t="shared" si="41"/>
        <v>780.24225263489097</v>
      </c>
    </row>
    <row r="164" spans="1:57" s="51" customFormat="1" x14ac:dyDescent="0.25">
      <c r="A164" s="1267" t="str">
        <f t="shared" si="27"/>
        <v>351170_2021_12_Cooling RES</v>
      </c>
      <c r="B164" s="228"/>
      <c r="C164" s="1975" t="s">
        <v>4326</v>
      </c>
      <c r="D164" s="1532" t="s">
        <v>320</v>
      </c>
      <c r="E164" s="2878" t="s">
        <v>946</v>
      </c>
      <c r="F164" s="425">
        <f>ROUND(((J248*J320*(1/J536-1/J464))/1000)*J608*$J$635,2)</f>
        <v>3099.52</v>
      </c>
      <c r="G164" s="878" t="s">
        <v>258</v>
      </c>
      <c r="H164" s="155">
        <f>VLOOKUP(G164,'CP FACTORS'!$A$3:$B$38, 2, FALSE)</f>
        <v>9.4741810000000004E-4</v>
      </c>
      <c r="I164" s="1531">
        <f t="shared" si="38"/>
        <v>2.9365410000000001</v>
      </c>
      <c r="J164" s="666">
        <f t="shared" ref="J164:J171" si="42">J681</f>
        <v>6</v>
      </c>
      <c r="K164" s="682">
        <f t="shared" si="39"/>
        <v>1664.4750171244996</v>
      </c>
      <c r="L164" s="65">
        <f t="shared" si="40"/>
        <v>4.2352941176470589</v>
      </c>
      <c r="M164" s="123"/>
      <c r="N164" s="123"/>
      <c r="O164" s="123"/>
      <c r="P164" s="123"/>
      <c r="Q164" s="123"/>
      <c r="R164" s="123"/>
      <c r="S164" s="123"/>
      <c r="T164" s="123"/>
      <c r="U164" s="123"/>
      <c r="V164" s="1962" t="s">
        <v>31</v>
      </c>
      <c r="W164" s="668"/>
      <c r="X164" s="669"/>
      <c r="Y164" s="1961"/>
      <c r="Z164" s="1961">
        <v>2109.06</v>
      </c>
      <c r="AA164" s="670">
        <v>2109.06</v>
      </c>
      <c r="AB164" s="2055">
        <v>2109.06</v>
      </c>
      <c r="AC164" s="2977">
        <v>3099.52</v>
      </c>
      <c r="AD164" s="1941"/>
      <c r="AE164" s="1941"/>
      <c r="AF164" s="1941"/>
      <c r="AG164" s="1941"/>
      <c r="AH164" s="163"/>
      <c r="AI164" s="1942"/>
      <c r="AJ164" s="1942"/>
      <c r="AK164" s="1942"/>
      <c r="AL164" s="1942"/>
      <c r="AM164" s="1942"/>
      <c r="AN164" s="1942"/>
      <c r="AO164" s="1942"/>
      <c r="AP164" s="1942"/>
      <c r="AQ164" s="1942"/>
      <c r="AR164" s="1942"/>
      <c r="AS164" s="1942"/>
      <c r="AT164" s="1942"/>
      <c r="AU164" s="1942"/>
      <c r="AV164" s="1942"/>
      <c r="AW164" s="1942"/>
      <c r="AX164" s="1942"/>
      <c r="AY164" s="1930"/>
      <c r="AZ164" s="1930"/>
      <c r="BA164" s="1942"/>
      <c r="BB164" s="244">
        <f>(BD164+BD165)/(BE164+BE165)</f>
        <v>1.9680522907208728</v>
      </c>
      <c r="BC164" s="3115" t="str">
        <f t="shared" si="37"/>
        <v>Cooling RES 6 Year EUL</v>
      </c>
      <c r="BD164" s="673">
        <f>(INDEX('Avoided Cost Benefits'!$C$4:$C$857,MATCH(BC164,'Avoided Cost Benefits'!$A$4:$A$857,0)))*F164</f>
        <v>1802.3217927003141</v>
      </c>
      <c r="BE164" s="1949">
        <f t="shared" si="41"/>
        <v>1571.0004880835295</v>
      </c>
    </row>
    <row r="165" spans="1:57" s="51" customFormat="1" x14ac:dyDescent="0.25">
      <c r="A165" s="1267" t="str">
        <f t="shared" si="27"/>
        <v>351170_2021_12_Cooling RES ER2</v>
      </c>
      <c r="B165" s="228"/>
      <c r="C165" s="1975" t="s">
        <v>4326</v>
      </c>
      <c r="D165" s="1532" t="s">
        <v>320</v>
      </c>
      <c r="E165" s="3005" t="s">
        <v>947</v>
      </c>
      <c r="F165" s="425">
        <f>ROUND(((J249*J321*(1/J393-1/J465))/1000)*J609*$J$635,2)</f>
        <v>1090.6400000000001</v>
      </c>
      <c r="G165" s="878" t="s">
        <v>879</v>
      </c>
      <c r="H165" s="155">
        <f>VLOOKUP(G165,'CP FACTORS'!$A$3:$B$38, 2, FALSE)</f>
        <v>9.4741810000000004E-4</v>
      </c>
      <c r="I165" s="1531">
        <f t="shared" si="38"/>
        <v>1.0332920000000001</v>
      </c>
      <c r="J165" s="666">
        <f t="shared" si="42"/>
        <v>12</v>
      </c>
      <c r="K165" s="442">
        <f t="shared" si="39"/>
        <v>0</v>
      </c>
      <c r="L165" s="65">
        <f t="shared" si="40"/>
        <v>4.2352941176470589</v>
      </c>
      <c r="M165" s="123"/>
      <c r="N165" s="123"/>
      <c r="O165" s="123"/>
      <c r="P165" s="123"/>
      <c r="Q165" s="123"/>
      <c r="R165" s="123"/>
      <c r="S165" s="123"/>
      <c r="T165" s="123"/>
      <c r="U165" s="123"/>
      <c r="V165" s="1962" t="s">
        <v>31</v>
      </c>
      <c r="W165" s="668"/>
      <c r="X165" s="669"/>
      <c r="Y165" s="1961"/>
      <c r="Z165" s="1961">
        <v>759.94</v>
      </c>
      <c r="AA165" s="670">
        <v>759.94</v>
      </c>
      <c r="AB165" s="2055">
        <v>759.94</v>
      </c>
      <c r="AC165" s="2977">
        <v>1090.6400000000001</v>
      </c>
      <c r="AD165" s="1941"/>
      <c r="AE165" s="1941"/>
      <c r="AF165" s="1941"/>
      <c r="AG165" s="1941"/>
      <c r="AH165" s="163"/>
      <c r="AI165" s="1942"/>
      <c r="AJ165" s="1942"/>
      <c r="AK165" s="1942"/>
      <c r="AL165" s="1942"/>
      <c r="AM165" s="1942"/>
      <c r="AN165" s="1942"/>
      <c r="AO165" s="1942"/>
      <c r="AP165" s="1942"/>
      <c r="AQ165" s="1942"/>
      <c r="AR165" s="1942"/>
      <c r="AS165" s="1942"/>
      <c r="AT165" s="1942"/>
      <c r="AU165" s="1942"/>
      <c r="AV165" s="1942"/>
      <c r="AW165" s="1942"/>
      <c r="AX165" s="1942"/>
      <c r="AY165" s="1930"/>
      <c r="AZ165" s="1930"/>
      <c r="BA165" s="1942"/>
      <c r="BB165" s="242"/>
      <c r="BC165" s="3116" t="str">
        <f t="shared" si="37"/>
        <v>Cooling RES ER2 12 Year EUL</v>
      </c>
      <c r="BD165" s="673">
        <f>(INDEX('Avoided Cost Benefits'!$C$4:$C$857,MATCH(BC165,'Avoided Cost Benefits'!$A$4:$A$857,0)))*F165</f>
        <v>1289.4893165960855</v>
      </c>
      <c r="BE165" s="1949">
        <f t="shared" si="41"/>
        <v>0</v>
      </c>
    </row>
    <row r="166" spans="1:57" s="51" customFormat="1" x14ac:dyDescent="0.25">
      <c r="A166" s="1267" t="str">
        <f t="shared" si="27"/>
        <v>351171_2021_12_Cooling RES</v>
      </c>
      <c r="B166" s="228"/>
      <c r="C166" s="1975" t="s">
        <v>4327</v>
      </c>
      <c r="D166" s="1532" t="s">
        <v>320</v>
      </c>
      <c r="E166" s="3006" t="s">
        <v>948</v>
      </c>
      <c r="F166" s="425">
        <f>ROUND(((J250*J322*(1/J394-1/J466))/1000)*J610*$J$635,2)</f>
        <v>1119.32</v>
      </c>
      <c r="G166" s="878" t="s">
        <v>258</v>
      </c>
      <c r="H166" s="155">
        <f>VLOOKUP(G166,'CP FACTORS'!$A$3:$B$38, 2, FALSE)</f>
        <v>9.4741810000000004E-4</v>
      </c>
      <c r="I166" s="1531">
        <f t="shared" si="38"/>
        <v>1.0604640000000001</v>
      </c>
      <c r="J166" s="666">
        <f t="shared" si="42"/>
        <v>18</v>
      </c>
      <c r="K166" s="442">
        <f t="shared" si="39"/>
        <v>1033.3333333333328</v>
      </c>
      <c r="L166" s="65">
        <f t="shared" si="40"/>
        <v>4.3571428571428568</v>
      </c>
      <c r="M166" s="123"/>
      <c r="N166" s="123"/>
      <c r="O166" s="123"/>
      <c r="P166" s="123"/>
      <c r="Q166" s="123"/>
      <c r="R166" s="123"/>
      <c r="S166" s="123"/>
      <c r="T166" s="123"/>
      <c r="U166" s="123"/>
      <c r="V166" s="1962" t="s">
        <v>31</v>
      </c>
      <c r="W166" s="668"/>
      <c r="X166" s="669"/>
      <c r="Y166" s="1961"/>
      <c r="Z166" s="1961">
        <v>759.94</v>
      </c>
      <c r="AA166" s="670">
        <v>759.94</v>
      </c>
      <c r="AB166" s="2055">
        <v>759.94</v>
      </c>
      <c r="AC166" s="2977">
        <v>1119.32</v>
      </c>
      <c r="AD166" s="1941"/>
      <c r="AE166" s="1941"/>
      <c r="AF166" s="1941"/>
      <c r="AG166" s="1941"/>
      <c r="AH166" s="163"/>
      <c r="AI166" s="1942"/>
      <c r="AJ166" s="1942"/>
      <c r="AK166" s="1942"/>
      <c r="AL166" s="1942"/>
      <c r="AM166" s="1942"/>
      <c r="AN166" s="1942"/>
      <c r="AO166" s="1942"/>
      <c r="AP166" s="1942"/>
      <c r="AQ166" s="1942"/>
      <c r="AR166" s="1942"/>
      <c r="AS166" s="1942"/>
      <c r="AT166" s="1942"/>
      <c r="AU166" s="1942"/>
      <c r="AV166" s="1942"/>
      <c r="AW166" s="1942"/>
      <c r="AX166" s="1942"/>
      <c r="AY166" s="1930"/>
      <c r="AZ166" s="1930"/>
      <c r="BA166" s="1942"/>
      <c r="BB166" s="244">
        <f>(BD166)/(BE166)</f>
        <v>2.02425869816524</v>
      </c>
      <c r="BC166" s="674" t="str">
        <f t="shared" si="37"/>
        <v>Cooling RES 18 Year EUL</v>
      </c>
      <c r="BD166" s="673">
        <f>(INDEX('Avoided Cost Benefits'!$C$4:$C$857,MATCH(BC166,'Avoided Cost Benefits'!$A$4:$A$857,0)))*F166</f>
        <v>1974.2652082152713</v>
      </c>
      <c r="BE166" s="1949">
        <f t="shared" si="41"/>
        <v>975.30281579361269</v>
      </c>
    </row>
    <row r="167" spans="1:57" s="51" customFormat="1" x14ac:dyDescent="0.25">
      <c r="A167" s="1267" t="str">
        <f t="shared" si="27"/>
        <v>351172_2021_12_Cooling RES</v>
      </c>
      <c r="B167" s="228"/>
      <c r="C167" s="1975" t="s">
        <v>4328</v>
      </c>
      <c r="D167" s="1532" t="s">
        <v>322</v>
      </c>
      <c r="E167" s="2878" t="s">
        <v>949</v>
      </c>
      <c r="F167" s="425">
        <f>ROUND(((J251*J323*(1/J539-1/J467))/1000)*J611*$J$635,2)</f>
        <v>1403.23</v>
      </c>
      <c r="G167" s="878" t="s">
        <v>258</v>
      </c>
      <c r="H167" s="155">
        <f>VLOOKUP(G167,'CP FACTORS'!$A$3:$B$38, 2, FALSE)</f>
        <v>9.4741810000000004E-4</v>
      </c>
      <c r="I167" s="1531">
        <f t="shared" si="38"/>
        <v>1.3294459999999999</v>
      </c>
      <c r="J167" s="666">
        <f t="shared" si="42"/>
        <v>6</v>
      </c>
      <c r="K167" s="442">
        <f t="shared" si="39"/>
        <v>1331.3724617902726</v>
      </c>
      <c r="L167" s="65">
        <f t="shared" si="40"/>
        <v>2</v>
      </c>
      <c r="M167" s="123"/>
      <c r="N167" s="123"/>
      <c r="O167" s="123"/>
      <c r="P167" s="123"/>
      <c r="Q167" s="123"/>
      <c r="R167" s="123"/>
      <c r="S167" s="123"/>
      <c r="T167" s="123"/>
      <c r="U167" s="123"/>
      <c r="V167" s="1962" t="s">
        <v>31</v>
      </c>
      <c r="W167" s="668"/>
      <c r="X167" s="669"/>
      <c r="Y167" s="1961"/>
      <c r="Z167" s="1961">
        <v>1406.04</v>
      </c>
      <c r="AA167" s="670">
        <v>1406.04</v>
      </c>
      <c r="AB167" s="2055">
        <v>1406.04</v>
      </c>
      <c r="AC167" s="2977">
        <v>1403.23</v>
      </c>
      <c r="AD167" s="1941"/>
      <c r="AE167" s="1941"/>
      <c r="AF167" s="1941"/>
      <c r="AG167" s="1941"/>
      <c r="AH167" s="163"/>
      <c r="AI167" s="1942"/>
      <c r="AJ167" s="1942"/>
      <c r="AK167" s="1942"/>
      <c r="AL167" s="1942"/>
      <c r="AM167" s="1942"/>
      <c r="AN167" s="1942"/>
      <c r="AO167" s="1942"/>
      <c r="AP167" s="1942"/>
      <c r="AQ167" s="1942"/>
      <c r="AR167" s="1942"/>
      <c r="AS167" s="1942"/>
      <c r="AT167" s="1942"/>
      <c r="AU167" s="1942"/>
      <c r="AV167" s="1942"/>
      <c r="AW167" s="1942"/>
      <c r="AX167" s="1942"/>
      <c r="AY167" s="1930"/>
      <c r="AZ167" s="1930"/>
      <c r="BA167" s="1942"/>
      <c r="BB167" s="244">
        <f>(BD167+BD168)/(BE167+BE168)</f>
        <v>1.1250561492234286</v>
      </c>
      <c r="BC167" s="3115" t="str">
        <f t="shared" si="37"/>
        <v>Cooling RES 6 Year EUL</v>
      </c>
      <c r="BD167" s="673">
        <f>(INDEX('Avoided Cost Benefits'!$C$4:$C$857,MATCH(BC167,'Avoided Cost Benefits'!$A$4:$A$857,0)))*F167</f>
        <v>815.95602195529045</v>
      </c>
      <c r="BE167" s="1949">
        <f t="shared" si="41"/>
        <v>1256.6044943749623</v>
      </c>
    </row>
    <row r="168" spans="1:57" s="51" customFormat="1" x14ac:dyDescent="0.25">
      <c r="A168" s="1267" t="str">
        <f t="shared" si="27"/>
        <v>351172_2021_12_Cooling RES ER2</v>
      </c>
      <c r="B168" s="228"/>
      <c r="C168" s="1975" t="s">
        <v>4328</v>
      </c>
      <c r="D168" s="1532" t="s">
        <v>322</v>
      </c>
      <c r="E168" s="3005" t="s">
        <v>950</v>
      </c>
      <c r="F168" s="425">
        <f>ROUND(((J252*J324*(1/J396-1/J468))/1000)*J612*$J$635,2)</f>
        <v>505.61</v>
      </c>
      <c r="G168" s="878" t="s">
        <v>879</v>
      </c>
      <c r="H168" s="155">
        <f>VLOOKUP(G168,'CP FACTORS'!$A$3:$B$38, 2, FALSE)</f>
        <v>9.4741810000000004E-4</v>
      </c>
      <c r="I168" s="1531">
        <f t="shared" si="38"/>
        <v>0.47902400000000001</v>
      </c>
      <c r="J168" s="666">
        <f t="shared" si="42"/>
        <v>12</v>
      </c>
      <c r="K168" s="442">
        <f t="shared" si="39"/>
        <v>0</v>
      </c>
      <c r="L168" s="65">
        <f t="shared" si="40"/>
        <v>2</v>
      </c>
      <c r="M168" s="123"/>
      <c r="N168" s="123"/>
      <c r="O168" s="123"/>
      <c r="P168" s="123"/>
      <c r="Q168" s="123"/>
      <c r="R168" s="123"/>
      <c r="S168" s="123"/>
      <c r="T168" s="123"/>
      <c r="U168" s="123"/>
      <c r="V168" s="1962" t="s">
        <v>31</v>
      </c>
      <c r="W168" s="668"/>
      <c r="X168" s="669"/>
      <c r="Y168" s="1961"/>
      <c r="Z168" s="1961">
        <v>506.62</v>
      </c>
      <c r="AA168" s="670">
        <v>506.62</v>
      </c>
      <c r="AB168" s="2055">
        <v>506.62</v>
      </c>
      <c r="AC168" s="2977">
        <v>505.61</v>
      </c>
      <c r="AD168" s="1941"/>
      <c r="AE168" s="1941"/>
      <c r="AF168" s="1941"/>
      <c r="AG168" s="1941"/>
      <c r="AH168" s="163"/>
      <c r="AI168" s="1942"/>
      <c r="AJ168" s="1942"/>
      <c r="AK168" s="1942"/>
      <c r="AL168" s="1942"/>
      <c r="AM168" s="1942"/>
      <c r="AN168" s="1942"/>
      <c r="AO168" s="1942"/>
      <c r="AP168" s="1942"/>
      <c r="AQ168" s="1942"/>
      <c r="AR168" s="1942"/>
      <c r="AS168" s="1942"/>
      <c r="AT168" s="1942"/>
      <c r="AU168" s="1942"/>
      <c r="AV168" s="1942"/>
      <c r="AW168" s="1942"/>
      <c r="AX168" s="1942"/>
      <c r="AY168" s="1930"/>
      <c r="AZ168" s="1930"/>
      <c r="BA168" s="1942"/>
      <c r="BB168" s="242"/>
      <c r="BC168" s="3116" t="str">
        <f t="shared" si="37"/>
        <v>Cooling RES ER2 12 Year EUL</v>
      </c>
      <c r="BD168" s="673">
        <f>(INDEX('Avoided Cost Benefits'!$C$4:$C$857,MATCH(BC168,'Avoided Cost Benefits'!$A$4:$A$857,0)))*F168</f>
        <v>597.79459158305826</v>
      </c>
      <c r="BE168" s="1949">
        <f t="shared" si="41"/>
        <v>0</v>
      </c>
    </row>
    <row r="169" spans="1:57" s="51" customFormat="1" x14ac:dyDescent="0.25">
      <c r="A169" s="1267" t="str">
        <f t="shared" si="27"/>
        <v>351173_2021_12_Cooling RES</v>
      </c>
      <c r="B169" s="228"/>
      <c r="C169" s="1975" t="s">
        <v>4329</v>
      </c>
      <c r="D169" s="1532" t="s">
        <v>317</v>
      </c>
      <c r="E169" s="3005" t="s">
        <v>951</v>
      </c>
      <c r="F169" s="425">
        <f>ROUND(((J253*J325*(1/J541-1/J469))/1000)*J613*$J$635,2)</f>
        <v>1020.53</v>
      </c>
      <c r="G169" s="878" t="s">
        <v>258</v>
      </c>
      <c r="H169" s="155">
        <f>VLOOKUP(G169,'CP FACTORS'!$A$3:$B$38, 2, FALSE)</f>
        <v>9.4741810000000004E-4</v>
      </c>
      <c r="I169" s="1531">
        <f t="shared" si="38"/>
        <v>0.96686899999999998</v>
      </c>
      <c r="J169" s="666">
        <f t="shared" si="42"/>
        <v>6</v>
      </c>
      <c r="K169" s="442">
        <f t="shared" si="39"/>
        <v>1331.3724617902726</v>
      </c>
      <c r="L169" s="65">
        <f t="shared" si="40"/>
        <v>2</v>
      </c>
      <c r="M169" s="123"/>
      <c r="N169" s="123"/>
      <c r="O169" s="123"/>
      <c r="P169" s="123"/>
      <c r="Q169" s="123"/>
      <c r="R169" s="123"/>
      <c r="S169" s="123"/>
      <c r="T169" s="123"/>
      <c r="U169" s="123"/>
      <c r="V169" s="1962" t="s">
        <v>31</v>
      </c>
      <c r="W169" s="668"/>
      <c r="X169" s="669"/>
      <c r="Y169" s="1961"/>
      <c r="Z169" s="1961">
        <v>1022.57</v>
      </c>
      <c r="AA169" s="670">
        <v>1022.57</v>
      </c>
      <c r="AB169" s="2055">
        <v>1022.57</v>
      </c>
      <c r="AC169" s="2977">
        <v>1020.53</v>
      </c>
      <c r="AD169" s="1941"/>
      <c r="AE169" s="1941"/>
      <c r="AF169" s="1941"/>
      <c r="AG169" s="1941"/>
      <c r="AH169" s="163"/>
      <c r="AI169" s="1942"/>
      <c r="AJ169" s="1942"/>
      <c r="AK169" s="1942"/>
      <c r="AL169" s="1942"/>
      <c r="AM169" s="1942"/>
      <c r="AN169" s="1942"/>
      <c r="AO169" s="1942"/>
      <c r="AP169" s="1942"/>
      <c r="AQ169" s="1942"/>
      <c r="AR169" s="1942"/>
      <c r="AS169" s="1942"/>
      <c r="AT169" s="1942"/>
      <c r="AU169" s="1942"/>
      <c r="AV169" s="1942"/>
      <c r="AW169" s="1942"/>
      <c r="AX169" s="1942"/>
      <c r="AY169" s="1930"/>
      <c r="AZ169" s="1930"/>
      <c r="BA169" s="1942"/>
      <c r="BB169" s="244">
        <f>(BD169+BD170)/(BE169+BE170)</f>
        <v>0.81822565471502029</v>
      </c>
      <c r="BC169" s="3115" t="str">
        <f t="shared" si="37"/>
        <v>Cooling RES 6 Year EUL</v>
      </c>
      <c r="BD169" s="673">
        <f>(INDEX('Avoided Cost Benefits'!$C$4:$C$857,MATCH(BC169,'Avoided Cost Benefits'!$A$4:$A$857,0)))*F169</f>
        <v>593.42203280006311</v>
      </c>
      <c r="BE169" s="1949">
        <f t="shared" si="41"/>
        <v>1256.6044943749623</v>
      </c>
    </row>
    <row r="170" spans="1:57" s="51" customFormat="1" x14ac:dyDescent="0.25">
      <c r="A170" s="1267" t="str">
        <f t="shared" si="27"/>
        <v>351173_2021_12_Cooling RES ER2</v>
      </c>
      <c r="B170" s="228"/>
      <c r="C170" s="1975" t="s">
        <v>4329</v>
      </c>
      <c r="D170" s="1532" t="s">
        <v>317</v>
      </c>
      <c r="E170" s="3005" t="s">
        <v>952</v>
      </c>
      <c r="F170" s="425">
        <f>ROUND(((J254*J326*(1/J398-1/J470))/1000)*J614*$J$635,2)</f>
        <v>367.72</v>
      </c>
      <c r="G170" s="878" t="s">
        <v>879</v>
      </c>
      <c r="H170" s="155">
        <f>VLOOKUP(G170,'CP FACTORS'!$A$3:$B$38, 2, FALSE)</f>
        <v>9.4741810000000004E-4</v>
      </c>
      <c r="I170" s="1531">
        <f t="shared" si="38"/>
        <v>0.348385</v>
      </c>
      <c r="J170" s="666">
        <f t="shared" si="42"/>
        <v>12</v>
      </c>
      <c r="K170" s="442">
        <f t="shared" si="39"/>
        <v>0</v>
      </c>
      <c r="L170" s="65">
        <f t="shared" si="40"/>
        <v>2</v>
      </c>
      <c r="M170" s="123"/>
      <c r="N170" s="123"/>
      <c r="O170" s="123"/>
      <c r="P170" s="123"/>
      <c r="Q170" s="123"/>
      <c r="R170" s="123"/>
      <c r="S170" s="123"/>
      <c r="T170" s="123"/>
      <c r="U170" s="123"/>
      <c r="V170" s="1962" t="s">
        <v>31</v>
      </c>
      <c r="W170" s="668"/>
      <c r="X170" s="669"/>
      <c r="Y170" s="1961"/>
      <c r="Z170" s="1961">
        <v>368.45</v>
      </c>
      <c r="AA170" s="670">
        <v>368.45</v>
      </c>
      <c r="AB170" s="2055">
        <v>368.45</v>
      </c>
      <c r="AC170" s="2977">
        <v>367.72</v>
      </c>
      <c r="AD170" s="1941"/>
      <c r="AE170" s="1941"/>
      <c r="AF170" s="1941"/>
      <c r="AG170" s="1941"/>
      <c r="AH170" s="163"/>
      <c r="AI170" s="1942"/>
      <c r="AJ170" s="1942"/>
      <c r="AK170" s="1942"/>
      <c r="AL170" s="1942"/>
      <c r="AM170" s="1942"/>
      <c r="AN170" s="1942"/>
      <c r="AO170" s="1942"/>
      <c r="AP170" s="1942"/>
      <c r="AQ170" s="1942"/>
      <c r="AR170" s="1942"/>
      <c r="AS170" s="1942"/>
      <c r="AT170" s="1942"/>
      <c r="AU170" s="1942"/>
      <c r="AV170" s="1942"/>
      <c r="AW170" s="1942"/>
      <c r="AX170" s="1942"/>
      <c r="AY170" s="1930"/>
      <c r="AZ170" s="1930"/>
      <c r="BA170" s="1942"/>
      <c r="BB170" s="242"/>
      <c r="BC170" s="3116" t="str">
        <f t="shared" si="37"/>
        <v>Cooling RES ER2 12 Year EUL</v>
      </c>
      <c r="BD170" s="673">
        <f>(INDEX('Avoided Cost Benefits'!$C$4:$C$857,MATCH(BC170,'Avoided Cost Benefits'!$A$4:$A$857,0)))*F170</f>
        <v>434.76400232772733</v>
      </c>
      <c r="BE170" s="1949">
        <f t="shared" si="41"/>
        <v>0</v>
      </c>
    </row>
    <row r="171" spans="1:57" s="51" customFormat="1" x14ac:dyDescent="0.25">
      <c r="A171" s="1267" t="str">
        <f t="shared" si="27"/>
        <v>351174_2021_12_Cooling RES</v>
      </c>
      <c r="B171" s="228"/>
      <c r="C171" s="1975" t="s">
        <v>4330</v>
      </c>
      <c r="D171" s="1532" t="s">
        <v>322</v>
      </c>
      <c r="E171" s="3006" t="s">
        <v>953</v>
      </c>
      <c r="F171" s="425">
        <f>ROUND(((J255*J327*(1/J399-1/J471))/1000)*J615*$J$635,2)</f>
        <v>505.61</v>
      </c>
      <c r="G171" s="878" t="s">
        <v>258</v>
      </c>
      <c r="H171" s="155">
        <f>VLOOKUP(G171,'CP FACTORS'!$A$3:$B$38, 2, FALSE)</f>
        <v>9.4741810000000004E-4</v>
      </c>
      <c r="I171" s="1531">
        <f t="shared" si="38"/>
        <v>0.47902400000000001</v>
      </c>
      <c r="J171" s="666">
        <f t="shared" si="42"/>
        <v>18</v>
      </c>
      <c r="K171" s="442">
        <f t="shared" si="39"/>
        <v>1033.3333333333328</v>
      </c>
      <c r="L171" s="65">
        <f t="shared" si="40"/>
        <v>2</v>
      </c>
      <c r="M171" s="123"/>
      <c r="N171" s="123"/>
      <c r="O171" s="123"/>
      <c r="P171" s="123"/>
      <c r="Q171" s="123"/>
      <c r="R171" s="123"/>
      <c r="S171" s="123"/>
      <c r="T171" s="123"/>
      <c r="U171" s="123"/>
      <c r="V171" s="1962" t="s">
        <v>31</v>
      </c>
      <c r="W171" s="668"/>
      <c r="X171" s="669"/>
      <c r="Y171" s="1961"/>
      <c r="Z171" s="1961">
        <v>506.62</v>
      </c>
      <c r="AA171" s="670">
        <v>506.62</v>
      </c>
      <c r="AB171" s="2055">
        <v>506.62</v>
      </c>
      <c r="AC171" s="2977">
        <v>505.61</v>
      </c>
      <c r="AD171" s="1941"/>
      <c r="AE171" s="1941"/>
      <c r="AF171" s="1941"/>
      <c r="AG171" s="1941"/>
      <c r="AH171" s="163"/>
      <c r="AI171" s="1942"/>
      <c r="AJ171" s="1942"/>
      <c r="AK171" s="1942"/>
      <c r="AL171" s="1942"/>
      <c r="AM171" s="1942"/>
      <c r="AN171" s="1942"/>
      <c r="AO171" s="1942"/>
      <c r="AP171" s="1942"/>
      <c r="AQ171" s="1942"/>
      <c r="AR171" s="1942"/>
      <c r="AS171" s="1942"/>
      <c r="AT171" s="1942"/>
      <c r="AU171" s="1942"/>
      <c r="AV171" s="1942"/>
      <c r="AW171" s="1942"/>
      <c r="AX171" s="1942"/>
      <c r="AY171" s="1930"/>
      <c r="AZ171" s="1930"/>
      <c r="BA171" s="1942"/>
      <c r="BB171" s="244">
        <f>(BD171)/(BE171)</f>
        <v>0.914381446216745</v>
      </c>
      <c r="BC171" s="674" t="str">
        <f t="shared" si="37"/>
        <v>Cooling RES 18 Year EUL</v>
      </c>
      <c r="BD171" s="673">
        <f>(INDEX('Avoided Cost Benefits'!$C$4:$C$857,MATCH(BC171,'Avoided Cost Benefits'!$A$4:$A$857,0)))*F171</f>
        <v>891.79879920462724</v>
      </c>
      <c r="BE171" s="1949">
        <f t="shared" si="41"/>
        <v>975.30281579361269</v>
      </c>
    </row>
    <row r="172" spans="1:57" s="51" customFormat="1" x14ac:dyDescent="0.25">
      <c r="A172" s="1267" t="str">
        <f t="shared" si="27"/>
        <v>351175_2021_12_Cooling RES</v>
      </c>
      <c r="B172" s="228"/>
      <c r="C172" s="1975" t="s">
        <v>4331</v>
      </c>
      <c r="D172" s="1532" t="s">
        <v>317</v>
      </c>
      <c r="E172" s="3005" t="s">
        <v>954</v>
      </c>
      <c r="F172" s="425">
        <f>ROUND(((J256*J328*(1/J400-1/J472))/1000)*J616*$J$635,2)</f>
        <v>367.72</v>
      </c>
      <c r="G172" s="878" t="s">
        <v>258</v>
      </c>
      <c r="H172" s="155">
        <f>VLOOKUP(G172,'CP FACTORS'!$A$3:$B$38, 2, FALSE)</f>
        <v>9.4741810000000004E-4</v>
      </c>
      <c r="I172" s="1531">
        <f t="shared" si="38"/>
        <v>0.348385</v>
      </c>
      <c r="J172" s="676">
        <v>18</v>
      </c>
      <c r="K172" s="442">
        <f t="shared" si="39"/>
        <v>1033.3333333333328</v>
      </c>
      <c r="L172" s="65">
        <f t="shared" si="40"/>
        <v>2</v>
      </c>
      <c r="M172" s="123"/>
      <c r="N172" s="123"/>
      <c r="O172" s="123"/>
      <c r="P172" s="123"/>
      <c r="Q172" s="123"/>
      <c r="R172" s="123"/>
      <c r="S172" s="123"/>
      <c r="T172" s="123"/>
      <c r="U172" s="123"/>
      <c r="V172" s="1962" t="s">
        <v>31</v>
      </c>
      <c r="W172" s="668"/>
      <c r="X172" s="669"/>
      <c r="Y172" s="1961"/>
      <c r="Z172" s="1961">
        <v>368.45</v>
      </c>
      <c r="AA172" s="670">
        <v>368.45</v>
      </c>
      <c r="AB172" s="2055">
        <v>368.45</v>
      </c>
      <c r="AC172" s="2977">
        <v>367.72</v>
      </c>
      <c r="AD172" s="1941"/>
      <c r="AE172" s="1941"/>
      <c r="AF172" s="1941"/>
      <c r="AG172" s="1941"/>
      <c r="AH172" s="163"/>
      <c r="AI172" s="1942"/>
      <c r="AJ172" s="1942"/>
      <c r="AK172" s="1942"/>
      <c r="AL172" s="1942"/>
      <c r="AM172" s="1942"/>
      <c r="AN172" s="1942"/>
      <c r="AO172" s="1942"/>
      <c r="AP172" s="1942"/>
      <c r="AQ172" s="1942"/>
      <c r="AR172" s="1942"/>
      <c r="AS172" s="1942"/>
      <c r="AT172" s="1942"/>
      <c r="AU172" s="1942"/>
      <c r="AV172" s="1942"/>
      <c r="AW172" s="1942"/>
      <c r="AX172" s="1942"/>
      <c r="AY172" s="1930"/>
      <c r="AZ172" s="1930"/>
      <c r="BA172" s="1942"/>
      <c r="BB172" s="244">
        <f>(BD172)/(BE172)</f>
        <v>0.66501126441886338</v>
      </c>
      <c r="BC172" s="674" t="str">
        <f t="shared" si="37"/>
        <v>Cooling RES 18 Year EUL</v>
      </c>
      <c r="BD172" s="673">
        <f>(INDEX('Avoided Cost Benefits'!$C$4:$C$857,MATCH(BC172,'Avoided Cost Benefits'!$A$4:$A$857,0)))*F172</f>
        <v>648.58735872218813</v>
      </c>
      <c r="BE172" s="1949">
        <f t="shared" si="41"/>
        <v>975.30281579361269</v>
      </c>
    </row>
    <row r="173" spans="1:57" s="51" customFormat="1" x14ac:dyDescent="0.25">
      <c r="A173" s="1267" t="str">
        <f t="shared" si="27"/>
        <v>351180_2021_12_Cooling RES</v>
      </c>
      <c r="B173" s="228"/>
      <c r="C173" s="1975" t="s">
        <v>4332</v>
      </c>
      <c r="D173" s="1532" t="s">
        <v>320</v>
      </c>
      <c r="E173" s="2878" t="s">
        <v>955</v>
      </c>
      <c r="F173" s="425">
        <f>ROUND(((J257*J329*(1/J545-1/J473))/1000)*J617*$J$635,2)</f>
        <v>2498.15</v>
      </c>
      <c r="G173" s="878" t="s">
        <v>258</v>
      </c>
      <c r="H173" s="155">
        <f>VLOOKUP(G173,'CP FACTORS'!$A$3:$B$38, 2, FALSE)</f>
        <v>9.4741810000000004E-4</v>
      </c>
      <c r="I173" s="1531">
        <f t="shared" si="38"/>
        <v>2.3667929999999999</v>
      </c>
      <c r="J173" s="666">
        <f t="shared" ref="J173:J180" si="43">J690</f>
        <v>6</v>
      </c>
      <c r="K173" s="682">
        <f t="shared" si="39"/>
        <v>1749.8037723605553</v>
      </c>
      <c r="L173" s="65">
        <f t="shared" si="40"/>
        <v>3.4210526315789473</v>
      </c>
      <c r="M173" s="123"/>
      <c r="N173" s="1533"/>
      <c r="O173" s="1534"/>
      <c r="P173" s="123"/>
      <c r="Q173" s="123"/>
      <c r="R173" s="1431"/>
      <c r="S173" s="123"/>
      <c r="T173" s="123"/>
      <c r="U173" s="123"/>
      <c r="V173" s="1962" t="s">
        <v>31</v>
      </c>
      <c r="W173" s="668"/>
      <c r="X173" s="669"/>
      <c r="Y173" s="1961"/>
      <c r="Z173" s="1961">
        <v>2191.38</v>
      </c>
      <c r="AA173" s="670">
        <v>2191.38</v>
      </c>
      <c r="AB173" s="2055">
        <v>2191.38</v>
      </c>
      <c r="AC173" s="2977">
        <v>2498.15</v>
      </c>
      <c r="AD173" s="1941"/>
      <c r="AE173" s="1941"/>
      <c r="AF173" s="1941"/>
      <c r="AG173" s="1941"/>
      <c r="AH173" s="163"/>
      <c r="AI173" s="1942"/>
      <c r="AJ173" s="1942"/>
      <c r="AK173" s="1942"/>
      <c r="AL173" s="1942"/>
      <c r="AM173" s="1942"/>
      <c r="AN173" s="1942"/>
      <c r="AO173" s="1942"/>
      <c r="AP173" s="1942"/>
      <c r="AQ173" s="1942"/>
      <c r="AR173" s="1942"/>
      <c r="AS173" s="1942"/>
      <c r="AT173" s="1942"/>
      <c r="AU173" s="1942"/>
      <c r="AV173" s="1942"/>
      <c r="AW173" s="1942"/>
      <c r="AX173" s="1942"/>
      <c r="AY173" s="1930"/>
      <c r="AZ173" s="1930"/>
      <c r="BA173" s="1942"/>
      <c r="BB173" s="244">
        <f>(BD173+BD174)/(BE173+BE174)</f>
        <v>1.578033033939741</v>
      </c>
      <c r="BC173" s="3115" t="str">
        <f t="shared" si="37"/>
        <v>Cooling RES 6 Year EUL</v>
      </c>
      <c r="BD173" s="673">
        <f>(INDEX('Avoided Cost Benefits'!$C$4:$C$857,MATCH(BC173,'Avoided Cost Benefits'!$A$4:$A$857,0)))*F173</f>
        <v>1452.6346616360888</v>
      </c>
      <c r="BE173" s="1949">
        <f t="shared" si="41"/>
        <v>1651.5373028414867</v>
      </c>
    </row>
    <row r="174" spans="1:57" s="51" customFormat="1" x14ac:dyDescent="0.25">
      <c r="A174" s="1267" t="str">
        <f t="shared" si="27"/>
        <v>351180_2021_12_Cooling RES ER2</v>
      </c>
      <c r="B174" s="228"/>
      <c r="C174" s="1975" t="s">
        <v>4332</v>
      </c>
      <c r="D174" s="1532" t="s">
        <v>320</v>
      </c>
      <c r="E174" s="3005" t="s">
        <v>956</v>
      </c>
      <c r="F174" s="425">
        <f>ROUND(((J258*J330*(1/J402-1/J474))/1000)*J618*$J$635,2)</f>
        <v>975.66</v>
      </c>
      <c r="G174" s="878" t="s">
        <v>879</v>
      </c>
      <c r="H174" s="155">
        <f>VLOOKUP(G174,'CP FACTORS'!$A$3:$B$38, 2, FALSE)</f>
        <v>9.4741810000000004E-4</v>
      </c>
      <c r="I174" s="1531">
        <f t="shared" si="38"/>
        <v>0.92435800000000001</v>
      </c>
      <c r="J174" s="666">
        <f t="shared" si="43"/>
        <v>12</v>
      </c>
      <c r="K174" s="442">
        <f t="shared" si="39"/>
        <v>0</v>
      </c>
      <c r="L174" s="65">
        <f t="shared" si="40"/>
        <v>3.4210526315789473</v>
      </c>
      <c r="M174" s="123"/>
      <c r="N174" s="1533"/>
      <c r="O174" s="1534"/>
      <c r="P174" s="123"/>
      <c r="Q174" s="123"/>
      <c r="R174" s="1431"/>
      <c r="S174" s="123"/>
      <c r="T174" s="123"/>
      <c r="U174" s="123"/>
      <c r="V174" s="1962" t="s">
        <v>31</v>
      </c>
      <c r="W174" s="668"/>
      <c r="X174" s="669"/>
      <c r="Y174" s="1961"/>
      <c r="Z174" s="1961">
        <v>842.26</v>
      </c>
      <c r="AA174" s="670">
        <v>842.26</v>
      </c>
      <c r="AB174" s="2055">
        <v>842.26</v>
      </c>
      <c r="AC174" s="2977">
        <v>975.66</v>
      </c>
      <c r="AD174" s="1941"/>
      <c r="AE174" s="1941"/>
      <c r="AF174" s="1941"/>
      <c r="AG174" s="1941"/>
      <c r="AH174" s="163"/>
      <c r="AI174" s="1942"/>
      <c r="AJ174" s="1942"/>
      <c r="AK174" s="1942"/>
      <c r="AL174" s="1942"/>
      <c r="AM174" s="1942"/>
      <c r="AN174" s="1942"/>
      <c r="AO174" s="1942"/>
      <c r="AP174" s="1942"/>
      <c r="AQ174" s="1942"/>
      <c r="AR174" s="1942"/>
      <c r="AS174" s="1942"/>
      <c r="AT174" s="1942"/>
      <c r="AU174" s="1942"/>
      <c r="AV174" s="1942"/>
      <c r="AW174" s="1942"/>
      <c r="AX174" s="1942"/>
      <c r="AY174" s="1930"/>
      <c r="AZ174" s="1930"/>
      <c r="BA174" s="1942"/>
      <c r="BB174" s="242"/>
      <c r="BC174" s="3116" t="str">
        <f t="shared" si="37"/>
        <v>Cooling RES ER2 12 Year EUL</v>
      </c>
      <c r="BD174" s="673">
        <f>(INDEX('Avoided Cost Benefits'!$C$4:$C$857,MATCH(BC174,'Avoided Cost Benefits'!$A$4:$A$857,0)))*F174</f>
        <v>1153.5457590315195</v>
      </c>
      <c r="BE174" s="1949">
        <f t="shared" si="41"/>
        <v>0</v>
      </c>
    </row>
    <row r="175" spans="1:57" s="51" customFormat="1" x14ac:dyDescent="0.25">
      <c r="A175" s="1267" t="str">
        <f t="shared" si="27"/>
        <v>351181_2021_12_Cooling RES</v>
      </c>
      <c r="B175" s="228"/>
      <c r="C175" s="1975" t="s">
        <v>4333</v>
      </c>
      <c r="D175" s="1532" t="s">
        <v>320</v>
      </c>
      <c r="E175" s="3006" t="s">
        <v>957</v>
      </c>
      <c r="F175" s="425">
        <f>ROUND(((J259*J331*(1/J403-1/J475))/1000)*J619*$J$635,2)</f>
        <v>917.64</v>
      </c>
      <c r="G175" s="878" t="s">
        <v>258</v>
      </c>
      <c r="H175" s="155">
        <f>VLOOKUP(G175,'CP FACTORS'!$A$3:$B$38, 2, FALSE)</f>
        <v>9.4741810000000004E-4</v>
      </c>
      <c r="I175" s="1531">
        <f t="shared" si="38"/>
        <v>0.86938899999999997</v>
      </c>
      <c r="J175" s="666">
        <f t="shared" si="43"/>
        <v>18</v>
      </c>
      <c r="K175" s="442">
        <f t="shared" si="39"/>
        <v>1239.9999999999995</v>
      </c>
      <c r="L175" s="65">
        <f t="shared" si="40"/>
        <v>3.25</v>
      </c>
      <c r="M175" s="123"/>
      <c r="N175" s="1533"/>
      <c r="O175" s="1534"/>
      <c r="P175" s="123"/>
      <c r="Q175" s="123"/>
      <c r="R175" s="1431"/>
      <c r="S175" s="123"/>
      <c r="T175" s="123"/>
      <c r="U175" s="123"/>
      <c r="V175" s="1962" t="s">
        <v>31</v>
      </c>
      <c r="W175" s="668"/>
      <c r="X175" s="669"/>
      <c r="Y175" s="1961"/>
      <c r="Z175" s="1961">
        <v>842.26</v>
      </c>
      <c r="AA175" s="670">
        <v>842.26</v>
      </c>
      <c r="AB175" s="2055">
        <v>842.26</v>
      </c>
      <c r="AC175" s="2977">
        <v>917.64</v>
      </c>
      <c r="AD175" s="1941"/>
      <c r="AE175" s="1941"/>
      <c r="AF175" s="1941"/>
      <c r="AG175" s="1941"/>
      <c r="AH175" s="163"/>
      <c r="AI175" s="1942"/>
      <c r="AJ175" s="1942"/>
      <c r="AK175" s="1942"/>
      <c r="AL175" s="1942"/>
      <c r="AM175" s="1942"/>
      <c r="AN175" s="1942"/>
      <c r="AO175" s="1942"/>
      <c r="AP175" s="1942"/>
      <c r="AQ175" s="1942"/>
      <c r="AR175" s="1942"/>
      <c r="AS175" s="1942"/>
      <c r="AT175" s="1942"/>
      <c r="AU175" s="1942"/>
      <c r="AV175" s="1942"/>
      <c r="AW175" s="1942"/>
      <c r="AX175" s="1942"/>
      <c r="AY175" s="1930"/>
      <c r="AZ175" s="1930"/>
      <c r="BA175" s="1942"/>
      <c r="BB175" s="244">
        <f>(BD175)/(BE175)</f>
        <v>1.3829384148295025</v>
      </c>
      <c r="BC175" s="674" t="str">
        <f t="shared" si="37"/>
        <v>Cooling RES 18 Year EUL</v>
      </c>
      <c r="BD175" s="673">
        <f>(INDEX('Avoided Cost Benefits'!$C$4:$C$857,MATCH(BC175,'Avoided Cost Benefits'!$A$4:$A$857,0)))*F175</f>
        <v>1618.5404760628433</v>
      </c>
      <c r="BE175" s="1949">
        <f t="shared" si="41"/>
        <v>1170.3633789523356</v>
      </c>
    </row>
    <row r="176" spans="1:57" s="51" customFormat="1" x14ac:dyDescent="0.25">
      <c r="A176" s="1267" t="str">
        <f t="shared" si="27"/>
        <v>351182_2021_12_Cooling RES</v>
      </c>
      <c r="B176" s="228"/>
      <c r="C176" s="1975" t="s">
        <v>4334</v>
      </c>
      <c r="D176" s="1532" t="s">
        <v>322</v>
      </c>
      <c r="E176" s="2878" t="s">
        <v>958</v>
      </c>
      <c r="F176" s="425">
        <f>ROUND(((J260*J332*(1/J548-1/J476))/1000)*J620*$J$635,2)</f>
        <v>1436.44</v>
      </c>
      <c r="G176" s="878" t="s">
        <v>258</v>
      </c>
      <c r="H176" s="155">
        <f>VLOOKUP(G176,'CP FACTORS'!$A$3:$B$38, 2, FALSE)</f>
        <v>9.4741810000000004E-4</v>
      </c>
      <c r="I176" s="1531">
        <f t="shared" si="38"/>
        <v>1.3609089999999999</v>
      </c>
      <c r="J176" s="666">
        <f t="shared" si="43"/>
        <v>6</v>
      </c>
      <c r="K176" s="442">
        <f t="shared" si="39"/>
        <v>1538.0391284569391</v>
      </c>
      <c r="L176" s="65">
        <f t="shared" si="40"/>
        <v>2</v>
      </c>
      <c r="M176" s="123"/>
      <c r="N176" s="1533"/>
      <c r="O176" s="123"/>
      <c r="P176" s="123"/>
      <c r="Q176" s="123"/>
      <c r="R176" s="123"/>
      <c r="S176" s="123"/>
      <c r="T176" s="123"/>
      <c r="U176" s="123"/>
      <c r="V176" s="1962" t="s">
        <v>31</v>
      </c>
      <c r="W176" s="668"/>
      <c r="X176" s="669"/>
      <c r="Y176" s="1961"/>
      <c r="Z176" s="1961">
        <v>1460.92</v>
      </c>
      <c r="AA176" s="670">
        <v>1460.92</v>
      </c>
      <c r="AB176" s="2055">
        <v>1460.92</v>
      </c>
      <c r="AC176" s="2977">
        <v>1436.44</v>
      </c>
      <c r="AD176" s="1941"/>
      <c r="AE176" s="1941"/>
      <c r="AF176" s="1941"/>
      <c r="AG176" s="1941"/>
      <c r="AH176" s="163"/>
      <c r="AI176" s="1942"/>
      <c r="AJ176" s="1942"/>
      <c r="AK176" s="1942"/>
      <c r="AL176" s="1942"/>
      <c r="AM176" s="1942"/>
      <c r="AN176" s="1942"/>
      <c r="AO176" s="1942"/>
      <c r="AP176" s="1942"/>
      <c r="AQ176" s="1942"/>
      <c r="AR176" s="1942"/>
      <c r="AS176" s="1942"/>
      <c r="AT176" s="1942"/>
      <c r="AU176" s="1942"/>
      <c r="AV176" s="1942"/>
      <c r="AW176" s="1942"/>
      <c r="AX176" s="1942"/>
      <c r="AY176" s="1930"/>
      <c r="AZ176" s="1930"/>
      <c r="BA176" s="1942"/>
      <c r="BB176" s="244">
        <f>(BD176+BD177)/(BE176+BE177)</f>
        <v>1.0317928048499889</v>
      </c>
      <c r="BC176" s="3115" t="str">
        <f t="shared" si="37"/>
        <v>Cooling RES 6 Year EUL</v>
      </c>
      <c r="BD176" s="673">
        <f>(INDEX('Avoided Cost Benefits'!$C$4:$C$857,MATCH(BC176,'Avoided Cost Benefits'!$A$4:$A$857,0)))*F176</f>
        <v>835.26711100636203</v>
      </c>
      <c r="BE176" s="1949">
        <f t="shared" si="41"/>
        <v>1451.6650575336848</v>
      </c>
    </row>
    <row r="177" spans="1:57" s="51" customFormat="1" x14ac:dyDescent="0.25">
      <c r="A177" s="1267" t="str">
        <f t="shared" si="27"/>
        <v>351182_2021_12_Cooling RES ER2</v>
      </c>
      <c r="B177" s="228"/>
      <c r="C177" s="1975" t="s">
        <v>4334</v>
      </c>
      <c r="D177" s="1532" t="s">
        <v>322</v>
      </c>
      <c r="E177" s="3005" t="s">
        <v>959</v>
      </c>
      <c r="F177" s="425">
        <f>ROUND(((J261*J333*(1/J405-1/J477))/1000)*J621*$J$635,2)</f>
        <v>560.38</v>
      </c>
      <c r="G177" s="878" t="s">
        <v>879</v>
      </c>
      <c r="H177" s="155">
        <f>VLOOKUP(G177,'CP FACTORS'!$A$3:$B$38, 2, FALSE)</f>
        <v>9.4741810000000004E-4</v>
      </c>
      <c r="I177" s="1531">
        <f t="shared" si="38"/>
        <v>0.530914</v>
      </c>
      <c r="J177" s="666">
        <f t="shared" si="43"/>
        <v>12</v>
      </c>
      <c r="K177" s="442">
        <f t="shared" si="39"/>
        <v>0</v>
      </c>
      <c r="L177" s="65">
        <f t="shared" si="40"/>
        <v>2</v>
      </c>
      <c r="M177" s="123"/>
      <c r="N177" s="1533"/>
      <c r="O177" s="123"/>
      <c r="P177" s="123"/>
      <c r="Q177" s="123"/>
      <c r="R177" s="123"/>
      <c r="S177" s="123"/>
      <c r="T177" s="123"/>
      <c r="U177" s="123"/>
      <c r="V177" s="1962" t="s">
        <v>31</v>
      </c>
      <c r="W177" s="668"/>
      <c r="X177" s="669"/>
      <c r="Y177" s="1961"/>
      <c r="Z177" s="1961">
        <v>561.51</v>
      </c>
      <c r="AA177" s="670">
        <v>561.51</v>
      </c>
      <c r="AB177" s="2055">
        <v>561.51</v>
      </c>
      <c r="AC177" s="2977">
        <v>560.38</v>
      </c>
      <c r="AD177" s="1941"/>
      <c r="AE177" s="1941"/>
      <c r="AF177" s="1941"/>
      <c r="AG177" s="1941"/>
      <c r="AH177" s="163"/>
      <c r="AI177" s="1942"/>
      <c r="AJ177" s="1942"/>
      <c r="AK177" s="1942"/>
      <c r="AL177" s="1942"/>
      <c r="AM177" s="1942"/>
      <c r="AN177" s="1942"/>
      <c r="AO177" s="1942"/>
      <c r="AP177" s="1942"/>
      <c r="AQ177" s="1942"/>
      <c r="AR177" s="1942"/>
      <c r="AS177" s="1942"/>
      <c r="AT177" s="1942"/>
      <c r="AU177" s="1942"/>
      <c r="AV177" s="1942"/>
      <c r="AW177" s="1942"/>
      <c r="AX177" s="1942"/>
      <c r="AY177" s="1930"/>
      <c r="AZ177" s="1930"/>
      <c r="BA177" s="1942"/>
      <c r="BB177" s="242"/>
      <c r="BC177" s="3116" t="str">
        <f t="shared" si="37"/>
        <v>Cooling RES ER2 12 Year EUL</v>
      </c>
      <c r="BD177" s="673">
        <f>(INDEX('Avoided Cost Benefits'!$C$4:$C$857,MATCH(BC177,'Avoided Cost Benefits'!$A$4:$A$857,0)))*F177</f>
        <v>662.55045040903894</v>
      </c>
      <c r="BE177" s="1949">
        <f t="shared" si="41"/>
        <v>0</v>
      </c>
    </row>
    <row r="178" spans="1:57" s="51" customFormat="1" x14ac:dyDescent="0.25">
      <c r="A178" s="1267" t="str">
        <f t="shared" si="27"/>
        <v>351183_2021_12_Cooling RES</v>
      </c>
      <c r="B178" s="228"/>
      <c r="C178" s="1975" t="s">
        <v>4335</v>
      </c>
      <c r="D178" s="1532" t="s">
        <v>317</v>
      </c>
      <c r="E178" s="2878" t="s">
        <v>960</v>
      </c>
      <c r="F178" s="425">
        <f>ROUND(((J262*J334*(1/J550-1/J478))/1000)*J622*$J$635,2)</f>
        <v>1060.3599999999999</v>
      </c>
      <c r="G178" s="878" t="s">
        <v>258</v>
      </c>
      <c r="H178" s="155">
        <f>VLOOKUP(G178,'CP FACTORS'!$A$3:$B$38, 2, FALSE)</f>
        <v>9.4741810000000004E-4</v>
      </c>
      <c r="I178" s="1531">
        <f t="shared" si="38"/>
        <v>1.0046040000000001</v>
      </c>
      <c r="J178" s="666">
        <f t="shared" si="43"/>
        <v>6</v>
      </c>
      <c r="K178" s="442">
        <f t="shared" si="39"/>
        <v>1538.0391284569391</v>
      </c>
      <c r="L178" s="65">
        <f t="shared" si="40"/>
        <v>2</v>
      </c>
      <c r="M178" s="123"/>
      <c r="N178" s="1533"/>
      <c r="O178" s="123"/>
      <c r="P178" s="123"/>
      <c r="Q178" s="123"/>
      <c r="R178" s="123"/>
      <c r="S178" s="123"/>
      <c r="T178" s="123"/>
      <c r="U178" s="123"/>
      <c r="V178" s="1962" t="s">
        <v>31</v>
      </c>
      <c r="W178" s="668"/>
      <c r="X178" s="669"/>
      <c r="Y178" s="1961"/>
      <c r="Z178" s="1961">
        <v>1062.49</v>
      </c>
      <c r="AA178" s="670">
        <v>1062.49</v>
      </c>
      <c r="AB178" s="2055">
        <v>1062.49</v>
      </c>
      <c r="AC178" s="2977">
        <v>1060.3599999999999</v>
      </c>
      <c r="AD178" s="1941"/>
      <c r="AE178" s="1941"/>
      <c r="AF178" s="1941"/>
      <c r="AG178" s="1941"/>
      <c r="AH178" s="163"/>
      <c r="AI178" s="1942"/>
      <c r="AJ178" s="1942"/>
      <c r="AK178" s="1942"/>
      <c r="AL178" s="1942"/>
      <c r="AM178" s="1942"/>
      <c r="AN178" s="1942"/>
      <c r="AO178" s="1942"/>
      <c r="AP178" s="1942"/>
      <c r="AQ178" s="1942"/>
      <c r="AR178" s="1942"/>
      <c r="AS178" s="1942"/>
      <c r="AT178" s="1942"/>
      <c r="AU178" s="1942"/>
      <c r="AV178" s="1942"/>
      <c r="AW178" s="1942"/>
      <c r="AX178" s="1942"/>
      <c r="AY178" s="1930"/>
      <c r="AZ178" s="1930"/>
      <c r="BA178" s="1942"/>
      <c r="BB178" s="244">
        <f>(BD178+BD179)/(BE178+BE179)</f>
        <v>0.75667488803531324</v>
      </c>
      <c r="BC178" s="3115" t="str">
        <f t="shared" si="37"/>
        <v>Cooling RES 6 Year EUL</v>
      </c>
      <c r="BD178" s="673">
        <f>(INDEX('Avoided Cost Benefits'!$C$4:$C$857,MATCH(BC178,'Avoided Cost Benefits'!$A$4:$A$857,0)))*F178</f>
        <v>616.58254700976431</v>
      </c>
      <c r="BE178" s="1949">
        <f t="shared" si="41"/>
        <v>1451.6650575336848</v>
      </c>
    </row>
    <row r="179" spans="1:57" s="51" customFormat="1" x14ac:dyDescent="0.25">
      <c r="A179" s="1267" t="str">
        <f t="shared" si="27"/>
        <v>351183_2021_12_Cooling RES ER2</v>
      </c>
      <c r="B179" s="228"/>
      <c r="C179" s="1975" t="s">
        <v>4335</v>
      </c>
      <c r="D179" s="1532" t="s">
        <v>317</v>
      </c>
      <c r="E179" s="3005" t="s">
        <v>961</v>
      </c>
      <c r="F179" s="425">
        <f>ROUND(((J263*J335*(1/J407-1/J479))/1000)*J623*$J$635,2)</f>
        <v>407.55</v>
      </c>
      <c r="G179" s="878" t="s">
        <v>879</v>
      </c>
      <c r="H179" s="155">
        <f>VLOOKUP(G179,'CP FACTORS'!$A$3:$B$38, 2, FALSE)</f>
        <v>9.4741810000000004E-4</v>
      </c>
      <c r="I179" s="1531">
        <f t="shared" si="38"/>
        <v>0.38612000000000002</v>
      </c>
      <c r="J179" s="666">
        <f t="shared" si="43"/>
        <v>12</v>
      </c>
      <c r="K179" s="442">
        <f t="shared" si="39"/>
        <v>0</v>
      </c>
      <c r="L179" s="65">
        <f t="shared" si="40"/>
        <v>2</v>
      </c>
      <c r="M179" s="123"/>
      <c r="N179" s="1533"/>
      <c r="O179" s="123"/>
      <c r="P179" s="123"/>
      <c r="Q179" s="123"/>
      <c r="R179" s="123"/>
      <c r="S179" s="123"/>
      <c r="T179" s="123"/>
      <c r="U179" s="123"/>
      <c r="V179" s="1962" t="s">
        <v>31</v>
      </c>
      <c r="W179" s="668"/>
      <c r="X179" s="669"/>
      <c r="Y179" s="1961"/>
      <c r="Z179" s="1961">
        <v>408.37</v>
      </c>
      <c r="AA179" s="670">
        <v>408.37</v>
      </c>
      <c r="AB179" s="2055">
        <v>408.37</v>
      </c>
      <c r="AC179" s="2977">
        <v>407.55</v>
      </c>
      <c r="AD179" s="1941"/>
      <c r="AE179" s="1941"/>
      <c r="AF179" s="1941"/>
      <c r="AG179" s="1941"/>
      <c r="AH179" s="163"/>
      <c r="AI179" s="1942"/>
      <c r="AJ179" s="1942"/>
      <c r="AK179" s="1942"/>
      <c r="AL179" s="1942"/>
      <c r="AM179" s="1942"/>
      <c r="AN179" s="1942"/>
      <c r="AO179" s="1942"/>
      <c r="AP179" s="1942"/>
      <c r="AQ179" s="1942"/>
      <c r="AR179" s="1942"/>
      <c r="AS179" s="1942"/>
      <c r="AT179" s="1942"/>
      <c r="AU179" s="1942"/>
      <c r="AV179" s="1942"/>
      <c r="AW179" s="1942"/>
      <c r="AX179" s="1942"/>
      <c r="AY179" s="1930"/>
      <c r="AZ179" s="1930"/>
      <c r="BA179" s="1942"/>
      <c r="BB179" s="242"/>
      <c r="BC179" s="3116" t="str">
        <f t="shared" si="37"/>
        <v>Cooling RES ER2 12 Year EUL</v>
      </c>
      <c r="BD179" s="673">
        <f>(INDEX('Avoided Cost Benefits'!$C$4:$C$857,MATCH(BC179,'Avoided Cost Benefits'!$A$4:$A$857,0)))*F179</f>
        <v>481.85594786431324</v>
      </c>
      <c r="BE179" s="1949">
        <f t="shared" si="41"/>
        <v>0</v>
      </c>
    </row>
    <row r="180" spans="1:57" s="51" customFormat="1" x14ac:dyDescent="0.25">
      <c r="A180" s="1267" t="str">
        <f t="shared" si="27"/>
        <v>351184_2021_12_Cooling RES</v>
      </c>
      <c r="B180" s="228"/>
      <c r="C180" s="1975" t="s">
        <v>4336</v>
      </c>
      <c r="D180" s="1532" t="s">
        <v>322</v>
      </c>
      <c r="E180" s="3006" t="s">
        <v>962</v>
      </c>
      <c r="F180" s="425">
        <f>ROUND(((J264*J336*(1/J408-1/J480))/1000)*J624*$J$635,2)</f>
        <v>560.38</v>
      </c>
      <c r="G180" s="878" t="s">
        <v>258</v>
      </c>
      <c r="H180" s="155">
        <f>VLOOKUP(G180,'CP FACTORS'!$A$3:$B$38, 2, FALSE)</f>
        <v>9.4741810000000004E-4</v>
      </c>
      <c r="I180" s="1531">
        <f t="shared" si="38"/>
        <v>0.530914</v>
      </c>
      <c r="J180" s="666">
        <f t="shared" si="43"/>
        <v>18</v>
      </c>
      <c r="K180" s="442">
        <f t="shared" si="39"/>
        <v>1239.9999999999995</v>
      </c>
      <c r="L180" s="65">
        <f t="shared" si="40"/>
        <v>2</v>
      </c>
      <c r="M180" s="123"/>
      <c r="N180" s="1533"/>
      <c r="O180" s="123"/>
      <c r="P180" s="123"/>
      <c r="Q180" s="123"/>
      <c r="R180" s="123"/>
      <c r="S180" s="123"/>
      <c r="T180" s="123"/>
      <c r="U180" s="123"/>
      <c r="V180" s="1962" t="s">
        <v>31</v>
      </c>
      <c r="W180" s="668"/>
      <c r="X180" s="669"/>
      <c r="Y180" s="1961"/>
      <c r="Z180" s="1961">
        <v>561.51</v>
      </c>
      <c r="AA180" s="670">
        <v>561.51</v>
      </c>
      <c r="AB180" s="2055">
        <v>561.51</v>
      </c>
      <c r="AC180" s="2977">
        <v>560.38</v>
      </c>
      <c r="AD180" s="1941"/>
      <c r="AE180" s="1941"/>
      <c r="AF180" s="1941"/>
      <c r="AG180" s="1941"/>
      <c r="AH180" s="163"/>
      <c r="AI180" s="1942"/>
      <c r="AJ180" s="1942"/>
      <c r="AK180" s="1942"/>
      <c r="AL180" s="1942"/>
      <c r="AM180" s="1942"/>
      <c r="AN180" s="1942"/>
      <c r="AO180" s="1942"/>
      <c r="AP180" s="1942"/>
      <c r="AQ180" s="1942"/>
      <c r="AR180" s="1942"/>
      <c r="AS180" s="1942"/>
      <c r="AT180" s="1942"/>
      <c r="AU180" s="1942"/>
      <c r="AV180" s="1942"/>
      <c r="AW180" s="1942"/>
      <c r="AX180" s="1942"/>
      <c r="AY180" s="1930"/>
      <c r="AZ180" s="1930"/>
      <c r="BA180" s="1942"/>
      <c r="BB180" s="244">
        <f>(BD180)/(BE180)</f>
        <v>0.84452620733856043</v>
      </c>
      <c r="BC180" s="674" t="str">
        <f t="shared" si="37"/>
        <v>Cooling RES 18 Year EUL</v>
      </c>
      <c r="BD180" s="673">
        <f>(INDEX('Avoided Cost Benefits'!$C$4:$C$857,MATCH(BC180,'Avoided Cost Benefits'!$A$4:$A$857,0)))*F180</f>
        <v>988.40254563455835</v>
      </c>
      <c r="BE180" s="1949">
        <f t="shared" si="41"/>
        <v>1170.3633789523356</v>
      </c>
    </row>
    <row r="181" spans="1:57" s="51" customFormat="1" x14ac:dyDescent="0.25">
      <c r="A181" s="1267" t="str">
        <f t="shared" si="27"/>
        <v>351185_2021_12_Cooling RES</v>
      </c>
      <c r="B181" s="228"/>
      <c r="C181" s="1975" t="s">
        <v>4337</v>
      </c>
      <c r="D181" s="1532" t="s">
        <v>317</v>
      </c>
      <c r="E181" s="3005" t="s">
        <v>963</v>
      </c>
      <c r="F181" s="425">
        <f>ROUND(((J265*J337*(1/J409-1/J481))/1000)*J625*$J$635,2)</f>
        <v>407.55</v>
      </c>
      <c r="G181" s="878" t="s">
        <v>258</v>
      </c>
      <c r="H181" s="155">
        <f>VLOOKUP(G181,'CP FACTORS'!$A$3:$B$38, 2, FALSE)</f>
        <v>9.4741810000000004E-4</v>
      </c>
      <c r="I181" s="1531">
        <f t="shared" si="38"/>
        <v>0.38612000000000002</v>
      </c>
      <c r="J181" s="676">
        <v>18</v>
      </c>
      <c r="K181" s="442">
        <f t="shared" si="39"/>
        <v>1239.9999999999995</v>
      </c>
      <c r="L181" s="65">
        <f t="shared" si="40"/>
        <v>2</v>
      </c>
      <c r="M181" s="123"/>
      <c r="N181" s="1533"/>
      <c r="O181" s="123"/>
      <c r="P181" s="123"/>
      <c r="Q181" s="123"/>
      <c r="R181" s="123"/>
      <c r="S181" s="123"/>
      <c r="T181" s="123"/>
      <c r="U181" s="123"/>
      <c r="V181" s="1962" t="s">
        <v>31</v>
      </c>
      <c r="W181" s="668"/>
      <c r="X181" s="669"/>
      <c r="Y181" s="1961"/>
      <c r="Z181" s="1961">
        <v>408.37</v>
      </c>
      <c r="AA181" s="670">
        <v>408.37</v>
      </c>
      <c r="AB181" s="2055">
        <v>408.37</v>
      </c>
      <c r="AC181" s="2977">
        <v>407.55</v>
      </c>
      <c r="AD181" s="1941"/>
      <c r="AE181" s="1941"/>
      <c r="AF181" s="1941"/>
      <c r="AG181" s="1941"/>
      <c r="AH181" s="163"/>
      <c r="AI181" s="1942"/>
      <c r="AJ181" s="1942"/>
      <c r="AK181" s="1942"/>
      <c r="AL181" s="1942"/>
      <c r="AM181" s="1942"/>
      <c r="AN181" s="1942"/>
      <c r="AO181" s="1942"/>
      <c r="AP181" s="1942"/>
      <c r="AQ181" s="1942"/>
      <c r="AR181" s="1942"/>
      <c r="AS181" s="1942"/>
      <c r="AT181" s="1942"/>
      <c r="AU181" s="1942"/>
      <c r="AV181" s="1942"/>
      <c r="AW181" s="1942"/>
      <c r="AX181" s="1942"/>
      <c r="AY181" s="1930"/>
      <c r="AZ181" s="1930"/>
      <c r="BA181" s="1942"/>
      <c r="BB181" s="244">
        <f>(BD181)/(BE181)</f>
        <v>0.61420224811883062</v>
      </c>
      <c r="BC181" s="674" t="str">
        <f t="shared" si="37"/>
        <v>Cooling RES 18 Year EUL</v>
      </c>
      <c r="BD181" s="673">
        <f>(INDEX('Avoided Cost Benefits'!$C$4:$C$857,MATCH(BC181,'Avoided Cost Benefits'!$A$4:$A$857,0)))*F181</f>
        <v>718.83981846847541</v>
      </c>
      <c r="BE181" s="1949">
        <f t="shared" si="41"/>
        <v>1170.3633789523356</v>
      </c>
    </row>
    <row r="182" spans="1:57" s="51" customFormat="1" x14ac:dyDescent="0.25">
      <c r="A182" s="1267" t="str">
        <f t="shared" si="27"/>
        <v>351190_2021_12_Cooling RES</v>
      </c>
      <c r="B182" s="228"/>
      <c r="C182" s="1975" t="s">
        <v>4338</v>
      </c>
      <c r="D182" s="1532" t="s">
        <v>320</v>
      </c>
      <c r="E182" s="2878" t="s">
        <v>964</v>
      </c>
      <c r="F182" s="425">
        <f>ROUND(((J266*J338*(1/J554-1/J482))/1000)*J626*$J$635,2)</f>
        <v>2515.91</v>
      </c>
      <c r="G182" s="878" t="s">
        <v>258</v>
      </c>
      <c r="H182" s="155">
        <f>VLOOKUP(G182,'CP FACTORS'!$A$3:$B$38, 2, FALSE)</f>
        <v>9.4741810000000004E-4</v>
      </c>
      <c r="I182" s="1531">
        <f t="shared" si="38"/>
        <v>2.3836189999999999</v>
      </c>
      <c r="J182" s="666">
        <f t="shared" ref="J182:J190" si="44">J699</f>
        <v>6</v>
      </c>
      <c r="K182" s="682">
        <f t="shared" si="39"/>
        <v>1943.075994258907</v>
      </c>
      <c r="L182" s="65">
        <f t="shared" si="40"/>
        <v>3.331168831168831</v>
      </c>
      <c r="M182" s="123"/>
      <c r="N182" s="1533"/>
      <c r="O182" s="123"/>
      <c r="P182" s="123"/>
      <c r="Q182" s="123"/>
      <c r="R182" s="123"/>
      <c r="S182" s="123"/>
      <c r="T182" s="123"/>
      <c r="U182" s="123"/>
      <c r="V182" s="1962" t="s">
        <v>31</v>
      </c>
      <c r="W182" s="668"/>
      <c r="X182" s="669"/>
      <c r="Y182" s="1961"/>
      <c r="Z182" s="1961">
        <v>2265.87</v>
      </c>
      <c r="AA182" s="670">
        <v>2265.87</v>
      </c>
      <c r="AB182" s="2055">
        <v>2265.87</v>
      </c>
      <c r="AC182" s="2977">
        <v>2515.91</v>
      </c>
      <c r="AD182" s="1941"/>
      <c r="AE182" s="1941"/>
      <c r="AF182" s="1941"/>
      <c r="AG182" s="1941"/>
      <c r="AH182" s="163"/>
      <c r="AI182" s="1942"/>
      <c r="AJ182" s="1942"/>
      <c r="AK182" s="1942"/>
      <c r="AL182" s="1942"/>
      <c r="AM182" s="1942"/>
      <c r="AN182" s="1942"/>
      <c r="AO182" s="1942"/>
      <c r="AP182" s="1942"/>
      <c r="AQ182" s="1942"/>
      <c r="AR182" s="1942"/>
      <c r="AS182" s="1942"/>
      <c r="AT182" s="1942"/>
      <c r="AU182" s="1942"/>
      <c r="AV182" s="1942"/>
      <c r="AW182" s="1942"/>
      <c r="AX182" s="1942"/>
      <c r="AY182" s="1930"/>
      <c r="AZ182" s="1930"/>
      <c r="BA182" s="1942"/>
      <c r="BB182" s="244">
        <f>(BD182+BD183)/(BE182+BE183)</f>
        <v>1.4951478737694737</v>
      </c>
      <c r="BC182" s="3115" t="str">
        <f t="shared" si="37"/>
        <v>Cooling RES 6 Year EUL</v>
      </c>
      <c r="BD182" s="673">
        <f>(INDEX('Avoided Cost Benefits'!$C$4:$C$857,MATCH(BC182,'Avoided Cost Benefits'!$A$4:$A$857,0)))*F182</f>
        <v>1462.9618203698144</v>
      </c>
      <c r="BE182" s="1949">
        <f t="shared" si="41"/>
        <v>1833.9556340338904</v>
      </c>
    </row>
    <row r="183" spans="1:57" s="51" customFormat="1" x14ac:dyDescent="0.25">
      <c r="A183" s="1267" t="str">
        <f t="shared" ref="A183:A190" si="45">C183&amp;G183</f>
        <v>351190_2021_12_Cooling RES ER2</v>
      </c>
      <c r="B183" s="228"/>
      <c r="C183" s="1975" t="s">
        <v>4338</v>
      </c>
      <c r="D183" s="1532" t="s">
        <v>320</v>
      </c>
      <c r="E183" s="3005" t="s">
        <v>965</v>
      </c>
      <c r="F183" s="425">
        <f>ROUND(((J267*J339*(1/J411-1/J483))/1000)*J627*$J$635,2)</f>
        <v>1081.83</v>
      </c>
      <c r="G183" s="878" t="s">
        <v>879</v>
      </c>
      <c r="H183" s="155">
        <f>VLOOKUP(G183,'CP FACTORS'!$A$3:$B$38, 2, FALSE)</f>
        <v>9.4741810000000004E-4</v>
      </c>
      <c r="I183" s="1531">
        <f t="shared" si="38"/>
        <v>1.024945</v>
      </c>
      <c r="J183" s="666">
        <f t="shared" si="44"/>
        <v>12</v>
      </c>
      <c r="K183" s="442">
        <f t="shared" si="39"/>
        <v>0</v>
      </c>
      <c r="L183" s="65">
        <f t="shared" si="40"/>
        <v>3.331168831168831</v>
      </c>
      <c r="M183" s="123"/>
      <c r="N183" s="1533"/>
      <c r="O183" s="123"/>
      <c r="P183" s="123"/>
      <c r="Q183" s="123"/>
      <c r="R183" s="123"/>
      <c r="S183" s="123"/>
      <c r="T183" s="123"/>
      <c r="U183" s="123"/>
      <c r="V183" s="1962" t="s">
        <v>31</v>
      </c>
      <c r="W183" s="668"/>
      <c r="X183" s="669"/>
      <c r="Y183" s="1961"/>
      <c r="Z183" s="1961">
        <v>916.75</v>
      </c>
      <c r="AA183" s="670">
        <v>916.75</v>
      </c>
      <c r="AB183" s="2055">
        <v>916.75</v>
      </c>
      <c r="AC183" s="2977">
        <v>1081.83</v>
      </c>
      <c r="AD183" s="1941"/>
      <c r="AE183" s="1941"/>
      <c r="AF183" s="1941"/>
      <c r="AG183" s="1941"/>
      <c r="AH183" s="163"/>
      <c r="AI183" s="1942"/>
      <c r="AJ183" s="1942"/>
      <c r="AK183" s="1942"/>
      <c r="AL183" s="1942"/>
      <c r="AM183" s="1942"/>
      <c r="AN183" s="1942"/>
      <c r="AO183" s="1942"/>
      <c r="AP183" s="1942"/>
      <c r="AQ183" s="1942"/>
      <c r="AR183" s="1942"/>
      <c r="AS183" s="1942"/>
      <c r="AT183" s="1942"/>
      <c r="AU183" s="1942"/>
      <c r="AV183" s="1942"/>
      <c r="AW183" s="1942"/>
      <c r="AX183" s="1942"/>
      <c r="AY183" s="1930"/>
      <c r="AZ183" s="1930"/>
      <c r="BA183" s="1942"/>
      <c r="BB183" s="242"/>
      <c r="BC183" s="3116" t="str">
        <f t="shared" si="37"/>
        <v>Cooling RES ER2 12 Year EUL</v>
      </c>
      <c r="BD183" s="673">
        <f>(INDEX('Avoided Cost Benefits'!$C$4:$C$857,MATCH(BC183,'Avoided Cost Benefits'!$A$4:$A$857,0)))*F183</f>
        <v>1279.0730464435037</v>
      </c>
      <c r="BE183" s="1949">
        <f t="shared" si="41"/>
        <v>0</v>
      </c>
    </row>
    <row r="184" spans="1:57" s="51" customFormat="1" x14ac:dyDescent="0.25">
      <c r="A184" s="1267" t="str">
        <f t="shared" si="45"/>
        <v>351191_2021_12_Cooling RES</v>
      </c>
      <c r="B184" s="228"/>
      <c r="C184" s="1975" t="s">
        <v>4339</v>
      </c>
      <c r="D184" s="1532" t="s">
        <v>320</v>
      </c>
      <c r="E184" s="3006" t="s">
        <v>966</v>
      </c>
      <c r="F184" s="425">
        <f>ROUND(((J268*J340*(1/J412-1/J484))/1000)*J628*$J$635,2)</f>
        <v>1009.72</v>
      </c>
      <c r="G184" s="878" t="s">
        <v>258</v>
      </c>
      <c r="H184" s="155">
        <f>VLOOKUP(G184,'CP FACTORS'!$A$3:$B$38, 2, FALSE)</f>
        <v>9.4741810000000004E-4</v>
      </c>
      <c r="I184" s="1531">
        <f t="shared" si="38"/>
        <v>0.95662700000000001</v>
      </c>
      <c r="J184" s="666">
        <f t="shared" si="44"/>
        <v>18</v>
      </c>
      <c r="K184" s="442">
        <f t="shared" si="39"/>
        <v>1446.6666666666663</v>
      </c>
      <c r="L184" s="65">
        <f t="shared" si="40"/>
        <v>3.1428571428571423</v>
      </c>
      <c r="M184" s="123"/>
      <c r="N184" s="1533"/>
      <c r="O184" s="123"/>
      <c r="P184" s="123"/>
      <c r="Q184" s="123"/>
      <c r="R184" s="123"/>
      <c r="S184" s="123"/>
      <c r="T184" s="123"/>
      <c r="U184" s="123"/>
      <c r="V184" s="1962" t="s">
        <v>31</v>
      </c>
      <c r="W184" s="668"/>
      <c r="X184" s="669"/>
      <c r="Y184" s="1961"/>
      <c r="Z184" s="1961">
        <v>916.75</v>
      </c>
      <c r="AA184" s="670">
        <v>916.75</v>
      </c>
      <c r="AB184" s="2055">
        <v>916.75</v>
      </c>
      <c r="AC184" s="2977">
        <v>1009.72</v>
      </c>
      <c r="AD184" s="1941"/>
      <c r="AE184" s="1941"/>
      <c r="AF184" s="1941"/>
      <c r="AG184" s="1941"/>
      <c r="AH184" s="163"/>
      <c r="AI184" s="1942"/>
      <c r="AJ184" s="1942"/>
      <c r="AK184" s="1942"/>
      <c r="AL184" s="1942"/>
      <c r="AM184" s="1942"/>
      <c r="AN184" s="1942"/>
      <c r="AO184" s="1942"/>
      <c r="AP184" s="1942"/>
      <c r="AQ184" s="1942"/>
      <c r="AR184" s="1942"/>
      <c r="AS184" s="1942"/>
      <c r="AT184" s="1942"/>
      <c r="AU184" s="1942"/>
      <c r="AV184" s="1942"/>
      <c r="AW184" s="1942"/>
      <c r="AX184" s="1942"/>
      <c r="AY184" s="1930"/>
      <c r="AZ184" s="1930"/>
      <c r="BA184" s="1942"/>
      <c r="BB184" s="244">
        <f>(BD184)/(BE184)</f>
        <v>1.3043215604827714</v>
      </c>
      <c r="BC184" s="674" t="str">
        <f t="shared" si="37"/>
        <v>Cooling RES 18 Year EUL</v>
      </c>
      <c r="BD184" s="673">
        <f>(INDEX('Avoided Cost Benefits'!$C$4:$C$857,MATCH(BC184,'Avoided Cost Benefits'!$A$4:$A$857,0)))*F184</f>
        <v>1780.9518868948326</v>
      </c>
      <c r="BE184" s="1949">
        <f t="shared" si="41"/>
        <v>1365.4239421110581</v>
      </c>
    </row>
    <row r="185" spans="1:57" s="51" customFormat="1" x14ac:dyDescent="0.25">
      <c r="A185" s="1267" t="str">
        <f t="shared" si="45"/>
        <v>351192_2021_12_Cooling RES</v>
      </c>
      <c r="B185" s="228"/>
      <c r="C185" s="1975" t="s">
        <v>4340</v>
      </c>
      <c r="D185" s="1532" t="s">
        <v>322</v>
      </c>
      <c r="E185" s="2878" t="s">
        <v>967</v>
      </c>
      <c r="F185" s="425">
        <f>ROUND(((J269*J341*(1/J557-1/J485))/1000)*J629*$J$635,2)</f>
        <v>1507.56</v>
      </c>
      <c r="G185" s="878" t="s">
        <v>258</v>
      </c>
      <c r="H185" s="155">
        <f>VLOOKUP(G185,'CP FACTORS'!$A$3:$B$38, 2, FALSE)</f>
        <v>9.4741810000000004E-4</v>
      </c>
      <c r="I185" s="1531">
        <f t="shared" si="38"/>
        <v>1.4282900000000001</v>
      </c>
      <c r="J185" s="666">
        <f t="shared" si="44"/>
        <v>6</v>
      </c>
      <c r="K185" s="442">
        <f t="shared" si="39"/>
        <v>1744.7057951236061</v>
      </c>
      <c r="L185" s="65">
        <f t="shared" si="40"/>
        <v>2</v>
      </c>
      <c r="M185" s="123"/>
      <c r="N185" s="1533"/>
      <c r="O185" s="123"/>
      <c r="P185" s="123"/>
      <c r="Q185" s="123"/>
      <c r="R185" s="123"/>
      <c r="S185" s="123"/>
      <c r="T185" s="123"/>
      <c r="U185" s="123"/>
      <c r="V185" s="1962" t="s">
        <v>31</v>
      </c>
      <c r="W185" s="668"/>
      <c r="X185" s="669"/>
      <c r="Y185" s="1961"/>
      <c r="Z185" s="1961">
        <v>1510.58</v>
      </c>
      <c r="AA185" s="670">
        <v>1510.58</v>
      </c>
      <c r="AB185" s="2055">
        <v>1510.58</v>
      </c>
      <c r="AC185" s="2977">
        <v>1507.56</v>
      </c>
      <c r="AD185" s="1941"/>
      <c r="AE185" s="1941"/>
      <c r="AF185" s="1941"/>
      <c r="AG185" s="1941"/>
      <c r="AH185" s="163"/>
      <c r="AI185" s="1942"/>
      <c r="AJ185" s="1942"/>
      <c r="AK185" s="1942"/>
      <c r="AL185" s="1942"/>
      <c r="AM185" s="1942"/>
      <c r="AN185" s="1942"/>
      <c r="AO185" s="1942"/>
      <c r="AP185" s="1942"/>
      <c r="AQ185" s="1942"/>
      <c r="AR185" s="1942"/>
      <c r="AS185" s="1942"/>
      <c r="AT185" s="1942"/>
      <c r="AU185" s="1942"/>
      <c r="AV185" s="1942"/>
      <c r="AW185" s="1942"/>
      <c r="AX185" s="1942"/>
      <c r="AY185" s="1930"/>
      <c r="AZ185" s="1930"/>
      <c r="BA185" s="1942"/>
      <c r="BB185" s="244">
        <f>(BD185+BD186)/(BE185+BE186)</f>
        <v>0.97027012170549853</v>
      </c>
      <c r="BC185" s="3115" t="str">
        <f t="shared" si="37"/>
        <v>Cooling RES 6 Year EUL</v>
      </c>
      <c r="BD185" s="673">
        <f>(INDEX('Avoided Cost Benefits'!$C$4:$C$857,MATCH(BC185,'Avoided Cost Benefits'!$A$4:$A$857,0)))*F185</f>
        <v>876.62226467429969</v>
      </c>
      <c r="BE185" s="1949">
        <f t="shared" si="41"/>
        <v>1646.7256206924076</v>
      </c>
    </row>
    <row r="186" spans="1:57" s="51" customFormat="1" x14ac:dyDescent="0.25">
      <c r="A186" s="1267" t="str">
        <f t="shared" si="45"/>
        <v>351192_2021_12_Cooling RES ER2</v>
      </c>
      <c r="B186" s="228"/>
      <c r="C186" s="1975" t="s">
        <v>4340</v>
      </c>
      <c r="D186" s="1532" t="s">
        <v>322</v>
      </c>
      <c r="E186" s="3005" t="s">
        <v>968</v>
      </c>
      <c r="F186" s="425">
        <f>ROUND(((J270*J342*(1/J414-1/J486))/1000)*J630*$J$635,2)</f>
        <v>609.94000000000005</v>
      </c>
      <c r="G186" s="878" t="s">
        <v>879</v>
      </c>
      <c r="H186" s="155">
        <f>VLOOKUP(G186,'CP FACTORS'!$A$3:$B$38, 2, FALSE)</f>
        <v>9.4741810000000004E-4</v>
      </c>
      <c r="I186" s="1531">
        <f t="shared" si="38"/>
        <v>0.57786800000000005</v>
      </c>
      <c r="J186" s="666">
        <f t="shared" si="44"/>
        <v>12</v>
      </c>
      <c r="K186" s="442">
        <f t="shared" si="39"/>
        <v>0</v>
      </c>
      <c r="L186" s="65">
        <f t="shared" si="40"/>
        <v>2</v>
      </c>
      <c r="M186" s="123"/>
      <c r="N186" s="1533"/>
      <c r="O186" s="123"/>
      <c r="P186" s="123"/>
      <c r="Q186" s="123"/>
      <c r="R186" s="123"/>
      <c r="S186" s="123"/>
      <c r="T186" s="123"/>
      <c r="U186" s="123"/>
      <c r="V186" s="1962" t="s">
        <v>31</v>
      </c>
      <c r="W186" s="668"/>
      <c r="X186" s="669"/>
      <c r="Y186" s="1961"/>
      <c r="Z186" s="1961">
        <v>611.16</v>
      </c>
      <c r="AA186" s="670">
        <v>611.16</v>
      </c>
      <c r="AB186" s="2055">
        <v>611.16</v>
      </c>
      <c r="AC186" s="2977">
        <v>609.94000000000005</v>
      </c>
      <c r="AD186" s="1941"/>
      <c r="AE186" s="1941"/>
      <c r="AF186" s="1941"/>
      <c r="AG186" s="1941"/>
      <c r="AH186" s="163"/>
      <c r="AI186" s="1942"/>
      <c r="AJ186" s="1942"/>
      <c r="AK186" s="1942"/>
      <c r="AL186" s="1942"/>
      <c r="AM186" s="1942"/>
      <c r="AN186" s="1942"/>
      <c r="AO186" s="1942"/>
      <c r="AP186" s="1942"/>
      <c r="AQ186" s="1942"/>
      <c r="AR186" s="1942"/>
      <c r="AS186" s="1942"/>
      <c r="AT186" s="1942"/>
      <c r="AU186" s="1942"/>
      <c r="AV186" s="1942"/>
      <c r="AW186" s="1942"/>
      <c r="AX186" s="1942"/>
      <c r="AY186" s="1930"/>
      <c r="AZ186" s="1930"/>
      <c r="BA186" s="1942"/>
      <c r="BB186" s="242"/>
      <c r="BC186" s="3116" t="str">
        <f t="shared" si="37"/>
        <v>Cooling RES ER2 12 Year EUL</v>
      </c>
      <c r="BD186" s="673">
        <f>(INDEX('Avoided Cost Benefits'!$C$4:$C$857,MATCH(BC186,'Avoided Cost Benefits'!$A$4:$A$857,0)))*F186</f>
        <v>721.14640373048519</v>
      </c>
      <c r="BE186" s="1949">
        <f t="shared" si="41"/>
        <v>0</v>
      </c>
    </row>
    <row r="187" spans="1:57" s="51" customFormat="1" x14ac:dyDescent="0.25">
      <c r="A187" s="1267" t="str">
        <f t="shared" si="45"/>
        <v>351193_2021_12_Cooling RES</v>
      </c>
      <c r="B187" s="228"/>
      <c r="C187" s="1975" t="s">
        <v>4341</v>
      </c>
      <c r="D187" s="1532" t="s">
        <v>317</v>
      </c>
      <c r="E187" s="2878" t="s">
        <v>969</v>
      </c>
      <c r="F187" s="425">
        <f>ROUND(((J271*J343*(1/J559-1/J487))/1000)*J631*$J$635,2)</f>
        <v>1096.4100000000001</v>
      </c>
      <c r="G187" s="878" t="s">
        <v>258</v>
      </c>
      <c r="H187" s="155">
        <f>VLOOKUP(G187,'CP FACTORS'!$A$3:$B$38, 2, FALSE)</f>
        <v>9.4741810000000004E-4</v>
      </c>
      <c r="I187" s="1531">
        <f t="shared" si="38"/>
        <v>1.038759</v>
      </c>
      <c r="J187" s="666">
        <f t="shared" si="44"/>
        <v>6</v>
      </c>
      <c r="K187" s="442">
        <f t="shared" si="39"/>
        <v>1744.7057951236061</v>
      </c>
      <c r="L187" s="65">
        <f t="shared" si="40"/>
        <v>2</v>
      </c>
      <c r="M187" s="123"/>
      <c r="N187" s="1533"/>
      <c r="O187" s="123"/>
      <c r="P187" s="123"/>
      <c r="Q187" s="123"/>
      <c r="R187" s="123"/>
      <c r="S187" s="123"/>
      <c r="T187" s="123"/>
      <c r="U187" s="123"/>
      <c r="V187" s="1962" t="s">
        <v>31</v>
      </c>
      <c r="W187" s="668"/>
      <c r="X187" s="669"/>
      <c r="Y187" s="1961"/>
      <c r="Z187" s="1961">
        <v>1098.5999999999999</v>
      </c>
      <c r="AA187" s="670">
        <v>1098.5999999999999</v>
      </c>
      <c r="AB187" s="2055">
        <v>1098.5999999999999</v>
      </c>
      <c r="AC187" s="2977">
        <v>1096.4100000000001</v>
      </c>
      <c r="AD187" s="1941"/>
      <c r="AE187" s="1941"/>
      <c r="AF187" s="1941"/>
      <c r="AG187" s="1941"/>
      <c r="AH187" s="163"/>
      <c r="AI187" s="1942"/>
      <c r="AJ187" s="1942"/>
      <c r="AK187" s="1942"/>
      <c r="AL187" s="1942"/>
      <c r="AM187" s="1942"/>
      <c r="AN187" s="1942"/>
      <c r="AO187" s="1942"/>
      <c r="AP187" s="1942"/>
      <c r="AQ187" s="1942"/>
      <c r="AR187" s="1942"/>
      <c r="AS187" s="1942"/>
      <c r="AT187" s="1942"/>
      <c r="AU187" s="1942"/>
      <c r="AV187" s="1942"/>
      <c r="AW187" s="1942"/>
      <c r="AX187" s="1942"/>
      <c r="AY187" s="1930"/>
      <c r="AZ187" s="1930"/>
      <c r="BA187" s="1942"/>
      <c r="BB187" s="244">
        <f>(BD187+BD188)/(BE187+BE188)</f>
        <v>0.70565000250636201</v>
      </c>
      <c r="BC187" s="3115" t="str">
        <f t="shared" si="37"/>
        <v>Cooling RES 6 Year EUL</v>
      </c>
      <c r="BD187" s="673">
        <f>(INDEX('Avoided Cost Benefits'!$C$4:$C$857,MATCH(BC187,'Avoided Cost Benefits'!$A$4:$A$857,0)))*F187</f>
        <v>637.54505108357148</v>
      </c>
      <c r="BE187" s="1949">
        <f t="shared" si="41"/>
        <v>1646.7256206924076</v>
      </c>
    </row>
    <row r="188" spans="1:57" s="51" customFormat="1" x14ac:dyDescent="0.25">
      <c r="A188" s="1267" t="str">
        <f t="shared" si="45"/>
        <v>351193_2021_12_Cooling RES ER2</v>
      </c>
      <c r="B188" s="228"/>
      <c r="C188" s="1975" t="s">
        <v>4341</v>
      </c>
      <c r="D188" s="1532" t="s">
        <v>317</v>
      </c>
      <c r="E188" s="3005" t="s">
        <v>970</v>
      </c>
      <c r="F188" s="425">
        <f>ROUND(((J272*J344*(1/J416-1/J488))/1000)*J632*$J$635,2)</f>
        <v>443.59</v>
      </c>
      <c r="G188" s="878" t="s">
        <v>879</v>
      </c>
      <c r="H188" s="155">
        <f>VLOOKUP(G188,'CP FACTORS'!$A$3:$B$38, 2, FALSE)</f>
        <v>9.4741810000000004E-4</v>
      </c>
      <c r="I188" s="1531">
        <f t="shared" si="38"/>
        <v>0.420265</v>
      </c>
      <c r="J188" s="666">
        <f t="shared" si="44"/>
        <v>12</v>
      </c>
      <c r="K188" s="442">
        <f t="shared" si="39"/>
        <v>0</v>
      </c>
      <c r="L188" s="65">
        <f t="shared" si="40"/>
        <v>2</v>
      </c>
      <c r="M188" s="123"/>
      <c r="N188" s="1533"/>
      <c r="O188" s="123"/>
      <c r="P188" s="123"/>
      <c r="Q188" s="123"/>
      <c r="R188" s="123"/>
      <c r="S188" s="123"/>
      <c r="T188" s="123"/>
      <c r="U188" s="123"/>
      <c r="V188" s="1962" t="s">
        <v>31</v>
      </c>
      <c r="W188" s="668"/>
      <c r="X188" s="669"/>
      <c r="Y188" s="1961"/>
      <c r="Z188" s="1961">
        <v>444.48</v>
      </c>
      <c r="AA188" s="670">
        <v>444.48</v>
      </c>
      <c r="AB188" s="2055">
        <v>444.48</v>
      </c>
      <c r="AC188" s="2977">
        <v>443.59</v>
      </c>
      <c r="AD188" s="1941"/>
      <c r="AE188" s="1941"/>
      <c r="AF188" s="1941"/>
      <c r="AG188" s="1941"/>
      <c r="AH188" s="163"/>
      <c r="AI188" s="1942"/>
      <c r="AJ188" s="1942"/>
      <c r="AK188" s="1942"/>
      <c r="AL188" s="1942"/>
      <c r="AM188" s="1942"/>
      <c r="AN188" s="1942"/>
      <c r="AO188" s="1942"/>
      <c r="AP188" s="1942"/>
      <c r="AQ188" s="1942"/>
      <c r="AR188" s="1942"/>
      <c r="AS188" s="1942"/>
      <c r="AT188" s="1942"/>
      <c r="AU188" s="1942"/>
      <c r="AV188" s="1942"/>
      <c r="AW188" s="1942"/>
      <c r="AX188" s="1942"/>
      <c r="AY188" s="1930"/>
      <c r="AZ188" s="1930"/>
      <c r="BA188" s="1942"/>
      <c r="BB188" s="242"/>
      <c r="BC188" s="3116" t="str">
        <f t="shared" si="37"/>
        <v>Cooling RES ER2 12 Year EUL</v>
      </c>
      <c r="BD188" s="673">
        <f>(INDEX('Avoided Cost Benefits'!$C$4:$C$857,MATCH(BC188,'Avoided Cost Benefits'!$A$4:$A$857,0)))*F188</f>
        <v>524.46688728531637</v>
      </c>
      <c r="BE188" s="1949">
        <f t="shared" si="41"/>
        <v>0</v>
      </c>
    </row>
    <row r="189" spans="1:57" s="51" customFormat="1" x14ac:dyDescent="0.25">
      <c r="A189" s="1267" t="str">
        <f t="shared" si="45"/>
        <v>351194_2021_12_Cooling RES</v>
      </c>
      <c r="B189" s="228"/>
      <c r="C189" s="1975" t="s">
        <v>4342</v>
      </c>
      <c r="D189" s="1532" t="s">
        <v>322</v>
      </c>
      <c r="E189" s="3006" t="s">
        <v>971</v>
      </c>
      <c r="F189" s="425">
        <f>ROUND(((J273*J345*(1/J417-1/J489))/1000)*J633*$J$635,2)</f>
        <v>609.94000000000005</v>
      </c>
      <c r="G189" s="878" t="s">
        <v>258</v>
      </c>
      <c r="H189" s="155">
        <f>VLOOKUP(G189,'CP FACTORS'!$A$3:$B$38, 2, FALSE)</f>
        <v>9.4741810000000004E-4</v>
      </c>
      <c r="I189" s="1531">
        <f t="shared" si="38"/>
        <v>0.57786800000000005</v>
      </c>
      <c r="J189" s="666">
        <f t="shared" si="44"/>
        <v>18</v>
      </c>
      <c r="K189" s="442">
        <f t="shared" si="39"/>
        <v>1446.6666666666663</v>
      </c>
      <c r="L189" s="65">
        <f t="shared" si="40"/>
        <v>2</v>
      </c>
      <c r="M189" s="123"/>
      <c r="N189" s="1533"/>
      <c r="O189" s="123"/>
      <c r="P189" s="123"/>
      <c r="Q189" s="123"/>
      <c r="R189" s="123"/>
      <c r="S189" s="123"/>
      <c r="T189" s="123"/>
      <c r="U189" s="123"/>
      <c r="V189" s="1962" t="s">
        <v>31</v>
      </c>
      <c r="W189" s="668"/>
      <c r="X189" s="669"/>
      <c r="Y189" s="1961"/>
      <c r="Z189" s="1961">
        <v>611.16</v>
      </c>
      <c r="AA189" s="670">
        <v>611.16</v>
      </c>
      <c r="AB189" s="2055">
        <v>611.16</v>
      </c>
      <c r="AC189" s="2977">
        <v>609.94000000000005</v>
      </c>
      <c r="AD189" s="1941"/>
      <c r="AE189" s="1941"/>
      <c r="AF189" s="1941"/>
      <c r="AG189" s="1941"/>
      <c r="AH189" s="163"/>
      <c r="AI189" s="1942"/>
      <c r="AJ189" s="1942"/>
      <c r="AK189" s="1942"/>
      <c r="AL189" s="1942"/>
      <c r="AM189" s="1942"/>
      <c r="AN189" s="1942"/>
      <c r="AO189" s="1942"/>
      <c r="AP189" s="1942"/>
      <c r="AQ189" s="1942"/>
      <c r="AR189" s="1942"/>
      <c r="AS189" s="1942"/>
      <c r="AT189" s="1942"/>
      <c r="AU189" s="1942"/>
      <c r="AV189" s="1942"/>
      <c r="AW189" s="1942"/>
      <c r="AX189" s="1942"/>
      <c r="AY189" s="1930"/>
      <c r="AZ189" s="1930"/>
      <c r="BA189" s="1942"/>
      <c r="BB189" s="244">
        <f>(BD189)/(BE189)</f>
        <v>0.78789950936978725</v>
      </c>
      <c r="BC189" s="674" t="str">
        <f t="shared" si="37"/>
        <v>Cooling RES 18 Year EUL</v>
      </c>
      <c r="BD189" s="673">
        <f>(INDEX('Avoided Cost Benefits'!$C$4:$C$857,MATCH(BC189,'Avoided Cost Benefits'!$A$4:$A$857,0)))*F189</f>
        <v>1075.8168540710635</v>
      </c>
      <c r="BE189" s="1949">
        <f t="shared" si="41"/>
        <v>1365.4239421110581</v>
      </c>
    </row>
    <row r="190" spans="1:57" s="51" customFormat="1" x14ac:dyDescent="0.25">
      <c r="A190" s="1267" t="str">
        <f t="shared" si="45"/>
        <v>351195_2021_12_Cooling RES</v>
      </c>
      <c r="B190" s="228"/>
      <c r="C190" s="1975" t="s">
        <v>4343</v>
      </c>
      <c r="D190" s="1532" t="s">
        <v>317</v>
      </c>
      <c r="E190" s="3005" t="s">
        <v>972</v>
      </c>
      <c r="F190" s="425">
        <f>ROUND(((J274*J346*(1/J418-1/J490))/1000)*J634*$J$635,2)</f>
        <v>443.59</v>
      </c>
      <c r="G190" s="878" t="s">
        <v>258</v>
      </c>
      <c r="H190" s="155">
        <f>VLOOKUP(G190,'CP FACTORS'!$A$3:$B$38, 2, FALSE)</f>
        <v>9.4741810000000004E-4</v>
      </c>
      <c r="I190" s="1531">
        <f t="shared" si="38"/>
        <v>0.420265</v>
      </c>
      <c r="J190" s="666">
        <f t="shared" si="44"/>
        <v>18</v>
      </c>
      <c r="K190" s="442">
        <f t="shared" si="39"/>
        <v>1446.6666666666663</v>
      </c>
      <c r="L190" s="65">
        <f t="shared" si="40"/>
        <v>2</v>
      </c>
      <c r="M190" s="123"/>
      <c r="N190" s="1533"/>
      <c r="O190" s="123"/>
      <c r="P190" s="123"/>
      <c r="Q190" s="123"/>
      <c r="R190" s="123"/>
      <c r="S190" s="123"/>
      <c r="T190" s="123"/>
      <c r="U190" s="123"/>
      <c r="V190" s="1962" t="s">
        <v>31</v>
      </c>
      <c r="W190" s="668"/>
      <c r="X190" s="669"/>
      <c r="Y190" s="1961"/>
      <c r="Z190" s="1961">
        <v>444.48</v>
      </c>
      <c r="AA190" s="670">
        <v>444.48</v>
      </c>
      <c r="AB190" s="2055">
        <v>444.48</v>
      </c>
      <c r="AC190" s="2977">
        <v>443.59</v>
      </c>
      <c r="AD190" s="1941"/>
      <c r="AE190" s="1941"/>
      <c r="AF190" s="1941"/>
      <c r="AG190" s="1941"/>
      <c r="AH190" s="163"/>
      <c r="AI190" s="1942"/>
      <c r="AJ190" s="1942"/>
      <c r="AK190" s="1942"/>
      <c r="AL190" s="1942"/>
      <c r="AM190" s="1942"/>
      <c r="AN190" s="1942"/>
      <c r="AO190" s="1942"/>
      <c r="AP190" s="1942"/>
      <c r="AQ190" s="1942"/>
      <c r="AR190" s="1942"/>
      <c r="AS190" s="1942"/>
      <c r="AT190" s="1942"/>
      <c r="AU190" s="1942"/>
      <c r="AV190" s="1942"/>
      <c r="AW190" s="1942"/>
      <c r="AX190" s="1942"/>
      <c r="AY190" s="1930"/>
      <c r="AZ190" s="1930"/>
      <c r="BA190" s="1942"/>
      <c r="BB190" s="310">
        <f>(BD190)/(BE190)</f>
        <v>0.57301430199912107</v>
      </c>
      <c r="BC190" s="674" t="str">
        <f t="shared" si="37"/>
        <v>Cooling RES 18 Year EUL</v>
      </c>
      <c r="BD190" s="677">
        <f>(INDEX('Avoided Cost Benefits'!$C$4:$C$857,MATCH(BC190,'Avoided Cost Benefits'!$A$4:$A$857,0)))*F190</f>
        <v>782.40744712165622</v>
      </c>
      <c r="BE190" s="1950">
        <f t="shared" si="41"/>
        <v>1365.4239421110581</v>
      </c>
    </row>
    <row r="191" spans="1:57" ht="38.25" hidden="1" customHeight="1" outlineLevel="1" x14ac:dyDescent="0.25">
      <c r="B191" s="228"/>
      <c r="C191" s="1535"/>
      <c r="D191" s="1536"/>
      <c r="E191" s="1537"/>
      <c r="F191" s="1538"/>
      <c r="G191" s="1539"/>
      <c r="H191" s="1464"/>
      <c r="I191" s="1540"/>
      <c r="J191" s="1541"/>
      <c r="K191" s="1542"/>
      <c r="L191" s="1542"/>
      <c r="M191" s="1543"/>
      <c r="N191" s="1544"/>
      <c r="W191" s="1942"/>
      <c r="X191" s="1942"/>
      <c r="Y191" s="1942"/>
      <c r="Z191" s="1942"/>
      <c r="AA191" s="1930"/>
      <c r="AB191" s="1930"/>
      <c r="AC191" s="1930"/>
      <c r="AD191" s="1930"/>
      <c r="AE191" s="1930"/>
      <c r="AF191" s="1930"/>
      <c r="AG191" s="1930"/>
      <c r="AH191" s="1930"/>
      <c r="AI191" s="1930"/>
      <c r="AJ191" s="1930"/>
      <c r="AK191" s="1930"/>
      <c r="AL191" s="1930"/>
      <c r="AM191" s="1930"/>
      <c r="AN191" s="1930"/>
      <c r="AO191" s="1930"/>
      <c r="AP191" s="1930"/>
      <c r="AQ191" s="1930"/>
      <c r="AR191" s="1930"/>
      <c r="AS191" s="1930"/>
      <c r="AT191" s="1930"/>
      <c r="AU191" s="1930"/>
      <c r="AV191" s="1930"/>
      <c r="AW191" s="1930"/>
      <c r="AX191" s="1930"/>
      <c r="AY191" s="1930"/>
      <c r="AZ191" s="1930"/>
      <c r="BA191" s="1930"/>
      <c r="BC191" s="584"/>
      <c r="BD191" s="678"/>
      <c r="BE191" s="585"/>
    </row>
    <row r="192" spans="1:57" hidden="1" outlineLevel="1" x14ac:dyDescent="0.25">
      <c r="B192" s="228"/>
      <c r="C192" s="1535"/>
      <c r="D192" s="1539"/>
      <c r="E192" s="1539"/>
      <c r="F192" s="1538"/>
      <c r="G192" s="1539"/>
      <c r="H192" s="1464"/>
      <c r="I192" s="1540"/>
      <c r="J192" s="1541"/>
      <c r="K192" s="1542"/>
      <c r="L192" s="1542"/>
      <c r="M192" s="1543"/>
      <c r="N192" s="1544"/>
      <c r="W192" s="1942"/>
      <c r="X192" s="1942"/>
      <c r="Y192" s="1942"/>
      <c r="Z192" s="1942"/>
      <c r="AA192" s="1930"/>
      <c r="AB192" s="1930"/>
      <c r="AC192" s="1930"/>
      <c r="AD192" s="1930"/>
      <c r="AE192" s="1930"/>
      <c r="AF192" s="1930"/>
      <c r="AG192" s="1930"/>
      <c r="AH192" s="1930"/>
      <c r="AI192" s="1930"/>
      <c r="AJ192" s="1930"/>
      <c r="AK192" s="1930"/>
      <c r="AL192" s="1930"/>
      <c r="AM192" s="1930"/>
      <c r="AN192" s="1930"/>
      <c r="AO192" s="1930"/>
      <c r="AP192" s="1930"/>
      <c r="AQ192" s="1930"/>
      <c r="AR192" s="1930"/>
      <c r="AS192" s="1930"/>
      <c r="AT192" s="1930"/>
      <c r="AU192" s="1930"/>
      <c r="AV192" s="1930"/>
      <c r="AW192" s="1930"/>
      <c r="AX192" s="1930"/>
      <c r="AY192" s="1930"/>
      <c r="AZ192" s="1930"/>
      <c r="BA192" s="1930"/>
      <c r="BC192" s="584"/>
      <c r="BD192" s="678"/>
      <c r="BE192" s="585"/>
    </row>
    <row r="193" spans="1:57" hidden="1" outlineLevel="1" x14ac:dyDescent="0.25">
      <c r="B193" s="228"/>
      <c r="C193" s="1535"/>
      <c r="D193" s="174" t="s">
        <v>108</v>
      </c>
      <c r="E193" s="1539"/>
      <c r="F193" s="1538"/>
      <c r="G193" s="1539"/>
      <c r="H193" s="1464"/>
      <c r="I193" s="1540"/>
      <c r="J193" s="1541"/>
      <c r="K193" s="1542"/>
      <c r="L193" s="1542"/>
      <c r="M193" s="1543"/>
      <c r="N193" s="1544"/>
      <c r="W193" s="1942"/>
      <c r="X193" s="1942"/>
      <c r="Y193" s="1942"/>
      <c r="Z193" s="1942"/>
      <c r="AA193" s="1930"/>
      <c r="AB193" s="1930"/>
      <c r="AC193" s="1930"/>
      <c r="AD193" s="1930"/>
      <c r="AE193" s="1930"/>
      <c r="AF193" s="1930"/>
      <c r="AG193" s="1930"/>
      <c r="AH193" s="1930"/>
      <c r="AI193" s="1930"/>
      <c r="AJ193" s="1930"/>
      <c r="AK193" s="1930"/>
      <c r="AL193" s="1930"/>
      <c r="AM193" s="1930"/>
      <c r="AN193" s="1930"/>
      <c r="AO193" s="1930"/>
      <c r="AP193" s="1930"/>
      <c r="AQ193" s="1930"/>
      <c r="AR193" s="1930"/>
      <c r="AS193" s="1930"/>
      <c r="AT193" s="1930"/>
      <c r="AU193" s="1930"/>
      <c r="AV193" s="1930"/>
      <c r="AW193" s="1930"/>
      <c r="AX193" s="1930"/>
      <c r="AY193" s="1930"/>
      <c r="AZ193" s="1930"/>
      <c r="BA193" s="1930"/>
      <c r="BC193" s="584"/>
      <c r="BD193" s="678"/>
      <c r="BE193" s="585"/>
    </row>
    <row r="194" spans="1:57" hidden="1" outlineLevel="1" x14ac:dyDescent="0.25">
      <c r="B194" s="228"/>
      <c r="C194" s="1535"/>
      <c r="D194" s="1539"/>
      <c r="E194" s="1539"/>
      <c r="F194" s="1538"/>
      <c r="G194" s="1539"/>
      <c r="H194" s="1464"/>
      <c r="I194" s="1540"/>
      <c r="J194" s="1541"/>
      <c r="K194" s="1542"/>
      <c r="L194" s="1542"/>
      <c r="M194" s="1543"/>
      <c r="N194" s="1544"/>
      <c r="W194" s="1942"/>
      <c r="X194" s="1942"/>
      <c r="Y194" s="1942"/>
      <c r="Z194" s="1942"/>
      <c r="AA194" s="1930"/>
      <c r="AB194" s="1930"/>
      <c r="AC194" s="1930"/>
      <c r="AD194" s="1930"/>
      <c r="AE194" s="1930"/>
      <c r="AF194" s="1930"/>
      <c r="AG194" s="1930"/>
      <c r="AH194" s="1930"/>
      <c r="AI194" s="1930"/>
      <c r="AJ194" s="1930"/>
      <c r="AK194" s="1930"/>
      <c r="AL194" s="1930"/>
      <c r="AM194" s="1930"/>
      <c r="AN194" s="1930"/>
      <c r="AO194" s="1930"/>
      <c r="AP194" s="1930"/>
      <c r="AQ194" s="1930"/>
      <c r="AR194" s="1930"/>
      <c r="AS194" s="1930"/>
      <c r="AT194" s="1930"/>
      <c r="AU194" s="1930"/>
      <c r="AV194" s="1930"/>
      <c r="AW194" s="1930"/>
      <c r="AX194" s="1930"/>
      <c r="AY194" s="1930"/>
      <c r="AZ194" s="1930"/>
      <c r="BA194" s="1930"/>
      <c r="BC194" s="584"/>
      <c r="BD194" s="678"/>
      <c r="BE194" s="585"/>
    </row>
    <row r="195" spans="1:57" hidden="1" outlineLevel="1" x14ac:dyDescent="0.25">
      <c r="B195" s="228"/>
      <c r="C195" s="1535"/>
      <c r="D195" s="1539"/>
      <c r="E195" s="1539"/>
      <c r="F195" s="1538"/>
      <c r="G195" s="1539"/>
      <c r="H195" s="1464"/>
      <c r="I195" s="1540"/>
      <c r="J195" s="1541"/>
      <c r="K195" s="1542"/>
      <c r="L195" s="1542"/>
      <c r="M195" s="1543"/>
      <c r="N195" s="1544"/>
      <c r="W195" s="1942"/>
      <c r="X195" s="1942"/>
      <c r="Y195" s="1942"/>
      <c r="Z195" s="1942"/>
      <c r="AA195" s="1930"/>
      <c r="AB195" s="1930"/>
      <c r="AC195" s="1930"/>
      <c r="AD195" s="1930"/>
      <c r="AE195" s="1930"/>
      <c r="AF195" s="1930"/>
      <c r="AG195" s="1930"/>
      <c r="AH195" s="1930"/>
      <c r="AI195" s="1930"/>
      <c r="AJ195" s="1930"/>
      <c r="AK195" s="1930"/>
      <c r="AL195" s="1930"/>
      <c r="AM195" s="1930"/>
      <c r="AN195" s="1930"/>
      <c r="AO195" s="1930"/>
      <c r="AP195" s="1930"/>
      <c r="AQ195" s="1930"/>
      <c r="AR195" s="1930"/>
      <c r="AS195" s="1930"/>
      <c r="AT195" s="1930"/>
      <c r="AU195" s="1930"/>
      <c r="AV195" s="1930"/>
      <c r="AW195" s="1930"/>
      <c r="AX195" s="1930"/>
      <c r="AY195" s="1930"/>
      <c r="AZ195" s="1930"/>
      <c r="BA195" s="1930"/>
      <c r="BC195" s="584"/>
      <c r="BD195" s="678"/>
      <c r="BE195" s="585"/>
    </row>
    <row r="196" spans="1:57" hidden="1" outlineLevel="1" x14ac:dyDescent="0.25">
      <c r="B196" s="228"/>
      <c r="F196" s="228"/>
      <c r="G196" s="516"/>
      <c r="H196" s="228"/>
      <c r="I196" s="228"/>
      <c r="J196" s="228"/>
      <c r="K196" s="228"/>
      <c r="L196" s="228"/>
      <c r="M196" s="228"/>
      <c r="N196" s="1544"/>
      <c r="O196" s="1542"/>
      <c r="P196" s="228"/>
      <c r="W196" s="1942"/>
      <c r="X196" s="1942"/>
      <c r="Y196" s="1942"/>
      <c r="Z196" s="1942"/>
      <c r="AA196" s="1930"/>
      <c r="AB196" s="1930"/>
      <c r="AC196" s="1930"/>
      <c r="AD196" s="1930"/>
      <c r="AE196" s="1930"/>
      <c r="AF196" s="1930"/>
      <c r="AG196" s="1930"/>
      <c r="AH196" s="1930"/>
      <c r="AI196" s="1930"/>
      <c r="AJ196" s="1930"/>
      <c r="AK196" s="1930"/>
      <c r="AL196" s="1930"/>
      <c r="AM196" s="1930"/>
      <c r="AN196" s="1930"/>
      <c r="AO196" s="1930"/>
      <c r="AP196" s="1930"/>
      <c r="AQ196" s="1930"/>
      <c r="AR196" s="1930"/>
      <c r="AS196" s="1930"/>
      <c r="AT196" s="1930"/>
      <c r="AU196" s="1930"/>
      <c r="AV196" s="1930"/>
      <c r="AW196" s="1930"/>
      <c r="AX196" s="1930"/>
      <c r="AY196" s="1930"/>
      <c r="AZ196" s="1930"/>
      <c r="BA196" s="1930"/>
      <c r="BC196" s="584"/>
      <c r="BD196" s="678"/>
      <c r="BE196" s="585"/>
    </row>
    <row r="197" spans="1:57" hidden="1" outlineLevel="1" x14ac:dyDescent="0.25">
      <c r="B197" s="228"/>
      <c r="E197" s="329" t="s">
        <v>973</v>
      </c>
      <c r="F197" s="828" t="s">
        <v>974</v>
      </c>
      <c r="H197" s="576"/>
      <c r="I197" s="1545"/>
      <c r="J197" s="1545"/>
      <c r="K197" s="1545"/>
      <c r="L197" s="328"/>
      <c r="M197" s="328"/>
      <c r="N197" s="1544"/>
      <c r="O197" s="228"/>
      <c r="P197" s="228"/>
      <c r="W197" s="1942"/>
      <c r="X197" s="1942"/>
      <c r="Y197" s="1942"/>
      <c r="Z197" s="1942"/>
      <c r="AA197" s="1930"/>
      <c r="AB197" s="1930"/>
      <c r="AC197" s="1930"/>
      <c r="AD197" s="1930"/>
      <c r="AE197" s="1930"/>
      <c r="AF197" s="1930"/>
      <c r="AG197" s="1930"/>
      <c r="AH197" s="1930"/>
      <c r="AI197" s="1930"/>
      <c r="AJ197" s="1930"/>
      <c r="AK197" s="1930"/>
      <c r="AL197" s="1930"/>
      <c r="AM197" s="1930"/>
      <c r="AN197" s="1930"/>
      <c r="AO197" s="1930"/>
      <c r="AP197" s="1930"/>
      <c r="AQ197" s="1930"/>
      <c r="AR197" s="1930"/>
      <c r="AS197" s="1930"/>
      <c r="AT197" s="1930"/>
      <c r="AU197" s="1930"/>
      <c r="AV197" s="1930"/>
      <c r="AW197" s="1930"/>
      <c r="AX197" s="1930"/>
      <c r="AY197" s="1930"/>
      <c r="AZ197" s="1930"/>
      <c r="BA197" s="1930"/>
      <c r="BC197" s="584"/>
      <c r="BD197" s="678"/>
      <c r="BE197" s="585"/>
    </row>
    <row r="198" spans="1:57" hidden="1" outlineLevel="1" x14ac:dyDescent="0.25">
      <c r="B198" s="228"/>
      <c r="D198" s="679"/>
      <c r="H198" s="328"/>
      <c r="I198" s="328"/>
      <c r="J198" s="328"/>
      <c r="K198" s="328"/>
      <c r="L198" s="328"/>
      <c r="M198" s="328"/>
      <c r="N198" s="1544"/>
      <c r="W198" s="1942"/>
      <c r="X198" s="1942"/>
      <c r="Y198" s="1942"/>
      <c r="Z198" s="1942"/>
      <c r="AA198" s="1930"/>
      <c r="AB198" s="1930"/>
      <c r="AC198" s="1930"/>
      <c r="AD198" s="1930"/>
      <c r="AE198" s="1930"/>
      <c r="AF198" s="1930"/>
      <c r="AG198" s="1930"/>
      <c r="AH198" s="1930"/>
      <c r="AI198" s="1930"/>
      <c r="AJ198" s="1930"/>
      <c r="AK198" s="1930"/>
      <c r="AL198" s="1930"/>
      <c r="AM198" s="1930"/>
      <c r="AN198" s="1930"/>
      <c r="AO198" s="1930"/>
      <c r="AP198" s="1930"/>
      <c r="AQ198" s="1930"/>
      <c r="AR198" s="1930"/>
      <c r="AS198" s="1930"/>
      <c r="AT198" s="1930"/>
      <c r="AU198" s="1930"/>
      <c r="AV198" s="1930"/>
      <c r="AW198" s="1930"/>
      <c r="AX198" s="1930"/>
      <c r="AY198" s="1930"/>
      <c r="AZ198" s="1930"/>
      <c r="BA198" s="1930"/>
      <c r="BC198" s="584"/>
      <c r="BD198" s="678"/>
      <c r="BE198" s="585"/>
    </row>
    <row r="199" spans="1:57" hidden="1" outlineLevel="1" x14ac:dyDescent="0.25">
      <c r="B199" s="228"/>
      <c r="H199" s="328"/>
      <c r="I199" s="328"/>
      <c r="J199" s="328"/>
      <c r="K199" s="328"/>
      <c r="L199" s="328"/>
      <c r="M199" s="328"/>
      <c r="N199" s="1544"/>
      <c r="W199" s="1942"/>
      <c r="X199" s="1942"/>
      <c r="Y199" s="1942"/>
      <c r="Z199" s="1942"/>
      <c r="AA199" s="1930"/>
      <c r="AB199" s="1930"/>
      <c r="AC199" s="1930"/>
      <c r="AD199" s="1930"/>
      <c r="AE199" s="1930"/>
      <c r="AF199" s="1930"/>
      <c r="AG199" s="1930"/>
      <c r="AH199" s="1930"/>
      <c r="AI199" s="1930"/>
      <c r="AJ199" s="1930"/>
      <c r="AK199" s="1930"/>
      <c r="AL199" s="1930"/>
      <c r="AM199" s="1930"/>
      <c r="AN199" s="1930"/>
      <c r="AO199" s="1930"/>
      <c r="AP199" s="1930"/>
      <c r="AQ199" s="1930"/>
      <c r="AR199" s="1930"/>
      <c r="AS199" s="1930"/>
      <c r="AT199" s="1930"/>
      <c r="AU199" s="1930"/>
      <c r="AV199" s="1930"/>
      <c r="AW199" s="1930"/>
      <c r="AX199" s="1930"/>
      <c r="AY199" s="1930"/>
      <c r="AZ199" s="1930"/>
      <c r="BA199" s="1930"/>
      <c r="BC199" s="584"/>
      <c r="BD199" s="678"/>
      <c r="BE199" s="585"/>
    </row>
    <row r="200" spans="1:57" hidden="1" outlineLevel="1" x14ac:dyDescent="0.25">
      <c r="B200" s="228"/>
      <c r="H200" s="328"/>
      <c r="I200" s="328"/>
      <c r="J200" s="328"/>
      <c r="K200" s="328"/>
      <c r="L200" s="328"/>
      <c r="M200" s="328"/>
      <c r="N200" s="1544"/>
      <c r="P200" s="123" t="s">
        <v>975</v>
      </c>
      <c r="W200" s="1942"/>
      <c r="X200" s="1942"/>
      <c r="Y200" s="1942"/>
      <c r="Z200" s="1942"/>
      <c r="AA200" s="1930"/>
      <c r="AB200" s="1930"/>
      <c r="AC200" s="1930"/>
      <c r="AD200" s="1930"/>
      <c r="AE200" s="1930"/>
      <c r="AF200" s="1930"/>
      <c r="AG200" s="1930"/>
      <c r="AH200" s="1930"/>
      <c r="AI200" s="1930"/>
      <c r="AJ200" s="1930"/>
      <c r="AK200" s="1930"/>
      <c r="AL200" s="1930"/>
      <c r="AM200" s="1930"/>
      <c r="AN200" s="1930"/>
      <c r="AO200" s="1930"/>
      <c r="AP200" s="1930"/>
      <c r="AQ200" s="1930"/>
      <c r="AR200" s="1930"/>
      <c r="AS200" s="1930"/>
      <c r="AT200" s="1930"/>
      <c r="AU200" s="1930"/>
      <c r="AV200" s="1930"/>
      <c r="AW200" s="1930"/>
      <c r="AX200" s="1930"/>
      <c r="AY200" s="1930"/>
      <c r="AZ200" s="1930"/>
      <c r="BA200" s="1930"/>
      <c r="BC200" s="584"/>
      <c r="BD200" s="678"/>
      <c r="BE200" s="585"/>
    </row>
    <row r="201" spans="1:57" hidden="1" outlineLevel="1" x14ac:dyDescent="0.25">
      <c r="B201" s="228"/>
      <c r="H201" s="328"/>
      <c r="I201" s="328"/>
      <c r="J201" s="328"/>
      <c r="K201" s="328"/>
      <c r="L201" s="328"/>
      <c r="M201" s="328"/>
      <c r="N201" s="1544"/>
      <c r="P201" s="3923" t="s">
        <v>976</v>
      </c>
      <c r="Q201" s="4129"/>
      <c r="R201" s="4130"/>
      <c r="T201" s="685"/>
      <c r="W201" s="1942"/>
      <c r="X201" s="1942"/>
      <c r="Y201" s="1942"/>
      <c r="Z201" s="1942"/>
      <c r="AA201" s="1930"/>
      <c r="AB201" s="1930"/>
      <c r="AC201" s="1930"/>
      <c r="AD201" s="1930"/>
      <c r="AE201" s="1930"/>
      <c r="AF201" s="1930"/>
      <c r="AG201" s="1930"/>
      <c r="AH201" s="1930"/>
      <c r="AI201" s="1930"/>
      <c r="AJ201" s="1930"/>
      <c r="AK201" s="1930"/>
      <c r="AL201" s="1930"/>
      <c r="AM201" s="1930"/>
      <c r="AN201" s="1930"/>
      <c r="AO201" s="1930"/>
      <c r="AP201" s="1930"/>
      <c r="AQ201" s="1930"/>
      <c r="AR201" s="1930"/>
      <c r="AS201" s="1930"/>
      <c r="AT201" s="1930"/>
      <c r="AU201" s="1930"/>
      <c r="AV201" s="1930"/>
      <c r="AW201" s="1930"/>
      <c r="AX201" s="1930"/>
      <c r="AY201" s="1930"/>
      <c r="AZ201" s="1930"/>
      <c r="BA201" s="1930"/>
      <c r="BC201" s="584"/>
      <c r="BD201" s="678"/>
      <c r="BE201" s="585"/>
    </row>
    <row r="202" spans="1:57" s="51" customFormat="1" ht="45" hidden="1" customHeight="1" outlineLevel="1" thickBot="1" x14ac:dyDescent="0.3">
      <c r="A202" s="1267"/>
      <c r="B202" s="228"/>
      <c r="C202" s="328"/>
      <c r="D202" s="380" t="s">
        <v>109</v>
      </c>
      <c r="E202" s="380" t="s">
        <v>110</v>
      </c>
      <c r="F202" s="4068" t="s">
        <v>186</v>
      </c>
      <c r="G202" s="4068"/>
      <c r="H202" s="4068"/>
      <c r="I202" s="3161" t="s">
        <v>28</v>
      </c>
      <c r="J202" s="3161" t="s">
        <v>112</v>
      </c>
      <c r="K202" s="3161" t="s">
        <v>977</v>
      </c>
      <c r="L202" s="3161" t="s">
        <v>410</v>
      </c>
      <c r="M202" s="123"/>
      <c r="N202" s="1544"/>
      <c r="O202" s="123"/>
      <c r="P202" s="3136"/>
      <c r="Q202" s="3161" t="s">
        <v>978</v>
      </c>
      <c r="R202" s="3086" t="s">
        <v>979</v>
      </c>
      <c r="S202" s="123"/>
      <c r="T202" s="4070"/>
      <c r="U202" s="123"/>
      <c r="V202" s="551" t="s">
        <v>45</v>
      </c>
      <c r="W202" s="1937">
        <v>43252</v>
      </c>
      <c r="X202" s="1937">
        <f>$X$6</f>
        <v>43465</v>
      </c>
      <c r="Y202" s="1937">
        <f>$Y$6</f>
        <v>43800</v>
      </c>
      <c r="Z202" s="1937">
        <f>$Z$6</f>
        <v>43862</v>
      </c>
      <c r="AA202" s="1937">
        <f>$AA$6</f>
        <v>44013</v>
      </c>
      <c r="AB202" s="1937">
        <f>$AB$6</f>
        <v>44166</v>
      </c>
      <c r="AC202" s="1937">
        <f>$AC$6</f>
        <v>44531</v>
      </c>
      <c r="AD202" s="1937" t="str">
        <f>$AD$6</f>
        <v>-</v>
      </c>
      <c r="AE202" s="1937" t="str">
        <f>$AE$6</f>
        <v>-</v>
      </c>
      <c r="AF202" s="1937" t="str">
        <f>$AF$6</f>
        <v>-</v>
      </c>
      <c r="AG202" s="1937" t="str">
        <f>$AG$6</f>
        <v>-</v>
      </c>
      <c r="AH202" s="1942"/>
      <c r="AI202" s="1942"/>
      <c r="AJ202" s="1942"/>
      <c r="AK202" s="1942"/>
      <c r="AL202" s="1942"/>
      <c r="AM202" s="1942"/>
      <c r="AN202" s="1942"/>
      <c r="AO202" s="1942"/>
      <c r="AP202" s="1942"/>
      <c r="AQ202" s="1942"/>
      <c r="AR202" s="1942"/>
      <c r="AS202" s="1942"/>
      <c r="AT202" s="1942"/>
      <c r="AU202" s="1942"/>
      <c r="AV202" s="1942"/>
      <c r="AW202" s="1942"/>
      <c r="AX202" s="1942"/>
      <c r="AY202" s="1942"/>
      <c r="AZ202" s="1942"/>
      <c r="BA202" s="1942"/>
      <c r="BB202" s="575"/>
      <c r="BC202" s="584"/>
      <c r="BD202" s="678"/>
      <c r="BE202" s="585"/>
    </row>
    <row r="203" spans="1:57" s="51" customFormat="1" ht="14.45" hidden="1" customHeight="1" outlineLevel="1" x14ac:dyDescent="0.25">
      <c r="A203" s="1267"/>
      <c r="B203" s="228"/>
      <c r="C203" s="328"/>
      <c r="D203" s="4015" t="s">
        <v>980</v>
      </c>
      <c r="E203" s="4121" t="s">
        <v>981</v>
      </c>
      <c r="F203" s="4116" t="str">
        <f t="shared" ref="F203:F238" si="46">E119</f>
        <v>CAC-SEER14_ER1_SF</v>
      </c>
      <c r="G203" s="4117"/>
      <c r="H203" s="4118"/>
      <c r="I203" s="3157" t="str">
        <f t="shared" ref="I203:I239" si="47">C119</f>
        <v>350400_2021_12_</v>
      </c>
      <c r="J203" s="1870">
        <v>869</v>
      </c>
      <c r="K203" s="1871"/>
      <c r="L203" s="4096" t="s">
        <v>528</v>
      </c>
      <c r="M203" s="123"/>
      <c r="N203" s="123"/>
      <c r="O203" s="123"/>
      <c r="P203" s="681" t="s">
        <v>982</v>
      </c>
      <c r="Q203" s="442">
        <f t="shared" ref="Q203:Q210" si="48">(($R$216)+R203)-(($Q$216)/((1+$R$218)^($R$219-1)))</f>
        <v>447.05869268540937</v>
      </c>
      <c r="R203" s="683">
        <v>0</v>
      </c>
      <c r="S203" s="1533" t="s">
        <v>983</v>
      </c>
      <c r="T203" s="3755"/>
      <c r="U203" s="123"/>
      <c r="V203" s="3989" t="str">
        <f>D203</f>
        <v>FLHcool</v>
      </c>
      <c r="W203" s="2861">
        <v>869</v>
      </c>
      <c r="X203" s="2861">
        <f>W203</f>
        <v>869</v>
      </c>
      <c r="Y203" s="2861">
        <v>869</v>
      </c>
      <c r="Z203" s="2861">
        <v>869</v>
      </c>
      <c r="AA203" s="2861">
        <v>869</v>
      </c>
      <c r="AB203" s="1870">
        <v>869</v>
      </c>
      <c r="AC203" s="1870">
        <v>869</v>
      </c>
      <c r="AD203" s="2861"/>
      <c r="AE203" s="2861"/>
      <c r="AF203" s="2861"/>
      <c r="AG203" s="2861"/>
      <c r="AH203" s="1942"/>
      <c r="AI203" s="1942"/>
      <c r="AJ203" s="1942"/>
      <c r="AK203" s="1942"/>
      <c r="AL203" s="1942"/>
      <c r="AM203" s="1942"/>
      <c r="AN203" s="1942"/>
      <c r="AO203" s="1942"/>
      <c r="AP203" s="1942"/>
      <c r="AQ203" s="1942"/>
      <c r="AR203" s="1942"/>
      <c r="AS203" s="1942"/>
      <c r="AT203" s="1942"/>
      <c r="AU203" s="1942"/>
      <c r="AV203" s="1942"/>
      <c r="AW203" s="1942"/>
      <c r="AX203" s="1942"/>
      <c r="AY203" s="1942"/>
      <c r="AZ203" s="1942"/>
      <c r="BA203" s="1942"/>
      <c r="BB203" s="575"/>
      <c r="BC203" s="584"/>
      <c r="BD203" s="678"/>
      <c r="BE203" s="585"/>
    </row>
    <row r="204" spans="1:57" s="51" customFormat="1" ht="14.45" hidden="1" customHeight="1" outlineLevel="1" x14ac:dyDescent="0.25">
      <c r="A204" s="1267"/>
      <c r="B204" s="228"/>
      <c r="C204" s="328"/>
      <c r="D204" s="4018"/>
      <c r="E204" s="4122"/>
      <c r="F204" s="4093" t="str">
        <f t="shared" si="46"/>
        <v>CAC-SEER14_ER2_SF</v>
      </c>
      <c r="G204" s="4094"/>
      <c r="H204" s="4095"/>
      <c r="I204" s="3155" t="str">
        <f t="shared" si="47"/>
        <v>350400_2021_12_</v>
      </c>
      <c r="J204" s="699">
        <v>869</v>
      </c>
      <c r="K204" s="1872"/>
      <c r="L204" s="4097"/>
      <c r="M204" s="123"/>
      <c r="N204" s="123"/>
      <c r="O204" s="123"/>
      <c r="P204" s="681" t="s">
        <v>984</v>
      </c>
      <c r="Q204" s="442">
        <f t="shared" si="48"/>
        <v>555.05869268540937</v>
      </c>
      <c r="R204" s="683">
        <v>108</v>
      </c>
      <c r="S204" s="1533" t="s">
        <v>983</v>
      </c>
      <c r="T204" s="3755"/>
      <c r="U204" s="123"/>
      <c r="V204" s="3990"/>
      <c r="W204" s="2857">
        <v>869</v>
      </c>
      <c r="X204" s="2857">
        <f>W204</f>
        <v>869</v>
      </c>
      <c r="Y204" s="2857">
        <v>869</v>
      </c>
      <c r="Z204" s="2857">
        <v>869</v>
      </c>
      <c r="AA204" s="2857">
        <v>869</v>
      </c>
      <c r="AB204" s="699">
        <v>869</v>
      </c>
      <c r="AC204" s="699">
        <v>869</v>
      </c>
      <c r="AD204" s="2857"/>
      <c r="AE204" s="2857"/>
      <c r="AF204" s="2857"/>
      <c r="AG204" s="2857"/>
      <c r="AH204" s="1942"/>
      <c r="AI204" s="1942"/>
      <c r="AJ204" s="1942"/>
      <c r="AK204" s="1942"/>
      <c r="AL204" s="1942"/>
      <c r="AM204" s="1942"/>
      <c r="AN204" s="1942"/>
      <c r="AO204" s="1942"/>
      <c r="AP204" s="1942"/>
      <c r="AQ204" s="1942"/>
      <c r="AR204" s="1942"/>
      <c r="AS204" s="1942"/>
      <c r="AT204" s="1942"/>
      <c r="AU204" s="1942"/>
      <c r="AV204" s="1942"/>
      <c r="AW204" s="1942"/>
      <c r="AX204" s="1942"/>
      <c r="AY204" s="1942"/>
      <c r="AZ204" s="1942"/>
      <c r="BA204" s="1942"/>
      <c r="BB204" s="575"/>
      <c r="BC204" s="584"/>
      <c r="BD204" s="678"/>
      <c r="BE204" s="585"/>
    </row>
    <row r="205" spans="1:57" s="51" customFormat="1" ht="14.45" hidden="1" customHeight="1" outlineLevel="1" x14ac:dyDescent="0.25">
      <c r="A205" s="1267"/>
      <c r="B205" s="228"/>
      <c r="C205" s="328"/>
      <c r="D205" s="4018"/>
      <c r="E205" s="4122"/>
      <c r="F205" s="4093" t="str">
        <f t="shared" si="46"/>
        <v>CAC-SEER14_ROF_SF</v>
      </c>
      <c r="G205" s="4094"/>
      <c r="H205" s="4095"/>
      <c r="I205" s="3155" t="str">
        <f t="shared" si="47"/>
        <v>350450_2021_12_</v>
      </c>
      <c r="J205" s="699">
        <v>869</v>
      </c>
      <c r="K205" s="1872"/>
      <c r="L205" s="4097"/>
      <c r="M205" s="123"/>
      <c r="N205" s="123"/>
      <c r="O205" s="123"/>
      <c r="P205" s="681" t="s">
        <v>985</v>
      </c>
      <c r="Q205" s="442">
        <f t="shared" si="48"/>
        <v>668.05869268540937</v>
      </c>
      <c r="R205" s="683">
        <v>221</v>
      </c>
      <c r="S205" s="1533" t="s">
        <v>983</v>
      </c>
      <c r="T205" s="3755"/>
      <c r="U205" s="123"/>
      <c r="V205" s="3990"/>
      <c r="W205" s="2857">
        <v>869</v>
      </c>
      <c r="X205" s="2857">
        <f>W205</f>
        <v>869</v>
      </c>
      <c r="Y205" s="2857">
        <v>869</v>
      </c>
      <c r="Z205" s="2857">
        <v>869</v>
      </c>
      <c r="AA205" s="2857">
        <v>869</v>
      </c>
      <c r="AB205" s="699">
        <v>869</v>
      </c>
      <c r="AC205" s="699">
        <v>869</v>
      </c>
      <c r="AD205" s="2857"/>
      <c r="AE205" s="2857"/>
      <c r="AF205" s="2857"/>
      <c r="AG205" s="2857"/>
      <c r="AH205" s="1942"/>
      <c r="AI205" s="1942"/>
      <c r="AJ205" s="1942"/>
      <c r="AK205" s="1942"/>
      <c r="AL205" s="1942"/>
      <c r="AM205" s="1942"/>
      <c r="AN205" s="1942"/>
      <c r="AO205" s="1942"/>
      <c r="AP205" s="1942"/>
      <c r="AQ205" s="1942"/>
      <c r="AR205" s="1942"/>
      <c r="AS205" s="1942"/>
      <c r="AT205" s="1942"/>
      <c r="AU205" s="1942"/>
      <c r="AV205" s="1942"/>
      <c r="AW205" s="1942"/>
      <c r="AX205" s="1942"/>
      <c r="AY205" s="1942"/>
      <c r="AZ205" s="1942"/>
      <c r="BA205" s="1942"/>
      <c r="BB205" s="575"/>
      <c r="BC205" s="584"/>
      <c r="BD205" s="678"/>
      <c r="BE205" s="585"/>
    </row>
    <row r="206" spans="1:57" s="51" customFormat="1" ht="14.45" hidden="1" customHeight="1" outlineLevel="1" x14ac:dyDescent="0.25">
      <c r="A206" s="1267"/>
      <c r="B206" s="228"/>
      <c r="C206" s="328"/>
      <c r="D206" s="4018"/>
      <c r="E206" s="4122"/>
      <c r="F206" s="4093" t="str">
        <f t="shared" si="46"/>
        <v>CAC-SEER14_ER1_MF</v>
      </c>
      <c r="G206" s="4094"/>
      <c r="H206" s="4095"/>
      <c r="I206" s="3155" t="str">
        <f t="shared" si="47"/>
        <v>350500_2021_12_</v>
      </c>
      <c r="J206" s="699">
        <v>869</v>
      </c>
      <c r="K206" s="1872"/>
      <c r="L206" s="4097"/>
      <c r="M206" s="123"/>
      <c r="N206" s="123"/>
      <c r="O206" s="123"/>
      <c r="P206" s="681" t="s">
        <v>986</v>
      </c>
      <c r="Q206" s="442">
        <f t="shared" si="48"/>
        <v>1067.0586926854094</v>
      </c>
      <c r="R206" s="442">
        <v>620</v>
      </c>
      <c r="S206" s="1533" t="s">
        <v>983</v>
      </c>
      <c r="T206" s="517"/>
      <c r="U206" s="576"/>
      <c r="V206" s="3990"/>
      <c r="W206" s="2857">
        <v>869</v>
      </c>
      <c r="X206" s="3155">
        <v>1215</v>
      </c>
      <c r="Y206" s="3155">
        <v>869</v>
      </c>
      <c r="Z206" s="2857">
        <v>869</v>
      </c>
      <c r="AA206" s="2857">
        <v>869</v>
      </c>
      <c r="AB206" s="699">
        <v>869</v>
      </c>
      <c r="AC206" s="699">
        <v>869</v>
      </c>
      <c r="AD206" s="2857"/>
      <c r="AE206" s="2857"/>
      <c r="AF206" s="2857"/>
      <c r="AG206" s="2857"/>
      <c r="AH206" s="1942"/>
      <c r="AI206" s="1942"/>
      <c r="AJ206" s="1942"/>
      <c r="AK206" s="1942"/>
      <c r="AL206" s="1942"/>
      <c r="AM206" s="1942"/>
      <c r="AN206" s="1942"/>
      <c r="AO206" s="1942"/>
      <c r="AP206" s="1942"/>
      <c r="AQ206" s="1942"/>
      <c r="AR206" s="1942"/>
      <c r="AS206" s="1942"/>
      <c r="AT206" s="1942"/>
      <c r="AU206" s="1942"/>
      <c r="AV206" s="1942"/>
      <c r="AW206" s="1942"/>
      <c r="AX206" s="1942"/>
      <c r="AY206" s="1942"/>
      <c r="AZ206" s="1942"/>
      <c r="BA206" s="1942"/>
      <c r="BB206" s="575"/>
      <c r="BC206" s="584"/>
      <c r="BD206" s="678"/>
      <c r="BE206" s="585"/>
    </row>
    <row r="207" spans="1:57" s="51" customFormat="1" ht="14.45" hidden="1" customHeight="1" outlineLevel="1" x14ac:dyDescent="0.25">
      <c r="A207" s="1267"/>
      <c r="B207" s="228"/>
      <c r="C207" s="328"/>
      <c r="D207" s="4018"/>
      <c r="E207" s="4122"/>
      <c r="F207" s="4093" t="str">
        <f t="shared" si="46"/>
        <v>CAC-SEER14_ER2_MF</v>
      </c>
      <c r="G207" s="4094"/>
      <c r="H207" s="4095"/>
      <c r="I207" s="3155" t="str">
        <f t="shared" si="47"/>
        <v>350500_2021_12_</v>
      </c>
      <c r="J207" s="699">
        <v>869</v>
      </c>
      <c r="K207" s="1872"/>
      <c r="L207" s="4097"/>
      <c r="M207" s="123"/>
      <c r="N207" s="123"/>
      <c r="O207" s="123"/>
      <c r="P207" s="681" t="s">
        <v>987</v>
      </c>
      <c r="Q207" s="442">
        <f t="shared" si="48"/>
        <v>1273.7253593520763</v>
      </c>
      <c r="R207" s="683">
        <f>R206*S207</f>
        <v>826.66666666666708</v>
      </c>
      <c r="S207" s="1546">
        <v>1.3333333333333339</v>
      </c>
      <c r="T207" s="1547"/>
      <c r="U207" s="576"/>
      <c r="V207" s="3990"/>
      <c r="W207" s="2857">
        <v>869</v>
      </c>
      <c r="X207" s="3155">
        <v>1215</v>
      </c>
      <c r="Y207" s="3155">
        <v>869</v>
      </c>
      <c r="Z207" s="2857">
        <v>869</v>
      </c>
      <c r="AA207" s="2857">
        <v>869</v>
      </c>
      <c r="AB207" s="699">
        <v>869</v>
      </c>
      <c r="AC207" s="699">
        <v>869</v>
      </c>
      <c r="AD207" s="2857"/>
      <c r="AE207" s="2857"/>
      <c r="AF207" s="2857"/>
      <c r="AG207" s="2857"/>
      <c r="AH207" s="1942"/>
      <c r="AI207" s="1942"/>
      <c r="AJ207" s="1942"/>
      <c r="AK207" s="1942"/>
      <c r="AL207" s="1942"/>
      <c r="AM207" s="1942"/>
      <c r="AN207" s="1942"/>
      <c r="AO207" s="1942"/>
      <c r="AP207" s="1942"/>
      <c r="AQ207" s="1942"/>
      <c r="AR207" s="1942"/>
      <c r="AS207" s="1942"/>
      <c r="AT207" s="1942"/>
      <c r="AU207" s="1942"/>
      <c r="AV207" s="1942"/>
      <c r="AW207" s="1942"/>
      <c r="AX207" s="1942"/>
      <c r="AY207" s="1942"/>
      <c r="AZ207" s="1942"/>
      <c r="BA207" s="1942"/>
      <c r="BB207" s="575"/>
      <c r="BC207" s="584"/>
      <c r="BD207" s="678"/>
      <c r="BE207" s="585"/>
    </row>
    <row r="208" spans="1:57" s="51" customFormat="1" ht="14.45" hidden="1" customHeight="1" outlineLevel="1" x14ac:dyDescent="0.25">
      <c r="A208" s="1267"/>
      <c r="B208" s="228"/>
      <c r="C208" s="328"/>
      <c r="D208" s="4018"/>
      <c r="E208" s="4122"/>
      <c r="F208" s="4093" t="str">
        <f t="shared" si="46"/>
        <v>CAC-SEER14_ER1_MF_CompE</v>
      </c>
      <c r="G208" s="4094"/>
      <c r="H208" s="4095"/>
      <c r="I208" s="3155" t="str">
        <f t="shared" si="47"/>
        <v>350501_2021_12_</v>
      </c>
      <c r="J208" s="699">
        <v>632</v>
      </c>
      <c r="K208" s="1872"/>
      <c r="L208" s="4097"/>
      <c r="M208" s="123"/>
      <c r="N208" s="123"/>
      <c r="O208" s="123"/>
      <c r="P208" s="681" t="s">
        <v>988</v>
      </c>
      <c r="Q208" s="442">
        <f t="shared" si="48"/>
        <v>1480.3920260187424</v>
      </c>
      <c r="R208" s="683">
        <f>R207*S208</f>
        <v>1033.3333333333328</v>
      </c>
      <c r="S208" s="1546">
        <v>1.2499999999999987</v>
      </c>
      <c r="T208" s="1547"/>
      <c r="U208" s="576"/>
      <c r="V208" s="3990"/>
      <c r="W208" s="2857"/>
      <c r="X208" s="3155"/>
      <c r="Y208" s="3155">
        <v>632</v>
      </c>
      <c r="Z208" s="2857">
        <v>632</v>
      </c>
      <c r="AA208" s="2857">
        <v>632</v>
      </c>
      <c r="AB208" s="699">
        <v>632</v>
      </c>
      <c r="AC208" s="699">
        <v>632</v>
      </c>
      <c r="AD208" s="2857"/>
      <c r="AE208" s="2857"/>
      <c r="AF208" s="2857"/>
      <c r="AG208" s="2857"/>
      <c r="AH208" s="1942"/>
      <c r="AI208" s="1942"/>
      <c r="AJ208" s="1942"/>
      <c r="AK208" s="1942"/>
      <c r="AL208" s="1942"/>
      <c r="AM208" s="1942"/>
      <c r="AN208" s="1942"/>
      <c r="AO208" s="1942"/>
      <c r="AP208" s="1942"/>
      <c r="AQ208" s="1942"/>
      <c r="AR208" s="1942"/>
      <c r="AS208" s="1942"/>
      <c r="AT208" s="1942"/>
      <c r="AU208" s="1942"/>
      <c r="AV208" s="1942"/>
      <c r="AW208" s="1942"/>
      <c r="AX208" s="1942"/>
      <c r="AY208" s="1942"/>
      <c r="AZ208" s="1942"/>
      <c r="BA208" s="1942"/>
      <c r="BB208" s="575"/>
      <c r="BC208" s="584"/>
      <c r="BD208" s="678"/>
      <c r="BE208" s="585"/>
    </row>
    <row r="209" spans="1:57" s="51" customFormat="1" ht="14.45" hidden="1" customHeight="1" outlineLevel="1" x14ac:dyDescent="0.25">
      <c r="A209" s="1267"/>
      <c r="B209" s="228"/>
      <c r="C209" s="328"/>
      <c r="D209" s="4018"/>
      <c r="E209" s="4122"/>
      <c r="F209" s="4093" t="str">
        <f t="shared" si="46"/>
        <v>CAC-SEER14_ER2_MF_CompE</v>
      </c>
      <c r="G209" s="4094"/>
      <c r="H209" s="4095"/>
      <c r="I209" s="3155" t="str">
        <f t="shared" si="47"/>
        <v>350501_2021_12_</v>
      </c>
      <c r="J209" s="699">
        <f>$J$208</f>
        <v>632</v>
      </c>
      <c r="K209" s="1872"/>
      <c r="L209" s="4097"/>
      <c r="M209" s="123"/>
      <c r="N209" s="123"/>
      <c r="O209" s="123"/>
      <c r="P209" s="681" t="s">
        <v>989</v>
      </c>
      <c r="Q209" s="442">
        <f t="shared" si="48"/>
        <v>1687.0586926854094</v>
      </c>
      <c r="R209" s="683">
        <f>R208*S209</f>
        <v>1239.9999999999995</v>
      </c>
      <c r="S209" s="1546">
        <v>1.2000000000000002</v>
      </c>
      <c r="T209" s="1547" t="s">
        <v>990</v>
      </c>
      <c r="U209" s="123"/>
      <c r="V209" s="3990"/>
      <c r="W209" s="2857"/>
      <c r="X209" s="3155"/>
      <c r="Y209" s="3155">
        <v>632</v>
      </c>
      <c r="Z209" s="2857">
        <v>632</v>
      </c>
      <c r="AA209" s="2857">
        <v>632</v>
      </c>
      <c r="AB209" s="699">
        <v>632</v>
      </c>
      <c r="AC209" s="699">
        <v>632</v>
      </c>
      <c r="AD209" s="2857"/>
      <c r="AE209" s="2857"/>
      <c r="AF209" s="2857"/>
      <c r="AG209" s="2857"/>
      <c r="AH209" s="1942"/>
      <c r="AI209" s="1942"/>
      <c r="AJ209" s="1942"/>
      <c r="AK209" s="1942"/>
      <c r="AL209" s="1942"/>
      <c r="AM209" s="1942"/>
      <c r="AN209" s="1942"/>
      <c r="AO209" s="1942"/>
      <c r="AP209" s="1942"/>
      <c r="AQ209" s="1942"/>
      <c r="AR209" s="1942"/>
      <c r="AS209" s="1942"/>
      <c r="AT209" s="1942"/>
      <c r="AU209" s="1942"/>
      <c r="AV209" s="1942"/>
      <c r="AW209" s="1942"/>
      <c r="AX209" s="1942"/>
      <c r="AY209" s="1942"/>
      <c r="AZ209" s="1942"/>
      <c r="BA209" s="1942"/>
      <c r="BB209" s="575"/>
      <c r="BC209" s="584"/>
      <c r="BD209" s="678"/>
      <c r="BE209" s="585"/>
    </row>
    <row r="210" spans="1:57" s="51" customFormat="1" ht="14.45" hidden="1" customHeight="1" outlineLevel="1" x14ac:dyDescent="0.25">
      <c r="A210" s="1267"/>
      <c r="B210" s="228"/>
      <c r="C210" s="328"/>
      <c r="D210" s="4018"/>
      <c r="E210" s="4122"/>
      <c r="F210" s="4093" t="str">
        <f t="shared" si="46"/>
        <v>CAC-SEER14_ROF_MF</v>
      </c>
      <c r="G210" s="4094"/>
      <c r="H210" s="4095"/>
      <c r="I210" s="3155" t="str">
        <f t="shared" si="47"/>
        <v>350550_2021_12_</v>
      </c>
      <c r="J210" s="699">
        <v>869</v>
      </c>
      <c r="K210" s="1872"/>
      <c r="L210" s="4097"/>
      <c r="M210" s="123"/>
      <c r="N210" s="123"/>
      <c r="O210" s="123"/>
      <c r="P210" s="681" t="s">
        <v>991</v>
      </c>
      <c r="Q210" s="442">
        <f t="shared" si="48"/>
        <v>1893.7253593520754</v>
      </c>
      <c r="R210" s="683">
        <f>R209*S210</f>
        <v>1446.6666666666663</v>
      </c>
      <c r="S210" s="1546">
        <v>1.1666666666666667</v>
      </c>
      <c r="T210" s="1547"/>
      <c r="U210" s="123"/>
      <c r="V210" s="3990"/>
      <c r="W210" s="2857">
        <v>869</v>
      </c>
      <c r="X210" s="3155">
        <v>1215</v>
      </c>
      <c r="Y210" s="2857">
        <v>869</v>
      </c>
      <c r="Z210" s="2857">
        <v>869</v>
      </c>
      <c r="AA210" s="2857">
        <v>869</v>
      </c>
      <c r="AB210" s="699">
        <v>869</v>
      </c>
      <c r="AC210" s="699">
        <v>869</v>
      </c>
      <c r="AD210" s="2857"/>
      <c r="AE210" s="2857"/>
      <c r="AF210" s="2857"/>
      <c r="AG210" s="2857"/>
      <c r="AH210" s="1942"/>
      <c r="AI210" s="1942"/>
      <c r="AJ210" s="1942"/>
      <c r="AK210" s="1942"/>
      <c r="AL210" s="1942"/>
      <c r="AM210" s="1942"/>
      <c r="AN210" s="1942"/>
      <c r="AO210" s="1942"/>
      <c r="AP210" s="1942"/>
      <c r="AQ210" s="1942"/>
      <c r="AR210" s="1942"/>
      <c r="AS210" s="1942"/>
      <c r="AT210" s="1942"/>
      <c r="AU210" s="1942"/>
      <c r="AV210" s="1942"/>
      <c r="AW210" s="1942"/>
      <c r="AX210" s="1942"/>
      <c r="AY210" s="1942"/>
      <c r="AZ210" s="1942"/>
      <c r="BA210" s="1942"/>
      <c r="BB210" s="575"/>
      <c r="BC210" s="584"/>
      <c r="BD210" s="678"/>
      <c r="BE210" s="585"/>
    </row>
    <row r="211" spans="1:57" s="51" customFormat="1" ht="14.45" hidden="1" customHeight="1" outlineLevel="1" x14ac:dyDescent="0.25">
      <c r="A211" s="1267"/>
      <c r="B211" s="228"/>
      <c r="C211" s="328"/>
      <c r="D211" s="4018"/>
      <c r="E211" s="4122"/>
      <c r="F211" s="4093" t="str">
        <f t="shared" si="46"/>
        <v>CAC-SEER14_ROF_MF_CompE</v>
      </c>
      <c r="G211" s="4094"/>
      <c r="H211" s="4095"/>
      <c r="I211" s="3155" t="str">
        <f t="shared" si="47"/>
        <v>350551_2021_12_</v>
      </c>
      <c r="J211" s="699">
        <f>$J$208</f>
        <v>632</v>
      </c>
      <c r="K211" s="1872"/>
      <c r="L211" s="4097"/>
      <c r="M211" s="123"/>
      <c r="N211" s="123"/>
      <c r="O211" s="123"/>
      <c r="P211" s="681" t="s">
        <v>426</v>
      </c>
      <c r="Q211" s="442">
        <f>AVERAGE(Q203:Q210)</f>
        <v>1134.0170260187426</v>
      </c>
      <c r="R211" s="683">
        <f>AVERAGE(R203:R210)</f>
        <v>686.95833333333326</v>
      </c>
      <c r="S211" s="123"/>
      <c r="T211" s="685"/>
      <c r="U211" s="123"/>
      <c r="V211" s="3990"/>
      <c r="W211" s="2857"/>
      <c r="X211" s="3155"/>
      <c r="Y211" s="3155">
        <v>632</v>
      </c>
      <c r="Z211" s="2857">
        <v>632</v>
      </c>
      <c r="AA211" s="2857">
        <v>632</v>
      </c>
      <c r="AB211" s="699">
        <v>632</v>
      </c>
      <c r="AC211" s="699">
        <v>632</v>
      </c>
      <c r="AD211" s="2857"/>
      <c r="AE211" s="2857"/>
      <c r="AF211" s="2857"/>
      <c r="AG211" s="2857"/>
      <c r="AH211" s="1942"/>
      <c r="AI211" s="1942"/>
      <c r="AJ211" s="1942"/>
      <c r="AK211" s="1942"/>
      <c r="AL211" s="1942"/>
      <c r="AM211" s="1942"/>
      <c r="AN211" s="1942"/>
      <c r="AO211" s="1942"/>
      <c r="AP211" s="1942"/>
      <c r="AQ211" s="1942"/>
      <c r="AR211" s="1942"/>
      <c r="AS211" s="1942"/>
      <c r="AT211" s="1942"/>
      <c r="AU211" s="1942"/>
      <c r="AV211" s="1942"/>
      <c r="AW211" s="1942"/>
      <c r="AX211" s="1942"/>
      <c r="AY211" s="1942"/>
      <c r="AZ211" s="1942"/>
      <c r="BA211" s="1942"/>
      <c r="BB211" s="575"/>
      <c r="BC211" s="584"/>
      <c r="BD211" s="678"/>
      <c r="BE211" s="585"/>
    </row>
    <row r="212" spans="1:57" s="51" customFormat="1" hidden="1" outlineLevel="1" x14ac:dyDescent="0.25">
      <c r="A212" s="1267"/>
      <c r="B212" s="228"/>
      <c r="C212" s="328"/>
      <c r="D212" s="4018"/>
      <c r="E212" s="4122"/>
      <c r="F212" s="4093" t="str">
        <f t="shared" si="46"/>
        <v>CAC-SEER15_ER1_SF</v>
      </c>
      <c r="G212" s="4094"/>
      <c r="H212" s="4095"/>
      <c r="I212" s="3155" t="str">
        <f t="shared" si="47"/>
        <v>350600_2021_12_</v>
      </c>
      <c r="J212" s="699">
        <v>869</v>
      </c>
      <c r="K212" s="1872"/>
      <c r="L212" s="4097"/>
      <c r="M212" s="123"/>
      <c r="N212" s="1544"/>
      <c r="O212" s="123"/>
      <c r="P212" s="1600" t="s">
        <v>992</v>
      </c>
      <c r="Q212" s="328"/>
      <c r="R212" s="123"/>
      <c r="S212" s="123"/>
      <c r="T212" s="685"/>
      <c r="U212" s="123"/>
      <c r="V212" s="3990"/>
      <c r="W212" s="2857">
        <v>869</v>
      </c>
      <c r="X212" s="2857">
        <f>W212</f>
        <v>869</v>
      </c>
      <c r="Y212" s="2857">
        <v>869</v>
      </c>
      <c r="Z212" s="2857">
        <v>869</v>
      </c>
      <c r="AA212" s="2857">
        <v>869</v>
      </c>
      <c r="AB212" s="699">
        <v>869</v>
      </c>
      <c r="AC212" s="699">
        <v>869</v>
      </c>
      <c r="AD212" s="2857"/>
      <c r="AE212" s="2857"/>
      <c r="AF212" s="2857"/>
      <c r="AG212" s="2857"/>
      <c r="AH212" s="1942"/>
      <c r="AI212" s="1942"/>
      <c r="AJ212" s="1942"/>
      <c r="AK212" s="1942"/>
      <c r="AL212" s="1942"/>
      <c r="AM212" s="1942"/>
      <c r="AN212" s="1942"/>
      <c r="AO212" s="1942"/>
      <c r="AP212" s="1942"/>
      <c r="AQ212" s="1942"/>
      <c r="AR212" s="1942"/>
      <c r="AS212" s="1942"/>
      <c r="AT212" s="1942"/>
      <c r="AU212" s="1942"/>
      <c r="AV212" s="1942"/>
      <c r="AW212" s="1942"/>
      <c r="AX212" s="1942"/>
      <c r="AY212" s="1942"/>
      <c r="AZ212" s="1942"/>
      <c r="BA212" s="1942"/>
      <c r="BB212" s="575"/>
      <c r="BC212" s="584"/>
      <c r="BD212" s="678"/>
      <c r="BE212" s="585"/>
    </row>
    <row r="213" spans="1:57" s="51" customFormat="1" ht="15" hidden="1" customHeight="1" outlineLevel="1" x14ac:dyDescent="0.25">
      <c r="A213" s="1267"/>
      <c r="B213" s="228"/>
      <c r="C213" s="328"/>
      <c r="D213" s="4018"/>
      <c r="E213" s="4122"/>
      <c r="F213" s="4093" t="str">
        <f t="shared" si="46"/>
        <v>CAC-SEER15_ER2_SF</v>
      </c>
      <c r="G213" s="4094"/>
      <c r="H213" s="4095"/>
      <c r="I213" s="3155" t="str">
        <f t="shared" si="47"/>
        <v>350600_2021_12_</v>
      </c>
      <c r="J213" s="699">
        <v>869</v>
      </c>
      <c r="K213" s="1872"/>
      <c r="L213" s="4097"/>
      <c r="M213" s="123"/>
      <c r="N213" s="1544"/>
      <c r="O213" s="123"/>
      <c r="P213" s="1942"/>
      <c r="Q213" s="1942"/>
      <c r="R213" s="1942"/>
      <c r="S213" s="1942"/>
      <c r="T213" s="123"/>
      <c r="U213" s="123"/>
      <c r="V213" s="3990"/>
      <c r="W213" s="2857">
        <v>869</v>
      </c>
      <c r="X213" s="2857">
        <f>W213</f>
        <v>869</v>
      </c>
      <c r="Y213" s="2857">
        <v>869</v>
      </c>
      <c r="Z213" s="2857">
        <v>869</v>
      </c>
      <c r="AA213" s="2857">
        <v>869</v>
      </c>
      <c r="AB213" s="699">
        <v>869</v>
      </c>
      <c r="AC213" s="699">
        <v>869</v>
      </c>
      <c r="AD213" s="2857"/>
      <c r="AE213" s="2857"/>
      <c r="AF213" s="2857"/>
      <c r="AG213" s="2857"/>
      <c r="AH213" s="1942"/>
      <c r="AI213" s="1942"/>
      <c r="AJ213" s="1942"/>
      <c r="AK213" s="1942"/>
      <c r="AL213" s="1942"/>
      <c r="AM213" s="1942"/>
      <c r="AN213" s="1942"/>
      <c r="AO213" s="1942"/>
      <c r="AP213" s="1942"/>
      <c r="AQ213" s="1942"/>
      <c r="AR213" s="1942"/>
      <c r="AS213" s="1942"/>
      <c r="AT213" s="1942"/>
      <c r="AU213" s="1942"/>
      <c r="AV213" s="1942"/>
      <c r="AW213" s="1942"/>
      <c r="AX213" s="1942"/>
      <c r="AY213" s="1942"/>
      <c r="AZ213" s="1942"/>
      <c r="BA213" s="1942"/>
      <c r="BB213" s="575"/>
      <c r="BC213" s="584"/>
      <c r="BD213" s="678"/>
      <c r="BE213" s="585"/>
    </row>
    <row r="214" spans="1:57" s="51" customFormat="1" hidden="1" outlineLevel="1" x14ac:dyDescent="0.25">
      <c r="A214" s="1267"/>
      <c r="B214" s="228"/>
      <c r="C214" s="328"/>
      <c r="D214" s="4018"/>
      <c r="E214" s="4122"/>
      <c r="F214" s="4093" t="str">
        <f t="shared" si="46"/>
        <v>CAC-SEER15_ROF_SF</v>
      </c>
      <c r="G214" s="4094"/>
      <c r="H214" s="4095"/>
      <c r="I214" s="3155" t="str">
        <f t="shared" si="47"/>
        <v>350650_2021_12_</v>
      </c>
      <c r="J214" s="699">
        <v>869</v>
      </c>
      <c r="K214" s="1872"/>
      <c r="L214" s="4097"/>
      <c r="M214" s="123"/>
      <c r="N214" s="1544"/>
      <c r="O214" s="123"/>
      <c r="P214" s="3923" t="s">
        <v>993</v>
      </c>
      <c r="Q214" s="3744"/>
      <c r="R214" s="3745"/>
      <c r="S214" s="123"/>
      <c r="T214" s="123"/>
      <c r="U214" s="123"/>
      <c r="V214" s="3990"/>
      <c r="W214" s="2857">
        <v>869</v>
      </c>
      <c r="X214" s="2857">
        <f>W214</f>
        <v>869</v>
      </c>
      <c r="Y214" s="2857">
        <v>869</v>
      </c>
      <c r="Z214" s="2857">
        <v>869</v>
      </c>
      <c r="AA214" s="2857">
        <v>869</v>
      </c>
      <c r="AB214" s="699">
        <v>869</v>
      </c>
      <c r="AC214" s="699">
        <v>869</v>
      </c>
      <c r="AD214" s="2857"/>
      <c r="AE214" s="2857"/>
      <c r="AF214" s="2857"/>
      <c r="AG214" s="2857"/>
      <c r="AH214" s="1942"/>
      <c r="AI214" s="1942"/>
      <c r="AJ214" s="1942"/>
      <c r="AK214" s="1942"/>
      <c r="AL214" s="1942"/>
      <c r="AM214" s="1942"/>
      <c r="AN214" s="1942"/>
      <c r="AO214" s="1942"/>
      <c r="AP214" s="1942"/>
      <c r="AQ214" s="1942"/>
      <c r="AR214" s="1942"/>
      <c r="AS214" s="1942"/>
      <c r="AT214" s="1942"/>
      <c r="AU214" s="1942"/>
      <c r="AV214" s="1942"/>
      <c r="AW214" s="1942"/>
      <c r="AX214" s="1942"/>
      <c r="AY214" s="1942"/>
      <c r="AZ214" s="1942"/>
      <c r="BA214" s="1942"/>
      <c r="BB214" s="575"/>
      <c r="BC214" s="584"/>
      <c r="BD214" s="678"/>
      <c r="BE214" s="585"/>
    </row>
    <row r="215" spans="1:57" s="51" customFormat="1" hidden="1" outlineLevel="1" x14ac:dyDescent="0.25">
      <c r="A215" s="1267"/>
      <c r="B215" s="228"/>
      <c r="C215" s="328"/>
      <c r="D215" s="4018"/>
      <c r="E215" s="4122"/>
      <c r="F215" s="4093" t="str">
        <f t="shared" si="46"/>
        <v>CAC-SEER15_ER1_MF</v>
      </c>
      <c r="G215" s="4094"/>
      <c r="H215" s="4095"/>
      <c r="I215" s="3155" t="str">
        <f t="shared" si="47"/>
        <v>350700_2021_12_</v>
      </c>
      <c r="J215" s="699">
        <v>869</v>
      </c>
      <c r="K215" s="1872"/>
      <c r="L215" s="4097"/>
      <c r="M215" s="123"/>
      <c r="N215" s="1544"/>
      <c r="O215" s="123"/>
      <c r="P215" s="686" t="s">
        <v>867</v>
      </c>
      <c r="Q215" s="63" t="s">
        <v>994</v>
      </c>
      <c r="R215" s="3120" t="s">
        <v>995</v>
      </c>
      <c r="S215" s="123"/>
      <c r="T215" s="123"/>
      <c r="U215" s="123"/>
      <c r="V215" s="3990"/>
      <c r="W215" s="2857">
        <v>869</v>
      </c>
      <c r="X215" s="3155">
        <v>1215</v>
      </c>
      <c r="Y215" s="3155">
        <v>869</v>
      </c>
      <c r="Z215" s="2857">
        <v>869</v>
      </c>
      <c r="AA215" s="2857">
        <v>869</v>
      </c>
      <c r="AB215" s="699">
        <v>869</v>
      </c>
      <c r="AC215" s="699">
        <v>869</v>
      </c>
      <c r="AD215" s="2857"/>
      <c r="AE215" s="2857"/>
      <c r="AF215" s="2857"/>
      <c r="AG215" s="2857"/>
      <c r="AH215" s="1942"/>
      <c r="AI215" s="1942"/>
      <c r="AJ215" s="1942"/>
      <c r="AK215" s="1942"/>
      <c r="AL215" s="1942"/>
      <c r="AM215" s="1942"/>
      <c r="AN215" s="1942"/>
      <c r="AO215" s="1942"/>
      <c r="AP215" s="1942"/>
      <c r="AQ215" s="1942"/>
      <c r="AR215" s="1942"/>
      <c r="AS215" s="1942"/>
      <c r="AT215" s="1942"/>
      <c r="AU215" s="1942"/>
      <c r="AV215" s="1942"/>
      <c r="AW215" s="1942"/>
      <c r="AX215" s="1942"/>
      <c r="AY215" s="1942"/>
      <c r="AZ215" s="1942"/>
      <c r="BA215" s="1942"/>
      <c r="BB215" s="575"/>
      <c r="BC215" s="584"/>
      <c r="BD215" s="678"/>
      <c r="BE215" s="585"/>
    </row>
    <row r="216" spans="1:57" s="51" customFormat="1" hidden="1" outlineLevel="1" x14ac:dyDescent="0.25">
      <c r="A216" s="1267"/>
      <c r="B216" s="228"/>
      <c r="C216" s="328"/>
      <c r="D216" s="4018"/>
      <c r="E216" s="4122"/>
      <c r="F216" s="4093" t="str">
        <f t="shared" si="46"/>
        <v>CAC-SEER15_ER2_MF</v>
      </c>
      <c r="G216" s="4094"/>
      <c r="H216" s="4095"/>
      <c r="I216" s="3155" t="str">
        <f t="shared" si="47"/>
        <v>350700_2021_12_</v>
      </c>
      <c r="J216" s="699">
        <v>869</v>
      </c>
      <c r="K216" s="1872"/>
      <c r="L216" s="4097"/>
      <c r="M216" s="123"/>
      <c r="N216" s="1544"/>
      <c r="O216" s="123"/>
      <c r="P216" s="686" t="s">
        <v>996</v>
      </c>
      <c r="Q216" s="687">
        <f>R216*(1+R217)^R219</f>
        <v>3217.446031837248</v>
      </c>
      <c r="R216" s="687">
        <v>2857</v>
      </c>
      <c r="S216" s="123" t="s">
        <v>983</v>
      </c>
      <c r="T216" s="1830"/>
      <c r="U216" s="123"/>
      <c r="V216" s="3990"/>
      <c r="W216" s="2857">
        <v>869</v>
      </c>
      <c r="X216" s="3155">
        <v>1215</v>
      </c>
      <c r="Y216" s="3155">
        <v>869</v>
      </c>
      <c r="Z216" s="2857">
        <v>869</v>
      </c>
      <c r="AA216" s="2857">
        <v>869</v>
      </c>
      <c r="AB216" s="699">
        <v>869</v>
      </c>
      <c r="AC216" s="699">
        <v>869</v>
      </c>
      <c r="AD216" s="2857"/>
      <c r="AE216" s="2857"/>
      <c r="AF216" s="2857"/>
      <c r="AG216" s="2857"/>
      <c r="AH216" s="1942"/>
      <c r="AI216" s="1942"/>
      <c r="AJ216" s="1942"/>
      <c r="AK216" s="1942"/>
      <c r="AL216" s="1942"/>
      <c r="AM216" s="1942"/>
      <c r="AN216" s="1942"/>
      <c r="AO216" s="1942"/>
      <c r="AP216" s="1942"/>
      <c r="AQ216" s="1942"/>
      <c r="AR216" s="1942"/>
      <c r="AS216" s="1942"/>
      <c r="AT216" s="1942"/>
      <c r="AU216" s="1942"/>
      <c r="AV216" s="1942"/>
      <c r="AW216" s="1942"/>
      <c r="AX216" s="1942"/>
      <c r="AY216" s="1942"/>
      <c r="AZ216" s="1942"/>
      <c r="BA216" s="1942"/>
      <c r="BB216" s="575"/>
      <c r="BC216" s="584"/>
      <c r="BD216" s="678"/>
      <c r="BE216" s="585"/>
    </row>
    <row r="217" spans="1:57" s="51" customFormat="1" hidden="1" outlineLevel="1" x14ac:dyDescent="0.25">
      <c r="A217" s="1267"/>
      <c r="B217" s="228"/>
      <c r="C217" s="328"/>
      <c r="D217" s="4018"/>
      <c r="E217" s="4122"/>
      <c r="F217" s="4093" t="str">
        <f t="shared" si="46"/>
        <v>CAC-SEER15_ER1_MF_CompE</v>
      </c>
      <c r="G217" s="4094"/>
      <c r="H217" s="4095"/>
      <c r="I217" s="3155" t="str">
        <f t="shared" si="47"/>
        <v>350701_2021_12_</v>
      </c>
      <c r="J217" s="699">
        <f>$J$208</f>
        <v>632</v>
      </c>
      <c r="K217" s="1872"/>
      <c r="L217" s="4097"/>
      <c r="M217" s="123"/>
      <c r="N217" s="1544"/>
      <c r="O217" s="123"/>
      <c r="P217" s="686" t="s">
        <v>870</v>
      </c>
      <c r="Q217" s="1548"/>
      <c r="R217" s="688">
        <f>$Q$104</f>
        <v>0.02</v>
      </c>
      <c r="S217" s="123" t="s">
        <v>997</v>
      </c>
      <c r="T217" s="123"/>
      <c r="U217" s="123"/>
      <c r="V217" s="3990"/>
      <c r="W217" s="2857"/>
      <c r="X217" s="3155"/>
      <c r="Y217" s="3155">
        <v>632</v>
      </c>
      <c r="Z217" s="2857">
        <v>632</v>
      </c>
      <c r="AA217" s="2857">
        <v>632</v>
      </c>
      <c r="AB217" s="699">
        <v>632</v>
      </c>
      <c r="AC217" s="699">
        <v>632</v>
      </c>
      <c r="AD217" s="2857"/>
      <c r="AE217" s="2857"/>
      <c r="AF217" s="2857"/>
      <c r="AG217" s="2857"/>
      <c r="AH217" s="1942"/>
      <c r="AI217" s="1942"/>
      <c r="AJ217" s="1942"/>
      <c r="AK217" s="1942"/>
      <c r="AL217" s="1942"/>
      <c r="AM217" s="1942"/>
      <c r="AN217" s="1942"/>
      <c r="AO217" s="1942"/>
      <c r="AP217" s="1942"/>
      <c r="AQ217" s="1942"/>
      <c r="AR217" s="1942"/>
      <c r="AS217" s="1942"/>
      <c r="AT217" s="1942"/>
      <c r="AU217" s="1942"/>
      <c r="AV217" s="1942"/>
      <c r="AW217" s="1942"/>
      <c r="AX217" s="1942"/>
      <c r="AY217" s="1942"/>
      <c r="AZ217" s="1942"/>
      <c r="BA217" s="1942"/>
      <c r="BB217" s="575"/>
      <c r="BC217" s="584"/>
      <c r="BD217" s="678"/>
      <c r="BE217" s="585"/>
    </row>
    <row r="218" spans="1:57" s="51" customFormat="1" hidden="1" outlineLevel="1" x14ac:dyDescent="0.25">
      <c r="A218" s="1267"/>
      <c r="B218" s="228"/>
      <c r="C218" s="328"/>
      <c r="D218" s="4018"/>
      <c r="E218" s="4122"/>
      <c r="F218" s="4093" t="str">
        <f t="shared" si="46"/>
        <v>CAC-SEER15_ER2_MF_CompE</v>
      </c>
      <c r="G218" s="4094"/>
      <c r="H218" s="4095"/>
      <c r="I218" s="3155" t="str">
        <f t="shared" si="47"/>
        <v>350701_2021_12_</v>
      </c>
      <c r="J218" s="699">
        <f>$J$208</f>
        <v>632</v>
      </c>
      <c r="K218" s="1872"/>
      <c r="L218" s="4097"/>
      <c r="M218" s="123"/>
      <c r="N218" s="1544"/>
      <c r="O218" s="123"/>
      <c r="P218" s="689" t="s">
        <v>871</v>
      </c>
      <c r="Q218" s="1548"/>
      <c r="R218" s="688">
        <f>$Q$105</f>
        <v>5.9499999999999997E-2</v>
      </c>
      <c r="S218" s="123" t="s">
        <v>997</v>
      </c>
      <c r="T218" s="123"/>
      <c r="U218" s="123"/>
      <c r="V218" s="3990"/>
      <c r="W218" s="2857"/>
      <c r="X218" s="3155"/>
      <c r="Y218" s="3155">
        <v>632</v>
      </c>
      <c r="Z218" s="2857">
        <v>632</v>
      </c>
      <c r="AA218" s="2857">
        <v>632</v>
      </c>
      <c r="AB218" s="699">
        <v>632</v>
      </c>
      <c r="AC218" s="699">
        <v>632</v>
      </c>
      <c r="AD218" s="2857"/>
      <c r="AE218" s="2857"/>
      <c r="AF218" s="2857"/>
      <c r="AG218" s="2857"/>
      <c r="AH218" s="1942"/>
      <c r="AI218" s="1942"/>
      <c r="AJ218" s="1942"/>
      <c r="AK218" s="1942"/>
      <c r="AL218" s="1942"/>
      <c r="AM218" s="1942"/>
      <c r="AN218" s="1942"/>
      <c r="AO218" s="1942"/>
      <c r="AP218" s="1942"/>
      <c r="AQ218" s="1942"/>
      <c r="AR218" s="1942"/>
      <c r="AS218" s="1942"/>
      <c r="AT218" s="1942"/>
      <c r="AU218" s="1942"/>
      <c r="AV218" s="1942"/>
      <c r="AW218" s="1942"/>
      <c r="AX218" s="1942"/>
      <c r="AY218" s="1942"/>
      <c r="AZ218" s="1942"/>
      <c r="BA218" s="1942"/>
      <c r="BB218" s="575"/>
      <c r="BC218" s="584"/>
      <c r="BD218" s="678"/>
      <c r="BE218" s="585"/>
    </row>
    <row r="219" spans="1:57" s="51" customFormat="1" hidden="1" outlineLevel="1" x14ac:dyDescent="0.25">
      <c r="A219" s="1267"/>
      <c r="B219" s="228"/>
      <c r="C219" s="328"/>
      <c r="D219" s="4018"/>
      <c r="E219" s="4122"/>
      <c r="F219" s="4093" t="str">
        <f t="shared" si="46"/>
        <v>CAC-SEER15_ROF_MF</v>
      </c>
      <c r="G219" s="4094"/>
      <c r="H219" s="4095"/>
      <c r="I219" s="3155" t="str">
        <f t="shared" si="47"/>
        <v>350750_2021_12_</v>
      </c>
      <c r="J219" s="699">
        <v>869</v>
      </c>
      <c r="K219" s="1872"/>
      <c r="L219" s="4097"/>
      <c r="M219" s="123"/>
      <c r="N219" s="1544"/>
      <c r="O219" s="123"/>
      <c r="P219" s="3112" t="s">
        <v>872</v>
      </c>
      <c r="Q219" s="1548"/>
      <c r="R219" s="2669">
        <v>6</v>
      </c>
      <c r="S219" s="123" t="s">
        <v>998</v>
      </c>
      <c r="T219" s="123"/>
      <c r="U219" s="123"/>
      <c r="V219" s="3990"/>
      <c r="W219" s="2857">
        <v>869</v>
      </c>
      <c r="X219" s="3155">
        <v>1215</v>
      </c>
      <c r="Y219" s="3155">
        <v>869</v>
      </c>
      <c r="Z219" s="2857">
        <v>869</v>
      </c>
      <c r="AA219" s="2857">
        <v>869</v>
      </c>
      <c r="AB219" s="699">
        <v>869</v>
      </c>
      <c r="AC219" s="699">
        <v>869</v>
      </c>
      <c r="AD219" s="2857"/>
      <c r="AE219" s="2857"/>
      <c r="AF219" s="2857"/>
      <c r="AG219" s="2857"/>
      <c r="AH219" s="1942"/>
      <c r="AI219" s="1942"/>
      <c r="AJ219" s="1942"/>
      <c r="AK219" s="1942"/>
      <c r="AL219" s="1942"/>
      <c r="AM219" s="1942"/>
      <c r="AN219" s="1942"/>
      <c r="AO219" s="1942"/>
      <c r="AP219" s="1942"/>
      <c r="AQ219" s="1942"/>
      <c r="AR219" s="1942"/>
      <c r="AS219" s="1942"/>
      <c r="AT219" s="1942"/>
      <c r="AU219" s="1942"/>
      <c r="AV219" s="1942"/>
      <c r="AW219" s="1942"/>
      <c r="AX219" s="1942"/>
      <c r="AY219" s="1942"/>
      <c r="AZ219" s="1942"/>
      <c r="BA219" s="1942"/>
      <c r="BB219" s="575"/>
      <c r="BC219" s="584"/>
      <c r="BD219" s="678"/>
      <c r="BE219" s="585"/>
    </row>
    <row r="220" spans="1:57" s="51" customFormat="1" hidden="1" outlineLevel="1" x14ac:dyDescent="0.25">
      <c r="A220" s="1267"/>
      <c r="B220" s="228"/>
      <c r="C220" s="328"/>
      <c r="D220" s="4018"/>
      <c r="E220" s="4122"/>
      <c r="F220" s="4093" t="str">
        <f t="shared" si="46"/>
        <v>CAC-SEER15_ROF_MF_CompE</v>
      </c>
      <c r="G220" s="4094"/>
      <c r="H220" s="4095"/>
      <c r="I220" s="3155" t="str">
        <f t="shared" si="47"/>
        <v>350751_2021_12_</v>
      </c>
      <c r="J220" s="699">
        <f>$J$208</f>
        <v>632</v>
      </c>
      <c r="K220" s="1872"/>
      <c r="L220" s="4097"/>
      <c r="M220" s="123"/>
      <c r="N220" s="1544"/>
      <c r="O220" s="1542"/>
      <c r="P220" s="690" t="s">
        <v>999</v>
      </c>
      <c r="Q220" s="123"/>
      <c r="R220" s="123"/>
      <c r="S220" s="123"/>
      <c r="T220" s="123"/>
      <c r="U220" s="123"/>
      <c r="V220" s="3990"/>
      <c r="W220" s="2857"/>
      <c r="X220" s="3155"/>
      <c r="Y220" s="2857">
        <v>632</v>
      </c>
      <c r="Z220" s="2857">
        <v>632</v>
      </c>
      <c r="AA220" s="2857">
        <v>632</v>
      </c>
      <c r="AB220" s="699">
        <v>632</v>
      </c>
      <c r="AC220" s="699">
        <v>632</v>
      </c>
      <c r="AD220" s="2857"/>
      <c r="AE220" s="2857"/>
      <c r="AF220" s="2857"/>
      <c r="AG220" s="2857"/>
      <c r="AH220" s="1942"/>
      <c r="AI220" s="1942"/>
      <c r="AJ220" s="1942"/>
      <c r="AK220" s="1942"/>
      <c r="AL220" s="1942"/>
      <c r="AM220" s="1942"/>
      <c r="AN220" s="1942"/>
      <c r="AO220" s="1942"/>
      <c r="AP220" s="1942"/>
      <c r="AQ220" s="1942"/>
      <c r="AR220" s="1942"/>
      <c r="AS220" s="1942"/>
      <c r="AT220" s="1942"/>
      <c r="AU220" s="1942"/>
      <c r="AV220" s="1942"/>
      <c r="AW220" s="1942"/>
      <c r="AX220" s="1942"/>
      <c r="AY220" s="1942"/>
      <c r="AZ220" s="1942"/>
      <c r="BA220" s="1942"/>
      <c r="BB220" s="575"/>
      <c r="BC220" s="584"/>
      <c r="BD220" s="678"/>
      <c r="BE220" s="585"/>
    </row>
    <row r="221" spans="1:57" s="51" customFormat="1" hidden="1" outlineLevel="1" x14ac:dyDescent="0.25">
      <c r="A221" s="1267"/>
      <c r="B221" s="228"/>
      <c r="C221" s="328"/>
      <c r="D221" s="4018"/>
      <c r="E221" s="4122"/>
      <c r="F221" s="4093" t="str">
        <f t="shared" si="46"/>
        <v>CAC-SEER16_ER1_SF</v>
      </c>
      <c r="G221" s="4094"/>
      <c r="H221" s="4095"/>
      <c r="I221" s="3155" t="str">
        <f t="shared" si="47"/>
        <v>350800_2021_12_</v>
      </c>
      <c r="J221" s="699">
        <v>869</v>
      </c>
      <c r="K221" s="1872"/>
      <c r="L221" s="4097"/>
      <c r="M221" s="123"/>
      <c r="N221" s="1544"/>
      <c r="O221" s="123"/>
      <c r="P221" s="123"/>
      <c r="Q221" s="123"/>
      <c r="R221" s="123"/>
      <c r="S221" s="123"/>
      <c r="T221" s="123"/>
      <c r="U221" s="123"/>
      <c r="V221" s="3990"/>
      <c r="W221" s="2857">
        <v>869</v>
      </c>
      <c r="X221" s="2857">
        <f>W221</f>
        <v>869</v>
      </c>
      <c r="Y221" s="2857">
        <v>869</v>
      </c>
      <c r="Z221" s="2857">
        <v>869</v>
      </c>
      <c r="AA221" s="2857">
        <v>869</v>
      </c>
      <c r="AB221" s="699">
        <v>869</v>
      </c>
      <c r="AC221" s="699">
        <v>869</v>
      </c>
      <c r="AD221" s="2857"/>
      <c r="AE221" s="2857"/>
      <c r="AF221" s="2857"/>
      <c r="AG221" s="2857"/>
      <c r="AH221" s="1942"/>
      <c r="AI221" s="1942"/>
      <c r="AJ221" s="1942"/>
      <c r="AK221" s="1942"/>
      <c r="AL221" s="1942"/>
      <c r="AM221" s="1942"/>
      <c r="AN221" s="1942"/>
      <c r="AO221" s="1942"/>
      <c r="AP221" s="1942"/>
      <c r="AQ221" s="1942"/>
      <c r="AR221" s="1942"/>
      <c r="AS221" s="1942"/>
      <c r="AT221" s="1942"/>
      <c r="AU221" s="1942"/>
      <c r="AV221" s="1942"/>
      <c r="AW221" s="1942"/>
      <c r="AX221" s="1942"/>
      <c r="AY221" s="1942"/>
      <c r="AZ221" s="1942"/>
      <c r="BA221" s="1942"/>
      <c r="BB221" s="575"/>
      <c r="BC221" s="584"/>
      <c r="BD221" s="678"/>
      <c r="BE221" s="585"/>
    </row>
    <row r="222" spans="1:57" s="51" customFormat="1" hidden="1" outlineLevel="1" x14ac:dyDescent="0.25">
      <c r="A222" s="1267"/>
      <c r="B222" s="228"/>
      <c r="C222" s="328"/>
      <c r="D222" s="4018"/>
      <c r="E222" s="4122"/>
      <c r="F222" s="4093" t="str">
        <f t="shared" si="46"/>
        <v>CAC-SEER16_ER2_SF</v>
      </c>
      <c r="G222" s="4094"/>
      <c r="H222" s="4095"/>
      <c r="I222" s="3155" t="str">
        <f t="shared" si="47"/>
        <v>350800_2021_12_</v>
      </c>
      <c r="J222" s="699">
        <v>869</v>
      </c>
      <c r="K222" s="1872"/>
      <c r="L222" s="4097"/>
      <c r="M222" s="123"/>
      <c r="N222" s="1544"/>
      <c r="O222" s="123"/>
      <c r="P222" s="123"/>
      <c r="Q222" s="123"/>
      <c r="R222" s="123"/>
      <c r="S222" s="123"/>
      <c r="T222" s="123"/>
      <c r="U222" s="123"/>
      <c r="V222" s="3990"/>
      <c r="W222" s="2857">
        <v>869</v>
      </c>
      <c r="X222" s="2857">
        <f>W222</f>
        <v>869</v>
      </c>
      <c r="Y222" s="2857">
        <v>869</v>
      </c>
      <c r="Z222" s="2857">
        <v>869</v>
      </c>
      <c r="AA222" s="2857">
        <v>869</v>
      </c>
      <c r="AB222" s="699">
        <v>869</v>
      </c>
      <c r="AC222" s="699">
        <v>869</v>
      </c>
      <c r="AD222" s="2857"/>
      <c r="AE222" s="2857"/>
      <c r="AF222" s="2857"/>
      <c r="AG222" s="2857"/>
      <c r="AH222" s="1942"/>
      <c r="AI222" s="1942"/>
      <c r="AJ222" s="1942"/>
      <c r="AK222" s="1942"/>
      <c r="AL222" s="1942"/>
      <c r="AM222" s="1942"/>
      <c r="AN222" s="1942"/>
      <c r="AO222" s="1942"/>
      <c r="AP222" s="1942"/>
      <c r="AQ222" s="1942"/>
      <c r="AR222" s="1942"/>
      <c r="AS222" s="1942"/>
      <c r="AT222" s="1942"/>
      <c r="AU222" s="1942"/>
      <c r="AV222" s="1942"/>
      <c r="AW222" s="1942"/>
      <c r="AX222" s="1942"/>
      <c r="AY222" s="1942"/>
      <c r="AZ222" s="1942"/>
      <c r="BA222" s="1942"/>
      <c r="BB222" s="575"/>
      <c r="BC222" s="584"/>
      <c r="BD222" s="678"/>
      <c r="BE222" s="585"/>
    </row>
    <row r="223" spans="1:57" s="51" customFormat="1" hidden="1" outlineLevel="1" x14ac:dyDescent="0.25">
      <c r="A223" s="1267"/>
      <c r="B223" s="228"/>
      <c r="C223" s="328"/>
      <c r="D223" s="4018"/>
      <c r="E223" s="4122"/>
      <c r="F223" s="4093" t="str">
        <f t="shared" si="46"/>
        <v>CAC-SEER16_ROF_SF</v>
      </c>
      <c r="G223" s="4094"/>
      <c r="H223" s="4095"/>
      <c r="I223" s="3155" t="str">
        <f t="shared" si="47"/>
        <v>350850_2021_12_</v>
      </c>
      <c r="J223" s="699">
        <v>869</v>
      </c>
      <c r="K223" s="1872"/>
      <c r="L223" s="4097"/>
      <c r="M223" s="123"/>
      <c r="N223" s="1544"/>
      <c r="O223" s="123"/>
      <c r="P223" s="123"/>
      <c r="Q223" s="123"/>
      <c r="R223" s="123"/>
      <c r="S223" s="123"/>
      <c r="T223" s="123"/>
      <c r="U223" s="123"/>
      <c r="V223" s="3990"/>
      <c r="W223" s="2857">
        <v>869</v>
      </c>
      <c r="X223" s="2857">
        <f>W223</f>
        <v>869</v>
      </c>
      <c r="Y223" s="2857">
        <v>869</v>
      </c>
      <c r="Z223" s="2857">
        <v>869</v>
      </c>
      <c r="AA223" s="2857">
        <v>869</v>
      </c>
      <c r="AB223" s="699">
        <v>869</v>
      </c>
      <c r="AC223" s="699">
        <v>869</v>
      </c>
      <c r="AD223" s="2857"/>
      <c r="AE223" s="2857"/>
      <c r="AF223" s="2857"/>
      <c r="AG223" s="2857"/>
      <c r="AH223" s="1942"/>
      <c r="AI223" s="1942"/>
      <c r="AJ223" s="1942"/>
      <c r="AK223" s="1942"/>
      <c r="AL223" s="1942"/>
      <c r="AM223" s="1942"/>
      <c r="AN223" s="1942"/>
      <c r="AO223" s="1942"/>
      <c r="AP223" s="1942"/>
      <c r="AQ223" s="1942"/>
      <c r="AR223" s="1942"/>
      <c r="AS223" s="1942"/>
      <c r="AT223" s="1942"/>
      <c r="AU223" s="1942"/>
      <c r="AV223" s="1942"/>
      <c r="AW223" s="1942"/>
      <c r="AX223" s="1942"/>
      <c r="AY223" s="1942"/>
      <c r="AZ223" s="1942"/>
      <c r="BA223" s="1942"/>
      <c r="BB223" s="575"/>
      <c r="BC223" s="584"/>
      <c r="BD223" s="678"/>
      <c r="BE223" s="585"/>
    </row>
    <row r="224" spans="1:57" s="51" customFormat="1" ht="15" hidden="1" customHeight="1" outlineLevel="1" x14ac:dyDescent="0.25">
      <c r="A224" s="1267"/>
      <c r="B224" s="228"/>
      <c r="C224" s="328"/>
      <c r="D224" s="4018"/>
      <c r="E224" s="4122"/>
      <c r="F224" s="4093" t="str">
        <f t="shared" si="46"/>
        <v>CAC-SEER16_ER1_MF</v>
      </c>
      <c r="G224" s="4094"/>
      <c r="H224" s="4095"/>
      <c r="I224" s="3155" t="str">
        <f t="shared" si="47"/>
        <v>350900_2021_12_</v>
      </c>
      <c r="J224" s="699">
        <v>869</v>
      </c>
      <c r="K224" s="1872"/>
      <c r="L224" s="4097"/>
      <c r="M224" s="123"/>
      <c r="N224" s="1544"/>
      <c r="O224" s="123"/>
      <c r="P224" s="123"/>
      <c r="Q224" s="123"/>
      <c r="R224" s="123"/>
      <c r="S224" s="123"/>
      <c r="T224" s="123"/>
      <c r="U224" s="123"/>
      <c r="V224" s="3990"/>
      <c r="W224" s="2857">
        <v>869</v>
      </c>
      <c r="X224" s="3155">
        <v>1215</v>
      </c>
      <c r="Y224" s="3155">
        <v>869</v>
      </c>
      <c r="Z224" s="2857">
        <v>869</v>
      </c>
      <c r="AA224" s="2857">
        <v>869</v>
      </c>
      <c r="AB224" s="699">
        <v>869</v>
      </c>
      <c r="AC224" s="699">
        <v>869</v>
      </c>
      <c r="AD224" s="2857"/>
      <c r="AE224" s="2857"/>
      <c r="AF224" s="2857"/>
      <c r="AG224" s="2857"/>
      <c r="AH224" s="1942"/>
      <c r="AI224" s="1942"/>
      <c r="AJ224" s="1942"/>
      <c r="AK224" s="1942"/>
      <c r="AL224" s="1942"/>
      <c r="AM224" s="1942"/>
      <c r="AN224" s="1942"/>
      <c r="AO224" s="1942"/>
      <c r="AP224" s="1942"/>
      <c r="AQ224" s="1942"/>
      <c r="AR224" s="1942"/>
      <c r="AS224" s="1942"/>
      <c r="AT224" s="1942"/>
      <c r="AU224" s="1942"/>
      <c r="AV224" s="1942"/>
      <c r="AW224" s="1942"/>
      <c r="AX224" s="1942"/>
      <c r="AY224" s="1942"/>
      <c r="AZ224" s="1942"/>
      <c r="BA224" s="1942"/>
      <c r="BB224" s="575"/>
      <c r="BC224" s="584"/>
      <c r="BD224" s="678"/>
      <c r="BE224" s="585"/>
    </row>
    <row r="225" spans="1:57" s="51" customFormat="1" hidden="1" outlineLevel="1" x14ac:dyDescent="0.25">
      <c r="A225" s="1267"/>
      <c r="B225" s="228"/>
      <c r="C225" s="328"/>
      <c r="D225" s="4018"/>
      <c r="E225" s="4122"/>
      <c r="F225" s="4093" t="str">
        <f t="shared" si="46"/>
        <v>CAC-SEER16_ER2_MF</v>
      </c>
      <c r="G225" s="4094"/>
      <c r="H225" s="4095"/>
      <c r="I225" s="3155" t="str">
        <f t="shared" si="47"/>
        <v>350900_2021_12_</v>
      </c>
      <c r="J225" s="699">
        <v>869</v>
      </c>
      <c r="K225" s="1872"/>
      <c r="L225" s="4097"/>
      <c r="M225" s="123"/>
      <c r="N225" s="1544"/>
      <c r="O225" s="123"/>
      <c r="P225" s="123"/>
      <c r="Q225" s="123"/>
      <c r="R225" s="123"/>
      <c r="S225" s="123"/>
      <c r="T225" s="123"/>
      <c r="U225" s="123"/>
      <c r="V225" s="3990"/>
      <c r="W225" s="2857">
        <v>869</v>
      </c>
      <c r="X225" s="3155">
        <v>1215</v>
      </c>
      <c r="Y225" s="3155">
        <v>869</v>
      </c>
      <c r="Z225" s="2857">
        <v>869</v>
      </c>
      <c r="AA225" s="2857">
        <v>869</v>
      </c>
      <c r="AB225" s="699">
        <v>869</v>
      </c>
      <c r="AC225" s="699">
        <v>869</v>
      </c>
      <c r="AD225" s="2857"/>
      <c r="AE225" s="2857"/>
      <c r="AF225" s="2857"/>
      <c r="AG225" s="2857"/>
      <c r="AH225" s="1942"/>
      <c r="AI225" s="1942"/>
      <c r="AJ225" s="1942"/>
      <c r="AK225" s="1942"/>
      <c r="AL225" s="1942"/>
      <c r="AM225" s="1942"/>
      <c r="AN225" s="1942"/>
      <c r="AO225" s="1942"/>
      <c r="AP225" s="1942"/>
      <c r="AQ225" s="1942"/>
      <c r="AR225" s="1942"/>
      <c r="AS225" s="1942"/>
      <c r="AT225" s="1942"/>
      <c r="AU225" s="1942"/>
      <c r="AV225" s="1942"/>
      <c r="AW225" s="1942"/>
      <c r="AX225" s="1942"/>
      <c r="AY225" s="1942"/>
      <c r="AZ225" s="1942"/>
      <c r="BA225" s="1942"/>
      <c r="BB225" s="575"/>
      <c r="BC225" s="584"/>
      <c r="BD225" s="678"/>
      <c r="BE225" s="585"/>
    </row>
    <row r="226" spans="1:57" s="51" customFormat="1" hidden="1" outlineLevel="1" x14ac:dyDescent="0.25">
      <c r="A226" s="1267"/>
      <c r="B226" s="228"/>
      <c r="C226" s="328"/>
      <c r="D226" s="4018"/>
      <c r="E226" s="4122"/>
      <c r="F226" s="4093" t="str">
        <f t="shared" si="46"/>
        <v>CAC-SEER16_ER1_MF_CompE</v>
      </c>
      <c r="G226" s="4094"/>
      <c r="H226" s="4095"/>
      <c r="I226" s="3155" t="str">
        <f t="shared" si="47"/>
        <v>350901_2021_12_</v>
      </c>
      <c r="J226" s="699">
        <f>$J$208</f>
        <v>632</v>
      </c>
      <c r="K226" s="1872"/>
      <c r="L226" s="4097"/>
      <c r="M226" s="123"/>
      <c r="N226" s="1544"/>
      <c r="O226" s="123"/>
      <c r="P226" s="123"/>
      <c r="Q226" s="123"/>
      <c r="R226" s="123"/>
      <c r="S226" s="123"/>
      <c r="T226" s="123"/>
      <c r="U226" s="123"/>
      <c r="V226" s="3990"/>
      <c r="W226" s="2857"/>
      <c r="X226" s="3155"/>
      <c r="Y226" s="3155">
        <v>632</v>
      </c>
      <c r="Z226" s="2857">
        <v>632</v>
      </c>
      <c r="AA226" s="2857">
        <v>632</v>
      </c>
      <c r="AB226" s="699">
        <v>632</v>
      </c>
      <c r="AC226" s="699">
        <v>632</v>
      </c>
      <c r="AD226" s="2857"/>
      <c r="AE226" s="2857"/>
      <c r="AF226" s="2857"/>
      <c r="AG226" s="2857"/>
      <c r="AH226" s="1942"/>
      <c r="AI226" s="1942"/>
      <c r="AJ226" s="1942"/>
      <c r="AK226" s="1942"/>
      <c r="AL226" s="1942"/>
      <c r="AM226" s="1942"/>
      <c r="AN226" s="1942"/>
      <c r="AO226" s="1942"/>
      <c r="AP226" s="1942"/>
      <c r="AQ226" s="1942"/>
      <c r="AR226" s="1942"/>
      <c r="AS226" s="1942"/>
      <c r="AT226" s="1942"/>
      <c r="AU226" s="1942"/>
      <c r="AV226" s="1942"/>
      <c r="AW226" s="1942"/>
      <c r="AX226" s="1942"/>
      <c r="AY226" s="1942"/>
      <c r="AZ226" s="1942"/>
      <c r="BA226" s="1942"/>
      <c r="BB226" s="575"/>
      <c r="BC226" s="584"/>
      <c r="BD226" s="678"/>
      <c r="BE226" s="585"/>
    </row>
    <row r="227" spans="1:57" s="51" customFormat="1" hidden="1" outlineLevel="1" x14ac:dyDescent="0.25">
      <c r="A227" s="1267"/>
      <c r="B227" s="228"/>
      <c r="C227" s="328"/>
      <c r="D227" s="4018"/>
      <c r="E227" s="4122"/>
      <c r="F227" s="4093" t="str">
        <f t="shared" si="46"/>
        <v>CAC-SEER16_ER2_MF_CompE</v>
      </c>
      <c r="G227" s="4094"/>
      <c r="H227" s="4095"/>
      <c r="I227" s="3155" t="str">
        <f t="shared" si="47"/>
        <v>350901_2021_12_</v>
      </c>
      <c r="J227" s="699">
        <f>$J$208</f>
        <v>632</v>
      </c>
      <c r="K227" s="1872"/>
      <c r="L227" s="4097"/>
      <c r="M227" s="123"/>
      <c r="N227" s="1544"/>
      <c r="O227" s="123"/>
      <c r="P227" s="123"/>
      <c r="Q227" s="123"/>
      <c r="R227" s="123"/>
      <c r="S227" s="123"/>
      <c r="T227" s="123"/>
      <c r="U227" s="123"/>
      <c r="V227" s="3990"/>
      <c r="W227" s="2857"/>
      <c r="X227" s="3155"/>
      <c r="Y227" s="3155">
        <v>632</v>
      </c>
      <c r="Z227" s="2857">
        <v>632</v>
      </c>
      <c r="AA227" s="2857">
        <v>632</v>
      </c>
      <c r="AB227" s="699">
        <v>632</v>
      </c>
      <c r="AC227" s="699">
        <v>632</v>
      </c>
      <c r="AD227" s="2857"/>
      <c r="AE227" s="2857"/>
      <c r="AF227" s="2857"/>
      <c r="AG227" s="2857"/>
      <c r="AH227" s="1942"/>
      <c r="AI227" s="1942"/>
      <c r="AJ227" s="1942"/>
      <c r="AK227" s="1942"/>
      <c r="AL227" s="1942"/>
      <c r="AM227" s="1942"/>
      <c r="AN227" s="1942"/>
      <c r="AO227" s="1942"/>
      <c r="AP227" s="1942"/>
      <c r="AQ227" s="1942"/>
      <c r="AR227" s="1942"/>
      <c r="AS227" s="1942"/>
      <c r="AT227" s="1942"/>
      <c r="AU227" s="1942"/>
      <c r="AV227" s="1942"/>
      <c r="AW227" s="1942"/>
      <c r="AX227" s="1942"/>
      <c r="AY227" s="1942"/>
      <c r="AZ227" s="1942"/>
      <c r="BA227" s="1942"/>
      <c r="BB227" s="575"/>
      <c r="BC227" s="584"/>
      <c r="BD227" s="678"/>
      <c r="BE227" s="585"/>
    </row>
    <row r="228" spans="1:57" s="51" customFormat="1" hidden="1" outlineLevel="1" x14ac:dyDescent="0.25">
      <c r="A228" s="1267"/>
      <c r="B228" s="228"/>
      <c r="C228" s="328"/>
      <c r="D228" s="4018"/>
      <c r="E228" s="4122"/>
      <c r="F228" s="4093" t="str">
        <f t="shared" si="46"/>
        <v>CAC-SEER16_ROF_MF</v>
      </c>
      <c r="G228" s="4094"/>
      <c r="H228" s="4095"/>
      <c r="I228" s="3155" t="str">
        <f t="shared" si="47"/>
        <v>350950_2021_12_</v>
      </c>
      <c r="J228" s="699">
        <v>869</v>
      </c>
      <c r="K228" s="1872"/>
      <c r="L228" s="4097"/>
      <c r="M228" s="123"/>
      <c r="N228" s="1544"/>
      <c r="O228" s="123"/>
      <c r="P228" s="123"/>
      <c r="Q228" s="123"/>
      <c r="R228" s="123"/>
      <c r="S228" s="123"/>
      <c r="T228" s="123"/>
      <c r="U228" s="123"/>
      <c r="V228" s="3990"/>
      <c r="W228" s="2857">
        <v>869</v>
      </c>
      <c r="X228" s="3155">
        <v>1215</v>
      </c>
      <c r="Y228" s="2857">
        <v>869</v>
      </c>
      <c r="Z228" s="2857">
        <v>869</v>
      </c>
      <c r="AA228" s="2857">
        <v>869</v>
      </c>
      <c r="AB228" s="699">
        <v>869</v>
      </c>
      <c r="AC228" s="699">
        <v>869</v>
      </c>
      <c r="AD228" s="2857"/>
      <c r="AE228" s="2857"/>
      <c r="AF228" s="2857"/>
      <c r="AG228" s="2857"/>
      <c r="AH228" s="1942"/>
      <c r="AI228" s="1942"/>
      <c r="AJ228" s="1942"/>
      <c r="AK228" s="1942"/>
      <c r="AL228" s="1942"/>
      <c r="AM228" s="1942"/>
      <c r="AN228" s="1942"/>
      <c r="AO228" s="1942"/>
      <c r="AP228" s="1942"/>
      <c r="AQ228" s="1942"/>
      <c r="AR228" s="1942"/>
      <c r="AS228" s="1942"/>
      <c r="AT228" s="1942"/>
      <c r="AU228" s="1942"/>
      <c r="AV228" s="1942"/>
      <c r="AW228" s="1942"/>
      <c r="AX228" s="1942"/>
      <c r="AY228" s="1942"/>
      <c r="AZ228" s="1942"/>
      <c r="BA228" s="1942"/>
      <c r="BB228" s="575"/>
      <c r="BC228" s="584"/>
      <c r="BD228" s="678"/>
      <c r="BE228" s="585"/>
    </row>
    <row r="229" spans="1:57" s="51" customFormat="1" hidden="1" outlineLevel="1" x14ac:dyDescent="0.25">
      <c r="A229" s="1267"/>
      <c r="B229" s="228"/>
      <c r="C229" s="328"/>
      <c r="D229" s="4018"/>
      <c r="E229" s="4122"/>
      <c r="F229" s="4093" t="str">
        <f t="shared" si="46"/>
        <v>CAC-SEER16_ROF_MF_CompE</v>
      </c>
      <c r="G229" s="4094"/>
      <c r="H229" s="4095"/>
      <c r="I229" s="3155" t="str">
        <f t="shared" si="47"/>
        <v>350951_2021_12_</v>
      </c>
      <c r="J229" s="699">
        <f>$J$208</f>
        <v>632</v>
      </c>
      <c r="K229" s="1872"/>
      <c r="L229" s="4097"/>
      <c r="M229" s="123"/>
      <c r="N229" s="1544"/>
      <c r="O229" s="123"/>
      <c r="P229" s="123"/>
      <c r="Q229" s="123"/>
      <c r="R229" s="123"/>
      <c r="S229" s="123"/>
      <c r="T229" s="123"/>
      <c r="U229" s="123"/>
      <c r="V229" s="3990"/>
      <c r="W229" s="2857"/>
      <c r="X229" s="3155"/>
      <c r="Y229" s="3155">
        <v>632</v>
      </c>
      <c r="Z229" s="2857">
        <v>632</v>
      </c>
      <c r="AA229" s="2857">
        <v>632</v>
      </c>
      <c r="AB229" s="699">
        <v>632</v>
      </c>
      <c r="AC229" s="699">
        <v>632</v>
      </c>
      <c r="AD229" s="2857"/>
      <c r="AE229" s="2857"/>
      <c r="AF229" s="2857"/>
      <c r="AG229" s="2857"/>
      <c r="AH229" s="1942"/>
      <c r="AI229" s="1942"/>
      <c r="AJ229" s="1942"/>
      <c r="AK229" s="1942"/>
      <c r="AL229" s="1942"/>
      <c r="AM229" s="1942"/>
      <c r="AN229" s="1942"/>
      <c r="AO229" s="1942"/>
      <c r="AP229" s="1942"/>
      <c r="AQ229" s="1942"/>
      <c r="AR229" s="1942"/>
      <c r="AS229" s="1942"/>
      <c r="AT229" s="1942"/>
      <c r="AU229" s="1942"/>
      <c r="AV229" s="1942"/>
      <c r="AW229" s="1942"/>
      <c r="AX229" s="1942"/>
      <c r="AY229" s="1942"/>
      <c r="AZ229" s="1942"/>
      <c r="BA229" s="1942"/>
      <c r="BB229" s="575"/>
      <c r="BC229" s="584"/>
      <c r="BD229" s="678"/>
      <c r="BE229" s="585"/>
    </row>
    <row r="230" spans="1:57" s="51" customFormat="1" hidden="1" outlineLevel="1" x14ac:dyDescent="0.25">
      <c r="A230" s="1267"/>
      <c r="B230" s="228"/>
      <c r="C230" s="328"/>
      <c r="D230" s="4018"/>
      <c r="E230" s="4122"/>
      <c r="F230" s="4093" t="str">
        <f t="shared" si="46"/>
        <v>CAC-SEER17_ER1_SF</v>
      </c>
      <c r="G230" s="4094"/>
      <c r="H230" s="4095"/>
      <c r="I230" s="3155" t="str">
        <f t="shared" si="47"/>
        <v>351000_2021_12_</v>
      </c>
      <c r="J230" s="699">
        <v>869</v>
      </c>
      <c r="K230" s="1872"/>
      <c r="L230" s="4097"/>
      <c r="M230" s="123"/>
      <c r="N230" s="1544"/>
      <c r="O230" s="123"/>
      <c r="P230" s="123"/>
      <c r="Q230" s="123"/>
      <c r="R230" s="123"/>
      <c r="S230" s="123"/>
      <c r="T230" s="123"/>
      <c r="U230" s="123"/>
      <c r="V230" s="3990"/>
      <c r="W230" s="2857">
        <v>869</v>
      </c>
      <c r="X230" s="2857">
        <f>W230</f>
        <v>869</v>
      </c>
      <c r="Y230" s="2857">
        <v>869</v>
      </c>
      <c r="Z230" s="2857">
        <v>869</v>
      </c>
      <c r="AA230" s="2857">
        <v>869</v>
      </c>
      <c r="AB230" s="699">
        <v>869</v>
      </c>
      <c r="AC230" s="699">
        <v>869</v>
      </c>
      <c r="AD230" s="2857"/>
      <c r="AE230" s="2857"/>
      <c r="AF230" s="2857"/>
      <c r="AG230" s="2857"/>
      <c r="AH230" s="1942"/>
      <c r="AI230" s="1942"/>
      <c r="AJ230" s="1942"/>
      <c r="AK230" s="1942"/>
      <c r="AL230" s="1942"/>
      <c r="AM230" s="1942"/>
      <c r="AN230" s="1942"/>
      <c r="AO230" s="1942"/>
      <c r="AP230" s="1942"/>
      <c r="AQ230" s="1942"/>
      <c r="AR230" s="1942"/>
      <c r="AS230" s="1942"/>
      <c r="AT230" s="1942"/>
      <c r="AU230" s="1942"/>
      <c r="AV230" s="1942"/>
      <c r="AW230" s="1942"/>
      <c r="AX230" s="1942"/>
      <c r="AY230" s="1942"/>
      <c r="AZ230" s="1942"/>
      <c r="BA230" s="1942"/>
      <c r="BB230" s="575"/>
      <c r="BC230" s="584"/>
      <c r="BD230" s="678"/>
      <c r="BE230" s="585"/>
    </row>
    <row r="231" spans="1:57" s="51" customFormat="1" hidden="1" outlineLevel="1" x14ac:dyDescent="0.25">
      <c r="A231" s="1267"/>
      <c r="B231" s="228"/>
      <c r="C231" s="328"/>
      <c r="D231" s="4018"/>
      <c r="E231" s="4122"/>
      <c r="F231" s="4093" t="str">
        <f t="shared" si="46"/>
        <v>CAC-SEER17_ER2_SF</v>
      </c>
      <c r="G231" s="4094"/>
      <c r="H231" s="4095"/>
      <c r="I231" s="3155" t="str">
        <f t="shared" si="47"/>
        <v>351000_2021_12_</v>
      </c>
      <c r="J231" s="699">
        <v>869</v>
      </c>
      <c r="K231" s="1872"/>
      <c r="L231" s="4097"/>
      <c r="M231" s="123"/>
      <c r="N231" s="1544"/>
      <c r="O231" s="123"/>
      <c r="P231" s="123"/>
      <c r="Q231" s="123"/>
      <c r="R231" s="123"/>
      <c r="S231" s="123"/>
      <c r="T231" s="123"/>
      <c r="U231" s="123"/>
      <c r="V231" s="3990"/>
      <c r="W231" s="2857">
        <v>869</v>
      </c>
      <c r="X231" s="2857">
        <f>W231</f>
        <v>869</v>
      </c>
      <c r="Y231" s="2857">
        <v>869</v>
      </c>
      <c r="Z231" s="2857">
        <v>869</v>
      </c>
      <c r="AA231" s="2857">
        <v>869</v>
      </c>
      <c r="AB231" s="699">
        <v>869</v>
      </c>
      <c r="AC231" s="699">
        <v>869</v>
      </c>
      <c r="AD231" s="2857"/>
      <c r="AE231" s="2857"/>
      <c r="AF231" s="2857"/>
      <c r="AG231" s="2857"/>
      <c r="AH231" s="1942"/>
      <c r="AI231" s="1942"/>
      <c r="AJ231" s="1942"/>
      <c r="AK231" s="1942"/>
      <c r="AL231" s="1942"/>
      <c r="AM231" s="1942"/>
      <c r="AN231" s="1942"/>
      <c r="AO231" s="1942"/>
      <c r="AP231" s="1942"/>
      <c r="AQ231" s="1942"/>
      <c r="AR231" s="1942"/>
      <c r="AS231" s="1942"/>
      <c r="AT231" s="1942"/>
      <c r="AU231" s="1942"/>
      <c r="AV231" s="1942"/>
      <c r="AW231" s="1942"/>
      <c r="AX231" s="1942"/>
      <c r="AY231" s="1942"/>
      <c r="AZ231" s="1942"/>
      <c r="BA231" s="1942"/>
      <c r="BB231" s="575"/>
      <c r="BC231" s="584"/>
      <c r="BD231" s="678"/>
      <c r="BE231" s="585"/>
    </row>
    <row r="232" spans="1:57" s="51" customFormat="1" hidden="1" outlineLevel="1" x14ac:dyDescent="0.25">
      <c r="A232" s="1267"/>
      <c r="B232" s="228"/>
      <c r="C232" s="328"/>
      <c r="D232" s="4018"/>
      <c r="E232" s="4122"/>
      <c r="F232" s="4093" t="str">
        <f t="shared" si="46"/>
        <v>CAC-SEER17_ROF_SF</v>
      </c>
      <c r="G232" s="4094"/>
      <c r="H232" s="4095"/>
      <c r="I232" s="3155" t="str">
        <f t="shared" si="47"/>
        <v>351050_2021_12_</v>
      </c>
      <c r="J232" s="699">
        <v>869</v>
      </c>
      <c r="K232" s="1872"/>
      <c r="L232" s="4097"/>
      <c r="M232" s="123"/>
      <c r="N232" s="1544"/>
      <c r="O232" s="123"/>
      <c r="P232" s="123"/>
      <c r="Q232" s="123"/>
      <c r="R232" s="123"/>
      <c r="S232" s="123"/>
      <c r="T232" s="123"/>
      <c r="U232" s="123"/>
      <c r="V232" s="3990"/>
      <c r="W232" s="2857">
        <v>869</v>
      </c>
      <c r="X232" s="2857">
        <f>W232</f>
        <v>869</v>
      </c>
      <c r="Y232" s="2857">
        <v>869</v>
      </c>
      <c r="Z232" s="2857">
        <v>869</v>
      </c>
      <c r="AA232" s="2857">
        <v>869</v>
      </c>
      <c r="AB232" s="699">
        <v>869</v>
      </c>
      <c r="AC232" s="699">
        <v>869</v>
      </c>
      <c r="AD232" s="2857"/>
      <c r="AE232" s="2857"/>
      <c r="AF232" s="2857"/>
      <c r="AG232" s="2857"/>
      <c r="AH232" s="1942"/>
      <c r="AI232" s="1942"/>
      <c r="AJ232" s="1942"/>
      <c r="AK232" s="1942"/>
      <c r="AL232" s="1942"/>
      <c r="AM232" s="1942"/>
      <c r="AN232" s="1942"/>
      <c r="AO232" s="1942"/>
      <c r="AP232" s="1942"/>
      <c r="AQ232" s="1942"/>
      <c r="AR232" s="1942"/>
      <c r="AS232" s="1942"/>
      <c r="AT232" s="1942"/>
      <c r="AU232" s="1942"/>
      <c r="AV232" s="1942"/>
      <c r="AW232" s="1942"/>
      <c r="AX232" s="1942"/>
      <c r="AY232" s="1942"/>
      <c r="AZ232" s="1942"/>
      <c r="BA232" s="1942"/>
      <c r="BB232" s="575"/>
      <c r="BC232" s="584"/>
      <c r="BD232" s="678"/>
      <c r="BE232" s="585"/>
    </row>
    <row r="233" spans="1:57" s="51" customFormat="1" hidden="1" outlineLevel="1" x14ac:dyDescent="0.25">
      <c r="A233" s="1267"/>
      <c r="B233" s="228"/>
      <c r="C233" s="328"/>
      <c r="D233" s="4018"/>
      <c r="E233" s="4122"/>
      <c r="F233" s="4093" t="str">
        <f t="shared" si="46"/>
        <v>CAC-SEER17_ER1_MF</v>
      </c>
      <c r="G233" s="4094"/>
      <c r="H233" s="4095"/>
      <c r="I233" s="3155" t="str">
        <f t="shared" si="47"/>
        <v>351100_2021_12_</v>
      </c>
      <c r="J233" s="699">
        <v>869</v>
      </c>
      <c r="K233" s="1872"/>
      <c r="L233" s="4097"/>
      <c r="M233" s="123"/>
      <c r="N233" s="1544"/>
      <c r="O233" s="123"/>
      <c r="P233" s="123"/>
      <c r="Q233" s="123"/>
      <c r="R233" s="123"/>
      <c r="S233" s="123"/>
      <c r="T233" s="123"/>
      <c r="U233" s="123"/>
      <c r="V233" s="3990"/>
      <c r="W233" s="2857">
        <v>869</v>
      </c>
      <c r="X233" s="2857">
        <f>W233</f>
        <v>869</v>
      </c>
      <c r="Y233" s="2857">
        <v>869</v>
      </c>
      <c r="Z233" s="2857">
        <v>869</v>
      </c>
      <c r="AA233" s="2857">
        <v>869</v>
      </c>
      <c r="AB233" s="699">
        <v>869</v>
      </c>
      <c r="AC233" s="699">
        <v>869</v>
      </c>
      <c r="AD233" s="2857"/>
      <c r="AE233" s="2857"/>
      <c r="AF233" s="2857"/>
      <c r="AG233" s="2857"/>
      <c r="AH233" s="1942"/>
      <c r="AI233" s="1942"/>
      <c r="AJ233" s="1942"/>
      <c r="AK233" s="1942"/>
      <c r="AL233" s="1942"/>
      <c r="AM233" s="1942"/>
      <c r="AN233" s="1942"/>
      <c r="AO233" s="1942"/>
      <c r="AP233" s="1942"/>
      <c r="AQ233" s="1942"/>
      <c r="AR233" s="1942"/>
      <c r="AS233" s="1942"/>
      <c r="AT233" s="1942"/>
      <c r="AU233" s="1942"/>
      <c r="AV233" s="1942"/>
      <c r="AW233" s="1942"/>
      <c r="AX233" s="1942"/>
      <c r="AY233" s="1942"/>
      <c r="AZ233" s="1942"/>
      <c r="BA233" s="1942"/>
      <c r="BB233" s="575"/>
      <c r="BC233" s="584"/>
      <c r="BD233" s="678"/>
      <c r="BE233" s="585"/>
    </row>
    <row r="234" spans="1:57" s="51" customFormat="1" ht="14.45" hidden="1" customHeight="1" outlineLevel="1" x14ac:dyDescent="0.25">
      <c r="A234" s="1267"/>
      <c r="B234" s="228"/>
      <c r="C234" s="328"/>
      <c r="D234" s="4018"/>
      <c r="E234" s="4122"/>
      <c r="F234" s="4093" t="str">
        <f t="shared" si="46"/>
        <v>CAC-SEER17_ER2_MF</v>
      </c>
      <c r="G234" s="4094"/>
      <c r="H234" s="4095"/>
      <c r="I234" s="3155" t="str">
        <f t="shared" si="47"/>
        <v>351100_2021_12_</v>
      </c>
      <c r="J234" s="699">
        <v>869</v>
      </c>
      <c r="K234" s="1872"/>
      <c r="L234" s="4097"/>
      <c r="M234" s="123"/>
      <c r="N234" s="1544"/>
      <c r="O234" s="147"/>
      <c r="P234" s="147"/>
      <c r="Q234" s="147"/>
      <c r="R234" s="147"/>
      <c r="S234" s="147"/>
      <c r="T234" s="147"/>
      <c r="U234" s="123"/>
      <c r="V234" s="3990"/>
      <c r="W234" s="2857">
        <v>869</v>
      </c>
      <c r="X234" s="2857">
        <f>W234</f>
        <v>869</v>
      </c>
      <c r="Y234" s="2857">
        <v>869</v>
      </c>
      <c r="Z234" s="2857">
        <v>869</v>
      </c>
      <c r="AA234" s="2857">
        <v>869</v>
      </c>
      <c r="AB234" s="699">
        <v>869</v>
      </c>
      <c r="AC234" s="699">
        <v>869</v>
      </c>
      <c r="AD234" s="2857"/>
      <c r="AE234" s="2857"/>
      <c r="AF234" s="2857"/>
      <c r="AG234" s="2857"/>
      <c r="AH234" s="1942"/>
      <c r="AI234" s="1942"/>
      <c r="AJ234" s="1942"/>
      <c r="AK234" s="1942"/>
      <c r="AL234" s="1942"/>
      <c r="AM234" s="1942"/>
      <c r="AN234" s="1942"/>
      <c r="AO234" s="1942"/>
      <c r="AP234" s="1942"/>
      <c r="AQ234" s="1942"/>
      <c r="AR234" s="1942"/>
      <c r="AS234" s="1942"/>
      <c r="AT234" s="1942"/>
      <c r="AU234" s="1942"/>
      <c r="AV234" s="1942"/>
      <c r="AW234" s="1942"/>
      <c r="AX234" s="1942"/>
      <c r="AY234" s="1942"/>
      <c r="AZ234" s="1942"/>
      <c r="BA234" s="1942"/>
      <c r="BB234" s="575"/>
      <c r="BC234" s="584"/>
      <c r="BD234" s="678"/>
      <c r="BE234" s="585"/>
    </row>
    <row r="235" spans="1:57" s="51" customFormat="1" ht="14.45" hidden="1" customHeight="1" outlineLevel="1" x14ac:dyDescent="0.25">
      <c r="A235" s="1267"/>
      <c r="B235" s="228"/>
      <c r="C235" s="328"/>
      <c r="D235" s="4018"/>
      <c r="E235" s="4122"/>
      <c r="F235" s="4106" t="str">
        <f t="shared" si="46"/>
        <v>CAC-SEER17_ER1_MF_CompE</v>
      </c>
      <c r="G235" s="4106"/>
      <c r="H235" s="4106"/>
      <c r="I235" s="3155" t="str">
        <f t="shared" si="47"/>
        <v>351101_2021_12_</v>
      </c>
      <c r="J235" s="699">
        <f>$J$208</f>
        <v>632</v>
      </c>
      <c r="K235" s="1872"/>
      <c r="L235" s="4097"/>
      <c r="M235" s="123"/>
      <c r="N235" s="1544"/>
      <c r="O235" s="147"/>
      <c r="P235" s="147"/>
      <c r="Q235" s="147"/>
      <c r="R235" s="147"/>
      <c r="S235" s="147"/>
      <c r="T235" s="147"/>
      <c r="U235" s="123"/>
      <c r="V235" s="3990"/>
      <c r="W235" s="693"/>
      <c r="X235" s="693"/>
      <c r="Y235" s="692">
        <v>632</v>
      </c>
      <c r="Z235" s="693">
        <v>632</v>
      </c>
      <c r="AA235" s="693">
        <v>632</v>
      </c>
      <c r="AB235" s="699">
        <v>632</v>
      </c>
      <c r="AC235" s="699">
        <v>632</v>
      </c>
      <c r="AD235" s="693"/>
      <c r="AE235" s="693"/>
      <c r="AF235" s="693"/>
      <c r="AG235" s="693"/>
      <c r="AH235" s="1942"/>
      <c r="AI235" s="1942"/>
      <c r="AJ235" s="1942"/>
      <c r="AK235" s="1942"/>
      <c r="AL235" s="1942"/>
      <c r="AM235" s="1942"/>
      <c r="AN235" s="1942"/>
      <c r="AO235" s="1942"/>
      <c r="AP235" s="1942"/>
      <c r="AQ235" s="1942"/>
      <c r="AR235" s="1942"/>
      <c r="AS235" s="1942"/>
      <c r="AT235" s="1942"/>
      <c r="AU235" s="1942"/>
      <c r="AV235" s="1942"/>
      <c r="AW235" s="1942"/>
      <c r="AX235" s="1942"/>
      <c r="AY235" s="1942"/>
      <c r="AZ235" s="1942"/>
      <c r="BA235" s="1942"/>
      <c r="BB235" s="575"/>
      <c r="BC235" s="584"/>
      <c r="BD235" s="678"/>
      <c r="BE235" s="585"/>
    </row>
    <row r="236" spans="1:57" s="51" customFormat="1" ht="14.45" hidden="1" customHeight="1" outlineLevel="1" x14ac:dyDescent="0.25">
      <c r="A236" s="1267"/>
      <c r="B236" s="228"/>
      <c r="C236" s="328"/>
      <c r="D236" s="4018"/>
      <c r="E236" s="4122"/>
      <c r="F236" s="4106" t="str">
        <f t="shared" si="46"/>
        <v>CAC-SEER17_ER2_MF_CompE</v>
      </c>
      <c r="G236" s="4106"/>
      <c r="H236" s="4106"/>
      <c r="I236" s="3155" t="str">
        <f t="shared" si="47"/>
        <v>351101_2021_12_</v>
      </c>
      <c r="J236" s="699">
        <f>$J$208</f>
        <v>632</v>
      </c>
      <c r="K236" s="1872"/>
      <c r="L236" s="4097"/>
      <c r="M236" s="123"/>
      <c r="N236" s="1544"/>
      <c r="O236" s="147"/>
      <c r="P236" s="147"/>
      <c r="Q236" s="147"/>
      <c r="R236" s="147"/>
      <c r="S236" s="147"/>
      <c r="T236" s="147"/>
      <c r="U236" s="123"/>
      <c r="V236" s="3990"/>
      <c r="W236" s="693"/>
      <c r="X236" s="693"/>
      <c r="Y236" s="692">
        <v>632</v>
      </c>
      <c r="Z236" s="693">
        <v>632</v>
      </c>
      <c r="AA236" s="693">
        <v>632</v>
      </c>
      <c r="AB236" s="699">
        <v>632</v>
      </c>
      <c r="AC236" s="699">
        <v>632</v>
      </c>
      <c r="AD236" s="693"/>
      <c r="AE236" s="693"/>
      <c r="AF236" s="693"/>
      <c r="AG236" s="693"/>
      <c r="AH236" s="1942"/>
      <c r="AI236" s="1942"/>
      <c r="AJ236" s="1942"/>
      <c r="AK236" s="1942"/>
      <c r="AL236" s="1942"/>
      <c r="AM236" s="1942"/>
      <c r="AN236" s="1942"/>
      <c r="AO236" s="1942"/>
      <c r="AP236" s="1942"/>
      <c r="AQ236" s="1942"/>
      <c r="AR236" s="1942"/>
      <c r="AS236" s="1942"/>
      <c r="AT236" s="1942"/>
      <c r="AU236" s="1942"/>
      <c r="AV236" s="1942"/>
      <c r="AW236" s="1942"/>
      <c r="AX236" s="1942"/>
      <c r="AY236" s="1942"/>
      <c r="AZ236" s="1942"/>
      <c r="BA236" s="1942"/>
      <c r="BB236" s="575"/>
      <c r="BC236" s="584"/>
      <c r="BD236" s="678"/>
      <c r="BE236" s="585"/>
    </row>
    <row r="237" spans="1:57" s="51" customFormat="1" ht="15" hidden="1" customHeight="1" outlineLevel="1" x14ac:dyDescent="0.25">
      <c r="A237" s="1267"/>
      <c r="B237" s="228"/>
      <c r="C237" s="328"/>
      <c r="D237" s="4018"/>
      <c r="E237" s="4122"/>
      <c r="F237" s="4106" t="str">
        <f t="shared" si="46"/>
        <v>CAC-SEER17_ROF_MF</v>
      </c>
      <c r="G237" s="4106"/>
      <c r="H237" s="4106"/>
      <c r="I237" s="3155" t="str">
        <f t="shared" si="47"/>
        <v>351150_2021_12_</v>
      </c>
      <c r="J237" s="699">
        <v>869</v>
      </c>
      <c r="K237" s="1872"/>
      <c r="L237" s="4097"/>
      <c r="M237" s="123"/>
      <c r="N237" s="1544"/>
      <c r="O237" s="147"/>
      <c r="P237" s="147"/>
      <c r="Q237" s="147"/>
      <c r="R237" s="147"/>
      <c r="S237" s="147"/>
      <c r="T237" s="147"/>
      <c r="U237" s="123"/>
      <c r="V237" s="3990"/>
      <c r="W237" s="2857">
        <v>869</v>
      </c>
      <c r="X237" s="2857">
        <f>W237</f>
        <v>869</v>
      </c>
      <c r="Y237" s="2857">
        <v>869</v>
      </c>
      <c r="Z237" s="2857">
        <v>869</v>
      </c>
      <c r="AA237" s="2857">
        <v>869</v>
      </c>
      <c r="AB237" s="699">
        <v>869</v>
      </c>
      <c r="AC237" s="699">
        <v>869</v>
      </c>
      <c r="AD237" s="2857"/>
      <c r="AE237" s="2857"/>
      <c r="AF237" s="2857"/>
      <c r="AG237" s="2857"/>
      <c r="AH237" s="1942"/>
      <c r="AI237" s="1942"/>
      <c r="AJ237" s="1942"/>
      <c r="AK237" s="1942"/>
      <c r="AL237" s="1942"/>
      <c r="AM237" s="1942"/>
      <c r="AN237" s="1942"/>
      <c r="AO237" s="1942"/>
      <c r="AP237" s="1942"/>
      <c r="AQ237" s="1942"/>
      <c r="AR237" s="1942"/>
      <c r="AS237" s="1942"/>
      <c r="AT237" s="1942"/>
      <c r="AU237" s="1942"/>
      <c r="AV237" s="1942"/>
      <c r="AW237" s="1942"/>
      <c r="AX237" s="1942"/>
      <c r="AY237" s="1942"/>
      <c r="AZ237" s="1942"/>
      <c r="BA237" s="1942"/>
      <c r="BB237" s="575"/>
      <c r="BC237" s="584"/>
      <c r="BD237" s="678"/>
      <c r="BE237" s="585"/>
    </row>
    <row r="238" spans="1:57" s="51" customFormat="1" ht="15" hidden="1" customHeight="1" outlineLevel="1" x14ac:dyDescent="0.25">
      <c r="A238" s="1267"/>
      <c r="B238" s="228"/>
      <c r="C238" s="328"/>
      <c r="D238" s="4018"/>
      <c r="E238" s="4123"/>
      <c r="F238" s="4106" t="str">
        <f t="shared" si="46"/>
        <v>CAC-SEER17_ROF_MF_CompE</v>
      </c>
      <c r="G238" s="4106"/>
      <c r="H238" s="4106"/>
      <c r="I238" s="3155" t="str">
        <f t="shared" si="47"/>
        <v>351151_2021_12_</v>
      </c>
      <c r="J238" s="699">
        <f>$J$208</f>
        <v>632</v>
      </c>
      <c r="K238" s="1872"/>
      <c r="L238" s="4097"/>
      <c r="M238" s="123"/>
      <c r="N238" s="1544"/>
      <c r="O238" s="147"/>
      <c r="P238" s="147"/>
      <c r="Q238" s="147"/>
      <c r="R238" s="147"/>
      <c r="S238" s="147"/>
      <c r="T238" s="147"/>
      <c r="U238" s="123"/>
      <c r="V238" s="4005"/>
      <c r="W238" s="696"/>
      <c r="X238" s="696"/>
      <c r="Y238" s="3158">
        <v>632</v>
      </c>
      <c r="Z238" s="696">
        <v>632</v>
      </c>
      <c r="AA238" s="696">
        <v>632</v>
      </c>
      <c r="AB238" s="699">
        <v>632</v>
      </c>
      <c r="AC238" s="699">
        <v>632</v>
      </c>
      <c r="AD238" s="696"/>
      <c r="AE238" s="696"/>
      <c r="AF238" s="696"/>
      <c r="AG238" s="696"/>
      <c r="AH238" s="1942"/>
      <c r="AI238" s="1942"/>
      <c r="AJ238" s="1942"/>
      <c r="AK238" s="1942"/>
      <c r="AL238" s="1942"/>
      <c r="AM238" s="1942"/>
      <c r="AN238" s="1942"/>
      <c r="AO238" s="1942"/>
      <c r="AP238" s="1942"/>
      <c r="AQ238" s="1942"/>
      <c r="AR238" s="1942"/>
      <c r="AS238" s="1942"/>
      <c r="AT238" s="1942"/>
      <c r="AU238" s="1942"/>
      <c r="AV238" s="1942"/>
      <c r="AW238" s="1942"/>
      <c r="AX238" s="1942"/>
      <c r="AY238" s="1942"/>
      <c r="AZ238" s="1942"/>
      <c r="BA238" s="1942"/>
      <c r="BB238" s="575"/>
      <c r="BC238" s="584"/>
      <c r="BD238" s="678"/>
      <c r="BE238" s="585"/>
    </row>
    <row r="239" spans="1:57" s="51" customFormat="1" ht="14.45" hidden="1" customHeight="1" outlineLevel="1" x14ac:dyDescent="0.25">
      <c r="A239" s="1267"/>
      <c r="B239" s="228"/>
      <c r="C239" s="328"/>
      <c r="D239" s="4018"/>
      <c r="E239" s="4124"/>
      <c r="F239" s="4099" t="str">
        <f t="shared" ref="F239:F274" si="49">E155</f>
        <v>CAC-SEER18_ER1_SF</v>
      </c>
      <c r="G239" s="4100"/>
      <c r="H239" s="4101"/>
      <c r="I239" s="3158" t="str">
        <f t="shared" si="47"/>
        <v>351160_2021_12_</v>
      </c>
      <c r="J239" s="700">
        <v>869</v>
      </c>
      <c r="K239" s="1873"/>
      <c r="L239" s="4097"/>
      <c r="M239" s="123"/>
      <c r="N239" s="123"/>
      <c r="O239" s="147"/>
      <c r="P239" s="1550"/>
      <c r="Q239" s="1829"/>
      <c r="R239" s="1829"/>
      <c r="S239" s="1838"/>
      <c r="T239" s="147"/>
      <c r="U239" s="123"/>
      <c r="V239" s="4005"/>
      <c r="W239" s="696"/>
      <c r="X239" s="696"/>
      <c r="Y239" s="696"/>
      <c r="Z239" s="3158">
        <v>869</v>
      </c>
      <c r="AA239" s="696">
        <v>869</v>
      </c>
      <c r="AB239" s="700">
        <v>869</v>
      </c>
      <c r="AC239" s="700">
        <v>869</v>
      </c>
      <c r="AD239" s="696"/>
      <c r="AE239" s="696"/>
      <c r="AF239" s="696"/>
      <c r="AG239" s="696"/>
      <c r="AH239" s="1942"/>
      <c r="AI239" s="1942"/>
      <c r="AJ239" s="1942"/>
      <c r="AK239" s="1942"/>
      <c r="AL239" s="1942"/>
      <c r="AM239" s="1942"/>
      <c r="AN239" s="1942"/>
      <c r="AO239" s="1942"/>
      <c r="AP239" s="1942"/>
      <c r="AQ239" s="1942"/>
      <c r="AR239" s="1942"/>
      <c r="AS239" s="1942"/>
      <c r="AT239" s="1942"/>
      <c r="AU239" s="1942"/>
      <c r="AV239" s="1942"/>
      <c r="AW239" s="1942"/>
      <c r="AX239" s="1942"/>
      <c r="AY239" s="1942"/>
      <c r="AZ239" s="1942"/>
      <c r="BA239" s="1942"/>
      <c r="BB239" s="575"/>
      <c r="BC239" s="584"/>
      <c r="BD239" s="678"/>
      <c r="BE239" s="585"/>
    </row>
    <row r="240" spans="1:57" s="51" customFormat="1" ht="14.45" hidden="1" customHeight="1" outlineLevel="1" x14ac:dyDescent="0.25">
      <c r="A240" s="1267"/>
      <c r="B240" s="228"/>
      <c r="C240" s="328"/>
      <c r="D240" s="4018"/>
      <c r="E240" s="4124"/>
      <c r="F240" s="4093" t="str">
        <f t="shared" si="49"/>
        <v>CAC-SEER18_ER2_SF</v>
      </c>
      <c r="G240" s="4094"/>
      <c r="H240" s="4095"/>
      <c r="I240" s="3155" t="str">
        <f t="shared" ref="I240:I274" si="50">C156</f>
        <v>351160_2021_12_</v>
      </c>
      <c r="J240" s="699">
        <v>869</v>
      </c>
      <c r="K240" s="1872"/>
      <c r="L240" s="4097"/>
      <c r="M240" s="123"/>
      <c r="N240" s="123"/>
      <c r="O240" s="147"/>
      <c r="P240" s="1550"/>
      <c r="Q240" s="1829"/>
      <c r="R240" s="1829"/>
      <c r="S240" s="1838"/>
      <c r="T240" s="147"/>
      <c r="U240" s="123"/>
      <c r="V240" s="4005"/>
      <c r="W240" s="2857"/>
      <c r="X240" s="2857"/>
      <c r="Y240" s="2857"/>
      <c r="Z240" s="3155">
        <v>869</v>
      </c>
      <c r="AA240" s="2857">
        <v>869</v>
      </c>
      <c r="AB240" s="699">
        <v>869</v>
      </c>
      <c r="AC240" s="699">
        <v>869</v>
      </c>
      <c r="AD240" s="2857"/>
      <c r="AE240" s="2857"/>
      <c r="AF240" s="2857"/>
      <c r="AG240" s="2857"/>
      <c r="AH240" s="1942"/>
      <c r="AI240" s="1942"/>
      <c r="AJ240" s="1942"/>
      <c r="AK240" s="1942"/>
      <c r="AL240" s="1942"/>
      <c r="AM240" s="1942"/>
      <c r="AN240" s="1942"/>
      <c r="AO240" s="1942"/>
      <c r="AP240" s="1942"/>
      <c r="AQ240" s="1942"/>
      <c r="AR240" s="1942"/>
      <c r="AS240" s="1942"/>
      <c r="AT240" s="1942"/>
      <c r="AU240" s="1942"/>
      <c r="AV240" s="1942"/>
      <c r="AW240" s="1942"/>
      <c r="AX240" s="1942"/>
      <c r="AY240" s="1942"/>
      <c r="AZ240" s="1942"/>
      <c r="BA240" s="1942"/>
      <c r="BB240" s="575"/>
      <c r="BC240" s="584"/>
      <c r="BD240" s="678"/>
      <c r="BE240" s="585"/>
    </row>
    <row r="241" spans="1:57" s="51" customFormat="1" ht="14.45" hidden="1" customHeight="1" outlineLevel="1" x14ac:dyDescent="0.25">
      <c r="A241" s="1267"/>
      <c r="B241" s="228"/>
      <c r="C241" s="328"/>
      <c r="D241" s="4018"/>
      <c r="E241" s="4124"/>
      <c r="F241" s="4093" t="str">
        <f t="shared" si="49"/>
        <v>CAC-SEER18_ROF_SF</v>
      </c>
      <c r="G241" s="4094"/>
      <c r="H241" s="4095"/>
      <c r="I241" s="3155" t="str">
        <f t="shared" si="50"/>
        <v>351161_2021_12_</v>
      </c>
      <c r="J241" s="699">
        <v>869</v>
      </c>
      <c r="K241" s="1872"/>
      <c r="L241" s="4097"/>
      <c r="M241" s="123"/>
      <c r="N241" s="123"/>
      <c r="O241" s="147"/>
      <c r="P241" s="1550"/>
      <c r="Q241" s="1829"/>
      <c r="R241" s="1829"/>
      <c r="S241" s="1838"/>
      <c r="T241" s="147"/>
      <c r="U241" s="123"/>
      <c r="V241" s="4005"/>
      <c r="W241" s="2857"/>
      <c r="X241" s="2857"/>
      <c r="Y241" s="2857"/>
      <c r="Z241" s="3155">
        <v>869</v>
      </c>
      <c r="AA241" s="2857">
        <v>869</v>
      </c>
      <c r="AB241" s="699">
        <v>869</v>
      </c>
      <c r="AC241" s="699">
        <v>869</v>
      </c>
      <c r="AD241" s="2857"/>
      <c r="AE241" s="2857"/>
      <c r="AF241" s="2857"/>
      <c r="AG241" s="2857"/>
      <c r="AH241" s="1942"/>
      <c r="AI241" s="1942"/>
      <c r="AJ241" s="1942"/>
      <c r="AK241" s="1942"/>
      <c r="AL241" s="1942"/>
      <c r="AM241" s="1942"/>
      <c r="AN241" s="1942"/>
      <c r="AO241" s="1942"/>
      <c r="AP241" s="1942"/>
      <c r="AQ241" s="1942"/>
      <c r="AR241" s="1942"/>
      <c r="AS241" s="1942"/>
      <c r="AT241" s="1942"/>
      <c r="AU241" s="1942"/>
      <c r="AV241" s="1942"/>
      <c r="AW241" s="1942"/>
      <c r="AX241" s="1942"/>
      <c r="AY241" s="1942"/>
      <c r="AZ241" s="1942"/>
      <c r="BA241" s="1942"/>
      <c r="BB241" s="575"/>
      <c r="BC241" s="584"/>
      <c r="BD241" s="678"/>
      <c r="BE241" s="585"/>
    </row>
    <row r="242" spans="1:57" s="51" customFormat="1" ht="14.45" hidden="1" customHeight="1" outlineLevel="1" x14ac:dyDescent="0.25">
      <c r="A242" s="1267"/>
      <c r="B242" s="228"/>
      <c r="C242" s="328"/>
      <c r="D242" s="4018"/>
      <c r="E242" s="4124"/>
      <c r="F242" s="4093" t="str">
        <f t="shared" si="49"/>
        <v>CAC-SEER18_ER1_MF</v>
      </c>
      <c r="G242" s="4094"/>
      <c r="H242" s="4095"/>
      <c r="I242" s="3155" t="str">
        <f t="shared" si="50"/>
        <v>351162_2021_12_</v>
      </c>
      <c r="J242" s="699">
        <v>869</v>
      </c>
      <c r="K242" s="1872"/>
      <c r="L242" s="4097"/>
      <c r="M242" s="123"/>
      <c r="N242" s="123"/>
      <c r="O242" s="147"/>
      <c r="P242" s="1550"/>
      <c r="Q242" s="1829"/>
      <c r="R242" s="1829"/>
      <c r="S242" s="1838"/>
      <c r="T242" s="147"/>
      <c r="U242" s="576"/>
      <c r="V242" s="4005"/>
      <c r="W242" s="2857"/>
      <c r="X242" s="3155"/>
      <c r="Y242" s="3155"/>
      <c r="Z242" s="3155">
        <v>869</v>
      </c>
      <c r="AA242" s="2857">
        <v>869</v>
      </c>
      <c r="AB242" s="699">
        <v>869</v>
      </c>
      <c r="AC242" s="699">
        <v>869</v>
      </c>
      <c r="AD242" s="2857"/>
      <c r="AE242" s="2857"/>
      <c r="AF242" s="2857"/>
      <c r="AG242" s="2857"/>
      <c r="AH242" s="1942"/>
      <c r="AI242" s="1942"/>
      <c r="AJ242" s="1942"/>
      <c r="AK242" s="1942"/>
      <c r="AL242" s="1942"/>
      <c r="AM242" s="1942"/>
      <c r="AN242" s="1942"/>
      <c r="AO242" s="1942"/>
      <c r="AP242" s="1942"/>
      <c r="AQ242" s="1942"/>
      <c r="AR242" s="1942"/>
      <c r="AS242" s="1942"/>
      <c r="AT242" s="1942"/>
      <c r="AU242" s="1942"/>
      <c r="AV242" s="1942"/>
      <c r="AW242" s="1942"/>
      <c r="AX242" s="1942"/>
      <c r="AY242" s="1942"/>
      <c r="AZ242" s="1942"/>
      <c r="BA242" s="1942"/>
      <c r="BB242" s="575"/>
      <c r="BC242" s="584"/>
      <c r="BD242" s="678"/>
      <c r="BE242" s="585"/>
    </row>
    <row r="243" spans="1:57" s="51" customFormat="1" ht="14.45" hidden="1" customHeight="1" outlineLevel="1" x14ac:dyDescent="0.25">
      <c r="A243" s="1267"/>
      <c r="B243" s="228"/>
      <c r="C243" s="328"/>
      <c r="D243" s="4018"/>
      <c r="E243" s="4124"/>
      <c r="F243" s="4093" t="str">
        <f t="shared" si="49"/>
        <v>CAC-SEER18_ER2_MF</v>
      </c>
      <c r="G243" s="4094"/>
      <c r="H243" s="4095"/>
      <c r="I243" s="3155" t="str">
        <f t="shared" si="50"/>
        <v>351162_2021_12_</v>
      </c>
      <c r="J243" s="699">
        <v>869</v>
      </c>
      <c r="K243" s="1872"/>
      <c r="L243" s="4097"/>
      <c r="M243" s="123"/>
      <c r="N243" s="123"/>
      <c r="O243" s="147"/>
      <c r="P243" s="1550"/>
      <c r="Q243" s="1829"/>
      <c r="R243" s="1829"/>
      <c r="S243" s="1448"/>
      <c r="T243" s="1570"/>
      <c r="U243" s="576"/>
      <c r="V243" s="4005"/>
      <c r="W243" s="2857"/>
      <c r="X243" s="3155"/>
      <c r="Y243" s="3155"/>
      <c r="Z243" s="3155">
        <v>869</v>
      </c>
      <c r="AA243" s="2857">
        <v>869</v>
      </c>
      <c r="AB243" s="699">
        <v>869</v>
      </c>
      <c r="AC243" s="699">
        <v>869</v>
      </c>
      <c r="AD243" s="2857"/>
      <c r="AE243" s="2857"/>
      <c r="AF243" s="2857"/>
      <c r="AG243" s="2857"/>
      <c r="AH243" s="1942"/>
      <c r="AI243" s="1942"/>
      <c r="AJ243" s="1942"/>
      <c r="AK243" s="1942"/>
      <c r="AL243" s="1942"/>
      <c r="AM243" s="1942"/>
      <c r="AN243" s="1942"/>
      <c r="AO243" s="1942"/>
      <c r="AP243" s="1942"/>
      <c r="AQ243" s="1942"/>
      <c r="AR243" s="1942"/>
      <c r="AS243" s="1942"/>
      <c r="AT243" s="1942"/>
      <c r="AU243" s="1942"/>
      <c r="AV243" s="1942"/>
      <c r="AW243" s="1942"/>
      <c r="AX243" s="1942"/>
      <c r="AY243" s="1942"/>
      <c r="AZ243" s="1942"/>
      <c r="BA243" s="1942"/>
      <c r="BB243" s="575"/>
      <c r="BC243" s="584"/>
      <c r="BD243" s="678"/>
      <c r="BE243" s="585"/>
    </row>
    <row r="244" spans="1:57" s="51" customFormat="1" ht="14.45" hidden="1" customHeight="1" outlineLevel="1" x14ac:dyDescent="0.25">
      <c r="A244" s="1267"/>
      <c r="B244" s="228"/>
      <c r="C244" s="328"/>
      <c r="D244" s="4018"/>
      <c r="E244" s="4124"/>
      <c r="F244" s="4093" t="str">
        <f t="shared" si="49"/>
        <v>CAC-SEER18_ER1_MF_CompE</v>
      </c>
      <c r="G244" s="4094"/>
      <c r="H244" s="4095"/>
      <c r="I244" s="3155" t="str">
        <f t="shared" si="50"/>
        <v>351163_2021_12_</v>
      </c>
      <c r="J244" s="699">
        <v>632</v>
      </c>
      <c r="K244" s="1872"/>
      <c r="L244" s="4097"/>
      <c r="M244" s="123"/>
      <c r="N244" s="123"/>
      <c r="O244" s="147"/>
      <c r="P244" s="1550"/>
      <c r="Q244" s="1829"/>
      <c r="R244" s="1829"/>
      <c r="S244" s="1448"/>
      <c r="T244" s="1570"/>
      <c r="U244" s="576"/>
      <c r="V244" s="4005"/>
      <c r="W244" s="2857"/>
      <c r="X244" s="3155"/>
      <c r="Y244" s="3155"/>
      <c r="Z244" s="3155">
        <v>632</v>
      </c>
      <c r="AA244" s="2857">
        <v>632</v>
      </c>
      <c r="AB244" s="699">
        <v>632</v>
      </c>
      <c r="AC244" s="699">
        <v>632</v>
      </c>
      <c r="AD244" s="2857"/>
      <c r="AE244" s="2857"/>
      <c r="AF244" s="2857"/>
      <c r="AG244" s="2857"/>
      <c r="AH244" s="1942"/>
      <c r="AI244" s="1942"/>
      <c r="AJ244" s="1942"/>
      <c r="AK244" s="1942"/>
      <c r="AL244" s="1942"/>
      <c r="AM244" s="1942"/>
      <c r="AN244" s="1942"/>
      <c r="AO244" s="1942"/>
      <c r="AP244" s="1942"/>
      <c r="AQ244" s="1942"/>
      <c r="AR244" s="1942"/>
      <c r="AS244" s="1942"/>
      <c r="AT244" s="1942"/>
      <c r="AU244" s="1942"/>
      <c r="AV244" s="1942"/>
      <c r="AW244" s="1942"/>
      <c r="AX244" s="1942"/>
      <c r="AY244" s="1942"/>
      <c r="AZ244" s="1942"/>
      <c r="BA244" s="1942"/>
      <c r="BB244" s="575"/>
      <c r="BC244" s="584"/>
      <c r="BD244" s="678"/>
      <c r="BE244" s="585"/>
    </row>
    <row r="245" spans="1:57" s="51" customFormat="1" ht="14.45" hidden="1" customHeight="1" outlineLevel="1" x14ac:dyDescent="0.25">
      <c r="A245" s="1267"/>
      <c r="B245" s="228"/>
      <c r="C245" s="328"/>
      <c r="D245" s="4018"/>
      <c r="E245" s="4124"/>
      <c r="F245" s="4093" t="str">
        <f t="shared" si="49"/>
        <v>CAC-SEER18_ER2_MF_CompE</v>
      </c>
      <c r="G245" s="4094"/>
      <c r="H245" s="4095"/>
      <c r="I245" s="3155" t="str">
        <f t="shared" si="50"/>
        <v>351163_2021_12_</v>
      </c>
      <c r="J245" s="699">
        <f>$J$208</f>
        <v>632</v>
      </c>
      <c r="K245" s="1872"/>
      <c r="L245" s="4097"/>
      <c r="M245" s="123"/>
      <c r="N245" s="123"/>
      <c r="O245" s="147"/>
      <c r="P245" s="1550"/>
      <c r="Q245" s="1829"/>
      <c r="R245" s="1829"/>
      <c r="S245" s="1448"/>
      <c r="T245" s="1570"/>
      <c r="U245" s="123"/>
      <c r="V245" s="4005"/>
      <c r="W245" s="2857"/>
      <c r="X245" s="3155"/>
      <c r="Y245" s="3155"/>
      <c r="Z245" s="3155">
        <v>632</v>
      </c>
      <c r="AA245" s="2857">
        <v>632</v>
      </c>
      <c r="AB245" s="699">
        <v>632</v>
      </c>
      <c r="AC245" s="699">
        <v>632</v>
      </c>
      <c r="AD245" s="2857"/>
      <c r="AE245" s="2857"/>
      <c r="AF245" s="2857"/>
      <c r="AG245" s="2857"/>
      <c r="AH245" s="1942"/>
      <c r="AI245" s="1942"/>
      <c r="AJ245" s="1942"/>
      <c r="AK245" s="1942"/>
      <c r="AL245" s="1942"/>
      <c r="AM245" s="1942"/>
      <c r="AN245" s="1942"/>
      <c r="AO245" s="1942"/>
      <c r="AP245" s="1942"/>
      <c r="AQ245" s="1942"/>
      <c r="AR245" s="1942"/>
      <c r="AS245" s="1942"/>
      <c r="AT245" s="1942"/>
      <c r="AU245" s="1942"/>
      <c r="AV245" s="1942"/>
      <c r="AW245" s="1942"/>
      <c r="AX245" s="1942"/>
      <c r="AY245" s="1942"/>
      <c r="AZ245" s="1942"/>
      <c r="BA245" s="1942"/>
      <c r="BB245" s="575"/>
      <c r="BC245" s="584"/>
      <c r="BD245" s="678"/>
      <c r="BE245" s="585"/>
    </row>
    <row r="246" spans="1:57" s="51" customFormat="1" ht="14.45" hidden="1" customHeight="1" outlineLevel="1" x14ac:dyDescent="0.25">
      <c r="A246" s="1267"/>
      <c r="B246" s="228"/>
      <c r="C246" s="328"/>
      <c r="D246" s="4018"/>
      <c r="E246" s="4124"/>
      <c r="F246" s="4093" t="str">
        <f t="shared" si="49"/>
        <v>CAC-SEER18_ROF_MF</v>
      </c>
      <c r="G246" s="4094"/>
      <c r="H246" s="4095"/>
      <c r="I246" s="3155" t="str">
        <f t="shared" si="50"/>
        <v>351164_2021_12_</v>
      </c>
      <c r="J246" s="699">
        <v>869</v>
      </c>
      <c r="K246" s="1872"/>
      <c r="L246" s="4097"/>
      <c r="M246" s="123"/>
      <c r="N246" s="123"/>
      <c r="O246" s="147"/>
      <c r="P246" s="1550"/>
      <c r="Q246" s="1829"/>
      <c r="R246" s="1829"/>
      <c r="S246" s="1448"/>
      <c r="T246" s="1570"/>
      <c r="U246" s="123"/>
      <c r="V246" s="4005"/>
      <c r="W246" s="2857"/>
      <c r="X246" s="3155"/>
      <c r="Y246" s="2857"/>
      <c r="Z246" s="3155">
        <v>869</v>
      </c>
      <c r="AA246" s="2857">
        <v>869</v>
      </c>
      <c r="AB246" s="699">
        <v>869</v>
      </c>
      <c r="AC246" s="699">
        <v>869</v>
      </c>
      <c r="AD246" s="2857"/>
      <c r="AE246" s="2857"/>
      <c r="AF246" s="2857"/>
      <c r="AG246" s="2857"/>
      <c r="AH246" s="1942"/>
      <c r="AI246" s="1942"/>
      <c r="AJ246" s="1942"/>
      <c r="AK246" s="1942"/>
      <c r="AL246" s="1942"/>
      <c r="AM246" s="1942"/>
      <c r="AN246" s="1942"/>
      <c r="AO246" s="1942"/>
      <c r="AP246" s="1942"/>
      <c r="AQ246" s="1942"/>
      <c r="AR246" s="1942"/>
      <c r="AS246" s="1942"/>
      <c r="AT246" s="1942"/>
      <c r="AU246" s="1942"/>
      <c r="AV246" s="1942"/>
      <c r="AW246" s="1942"/>
      <c r="AX246" s="1942"/>
      <c r="AY246" s="1942"/>
      <c r="AZ246" s="1942"/>
      <c r="BA246" s="1942"/>
      <c r="BB246" s="575"/>
      <c r="BC246" s="584"/>
      <c r="BD246" s="678"/>
      <c r="BE246" s="585"/>
    </row>
    <row r="247" spans="1:57" s="51" customFormat="1" ht="14.45" hidden="1" customHeight="1" outlineLevel="1" x14ac:dyDescent="0.25">
      <c r="A247" s="1267"/>
      <c r="B247" s="228"/>
      <c r="C247" s="328"/>
      <c r="D247" s="4018"/>
      <c r="E247" s="4124"/>
      <c r="F247" s="4093" t="str">
        <f t="shared" si="49"/>
        <v>CAC-SEER18_ROF_MF_CompE</v>
      </c>
      <c r="G247" s="4094"/>
      <c r="H247" s="4095"/>
      <c r="I247" s="3155" t="str">
        <f t="shared" si="50"/>
        <v>351165_2021_12_</v>
      </c>
      <c r="J247" s="699">
        <f>$J$208</f>
        <v>632</v>
      </c>
      <c r="K247" s="1872"/>
      <c r="L247" s="4097"/>
      <c r="M247" s="123"/>
      <c r="N247" s="123"/>
      <c r="O247" s="147"/>
      <c r="P247" s="1550"/>
      <c r="Q247" s="1829"/>
      <c r="R247" s="1829"/>
      <c r="S247" s="147"/>
      <c r="T247" s="147"/>
      <c r="U247" s="123"/>
      <c r="V247" s="4005"/>
      <c r="W247" s="2857"/>
      <c r="X247" s="3155"/>
      <c r="Y247" s="3155"/>
      <c r="Z247" s="3155">
        <v>632</v>
      </c>
      <c r="AA247" s="2857">
        <v>632</v>
      </c>
      <c r="AB247" s="699">
        <v>632</v>
      </c>
      <c r="AC247" s="699">
        <v>632</v>
      </c>
      <c r="AD247" s="2857"/>
      <c r="AE247" s="2857"/>
      <c r="AF247" s="2857"/>
      <c r="AG247" s="2857"/>
      <c r="AH247" s="1942"/>
      <c r="AI247" s="1942"/>
      <c r="AJ247" s="1942"/>
      <c r="AK247" s="1942"/>
      <c r="AL247" s="1942"/>
      <c r="AM247" s="1942"/>
      <c r="AN247" s="1942"/>
      <c r="AO247" s="1942"/>
      <c r="AP247" s="1942"/>
      <c r="AQ247" s="1942"/>
      <c r="AR247" s="1942"/>
      <c r="AS247" s="1942"/>
      <c r="AT247" s="1942"/>
      <c r="AU247" s="1942"/>
      <c r="AV247" s="1942"/>
      <c r="AW247" s="1942"/>
      <c r="AX247" s="1942"/>
      <c r="AY247" s="1942"/>
      <c r="AZ247" s="1942"/>
      <c r="BA247" s="1942"/>
      <c r="BB247" s="575"/>
      <c r="BC247" s="584"/>
      <c r="BD247" s="678"/>
      <c r="BE247" s="585"/>
    </row>
    <row r="248" spans="1:57" s="51" customFormat="1" hidden="1" outlineLevel="1" x14ac:dyDescent="0.25">
      <c r="A248" s="1267"/>
      <c r="B248" s="228"/>
      <c r="C248" s="328"/>
      <c r="D248" s="4018"/>
      <c r="E248" s="4124"/>
      <c r="F248" s="4093" t="str">
        <f t="shared" si="49"/>
        <v>CAC-SEER19_ER1_SF</v>
      </c>
      <c r="G248" s="4094"/>
      <c r="H248" s="4095"/>
      <c r="I248" s="3155" t="str">
        <f t="shared" si="50"/>
        <v>351170_2021_12_</v>
      </c>
      <c r="J248" s="699">
        <v>869</v>
      </c>
      <c r="K248" s="1872"/>
      <c r="L248" s="4097"/>
      <c r="M248" s="123"/>
      <c r="N248" s="1544"/>
      <c r="O248" s="147"/>
      <c r="P248" s="1839"/>
      <c r="Q248" s="1535"/>
      <c r="R248" s="147"/>
      <c r="S248" s="147"/>
      <c r="T248" s="147"/>
      <c r="U248" s="123"/>
      <c r="V248" s="4005"/>
      <c r="W248" s="2857"/>
      <c r="X248" s="2857"/>
      <c r="Y248" s="2857"/>
      <c r="Z248" s="3155">
        <v>869</v>
      </c>
      <c r="AA248" s="2857">
        <v>869</v>
      </c>
      <c r="AB248" s="699">
        <v>869</v>
      </c>
      <c r="AC248" s="699">
        <v>869</v>
      </c>
      <c r="AD248" s="2857"/>
      <c r="AE248" s="2857"/>
      <c r="AF248" s="2857"/>
      <c r="AG248" s="2857"/>
      <c r="AH248" s="1942"/>
      <c r="AI248" s="1942"/>
      <c r="AJ248" s="1942"/>
      <c r="AK248" s="1942"/>
      <c r="AL248" s="1942"/>
      <c r="AM248" s="1942"/>
      <c r="AN248" s="1942"/>
      <c r="AO248" s="1942"/>
      <c r="AP248" s="1942"/>
      <c r="AQ248" s="1942"/>
      <c r="AR248" s="1942"/>
      <c r="AS248" s="1942"/>
      <c r="AT248" s="1942"/>
      <c r="AU248" s="1942"/>
      <c r="AV248" s="1942"/>
      <c r="AW248" s="1942"/>
      <c r="AX248" s="1942"/>
      <c r="AY248" s="1942"/>
      <c r="AZ248" s="1942"/>
      <c r="BA248" s="1942"/>
      <c r="BB248" s="575"/>
      <c r="BC248" s="584"/>
      <c r="BD248" s="678"/>
      <c r="BE248" s="585"/>
    </row>
    <row r="249" spans="1:57" s="51" customFormat="1" ht="15" hidden="1" customHeight="1" outlineLevel="1" x14ac:dyDescent="0.25">
      <c r="A249" s="1267"/>
      <c r="B249" s="228"/>
      <c r="C249" s="328"/>
      <c r="D249" s="4018"/>
      <c r="E249" s="4124"/>
      <c r="F249" s="4093" t="str">
        <f t="shared" si="49"/>
        <v>CAC-SEER19_ER2_SF</v>
      </c>
      <c r="G249" s="4094"/>
      <c r="H249" s="4095"/>
      <c r="I249" s="3155" t="str">
        <f t="shared" si="50"/>
        <v>351170_2021_12_</v>
      </c>
      <c r="J249" s="699">
        <v>869</v>
      </c>
      <c r="K249" s="1872"/>
      <c r="L249" s="4097"/>
      <c r="M249" s="123"/>
      <c r="N249" s="1544"/>
      <c r="O249" s="147"/>
      <c r="P249" s="691"/>
      <c r="Q249" s="691"/>
      <c r="R249" s="691"/>
      <c r="S249" s="691"/>
      <c r="T249" s="147"/>
      <c r="U249" s="123"/>
      <c r="V249" s="4005"/>
      <c r="W249" s="2857"/>
      <c r="X249" s="2857"/>
      <c r="Y249" s="2857"/>
      <c r="Z249" s="3155">
        <v>869</v>
      </c>
      <c r="AA249" s="2857">
        <v>869</v>
      </c>
      <c r="AB249" s="699">
        <v>869</v>
      </c>
      <c r="AC249" s="699">
        <v>869</v>
      </c>
      <c r="AD249" s="2857"/>
      <c r="AE249" s="2857"/>
      <c r="AF249" s="2857"/>
      <c r="AG249" s="2857"/>
      <c r="AH249" s="1942"/>
      <c r="AI249" s="1942"/>
      <c r="AJ249" s="1942"/>
      <c r="AK249" s="1942"/>
      <c r="AL249" s="1942"/>
      <c r="AM249" s="1942"/>
      <c r="AN249" s="1942"/>
      <c r="AO249" s="1942"/>
      <c r="AP249" s="1942"/>
      <c r="AQ249" s="1942"/>
      <c r="AR249" s="1942"/>
      <c r="AS249" s="1942"/>
      <c r="AT249" s="1942"/>
      <c r="AU249" s="1942"/>
      <c r="AV249" s="1942"/>
      <c r="AW249" s="1942"/>
      <c r="AX249" s="1942"/>
      <c r="AY249" s="1942"/>
      <c r="AZ249" s="1942"/>
      <c r="BA249" s="1942"/>
      <c r="BB249" s="575"/>
      <c r="BC249" s="584"/>
      <c r="BD249" s="678"/>
      <c r="BE249" s="585"/>
    </row>
    <row r="250" spans="1:57" s="51" customFormat="1" hidden="1" outlineLevel="1" x14ac:dyDescent="0.25">
      <c r="A250" s="1267"/>
      <c r="B250" s="228"/>
      <c r="C250" s="328"/>
      <c r="D250" s="4018"/>
      <c r="E250" s="4124"/>
      <c r="F250" s="4093" t="str">
        <f t="shared" si="49"/>
        <v>CAC-SEER19_ROF_SF</v>
      </c>
      <c r="G250" s="4094"/>
      <c r="H250" s="4095"/>
      <c r="I250" s="3155" t="str">
        <f t="shared" si="50"/>
        <v>351171_2021_12_</v>
      </c>
      <c r="J250" s="699">
        <v>869</v>
      </c>
      <c r="K250" s="1872"/>
      <c r="L250" s="4097"/>
      <c r="M250" s="123"/>
      <c r="N250" s="1544"/>
      <c r="O250" s="147"/>
      <c r="P250" s="4064"/>
      <c r="Q250" s="4065"/>
      <c r="R250" s="4065"/>
      <c r="S250" s="147"/>
      <c r="T250" s="147"/>
      <c r="U250" s="123"/>
      <c r="V250" s="4005"/>
      <c r="W250" s="2857"/>
      <c r="X250" s="2857"/>
      <c r="Y250" s="2857"/>
      <c r="Z250" s="3155">
        <v>869</v>
      </c>
      <c r="AA250" s="2857">
        <v>869</v>
      </c>
      <c r="AB250" s="699">
        <v>869</v>
      </c>
      <c r="AC250" s="699">
        <v>869</v>
      </c>
      <c r="AD250" s="2857"/>
      <c r="AE250" s="2857"/>
      <c r="AF250" s="2857"/>
      <c r="AG250" s="2857"/>
      <c r="AH250" s="1942"/>
      <c r="AI250" s="1942"/>
      <c r="AJ250" s="1942"/>
      <c r="AK250" s="1942"/>
      <c r="AL250" s="1942"/>
      <c r="AM250" s="1942"/>
      <c r="AN250" s="1942"/>
      <c r="AO250" s="1942"/>
      <c r="AP250" s="1942"/>
      <c r="AQ250" s="1942"/>
      <c r="AR250" s="1942"/>
      <c r="AS250" s="1942"/>
      <c r="AT250" s="1942"/>
      <c r="AU250" s="1942"/>
      <c r="AV250" s="1942"/>
      <c r="AW250" s="1942"/>
      <c r="AX250" s="1942"/>
      <c r="AY250" s="1942"/>
      <c r="AZ250" s="1942"/>
      <c r="BA250" s="1942"/>
      <c r="BB250" s="575"/>
      <c r="BC250" s="584"/>
      <c r="BD250" s="678"/>
      <c r="BE250" s="585"/>
    </row>
    <row r="251" spans="1:57" s="51" customFormat="1" hidden="1" outlineLevel="1" x14ac:dyDescent="0.25">
      <c r="A251" s="1267"/>
      <c r="B251" s="228"/>
      <c r="C251" s="328"/>
      <c r="D251" s="4018"/>
      <c r="E251" s="4124"/>
      <c r="F251" s="4093" t="str">
        <f t="shared" si="49"/>
        <v>CAC-SEER19_ER1_MF</v>
      </c>
      <c r="G251" s="4094"/>
      <c r="H251" s="4095"/>
      <c r="I251" s="3155" t="str">
        <f t="shared" si="50"/>
        <v>351172_2021_12_</v>
      </c>
      <c r="J251" s="699">
        <v>869</v>
      </c>
      <c r="K251" s="1872"/>
      <c r="L251" s="4097"/>
      <c r="M251" s="123"/>
      <c r="N251" s="1544"/>
      <c r="O251" s="147"/>
      <c r="P251" s="1840"/>
      <c r="Q251" s="1535"/>
      <c r="R251" s="1535"/>
      <c r="S251" s="147"/>
      <c r="T251" s="147"/>
      <c r="U251" s="123"/>
      <c r="V251" s="4005"/>
      <c r="W251" s="2857"/>
      <c r="X251" s="3155"/>
      <c r="Y251" s="3155"/>
      <c r="Z251" s="3155">
        <v>869</v>
      </c>
      <c r="AA251" s="2857">
        <v>869</v>
      </c>
      <c r="AB251" s="699">
        <v>869</v>
      </c>
      <c r="AC251" s="699">
        <v>869</v>
      </c>
      <c r="AD251" s="2857"/>
      <c r="AE251" s="2857"/>
      <c r="AF251" s="2857"/>
      <c r="AG251" s="2857"/>
      <c r="AH251" s="1942"/>
      <c r="AI251" s="1942"/>
      <c r="AJ251" s="1942"/>
      <c r="AK251" s="1942"/>
      <c r="AL251" s="1942"/>
      <c r="AM251" s="1942"/>
      <c r="AN251" s="1942"/>
      <c r="AO251" s="1942"/>
      <c r="AP251" s="1942"/>
      <c r="AQ251" s="1942"/>
      <c r="AR251" s="1942"/>
      <c r="AS251" s="1942"/>
      <c r="AT251" s="1942"/>
      <c r="AU251" s="1942"/>
      <c r="AV251" s="1942"/>
      <c r="AW251" s="1942"/>
      <c r="AX251" s="1942"/>
      <c r="AY251" s="1942"/>
      <c r="AZ251" s="1942"/>
      <c r="BA251" s="1942"/>
      <c r="BB251" s="575"/>
      <c r="BC251" s="584"/>
      <c r="BD251" s="678"/>
      <c r="BE251" s="585"/>
    </row>
    <row r="252" spans="1:57" s="51" customFormat="1" hidden="1" outlineLevel="1" x14ac:dyDescent="0.25">
      <c r="A252" s="1267"/>
      <c r="B252" s="228"/>
      <c r="C252" s="328"/>
      <c r="D252" s="4018"/>
      <c r="E252" s="4124"/>
      <c r="F252" s="4093" t="str">
        <f t="shared" si="49"/>
        <v>CAC-SEER19_ER2_MF</v>
      </c>
      <c r="G252" s="4094"/>
      <c r="H252" s="4095"/>
      <c r="I252" s="3155" t="str">
        <f t="shared" si="50"/>
        <v>351172_2021_12_</v>
      </c>
      <c r="J252" s="699">
        <v>869</v>
      </c>
      <c r="K252" s="1872"/>
      <c r="L252" s="4097"/>
      <c r="M252" s="123"/>
      <c r="N252" s="1544"/>
      <c r="O252" s="147"/>
      <c r="P252" s="1840"/>
      <c r="Q252" s="1841"/>
      <c r="R252" s="1841"/>
      <c r="S252" s="147"/>
      <c r="T252" s="1842"/>
      <c r="U252" s="123"/>
      <c r="V252" s="4005"/>
      <c r="W252" s="2857"/>
      <c r="X252" s="3155"/>
      <c r="Y252" s="3155"/>
      <c r="Z252" s="3155">
        <v>869</v>
      </c>
      <c r="AA252" s="2857">
        <v>869</v>
      </c>
      <c r="AB252" s="699">
        <v>869</v>
      </c>
      <c r="AC252" s="699">
        <v>869</v>
      </c>
      <c r="AD252" s="2857"/>
      <c r="AE252" s="2857"/>
      <c r="AF252" s="2857"/>
      <c r="AG252" s="2857"/>
      <c r="AH252" s="1942"/>
      <c r="AI252" s="1942"/>
      <c r="AJ252" s="1942"/>
      <c r="AK252" s="1942"/>
      <c r="AL252" s="1942"/>
      <c r="AM252" s="1942"/>
      <c r="AN252" s="1942"/>
      <c r="AO252" s="1942"/>
      <c r="AP252" s="1942"/>
      <c r="AQ252" s="1942"/>
      <c r="AR252" s="1942"/>
      <c r="AS252" s="1942"/>
      <c r="AT252" s="1942"/>
      <c r="AU252" s="1942"/>
      <c r="AV252" s="1942"/>
      <c r="AW252" s="1942"/>
      <c r="AX252" s="1942"/>
      <c r="AY252" s="1942"/>
      <c r="AZ252" s="1942"/>
      <c r="BA252" s="1942"/>
      <c r="BB252" s="575"/>
      <c r="BC252" s="584"/>
      <c r="BD252" s="678"/>
      <c r="BE252" s="585"/>
    </row>
    <row r="253" spans="1:57" s="51" customFormat="1" hidden="1" outlineLevel="1" x14ac:dyDescent="0.25">
      <c r="A253" s="1267"/>
      <c r="B253" s="228"/>
      <c r="C253" s="328"/>
      <c r="D253" s="4018"/>
      <c r="E253" s="4124"/>
      <c r="F253" s="4093" t="str">
        <f t="shared" si="49"/>
        <v>CAC-SEER19_ER1_MF_CompE</v>
      </c>
      <c r="G253" s="4094"/>
      <c r="H253" s="4095"/>
      <c r="I253" s="3155" t="str">
        <f t="shared" si="50"/>
        <v>351173_2021_12_</v>
      </c>
      <c r="J253" s="699">
        <f>$J$208</f>
        <v>632</v>
      </c>
      <c r="K253" s="1872"/>
      <c r="L253" s="4097"/>
      <c r="M253" s="123"/>
      <c r="N253" s="1544"/>
      <c r="O253" s="147"/>
      <c r="P253" s="1840"/>
      <c r="Q253" s="147"/>
      <c r="R253" s="1843"/>
      <c r="S253" s="147"/>
      <c r="T253" s="147"/>
      <c r="U253" s="123"/>
      <c r="V253" s="4005"/>
      <c r="W253" s="2857"/>
      <c r="X253" s="3155"/>
      <c r="Y253" s="3155"/>
      <c r="Z253" s="3155">
        <v>632</v>
      </c>
      <c r="AA253" s="2857">
        <v>632</v>
      </c>
      <c r="AB253" s="699">
        <v>632</v>
      </c>
      <c r="AC253" s="699">
        <v>632</v>
      </c>
      <c r="AD253" s="2857"/>
      <c r="AE253" s="2857"/>
      <c r="AF253" s="2857"/>
      <c r="AG253" s="2857"/>
      <c r="AH253" s="1942"/>
      <c r="AI253" s="1942"/>
      <c r="AJ253" s="1942"/>
      <c r="AK253" s="1942"/>
      <c r="AL253" s="1942"/>
      <c r="AM253" s="1942"/>
      <c r="AN253" s="1942"/>
      <c r="AO253" s="1942"/>
      <c r="AP253" s="1942"/>
      <c r="AQ253" s="1942"/>
      <c r="AR253" s="1942"/>
      <c r="AS253" s="1942"/>
      <c r="AT253" s="1942"/>
      <c r="AU253" s="1942"/>
      <c r="AV253" s="1942"/>
      <c r="AW253" s="1942"/>
      <c r="AX253" s="1942"/>
      <c r="AY253" s="1942"/>
      <c r="AZ253" s="1942"/>
      <c r="BA253" s="1942"/>
      <c r="BB253" s="575"/>
      <c r="BC253" s="584"/>
      <c r="BD253" s="678"/>
      <c r="BE253" s="585"/>
    </row>
    <row r="254" spans="1:57" s="51" customFormat="1" hidden="1" outlineLevel="1" x14ac:dyDescent="0.25">
      <c r="A254" s="1267"/>
      <c r="B254" s="228"/>
      <c r="C254" s="328"/>
      <c r="D254" s="4018"/>
      <c r="E254" s="4124"/>
      <c r="F254" s="4093" t="str">
        <f t="shared" si="49"/>
        <v>CAC-SEER19_ER2_MF_CompE</v>
      </c>
      <c r="G254" s="4094"/>
      <c r="H254" s="4095"/>
      <c r="I254" s="3155" t="str">
        <f t="shared" si="50"/>
        <v>351173_2021_12_</v>
      </c>
      <c r="J254" s="699">
        <f>$J$208</f>
        <v>632</v>
      </c>
      <c r="K254" s="1872"/>
      <c r="L254" s="4097"/>
      <c r="M254" s="123"/>
      <c r="N254" s="1544"/>
      <c r="O254" s="147"/>
      <c r="P254" s="1844"/>
      <c r="Q254" s="147"/>
      <c r="R254" s="1843"/>
      <c r="S254" s="147"/>
      <c r="T254" s="147"/>
      <c r="U254" s="123"/>
      <c r="V254" s="4005"/>
      <c r="W254" s="2857"/>
      <c r="X254" s="3155"/>
      <c r="Y254" s="3155"/>
      <c r="Z254" s="3155">
        <v>632</v>
      </c>
      <c r="AA254" s="2857">
        <v>632</v>
      </c>
      <c r="AB254" s="699">
        <v>632</v>
      </c>
      <c r="AC254" s="699">
        <v>632</v>
      </c>
      <c r="AD254" s="2857"/>
      <c r="AE254" s="2857"/>
      <c r="AF254" s="2857"/>
      <c r="AG254" s="2857"/>
      <c r="AH254" s="1942"/>
      <c r="AI254" s="1942"/>
      <c r="AJ254" s="1942"/>
      <c r="AK254" s="1942"/>
      <c r="AL254" s="1942"/>
      <c r="AM254" s="1942"/>
      <c r="AN254" s="1942"/>
      <c r="AO254" s="1942"/>
      <c r="AP254" s="1942"/>
      <c r="AQ254" s="1942"/>
      <c r="AR254" s="1942"/>
      <c r="AS254" s="1942"/>
      <c r="AT254" s="1942"/>
      <c r="AU254" s="1942"/>
      <c r="AV254" s="1942"/>
      <c r="AW254" s="1942"/>
      <c r="AX254" s="1942"/>
      <c r="AY254" s="1942"/>
      <c r="AZ254" s="1942"/>
      <c r="BA254" s="1942"/>
      <c r="BB254" s="575"/>
      <c r="BC254" s="584"/>
      <c r="BD254" s="678"/>
      <c r="BE254" s="585"/>
    </row>
    <row r="255" spans="1:57" s="51" customFormat="1" hidden="1" outlineLevel="1" x14ac:dyDescent="0.25">
      <c r="A255" s="1267"/>
      <c r="B255" s="228"/>
      <c r="C255" s="328"/>
      <c r="D255" s="4018"/>
      <c r="E255" s="4124"/>
      <c r="F255" s="4093" t="str">
        <f t="shared" si="49"/>
        <v>CAC-SEER19_ROF_MF</v>
      </c>
      <c r="G255" s="4094"/>
      <c r="H255" s="4095"/>
      <c r="I255" s="3155" t="str">
        <f t="shared" si="50"/>
        <v>351174_2021_12_</v>
      </c>
      <c r="J255" s="699">
        <v>869</v>
      </c>
      <c r="K255" s="1872"/>
      <c r="L255" s="4097"/>
      <c r="M255" s="123"/>
      <c r="N255" s="1544"/>
      <c r="O255" s="147"/>
      <c r="P255" s="679"/>
      <c r="Q255" s="147"/>
      <c r="R255" s="147"/>
      <c r="S255" s="147"/>
      <c r="T255" s="147"/>
      <c r="U255" s="123"/>
      <c r="V255" s="4005"/>
      <c r="W255" s="2857"/>
      <c r="X255" s="3155"/>
      <c r="Y255" s="3155"/>
      <c r="Z255" s="3155">
        <v>869</v>
      </c>
      <c r="AA255" s="2857">
        <v>869</v>
      </c>
      <c r="AB255" s="699">
        <v>869</v>
      </c>
      <c r="AC255" s="699">
        <v>869</v>
      </c>
      <c r="AD255" s="2857"/>
      <c r="AE255" s="2857"/>
      <c r="AF255" s="2857"/>
      <c r="AG255" s="2857"/>
      <c r="AH255" s="1942"/>
      <c r="AI255" s="1942"/>
      <c r="AJ255" s="1942"/>
      <c r="AK255" s="1942"/>
      <c r="AL255" s="1942"/>
      <c r="AM255" s="1942"/>
      <c r="AN255" s="1942"/>
      <c r="AO255" s="1942"/>
      <c r="AP255" s="1942"/>
      <c r="AQ255" s="1942"/>
      <c r="AR255" s="1942"/>
      <c r="AS255" s="1942"/>
      <c r="AT255" s="1942"/>
      <c r="AU255" s="1942"/>
      <c r="AV255" s="1942"/>
      <c r="AW255" s="1942"/>
      <c r="AX255" s="1942"/>
      <c r="AY255" s="1942"/>
      <c r="AZ255" s="1942"/>
      <c r="BA255" s="1942"/>
      <c r="BB255" s="575"/>
      <c r="BC255" s="584"/>
      <c r="BD255" s="678"/>
      <c r="BE255" s="585"/>
    </row>
    <row r="256" spans="1:57" s="51" customFormat="1" hidden="1" outlineLevel="1" x14ac:dyDescent="0.25">
      <c r="A256" s="1267"/>
      <c r="B256" s="228"/>
      <c r="C256" s="328"/>
      <c r="D256" s="4018"/>
      <c r="E256" s="4124"/>
      <c r="F256" s="4093" t="str">
        <f t="shared" si="49"/>
        <v>CAC-SEER19_ROF_MF_CompE</v>
      </c>
      <c r="G256" s="4094"/>
      <c r="H256" s="4095"/>
      <c r="I256" s="3155" t="str">
        <f t="shared" si="50"/>
        <v>351175_2021_12_</v>
      </c>
      <c r="J256" s="699">
        <f>$J$208</f>
        <v>632</v>
      </c>
      <c r="K256" s="1872"/>
      <c r="L256" s="4097"/>
      <c r="M256" s="123"/>
      <c r="N256" s="1544"/>
      <c r="O256" s="1845"/>
      <c r="P256" s="845"/>
      <c r="Q256" s="147"/>
      <c r="R256" s="147"/>
      <c r="S256" s="147"/>
      <c r="T256" s="147"/>
      <c r="U256" s="123"/>
      <c r="V256" s="4005"/>
      <c r="W256" s="2857"/>
      <c r="X256" s="3155"/>
      <c r="Y256" s="2857"/>
      <c r="Z256" s="3155">
        <v>632</v>
      </c>
      <c r="AA256" s="2857">
        <v>632</v>
      </c>
      <c r="AB256" s="699">
        <v>632</v>
      </c>
      <c r="AC256" s="699">
        <v>632</v>
      </c>
      <c r="AD256" s="2857"/>
      <c r="AE256" s="2857"/>
      <c r="AF256" s="2857"/>
      <c r="AG256" s="2857"/>
      <c r="AH256" s="1942"/>
      <c r="AI256" s="1942"/>
      <c r="AJ256" s="1942"/>
      <c r="AK256" s="1942"/>
      <c r="AL256" s="1942"/>
      <c r="AM256" s="1942"/>
      <c r="AN256" s="1942"/>
      <c r="AO256" s="1942"/>
      <c r="AP256" s="1942"/>
      <c r="AQ256" s="1942"/>
      <c r="AR256" s="1942"/>
      <c r="AS256" s="1942"/>
      <c r="AT256" s="1942"/>
      <c r="AU256" s="1942"/>
      <c r="AV256" s="1942"/>
      <c r="AW256" s="1942"/>
      <c r="AX256" s="1942"/>
      <c r="AY256" s="1942"/>
      <c r="AZ256" s="1942"/>
      <c r="BA256" s="1942"/>
      <c r="BB256" s="575"/>
      <c r="BC256" s="584"/>
      <c r="BD256" s="678"/>
      <c r="BE256" s="585"/>
    </row>
    <row r="257" spans="1:57" s="51" customFormat="1" hidden="1" outlineLevel="1" x14ac:dyDescent="0.25">
      <c r="A257" s="1267"/>
      <c r="B257" s="228"/>
      <c r="C257" s="328"/>
      <c r="D257" s="4018"/>
      <c r="E257" s="4124"/>
      <c r="F257" s="4093" t="str">
        <f t="shared" si="49"/>
        <v>CAC-SEER20_ER1_SF</v>
      </c>
      <c r="G257" s="4094"/>
      <c r="H257" s="4095"/>
      <c r="I257" s="3155" t="str">
        <f t="shared" si="50"/>
        <v>351180_2021_12_</v>
      </c>
      <c r="J257" s="699">
        <v>869</v>
      </c>
      <c r="K257" s="1872"/>
      <c r="L257" s="4097"/>
      <c r="M257" s="123"/>
      <c r="N257" s="1544"/>
      <c r="O257" s="147"/>
      <c r="P257" s="147"/>
      <c r="Q257" s="147"/>
      <c r="R257" s="147"/>
      <c r="S257" s="147"/>
      <c r="T257" s="147"/>
      <c r="U257" s="123"/>
      <c r="V257" s="4005"/>
      <c r="W257" s="2857"/>
      <c r="X257" s="2857"/>
      <c r="Y257" s="2857"/>
      <c r="Z257" s="3155">
        <v>869</v>
      </c>
      <c r="AA257" s="2857">
        <v>869</v>
      </c>
      <c r="AB257" s="699">
        <v>869</v>
      </c>
      <c r="AC257" s="699">
        <v>869</v>
      </c>
      <c r="AD257" s="2857"/>
      <c r="AE257" s="2857"/>
      <c r="AF257" s="2857"/>
      <c r="AG257" s="2857"/>
      <c r="AH257" s="1942"/>
      <c r="AI257" s="1942"/>
      <c r="AJ257" s="1942"/>
      <c r="AK257" s="1942"/>
      <c r="AL257" s="1942"/>
      <c r="AM257" s="1942"/>
      <c r="AN257" s="1942"/>
      <c r="AO257" s="1942"/>
      <c r="AP257" s="1942"/>
      <c r="AQ257" s="1942"/>
      <c r="AR257" s="1942"/>
      <c r="AS257" s="1942"/>
      <c r="AT257" s="1942"/>
      <c r="AU257" s="1942"/>
      <c r="AV257" s="1942"/>
      <c r="AW257" s="1942"/>
      <c r="AX257" s="1942"/>
      <c r="AY257" s="1942"/>
      <c r="AZ257" s="1942"/>
      <c r="BA257" s="1942"/>
      <c r="BB257" s="575"/>
      <c r="BC257" s="584"/>
      <c r="BD257" s="678"/>
      <c r="BE257" s="585"/>
    </row>
    <row r="258" spans="1:57" s="51" customFormat="1" hidden="1" outlineLevel="1" x14ac:dyDescent="0.25">
      <c r="A258" s="1267"/>
      <c r="B258" s="228"/>
      <c r="C258" s="328"/>
      <c r="D258" s="4018"/>
      <c r="E258" s="4124"/>
      <c r="F258" s="4093" t="str">
        <f t="shared" si="49"/>
        <v>CAC-SEER20_ER2_SF</v>
      </c>
      <c r="G258" s="4094"/>
      <c r="H258" s="4095"/>
      <c r="I258" s="3155" t="str">
        <f t="shared" si="50"/>
        <v>351180_2021_12_</v>
      </c>
      <c r="J258" s="699">
        <v>869</v>
      </c>
      <c r="K258" s="1872"/>
      <c r="L258" s="4097"/>
      <c r="M258" s="123"/>
      <c r="N258" s="1544"/>
      <c r="O258" s="147"/>
      <c r="P258" s="147"/>
      <c r="Q258" s="147"/>
      <c r="R258" s="147"/>
      <c r="S258" s="147"/>
      <c r="T258" s="147"/>
      <c r="U258" s="123"/>
      <c r="V258" s="4005"/>
      <c r="W258" s="2857"/>
      <c r="X258" s="2857"/>
      <c r="Y258" s="2857"/>
      <c r="Z258" s="3155">
        <v>869</v>
      </c>
      <c r="AA258" s="2857">
        <v>869</v>
      </c>
      <c r="AB258" s="699">
        <v>869</v>
      </c>
      <c r="AC258" s="699">
        <v>869</v>
      </c>
      <c r="AD258" s="2857"/>
      <c r="AE258" s="2857"/>
      <c r="AF258" s="2857"/>
      <c r="AG258" s="2857"/>
      <c r="AH258" s="1942"/>
      <c r="AI258" s="1942"/>
      <c r="AJ258" s="1942"/>
      <c r="AK258" s="1942"/>
      <c r="AL258" s="1942"/>
      <c r="AM258" s="1942"/>
      <c r="AN258" s="1942"/>
      <c r="AO258" s="1942"/>
      <c r="AP258" s="1942"/>
      <c r="AQ258" s="1942"/>
      <c r="AR258" s="1942"/>
      <c r="AS258" s="1942"/>
      <c r="AT258" s="1942"/>
      <c r="AU258" s="1942"/>
      <c r="AV258" s="1942"/>
      <c r="AW258" s="1942"/>
      <c r="AX258" s="1942"/>
      <c r="AY258" s="1942"/>
      <c r="AZ258" s="1942"/>
      <c r="BA258" s="1942"/>
      <c r="BB258" s="575"/>
      <c r="BC258" s="584"/>
      <c r="BD258" s="678"/>
      <c r="BE258" s="585"/>
    </row>
    <row r="259" spans="1:57" s="51" customFormat="1" hidden="1" outlineLevel="1" x14ac:dyDescent="0.25">
      <c r="A259" s="1267"/>
      <c r="B259" s="228"/>
      <c r="C259" s="328"/>
      <c r="D259" s="4018"/>
      <c r="E259" s="4124"/>
      <c r="F259" s="4093" t="str">
        <f t="shared" si="49"/>
        <v>CAC-SEER20_ROF_SF</v>
      </c>
      <c r="G259" s="4094"/>
      <c r="H259" s="4095"/>
      <c r="I259" s="3155" t="str">
        <f t="shared" si="50"/>
        <v>351181_2021_12_</v>
      </c>
      <c r="J259" s="699">
        <v>869</v>
      </c>
      <c r="K259" s="1872"/>
      <c r="L259" s="4097"/>
      <c r="M259" s="123"/>
      <c r="N259" s="1544"/>
      <c r="O259" s="147"/>
      <c r="P259" s="147"/>
      <c r="Q259" s="147"/>
      <c r="R259" s="147"/>
      <c r="S259" s="147"/>
      <c r="T259" s="147"/>
      <c r="U259" s="123"/>
      <c r="V259" s="4005"/>
      <c r="W259" s="2857"/>
      <c r="X259" s="2857"/>
      <c r="Y259" s="2857"/>
      <c r="Z259" s="3155">
        <v>869</v>
      </c>
      <c r="AA259" s="2857">
        <v>869</v>
      </c>
      <c r="AB259" s="699">
        <v>869</v>
      </c>
      <c r="AC259" s="699">
        <v>869</v>
      </c>
      <c r="AD259" s="2857"/>
      <c r="AE259" s="2857"/>
      <c r="AF259" s="2857"/>
      <c r="AG259" s="2857"/>
      <c r="AH259" s="1942"/>
      <c r="AI259" s="1942"/>
      <c r="AJ259" s="1942"/>
      <c r="AK259" s="1942"/>
      <c r="AL259" s="1942"/>
      <c r="AM259" s="1942"/>
      <c r="AN259" s="1942"/>
      <c r="AO259" s="1942"/>
      <c r="AP259" s="1942"/>
      <c r="AQ259" s="1942"/>
      <c r="AR259" s="1942"/>
      <c r="AS259" s="1942"/>
      <c r="AT259" s="1942"/>
      <c r="AU259" s="1942"/>
      <c r="AV259" s="1942"/>
      <c r="AW259" s="1942"/>
      <c r="AX259" s="1942"/>
      <c r="AY259" s="1942"/>
      <c r="AZ259" s="1942"/>
      <c r="BA259" s="1942"/>
      <c r="BB259" s="575"/>
      <c r="BC259" s="584"/>
      <c r="BD259" s="678"/>
      <c r="BE259" s="585"/>
    </row>
    <row r="260" spans="1:57" s="51" customFormat="1" ht="15" hidden="1" customHeight="1" outlineLevel="1" x14ac:dyDescent="0.25">
      <c r="A260" s="1267"/>
      <c r="B260" s="228"/>
      <c r="C260" s="328"/>
      <c r="D260" s="4018"/>
      <c r="E260" s="4124"/>
      <c r="F260" s="4093" t="str">
        <f t="shared" si="49"/>
        <v>CAC-SEER20_ER1_MF</v>
      </c>
      <c r="G260" s="4094"/>
      <c r="H260" s="4095"/>
      <c r="I260" s="3155" t="str">
        <f t="shared" si="50"/>
        <v>351182_2021_12_</v>
      </c>
      <c r="J260" s="699">
        <v>869</v>
      </c>
      <c r="K260" s="1872"/>
      <c r="L260" s="4097"/>
      <c r="M260" s="123"/>
      <c r="N260" s="1544"/>
      <c r="O260" s="123"/>
      <c r="P260" s="123"/>
      <c r="Q260" s="123"/>
      <c r="R260" s="123"/>
      <c r="S260" s="123"/>
      <c r="T260" s="123"/>
      <c r="U260" s="123"/>
      <c r="V260" s="4005"/>
      <c r="W260" s="2857"/>
      <c r="X260" s="3155"/>
      <c r="Y260" s="3155"/>
      <c r="Z260" s="3155">
        <v>869</v>
      </c>
      <c r="AA260" s="2857">
        <v>869</v>
      </c>
      <c r="AB260" s="699">
        <v>869</v>
      </c>
      <c r="AC260" s="699">
        <v>869</v>
      </c>
      <c r="AD260" s="2857"/>
      <c r="AE260" s="2857"/>
      <c r="AF260" s="2857"/>
      <c r="AG260" s="2857"/>
      <c r="AH260" s="1942"/>
      <c r="AI260" s="1942"/>
      <c r="AJ260" s="1942"/>
      <c r="AK260" s="1942"/>
      <c r="AL260" s="1942"/>
      <c r="AM260" s="1942"/>
      <c r="AN260" s="1942"/>
      <c r="AO260" s="1942"/>
      <c r="AP260" s="1942"/>
      <c r="AQ260" s="1942"/>
      <c r="AR260" s="1942"/>
      <c r="AS260" s="1942"/>
      <c r="AT260" s="1942"/>
      <c r="AU260" s="1942"/>
      <c r="AV260" s="1942"/>
      <c r="AW260" s="1942"/>
      <c r="AX260" s="1942"/>
      <c r="AY260" s="1942"/>
      <c r="AZ260" s="1942"/>
      <c r="BA260" s="1942"/>
      <c r="BB260" s="575"/>
      <c r="BC260" s="584"/>
      <c r="BD260" s="678"/>
      <c r="BE260" s="585"/>
    </row>
    <row r="261" spans="1:57" s="51" customFormat="1" hidden="1" outlineLevel="1" x14ac:dyDescent="0.25">
      <c r="A261" s="1267"/>
      <c r="B261" s="228"/>
      <c r="C261" s="328"/>
      <c r="D261" s="4018"/>
      <c r="E261" s="4124"/>
      <c r="F261" s="4093" t="str">
        <f t="shared" si="49"/>
        <v>CAC-SEER20_ER2_MF</v>
      </c>
      <c r="G261" s="4094"/>
      <c r="H261" s="4095"/>
      <c r="I261" s="3155" t="str">
        <f t="shared" si="50"/>
        <v>351182_2021_12_</v>
      </c>
      <c r="J261" s="699">
        <v>869</v>
      </c>
      <c r="K261" s="1872"/>
      <c r="L261" s="4097"/>
      <c r="M261" s="123"/>
      <c r="N261" s="1544"/>
      <c r="O261" s="123"/>
      <c r="P261" s="123"/>
      <c r="Q261" s="123"/>
      <c r="R261" s="123"/>
      <c r="S261" s="123"/>
      <c r="T261" s="123"/>
      <c r="U261" s="123"/>
      <c r="V261" s="4005"/>
      <c r="W261" s="2857"/>
      <c r="X261" s="3155"/>
      <c r="Y261" s="3155"/>
      <c r="Z261" s="3155">
        <v>869</v>
      </c>
      <c r="AA261" s="2857">
        <v>869</v>
      </c>
      <c r="AB261" s="699">
        <v>869</v>
      </c>
      <c r="AC261" s="699">
        <v>869</v>
      </c>
      <c r="AD261" s="2857"/>
      <c r="AE261" s="2857"/>
      <c r="AF261" s="2857"/>
      <c r="AG261" s="2857"/>
      <c r="AH261" s="1942"/>
      <c r="AI261" s="1942"/>
      <c r="AJ261" s="1942"/>
      <c r="AK261" s="1942"/>
      <c r="AL261" s="1942"/>
      <c r="AM261" s="1942"/>
      <c r="AN261" s="1942"/>
      <c r="AO261" s="1942"/>
      <c r="AP261" s="1942"/>
      <c r="AQ261" s="1942"/>
      <c r="AR261" s="1942"/>
      <c r="AS261" s="1942"/>
      <c r="AT261" s="1942"/>
      <c r="AU261" s="1942"/>
      <c r="AV261" s="1942"/>
      <c r="AW261" s="1942"/>
      <c r="AX261" s="1942"/>
      <c r="AY261" s="1942"/>
      <c r="AZ261" s="1942"/>
      <c r="BA261" s="1942"/>
      <c r="BB261" s="575"/>
      <c r="BC261" s="584"/>
      <c r="BD261" s="678"/>
      <c r="BE261" s="585"/>
    </row>
    <row r="262" spans="1:57" s="51" customFormat="1" hidden="1" outlineLevel="1" x14ac:dyDescent="0.25">
      <c r="A262" s="1267"/>
      <c r="B262" s="228"/>
      <c r="C262" s="328"/>
      <c r="D262" s="4018"/>
      <c r="E262" s="4124"/>
      <c r="F262" s="4093" t="str">
        <f t="shared" si="49"/>
        <v>CAC-SEER20_ER1_MF_CompE</v>
      </c>
      <c r="G262" s="4094"/>
      <c r="H262" s="4095"/>
      <c r="I262" s="3155" t="str">
        <f t="shared" si="50"/>
        <v>351183_2021_12_</v>
      </c>
      <c r="J262" s="699">
        <f>$J$208</f>
        <v>632</v>
      </c>
      <c r="K262" s="1872"/>
      <c r="L262" s="4097"/>
      <c r="M262" s="123"/>
      <c r="N262" s="1544"/>
      <c r="O262" s="123"/>
      <c r="P262" s="123"/>
      <c r="Q262" s="123"/>
      <c r="R262" s="123"/>
      <c r="S262" s="123"/>
      <c r="T262" s="123"/>
      <c r="U262" s="123"/>
      <c r="V262" s="4005"/>
      <c r="W262" s="2857"/>
      <c r="X262" s="3155"/>
      <c r="Y262" s="3155"/>
      <c r="Z262" s="3155">
        <v>632</v>
      </c>
      <c r="AA262" s="2857">
        <v>632</v>
      </c>
      <c r="AB262" s="699">
        <v>632</v>
      </c>
      <c r="AC262" s="699">
        <v>632</v>
      </c>
      <c r="AD262" s="2857"/>
      <c r="AE262" s="2857"/>
      <c r="AF262" s="2857"/>
      <c r="AG262" s="2857"/>
      <c r="AH262" s="1942"/>
      <c r="AI262" s="1942"/>
      <c r="AJ262" s="1942"/>
      <c r="AK262" s="1942"/>
      <c r="AL262" s="1942"/>
      <c r="AM262" s="1942"/>
      <c r="AN262" s="1942"/>
      <c r="AO262" s="1942"/>
      <c r="AP262" s="1942"/>
      <c r="AQ262" s="1942"/>
      <c r="AR262" s="1942"/>
      <c r="AS262" s="1942"/>
      <c r="AT262" s="1942"/>
      <c r="AU262" s="1942"/>
      <c r="AV262" s="1942"/>
      <c r="AW262" s="1942"/>
      <c r="AX262" s="1942"/>
      <c r="AY262" s="1942"/>
      <c r="AZ262" s="1942"/>
      <c r="BA262" s="1942"/>
      <c r="BB262" s="575"/>
      <c r="BC262" s="584"/>
      <c r="BD262" s="678"/>
      <c r="BE262" s="585"/>
    </row>
    <row r="263" spans="1:57" s="51" customFormat="1" hidden="1" outlineLevel="1" x14ac:dyDescent="0.25">
      <c r="A263" s="1267"/>
      <c r="B263" s="228"/>
      <c r="C263" s="328"/>
      <c r="D263" s="4018"/>
      <c r="E263" s="4124"/>
      <c r="F263" s="4093" t="str">
        <f t="shared" si="49"/>
        <v>CAC-SEER20_ER2_MF_CompE</v>
      </c>
      <c r="G263" s="4094"/>
      <c r="H263" s="4095"/>
      <c r="I263" s="3155" t="str">
        <f t="shared" si="50"/>
        <v>351183_2021_12_</v>
      </c>
      <c r="J263" s="699">
        <f>$J$208</f>
        <v>632</v>
      </c>
      <c r="K263" s="1872"/>
      <c r="L263" s="4097"/>
      <c r="M263" s="123"/>
      <c r="N263" s="1544"/>
      <c r="O263" s="123"/>
      <c r="P263" s="123"/>
      <c r="Q263" s="123"/>
      <c r="R263" s="123"/>
      <c r="S263" s="123"/>
      <c r="T263" s="123"/>
      <c r="U263" s="123"/>
      <c r="V263" s="4005"/>
      <c r="W263" s="2857"/>
      <c r="X263" s="3155"/>
      <c r="Y263" s="3155"/>
      <c r="Z263" s="3155">
        <v>632</v>
      </c>
      <c r="AA263" s="2857">
        <v>632</v>
      </c>
      <c r="AB263" s="699">
        <v>632</v>
      </c>
      <c r="AC263" s="699">
        <v>632</v>
      </c>
      <c r="AD263" s="2857"/>
      <c r="AE263" s="2857"/>
      <c r="AF263" s="2857"/>
      <c r="AG263" s="2857"/>
      <c r="AH263" s="1942"/>
      <c r="AI263" s="1942"/>
      <c r="AJ263" s="1942"/>
      <c r="AK263" s="1942"/>
      <c r="AL263" s="1942"/>
      <c r="AM263" s="1942"/>
      <c r="AN263" s="1942"/>
      <c r="AO263" s="1942"/>
      <c r="AP263" s="1942"/>
      <c r="AQ263" s="1942"/>
      <c r="AR263" s="1942"/>
      <c r="AS263" s="1942"/>
      <c r="AT263" s="1942"/>
      <c r="AU263" s="1942"/>
      <c r="AV263" s="1942"/>
      <c r="AW263" s="1942"/>
      <c r="AX263" s="1942"/>
      <c r="AY263" s="1942"/>
      <c r="AZ263" s="1942"/>
      <c r="BA263" s="1942"/>
      <c r="BB263" s="575"/>
      <c r="BC263" s="584"/>
      <c r="BD263" s="678"/>
      <c r="BE263" s="585"/>
    </row>
    <row r="264" spans="1:57" s="51" customFormat="1" hidden="1" outlineLevel="1" x14ac:dyDescent="0.25">
      <c r="A264" s="1267"/>
      <c r="B264" s="228"/>
      <c r="C264" s="328"/>
      <c r="D264" s="4018"/>
      <c r="E264" s="4124"/>
      <c r="F264" s="4093" t="str">
        <f t="shared" si="49"/>
        <v>CAC-SEER20_ROF_MF</v>
      </c>
      <c r="G264" s="4094"/>
      <c r="H264" s="4095"/>
      <c r="I264" s="3155" t="str">
        <f t="shared" si="50"/>
        <v>351184_2021_12_</v>
      </c>
      <c r="J264" s="699">
        <v>869</v>
      </c>
      <c r="K264" s="1872"/>
      <c r="L264" s="4097"/>
      <c r="M264" s="123"/>
      <c r="N264" s="1544"/>
      <c r="O264" s="123"/>
      <c r="P264" s="123"/>
      <c r="Q264" s="123"/>
      <c r="R264" s="123"/>
      <c r="S264" s="123"/>
      <c r="T264" s="123"/>
      <c r="U264" s="123"/>
      <c r="V264" s="4005"/>
      <c r="W264" s="2857"/>
      <c r="X264" s="3155"/>
      <c r="Y264" s="2857"/>
      <c r="Z264" s="3155">
        <v>869</v>
      </c>
      <c r="AA264" s="2857">
        <v>869</v>
      </c>
      <c r="AB264" s="699">
        <v>869</v>
      </c>
      <c r="AC264" s="699">
        <v>869</v>
      </c>
      <c r="AD264" s="2857"/>
      <c r="AE264" s="2857"/>
      <c r="AF264" s="2857"/>
      <c r="AG264" s="2857"/>
      <c r="AH264" s="1942"/>
      <c r="AI264" s="1942"/>
      <c r="AJ264" s="1942"/>
      <c r="AK264" s="1942"/>
      <c r="AL264" s="1942"/>
      <c r="AM264" s="1942"/>
      <c r="AN264" s="1942"/>
      <c r="AO264" s="1942"/>
      <c r="AP264" s="1942"/>
      <c r="AQ264" s="1942"/>
      <c r="AR264" s="1942"/>
      <c r="AS264" s="1942"/>
      <c r="AT264" s="1942"/>
      <c r="AU264" s="1942"/>
      <c r="AV264" s="1942"/>
      <c r="AW264" s="1942"/>
      <c r="AX264" s="1942"/>
      <c r="AY264" s="1942"/>
      <c r="AZ264" s="1942"/>
      <c r="BA264" s="1942"/>
      <c r="BB264" s="575"/>
      <c r="BC264" s="584"/>
      <c r="BD264" s="678"/>
      <c r="BE264" s="585"/>
    </row>
    <row r="265" spans="1:57" s="51" customFormat="1" hidden="1" outlineLevel="1" x14ac:dyDescent="0.25">
      <c r="A265" s="1267"/>
      <c r="B265" s="228"/>
      <c r="C265" s="328"/>
      <c r="D265" s="4018"/>
      <c r="E265" s="4124"/>
      <c r="F265" s="4093" t="str">
        <f t="shared" si="49"/>
        <v>CAC-SEER20_ROF_MF_CompE</v>
      </c>
      <c r="G265" s="4094"/>
      <c r="H265" s="4095"/>
      <c r="I265" s="3155" t="str">
        <f t="shared" si="50"/>
        <v>351185_2021_12_</v>
      </c>
      <c r="J265" s="699">
        <f>$J$208</f>
        <v>632</v>
      </c>
      <c r="K265" s="1872"/>
      <c r="L265" s="4097"/>
      <c r="M265" s="123"/>
      <c r="N265" s="1544"/>
      <c r="O265" s="123"/>
      <c r="P265" s="123"/>
      <c r="Q265" s="123"/>
      <c r="R265" s="123"/>
      <c r="S265" s="123"/>
      <c r="T265" s="123"/>
      <c r="U265" s="123"/>
      <c r="V265" s="4005"/>
      <c r="W265" s="2857"/>
      <c r="X265" s="3155"/>
      <c r="Y265" s="3155"/>
      <c r="Z265" s="3155">
        <v>632</v>
      </c>
      <c r="AA265" s="2857">
        <v>632</v>
      </c>
      <c r="AB265" s="699">
        <v>632</v>
      </c>
      <c r="AC265" s="699">
        <v>632</v>
      </c>
      <c r="AD265" s="2857"/>
      <c r="AE265" s="2857"/>
      <c r="AF265" s="2857"/>
      <c r="AG265" s="2857"/>
      <c r="AH265" s="1942"/>
      <c r="AI265" s="1942"/>
      <c r="AJ265" s="1942"/>
      <c r="AK265" s="1942"/>
      <c r="AL265" s="1942"/>
      <c r="AM265" s="1942"/>
      <c r="AN265" s="1942"/>
      <c r="AO265" s="1942"/>
      <c r="AP265" s="1942"/>
      <c r="AQ265" s="1942"/>
      <c r="AR265" s="1942"/>
      <c r="AS265" s="1942"/>
      <c r="AT265" s="1942"/>
      <c r="AU265" s="1942"/>
      <c r="AV265" s="1942"/>
      <c r="AW265" s="1942"/>
      <c r="AX265" s="1942"/>
      <c r="AY265" s="1942"/>
      <c r="AZ265" s="1942"/>
      <c r="BA265" s="1942"/>
      <c r="BB265" s="575"/>
      <c r="BC265" s="584"/>
      <c r="BD265" s="678"/>
      <c r="BE265" s="585"/>
    </row>
    <row r="266" spans="1:57" s="51" customFormat="1" hidden="1" outlineLevel="1" x14ac:dyDescent="0.25">
      <c r="A266" s="1267"/>
      <c r="B266" s="228"/>
      <c r="C266" s="328"/>
      <c r="D266" s="4018"/>
      <c r="E266" s="4124"/>
      <c r="F266" s="4093" t="str">
        <f t="shared" si="49"/>
        <v>CAC-SEER21+_ER1_SF</v>
      </c>
      <c r="G266" s="4094"/>
      <c r="H266" s="4095"/>
      <c r="I266" s="3155" t="str">
        <f t="shared" si="50"/>
        <v>351190_2021_12_</v>
      </c>
      <c r="J266" s="699">
        <v>869</v>
      </c>
      <c r="K266" s="1872"/>
      <c r="L266" s="4097"/>
      <c r="M266" s="123"/>
      <c r="N266" s="1544"/>
      <c r="O266" s="123"/>
      <c r="P266" s="123"/>
      <c r="Q266" s="123"/>
      <c r="R266" s="123"/>
      <c r="S266" s="123"/>
      <c r="T266" s="123"/>
      <c r="U266" s="123"/>
      <c r="V266" s="4005"/>
      <c r="W266" s="2857"/>
      <c r="X266" s="2857"/>
      <c r="Y266" s="2857"/>
      <c r="Z266" s="3155">
        <v>869</v>
      </c>
      <c r="AA266" s="2857">
        <v>869</v>
      </c>
      <c r="AB266" s="699">
        <v>869</v>
      </c>
      <c r="AC266" s="699">
        <v>869</v>
      </c>
      <c r="AD266" s="2857"/>
      <c r="AE266" s="2857"/>
      <c r="AF266" s="2857"/>
      <c r="AG266" s="2857"/>
      <c r="AH266" s="1942"/>
      <c r="AI266" s="1942"/>
      <c r="AJ266" s="1942"/>
      <c r="AK266" s="1942"/>
      <c r="AL266" s="1942"/>
      <c r="AM266" s="1942"/>
      <c r="AN266" s="1942"/>
      <c r="AO266" s="1942"/>
      <c r="AP266" s="1942"/>
      <c r="AQ266" s="1942"/>
      <c r="AR266" s="1942"/>
      <c r="AS266" s="1942"/>
      <c r="AT266" s="1942"/>
      <c r="AU266" s="1942"/>
      <c r="AV266" s="1942"/>
      <c r="AW266" s="1942"/>
      <c r="AX266" s="1942"/>
      <c r="AY266" s="1942"/>
      <c r="AZ266" s="1942"/>
      <c r="BA266" s="1942"/>
      <c r="BB266" s="575"/>
      <c r="BC266" s="584"/>
      <c r="BD266" s="678"/>
      <c r="BE266" s="585"/>
    </row>
    <row r="267" spans="1:57" s="51" customFormat="1" hidden="1" outlineLevel="1" x14ac:dyDescent="0.25">
      <c r="A267" s="1267"/>
      <c r="B267" s="228"/>
      <c r="C267" s="328"/>
      <c r="D267" s="4018"/>
      <c r="E267" s="4124"/>
      <c r="F267" s="4093" t="str">
        <f t="shared" si="49"/>
        <v>CAC-SEER21+_ER2_SF</v>
      </c>
      <c r="G267" s="4094"/>
      <c r="H267" s="4095"/>
      <c r="I267" s="3155" t="str">
        <f t="shared" si="50"/>
        <v>351190_2021_12_</v>
      </c>
      <c r="J267" s="699">
        <v>869</v>
      </c>
      <c r="K267" s="1872"/>
      <c r="L267" s="4097"/>
      <c r="M267" s="123"/>
      <c r="N267" s="1544"/>
      <c r="O267" s="123"/>
      <c r="P267" s="123"/>
      <c r="Q267" s="123"/>
      <c r="R267" s="123"/>
      <c r="S267" s="123"/>
      <c r="T267" s="123"/>
      <c r="U267" s="123"/>
      <c r="V267" s="4005"/>
      <c r="W267" s="2857"/>
      <c r="X267" s="2857"/>
      <c r="Y267" s="2857"/>
      <c r="Z267" s="3155">
        <v>869</v>
      </c>
      <c r="AA267" s="2857">
        <v>869</v>
      </c>
      <c r="AB267" s="699">
        <v>869</v>
      </c>
      <c r="AC267" s="699">
        <v>869</v>
      </c>
      <c r="AD267" s="2857"/>
      <c r="AE267" s="2857"/>
      <c r="AF267" s="2857"/>
      <c r="AG267" s="2857"/>
      <c r="AH267" s="1942"/>
      <c r="AI267" s="1942"/>
      <c r="AJ267" s="1942"/>
      <c r="AK267" s="1942"/>
      <c r="AL267" s="1942"/>
      <c r="AM267" s="1942"/>
      <c r="AN267" s="1942"/>
      <c r="AO267" s="1942"/>
      <c r="AP267" s="1942"/>
      <c r="AQ267" s="1942"/>
      <c r="AR267" s="1942"/>
      <c r="AS267" s="1942"/>
      <c r="AT267" s="1942"/>
      <c r="AU267" s="1942"/>
      <c r="AV267" s="1942"/>
      <c r="AW267" s="1942"/>
      <c r="AX267" s="1942"/>
      <c r="AY267" s="1942"/>
      <c r="AZ267" s="1942"/>
      <c r="BA267" s="1942"/>
      <c r="BB267" s="575"/>
      <c r="BC267" s="584"/>
      <c r="BD267" s="678"/>
      <c r="BE267" s="585"/>
    </row>
    <row r="268" spans="1:57" s="51" customFormat="1" hidden="1" outlineLevel="1" x14ac:dyDescent="0.25">
      <c r="A268" s="1267"/>
      <c r="B268" s="228"/>
      <c r="C268" s="328"/>
      <c r="D268" s="4018"/>
      <c r="E268" s="4124"/>
      <c r="F268" s="4093" t="str">
        <f t="shared" si="49"/>
        <v>CAC-SEER21+_ROF_SF</v>
      </c>
      <c r="G268" s="4094"/>
      <c r="H268" s="4095"/>
      <c r="I268" s="3155" t="str">
        <f t="shared" si="50"/>
        <v>351191_2021_12_</v>
      </c>
      <c r="J268" s="699">
        <v>869</v>
      </c>
      <c r="K268" s="1872"/>
      <c r="L268" s="4097"/>
      <c r="M268" s="123"/>
      <c r="N268" s="1544"/>
      <c r="O268" s="123"/>
      <c r="P268" s="123"/>
      <c r="Q268" s="123"/>
      <c r="R268" s="123"/>
      <c r="S268" s="123"/>
      <c r="T268" s="123"/>
      <c r="U268" s="123"/>
      <c r="V268" s="4005"/>
      <c r="W268" s="2857"/>
      <c r="X268" s="2857"/>
      <c r="Y268" s="2857"/>
      <c r="Z268" s="3155">
        <v>869</v>
      </c>
      <c r="AA268" s="2857">
        <v>869</v>
      </c>
      <c r="AB268" s="699">
        <v>869</v>
      </c>
      <c r="AC268" s="699">
        <v>869</v>
      </c>
      <c r="AD268" s="2857"/>
      <c r="AE268" s="2857"/>
      <c r="AF268" s="2857"/>
      <c r="AG268" s="2857"/>
      <c r="AH268" s="1942"/>
      <c r="AI268" s="1942"/>
      <c r="AJ268" s="1942"/>
      <c r="AK268" s="1942"/>
      <c r="AL268" s="1942"/>
      <c r="AM268" s="1942"/>
      <c r="AN268" s="1942"/>
      <c r="AO268" s="1942"/>
      <c r="AP268" s="1942"/>
      <c r="AQ268" s="1942"/>
      <c r="AR268" s="1942"/>
      <c r="AS268" s="1942"/>
      <c r="AT268" s="1942"/>
      <c r="AU268" s="1942"/>
      <c r="AV268" s="1942"/>
      <c r="AW268" s="1942"/>
      <c r="AX268" s="1942"/>
      <c r="AY268" s="1942"/>
      <c r="AZ268" s="1942"/>
      <c r="BA268" s="1942"/>
      <c r="BB268" s="575"/>
      <c r="BC268" s="584"/>
      <c r="BD268" s="678"/>
      <c r="BE268" s="585"/>
    </row>
    <row r="269" spans="1:57" s="51" customFormat="1" hidden="1" outlineLevel="1" x14ac:dyDescent="0.25">
      <c r="A269" s="1267"/>
      <c r="B269" s="228"/>
      <c r="C269" s="328"/>
      <c r="D269" s="4018"/>
      <c r="E269" s="4124"/>
      <c r="F269" s="4093" t="str">
        <f t="shared" si="49"/>
        <v>CAC-SEER21+_ER1_MF</v>
      </c>
      <c r="G269" s="4094"/>
      <c r="H269" s="4095"/>
      <c r="I269" s="3155" t="str">
        <f t="shared" si="50"/>
        <v>351192_2021_12_</v>
      </c>
      <c r="J269" s="699">
        <v>869</v>
      </c>
      <c r="K269" s="1872"/>
      <c r="L269" s="4097"/>
      <c r="M269" s="123"/>
      <c r="N269" s="1544"/>
      <c r="O269" s="123"/>
      <c r="P269" s="123"/>
      <c r="Q269" s="123"/>
      <c r="R269" s="123"/>
      <c r="S269" s="123"/>
      <c r="T269" s="123"/>
      <c r="U269" s="123"/>
      <c r="V269" s="4005"/>
      <c r="W269" s="2857"/>
      <c r="X269" s="2857"/>
      <c r="Y269" s="2857"/>
      <c r="Z269" s="3155">
        <v>869</v>
      </c>
      <c r="AA269" s="2857">
        <v>869</v>
      </c>
      <c r="AB269" s="699">
        <v>869</v>
      </c>
      <c r="AC269" s="699">
        <v>869</v>
      </c>
      <c r="AD269" s="2857"/>
      <c r="AE269" s="2857"/>
      <c r="AF269" s="2857"/>
      <c r="AG269" s="2857"/>
      <c r="AH269" s="1942"/>
      <c r="AI269" s="1942"/>
      <c r="AJ269" s="1942"/>
      <c r="AK269" s="1942"/>
      <c r="AL269" s="1942"/>
      <c r="AM269" s="1942"/>
      <c r="AN269" s="1942"/>
      <c r="AO269" s="1942"/>
      <c r="AP269" s="1942"/>
      <c r="AQ269" s="1942"/>
      <c r="AR269" s="1942"/>
      <c r="AS269" s="1942"/>
      <c r="AT269" s="1942"/>
      <c r="AU269" s="1942"/>
      <c r="AV269" s="1942"/>
      <c r="AW269" s="1942"/>
      <c r="AX269" s="1942"/>
      <c r="AY269" s="1942"/>
      <c r="AZ269" s="1942"/>
      <c r="BA269" s="1942"/>
      <c r="BB269" s="575"/>
      <c r="BC269" s="584"/>
      <c r="BD269" s="678"/>
      <c r="BE269" s="585"/>
    </row>
    <row r="270" spans="1:57" s="51" customFormat="1" ht="14.45" hidden="1" customHeight="1" outlineLevel="1" x14ac:dyDescent="0.25">
      <c r="A270" s="1267"/>
      <c r="B270" s="228"/>
      <c r="C270" s="328"/>
      <c r="D270" s="4018"/>
      <c r="E270" s="4124"/>
      <c r="F270" s="4093" t="str">
        <f t="shared" si="49"/>
        <v>CAC-SEER21+_ER2_MF</v>
      </c>
      <c r="G270" s="4094"/>
      <c r="H270" s="4095"/>
      <c r="I270" s="3155" t="str">
        <f t="shared" si="50"/>
        <v>351192_2021_12_</v>
      </c>
      <c r="J270" s="699">
        <v>869</v>
      </c>
      <c r="K270" s="1872"/>
      <c r="L270" s="4097"/>
      <c r="M270" s="123"/>
      <c r="N270" s="1544"/>
      <c r="O270" s="123"/>
      <c r="P270" s="123"/>
      <c r="Q270" s="123"/>
      <c r="R270" s="123"/>
      <c r="S270" s="123"/>
      <c r="T270" s="123"/>
      <c r="U270" s="123"/>
      <c r="V270" s="4005"/>
      <c r="W270" s="2857"/>
      <c r="X270" s="2857"/>
      <c r="Y270" s="2857"/>
      <c r="Z270" s="3155">
        <v>869</v>
      </c>
      <c r="AA270" s="2857">
        <v>869</v>
      </c>
      <c r="AB270" s="699">
        <v>869</v>
      </c>
      <c r="AC270" s="699">
        <v>869</v>
      </c>
      <c r="AD270" s="2857"/>
      <c r="AE270" s="2857"/>
      <c r="AF270" s="2857"/>
      <c r="AG270" s="2857"/>
      <c r="AH270" s="1942"/>
      <c r="AI270" s="1942"/>
      <c r="AJ270" s="1942"/>
      <c r="AK270" s="1942"/>
      <c r="AL270" s="1942"/>
      <c r="AM270" s="1942"/>
      <c r="AN270" s="1942"/>
      <c r="AO270" s="1942"/>
      <c r="AP270" s="1942"/>
      <c r="AQ270" s="1942"/>
      <c r="AR270" s="1942"/>
      <c r="AS270" s="1942"/>
      <c r="AT270" s="1942"/>
      <c r="AU270" s="1942"/>
      <c r="AV270" s="1942"/>
      <c r="AW270" s="1942"/>
      <c r="AX270" s="1942"/>
      <c r="AY270" s="1942"/>
      <c r="AZ270" s="1942"/>
      <c r="BA270" s="1942"/>
      <c r="BB270" s="575"/>
      <c r="BC270" s="584"/>
      <c r="BD270" s="678"/>
      <c r="BE270" s="585"/>
    </row>
    <row r="271" spans="1:57" s="51" customFormat="1" ht="14.45" hidden="1" customHeight="1" outlineLevel="1" x14ac:dyDescent="0.25">
      <c r="A271" s="1267"/>
      <c r="B271" s="228"/>
      <c r="C271" s="328"/>
      <c r="D271" s="4018"/>
      <c r="E271" s="4124"/>
      <c r="F271" s="4093" t="str">
        <f t="shared" si="49"/>
        <v>CAC-SEER21+_ER1_MF_CompE</v>
      </c>
      <c r="G271" s="4094"/>
      <c r="H271" s="4095"/>
      <c r="I271" s="3155" t="str">
        <f t="shared" si="50"/>
        <v>351193_2021_12_</v>
      </c>
      <c r="J271" s="699">
        <f>$J$208</f>
        <v>632</v>
      </c>
      <c r="K271" s="1874"/>
      <c r="L271" s="4097"/>
      <c r="M271" s="123"/>
      <c r="N271" s="1544"/>
      <c r="O271" s="123"/>
      <c r="P271" s="123"/>
      <c r="Q271" s="123"/>
      <c r="R271" s="123"/>
      <c r="S271" s="123"/>
      <c r="T271" s="123"/>
      <c r="U271" s="123"/>
      <c r="V271" s="4005"/>
      <c r="W271" s="693"/>
      <c r="X271" s="693"/>
      <c r="Y271" s="692"/>
      <c r="Z271" s="692">
        <v>632</v>
      </c>
      <c r="AA271" s="693">
        <v>632</v>
      </c>
      <c r="AB271" s="699">
        <v>632</v>
      </c>
      <c r="AC271" s="699">
        <v>632</v>
      </c>
      <c r="AD271" s="693"/>
      <c r="AE271" s="693"/>
      <c r="AF271" s="693"/>
      <c r="AG271" s="693"/>
      <c r="AH271" s="1942"/>
      <c r="AI271" s="1942"/>
      <c r="AJ271" s="1942"/>
      <c r="AK271" s="1942"/>
      <c r="AL271" s="1942"/>
      <c r="AM271" s="1942"/>
      <c r="AN271" s="1942"/>
      <c r="AO271" s="1942"/>
      <c r="AP271" s="1942"/>
      <c r="AQ271" s="1942"/>
      <c r="AR271" s="1942"/>
      <c r="AS271" s="1942"/>
      <c r="AT271" s="1942"/>
      <c r="AU271" s="1942"/>
      <c r="AV271" s="1942"/>
      <c r="AW271" s="1942"/>
      <c r="AX271" s="1942"/>
      <c r="AY271" s="1942"/>
      <c r="AZ271" s="1942"/>
      <c r="BA271" s="1942"/>
      <c r="BB271" s="575"/>
      <c r="BC271" s="584"/>
      <c r="BD271" s="678"/>
      <c r="BE271" s="585"/>
    </row>
    <row r="272" spans="1:57" s="51" customFormat="1" ht="14.45" hidden="1" customHeight="1" outlineLevel="1" x14ac:dyDescent="0.25">
      <c r="A272" s="1267"/>
      <c r="B272" s="228"/>
      <c r="C272" s="328"/>
      <c r="D272" s="4018"/>
      <c r="E272" s="4124"/>
      <c r="F272" s="4093" t="str">
        <f t="shared" si="49"/>
        <v>CAC-SEER21+_ER2_MF_CompE</v>
      </c>
      <c r="G272" s="4094"/>
      <c r="H272" s="4095"/>
      <c r="I272" s="3155" t="str">
        <f t="shared" si="50"/>
        <v>351193_2021_12_</v>
      </c>
      <c r="J272" s="699">
        <f>$J$208</f>
        <v>632</v>
      </c>
      <c r="K272" s="1874"/>
      <c r="L272" s="4097"/>
      <c r="M272" s="123"/>
      <c r="N272" s="1544"/>
      <c r="O272" s="123"/>
      <c r="P272" s="123"/>
      <c r="Q272" s="123"/>
      <c r="R272" s="123"/>
      <c r="S272" s="123"/>
      <c r="T272" s="123"/>
      <c r="U272" s="123"/>
      <c r="V272" s="4005"/>
      <c r="W272" s="693"/>
      <c r="X272" s="693"/>
      <c r="Y272" s="692"/>
      <c r="Z272" s="692">
        <v>632</v>
      </c>
      <c r="AA272" s="693">
        <v>632</v>
      </c>
      <c r="AB272" s="699">
        <v>632</v>
      </c>
      <c r="AC272" s="699">
        <v>632</v>
      </c>
      <c r="AD272" s="693"/>
      <c r="AE272" s="693"/>
      <c r="AF272" s="693"/>
      <c r="AG272" s="693"/>
      <c r="AH272" s="1942"/>
      <c r="AI272" s="1942"/>
      <c r="AJ272" s="1942"/>
      <c r="AK272" s="1942"/>
      <c r="AL272" s="1942"/>
      <c r="AM272" s="1942"/>
      <c r="AN272" s="1942"/>
      <c r="AO272" s="1942"/>
      <c r="AP272" s="1942"/>
      <c r="AQ272" s="1942"/>
      <c r="AR272" s="1942"/>
      <c r="AS272" s="1942"/>
      <c r="AT272" s="1942"/>
      <c r="AU272" s="1942"/>
      <c r="AV272" s="1942"/>
      <c r="AW272" s="1942"/>
      <c r="AX272" s="1942"/>
      <c r="AY272" s="1942"/>
      <c r="AZ272" s="1942"/>
      <c r="BA272" s="1942"/>
      <c r="BB272" s="575"/>
      <c r="BC272" s="584"/>
      <c r="BD272" s="678"/>
      <c r="BE272" s="585"/>
    </row>
    <row r="273" spans="1:57" s="51" customFormat="1" ht="15" hidden="1" customHeight="1" outlineLevel="1" x14ac:dyDescent="0.25">
      <c r="A273" s="1267"/>
      <c r="B273" s="228"/>
      <c r="C273" s="328"/>
      <c r="D273" s="4018"/>
      <c r="E273" s="4124"/>
      <c r="F273" s="4093" t="str">
        <f t="shared" si="49"/>
        <v>CAC-SEER21+_ROF_MF</v>
      </c>
      <c r="G273" s="4094"/>
      <c r="H273" s="4095"/>
      <c r="I273" s="3155" t="str">
        <f t="shared" si="50"/>
        <v>351194_2021_12_</v>
      </c>
      <c r="J273" s="1875">
        <v>869</v>
      </c>
      <c r="K273" s="1874"/>
      <c r="L273" s="4097"/>
      <c r="M273" s="123"/>
      <c r="N273" s="1544"/>
      <c r="O273" s="123"/>
      <c r="P273" s="123"/>
      <c r="Q273" s="123"/>
      <c r="R273" s="123"/>
      <c r="S273" s="123"/>
      <c r="T273" s="123"/>
      <c r="U273" s="123"/>
      <c r="V273" s="4005"/>
      <c r="W273" s="2857"/>
      <c r="X273" s="2857"/>
      <c r="Y273" s="2857"/>
      <c r="Z273" s="3155">
        <v>869</v>
      </c>
      <c r="AA273" s="2857">
        <v>869</v>
      </c>
      <c r="AB273" s="1875">
        <v>869</v>
      </c>
      <c r="AC273" s="1875">
        <v>869</v>
      </c>
      <c r="AD273" s="2857"/>
      <c r="AE273" s="2857"/>
      <c r="AF273" s="2857"/>
      <c r="AG273" s="2857"/>
      <c r="AH273" s="1942"/>
      <c r="AI273" s="1942"/>
      <c r="AJ273" s="1942"/>
      <c r="AK273" s="1942"/>
      <c r="AL273" s="1942"/>
      <c r="AM273" s="1942"/>
      <c r="AN273" s="1942"/>
      <c r="AO273" s="1942"/>
      <c r="AP273" s="1942"/>
      <c r="AQ273" s="1942"/>
      <c r="AR273" s="1942"/>
      <c r="AS273" s="1942"/>
      <c r="AT273" s="1942"/>
      <c r="AU273" s="1942"/>
      <c r="AV273" s="1942"/>
      <c r="AW273" s="1942"/>
      <c r="AX273" s="1942"/>
      <c r="AY273" s="1942"/>
      <c r="AZ273" s="1942"/>
      <c r="BA273" s="1942"/>
      <c r="BB273" s="575"/>
      <c r="BC273" s="584"/>
      <c r="BD273" s="678"/>
      <c r="BE273" s="585"/>
    </row>
    <row r="274" spans="1:57" s="51" customFormat="1" ht="15" hidden="1" customHeight="1" outlineLevel="1" thickBot="1" x14ac:dyDescent="0.3">
      <c r="A274" s="1267"/>
      <c r="B274" s="228"/>
      <c r="C274" s="328"/>
      <c r="D274" s="4019"/>
      <c r="E274" s="4125"/>
      <c r="F274" s="4093" t="str">
        <f t="shared" si="49"/>
        <v>CAC-SEER21+_ROF_MF_CompE</v>
      </c>
      <c r="G274" s="4094"/>
      <c r="H274" s="4095"/>
      <c r="I274" s="3156" t="str">
        <f t="shared" si="50"/>
        <v>351195_2021_12_</v>
      </c>
      <c r="J274" s="699">
        <f>$J$208</f>
        <v>632</v>
      </c>
      <c r="K274" s="1877"/>
      <c r="L274" s="4098"/>
      <c r="M274" s="123"/>
      <c r="N274" s="1544"/>
      <c r="O274" s="123"/>
      <c r="P274" s="123"/>
      <c r="Q274" s="123"/>
      <c r="R274" s="123"/>
      <c r="S274" s="123"/>
      <c r="T274" s="123"/>
      <c r="U274" s="123"/>
      <c r="V274" s="4035"/>
      <c r="W274" s="695"/>
      <c r="X274" s="695"/>
      <c r="Y274" s="694"/>
      <c r="Z274" s="694">
        <v>632</v>
      </c>
      <c r="AA274" s="695">
        <v>632</v>
      </c>
      <c r="AB274" s="699">
        <v>632</v>
      </c>
      <c r="AC274" s="699">
        <v>632</v>
      </c>
      <c r="AD274" s="695"/>
      <c r="AE274" s="695"/>
      <c r="AF274" s="695"/>
      <c r="AG274" s="695"/>
      <c r="AH274" s="1942"/>
      <c r="AI274" s="1942"/>
      <c r="AJ274" s="1942"/>
      <c r="AK274" s="1942"/>
      <c r="AL274" s="1942"/>
      <c r="AM274" s="1942"/>
      <c r="AN274" s="1942"/>
      <c r="AO274" s="1942"/>
      <c r="AP274" s="1942"/>
      <c r="AQ274" s="1942"/>
      <c r="AR274" s="1942"/>
      <c r="AS274" s="1942"/>
      <c r="AT274" s="1942"/>
      <c r="AU274" s="1942"/>
      <c r="AV274" s="1942"/>
      <c r="AW274" s="1942"/>
      <c r="AX274" s="1942"/>
      <c r="AY274" s="1942"/>
      <c r="AZ274" s="1942"/>
      <c r="BA274" s="1942"/>
      <c r="BB274" s="575"/>
      <c r="BC274" s="584"/>
      <c r="BD274" s="678"/>
      <c r="BE274" s="585"/>
    </row>
    <row r="275" spans="1:57" s="51" customFormat="1" ht="14.45" hidden="1" customHeight="1" outlineLevel="1" x14ac:dyDescent="0.25">
      <c r="A275" s="1267"/>
      <c r="B275" s="228"/>
      <c r="C275" s="328"/>
      <c r="D275" s="3989" t="s">
        <v>1000</v>
      </c>
      <c r="E275" s="4008" t="s">
        <v>1001</v>
      </c>
      <c r="F275" s="3388" t="str">
        <f t="shared" ref="F275:F338" si="51">F203</f>
        <v>CAC-SEER14_ER1_SF</v>
      </c>
      <c r="G275" s="3389"/>
      <c r="H275" s="3390"/>
      <c r="I275" s="3157" t="str">
        <f t="shared" ref="I275:I338" si="52">I203</f>
        <v>350400_2021_12_</v>
      </c>
      <c r="J275" s="2545">
        <f>2.98*12000</f>
        <v>35760</v>
      </c>
      <c r="K275" s="2329">
        <f t="shared" ref="K275:K338" si="53">J275/12000</f>
        <v>2.98</v>
      </c>
      <c r="L275" s="2546" t="s">
        <v>1002</v>
      </c>
      <c r="M275" s="123"/>
      <c r="N275" s="1544"/>
      <c r="O275" s="123"/>
      <c r="P275" s="123"/>
      <c r="Q275" s="123"/>
      <c r="R275" s="123"/>
      <c r="S275" s="123"/>
      <c r="T275" s="123"/>
      <c r="U275" s="123"/>
      <c r="V275" s="3989" t="str">
        <f>D275</f>
        <v>Btu/hr / Capacity</v>
      </c>
      <c r="W275" s="2861">
        <v>36000</v>
      </c>
      <c r="X275" s="3157">
        <f>3.05*12000</f>
        <v>36600</v>
      </c>
      <c r="Y275" s="3157">
        <v>35760</v>
      </c>
      <c r="Z275" s="2861">
        <v>35760</v>
      </c>
      <c r="AA275" s="2861">
        <v>35760</v>
      </c>
      <c r="AB275" s="2220">
        <v>35760</v>
      </c>
      <c r="AC275" s="2545">
        <v>35760</v>
      </c>
      <c r="AD275" s="2861"/>
      <c r="AE275" s="2861"/>
      <c r="AF275" s="2861"/>
      <c r="AG275" s="2861"/>
      <c r="AH275" s="1942"/>
      <c r="AI275" s="1942"/>
      <c r="AJ275" s="1942"/>
      <c r="AK275" s="1942"/>
      <c r="AL275" s="1942"/>
      <c r="AM275" s="1942"/>
      <c r="AN275" s="1942"/>
      <c r="AO275" s="1942"/>
      <c r="AP275" s="1942"/>
      <c r="AQ275" s="1942"/>
      <c r="AR275" s="1942"/>
      <c r="AS275" s="1942"/>
      <c r="AT275" s="1942"/>
      <c r="AU275" s="1942"/>
      <c r="AV275" s="1942"/>
      <c r="AW275" s="1942"/>
      <c r="AX275" s="1942"/>
      <c r="AY275" s="1942"/>
      <c r="AZ275" s="1942"/>
      <c r="BA275" s="1942"/>
      <c r="BB275" s="575"/>
      <c r="BC275" s="584"/>
      <c r="BD275" s="678"/>
      <c r="BE275" s="585"/>
    </row>
    <row r="276" spans="1:57" s="51" customFormat="1" ht="14.45" hidden="1" customHeight="1" outlineLevel="1" x14ac:dyDescent="0.25">
      <c r="A276" s="1267"/>
      <c r="B276" s="228"/>
      <c r="C276" s="328"/>
      <c r="D276" s="4006"/>
      <c r="E276" s="4009"/>
      <c r="F276" s="3391" t="str">
        <f t="shared" si="51"/>
        <v>CAC-SEER14_ER2_SF</v>
      </c>
      <c r="G276" s="3392"/>
      <c r="H276" s="3393"/>
      <c r="I276" s="3155" t="str">
        <f t="shared" si="52"/>
        <v>350400_2021_12_</v>
      </c>
      <c r="J276" s="2547">
        <f>2.98*12000</f>
        <v>35760</v>
      </c>
      <c r="K276" s="65">
        <f t="shared" si="53"/>
        <v>2.98</v>
      </c>
      <c r="L276" s="2548" t="s">
        <v>1002</v>
      </c>
      <c r="M276" s="123"/>
      <c r="N276" s="1544"/>
      <c r="O276" s="123"/>
      <c r="P276" s="123"/>
      <c r="Q276" s="123"/>
      <c r="R276" s="123"/>
      <c r="S276" s="123"/>
      <c r="T276" s="123"/>
      <c r="U276" s="123"/>
      <c r="V276" s="3990"/>
      <c r="W276" s="2857">
        <v>36000</v>
      </c>
      <c r="X276" s="3155">
        <f>3.05*12000</f>
        <v>36600</v>
      </c>
      <c r="Y276" s="3155">
        <v>35760</v>
      </c>
      <c r="Z276" s="2857">
        <v>35760</v>
      </c>
      <c r="AA276" s="2857">
        <v>35760</v>
      </c>
      <c r="AB276" s="2221">
        <v>35760</v>
      </c>
      <c r="AC276" s="2547">
        <v>35760</v>
      </c>
      <c r="AD276" s="2857"/>
      <c r="AE276" s="2857"/>
      <c r="AF276" s="2857"/>
      <c r="AG276" s="2857"/>
      <c r="AH276" s="1942"/>
      <c r="AI276" s="1942"/>
      <c r="AJ276" s="1942"/>
      <c r="AK276" s="1942"/>
      <c r="AL276" s="1942"/>
      <c r="AM276" s="1942"/>
      <c r="AN276" s="1942"/>
      <c r="AO276" s="1942"/>
      <c r="AP276" s="1942"/>
      <c r="AQ276" s="1942"/>
      <c r="AR276" s="1942"/>
      <c r="AS276" s="1942"/>
      <c r="AT276" s="1942"/>
      <c r="AU276" s="1942"/>
      <c r="AV276" s="1942"/>
      <c r="AW276" s="1942"/>
      <c r="AX276" s="1942"/>
      <c r="AY276" s="1942"/>
      <c r="AZ276" s="1942"/>
      <c r="BA276" s="1942"/>
      <c r="BB276" s="575"/>
      <c r="BC276" s="584"/>
      <c r="BD276" s="678"/>
      <c r="BE276" s="585"/>
    </row>
    <row r="277" spans="1:57" s="51" customFormat="1" ht="14.45" hidden="1" customHeight="1" outlineLevel="1" x14ac:dyDescent="0.25">
      <c r="A277" s="1267"/>
      <c r="B277" s="228"/>
      <c r="C277" s="328"/>
      <c r="D277" s="4006"/>
      <c r="E277" s="4009"/>
      <c r="F277" s="3391" t="str">
        <f t="shared" si="51"/>
        <v>CAC-SEER14_ROF_SF</v>
      </c>
      <c r="G277" s="3392"/>
      <c r="H277" s="3393"/>
      <c r="I277" s="3155" t="str">
        <f t="shared" si="52"/>
        <v>350450_2021_12_</v>
      </c>
      <c r="J277" s="2549">
        <f>2.97*12000</f>
        <v>35640</v>
      </c>
      <c r="K277" s="65">
        <f t="shared" si="53"/>
        <v>2.97</v>
      </c>
      <c r="L277" s="2548" t="s">
        <v>1002</v>
      </c>
      <c r="M277" s="1549"/>
      <c r="N277" s="1544"/>
      <c r="O277" s="123"/>
      <c r="P277" s="123"/>
      <c r="Q277" s="123"/>
      <c r="R277" s="123"/>
      <c r="S277" s="123"/>
      <c r="T277" s="123"/>
      <c r="U277" s="123"/>
      <c r="V277" s="3990"/>
      <c r="W277" s="2857">
        <v>36000</v>
      </c>
      <c r="X277" s="3155">
        <f>3.05*12000</f>
        <v>36600</v>
      </c>
      <c r="Y277" s="3155">
        <v>35640</v>
      </c>
      <c r="Z277" s="2857">
        <v>35640</v>
      </c>
      <c r="AA277" s="2857">
        <v>35640</v>
      </c>
      <c r="AB277" s="2222">
        <v>35640</v>
      </c>
      <c r="AC277" s="2549">
        <v>35640</v>
      </c>
      <c r="AD277" s="2857"/>
      <c r="AE277" s="2857"/>
      <c r="AF277" s="2857"/>
      <c r="AG277" s="2857"/>
      <c r="AH277" s="1942"/>
      <c r="AI277" s="1942"/>
      <c r="AJ277" s="1942"/>
      <c r="AK277" s="1942"/>
      <c r="AL277" s="1942"/>
      <c r="AM277" s="1942"/>
      <c r="AN277" s="1942"/>
      <c r="AO277" s="1942"/>
      <c r="AP277" s="1942"/>
      <c r="AQ277" s="1942"/>
      <c r="AR277" s="1942"/>
      <c r="AS277" s="1942"/>
      <c r="AT277" s="1942"/>
      <c r="AU277" s="1942"/>
      <c r="AV277" s="1942"/>
      <c r="AW277" s="1942"/>
      <c r="AX277" s="1942"/>
      <c r="AY277" s="1942"/>
      <c r="AZ277" s="1942"/>
      <c r="BA277" s="1942"/>
      <c r="BB277" s="575"/>
      <c r="BC277" s="584"/>
      <c r="BD277" s="678"/>
      <c r="BE277" s="585"/>
    </row>
    <row r="278" spans="1:57" s="51" customFormat="1" ht="14.45" hidden="1" customHeight="1" outlineLevel="1" x14ac:dyDescent="0.25">
      <c r="A278" s="1267"/>
      <c r="B278" s="228"/>
      <c r="C278" s="328"/>
      <c r="D278" s="4006"/>
      <c r="E278" s="4009"/>
      <c r="F278" s="3385" t="str">
        <f t="shared" si="51"/>
        <v>CAC-SEER14_ER1_MF</v>
      </c>
      <c r="G278" s="3386"/>
      <c r="H278" s="3387"/>
      <c r="I278" s="3155" t="str">
        <f t="shared" si="52"/>
        <v>350500_2021_12_</v>
      </c>
      <c r="J278" s="2547">
        <v>24000</v>
      </c>
      <c r="K278" s="65">
        <f t="shared" si="53"/>
        <v>2</v>
      </c>
      <c r="L278" s="2550" t="s">
        <v>1003</v>
      </c>
      <c r="M278" s="1549"/>
      <c r="N278" s="1544"/>
      <c r="O278" s="123"/>
      <c r="P278" s="123"/>
      <c r="Q278" s="123"/>
      <c r="R278" s="123"/>
      <c r="S278" s="123"/>
      <c r="T278" s="123"/>
      <c r="U278" s="123"/>
      <c r="V278" s="3990"/>
      <c r="W278" s="2857">
        <v>36000</v>
      </c>
      <c r="X278" s="3155">
        <v>24000</v>
      </c>
      <c r="Y278" s="2857">
        <v>24000</v>
      </c>
      <c r="Z278" s="2857">
        <v>24000</v>
      </c>
      <c r="AA278" s="2857">
        <v>24000</v>
      </c>
      <c r="AB278" s="2221">
        <v>24000</v>
      </c>
      <c r="AC278" s="2547">
        <v>24000</v>
      </c>
      <c r="AD278" s="2857"/>
      <c r="AE278" s="2857"/>
      <c r="AF278" s="2857"/>
      <c r="AG278" s="2857"/>
      <c r="AH278" s="1942"/>
      <c r="AI278" s="1942"/>
      <c r="AJ278" s="1942"/>
      <c r="AK278" s="1942"/>
      <c r="AL278" s="1942"/>
      <c r="AM278" s="1942"/>
      <c r="AN278" s="1942"/>
      <c r="AO278" s="1942"/>
      <c r="AP278" s="1942"/>
      <c r="AQ278" s="1942"/>
      <c r="AR278" s="1942"/>
      <c r="AS278" s="1942"/>
      <c r="AT278" s="1942"/>
      <c r="AU278" s="1942"/>
      <c r="AV278" s="1942"/>
      <c r="AW278" s="1942"/>
      <c r="AX278" s="1942"/>
      <c r="AY278" s="1942"/>
      <c r="AZ278" s="1942"/>
      <c r="BA278" s="1942"/>
      <c r="BB278" s="575"/>
      <c r="BC278" s="584"/>
      <c r="BD278" s="678"/>
      <c r="BE278" s="585"/>
    </row>
    <row r="279" spans="1:57" s="51" customFormat="1" ht="14.45" hidden="1" customHeight="1" outlineLevel="1" x14ac:dyDescent="0.25">
      <c r="A279" s="1267"/>
      <c r="B279" s="228"/>
      <c r="C279" s="328"/>
      <c r="D279" s="4006"/>
      <c r="E279" s="4009"/>
      <c r="F279" s="3385" t="str">
        <f t="shared" si="51"/>
        <v>CAC-SEER14_ER2_MF</v>
      </c>
      <c r="G279" s="3386"/>
      <c r="H279" s="3387"/>
      <c r="I279" s="3155" t="str">
        <f t="shared" si="52"/>
        <v>350500_2021_12_</v>
      </c>
      <c r="J279" s="2547">
        <v>24000</v>
      </c>
      <c r="K279" s="65">
        <f t="shared" si="53"/>
        <v>2</v>
      </c>
      <c r="L279" s="2550" t="s">
        <v>1003</v>
      </c>
      <c r="M279" s="1549"/>
      <c r="N279" s="1544"/>
      <c r="O279" s="123"/>
      <c r="P279" s="123"/>
      <c r="Q279" s="123"/>
      <c r="R279" s="123"/>
      <c r="S279" s="123"/>
      <c r="T279" s="123"/>
      <c r="U279" s="123"/>
      <c r="V279" s="3990"/>
      <c r="W279" s="2857">
        <v>36000</v>
      </c>
      <c r="X279" s="3155">
        <v>24000</v>
      </c>
      <c r="Y279" s="2857">
        <v>24000</v>
      </c>
      <c r="Z279" s="2857">
        <v>24000</v>
      </c>
      <c r="AA279" s="2857">
        <v>24000</v>
      </c>
      <c r="AB279" s="2221">
        <v>24000</v>
      </c>
      <c r="AC279" s="2547">
        <v>24000</v>
      </c>
      <c r="AD279" s="2857"/>
      <c r="AE279" s="2857"/>
      <c r="AF279" s="2857"/>
      <c r="AG279" s="2857"/>
      <c r="AH279" s="1942"/>
      <c r="AI279" s="1942"/>
      <c r="AJ279" s="1942"/>
      <c r="AK279" s="1942"/>
      <c r="AL279" s="1942"/>
      <c r="AM279" s="1942"/>
      <c r="AN279" s="1942"/>
      <c r="AO279" s="1942"/>
      <c r="AP279" s="1942"/>
      <c r="AQ279" s="1942"/>
      <c r="AR279" s="1942"/>
      <c r="AS279" s="1942"/>
      <c r="AT279" s="1942"/>
      <c r="AU279" s="1942"/>
      <c r="AV279" s="1942"/>
      <c r="AW279" s="1942"/>
      <c r="AX279" s="1942"/>
      <c r="AY279" s="1942"/>
      <c r="AZ279" s="1942"/>
      <c r="BA279" s="1942"/>
      <c r="BB279" s="575"/>
      <c r="BC279" s="584"/>
      <c r="BD279" s="678"/>
      <c r="BE279" s="585"/>
    </row>
    <row r="280" spans="1:57" s="51" customFormat="1" ht="14.45" hidden="1" customHeight="1" outlineLevel="1" x14ac:dyDescent="0.25">
      <c r="A280" s="1267"/>
      <c r="B280" s="228"/>
      <c r="C280" s="328"/>
      <c r="D280" s="4006"/>
      <c r="E280" s="4009"/>
      <c r="F280" s="3385" t="str">
        <f t="shared" si="51"/>
        <v>CAC-SEER14_ER1_MF_CompE</v>
      </c>
      <c r="G280" s="3386"/>
      <c r="H280" s="3387"/>
      <c r="I280" s="3155" t="str">
        <f t="shared" si="52"/>
        <v>350501_2021_12_</v>
      </c>
      <c r="J280" s="2547">
        <f>J278</f>
        <v>24000</v>
      </c>
      <c r="K280" s="65">
        <f t="shared" si="53"/>
        <v>2</v>
      </c>
      <c r="L280" s="2970" t="s">
        <v>1004</v>
      </c>
      <c r="M280" s="1549"/>
      <c r="N280" s="1544"/>
      <c r="O280" s="123"/>
      <c r="P280" s="123"/>
      <c r="Q280" s="123"/>
      <c r="R280" s="123"/>
      <c r="S280" s="123"/>
      <c r="T280" s="123"/>
      <c r="U280" s="123"/>
      <c r="V280" s="3990"/>
      <c r="W280" s="2857"/>
      <c r="X280" s="3155"/>
      <c r="Y280" s="3155">
        <v>24000</v>
      </c>
      <c r="Z280" s="2857">
        <v>24000</v>
      </c>
      <c r="AA280" s="2857">
        <v>24000</v>
      </c>
      <c r="AB280" s="2221">
        <v>24000</v>
      </c>
      <c r="AC280" s="2547">
        <v>24000</v>
      </c>
      <c r="AD280" s="2857"/>
      <c r="AE280" s="2857"/>
      <c r="AF280" s="2857"/>
      <c r="AG280" s="2857"/>
      <c r="AH280" s="1942"/>
      <c r="AI280" s="1942"/>
      <c r="AJ280" s="1942"/>
      <c r="AK280" s="1942"/>
      <c r="AL280" s="1942"/>
      <c r="AM280" s="1942"/>
      <c r="AN280" s="1942"/>
      <c r="AO280" s="1942"/>
      <c r="AP280" s="1942"/>
      <c r="AQ280" s="1942"/>
      <c r="AR280" s="1942"/>
      <c r="AS280" s="1942"/>
      <c r="AT280" s="1942"/>
      <c r="AU280" s="1942"/>
      <c r="AV280" s="1942"/>
      <c r="AW280" s="1942"/>
      <c r="AX280" s="1942"/>
      <c r="AY280" s="1942"/>
      <c r="AZ280" s="1942"/>
      <c r="BA280" s="1942"/>
      <c r="BB280" s="575"/>
      <c r="BC280" s="584"/>
      <c r="BD280" s="678"/>
      <c r="BE280" s="585"/>
    </row>
    <row r="281" spans="1:57" s="51" customFormat="1" ht="14.45" hidden="1" customHeight="1" outlineLevel="1" x14ac:dyDescent="0.25">
      <c r="A281" s="1267"/>
      <c r="B281" s="228"/>
      <c r="C281" s="328"/>
      <c r="D281" s="4006"/>
      <c r="E281" s="4009"/>
      <c r="F281" s="3385" t="str">
        <f t="shared" si="51"/>
        <v>CAC-SEER14_ER2_MF_CompE</v>
      </c>
      <c r="G281" s="3386"/>
      <c r="H281" s="3387"/>
      <c r="I281" s="3155" t="str">
        <f t="shared" si="52"/>
        <v>350501_2021_12_</v>
      </c>
      <c r="J281" s="2547">
        <f>J279</f>
        <v>24000</v>
      </c>
      <c r="K281" s="65">
        <f t="shared" si="53"/>
        <v>2</v>
      </c>
      <c r="L281" s="2970" t="s">
        <v>1004</v>
      </c>
      <c r="M281" s="1549"/>
      <c r="N281" s="1544"/>
      <c r="O281" s="123"/>
      <c r="P281" s="123"/>
      <c r="Q281" s="123"/>
      <c r="R281" s="123"/>
      <c r="S281" s="123"/>
      <c r="T281" s="123"/>
      <c r="U281" s="123"/>
      <c r="V281" s="3990"/>
      <c r="W281" s="2857"/>
      <c r="X281" s="3155"/>
      <c r="Y281" s="3155">
        <v>24000</v>
      </c>
      <c r="Z281" s="2857">
        <v>24000</v>
      </c>
      <c r="AA281" s="2857">
        <v>24000</v>
      </c>
      <c r="AB281" s="2221">
        <v>24000</v>
      </c>
      <c r="AC281" s="2547">
        <v>24000</v>
      </c>
      <c r="AD281" s="2857"/>
      <c r="AE281" s="2857"/>
      <c r="AF281" s="2857"/>
      <c r="AG281" s="2857"/>
      <c r="AH281" s="1942"/>
      <c r="AI281" s="1942"/>
      <c r="AJ281" s="1942"/>
      <c r="AK281" s="1942"/>
      <c r="AL281" s="1942"/>
      <c r="AM281" s="1942"/>
      <c r="AN281" s="1942"/>
      <c r="AO281" s="1942"/>
      <c r="AP281" s="1942"/>
      <c r="AQ281" s="1942"/>
      <c r="AR281" s="1942"/>
      <c r="AS281" s="1942"/>
      <c r="AT281" s="1942"/>
      <c r="AU281" s="1942"/>
      <c r="AV281" s="1942"/>
      <c r="AW281" s="1942"/>
      <c r="AX281" s="1942"/>
      <c r="AY281" s="1942"/>
      <c r="AZ281" s="1942"/>
      <c r="BA281" s="1942"/>
      <c r="BB281" s="575"/>
      <c r="BC281" s="584"/>
      <c r="BD281" s="678"/>
      <c r="BE281" s="585"/>
    </row>
    <row r="282" spans="1:57" s="51" customFormat="1" ht="14.45" hidden="1" customHeight="1" outlineLevel="1" x14ac:dyDescent="0.25">
      <c r="A282" s="1267"/>
      <c r="B282" s="228"/>
      <c r="C282" s="328"/>
      <c r="D282" s="4006"/>
      <c r="E282" s="4009"/>
      <c r="F282" s="3385" t="str">
        <f t="shared" si="51"/>
        <v>CAC-SEER14_ROF_MF</v>
      </c>
      <c r="G282" s="3386"/>
      <c r="H282" s="3387"/>
      <c r="I282" s="3155" t="str">
        <f t="shared" si="52"/>
        <v>350550_2021_12_</v>
      </c>
      <c r="J282" s="2551">
        <v>24000</v>
      </c>
      <c r="K282" s="1134">
        <f t="shared" si="53"/>
        <v>2</v>
      </c>
      <c r="L282" s="2552" t="s">
        <v>536</v>
      </c>
      <c r="M282" s="1549"/>
      <c r="N282" s="1544"/>
      <c r="O282" s="123"/>
      <c r="P282" s="123"/>
      <c r="Q282" s="123"/>
      <c r="R282" s="123"/>
      <c r="S282" s="123"/>
      <c r="T282" s="123"/>
      <c r="U282" s="123"/>
      <c r="V282" s="3990"/>
      <c r="W282" s="2857">
        <v>36000</v>
      </c>
      <c r="X282" s="3155">
        <v>24000</v>
      </c>
      <c r="Y282" s="3155">
        <v>24000</v>
      </c>
      <c r="Z282" s="2857">
        <v>24000</v>
      </c>
      <c r="AA282" s="2857">
        <v>24000</v>
      </c>
      <c r="AB282" s="2223">
        <v>24000</v>
      </c>
      <c r="AC282" s="2551">
        <v>24000</v>
      </c>
      <c r="AD282" s="2857"/>
      <c r="AE282" s="2857"/>
      <c r="AF282" s="2857"/>
      <c r="AG282" s="2857"/>
      <c r="AH282" s="1942"/>
      <c r="AI282" s="1942"/>
      <c r="AJ282" s="1942"/>
      <c r="AK282" s="1942"/>
      <c r="AL282" s="1942"/>
      <c r="AM282" s="1942"/>
      <c r="AN282" s="1942"/>
      <c r="AO282" s="1942"/>
      <c r="AP282" s="1942"/>
      <c r="AQ282" s="1942"/>
      <c r="AR282" s="1942"/>
      <c r="AS282" s="1942"/>
      <c r="AT282" s="1942"/>
      <c r="AU282" s="1942"/>
      <c r="AV282" s="1942"/>
      <c r="AW282" s="1942"/>
      <c r="AX282" s="1942"/>
      <c r="AY282" s="1942"/>
      <c r="AZ282" s="1942"/>
      <c r="BA282" s="1942"/>
      <c r="BB282" s="575"/>
      <c r="BC282" s="584"/>
      <c r="BD282" s="678"/>
      <c r="BE282" s="585"/>
    </row>
    <row r="283" spans="1:57" s="51" customFormat="1" ht="14.45" hidden="1" customHeight="1" outlineLevel="1" x14ac:dyDescent="0.25">
      <c r="A283" s="1267"/>
      <c r="B283" s="228"/>
      <c r="C283" s="328"/>
      <c r="D283" s="4006"/>
      <c r="E283" s="4009"/>
      <c r="F283" s="3385" t="str">
        <f t="shared" si="51"/>
        <v>CAC-SEER14_ROF_MF_CompE</v>
      </c>
      <c r="G283" s="3386"/>
      <c r="H283" s="3387"/>
      <c r="I283" s="3155" t="str">
        <f t="shared" si="52"/>
        <v>350551_2021_12_</v>
      </c>
      <c r="J283" s="2551">
        <f>J282</f>
        <v>24000</v>
      </c>
      <c r="K283" s="1134">
        <f t="shared" si="53"/>
        <v>2</v>
      </c>
      <c r="L283" s="2970" t="s">
        <v>1004</v>
      </c>
      <c r="M283" s="1549"/>
      <c r="N283" s="1544"/>
      <c r="O283" s="123"/>
      <c r="P283" s="123"/>
      <c r="Q283" s="123"/>
      <c r="R283" s="123"/>
      <c r="S283" s="123"/>
      <c r="T283" s="123"/>
      <c r="U283" s="123"/>
      <c r="V283" s="3990"/>
      <c r="W283" s="2857"/>
      <c r="X283" s="3155"/>
      <c r="Y283" s="2857">
        <v>24000</v>
      </c>
      <c r="Z283" s="2857">
        <v>24000</v>
      </c>
      <c r="AA283" s="2857">
        <v>24000</v>
      </c>
      <c r="AB283" s="2223">
        <v>24000</v>
      </c>
      <c r="AC283" s="2551">
        <v>24000</v>
      </c>
      <c r="AD283" s="2857"/>
      <c r="AE283" s="2857"/>
      <c r="AF283" s="2857"/>
      <c r="AG283" s="2857"/>
      <c r="AH283" s="1942"/>
      <c r="AI283" s="1942"/>
      <c r="AJ283" s="1942"/>
      <c r="AK283" s="1942"/>
      <c r="AL283" s="1942"/>
      <c r="AM283" s="1942"/>
      <c r="AN283" s="1942"/>
      <c r="AO283" s="1942"/>
      <c r="AP283" s="1942"/>
      <c r="AQ283" s="1942"/>
      <c r="AR283" s="1942"/>
      <c r="AS283" s="1942"/>
      <c r="AT283" s="1942"/>
      <c r="AU283" s="1942"/>
      <c r="AV283" s="1942"/>
      <c r="AW283" s="1942"/>
      <c r="AX283" s="1942"/>
      <c r="AY283" s="1942"/>
      <c r="AZ283" s="1942"/>
      <c r="BA283" s="1942"/>
      <c r="BB283" s="575"/>
      <c r="BC283" s="584"/>
      <c r="BD283" s="678"/>
      <c r="BE283" s="585"/>
    </row>
    <row r="284" spans="1:57" s="51" customFormat="1" ht="14.45" hidden="1" customHeight="1" outlineLevel="1" x14ac:dyDescent="0.25">
      <c r="A284" s="1267"/>
      <c r="B284" s="228"/>
      <c r="C284" s="328"/>
      <c r="D284" s="4006"/>
      <c r="E284" s="4009"/>
      <c r="F284" s="3385" t="str">
        <f t="shared" si="51"/>
        <v>CAC-SEER15_ER1_SF</v>
      </c>
      <c r="G284" s="3386"/>
      <c r="H284" s="3387"/>
      <c r="I284" s="3155" t="str">
        <f t="shared" si="52"/>
        <v>350600_2021_12_</v>
      </c>
      <c r="J284" s="2224">
        <v>37553.669972948606</v>
      </c>
      <c r="K284" s="366">
        <f t="shared" si="53"/>
        <v>3.1294724977457173</v>
      </c>
      <c r="L284" s="2723" t="s">
        <v>1005</v>
      </c>
      <c r="M284" s="1549"/>
      <c r="N284" s="1544"/>
      <c r="O284" s="123"/>
      <c r="P284" s="123"/>
      <c r="Q284" s="123"/>
      <c r="R284" s="123"/>
      <c r="S284" s="123"/>
      <c r="T284" s="123"/>
      <c r="U284" s="123"/>
      <c r="V284" s="3990"/>
      <c r="W284" s="2857">
        <v>39600</v>
      </c>
      <c r="X284" s="3155">
        <f>3.05*12000</f>
        <v>36600</v>
      </c>
      <c r="Y284" s="3155">
        <v>39240</v>
      </c>
      <c r="Z284" s="2857">
        <v>39240</v>
      </c>
      <c r="AA284" s="2857">
        <v>39240</v>
      </c>
      <c r="AB284" s="2224">
        <v>38991.153460381152</v>
      </c>
      <c r="AC284" s="2224">
        <v>37553.669972948606</v>
      </c>
      <c r="AD284" s="2857"/>
      <c r="AE284" s="2857"/>
      <c r="AF284" s="2857"/>
      <c r="AG284" s="2857"/>
      <c r="AH284" s="1942"/>
      <c r="AI284" s="1942"/>
      <c r="AJ284" s="1942"/>
      <c r="AK284" s="1942"/>
      <c r="AL284" s="1942"/>
      <c r="AM284" s="1942"/>
      <c r="AN284" s="1942"/>
      <c r="AO284" s="1942"/>
      <c r="AP284" s="1942"/>
      <c r="AQ284" s="1942"/>
      <c r="AR284" s="1942"/>
      <c r="AS284" s="1942"/>
      <c r="AT284" s="1942"/>
      <c r="AU284" s="1942"/>
      <c r="AV284" s="1942"/>
      <c r="AW284" s="1942"/>
      <c r="AX284" s="1942"/>
      <c r="AY284" s="1942"/>
      <c r="AZ284" s="1942"/>
      <c r="BA284" s="1942"/>
      <c r="BB284" s="575"/>
      <c r="BC284" s="584"/>
      <c r="BD284" s="678"/>
      <c r="BE284" s="585"/>
    </row>
    <row r="285" spans="1:57" s="51" customFormat="1" ht="14.45" hidden="1" customHeight="1" outlineLevel="1" x14ac:dyDescent="0.25">
      <c r="A285" s="1267"/>
      <c r="B285" s="228"/>
      <c r="C285" s="328"/>
      <c r="D285" s="4006"/>
      <c r="E285" s="4009"/>
      <c r="F285" s="3385" t="str">
        <f t="shared" si="51"/>
        <v>CAC-SEER15_ER2_SF</v>
      </c>
      <c r="G285" s="3386"/>
      <c r="H285" s="3387"/>
      <c r="I285" s="3155" t="str">
        <f t="shared" si="52"/>
        <v>350600_2021_12_</v>
      </c>
      <c r="J285" s="2224">
        <f>J284</f>
        <v>37553.669972948606</v>
      </c>
      <c r="K285" s="366">
        <f t="shared" si="53"/>
        <v>3.1294724977457173</v>
      </c>
      <c r="L285" s="2723" t="s">
        <v>1005</v>
      </c>
      <c r="M285" s="1549"/>
      <c r="N285" s="1544"/>
      <c r="O285" s="123"/>
      <c r="P285" s="123"/>
      <c r="Q285" s="123"/>
      <c r="R285" s="123"/>
      <c r="S285" s="123"/>
      <c r="T285" s="123"/>
      <c r="U285" s="123"/>
      <c r="V285" s="3990"/>
      <c r="W285" s="2857">
        <v>39600</v>
      </c>
      <c r="X285" s="3155">
        <f>3.05*12000</f>
        <v>36600</v>
      </c>
      <c r="Y285" s="3155">
        <v>39240</v>
      </c>
      <c r="Z285" s="2857">
        <v>39240</v>
      </c>
      <c r="AA285" s="2857">
        <v>39240</v>
      </c>
      <c r="AB285" s="2224">
        <v>38991.153460381152</v>
      </c>
      <c r="AC285" s="2224">
        <v>37553.669972948606</v>
      </c>
      <c r="AD285" s="2857"/>
      <c r="AE285" s="2857"/>
      <c r="AF285" s="2857"/>
      <c r="AG285" s="2857"/>
      <c r="AH285" s="1942"/>
      <c r="AI285" s="1942"/>
      <c r="AJ285" s="1942"/>
      <c r="AK285" s="1942"/>
      <c r="AL285" s="1942"/>
      <c r="AM285" s="1942"/>
      <c r="AN285" s="1942"/>
      <c r="AO285" s="1942"/>
      <c r="AP285" s="1942"/>
      <c r="AQ285" s="1942"/>
      <c r="AR285" s="1942"/>
      <c r="AS285" s="1942"/>
      <c r="AT285" s="1942"/>
      <c r="AU285" s="1942"/>
      <c r="AV285" s="1942"/>
      <c r="AW285" s="1942"/>
      <c r="AX285" s="1942"/>
      <c r="AY285" s="1942"/>
      <c r="AZ285" s="1942"/>
      <c r="BA285" s="1942"/>
      <c r="BB285" s="575"/>
      <c r="BC285" s="584"/>
      <c r="BD285" s="678"/>
      <c r="BE285" s="585"/>
    </row>
    <row r="286" spans="1:57" s="51" customFormat="1" ht="14.45" hidden="1" customHeight="1" outlineLevel="1" x14ac:dyDescent="0.25">
      <c r="A286" s="1267"/>
      <c r="B286" s="228"/>
      <c r="C286" s="328"/>
      <c r="D286" s="4006"/>
      <c r="E286" s="4009"/>
      <c r="F286" s="3385" t="str">
        <f t="shared" si="51"/>
        <v>CAC-SEER15_ROF_SF</v>
      </c>
      <c r="G286" s="3386"/>
      <c r="H286" s="3387"/>
      <c r="I286" s="3155" t="str">
        <f t="shared" si="52"/>
        <v>350650_2021_12_</v>
      </c>
      <c r="J286" s="2224">
        <v>37360</v>
      </c>
      <c r="K286" s="366">
        <f t="shared" si="53"/>
        <v>3.1133333333333333</v>
      </c>
      <c r="L286" s="2723" t="s">
        <v>1005</v>
      </c>
      <c r="M286" s="1549"/>
      <c r="N286" s="1544"/>
      <c r="O286" s="123"/>
      <c r="P286" s="123"/>
      <c r="Q286" s="123"/>
      <c r="R286" s="123"/>
      <c r="S286" s="123"/>
      <c r="T286" s="123"/>
      <c r="U286" s="123"/>
      <c r="V286" s="3990"/>
      <c r="W286" s="2857">
        <v>36000</v>
      </c>
      <c r="X286" s="3155">
        <f>3.05*12000</f>
        <v>36600</v>
      </c>
      <c r="Y286" s="3155">
        <v>39240</v>
      </c>
      <c r="Z286" s="2857">
        <v>39240</v>
      </c>
      <c r="AA286" s="2857">
        <v>39240</v>
      </c>
      <c r="AB286" s="2224">
        <v>39839.242902208207</v>
      </c>
      <c r="AC286" s="2224">
        <v>37360</v>
      </c>
      <c r="AD286" s="2857"/>
      <c r="AE286" s="2857"/>
      <c r="AF286" s="2857"/>
      <c r="AG286" s="2857"/>
      <c r="AH286" s="1942"/>
      <c r="AI286" s="1942"/>
      <c r="AJ286" s="1942"/>
      <c r="AK286" s="1942"/>
      <c r="AL286" s="1942"/>
      <c r="AM286" s="1942"/>
      <c r="AN286" s="1942"/>
      <c r="AO286" s="1942"/>
      <c r="AP286" s="1942"/>
      <c r="AQ286" s="1942"/>
      <c r="AR286" s="1942"/>
      <c r="AS286" s="1942"/>
      <c r="AT286" s="1942"/>
      <c r="AU286" s="1942"/>
      <c r="AV286" s="1942"/>
      <c r="AW286" s="1942"/>
      <c r="AX286" s="1942"/>
      <c r="AY286" s="1942"/>
      <c r="AZ286" s="1942"/>
      <c r="BA286" s="1942"/>
      <c r="BB286" s="575"/>
      <c r="BC286" s="584"/>
      <c r="BD286" s="678"/>
      <c r="BE286" s="585"/>
    </row>
    <row r="287" spans="1:57" s="51" customFormat="1" ht="14.45" hidden="1" customHeight="1" outlineLevel="1" x14ac:dyDescent="0.25">
      <c r="A287" s="1267"/>
      <c r="B287" s="228"/>
      <c r="C287" s="328"/>
      <c r="D287" s="4006"/>
      <c r="E287" s="4009"/>
      <c r="F287" s="3385" t="str">
        <f t="shared" si="51"/>
        <v>CAC-SEER15_ER1_MF</v>
      </c>
      <c r="G287" s="3386"/>
      <c r="H287" s="3387"/>
      <c r="I287" s="3155" t="str">
        <f t="shared" si="52"/>
        <v>350700_2021_12_</v>
      </c>
      <c r="J287" s="2224">
        <v>29857.142857142859</v>
      </c>
      <c r="K287" s="366">
        <f t="shared" si="53"/>
        <v>2.4880952380952381</v>
      </c>
      <c r="L287" s="2723" t="s">
        <v>1005</v>
      </c>
      <c r="M287" s="1549"/>
      <c r="N287" s="1544"/>
      <c r="O287" s="123"/>
      <c r="P287" s="123"/>
      <c r="Q287" s="123"/>
      <c r="R287" s="123"/>
      <c r="S287" s="123"/>
      <c r="T287" s="123"/>
      <c r="U287" s="123"/>
      <c r="V287" s="3990"/>
      <c r="W287" s="2857">
        <v>39600</v>
      </c>
      <c r="X287" s="3155">
        <f>AVERAGE($X$278,$X$296)</f>
        <v>24230.5</v>
      </c>
      <c r="Y287" s="2857">
        <v>24000</v>
      </c>
      <c r="Z287" s="2857">
        <v>24000</v>
      </c>
      <c r="AA287" s="2857">
        <v>24000</v>
      </c>
      <c r="AB287" s="2224">
        <v>27906.976744186049</v>
      </c>
      <c r="AC287" s="2224">
        <v>29857.142857142859</v>
      </c>
      <c r="AD287" s="2857"/>
      <c r="AE287" s="2857"/>
      <c r="AF287" s="2857"/>
      <c r="AG287" s="2857"/>
      <c r="AH287" s="1942"/>
      <c r="AI287" s="1942"/>
      <c r="AJ287" s="1942"/>
      <c r="AK287" s="1942"/>
      <c r="AL287" s="1942"/>
      <c r="AM287" s="1942"/>
      <c r="AN287" s="1942"/>
      <c r="AO287" s="1942"/>
      <c r="AP287" s="1942"/>
      <c r="AQ287" s="1942"/>
      <c r="AR287" s="1942"/>
      <c r="AS287" s="1942"/>
      <c r="AT287" s="1942"/>
      <c r="AU287" s="1942"/>
      <c r="AV287" s="1942"/>
      <c r="AW287" s="1942"/>
      <c r="AX287" s="1942"/>
      <c r="AY287" s="1942"/>
      <c r="AZ287" s="1942"/>
      <c r="BA287" s="1942"/>
      <c r="BB287" s="575"/>
      <c r="BC287" s="584"/>
      <c r="BD287" s="678"/>
      <c r="BE287" s="585"/>
    </row>
    <row r="288" spans="1:57" s="51" customFormat="1" ht="14.45" hidden="1" customHeight="1" outlineLevel="1" x14ac:dyDescent="0.25">
      <c r="A288" s="1267"/>
      <c r="B288" s="228"/>
      <c r="C288" s="328"/>
      <c r="D288" s="4006"/>
      <c r="E288" s="4009"/>
      <c r="F288" s="3385" t="str">
        <f t="shared" si="51"/>
        <v>CAC-SEER15_ER2_MF</v>
      </c>
      <c r="G288" s="3386"/>
      <c r="H288" s="3387"/>
      <c r="I288" s="3155" t="str">
        <f t="shared" si="52"/>
        <v>350700_2021_12_</v>
      </c>
      <c r="J288" s="2224">
        <f>J287</f>
        <v>29857.142857142859</v>
      </c>
      <c r="K288" s="366">
        <f t="shared" si="53"/>
        <v>2.4880952380952381</v>
      </c>
      <c r="L288" s="2723" t="s">
        <v>1005</v>
      </c>
      <c r="M288" s="1549"/>
      <c r="N288" s="1544"/>
      <c r="O288" s="123"/>
      <c r="P288" s="123"/>
      <c r="Q288" s="123"/>
      <c r="R288" s="123"/>
      <c r="S288" s="123"/>
      <c r="T288" s="123"/>
      <c r="U288" s="123"/>
      <c r="V288" s="3990"/>
      <c r="W288" s="2857">
        <v>39600</v>
      </c>
      <c r="X288" s="3155">
        <f>AVERAGE($X$278,$X$296)</f>
        <v>24230.5</v>
      </c>
      <c r="Y288" s="2857">
        <v>24000</v>
      </c>
      <c r="Z288" s="2857">
        <v>24000</v>
      </c>
      <c r="AA288" s="2857">
        <v>24000</v>
      </c>
      <c r="AB288" s="2224">
        <v>27906.976744186049</v>
      </c>
      <c r="AC288" s="2224">
        <v>29857.142857142859</v>
      </c>
      <c r="AD288" s="2857"/>
      <c r="AE288" s="2857"/>
      <c r="AF288" s="2857"/>
      <c r="AG288" s="2857"/>
      <c r="AH288" s="1942"/>
      <c r="AI288" s="1942"/>
      <c r="AJ288" s="1942"/>
      <c r="AK288" s="1942"/>
      <c r="AL288" s="1942"/>
      <c r="AM288" s="1942"/>
      <c r="AN288" s="1942"/>
      <c r="AO288" s="1942"/>
      <c r="AP288" s="1942"/>
      <c r="AQ288" s="1942"/>
      <c r="AR288" s="1942"/>
      <c r="AS288" s="1942"/>
      <c r="AT288" s="1942"/>
      <c r="AU288" s="1942"/>
      <c r="AV288" s="1942"/>
      <c r="AW288" s="1942"/>
      <c r="AX288" s="1942"/>
      <c r="AY288" s="1942"/>
      <c r="AZ288" s="1942"/>
      <c r="BA288" s="1942"/>
      <c r="BB288" s="575"/>
      <c r="BC288" s="584"/>
      <c r="BD288" s="678"/>
      <c r="BE288" s="585"/>
    </row>
    <row r="289" spans="1:57" s="51" customFormat="1" ht="14.45" hidden="1" customHeight="1" outlineLevel="1" x14ac:dyDescent="0.25">
      <c r="A289" s="1267"/>
      <c r="B289" s="228"/>
      <c r="C289" s="328"/>
      <c r="D289" s="4006"/>
      <c r="E289" s="4009"/>
      <c r="F289" s="3385" t="str">
        <f t="shared" si="51"/>
        <v>CAC-SEER15_ER1_MF_CompE</v>
      </c>
      <c r="G289" s="3386"/>
      <c r="H289" s="3387"/>
      <c r="I289" s="3155" t="str">
        <f t="shared" si="52"/>
        <v>350701_2021_12_</v>
      </c>
      <c r="J289" s="2225">
        <f>J287</f>
        <v>29857.142857142859</v>
      </c>
      <c r="K289" s="366">
        <f t="shared" si="53"/>
        <v>2.4880952380952381</v>
      </c>
      <c r="L289" s="2971" t="s">
        <v>1006</v>
      </c>
      <c r="M289" s="1549"/>
      <c r="N289" s="1544"/>
      <c r="O289" s="123"/>
      <c r="P289" s="123"/>
      <c r="Q289" s="123"/>
      <c r="R289" s="123"/>
      <c r="S289" s="123"/>
      <c r="T289" s="123"/>
      <c r="U289" s="123"/>
      <c r="V289" s="3990"/>
      <c r="W289" s="2857"/>
      <c r="X289" s="3155"/>
      <c r="Y289" s="3155">
        <v>24000</v>
      </c>
      <c r="Z289" s="2857">
        <v>24000</v>
      </c>
      <c r="AA289" s="2857">
        <v>24000</v>
      </c>
      <c r="AB289" s="2223">
        <v>24000</v>
      </c>
      <c r="AC289" s="2225">
        <v>29857.142857142859</v>
      </c>
      <c r="AD289" s="2857"/>
      <c r="AE289" s="2857"/>
      <c r="AF289" s="2857"/>
      <c r="AG289" s="2857"/>
      <c r="AH289" s="1942"/>
      <c r="AI289" s="1942"/>
      <c r="AJ289" s="1942"/>
      <c r="AK289" s="1942"/>
      <c r="AL289" s="1942"/>
      <c r="AM289" s="1942"/>
      <c r="AN289" s="1942"/>
      <c r="AO289" s="1942"/>
      <c r="AP289" s="1942"/>
      <c r="AQ289" s="1942"/>
      <c r="AR289" s="1942"/>
      <c r="AS289" s="1942"/>
      <c r="AT289" s="1942"/>
      <c r="AU289" s="1942"/>
      <c r="AV289" s="1942"/>
      <c r="AW289" s="1942"/>
      <c r="AX289" s="1942"/>
      <c r="AY289" s="1942"/>
      <c r="AZ289" s="1942"/>
      <c r="BA289" s="1942"/>
      <c r="BB289" s="575"/>
      <c r="BC289" s="584"/>
      <c r="BD289" s="678"/>
      <c r="BE289" s="585"/>
    </row>
    <row r="290" spans="1:57" s="51" customFormat="1" ht="14.45" hidden="1" customHeight="1" outlineLevel="1" x14ac:dyDescent="0.25">
      <c r="A290" s="1267"/>
      <c r="B290" s="228"/>
      <c r="C290" s="328"/>
      <c r="D290" s="4006"/>
      <c r="E290" s="4009"/>
      <c r="F290" s="3385" t="str">
        <f t="shared" si="51"/>
        <v>CAC-SEER15_ER2_MF_CompE</v>
      </c>
      <c r="G290" s="3386"/>
      <c r="H290" s="3387"/>
      <c r="I290" s="3155" t="str">
        <f t="shared" si="52"/>
        <v>350701_2021_12_</v>
      </c>
      <c r="J290" s="2225">
        <f>J288</f>
        <v>29857.142857142859</v>
      </c>
      <c r="K290" s="366">
        <f t="shared" si="53"/>
        <v>2.4880952380952381</v>
      </c>
      <c r="L290" s="2971" t="s">
        <v>1006</v>
      </c>
      <c r="M290" s="1549"/>
      <c r="N290" s="1544"/>
      <c r="O290" s="123"/>
      <c r="P290" s="123"/>
      <c r="Q290" s="123"/>
      <c r="R290" s="123"/>
      <c r="S290" s="123"/>
      <c r="T290" s="123"/>
      <c r="U290" s="123"/>
      <c r="V290" s="3990"/>
      <c r="W290" s="2857"/>
      <c r="X290" s="3155"/>
      <c r="Y290" s="3155">
        <v>24000</v>
      </c>
      <c r="Z290" s="2857">
        <v>24000</v>
      </c>
      <c r="AA290" s="2857">
        <v>24000</v>
      </c>
      <c r="AB290" s="2223">
        <v>24000</v>
      </c>
      <c r="AC290" s="2225">
        <v>29857.142857142859</v>
      </c>
      <c r="AD290" s="2857"/>
      <c r="AE290" s="2857"/>
      <c r="AF290" s="2857"/>
      <c r="AG290" s="2857"/>
      <c r="AH290" s="1942"/>
      <c r="AI290" s="1942"/>
      <c r="AJ290" s="1942"/>
      <c r="AK290" s="1942"/>
      <c r="AL290" s="1942"/>
      <c r="AM290" s="1942"/>
      <c r="AN290" s="1942"/>
      <c r="AO290" s="1942"/>
      <c r="AP290" s="1942"/>
      <c r="AQ290" s="1942"/>
      <c r="AR290" s="1942"/>
      <c r="AS290" s="1942"/>
      <c r="AT290" s="1942"/>
      <c r="AU290" s="1942"/>
      <c r="AV290" s="1942"/>
      <c r="AW290" s="1942"/>
      <c r="AX290" s="1942"/>
      <c r="AY290" s="1942"/>
      <c r="AZ290" s="1942"/>
      <c r="BA290" s="1942"/>
      <c r="BB290" s="575"/>
      <c r="BC290" s="584"/>
      <c r="BD290" s="678"/>
      <c r="BE290" s="585"/>
    </row>
    <row r="291" spans="1:57" s="51" customFormat="1" ht="14.45" hidden="1" customHeight="1" outlineLevel="1" x14ac:dyDescent="0.25">
      <c r="A291" s="1267"/>
      <c r="B291" s="228"/>
      <c r="C291" s="328"/>
      <c r="D291" s="4006"/>
      <c r="E291" s="4009"/>
      <c r="F291" s="3385" t="str">
        <f t="shared" si="51"/>
        <v>CAC-SEER15_ROF_MF</v>
      </c>
      <c r="G291" s="3386"/>
      <c r="H291" s="3387"/>
      <c r="I291" s="3155" t="str">
        <f t="shared" si="52"/>
        <v>350750_2021_12_</v>
      </c>
      <c r="J291" s="2225">
        <v>33000</v>
      </c>
      <c r="K291" s="366">
        <f t="shared" si="53"/>
        <v>2.75</v>
      </c>
      <c r="L291" s="2723" t="s">
        <v>1005</v>
      </c>
      <c r="M291" s="1549"/>
      <c r="N291" s="1544"/>
      <c r="O291" s="123"/>
      <c r="P291" s="123"/>
      <c r="Q291" s="123"/>
      <c r="R291" s="123"/>
      <c r="S291" s="123"/>
      <c r="T291" s="123"/>
      <c r="U291" s="123"/>
      <c r="V291" s="3990"/>
      <c r="W291" s="2857">
        <v>36000</v>
      </c>
      <c r="X291" s="3155">
        <f>AVERAGE($X$278,$X$296)</f>
        <v>24230.5</v>
      </c>
      <c r="Y291" s="3155">
        <v>24000</v>
      </c>
      <c r="Z291" s="2857">
        <v>24000</v>
      </c>
      <c r="AA291" s="2857">
        <v>24000</v>
      </c>
      <c r="AB291" s="2225">
        <v>25000</v>
      </c>
      <c r="AC291" s="2225">
        <v>33000</v>
      </c>
      <c r="AD291" s="2857"/>
      <c r="AE291" s="2857"/>
      <c r="AF291" s="2857"/>
      <c r="AG291" s="2857"/>
      <c r="AH291" s="1942"/>
      <c r="AI291" s="1942"/>
      <c r="AJ291" s="1942"/>
      <c r="AK291" s="1942"/>
      <c r="AL291" s="1942"/>
      <c r="AM291" s="1942"/>
      <c r="AN291" s="1942"/>
      <c r="AO291" s="1942"/>
      <c r="AP291" s="1942"/>
      <c r="AQ291" s="1942"/>
      <c r="AR291" s="1942"/>
      <c r="AS291" s="1942"/>
      <c r="AT291" s="1942"/>
      <c r="AU291" s="1942"/>
      <c r="AV291" s="1942"/>
      <c r="AW291" s="1942"/>
      <c r="AX291" s="1942"/>
      <c r="AY291" s="1942"/>
      <c r="AZ291" s="1942"/>
      <c r="BA291" s="1942"/>
      <c r="BB291" s="575"/>
      <c r="BC291" s="584"/>
      <c r="BD291" s="678"/>
      <c r="BE291" s="585"/>
    </row>
    <row r="292" spans="1:57" s="51" customFormat="1" ht="14.45" hidden="1" customHeight="1" outlineLevel="1" x14ac:dyDescent="0.25">
      <c r="A292" s="1267"/>
      <c r="B292" s="228"/>
      <c r="C292" s="328"/>
      <c r="D292" s="4006"/>
      <c r="E292" s="4009"/>
      <c r="F292" s="3385" t="str">
        <f t="shared" si="51"/>
        <v>CAC-SEER15_ROF_MF_CompE</v>
      </c>
      <c r="G292" s="3386"/>
      <c r="H292" s="3387"/>
      <c r="I292" s="3155" t="str">
        <f t="shared" si="52"/>
        <v>350751_2021_12_</v>
      </c>
      <c r="J292" s="2225">
        <f>J291</f>
        <v>33000</v>
      </c>
      <c r="K292" s="366">
        <f t="shared" si="53"/>
        <v>2.75</v>
      </c>
      <c r="L292" s="2970" t="s">
        <v>1004</v>
      </c>
      <c r="M292" s="1549"/>
      <c r="N292" s="1544"/>
      <c r="O292" s="123"/>
      <c r="P292" s="123"/>
      <c r="Q292" s="123"/>
      <c r="R292" s="123"/>
      <c r="S292" s="123"/>
      <c r="T292" s="123"/>
      <c r="U292" s="123"/>
      <c r="V292" s="3990"/>
      <c r="W292" s="2857"/>
      <c r="X292" s="3155"/>
      <c r="Y292" s="3155">
        <v>24000</v>
      </c>
      <c r="Z292" s="2857">
        <v>24000</v>
      </c>
      <c r="AA292" s="2857">
        <v>24000</v>
      </c>
      <c r="AB292" s="2223">
        <v>24000</v>
      </c>
      <c r="AC292" s="2225">
        <v>33000</v>
      </c>
      <c r="AD292" s="2857"/>
      <c r="AE292" s="2857"/>
      <c r="AF292" s="2857"/>
      <c r="AG292" s="2857"/>
      <c r="AH292" s="1942"/>
      <c r="AI292" s="1942"/>
      <c r="AJ292" s="1942"/>
      <c r="AK292" s="1942"/>
      <c r="AL292" s="1942"/>
      <c r="AM292" s="1942"/>
      <c r="AN292" s="1942"/>
      <c r="AO292" s="1942"/>
      <c r="AP292" s="1942"/>
      <c r="AQ292" s="1942"/>
      <c r="AR292" s="1942"/>
      <c r="AS292" s="1942"/>
      <c r="AT292" s="1942"/>
      <c r="AU292" s="1942"/>
      <c r="AV292" s="1942"/>
      <c r="AW292" s="1942"/>
      <c r="AX292" s="1942"/>
      <c r="AY292" s="1942"/>
      <c r="AZ292" s="1942"/>
      <c r="BA292" s="1942"/>
      <c r="BB292" s="575"/>
      <c r="BC292" s="584"/>
      <c r="BD292" s="678"/>
      <c r="BE292" s="585"/>
    </row>
    <row r="293" spans="1:57" s="51" customFormat="1" ht="14.45" hidden="1" customHeight="1" outlineLevel="1" x14ac:dyDescent="0.25">
      <c r="A293" s="1267"/>
      <c r="B293" s="228"/>
      <c r="C293" s="328"/>
      <c r="D293" s="4006"/>
      <c r="E293" s="4009"/>
      <c r="F293" s="3385" t="str">
        <f t="shared" si="51"/>
        <v>CAC-SEER16_ER1_SF</v>
      </c>
      <c r="G293" s="3386"/>
      <c r="H293" s="3387"/>
      <c r="I293" s="3155" t="str">
        <f t="shared" si="52"/>
        <v>350800_2021_12_</v>
      </c>
      <c r="J293" s="2225">
        <v>35455.827196858118</v>
      </c>
      <c r="K293" s="366">
        <f t="shared" si="53"/>
        <v>2.9546522664048429</v>
      </c>
      <c r="L293" s="2723" t="s">
        <v>1005</v>
      </c>
      <c r="M293" s="1549"/>
      <c r="N293" s="1544"/>
      <c r="O293" s="123"/>
      <c r="P293" s="123"/>
      <c r="Q293" s="123"/>
      <c r="R293" s="123"/>
      <c r="S293" s="123"/>
      <c r="T293" s="123"/>
      <c r="U293" s="123"/>
      <c r="V293" s="3990"/>
      <c r="W293" s="2857">
        <v>37200</v>
      </c>
      <c r="X293" s="3155">
        <f>3.05*12000</f>
        <v>36600</v>
      </c>
      <c r="Y293" s="3155">
        <v>36720</v>
      </c>
      <c r="Z293" s="2857">
        <v>36720</v>
      </c>
      <c r="AA293" s="2857">
        <v>36720</v>
      </c>
      <c r="AB293" s="2225">
        <v>35734.902975420438</v>
      </c>
      <c r="AC293" s="2225">
        <v>35455.827196858118</v>
      </c>
      <c r="AD293" s="2857"/>
      <c r="AE293" s="2857"/>
      <c r="AF293" s="2857"/>
      <c r="AG293" s="2857"/>
      <c r="AH293" s="1942"/>
      <c r="AI293" s="1942"/>
      <c r="AJ293" s="1942"/>
      <c r="AK293" s="1942"/>
      <c r="AL293" s="1942"/>
      <c r="AM293" s="1942"/>
      <c r="AN293" s="1942"/>
      <c r="AO293" s="1942"/>
      <c r="AP293" s="1942"/>
      <c r="AQ293" s="1942"/>
      <c r="AR293" s="1942"/>
      <c r="AS293" s="1942"/>
      <c r="AT293" s="1942"/>
      <c r="AU293" s="1942"/>
      <c r="AV293" s="1942"/>
      <c r="AW293" s="1942"/>
      <c r="AX293" s="1942"/>
      <c r="AY293" s="1942"/>
      <c r="AZ293" s="1942"/>
      <c r="BA293" s="1942"/>
      <c r="BB293" s="575"/>
      <c r="BC293" s="584"/>
      <c r="BD293" s="678"/>
      <c r="BE293" s="585"/>
    </row>
    <row r="294" spans="1:57" s="51" customFormat="1" ht="14.45" hidden="1" customHeight="1" outlineLevel="1" x14ac:dyDescent="0.25">
      <c r="A294" s="1267"/>
      <c r="B294" s="228"/>
      <c r="C294" s="328"/>
      <c r="D294" s="4006"/>
      <c r="E294" s="4009"/>
      <c r="F294" s="3385" t="str">
        <f t="shared" si="51"/>
        <v>CAC-SEER16_ER2_SF</v>
      </c>
      <c r="G294" s="3386"/>
      <c r="H294" s="3387"/>
      <c r="I294" s="3155" t="str">
        <f t="shared" si="52"/>
        <v>350800_2021_12_</v>
      </c>
      <c r="J294" s="2225">
        <f>J293</f>
        <v>35455.827196858118</v>
      </c>
      <c r="K294" s="366">
        <f t="shared" si="53"/>
        <v>2.9546522664048429</v>
      </c>
      <c r="L294" s="2723" t="s">
        <v>1005</v>
      </c>
      <c r="M294" s="1549"/>
      <c r="N294" s="1544"/>
      <c r="O294" s="123"/>
      <c r="P294" s="123"/>
      <c r="Q294" s="123"/>
      <c r="R294" s="123"/>
      <c r="S294" s="123"/>
      <c r="T294" s="123"/>
      <c r="U294" s="123"/>
      <c r="V294" s="3990"/>
      <c r="W294" s="2857">
        <v>37200</v>
      </c>
      <c r="X294" s="3155">
        <f>3.05*12000</f>
        <v>36600</v>
      </c>
      <c r="Y294" s="3155">
        <v>36720</v>
      </c>
      <c r="Z294" s="2857">
        <v>36720</v>
      </c>
      <c r="AA294" s="2857">
        <v>36720</v>
      </c>
      <c r="AB294" s="2225">
        <v>35734.902975420438</v>
      </c>
      <c r="AC294" s="2225">
        <v>35455.827196858118</v>
      </c>
      <c r="AD294" s="2857"/>
      <c r="AE294" s="2857"/>
      <c r="AF294" s="2857"/>
      <c r="AG294" s="2857"/>
      <c r="AH294" s="1942"/>
      <c r="AI294" s="1942"/>
      <c r="AJ294" s="1942"/>
      <c r="AK294" s="1942"/>
      <c r="AL294" s="1942"/>
      <c r="AM294" s="1942"/>
      <c r="AN294" s="1942"/>
      <c r="AO294" s="1942"/>
      <c r="AP294" s="1942"/>
      <c r="AQ294" s="1942"/>
      <c r="AR294" s="1942"/>
      <c r="AS294" s="1942"/>
      <c r="AT294" s="1942"/>
      <c r="AU294" s="1942"/>
      <c r="AV294" s="1942"/>
      <c r="AW294" s="1942"/>
      <c r="AX294" s="1942"/>
      <c r="AY294" s="1942"/>
      <c r="AZ294" s="1942"/>
      <c r="BA294" s="1942"/>
      <c r="BB294" s="575"/>
      <c r="BC294" s="584"/>
      <c r="BD294" s="678"/>
      <c r="BE294" s="585"/>
    </row>
    <row r="295" spans="1:57" s="51" customFormat="1" ht="14.45" hidden="1" customHeight="1" outlineLevel="1" x14ac:dyDescent="0.25">
      <c r="A295" s="1267"/>
      <c r="B295" s="228"/>
      <c r="C295" s="328"/>
      <c r="D295" s="4006"/>
      <c r="E295" s="4009"/>
      <c r="F295" s="3385" t="str">
        <f t="shared" si="51"/>
        <v>CAC-SEER16_ROF_SF</v>
      </c>
      <c r="G295" s="3386"/>
      <c r="H295" s="3387"/>
      <c r="I295" s="3155" t="str">
        <f t="shared" si="52"/>
        <v>350850_2021_12_</v>
      </c>
      <c r="J295" s="2225">
        <v>36399.092122830436</v>
      </c>
      <c r="K295" s="366">
        <f t="shared" si="53"/>
        <v>3.0332576769025361</v>
      </c>
      <c r="L295" s="2723" t="s">
        <v>1005</v>
      </c>
      <c r="M295" s="1549"/>
      <c r="N295" s="1544"/>
      <c r="O295" s="123"/>
      <c r="P295" s="123"/>
      <c r="Q295" s="123"/>
      <c r="R295" s="123"/>
      <c r="S295" s="123"/>
      <c r="T295" s="123"/>
      <c r="U295" s="123"/>
      <c r="V295" s="3990"/>
      <c r="W295" s="2857">
        <v>34800</v>
      </c>
      <c r="X295" s="3155">
        <f>3.05*12000</f>
        <v>36600</v>
      </c>
      <c r="Y295" s="3155">
        <v>35880</v>
      </c>
      <c r="Z295" s="2857">
        <v>35880</v>
      </c>
      <c r="AA295" s="2857">
        <v>35880</v>
      </c>
      <c r="AB295" s="2225">
        <v>36194.49901768173</v>
      </c>
      <c r="AC295" s="2225">
        <v>36399.092122830436</v>
      </c>
      <c r="AD295" s="2857"/>
      <c r="AE295" s="2857"/>
      <c r="AF295" s="2857"/>
      <c r="AG295" s="2857"/>
      <c r="AH295" s="1942"/>
      <c r="AI295" s="1942"/>
      <c r="AJ295" s="1942"/>
      <c r="AK295" s="1942"/>
      <c r="AL295" s="1942"/>
      <c r="AM295" s="1942"/>
      <c r="AN295" s="1942"/>
      <c r="AO295" s="1942"/>
      <c r="AP295" s="1942"/>
      <c r="AQ295" s="1942"/>
      <c r="AR295" s="1942"/>
      <c r="AS295" s="1942"/>
      <c r="AT295" s="1942"/>
      <c r="AU295" s="1942"/>
      <c r="AV295" s="1942"/>
      <c r="AW295" s="1942"/>
      <c r="AX295" s="1942"/>
      <c r="AY295" s="1942"/>
      <c r="AZ295" s="1942"/>
      <c r="BA295" s="1942"/>
      <c r="BB295" s="575"/>
      <c r="BC295" s="584"/>
      <c r="BD295" s="678"/>
      <c r="BE295" s="585"/>
    </row>
    <row r="296" spans="1:57" s="51" customFormat="1" ht="14.45" hidden="1" customHeight="1" outlineLevel="1" x14ac:dyDescent="0.25">
      <c r="A296" s="1267"/>
      <c r="B296" s="228"/>
      <c r="C296" s="328"/>
      <c r="D296" s="4006"/>
      <c r="E296" s="4009"/>
      <c r="F296" s="3385" t="str">
        <f t="shared" si="51"/>
        <v>CAC-SEER16_ER1_MF</v>
      </c>
      <c r="G296" s="3386"/>
      <c r="H296" s="3387"/>
      <c r="I296" s="3155" t="str">
        <f t="shared" si="52"/>
        <v>350900_2021_12_</v>
      </c>
      <c r="J296" s="2225">
        <v>30216.867469879515</v>
      </c>
      <c r="K296" s="366">
        <f t="shared" si="53"/>
        <v>2.5180722891566263</v>
      </c>
      <c r="L296" s="2723" t="s">
        <v>1005</v>
      </c>
      <c r="M296" s="1549"/>
      <c r="N296" s="1544"/>
      <c r="O296" s="123"/>
      <c r="P296" s="123"/>
      <c r="Q296" s="123"/>
      <c r="R296" s="123"/>
      <c r="S296" s="123"/>
      <c r="T296" s="123"/>
      <c r="U296" s="123"/>
      <c r="V296" s="3990"/>
      <c r="W296" s="2857">
        <v>37200</v>
      </c>
      <c r="X296" s="3155">
        <v>24461</v>
      </c>
      <c r="Y296" s="3155">
        <v>24000</v>
      </c>
      <c r="Z296" s="2857">
        <v>24000</v>
      </c>
      <c r="AA296" s="2857">
        <v>24000</v>
      </c>
      <c r="AB296" s="2225">
        <v>30857.142857142859</v>
      </c>
      <c r="AC296" s="2225">
        <v>30216.867469879515</v>
      </c>
      <c r="AD296" s="2857"/>
      <c r="AE296" s="2857"/>
      <c r="AF296" s="2857"/>
      <c r="AG296" s="2857"/>
      <c r="AH296" s="1942"/>
      <c r="AI296" s="1942"/>
      <c r="AJ296" s="1942"/>
      <c r="AK296" s="1942"/>
      <c r="AL296" s="1942"/>
      <c r="AM296" s="1942"/>
      <c r="AN296" s="1942"/>
      <c r="AO296" s="1942"/>
      <c r="AP296" s="1942"/>
      <c r="AQ296" s="1942"/>
      <c r="AR296" s="1942"/>
      <c r="AS296" s="1942"/>
      <c r="AT296" s="1942"/>
      <c r="AU296" s="1942"/>
      <c r="AV296" s="1942"/>
      <c r="AW296" s="1942"/>
      <c r="AX296" s="1942"/>
      <c r="AY296" s="1942"/>
      <c r="AZ296" s="1942"/>
      <c r="BA296" s="1942"/>
      <c r="BB296" s="575"/>
      <c r="BC296" s="584"/>
      <c r="BD296" s="678"/>
      <c r="BE296" s="585"/>
    </row>
    <row r="297" spans="1:57" s="51" customFormat="1" ht="14.45" hidden="1" customHeight="1" outlineLevel="1" x14ac:dyDescent="0.25">
      <c r="A297" s="1267"/>
      <c r="B297" s="228"/>
      <c r="C297" s="328"/>
      <c r="D297" s="4006"/>
      <c r="E297" s="4009"/>
      <c r="F297" s="3385" t="str">
        <f t="shared" si="51"/>
        <v>CAC-SEER16_ER2_MF</v>
      </c>
      <c r="G297" s="3386"/>
      <c r="H297" s="3387"/>
      <c r="I297" s="3155" t="str">
        <f t="shared" si="52"/>
        <v>350900_2021_12_</v>
      </c>
      <c r="J297" s="2225">
        <f>J296</f>
        <v>30216.867469879515</v>
      </c>
      <c r="K297" s="366">
        <f t="shared" si="53"/>
        <v>2.5180722891566263</v>
      </c>
      <c r="L297" s="2723" t="s">
        <v>1005</v>
      </c>
      <c r="M297" s="1549"/>
      <c r="N297" s="1544"/>
      <c r="O297" s="123"/>
      <c r="P297" s="123"/>
      <c r="Q297" s="123"/>
      <c r="R297" s="123"/>
      <c r="S297" s="123"/>
      <c r="T297" s="123"/>
      <c r="U297" s="123"/>
      <c r="V297" s="3990"/>
      <c r="W297" s="2857">
        <v>37200</v>
      </c>
      <c r="X297" s="3155">
        <v>24461</v>
      </c>
      <c r="Y297" s="3155">
        <v>24000</v>
      </c>
      <c r="Z297" s="2857">
        <v>24000</v>
      </c>
      <c r="AA297" s="2857">
        <v>24000</v>
      </c>
      <c r="AB297" s="2225">
        <v>30857.142857142859</v>
      </c>
      <c r="AC297" s="2225">
        <v>30216.867469879515</v>
      </c>
      <c r="AD297" s="2857"/>
      <c r="AE297" s="2857"/>
      <c r="AF297" s="2857"/>
      <c r="AG297" s="2857"/>
      <c r="AH297" s="1942"/>
      <c r="AI297" s="1942"/>
      <c r="AJ297" s="1942"/>
      <c r="AK297" s="1942"/>
      <c r="AL297" s="1942"/>
      <c r="AM297" s="1942"/>
      <c r="AN297" s="1942"/>
      <c r="AO297" s="1942"/>
      <c r="AP297" s="1942"/>
      <c r="AQ297" s="1942"/>
      <c r="AR297" s="1942"/>
      <c r="AS297" s="1942"/>
      <c r="AT297" s="1942"/>
      <c r="AU297" s="1942"/>
      <c r="AV297" s="1942"/>
      <c r="AW297" s="1942"/>
      <c r="AX297" s="1942"/>
      <c r="AY297" s="1942"/>
      <c r="AZ297" s="1942"/>
      <c r="BA297" s="1942"/>
      <c r="BB297" s="575"/>
      <c r="BC297" s="584"/>
      <c r="BD297" s="678"/>
      <c r="BE297" s="585"/>
    </row>
    <row r="298" spans="1:57" s="51" customFormat="1" ht="14.45" hidden="1" customHeight="1" outlineLevel="1" x14ac:dyDescent="0.25">
      <c r="A298" s="1267"/>
      <c r="B298" s="228"/>
      <c r="C298" s="328"/>
      <c r="D298" s="4006"/>
      <c r="E298" s="4009"/>
      <c r="F298" s="3385" t="str">
        <f t="shared" si="51"/>
        <v>CAC-SEER16_ER1_MF_CompE</v>
      </c>
      <c r="G298" s="3386"/>
      <c r="H298" s="3387"/>
      <c r="I298" s="3155" t="str">
        <f t="shared" si="52"/>
        <v>350901_2021_12_</v>
      </c>
      <c r="J298" s="2225">
        <f>J296</f>
        <v>30216.867469879515</v>
      </c>
      <c r="K298" s="366">
        <f t="shared" si="53"/>
        <v>2.5180722891566263</v>
      </c>
      <c r="L298" s="2970" t="s">
        <v>1004</v>
      </c>
      <c r="M298" s="1549"/>
      <c r="N298" s="1544"/>
      <c r="O298" s="123"/>
      <c r="P298" s="123"/>
      <c r="Q298" s="123"/>
      <c r="R298" s="123"/>
      <c r="S298" s="123"/>
      <c r="T298" s="123"/>
      <c r="U298" s="123"/>
      <c r="V298" s="3990"/>
      <c r="W298" s="2857"/>
      <c r="X298" s="3155"/>
      <c r="Y298" s="3155">
        <v>24000</v>
      </c>
      <c r="Z298" s="2857">
        <v>24000</v>
      </c>
      <c r="AA298" s="2857">
        <v>24000</v>
      </c>
      <c r="AB298" s="2223">
        <v>24000</v>
      </c>
      <c r="AC298" s="2225">
        <v>30216.867469879515</v>
      </c>
      <c r="AD298" s="2857"/>
      <c r="AE298" s="2857"/>
      <c r="AF298" s="2857"/>
      <c r="AG298" s="2857"/>
      <c r="AH298" s="1942"/>
      <c r="AI298" s="1942"/>
      <c r="AJ298" s="1942"/>
      <c r="AK298" s="1942"/>
      <c r="AL298" s="1942"/>
      <c r="AM298" s="1942"/>
      <c r="AN298" s="1942"/>
      <c r="AO298" s="1942"/>
      <c r="AP298" s="1942"/>
      <c r="AQ298" s="1942"/>
      <c r="AR298" s="1942"/>
      <c r="AS298" s="1942"/>
      <c r="AT298" s="1942"/>
      <c r="AU298" s="1942"/>
      <c r="AV298" s="1942"/>
      <c r="AW298" s="1942"/>
      <c r="AX298" s="1942"/>
      <c r="AY298" s="1942"/>
      <c r="AZ298" s="1942"/>
      <c r="BA298" s="1942"/>
      <c r="BB298" s="575"/>
      <c r="BC298" s="584"/>
      <c r="BD298" s="678"/>
      <c r="BE298" s="585"/>
    </row>
    <row r="299" spans="1:57" s="51" customFormat="1" ht="14.45" hidden="1" customHeight="1" outlineLevel="1" x14ac:dyDescent="0.25">
      <c r="A299" s="1267"/>
      <c r="B299" s="228"/>
      <c r="C299" s="328"/>
      <c r="D299" s="4006"/>
      <c r="E299" s="4009"/>
      <c r="F299" s="3385" t="str">
        <f t="shared" si="51"/>
        <v>CAC-SEER16_ER2_MF_CompE</v>
      </c>
      <c r="G299" s="3386"/>
      <c r="H299" s="3387"/>
      <c r="I299" s="3155" t="str">
        <f t="shared" si="52"/>
        <v>350901_2021_12_</v>
      </c>
      <c r="J299" s="2225">
        <f>J297</f>
        <v>30216.867469879515</v>
      </c>
      <c r="K299" s="366">
        <f t="shared" si="53"/>
        <v>2.5180722891566263</v>
      </c>
      <c r="L299" s="2970" t="s">
        <v>1004</v>
      </c>
      <c r="M299" s="1549"/>
      <c r="N299" s="1544"/>
      <c r="O299" s="123"/>
      <c r="P299" s="123"/>
      <c r="Q299" s="123"/>
      <c r="R299" s="123"/>
      <c r="S299" s="123"/>
      <c r="T299" s="123"/>
      <c r="U299" s="123"/>
      <c r="V299" s="3990"/>
      <c r="W299" s="2857"/>
      <c r="X299" s="3155"/>
      <c r="Y299" s="3155">
        <v>24000</v>
      </c>
      <c r="Z299" s="2857">
        <v>24000</v>
      </c>
      <c r="AA299" s="2857">
        <v>24000</v>
      </c>
      <c r="AB299" s="2223">
        <v>24000</v>
      </c>
      <c r="AC299" s="2225">
        <v>30216.867469879515</v>
      </c>
      <c r="AD299" s="2857"/>
      <c r="AE299" s="2857"/>
      <c r="AF299" s="2857"/>
      <c r="AG299" s="2857"/>
      <c r="AH299" s="1942"/>
      <c r="AI299" s="1942"/>
      <c r="AJ299" s="1942"/>
      <c r="AK299" s="1942"/>
      <c r="AL299" s="1942"/>
      <c r="AM299" s="1942"/>
      <c r="AN299" s="1942"/>
      <c r="AO299" s="1942"/>
      <c r="AP299" s="1942"/>
      <c r="AQ299" s="1942"/>
      <c r="AR299" s="1942"/>
      <c r="AS299" s="1942"/>
      <c r="AT299" s="1942"/>
      <c r="AU299" s="1942"/>
      <c r="AV299" s="1942"/>
      <c r="AW299" s="1942"/>
      <c r="AX299" s="1942"/>
      <c r="AY299" s="1942"/>
      <c r="AZ299" s="1942"/>
      <c r="BA299" s="1942"/>
      <c r="BB299" s="575"/>
      <c r="BC299" s="584"/>
      <c r="BD299" s="678"/>
      <c r="BE299" s="585"/>
    </row>
    <row r="300" spans="1:57" s="51" customFormat="1" ht="14.45" hidden="1" customHeight="1" outlineLevel="1" x14ac:dyDescent="0.25">
      <c r="A300" s="1267"/>
      <c r="B300" s="228"/>
      <c r="C300" s="328"/>
      <c r="D300" s="4006"/>
      <c r="E300" s="4009"/>
      <c r="F300" s="3385" t="str">
        <f t="shared" si="51"/>
        <v>CAC-SEER16_ROF_MF</v>
      </c>
      <c r="G300" s="3386"/>
      <c r="H300" s="3387"/>
      <c r="I300" s="3155" t="str">
        <f t="shared" si="52"/>
        <v>350950_2021_12_</v>
      </c>
      <c r="J300" s="2225">
        <v>25200</v>
      </c>
      <c r="K300" s="366">
        <f t="shared" si="53"/>
        <v>2.1</v>
      </c>
      <c r="L300" s="2723" t="s">
        <v>1005</v>
      </c>
      <c r="M300" s="1549"/>
      <c r="N300" s="1544"/>
      <c r="O300" s="123"/>
      <c r="P300" s="123"/>
      <c r="Q300" s="123"/>
      <c r="R300" s="123"/>
      <c r="S300" s="123"/>
      <c r="T300" s="123"/>
      <c r="U300" s="123"/>
      <c r="V300" s="3990"/>
      <c r="W300" s="2857">
        <v>34800</v>
      </c>
      <c r="X300" s="3155">
        <v>24461</v>
      </c>
      <c r="Y300" s="3155">
        <v>24000</v>
      </c>
      <c r="Z300" s="2857">
        <v>24000</v>
      </c>
      <c r="AA300" s="2857">
        <v>24000</v>
      </c>
      <c r="AB300" s="2225">
        <v>32571.428571428572</v>
      </c>
      <c r="AC300" s="2225">
        <v>25200</v>
      </c>
      <c r="AD300" s="2857"/>
      <c r="AE300" s="2857"/>
      <c r="AF300" s="2857"/>
      <c r="AG300" s="2857"/>
      <c r="AH300" s="1942"/>
      <c r="AI300" s="1942"/>
      <c r="AJ300" s="1942"/>
      <c r="AK300" s="1942"/>
      <c r="AL300" s="1942"/>
      <c r="AM300" s="1942"/>
      <c r="AN300" s="1942"/>
      <c r="AO300" s="1942"/>
      <c r="AP300" s="1942"/>
      <c r="AQ300" s="1942"/>
      <c r="AR300" s="1942"/>
      <c r="AS300" s="1942"/>
      <c r="AT300" s="1942"/>
      <c r="AU300" s="1942"/>
      <c r="AV300" s="1942"/>
      <c r="AW300" s="1942"/>
      <c r="AX300" s="1942"/>
      <c r="AY300" s="1942"/>
      <c r="AZ300" s="1942"/>
      <c r="BA300" s="1942"/>
      <c r="BB300" s="575"/>
      <c r="BC300" s="584"/>
      <c r="BD300" s="678"/>
      <c r="BE300" s="585"/>
    </row>
    <row r="301" spans="1:57" s="51" customFormat="1" ht="14.45" hidden="1" customHeight="1" outlineLevel="1" x14ac:dyDescent="0.25">
      <c r="A301" s="1267"/>
      <c r="B301" s="228"/>
      <c r="C301" s="328"/>
      <c r="D301" s="4006"/>
      <c r="E301" s="4009"/>
      <c r="F301" s="3385" t="str">
        <f t="shared" si="51"/>
        <v>CAC-SEER16_ROF_MF_CompE</v>
      </c>
      <c r="G301" s="3386"/>
      <c r="H301" s="3387"/>
      <c r="I301" s="3155" t="str">
        <f t="shared" si="52"/>
        <v>350951_2021_12_</v>
      </c>
      <c r="J301" s="2225">
        <f>J300</f>
        <v>25200</v>
      </c>
      <c r="K301" s="366">
        <f t="shared" si="53"/>
        <v>2.1</v>
      </c>
      <c r="L301" s="2970" t="s">
        <v>1004</v>
      </c>
      <c r="M301" s="1549"/>
      <c r="N301" s="1544"/>
      <c r="O301" s="123"/>
      <c r="P301" s="123"/>
      <c r="Q301" s="123"/>
      <c r="R301" s="123"/>
      <c r="S301" s="123"/>
      <c r="T301" s="123"/>
      <c r="U301" s="123"/>
      <c r="V301" s="3990"/>
      <c r="W301" s="2857"/>
      <c r="X301" s="3155"/>
      <c r="Y301" s="3155">
        <v>24000</v>
      </c>
      <c r="Z301" s="2857">
        <v>24000</v>
      </c>
      <c r="AA301" s="2857">
        <v>24000</v>
      </c>
      <c r="AB301" s="2223">
        <v>24000</v>
      </c>
      <c r="AC301" s="2225">
        <v>25200</v>
      </c>
      <c r="AD301" s="2857"/>
      <c r="AE301" s="2857"/>
      <c r="AF301" s="2857"/>
      <c r="AG301" s="2857"/>
      <c r="AH301" s="1942"/>
      <c r="AI301" s="1942"/>
      <c r="AJ301" s="1942"/>
      <c r="AK301" s="1942"/>
      <c r="AL301" s="1942"/>
      <c r="AM301" s="1942"/>
      <c r="AN301" s="1942"/>
      <c r="AO301" s="1942"/>
      <c r="AP301" s="1942"/>
      <c r="AQ301" s="1942"/>
      <c r="AR301" s="1942"/>
      <c r="AS301" s="1942"/>
      <c r="AT301" s="1942"/>
      <c r="AU301" s="1942"/>
      <c r="AV301" s="1942"/>
      <c r="AW301" s="1942"/>
      <c r="AX301" s="1942"/>
      <c r="AY301" s="1942"/>
      <c r="AZ301" s="1942"/>
      <c r="BA301" s="1942"/>
      <c r="BB301" s="575"/>
      <c r="BC301" s="584"/>
      <c r="BD301" s="678"/>
      <c r="BE301" s="585"/>
    </row>
    <row r="302" spans="1:57" s="51" customFormat="1" ht="14.45" hidden="1" customHeight="1" outlineLevel="1" x14ac:dyDescent="0.25">
      <c r="A302" s="1267"/>
      <c r="B302" s="228"/>
      <c r="C302" s="328"/>
      <c r="D302" s="4006"/>
      <c r="E302" s="4009"/>
      <c r="F302" s="3385" t="str">
        <f t="shared" si="51"/>
        <v>CAC-SEER17_ER1_SF</v>
      </c>
      <c r="G302" s="3386"/>
      <c r="H302" s="3387"/>
      <c r="I302" s="3155" t="str">
        <f t="shared" si="52"/>
        <v>351000_2021_12_</v>
      </c>
      <c r="J302" s="2225">
        <v>35029.739776951676</v>
      </c>
      <c r="K302" s="366">
        <f t="shared" si="53"/>
        <v>2.9191449814126398</v>
      </c>
      <c r="L302" s="2723" t="s">
        <v>1005</v>
      </c>
      <c r="M302" s="1549"/>
      <c r="N302" s="1544"/>
      <c r="O302" s="123"/>
      <c r="P302" s="123"/>
      <c r="Q302" s="123"/>
      <c r="R302" s="123"/>
      <c r="S302" s="123"/>
      <c r="T302" s="123"/>
      <c r="U302" s="123"/>
      <c r="V302" s="3990"/>
      <c r="W302" s="2857">
        <v>37200</v>
      </c>
      <c r="X302" s="699">
        <f>W302</f>
        <v>37200</v>
      </c>
      <c r="Y302" s="3155">
        <v>36720</v>
      </c>
      <c r="Z302" s="2857">
        <v>36720</v>
      </c>
      <c r="AA302" s="2857">
        <v>36720</v>
      </c>
      <c r="AB302" s="2225">
        <v>36976.704980842915</v>
      </c>
      <c r="AC302" s="2225">
        <v>35029.739776951676</v>
      </c>
      <c r="AD302" s="2857"/>
      <c r="AE302" s="2857"/>
      <c r="AF302" s="2857"/>
      <c r="AG302" s="2857"/>
      <c r="AH302" s="1942"/>
      <c r="AI302" s="1942"/>
      <c r="AJ302" s="1942"/>
      <c r="AK302" s="1942"/>
      <c r="AL302" s="1942"/>
      <c r="AM302" s="1942"/>
      <c r="AN302" s="1942"/>
      <c r="AO302" s="1942"/>
      <c r="AP302" s="1942"/>
      <c r="AQ302" s="1942"/>
      <c r="AR302" s="1942"/>
      <c r="AS302" s="1942"/>
      <c r="AT302" s="1942"/>
      <c r="AU302" s="1942"/>
      <c r="AV302" s="1942"/>
      <c r="AW302" s="1942"/>
      <c r="AX302" s="1942"/>
      <c r="AY302" s="1942"/>
      <c r="AZ302" s="1942"/>
      <c r="BA302" s="1942"/>
      <c r="BB302" s="575"/>
      <c r="BC302" s="584"/>
      <c r="BD302" s="678"/>
      <c r="BE302" s="585"/>
    </row>
    <row r="303" spans="1:57" s="51" customFormat="1" ht="14.45" hidden="1" customHeight="1" outlineLevel="1" x14ac:dyDescent="0.25">
      <c r="A303" s="1267"/>
      <c r="B303" s="228"/>
      <c r="C303" s="328"/>
      <c r="D303" s="4006"/>
      <c r="E303" s="4009"/>
      <c r="F303" s="3385" t="str">
        <f t="shared" si="51"/>
        <v>CAC-SEER17_ER2_SF</v>
      </c>
      <c r="G303" s="3386"/>
      <c r="H303" s="3387"/>
      <c r="I303" s="3155" t="str">
        <f t="shared" si="52"/>
        <v>351000_2021_12_</v>
      </c>
      <c r="J303" s="2225">
        <f>J302</f>
        <v>35029.739776951676</v>
      </c>
      <c r="K303" s="366">
        <f t="shared" si="53"/>
        <v>2.9191449814126398</v>
      </c>
      <c r="L303" s="2723" t="s">
        <v>1005</v>
      </c>
      <c r="M303" s="1549"/>
      <c r="N303" s="1544"/>
      <c r="O303" s="123"/>
      <c r="P303" s="123"/>
      <c r="Q303" s="123"/>
      <c r="R303" s="123"/>
      <c r="S303" s="123"/>
      <c r="T303" s="123"/>
      <c r="U303" s="123"/>
      <c r="V303" s="3990"/>
      <c r="W303" s="2857">
        <v>37200</v>
      </c>
      <c r="X303" s="699">
        <f t="shared" ref="X303:X309" si="54">W303</f>
        <v>37200</v>
      </c>
      <c r="Y303" s="3155">
        <v>36720</v>
      </c>
      <c r="Z303" s="2857">
        <v>36720</v>
      </c>
      <c r="AA303" s="2857">
        <v>36720</v>
      </c>
      <c r="AB303" s="2225">
        <v>36976.704980842915</v>
      </c>
      <c r="AC303" s="2225">
        <v>35029.739776951676</v>
      </c>
      <c r="AD303" s="2857"/>
      <c r="AE303" s="2857"/>
      <c r="AF303" s="2857"/>
      <c r="AG303" s="2857"/>
      <c r="AH303" s="1942"/>
      <c r="AI303" s="1942"/>
      <c r="AJ303" s="1942"/>
      <c r="AK303" s="1942"/>
      <c r="AL303" s="1942"/>
      <c r="AM303" s="1942"/>
      <c r="AN303" s="1942"/>
      <c r="AO303" s="1942"/>
      <c r="AP303" s="1942"/>
      <c r="AQ303" s="1942"/>
      <c r="AR303" s="1942"/>
      <c r="AS303" s="1942"/>
      <c r="AT303" s="1942"/>
      <c r="AU303" s="1942"/>
      <c r="AV303" s="1942"/>
      <c r="AW303" s="1942"/>
      <c r="AX303" s="1942"/>
      <c r="AY303" s="1942"/>
      <c r="AZ303" s="1942"/>
      <c r="BA303" s="1942"/>
      <c r="BB303" s="575"/>
      <c r="BC303" s="584"/>
      <c r="BD303" s="678"/>
      <c r="BE303" s="585"/>
    </row>
    <row r="304" spans="1:57" s="51" customFormat="1" ht="14.45" hidden="1" customHeight="1" outlineLevel="1" x14ac:dyDescent="0.25">
      <c r="A304" s="1267"/>
      <c r="B304" s="228"/>
      <c r="C304" s="328"/>
      <c r="D304" s="4006"/>
      <c r="E304" s="4009"/>
      <c r="F304" s="3385" t="str">
        <f t="shared" si="51"/>
        <v>CAC-SEER17_ROF_SF</v>
      </c>
      <c r="G304" s="3386"/>
      <c r="H304" s="3387"/>
      <c r="I304" s="3155" t="str">
        <f t="shared" si="52"/>
        <v>351050_2021_12_</v>
      </c>
      <c r="J304" s="2225">
        <v>36358.695652173912</v>
      </c>
      <c r="K304" s="366">
        <f t="shared" si="53"/>
        <v>3.0298913043478262</v>
      </c>
      <c r="L304" s="2723" t="s">
        <v>1005</v>
      </c>
      <c r="M304" s="1549"/>
      <c r="N304" s="1544"/>
      <c r="O304" s="123"/>
      <c r="P304" s="123"/>
      <c r="Q304" s="123"/>
      <c r="R304" s="123"/>
      <c r="S304" s="123"/>
      <c r="T304" s="123"/>
      <c r="U304" s="123"/>
      <c r="V304" s="3990"/>
      <c r="W304" s="2857">
        <v>34800</v>
      </c>
      <c r="X304" s="699">
        <f t="shared" si="54"/>
        <v>34800</v>
      </c>
      <c r="Y304" s="3155">
        <v>35880</v>
      </c>
      <c r="Z304" s="2857">
        <v>35880</v>
      </c>
      <c r="AA304" s="2857">
        <v>35880</v>
      </c>
      <c r="AB304" s="2225">
        <v>38408.163265306124</v>
      </c>
      <c r="AC304" s="2225">
        <v>36358.695652173912</v>
      </c>
      <c r="AD304" s="2857"/>
      <c r="AE304" s="2857"/>
      <c r="AF304" s="2857"/>
      <c r="AG304" s="2857"/>
      <c r="AH304" s="1942"/>
      <c r="AI304" s="1942"/>
      <c r="AJ304" s="1942"/>
      <c r="AK304" s="1942"/>
      <c r="AL304" s="1942"/>
      <c r="AM304" s="1942"/>
      <c r="AN304" s="1942"/>
      <c r="AO304" s="1942"/>
      <c r="AP304" s="1942"/>
      <c r="AQ304" s="1942"/>
      <c r="AR304" s="1942"/>
      <c r="AS304" s="1942"/>
      <c r="AT304" s="1942"/>
      <c r="AU304" s="1942"/>
      <c r="AV304" s="1942"/>
      <c r="AW304" s="1942"/>
      <c r="AX304" s="1942"/>
      <c r="AY304" s="1942"/>
      <c r="AZ304" s="1942"/>
      <c r="BA304" s="1942"/>
      <c r="BB304" s="575"/>
      <c r="BC304" s="584"/>
      <c r="BD304" s="678"/>
      <c r="BE304" s="585"/>
    </row>
    <row r="305" spans="1:57" s="51" customFormat="1" ht="14.45" hidden="1" customHeight="1" outlineLevel="1" x14ac:dyDescent="0.25">
      <c r="A305" s="1267"/>
      <c r="B305" s="228"/>
      <c r="C305" s="328"/>
      <c r="D305" s="4006"/>
      <c r="E305" s="4009"/>
      <c r="F305" s="3385" t="str">
        <f t="shared" si="51"/>
        <v>CAC-SEER17_ER1_MF</v>
      </c>
      <c r="G305" s="3386"/>
      <c r="H305" s="3387"/>
      <c r="I305" s="3155" t="str">
        <f t="shared" si="52"/>
        <v>351100_2021_12_</v>
      </c>
      <c r="J305" s="2225">
        <v>30750</v>
      </c>
      <c r="K305" s="366">
        <f t="shared" si="53"/>
        <v>2.5625</v>
      </c>
      <c r="L305" s="2723" t="s">
        <v>1005</v>
      </c>
      <c r="M305" s="1549"/>
      <c r="N305" s="1544"/>
      <c r="O305" s="123"/>
      <c r="P305" s="123"/>
      <c r="Q305" s="123"/>
      <c r="R305" s="123"/>
      <c r="S305" s="123"/>
      <c r="T305" s="123"/>
      <c r="U305" s="123"/>
      <c r="V305" s="3990"/>
      <c r="W305" s="2857">
        <v>37200</v>
      </c>
      <c r="X305" s="699">
        <f t="shared" si="54"/>
        <v>37200</v>
      </c>
      <c r="Y305" s="3155">
        <v>24000</v>
      </c>
      <c r="Z305" s="2857">
        <v>24000</v>
      </c>
      <c r="AA305" s="2857">
        <v>24000</v>
      </c>
      <c r="AB305" s="2225">
        <v>29454.545454545456</v>
      </c>
      <c r="AC305" s="2225">
        <v>30750</v>
      </c>
      <c r="AD305" s="2857"/>
      <c r="AE305" s="2857"/>
      <c r="AF305" s="2857"/>
      <c r="AG305" s="2857"/>
      <c r="AH305" s="1942"/>
      <c r="AI305" s="1942"/>
      <c r="AJ305" s="1942"/>
      <c r="AK305" s="1942"/>
      <c r="AL305" s="1942"/>
      <c r="AM305" s="1942"/>
      <c r="AN305" s="1942"/>
      <c r="AO305" s="1942"/>
      <c r="AP305" s="1942"/>
      <c r="AQ305" s="1942"/>
      <c r="AR305" s="1942"/>
      <c r="AS305" s="1942"/>
      <c r="AT305" s="1942"/>
      <c r="AU305" s="1942"/>
      <c r="AV305" s="1942"/>
      <c r="AW305" s="1942"/>
      <c r="AX305" s="1942"/>
      <c r="AY305" s="1942"/>
      <c r="AZ305" s="1942"/>
      <c r="BA305" s="1942"/>
      <c r="BB305" s="575"/>
      <c r="BC305" s="584"/>
      <c r="BD305" s="678"/>
      <c r="BE305" s="585"/>
    </row>
    <row r="306" spans="1:57" s="51" customFormat="1" ht="14.45" hidden="1" customHeight="1" outlineLevel="1" x14ac:dyDescent="0.25">
      <c r="A306" s="1267"/>
      <c r="B306" s="228"/>
      <c r="C306" s="328"/>
      <c r="D306" s="4006"/>
      <c r="E306" s="4009"/>
      <c r="F306" s="3385" t="str">
        <f t="shared" si="51"/>
        <v>CAC-SEER17_ER2_MF</v>
      </c>
      <c r="G306" s="3386"/>
      <c r="H306" s="3387"/>
      <c r="I306" s="3155" t="str">
        <f t="shared" si="52"/>
        <v>351100_2021_12_</v>
      </c>
      <c r="J306" s="2225">
        <f>J305</f>
        <v>30750</v>
      </c>
      <c r="K306" s="366">
        <f t="shared" si="53"/>
        <v>2.5625</v>
      </c>
      <c r="L306" s="2723" t="s">
        <v>1005</v>
      </c>
      <c r="M306" s="1549"/>
      <c r="N306" s="1544"/>
      <c r="O306" s="123"/>
      <c r="P306" s="123"/>
      <c r="Q306" s="123"/>
      <c r="R306" s="123"/>
      <c r="S306" s="123"/>
      <c r="T306" s="123"/>
      <c r="U306" s="123"/>
      <c r="V306" s="3990"/>
      <c r="W306" s="2857">
        <v>37200</v>
      </c>
      <c r="X306" s="699">
        <f t="shared" si="54"/>
        <v>37200</v>
      </c>
      <c r="Y306" s="3155">
        <v>24000</v>
      </c>
      <c r="Z306" s="2857">
        <v>24000</v>
      </c>
      <c r="AA306" s="2857">
        <v>24000</v>
      </c>
      <c r="AB306" s="2225">
        <v>29454.545454545456</v>
      </c>
      <c r="AC306" s="2225">
        <v>30750</v>
      </c>
      <c r="AD306" s="2857"/>
      <c r="AE306" s="2857"/>
      <c r="AF306" s="2857"/>
      <c r="AG306" s="2857"/>
      <c r="AH306" s="1942"/>
      <c r="AI306" s="1942"/>
      <c r="AJ306" s="1942"/>
      <c r="AK306" s="1942"/>
      <c r="AL306" s="1942"/>
      <c r="AM306" s="1942"/>
      <c r="AN306" s="1942"/>
      <c r="AO306" s="1942"/>
      <c r="AP306" s="1942"/>
      <c r="AQ306" s="1942"/>
      <c r="AR306" s="1942"/>
      <c r="AS306" s="1942"/>
      <c r="AT306" s="1942"/>
      <c r="AU306" s="1942"/>
      <c r="AV306" s="1942"/>
      <c r="AW306" s="1942"/>
      <c r="AX306" s="1942"/>
      <c r="AY306" s="1942"/>
      <c r="AZ306" s="1942"/>
      <c r="BA306" s="1942"/>
      <c r="BB306" s="575"/>
      <c r="BC306" s="584"/>
      <c r="BD306" s="678"/>
      <c r="BE306" s="585"/>
    </row>
    <row r="307" spans="1:57" s="51" customFormat="1" ht="14.45" hidden="1" customHeight="1" outlineLevel="1" x14ac:dyDescent="0.25">
      <c r="A307" s="1267"/>
      <c r="B307" s="228"/>
      <c r="C307" s="328"/>
      <c r="D307" s="4006"/>
      <c r="E307" s="4009"/>
      <c r="F307" s="3385" t="str">
        <f t="shared" si="51"/>
        <v>CAC-SEER17_ER1_MF_CompE</v>
      </c>
      <c r="G307" s="3386"/>
      <c r="H307" s="3387"/>
      <c r="I307" s="692" t="str">
        <f t="shared" si="52"/>
        <v>351101_2021_12_</v>
      </c>
      <c r="J307" s="2225">
        <f>J305</f>
        <v>30750</v>
      </c>
      <c r="K307" s="366">
        <f t="shared" si="53"/>
        <v>2.5625</v>
      </c>
      <c r="L307" s="2970" t="s">
        <v>1004</v>
      </c>
      <c r="M307" s="1549"/>
      <c r="N307" s="1544"/>
      <c r="O307" s="123"/>
      <c r="P307" s="123"/>
      <c r="Q307" s="123"/>
      <c r="R307" s="123"/>
      <c r="S307" s="123"/>
      <c r="T307" s="123"/>
      <c r="U307" s="123"/>
      <c r="V307" s="3990"/>
      <c r="W307" s="2857"/>
      <c r="X307" s="699"/>
      <c r="Y307" s="3155">
        <v>24000</v>
      </c>
      <c r="Z307" s="2857">
        <v>24000</v>
      </c>
      <c r="AA307" s="2857">
        <v>24000</v>
      </c>
      <c r="AB307" s="2223">
        <v>24000</v>
      </c>
      <c r="AC307" s="2225">
        <v>30750</v>
      </c>
      <c r="AD307" s="2857"/>
      <c r="AE307" s="2857"/>
      <c r="AF307" s="2857"/>
      <c r="AG307" s="2857"/>
      <c r="AH307" s="1942"/>
      <c r="AI307" s="1942"/>
      <c r="AJ307" s="1942"/>
      <c r="AK307" s="1942"/>
      <c r="AL307" s="1942"/>
      <c r="AM307" s="1942"/>
      <c r="AN307" s="1942"/>
      <c r="AO307" s="1942"/>
      <c r="AP307" s="1942"/>
      <c r="AQ307" s="1942"/>
      <c r="AR307" s="1942"/>
      <c r="AS307" s="1942"/>
      <c r="AT307" s="1942"/>
      <c r="AU307" s="1942"/>
      <c r="AV307" s="1942"/>
      <c r="AW307" s="1942"/>
      <c r="AX307" s="1942"/>
      <c r="AY307" s="1942"/>
      <c r="AZ307" s="1942"/>
      <c r="BA307" s="1942"/>
      <c r="BB307" s="575"/>
      <c r="BC307" s="584"/>
      <c r="BD307" s="678"/>
      <c r="BE307" s="585"/>
    </row>
    <row r="308" spans="1:57" s="51" customFormat="1" ht="14.45" hidden="1" customHeight="1" outlineLevel="1" x14ac:dyDescent="0.25">
      <c r="A308" s="1267"/>
      <c r="B308" s="228"/>
      <c r="C308" s="328"/>
      <c r="D308" s="4006"/>
      <c r="E308" s="4009"/>
      <c r="F308" s="3385" t="str">
        <f t="shared" si="51"/>
        <v>CAC-SEER17_ER2_MF_CompE</v>
      </c>
      <c r="G308" s="3386"/>
      <c r="H308" s="3387"/>
      <c r="I308" s="692" t="str">
        <f t="shared" si="52"/>
        <v>351101_2021_12_</v>
      </c>
      <c r="J308" s="2225">
        <f>J306</f>
        <v>30750</v>
      </c>
      <c r="K308" s="366">
        <f t="shared" si="53"/>
        <v>2.5625</v>
      </c>
      <c r="L308" s="2970" t="s">
        <v>1004</v>
      </c>
      <c r="M308" s="1549"/>
      <c r="N308" s="1544"/>
      <c r="O308" s="123"/>
      <c r="P308" s="123"/>
      <c r="Q308" s="123"/>
      <c r="R308" s="123"/>
      <c r="S308" s="123"/>
      <c r="T308" s="123"/>
      <c r="U308" s="123"/>
      <c r="V308" s="3990"/>
      <c r="W308" s="2857"/>
      <c r="X308" s="699"/>
      <c r="Y308" s="3155">
        <v>24000</v>
      </c>
      <c r="Z308" s="2857">
        <v>24000</v>
      </c>
      <c r="AA308" s="2857">
        <v>24000</v>
      </c>
      <c r="AB308" s="2223">
        <v>24000</v>
      </c>
      <c r="AC308" s="2225">
        <v>30750</v>
      </c>
      <c r="AD308" s="2857"/>
      <c r="AE308" s="2857"/>
      <c r="AF308" s="2857"/>
      <c r="AG308" s="2857"/>
      <c r="AH308" s="1942"/>
      <c r="AI308" s="1942"/>
      <c r="AJ308" s="1942"/>
      <c r="AK308" s="1942"/>
      <c r="AL308" s="1942"/>
      <c r="AM308" s="1942"/>
      <c r="AN308" s="1942"/>
      <c r="AO308" s="1942"/>
      <c r="AP308" s="1942"/>
      <c r="AQ308" s="1942"/>
      <c r="AR308" s="1942"/>
      <c r="AS308" s="1942"/>
      <c r="AT308" s="1942"/>
      <c r="AU308" s="1942"/>
      <c r="AV308" s="1942"/>
      <c r="AW308" s="1942"/>
      <c r="AX308" s="1942"/>
      <c r="AY308" s="1942"/>
      <c r="AZ308" s="1942"/>
      <c r="BA308" s="1942"/>
      <c r="BB308" s="575"/>
      <c r="BC308" s="584"/>
      <c r="BD308" s="678"/>
      <c r="BE308" s="585"/>
    </row>
    <row r="309" spans="1:57" s="51" customFormat="1" ht="14.45" hidden="1" customHeight="1" outlineLevel="1" x14ac:dyDescent="0.25">
      <c r="A309" s="1267"/>
      <c r="B309" s="228"/>
      <c r="C309" s="328"/>
      <c r="D309" s="4006"/>
      <c r="E309" s="4009"/>
      <c r="F309" s="3385" t="str">
        <f t="shared" si="51"/>
        <v>CAC-SEER17_ROF_MF</v>
      </c>
      <c r="G309" s="3386"/>
      <c r="H309" s="3387"/>
      <c r="I309" s="3155" t="str">
        <f t="shared" si="52"/>
        <v>351150_2021_12_</v>
      </c>
      <c r="J309" s="2225">
        <v>33000</v>
      </c>
      <c r="K309" s="366">
        <f t="shared" si="53"/>
        <v>2.75</v>
      </c>
      <c r="L309" s="2723" t="s">
        <v>1005</v>
      </c>
      <c r="M309" s="1550"/>
      <c r="N309" s="1544"/>
      <c r="O309" s="123"/>
      <c r="P309" s="123"/>
      <c r="Q309" s="123"/>
      <c r="R309" s="123"/>
      <c r="S309" s="123"/>
      <c r="T309" s="123"/>
      <c r="U309" s="123"/>
      <c r="V309" s="3990"/>
      <c r="W309" s="2857">
        <v>34800</v>
      </c>
      <c r="X309" s="699">
        <f t="shared" si="54"/>
        <v>34800</v>
      </c>
      <c r="Y309" s="2857">
        <v>24000</v>
      </c>
      <c r="Z309" s="2857">
        <v>24000</v>
      </c>
      <c r="AA309" s="2857">
        <v>24000</v>
      </c>
      <c r="AB309" s="2225">
        <v>48000</v>
      </c>
      <c r="AC309" s="2225">
        <v>33000</v>
      </c>
      <c r="AD309" s="2857"/>
      <c r="AE309" s="2857"/>
      <c r="AF309" s="2857"/>
      <c r="AG309" s="2857"/>
      <c r="AH309" s="1942"/>
      <c r="AI309" s="1942"/>
      <c r="AJ309" s="1942"/>
      <c r="AK309" s="1942"/>
      <c r="AL309" s="1942"/>
      <c r="AM309" s="1942"/>
      <c r="AN309" s="1942"/>
      <c r="AO309" s="1942"/>
      <c r="AP309" s="1942"/>
      <c r="AQ309" s="1942"/>
      <c r="AR309" s="1942"/>
      <c r="AS309" s="1942"/>
      <c r="AT309" s="1942"/>
      <c r="AU309" s="1942"/>
      <c r="AV309" s="1942"/>
      <c r="AW309" s="1942"/>
      <c r="AX309" s="1942"/>
      <c r="AY309" s="1942"/>
      <c r="AZ309" s="1942"/>
      <c r="BA309" s="1942"/>
      <c r="BB309" s="575"/>
      <c r="BC309" s="584"/>
      <c r="BD309" s="678"/>
      <c r="BE309" s="585"/>
    </row>
    <row r="310" spans="1:57" s="51" customFormat="1" ht="14.45" hidden="1" customHeight="1" outlineLevel="1" x14ac:dyDescent="0.25">
      <c r="A310" s="1267"/>
      <c r="B310" s="228"/>
      <c r="C310" s="328"/>
      <c r="D310" s="4006"/>
      <c r="E310" s="3890"/>
      <c r="F310" s="3385" t="str">
        <f t="shared" si="51"/>
        <v>CAC-SEER17_ROF_MF_CompE</v>
      </c>
      <c r="G310" s="3386"/>
      <c r="H310" s="3387"/>
      <c r="I310" s="3155" t="str">
        <f t="shared" si="52"/>
        <v>351151_2021_12_</v>
      </c>
      <c r="J310" s="2968">
        <f>J309</f>
        <v>33000</v>
      </c>
      <c r="K310" s="549">
        <f t="shared" si="53"/>
        <v>2.75</v>
      </c>
      <c r="L310" s="2970" t="s">
        <v>1004</v>
      </c>
      <c r="M310" s="1550"/>
      <c r="N310" s="1544"/>
      <c r="O310" s="123"/>
      <c r="P310" s="123"/>
      <c r="Q310" s="123"/>
      <c r="R310" s="123"/>
      <c r="S310" s="123"/>
      <c r="T310" s="123"/>
      <c r="U310" s="123"/>
      <c r="V310" s="4005"/>
      <c r="W310" s="2857"/>
      <c r="X310" s="699"/>
      <c r="Y310" s="3155">
        <v>24000</v>
      </c>
      <c r="Z310" s="2857">
        <v>24000</v>
      </c>
      <c r="AA310" s="2857">
        <v>24000</v>
      </c>
      <c r="AB310" s="2221">
        <v>24000</v>
      </c>
      <c r="AC310" s="2968">
        <v>33000</v>
      </c>
      <c r="AD310" s="2857"/>
      <c r="AE310" s="2857"/>
      <c r="AF310" s="2857"/>
      <c r="AG310" s="2857"/>
      <c r="AH310" s="1942"/>
      <c r="AI310" s="1942"/>
      <c r="AJ310" s="1942"/>
      <c r="AK310" s="1942"/>
      <c r="AL310" s="1942"/>
      <c r="AM310" s="1942"/>
      <c r="AN310" s="1942"/>
      <c r="AO310" s="1942"/>
      <c r="AP310" s="1942"/>
      <c r="AQ310" s="1942"/>
      <c r="AR310" s="1942"/>
      <c r="AS310" s="1942"/>
      <c r="AT310" s="1942"/>
      <c r="AU310" s="1942"/>
      <c r="AV310" s="1942"/>
      <c r="AW310" s="1942"/>
      <c r="AX310" s="1942"/>
      <c r="AY310" s="1942"/>
      <c r="AZ310" s="1942"/>
      <c r="BA310" s="1942"/>
      <c r="BB310" s="575"/>
      <c r="BC310" s="584"/>
      <c r="BD310" s="678"/>
      <c r="BE310" s="585"/>
    </row>
    <row r="311" spans="1:57" s="51" customFormat="1" ht="14.45" hidden="1" customHeight="1" outlineLevel="1" x14ac:dyDescent="0.25">
      <c r="A311" s="1267"/>
      <c r="B311" s="228"/>
      <c r="C311" s="328"/>
      <c r="D311" s="4006"/>
      <c r="E311" s="4010"/>
      <c r="F311" s="3391" t="str">
        <f t="shared" si="51"/>
        <v>CAC-SEER18_ER1_SF</v>
      </c>
      <c r="G311" s="3392"/>
      <c r="H311" s="3393"/>
      <c r="I311" s="3155" t="str">
        <f t="shared" si="52"/>
        <v>351160_2021_12_</v>
      </c>
      <c r="J311" s="2968">
        <v>38898.876404494382</v>
      </c>
      <c r="K311" s="549">
        <f t="shared" si="53"/>
        <v>3.2415730337078652</v>
      </c>
      <c r="L311" s="2969" t="s">
        <v>1007</v>
      </c>
      <c r="M311" s="123"/>
      <c r="N311" s="1544"/>
      <c r="O311" s="123"/>
      <c r="P311" s="123"/>
      <c r="Q311" s="123"/>
      <c r="R311" s="123"/>
      <c r="S311" s="123"/>
      <c r="T311" s="123"/>
      <c r="U311" s="123"/>
      <c r="V311" s="4005"/>
      <c r="W311" s="696"/>
      <c r="X311" s="3158"/>
      <c r="Y311" s="3158"/>
      <c r="Z311" s="3158">
        <v>36000</v>
      </c>
      <c r="AA311" s="696">
        <v>36000</v>
      </c>
      <c r="AB311" s="2221">
        <v>36000</v>
      </c>
      <c r="AC311" s="2968">
        <v>38898.876404494382</v>
      </c>
      <c r="AD311" s="696"/>
      <c r="AE311" s="696"/>
      <c r="AF311" s="696"/>
      <c r="AG311" s="696"/>
      <c r="AH311" s="1942"/>
      <c r="AI311" s="1942"/>
      <c r="AJ311" s="1942"/>
      <c r="AK311" s="1942"/>
      <c r="AL311" s="1942"/>
      <c r="AM311" s="1942"/>
      <c r="AN311" s="1942"/>
      <c r="AO311" s="1942"/>
      <c r="AP311" s="1942"/>
      <c r="AQ311" s="1942"/>
      <c r="AR311" s="1942"/>
      <c r="AS311" s="1942"/>
      <c r="AT311" s="1942"/>
      <c r="AU311" s="1942"/>
      <c r="AV311" s="1942"/>
      <c r="AW311" s="1942"/>
      <c r="AX311" s="1942"/>
      <c r="AY311" s="1942"/>
      <c r="AZ311" s="1942"/>
      <c r="BA311" s="1942"/>
      <c r="BB311" s="575"/>
      <c r="BC311" s="584"/>
      <c r="BD311" s="678"/>
      <c r="BE311" s="585"/>
    </row>
    <row r="312" spans="1:57" s="51" customFormat="1" ht="14.45" hidden="1" customHeight="1" outlineLevel="1" x14ac:dyDescent="0.25">
      <c r="A312" s="1267"/>
      <c r="B312" s="228"/>
      <c r="C312" s="328"/>
      <c r="D312" s="4006"/>
      <c r="E312" s="4010"/>
      <c r="F312" s="3391" t="str">
        <f t="shared" si="51"/>
        <v>CAC-SEER18_ER2_SF</v>
      </c>
      <c r="G312" s="3392"/>
      <c r="H312" s="3393"/>
      <c r="I312" s="3155" t="str">
        <f t="shared" si="52"/>
        <v>351160_2021_12_</v>
      </c>
      <c r="J312" s="2968">
        <f>J311</f>
        <v>38898.876404494382</v>
      </c>
      <c r="K312" s="549">
        <f t="shared" si="53"/>
        <v>3.2415730337078652</v>
      </c>
      <c r="L312" s="2723" t="s">
        <v>1008</v>
      </c>
      <c r="M312" s="123"/>
      <c r="N312" s="1544"/>
      <c r="O312" s="123"/>
      <c r="P312" s="123"/>
      <c r="Q312" s="123"/>
      <c r="R312" s="123"/>
      <c r="S312" s="123"/>
      <c r="T312" s="123"/>
      <c r="U312" s="123"/>
      <c r="V312" s="4005"/>
      <c r="W312" s="2857"/>
      <c r="X312" s="3155"/>
      <c r="Y312" s="3155"/>
      <c r="Z312" s="3155">
        <v>36000</v>
      </c>
      <c r="AA312" s="2857">
        <v>36000</v>
      </c>
      <c r="AB312" s="2221">
        <v>36000</v>
      </c>
      <c r="AC312" s="2968">
        <v>38898.876404494382</v>
      </c>
      <c r="AD312" s="2857"/>
      <c r="AE312" s="2857"/>
      <c r="AF312" s="2857"/>
      <c r="AG312" s="2857"/>
      <c r="AH312" s="1942"/>
      <c r="AI312" s="1942"/>
      <c r="AJ312" s="1942"/>
      <c r="AK312" s="1942"/>
      <c r="AL312" s="1942"/>
      <c r="AM312" s="1942"/>
      <c r="AN312" s="1942"/>
      <c r="AO312" s="1942"/>
      <c r="AP312" s="1942"/>
      <c r="AQ312" s="1942"/>
      <c r="AR312" s="1942"/>
      <c r="AS312" s="1942"/>
      <c r="AT312" s="1942"/>
      <c r="AU312" s="1942"/>
      <c r="AV312" s="1942"/>
      <c r="AW312" s="1942"/>
      <c r="AX312" s="1942"/>
      <c r="AY312" s="1942"/>
      <c r="AZ312" s="1942"/>
      <c r="BA312" s="1942"/>
      <c r="BB312" s="575"/>
      <c r="BC312" s="584"/>
      <c r="BD312" s="678"/>
      <c r="BE312" s="585"/>
    </row>
    <row r="313" spans="1:57" s="51" customFormat="1" ht="14.45" hidden="1" customHeight="1" outlineLevel="1" x14ac:dyDescent="0.25">
      <c r="A313" s="1267"/>
      <c r="B313" s="228"/>
      <c r="C313" s="328"/>
      <c r="D313" s="4006"/>
      <c r="E313" s="4010"/>
      <c r="F313" s="3391" t="str">
        <f t="shared" si="51"/>
        <v>CAC-SEER18_ROF_SF</v>
      </c>
      <c r="G313" s="3392"/>
      <c r="H313" s="3393"/>
      <c r="I313" s="3155" t="str">
        <f t="shared" si="52"/>
        <v>351161_2021_12_</v>
      </c>
      <c r="J313" s="2968">
        <v>38076.923076923078</v>
      </c>
      <c r="K313" s="549">
        <f t="shared" si="53"/>
        <v>3.1730769230769234</v>
      </c>
      <c r="L313" s="2723" t="s">
        <v>1008</v>
      </c>
      <c r="M313" s="123"/>
      <c r="N313" s="1544"/>
      <c r="O313" s="123"/>
      <c r="P313" s="123"/>
      <c r="Q313" s="123"/>
      <c r="R313" s="123"/>
      <c r="S313" s="123"/>
      <c r="T313" s="123"/>
      <c r="U313" s="123"/>
      <c r="V313" s="4005"/>
      <c r="W313" s="2857"/>
      <c r="X313" s="3155"/>
      <c r="Y313" s="3155"/>
      <c r="Z313" s="3155">
        <v>36000</v>
      </c>
      <c r="AA313" s="2857">
        <v>36000</v>
      </c>
      <c r="AB313" s="2221">
        <v>36000</v>
      </c>
      <c r="AC313" s="2968">
        <v>38076.923076923078</v>
      </c>
      <c r="AD313" s="2857"/>
      <c r="AE313" s="2857"/>
      <c r="AF313" s="2857"/>
      <c r="AG313" s="2857"/>
      <c r="AH313" s="1942"/>
      <c r="AI313" s="1942"/>
      <c r="AJ313" s="1942"/>
      <c r="AK313" s="1942"/>
      <c r="AL313" s="1942"/>
      <c r="AM313" s="1942"/>
      <c r="AN313" s="1942"/>
      <c r="AO313" s="1942"/>
      <c r="AP313" s="1942"/>
      <c r="AQ313" s="1942"/>
      <c r="AR313" s="1942"/>
      <c r="AS313" s="1942"/>
      <c r="AT313" s="1942"/>
      <c r="AU313" s="1942"/>
      <c r="AV313" s="1942"/>
      <c r="AW313" s="1942"/>
      <c r="AX313" s="1942"/>
      <c r="AY313" s="1942"/>
      <c r="AZ313" s="1942"/>
      <c r="BA313" s="1942"/>
      <c r="BB313" s="575"/>
      <c r="BC313" s="584"/>
      <c r="BD313" s="678"/>
      <c r="BE313" s="585"/>
    </row>
    <row r="314" spans="1:57" s="51" customFormat="1" ht="14.45" hidden="1" customHeight="1" outlineLevel="1" x14ac:dyDescent="0.25">
      <c r="A314" s="1267"/>
      <c r="B314" s="228"/>
      <c r="C314" s="328"/>
      <c r="D314" s="4006"/>
      <c r="E314" s="4010"/>
      <c r="F314" s="3385" t="str">
        <f t="shared" si="51"/>
        <v>CAC-SEER18_ER1_MF</v>
      </c>
      <c r="G314" s="3386"/>
      <c r="H314" s="3387"/>
      <c r="I314" s="3155" t="str">
        <f t="shared" si="52"/>
        <v>351162_2021_12_</v>
      </c>
      <c r="J314" s="2968">
        <v>36000</v>
      </c>
      <c r="K314" s="549">
        <f t="shared" si="53"/>
        <v>3</v>
      </c>
      <c r="L314" s="2723" t="s">
        <v>1008</v>
      </c>
      <c r="M314" s="1549"/>
      <c r="N314" s="1544"/>
      <c r="O314" s="123"/>
      <c r="P314" s="123"/>
      <c r="Q314" s="123"/>
      <c r="R314" s="123"/>
      <c r="S314" s="123"/>
      <c r="T314" s="123"/>
      <c r="U314" s="123"/>
      <c r="V314" s="4005"/>
      <c r="W314" s="2857"/>
      <c r="X314" s="3155"/>
      <c r="Y314" s="2857"/>
      <c r="Z314" s="3155">
        <v>24000</v>
      </c>
      <c r="AA314" s="2857">
        <v>24000</v>
      </c>
      <c r="AB314" s="2221">
        <v>24000</v>
      </c>
      <c r="AC314" s="2968">
        <v>36000</v>
      </c>
      <c r="AD314" s="2857"/>
      <c r="AE314" s="2857"/>
      <c r="AF314" s="2857"/>
      <c r="AG314" s="2857"/>
      <c r="AH314" s="1942"/>
      <c r="AI314" s="1942"/>
      <c r="AJ314" s="1942"/>
      <c r="AK314" s="1942"/>
      <c r="AL314" s="1942"/>
      <c r="AM314" s="1942"/>
      <c r="AN314" s="1942"/>
      <c r="AO314" s="1942"/>
      <c r="AP314" s="1942"/>
      <c r="AQ314" s="1942"/>
      <c r="AR314" s="1942"/>
      <c r="AS314" s="1942"/>
      <c r="AT314" s="1942"/>
      <c r="AU314" s="1942"/>
      <c r="AV314" s="1942"/>
      <c r="AW314" s="1942"/>
      <c r="AX314" s="1942"/>
      <c r="AY314" s="1942"/>
      <c r="AZ314" s="1942"/>
      <c r="BA314" s="1942"/>
      <c r="BB314" s="575"/>
      <c r="BC314" s="584"/>
      <c r="BD314" s="678"/>
      <c r="BE314" s="585"/>
    </row>
    <row r="315" spans="1:57" s="51" customFormat="1" ht="14.45" hidden="1" customHeight="1" outlineLevel="1" x14ac:dyDescent="0.25">
      <c r="A315" s="1267"/>
      <c r="B315" s="228"/>
      <c r="C315" s="328"/>
      <c r="D315" s="4006"/>
      <c r="E315" s="4010"/>
      <c r="F315" s="3385" t="str">
        <f t="shared" si="51"/>
        <v>CAC-SEER18_ER2_MF</v>
      </c>
      <c r="G315" s="3386"/>
      <c r="H315" s="3387"/>
      <c r="I315" s="3155" t="str">
        <f t="shared" si="52"/>
        <v>351162_2021_12_</v>
      </c>
      <c r="J315" s="2968">
        <f>J314</f>
        <v>36000</v>
      </c>
      <c r="K315" s="549">
        <f t="shared" si="53"/>
        <v>3</v>
      </c>
      <c r="L315" s="2723" t="s">
        <v>1008</v>
      </c>
      <c r="M315" s="1549"/>
      <c r="N315" s="1544"/>
      <c r="O315" s="123"/>
      <c r="P315" s="123"/>
      <c r="Q315" s="123"/>
      <c r="R315" s="123"/>
      <c r="S315" s="123"/>
      <c r="T315" s="123"/>
      <c r="U315" s="123"/>
      <c r="V315" s="4005"/>
      <c r="W315" s="2857"/>
      <c r="X315" s="3155"/>
      <c r="Y315" s="2857"/>
      <c r="Z315" s="3155">
        <v>24000</v>
      </c>
      <c r="AA315" s="2857">
        <v>24000</v>
      </c>
      <c r="AB315" s="2221">
        <v>24000</v>
      </c>
      <c r="AC315" s="2968">
        <v>36000</v>
      </c>
      <c r="AD315" s="2857"/>
      <c r="AE315" s="2857"/>
      <c r="AF315" s="2857"/>
      <c r="AG315" s="2857"/>
      <c r="AH315" s="1942"/>
      <c r="AI315" s="1942"/>
      <c r="AJ315" s="1942"/>
      <c r="AK315" s="1942"/>
      <c r="AL315" s="1942"/>
      <c r="AM315" s="1942"/>
      <c r="AN315" s="1942"/>
      <c r="AO315" s="1942"/>
      <c r="AP315" s="1942"/>
      <c r="AQ315" s="1942"/>
      <c r="AR315" s="1942"/>
      <c r="AS315" s="1942"/>
      <c r="AT315" s="1942"/>
      <c r="AU315" s="1942"/>
      <c r="AV315" s="1942"/>
      <c r="AW315" s="1942"/>
      <c r="AX315" s="1942"/>
      <c r="AY315" s="1942"/>
      <c r="AZ315" s="1942"/>
      <c r="BA315" s="1942"/>
      <c r="BB315" s="575"/>
      <c r="BC315" s="584"/>
      <c r="BD315" s="678"/>
      <c r="BE315" s="585"/>
    </row>
    <row r="316" spans="1:57" s="51" customFormat="1" ht="14.45" hidden="1" customHeight="1" outlineLevel="1" x14ac:dyDescent="0.25">
      <c r="A316" s="1267"/>
      <c r="B316" s="228"/>
      <c r="C316" s="328"/>
      <c r="D316" s="4006"/>
      <c r="E316" s="4010"/>
      <c r="F316" s="3385" t="str">
        <f t="shared" si="51"/>
        <v>CAC-SEER18_ER1_MF_CompE</v>
      </c>
      <c r="G316" s="3386"/>
      <c r="H316" s="3387"/>
      <c r="I316" s="3155" t="str">
        <f t="shared" si="52"/>
        <v>351163_2021_12_</v>
      </c>
      <c r="J316" s="2968">
        <f>J314</f>
        <v>36000</v>
      </c>
      <c r="K316" s="549">
        <f t="shared" si="53"/>
        <v>3</v>
      </c>
      <c r="L316" s="2970" t="s">
        <v>1004</v>
      </c>
      <c r="M316" s="1549"/>
      <c r="N316" s="1544"/>
      <c r="O316" s="123"/>
      <c r="P316" s="123"/>
      <c r="Q316" s="123"/>
      <c r="R316" s="123"/>
      <c r="S316" s="123"/>
      <c r="T316" s="123"/>
      <c r="U316" s="123"/>
      <c r="V316" s="4005"/>
      <c r="W316" s="2857"/>
      <c r="X316" s="3155"/>
      <c r="Y316" s="3155"/>
      <c r="Z316" s="3155">
        <v>24000</v>
      </c>
      <c r="AA316" s="2857">
        <v>24000</v>
      </c>
      <c r="AB316" s="2221">
        <v>24000</v>
      </c>
      <c r="AC316" s="2968">
        <v>36000</v>
      </c>
      <c r="AD316" s="2857"/>
      <c r="AE316" s="2857"/>
      <c r="AF316" s="2857"/>
      <c r="AG316" s="2857"/>
      <c r="AH316" s="1942"/>
      <c r="AI316" s="1942"/>
      <c r="AJ316" s="1942"/>
      <c r="AK316" s="1942"/>
      <c r="AL316" s="1942"/>
      <c r="AM316" s="1942"/>
      <c r="AN316" s="1942"/>
      <c r="AO316" s="1942"/>
      <c r="AP316" s="1942"/>
      <c r="AQ316" s="1942"/>
      <c r="AR316" s="1942"/>
      <c r="AS316" s="1942"/>
      <c r="AT316" s="1942"/>
      <c r="AU316" s="1942"/>
      <c r="AV316" s="1942"/>
      <c r="AW316" s="1942"/>
      <c r="AX316" s="1942"/>
      <c r="AY316" s="1942"/>
      <c r="AZ316" s="1942"/>
      <c r="BA316" s="1942"/>
      <c r="BB316" s="575"/>
      <c r="BC316" s="584"/>
      <c r="BD316" s="678"/>
      <c r="BE316" s="585"/>
    </row>
    <row r="317" spans="1:57" s="51" customFormat="1" ht="14.45" hidden="1" customHeight="1" outlineLevel="1" x14ac:dyDescent="0.25">
      <c r="A317" s="1267"/>
      <c r="B317" s="228"/>
      <c r="C317" s="328"/>
      <c r="D317" s="4006"/>
      <c r="E317" s="4010"/>
      <c r="F317" s="3385" t="str">
        <f t="shared" si="51"/>
        <v>CAC-SEER18_ER2_MF_CompE</v>
      </c>
      <c r="G317" s="3386"/>
      <c r="H317" s="3387"/>
      <c r="I317" s="3155" t="str">
        <f t="shared" si="52"/>
        <v>351163_2021_12_</v>
      </c>
      <c r="J317" s="2968">
        <f>J315</f>
        <v>36000</v>
      </c>
      <c r="K317" s="549">
        <f t="shared" si="53"/>
        <v>3</v>
      </c>
      <c r="L317" s="2970" t="s">
        <v>1004</v>
      </c>
      <c r="M317" s="1549"/>
      <c r="N317" s="1544"/>
      <c r="O317" s="123"/>
      <c r="P317" s="123"/>
      <c r="Q317" s="123"/>
      <c r="R317" s="123"/>
      <c r="S317" s="123"/>
      <c r="T317" s="123"/>
      <c r="U317" s="123"/>
      <c r="V317" s="4005"/>
      <c r="W317" s="2857"/>
      <c r="X317" s="3155"/>
      <c r="Y317" s="3155"/>
      <c r="Z317" s="3155">
        <v>24000</v>
      </c>
      <c r="AA317" s="2857">
        <v>24000</v>
      </c>
      <c r="AB317" s="2221">
        <v>24000</v>
      </c>
      <c r="AC317" s="2968">
        <v>36000</v>
      </c>
      <c r="AD317" s="2857"/>
      <c r="AE317" s="2857"/>
      <c r="AF317" s="2857"/>
      <c r="AG317" s="2857"/>
      <c r="AH317" s="1942"/>
      <c r="AI317" s="1942"/>
      <c r="AJ317" s="1942"/>
      <c r="AK317" s="1942"/>
      <c r="AL317" s="1942"/>
      <c r="AM317" s="1942"/>
      <c r="AN317" s="1942"/>
      <c r="AO317" s="1942"/>
      <c r="AP317" s="1942"/>
      <c r="AQ317" s="1942"/>
      <c r="AR317" s="1942"/>
      <c r="AS317" s="1942"/>
      <c r="AT317" s="1942"/>
      <c r="AU317" s="1942"/>
      <c r="AV317" s="1942"/>
      <c r="AW317" s="1942"/>
      <c r="AX317" s="1942"/>
      <c r="AY317" s="1942"/>
      <c r="AZ317" s="1942"/>
      <c r="BA317" s="1942"/>
      <c r="BB317" s="575"/>
      <c r="BC317" s="584"/>
      <c r="BD317" s="678"/>
      <c r="BE317" s="585"/>
    </row>
    <row r="318" spans="1:57" s="51" customFormat="1" ht="14.45" hidden="1" customHeight="1" outlineLevel="1" x14ac:dyDescent="0.25">
      <c r="A318" s="1267"/>
      <c r="B318" s="228"/>
      <c r="C318" s="328"/>
      <c r="D318" s="4006"/>
      <c r="E318" s="4010"/>
      <c r="F318" s="3385" t="str">
        <f t="shared" si="51"/>
        <v>CAC-SEER18_ROF_MF</v>
      </c>
      <c r="G318" s="3386"/>
      <c r="H318" s="3387"/>
      <c r="I318" s="3155" t="str">
        <f t="shared" si="52"/>
        <v>351164_2021_12_</v>
      </c>
      <c r="J318" s="2547">
        <v>24000</v>
      </c>
      <c r="K318" s="65">
        <f t="shared" si="53"/>
        <v>2</v>
      </c>
      <c r="L318" s="2723" t="s">
        <v>1008</v>
      </c>
      <c r="M318" s="1549"/>
      <c r="N318" s="1544"/>
      <c r="O318" s="123"/>
      <c r="P318" s="123"/>
      <c r="Q318" s="123"/>
      <c r="R318" s="123"/>
      <c r="S318" s="123"/>
      <c r="T318" s="123"/>
      <c r="U318" s="123"/>
      <c r="V318" s="4005"/>
      <c r="W318" s="2857"/>
      <c r="X318" s="3155"/>
      <c r="Y318" s="3155"/>
      <c r="Z318" s="3155">
        <v>24000</v>
      </c>
      <c r="AA318" s="2857">
        <v>24000</v>
      </c>
      <c r="AB318" s="2221">
        <v>24000</v>
      </c>
      <c r="AC318" s="2547">
        <v>24000</v>
      </c>
      <c r="AD318" s="2857"/>
      <c r="AE318" s="2857"/>
      <c r="AF318" s="2857"/>
      <c r="AG318" s="2857"/>
      <c r="AH318" s="1942"/>
      <c r="AI318" s="1942"/>
      <c r="AJ318" s="1942"/>
      <c r="AK318" s="1942"/>
      <c r="AL318" s="1942"/>
      <c r="AM318" s="1942"/>
      <c r="AN318" s="1942"/>
      <c r="AO318" s="1942"/>
      <c r="AP318" s="1942"/>
      <c r="AQ318" s="1942"/>
      <c r="AR318" s="1942"/>
      <c r="AS318" s="1942"/>
      <c r="AT318" s="1942"/>
      <c r="AU318" s="1942"/>
      <c r="AV318" s="1942"/>
      <c r="AW318" s="1942"/>
      <c r="AX318" s="1942"/>
      <c r="AY318" s="1942"/>
      <c r="AZ318" s="1942"/>
      <c r="BA318" s="1942"/>
      <c r="BB318" s="575"/>
      <c r="BC318" s="584"/>
      <c r="BD318" s="678"/>
      <c r="BE318" s="585"/>
    </row>
    <row r="319" spans="1:57" s="51" customFormat="1" ht="14.45" hidden="1" customHeight="1" outlineLevel="1" x14ac:dyDescent="0.25">
      <c r="A319" s="1267"/>
      <c r="B319" s="228"/>
      <c r="C319" s="328"/>
      <c r="D319" s="4006"/>
      <c r="E319" s="4010"/>
      <c r="F319" s="3385" t="str">
        <f t="shared" si="51"/>
        <v>CAC-SEER18_ROF_MF_CompE</v>
      </c>
      <c r="G319" s="3386"/>
      <c r="H319" s="3387"/>
      <c r="I319" s="3155" t="str">
        <f t="shared" si="52"/>
        <v>351165_2021_12_</v>
      </c>
      <c r="J319" s="2547">
        <f>J318</f>
        <v>24000</v>
      </c>
      <c r="K319" s="65">
        <f t="shared" si="53"/>
        <v>2</v>
      </c>
      <c r="L319" s="2970" t="s">
        <v>1004</v>
      </c>
      <c r="M319" s="1549"/>
      <c r="N319" s="1544"/>
      <c r="O319" s="123"/>
      <c r="P319" s="123"/>
      <c r="Q319" s="123"/>
      <c r="R319" s="123"/>
      <c r="S319" s="123"/>
      <c r="T319" s="123"/>
      <c r="U319" s="123"/>
      <c r="V319" s="4005"/>
      <c r="W319" s="2857"/>
      <c r="X319" s="3155"/>
      <c r="Y319" s="2857"/>
      <c r="Z319" s="3155">
        <v>24000</v>
      </c>
      <c r="AA319" s="2857">
        <v>24000</v>
      </c>
      <c r="AB319" s="2221">
        <v>24000</v>
      </c>
      <c r="AC319" s="2547">
        <v>24000</v>
      </c>
      <c r="AD319" s="2857"/>
      <c r="AE319" s="2857"/>
      <c r="AF319" s="2857"/>
      <c r="AG319" s="2857"/>
      <c r="AH319" s="1942"/>
      <c r="AI319" s="1942"/>
      <c r="AJ319" s="1942"/>
      <c r="AK319" s="1942"/>
      <c r="AL319" s="1942"/>
      <c r="AM319" s="1942"/>
      <c r="AN319" s="1942"/>
      <c r="AO319" s="1942"/>
      <c r="AP319" s="1942"/>
      <c r="AQ319" s="1942"/>
      <c r="AR319" s="1942"/>
      <c r="AS319" s="1942"/>
      <c r="AT319" s="1942"/>
      <c r="AU319" s="1942"/>
      <c r="AV319" s="1942"/>
      <c r="AW319" s="1942"/>
      <c r="AX319" s="1942"/>
      <c r="AY319" s="1942"/>
      <c r="AZ319" s="1942"/>
      <c r="BA319" s="1942"/>
      <c r="BB319" s="575"/>
      <c r="BC319" s="584"/>
      <c r="BD319" s="678"/>
      <c r="BE319" s="585"/>
    </row>
    <row r="320" spans="1:57" s="51" customFormat="1" ht="14.45" hidden="1" customHeight="1" outlineLevel="1" x14ac:dyDescent="0.25">
      <c r="A320" s="1267"/>
      <c r="B320" s="228"/>
      <c r="C320" s="328"/>
      <c r="D320" s="4006"/>
      <c r="E320" s="4010"/>
      <c r="F320" s="3385" t="str">
        <f t="shared" si="51"/>
        <v>CAC-SEER19_ER1_SF</v>
      </c>
      <c r="G320" s="3386"/>
      <c r="H320" s="3387"/>
      <c r="I320" s="3155" t="str">
        <f t="shared" si="52"/>
        <v>351170_2021_12_</v>
      </c>
      <c r="J320" s="2968">
        <v>50823.529411764706</v>
      </c>
      <c r="K320" s="549">
        <f t="shared" si="53"/>
        <v>4.2352941176470589</v>
      </c>
      <c r="L320" s="2723" t="s">
        <v>1008</v>
      </c>
      <c r="M320" s="1549"/>
      <c r="N320" s="1544"/>
      <c r="O320" s="123"/>
      <c r="P320" s="123"/>
      <c r="Q320" s="123"/>
      <c r="R320" s="123"/>
      <c r="S320" s="123"/>
      <c r="T320" s="123"/>
      <c r="U320" s="123"/>
      <c r="V320" s="4005"/>
      <c r="W320" s="2857"/>
      <c r="X320" s="3155"/>
      <c r="Y320" s="3155"/>
      <c r="Z320" s="3155">
        <v>36000</v>
      </c>
      <c r="AA320" s="2857">
        <v>36000</v>
      </c>
      <c r="AB320" s="2221">
        <v>36000</v>
      </c>
      <c r="AC320" s="2968">
        <v>50823.529411764706</v>
      </c>
      <c r="AD320" s="2857"/>
      <c r="AE320" s="2857"/>
      <c r="AF320" s="2857"/>
      <c r="AG320" s="2857"/>
      <c r="AH320" s="1942"/>
      <c r="AI320" s="1942"/>
      <c r="AJ320" s="1942"/>
      <c r="AK320" s="1942"/>
      <c r="AL320" s="1942"/>
      <c r="AM320" s="1942"/>
      <c r="AN320" s="1942"/>
      <c r="AO320" s="1942"/>
      <c r="AP320" s="1942"/>
      <c r="AQ320" s="1942"/>
      <c r="AR320" s="1942"/>
      <c r="AS320" s="1942"/>
      <c r="AT320" s="1942"/>
      <c r="AU320" s="1942"/>
      <c r="AV320" s="1942"/>
      <c r="AW320" s="1942"/>
      <c r="AX320" s="1942"/>
      <c r="AY320" s="1942"/>
      <c r="AZ320" s="1942"/>
      <c r="BA320" s="1942"/>
      <c r="BB320" s="575"/>
      <c r="BC320" s="584"/>
      <c r="BD320" s="678"/>
      <c r="BE320" s="585"/>
    </row>
    <row r="321" spans="1:57" s="51" customFormat="1" ht="14.45" hidden="1" customHeight="1" outlineLevel="1" x14ac:dyDescent="0.25">
      <c r="A321" s="1267"/>
      <c r="B321" s="228"/>
      <c r="C321" s="328"/>
      <c r="D321" s="4006"/>
      <c r="E321" s="4010"/>
      <c r="F321" s="3385" t="str">
        <f t="shared" si="51"/>
        <v>CAC-SEER19_ER2_SF</v>
      </c>
      <c r="G321" s="3386"/>
      <c r="H321" s="3387"/>
      <c r="I321" s="3155" t="str">
        <f t="shared" si="52"/>
        <v>351170_2021_12_</v>
      </c>
      <c r="J321" s="2968">
        <f>J320</f>
        <v>50823.529411764706</v>
      </c>
      <c r="K321" s="549">
        <f t="shared" si="53"/>
        <v>4.2352941176470589</v>
      </c>
      <c r="L321" s="2723" t="s">
        <v>1008</v>
      </c>
      <c r="M321" s="1549"/>
      <c r="N321" s="1544"/>
      <c r="O321" s="123"/>
      <c r="P321" s="123"/>
      <c r="Q321" s="123"/>
      <c r="R321" s="123"/>
      <c r="S321" s="123"/>
      <c r="T321" s="123"/>
      <c r="U321" s="123"/>
      <c r="V321" s="4005"/>
      <c r="W321" s="2857"/>
      <c r="X321" s="3155"/>
      <c r="Y321" s="3155"/>
      <c r="Z321" s="3155">
        <v>36000</v>
      </c>
      <c r="AA321" s="2857">
        <v>36000</v>
      </c>
      <c r="AB321" s="2221">
        <v>36000</v>
      </c>
      <c r="AC321" s="2968">
        <v>50823.529411764706</v>
      </c>
      <c r="AD321" s="2857"/>
      <c r="AE321" s="2857"/>
      <c r="AF321" s="2857"/>
      <c r="AG321" s="2857"/>
      <c r="AH321" s="1942"/>
      <c r="AI321" s="1942"/>
      <c r="AJ321" s="1942"/>
      <c r="AK321" s="1942"/>
      <c r="AL321" s="1942"/>
      <c r="AM321" s="1942"/>
      <c r="AN321" s="1942"/>
      <c r="AO321" s="1942"/>
      <c r="AP321" s="1942"/>
      <c r="AQ321" s="1942"/>
      <c r="AR321" s="1942"/>
      <c r="AS321" s="1942"/>
      <c r="AT321" s="1942"/>
      <c r="AU321" s="1942"/>
      <c r="AV321" s="1942"/>
      <c r="AW321" s="1942"/>
      <c r="AX321" s="1942"/>
      <c r="AY321" s="1942"/>
      <c r="AZ321" s="1942"/>
      <c r="BA321" s="1942"/>
      <c r="BB321" s="575"/>
      <c r="BC321" s="584"/>
      <c r="BD321" s="678"/>
      <c r="BE321" s="585"/>
    </row>
    <row r="322" spans="1:57" s="51" customFormat="1" ht="14.45" hidden="1" customHeight="1" outlineLevel="1" x14ac:dyDescent="0.25">
      <c r="A322" s="1267"/>
      <c r="B322" s="228"/>
      <c r="C322" s="328"/>
      <c r="D322" s="4006"/>
      <c r="E322" s="4010"/>
      <c r="F322" s="3385" t="str">
        <f t="shared" si="51"/>
        <v>CAC-SEER19_ROF_SF</v>
      </c>
      <c r="G322" s="3386"/>
      <c r="H322" s="3387"/>
      <c r="I322" s="3155" t="str">
        <f t="shared" si="52"/>
        <v>351171_2021_12_</v>
      </c>
      <c r="J322" s="2968">
        <v>52285.714285714283</v>
      </c>
      <c r="K322" s="549">
        <f t="shared" si="53"/>
        <v>4.3571428571428568</v>
      </c>
      <c r="L322" s="2723" t="s">
        <v>1008</v>
      </c>
      <c r="M322" s="1549"/>
      <c r="N322" s="1544"/>
      <c r="O322" s="123"/>
      <c r="P322" s="123"/>
      <c r="Q322" s="123"/>
      <c r="R322" s="123"/>
      <c r="S322" s="123"/>
      <c r="T322" s="123"/>
      <c r="U322" s="123"/>
      <c r="V322" s="4005"/>
      <c r="W322" s="2857"/>
      <c r="X322" s="3155"/>
      <c r="Y322" s="3155"/>
      <c r="Z322" s="3155">
        <v>36000</v>
      </c>
      <c r="AA322" s="2857">
        <v>36000</v>
      </c>
      <c r="AB322" s="2221">
        <v>36000</v>
      </c>
      <c r="AC322" s="2968">
        <v>52285.714285714283</v>
      </c>
      <c r="AD322" s="2857"/>
      <c r="AE322" s="2857"/>
      <c r="AF322" s="2857"/>
      <c r="AG322" s="2857"/>
      <c r="AH322" s="1942"/>
      <c r="AI322" s="1942"/>
      <c r="AJ322" s="1942"/>
      <c r="AK322" s="1942"/>
      <c r="AL322" s="1942"/>
      <c r="AM322" s="1942"/>
      <c r="AN322" s="1942"/>
      <c r="AO322" s="1942"/>
      <c r="AP322" s="1942"/>
      <c r="AQ322" s="1942"/>
      <c r="AR322" s="1942"/>
      <c r="AS322" s="1942"/>
      <c r="AT322" s="1942"/>
      <c r="AU322" s="1942"/>
      <c r="AV322" s="1942"/>
      <c r="AW322" s="1942"/>
      <c r="AX322" s="1942"/>
      <c r="AY322" s="1942"/>
      <c r="AZ322" s="1942"/>
      <c r="BA322" s="1942"/>
      <c r="BB322" s="575"/>
      <c r="BC322" s="584"/>
      <c r="BD322" s="678"/>
      <c r="BE322" s="585"/>
    </row>
    <row r="323" spans="1:57" s="51" customFormat="1" ht="14.45" hidden="1" customHeight="1" outlineLevel="1" x14ac:dyDescent="0.25">
      <c r="A323" s="1267"/>
      <c r="B323" s="228"/>
      <c r="C323" s="328"/>
      <c r="D323" s="4006"/>
      <c r="E323" s="4010"/>
      <c r="F323" s="3385" t="str">
        <f t="shared" si="51"/>
        <v>CAC-SEER19_ER1_MF</v>
      </c>
      <c r="G323" s="3386"/>
      <c r="H323" s="3387"/>
      <c r="I323" s="3155" t="str">
        <f t="shared" si="52"/>
        <v>351172_2021_12_</v>
      </c>
      <c r="J323" s="2547">
        <v>24000</v>
      </c>
      <c r="K323" s="65">
        <f t="shared" si="53"/>
        <v>2</v>
      </c>
      <c r="L323" s="2550"/>
      <c r="M323" s="1549"/>
      <c r="N323" s="1544"/>
      <c r="O323" s="123"/>
      <c r="P323" s="123"/>
      <c r="Q323" s="123"/>
      <c r="R323" s="123"/>
      <c r="S323" s="123"/>
      <c r="T323" s="123"/>
      <c r="U323" s="123"/>
      <c r="V323" s="4005"/>
      <c r="W323" s="2857"/>
      <c r="X323" s="3155"/>
      <c r="Y323" s="2857"/>
      <c r="Z323" s="3155">
        <v>24000</v>
      </c>
      <c r="AA323" s="2857">
        <v>24000</v>
      </c>
      <c r="AB323" s="2221">
        <v>24000</v>
      </c>
      <c r="AC323" s="2547">
        <v>24000</v>
      </c>
      <c r="AD323" s="2857"/>
      <c r="AE323" s="2857"/>
      <c r="AF323" s="2857"/>
      <c r="AG323" s="2857"/>
      <c r="AH323" s="1942"/>
      <c r="AI323" s="1942"/>
      <c r="AJ323" s="1942"/>
      <c r="AK323" s="1942"/>
      <c r="AL323" s="1942"/>
      <c r="AM323" s="1942"/>
      <c r="AN323" s="1942"/>
      <c r="AO323" s="1942"/>
      <c r="AP323" s="1942"/>
      <c r="AQ323" s="1942"/>
      <c r="AR323" s="1942"/>
      <c r="AS323" s="1942"/>
      <c r="AT323" s="1942"/>
      <c r="AU323" s="1942"/>
      <c r="AV323" s="1942"/>
      <c r="AW323" s="1942"/>
      <c r="AX323" s="1942"/>
      <c r="AY323" s="1942"/>
      <c r="AZ323" s="1942"/>
      <c r="BA323" s="1942"/>
      <c r="BB323" s="575"/>
      <c r="BC323" s="584"/>
      <c r="BD323" s="678"/>
      <c r="BE323" s="585"/>
    </row>
    <row r="324" spans="1:57" s="51" customFormat="1" ht="14.45" hidden="1" customHeight="1" outlineLevel="1" x14ac:dyDescent="0.25">
      <c r="A324" s="1267"/>
      <c r="B324" s="228"/>
      <c r="C324" s="328"/>
      <c r="D324" s="4006"/>
      <c r="E324" s="4010"/>
      <c r="F324" s="3385" t="str">
        <f t="shared" si="51"/>
        <v>CAC-SEER19_ER2_MF</v>
      </c>
      <c r="G324" s="3386"/>
      <c r="H324" s="3387"/>
      <c r="I324" s="3155" t="str">
        <f t="shared" si="52"/>
        <v>351172_2021_12_</v>
      </c>
      <c r="J324" s="2547">
        <v>24000</v>
      </c>
      <c r="K324" s="65">
        <f t="shared" si="53"/>
        <v>2</v>
      </c>
      <c r="L324" s="2550"/>
      <c r="M324" s="1549"/>
      <c r="N324" s="1544"/>
      <c r="O324" s="123"/>
      <c r="P324" s="123"/>
      <c r="Q324" s="123"/>
      <c r="R324" s="123"/>
      <c r="S324" s="123"/>
      <c r="T324" s="123"/>
      <c r="U324" s="123"/>
      <c r="V324" s="4005"/>
      <c r="W324" s="2857"/>
      <c r="X324" s="3155"/>
      <c r="Y324" s="2857"/>
      <c r="Z324" s="3155">
        <v>24000</v>
      </c>
      <c r="AA324" s="2857">
        <v>24000</v>
      </c>
      <c r="AB324" s="2221">
        <v>24000</v>
      </c>
      <c r="AC324" s="2547">
        <v>24000</v>
      </c>
      <c r="AD324" s="2857"/>
      <c r="AE324" s="2857"/>
      <c r="AF324" s="2857"/>
      <c r="AG324" s="2857"/>
      <c r="AH324" s="1942"/>
      <c r="AI324" s="1942"/>
      <c r="AJ324" s="1942"/>
      <c r="AK324" s="1942"/>
      <c r="AL324" s="1942"/>
      <c r="AM324" s="1942"/>
      <c r="AN324" s="1942"/>
      <c r="AO324" s="1942"/>
      <c r="AP324" s="1942"/>
      <c r="AQ324" s="1942"/>
      <c r="AR324" s="1942"/>
      <c r="AS324" s="1942"/>
      <c r="AT324" s="1942"/>
      <c r="AU324" s="1942"/>
      <c r="AV324" s="1942"/>
      <c r="AW324" s="1942"/>
      <c r="AX324" s="1942"/>
      <c r="AY324" s="1942"/>
      <c r="AZ324" s="1942"/>
      <c r="BA324" s="1942"/>
      <c r="BB324" s="575"/>
      <c r="BC324" s="584"/>
      <c r="BD324" s="678"/>
      <c r="BE324" s="585"/>
    </row>
    <row r="325" spans="1:57" s="51" customFormat="1" ht="14.45" hidden="1" customHeight="1" outlineLevel="1" x14ac:dyDescent="0.25">
      <c r="A325" s="1267"/>
      <c r="B325" s="228"/>
      <c r="C325" s="328"/>
      <c r="D325" s="4006"/>
      <c r="E325" s="4010"/>
      <c r="F325" s="3385" t="str">
        <f t="shared" si="51"/>
        <v>CAC-SEER19_ER1_MF_CompE</v>
      </c>
      <c r="G325" s="3386"/>
      <c r="H325" s="3387"/>
      <c r="I325" s="3155" t="str">
        <f t="shared" si="52"/>
        <v>351173_2021_12_</v>
      </c>
      <c r="J325" s="2547">
        <f>J323</f>
        <v>24000</v>
      </c>
      <c r="K325" s="65">
        <f t="shared" si="53"/>
        <v>2</v>
      </c>
      <c r="L325" s="2970" t="s">
        <v>1004</v>
      </c>
      <c r="M325" s="1549"/>
      <c r="N325" s="1544"/>
      <c r="O325" s="123"/>
      <c r="P325" s="123"/>
      <c r="Q325" s="123"/>
      <c r="R325" s="123"/>
      <c r="S325" s="123"/>
      <c r="T325" s="123"/>
      <c r="U325" s="123"/>
      <c r="V325" s="4005"/>
      <c r="W325" s="2857"/>
      <c r="X325" s="3155"/>
      <c r="Y325" s="3155"/>
      <c r="Z325" s="3155">
        <v>24000</v>
      </c>
      <c r="AA325" s="2857">
        <v>24000</v>
      </c>
      <c r="AB325" s="2221">
        <v>24000</v>
      </c>
      <c r="AC325" s="2547">
        <v>24000</v>
      </c>
      <c r="AD325" s="2857"/>
      <c r="AE325" s="2857"/>
      <c r="AF325" s="2857"/>
      <c r="AG325" s="2857"/>
      <c r="AH325" s="1942"/>
      <c r="AI325" s="1942"/>
      <c r="AJ325" s="1942"/>
      <c r="AK325" s="1942"/>
      <c r="AL325" s="1942"/>
      <c r="AM325" s="1942"/>
      <c r="AN325" s="1942"/>
      <c r="AO325" s="1942"/>
      <c r="AP325" s="1942"/>
      <c r="AQ325" s="1942"/>
      <c r="AR325" s="1942"/>
      <c r="AS325" s="1942"/>
      <c r="AT325" s="1942"/>
      <c r="AU325" s="1942"/>
      <c r="AV325" s="1942"/>
      <c r="AW325" s="1942"/>
      <c r="AX325" s="1942"/>
      <c r="AY325" s="1942"/>
      <c r="AZ325" s="1942"/>
      <c r="BA325" s="1942"/>
      <c r="BB325" s="575"/>
      <c r="BC325" s="584"/>
      <c r="BD325" s="678"/>
      <c r="BE325" s="585"/>
    </row>
    <row r="326" spans="1:57" s="51" customFormat="1" ht="14.45" hidden="1" customHeight="1" outlineLevel="1" x14ac:dyDescent="0.25">
      <c r="A326" s="1267"/>
      <c r="B326" s="228"/>
      <c r="C326" s="328"/>
      <c r="D326" s="4006"/>
      <c r="E326" s="4010"/>
      <c r="F326" s="3385" t="str">
        <f t="shared" si="51"/>
        <v>CAC-SEER19_ER2_MF_CompE</v>
      </c>
      <c r="G326" s="3386"/>
      <c r="H326" s="3387"/>
      <c r="I326" s="3155" t="str">
        <f t="shared" si="52"/>
        <v>351173_2021_12_</v>
      </c>
      <c r="J326" s="2547">
        <f>J324</f>
        <v>24000</v>
      </c>
      <c r="K326" s="65">
        <f t="shared" si="53"/>
        <v>2</v>
      </c>
      <c r="L326" s="2970" t="s">
        <v>1004</v>
      </c>
      <c r="M326" s="1549"/>
      <c r="N326" s="1544"/>
      <c r="O326" s="123"/>
      <c r="P326" s="123"/>
      <c r="Q326" s="123"/>
      <c r="R326" s="123"/>
      <c r="S326" s="123"/>
      <c r="T326" s="123"/>
      <c r="U326" s="123"/>
      <c r="V326" s="4005"/>
      <c r="W326" s="2857"/>
      <c r="X326" s="3155"/>
      <c r="Y326" s="3155"/>
      <c r="Z326" s="3155">
        <v>24000</v>
      </c>
      <c r="AA326" s="2857">
        <v>24000</v>
      </c>
      <c r="AB326" s="2221">
        <v>24000</v>
      </c>
      <c r="AC326" s="2547">
        <v>24000</v>
      </c>
      <c r="AD326" s="2857"/>
      <c r="AE326" s="2857"/>
      <c r="AF326" s="2857"/>
      <c r="AG326" s="2857"/>
      <c r="AH326" s="1942"/>
      <c r="AI326" s="1942"/>
      <c r="AJ326" s="1942"/>
      <c r="AK326" s="1942"/>
      <c r="AL326" s="1942"/>
      <c r="AM326" s="1942"/>
      <c r="AN326" s="1942"/>
      <c r="AO326" s="1942"/>
      <c r="AP326" s="1942"/>
      <c r="AQ326" s="1942"/>
      <c r="AR326" s="1942"/>
      <c r="AS326" s="1942"/>
      <c r="AT326" s="1942"/>
      <c r="AU326" s="1942"/>
      <c r="AV326" s="1942"/>
      <c r="AW326" s="1942"/>
      <c r="AX326" s="1942"/>
      <c r="AY326" s="1942"/>
      <c r="AZ326" s="1942"/>
      <c r="BA326" s="1942"/>
      <c r="BB326" s="575"/>
      <c r="BC326" s="584"/>
      <c r="BD326" s="678"/>
      <c r="BE326" s="585"/>
    </row>
    <row r="327" spans="1:57" s="51" customFormat="1" ht="14.45" hidden="1" customHeight="1" outlineLevel="1" x14ac:dyDescent="0.25">
      <c r="A327" s="1267"/>
      <c r="B327" s="228"/>
      <c r="C327" s="328"/>
      <c r="D327" s="4006"/>
      <c r="E327" s="4010"/>
      <c r="F327" s="3385" t="str">
        <f t="shared" si="51"/>
        <v>CAC-SEER19_ROF_MF</v>
      </c>
      <c r="G327" s="3386"/>
      <c r="H327" s="3387"/>
      <c r="I327" s="3155" t="str">
        <f t="shared" si="52"/>
        <v>351174_2021_12_</v>
      </c>
      <c r="J327" s="2547">
        <v>24000</v>
      </c>
      <c r="K327" s="65">
        <f t="shared" si="53"/>
        <v>2</v>
      </c>
      <c r="L327" s="2550"/>
      <c r="M327" s="1549"/>
      <c r="N327" s="1544"/>
      <c r="O327" s="123"/>
      <c r="P327" s="123"/>
      <c r="Q327" s="123"/>
      <c r="R327" s="123"/>
      <c r="S327" s="123"/>
      <c r="T327" s="123"/>
      <c r="U327" s="123"/>
      <c r="V327" s="4005"/>
      <c r="W327" s="2857"/>
      <c r="X327" s="3155"/>
      <c r="Y327" s="3155"/>
      <c r="Z327" s="3155">
        <v>24000</v>
      </c>
      <c r="AA327" s="2857">
        <v>24000</v>
      </c>
      <c r="AB327" s="2221">
        <v>24000</v>
      </c>
      <c r="AC327" s="2547">
        <v>24000</v>
      </c>
      <c r="AD327" s="2857"/>
      <c r="AE327" s="2857"/>
      <c r="AF327" s="2857"/>
      <c r="AG327" s="2857"/>
      <c r="AH327" s="1942"/>
      <c r="AI327" s="1942"/>
      <c r="AJ327" s="1942"/>
      <c r="AK327" s="1942"/>
      <c r="AL327" s="1942"/>
      <c r="AM327" s="1942"/>
      <c r="AN327" s="1942"/>
      <c r="AO327" s="1942"/>
      <c r="AP327" s="1942"/>
      <c r="AQ327" s="1942"/>
      <c r="AR327" s="1942"/>
      <c r="AS327" s="1942"/>
      <c r="AT327" s="1942"/>
      <c r="AU327" s="1942"/>
      <c r="AV327" s="1942"/>
      <c r="AW327" s="1942"/>
      <c r="AX327" s="1942"/>
      <c r="AY327" s="1942"/>
      <c r="AZ327" s="1942"/>
      <c r="BA327" s="1942"/>
      <c r="BB327" s="575"/>
      <c r="BC327" s="584"/>
      <c r="BD327" s="678"/>
      <c r="BE327" s="585"/>
    </row>
    <row r="328" spans="1:57" s="51" customFormat="1" ht="14.45" hidden="1" customHeight="1" outlineLevel="1" x14ac:dyDescent="0.25">
      <c r="A328" s="1267"/>
      <c r="B328" s="228"/>
      <c r="C328" s="328"/>
      <c r="D328" s="4006"/>
      <c r="E328" s="4010"/>
      <c r="F328" s="3385" t="str">
        <f t="shared" si="51"/>
        <v>CAC-SEER19_ROF_MF_CompE</v>
      </c>
      <c r="G328" s="3386"/>
      <c r="H328" s="3387"/>
      <c r="I328" s="3155" t="str">
        <f t="shared" si="52"/>
        <v>351175_2021_12_</v>
      </c>
      <c r="J328" s="2547">
        <f>J327</f>
        <v>24000</v>
      </c>
      <c r="K328" s="65">
        <f t="shared" si="53"/>
        <v>2</v>
      </c>
      <c r="L328" s="2970" t="s">
        <v>1004</v>
      </c>
      <c r="M328" s="1549"/>
      <c r="N328" s="1544"/>
      <c r="O328" s="123"/>
      <c r="P328" s="123"/>
      <c r="Q328" s="123"/>
      <c r="R328" s="123"/>
      <c r="S328" s="123"/>
      <c r="T328" s="123"/>
      <c r="U328" s="123"/>
      <c r="V328" s="4005"/>
      <c r="W328" s="2857"/>
      <c r="X328" s="3155"/>
      <c r="Y328" s="3155"/>
      <c r="Z328" s="3155">
        <v>24000</v>
      </c>
      <c r="AA328" s="2857">
        <v>24000</v>
      </c>
      <c r="AB328" s="2221">
        <v>24000</v>
      </c>
      <c r="AC328" s="2547">
        <v>24000</v>
      </c>
      <c r="AD328" s="2857"/>
      <c r="AE328" s="2857"/>
      <c r="AF328" s="2857"/>
      <c r="AG328" s="2857"/>
      <c r="AH328" s="1942"/>
      <c r="AI328" s="1942"/>
      <c r="AJ328" s="1942"/>
      <c r="AK328" s="1942"/>
      <c r="AL328" s="1942"/>
      <c r="AM328" s="1942"/>
      <c r="AN328" s="1942"/>
      <c r="AO328" s="1942"/>
      <c r="AP328" s="1942"/>
      <c r="AQ328" s="1942"/>
      <c r="AR328" s="1942"/>
      <c r="AS328" s="1942"/>
      <c r="AT328" s="1942"/>
      <c r="AU328" s="1942"/>
      <c r="AV328" s="1942"/>
      <c r="AW328" s="1942"/>
      <c r="AX328" s="1942"/>
      <c r="AY328" s="1942"/>
      <c r="AZ328" s="1942"/>
      <c r="BA328" s="1942"/>
      <c r="BB328" s="575"/>
      <c r="BC328" s="584"/>
      <c r="BD328" s="678"/>
      <c r="BE328" s="585"/>
    </row>
    <row r="329" spans="1:57" s="51" customFormat="1" ht="14.45" hidden="1" customHeight="1" outlineLevel="1" x14ac:dyDescent="0.25">
      <c r="A329" s="1267"/>
      <c r="B329" s="228"/>
      <c r="C329" s="328"/>
      <c r="D329" s="4006"/>
      <c r="E329" s="4010"/>
      <c r="F329" s="3385" t="str">
        <f t="shared" si="51"/>
        <v>CAC-SEER20_ER1_SF</v>
      </c>
      <c r="G329" s="3386"/>
      <c r="H329" s="3387"/>
      <c r="I329" s="3155" t="str">
        <f t="shared" si="52"/>
        <v>351180_2021_12_</v>
      </c>
      <c r="J329" s="2968">
        <v>41052.631578947367</v>
      </c>
      <c r="K329" s="549">
        <f t="shared" si="53"/>
        <v>3.4210526315789473</v>
      </c>
      <c r="L329" s="2723" t="s">
        <v>1008</v>
      </c>
      <c r="M329" s="1549"/>
      <c r="N329" s="1544"/>
      <c r="O329" s="123"/>
      <c r="P329" s="123"/>
      <c r="Q329" s="123"/>
      <c r="R329" s="123"/>
      <c r="S329" s="123"/>
      <c r="T329" s="123"/>
      <c r="U329" s="123"/>
      <c r="V329" s="4005"/>
      <c r="W329" s="2857"/>
      <c r="X329" s="3155"/>
      <c r="Y329" s="3155"/>
      <c r="Z329" s="3155">
        <v>36000</v>
      </c>
      <c r="AA329" s="2857">
        <v>36000</v>
      </c>
      <c r="AB329" s="2221">
        <v>36000</v>
      </c>
      <c r="AC329" s="2968">
        <v>41052.631578947367</v>
      </c>
      <c r="AD329" s="2857"/>
      <c r="AE329" s="2857"/>
      <c r="AF329" s="2857"/>
      <c r="AG329" s="2857"/>
      <c r="AH329" s="1942"/>
      <c r="AI329" s="1942"/>
      <c r="AJ329" s="1942"/>
      <c r="AK329" s="1942"/>
      <c r="AL329" s="1942"/>
      <c r="AM329" s="1942"/>
      <c r="AN329" s="1942"/>
      <c r="AO329" s="1942"/>
      <c r="AP329" s="1942"/>
      <c r="AQ329" s="1942"/>
      <c r="AR329" s="1942"/>
      <c r="AS329" s="1942"/>
      <c r="AT329" s="1942"/>
      <c r="AU329" s="1942"/>
      <c r="AV329" s="1942"/>
      <c r="AW329" s="1942"/>
      <c r="AX329" s="1942"/>
      <c r="AY329" s="1942"/>
      <c r="AZ329" s="1942"/>
      <c r="BA329" s="1942"/>
      <c r="BB329" s="575"/>
      <c r="BC329" s="584"/>
      <c r="BD329" s="678"/>
      <c r="BE329" s="585"/>
    </row>
    <row r="330" spans="1:57" s="51" customFormat="1" ht="14.45" hidden="1" customHeight="1" outlineLevel="1" x14ac:dyDescent="0.25">
      <c r="A330" s="1267"/>
      <c r="B330" s="228"/>
      <c r="C330" s="328"/>
      <c r="D330" s="4006"/>
      <c r="E330" s="4010"/>
      <c r="F330" s="3385" t="str">
        <f t="shared" si="51"/>
        <v>CAC-SEER20_ER2_SF</v>
      </c>
      <c r="G330" s="3386"/>
      <c r="H330" s="3387"/>
      <c r="I330" s="3155" t="str">
        <f t="shared" si="52"/>
        <v>351180_2021_12_</v>
      </c>
      <c r="J330" s="2968">
        <f>J329</f>
        <v>41052.631578947367</v>
      </c>
      <c r="K330" s="549">
        <f t="shared" si="53"/>
        <v>3.4210526315789473</v>
      </c>
      <c r="L330" s="2723" t="s">
        <v>1008</v>
      </c>
      <c r="M330" s="1549"/>
      <c r="N330" s="1544"/>
      <c r="O330" s="123"/>
      <c r="P330" s="123"/>
      <c r="Q330" s="123"/>
      <c r="R330" s="123"/>
      <c r="S330" s="123"/>
      <c r="T330" s="123"/>
      <c r="U330" s="123"/>
      <c r="V330" s="4005"/>
      <c r="W330" s="2857"/>
      <c r="X330" s="3155"/>
      <c r="Y330" s="3155"/>
      <c r="Z330" s="3155">
        <v>36000</v>
      </c>
      <c r="AA330" s="2857">
        <v>36000</v>
      </c>
      <c r="AB330" s="2221">
        <v>36000</v>
      </c>
      <c r="AC330" s="2968">
        <v>41052.631578947367</v>
      </c>
      <c r="AD330" s="2857"/>
      <c r="AE330" s="2857"/>
      <c r="AF330" s="2857"/>
      <c r="AG330" s="2857"/>
      <c r="AH330" s="1942"/>
      <c r="AI330" s="1942"/>
      <c r="AJ330" s="1942"/>
      <c r="AK330" s="1942"/>
      <c r="AL330" s="1942"/>
      <c r="AM330" s="1942"/>
      <c r="AN330" s="1942"/>
      <c r="AO330" s="1942"/>
      <c r="AP330" s="1942"/>
      <c r="AQ330" s="1942"/>
      <c r="AR330" s="1942"/>
      <c r="AS330" s="1942"/>
      <c r="AT330" s="1942"/>
      <c r="AU330" s="1942"/>
      <c r="AV330" s="1942"/>
      <c r="AW330" s="1942"/>
      <c r="AX330" s="1942"/>
      <c r="AY330" s="1942"/>
      <c r="AZ330" s="1942"/>
      <c r="BA330" s="1942"/>
      <c r="BB330" s="575"/>
      <c r="BC330" s="584"/>
      <c r="BD330" s="678"/>
      <c r="BE330" s="585"/>
    </row>
    <row r="331" spans="1:57" s="51" customFormat="1" ht="14.45" hidden="1" customHeight="1" outlineLevel="1" x14ac:dyDescent="0.25">
      <c r="A331" s="1267"/>
      <c r="B331" s="228"/>
      <c r="C331" s="328"/>
      <c r="D331" s="4006"/>
      <c r="E331" s="4010"/>
      <c r="F331" s="3385" t="str">
        <f t="shared" si="51"/>
        <v>CAC-SEER20_ROF_SF</v>
      </c>
      <c r="G331" s="3386"/>
      <c r="H331" s="3387"/>
      <c r="I331" s="3155" t="str">
        <f t="shared" si="52"/>
        <v>351181_2021_12_</v>
      </c>
      <c r="J331" s="2968">
        <v>39000</v>
      </c>
      <c r="K331" s="549">
        <f t="shared" si="53"/>
        <v>3.25</v>
      </c>
      <c r="L331" s="2723" t="s">
        <v>1008</v>
      </c>
      <c r="M331" s="1549"/>
      <c r="N331" s="1544"/>
      <c r="O331" s="123"/>
      <c r="P331" s="123"/>
      <c r="Q331" s="123"/>
      <c r="R331" s="123"/>
      <c r="S331" s="123"/>
      <c r="T331" s="123"/>
      <c r="U331" s="123"/>
      <c r="V331" s="4005"/>
      <c r="W331" s="2857"/>
      <c r="X331" s="3155"/>
      <c r="Y331" s="3155"/>
      <c r="Z331" s="3155">
        <v>36000</v>
      </c>
      <c r="AA331" s="2857">
        <v>36000</v>
      </c>
      <c r="AB331" s="2221">
        <v>36000</v>
      </c>
      <c r="AC331" s="2968">
        <v>39000</v>
      </c>
      <c r="AD331" s="2857"/>
      <c r="AE331" s="2857"/>
      <c r="AF331" s="2857"/>
      <c r="AG331" s="2857"/>
      <c r="AH331" s="1942"/>
      <c r="AI331" s="1942"/>
      <c r="AJ331" s="1942"/>
      <c r="AK331" s="1942"/>
      <c r="AL331" s="1942"/>
      <c r="AM331" s="1942"/>
      <c r="AN331" s="1942"/>
      <c r="AO331" s="1942"/>
      <c r="AP331" s="1942"/>
      <c r="AQ331" s="1942"/>
      <c r="AR331" s="1942"/>
      <c r="AS331" s="1942"/>
      <c r="AT331" s="1942"/>
      <c r="AU331" s="1942"/>
      <c r="AV331" s="1942"/>
      <c r="AW331" s="1942"/>
      <c r="AX331" s="1942"/>
      <c r="AY331" s="1942"/>
      <c r="AZ331" s="1942"/>
      <c r="BA331" s="1942"/>
      <c r="BB331" s="575"/>
      <c r="BC331" s="584"/>
      <c r="BD331" s="678"/>
      <c r="BE331" s="585"/>
    </row>
    <row r="332" spans="1:57" s="51" customFormat="1" ht="14.45" hidden="1" customHeight="1" outlineLevel="1" x14ac:dyDescent="0.25">
      <c r="A332" s="1267"/>
      <c r="B332" s="228"/>
      <c r="C332" s="328"/>
      <c r="D332" s="4006"/>
      <c r="E332" s="4010"/>
      <c r="F332" s="3385" t="str">
        <f t="shared" si="51"/>
        <v>CAC-SEER20_ER1_MF</v>
      </c>
      <c r="G332" s="3386"/>
      <c r="H332" s="3387"/>
      <c r="I332" s="3155" t="str">
        <f t="shared" si="52"/>
        <v>351182_2021_12_</v>
      </c>
      <c r="J332" s="2547">
        <v>24000</v>
      </c>
      <c r="K332" s="65">
        <f t="shared" si="53"/>
        <v>2</v>
      </c>
      <c r="L332" s="2723" t="s">
        <v>1008</v>
      </c>
      <c r="M332" s="1549"/>
      <c r="N332" s="1544"/>
      <c r="O332" s="123"/>
      <c r="P332" s="123"/>
      <c r="Q332" s="123"/>
      <c r="R332" s="123"/>
      <c r="S332" s="123"/>
      <c r="T332" s="123"/>
      <c r="U332" s="123"/>
      <c r="V332" s="4005"/>
      <c r="W332" s="2857"/>
      <c r="X332" s="3155"/>
      <c r="Y332" s="3155"/>
      <c r="Z332" s="3155">
        <v>24000</v>
      </c>
      <c r="AA332" s="2857">
        <v>24000</v>
      </c>
      <c r="AB332" s="2221">
        <v>24000</v>
      </c>
      <c r="AC332" s="2547">
        <v>24000</v>
      </c>
      <c r="AD332" s="2857"/>
      <c r="AE332" s="2857"/>
      <c r="AF332" s="2857"/>
      <c r="AG332" s="2857"/>
      <c r="AH332" s="1942"/>
      <c r="AI332" s="1942"/>
      <c r="AJ332" s="1942"/>
      <c r="AK332" s="1942"/>
      <c r="AL332" s="1942"/>
      <c r="AM332" s="1942"/>
      <c r="AN332" s="1942"/>
      <c r="AO332" s="1942"/>
      <c r="AP332" s="1942"/>
      <c r="AQ332" s="1942"/>
      <c r="AR332" s="1942"/>
      <c r="AS332" s="1942"/>
      <c r="AT332" s="1942"/>
      <c r="AU332" s="1942"/>
      <c r="AV332" s="1942"/>
      <c r="AW332" s="1942"/>
      <c r="AX332" s="1942"/>
      <c r="AY332" s="1942"/>
      <c r="AZ332" s="1942"/>
      <c r="BA332" s="1942"/>
      <c r="BB332" s="575"/>
      <c r="BC332" s="584"/>
      <c r="BD332" s="678"/>
      <c r="BE332" s="585"/>
    </row>
    <row r="333" spans="1:57" s="51" customFormat="1" ht="14.45" hidden="1" customHeight="1" outlineLevel="1" x14ac:dyDescent="0.25">
      <c r="A333" s="1267"/>
      <c r="B333" s="228"/>
      <c r="C333" s="328"/>
      <c r="D333" s="4006"/>
      <c r="E333" s="4010"/>
      <c r="F333" s="3385" t="str">
        <f t="shared" si="51"/>
        <v>CAC-SEER20_ER2_MF</v>
      </c>
      <c r="G333" s="3386"/>
      <c r="H333" s="3387"/>
      <c r="I333" s="3155" t="str">
        <f t="shared" si="52"/>
        <v>351182_2021_12_</v>
      </c>
      <c r="J333" s="2547">
        <f>J332</f>
        <v>24000</v>
      </c>
      <c r="K333" s="65">
        <f t="shared" si="53"/>
        <v>2</v>
      </c>
      <c r="L333" s="2723" t="s">
        <v>1008</v>
      </c>
      <c r="M333" s="1549"/>
      <c r="N333" s="1544"/>
      <c r="O333" s="123"/>
      <c r="P333" s="123"/>
      <c r="Q333" s="123"/>
      <c r="R333" s="123"/>
      <c r="S333" s="123"/>
      <c r="T333" s="123"/>
      <c r="U333" s="123"/>
      <c r="V333" s="4005"/>
      <c r="W333" s="2857"/>
      <c r="X333" s="3155"/>
      <c r="Y333" s="3155"/>
      <c r="Z333" s="3155">
        <v>24000</v>
      </c>
      <c r="AA333" s="2857">
        <v>24000</v>
      </c>
      <c r="AB333" s="2221">
        <v>24000</v>
      </c>
      <c r="AC333" s="2547">
        <v>24000</v>
      </c>
      <c r="AD333" s="2857"/>
      <c r="AE333" s="2857"/>
      <c r="AF333" s="2857"/>
      <c r="AG333" s="2857"/>
      <c r="AH333" s="1942"/>
      <c r="AI333" s="1942"/>
      <c r="AJ333" s="1942"/>
      <c r="AK333" s="1942"/>
      <c r="AL333" s="1942"/>
      <c r="AM333" s="1942"/>
      <c r="AN333" s="1942"/>
      <c r="AO333" s="1942"/>
      <c r="AP333" s="1942"/>
      <c r="AQ333" s="1942"/>
      <c r="AR333" s="1942"/>
      <c r="AS333" s="1942"/>
      <c r="AT333" s="1942"/>
      <c r="AU333" s="1942"/>
      <c r="AV333" s="1942"/>
      <c r="AW333" s="1942"/>
      <c r="AX333" s="1942"/>
      <c r="AY333" s="1942"/>
      <c r="AZ333" s="1942"/>
      <c r="BA333" s="1942"/>
      <c r="BB333" s="575"/>
      <c r="BC333" s="584"/>
      <c r="BD333" s="678"/>
      <c r="BE333" s="585"/>
    </row>
    <row r="334" spans="1:57" s="51" customFormat="1" ht="14.45" hidden="1" customHeight="1" outlineLevel="1" x14ac:dyDescent="0.25">
      <c r="A334" s="1267"/>
      <c r="B334" s="228"/>
      <c r="C334" s="328"/>
      <c r="D334" s="4006"/>
      <c r="E334" s="4010"/>
      <c r="F334" s="3385" t="str">
        <f t="shared" si="51"/>
        <v>CAC-SEER20_ER1_MF_CompE</v>
      </c>
      <c r="G334" s="3386"/>
      <c r="H334" s="3387"/>
      <c r="I334" s="3155" t="str">
        <f t="shared" si="52"/>
        <v>351183_2021_12_</v>
      </c>
      <c r="J334" s="2547">
        <f>J332</f>
        <v>24000</v>
      </c>
      <c r="K334" s="65">
        <f t="shared" si="53"/>
        <v>2</v>
      </c>
      <c r="L334" s="2970" t="s">
        <v>1004</v>
      </c>
      <c r="M334" s="1549"/>
      <c r="N334" s="1544"/>
      <c r="O334" s="123"/>
      <c r="P334" s="123"/>
      <c r="Q334" s="123"/>
      <c r="R334" s="123"/>
      <c r="S334" s="123"/>
      <c r="T334" s="123"/>
      <c r="U334" s="123"/>
      <c r="V334" s="4005"/>
      <c r="W334" s="2857"/>
      <c r="X334" s="3155"/>
      <c r="Y334" s="3155"/>
      <c r="Z334" s="3155">
        <v>24000</v>
      </c>
      <c r="AA334" s="2857">
        <v>24000</v>
      </c>
      <c r="AB334" s="2221">
        <v>24000</v>
      </c>
      <c r="AC334" s="2547">
        <v>24000</v>
      </c>
      <c r="AD334" s="2857"/>
      <c r="AE334" s="2857"/>
      <c r="AF334" s="2857"/>
      <c r="AG334" s="2857"/>
      <c r="AH334" s="1942"/>
      <c r="AI334" s="1942"/>
      <c r="AJ334" s="1942"/>
      <c r="AK334" s="1942"/>
      <c r="AL334" s="1942"/>
      <c r="AM334" s="1942"/>
      <c r="AN334" s="1942"/>
      <c r="AO334" s="1942"/>
      <c r="AP334" s="1942"/>
      <c r="AQ334" s="1942"/>
      <c r="AR334" s="1942"/>
      <c r="AS334" s="1942"/>
      <c r="AT334" s="1942"/>
      <c r="AU334" s="1942"/>
      <c r="AV334" s="1942"/>
      <c r="AW334" s="1942"/>
      <c r="AX334" s="1942"/>
      <c r="AY334" s="1942"/>
      <c r="AZ334" s="1942"/>
      <c r="BA334" s="1942"/>
      <c r="BB334" s="575"/>
      <c r="BC334" s="584"/>
      <c r="BD334" s="678"/>
      <c r="BE334" s="585"/>
    </row>
    <row r="335" spans="1:57" s="51" customFormat="1" ht="14.45" hidden="1" customHeight="1" outlineLevel="1" x14ac:dyDescent="0.25">
      <c r="A335" s="1267"/>
      <c r="B335" s="228"/>
      <c r="C335" s="328"/>
      <c r="D335" s="4006"/>
      <c r="E335" s="4010"/>
      <c r="F335" s="3385" t="str">
        <f t="shared" si="51"/>
        <v>CAC-SEER20_ER2_MF_CompE</v>
      </c>
      <c r="G335" s="3386"/>
      <c r="H335" s="3387"/>
      <c r="I335" s="3155" t="str">
        <f t="shared" si="52"/>
        <v>351183_2021_12_</v>
      </c>
      <c r="J335" s="2547">
        <f>J333</f>
        <v>24000</v>
      </c>
      <c r="K335" s="65">
        <f t="shared" si="53"/>
        <v>2</v>
      </c>
      <c r="L335" s="2970" t="s">
        <v>1004</v>
      </c>
      <c r="M335" s="1549"/>
      <c r="N335" s="1544"/>
      <c r="O335" s="123"/>
      <c r="P335" s="123"/>
      <c r="Q335" s="123"/>
      <c r="R335" s="123"/>
      <c r="S335" s="123"/>
      <c r="T335" s="123"/>
      <c r="U335" s="123"/>
      <c r="V335" s="4005"/>
      <c r="W335" s="2857"/>
      <c r="X335" s="3155"/>
      <c r="Y335" s="3155"/>
      <c r="Z335" s="3155">
        <v>24000</v>
      </c>
      <c r="AA335" s="2857">
        <v>24000</v>
      </c>
      <c r="AB335" s="2221">
        <v>24000</v>
      </c>
      <c r="AC335" s="2547">
        <v>24000</v>
      </c>
      <c r="AD335" s="2857"/>
      <c r="AE335" s="2857"/>
      <c r="AF335" s="2857"/>
      <c r="AG335" s="2857"/>
      <c r="AH335" s="1942"/>
      <c r="AI335" s="1942"/>
      <c r="AJ335" s="1942"/>
      <c r="AK335" s="1942"/>
      <c r="AL335" s="1942"/>
      <c r="AM335" s="1942"/>
      <c r="AN335" s="1942"/>
      <c r="AO335" s="1942"/>
      <c r="AP335" s="1942"/>
      <c r="AQ335" s="1942"/>
      <c r="AR335" s="1942"/>
      <c r="AS335" s="1942"/>
      <c r="AT335" s="1942"/>
      <c r="AU335" s="1942"/>
      <c r="AV335" s="1942"/>
      <c r="AW335" s="1942"/>
      <c r="AX335" s="1942"/>
      <c r="AY335" s="1942"/>
      <c r="AZ335" s="1942"/>
      <c r="BA335" s="1942"/>
      <c r="BB335" s="575"/>
      <c r="BC335" s="584"/>
      <c r="BD335" s="678"/>
      <c r="BE335" s="585"/>
    </row>
    <row r="336" spans="1:57" s="51" customFormat="1" ht="14.45" hidden="1" customHeight="1" outlineLevel="1" x14ac:dyDescent="0.25">
      <c r="A336" s="1267"/>
      <c r="B336" s="228"/>
      <c r="C336" s="328"/>
      <c r="D336" s="4006"/>
      <c r="E336" s="4010"/>
      <c r="F336" s="3385" t="str">
        <f t="shared" si="51"/>
        <v>CAC-SEER20_ROF_MF</v>
      </c>
      <c r="G336" s="3386"/>
      <c r="H336" s="3387"/>
      <c r="I336" s="3155" t="str">
        <f t="shared" si="52"/>
        <v>351184_2021_12_</v>
      </c>
      <c r="J336" s="2547">
        <v>24000</v>
      </c>
      <c r="K336" s="65">
        <f t="shared" si="53"/>
        <v>2</v>
      </c>
      <c r="L336" s="2550"/>
      <c r="M336" s="1549"/>
      <c r="N336" s="1544"/>
      <c r="O336" s="123"/>
      <c r="P336" s="123"/>
      <c r="Q336" s="123"/>
      <c r="R336" s="123"/>
      <c r="S336" s="123"/>
      <c r="T336" s="123"/>
      <c r="U336" s="123"/>
      <c r="V336" s="4005"/>
      <c r="W336" s="2857"/>
      <c r="X336" s="3155"/>
      <c r="Y336" s="3155"/>
      <c r="Z336" s="3155">
        <v>24000</v>
      </c>
      <c r="AA336" s="2857">
        <v>24000</v>
      </c>
      <c r="AB336" s="2221">
        <v>24000</v>
      </c>
      <c r="AC336" s="2547">
        <v>24000</v>
      </c>
      <c r="AD336" s="2857"/>
      <c r="AE336" s="2857"/>
      <c r="AF336" s="2857"/>
      <c r="AG336" s="2857"/>
      <c r="AH336" s="1942"/>
      <c r="AI336" s="1942"/>
      <c r="AJ336" s="1942"/>
      <c r="AK336" s="1942"/>
      <c r="AL336" s="1942"/>
      <c r="AM336" s="1942"/>
      <c r="AN336" s="1942"/>
      <c r="AO336" s="1942"/>
      <c r="AP336" s="1942"/>
      <c r="AQ336" s="1942"/>
      <c r="AR336" s="1942"/>
      <c r="AS336" s="1942"/>
      <c r="AT336" s="1942"/>
      <c r="AU336" s="1942"/>
      <c r="AV336" s="1942"/>
      <c r="AW336" s="1942"/>
      <c r="AX336" s="1942"/>
      <c r="AY336" s="1942"/>
      <c r="AZ336" s="1942"/>
      <c r="BA336" s="1942"/>
      <c r="BB336" s="575"/>
      <c r="BC336" s="584"/>
      <c r="BD336" s="678"/>
      <c r="BE336" s="585"/>
    </row>
    <row r="337" spans="1:57" s="51" customFormat="1" ht="14.45" hidden="1" customHeight="1" outlineLevel="1" x14ac:dyDescent="0.25">
      <c r="A337" s="1267"/>
      <c r="B337" s="228"/>
      <c r="C337" s="328"/>
      <c r="D337" s="4006"/>
      <c r="E337" s="4010"/>
      <c r="F337" s="3385" t="str">
        <f t="shared" si="51"/>
        <v>CAC-SEER20_ROF_MF_CompE</v>
      </c>
      <c r="G337" s="3386"/>
      <c r="H337" s="3387"/>
      <c r="I337" s="3155" t="str">
        <f t="shared" si="52"/>
        <v>351185_2021_12_</v>
      </c>
      <c r="J337" s="2547">
        <f>J336</f>
        <v>24000</v>
      </c>
      <c r="K337" s="65">
        <f t="shared" si="53"/>
        <v>2</v>
      </c>
      <c r="L337" s="2970" t="s">
        <v>1004</v>
      </c>
      <c r="M337" s="1549"/>
      <c r="N337" s="1544"/>
      <c r="O337" s="123"/>
      <c r="P337" s="123"/>
      <c r="Q337" s="123"/>
      <c r="R337" s="123"/>
      <c r="S337" s="123"/>
      <c r="T337" s="123"/>
      <c r="U337" s="123"/>
      <c r="V337" s="4005"/>
      <c r="W337" s="2857"/>
      <c r="X337" s="3155"/>
      <c r="Y337" s="3155"/>
      <c r="Z337" s="3155">
        <v>24000</v>
      </c>
      <c r="AA337" s="2857">
        <v>24000</v>
      </c>
      <c r="AB337" s="2221">
        <v>24000</v>
      </c>
      <c r="AC337" s="2547">
        <v>24000</v>
      </c>
      <c r="AD337" s="2857"/>
      <c r="AE337" s="2857"/>
      <c r="AF337" s="2857"/>
      <c r="AG337" s="2857"/>
      <c r="AH337" s="1942"/>
      <c r="AI337" s="1942"/>
      <c r="AJ337" s="1942"/>
      <c r="AK337" s="1942"/>
      <c r="AL337" s="1942"/>
      <c r="AM337" s="1942"/>
      <c r="AN337" s="1942"/>
      <c r="AO337" s="1942"/>
      <c r="AP337" s="1942"/>
      <c r="AQ337" s="1942"/>
      <c r="AR337" s="1942"/>
      <c r="AS337" s="1942"/>
      <c r="AT337" s="1942"/>
      <c r="AU337" s="1942"/>
      <c r="AV337" s="1942"/>
      <c r="AW337" s="1942"/>
      <c r="AX337" s="1942"/>
      <c r="AY337" s="1942"/>
      <c r="AZ337" s="1942"/>
      <c r="BA337" s="1942"/>
      <c r="BB337" s="575"/>
      <c r="BC337" s="584"/>
      <c r="BD337" s="678"/>
      <c r="BE337" s="585"/>
    </row>
    <row r="338" spans="1:57" s="51" customFormat="1" ht="14.45" hidden="1" customHeight="1" outlineLevel="1" x14ac:dyDescent="0.25">
      <c r="A338" s="1267"/>
      <c r="B338" s="228"/>
      <c r="C338" s="328"/>
      <c r="D338" s="4006"/>
      <c r="E338" s="4010"/>
      <c r="F338" s="3385" t="str">
        <f t="shared" si="51"/>
        <v>CAC-SEER21+_ER1_SF</v>
      </c>
      <c r="G338" s="3386"/>
      <c r="H338" s="3387"/>
      <c r="I338" s="3155" t="str">
        <f t="shared" si="52"/>
        <v>351190_2021_12_</v>
      </c>
      <c r="J338" s="2968">
        <v>39974.025974025972</v>
      </c>
      <c r="K338" s="549">
        <f t="shared" si="53"/>
        <v>3.331168831168831</v>
      </c>
      <c r="L338" s="2723" t="s">
        <v>1008</v>
      </c>
      <c r="M338" s="1549"/>
      <c r="N338" s="1544"/>
      <c r="O338" s="123"/>
      <c r="P338" s="123"/>
      <c r="Q338" s="123"/>
      <c r="R338" s="123"/>
      <c r="S338" s="123"/>
      <c r="T338" s="123"/>
      <c r="U338" s="123"/>
      <c r="V338" s="4005"/>
      <c r="W338" s="2857"/>
      <c r="X338" s="699"/>
      <c r="Y338" s="3155"/>
      <c r="Z338" s="3155">
        <v>36000</v>
      </c>
      <c r="AA338" s="2857">
        <v>36000</v>
      </c>
      <c r="AB338" s="2221">
        <v>36000</v>
      </c>
      <c r="AC338" s="2968">
        <v>39974.025974025972</v>
      </c>
      <c r="AD338" s="2857"/>
      <c r="AE338" s="2857"/>
      <c r="AF338" s="2857"/>
      <c r="AG338" s="2857"/>
      <c r="AH338" s="1942"/>
      <c r="AI338" s="1942"/>
      <c r="AJ338" s="1942"/>
      <c r="AK338" s="1942"/>
      <c r="AL338" s="1942"/>
      <c r="AM338" s="1942"/>
      <c r="AN338" s="1942"/>
      <c r="AO338" s="1942"/>
      <c r="AP338" s="1942"/>
      <c r="AQ338" s="1942"/>
      <c r="AR338" s="1942"/>
      <c r="AS338" s="1942"/>
      <c r="AT338" s="1942"/>
      <c r="AU338" s="1942"/>
      <c r="AV338" s="1942"/>
      <c r="AW338" s="1942"/>
      <c r="AX338" s="1942"/>
      <c r="AY338" s="1942"/>
      <c r="AZ338" s="1942"/>
      <c r="BA338" s="1942"/>
      <c r="BB338" s="575"/>
      <c r="BC338" s="584"/>
      <c r="BD338" s="678"/>
      <c r="BE338" s="585"/>
    </row>
    <row r="339" spans="1:57" s="51" customFormat="1" ht="14.45" hidden="1" customHeight="1" outlineLevel="1" x14ac:dyDescent="0.25">
      <c r="A339" s="1267"/>
      <c r="B339" s="228"/>
      <c r="C339" s="328"/>
      <c r="D339" s="4006"/>
      <c r="E339" s="4010"/>
      <c r="F339" s="3385" t="str">
        <f t="shared" ref="F339:F402" si="55">F267</f>
        <v>CAC-SEER21+_ER2_SF</v>
      </c>
      <c r="G339" s="3386"/>
      <c r="H339" s="3387"/>
      <c r="I339" s="3155" t="str">
        <f t="shared" ref="I339:I402" si="56">I267</f>
        <v>351190_2021_12_</v>
      </c>
      <c r="J339" s="2968">
        <f>J338</f>
        <v>39974.025974025972</v>
      </c>
      <c r="K339" s="549">
        <f t="shared" ref="K339:K346" si="57">J339/12000</f>
        <v>3.331168831168831</v>
      </c>
      <c r="L339" s="2723" t="s">
        <v>1008</v>
      </c>
      <c r="M339" s="1549"/>
      <c r="N339" s="1544"/>
      <c r="O339" s="123"/>
      <c r="P339" s="123"/>
      <c r="Q339" s="123"/>
      <c r="R339" s="123"/>
      <c r="S339" s="123"/>
      <c r="T339" s="123"/>
      <c r="U339" s="123"/>
      <c r="V339" s="4005"/>
      <c r="W339" s="2857"/>
      <c r="X339" s="699"/>
      <c r="Y339" s="3155"/>
      <c r="Z339" s="3155">
        <v>36000</v>
      </c>
      <c r="AA339" s="2857">
        <v>36000</v>
      </c>
      <c r="AB339" s="2221">
        <v>36000</v>
      </c>
      <c r="AC339" s="2968">
        <v>39974.025974025972</v>
      </c>
      <c r="AD339" s="2857"/>
      <c r="AE339" s="2857"/>
      <c r="AF339" s="2857"/>
      <c r="AG339" s="2857"/>
      <c r="AH339" s="1942"/>
      <c r="AI339" s="1942"/>
      <c r="AJ339" s="1942"/>
      <c r="AK339" s="1942"/>
      <c r="AL339" s="1942"/>
      <c r="AM339" s="1942"/>
      <c r="AN339" s="1942"/>
      <c r="AO339" s="1942"/>
      <c r="AP339" s="1942"/>
      <c r="AQ339" s="1942"/>
      <c r="AR339" s="1942"/>
      <c r="AS339" s="1942"/>
      <c r="AT339" s="1942"/>
      <c r="AU339" s="1942"/>
      <c r="AV339" s="1942"/>
      <c r="AW339" s="1942"/>
      <c r="AX339" s="1942"/>
      <c r="AY339" s="1942"/>
      <c r="AZ339" s="1942"/>
      <c r="BA339" s="1942"/>
      <c r="BB339" s="575"/>
      <c r="BC339" s="584"/>
      <c r="BD339" s="678"/>
      <c r="BE339" s="585"/>
    </row>
    <row r="340" spans="1:57" s="51" customFormat="1" ht="14.45" hidden="1" customHeight="1" outlineLevel="1" x14ac:dyDescent="0.25">
      <c r="A340" s="1267"/>
      <c r="B340" s="228"/>
      <c r="C340" s="328"/>
      <c r="D340" s="4006"/>
      <c r="E340" s="4010"/>
      <c r="F340" s="3385" t="str">
        <f t="shared" si="55"/>
        <v>CAC-SEER21+_ROF_SF</v>
      </c>
      <c r="G340" s="3386"/>
      <c r="H340" s="3387"/>
      <c r="I340" s="3155" t="str">
        <f t="shared" si="56"/>
        <v>351191_2021_12_</v>
      </c>
      <c r="J340" s="2968">
        <v>37714.28571428571</v>
      </c>
      <c r="K340" s="549">
        <f t="shared" si="57"/>
        <v>3.1428571428571423</v>
      </c>
      <c r="L340" s="2723" t="s">
        <v>1008</v>
      </c>
      <c r="M340" s="1549"/>
      <c r="N340" s="1544"/>
      <c r="O340" s="123"/>
      <c r="P340" s="123"/>
      <c r="Q340" s="123"/>
      <c r="R340" s="123"/>
      <c r="S340" s="123"/>
      <c r="T340" s="123"/>
      <c r="U340" s="123"/>
      <c r="V340" s="4005"/>
      <c r="W340" s="2857"/>
      <c r="X340" s="699"/>
      <c r="Y340" s="3155"/>
      <c r="Z340" s="3155">
        <v>36000</v>
      </c>
      <c r="AA340" s="2857">
        <v>36000</v>
      </c>
      <c r="AB340" s="2221">
        <v>36000</v>
      </c>
      <c r="AC340" s="2968">
        <v>37714.28571428571</v>
      </c>
      <c r="AD340" s="2857"/>
      <c r="AE340" s="2857"/>
      <c r="AF340" s="2857"/>
      <c r="AG340" s="2857"/>
      <c r="AH340" s="1942"/>
      <c r="AI340" s="1942"/>
      <c r="AJ340" s="1942"/>
      <c r="AK340" s="1942"/>
      <c r="AL340" s="1942"/>
      <c r="AM340" s="1942"/>
      <c r="AN340" s="1942"/>
      <c r="AO340" s="1942"/>
      <c r="AP340" s="1942"/>
      <c r="AQ340" s="1942"/>
      <c r="AR340" s="1942"/>
      <c r="AS340" s="1942"/>
      <c r="AT340" s="1942"/>
      <c r="AU340" s="1942"/>
      <c r="AV340" s="1942"/>
      <c r="AW340" s="1942"/>
      <c r="AX340" s="1942"/>
      <c r="AY340" s="1942"/>
      <c r="AZ340" s="1942"/>
      <c r="BA340" s="1942"/>
      <c r="BB340" s="575"/>
      <c r="BC340" s="584"/>
      <c r="BD340" s="678"/>
      <c r="BE340" s="585"/>
    </row>
    <row r="341" spans="1:57" s="51" customFormat="1" ht="14.45" hidden="1" customHeight="1" outlineLevel="1" x14ac:dyDescent="0.25">
      <c r="A341" s="1267"/>
      <c r="B341" s="228"/>
      <c r="C341" s="328"/>
      <c r="D341" s="4006"/>
      <c r="E341" s="4010"/>
      <c r="F341" s="3385" t="str">
        <f t="shared" si="55"/>
        <v>CAC-SEER21+_ER1_MF</v>
      </c>
      <c r="G341" s="3386"/>
      <c r="H341" s="3387"/>
      <c r="I341" s="3155" t="str">
        <f t="shared" si="56"/>
        <v>351192_2021_12_</v>
      </c>
      <c r="J341" s="2547">
        <v>24000</v>
      </c>
      <c r="K341" s="65">
        <f t="shared" si="57"/>
        <v>2</v>
      </c>
      <c r="L341" s="2553"/>
      <c r="M341" s="1549"/>
      <c r="N341" s="1544"/>
      <c r="O341" s="123"/>
      <c r="P341" s="123"/>
      <c r="Q341" s="123"/>
      <c r="R341" s="123"/>
      <c r="S341" s="123"/>
      <c r="T341" s="123"/>
      <c r="U341" s="123"/>
      <c r="V341" s="4005"/>
      <c r="W341" s="2857"/>
      <c r="X341" s="699"/>
      <c r="Y341" s="3155"/>
      <c r="Z341" s="3155">
        <v>24000</v>
      </c>
      <c r="AA341" s="2857">
        <v>24000</v>
      </c>
      <c r="AB341" s="2221">
        <v>24000</v>
      </c>
      <c r="AC341" s="2547">
        <v>24000</v>
      </c>
      <c r="AD341" s="2857"/>
      <c r="AE341" s="2857"/>
      <c r="AF341" s="2857"/>
      <c r="AG341" s="2857"/>
      <c r="AH341" s="1942"/>
      <c r="AI341" s="1942"/>
      <c r="AJ341" s="1942"/>
      <c r="AK341" s="1942"/>
      <c r="AL341" s="1942"/>
      <c r="AM341" s="1942"/>
      <c r="AN341" s="1942"/>
      <c r="AO341" s="1942"/>
      <c r="AP341" s="1942"/>
      <c r="AQ341" s="1942"/>
      <c r="AR341" s="1942"/>
      <c r="AS341" s="1942"/>
      <c r="AT341" s="1942"/>
      <c r="AU341" s="1942"/>
      <c r="AV341" s="1942"/>
      <c r="AW341" s="1942"/>
      <c r="AX341" s="1942"/>
      <c r="AY341" s="1942"/>
      <c r="AZ341" s="1942"/>
      <c r="BA341" s="1942"/>
      <c r="BB341" s="575"/>
      <c r="BC341" s="584"/>
      <c r="BD341" s="678"/>
      <c r="BE341" s="585"/>
    </row>
    <row r="342" spans="1:57" s="51" customFormat="1" ht="14.45" hidden="1" customHeight="1" outlineLevel="1" x14ac:dyDescent="0.25">
      <c r="A342" s="1267"/>
      <c r="B342" s="228"/>
      <c r="C342" s="328"/>
      <c r="D342" s="4006"/>
      <c r="E342" s="4010"/>
      <c r="F342" s="3385" t="str">
        <f t="shared" si="55"/>
        <v>CAC-SEER21+_ER2_MF</v>
      </c>
      <c r="G342" s="3386"/>
      <c r="H342" s="3387"/>
      <c r="I342" s="3155" t="str">
        <f t="shared" si="56"/>
        <v>351192_2021_12_</v>
      </c>
      <c r="J342" s="2547">
        <v>24000</v>
      </c>
      <c r="K342" s="65">
        <f t="shared" si="57"/>
        <v>2</v>
      </c>
      <c r="L342" s="2553"/>
      <c r="M342" s="1549"/>
      <c r="N342" s="1544"/>
      <c r="O342" s="123"/>
      <c r="P342" s="123"/>
      <c r="Q342" s="123"/>
      <c r="R342" s="123"/>
      <c r="S342" s="123"/>
      <c r="T342" s="123"/>
      <c r="U342" s="123"/>
      <c r="V342" s="4005"/>
      <c r="W342" s="2857"/>
      <c r="X342" s="699"/>
      <c r="Y342" s="3155"/>
      <c r="Z342" s="3155">
        <v>24000</v>
      </c>
      <c r="AA342" s="2857">
        <v>24000</v>
      </c>
      <c r="AB342" s="2221">
        <v>24000</v>
      </c>
      <c r="AC342" s="2547">
        <v>24000</v>
      </c>
      <c r="AD342" s="2857"/>
      <c r="AE342" s="2857"/>
      <c r="AF342" s="2857"/>
      <c r="AG342" s="2857"/>
      <c r="AH342" s="1942"/>
      <c r="AI342" s="1942"/>
      <c r="AJ342" s="1942"/>
      <c r="AK342" s="1942"/>
      <c r="AL342" s="1942"/>
      <c r="AM342" s="1942"/>
      <c r="AN342" s="1942"/>
      <c r="AO342" s="1942"/>
      <c r="AP342" s="1942"/>
      <c r="AQ342" s="1942"/>
      <c r="AR342" s="1942"/>
      <c r="AS342" s="1942"/>
      <c r="AT342" s="1942"/>
      <c r="AU342" s="1942"/>
      <c r="AV342" s="1942"/>
      <c r="AW342" s="1942"/>
      <c r="AX342" s="1942"/>
      <c r="AY342" s="1942"/>
      <c r="AZ342" s="1942"/>
      <c r="BA342" s="1942"/>
      <c r="BB342" s="575"/>
      <c r="BC342" s="584"/>
      <c r="BD342" s="678"/>
      <c r="BE342" s="585"/>
    </row>
    <row r="343" spans="1:57" s="51" customFormat="1" ht="14.45" hidden="1" customHeight="1" outlineLevel="1" x14ac:dyDescent="0.25">
      <c r="A343" s="1267"/>
      <c r="B343" s="228"/>
      <c r="C343" s="328"/>
      <c r="D343" s="4006"/>
      <c r="E343" s="4010"/>
      <c r="F343" s="3385" t="str">
        <f t="shared" si="55"/>
        <v>CAC-SEER21+_ER1_MF_CompE</v>
      </c>
      <c r="G343" s="3386"/>
      <c r="H343" s="3387"/>
      <c r="I343" s="692" t="str">
        <f t="shared" si="56"/>
        <v>351193_2021_12_</v>
      </c>
      <c r="J343" s="2547">
        <f>J341</f>
        <v>24000</v>
      </c>
      <c r="K343" s="65">
        <f t="shared" si="57"/>
        <v>2</v>
      </c>
      <c r="L343" s="2970" t="s">
        <v>1004</v>
      </c>
      <c r="M343" s="1549"/>
      <c r="N343" s="1544"/>
      <c r="O343" s="123"/>
      <c r="P343" s="123"/>
      <c r="Q343" s="123"/>
      <c r="R343" s="123"/>
      <c r="S343" s="123"/>
      <c r="T343" s="123"/>
      <c r="U343" s="123"/>
      <c r="V343" s="4005"/>
      <c r="W343" s="2857"/>
      <c r="X343" s="699"/>
      <c r="Y343" s="3155"/>
      <c r="Z343" s="3155">
        <v>24000</v>
      </c>
      <c r="AA343" s="2857">
        <v>24000</v>
      </c>
      <c r="AB343" s="2221">
        <v>24000</v>
      </c>
      <c r="AC343" s="2547">
        <v>24000</v>
      </c>
      <c r="AD343" s="2857"/>
      <c r="AE343" s="2857"/>
      <c r="AF343" s="2857"/>
      <c r="AG343" s="2857"/>
      <c r="AH343" s="1942"/>
      <c r="AI343" s="1942"/>
      <c r="AJ343" s="1942"/>
      <c r="AK343" s="1942"/>
      <c r="AL343" s="1942"/>
      <c r="AM343" s="1942"/>
      <c r="AN343" s="1942"/>
      <c r="AO343" s="1942"/>
      <c r="AP343" s="1942"/>
      <c r="AQ343" s="1942"/>
      <c r="AR343" s="1942"/>
      <c r="AS343" s="1942"/>
      <c r="AT343" s="1942"/>
      <c r="AU343" s="1942"/>
      <c r="AV343" s="1942"/>
      <c r="AW343" s="1942"/>
      <c r="AX343" s="1942"/>
      <c r="AY343" s="1942"/>
      <c r="AZ343" s="1942"/>
      <c r="BA343" s="1942"/>
      <c r="BB343" s="575"/>
      <c r="BC343" s="584"/>
      <c r="BD343" s="678"/>
      <c r="BE343" s="585"/>
    </row>
    <row r="344" spans="1:57" s="51" customFormat="1" ht="14.45" hidden="1" customHeight="1" outlineLevel="1" x14ac:dyDescent="0.25">
      <c r="A344" s="1267"/>
      <c r="B344" s="228"/>
      <c r="C344" s="328"/>
      <c r="D344" s="4006"/>
      <c r="E344" s="4010"/>
      <c r="F344" s="3385" t="str">
        <f t="shared" si="55"/>
        <v>CAC-SEER21+_ER2_MF_CompE</v>
      </c>
      <c r="G344" s="3386"/>
      <c r="H344" s="3387"/>
      <c r="I344" s="692" t="str">
        <f t="shared" si="56"/>
        <v>351193_2021_12_</v>
      </c>
      <c r="J344" s="2547">
        <f>J342</f>
        <v>24000</v>
      </c>
      <c r="K344" s="65">
        <f t="shared" si="57"/>
        <v>2</v>
      </c>
      <c r="L344" s="2970" t="s">
        <v>1004</v>
      </c>
      <c r="M344" s="1549"/>
      <c r="N344" s="1544"/>
      <c r="O344" s="123"/>
      <c r="P344" s="123"/>
      <c r="Q344" s="123"/>
      <c r="R344" s="123"/>
      <c r="S344" s="123"/>
      <c r="T344" s="123"/>
      <c r="U344" s="123"/>
      <c r="V344" s="4005"/>
      <c r="W344" s="2857"/>
      <c r="X344" s="699"/>
      <c r="Y344" s="3155"/>
      <c r="Z344" s="3155">
        <v>24000</v>
      </c>
      <c r="AA344" s="2857">
        <v>24000</v>
      </c>
      <c r="AB344" s="2221">
        <v>24000</v>
      </c>
      <c r="AC344" s="2547">
        <v>24000</v>
      </c>
      <c r="AD344" s="2857"/>
      <c r="AE344" s="2857"/>
      <c r="AF344" s="2857"/>
      <c r="AG344" s="2857"/>
      <c r="AH344" s="1942"/>
      <c r="AI344" s="1942"/>
      <c r="AJ344" s="1942"/>
      <c r="AK344" s="1942"/>
      <c r="AL344" s="1942"/>
      <c r="AM344" s="1942"/>
      <c r="AN344" s="1942"/>
      <c r="AO344" s="1942"/>
      <c r="AP344" s="1942"/>
      <c r="AQ344" s="1942"/>
      <c r="AR344" s="1942"/>
      <c r="AS344" s="1942"/>
      <c r="AT344" s="1942"/>
      <c r="AU344" s="1942"/>
      <c r="AV344" s="1942"/>
      <c r="AW344" s="1942"/>
      <c r="AX344" s="1942"/>
      <c r="AY344" s="1942"/>
      <c r="AZ344" s="1942"/>
      <c r="BA344" s="1942"/>
      <c r="BB344" s="575"/>
      <c r="BC344" s="584"/>
      <c r="BD344" s="678"/>
      <c r="BE344" s="585"/>
    </row>
    <row r="345" spans="1:57" s="51" customFormat="1" ht="14.45" hidden="1" customHeight="1" outlineLevel="1" x14ac:dyDescent="0.25">
      <c r="A345" s="1267"/>
      <c r="B345" s="228"/>
      <c r="C345" s="328"/>
      <c r="D345" s="4006"/>
      <c r="E345" s="4010"/>
      <c r="F345" s="3385" t="str">
        <f t="shared" si="55"/>
        <v>CAC-SEER21+_ROF_MF</v>
      </c>
      <c r="G345" s="3386"/>
      <c r="H345" s="3387"/>
      <c r="I345" s="3155" t="str">
        <f t="shared" si="56"/>
        <v>351194_2021_12_</v>
      </c>
      <c r="J345" s="2547">
        <v>24000</v>
      </c>
      <c r="K345" s="65">
        <f t="shared" si="57"/>
        <v>2</v>
      </c>
      <c r="L345" s="2553"/>
      <c r="M345" s="1550"/>
      <c r="N345" s="1544"/>
      <c r="O345" s="123"/>
      <c r="P345" s="123"/>
      <c r="Q345" s="123"/>
      <c r="R345" s="123"/>
      <c r="S345" s="123"/>
      <c r="T345" s="123"/>
      <c r="U345" s="123"/>
      <c r="V345" s="4005"/>
      <c r="W345" s="2857"/>
      <c r="X345" s="699"/>
      <c r="Y345" s="2857"/>
      <c r="Z345" s="3155">
        <v>24000</v>
      </c>
      <c r="AA345" s="2857">
        <v>24000</v>
      </c>
      <c r="AB345" s="2221">
        <v>24000</v>
      </c>
      <c r="AC345" s="2547">
        <v>24000</v>
      </c>
      <c r="AD345" s="2857"/>
      <c r="AE345" s="2857"/>
      <c r="AF345" s="2857"/>
      <c r="AG345" s="2857"/>
      <c r="AH345" s="1942"/>
      <c r="AI345" s="1942"/>
      <c r="AJ345" s="1942"/>
      <c r="AK345" s="1942"/>
      <c r="AL345" s="1942"/>
      <c r="AM345" s="1942"/>
      <c r="AN345" s="1942"/>
      <c r="AO345" s="1942"/>
      <c r="AP345" s="1942"/>
      <c r="AQ345" s="1942"/>
      <c r="AR345" s="1942"/>
      <c r="AS345" s="1942"/>
      <c r="AT345" s="1942"/>
      <c r="AU345" s="1942"/>
      <c r="AV345" s="1942"/>
      <c r="AW345" s="1942"/>
      <c r="AX345" s="1942"/>
      <c r="AY345" s="1942"/>
      <c r="AZ345" s="1942"/>
      <c r="BA345" s="1942"/>
      <c r="BB345" s="575"/>
      <c r="BC345" s="584"/>
      <c r="BD345" s="678"/>
      <c r="BE345" s="585"/>
    </row>
    <row r="346" spans="1:57" s="51" customFormat="1" ht="14.45" hidden="1" customHeight="1" outlineLevel="1" thickBot="1" x14ac:dyDescent="0.3">
      <c r="A346" s="1267"/>
      <c r="B346" s="228"/>
      <c r="C346" s="328"/>
      <c r="D346" s="4007"/>
      <c r="E346" s="4011"/>
      <c r="F346" s="3385" t="str">
        <f t="shared" si="55"/>
        <v>CAC-SEER21+_ROF_MF_CompE</v>
      </c>
      <c r="G346" s="3386"/>
      <c r="H346" s="3387"/>
      <c r="I346" s="694" t="str">
        <f t="shared" si="56"/>
        <v>351195_2021_12_</v>
      </c>
      <c r="J346" s="2547">
        <f>J345</f>
        <v>24000</v>
      </c>
      <c r="K346" s="2331">
        <f t="shared" si="57"/>
        <v>2</v>
      </c>
      <c r="L346" s="2972" t="s">
        <v>1004</v>
      </c>
      <c r="M346" s="1550"/>
      <c r="N346" s="1544"/>
      <c r="O346" s="123"/>
      <c r="P346" s="123"/>
      <c r="Q346" s="123"/>
      <c r="R346" s="123"/>
      <c r="S346" s="123"/>
      <c r="T346" s="123"/>
      <c r="U346" s="123"/>
      <c r="V346" s="4035"/>
      <c r="W346" s="696"/>
      <c r="X346" s="700"/>
      <c r="Y346" s="3158"/>
      <c r="Z346" s="3158">
        <v>24000</v>
      </c>
      <c r="AA346" s="696">
        <v>24000</v>
      </c>
      <c r="AB346" s="2221">
        <v>24000</v>
      </c>
      <c r="AC346" s="2547">
        <v>24000</v>
      </c>
      <c r="AD346" s="696"/>
      <c r="AE346" s="696"/>
      <c r="AF346" s="696"/>
      <c r="AG346" s="696"/>
      <c r="AH346" s="1942"/>
      <c r="AI346" s="1942"/>
      <c r="AJ346" s="1942"/>
      <c r="AK346" s="1942"/>
      <c r="AL346" s="1942"/>
      <c r="AM346" s="1942"/>
      <c r="AN346" s="1942"/>
      <c r="AO346" s="1942"/>
      <c r="AP346" s="1942"/>
      <c r="AQ346" s="1942"/>
      <c r="AR346" s="1942"/>
      <c r="AS346" s="1942"/>
      <c r="AT346" s="1942"/>
      <c r="AU346" s="1942"/>
      <c r="AV346" s="1942"/>
      <c r="AW346" s="1942"/>
      <c r="AX346" s="1942"/>
      <c r="AY346" s="1942"/>
      <c r="AZ346" s="1942"/>
      <c r="BA346" s="1942"/>
      <c r="BB346" s="575"/>
      <c r="BC346" s="584"/>
      <c r="BD346" s="678"/>
      <c r="BE346" s="585"/>
    </row>
    <row r="347" spans="1:57" s="51" customFormat="1" ht="14.45" hidden="1" customHeight="1" outlineLevel="1" x14ac:dyDescent="0.25">
      <c r="A347" s="1267"/>
      <c r="B347" s="228"/>
      <c r="C347" s="328"/>
      <c r="D347" s="3989" t="s">
        <v>1009</v>
      </c>
      <c r="E347" s="4008" t="s">
        <v>1010</v>
      </c>
      <c r="F347" s="3388" t="str">
        <f t="shared" si="55"/>
        <v>CAC-SEER14_ER1_SF</v>
      </c>
      <c r="G347" s="3389"/>
      <c r="H347" s="3390"/>
      <c r="I347" s="3157" t="str">
        <f t="shared" si="56"/>
        <v>350400_2021_12_</v>
      </c>
      <c r="J347" s="2861"/>
      <c r="K347" s="680"/>
      <c r="L347" s="2554" t="s">
        <v>1011</v>
      </c>
      <c r="M347" s="1550"/>
      <c r="N347" s="1544"/>
      <c r="O347" s="123"/>
      <c r="P347" s="123"/>
      <c r="Q347" s="123"/>
      <c r="R347" s="123"/>
      <c r="S347" s="123"/>
      <c r="T347" s="123"/>
      <c r="U347" s="123"/>
      <c r="V347" s="3989" t="str">
        <f>D347</f>
        <v>SEERbase</v>
      </c>
      <c r="W347" s="2861">
        <v>10</v>
      </c>
      <c r="X347" s="3157"/>
      <c r="Y347" s="3157"/>
      <c r="Z347" s="3157"/>
      <c r="AA347" s="2861"/>
      <c r="AB347" s="1870"/>
      <c r="AC347" s="2861"/>
      <c r="AD347" s="2861"/>
      <c r="AE347" s="2861"/>
      <c r="AF347" s="2861"/>
      <c r="AG347" s="2861"/>
      <c r="AH347" s="1942"/>
      <c r="AI347" s="1942"/>
      <c r="AJ347" s="1942"/>
      <c r="AK347" s="1942"/>
      <c r="AL347" s="1942"/>
      <c r="AM347" s="1942"/>
      <c r="AN347" s="1942"/>
      <c r="AO347" s="1942"/>
      <c r="AP347" s="1942"/>
      <c r="AQ347" s="1942"/>
      <c r="AR347" s="1942"/>
      <c r="AS347" s="1942"/>
      <c r="AT347" s="1942"/>
      <c r="AU347" s="1942"/>
      <c r="AV347" s="1942"/>
      <c r="AW347" s="1942"/>
      <c r="AX347" s="1942"/>
      <c r="AY347" s="1942"/>
      <c r="AZ347" s="1942"/>
      <c r="BA347" s="1942"/>
      <c r="BB347" s="575"/>
      <c r="BC347" s="584"/>
      <c r="BD347" s="678"/>
      <c r="BE347" s="585"/>
    </row>
    <row r="348" spans="1:57" s="51" customFormat="1" ht="14.45" hidden="1" customHeight="1" outlineLevel="1" x14ac:dyDescent="0.25">
      <c r="A348" s="1267"/>
      <c r="B348" s="228"/>
      <c r="C348" s="328"/>
      <c r="D348" s="3990"/>
      <c r="E348" s="4009"/>
      <c r="F348" s="3391" t="str">
        <f t="shared" si="55"/>
        <v>CAC-SEER14_ER2_SF</v>
      </c>
      <c r="G348" s="3392"/>
      <c r="H348" s="3393"/>
      <c r="I348" s="3155" t="str">
        <f t="shared" si="56"/>
        <v>350400_2021_12_</v>
      </c>
      <c r="J348" s="2857">
        <v>13</v>
      </c>
      <c r="K348" s="684"/>
      <c r="L348" s="2555" t="str">
        <f>L347</f>
        <v>MO TRM</v>
      </c>
      <c r="M348" s="1550"/>
      <c r="N348" s="1544"/>
      <c r="O348" s="123"/>
      <c r="P348" s="123"/>
      <c r="Q348" s="123"/>
      <c r="R348" s="123"/>
      <c r="S348" s="123"/>
      <c r="T348" s="123"/>
      <c r="U348" s="123"/>
      <c r="V348" s="3990"/>
      <c r="W348" s="2857">
        <v>13</v>
      </c>
      <c r="X348" s="2857">
        <v>13</v>
      </c>
      <c r="Y348" s="2857">
        <v>13</v>
      </c>
      <c r="Z348" s="2857">
        <v>13</v>
      </c>
      <c r="AA348" s="2857">
        <v>13</v>
      </c>
      <c r="AB348" s="699">
        <v>13</v>
      </c>
      <c r="AC348" s="2857">
        <v>13</v>
      </c>
      <c r="AD348" s="2857"/>
      <c r="AE348" s="2857"/>
      <c r="AF348" s="2857"/>
      <c r="AG348" s="2857"/>
      <c r="AH348" s="1942"/>
      <c r="AI348" s="1942"/>
      <c r="AJ348" s="1942"/>
      <c r="AK348" s="1942"/>
      <c r="AL348" s="1942"/>
      <c r="AM348" s="1942"/>
      <c r="AN348" s="1942"/>
      <c r="AO348" s="1942"/>
      <c r="AP348" s="1942"/>
      <c r="AQ348" s="1942"/>
      <c r="AR348" s="1942"/>
      <c r="AS348" s="1942"/>
      <c r="AT348" s="1942"/>
      <c r="AU348" s="1942"/>
      <c r="AV348" s="1942"/>
      <c r="AW348" s="1942"/>
      <c r="AX348" s="1942"/>
      <c r="AY348" s="1942"/>
      <c r="AZ348" s="1942"/>
      <c r="BA348" s="1942"/>
      <c r="BB348" s="575"/>
      <c r="BC348" s="584"/>
      <c r="BD348" s="678"/>
      <c r="BE348" s="585"/>
    </row>
    <row r="349" spans="1:57" s="51" customFormat="1" ht="14.45" hidden="1" customHeight="1" outlineLevel="1" x14ac:dyDescent="0.25">
      <c r="A349" s="1267"/>
      <c r="B349" s="228"/>
      <c r="C349" s="328"/>
      <c r="D349" s="3990"/>
      <c r="E349" s="4009"/>
      <c r="F349" s="3391" t="str">
        <f t="shared" si="55"/>
        <v>CAC-SEER14_ROF_SF</v>
      </c>
      <c r="G349" s="3392"/>
      <c r="H349" s="3393"/>
      <c r="I349" s="3155" t="str">
        <f t="shared" si="56"/>
        <v>350450_2021_12_</v>
      </c>
      <c r="J349" s="2857">
        <v>13</v>
      </c>
      <c r="K349" s="684"/>
      <c r="L349" s="2555" t="str">
        <f t="shared" ref="L349:L378" si="58">L348</f>
        <v>MO TRM</v>
      </c>
      <c r="M349" s="328"/>
      <c r="N349" s="1544"/>
      <c r="O349" s="328"/>
      <c r="P349" s="123"/>
      <c r="Q349" s="123"/>
      <c r="R349" s="123"/>
      <c r="S349" s="123"/>
      <c r="T349" s="123"/>
      <c r="U349" s="123"/>
      <c r="V349" s="3990"/>
      <c r="W349" s="2857">
        <v>13</v>
      </c>
      <c r="X349" s="2857">
        <v>13</v>
      </c>
      <c r="Y349" s="2857">
        <v>13</v>
      </c>
      <c r="Z349" s="2857">
        <v>13</v>
      </c>
      <c r="AA349" s="2857">
        <v>13</v>
      </c>
      <c r="AB349" s="699">
        <v>13</v>
      </c>
      <c r="AC349" s="2857">
        <v>13</v>
      </c>
      <c r="AD349" s="2857"/>
      <c r="AE349" s="2857"/>
      <c r="AF349" s="2857"/>
      <c r="AG349" s="2857"/>
      <c r="AH349" s="1942"/>
      <c r="AI349" s="1942"/>
      <c r="AJ349" s="1942"/>
      <c r="AK349" s="1942"/>
      <c r="AL349" s="1942"/>
      <c r="AM349" s="1942"/>
      <c r="AN349" s="1942"/>
      <c r="AO349" s="1942"/>
      <c r="AP349" s="1942"/>
      <c r="AQ349" s="1942"/>
      <c r="AR349" s="1942"/>
      <c r="AS349" s="1942"/>
      <c r="AT349" s="1942"/>
      <c r="AU349" s="1942"/>
      <c r="AV349" s="1942"/>
      <c r="AW349" s="1942"/>
      <c r="AX349" s="1942"/>
      <c r="AY349" s="1942"/>
      <c r="AZ349" s="1942"/>
      <c r="BA349" s="1942"/>
      <c r="BB349" s="575"/>
      <c r="BC349" s="584"/>
      <c r="BD349" s="678"/>
      <c r="BE349" s="585"/>
    </row>
    <row r="350" spans="1:57" s="51" customFormat="1" hidden="1" outlineLevel="1" x14ac:dyDescent="0.25">
      <c r="A350" s="1267"/>
      <c r="B350" s="228"/>
      <c r="C350" s="328"/>
      <c r="D350" s="3990"/>
      <c r="E350" s="4009"/>
      <c r="F350" s="3385" t="str">
        <f t="shared" si="55"/>
        <v>CAC-SEER14_ER1_MF</v>
      </c>
      <c r="G350" s="3386"/>
      <c r="H350" s="3387"/>
      <c r="I350" s="3155" t="str">
        <f t="shared" si="56"/>
        <v>350500_2021_12_</v>
      </c>
      <c r="J350" s="2857"/>
      <c r="K350" s="684"/>
      <c r="L350" s="2555" t="str">
        <f t="shared" si="58"/>
        <v>MO TRM</v>
      </c>
      <c r="M350" s="328"/>
      <c r="N350" s="1544"/>
      <c r="O350" s="328"/>
      <c r="P350" s="123"/>
      <c r="Q350" s="123"/>
      <c r="R350" s="123"/>
      <c r="S350" s="123"/>
      <c r="T350" s="123"/>
      <c r="U350" s="123"/>
      <c r="V350" s="3990"/>
      <c r="W350" s="2857">
        <v>10</v>
      </c>
      <c r="X350" s="3155"/>
      <c r="Y350" s="3155"/>
      <c r="Z350" s="3155"/>
      <c r="AA350" s="2857"/>
      <c r="AB350" s="699"/>
      <c r="AC350" s="2857"/>
      <c r="AD350" s="2857"/>
      <c r="AE350" s="2857"/>
      <c r="AF350" s="2857"/>
      <c r="AG350" s="2857"/>
      <c r="AH350" s="1942"/>
      <c r="AI350" s="1942"/>
      <c r="AJ350" s="1942"/>
      <c r="AK350" s="1942"/>
      <c r="AL350" s="1942"/>
      <c r="AM350" s="1942"/>
      <c r="AN350" s="1942"/>
      <c r="AO350" s="1942"/>
      <c r="AP350" s="1942"/>
      <c r="AQ350" s="1942"/>
      <c r="AR350" s="1942"/>
      <c r="AS350" s="1942"/>
      <c r="AT350" s="1942"/>
      <c r="AU350" s="1942"/>
      <c r="AV350" s="1942"/>
      <c r="AW350" s="1942"/>
      <c r="AX350" s="1942"/>
      <c r="AY350" s="1942"/>
      <c r="AZ350" s="1942"/>
      <c r="BA350" s="1942"/>
      <c r="BB350" s="575"/>
      <c r="BC350" s="584"/>
      <c r="BD350" s="678"/>
      <c r="BE350" s="585"/>
    </row>
    <row r="351" spans="1:57" s="51" customFormat="1" hidden="1" outlineLevel="1" x14ac:dyDescent="0.25">
      <c r="A351" s="1267"/>
      <c r="B351" s="228"/>
      <c r="C351" s="328"/>
      <c r="D351" s="3990"/>
      <c r="E351" s="4009"/>
      <c r="F351" s="3385" t="str">
        <f t="shared" si="55"/>
        <v>CAC-SEER14_ER2_MF</v>
      </c>
      <c r="G351" s="3386"/>
      <c r="H351" s="3387"/>
      <c r="I351" s="3155" t="str">
        <f t="shared" si="56"/>
        <v>350500_2021_12_</v>
      </c>
      <c r="J351" s="2857">
        <v>13</v>
      </c>
      <c r="K351" s="684"/>
      <c r="L351" s="2555" t="str">
        <f t="shared" si="58"/>
        <v>MO TRM</v>
      </c>
      <c r="M351" s="328"/>
      <c r="N351" s="1544"/>
      <c r="O351" s="328"/>
      <c r="P351" s="123"/>
      <c r="Q351" s="123"/>
      <c r="R351" s="123"/>
      <c r="S351" s="123"/>
      <c r="T351" s="123"/>
      <c r="U351" s="123"/>
      <c r="V351" s="3990"/>
      <c r="W351" s="2857">
        <v>13</v>
      </c>
      <c r="X351" s="2857">
        <v>13</v>
      </c>
      <c r="Y351" s="2857">
        <v>13</v>
      </c>
      <c r="Z351" s="2857">
        <v>13</v>
      </c>
      <c r="AA351" s="2857">
        <v>13</v>
      </c>
      <c r="AB351" s="699">
        <v>13</v>
      </c>
      <c r="AC351" s="2857">
        <v>13</v>
      </c>
      <c r="AD351" s="2857"/>
      <c r="AE351" s="2857"/>
      <c r="AF351" s="2857"/>
      <c r="AG351" s="2857"/>
      <c r="AH351" s="1942"/>
      <c r="AI351" s="1942"/>
      <c r="AJ351" s="1942"/>
      <c r="AK351" s="1942"/>
      <c r="AL351" s="1942"/>
      <c r="AM351" s="1942"/>
      <c r="AN351" s="1942"/>
      <c r="AO351" s="1942"/>
      <c r="AP351" s="1942"/>
      <c r="AQ351" s="1942"/>
      <c r="AR351" s="1942"/>
      <c r="AS351" s="1942"/>
      <c r="AT351" s="1942"/>
      <c r="AU351" s="1942"/>
      <c r="AV351" s="1942"/>
      <c r="AW351" s="1942"/>
      <c r="AX351" s="1942"/>
      <c r="AY351" s="1942"/>
      <c r="AZ351" s="1942"/>
      <c r="BA351" s="1942"/>
      <c r="BB351" s="575"/>
      <c r="BC351" s="584"/>
      <c r="BD351" s="678"/>
      <c r="BE351" s="585"/>
    </row>
    <row r="352" spans="1:57" s="51" customFormat="1" hidden="1" outlineLevel="1" x14ac:dyDescent="0.25">
      <c r="A352" s="1267"/>
      <c r="B352" s="228"/>
      <c r="C352" s="328"/>
      <c r="D352" s="3990"/>
      <c r="E352" s="4009"/>
      <c r="F352" s="3385" t="str">
        <f t="shared" si="55"/>
        <v>CAC-SEER14_ER1_MF_CompE</v>
      </c>
      <c r="G352" s="3386"/>
      <c r="H352" s="3387"/>
      <c r="I352" s="3155" t="str">
        <f t="shared" si="56"/>
        <v>350501_2021_12_</v>
      </c>
      <c r="J352" s="2857"/>
      <c r="K352" s="684"/>
      <c r="L352" s="2555"/>
      <c r="M352" s="328"/>
      <c r="N352" s="1544"/>
      <c r="O352" s="328"/>
      <c r="P352" s="123"/>
      <c r="Q352" s="123"/>
      <c r="R352" s="123"/>
      <c r="S352" s="123"/>
      <c r="T352" s="123"/>
      <c r="U352" s="123"/>
      <c r="V352" s="3990"/>
      <c r="W352" s="2857"/>
      <c r="X352" s="2857"/>
      <c r="Y352" s="2857"/>
      <c r="Z352" s="2857"/>
      <c r="AA352" s="2857"/>
      <c r="AB352" s="699"/>
      <c r="AC352" s="2857"/>
      <c r="AD352" s="2857"/>
      <c r="AE352" s="2857"/>
      <c r="AF352" s="2857"/>
      <c r="AG352" s="2857"/>
      <c r="AH352" s="1942"/>
      <c r="AI352" s="1942"/>
      <c r="AJ352" s="1942"/>
      <c r="AK352" s="1942"/>
      <c r="AL352" s="1942"/>
      <c r="AM352" s="1942"/>
      <c r="AN352" s="1942"/>
      <c r="AO352" s="1942"/>
      <c r="AP352" s="1942"/>
      <c r="AQ352" s="1942"/>
      <c r="AR352" s="1942"/>
      <c r="AS352" s="1942"/>
      <c r="AT352" s="1942"/>
      <c r="AU352" s="1942"/>
      <c r="AV352" s="1942"/>
      <c r="AW352" s="1942"/>
      <c r="AX352" s="1942"/>
      <c r="AY352" s="1942"/>
      <c r="AZ352" s="1942"/>
      <c r="BA352" s="1942"/>
      <c r="BB352" s="575"/>
      <c r="BC352" s="584"/>
      <c r="BD352" s="678"/>
      <c r="BE352" s="585"/>
    </row>
    <row r="353" spans="1:57" s="51" customFormat="1" hidden="1" outlineLevel="1" x14ac:dyDescent="0.25">
      <c r="A353" s="1267"/>
      <c r="B353" s="228"/>
      <c r="C353" s="328"/>
      <c r="D353" s="3990"/>
      <c r="E353" s="4009"/>
      <c r="F353" s="3385" t="str">
        <f t="shared" si="55"/>
        <v>CAC-SEER14_ER2_MF_CompE</v>
      </c>
      <c r="G353" s="3386"/>
      <c r="H353" s="3387"/>
      <c r="I353" s="3155" t="str">
        <f t="shared" si="56"/>
        <v>350501_2021_12_</v>
      </c>
      <c r="J353" s="2857">
        <v>13</v>
      </c>
      <c r="K353" s="684"/>
      <c r="L353" s="2555"/>
      <c r="M353" s="328"/>
      <c r="N353" s="1544"/>
      <c r="O353" s="328"/>
      <c r="P353" s="123"/>
      <c r="Q353" s="123"/>
      <c r="R353" s="123"/>
      <c r="S353" s="123"/>
      <c r="T353" s="123"/>
      <c r="U353" s="123"/>
      <c r="V353" s="3990"/>
      <c r="W353" s="2857"/>
      <c r="X353" s="2857"/>
      <c r="Y353" s="2857">
        <v>13</v>
      </c>
      <c r="Z353" s="2857">
        <v>13</v>
      </c>
      <c r="AA353" s="2857">
        <v>13</v>
      </c>
      <c r="AB353" s="699">
        <v>13</v>
      </c>
      <c r="AC353" s="2857">
        <v>13</v>
      </c>
      <c r="AD353" s="2857"/>
      <c r="AE353" s="2857"/>
      <c r="AF353" s="2857"/>
      <c r="AG353" s="2857"/>
      <c r="AH353" s="1942"/>
      <c r="AI353" s="1942"/>
      <c r="AJ353" s="1942"/>
      <c r="AK353" s="1942"/>
      <c r="AL353" s="1942"/>
      <c r="AM353" s="1942"/>
      <c r="AN353" s="1942"/>
      <c r="AO353" s="1942"/>
      <c r="AP353" s="1942"/>
      <c r="AQ353" s="1942"/>
      <c r="AR353" s="1942"/>
      <c r="AS353" s="1942"/>
      <c r="AT353" s="1942"/>
      <c r="AU353" s="1942"/>
      <c r="AV353" s="1942"/>
      <c r="AW353" s="1942"/>
      <c r="AX353" s="1942"/>
      <c r="AY353" s="1942"/>
      <c r="AZ353" s="1942"/>
      <c r="BA353" s="1942"/>
      <c r="BB353" s="575"/>
      <c r="BC353" s="584"/>
      <c r="BD353" s="678"/>
      <c r="BE353" s="585"/>
    </row>
    <row r="354" spans="1:57" s="51" customFormat="1" hidden="1" outlineLevel="1" x14ac:dyDescent="0.25">
      <c r="A354" s="1267"/>
      <c r="B354" s="228"/>
      <c r="C354" s="328"/>
      <c r="D354" s="3990"/>
      <c r="E354" s="4009"/>
      <c r="F354" s="3385" t="str">
        <f t="shared" si="55"/>
        <v>CAC-SEER14_ROF_MF</v>
      </c>
      <c r="G354" s="3386"/>
      <c r="H354" s="3387"/>
      <c r="I354" s="3155" t="str">
        <f t="shared" si="56"/>
        <v>350550_2021_12_</v>
      </c>
      <c r="J354" s="2857">
        <v>13</v>
      </c>
      <c r="K354" s="684"/>
      <c r="L354" s="2555" t="str">
        <f>L351</f>
        <v>MO TRM</v>
      </c>
      <c r="M354" s="328"/>
      <c r="N354" s="1544"/>
      <c r="O354" s="328"/>
      <c r="P354" s="123"/>
      <c r="Q354" s="123"/>
      <c r="R354" s="123"/>
      <c r="S354" s="123"/>
      <c r="T354" s="123"/>
      <c r="U354" s="123"/>
      <c r="V354" s="3990"/>
      <c r="W354" s="2857">
        <v>13</v>
      </c>
      <c r="X354" s="2857">
        <v>13</v>
      </c>
      <c r="Y354" s="2857">
        <v>13</v>
      </c>
      <c r="Z354" s="2857">
        <v>13</v>
      </c>
      <c r="AA354" s="2857">
        <v>13</v>
      </c>
      <c r="AB354" s="699">
        <v>13</v>
      </c>
      <c r="AC354" s="2857">
        <v>13</v>
      </c>
      <c r="AD354" s="2857"/>
      <c r="AE354" s="2857"/>
      <c r="AF354" s="2857"/>
      <c r="AG354" s="2857"/>
      <c r="AH354" s="1942"/>
      <c r="AI354" s="1942"/>
      <c r="AJ354" s="1942"/>
      <c r="AK354" s="1942"/>
      <c r="AL354" s="1942"/>
      <c r="AM354" s="1942"/>
      <c r="AN354" s="1942"/>
      <c r="AO354" s="1942"/>
      <c r="AP354" s="1942"/>
      <c r="AQ354" s="1942"/>
      <c r="AR354" s="1942"/>
      <c r="AS354" s="1942"/>
      <c r="AT354" s="1942"/>
      <c r="AU354" s="1942"/>
      <c r="AV354" s="1942"/>
      <c r="AW354" s="1942"/>
      <c r="AX354" s="1942"/>
      <c r="AY354" s="1942"/>
      <c r="AZ354" s="1942"/>
      <c r="BA354" s="1942"/>
      <c r="BB354" s="575"/>
      <c r="BC354" s="584"/>
      <c r="BD354" s="678"/>
      <c r="BE354" s="585"/>
    </row>
    <row r="355" spans="1:57" s="51" customFormat="1" hidden="1" outlineLevel="1" x14ac:dyDescent="0.25">
      <c r="A355" s="1267"/>
      <c r="B355" s="228"/>
      <c r="C355" s="328"/>
      <c r="D355" s="3990"/>
      <c r="E355" s="4009"/>
      <c r="F355" s="3385" t="str">
        <f t="shared" si="55"/>
        <v>CAC-SEER14_ROF_MF_CompE</v>
      </c>
      <c r="G355" s="3386"/>
      <c r="H355" s="3387"/>
      <c r="I355" s="3155" t="str">
        <f t="shared" si="56"/>
        <v>350551_2021_12_</v>
      </c>
      <c r="J355" s="2857">
        <v>13</v>
      </c>
      <c r="K355" s="684"/>
      <c r="L355" s="2555"/>
      <c r="M355" s="328"/>
      <c r="N355" s="1544"/>
      <c r="O355" s="328"/>
      <c r="P355" s="123"/>
      <c r="Q355" s="123"/>
      <c r="R355" s="123"/>
      <c r="S355" s="123"/>
      <c r="T355" s="123"/>
      <c r="U355" s="123"/>
      <c r="V355" s="3990"/>
      <c r="W355" s="2857"/>
      <c r="X355" s="2857"/>
      <c r="Y355" s="2857">
        <v>13</v>
      </c>
      <c r="Z355" s="2857">
        <v>13</v>
      </c>
      <c r="AA355" s="2857">
        <v>13</v>
      </c>
      <c r="AB355" s="699">
        <v>13</v>
      </c>
      <c r="AC355" s="2857">
        <v>13</v>
      </c>
      <c r="AD355" s="2857"/>
      <c r="AE355" s="2857"/>
      <c r="AF355" s="2857"/>
      <c r="AG355" s="2857"/>
      <c r="AH355" s="1942"/>
      <c r="AI355" s="1942"/>
      <c r="AJ355" s="1942"/>
      <c r="AK355" s="1942"/>
      <c r="AL355" s="1942"/>
      <c r="AM355" s="1942"/>
      <c r="AN355" s="1942"/>
      <c r="AO355" s="1942"/>
      <c r="AP355" s="1942"/>
      <c r="AQ355" s="1942"/>
      <c r="AR355" s="1942"/>
      <c r="AS355" s="1942"/>
      <c r="AT355" s="1942"/>
      <c r="AU355" s="1942"/>
      <c r="AV355" s="1942"/>
      <c r="AW355" s="1942"/>
      <c r="AX355" s="1942"/>
      <c r="AY355" s="1942"/>
      <c r="AZ355" s="1942"/>
      <c r="BA355" s="1942"/>
      <c r="BB355" s="575"/>
      <c r="BC355" s="584"/>
      <c r="BD355" s="678"/>
      <c r="BE355" s="585"/>
    </row>
    <row r="356" spans="1:57" s="51" customFormat="1" hidden="1" outlineLevel="1" x14ac:dyDescent="0.25">
      <c r="A356" s="1267"/>
      <c r="B356" s="228"/>
      <c r="C356" s="328"/>
      <c r="D356" s="3990"/>
      <c r="E356" s="4009"/>
      <c r="F356" s="3385" t="str">
        <f t="shared" si="55"/>
        <v>CAC-SEER15_ER1_SF</v>
      </c>
      <c r="G356" s="3386"/>
      <c r="H356" s="3387"/>
      <c r="I356" s="3155" t="str">
        <f t="shared" si="56"/>
        <v>350600_2021_12_</v>
      </c>
      <c r="J356" s="2857"/>
      <c r="K356" s="684"/>
      <c r="L356" s="2555" t="str">
        <f>L354</f>
        <v>MO TRM</v>
      </c>
      <c r="M356" s="328"/>
      <c r="N356" s="1544"/>
      <c r="O356" s="328"/>
      <c r="P356" s="123"/>
      <c r="Q356" s="123"/>
      <c r="R356" s="123"/>
      <c r="S356" s="123"/>
      <c r="T356" s="123"/>
      <c r="U356" s="123"/>
      <c r="V356" s="3990"/>
      <c r="W356" s="2857">
        <v>10</v>
      </c>
      <c r="X356" s="3155"/>
      <c r="Y356" s="3155"/>
      <c r="Z356" s="3155"/>
      <c r="AA356" s="2857"/>
      <c r="AB356" s="699"/>
      <c r="AC356" s="2857"/>
      <c r="AD356" s="2857"/>
      <c r="AE356" s="2857"/>
      <c r="AF356" s="2857"/>
      <c r="AG356" s="2857"/>
      <c r="AH356" s="1942"/>
      <c r="AI356" s="1942"/>
      <c r="AJ356" s="1942"/>
      <c r="AK356" s="1942"/>
      <c r="AL356" s="1942"/>
      <c r="AM356" s="1942"/>
      <c r="AN356" s="1942"/>
      <c r="AO356" s="1942"/>
      <c r="AP356" s="1942"/>
      <c r="AQ356" s="1942"/>
      <c r="AR356" s="1942"/>
      <c r="AS356" s="1942"/>
      <c r="AT356" s="1942"/>
      <c r="AU356" s="1942"/>
      <c r="AV356" s="1942"/>
      <c r="AW356" s="1942"/>
      <c r="AX356" s="1942"/>
      <c r="AY356" s="1942"/>
      <c r="AZ356" s="1942"/>
      <c r="BA356" s="1942"/>
      <c r="BB356" s="575"/>
      <c r="BC356" s="584"/>
      <c r="BD356" s="678"/>
      <c r="BE356" s="585"/>
    </row>
    <row r="357" spans="1:57" s="51" customFormat="1" hidden="1" outlineLevel="1" x14ac:dyDescent="0.25">
      <c r="A357" s="1267"/>
      <c r="B357" s="228"/>
      <c r="C357" s="328"/>
      <c r="D357" s="3990"/>
      <c r="E357" s="4009"/>
      <c r="F357" s="3385" t="str">
        <f t="shared" si="55"/>
        <v>CAC-SEER15_ER2_SF</v>
      </c>
      <c r="G357" s="3386"/>
      <c r="H357" s="3387"/>
      <c r="I357" s="3155" t="str">
        <f t="shared" si="56"/>
        <v>350600_2021_12_</v>
      </c>
      <c r="J357" s="2857">
        <v>13</v>
      </c>
      <c r="K357" s="684"/>
      <c r="L357" s="2555" t="str">
        <f t="shared" si="58"/>
        <v>MO TRM</v>
      </c>
      <c r="M357" s="328"/>
      <c r="N357" s="1544"/>
      <c r="O357" s="328"/>
      <c r="P357" s="123"/>
      <c r="Q357" s="123"/>
      <c r="R357" s="123"/>
      <c r="S357" s="123"/>
      <c r="T357" s="123"/>
      <c r="U357" s="123"/>
      <c r="V357" s="3990"/>
      <c r="W357" s="2857">
        <v>13</v>
      </c>
      <c r="X357" s="2857">
        <v>13</v>
      </c>
      <c r="Y357" s="2857">
        <v>13</v>
      </c>
      <c r="Z357" s="2857">
        <v>13</v>
      </c>
      <c r="AA357" s="2857">
        <v>13</v>
      </c>
      <c r="AB357" s="699">
        <v>13</v>
      </c>
      <c r="AC357" s="2857">
        <v>13</v>
      </c>
      <c r="AD357" s="2857"/>
      <c r="AE357" s="2857"/>
      <c r="AF357" s="2857"/>
      <c r="AG357" s="2857"/>
      <c r="AH357" s="1942"/>
      <c r="AI357" s="1942"/>
      <c r="AJ357" s="1942"/>
      <c r="AK357" s="1942"/>
      <c r="AL357" s="1942"/>
      <c r="AM357" s="1942"/>
      <c r="AN357" s="1942"/>
      <c r="AO357" s="1942"/>
      <c r="AP357" s="1942"/>
      <c r="AQ357" s="1942"/>
      <c r="AR357" s="1942"/>
      <c r="AS357" s="1942"/>
      <c r="AT357" s="1942"/>
      <c r="AU357" s="1942"/>
      <c r="AV357" s="1942"/>
      <c r="AW357" s="1942"/>
      <c r="AX357" s="1942"/>
      <c r="AY357" s="1942"/>
      <c r="AZ357" s="1942"/>
      <c r="BA357" s="1942"/>
      <c r="BB357" s="575"/>
      <c r="BC357" s="584"/>
      <c r="BD357" s="678"/>
      <c r="BE357" s="585"/>
    </row>
    <row r="358" spans="1:57" s="51" customFormat="1" hidden="1" outlineLevel="1" x14ac:dyDescent="0.25">
      <c r="A358" s="1267"/>
      <c r="B358" s="228"/>
      <c r="C358" s="328"/>
      <c r="D358" s="3990"/>
      <c r="E358" s="4009"/>
      <c r="F358" s="3385" t="str">
        <f t="shared" si="55"/>
        <v>CAC-SEER15_ROF_SF</v>
      </c>
      <c r="G358" s="3386"/>
      <c r="H358" s="3387"/>
      <c r="I358" s="3155" t="str">
        <f t="shared" si="56"/>
        <v>350650_2021_12_</v>
      </c>
      <c r="J358" s="2857">
        <v>13</v>
      </c>
      <c r="K358" s="684"/>
      <c r="L358" s="2555" t="str">
        <f t="shared" si="58"/>
        <v>MO TRM</v>
      </c>
      <c r="M358" s="328"/>
      <c r="N358" s="1544"/>
      <c r="O358" s="328"/>
      <c r="P358" s="123"/>
      <c r="Q358" s="123"/>
      <c r="R358" s="123"/>
      <c r="S358" s="123"/>
      <c r="T358" s="123"/>
      <c r="U358" s="123"/>
      <c r="V358" s="3990"/>
      <c r="W358" s="2857">
        <v>13</v>
      </c>
      <c r="X358" s="2857">
        <v>13</v>
      </c>
      <c r="Y358" s="2857">
        <v>13</v>
      </c>
      <c r="Z358" s="2857">
        <v>13</v>
      </c>
      <c r="AA358" s="2857">
        <v>13</v>
      </c>
      <c r="AB358" s="699">
        <v>13</v>
      </c>
      <c r="AC358" s="2857">
        <v>13</v>
      </c>
      <c r="AD358" s="2857"/>
      <c r="AE358" s="2857"/>
      <c r="AF358" s="2857"/>
      <c r="AG358" s="2857"/>
      <c r="AH358" s="1942"/>
      <c r="AI358" s="1942"/>
      <c r="AJ358" s="1942"/>
      <c r="AK358" s="1942"/>
      <c r="AL358" s="1942"/>
      <c r="AM358" s="1942"/>
      <c r="AN358" s="1942"/>
      <c r="AO358" s="1942"/>
      <c r="AP358" s="1942"/>
      <c r="AQ358" s="1942"/>
      <c r="AR358" s="1942"/>
      <c r="AS358" s="1942"/>
      <c r="AT358" s="1942"/>
      <c r="AU358" s="1942"/>
      <c r="AV358" s="1942"/>
      <c r="AW358" s="1942"/>
      <c r="AX358" s="1942"/>
      <c r="AY358" s="1942"/>
      <c r="AZ358" s="1942"/>
      <c r="BA358" s="1942"/>
      <c r="BB358" s="575"/>
      <c r="BC358" s="584"/>
      <c r="BD358" s="678"/>
      <c r="BE358" s="585"/>
    </row>
    <row r="359" spans="1:57" s="51" customFormat="1" hidden="1" outlineLevel="1" x14ac:dyDescent="0.25">
      <c r="A359" s="1267"/>
      <c r="B359" s="228"/>
      <c r="C359" s="328"/>
      <c r="D359" s="3990"/>
      <c r="E359" s="4009"/>
      <c r="F359" s="3385" t="str">
        <f t="shared" si="55"/>
        <v>CAC-SEER15_ER1_MF</v>
      </c>
      <c r="G359" s="3386"/>
      <c r="H359" s="3387"/>
      <c r="I359" s="3155" t="str">
        <f t="shared" si="56"/>
        <v>350700_2021_12_</v>
      </c>
      <c r="J359" s="2857"/>
      <c r="K359" s="684"/>
      <c r="L359" s="2555" t="str">
        <f t="shared" si="58"/>
        <v>MO TRM</v>
      </c>
      <c r="M359" s="328"/>
      <c r="N359" s="1544"/>
      <c r="O359" s="328"/>
      <c r="P359" s="123"/>
      <c r="Q359" s="123"/>
      <c r="R359" s="123"/>
      <c r="S359" s="123"/>
      <c r="T359" s="123"/>
      <c r="U359" s="123"/>
      <c r="V359" s="3990"/>
      <c r="W359" s="2857">
        <v>10</v>
      </c>
      <c r="X359" s="3155"/>
      <c r="Y359" s="3155"/>
      <c r="Z359" s="3155"/>
      <c r="AA359" s="2857"/>
      <c r="AB359" s="699"/>
      <c r="AC359" s="2857"/>
      <c r="AD359" s="2857"/>
      <c r="AE359" s="2857"/>
      <c r="AF359" s="2857"/>
      <c r="AG359" s="2857"/>
      <c r="AH359" s="1942"/>
      <c r="AI359" s="1942"/>
      <c r="AJ359" s="1942"/>
      <c r="AK359" s="1942"/>
      <c r="AL359" s="1942"/>
      <c r="AM359" s="1942"/>
      <c r="AN359" s="1942"/>
      <c r="AO359" s="1942"/>
      <c r="AP359" s="1942"/>
      <c r="AQ359" s="1942"/>
      <c r="AR359" s="1942"/>
      <c r="AS359" s="1942"/>
      <c r="AT359" s="1942"/>
      <c r="AU359" s="1942"/>
      <c r="AV359" s="1942"/>
      <c r="AW359" s="1942"/>
      <c r="AX359" s="1942"/>
      <c r="AY359" s="1942"/>
      <c r="AZ359" s="1942"/>
      <c r="BA359" s="1942"/>
      <c r="BB359" s="575"/>
      <c r="BC359" s="584"/>
      <c r="BD359" s="678"/>
      <c r="BE359" s="585"/>
    </row>
    <row r="360" spans="1:57" s="51" customFormat="1" hidden="1" outlineLevel="1" x14ac:dyDescent="0.25">
      <c r="A360" s="1267"/>
      <c r="B360" s="228"/>
      <c r="C360" s="328"/>
      <c r="D360" s="3990"/>
      <c r="E360" s="4009"/>
      <c r="F360" s="3385" t="str">
        <f t="shared" si="55"/>
        <v>CAC-SEER15_ER2_MF</v>
      </c>
      <c r="G360" s="3386"/>
      <c r="H360" s="3387"/>
      <c r="I360" s="3155" t="str">
        <f t="shared" si="56"/>
        <v>350700_2021_12_</v>
      </c>
      <c r="J360" s="2857">
        <v>13</v>
      </c>
      <c r="K360" s="684"/>
      <c r="L360" s="2555" t="str">
        <f t="shared" si="58"/>
        <v>MO TRM</v>
      </c>
      <c r="M360" s="328"/>
      <c r="N360" s="1544"/>
      <c r="O360" s="328"/>
      <c r="P360" s="123"/>
      <c r="Q360" s="123"/>
      <c r="R360" s="123"/>
      <c r="S360" s="123"/>
      <c r="T360" s="123"/>
      <c r="U360" s="123"/>
      <c r="V360" s="3990"/>
      <c r="W360" s="2857">
        <v>13</v>
      </c>
      <c r="X360" s="2857">
        <v>13</v>
      </c>
      <c r="Y360" s="2857">
        <v>13</v>
      </c>
      <c r="Z360" s="2857">
        <v>13</v>
      </c>
      <c r="AA360" s="2857">
        <v>13</v>
      </c>
      <c r="AB360" s="699">
        <v>13</v>
      </c>
      <c r="AC360" s="2857">
        <v>13</v>
      </c>
      <c r="AD360" s="2857"/>
      <c r="AE360" s="2857"/>
      <c r="AF360" s="2857"/>
      <c r="AG360" s="2857"/>
      <c r="AH360" s="1942"/>
      <c r="AI360" s="1942"/>
      <c r="AJ360" s="1942"/>
      <c r="AK360" s="1942"/>
      <c r="AL360" s="1942"/>
      <c r="AM360" s="1942"/>
      <c r="AN360" s="1942"/>
      <c r="AO360" s="1942"/>
      <c r="AP360" s="1942"/>
      <c r="AQ360" s="1942"/>
      <c r="AR360" s="1942"/>
      <c r="AS360" s="1942"/>
      <c r="AT360" s="1942"/>
      <c r="AU360" s="1942"/>
      <c r="AV360" s="1942"/>
      <c r="AW360" s="1942"/>
      <c r="AX360" s="1942"/>
      <c r="AY360" s="1942"/>
      <c r="AZ360" s="1942"/>
      <c r="BA360" s="1942"/>
      <c r="BB360" s="575"/>
      <c r="BC360" s="584"/>
      <c r="BD360" s="678"/>
      <c r="BE360" s="585"/>
    </row>
    <row r="361" spans="1:57" s="51" customFormat="1" hidden="1" outlineLevel="1" x14ac:dyDescent="0.25">
      <c r="A361" s="1267"/>
      <c r="B361" s="228"/>
      <c r="C361" s="328"/>
      <c r="D361" s="3990"/>
      <c r="E361" s="4009"/>
      <c r="F361" s="3385" t="str">
        <f t="shared" si="55"/>
        <v>CAC-SEER15_ER1_MF_CompE</v>
      </c>
      <c r="G361" s="3386"/>
      <c r="H361" s="3387"/>
      <c r="I361" s="3155" t="str">
        <f t="shared" si="56"/>
        <v>350701_2021_12_</v>
      </c>
      <c r="J361" s="2857"/>
      <c r="K361" s="684"/>
      <c r="L361" s="2555"/>
      <c r="M361" s="328"/>
      <c r="N361" s="1544"/>
      <c r="O361" s="328"/>
      <c r="P361" s="123"/>
      <c r="Q361" s="123"/>
      <c r="R361" s="123"/>
      <c r="S361" s="123"/>
      <c r="T361" s="123"/>
      <c r="U361" s="123"/>
      <c r="V361" s="3990"/>
      <c r="W361" s="2857"/>
      <c r="X361" s="2857"/>
      <c r="Y361" s="2857"/>
      <c r="Z361" s="2857"/>
      <c r="AA361" s="2857"/>
      <c r="AB361" s="699"/>
      <c r="AC361" s="2857"/>
      <c r="AD361" s="2857"/>
      <c r="AE361" s="2857"/>
      <c r="AF361" s="2857"/>
      <c r="AG361" s="2857"/>
      <c r="AH361" s="1942"/>
      <c r="AI361" s="1942"/>
      <c r="AJ361" s="1942"/>
      <c r="AK361" s="1942"/>
      <c r="AL361" s="1942"/>
      <c r="AM361" s="1942"/>
      <c r="AN361" s="1942"/>
      <c r="AO361" s="1942"/>
      <c r="AP361" s="1942"/>
      <c r="AQ361" s="1942"/>
      <c r="AR361" s="1942"/>
      <c r="AS361" s="1942"/>
      <c r="AT361" s="1942"/>
      <c r="AU361" s="1942"/>
      <c r="AV361" s="1942"/>
      <c r="AW361" s="1942"/>
      <c r="AX361" s="1942"/>
      <c r="AY361" s="1942"/>
      <c r="AZ361" s="1942"/>
      <c r="BA361" s="1942"/>
      <c r="BB361" s="575"/>
      <c r="BC361" s="584"/>
      <c r="BD361" s="678"/>
      <c r="BE361" s="585"/>
    </row>
    <row r="362" spans="1:57" s="51" customFormat="1" hidden="1" outlineLevel="1" x14ac:dyDescent="0.25">
      <c r="A362" s="1267"/>
      <c r="B362" s="228"/>
      <c r="C362" s="328"/>
      <c r="D362" s="3990"/>
      <c r="E362" s="4009"/>
      <c r="F362" s="3385" t="str">
        <f t="shared" si="55"/>
        <v>CAC-SEER15_ER2_MF_CompE</v>
      </c>
      <c r="G362" s="3386"/>
      <c r="H362" s="3387"/>
      <c r="I362" s="3155" t="str">
        <f t="shared" si="56"/>
        <v>350701_2021_12_</v>
      </c>
      <c r="J362" s="2857">
        <v>13</v>
      </c>
      <c r="K362" s="684"/>
      <c r="L362" s="2555"/>
      <c r="M362" s="328"/>
      <c r="N362" s="1544"/>
      <c r="O362" s="328"/>
      <c r="P362" s="123"/>
      <c r="Q362" s="123"/>
      <c r="R362" s="123"/>
      <c r="S362" s="123"/>
      <c r="T362" s="123"/>
      <c r="U362" s="123"/>
      <c r="V362" s="3990"/>
      <c r="W362" s="2857"/>
      <c r="X362" s="2857"/>
      <c r="Y362" s="2857">
        <v>13</v>
      </c>
      <c r="Z362" s="2857">
        <v>13</v>
      </c>
      <c r="AA362" s="2857">
        <v>13</v>
      </c>
      <c r="AB362" s="699">
        <v>13</v>
      </c>
      <c r="AC362" s="2857">
        <v>13</v>
      </c>
      <c r="AD362" s="2857"/>
      <c r="AE362" s="2857"/>
      <c r="AF362" s="2857"/>
      <c r="AG362" s="2857"/>
      <c r="AH362" s="1942"/>
      <c r="AI362" s="1942"/>
      <c r="AJ362" s="1942"/>
      <c r="AK362" s="1942"/>
      <c r="AL362" s="1942"/>
      <c r="AM362" s="1942"/>
      <c r="AN362" s="1942"/>
      <c r="AO362" s="1942"/>
      <c r="AP362" s="1942"/>
      <c r="AQ362" s="1942"/>
      <c r="AR362" s="1942"/>
      <c r="AS362" s="1942"/>
      <c r="AT362" s="1942"/>
      <c r="AU362" s="1942"/>
      <c r="AV362" s="1942"/>
      <c r="AW362" s="1942"/>
      <c r="AX362" s="1942"/>
      <c r="AY362" s="1942"/>
      <c r="AZ362" s="1942"/>
      <c r="BA362" s="1942"/>
      <c r="BB362" s="575"/>
      <c r="BC362" s="584"/>
      <c r="BD362" s="678"/>
      <c r="BE362" s="585"/>
    </row>
    <row r="363" spans="1:57" s="51" customFormat="1" hidden="1" outlineLevel="1" x14ac:dyDescent="0.25">
      <c r="A363" s="1267"/>
      <c r="B363" s="228"/>
      <c r="C363" s="328"/>
      <c r="D363" s="3990"/>
      <c r="E363" s="4009"/>
      <c r="F363" s="3385" t="str">
        <f t="shared" si="55"/>
        <v>CAC-SEER15_ROF_MF</v>
      </c>
      <c r="G363" s="3386"/>
      <c r="H363" s="3387"/>
      <c r="I363" s="3155" t="str">
        <f t="shared" si="56"/>
        <v>350750_2021_12_</v>
      </c>
      <c r="J363" s="2857">
        <v>13</v>
      </c>
      <c r="K363" s="684"/>
      <c r="L363" s="2555" t="str">
        <f>L360</f>
        <v>MO TRM</v>
      </c>
      <c r="M363" s="328"/>
      <c r="N363" s="1544"/>
      <c r="O363" s="328"/>
      <c r="P363" s="123"/>
      <c r="Q363" s="123"/>
      <c r="R363" s="123"/>
      <c r="S363" s="123"/>
      <c r="T363" s="123"/>
      <c r="U363" s="123"/>
      <c r="V363" s="3990"/>
      <c r="W363" s="2857">
        <v>13</v>
      </c>
      <c r="X363" s="2857">
        <v>13</v>
      </c>
      <c r="Y363" s="2857">
        <v>13</v>
      </c>
      <c r="Z363" s="2857">
        <v>13</v>
      </c>
      <c r="AA363" s="2857">
        <v>13</v>
      </c>
      <c r="AB363" s="699">
        <v>13</v>
      </c>
      <c r="AC363" s="2857">
        <v>13</v>
      </c>
      <c r="AD363" s="2857"/>
      <c r="AE363" s="2857"/>
      <c r="AF363" s="2857"/>
      <c r="AG363" s="2857"/>
      <c r="AH363" s="1942"/>
      <c r="AI363" s="1942"/>
      <c r="AJ363" s="1942"/>
      <c r="AK363" s="1942"/>
      <c r="AL363" s="1942"/>
      <c r="AM363" s="1942"/>
      <c r="AN363" s="1942"/>
      <c r="AO363" s="1942"/>
      <c r="AP363" s="1942"/>
      <c r="AQ363" s="1942"/>
      <c r="AR363" s="1942"/>
      <c r="AS363" s="1942"/>
      <c r="AT363" s="1942"/>
      <c r="AU363" s="1942"/>
      <c r="AV363" s="1942"/>
      <c r="AW363" s="1942"/>
      <c r="AX363" s="1942"/>
      <c r="AY363" s="1942"/>
      <c r="AZ363" s="1942"/>
      <c r="BA363" s="1942"/>
      <c r="BB363" s="575"/>
      <c r="BC363" s="584"/>
      <c r="BD363" s="678"/>
      <c r="BE363" s="585"/>
    </row>
    <row r="364" spans="1:57" s="51" customFormat="1" hidden="1" outlineLevel="1" x14ac:dyDescent="0.25">
      <c r="A364" s="1267"/>
      <c r="B364" s="228"/>
      <c r="C364" s="328"/>
      <c r="D364" s="3990"/>
      <c r="E364" s="4009"/>
      <c r="F364" s="3385" t="str">
        <f t="shared" si="55"/>
        <v>CAC-SEER15_ROF_MF_CompE</v>
      </c>
      <c r="G364" s="3386"/>
      <c r="H364" s="3387"/>
      <c r="I364" s="3155" t="str">
        <f t="shared" si="56"/>
        <v>350751_2021_12_</v>
      </c>
      <c r="J364" s="2857">
        <v>13</v>
      </c>
      <c r="K364" s="684"/>
      <c r="L364" s="2555"/>
      <c r="M364" s="328"/>
      <c r="N364" s="1544"/>
      <c r="O364" s="328"/>
      <c r="P364" s="123"/>
      <c r="Q364" s="123"/>
      <c r="R364" s="123"/>
      <c r="S364" s="123"/>
      <c r="T364" s="123"/>
      <c r="U364" s="123"/>
      <c r="V364" s="3990"/>
      <c r="W364" s="2857"/>
      <c r="X364" s="2857"/>
      <c r="Y364" s="2857">
        <v>13</v>
      </c>
      <c r="Z364" s="2857">
        <v>13</v>
      </c>
      <c r="AA364" s="2857">
        <v>13</v>
      </c>
      <c r="AB364" s="699">
        <v>13</v>
      </c>
      <c r="AC364" s="2857">
        <v>13</v>
      </c>
      <c r="AD364" s="2857"/>
      <c r="AE364" s="2857"/>
      <c r="AF364" s="2857"/>
      <c r="AG364" s="2857"/>
      <c r="AH364" s="1942"/>
      <c r="AI364" s="1942"/>
      <c r="AJ364" s="1942"/>
      <c r="AK364" s="1942"/>
      <c r="AL364" s="1942"/>
      <c r="AM364" s="1942"/>
      <c r="AN364" s="1942"/>
      <c r="AO364" s="1942"/>
      <c r="AP364" s="1942"/>
      <c r="AQ364" s="1942"/>
      <c r="AR364" s="1942"/>
      <c r="AS364" s="1942"/>
      <c r="AT364" s="1942"/>
      <c r="AU364" s="1942"/>
      <c r="AV364" s="1942"/>
      <c r="AW364" s="1942"/>
      <c r="AX364" s="1942"/>
      <c r="AY364" s="1942"/>
      <c r="AZ364" s="1942"/>
      <c r="BA364" s="1942"/>
      <c r="BB364" s="575"/>
      <c r="BC364" s="584"/>
      <c r="BD364" s="678"/>
      <c r="BE364" s="585"/>
    </row>
    <row r="365" spans="1:57" s="51" customFormat="1" hidden="1" outlineLevel="1" x14ac:dyDescent="0.25">
      <c r="A365" s="1267"/>
      <c r="B365" s="228"/>
      <c r="C365" s="328"/>
      <c r="D365" s="3990"/>
      <c r="E365" s="4009"/>
      <c r="F365" s="3385" t="str">
        <f t="shared" si="55"/>
        <v>CAC-SEER16_ER1_SF</v>
      </c>
      <c r="G365" s="3386"/>
      <c r="H365" s="3387"/>
      <c r="I365" s="3155" t="str">
        <f t="shared" si="56"/>
        <v>350800_2021_12_</v>
      </c>
      <c r="J365" s="2857"/>
      <c r="K365" s="684"/>
      <c r="L365" s="2555" t="str">
        <f>L363</f>
        <v>MO TRM</v>
      </c>
      <c r="M365" s="328"/>
      <c r="N365" s="1544"/>
      <c r="O365" s="328"/>
      <c r="P365" s="123"/>
      <c r="Q365" s="123"/>
      <c r="R365" s="123"/>
      <c r="S365" s="123"/>
      <c r="T365" s="123"/>
      <c r="U365" s="123"/>
      <c r="V365" s="3990"/>
      <c r="W365" s="2857">
        <v>10</v>
      </c>
      <c r="X365" s="3155"/>
      <c r="Y365" s="3155"/>
      <c r="Z365" s="3155"/>
      <c r="AA365" s="2857"/>
      <c r="AB365" s="699"/>
      <c r="AC365" s="2857"/>
      <c r="AD365" s="2857"/>
      <c r="AE365" s="2857"/>
      <c r="AF365" s="2857"/>
      <c r="AG365" s="2857"/>
      <c r="AH365" s="1942"/>
      <c r="AI365" s="1942"/>
      <c r="AJ365" s="1942"/>
      <c r="AK365" s="1942"/>
      <c r="AL365" s="1942"/>
      <c r="AM365" s="1942"/>
      <c r="AN365" s="1942"/>
      <c r="AO365" s="1942"/>
      <c r="AP365" s="1942"/>
      <c r="AQ365" s="1942"/>
      <c r="AR365" s="1942"/>
      <c r="AS365" s="1942"/>
      <c r="AT365" s="1942"/>
      <c r="AU365" s="1942"/>
      <c r="AV365" s="1942"/>
      <c r="AW365" s="1942"/>
      <c r="AX365" s="1942"/>
      <c r="AY365" s="1942"/>
      <c r="AZ365" s="1942"/>
      <c r="BA365" s="1942"/>
      <c r="BB365" s="575"/>
      <c r="BC365" s="584"/>
      <c r="BD365" s="678"/>
      <c r="BE365" s="585"/>
    </row>
    <row r="366" spans="1:57" s="51" customFormat="1" hidden="1" outlineLevel="1" x14ac:dyDescent="0.25">
      <c r="A366" s="1267"/>
      <c r="B366" s="228"/>
      <c r="C366" s="328"/>
      <c r="D366" s="3990"/>
      <c r="E366" s="4009"/>
      <c r="F366" s="3385" t="str">
        <f t="shared" si="55"/>
        <v>CAC-SEER16_ER2_SF</v>
      </c>
      <c r="G366" s="3386"/>
      <c r="H366" s="3387"/>
      <c r="I366" s="3155" t="str">
        <f t="shared" si="56"/>
        <v>350800_2021_12_</v>
      </c>
      <c r="J366" s="2857">
        <v>13</v>
      </c>
      <c r="K366" s="684"/>
      <c r="L366" s="2555" t="str">
        <f t="shared" si="58"/>
        <v>MO TRM</v>
      </c>
      <c r="M366" s="328"/>
      <c r="N366" s="1544"/>
      <c r="O366" s="328"/>
      <c r="P366" s="123"/>
      <c r="Q366" s="123"/>
      <c r="R366" s="123"/>
      <c r="S366" s="123"/>
      <c r="T366" s="123"/>
      <c r="U366" s="123"/>
      <c r="V366" s="3990"/>
      <c r="W366" s="2857">
        <v>13</v>
      </c>
      <c r="X366" s="2857">
        <v>13</v>
      </c>
      <c r="Y366" s="2857">
        <v>13</v>
      </c>
      <c r="Z366" s="2857">
        <v>13</v>
      </c>
      <c r="AA366" s="2857">
        <v>13</v>
      </c>
      <c r="AB366" s="699">
        <v>13</v>
      </c>
      <c r="AC366" s="2857">
        <v>13</v>
      </c>
      <c r="AD366" s="2857"/>
      <c r="AE366" s="2857"/>
      <c r="AF366" s="2857"/>
      <c r="AG366" s="2857"/>
      <c r="AH366" s="1942"/>
      <c r="AI366" s="1942"/>
      <c r="AJ366" s="1942"/>
      <c r="AK366" s="1942"/>
      <c r="AL366" s="1942"/>
      <c r="AM366" s="1942"/>
      <c r="AN366" s="1942"/>
      <c r="AO366" s="1942"/>
      <c r="AP366" s="1942"/>
      <c r="AQ366" s="1942"/>
      <c r="AR366" s="1942"/>
      <c r="AS366" s="1942"/>
      <c r="AT366" s="1942"/>
      <c r="AU366" s="1942"/>
      <c r="AV366" s="1942"/>
      <c r="AW366" s="1942"/>
      <c r="AX366" s="1942"/>
      <c r="AY366" s="1942"/>
      <c r="AZ366" s="1942"/>
      <c r="BA366" s="1942"/>
      <c r="BB366" s="575"/>
      <c r="BC366" s="584"/>
      <c r="BD366" s="678"/>
      <c r="BE366" s="585"/>
    </row>
    <row r="367" spans="1:57" s="51" customFormat="1" hidden="1" outlineLevel="1" x14ac:dyDescent="0.25">
      <c r="A367" s="1267"/>
      <c r="B367" s="228"/>
      <c r="C367" s="328"/>
      <c r="D367" s="3990"/>
      <c r="E367" s="4009"/>
      <c r="F367" s="3385" t="str">
        <f t="shared" si="55"/>
        <v>CAC-SEER16_ROF_SF</v>
      </c>
      <c r="G367" s="3386"/>
      <c r="H367" s="3387"/>
      <c r="I367" s="3155" t="str">
        <f t="shared" si="56"/>
        <v>350850_2021_12_</v>
      </c>
      <c r="J367" s="2857">
        <v>13</v>
      </c>
      <c r="K367" s="684"/>
      <c r="L367" s="2555" t="str">
        <f t="shared" si="58"/>
        <v>MO TRM</v>
      </c>
      <c r="M367" s="328"/>
      <c r="N367" s="1544"/>
      <c r="O367" s="328"/>
      <c r="P367" s="123"/>
      <c r="Q367" s="123"/>
      <c r="R367" s="123"/>
      <c r="S367" s="123"/>
      <c r="T367" s="123"/>
      <c r="U367" s="123"/>
      <c r="V367" s="3990"/>
      <c r="W367" s="2857">
        <v>13</v>
      </c>
      <c r="X367" s="2857">
        <v>13</v>
      </c>
      <c r="Y367" s="2857">
        <v>13</v>
      </c>
      <c r="Z367" s="2857">
        <v>13</v>
      </c>
      <c r="AA367" s="2857">
        <v>13</v>
      </c>
      <c r="AB367" s="699">
        <v>13</v>
      </c>
      <c r="AC367" s="2857">
        <v>13</v>
      </c>
      <c r="AD367" s="2857"/>
      <c r="AE367" s="2857"/>
      <c r="AF367" s="2857"/>
      <c r="AG367" s="2857"/>
      <c r="AH367" s="1942"/>
      <c r="AI367" s="1942"/>
      <c r="AJ367" s="1942"/>
      <c r="AK367" s="1942"/>
      <c r="AL367" s="1942"/>
      <c r="AM367" s="1942"/>
      <c r="AN367" s="1942"/>
      <c r="AO367" s="1942"/>
      <c r="AP367" s="1942"/>
      <c r="AQ367" s="1942"/>
      <c r="AR367" s="1942"/>
      <c r="AS367" s="1942"/>
      <c r="AT367" s="1942"/>
      <c r="AU367" s="1942"/>
      <c r="AV367" s="1942"/>
      <c r="AW367" s="1942"/>
      <c r="AX367" s="1942"/>
      <c r="AY367" s="1942"/>
      <c r="AZ367" s="1942"/>
      <c r="BA367" s="1942"/>
      <c r="BB367" s="575"/>
      <c r="BC367" s="584"/>
      <c r="BD367" s="678"/>
      <c r="BE367" s="585"/>
    </row>
    <row r="368" spans="1:57" s="51" customFormat="1" hidden="1" outlineLevel="1" x14ac:dyDescent="0.25">
      <c r="A368" s="1267"/>
      <c r="B368" s="228"/>
      <c r="C368" s="328"/>
      <c r="D368" s="3990"/>
      <c r="E368" s="4009"/>
      <c r="F368" s="3385" t="str">
        <f t="shared" si="55"/>
        <v>CAC-SEER16_ER1_MF</v>
      </c>
      <c r="G368" s="3386"/>
      <c r="H368" s="3387"/>
      <c r="I368" s="3155" t="str">
        <f t="shared" si="56"/>
        <v>350900_2021_12_</v>
      </c>
      <c r="J368" s="2857"/>
      <c r="K368" s="684"/>
      <c r="L368" s="2555" t="str">
        <f t="shared" si="58"/>
        <v>MO TRM</v>
      </c>
      <c r="M368" s="328"/>
      <c r="N368" s="1544"/>
      <c r="O368" s="328"/>
      <c r="P368" s="123"/>
      <c r="Q368" s="123"/>
      <c r="R368" s="123"/>
      <c r="S368" s="123"/>
      <c r="T368" s="123"/>
      <c r="U368" s="123"/>
      <c r="V368" s="3990"/>
      <c r="W368" s="2857">
        <v>10</v>
      </c>
      <c r="X368" s="3155"/>
      <c r="Y368" s="3155"/>
      <c r="Z368" s="3155"/>
      <c r="AA368" s="2857"/>
      <c r="AB368" s="699"/>
      <c r="AC368" s="2857"/>
      <c r="AD368" s="2857"/>
      <c r="AE368" s="2857"/>
      <c r="AF368" s="2857"/>
      <c r="AG368" s="2857"/>
      <c r="AH368" s="1942"/>
      <c r="AI368" s="1942"/>
      <c r="AJ368" s="1942"/>
      <c r="AK368" s="1942"/>
      <c r="AL368" s="1942"/>
      <c r="AM368" s="1942"/>
      <c r="AN368" s="1942"/>
      <c r="AO368" s="1942"/>
      <c r="AP368" s="1942"/>
      <c r="AQ368" s="1942"/>
      <c r="AR368" s="1942"/>
      <c r="AS368" s="1942"/>
      <c r="AT368" s="1942"/>
      <c r="AU368" s="1942"/>
      <c r="AV368" s="1942"/>
      <c r="AW368" s="1942"/>
      <c r="AX368" s="1942"/>
      <c r="AY368" s="1942"/>
      <c r="AZ368" s="1942"/>
      <c r="BA368" s="1942"/>
      <c r="BB368" s="575"/>
      <c r="BC368" s="584"/>
      <c r="BD368" s="678"/>
      <c r="BE368" s="585"/>
    </row>
    <row r="369" spans="1:57" s="51" customFormat="1" hidden="1" outlineLevel="1" x14ac:dyDescent="0.25">
      <c r="A369" s="1267"/>
      <c r="B369" s="228"/>
      <c r="C369" s="328"/>
      <c r="D369" s="3990"/>
      <c r="E369" s="4009"/>
      <c r="F369" s="3385" t="str">
        <f t="shared" si="55"/>
        <v>CAC-SEER16_ER2_MF</v>
      </c>
      <c r="G369" s="3386"/>
      <c r="H369" s="3387"/>
      <c r="I369" s="3155" t="str">
        <f t="shared" si="56"/>
        <v>350900_2021_12_</v>
      </c>
      <c r="J369" s="2857">
        <v>13</v>
      </c>
      <c r="K369" s="684"/>
      <c r="L369" s="2555" t="str">
        <f t="shared" si="58"/>
        <v>MO TRM</v>
      </c>
      <c r="M369" s="328"/>
      <c r="N369" s="1544"/>
      <c r="O369" s="328"/>
      <c r="P369" s="123"/>
      <c r="Q369" s="123"/>
      <c r="R369" s="123"/>
      <c r="S369" s="123"/>
      <c r="T369" s="123"/>
      <c r="U369" s="123"/>
      <c r="V369" s="3990"/>
      <c r="W369" s="2857">
        <v>13</v>
      </c>
      <c r="X369" s="2857">
        <v>13</v>
      </c>
      <c r="Y369" s="2857">
        <v>13</v>
      </c>
      <c r="Z369" s="2857">
        <v>13</v>
      </c>
      <c r="AA369" s="2857">
        <v>13</v>
      </c>
      <c r="AB369" s="699">
        <v>13</v>
      </c>
      <c r="AC369" s="2857">
        <v>13</v>
      </c>
      <c r="AD369" s="2857"/>
      <c r="AE369" s="2857"/>
      <c r="AF369" s="2857"/>
      <c r="AG369" s="2857"/>
      <c r="AH369" s="1942"/>
      <c r="AI369" s="1942"/>
      <c r="AJ369" s="1942"/>
      <c r="AK369" s="1942"/>
      <c r="AL369" s="1942"/>
      <c r="AM369" s="1942"/>
      <c r="AN369" s="1942"/>
      <c r="AO369" s="1942"/>
      <c r="AP369" s="1942"/>
      <c r="AQ369" s="1942"/>
      <c r="AR369" s="1942"/>
      <c r="AS369" s="1942"/>
      <c r="AT369" s="1942"/>
      <c r="AU369" s="1942"/>
      <c r="AV369" s="1942"/>
      <c r="AW369" s="1942"/>
      <c r="AX369" s="1942"/>
      <c r="AY369" s="1942"/>
      <c r="AZ369" s="1942"/>
      <c r="BA369" s="1942"/>
      <c r="BB369" s="575"/>
      <c r="BC369" s="584"/>
      <c r="BD369" s="678"/>
      <c r="BE369" s="585"/>
    </row>
    <row r="370" spans="1:57" s="51" customFormat="1" hidden="1" outlineLevel="1" x14ac:dyDescent="0.25">
      <c r="A370" s="1267"/>
      <c r="B370" s="228"/>
      <c r="C370" s="328"/>
      <c r="D370" s="3990"/>
      <c r="E370" s="4009"/>
      <c r="F370" s="3385" t="str">
        <f t="shared" si="55"/>
        <v>CAC-SEER16_ER1_MF_CompE</v>
      </c>
      <c r="G370" s="3386"/>
      <c r="H370" s="3387"/>
      <c r="I370" s="3155" t="str">
        <f t="shared" si="56"/>
        <v>350901_2021_12_</v>
      </c>
      <c r="J370" s="2857"/>
      <c r="K370" s="684"/>
      <c r="L370" s="2555"/>
      <c r="M370" s="328"/>
      <c r="N370" s="1544"/>
      <c r="O370" s="328"/>
      <c r="P370" s="123"/>
      <c r="Q370" s="123"/>
      <c r="R370" s="123"/>
      <c r="S370" s="123"/>
      <c r="T370" s="123"/>
      <c r="U370" s="123"/>
      <c r="V370" s="3990"/>
      <c r="W370" s="2857"/>
      <c r="X370" s="2857"/>
      <c r="Y370" s="2857"/>
      <c r="Z370" s="2857"/>
      <c r="AA370" s="2857"/>
      <c r="AB370" s="699"/>
      <c r="AC370" s="2857"/>
      <c r="AD370" s="2857"/>
      <c r="AE370" s="2857"/>
      <c r="AF370" s="2857"/>
      <c r="AG370" s="2857"/>
      <c r="AH370" s="1942"/>
      <c r="AI370" s="1942"/>
      <c r="AJ370" s="1942"/>
      <c r="AK370" s="1942"/>
      <c r="AL370" s="1942"/>
      <c r="AM370" s="1942"/>
      <c r="AN370" s="1942"/>
      <c r="AO370" s="1942"/>
      <c r="AP370" s="1942"/>
      <c r="AQ370" s="1942"/>
      <c r="AR370" s="1942"/>
      <c r="AS370" s="1942"/>
      <c r="AT370" s="1942"/>
      <c r="AU370" s="1942"/>
      <c r="AV370" s="1942"/>
      <c r="AW370" s="1942"/>
      <c r="AX370" s="1942"/>
      <c r="AY370" s="1942"/>
      <c r="AZ370" s="1942"/>
      <c r="BA370" s="1942"/>
      <c r="BB370" s="575"/>
      <c r="BC370" s="584"/>
      <c r="BD370" s="678"/>
      <c r="BE370" s="585"/>
    </row>
    <row r="371" spans="1:57" s="51" customFormat="1" hidden="1" outlineLevel="1" x14ac:dyDescent="0.25">
      <c r="A371" s="1267"/>
      <c r="B371" s="228"/>
      <c r="C371" s="328"/>
      <c r="D371" s="3990"/>
      <c r="E371" s="4009"/>
      <c r="F371" s="3385" t="str">
        <f t="shared" si="55"/>
        <v>CAC-SEER16_ER2_MF_CompE</v>
      </c>
      <c r="G371" s="3386"/>
      <c r="H371" s="3387"/>
      <c r="I371" s="3155" t="str">
        <f t="shared" si="56"/>
        <v>350901_2021_12_</v>
      </c>
      <c r="J371" s="2857">
        <v>13</v>
      </c>
      <c r="K371" s="684"/>
      <c r="L371" s="2555"/>
      <c r="M371" s="328"/>
      <c r="N371" s="1544"/>
      <c r="O371" s="328"/>
      <c r="P371" s="123"/>
      <c r="Q371" s="123"/>
      <c r="R371" s="123"/>
      <c r="S371" s="123"/>
      <c r="T371" s="123"/>
      <c r="U371" s="123"/>
      <c r="V371" s="3990"/>
      <c r="W371" s="2857"/>
      <c r="X371" s="2857"/>
      <c r="Y371" s="2857">
        <v>13</v>
      </c>
      <c r="Z371" s="2857">
        <v>13</v>
      </c>
      <c r="AA371" s="2857">
        <v>13</v>
      </c>
      <c r="AB371" s="699">
        <v>13</v>
      </c>
      <c r="AC371" s="2857">
        <v>13</v>
      </c>
      <c r="AD371" s="2857"/>
      <c r="AE371" s="2857"/>
      <c r="AF371" s="2857"/>
      <c r="AG371" s="2857"/>
      <c r="AH371" s="1942"/>
      <c r="AI371" s="1942"/>
      <c r="AJ371" s="1942"/>
      <c r="AK371" s="1942"/>
      <c r="AL371" s="1942"/>
      <c r="AM371" s="1942"/>
      <c r="AN371" s="1942"/>
      <c r="AO371" s="1942"/>
      <c r="AP371" s="1942"/>
      <c r="AQ371" s="1942"/>
      <c r="AR371" s="1942"/>
      <c r="AS371" s="1942"/>
      <c r="AT371" s="1942"/>
      <c r="AU371" s="1942"/>
      <c r="AV371" s="1942"/>
      <c r="AW371" s="1942"/>
      <c r="AX371" s="1942"/>
      <c r="AY371" s="1942"/>
      <c r="AZ371" s="1942"/>
      <c r="BA371" s="1942"/>
      <c r="BB371" s="575"/>
      <c r="BC371" s="584"/>
      <c r="BD371" s="678"/>
      <c r="BE371" s="585"/>
    </row>
    <row r="372" spans="1:57" s="51" customFormat="1" hidden="1" outlineLevel="1" x14ac:dyDescent="0.25">
      <c r="A372" s="1267"/>
      <c r="B372" s="228"/>
      <c r="C372" s="328"/>
      <c r="D372" s="3990"/>
      <c r="E372" s="4009"/>
      <c r="F372" s="3385" t="str">
        <f t="shared" si="55"/>
        <v>CAC-SEER16_ROF_MF</v>
      </c>
      <c r="G372" s="3386"/>
      <c r="H372" s="3387"/>
      <c r="I372" s="3155" t="str">
        <f t="shared" si="56"/>
        <v>350950_2021_12_</v>
      </c>
      <c r="J372" s="2857">
        <v>13</v>
      </c>
      <c r="K372" s="684"/>
      <c r="L372" s="2555" t="str">
        <f>L369</f>
        <v>MO TRM</v>
      </c>
      <c r="M372" s="328"/>
      <c r="N372" s="1544"/>
      <c r="O372" s="328"/>
      <c r="P372" s="123"/>
      <c r="Q372" s="123"/>
      <c r="R372" s="123"/>
      <c r="S372" s="123"/>
      <c r="T372" s="123"/>
      <c r="U372" s="123"/>
      <c r="V372" s="3990"/>
      <c r="W372" s="2857">
        <v>13</v>
      </c>
      <c r="X372" s="2857">
        <v>13</v>
      </c>
      <c r="Y372" s="2857">
        <v>13</v>
      </c>
      <c r="Z372" s="2857">
        <v>13</v>
      </c>
      <c r="AA372" s="2857">
        <v>13</v>
      </c>
      <c r="AB372" s="699">
        <v>13</v>
      </c>
      <c r="AC372" s="2857">
        <v>13</v>
      </c>
      <c r="AD372" s="2857"/>
      <c r="AE372" s="2857"/>
      <c r="AF372" s="2857"/>
      <c r="AG372" s="2857"/>
      <c r="AH372" s="1942"/>
      <c r="AI372" s="1942"/>
      <c r="AJ372" s="1942"/>
      <c r="AK372" s="1942"/>
      <c r="AL372" s="1942"/>
      <c r="AM372" s="1942"/>
      <c r="AN372" s="1942"/>
      <c r="AO372" s="1942"/>
      <c r="AP372" s="1942"/>
      <c r="AQ372" s="1942"/>
      <c r="AR372" s="1942"/>
      <c r="AS372" s="1942"/>
      <c r="AT372" s="1942"/>
      <c r="AU372" s="1942"/>
      <c r="AV372" s="1942"/>
      <c r="AW372" s="1942"/>
      <c r="AX372" s="1942"/>
      <c r="AY372" s="1942"/>
      <c r="AZ372" s="1942"/>
      <c r="BA372" s="1942"/>
      <c r="BB372" s="575"/>
      <c r="BC372" s="584"/>
      <c r="BD372" s="678"/>
      <c r="BE372" s="585"/>
    </row>
    <row r="373" spans="1:57" s="51" customFormat="1" hidden="1" outlineLevel="1" x14ac:dyDescent="0.25">
      <c r="A373" s="1267"/>
      <c r="B373" s="228"/>
      <c r="C373" s="328"/>
      <c r="D373" s="3990"/>
      <c r="E373" s="4009"/>
      <c r="F373" s="3385" t="str">
        <f t="shared" si="55"/>
        <v>CAC-SEER16_ROF_MF_CompE</v>
      </c>
      <c r="G373" s="3386"/>
      <c r="H373" s="3387"/>
      <c r="I373" s="3155" t="str">
        <f t="shared" si="56"/>
        <v>350951_2021_12_</v>
      </c>
      <c r="J373" s="2857">
        <v>13</v>
      </c>
      <c r="K373" s="684"/>
      <c r="L373" s="2555"/>
      <c r="M373" s="328"/>
      <c r="N373" s="1544"/>
      <c r="O373" s="328"/>
      <c r="P373" s="123"/>
      <c r="Q373" s="123"/>
      <c r="R373" s="123"/>
      <c r="S373" s="123"/>
      <c r="T373" s="123"/>
      <c r="U373" s="123"/>
      <c r="V373" s="3990"/>
      <c r="W373" s="2857"/>
      <c r="X373" s="2857"/>
      <c r="Y373" s="2857">
        <v>13</v>
      </c>
      <c r="Z373" s="2857">
        <v>13</v>
      </c>
      <c r="AA373" s="2857">
        <v>13</v>
      </c>
      <c r="AB373" s="699">
        <v>13</v>
      </c>
      <c r="AC373" s="2857">
        <v>13</v>
      </c>
      <c r="AD373" s="2857"/>
      <c r="AE373" s="2857"/>
      <c r="AF373" s="2857"/>
      <c r="AG373" s="2857"/>
      <c r="AH373" s="1942"/>
      <c r="AI373" s="1942"/>
      <c r="AJ373" s="1942"/>
      <c r="AK373" s="1942"/>
      <c r="AL373" s="1942"/>
      <c r="AM373" s="1942"/>
      <c r="AN373" s="1942"/>
      <c r="AO373" s="1942"/>
      <c r="AP373" s="1942"/>
      <c r="AQ373" s="1942"/>
      <c r="AR373" s="1942"/>
      <c r="AS373" s="1942"/>
      <c r="AT373" s="1942"/>
      <c r="AU373" s="1942"/>
      <c r="AV373" s="1942"/>
      <c r="AW373" s="1942"/>
      <c r="AX373" s="1942"/>
      <c r="AY373" s="1942"/>
      <c r="AZ373" s="1942"/>
      <c r="BA373" s="1942"/>
      <c r="BB373" s="575"/>
      <c r="BC373" s="584"/>
      <c r="BD373" s="678"/>
      <c r="BE373" s="585"/>
    </row>
    <row r="374" spans="1:57" s="51" customFormat="1" hidden="1" outlineLevel="1" x14ac:dyDescent="0.25">
      <c r="A374" s="1267"/>
      <c r="B374" s="228"/>
      <c r="C374" s="328"/>
      <c r="D374" s="3990"/>
      <c r="E374" s="4009"/>
      <c r="F374" s="3385" t="str">
        <f t="shared" si="55"/>
        <v>CAC-SEER17_ER1_SF</v>
      </c>
      <c r="G374" s="3386"/>
      <c r="H374" s="3387"/>
      <c r="I374" s="3155" t="str">
        <f t="shared" si="56"/>
        <v>351000_2021_12_</v>
      </c>
      <c r="J374" s="2857"/>
      <c r="K374" s="684"/>
      <c r="L374" s="2555" t="str">
        <f>L372</f>
        <v>MO TRM</v>
      </c>
      <c r="M374" s="328"/>
      <c r="N374" s="1544"/>
      <c r="O374" s="328"/>
      <c r="P374" s="123"/>
      <c r="Q374" s="123"/>
      <c r="R374" s="123"/>
      <c r="S374" s="123"/>
      <c r="T374" s="123"/>
      <c r="U374" s="123"/>
      <c r="V374" s="3990"/>
      <c r="W374" s="2857">
        <v>10</v>
      </c>
      <c r="X374" s="3155"/>
      <c r="Y374" s="3155"/>
      <c r="Z374" s="3155"/>
      <c r="AA374" s="2857"/>
      <c r="AB374" s="699"/>
      <c r="AC374" s="2857"/>
      <c r="AD374" s="2857"/>
      <c r="AE374" s="2857"/>
      <c r="AF374" s="2857"/>
      <c r="AG374" s="2857"/>
      <c r="AH374" s="1942"/>
      <c r="AI374" s="1942"/>
      <c r="AJ374" s="1942"/>
      <c r="AK374" s="1942"/>
      <c r="AL374" s="1942"/>
      <c r="AM374" s="1942"/>
      <c r="AN374" s="1942"/>
      <c r="AO374" s="1942"/>
      <c r="AP374" s="1942"/>
      <c r="AQ374" s="1942"/>
      <c r="AR374" s="1942"/>
      <c r="AS374" s="1942"/>
      <c r="AT374" s="1942"/>
      <c r="AU374" s="1942"/>
      <c r="AV374" s="1942"/>
      <c r="AW374" s="1942"/>
      <c r="AX374" s="1942"/>
      <c r="AY374" s="1942"/>
      <c r="AZ374" s="1942"/>
      <c r="BA374" s="1942"/>
      <c r="BB374" s="575"/>
      <c r="BC374" s="584"/>
      <c r="BD374" s="678"/>
      <c r="BE374" s="585"/>
    </row>
    <row r="375" spans="1:57" s="51" customFormat="1" ht="14.45" hidden="1" customHeight="1" outlineLevel="1" x14ac:dyDescent="0.25">
      <c r="A375" s="1267"/>
      <c r="B375" s="228"/>
      <c r="C375" s="328"/>
      <c r="D375" s="3990"/>
      <c r="E375" s="4009"/>
      <c r="F375" s="3385" t="str">
        <f t="shared" si="55"/>
        <v>CAC-SEER17_ER2_SF</v>
      </c>
      <c r="G375" s="3386"/>
      <c r="H375" s="3387"/>
      <c r="I375" s="3155" t="str">
        <f t="shared" si="56"/>
        <v>351000_2021_12_</v>
      </c>
      <c r="J375" s="2857">
        <v>13</v>
      </c>
      <c r="K375" s="684"/>
      <c r="L375" s="2555" t="str">
        <f t="shared" si="58"/>
        <v>MO TRM</v>
      </c>
      <c r="M375" s="328"/>
      <c r="N375" s="1544"/>
      <c r="O375" s="328"/>
      <c r="P375" s="123"/>
      <c r="Q375" s="123"/>
      <c r="R375" s="123"/>
      <c r="S375" s="123"/>
      <c r="T375" s="123"/>
      <c r="U375" s="123"/>
      <c r="V375" s="3990"/>
      <c r="W375" s="2857">
        <v>13</v>
      </c>
      <c r="X375" s="2857">
        <v>13</v>
      </c>
      <c r="Y375" s="2857">
        <v>13</v>
      </c>
      <c r="Z375" s="2857">
        <v>13</v>
      </c>
      <c r="AA375" s="2857">
        <v>13</v>
      </c>
      <c r="AB375" s="699">
        <v>13</v>
      </c>
      <c r="AC375" s="2857">
        <v>13</v>
      </c>
      <c r="AD375" s="2857"/>
      <c r="AE375" s="2857"/>
      <c r="AF375" s="2857"/>
      <c r="AG375" s="2857"/>
      <c r="AH375" s="1942"/>
      <c r="AI375" s="1942"/>
      <c r="AJ375" s="1942"/>
      <c r="AK375" s="1942"/>
      <c r="AL375" s="1942"/>
      <c r="AM375" s="1942"/>
      <c r="AN375" s="1942"/>
      <c r="AO375" s="1942"/>
      <c r="AP375" s="1942"/>
      <c r="AQ375" s="1942"/>
      <c r="AR375" s="1942"/>
      <c r="AS375" s="1942"/>
      <c r="AT375" s="1942"/>
      <c r="AU375" s="1942"/>
      <c r="AV375" s="1942"/>
      <c r="AW375" s="1942"/>
      <c r="AX375" s="1942"/>
      <c r="AY375" s="1942"/>
      <c r="AZ375" s="1942"/>
      <c r="BA375" s="1942"/>
      <c r="BB375" s="575"/>
      <c r="BC375" s="584"/>
      <c r="BD375" s="678"/>
      <c r="BE375" s="585"/>
    </row>
    <row r="376" spans="1:57" s="51" customFormat="1" ht="14.45" hidden="1" customHeight="1" outlineLevel="1" x14ac:dyDescent="0.25">
      <c r="A376" s="1267"/>
      <c r="B376" s="228"/>
      <c r="C376" s="328"/>
      <c r="D376" s="3990"/>
      <c r="E376" s="4009"/>
      <c r="F376" s="3385" t="str">
        <f t="shared" si="55"/>
        <v>CAC-SEER17_ROF_SF</v>
      </c>
      <c r="G376" s="3386"/>
      <c r="H376" s="3387"/>
      <c r="I376" s="3155" t="str">
        <f t="shared" si="56"/>
        <v>351050_2021_12_</v>
      </c>
      <c r="J376" s="2857">
        <v>13</v>
      </c>
      <c r="K376" s="684"/>
      <c r="L376" s="2555" t="str">
        <f t="shared" si="58"/>
        <v>MO TRM</v>
      </c>
      <c r="M376" s="328"/>
      <c r="N376" s="1544"/>
      <c r="O376" s="328"/>
      <c r="P376" s="123"/>
      <c r="Q376" s="123"/>
      <c r="R376" s="123"/>
      <c r="S376" s="123"/>
      <c r="T376" s="123"/>
      <c r="U376" s="123"/>
      <c r="V376" s="3990"/>
      <c r="W376" s="2857">
        <v>13</v>
      </c>
      <c r="X376" s="2857">
        <v>13</v>
      </c>
      <c r="Y376" s="2857">
        <v>13</v>
      </c>
      <c r="Z376" s="2857">
        <v>13</v>
      </c>
      <c r="AA376" s="2857">
        <v>13</v>
      </c>
      <c r="AB376" s="699">
        <v>13</v>
      </c>
      <c r="AC376" s="2857">
        <v>13</v>
      </c>
      <c r="AD376" s="2857"/>
      <c r="AE376" s="2857"/>
      <c r="AF376" s="2857"/>
      <c r="AG376" s="2857"/>
      <c r="AH376" s="1942"/>
      <c r="AI376" s="1942"/>
      <c r="AJ376" s="1942"/>
      <c r="AK376" s="1942"/>
      <c r="AL376" s="1942"/>
      <c r="AM376" s="1942"/>
      <c r="AN376" s="1942"/>
      <c r="AO376" s="1942"/>
      <c r="AP376" s="1942"/>
      <c r="AQ376" s="1942"/>
      <c r="AR376" s="1942"/>
      <c r="AS376" s="1942"/>
      <c r="AT376" s="1942"/>
      <c r="AU376" s="1942"/>
      <c r="AV376" s="1942"/>
      <c r="AW376" s="1942"/>
      <c r="AX376" s="1942"/>
      <c r="AY376" s="1942"/>
      <c r="AZ376" s="1942"/>
      <c r="BA376" s="1942"/>
      <c r="BB376" s="575"/>
      <c r="BC376" s="584"/>
      <c r="BD376" s="678"/>
      <c r="BE376" s="585"/>
    </row>
    <row r="377" spans="1:57" s="51" customFormat="1" ht="14.45" hidden="1" customHeight="1" outlineLevel="1" x14ac:dyDescent="0.25">
      <c r="A377" s="1267"/>
      <c r="B377" s="228"/>
      <c r="C377" s="328"/>
      <c r="D377" s="3990"/>
      <c r="E377" s="4009"/>
      <c r="F377" s="3385" t="str">
        <f t="shared" si="55"/>
        <v>CAC-SEER17_ER1_MF</v>
      </c>
      <c r="G377" s="3386"/>
      <c r="H377" s="3387"/>
      <c r="I377" s="3155" t="str">
        <f t="shared" si="56"/>
        <v>351100_2021_12_</v>
      </c>
      <c r="J377" s="2857"/>
      <c r="K377" s="684"/>
      <c r="L377" s="2555" t="str">
        <f t="shared" si="58"/>
        <v>MO TRM</v>
      </c>
      <c r="M377" s="328"/>
      <c r="N377" s="1544"/>
      <c r="O377" s="328"/>
      <c r="P377" s="123"/>
      <c r="Q377" s="123"/>
      <c r="R377" s="123"/>
      <c r="S377" s="123"/>
      <c r="T377" s="123"/>
      <c r="U377" s="123"/>
      <c r="V377" s="3990"/>
      <c r="W377" s="2857">
        <v>10</v>
      </c>
      <c r="X377" s="3155"/>
      <c r="Y377" s="3155"/>
      <c r="Z377" s="3155"/>
      <c r="AA377" s="2857"/>
      <c r="AB377" s="699"/>
      <c r="AC377" s="2857"/>
      <c r="AD377" s="2857"/>
      <c r="AE377" s="2857"/>
      <c r="AF377" s="2857"/>
      <c r="AG377" s="2857"/>
      <c r="AH377" s="1942"/>
      <c r="AI377" s="1942"/>
      <c r="AJ377" s="1942"/>
      <c r="AK377" s="1942"/>
      <c r="AL377" s="1942"/>
      <c r="AM377" s="1942"/>
      <c r="AN377" s="1942"/>
      <c r="AO377" s="1942"/>
      <c r="AP377" s="1942"/>
      <c r="AQ377" s="1942"/>
      <c r="AR377" s="1942"/>
      <c r="AS377" s="1942"/>
      <c r="AT377" s="1942"/>
      <c r="AU377" s="1942"/>
      <c r="AV377" s="1942"/>
      <c r="AW377" s="1942"/>
      <c r="AX377" s="1942"/>
      <c r="AY377" s="1942"/>
      <c r="AZ377" s="1942"/>
      <c r="BA377" s="1942"/>
      <c r="BB377" s="575"/>
      <c r="BC377" s="584"/>
      <c r="BD377" s="678"/>
      <c r="BE377" s="585"/>
    </row>
    <row r="378" spans="1:57" s="51" customFormat="1" ht="14.45" hidden="1" customHeight="1" outlineLevel="1" x14ac:dyDescent="0.25">
      <c r="A378" s="1267"/>
      <c r="B378" s="228"/>
      <c r="C378" s="328"/>
      <c r="D378" s="3990"/>
      <c r="E378" s="4009"/>
      <c r="F378" s="3385" t="str">
        <f t="shared" si="55"/>
        <v>CAC-SEER17_ER2_MF</v>
      </c>
      <c r="G378" s="3386"/>
      <c r="H378" s="3387"/>
      <c r="I378" s="3155" t="str">
        <f t="shared" si="56"/>
        <v>351100_2021_12_</v>
      </c>
      <c r="J378" s="2857">
        <v>13</v>
      </c>
      <c r="K378" s="684"/>
      <c r="L378" s="2555" t="str">
        <f t="shared" si="58"/>
        <v>MO TRM</v>
      </c>
      <c r="M378" s="328"/>
      <c r="N378" s="1544"/>
      <c r="O378" s="328"/>
      <c r="P378" s="123"/>
      <c r="Q378" s="123"/>
      <c r="R378" s="123"/>
      <c r="S378" s="123"/>
      <c r="T378" s="123"/>
      <c r="U378" s="123"/>
      <c r="V378" s="3990"/>
      <c r="W378" s="2857">
        <v>13</v>
      </c>
      <c r="X378" s="2857">
        <v>13</v>
      </c>
      <c r="Y378" s="2857">
        <v>13</v>
      </c>
      <c r="Z378" s="2857">
        <v>13</v>
      </c>
      <c r="AA378" s="2857">
        <v>13</v>
      </c>
      <c r="AB378" s="699">
        <v>13</v>
      </c>
      <c r="AC378" s="2857">
        <v>13</v>
      </c>
      <c r="AD378" s="2857"/>
      <c r="AE378" s="2857"/>
      <c r="AF378" s="2857"/>
      <c r="AG378" s="2857"/>
      <c r="AH378" s="1942"/>
      <c r="AI378" s="1942"/>
      <c r="AJ378" s="1942"/>
      <c r="AK378" s="1942"/>
      <c r="AL378" s="1942"/>
      <c r="AM378" s="1942"/>
      <c r="AN378" s="1942"/>
      <c r="AO378" s="1942"/>
      <c r="AP378" s="1942"/>
      <c r="AQ378" s="1942"/>
      <c r="AR378" s="1942"/>
      <c r="AS378" s="1942"/>
      <c r="AT378" s="1942"/>
      <c r="AU378" s="1942"/>
      <c r="AV378" s="1942"/>
      <c r="AW378" s="1942"/>
      <c r="AX378" s="1942"/>
      <c r="AY378" s="1942"/>
      <c r="AZ378" s="1942"/>
      <c r="BA378" s="1942"/>
      <c r="BB378" s="575"/>
      <c r="BC378" s="584"/>
      <c r="BD378" s="678"/>
      <c r="BE378" s="585"/>
    </row>
    <row r="379" spans="1:57" s="51" customFormat="1" ht="14.45" hidden="1" customHeight="1" outlineLevel="1" x14ac:dyDescent="0.25">
      <c r="A379" s="1267"/>
      <c r="B379" s="228"/>
      <c r="C379" s="328"/>
      <c r="D379" s="3990"/>
      <c r="E379" s="4009"/>
      <c r="F379" s="3385" t="str">
        <f t="shared" si="55"/>
        <v>CAC-SEER17_ER1_MF_CompE</v>
      </c>
      <c r="G379" s="3386"/>
      <c r="H379" s="3387"/>
      <c r="I379" s="692" t="str">
        <f t="shared" si="56"/>
        <v>351101_2021_12_</v>
      </c>
      <c r="J379" s="693"/>
      <c r="K379" s="2556"/>
      <c r="L379" s="2555"/>
      <c r="M379" s="328"/>
      <c r="N379" s="1544"/>
      <c r="O379" s="328"/>
      <c r="P379" s="123"/>
      <c r="Q379" s="123"/>
      <c r="R379" s="123"/>
      <c r="S379" s="123"/>
      <c r="T379" s="123"/>
      <c r="U379" s="123"/>
      <c r="V379" s="3990"/>
      <c r="W379" s="693"/>
      <c r="X379" s="693"/>
      <c r="Y379" s="693"/>
      <c r="Z379" s="693"/>
      <c r="AA379" s="693"/>
      <c r="AB379" s="1875"/>
      <c r="AC379" s="693"/>
      <c r="AD379" s="693"/>
      <c r="AE379" s="693"/>
      <c r="AF379" s="693"/>
      <c r="AG379" s="693"/>
      <c r="AH379" s="1942"/>
      <c r="AI379" s="1942"/>
      <c r="AJ379" s="1942"/>
      <c r="AK379" s="1942"/>
      <c r="AL379" s="1942"/>
      <c r="AM379" s="1942"/>
      <c r="AN379" s="1942"/>
      <c r="AO379" s="1942"/>
      <c r="AP379" s="1942"/>
      <c r="AQ379" s="1942"/>
      <c r="AR379" s="1942"/>
      <c r="AS379" s="1942"/>
      <c r="AT379" s="1942"/>
      <c r="AU379" s="1942"/>
      <c r="AV379" s="1942"/>
      <c r="AW379" s="1942"/>
      <c r="AX379" s="1942"/>
      <c r="AY379" s="1942"/>
      <c r="AZ379" s="1942"/>
      <c r="BA379" s="1942"/>
      <c r="BB379" s="575"/>
      <c r="BC379" s="584"/>
      <c r="BD379" s="678"/>
      <c r="BE379" s="585"/>
    </row>
    <row r="380" spans="1:57" s="51" customFormat="1" ht="14.45" hidden="1" customHeight="1" outlineLevel="1" x14ac:dyDescent="0.25">
      <c r="A380" s="1267"/>
      <c r="B380" s="228"/>
      <c r="C380" s="328"/>
      <c r="D380" s="3990"/>
      <c r="E380" s="4009"/>
      <c r="F380" s="3385" t="str">
        <f t="shared" si="55"/>
        <v>CAC-SEER17_ER2_MF_CompE</v>
      </c>
      <c r="G380" s="3386"/>
      <c r="H380" s="3387"/>
      <c r="I380" s="692" t="str">
        <f t="shared" si="56"/>
        <v>351101_2021_12_</v>
      </c>
      <c r="J380" s="2857">
        <v>13</v>
      </c>
      <c r="K380" s="2556"/>
      <c r="L380" s="2555"/>
      <c r="M380" s="328"/>
      <c r="N380" s="1544"/>
      <c r="O380" s="328"/>
      <c r="P380" s="123"/>
      <c r="Q380" s="123"/>
      <c r="R380" s="123"/>
      <c r="S380" s="123"/>
      <c r="T380" s="123"/>
      <c r="U380" s="123"/>
      <c r="V380" s="3990"/>
      <c r="W380" s="693"/>
      <c r="X380" s="693"/>
      <c r="Y380" s="693">
        <v>13</v>
      </c>
      <c r="Z380" s="693">
        <v>13</v>
      </c>
      <c r="AA380" s="693">
        <v>13</v>
      </c>
      <c r="AB380" s="699">
        <v>13</v>
      </c>
      <c r="AC380" s="2857">
        <v>13</v>
      </c>
      <c r="AD380" s="693"/>
      <c r="AE380" s="693"/>
      <c r="AF380" s="693"/>
      <c r="AG380" s="693"/>
      <c r="AH380" s="1942"/>
      <c r="AI380" s="1942"/>
      <c r="AJ380" s="1942"/>
      <c r="AK380" s="1942"/>
      <c r="AL380" s="1942"/>
      <c r="AM380" s="1942"/>
      <c r="AN380" s="1942"/>
      <c r="AO380" s="1942"/>
      <c r="AP380" s="1942"/>
      <c r="AQ380" s="1942"/>
      <c r="AR380" s="1942"/>
      <c r="AS380" s="1942"/>
      <c r="AT380" s="1942"/>
      <c r="AU380" s="1942"/>
      <c r="AV380" s="1942"/>
      <c r="AW380" s="1942"/>
      <c r="AX380" s="1942"/>
      <c r="AY380" s="1942"/>
      <c r="AZ380" s="1942"/>
      <c r="BA380" s="1942"/>
      <c r="BB380" s="575"/>
      <c r="BC380" s="584"/>
      <c r="BD380" s="678"/>
      <c r="BE380" s="585"/>
    </row>
    <row r="381" spans="1:57" s="51" customFormat="1" ht="15" hidden="1" customHeight="1" outlineLevel="1" x14ac:dyDescent="0.25">
      <c r="A381" s="1267"/>
      <c r="B381" s="228"/>
      <c r="C381" s="328"/>
      <c r="D381" s="3990"/>
      <c r="E381" s="4009"/>
      <c r="F381" s="3385" t="str">
        <f t="shared" si="55"/>
        <v>CAC-SEER17_ROF_MF</v>
      </c>
      <c r="G381" s="3386"/>
      <c r="H381" s="3387"/>
      <c r="I381" s="3155" t="str">
        <f t="shared" si="56"/>
        <v>351150_2021_12_</v>
      </c>
      <c r="J381" s="2857">
        <v>13</v>
      </c>
      <c r="K381" s="2556"/>
      <c r="L381" s="2555" t="str">
        <f>L378</f>
        <v>MO TRM</v>
      </c>
      <c r="M381" s="328"/>
      <c r="N381" s="1544"/>
      <c r="O381" s="328"/>
      <c r="P381" s="123"/>
      <c r="Q381" s="123"/>
      <c r="R381" s="123"/>
      <c r="S381" s="123"/>
      <c r="T381" s="123"/>
      <c r="U381" s="123"/>
      <c r="V381" s="3990"/>
      <c r="W381" s="2857">
        <v>13</v>
      </c>
      <c r="X381" s="2857">
        <v>13</v>
      </c>
      <c r="Y381" s="2857">
        <v>13</v>
      </c>
      <c r="Z381" s="2857">
        <v>13</v>
      </c>
      <c r="AA381" s="2857">
        <v>13</v>
      </c>
      <c r="AB381" s="699">
        <v>13</v>
      </c>
      <c r="AC381" s="2857">
        <v>13</v>
      </c>
      <c r="AD381" s="2857"/>
      <c r="AE381" s="2857"/>
      <c r="AF381" s="2857"/>
      <c r="AG381" s="2857"/>
      <c r="AH381" s="1942"/>
      <c r="AI381" s="1942"/>
      <c r="AJ381" s="1942"/>
      <c r="AK381" s="1942"/>
      <c r="AL381" s="1942"/>
      <c r="AM381" s="1942"/>
      <c r="AN381" s="1942"/>
      <c r="AO381" s="1942"/>
      <c r="AP381" s="1942"/>
      <c r="AQ381" s="1942"/>
      <c r="AR381" s="1942"/>
      <c r="AS381" s="1942"/>
      <c r="AT381" s="1942"/>
      <c r="AU381" s="1942"/>
      <c r="AV381" s="1942"/>
      <c r="AW381" s="1942"/>
      <c r="AX381" s="1942"/>
      <c r="AY381" s="1942"/>
      <c r="AZ381" s="1942"/>
      <c r="BA381" s="1942"/>
      <c r="BB381" s="575"/>
      <c r="BC381" s="584"/>
      <c r="BD381" s="678"/>
      <c r="BE381" s="585"/>
    </row>
    <row r="382" spans="1:57" s="51" customFormat="1" ht="15" hidden="1" customHeight="1" outlineLevel="1" x14ac:dyDescent="0.25">
      <c r="A382" s="1267"/>
      <c r="B382" s="228"/>
      <c r="C382" s="328"/>
      <c r="D382" s="4005"/>
      <c r="E382" s="3890"/>
      <c r="F382" s="3385" t="str">
        <f t="shared" si="55"/>
        <v>CAC-SEER17_ROF_MF_CompE</v>
      </c>
      <c r="G382" s="3386"/>
      <c r="H382" s="3387"/>
      <c r="I382" s="3158" t="str">
        <f t="shared" si="56"/>
        <v>351151_2021_12_</v>
      </c>
      <c r="J382" s="696">
        <v>13</v>
      </c>
      <c r="K382" s="2557"/>
      <c r="L382" s="2558"/>
      <c r="M382" s="328"/>
      <c r="N382" s="1544"/>
      <c r="O382" s="328"/>
      <c r="P382" s="123"/>
      <c r="Q382" s="123"/>
      <c r="R382" s="123"/>
      <c r="S382" s="123"/>
      <c r="T382" s="123"/>
      <c r="U382" s="123"/>
      <c r="V382" s="4005"/>
      <c r="W382" s="696"/>
      <c r="X382" s="696"/>
      <c r="Y382" s="696">
        <v>13</v>
      </c>
      <c r="Z382" s="696">
        <v>13</v>
      </c>
      <c r="AA382" s="696">
        <v>13</v>
      </c>
      <c r="AB382" s="700">
        <v>13</v>
      </c>
      <c r="AC382" s="696">
        <v>13</v>
      </c>
      <c r="AD382" s="696"/>
      <c r="AE382" s="696"/>
      <c r="AF382" s="696"/>
      <c r="AG382" s="696"/>
      <c r="AH382" s="1942"/>
      <c r="AI382" s="1942"/>
      <c r="AJ382" s="1942"/>
      <c r="AK382" s="1942"/>
      <c r="AL382" s="1942"/>
      <c r="AM382" s="1942"/>
      <c r="AN382" s="1942"/>
      <c r="AO382" s="1942"/>
      <c r="AP382" s="1942"/>
      <c r="AQ382" s="1942"/>
      <c r="AR382" s="1942"/>
      <c r="AS382" s="1942"/>
      <c r="AT382" s="1942"/>
      <c r="AU382" s="1942"/>
      <c r="AV382" s="1942"/>
      <c r="AW382" s="1942"/>
      <c r="AX382" s="1942"/>
      <c r="AY382" s="1942"/>
      <c r="AZ382" s="1942"/>
      <c r="BA382" s="1942"/>
      <c r="BB382" s="575"/>
      <c r="BC382" s="584"/>
      <c r="BD382" s="678"/>
      <c r="BE382" s="585"/>
    </row>
    <row r="383" spans="1:57" s="51" customFormat="1" ht="14.45" hidden="1" customHeight="1" outlineLevel="1" x14ac:dyDescent="0.25">
      <c r="A383" s="1267"/>
      <c r="B383" s="228"/>
      <c r="C383" s="328"/>
      <c r="D383" s="4006"/>
      <c r="E383" s="4010"/>
      <c r="F383" s="3391" t="str">
        <f t="shared" si="55"/>
        <v>CAC-SEER18_ER1_SF</v>
      </c>
      <c r="G383" s="3392"/>
      <c r="H383" s="3393"/>
      <c r="I383" s="3155" t="str">
        <f t="shared" si="56"/>
        <v>351160_2021_12_</v>
      </c>
      <c r="J383" s="2857"/>
      <c r="K383" s="684"/>
      <c r="L383" s="2555" t="s">
        <v>1011</v>
      </c>
      <c r="M383" s="1550"/>
      <c r="N383" s="1544"/>
      <c r="O383" s="123"/>
      <c r="P383" s="123"/>
      <c r="Q383" s="123"/>
      <c r="R383" s="123"/>
      <c r="S383" s="123"/>
      <c r="T383" s="123"/>
      <c r="U383" s="123"/>
      <c r="V383" s="4005"/>
      <c r="W383" s="696"/>
      <c r="X383" s="3158"/>
      <c r="Y383" s="3158"/>
      <c r="Z383" s="3158"/>
      <c r="AA383" s="696"/>
      <c r="AB383" s="699"/>
      <c r="AC383" s="2857"/>
      <c r="AD383" s="696"/>
      <c r="AE383" s="696"/>
      <c r="AF383" s="696"/>
      <c r="AG383" s="696"/>
      <c r="AH383" s="1942"/>
      <c r="AI383" s="1942"/>
      <c r="AJ383" s="1942"/>
      <c r="AK383" s="1942"/>
      <c r="AL383" s="1942"/>
      <c r="AM383" s="1942"/>
      <c r="AN383" s="1942"/>
      <c r="AO383" s="1942"/>
      <c r="AP383" s="1942"/>
      <c r="AQ383" s="1942"/>
      <c r="AR383" s="1942"/>
      <c r="AS383" s="1942"/>
      <c r="AT383" s="1942"/>
      <c r="AU383" s="1942"/>
      <c r="AV383" s="1942"/>
      <c r="AW383" s="1942"/>
      <c r="AX383" s="1942"/>
      <c r="AY383" s="1942"/>
      <c r="AZ383" s="1942"/>
      <c r="BA383" s="1942"/>
      <c r="BB383" s="575"/>
      <c r="BC383" s="584"/>
      <c r="BD383" s="678"/>
      <c r="BE383" s="585"/>
    </row>
    <row r="384" spans="1:57" s="51" customFormat="1" ht="14.45" hidden="1" customHeight="1" outlineLevel="1" x14ac:dyDescent="0.25">
      <c r="A384" s="1267"/>
      <c r="B384" s="228"/>
      <c r="C384" s="328"/>
      <c r="D384" s="4006"/>
      <c r="E384" s="4010"/>
      <c r="F384" s="3391" t="str">
        <f t="shared" si="55"/>
        <v>CAC-SEER18_ER2_SF</v>
      </c>
      <c r="G384" s="3392"/>
      <c r="H384" s="3393"/>
      <c r="I384" s="3155" t="str">
        <f t="shared" si="56"/>
        <v>351160_2021_12_</v>
      </c>
      <c r="J384" s="2857">
        <v>13</v>
      </c>
      <c r="K384" s="684"/>
      <c r="L384" s="2555" t="str">
        <f>L383</f>
        <v>MO TRM</v>
      </c>
      <c r="M384" s="1550"/>
      <c r="N384" s="1544"/>
      <c r="O384" s="123"/>
      <c r="P384" s="123"/>
      <c r="Q384" s="123"/>
      <c r="R384" s="123"/>
      <c r="S384" s="123"/>
      <c r="T384" s="123"/>
      <c r="U384" s="123"/>
      <c r="V384" s="4005"/>
      <c r="W384" s="2857"/>
      <c r="X384" s="2857"/>
      <c r="Y384" s="2857"/>
      <c r="Z384" s="3155">
        <v>13</v>
      </c>
      <c r="AA384" s="2857">
        <v>13</v>
      </c>
      <c r="AB384" s="699">
        <v>13</v>
      </c>
      <c r="AC384" s="2857">
        <v>13</v>
      </c>
      <c r="AD384" s="2857"/>
      <c r="AE384" s="2857"/>
      <c r="AF384" s="2857"/>
      <c r="AG384" s="2857"/>
      <c r="AH384" s="1942"/>
      <c r="AI384" s="1942"/>
      <c r="AJ384" s="1942"/>
      <c r="AK384" s="1942"/>
      <c r="AL384" s="1942"/>
      <c r="AM384" s="1942"/>
      <c r="AN384" s="1942"/>
      <c r="AO384" s="1942"/>
      <c r="AP384" s="1942"/>
      <c r="AQ384" s="1942"/>
      <c r="AR384" s="1942"/>
      <c r="AS384" s="1942"/>
      <c r="AT384" s="1942"/>
      <c r="AU384" s="1942"/>
      <c r="AV384" s="1942"/>
      <c r="AW384" s="1942"/>
      <c r="AX384" s="1942"/>
      <c r="AY384" s="1942"/>
      <c r="AZ384" s="1942"/>
      <c r="BA384" s="1942"/>
      <c r="BB384" s="575"/>
      <c r="BC384" s="584"/>
      <c r="BD384" s="678"/>
      <c r="BE384" s="585"/>
    </row>
    <row r="385" spans="1:57" s="51" customFormat="1" ht="14.45" hidden="1" customHeight="1" outlineLevel="1" x14ac:dyDescent="0.25">
      <c r="A385" s="1267"/>
      <c r="B385" s="228"/>
      <c r="C385" s="328"/>
      <c r="D385" s="4006"/>
      <c r="E385" s="4010"/>
      <c r="F385" s="3391" t="str">
        <f t="shared" si="55"/>
        <v>CAC-SEER18_ROF_SF</v>
      </c>
      <c r="G385" s="3392"/>
      <c r="H385" s="3393"/>
      <c r="I385" s="3155" t="str">
        <f t="shared" si="56"/>
        <v>351161_2021_12_</v>
      </c>
      <c r="J385" s="2857">
        <v>13</v>
      </c>
      <c r="K385" s="684"/>
      <c r="L385" s="2555" t="str">
        <f t="shared" ref="L385:L414" si="59">L384</f>
        <v>MO TRM</v>
      </c>
      <c r="M385" s="328"/>
      <c r="N385" s="1544"/>
      <c r="O385" s="328"/>
      <c r="P385" s="123"/>
      <c r="Q385" s="123"/>
      <c r="R385" s="123"/>
      <c r="S385" s="123"/>
      <c r="T385" s="123"/>
      <c r="U385" s="123"/>
      <c r="V385" s="4005"/>
      <c r="W385" s="2857"/>
      <c r="X385" s="2857"/>
      <c r="Y385" s="2857"/>
      <c r="Z385" s="3155">
        <v>13</v>
      </c>
      <c r="AA385" s="2857">
        <v>13</v>
      </c>
      <c r="AB385" s="699">
        <v>13</v>
      </c>
      <c r="AC385" s="2857">
        <v>13</v>
      </c>
      <c r="AD385" s="2857"/>
      <c r="AE385" s="2857"/>
      <c r="AF385" s="2857"/>
      <c r="AG385" s="2857"/>
      <c r="AH385" s="1942"/>
      <c r="AI385" s="1942"/>
      <c r="AJ385" s="1942"/>
      <c r="AK385" s="1942"/>
      <c r="AL385" s="1942"/>
      <c r="AM385" s="1942"/>
      <c r="AN385" s="1942"/>
      <c r="AO385" s="1942"/>
      <c r="AP385" s="1942"/>
      <c r="AQ385" s="1942"/>
      <c r="AR385" s="1942"/>
      <c r="AS385" s="1942"/>
      <c r="AT385" s="1942"/>
      <c r="AU385" s="1942"/>
      <c r="AV385" s="1942"/>
      <c r="AW385" s="1942"/>
      <c r="AX385" s="1942"/>
      <c r="AY385" s="1942"/>
      <c r="AZ385" s="1942"/>
      <c r="BA385" s="1942"/>
      <c r="BB385" s="575"/>
      <c r="BC385" s="584"/>
      <c r="BD385" s="678"/>
      <c r="BE385" s="585"/>
    </row>
    <row r="386" spans="1:57" s="51" customFormat="1" hidden="1" outlineLevel="1" x14ac:dyDescent="0.25">
      <c r="A386" s="1267"/>
      <c r="B386" s="228"/>
      <c r="C386" s="328"/>
      <c r="D386" s="4006"/>
      <c r="E386" s="4010"/>
      <c r="F386" s="3385" t="str">
        <f t="shared" si="55"/>
        <v>CAC-SEER18_ER1_MF</v>
      </c>
      <c r="G386" s="3386"/>
      <c r="H386" s="3387"/>
      <c r="I386" s="3155" t="str">
        <f t="shared" si="56"/>
        <v>351162_2021_12_</v>
      </c>
      <c r="J386" s="2857"/>
      <c r="K386" s="684"/>
      <c r="L386" s="2555" t="str">
        <f t="shared" si="59"/>
        <v>MO TRM</v>
      </c>
      <c r="M386" s="328"/>
      <c r="N386" s="1544"/>
      <c r="O386" s="328"/>
      <c r="P386" s="123"/>
      <c r="Q386" s="123"/>
      <c r="R386" s="123"/>
      <c r="S386" s="123"/>
      <c r="T386" s="123"/>
      <c r="U386" s="123"/>
      <c r="V386" s="4005"/>
      <c r="W386" s="2857"/>
      <c r="X386" s="3155"/>
      <c r="Y386" s="3155"/>
      <c r="Z386" s="3155"/>
      <c r="AA386" s="2857"/>
      <c r="AB386" s="699"/>
      <c r="AC386" s="2857"/>
      <c r="AD386" s="2857"/>
      <c r="AE386" s="2857"/>
      <c r="AF386" s="2857"/>
      <c r="AG386" s="2857"/>
      <c r="AH386" s="1942"/>
      <c r="AI386" s="1942"/>
      <c r="AJ386" s="1942"/>
      <c r="AK386" s="1942"/>
      <c r="AL386" s="1942"/>
      <c r="AM386" s="1942"/>
      <c r="AN386" s="1942"/>
      <c r="AO386" s="1942"/>
      <c r="AP386" s="1942"/>
      <c r="AQ386" s="1942"/>
      <c r="AR386" s="1942"/>
      <c r="AS386" s="1942"/>
      <c r="AT386" s="1942"/>
      <c r="AU386" s="1942"/>
      <c r="AV386" s="1942"/>
      <c r="AW386" s="1942"/>
      <c r="AX386" s="1942"/>
      <c r="AY386" s="1942"/>
      <c r="AZ386" s="1942"/>
      <c r="BA386" s="1942"/>
      <c r="BB386" s="575"/>
      <c r="BC386" s="584"/>
      <c r="BD386" s="678"/>
      <c r="BE386" s="585"/>
    </row>
    <row r="387" spans="1:57" s="51" customFormat="1" hidden="1" outlineLevel="1" x14ac:dyDescent="0.25">
      <c r="A387" s="1267"/>
      <c r="B387" s="228"/>
      <c r="C387" s="328"/>
      <c r="D387" s="4006"/>
      <c r="E387" s="4010"/>
      <c r="F387" s="3385" t="str">
        <f t="shared" si="55"/>
        <v>CAC-SEER18_ER2_MF</v>
      </c>
      <c r="G387" s="3386"/>
      <c r="H387" s="3387"/>
      <c r="I387" s="3155" t="str">
        <f t="shared" si="56"/>
        <v>351162_2021_12_</v>
      </c>
      <c r="J387" s="2857">
        <v>13</v>
      </c>
      <c r="K387" s="684"/>
      <c r="L387" s="2555" t="str">
        <f t="shared" si="59"/>
        <v>MO TRM</v>
      </c>
      <c r="M387" s="328"/>
      <c r="N387" s="1544"/>
      <c r="O387" s="328"/>
      <c r="P387" s="123"/>
      <c r="Q387" s="123"/>
      <c r="R387" s="123"/>
      <c r="S387" s="123"/>
      <c r="T387" s="123"/>
      <c r="U387" s="123"/>
      <c r="V387" s="4005"/>
      <c r="W387" s="2857"/>
      <c r="X387" s="2857"/>
      <c r="Y387" s="2857"/>
      <c r="Z387" s="3155">
        <v>13</v>
      </c>
      <c r="AA387" s="2857">
        <v>13</v>
      </c>
      <c r="AB387" s="699">
        <v>13</v>
      </c>
      <c r="AC387" s="2857">
        <v>13</v>
      </c>
      <c r="AD387" s="2857"/>
      <c r="AE387" s="2857"/>
      <c r="AF387" s="2857"/>
      <c r="AG387" s="2857"/>
      <c r="AH387" s="1942"/>
      <c r="AI387" s="1942"/>
      <c r="AJ387" s="1942"/>
      <c r="AK387" s="1942"/>
      <c r="AL387" s="1942"/>
      <c r="AM387" s="1942"/>
      <c r="AN387" s="1942"/>
      <c r="AO387" s="1942"/>
      <c r="AP387" s="1942"/>
      <c r="AQ387" s="1942"/>
      <c r="AR387" s="1942"/>
      <c r="AS387" s="1942"/>
      <c r="AT387" s="1942"/>
      <c r="AU387" s="1942"/>
      <c r="AV387" s="1942"/>
      <c r="AW387" s="1942"/>
      <c r="AX387" s="1942"/>
      <c r="AY387" s="1942"/>
      <c r="AZ387" s="1942"/>
      <c r="BA387" s="1942"/>
      <c r="BB387" s="575"/>
      <c r="BC387" s="584"/>
      <c r="BD387" s="678"/>
      <c r="BE387" s="585"/>
    </row>
    <row r="388" spans="1:57" s="51" customFormat="1" hidden="1" outlineLevel="1" x14ac:dyDescent="0.25">
      <c r="A388" s="1267"/>
      <c r="B388" s="228"/>
      <c r="C388" s="328"/>
      <c r="D388" s="4006"/>
      <c r="E388" s="4010"/>
      <c r="F388" s="3385" t="str">
        <f t="shared" si="55"/>
        <v>CAC-SEER18_ER1_MF_CompE</v>
      </c>
      <c r="G388" s="3386"/>
      <c r="H388" s="3387"/>
      <c r="I388" s="3155" t="str">
        <f t="shared" si="56"/>
        <v>351163_2021_12_</v>
      </c>
      <c r="J388" s="2857"/>
      <c r="K388" s="684"/>
      <c r="L388" s="2555"/>
      <c r="M388" s="328"/>
      <c r="N388" s="1544"/>
      <c r="O388" s="328"/>
      <c r="P388" s="123"/>
      <c r="Q388" s="123"/>
      <c r="R388" s="123"/>
      <c r="S388" s="123"/>
      <c r="T388" s="123"/>
      <c r="U388" s="123"/>
      <c r="V388" s="4005"/>
      <c r="W388" s="2857"/>
      <c r="X388" s="2857"/>
      <c r="Y388" s="2857"/>
      <c r="Z388" s="3155"/>
      <c r="AA388" s="2857"/>
      <c r="AB388" s="699"/>
      <c r="AC388" s="2857"/>
      <c r="AD388" s="2857"/>
      <c r="AE388" s="2857"/>
      <c r="AF388" s="2857"/>
      <c r="AG388" s="2857"/>
      <c r="AH388" s="1942"/>
      <c r="AI388" s="1942"/>
      <c r="AJ388" s="1942"/>
      <c r="AK388" s="1942"/>
      <c r="AL388" s="1942"/>
      <c r="AM388" s="1942"/>
      <c r="AN388" s="1942"/>
      <c r="AO388" s="1942"/>
      <c r="AP388" s="1942"/>
      <c r="AQ388" s="1942"/>
      <c r="AR388" s="1942"/>
      <c r="AS388" s="1942"/>
      <c r="AT388" s="1942"/>
      <c r="AU388" s="1942"/>
      <c r="AV388" s="1942"/>
      <c r="AW388" s="1942"/>
      <c r="AX388" s="1942"/>
      <c r="AY388" s="1942"/>
      <c r="AZ388" s="1942"/>
      <c r="BA388" s="1942"/>
      <c r="BB388" s="575"/>
      <c r="BC388" s="584"/>
      <c r="BD388" s="678"/>
      <c r="BE388" s="585"/>
    </row>
    <row r="389" spans="1:57" s="51" customFormat="1" hidden="1" outlineLevel="1" x14ac:dyDescent="0.25">
      <c r="A389" s="1267"/>
      <c r="B389" s="228"/>
      <c r="C389" s="328"/>
      <c r="D389" s="4006"/>
      <c r="E389" s="4010"/>
      <c r="F389" s="3385" t="str">
        <f t="shared" si="55"/>
        <v>CAC-SEER18_ER2_MF_CompE</v>
      </c>
      <c r="G389" s="3386"/>
      <c r="H389" s="3387"/>
      <c r="I389" s="3155" t="str">
        <f t="shared" si="56"/>
        <v>351163_2021_12_</v>
      </c>
      <c r="J389" s="2857">
        <v>13</v>
      </c>
      <c r="K389" s="684"/>
      <c r="L389" s="2555"/>
      <c r="M389" s="328"/>
      <c r="N389" s="1544"/>
      <c r="O389" s="328"/>
      <c r="P389" s="123"/>
      <c r="Q389" s="123"/>
      <c r="R389" s="123"/>
      <c r="S389" s="123"/>
      <c r="T389" s="123"/>
      <c r="U389" s="123"/>
      <c r="V389" s="4005"/>
      <c r="W389" s="2857"/>
      <c r="X389" s="2857"/>
      <c r="Y389" s="2857"/>
      <c r="Z389" s="3155">
        <v>13</v>
      </c>
      <c r="AA389" s="2857">
        <v>13</v>
      </c>
      <c r="AB389" s="699">
        <v>13</v>
      </c>
      <c r="AC389" s="2857">
        <v>13</v>
      </c>
      <c r="AD389" s="2857"/>
      <c r="AE389" s="2857"/>
      <c r="AF389" s="2857"/>
      <c r="AG389" s="2857"/>
      <c r="AH389" s="1942"/>
      <c r="AI389" s="1942"/>
      <c r="AJ389" s="1942"/>
      <c r="AK389" s="1942"/>
      <c r="AL389" s="1942"/>
      <c r="AM389" s="1942"/>
      <c r="AN389" s="1942"/>
      <c r="AO389" s="1942"/>
      <c r="AP389" s="1942"/>
      <c r="AQ389" s="1942"/>
      <c r="AR389" s="1942"/>
      <c r="AS389" s="1942"/>
      <c r="AT389" s="1942"/>
      <c r="AU389" s="1942"/>
      <c r="AV389" s="1942"/>
      <c r="AW389" s="1942"/>
      <c r="AX389" s="1942"/>
      <c r="AY389" s="1942"/>
      <c r="AZ389" s="1942"/>
      <c r="BA389" s="1942"/>
      <c r="BB389" s="575"/>
      <c r="BC389" s="584"/>
      <c r="BD389" s="678"/>
      <c r="BE389" s="585"/>
    </row>
    <row r="390" spans="1:57" s="51" customFormat="1" hidden="1" outlineLevel="1" x14ac:dyDescent="0.25">
      <c r="A390" s="1267"/>
      <c r="B390" s="228"/>
      <c r="C390" s="328"/>
      <c r="D390" s="4006"/>
      <c r="E390" s="4010"/>
      <c r="F390" s="3385" t="str">
        <f t="shared" si="55"/>
        <v>CAC-SEER18_ROF_MF</v>
      </c>
      <c r="G390" s="3386"/>
      <c r="H390" s="3387"/>
      <c r="I390" s="3155" t="str">
        <f t="shared" si="56"/>
        <v>351164_2021_12_</v>
      </c>
      <c r="J390" s="2857">
        <v>13</v>
      </c>
      <c r="K390" s="684"/>
      <c r="L390" s="2555" t="str">
        <f>L387</f>
        <v>MO TRM</v>
      </c>
      <c r="M390" s="328"/>
      <c r="N390" s="1544"/>
      <c r="O390" s="328"/>
      <c r="P390" s="123"/>
      <c r="Q390" s="123"/>
      <c r="R390" s="123"/>
      <c r="S390" s="123"/>
      <c r="T390" s="123"/>
      <c r="U390" s="123"/>
      <c r="V390" s="4005"/>
      <c r="W390" s="2857"/>
      <c r="X390" s="2857"/>
      <c r="Y390" s="2857"/>
      <c r="Z390" s="3155">
        <v>13</v>
      </c>
      <c r="AA390" s="2857">
        <v>13</v>
      </c>
      <c r="AB390" s="699">
        <v>13</v>
      </c>
      <c r="AC390" s="2857">
        <v>13</v>
      </c>
      <c r="AD390" s="2857"/>
      <c r="AE390" s="2857"/>
      <c r="AF390" s="2857"/>
      <c r="AG390" s="2857"/>
      <c r="AH390" s="1942"/>
      <c r="AI390" s="1942"/>
      <c r="AJ390" s="1942"/>
      <c r="AK390" s="1942"/>
      <c r="AL390" s="1942"/>
      <c r="AM390" s="1942"/>
      <c r="AN390" s="1942"/>
      <c r="AO390" s="1942"/>
      <c r="AP390" s="1942"/>
      <c r="AQ390" s="1942"/>
      <c r="AR390" s="1942"/>
      <c r="AS390" s="1942"/>
      <c r="AT390" s="1942"/>
      <c r="AU390" s="1942"/>
      <c r="AV390" s="1942"/>
      <c r="AW390" s="1942"/>
      <c r="AX390" s="1942"/>
      <c r="AY390" s="1942"/>
      <c r="AZ390" s="1942"/>
      <c r="BA390" s="1942"/>
      <c r="BB390" s="575"/>
      <c r="BC390" s="584"/>
      <c r="BD390" s="678"/>
      <c r="BE390" s="585"/>
    </row>
    <row r="391" spans="1:57" s="51" customFormat="1" hidden="1" outlineLevel="1" x14ac:dyDescent="0.25">
      <c r="A391" s="1267"/>
      <c r="B391" s="228"/>
      <c r="C391" s="328"/>
      <c r="D391" s="4006"/>
      <c r="E391" s="4010"/>
      <c r="F391" s="3385" t="str">
        <f t="shared" si="55"/>
        <v>CAC-SEER18_ROF_MF_CompE</v>
      </c>
      <c r="G391" s="3386"/>
      <c r="H391" s="3387"/>
      <c r="I391" s="3155" t="str">
        <f t="shared" si="56"/>
        <v>351165_2021_12_</v>
      </c>
      <c r="J391" s="2857">
        <v>13</v>
      </c>
      <c r="K391" s="684"/>
      <c r="L391" s="2555"/>
      <c r="M391" s="328"/>
      <c r="N391" s="1544"/>
      <c r="O391" s="328"/>
      <c r="P391" s="123"/>
      <c r="Q391" s="123"/>
      <c r="R391" s="123"/>
      <c r="S391" s="123"/>
      <c r="T391" s="123"/>
      <c r="U391" s="123"/>
      <c r="V391" s="4005"/>
      <c r="W391" s="2857"/>
      <c r="X391" s="2857"/>
      <c r="Y391" s="2857"/>
      <c r="Z391" s="3155">
        <v>13</v>
      </c>
      <c r="AA391" s="2857">
        <v>13</v>
      </c>
      <c r="AB391" s="699">
        <v>13</v>
      </c>
      <c r="AC391" s="2857">
        <v>13</v>
      </c>
      <c r="AD391" s="2857"/>
      <c r="AE391" s="2857"/>
      <c r="AF391" s="2857"/>
      <c r="AG391" s="2857"/>
      <c r="AH391" s="1942"/>
      <c r="AI391" s="1942"/>
      <c r="AJ391" s="1942"/>
      <c r="AK391" s="1942"/>
      <c r="AL391" s="1942"/>
      <c r="AM391" s="1942"/>
      <c r="AN391" s="1942"/>
      <c r="AO391" s="1942"/>
      <c r="AP391" s="1942"/>
      <c r="AQ391" s="1942"/>
      <c r="AR391" s="1942"/>
      <c r="AS391" s="1942"/>
      <c r="AT391" s="1942"/>
      <c r="AU391" s="1942"/>
      <c r="AV391" s="1942"/>
      <c r="AW391" s="1942"/>
      <c r="AX391" s="1942"/>
      <c r="AY391" s="1942"/>
      <c r="AZ391" s="1942"/>
      <c r="BA391" s="1942"/>
      <c r="BB391" s="575"/>
      <c r="BC391" s="584"/>
      <c r="BD391" s="678"/>
      <c r="BE391" s="585"/>
    </row>
    <row r="392" spans="1:57" s="51" customFormat="1" hidden="1" outlineLevel="1" x14ac:dyDescent="0.25">
      <c r="A392" s="1267"/>
      <c r="B392" s="228"/>
      <c r="C392" s="328"/>
      <c r="D392" s="4006"/>
      <c r="E392" s="4010"/>
      <c r="F392" s="3385" t="str">
        <f t="shared" si="55"/>
        <v>CAC-SEER19_ER1_SF</v>
      </c>
      <c r="G392" s="3386"/>
      <c r="H392" s="3387"/>
      <c r="I392" s="3155" t="str">
        <f t="shared" si="56"/>
        <v>351170_2021_12_</v>
      </c>
      <c r="J392" s="2857"/>
      <c r="K392" s="684"/>
      <c r="L392" s="2555" t="str">
        <f>L390</f>
        <v>MO TRM</v>
      </c>
      <c r="M392" s="328"/>
      <c r="N392" s="1544"/>
      <c r="O392" s="328"/>
      <c r="P392" s="123"/>
      <c r="Q392" s="123"/>
      <c r="R392" s="123"/>
      <c r="S392" s="123"/>
      <c r="T392" s="123"/>
      <c r="U392" s="123"/>
      <c r="V392" s="4005"/>
      <c r="W392" s="2857"/>
      <c r="X392" s="3155"/>
      <c r="Y392" s="3155"/>
      <c r="Z392" s="3155"/>
      <c r="AA392" s="2857"/>
      <c r="AB392" s="699"/>
      <c r="AC392" s="2857"/>
      <c r="AD392" s="2857"/>
      <c r="AE392" s="2857"/>
      <c r="AF392" s="2857"/>
      <c r="AG392" s="2857"/>
      <c r="AH392" s="1942"/>
      <c r="AI392" s="1942"/>
      <c r="AJ392" s="1942"/>
      <c r="AK392" s="1942"/>
      <c r="AL392" s="1942"/>
      <c r="AM392" s="1942"/>
      <c r="AN392" s="1942"/>
      <c r="AO392" s="1942"/>
      <c r="AP392" s="1942"/>
      <c r="AQ392" s="1942"/>
      <c r="AR392" s="1942"/>
      <c r="AS392" s="1942"/>
      <c r="AT392" s="1942"/>
      <c r="AU392" s="1942"/>
      <c r="AV392" s="1942"/>
      <c r="AW392" s="1942"/>
      <c r="AX392" s="1942"/>
      <c r="AY392" s="1942"/>
      <c r="AZ392" s="1942"/>
      <c r="BA392" s="1942"/>
      <c r="BB392" s="575"/>
      <c r="BC392" s="584"/>
      <c r="BD392" s="678"/>
      <c r="BE392" s="585"/>
    </row>
    <row r="393" spans="1:57" s="51" customFormat="1" hidden="1" outlineLevel="1" x14ac:dyDescent="0.25">
      <c r="A393" s="1267"/>
      <c r="B393" s="228"/>
      <c r="C393" s="328"/>
      <c r="D393" s="4006"/>
      <c r="E393" s="4010"/>
      <c r="F393" s="3385" t="str">
        <f t="shared" si="55"/>
        <v>CAC-SEER19_ER2_SF</v>
      </c>
      <c r="G393" s="3386"/>
      <c r="H393" s="3387"/>
      <c r="I393" s="3155" t="str">
        <f t="shared" si="56"/>
        <v>351170_2021_12_</v>
      </c>
      <c r="J393" s="2857">
        <v>13</v>
      </c>
      <c r="K393" s="684"/>
      <c r="L393" s="2555" t="str">
        <f t="shared" si="59"/>
        <v>MO TRM</v>
      </c>
      <c r="M393" s="328"/>
      <c r="N393" s="1544"/>
      <c r="O393" s="328"/>
      <c r="P393" s="123"/>
      <c r="Q393" s="123"/>
      <c r="R393" s="123"/>
      <c r="S393" s="123"/>
      <c r="T393" s="123"/>
      <c r="U393" s="123"/>
      <c r="V393" s="4005"/>
      <c r="W393" s="2857"/>
      <c r="X393" s="2857"/>
      <c r="Y393" s="2857"/>
      <c r="Z393" s="3155">
        <v>13</v>
      </c>
      <c r="AA393" s="2857">
        <v>13</v>
      </c>
      <c r="AB393" s="699">
        <v>13</v>
      </c>
      <c r="AC393" s="2857">
        <v>13</v>
      </c>
      <c r="AD393" s="2857"/>
      <c r="AE393" s="2857"/>
      <c r="AF393" s="2857"/>
      <c r="AG393" s="2857"/>
      <c r="AH393" s="1942"/>
      <c r="AI393" s="1942"/>
      <c r="AJ393" s="1942"/>
      <c r="AK393" s="1942"/>
      <c r="AL393" s="1942"/>
      <c r="AM393" s="1942"/>
      <c r="AN393" s="1942"/>
      <c r="AO393" s="1942"/>
      <c r="AP393" s="1942"/>
      <c r="AQ393" s="1942"/>
      <c r="AR393" s="1942"/>
      <c r="AS393" s="1942"/>
      <c r="AT393" s="1942"/>
      <c r="AU393" s="1942"/>
      <c r="AV393" s="1942"/>
      <c r="AW393" s="1942"/>
      <c r="AX393" s="1942"/>
      <c r="AY393" s="1942"/>
      <c r="AZ393" s="1942"/>
      <c r="BA393" s="1942"/>
      <c r="BB393" s="575"/>
      <c r="BC393" s="584"/>
      <c r="BD393" s="678"/>
      <c r="BE393" s="585"/>
    </row>
    <row r="394" spans="1:57" s="51" customFormat="1" hidden="1" outlineLevel="1" x14ac:dyDescent="0.25">
      <c r="A394" s="1267"/>
      <c r="B394" s="228"/>
      <c r="C394" s="328"/>
      <c r="D394" s="4006"/>
      <c r="E394" s="4010"/>
      <c r="F394" s="3385" t="str">
        <f t="shared" si="55"/>
        <v>CAC-SEER19_ROF_SF</v>
      </c>
      <c r="G394" s="3386"/>
      <c r="H394" s="3387"/>
      <c r="I394" s="3155" t="str">
        <f t="shared" si="56"/>
        <v>351171_2021_12_</v>
      </c>
      <c r="J394" s="2857">
        <v>13</v>
      </c>
      <c r="K394" s="684"/>
      <c r="L394" s="2555" t="str">
        <f t="shared" si="59"/>
        <v>MO TRM</v>
      </c>
      <c r="M394" s="328"/>
      <c r="N394" s="1544"/>
      <c r="O394" s="328"/>
      <c r="P394" s="123"/>
      <c r="Q394" s="123"/>
      <c r="R394" s="123"/>
      <c r="S394" s="123"/>
      <c r="T394" s="123"/>
      <c r="U394" s="123"/>
      <c r="V394" s="4005"/>
      <c r="W394" s="2857"/>
      <c r="X394" s="2857"/>
      <c r="Y394" s="2857"/>
      <c r="Z394" s="3155">
        <v>13</v>
      </c>
      <c r="AA394" s="2857">
        <v>13</v>
      </c>
      <c r="AB394" s="699">
        <v>13</v>
      </c>
      <c r="AC394" s="2857">
        <v>13</v>
      </c>
      <c r="AD394" s="2857"/>
      <c r="AE394" s="2857"/>
      <c r="AF394" s="2857"/>
      <c r="AG394" s="2857"/>
      <c r="AH394" s="1942"/>
      <c r="AI394" s="1942"/>
      <c r="AJ394" s="1942"/>
      <c r="AK394" s="1942"/>
      <c r="AL394" s="1942"/>
      <c r="AM394" s="1942"/>
      <c r="AN394" s="1942"/>
      <c r="AO394" s="1942"/>
      <c r="AP394" s="1942"/>
      <c r="AQ394" s="1942"/>
      <c r="AR394" s="1942"/>
      <c r="AS394" s="1942"/>
      <c r="AT394" s="1942"/>
      <c r="AU394" s="1942"/>
      <c r="AV394" s="1942"/>
      <c r="AW394" s="1942"/>
      <c r="AX394" s="1942"/>
      <c r="AY394" s="1942"/>
      <c r="AZ394" s="1942"/>
      <c r="BA394" s="1942"/>
      <c r="BB394" s="575"/>
      <c r="BC394" s="584"/>
      <c r="BD394" s="678"/>
      <c r="BE394" s="585"/>
    </row>
    <row r="395" spans="1:57" s="51" customFormat="1" hidden="1" outlineLevel="1" x14ac:dyDescent="0.25">
      <c r="A395" s="1267"/>
      <c r="B395" s="228"/>
      <c r="C395" s="328"/>
      <c r="D395" s="4006"/>
      <c r="E395" s="4010"/>
      <c r="F395" s="3385" t="str">
        <f t="shared" si="55"/>
        <v>CAC-SEER19_ER1_MF</v>
      </c>
      <c r="G395" s="3386"/>
      <c r="H395" s="3387"/>
      <c r="I395" s="3155" t="str">
        <f t="shared" si="56"/>
        <v>351172_2021_12_</v>
      </c>
      <c r="J395" s="2857"/>
      <c r="K395" s="684"/>
      <c r="L395" s="2555" t="str">
        <f t="shared" si="59"/>
        <v>MO TRM</v>
      </c>
      <c r="M395" s="328"/>
      <c r="N395" s="1544"/>
      <c r="O395" s="328"/>
      <c r="P395" s="123"/>
      <c r="Q395" s="123"/>
      <c r="R395" s="123"/>
      <c r="S395" s="123"/>
      <c r="T395" s="123"/>
      <c r="U395" s="123"/>
      <c r="V395" s="4005"/>
      <c r="W395" s="2857"/>
      <c r="X395" s="3155"/>
      <c r="Y395" s="3155"/>
      <c r="Z395" s="3155"/>
      <c r="AA395" s="2857"/>
      <c r="AB395" s="699"/>
      <c r="AC395" s="2857"/>
      <c r="AD395" s="2857"/>
      <c r="AE395" s="2857"/>
      <c r="AF395" s="2857"/>
      <c r="AG395" s="2857"/>
      <c r="AH395" s="1942"/>
      <c r="AI395" s="1942"/>
      <c r="AJ395" s="1942"/>
      <c r="AK395" s="1942"/>
      <c r="AL395" s="1942"/>
      <c r="AM395" s="1942"/>
      <c r="AN395" s="1942"/>
      <c r="AO395" s="1942"/>
      <c r="AP395" s="1942"/>
      <c r="AQ395" s="1942"/>
      <c r="AR395" s="1942"/>
      <c r="AS395" s="1942"/>
      <c r="AT395" s="1942"/>
      <c r="AU395" s="1942"/>
      <c r="AV395" s="1942"/>
      <c r="AW395" s="1942"/>
      <c r="AX395" s="1942"/>
      <c r="AY395" s="1942"/>
      <c r="AZ395" s="1942"/>
      <c r="BA395" s="1942"/>
      <c r="BB395" s="575"/>
      <c r="BC395" s="584"/>
      <c r="BD395" s="678"/>
      <c r="BE395" s="585"/>
    </row>
    <row r="396" spans="1:57" s="51" customFormat="1" hidden="1" outlineLevel="1" x14ac:dyDescent="0.25">
      <c r="A396" s="1267"/>
      <c r="B396" s="228"/>
      <c r="C396" s="328"/>
      <c r="D396" s="4006"/>
      <c r="E396" s="4010"/>
      <c r="F396" s="3385" t="str">
        <f t="shared" si="55"/>
        <v>CAC-SEER19_ER2_MF</v>
      </c>
      <c r="G396" s="3386"/>
      <c r="H396" s="3387"/>
      <c r="I396" s="3155" t="str">
        <f t="shared" si="56"/>
        <v>351172_2021_12_</v>
      </c>
      <c r="J396" s="2857">
        <v>13</v>
      </c>
      <c r="K396" s="684"/>
      <c r="L396" s="2555" t="str">
        <f t="shared" si="59"/>
        <v>MO TRM</v>
      </c>
      <c r="M396" s="328"/>
      <c r="N396" s="1544"/>
      <c r="O396" s="328"/>
      <c r="P396" s="123"/>
      <c r="Q396" s="123"/>
      <c r="R396" s="123"/>
      <c r="S396" s="123"/>
      <c r="T396" s="123"/>
      <c r="U396" s="123"/>
      <c r="V396" s="4005"/>
      <c r="W396" s="2857"/>
      <c r="X396" s="2857"/>
      <c r="Y396" s="2857"/>
      <c r="Z396" s="3155">
        <v>13</v>
      </c>
      <c r="AA396" s="2857">
        <v>13</v>
      </c>
      <c r="AB396" s="699">
        <v>13</v>
      </c>
      <c r="AC396" s="2857">
        <v>13</v>
      </c>
      <c r="AD396" s="2857"/>
      <c r="AE396" s="2857"/>
      <c r="AF396" s="2857"/>
      <c r="AG396" s="2857"/>
      <c r="AH396" s="1942"/>
      <c r="AI396" s="1942"/>
      <c r="AJ396" s="1942"/>
      <c r="AK396" s="1942"/>
      <c r="AL396" s="1942"/>
      <c r="AM396" s="1942"/>
      <c r="AN396" s="1942"/>
      <c r="AO396" s="1942"/>
      <c r="AP396" s="1942"/>
      <c r="AQ396" s="1942"/>
      <c r="AR396" s="1942"/>
      <c r="AS396" s="1942"/>
      <c r="AT396" s="1942"/>
      <c r="AU396" s="1942"/>
      <c r="AV396" s="1942"/>
      <c r="AW396" s="1942"/>
      <c r="AX396" s="1942"/>
      <c r="AY396" s="1942"/>
      <c r="AZ396" s="1942"/>
      <c r="BA396" s="1942"/>
      <c r="BB396" s="575"/>
      <c r="BC396" s="584"/>
      <c r="BD396" s="678"/>
      <c r="BE396" s="585"/>
    </row>
    <row r="397" spans="1:57" s="51" customFormat="1" hidden="1" outlineLevel="1" x14ac:dyDescent="0.25">
      <c r="A397" s="1267"/>
      <c r="B397" s="228"/>
      <c r="C397" s="328"/>
      <c r="D397" s="4006"/>
      <c r="E397" s="4010"/>
      <c r="F397" s="3385" t="str">
        <f t="shared" si="55"/>
        <v>CAC-SEER19_ER1_MF_CompE</v>
      </c>
      <c r="G397" s="3386"/>
      <c r="H397" s="3387"/>
      <c r="I397" s="3155" t="str">
        <f t="shared" si="56"/>
        <v>351173_2021_12_</v>
      </c>
      <c r="J397" s="2857"/>
      <c r="K397" s="684"/>
      <c r="L397" s="2555"/>
      <c r="M397" s="328"/>
      <c r="N397" s="1544"/>
      <c r="O397" s="328"/>
      <c r="P397" s="123"/>
      <c r="Q397" s="123"/>
      <c r="R397" s="123"/>
      <c r="S397" s="123"/>
      <c r="T397" s="123"/>
      <c r="U397" s="123"/>
      <c r="V397" s="4005"/>
      <c r="W397" s="2857"/>
      <c r="X397" s="2857"/>
      <c r="Y397" s="2857"/>
      <c r="Z397" s="3155"/>
      <c r="AA397" s="2857"/>
      <c r="AB397" s="699"/>
      <c r="AC397" s="2857"/>
      <c r="AD397" s="2857"/>
      <c r="AE397" s="2857"/>
      <c r="AF397" s="2857"/>
      <c r="AG397" s="2857"/>
      <c r="AH397" s="1942"/>
      <c r="AI397" s="1942"/>
      <c r="AJ397" s="1942"/>
      <c r="AK397" s="1942"/>
      <c r="AL397" s="1942"/>
      <c r="AM397" s="1942"/>
      <c r="AN397" s="1942"/>
      <c r="AO397" s="1942"/>
      <c r="AP397" s="1942"/>
      <c r="AQ397" s="1942"/>
      <c r="AR397" s="1942"/>
      <c r="AS397" s="1942"/>
      <c r="AT397" s="1942"/>
      <c r="AU397" s="1942"/>
      <c r="AV397" s="1942"/>
      <c r="AW397" s="1942"/>
      <c r="AX397" s="1942"/>
      <c r="AY397" s="1942"/>
      <c r="AZ397" s="1942"/>
      <c r="BA397" s="1942"/>
      <c r="BB397" s="575"/>
      <c r="BC397" s="584"/>
      <c r="BD397" s="678"/>
      <c r="BE397" s="585"/>
    </row>
    <row r="398" spans="1:57" s="51" customFormat="1" hidden="1" outlineLevel="1" x14ac:dyDescent="0.25">
      <c r="A398" s="1267"/>
      <c r="B398" s="228"/>
      <c r="C398" s="328"/>
      <c r="D398" s="4006"/>
      <c r="E398" s="4010"/>
      <c r="F398" s="3385" t="str">
        <f t="shared" si="55"/>
        <v>CAC-SEER19_ER2_MF_CompE</v>
      </c>
      <c r="G398" s="3386"/>
      <c r="H398" s="3387"/>
      <c r="I398" s="3155" t="str">
        <f t="shared" si="56"/>
        <v>351173_2021_12_</v>
      </c>
      <c r="J398" s="2857">
        <v>13</v>
      </c>
      <c r="K398" s="684"/>
      <c r="L398" s="2555"/>
      <c r="M398" s="328"/>
      <c r="N398" s="1544"/>
      <c r="O398" s="328"/>
      <c r="P398" s="123"/>
      <c r="Q398" s="123"/>
      <c r="R398" s="123"/>
      <c r="S398" s="123"/>
      <c r="T398" s="123"/>
      <c r="U398" s="123"/>
      <c r="V398" s="4005"/>
      <c r="W398" s="2857"/>
      <c r="X398" s="2857"/>
      <c r="Y398" s="2857"/>
      <c r="Z398" s="3155">
        <v>13</v>
      </c>
      <c r="AA398" s="2857">
        <v>13</v>
      </c>
      <c r="AB398" s="699">
        <v>13</v>
      </c>
      <c r="AC398" s="2857">
        <v>13</v>
      </c>
      <c r="AD398" s="2857"/>
      <c r="AE398" s="2857"/>
      <c r="AF398" s="2857"/>
      <c r="AG398" s="2857"/>
      <c r="AH398" s="1942"/>
      <c r="AI398" s="1942"/>
      <c r="AJ398" s="1942"/>
      <c r="AK398" s="1942"/>
      <c r="AL398" s="1942"/>
      <c r="AM398" s="1942"/>
      <c r="AN398" s="1942"/>
      <c r="AO398" s="1942"/>
      <c r="AP398" s="1942"/>
      <c r="AQ398" s="1942"/>
      <c r="AR398" s="1942"/>
      <c r="AS398" s="1942"/>
      <c r="AT398" s="1942"/>
      <c r="AU398" s="1942"/>
      <c r="AV398" s="1942"/>
      <c r="AW398" s="1942"/>
      <c r="AX398" s="1942"/>
      <c r="AY398" s="1942"/>
      <c r="AZ398" s="1942"/>
      <c r="BA398" s="1942"/>
      <c r="BB398" s="575"/>
      <c r="BC398" s="584"/>
      <c r="BD398" s="678"/>
      <c r="BE398" s="585"/>
    </row>
    <row r="399" spans="1:57" s="51" customFormat="1" hidden="1" outlineLevel="1" x14ac:dyDescent="0.25">
      <c r="A399" s="1267"/>
      <c r="B399" s="228"/>
      <c r="C399" s="328"/>
      <c r="D399" s="4006"/>
      <c r="E399" s="4010"/>
      <c r="F399" s="3385" t="str">
        <f t="shared" si="55"/>
        <v>CAC-SEER19_ROF_MF</v>
      </c>
      <c r="G399" s="3386"/>
      <c r="H399" s="3387"/>
      <c r="I399" s="3155" t="str">
        <f t="shared" si="56"/>
        <v>351174_2021_12_</v>
      </c>
      <c r="J399" s="2857">
        <v>13</v>
      </c>
      <c r="K399" s="684"/>
      <c r="L399" s="2555" t="str">
        <f>L396</f>
        <v>MO TRM</v>
      </c>
      <c r="M399" s="328"/>
      <c r="N399" s="1544"/>
      <c r="O399" s="328"/>
      <c r="P399" s="123"/>
      <c r="Q399" s="123"/>
      <c r="R399" s="123"/>
      <c r="S399" s="123"/>
      <c r="T399" s="123"/>
      <c r="U399" s="123"/>
      <c r="V399" s="4005"/>
      <c r="W399" s="2857"/>
      <c r="X399" s="2857"/>
      <c r="Y399" s="2857"/>
      <c r="Z399" s="3155">
        <v>13</v>
      </c>
      <c r="AA399" s="2857">
        <v>13</v>
      </c>
      <c r="AB399" s="699">
        <v>13</v>
      </c>
      <c r="AC399" s="2857">
        <v>13</v>
      </c>
      <c r="AD399" s="2857"/>
      <c r="AE399" s="2857"/>
      <c r="AF399" s="2857"/>
      <c r="AG399" s="2857"/>
      <c r="AH399" s="1942"/>
      <c r="AI399" s="1942"/>
      <c r="AJ399" s="1942"/>
      <c r="AK399" s="1942"/>
      <c r="AL399" s="1942"/>
      <c r="AM399" s="1942"/>
      <c r="AN399" s="1942"/>
      <c r="AO399" s="1942"/>
      <c r="AP399" s="1942"/>
      <c r="AQ399" s="1942"/>
      <c r="AR399" s="1942"/>
      <c r="AS399" s="1942"/>
      <c r="AT399" s="1942"/>
      <c r="AU399" s="1942"/>
      <c r="AV399" s="1942"/>
      <c r="AW399" s="1942"/>
      <c r="AX399" s="1942"/>
      <c r="AY399" s="1942"/>
      <c r="AZ399" s="1942"/>
      <c r="BA399" s="1942"/>
      <c r="BB399" s="575"/>
      <c r="BC399" s="584"/>
      <c r="BD399" s="678"/>
      <c r="BE399" s="585"/>
    </row>
    <row r="400" spans="1:57" s="51" customFormat="1" hidden="1" outlineLevel="1" x14ac:dyDescent="0.25">
      <c r="A400" s="1267"/>
      <c r="B400" s="228"/>
      <c r="C400" s="328"/>
      <c r="D400" s="4006"/>
      <c r="E400" s="4010"/>
      <c r="F400" s="3385" t="str">
        <f t="shared" si="55"/>
        <v>CAC-SEER19_ROF_MF_CompE</v>
      </c>
      <c r="G400" s="3386"/>
      <c r="H400" s="3387"/>
      <c r="I400" s="3155" t="str">
        <f t="shared" si="56"/>
        <v>351175_2021_12_</v>
      </c>
      <c r="J400" s="2857">
        <v>13</v>
      </c>
      <c r="K400" s="684"/>
      <c r="L400" s="2555"/>
      <c r="M400" s="328"/>
      <c r="N400" s="1544"/>
      <c r="O400" s="328"/>
      <c r="P400" s="123"/>
      <c r="Q400" s="123"/>
      <c r="R400" s="123"/>
      <c r="S400" s="123"/>
      <c r="T400" s="123"/>
      <c r="U400" s="123"/>
      <c r="V400" s="4005"/>
      <c r="W400" s="2857"/>
      <c r="X400" s="2857"/>
      <c r="Y400" s="2857"/>
      <c r="Z400" s="3155">
        <v>13</v>
      </c>
      <c r="AA400" s="2857">
        <v>13</v>
      </c>
      <c r="AB400" s="699">
        <v>13</v>
      </c>
      <c r="AC400" s="2857">
        <v>13</v>
      </c>
      <c r="AD400" s="2857"/>
      <c r="AE400" s="2857"/>
      <c r="AF400" s="2857"/>
      <c r="AG400" s="2857"/>
      <c r="AH400" s="1942"/>
      <c r="AI400" s="1942"/>
      <c r="AJ400" s="1942"/>
      <c r="AK400" s="1942"/>
      <c r="AL400" s="1942"/>
      <c r="AM400" s="1942"/>
      <c r="AN400" s="1942"/>
      <c r="AO400" s="1942"/>
      <c r="AP400" s="1942"/>
      <c r="AQ400" s="1942"/>
      <c r="AR400" s="1942"/>
      <c r="AS400" s="1942"/>
      <c r="AT400" s="1942"/>
      <c r="AU400" s="1942"/>
      <c r="AV400" s="1942"/>
      <c r="AW400" s="1942"/>
      <c r="AX400" s="1942"/>
      <c r="AY400" s="1942"/>
      <c r="AZ400" s="1942"/>
      <c r="BA400" s="1942"/>
      <c r="BB400" s="575"/>
      <c r="BC400" s="584"/>
      <c r="BD400" s="678"/>
      <c r="BE400" s="585"/>
    </row>
    <row r="401" spans="1:57" s="51" customFormat="1" hidden="1" outlineLevel="1" x14ac:dyDescent="0.25">
      <c r="A401" s="1267"/>
      <c r="B401" s="228"/>
      <c r="C401" s="328"/>
      <c r="D401" s="4006"/>
      <c r="E401" s="4010"/>
      <c r="F401" s="3385" t="str">
        <f t="shared" si="55"/>
        <v>CAC-SEER20_ER1_SF</v>
      </c>
      <c r="G401" s="3386"/>
      <c r="H401" s="3387"/>
      <c r="I401" s="3155" t="str">
        <f t="shared" si="56"/>
        <v>351180_2021_12_</v>
      </c>
      <c r="J401" s="2857"/>
      <c r="K401" s="684"/>
      <c r="L401" s="2555" t="str">
        <f>L399</f>
        <v>MO TRM</v>
      </c>
      <c r="M401" s="328"/>
      <c r="N401" s="1544"/>
      <c r="O401" s="328"/>
      <c r="P401" s="123"/>
      <c r="Q401" s="123"/>
      <c r="R401" s="123"/>
      <c r="S401" s="123"/>
      <c r="T401" s="123"/>
      <c r="U401" s="123"/>
      <c r="V401" s="4005"/>
      <c r="W401" s="2857"/>
      <c r="X401" s="3155"/>
      <c r="Y401" s="3155"/>
      <c r="Z401" s="3155"/>
      <c r="AA401" s="2857"/>
      <c r="AB401" s="699"/>
      <c r="AC401" s="2857"/>
      <c r="AD401" s="2857"/>
      <c r="AE401" s="2857"/>
      <c r="AF401" s="2857"/>
      <c r="AG401" s="2857"/>
      <c r="AH401" s="1942"/>
      <c r="AI401" s="1942"/>
      <c r="AJ401" s="1942"/>
      <c r="AK401" s="1942"/>
      <c r="AL401" s="1942"/>
      <c r="AM401" s="1942"/>
      <c r="AN401" s="1942"/>
      <c r="AO401" s="1942"/>
      <c r="AP401" s="1942"/>
      <c r="AQ401" s="1942"/>
      <c r="AR401" s="1942"/>
      <c r="AS401" s="1942"/>
      <c r="AT401" s="1942"/>
      <c r="AU401" s="1942"/>
      <c r="AV401" s="1942"/>
      <c r="AW401" s="1942"/>
      <c r="AX401" s="1942"/>
      <c r="AY401" s="1942"/>
      <c r="AZ401" s="1942"/>
      <c r="BA401" s="1942"/>
      <c r="BB401" s="575"/>
      <c r="BC401" s="584"/>
      <c r="BD401" s="678"/>
      <c r="BE401" s="585"/>
    </row>
    <row r="402" spans="1:57" s="51" customFormat="1" hidden="1" outlineLevel="1" x14ac:dyDescent="0.25">
      <c r="A402" s="1267"/>
      <c r="B402" s="228"/>
      <c r="C402" s="328"/>
      <c r="D402" s="4006"/>
      <c r="E402" s="4010"/>
      <c r="F402" s="3385" t="str">
        <f t="shared" si="55"/>
        <v>CAC-SEER20_ER2_SF</v>
      </c>
      <c r="G402" s="3386"/>
      <c r="H402" s="3387"/>
      <c r="I402" s="3155" t="str">
        <f t="shared" si="56"/>
        <v>351180_2021_12_</v>
      </c>
      <c r="J402" s="2857">
        <v>13</v>
      </c>
      <c r="K402" s="684"/>
      <c r="L402" s="2555" t="str">
        <f t="shared" si="59"/>
        <v>MO TRM</v>
      </c>
      <c r="M402" s="328"/>
      <c r="N402" s="1544"/>
      <c r="O402" s="328"/>
      <c r="P402" s="123"/>
      <c r="Q402" s="123"/>
      <c r="R402" s="123"/>
      <c r="S402" s="123"/>
      <c r="T402" s="123"/>
      <c r="U402" s="123"/>
      <c r="V402" s="4005"/>
      <c r="W402" s="2857"/>
      <c r="X402" s="2857"/>
      <c r="Y402" s="2857"/>
      <c r="Z402" s="3155">
        <v>13</v>
      </c>
      <c r="AA402" s="2857">
        <v>13</v>
      </c>
      <c r="AB402" s="699">
        <v>13</v>
      </c>
      <c r="AC402" s="2857">
        <v>13</v>
      </c>
      <c r="AD402" s="2857"/>
      <c r="AE402" s="2857"/>
      <c r="AF402" s="2857"/>
      <c r="AG402" s="2857"/>
      <c r="AH402" s="1942"/>
      <c r="AI402" s="1942"/>
      <c r="AJ402" s="1942"/>
      <c r="AK402" s="1942"/>
      <c r="AL402" s="1942"/>
      <c r="AM402" s="1942"/>
      <c r="AN402" s="1942"/>
      <c r="AO402" s="1942"/>
      <c r="AP402" s="1942"/>
      <c r="AQ402" s="1942"/>
      <c r="AR402" s="1942"/>
      <c r="AS402" s="1942"/>
      <c r="AT402" s="1942"/>
      <c r="AU402" s="1942"/>
      <c r="AV402" s="1942"/>
      <c r="AW402" s="1942"/>
      <c r="AX402" s="1942"/>
      <c r="AY402" s="1942"/>
      <c r="AZ402" s="1942"/>
      <c r="BA402" s="1942"/>
      <c r="BB402" s="575"/>
      <c r="BC402" s="584"/>
      <c r="BD402" s="678"/>
      <c r="BE402" s="585"/>
    </row>
    <row r="403" spans="1:57" s="51" customFormat="1" hidden="1" outlineLevel="1" x14ac:dyDescent="0.25">
      <c r="A403" s="1267"/>
      <c r="B403" s="228"/>
      <c r="C403" s="328"/>
      <c r="D403" s="4006"/>
      <c r="E403" s="4010"/>
      <c r="F403" s="3385" t="str">
        <f t="shared" ref="F403:F466" si="60">F331</f>
        <v>CAC-SEER20_ROF_SF</v>
      </c>
      <c r="G403" s="3386"/>
      <c r="H403" s="3387"/>
      <c r="I403" s="3155" t="str">
        <f t="shared" ref="I403:I466" si="61">I331</f>
        <v>351181_2021_12_</v>
      </c>
      <c r="J403" s="2857">
        <v>13</v>
      </c>
      <c r="K403" s="684"/>
      <c r="L403" s="2555" t="str">
        <f t="shared" si="59"/>
        <v>MO TRM</v>
      </c>
      <c r="M403" s="328"/>
      <c r="N403" s="1544"/>
      <c r="O403" s="328"/>
      <c r="P403" s="123"/>
      <c r="Q403" s="123"/>
      <c r="R403" s="123"/>
      <c r="S403" s="123"/>
      <c r="T403" s="123"/>
      <c r="U403" s="123"/>
      <c r="V403" s="4005"/>
      <c r="W403" s="2857"/>
      <c r="X403" s="2857"/>
      <c r="Y403" s="2857"/>
      <c r="Z403" s="3155">
        <v>13</v>
      </c>
      <c r="AA403" s="2857">
        <v>13</v>
      </c>
      <c r="AB403" s="699">
        <v>13</v>
      </c>
      <c r="AC403" s="2857">
        <v>13</v>
      </c>
      <c r="AD403" s="2857"/>
      <c r="AE403" s="2857"/>
      <c r="AF403" s="2857"/>
      <c r="AG403" s="2857"/>
      <c r="AH403" s="1942"/>
      <c r="AI403" s="1942"/>
      <c r="AJ403" s="1942"/>
      <c r="AK403" s="1942"/>
      <c r="AL403" s="1942"/>
      <c r="AM403" s="1942"/>
      <c r="AN403" s="1942"/>
      <c r="AO403" s="1942"/>
      <c r="AP403" s="1942"/>
      <c r="AQ403" s="1942"/>
      <c r="AR403" s="1942"/>
      <c r="AS403" s="1942"/>
      <c r="AT403" s="1942"/>
      <c r="AU403" s="1942"/>
      <c r="AV403" s="1942"/>
      <c r="AW403" s="1942"/>
      <c r="AX403" s="1942"/>
      <c r="AY403" s="1942"/>
      <c r="AZ403" s="1942"/>
      <c r="BA403" s="1942"/>
      <c r="BB403" s="575"/>
      <c r="BC403" s="584"/>
      <c r="BD403" s="678"/>
      <c r="BE403" s="585"/>
    </row>
    <row r="404" spans="1:57" s="51" customFormat="1" hidden="1" outlineLevel="1" x14ac:dyDescent="0.25">
      <c r="A404" s="1267"/>
      <c r="B404" s="228"/>
      <c r="C404" s="328"/>
      <c r="D404" s="4006"/>
      <c r="E404" s="4010"/>
      <c r="F404" s="3385" t="str">
        <f t="shared" si="60"/>
        <v>CAC-SEER20_ER1_MF</v>
      </c>
      <c r="G404" s="3386"/>
      <c r="H404" s="3387"/>
      <c r="I404" s="3155" t="str">
        <f t="shared" si="61"/>
        <v>351182_2021_12_</v>
      </c>
      <c r="J404" s="2857"/>
      <c r="K404" s="684"/>
      <c r="L404" s="2555" t="str">
        <f t="shared" si="59"/>
        <v>MO TRM</v>
      </c>
      <c r="M404" s="328"/>
      <c r="N404" s="1544"/>
      <c r="O404" s="328"/>
      <c r="P404" s="123"/>
      <c r="Q404" s="123"/>
      <c r="R404" s="123"/>
      <c r="S404" s="123"/>
      <c r="T404" s="123"/>
      <c r="U404" s="123"/>
      <c r="V404" s="4005"/>
      <c r="W404" s="2857"/>
      <c r="X404" s="3155"/>
      <c r="Y404" s="3155"/>
      <c r="Z404" s="3155"/>
      <c r="AA404" s="2857"/>
      <c r="AB404" s="699"/>
      <c r="AC404" s="2857"/>
      <c r="AD404" s="2857"/>
      <c r="AE404" s="2857"/>
      <c r="AF404" s="2857"/>
      <c r="AG404" s="2857"/>
      <c r="AH404" s="1942"/>
      <c r="AI404" s="1942"/>
      <c r="AJ404" s="1942"/>
      <c r="AK404" s="1942"/>
      <c r="AL404" s="1942"/>
      <c r="AM404" s="1942"/>
      <c r="AN404" s="1942"/>
      <c r="AO404" s="1942"/>
      <c r="AP404" s="1942"/>
      <c r="AQ404" s="1942"/>
      <c r="AR404" s="1942"/>
      <c r="AS404" s="1942"/>
      <c r="AT404" s="1942"/>
      <c r="AU404" s="1942"/>
      <c r="AV404" s="1942"/>
      <c r="AW404" s="1942"/>
      <c r="AX404" s="1942"/>
      <c r="AY404" s="1942"/>
      <c r="AZ404" s="1942"/>
      <c r="BA404" s="1942"/>
      <c r="BB404" s="575"/>
      <c r="BC404" s="584"/>
      <c r="BD404" s="678"/>
      <c r="BE404" s="585"/>
    </row>
    <row r="405" spans="1:57" s="51" customFormat="1" hidden="1" outlineLevel="1" x14ac:dyDescent="0.25">
      <c r="A405" s="1267"/>
      <c r="B405" s="228"/>
      <c r="C405" s="328"/>
      <c r="D405" s="4006"/>
      <c r="E405" s="4010"/>
      <c r="F405" s="3385" t="str">
        <f t="shared" si="60"/>
        <v>CAC-SEER20_ER2_MF</v>
      </c>
      <c r="G405" s="3386"/>
      <c r="H405" s="3387"/>
      <c r="I405" s="3155" t="str">
        <f t="shared" si="61"/>
        <v>351182_2021_12_</v>
      </c>
      <c r="J405" s="2857">
        <v>13</v>
      </c>
      <c r="K405" s="684"/>
      <c r="L405" s="2555" t="str">
        <f t="shared" si="59"/>
        <v>MO TRM</v>
      </c>
      <c r="M405" s="328"/>
      <c r="N405" s="1544"/>
      <c r="O405" s="328"/>
      <c r="P405" s="123"/>
      <c r="Q405" s="123"/>
      <c r="R405" s="123"/>
      <c r="S405" s="123"/>
      <c r="T405" s="123"/>
      <c r="U405" s="123"/>
      <c r="V405" s="4005"/>
      <c r="W405" s="2857"/>
      <c r="X405" s="2857"/>
      <c r="Y405" s="2857"/>
      <c r="Z405" s="3155">
        <v>13</v>
      </c>
      <c r="AA405" s="2857">
        <v>13</v>
      </c>
      <c r="AB405" s="699">
        <v>13</v>
      </c>
      <c r="AC405" s="2857">
        <v>13</v>
      </c>
      <c r="AD405" s="2857"/>
      <c r="AE405" s="2857"/>
      <c r="AF405" s="2857"/>
      <c r="AG405" s="2857"/>
      <c r="AH405" s="1942"/>
      <c r="AI405" s="1942"/>
      <c r="AJ405" s="1942"/>
      <c r="AK405" s="1942"/>
      <c r="AL405" s="1942"/>
      <c r="AM405" s="1942"/>
      <c r="AN405" s="1942"/>
      <c r="AO405" s="1942"/>
      <c r="AP405" s="1942"/>
      <c r="AQ405" s="1942"/>
      <c r="AR405" s="1942"/>
      <c r="AS405" s="1942"/>
      <c r="AT405" s="1942"/>
      <c r="AU405" s="1942"/>
      <c r="AV405" s="1942"/>
      <c r="AW405" s="1942"/>
      <c r="AX405" s="1942"/>
      <c r="AY405" s="1942"/>
      <c r="AZ405" s="1942"/>
      <c r="BA405" s="1942"/>
      <c r="BB405" s="575"/>
      <c r="BC405" s="584"/>
      <c r="BD405" s="678"/>
      <c r="BE405" s="585"/>
    </row>
    <row r="406" spans="1:57" s="51" customFormat="1" hidden="1" outlineLevel="1" x14ac:dyDescent="0.25">
      <c r="A406" s="1267"/>
      <c r="B406" s="228"/>
      <c r="C406" s="328"/>
      <c r="D406" s="4006"/>
      <c r="E406" s="4010"/>
      <c r="F406" s="3385" t="str">
        <f t="shared" si="60"/>
        <v>CAC-SEER20_ER1_MF_CompE</v>
      </c>
      <c r="G406" s="3386"/>
      <c r="H406" s="3387"/>
      <c r="I406" s="3155" t="str">
        <f t="shared" si="61"/>
        <v>351183_2021_12_</v>
      </c>
      <c r="J406" s="2857"/>
      <c r="K406" s="684"/>
      <c r="L406" s="2555"/>
      <c r="M406" s="328"/>
      <c r="N406" s="1544"/>
      <c r="O406" s="328"/>
      <c r="P406" s="123"/>
      <c r="Q406" s="123"/>
      <c r="R406" s="123"/>
      <c r="S406" s="123"/>
      <c r="T406" s="123"/>
      <c r="U406" s="123"/>
      <c r="V406" s="4005"/>
      <c r="W406" s="2857"/>
      <c r="X406" s="2857"/>
      <c r="Y406" s="2857"/>
      <c r="Z406" s="3155"/>
      <c r="AA406" s="2857"/>
      <c r="AB406" s="699"/>
      <c r="AC406" s="2857"/>
      <c r="AD406" s="2857"/>
      <c r="AE406" s="2857"/>
      <c r="AF406" s="2857"/>
      <c r="AG406" s="2857"/>
      <c r="AH406" s="1942"/>
      <c r="AI406" s="1942"/>
      <c r="AJ406" s="1942"/>
      <c r="AK406" s="1942"/>
      <c r="AL406" s="1942"/>
      <c r="AM406" s="1942"/>
      <c r="AN406" s="1942"/>
      <c r="AO406" s="1942"/>
      <c r="AP406" s="1942"/>
      <c r="AQ406" s="1942"/>
      <c r="AR406" s="1942"/>
      <c r="AS406" s="1942"/>
      <c r="AT406" s="1942"/>
      <c r="AU406" s="1942"/>
      <c r="AV406" s="1942"/>
      <c r="AW406" s="1942"/>
      <c r="AX406" s="1942"/>
      <c r="AY406" s="1942"/>
      <c r="AZ406" s="1942"/>
      <c r="BA406" s="1942"/>
      <c r="BB406" s="575"/>
      <c r="BC406" s="584"/>
      <c r="BD406" s="678"/>
      <c r="BE406" s="585"/>
    </row>
    <row r="407" spans="1:57" s="51" customFormat="1" hidden="1" outlineLevel="1" x14ac:dyDescent="0.25">
      <c r="A407" s="1267"/>
      <c r="B407" s="228"/>
      <c r="C407" s="328"/>
      <c r="D407" s="4006"/>
      <c r="E407" s="4010"/>
      <c r="F407" s="3385" t="str">
        <f t="shared" si="60"/>
        <v>CAC-SEER20_ER2_MF_CompE</v>
      </c>
      <c r="G407" s="3386"/>
      <c r="H407" s="3387"/>
      <c r="I407" s="3155" t="str">
        <f t="shared" si="61"/>
        <v>351183_2021_12_</v>
      </c>
      <c r="J407" s="2857">
        <v>13</v>
      </c>
      <c r="K407" s="684"/>
      <c r="L407" s="2555"/>
      <c r="M407" s="328"/>
      <c r="N407" s="1544"/>
      <c r="O407" s="328"/>
      <c r="P407" s="123"/>
      <c r="Q407" s="123"/>
      <c r="R407" s="123"/>
      <c r="S407" s="123"/>
      <c r="T407" s="123"/>
      <c r="U407" s="123"/>
      <c r="V407" s="4005"/>
      <c r="W407" s="2857"/>
      <c r="X407" s="2857"/>
      <c r="Y407" s="2857"/>
      <c r="Z407" s="3155">
        <v>13</v>
      </c>
      <c r="AA407" s="2857">
        <v>13</v>
      </c>
      <c r="AB407" s="699">
        <v>13</v>
      </c>
      <c r="AC407" s="2857">
        <v>13</v>
      </c>
      <c r="AD407" s="2857"/>
      <c r="AE407" s="2857"/>
      <c r="AF407" s="2857"/>
      <c r="AG407" s="2857"/>
      <c r="AH407" s="1942"/>
      <c r="AI407" s="1942"/>
      <c r="AJ407" s="1942"/>
      <c r="AK407" s="1942"/>
      <c r="AL407" s="1942"/>
      <c r="AM407" s="1942"/>
      <c r="AN407" s="1942"/>
      <c r="AO407" s="1942"/>
      <c r="AP407" s="1942"/>
      <c r="AQ407" s="1942"/>
      <c r="AR407" s="1942"/>
      <c r="AS407" s="1942"/>
      <c r="AT407" s="1942"/>
      <c r="AU407" s="1942"/>
      <c r="AV407" s="1942"/>
      <c r="AW407" s="1942"/>
      <c r="AX407" s="1942"/>
      <c r="AY407" s="1942"/>
      <c r="AZ407" s="1942"/>
      <c r="BA407" s="1942"/>
      <c r="BB407" s="575"/>
      <c r="BC407" s="584"/>
      <c r="BD407" s="678"/>
      <c r="BE407" s="585"/>
    </row>
    <row r="408" spans="1:57" s="51" customFormat="1" hidden="1" outlineLevel="1" x14ac:dyDescent="0.25">
      <c r="A408" s="1267"/>
      <c r="B408" s="228"/>
      <c r="C408" s="328"/>
      <c r="D408" s="4006"/>
      <c r="E408" s="4010"/>
      <c r="F408" s="3385" t="str">
        <f t="shared" si="60"/>
        <v>CAC-SEER20_ROF_MF</v>
      </c>
      <c r="G408" s="3386"/>
      <c r="H408" s="3387"/>
      <c r="I408" s="3155" t="str">
        <f t="shared" si="61"/>
        <v>351184_2021_12_</v>
      </c>
      <c r="J408" s="2857">
        <v>13</v>
      </c>
      <c r="K408" s="684"/>
      <c r="L408" s="2555" t="str">
        <f>L405</f>
        <v>MO TRM</v>
      </c>
      <c r="M408" s="328"/>
      <c r="N408" s="1544"/>
      <c r="O408" s="328"/>
      <c r="P408" s="123"/>
      <c r="Q408" s="123"/>
      <c r="R408" s="123"/>
      <c r="S408" s="123"/>
      <c r="T408" s="123"/>
      <c r="U408" s="123"/>
      <c r="V408" s="4005"/>
      <c r="W408" s="2857"/>
      <c r="X408" s="2857"/>
      <c r="Y408" s="2857"/>
      <c r="Z408" s="3155">
        <v>13</v>
      </c>
      <c r="AA408" s="2857">
        <v>13</v>
      </c>
      <c r="AB408" s="699">
        <v>13</v>
      </c>
      <c r="AC408" s="2857">
        <v>13</v>
      </c>
      <c r="AD408" s="2857"/>
      <c r="AE408" s="2857"/>
      <c r="AF408" s="2857"/>
      <c r="AG408" s="2857"/>
      <c r="AH408" s="1942"/>
      <c r="AI408" s="1942"/>
      <c r="AJ408" s="1942"/>
      <c r="AK408" s="1942"/>
      <c r="AL408" s="1942"/>
      <c r="AM408" s="1942"/>
      <c r="AN408" s="1942"/>
      <c r="AO408" s="1942"/>
      <c r="AP408" s="1942"/>
      <c r="AQ408" s="1942"/>
      <c r="AR408" s="1942"/>
      <c r="AS408" s="1942"/>
      <c r="AT408" s="1942"/>
      <c r="AU408" s="1942"/>
      <c r="AV408" s="1942"/>
      <c r="AW408" s="1942"/>
      <c r="AX408" s="1942"/>
      <c r="AY408" s="1942"/>
      <c r="AZ408" s="1942"/>
      <c r="BA408" s="1942"/>
      <c r="BB408" s="575"/>
      <c r="BC408" s="584"/>
      <c r="BD408" s="678"/>
      <c r="BE408" s="585"/>
    </row>
    <row r="409" spans="1:57" s="51" customFormat="1" hidden="1" outlineLevel="1" x14ac:dyDescent="0.25">
      <c r="A409" s="1267"/>
      <c r="B409" s="228"/>
      <c r="C409" s="328"/>
      <c r="D409" s="4006"/>
      <c r="E409" s="4010"/>
      <c r="F409" s="3385" t="str">
        <f t="shared" si="60"/>
        <v>CAC-SEER20_ROF_MF_CompE</v>
      </c>
      <c r="G409" s="3386"/>
      <c r="H409" s="3387"/>
      <c r="I409" s="3155" t="str">
        <f t="shared" si="61"/>
        <v>351185_2021_12_</v>
      </c>
      <c r="J409" s="2857">
        <v>13</v>
      </c>
      <c r="K409" s="684"/>
      <c r="L409" s="2555"/>
      <c r="M409" s="328"/>
      <c r="N409" s="1544"/>
      <c r="O409" s="328"/>
      <c r="P409" s="123"/>
      <c r="Q409" s="123"/>
      <c r="R409" s="123"/>
      <c r="S409" s="123"/>
      <c r="T409" s="123"/>
      <c r="U409" s="123"/>
      <c r="V409" s="4005"/>
      <c r="W409" s="2857"/>
      <c r="X409" s="2857"/>
      <c r="Y409" s="2857"/>
      <c r="Z409" s="3155">
        <v>13</v>
      </c>
      <c r="AA409" s="2857">
        <v>13</v>
      </c>
      <c r="AB409" s="699">
        <v>13</v>
      </c>
      <c r="AC409" s="2857">
        <v>13</v>
      </c>
      <c r="AD409" s="2857"/>
      <c r="AE409" s="2857"/>
      <c r="AF409" s="2857"/>
      <c r="AG409" s="2857"/>
      <c r="AH409" s="1942"/>
      <c r="AI409" s="1942"/>
      <c r="AJ409" s="1942"/>
      <c r="AK409" s="1942"/>
      <c r="AL409" s="1942"/>
      <c r="AM409" s="1942"/>
      <c r="AN409" s="1942"/>
      <c r="AO409" s="1942"/>
      <c r="AP409" s="1942"/>
      <c r="AQ409" s="1942"/>
      <c r="AR409" s="1942"/>
      <c r="AS409" s="1942"/>
      <c r="AT409" s="1942"/>
      <c r="AU409" s="1942"/>
      <c r="AV409" s="1942"/>
      <c r="AW409" s="1942"/>
      <c r="AX409" s="1942"/>
      <c r="AY409" s="1942"/>
      <c r="AZ409" s="1942"/>
      <c r="BA409" s="1942"/>
      <c r="BB409" s="575"/>
      <c r="BC409" s="584"/>
      <c r="BD409" s="678"/>
      <c r="BE409" s="585"/>
    </row>
    <row r="410" spans="1:57" s="51" customFormat="1" hidden="1" outlineLevel="1" x14ac:dyDescent="0.25">
      <c r="A410" s="1267"/>
      <c r="B410" s="228"/>
      <c r="C410" s="328"/>
      <c r="D410" s="4006"/>
      <c r="E410" s="4010"/>
      <c r="F410" s="3385" t="str">
        <f t="shared" si="60"/>
        <v>CAC-SEER21+_ER1_SF</v>
      </c>
      <c r="G410" s="3386"/>
      <c r="H410" s="3387"/>
      <c r="I410" s="3155" t="str">
        <f t="shared" si="61"/>
        <v>351190_2021_12_</v>
      </c>
      <c r="J410" s="2857"/>
      <c r="K410" s="684"/>
      <c r="L410" s="2555" t="str">
        <f>L408</f>
        <v>MO TRM</v>
      </c>
      <c r="M410" s="328"/>
      <c r="N410" s="1544"/>
      <c r="O410" s="328"/>
      <c r="P410" s="123"/>
      <c r="Q410" s="123"/>
      <c r="R410" s="123"/>
      <c r="S410" s="123"/>
      <c r="T410" s="123"/>
      <c r="U410" s="123"/>
      <c r="V410" s="4005"/>
      <c r="W410" s="2857"/>
      <c r="X410" s="3155"/>
      <c r="Y410" s="3155"/>
      <c r="Z410" s="3155"/>
      <c r="AA410" s="2857"/>
      <c r="AB410" s="699"/>
      <c r="AC410" s="2857"/>
      <c r="AD410" s="2857"/>
      <c r="AE410" s="2857"/>
      <c r="AF410" s="2857"/>
      <c r="AG410" s="2857"/>
      <c r="AH410" s="1942"/>
      <c r="AI410" s="1942"/>
      <c r="AJ410" s="1942"/>
      <c r="AK410" s="1942"/>
      <c r="AL410" s="1942"/>
      <c r="AM410" s="1942"/>
      <c r="AN410" s="1942"/>
      <c r="AO410" s="1942"/>
      <c r="AP410" s="1942"/>
      <c r="AQ410" s="1942"/>
      <c r="AR410" s="1942"/>
      <c r="AS410" s="1942"/>
      <c r="AT410" s="1942"/>
      <c r="AU410" s="1942"/>
      <c r="AV410" s="1942"/>
      <c r="AW410" s="1942"/>
      <c r="AX410" s="1942"/>
      <c r="AY410" s="1942"/>
      <c r="AZ410" s="1942"/>
      <c r="BA410" s="1942"/>
      <c r="BB410" s="575"/>
      <c r="BC410" s="584"/>
      <c r="BD410" s="678"/>
      <c r="BE410" s="585"/>
    </row>
    <row r="411" spans="1:57" s="51" customFormat="1" ht="14.45" hidden="1" customHeight="1" outlineLevel="1" x14ac:dyDescent="0.25">
      <c r="A411" s="1267"/>
      <c r="B411" s="228"/>
      <c r="C411" s="328"/>
      <c r="D411" s="4006"/>
      <c r="E411" s="4010"/>
      <c r="F411" s="3385" t="str">
        <f t="shared" si="60"/>
        <v>CAC-SEER21+_ER2_SF</v>
      </c>
      <c r="G411" s="3386"/>
      <c r="H411" s="3387"/>
      <c r="I411" s="3155" t="str">
        <f t="shared" si="61"/>
        <v>351190_2021_12_</v>
      </c>
      <c r="J411" s="2857">
        <v>13</v>
      </c>
      <c r="K411" s="684"/>
      <c r="L411" s="2555" t="str">
        <f t="shared" si="59"/>
        <v>MO TRM</v>
      </c>
      <c r="M411" s="328"/>
      <c r="N411" s="1544"/>
      <c r="O411" s="328"/>
      <c r="P411" s="123"/>
      <c r="Q411" s="123"/>
      <c r="R411" s="123"/>
      <c r="S411" s="123"/>
      <c r="T411" s="123"/>
      <c r="U411" s="123"/>
      <c r="V411" s="4005"/>
      <c r="W411" s="2857"/>
      <c r="X411" s="2857"/>
      <c r="Y411" s="2857"/>
      <c r="Z411" s="3155">
        <v>13</v>
      </c>
      <c r="AA411" s="2857">
        <v>13</v>
      </c>
      <c r="AB411" s="699">
        <v>13</v>
      </c>
      <c r="AC411" s="2857">
        <v>13</v>
      </c>
      <c r="AD411" s="2857"/>
      <c r="AE411" s="2857"/>
      <c r="AF411" s="2857"/>
      <c r="AG411" s="2857"/>
      <c r="AH411" s="1942"/>
      <c r="AI411" s="1942"/>
      <c r="AJ411" s="1942"/>
      <c r="AK411" s="1942"/>
      <c r="AL411" s="1942"/>
      <c r="AM411" s="1942"/>
      <c r="AN411" s="1942"/>
      <c r="AO411" s="1942"/>
      <c r="AP411" s="1942"/>
      <c r="AQ411" s="1942"/>
      <c r="AR411" s="1942"/>
      <c r="AS411" s="1942"/>
      <c r="AT411" s="1942"/>
      <c r="AU411" s="1942"/>
      <c r="AV411" s="1942"/>
      <c r="AW411" s="1942"/>
      <c r="AX411" s="1942"/>
      <c r="AY411" s="1942"/>
      <c r="AZ411" s="1942"/>
      <c r="BA411" s="1942"/>
      <c r="BB411" s="575"/>
      <c r="BC411" s="584"/>
      <c r="BD411" s="678"/>
      <c r="BE411" s="585"/>
    </row>
    <row r="412" spans="1:57" s="51" customFormat="1" ht="14.45" hidden="1" customHeight="1" outlineLevel="1" x14ac:dyDescent="0.25">
      <c r="A412" s="1267"/>
      <c r="B412" s="228"/>
      <c r="C412" s="328"/>
      <c r="D412" s="4006"/>
      <c r="E412" s="4010"/>
      <c r="F412" s="3385" t="str">
        <f t="shared" si="60"/>
        <v>CAC-SEER21+_ROF_SF</v>
      </c>
      <c r="G412" s="3386"/>
      <c r="H412" s="3387"/>
      <c r="I412" s="3155" t="str">
        <f t="shared" si="61"/>
        <v>351191_2021_12_</v>
      </c>
      <c r="J412" s="2857">
        <v>13</v>
      </c>
      <c r="K412" s="684"/>
      <c r="L412" s="2555" t="str">
        <f t="shared" si="59"/>
        <v>MO TRM</v>
      </c>
      <c r="M412" s="328"/>
      <c r="N412" s="1544"/>
      <c r="O412" s="328"/>
      <c r="P412" s="123"/>
      <c r="Q412" s="123"/>
      <c r="R412" s="123"/>
      <c r="S412" s="123"/>
      <c r="T412" s="123"/>
      <c r="U412" s="123"/>
      <c r="V412" s="4005"/>
      <c r="W412" s="2857"/>
      <c r="X412" s="2857"/>
      <c r="Y412" s="2857"/>
      <c r="Z412" s="3155">
        <v>13</v>
      </c>
      <c r="AA412" s="2857">
        <v>13</v>
      </c>
      <c r="AB412" s="699">
        <v>13</v>
      </c>
      <c r="AC412" s="2857">
        <v>13</v>
      </c>
      <c r="AD412" s="2857"/>
      <c r="AE412" s="2857"/>
      <c r="AF412" s="2857"/>
      <c r="AG412" s="2857"/>
      <c r="AH412" s="1942"/>
      <c r="AI412" s="1942"/>
      <c r="AJ412" s="1942"/>
      <c r="AK412" s="1942"/>
      <c r="AL412" s="1942"/>
      <c r="AM412" s="1942"/>
      <c r="AN412" s="1942"/>
      <c r="AO412" s="1942"/>
      <c r="AP412" s="1942"/>
      <c r="AQ412" s="1942"/>
      <c r="AR412" s="1942"/>
      <c r="AS412" s="1942"/>
      <c r="AT412" s="1942"/>
      <c r="AU412" s="1942"/>
      <c r="AV412" s="1942"/>
      <c r="AW412" s="1942"/>
      <c r="AX412" s="1942"/>
      <c r="AY412" s="1942"/>
      <c r="AZ412" s="1942"/>
      <c r="BA412" s="1942"/>
      <c r="BB412" s="575"/>
      <c r="BC412" s="584"/>
      <c r="BD412" s="678"/>
      <c r="BE412" s="585"/>
    </row>
    <row r="413" spans="1:57" s="51" customFormat="1" ht="14.45" hidden="1" customHeight="1" outlineLevel="1" x14ac:dyDescent="0.25">
      <c r="A413" s="1267"/>
      <c r="B413" s="228"/>
      <c r="C413" s="328"/>
      <c r="D413" s="4006"/>
      <c r="E413" s="4010"/>
      <c r="F413" s="3385" t="str">
        <f t="shared" si="60"/>
        <v>CAC-SEER21+_ER1_MF</v>
      </c>
      <c r="G413" s="3386"/>
      <c r="H413" s="3387"/>
      <c r="I413" s="3155" t="str">
        <f t="shared" si="61"/>
        <v>351192_2021_12_</v>
      </c>
      <c r="J413" s="2857"/>
      <c r="K413" s="684"/>
      <c r="L413" s="2555" t="str">
        <f t="shared" si="59"/>
        <v>MO TRM</v>
      </c>
      <c r="M413" s="328"/>
      <c r="N413" s="1544"/>
      <c r="O413" s="328"/>
      <c r="P413" s="123"/>
      <c r="Q413" s="123"/>
      <c r="R413" s="123"/>
      <c r="S413" s="123"/>
      <c r="T413" s="123"/>
      <c r="U413" s="123"/>
      <c r="V413" s="4005"/>
      <c r="W413" s="2857"/>
      <c r="X413" s="3155"/>
      <c r="Y413" s="3155"/>
      <c r="Z413" s="3155"/>
      <c r="AA413" s="2857"/>
      <c r="AB413" s="699"/>
      <c r="AC413" s="2857"/>
      <c r="AD413" s="2857"/>
      <c r="AE413" s="2857"/>
      <c r="AF413" s="2857"/>
      <c r="AG413" s="2857"/>
      <c r="AH413" s="1942"/>
      <c r="AI413" s="1942"/>
      <c r="AJ413" s="1942"/>
      <c r="AK413" s="1942"/>
      <c r="AL413" s="1942"/>
      <c r="AM413" s="1942"/>
      <c r="AN413" s="1942"/>
      <c r="AO413" s="1942"/>
      <c r="AP413" s="1942"/>
      <c r="AQ413" s="1942"/>
      <c r="AR413" s="1942"/>
      <c r="AS413" s="1942"/>
      <c r="AT413" s="1942"/>
      <c r="AU413" s="1942"/>
      <c r="AV413" s="1942"/>
      <c r="AW413" s="1942"/>
      <c r="AX413" s="1942"/>
      <c r="AY413" s="1942"/>
      <c r="AZ413" s="1942"/>
      <c r="BA413" s="1942"/>
      <c r="BB413" s="575"/>
      <c r="BC413" s="584"/>
      <c r="BD413" s="678"/>
      <c r="BE413" s="585"/>
    </row>
    <row r="414" spans="1:57" s="51" customFormat="1" ht="14.45" hidden="1" customHeight="1" outlineLevel="1" x14ac:dyDescent="0.25">
      <c r="A414" s="1267"/>
      <c r="B414" s="228"/>
      <c r="C414" s="328"/>
      <c r="D414" s="4006"/>
      <c r="E414" s="4010"/>
      <c r="F414" s="3385" t="str">
        <f t="shared" si="60"/>
        <v>CAC-SEER21+_ER2_MF</v>
      </c>
      <c r="G414" s="3386"/>
      <c r="H414" s="3387"/>
      <c r="I414" s="3155" t="str">
        <f t="shared" si="61"/>
        <v>351192_2021_12_</v>
      </c>
      <c r="J414" s="2857">
        <v>13</v>
      </c>
      <c r="K414" s="684"/>
      <c r="L414" s="2555" t="str">
        <f t="shared" si="59"/>
        <v>MO TRM</v>
      </c>
      <c r="M414" s="328"/>
      <c r="N414" s="1544"/>
      <c r="O414" s="328"/>
      <c r="P414" s="123"/>
      <c r="Q414" s="123"/>
      <c r="R414" s="123"/>
      <c r="S414" s="123"/>
      <c r="T414" s="123"/>
      <c r="U414" s="123"/>
      <c r="V414" s="4005"/>
      <c r="W414" s="2857"/>
      <c r="X414" s="2857"/>
      <c r="Y414" s="2857"/>
      <c r="Z414" s="3155">
        <v>13</v>
      </c>
      <c r="AA414" s="2857">
        <v>13</v>
      </c>
      <c r="AB414" s="699">
        <v>13</v>
      </c>
      <c r="AC414" s="2857">
        <v>13</v>
      </c>
      <c r="AD414" s="2857"/>
      <c r="AE414" s="2857"/>
      <c r="AF414" s="2857"/>
      <c r="AG414" s="2857"/>
      <c r="AH414" s="1942"/>
      <c r="AI414" s="1942"/>
      <c r="AJ414" s="1942"/>
      <c r="AK414" s="1942"/>
      <c r="AL414" s="1942"/>
      <c r="AM414" s="1942"/>
      <c r="AN414" s="1942"/>
      <c r="AO414" s="1942"/>
      <c r="AP414" s="1942"/>
      <c r="AQ414" s="1942"/>
      <c r="AR414" s="1942"/>
      <c r="AS414" s="1942"/>
      <c r="AT414" s="1942"/>
      <c r="AU414" s="1942"/>
      <c r="AV414" s="1942"/>
      <c r="AW414" s="1942"/>
      <c r="AX414" s="1942"/>
      <c r="AY414" s="1942"/>
      <c r="AZ414" s="1942"/>
      <c r="BA414" s="1942"/>
      <c r="BB414" s="575"/>
      <c r="BC414" s="584"/>
      <c r="BD414" s="678"/>
      <c r="BE414" s="585"/>
    </row>
    <row r="415" spans="1:57" s="51" customFormat="1" ht="14.45" hidden="1" customHeight="1" outlineLevel="1" x14ac:dyDescent="0.25">
      <c r="A415" s="1267"/>
      <c r="B415" s="228"/>
      <c r="C415" s="328"/>
      <c r="D415" s="4006"/>
      <c r="E415" s="4010"/>
      <c r="F415" s="3385" t="str">
        <f t="shared" si="60"/>
        <v>CAC-SEER21+_ER1_MF_CompE</v>
      </c>
      <c r="G415" s="3386"/>
      <c r="H415" s="3387"/>
      <c r="I415" s="692" t="str">
        <f t="shared" si="61"/>
        <v>351193_2021_12_</v>
      </c>
      <c r="J415" s="693"/>
      <c r="K415" s="2556"/>
      <c r="L415" s="2555"/>
      <c r="M415" s="328"/>
      <c r="N415" s="1544"/>
      <c r="O415" s="328"/>
      <c r="P415" s="123"/>
      <c r="Q415" s="123"/>
      <c r="R415" s="123"/>
      <c r="S415" s="123"/>
      <c r="T415" s="123"/>
      <c r="U415" s="123"/>
      <c r="V415" s="4005"/>
      <c r="W415" s="693"/>
      <c r="X415" s="693"/>
      <c r="Y415" s="693"/>
      <c r="Z415" s="692"/>
      <c r="AA415" s="693"/>
      <c r="AB415" s="1875"/>
      <c r="AC415" s="693"/>
      <c r="AD415" s="693"/>
      <c r="AE415" s="693"/>
      <c r="AF415" s="693"/>
      <c r="AG415" s="693"/>
      <c r="AH415" s="1942"/>
      <c r="AI415" s="1942"/>
      <c r="AJ415" s="1942"/>
      <c r="AK415" s="1942"/>
      <c r="AL415" s="1942"/>
      <c r="AM415" s="1942"/>
      <c r="AN415" s="1942"/>
      <c r="AO415" s="1942"/>
      <c r="AP415" s="1942"/>
      <c r="AQ415" s="1942"/>
      <c r="AR415" s="1942"/>
      <c r="AS415" s="1942"/>
      <c r="AT415" s="1942"/>
      <c r="AU415" s="1942"/>
      <c r="AV415" s="1942"/>
      <c r="AW415" s="1942"/>
      <c r="AX415" s="1942"/>
      <c r="AY415" s="1942"/>
      <c r="AZ415" s="1942"/>
      <c r="BA415" s="1942"/>
      <c r="BB415" s="575"/>
      <c r="BC415" s="584"/>
      <c r="BD415" s="678"/>
      <c r="BE415" s="585"/>
    </row>
    <row r="416" spans="1:57" s="51" customFormat="1" ht="14.45" hidden="1" customHeight="1" outlineLevel="1" x14ac:dyDescent="0.25">
      <c r="A416" s="1267"/>
      <c r="B416" s="228"/>
      <c r="C416" s="328"/>
      <c r="D416" s="4006"/>
      <c r="E416" s="4010"/>
      <c r="F416" s="3400" t="str">
        <f t="shared" si="60"/>
        <v>CAC-SEER21+_ER2_MF_CompE</v>
      </c>
      <c r="G416" s="3400"/>
      <c r="H416" s="3400"/>
      <c r="I416" s="3155" t="str">
        <f t="shared" si="61"/>
        <v>351193_2021_12_</v>
      </c>
      <c r="J416" s="2857">
        <v>13</v>
      </c>
      <c r="K416" s="684"/>
      <c r="L416" s="2555"/>
      <c r="M416" s="328"/>
      <c r="N416" s="1544"/>
      <c r="O416" s="328"/>
      <c r="P416" s="123"/>
      <c r="Q416" s="123"/>
      <c r="R416" s="123"/>
      <c r="S416" s="123"/>
      <c r="T416" s="123"/>
      <c r="U416" s="123"/>
      <c r="V416" s="4005"/>
      <c r="W416" s="693"/>
      <c r="X416" s="693"/>
      <c r="Y416" s="693"/>
      <c r="Z416" s="692">
        <v>13</v>
      </c>
      <c r="AA416" s="693">
        <v>13</v>
      </c>
      <c r="AB416" s="699">
        <v>13</v>
      </c>
      <c r="AC416" s="2857">
        <v>13</v>
      </c>
      <c r="AD416" s="693"/>
      <c r="AE416" s="693"/>
      <c r="AF416" s="693"/>
      <c r="AG416" s="693"/>
      <c r="AH416" s="1942"/>
      <c r="AI416" s="1942"/>
      <c r="AJ416" s="1942"/>
      <c r="AK416" s="1942"/>
      <c r="AL416" s="1942"/>
      <c r="AM416" s="1942"/>
      <c r="AN416" s="1942"/>
      <c r="AO416" s="1942"/>
      <c r="AP416" s="1942"/>
      <c r="AQ416" s="1942"/>
      <c r="AR416" s="1942"/>
      <c r="AS416" s="1942"/>
      <c r="AT416" s="1942"/>
      <c r="AU416" s="1942"/>
      <c r="AV416" s="1942"/>
      <c r="AW416" s="1942"/>
      <c r="AX416" s="1942"/>
      <c r="AY416" s="1942"/>
      <c r="AZ416" s="1942"/>
      <c r="BA416" s="1942"/>
      <c r="BB416" s="575"/>
      <c r="BC416" s="584"/>
      <c r="BD416" s="678"/>
      <c r="BE416" s="585"/>
    </row>
    <row r="417" spans="1:57" s="51" customFormat="1" ht="15" hidden="1" customHeight="1" outlineLevel="1" x14ac:dyDescent="0.25">
      <c r="A417" s="1267"/>
      <c r="B417" s="228"/>
      <c r="C417" s="328"/>
      <c r="D417" s="4006"/>
      <c r="E417" s="4010"/>
      <c r="F417" s="3400" t="str">
        <f t="shared" si="60"/>
        <v>CAC-SEER21+_ROF_MF</v>
      </c>
      <c r="G417" s="3400"/>
      <c r="H417" s="3400"/>
      <c r="I417" s="3155" t="str">
        <f t="shared" si="61"/>
        <v>351194_2021_12_</v>
      </c>
      <c r="J417" s="2857">
        <v>13</v>
      </c>
      <c r="K417" s="684"/>
      <c r="L417" s="2555" t="str">
        <f>L414</f>
        <v>MO TRM</v>
      </c>
      <c r="M417" s="328"/>
      <c r="N417" s="1544"/>
      <c r="O417" s="328"/>
      <c r="P417" s="123"/>
      <c r="Q417" s="123"/>
      <c r="R417" s="123"/>
      <c r="S417" s="123"/>
      <c r="T417" s="123"/>
      <c r="U417" s="123"/>
      <c r="V417" s="4005"/>
      <c r="W417" s="2857"/>
      <c r="X417" s="2857"/>
      <c r="Y417" s="2857"/>
      <c r="Z417" s="3155">
        <v>13</v>
      </c>
      <c r="AA417" s="2857">
        <v>13</v>
      </c>
      <c r="AB417" s="699">
        <v>13</v>
      </c>
      <c r="AC417" s="2857">
        <v>13</v>
      </c>
      <c r="AD417" s="2857"/>
      <c r="AE417" s="2857"/>
      <c r="AF417" s="2857"/>
      <c r="AG417" s="2857"/>
      <c r="AH417" s="1942"/>
      <c r="AI417" s="1942"/>
      <c r="AJ417" s="1942"/>
      <c r="AK417" s="1942"/>
      <c r="AL417" s="1942"/>
      <c r="AM417" s="1942"/>
      <c r="AN417" s="1942"/>
      <c r="AO417" s="1942"/>
      <c r="AP417" s="1942"/>
      <c r="AQ417" s="1942"/>
      <c r="AR417" s="1942"/>
      <c r="AS417" s="1942"/>
      <c r="AT417" s="1942"/>
      <c r="AU417" s="1942"/>
      <c r="AV417" s="1942"/>
      <c r="AW417" s="1942"/>
      <c r="AX417" s="1942"/>
      <c r="AY417" s="1942"/>
      <c r="AZ417" s="1942"/>
      <c r="BA417" s="1942"/>
      <c r="BB417" s="575"/>
      <c r="BC417" s="584"/>
      <c r="BD417" s="678"/>
      <c r="BE417" s="585"/>
    </row>
    <row r="418" spans="1:57" s="51" customFormat="1" ht="15" hidden="1" customHeight="1" outlineLevel="1" thickBot="1" x14ac:dyDescent="0.3">
      <c r="A418" s="1267"/>
      <c r="B418" s="228"/>
      <c r="C418" s="328"/>
      <c r="D418" s="4007"/>
      <c r="E418" s="4011"/>
      <c r="F418" s="3394" t="str">
        <f t="shared" si="60"/>
        <v>CAC-SEER21+_ROF_MF_CompE</v>
      </c>
      <c r="G418" s="3395"/>
      <c r="H418" s="3396"/>
      <c r="I418" s="3156" t="str">
        <f t="shared" si="61"/>
        <v>351195_2021_12_</v>
      </c>
      <c r="J418" s="2860">
        <v>13</v>
      </c>
      <c r="K418" s="602"/>
      <c r="L418" s="2559"/>
      <c r="M418" s="328"/>
      <c r="N418" s="1544"/>
      <c r="O418" s="328"/>
      <c r="P418" s="123"/>
      <c r="Q418" s="123"/>
      <c r="R418" s="123"/>
      <c r="S418" s="123"/>
      <c r="T418" s="123"/>
      <c r="U418" s="123"/>
      <c r="V418" s="4035"/>
      <c r="W418" s="695"/>
      <c r="X418" s="695"/>
      <c r="Y418" s="695"/>
      <c r="Z418" s="694">
        <v>13</v>
      </c>
      <c r="AA418" s="695">
        <v>13</v>
      </c>
      <c r="AB418" s="1876">
        <v>13</v>
      </c>
      <c r="AC418" s="2860">
        <v>13</v>
      </c>
      <c r="AD418" s="695"/>
      <c r="AE418" s="695"/>
      <c r="AF418" s="695"/>
      <c r="AG418" s="695"/>
      <c r="AH418" s="1942"/>
      <c r="AI418" s="1942"/>
      <c r="AJ418" s="1942"/>
      <c r="AK418" s="1942"/>
      <c r="AL418" s="1942"/>
      <c r="AM418" s="1942"/>
      <c r="AN418" s="1942"/>
      <c r="AO418" s="1942"/>
      <c r="AP418" s="1942"/>
      <c r="AQ418" s="1942"/>
      <c r="AR418" s="1942"/>
      <c r="AS418" s="1942"/>
      <c r="AT418" s="1942"/>
      <c r="AU418" s="1942"/>
      <c r="AV418" s="1942"/>
      <c r="AW418" s="1942"/>
      <c r="AX418" s="1942"/>
      <c r="AY418" s="1942"/>
      <c r="AZ418" s="1942"/>
      <c r="BA418" s="1942"/>
      <c r="BB418" s="575"/>
      <c r="BC418" s="584"/>
      <c r="BD418" s="678"/>
      <c r="BE418" s="585"/>
    </row>
    <row r="419" spans="1:57" s="51" customFormat="1" ht="14.45" hidden="1" customHeight="1" outlineLevel="1" x14ac:dyDescent="0.25">
      <c r="A419" s="1267"/>
      <c r="B419" s="228"/>
      <c r="C419" s="328"/>
      <c r="D419" s="3989" t="s">
        <v>1012</v>
      </c>
      <c r="E419" s="4008" t="s">
        <v>1013</v>
      </c>
      <c r="F419" s="3388" t="str">
        <f t="shared" si="60"/>
        <v>CAC-SEER14_ER1_SF</v>
      </c>
      <c r="G419" s="3389"/>
      <c r="H419" s="3390"/>
      <c r="I419" s="3157" t="str">
        <f t="shared" si="61"/>
        <v>350400_2021_12_</v>
      </c>
      <c r="J419" s="2560">
        <v>14.14</v>
      </c>
      <c r="K419" s="2561"/>
      <c r="L419" s="2562" t="s">
        <v>1002</v>
      </c>
      <c r="M419" s="328"/>
      <c r="N419" s="1544"/>
      <c r="O419" s="328"/>
      <c r="P419" s="123"/>
      <c r="Q419" s="123"/>
      <c r="R419" s="123"/>
      <c r="S419" s="123"/>
      <c r="T419" s="123"/>
      <c r="U419" s="123"/>
      <c r="V419" s="3989" t="str">
        <f>D419</f>
        <v>SEERee</v>
      </c>
      <c r="W419" s="2861">
        <v>14.2</v>
      </c>
      <c r="X419" s="701">
        <v>14.16</v>
      </c>
      <c r="Y419" s="701">
        <v>14.14</v>
      </c>
      <c r="Z419" s="2210">
        <v>14.14</v>
      </c>
      <c r="AA419" s="2210">
        <v>14.14</v>
      </c>
      <c r="AB419" s="2226">
        <v>14.14</v>
      </c>
      <c r="AC419" s="2560">
        <v>14.14</v>
      </c>
      <c r="AD419" s="2861"/>
      <c r="AE419" s="2861"/>
      <c r="AF419" s="2861"/>
      <c r="AG419" s="2861"/>
      <c r="AH419" s="1942"/>
      <c r="AI419" s="1942"/>
      <c r="AJ419" s="1942"/>
      <c r="AK419" s="1942"/>
      <c r="AL419" s="1942"/>
      <c r="AM419" s="1942"/>
      <c r="AN419" s="1942"/>
      <c r="AO419" s="1942"/>
      <c r="AP419" s="1942"/>
      <c r="AQ419" s="1942"/>
      <c r="AR419" s="1942"/>
      <c r="AS419" s="1942"/>
      <c r="AT419" s="1942"/>
      <c r="AU419" s="1942"/>
      <c r="AV419" s="1942"/>
      <c r="AW419" s="1942"/>
      <c r="AX419" s="1942"/>
      <c r="AY419" s="1942"/>
      <c r="AZ419" s="1942"/>
      <c r="BA419" s="1942"/>
      <c r="BB419" s="575"/>
      <c r="BC419" s="584"/>
      <c r="BD419" s="678"/>
      <c r="BE419" s="585"/>
    </row>
    <row r="420" spans="1:57" s="51" customFormat="1" ht="14.45" hidden="1" customHeight="1" outlineLevel="1" x14ac:dyDescent="0.25">
      <c r="A420" s="1267"/>
      <c r="B420" s="228"/>
      <c r="C420" s="328"/>
      <c r="D420" s="3990"/>
      <c r="E420" s="4009"/>
      <c r="F420" s="3391" t="str">
        <f t="shared" si="60"/>
        <v>CAC-SEER14_ER2_SF</v>
      </c>
      <c r="G420" s="3392"/>
      <c r="H420" s="3393"/>
      <c r="I420" s="3155" t="str">
        <f t="shared" si="61"/>
        <v>350400_2021_12_</v>
      </c>
      <c r="J420" s="2282">
        <v>14.14</v>
      </c>
      <c r="K420" s="2670"/>
      <c r="L420" s="2563" t="s">
        <v>1002</v>
      </c>
      <c r="M420" s="328"/>
      <c r="N420" s="1544"/>
      <c r="O420" s="328"/>
      <c r="P420" s="123"/>
      <c r="Q420" s="123"/>
      <c r="R420" s="123"/>
      <c r="S420" s="123"/>
      <c r="T420" s="123"/>
      <c r="U420" s="123"/>
      <c r="V420" s="3990"/>
      <c r="W420" s="2857">
        <v>14.2</v>
      </c>
      <c r="X420" s="703">
        <v>14.16</v>
      </c>
      <c r="Y420" s="703">
        <v>14.14</v>
      </c>
      <c r="Z420" s="702">
        <v>14.14</v>
      </c>
      <c r="AA420" s="702">
        <v>14.14</v>
      </c>
      <c r="AB420" s="2227">
        <v>14.14</v>
      </c>
      <c r="AC420" s="2282">
        <v>14.14</v>
      </c>
      <c r="AD420" s="2857"/>
      <c r="AE420" s="2857"/>
      <c r="AF420" s="2857"/>
      <c r="AG420" s="2857"/>
      <c r="AH420" s="1942"/>
      <c r="AI420" s="1942"/>
      <c r="AJ420" s="1942"/>
      <c r="AK420" s="1942"/>
      <c r="AL420" s="1942"/>
      <c r="AM420" s="1942"/>
      <c r="AN420" s="1942"/>
      <c r="AO420" s="1942"/>
      <c r="AP420" s="1942"/>
      <c r="AQ420" s="1942"/>
      <c r="AR420" s="1942"/>
      <c r="AS420" s="1942"/>
      <c r="AT420" s="1942"/>
      <c r="AU420" s="1942"/>
      <c r="AV420" s="1942"/>
      <c r="AW420" s="1942"/>
      <c r="AX420" s="1942"/>
      <c r="AY420" s="1942"/>
      <c r="AZ420" s="1942"/>
      <c r="BA420" s="1942"/>
      <c r="BB420" s="575"/>
      <c r="BC420" s="584"/>
      <c r="BD420" s="678"/>
      <c r="BE420" s="585"/>
    </row>
    <row r="421" spans="1:57" s="51" customFormat="1" ht="14.45" hidden="1" customHeight="1" outlineLevel="1" x14ac:dyDescent="0.25">
      <c r="A421" s="1267"/>
      <c r="B421" s="228"/>
      <c r="C421" s="328"/>
      <c r="D421" s="3990"/>
      <c r="E421" s="4009"/>
      <c r="F421" s="3391" t="str">
        <f t="shared" si="60"/>
        <v>CAC-SEER14_ROF_SF</v>
      </c>
      <c r="G421" s="3392"/>
      <c r="H421" s="3393"/>
      <c r="I421" s="3155" t="str">
        <f t="shared" si="61"/>
        <v>350450_2021_12_</v>
      </c>
      <c r="J421" s="2282">
        <v>14.14</v>
      </c>
      <c r="K421" s="2670"/>
      <c r="L421" s="2563" t="s">
        <v>1002</v>
      </c>
      <c r="M421" s="328"/>
      <c r="N421" s="1544"/>
      <c r="O421" s="328"/>
      <c r="P421" s="123"/>
      <c r="Q421" s="123"/>
      <c r="R421" s="123"/>
      <c r="S421" s="123"/>
      <c r="T421" s="123"/>
      <c r="U421" s="123"/>
      <c r="V421" s="3990"/>
      <c r="W421" s="2857">
        <v>14.2</v>
      </c>
      <c r="X421" s="703">
        <f>X420</f>
        <v>14.16</v>
      </c>
      <c r="Y421" s="703">
        <v>14.14</v>
      </c>
      <c r="Z421" s="702">
        <v>14.14</v>
      </c>
      <c r="AA421" s="702">
        <v>14.14</v>
      </c>
      <c r="AB421" s="2227">
        <v>14.14</v>
      </c>
      <c r="AC421" s="2282">
        <v>14.14</v>
      </c>
      <c r="AD421" s="2857"/>
      <c r="AE421" s="2857"/>
      <c r="AF421" s="2857"/>
      <c r="AG421" s="2857"/>
      <c r="AH421" s="1942"/>
      <c r="AI421" s="1942"/>
      <c r="AJ421" s="1942"/>
      <c r="AK421" s="1942"/>
      <c r="AL421" s="1942"/>
      <c r="AM421" s="1942"/>
      <c r="AN421" s="1942"/>
      <c r="AO421" s="1942"/>
      <c r="AP421" s="1942"/>
      <c r="AQ421" s="1942"/>
      <c r="AR421" s="1942"/>
      <c r="AS421" s="1942"/>
      <c r="AT421" s="1942"/>
      <c r="AU421" s="1942"/>
      <c r="AV421" s="1942"/>
      <c r="AW421" s="1942"/>
      <c r="AX421" s="1942"/>
      <c r="AY421" s="1942"/>
      <c r="AZ421" s="1942"/>
      <c r="BA421" s="1942"/>
      <c r="BB421" s="575"/>
      <c r="BC421" s="584"/>
      <c r="BD421" s="678"/>
      <c r="BE421" s="585"/>
    </row>
    <row r="422" spans="1:57" s="51" customFormat="1" ht="45" hidden="1" outlineLevel="1" x14ac:dyDescent="0.25">
      <c r="A422" s="1267"/>
      <c r="B422" s="228"/>
      <c r="C422" s="328"/>
      <c r="D422" s="3990"/>
      <c r="E422" s="4009"/>
      <c r="F422" s="3385" t="str">
        <f t="shared" si="60"/>
        <v>CAC-SEER14_ER1_MF</v>
      </c>
      <c r="G422" s="3386"/>
      <c r="H422" s="3387"/>
      <c r="I422" s="3155" t="str">
        <f t="shared" si="61"/>
        <v>350500_2021_12_</v>
      </c>
      <c r="J422" s="2282">
        <v>14</v>
      </c>
      <c r="K422" s="2670"/>
      <c r="L422" s="2563" t="s">
        <v>1014</v>
      </c>
      <c r="M422" s="328"/>
      <c r="N422" s="1544"/>
      <c r="O422" s="328"/>
      <c r="P422" s="123"/>
      <c r="Q422" s="123"/>
      <c r="R422" s="123"/>
      <c r="S422" s="123"/>
      <c r="T422" s="123"/>
      <c r="U422" s="123"/>
      <c r="V422" s="3990"/>
      <c r="W422" s="2857">
        <v>14.2</v>
      </c>
      <c r="X422" s="703">
        <v>14.5</v>
      </c>
      <c r="Y422" s="703">
        <v>14</v>
      </c>
      <c r="Z422" s="702">
        <v>14</v>
      </c>
      <c r="AA422" s="702">
        <v>14</v>
      </c>
      <c r="AB422" s="2227">
        <v>14</v>
      </c>
      <c r="AC422" s="2282">
        <v>14</v>
      </c>
      <c r="AD422" s="2857"/>
      <c r="AE422" s="2857"/>
      <c r="AF422" s="2857"/>
      <c r="AG422" s="2857"/>
      <c r="AH422" s="1942"/>
      <c r="AI422" s="1942"/>
      <c r="AJ422" s="1942"/>
      <c r="AK422" s="1942"/>
      <c r="AL422" s="1942"/>
      <c r="AM422" s="1942"/>
      <c r="AN422" s="1942"/>
      <c r="AO422" s="1942"/>
      <c r="AP422" s="1942"/>
      <c r="AQ422" s="1942"/>
      <c r="AR422" s="1942"/>
      <c r="AS422" s="1942"/>
      <c r="AT422" s="1942"/>
      <c r="AU422" s="1942"/>
      <c r="AV422" s="1942"/>
      <c r="AW422" s="1942"/>
      <c r="AX422" s="1942"/>
      <c r="AY422" s="1942"/>
      <c r="AZ422" s="1942"/>
      <c r="BA422" s="1942"/>
      <c r="BB422" s="575"/>
      <c r="BC422" s="584"/>
      <c r="BD422" s="678"/>
      <c r="BE422" s="585"/>
    </row>
    <row r="423" spans="1:57" s="51" customFormat="1" ht="45" hidden="1" outlineLevel="1" x14ac:dyDescent="0.25">
      <c r="A423" s="1267"/>
      <c r="B423" s="228"/>
      <c r="C423" s="328"/>
      <c r="D423" s="3990"/>
      <c r="E423" s="4009"/>
      <c r="F423" s="3385" t="str">
        <f t="shared" si="60"/>
        <v>CAC-SEER14_ER2_MF</v>
      </c>
      <c r="G423" s="3386"/>
      <c r="H423" s="3387"/>
      <c r="I423" s="3155" t="str">
        <f t="shared" si="61"/>
        <v>350500_2021_12_</v>
      </c>
      <c r="J423" s="2282">
        <v>14</v>
      </c>
      <c r="K423" s="2670"/>
      <c r="L423" s="2563" t="s">
        <v>1014</v>
      </c>
      <c r="M423" s="328"/>
      <c r="N423" s="1544"/>
      <c r="O423" s="328"/>
      <c r="P423" s="123"/>
      <c r="Q423" s="123"/>
      <c r="R423" s="123"/>
      <c r="S423" s="123"/>
      <c r="T423" s="123"/>
      <c r="U423" s="123"/>
      <c r="V423" s="3990"/>
      <c r="W423" s="2857">
        <v>14.2</v>
      </c>
      <c r="X423" s="703">
        <v>14.5</v>
      </c>
      <c r="Y423" s="703">
        <v>14</v>
      </c>
      <c r="Z423" s="702">
        <v>14</v>
      </c>
      <c r="AA423" s="702">
        <v>14</v>
      </c>
      <c r="AB423" s="2227">
        <v>14</v>
      </c>
      <c r="AC423" s="2282">
        <v>14</v>
      </c>
      <c r="AD423" s="2857"/>
      <c r="AE423" s="2857"/>
      <c r="AF423" s="2857"/>
      <c r="AG423" s="2857"/>
      <c r="AH423" s="1942"/>
      <c r="AI423" s="1942"/>
      <c r="AJ423" s="1942"/>
      <c r="AK423" s="1942"/>
      <c r="AL423" s="1942"/>
      <c r="AM423" s="1942"/>
      <c r="AN423" s="1942"/>
      <c r="AO423" s="1942"/>
      <c r="AP423" s="1942"/>
      <c r="AQ423" s="1942"/>
      <c r="AR423" s="1942"/>
      <c r="AS423" s="1942"/>
      <c r="AT423" s="1942"/>
      <c r="AU423" s="1942"/>
      <c r="AV423" s="1942"/>
      <c r="AW423" s="1942"/>
      <c r="AX423" s="1942"/>
      <c r="AY423" s="1942"/>
      <c r="AZ423" s="1942"/>
      <c r="BA423" s="1942"/>
      <c r="BB423" s="575"/>
      <c r="BC423" s="584"/>
      <c r="BD423" s="678"/>
      <c r="BE423" s="585"/>
    </row>
    <row r="424" spans="1:57" s="51" customFormat="1" hidden="1" outlineLevel="1" x14ac:dyDescent="0.25">
      <c r="A424" s="1267"/>
      <c r="B424" s="228"/>
      <c r="C424" s="328"/>
      <c r="D424" s="3990"/>
      <c r="E424" s="4009"/>
      <c r="F424" s="3385" t="str">
        <f t="shared" si="60"/>
        <v>CAC-SEER14_ER1_MF_CompE</v>
      </c>
      <c r="G424" s="3386"/>
      <c r="H424" s="3387"/>
      <c r="I424" s="3155" t="str">
        <f t="shared" si="61"/>
        <v>350501_2021_12_</v>
      </c>
      <c r="J424" s="2282">
        <v>14</v>
      </c>
      <c r="K424" s="2670"/>
      <c r="L424" s="2563"/>
      <c r="M424" s="328"/>
      <c r="N424" s="1544"/>
      <c r="O424" s="328"/>
      <c r="P424" s="123"/>
      <c r="Q424" s="123"/>
      <c r="R424" s="123"/>
      <c r="S424" s="123"/>
      <c r="T424" s="123"/>
      <c r="U424" s="123"/>
      <c r="V424" s="3990"/>
      <c r="W424" s="2857"/>
      <c r="X424" s="703"/>
      <c r="Y424" s="703">
        <v>14</v>
      </c>
      <c r="Z424" s="702">
        <v>14</v>
      </c>
      <c r="AA424" s="702">
        <v>14</v>
      </c>
      <c r="AB424" s="2227">
        <v>14</v>
      </c>
      <c r="AC424" s="2282">
        <v>14</v>
      </c>
      <c r="AD424" s="2857"/>
      <c r="AE424" s="2857"/>
      <c r="AF424" s="2857"/>
      <c r="AG424" s="2857"/>
      <c r="AH424" s="1942"/>
      <c r="AI424" s="1942"/>
      <c r="AJ424" s="1942"/>
      <c r="AK424" s="1942"/>
      <c r="AL424" s="1942"/>
      <c r="AM424" s="1942"/>
      <c r="AN424" s="1942"/>
      <c r="AO424" s="1942"/>
      <c r="AP424" s="1942"/>
      <c r="AQ424" s="1942"/>
      <c r="AR424" s="1942"/>
      <c r="AS424" s="1942"/>
      <c r="AT424" s="1942"/>
      <c r="AU424" s="1942"/>
      <c r="AV424" s="1942"/>
      <c r="AW424" s="1942"/>
      <c r="AX424" s="1942"/>
      <c r="AY424" s="1942"/>
      <c r="AZ424" s="1942"/>
      <c r="BA424" s="1942"/>
      <c r="BB424" s="575"/>
      <c r="BC424" s="584"/>
      <c r="BD424" s="678"/>
      <c r="BE424" s="585"/>
    </row>
    <row r="425" spans="1:57" s="51" customFormat="1" hidden="1" outlineLevel="1" x14ac:dyDescent="0.25">
      <c r="A425" s="1267"/>
      <c r="B425" s="228"/>
      <c r="C425" s="328"/>
      <c r="D425" s="3990"/>
      <c r="E425" s="4009"/>
      <c r="F425" s="3385" t="str">
        <f t="shared" si="60"/>
        <v>CAC-SEER14_ER2_MF_CompE</v>
      </c>
      <c r="G425" s="3386"/>
      <c r="H425" s="3387"/>
      <c r="I425" s="3155" t="str">
        <f t="shared" si="61"/>
        <v>350501_2021_12_</v>
      </c>
      <c r="J425" s="2282">
        <v>14</v>
      </c>
      <c r="K425" s="2670"/>
      <c r="L425" s="2563"/>
      <c r="M425" s="328"/>
      <c r="N425" s="1544"/>
      <c r="O425" s="328"/>
      <c r="P425" s="123"/>
      <c r="Q425" s="123"/>
      <c r="R425" s="123"/>
      <c r="S425" s="123"/>
      <c r="T425" s="123"/>
      <c r="U425" s="123"/>
      <c r="V425" s="3990"/>
      <c r="W425" s="2857"/>
      <c r="X425" s="703"/>
      <c r="Y425" s="703">
        <v>14</v>
      </c>
      <c r="Z425" s="702">
        <v>14</v>
      </c>
      <c r="AA425" s="702">
        <v>14</v>
      </c>
      <c r="AB425" s="2227">
        <v>14</v>
      </c>
      <c r="AC425" s="2282">
        <v>14</v>
      </c>
      <c r="AD425" s="2857"/>
      <c r="AE425" s="2857"/>
      <c r="AF425" s="2857"/>
      <c r="AG425" s="2857"/>
      <c r="AH425" s="1942"/>
      <c r="AI425" s="1942"/>
      <c r="AJ425" s="1942"/>
      <c r="AK425" s="1942"/>
      <c r="AL425" s="1942"/>
      <c r="AM425" s="1942"/>
      <c r="AN425" s="1942"/>
      <c r="AO425" s="1942"/>
      <c r="AP425" s="1942"/>
      <c r="AQ425" s="1942"/>
      <c r="AR425" s="1942"/>
      <c r="AS425" s="1942"/>
      <c r="AT425" s="1942"/>
      <c r="AU425" s="1942"/>
      <c r="AV425" s="1942"/>
      <c r="AW425" s="1942"/>
      <c r="AX425" s="1942"/>
      <c r="AY425" s="1942"/>
      <c r="AZ425" s="1942"/>
      <c r="BA425" s="1942"/>
      <c r="BB425" s="575"/>
      <c r="BC425" s="584"/>
      <c r="BD425" s="678"/>
      <c r="BE425" s="585"/>
    </row>
    <row r="426" spans="1:57" s="51" customFormat="1" ht="45" hidden="1" outlineLevel="1" x14ac:dyDescent="0.25">
      <c r="A426" s="1267"/>
      <c r="B426" s="228"/>
      <c r="C426" s="328"/>
      <c r="D426" s="3990"/>
      <c r="E426" s="4009"/>
      <c r="F426" s="3385" t="str">
        <f t="shared" si="60"/>
        <v>CAC-SEER14_ROF_MF</v>
      </c>
      <c r="G426" s="3386"/>
      <c r="H426" s="3387"/>
      <c r="I426" s="3155" t="str">
        <f t="shared" si="61"/>
        <v>350550_2021_12_</v>
      </c>
      <c r="J426" s="2282">
        <v>14</v>
      </c>
      <c r="K426" s="2670"/>
      <c r="L426" s="2563" t="s">
        <v>1014</v>
      </c>
      <c r="M426" s="328"/>
      <c r="N426" s="1544"/>
      <c r="O426" s="328"/>
      <c r="P426" s="123"/>
      <c r="Q426" s="123"/>
      <c r="R426" s="123"/>
      <c r="S426" s="123"/>
      <c r="T426" s="123"/>
      <c r="U426" s="123"/>
      <c r="V426" s="3990"/>
      <c r="W426" s="2857">
        <v>14.2</v>
      </c>
      <c r="X426" s="703">
        <v>14.5</v>
      </c>
      <c r="Y426" s="703">
        <v>14</v>
      </c>
      <c r="Z426" s="702">
        <v>14</v>
      </c>
      <c r="AA426" s="702">
        <v>14</v>
      </c>
      <c r="AB426" s="2227">
        <v>14</v>
      </c>
      <c r="AC426" s="2282">
        <v>14</v>
      </c>
      <c r="AD426" s="2857"/>
      <c r="AE426" s="2857"/>
      <c r="AF426" s="2857"/>
      <c r="AG426" s="2857"/>
      <c r="AH426" s="1942"/>
      <c r="AI426" s="1942"/>
      <c r="AJ426" s="1942"/>
      <c r="AK426" s="1942"/>
      <c r="AL426" s="1942"/>
      <c r="AM426" s="1942"/>
      <c r="AN426" s="1942"/>
      <c r="AO426" s="1942"/>
      <c r="AP426" s="1942"/>
      <c r="AQ426" s="1942"/>
      <c r="AR426" s="1942"/>
      <c r="AS426" s="1942"/>
      <c r="AT426" s="1942"/>
      <c r="AU426" s="1942"/>
      <c r="AV426" s="1942"/>
      <c r="AW426" s="1942"/>
      <c r="AX426" s="1942"/>
      <c r="AY426" s="1942"/>
      <c r="AZ426" s="1942"/>
      <c r="BA426" s="1942"/>
      <c r="BB426" s="575"/>
      <c r="BC426" s="584"/>
      <c r="BD426" s="678"/>
      <c r="BE426" s="585"/>
    </row>
    <row r="427" spans="1:57" s="51" customFormat="1" hidden="1" outlineLevel="1" x14ac:dyDescent="0.25">
      <c r="A427" s="1267"/>
      <c r="B427" s="228"/>
      <c r="C427" s="328"/>
      <c r="D427" s="3990"/>
      <c r="E427" s="4009"/>
      <c r="F427" s="3385" t="str">
        <f t="shared" si="60"/>
        <v>CAC-SEER14_ROF_MF_CompE</v>
      </c>
      <c r="G427" s="3386"/>
      <c r="H427" s="3387"/>
      <c r="I427" s="3155" t="str">
        <f t="shared" si="61"/>
        <v>350551_2021_12_</v>
      </c>
      <c r="J427" s="2282">
        <v>14</v>
      </c>
      <c r="K427" s="2670"/>
      <c r="L427" s="2563"/>
      <c r="M427" s="328"/>
      <c r="N427" s="1544"/>
      <c r="O427" s="328"/>
      <c r="P427" s="123"/>
      <c r="Q427" s="123"/>
      <c r="R427" s="123"/>
      <c r="S427" s="123"/>
      <c r="T427" s="123"/>
      <c r="U427" s="123"/>
      <c r="V427" s="3990"/>
      <c r="W427" s="2857"/>
      <c r="X427" s="703"/>
      <c r="Y427" s="703">
        <v>14</v>
      </c>
      <c r="Z427" s="702">
        <v>14</v>
      </c>
      <c r="AA427" s="702">
        <v>14</v>
      </c>
      <c r="AB427" s="2227">
        <v>14</v>
      </c>
      <c r="AC427" s="2282">
        <v>14</v>
      </c>
      <c r="AD427" s="2857"/>
      <c r="AE427" s="2857"/>
      <c r="AF427" s="2857"/>
      <c r="AG427" s="2857"/>
      <c r="AH427" s="1942"/>
      <c r="AI427" s="1942"/>
      <c r="AJ427" s="1942"/>
      <c r="AK427" s="1942"/>
      <c r="AL427" s="1942"/>
      <c r="AM427" s="1942"/>
      <c r="AN427" s="1942"/>
      <c r="AO427" s="1942"/>
      <c r="AP427" s="1942"/>
      <c r="AQ427" s="1942"/>
      <c r="AR427" s="1942"/>
      <c r="AS427" s="1942"/>
      <c r="AT427" s="1942"/>
      <c r="AU427" s="1942"/>
      <c r="AV427" s="1942"/>
      <c r="AW427" s="1942"/>
      <c r="AX427" s="1942"/>
      <c r="AY427" s="1942"/>
      <c r="AZ427" s="1942"/>
      <c r="BA427" s="1942"/>
      <c r="BB427" s="575"/>
      <c r="BC427" s="584"/>
      <c r="BD427" s="678"/>
      <c r="BE427" s="585"/>
    </row>
    <row r="428" spans="1:57" s="51" customFormat="1" hidden="1" outlineLevel="1" x14ac:dyDescent="0.25">
      <c r="A428" s="1267"/>
      <c r="B428" s="228"/>
      <c r="C428" s="328"/>
      <c r="D428" s="3990"/>
      <c r="E428" s="4009"/>
      <c r="F428" s="3385" t="str">
        <f t="shared" si="60"/>
        <v>CAC-SEER15_ER1_SF</v>
      </c>
      <c r="G428" s="3386"/>
      <c r="H428" s="3387"/>
      <c r="I428" s="3155" t="str">
        <f t="shared" si="61"/>
        <v>350600_2021_12_</v>
      </c>
      <c r="J428" s="2228">
        <v>15.097858431018889</v>
      </c>
      <c r="K428" s="2670"/>
      <c r="L428" s="2723" t="s">
        <v>1005</v>
      </c>
      <c r="M428" s="328"/>
      <c r="N428" s="1544"/>
      <c r="O428" s="328"/>
      <c r="P428" s="123"/>
      <c r="Q428" s="123"/>
      <c r="R428" s="123"/>
      <c r="S428" s="123"/>
      <c r="T428" s="123"/>
      <c r="U428" s="123"/>
      <c r="V428" s="3990"/>
      <c r="W428" s="2857">
        <v>15.2</v>
      </c>
      <c r="X428" s="703">
        <v>15.16</v>
      </c>
      <c r="Y428" s="703">
        <v>15.16</v>
      </c>
      <c r="Z428" s="702">
        <v>15.16</v>
      </c>
      <c r="AA428" s="702">
        <v>15.16</v>
      </c>
      <c r="AB428" s="2228">
        <v>15.107566616390109</v>
      </c>
      <c r="AC428" s="2228">
        <v>15.097858431018889</v>
      </c>
      <c r="AD428" s="2857"/>
      <c r="AE428" s="2857"/>
      <c r="AF428" s="2857"/>
      <c r="AG428" s="2857"/>
      <c r="AH428" s="1942"/>
      <c r="AI428" s="1942"/>
      <c r="AJ428" s="1942"/>
      <c r="AK428" s="1942"/>
      <c r="AL428" s="1942"/>
      <c r="AM428" s="1942"/>
      <c r="AN428" s="1942"/>
      <c r="AO428" s="1942"/>
      <c r="AP428" s="1942"/>
      <c r="AQ428" s="1942"/>
      <c r="AR428" s="1942"/>
      <c r="AS428" s="1942"/>
      <c r="AT428" s="1942"/>
      <c r="AU428" s="1942"/>
      <c r="AV428" s="1942"/>
      <c r="AW428" s="1942"/>
      <c r="AX428" s="1942"/>
      <c r="AY428" s="1942"/>
      <c r="AZ428" s="1942"/>
      <c r="BA428" s="1942"/>
      <c r="BB428" s="575"/>
      <c r="BC428" s="584"/>
      <c r="BD428" s="678"/>
      <c r="BE428" s="585"/>
    </row>
    <row r="429" spans="1:57" s="51" customFormat="1" hidden="1" outlineLevel="1" x14ac:dyDescent="0.25">
      <c r="A429" s="1267"/>
      <c r="B429" s="228"/>
      <c r="C429" s="328"/>
      <c r="D429" s="3990"/>
      <c r="E429" s="4009"/>
      <c r="F429" s="3385" t="str">
        <f t="shared" si="60"/>
        <v>CAC-SEER15_ER2_SF</v>
      </c>
      <c r="G429" s="3386"/>
      <c r="H429" s="3387"/>
      <c r="I429" s="3155" t="str">
        <f t="shared" si="61"/>
        <v>350600_2021_12_</v>
      </c>
      <c r="J429" s="2228">
        <f>J428</f>
        <v>15.097858431018889</v>
      </c>
      <c r="K429" s="2670"/>
      <c r="L429" s="2723" t="s">
        <v>1005</v>
      </c>
      <c r="M429" s="328"/>
      <c r="N429" s="1544"/>
      <c r="O429" s="328"/>
      <c r="P429" s="123"/>
      <c r="Q429" s="123"/>
      <c r="R429" s="123"/>
      <c r="S429" s="123"/>
      <c r="T429" s="123"/>
      <c r="U429" s="123"/>
      <c r="V429" s="3990"/>
      <c r="W429" s="2857">
        <v>15.2</v>
      </c>
      <c r="X429" s="703">
        <v>15.16</v>
      </c>
      <c r="Y429" s="703">
        <v>15.16</v>
      </c>
      <c r="Z429" s="702">
        <v>15.16</v>
      </c>
      <c r="AA429" s="702">
        <v>15.16</v>
      </c>
      <c r="AB429" s="2228">
        <v>15.107566616390109</v>
      </c>
      <c r="AC429" s="2228">
        <v>15.097858431018889</v>
      </c>
      <c r="AD429" s="2857"/>
      <c r="AE429" s="2857"/>
      <c r="AF429" s="2857"/>
      <c r="AG429" s="2857"/>
      <c r="AH429" s="1942"/>
      <c r="AI429" s="1942"/>
      <c r="AJ429" s="1942"/>
      <c r="AK429" s="1942"/>
      <c r="AL429" s="1942"/>
      <c r="AM429" s="1942"/>
      <c r="AN429" s="1942"/>
      <c r="AO429" s="1942"/>
      <c r="AP429" s="1942"/>
      <c r="AQ429" s="1942"/>
      <c r="AR429" s="1942"/>
      <c r="AS429" s="1942"/>
      <c r="AT429" s="1942"/>
      <c r="AU429" s="1942"/>
      <c r="AV429" s="1942"/>
      <c r="AW429" s="1942"/>
      <c r="AX429" s="1942"/>
      <c r="AY429" s="1942"/>
      <c r="AZ429" s="1942"/>
      <c r="BA429" s="1942"/>
      <c r="BB429" s="575"/>
      <c r="BC429" s="584"/>
      <c r="BD429" s="678"/>
      <c r="BE429" s="585"/>
    </row>
    <row r="430" spans="1:57" s="51" customFormat="1" hidden="1" outlineLevel="1" x14ac:dyDescent="0.25">
      <c r="A430" s="1267"/>
      <c r="B430" s="228"/>
      <c r="C430" s="328"/>
      <c r="D430" s="3990"/>
      <c r="E430" s="4009"/>
      <c r="F430" s="3385" t="str">
        <f t="shared" si="60"/>
        <v>CAC-SEER15_ROF_SF</v>
      </c>
      <c r="G430" s="3386"/>
      <c r="H430" s="3387"/>
      <c r="I430" s="3155" t="str">
        <f t="shared" si="61"/>
        <v>350650_2021_12_</v>
      </c>
      <c r="J430" s="2228">
        <v>15.106015037593986</v>
      </c>
      <c r="K430" s="2670"/>
      <c r="L430" s="2723" t="s">
        <v>1005</v>
      </c>
      <c r="M430" s="328"/>
      <c r="N430" s="1544"/>
      <c r="O430" s="328"/>
      <c r="P430" s="123"/>
      <c r="Q430" s="123"/>
      <c r="R430" s="123"/>
      <c r="S430" s="123"/>
      <c r="T430" s="123"/>
      <c r="U430" s="123"/>
      <c r="V430" s="3990"/>
      <c r="W430" s="2857">
        <v>15.1</v>
      </c>
      <c r="X430" s="703">
        <v>15.16</v>
      </c>
      <c r="Y430" s="703">
        <v>15.13</v>
      </c>
      <c r="Z430" s="702">
        <v>15.13</v>
      </c>
      <c r="AA430" s="702">
        <v>15.13</v>
      </c>
      <c r="AB430" s="2228">
        <v>15.119400630914827</v>
      </c>
      <c r="AC430" s="2228">
        <v>15.106015037593986</v>
      </c>
      <c r="AD430" s="2857"/>
      <c r="AE430" s="2857"/>
      <c r="AF430" s="2857"/>
      <c r="AG430" s="2857"/>
      <c r="AH430" s="1942"/>
      <c r="AI430" s="1942"/>
      <c r="AJ430" s="1942"/>
      <c r="AK430" s="1942"/>
      <c r="AL430" s="1942"/>
      <c r="AM430" s="1942"/>
      <c r="AN430" s="1942"/>
      <c r="AO430" s="1942"/>
      <c r="AP430" s="1942"/>
      <c r="AQ430" s="1942"/>
      <c r="AR430" s="1942"/>
      <c r="AS430" s="1942"/>
      <c r="AT430" s="1942"/>
      <c r="AU430" s="1942"/>
      <c r="AV430" s="1942"/>
      <c r="AW430" s="1942"/>
      <c r="AX430" s="1942"/>
      <c r="AY430" s="1942"/>
      <c r="AZ430" s="1942"/>
      <c r="BA430" s="1942"/>
      <c r="BB430" s="575"/>
      <c r="BC430" s="584"/>
      <c r="BD430" s="678"/>
      <c r="BE430" s="585"/>
    </row>
    <row r="431" spans="1:57" s="51" customFormat="1" hidden="1" outlineLevel="1" x14ac:dyDescent="0.25">
      <c r="A431" s="1267"/>
      <c r="B431" s="228"/>
      <c r="C431" s="328"/>
      <c r="D431" s="3990"/>
      <c r="E431" s="4009"/>
      <c r="F431" s="3385" t="str">
        <f t="shared" si="60"/>
        <v>CAC-SEER15_ER1_MF</v>
      </c>
      <c r="G431" s="3386"/>
      <c r="H431" s="3387"/>
      <c r="I431" s="3155" t="str">
        <f t="shared" si="61"/>
        <v>350700_2021_12_</v>
      </c>
      <c r="J431" s="2228">
        <v>15.202380952380954</v>
      </c>
      <c r="K431" s="2670"/>
      <c r="L431" s="2723" t="s">
        <v>1005</v>
      </c>
      <c r="M431" s="328"/>
      <c r="N431" s="1544"/>
      <c r="O431" s="328"/>
      <c r="P431" s="123"/>
      <c r="Q431" s="123"/>
      <c r="R431" s="123"/>
      <c r="S431" s="123"/>
      <c r="T431" s="123"/>
      <c r="U431" s="123"/>
      <c r="V431" s="3990"/>
      <c r="W431" s="2857">
        <v>15.2</v>
      </c>
      <c r="X431" s="703">
        <v>15.16</v>
      </c>
      <c r="Y431" s="703">
        <v>15</v>
      </c>
      <c r="Z431" s="702">
        <v>15</v>
      </c>
      <c r="AA431" s="702">
        <v>15</v>
      </c>
      <c r="AB431" s="2228">
        <v>15.13953488372093</v>
      </c>
      <c r="AC431" s="2228">
        <v>15.202380952380954</v>
      </c>
      <c r="AD431" s="2857"/>
      <c r="AE431" s="2857"/>
      <c r="AF431" s="2857"/>
      <c r="AG431" s="2857"/>
      <c r="AH431" s="1942"/>
      <c r="AI431" s="1942"/>
      <c r="AJ431" s="1942"/>
      <c r="AK431" s="1942"/>
      <c r="AL431" s="1942"/>
      <c r="AM431" s="1942"/>
      <c r="AN431" s="1942"/>
      <c r="AO431" s="1942"/>
      <c r="AP431" s="1942"/>
      <c r="AQ431" s="1942"/>
      <c r="AR431" s="1942"/>
      <c r="AS431" s="1942"/>
      <c r="AT431" s="1942"/>
      <c r="AU431" s="1942"/>
      <c r="AV431" s="1942"/>
      <c r="AW431" s="1942"/>
      <c r="AX431" s="1942"/>
      <c r="AY431" s="1942"/>
      <c r="AZ431" s="1942"/>
      <c r="BA431" s="1942"/>
      <c r="BB431" s="575"/>
      <c r="BC431" s="584"/>
      <c r="BD431" s="678"/>
      <c r="BE431" s="585"/>
    </row>
    <row r="432" spans="1:57" s="51" customFormat="1" hidden="1" outlineLevel="1" x14ac:dyDescent="0.25">
      <c r="A432" s="1267"/>
      <c r="B432" s="228"/>
      <c r="C432" s="328"/>
      <c r="D432" s="3990"/>
      <c r="E432" s="4009"/>
      <c r="F432" s="3385" t="str">
        <f t="shared" si="60"/>
        <v>CAC-SEER15_ER2_MF</v>
      </c>
      <c r="G432" s="3386"/>
      <c r="H432" s="3387"/>
      <c r="I432" s="3155" t="str">
        <f t="shared" si="61"/>
        <v>350700_2021_12_</v>
      </c>
      <c r="J432" s="2228">
        <f>J431</f>
        <v>15.202380952380954</v>
      </c>
      <c r="K432" s="2670"/>
      <c r="L432" s="2723" t="s">
        <v>1005</v>
      </c>
      <c r="M432" s="328"/>
      <c r="N432" s="1544"/>
      <c r="O432" s="328"/>
      <c r="P432" s="123"/>
      <c r="Q432" s="123"/>
      <c r="R432" s="123"/>
      <c r="S432" s="123"/>
      <c r="T432" s="123"/>
      <c r="U432" s="123"/>
      <c r="V432" s="3990"/>
      <c r="W432" s="2857">
        <v>15.2</v>
      </c>
      <c r="X432" s="703">
        <v>15.16</v>
      </c>
      <c r="Y432" s="703">
        <v>15</v>
      </c>
      <c r="Z432" s="702">
        <v>15</v>
      </c>
      <c r="AA432" s="702">
        <v>15</v>
      </c>
      <c r="AB432" s="2228">
        <v>15.13953488372093</v>
      </c>
      <c r="AC432" s="2228">
        <v>15.202380952380954</v>
      </c>
      <c r="AD432" s="2857"/>
      <c r="AE432" s="2857"/>
      <c r="AF432" s="2857"/>
      <c r="AG432" s="2857"/>
      <c r="AH432" s="1942"/>
      <c r="AI432" s="1942"/>
      <c r="AJ432" s="1942"/>
      <c r="AK432" s="1942"/>
      <c r="AL432" s="1942"/>
      <c r="AM432" s="1942"/>
      <c r="AN432" s="1942"/>
      <c r="AO432" s="1942"/>
      <c r="AP432" s="1942"/>
      <c r="AQ432" s="1942"/>
      <c r="AR432" s="1942"/>
      <c r="AS432" s="1942"/>
      <c r="AT432" s="1942"/>
      <c r="AU432" s="1942"/>
      <c r="AV432" s="1942"/>
      <c r="AW432" s="1942"/>
      <c r="AX432" s="1942"/>
      <c r="AY432" s="1942"/>
      <c r="AZ432" s="1942"/>
      <c r="BA432" s="1942"/>
      <c r="BB432" s="575"/>
      <c r="BC432" s="584"/>
      <c r="BD432" s="678"/>
      <c r="BE432" s="585"/>
    </row>
    <row r="433" spans="1:57" s="51" customFormat="1" hidden="1" outlineLevel="1" x14ac:dyDescent="0.25">
      <c r="A433" s="1267"/>
      <c r="B433" s="228"/>
      <c r="C433" s="328"/>
      <c r="D433" s="3990"/>
      <c r="E433" s="4009"/>
      <c r="F433" s="3385" t="str">
        <f t="shared" si="60"/>
        <v>CAC-SEER15_ER1_MF_CompE</v>
      </c>
      <c r="G433" s="3386"/>
      <c r="H433" s="3387"/>
      <c r="I433" s="3155" t="str">
        <f t="shared" si="61"/>
        <v>350701_2021_12_</v>
      </c>
      <c r="J433" s="2282">
        <v>15</v>
      </c>
      <c r="K433" s="2670"/>
      <c r="L433" s="2563"/>
      <c r="M433" s="328"/>
      <c r="N433" s="1544"/>
      <c r="O433" s="328"/>
      <c r="P433" s="123"/>
      <c r="Q433" s="123"/>
      <c r="R433" s="123"/>
      <c r="S433" s="123"/>
      <c r="T433" s="123"/>
      <c r="U433" s="123"/>
      <c r="V433" s="3990"/>
      <c r="W433" s="2857"/>
      <c r="X433" s="703"/>
      <c r="Y433" s="703">
        <v>15</v>
      </c>
      <c r="Z433" s="702">
        <v>15</v>
      </c>
      <c r="AA433" s="702">
        <v>15</v>
      </c>
      <c r="AB433" s="2227">
        <v>15</v>
      </c>
      <c r="AC433" s="2282">
        <v>15</v>
      </c>
      <c r="AD433" s="2857"/>
      <c r="AE433" s="2857"/>
      <c r="AF433" s="2857"/>
      <c r="AG433" s="2857"/>
      <c r="AH433" s="1942"/>
      <c r="AI433" s="1942"/>
      <c r="AJ433" s="1942"/>
      <c r="AK433" s="1942"/>
      <c r="AL433" s="1942"/>
      <c r="AM433" s="1942"/>
      <c r="AN433" s="1942"/>
      <c r="AO433" s="1942"/>
      <c r="AP433" s="1942"/>
      <c r="AQ433" s="1942"/>
      <c r="AR433" s="1942"/>
      <c r="AS433" s="1942"/>
      <c r="AT433" s="1942"/>
      <c r="AU433" s="1942"/>
      <c r="AV433" s="1942"/>
      <c r="AW433" s="1942"/>
      <c r="AX433" s="1942"/>
      <c r="AY433" s="1942"/>
      <c r="AZ433" s="1942"/>
      <c r="BA433" s="1942"/>
      <c r="BB433" s="575"/>
      <c r="BC433" s="584"/>
      <c r="BD433" s="678"/>
      <c r="BE433" s="585"/>
    </row>
    <row r="434" spans="1:57" s="51" customFormat="1" hidden="1" outlineLevel="1" x14ac:dyDescent="0.25">
      <c r="A434" s="1267"/>
      <c r="B434" s="228"/>
      <c r="C434" s="328"/>
      <c r="D434" s="3990"/>
      <c r="E434" s="4009"/>
      <c r="F434" s="3385" t="str">
        <f t="shared" si="60"/>
        <v>CAC-SEER15_ER2_MF_CompE</v>
      </c>
      <c r="G434" s="3386"/>
      <c r="H434" s="3387"/>
      <c r="I434" s="3155" t="str">
        <f t="shared" si="61"/>
        <v>350701_2021_12_</v>
      </c>
      <c r="J434" s="2282">
        <v>15</v>
      </c>
      <c r="K434" s="2670"/>
      <c r="L434" s="2563"/>
      <c r="M434" s="328"/>
      <c r="N434" s="1544"/>
      <c r="O434" s="328"/>
      <c r="P434" s="123"/>
      <c r="Q434" s="123"/>
      <c r="R434" s="123"/>
      <c r="S434" s="123"/>
      <c r="T434" s="123"/>
      <c r="U434" s="123"/>
      <c r="V434" s="3990"/>
      <c r="W434" s="2857"/>
      <c r="X434" s="703"/>
      <c r="Y434" s="703">
        <v>15</v>
      </c>
      <c r="Z434" s="702">
        <v>15</v>
      </c>
      <c r="AA434" s="702">
        <v>15</v>
      </c>
      <c r="AB434" s="2227">
        <v>15</v>
      </c>
      <c r="AC434" s="2282">
        <v>15</v>
      </c>
      <c r="AD434" s="2857"/>
      <c r="AE434" s="2857"/>
      <c r="AF434" s="2857"/>
      <c r="AG434" s="2857"/>
      <c r="AH434" s="1942"/>
      <c r="AI434" s="1942"/>
      <c r="AJ434" s="1942"/>
      <c r="AK434" s="1942"/>
      <c r="AL434" s="1942"/>
      <c r="AM434" s="1942"/>
      <c r="AN434" s="1942"/>
      <c r="AO434" s="1942"/>
      <c r="AP434" s="1942"/>
      <c r="AQ434" s="1942"/>
      <c r="AR434" s="1942"/>
      <c r="AS434" s="1942"/>
      <c r="AT434" s="1942"/>
      <c r="AU434" s="1942"/>
      <c r="AV434" s="1942"/>
      <c r="AW434" s="1942"/>
      <c r="AX434" s="1942"/>
      <c r="AY434" s="1942"/>
      <c r="AZ434" s="1942"/>
      <c r="BA434" s="1942"/>
      <c r="BB434" s="575"/>
      <c r="BC434" s="584"/>
      <c r="BD434" s="678"/>
      <c r="BE434" s="585"/>
    </row>
    <row r="435" spans="1:57" s="51" customFormat="1" hidden="1" outlineLevel="1" x14ac:dyDescent="0.25">
      <c r="A435" s="1267"/>
      <c r="B435" s="228"/>
      <c r="C435" s="328"/>
      <c r="D435" s="3990"/>
      <c r="E435" s="4009"/>
      <c r="F435" s="3385" t="str">
        <f t="shared" si="60"/>
        <v>CAC-SEER15_ROF_MF</v>
      </c>
      <c r="G435" s="3386"/>
      <c r="H435" s="3387"/>
      <c r="I435" s="3155" t="str">
        <f t="shared" si="61"/>
        <v>350750_2021_12_</v>
      </c>
      <c r="J435" s="2228">
        <v>15.125</v>
      </c>
      <c r="K435" s="2670"/>
      <c r="L435" s="2723" t="s">
        <v>1005</v>
      </c>
      <c r="M435" s="328"/>
      <c r="N435" s="1544"/>
      <c r="O435" s="328"/>
      <c r="P435" s="123"/>
      <c r="Q435" s="123"/>
      <c r="R435" s="123"/>
      <c r="S435" s="123"/>
      <c r="T435" s="123"/>
      <c r="U435" s="123"/>
      <c r="V435" s="3990"/>
      <c r="W435" s="2857">
        <v>15.1</v>
      </c>
      <c r="X435" s="703">
        <v>15.16</v>
      </c>
      <c r="Y435" s="703">
        <v>15</v>
      </c>
      <c r="Z435" s="702">
        <v>15</v>
      </c>
      <c r="AA435" s="702">
        <v>15</v>
      </c>
      <c r="AB435" s="2228">
        <v>15.083333333333334</v>
      </c>
      <c r="AC435" s="2228">
        <v>15.125</v>
      </c>
      <c r="AD435" s="2857"/>
      <c r="AE435" s="2857"/>
      <c r="AF435" s="2857"/>
      <c r="AG435" s="2857"/>
      <c r="AH435" s="1942"/>
      <c r="AI435" s="1942"/>
      <c r="AJ435" s="1942"/>
      <c r="AK435" s="1942"/>
      <c r="AL435" s="1942"/>
      <c r="AM435" s="1942"/>
      <c r="AN435" s="1942"/>
      <c r="AO435" s="1942"/>
      <c r="AP435" s="1942"/>
      <c r="AQ435" s="1942"/>
      <c r="AR435" s="1942"/>
      <c r="AS435" s="1942"/>
      <c r="AT435" s="1942"/>
      <c r="AU435" s="1942"/>
      <c r="AV435" s="1942"/>
      <c r="AW435" s="1942"/>
      <c r="AX435" s="1942"/>
      <c r="AY435" s="1942"/>
      <c r="AZ435" s="1942"/>
      <c r="BA435" s="1942"/>
      <c r="BB435" s="575"/>
      <c r="BC435" s="584"/>
      <c r="BD435" s="678"/>
      <c r="BE435" s="585"/>
    </row>
    <row r="436" spans="1:57" s="51" customFormat="1" hidden="1" outlineLevel="1" x14ac:dyDescent="0.25">
      <c r="A436" s="1267"/>
      <c r="B436" s="228"/>
      <c r="C436" s="328"/>
      <c r="D436" s="3990"/>
      <c r="E436" s="4009"/>
      <c r="F436" s="3385" t="str">
        <f t="shared" si="60"/>
        <v>CAC-SEER15_ROF_MF_CompE</v>
      </c>
      <c r="G436" s="3386"/>
      <c r="H436" s="3387"/>
      <c r="I436" s="3155" t="str">
        <f t="shared" si="61"/>
        <v>350751_2021_12_</v>
      </c>
      <c r="J436" s="2282">
        <v>15</v>
      </c>
      <c r="K436" s="2670"/>
      <c r="L436" s="2563"/>
      <c r="M436" s="328"/>
      <c r="N436" s="1544"/>
      <c r="O436" s="328"/>
      <c r="P436" s="123"/>
      <c r="Q436" s="123"/>
      <c r="R436" s="123"/>
      <c r="S436" s="123"/>
      <c r="T436" s="123"/>
      <c r="U436" s="123"/>
      <c r="V436" s="3990"/>
      <c r="W436" s="2857"/>
      <c r="X436" s="703"/>
      <c r="Y436" s="703">
        <v>15</v>
      </c>
      <c r="Z436" s="702">
        <v>15</v>
      </c>
      <c r="AA436" s="702">
        <v>15</v>
      </c>
      <c r="AB436" s="2227">
        <v>15</v>
      </c>
      <c r="AC436" s="2282">
        <v>15</v>
      </c>
      <c r="AD436" s="2857"/>
      <c r="AE436" s="2857"/>
      <c r="AF436" s="2857"/>
      <c r="AG436" s="2857"/>
      <c r="AH436" s="1942"/>
      <c r="AI436" s="1942"/>
      <c r="AJ436" s="1942"/>
      <c r="AK436" s="1942"/>
      <c r="AL436" s="1942"/>
      <c r="AM436" s="1942"/>
      <c r="AN436" s="1942"/>
      <c r="AO436" s="1942"/>
      <c r="AP436" s="1942"/>
      <c r="AQ436" s="1942"/>
      <c r="AR436" s="1942"/>
      <c r="AS436" s="1942"/>
      <c r="AT436" s="1942"/>
      <c r="AU436" s="1942"/>
      <c r="AV436" s="1942"/>
      <c r="AW436" s="1942"/>
      <c r="AX436" s="1942"/>
      <c r="AY436" s="1942"/>
      <c r="AZ436" s="1942"/>
      <c r="BA436" s="1942"/>
      <c r="BB436" s="575"/>
      <c r="BC436" s="584"/>
      <c r="BD436" s="678"/>
      <c r="BE436" s="585"/>
    </row>
    <row r="437" spans="1:57" s="51" customFormat="1" hidden="1" outlineLevel="1" x14ac:dyDescent="0.25">
      <c r="A437" s="1267"/>
      <c r="B437" s="228"/>
      <c r="C437" s="328"/>
      <c r="D437" s="3990"/>
      <c r="E437" s="4009"/>
      <c r="F437" s="3385" t="str">
        <f t="shared" si="60"/>
        <v>CAC-SEER16_ER1_SF</v>
      </c>
      <c r="G437" s="3386"/>
      <c r="H437" s="3387"/>
      <c r="I437" s="3155" t="str">
        <f t="shared" si="61"/>
        <v>350800_2021_12_</v>
      </c>
      <c r="J437" s="2228">
        <v>16.027565046637211</v>
      </c>
      <c r="K437" s="2670"/>
      <c r="L437" s="2723" t="s">
        <v>1005</v>
      </c>
      <c r="M437" s="328"/>
      <c r="N437" s="1544"/>
      <c r="O437" s="328"/>
      <c r="P437" s="123"/>
      <c r="Q437" s="123"/>
      <c r="R437" s="123"/>
      <c r="S437" s="123"/>
      <c r="T437" s="123"/>
      <c r="U437" s="123"/>
      <c r="V437" s="3990"/>
      <c r="W437" s="2857">
        <v>16</v>
      </c>
      <c r="X437" s="703">
        <v>16.350000000000001</v>
      </c>
      <c r="Y437" s="703">
        <v>16.36</v>
      </c>
      <c r="Z437" s="702">
        <v>16.36</v>
      </c>
      <c r="AA437" s="702">
        <v>16.36</v>
      </c>
      <c r="AB437" s="2228">
        <v>16.028875215889464</v>
      </c>
      <c r="AC437" s="2228">
        <v>16.027565046637211</v>
      </c>
      <c r="AD437" s="2857"/>
      <c r="AE437" s="2857"/>
      <c r="AF437" s="2857"/>
      <c r="AG437" s="2857"/>
      <c r="AH437" s="1942"/>
      <c r="AI437" s="1942"/>
      <c r="AJ437" s="1942"/>
      <c r="AK437" s="1942"/>
      <c r="AL437" s="1942"/>
      <c r="AM437" s="1942"/>
      <c r="AN437" s="1942"/>
      <c r="AO437" s="1942"/>
      <c r="AP437" s="1942"/>
      <c r="AQ437" s="1942"/>
      <c r="AR437" s="1942"/>
      <c r="AS437" s="1942"/>
      <c r="AT437" s="1942"/>
      <c r="AU437" s="1942"/>
      <c r="AV437" s="1942"/>
      <c r="AW437" s="1942"/>
      <c r="AX437" s="1942"/>
      <c r="AY437" s="1942"/>
      <c r="AZ437" s="1942"/>
      <c r="BA437" s="1942"/>
      <c r="BB437" s="575"/>
      <c r="BC437" s="584"/>
      <c r="BD437" s="678"/>
      <c r="BE437" s="585"/>
    </row>
    <row r="438" spans="1:57" s="51" customFormat="1" hidden="1" outlineLevel="1" x14ac:dyDescent="0.25">
      <c r="A438" s="1267"/>
      <c r="B438" s="228"/>
      <c r="C438" s="328"/>
      <c r="D438" s="3990"/>
      <c r="E438" s="4009"/>
      <c r="F438" s="3385" t="str">
        <f t="shared" si="60"/>
        <v>CAC-SEER16_ER2_SF</v>
      </c>
      <c r="G438" s="3386"/>
      <c r="H438" s="3387"/>
      <c r="I438" s="3155" t="str">
        <f t="shared" si="61"/>
        <v>350800_2021_12_</v>
      </c>
      <c r="J438" s="2228">
        <f>J437</f>
        <v>16.027565046637211</v>
      </c>
      <c r="K438" s="2670"/>
      <c r="L438" s="2723" t="s">
        <v>1005</v>
      </c>
      <c r="M438" s="328"/>
      <c r="N438" s="1544"/>
      <c r="O438" s="328"/>
      <c r="P438" s="123"/>
      <c r="Q438" s="123"/>
      <c r="R438" s="123"/>
      <c r="S438" s="123"/>
      <c r="T438" s="123"/>
      <c r="U438" s="123"/>
      <c r="V438" s="3990"/>
      <c r="W438" s="2857">
        <v>16</v>
      </c>
      <c r="X438" s="703">
        <v>16.350000000000001</v>
      </c>
      <c r="Y438" s="703">
        <v>16.36</v>
      </c>
      <c r="Z438" s="702">
        <v>16.36</v>
      </c>
      <c r="AA438" s="702">
        <v>16.36</v>
      </c>
      <c r="AB438" s="2228">
        <v>16.028875215889464</v>
      </c>
      <c r="AC438" s="2228">
        <v>16.027565046637211</v>
      </c>
      <c r="AD438" s="2857"/>
      <c r="AE438" s="2857"/>
      <c r="AF438" s="2857"/>
      <c r="AG438" s="2857"/>
      <c r="AH438" s="1942"/>
      <c r="AI438" s="1942"/>
      <c r="AJ438" s="1942"/>
      <c r="AK438" s="1942"/>
      <c r="AL438" s="1942"/>
      <c r="AM438" s="1942"/>
      <c r="AN438" s="1942"/>
      <c r="AO438" s="1942"/>
      <c r="AP438" s="1942"/>
      <c r="AQ438" s="1942"/>
      <c r="AR438" s="1942"/>
      <c r="AS438" s="1942"/>
      <c r="AT438" s="1942"/>
      <c r="AU438" s="1942"/>
      <c r="AV438" s="1942"/>
      <c r="AW438" s="1942"/>
      <c r="AX438" s="1942"/>
      <c r="AY438" s="1942"/>
      <c r="AZ438" s="1942"/>
      <c r="BA438" s="1942"/>
      <c r="BB438" s="575"/>
      <c r="BC438" s="584"/>
      <c r="BD438" s="678"/>
      <c r="BE438" s="585"/>
    </row>
    <row r="439" spans="1:57" s="51" customFormat="1" hidden="1" outlineLevel="1" x14ac:dyDescent="0.25">
      <c r="A439" s="1267"/>
      <c r="B439" s="228"/>
      <c r="C439" s="328"/>
      <c r="D439" s="3990"/>
      <c r="E439" s="4009"/>
      <c r="F439" s="3385" t="str">
        <f t="shared" si="60"/>
        <v>CAC-SEER16_ROF_SF</v>
      </c>
      <c r="G439" s="3386"/>
      <c r="H439" s="3387"/>
      <c r="I439" s="3155" t="str">
        <f t="shared" si="61"/>
        <v>350850_2021_12_</v>
      </c>
      <c r="J439" s="2228">
        <v>16.031308411214955</v>
      </c>
      <c r="K439" s="2670"/>
      <c r="L439" s="2723" t="s">
        <v>1005</v>
      </c>
      <c r="M439" s="328"/>
      <c r="N439" s="1544"/>
      <c r="O439" s="328"/>
      <c r="P439" s="123"/>
      <c r="Q439" s="123"/>
      <c r="R439" s="123"/>
      <c r="S439" s="123"/>
      <c r="T439" s="123"/>
      <c r="U439" s="123"/>
      <c r="V439" s="3990"/>
      <c r="W439" s="2857">
        <v>16</v>
      </c>
      <c r="X439" s="703">
        <v>16.350000000000001</v>
      </c>
      <c r="Y439" s="703">
        <v>16.37</v>
      </c>
      <c r="Z439" s="702">
        <v>16.37</v>
      </c>
      <c r="AA439" s="702">
        <v>16.37</v>
      </c>
      <c r="AB439" s="2228">
        <v>16.036909448818896</v>
      </c>
      <c r="AC439" s="2228">
        <v>16.031308411214955</v>
      </c>
      <c r="AD439" s="2857"/>
      <c r="AE439" s="2857"/>
      <c r="AF439" s="2857"/>
      <c r="AG439" s="2857"/>
      <c r="AH439" s="1942"/>
      <c r="AI439" s="1942"/>
      <c r="AJ439" s="1942"/>
      <c r="AK439" s="1942"/>
      <c r="AL439" s="1942"/>
      <c r="AM439" s="1942"/>
      <c r="AN439" s="1942"/>
      <c r="AO439" s="1942"/>
      <c r="AP439" s="1942"/>
      <c r="AQ439" s="1942"/>
      <c r="AR439" s="1942"/>
      <c r="AS439" s="1942"/>
      <c r="AT439" s="1942"/>
      <c r="AU439" s="1942"/>
      <c r="AV439" s="1942"/>
      <c r="AW439" s="1942"/>
      <c r="AX439" s="1942"/>
      <c r="AY439" s="1942"/>
      <c r="AZ439" s="1942"/>
      <c r="BA439" s="1942"/>
      <c r="BB439" s="575"/>
      <c r="BC439" s="584"/>
      <c r="BD439" s="678"/>
      <c r="BE439" s="585"/>
    </row>
    <row r="440" spans="1:57" s="51" customFormat="1" hidden="1" outlineLevel="1" x14ac:dyDescent="0.25">
      <c r="A440" s="1267"/>
      <c r="B440" s="228"/>
      <c r="C440" s="328"/>
      <c r="D440" s="3990"/>
      <c r="E440" s="4009"/>
      <c r="F440" s="3385" t="str">
        <f t="shared" si="60"/>
        <v>CAC-SEER16_ER1_MF</v>
      </c>
      <c r="G440" s="3386"/>
      <c r="H440" s="3387"/>
      <c r="I440" s="3155" t="str">
        <f t="shared" si="61"/>
        <v>350900_2021_12_</v>
      </c>
      <c r="J440" s="2228">
        <v>16.006024096385541</v>
      </c>
      <c r="K440" s="2670"/>
      <c r="L440" s="2723" t="s">
        <v>1005</v>
      </c>
      <c r="M440" s="328"/>
      <c r="N440" s="1544"/>
      <c r="O440" s="328"/>
      <c r="P440" s="123"/>
      <c r="Q440" s="123"/>
      <c r="R440" s="123"/>
      <c r="S440" s="123"/>
      <c r="T440" s="123"/>
      <c r="U440" s="123"/>
      <c r="V440" s="3990"/>
      <c r="W440" s="2857">
        <v>16</v>
      </c>
      <c r="X440" s="703">
        <v>16</v>
      </c>
      <c r="Y440" s="702">
        <v>16</v>
      </c>
      <c r="Z440" s="702">
        <v>16</v>
      </c>
      <c r="AA440" s="702">
        <v>16</v>
      </c>
      <c r="AB440" s="2228">
        <v>16.040816326530614</v>
      </c>
      <c r="AC440" s="2228">
        <v>16.006024096385541</v>
      </c>
      <c r="AD440" s="2857"/>
      <c r="AE440" s="2857"/>
      <c r="AF440" s="2857"/>
      <c r="AG440" s="2857"/>
      <c r="AH440" s="1942"/>
      <c r="AI440" s="1942"/>
      <c r="AJ440" s="1942"/>
      <c r="AK440" s="1942"/>
      <c r="AL440" s="1942"/>
      <c r="AM440" s="1942"/>
      <c r="AN440" s="1942"/>
      <c r="AO440" s="1942"/>
      <c r="AP440" s="1942"/>
      <c r="AQ440" s="1942"/>
      <c r="AR440" s="1942"/>
      <c r="AS440" s="1942"/>
      <c r="AT440" s="1942"/>
      <c r="AU440" s="1942"/>
      <c r="AV440" s="1942"/>
      <c r="AW440" s="1942"/>
      <c r="AX440" s="1942"/>
      <c r="AY440" s="1942"/>
      <c r="AZ440" s="1942"/>
      <c r="BA440" s="1942"/>
      <c r="BB440" s="575"/>
      <c r="BC440" s="584"/>
      <c r="BD440" s="678"/>
      <c r="BE440" s="585"/>
    </row>
    <row r="441" spans="1:57" s="51" customFormat="1" hidden="1" outlineLevel="1" x14ac:dyDescent="0.25">
      <c r="A441" s="1267"/>
      <c r="B441" s="228"/>
      <c r="C441" s="328"/>
      <c r="D441" s="3990"/>
      <c r="E441" s="4009"/>
      <c r="F441" s="3385" t="str">
        <f t="shared" si="60"/>
        <v>CAC-SEER16_ER2_MF</v>
      </c>
      <c r="G441" s="3386"/>
      <c r="H441" s="3387"/>
      <c r="I441" s="3155" t="str">
        <f t="shared" si="61"/>
        <v>350900_2021_12_</v>
      </c>
      <c r="J441" s="2228">
        <f>J440</f>
        <v>16.006024096385541</v>
      </c>
      <c r="K441" s="2670"/>
      <c r="L441" s="2723" t="s">
        <v>1005</v>
      </c>
      <c r="M441" s="328"/>
      <c r="N441" s="1544"/>
      <c r="O441" s="328"/>
      <c r="P441" s="123"/>
      <c r="Q441" s="123"/>
      <c r="R441" s="123"/>
      <c r="S441" s="123"/>
      <c r="T441" s="123"/>
      <c r="U441" s="123"/>
      <c r="V441" s="3990"/>
      <c r="W441" s="2857">
        <v>16</v>
      </c>
      <c r="X441" s="703">
        <v>16</v>
      </c>
      <c r="Y441" s="702">
        <v>16</v>
      </c>
      <c r="Z441" s="702">
        <v>16</v>
      </c>
      <c r="AA441" s="702">
        <v>16</v>
      </c>
      <c r="AB441" s="2228">
        <v>16.040816326530614</v>
      </c>
      <c r="AC441" s="2228">
        <v>16.006024096385541</v>
      </c>
      <c r="AD441" s="2857"/>
      <c r="AE441" s="2857"/>
      <c r="AF441" s="2857"/>
      <c r="AG441" s="2857"/>
      <c r="AH441" s="1942"/>
      <c r="AI441" s="1942"/>
      <c r="AJ441" s="1942"/>
      <c r="AK441" s="1942"/>
      <c r="AL441" s="1942"/>
      <c r="AM441" s="1942"/>
      <c r="AN441" s="1942"/>
      <c r="AO441" s="1942"/>
      <c r="AP441" s="1942"/>
      <c r="AQ441" s="1942"/>
      <c r="AR441" s="1942"/>
      <c r="AS441" s="1942"/>
      <c r="AT441" s="1942"/>
      <c r="AU441" s="1942"/>
      <c r="AV441" s="1942"/>
      <c r="AW441" s="1942"/>
      <c r="AX441" s="1942"/>
      <c r="AY441" s="1942"/>
      <c r="AZ441" s="1942"/>
      <c r="BA441" s="1942"/>
      <c r="BB441" s="575"/>
      <c r="BC441" s="584"/>
      <c r="BD441" s="678"/>
      <c r="BE441" s="585"/>
    </row>
    <row r="442" spans="1:57" s="51" customFormat="1" hidden="1" outlineLevel="1" x14ac:dyDescent="0.25">
      <c r="A442" s="1267"/>
      <c r="B442" s="228"/>
      <c r="C442" s="328"/>
      <c r="D442" s="3990"/>
      <c r="E442" s="4009"/>
      <c r="F442" s="3385" t="str">
        <f t="shared" si="60"/>
        <v>CAC-SEER16_ER1_MF_CompE</v>
      </c>
      <c r="G442" s="3386"/>
      <c r="H442" s="3387"/>
      <c r="I442" s="3155" t="str">
        <f t="shared" si="61"/>
        <v>350901_2021_12_</v>
      </c>
      <c r="J442" s="2282">
        <v>16</v>
      </c>
      <c r="K442" s="2670"/>
      <c r="L442" s="2563"/>
      <c r="M442" s="328"/>
      <c r="N442" s="1544"/>
      <c r="O442" s="328"/>
      <c r="P442" s="123"/>
      <c r="Q442" s="123"/>
      <c r="R442" s="123"/>
      <c r="S442" s="123"/>
      <c r="T442" s="123"/>
      <c r="U442" s="123"/>
      <c r="V442" s="3990"/>
      <c r="W442" s="2857"/>
      <c r="X442" s="703"/>
      <c r="Y442" s="702">
        <v>16</v>
      </c>
      <c r="Z442" s="702">
        <v>16</v>
      </c>
      <c r="AA442" s="702">
        <v>16</v>
      </c>
      <c r="AB442" s="2227">
        <v>16</v>
      </c>
      <c r="AC442" s="2282">
        <v>16</v>
      </c>
      <c r="AD442" s="2857"/>
      <c r="AE442" s="2857"/>
      <c r="AF442" s="2857"/>
      <c r="AG442" s="2857"/>
      <c r="AH442" s="1942"/>
      <c r="AI442" s="1942"/>
      <c r="AJ442" s="1942"/>
      <c r="AK442" s="1942"/>
      <c r="AL442" s="1942"/>
      <c r="AM442" s="1942"/>
      <c r="AN442" s="1942"/>
      <c r="AO442" s="1942"/>
      <c r="AP442" s="1942"/>
      <c r="AQ442" s="1942"/>
      <c r="AR442" s="1942"/>
      <c r="AS442" s="1942"/>
      <c r="AT442" s="1942"/>
      <c r="AU442" s="1942"/>
      <c r="AV442" s="1942"/>
      <c r="AW442" s="1942"/>
      <c r="AX442" s="1942"/>
      <c r="AY442" s="1942"/>
      <c r="AZ442" s="1942"/>
      <c r="BA442" s="1942"/>
      <c r="BB442" s="575"/>
      <c r="BC442" s="584"/>
      <c r="BD442" s="678"/>
      <c r="BE442" s="585"/>
    </row>
    <row r="443" spans="1:57" s="51" customFormat="1" hidden="1" outlineLevel="1" x14ac:dyDescent="0.25">
      <c r="A443" s="1267"/>
      <c r="B443" s="228"/>
      <c r="C443" s="328"/>
      <c r="D443" s="3990"/>
      <c r="E443" s="4009"/>
      <c r="F443" s="3385" t="str">
        <f t="shared" si="60"/>
        <v>CAC-SEER16_ER2_MF_CompE</v>
      </c>
      <c r="G443" s="3386"/>
      <c r="H443" s="3387"/>
      <c r="I443" s="3155" t="str">
        <f t="shared" si="61"/>
        <v>350901_2021_12_</v>
      </c>
      <c r="J443" s="2282">
        <v>16</v>
      </c>
      <c r="K443" s="2670"/>
      <c r="L443" s="2563"/>
      <c r="M443" s="328"/>
      <c r="N443" s="1544"/>
      <c r="O443" s="328"/>
      <c r="P443" s="123"/>
      <c r="Q443" s="123"/>
      <c r="R443" s="123"/>
      <c r="S443" s="123"/>
      <c r="T443" s="123"/>
      <c r="U443" s="123"/>
      <c r="V443" s="3990"/>
      <c r="W443" s="2857"/>
      <c r="X443" s="703"/>
      <c r="Y443" s="702">
        <v>16</v>
      </c>
      <c r="Z443" s="702">
        <v>16</v>
      </c>
      <c r="AA443" s="702">
        <v>16</v>
      </c>
      <c r="AB443" s="2227">
        <v>16</v>
      </c>
      <c r="AC443" s="2282">
        <v>16</v>
      </c>
      <c r="AD443" s="2857"/>
      <c r="AE443" s="2857"/>
      <c r="AF443" s="2857"/>
      <c r="AG443" s="2857"/>
      <c r="AH443" s="1942"/>
      <c r="AI443" s="1942"/>
      <c r="AJ443" s="1942"/>
      <c r="AK443" s="1942"/>
      <c r="AL443" s="1942"/>
      <c r="AM443" s="1942"/>
      <c r="AN443" s="1942"/>
      <c r="AO443" s="1942"/>
      <c r="AP443" s="1942"/>
      <c r="AQ443" s="1942"/>
      <c r="AR443" s="1942"/>
      <c r="AS443" s="1942"/>
      <c r="AT443" s="1942"/>
      <c r="AU443" s="1942"/>
      <c r="AV443" s="1942"/>
      <c r="AW443" s="1942"/>
      <c r="AX443" s="1942"/>
      <c r="AY443" s="1942"/>
      <c r="AZ443" s="1942"/>
      <c r="BA443" s="1942"/>
      <c r="BB443" s="575"/>
      <c r="BC443" s="584"/>
      <c r="BD443" s="678"/>
      <c r="BE443" s="585"/>
    </row>
    <row r="444" spans="1:57" s="51" customFormat="1" hidden="1" outlineLevel="1" x14ac:dyDescent="0.25">
      <c r="A444" s="1267"/>
      <c r="B444" s="228"/>
      <c r="C444" s="328"/>
      <c r="D444" s="3990"/>
      <c r="E444" s="4009"/>
      <c r="F444" s="3385" t="str">
        <f t="shared" si="60"/>
        <v>CAC-SEER16_ROF_MF</v>
      </c>
      <c r="G444" s="3386"/>
      <c r="H444" s="3387"/>
      <c r="I444" s="3155" t="str">
        <f t="shared" si="61"/>
        <v>350950_2021_12_</v>
      </c>
      <c r="J444" s="2282">
        <v>16</v>
      </c>
      <c r="K444" s="2670"/>
      <c r="L444" s="2723" t="s">
        <v>1005</v>
      </c>
      <c r="M444" s="328"/>
      <c r="N444" s="1544"/>
      <c r="O444" s="328"/>
      <c r="P444" s="123"/>
      <c r="Q444" s="123"/>
      <c r="R444" s="123"/>
      <c r="S444" s="123"/>
      <c r="T444" s="123"/>
      <c r="U444" s="123"/>
      <c r="V444" s="3990"/>
      <c r="W444" s="2857">
        <v>16</v>
      </c>
      <c r="X444" s="703">
        <v>16</v>
      </c>
      <c r="Y444" s="702">
        <v>16</v>
      </c>
      <c r="Z444" s="702">
        <v>16</v>
      </c>
      <c r="AA444" s="702">
        <v>16</v>
      </c>
      <c r="AB444" s="2228">
        <v>16</v>
      </c>
      <c r="AC444" s="2282">
        <v>16</v>
      </c>
      <c r="AD444" s="2857"/>
      <c r="AE444" s="2857"/>
      <c r="AF444" s="2857"/>
      <c r="AG444" s="2857"/>
      <c r="AH444" s="1942"/>
      <c r="AI444" s="1942"/>
      <c r="AJ444" s="1942"/>
      <c r="AK444" s="1942"/>
      <c r="AL444" s="1942"/>
      <c r="AM444" s="1942"/>
      <c r="AN444" s="1942"/>
      <c r="AO444" s="1942"/>
      <c r="AP444" s="1942"/>
      <c r="AQ444" s="1942"/>
      <c r="AR444" s="1942"/>
      <c r="AS444" s="1942"/>
      <c r="AT444" s="1942"/>
      <c r="AU444" s="1942"/>
      <c r="AV444" s="1942"/>
      <c r="AW444" s="1942"/>
      <c r="AX444" s="1942"/>
      <c r="AY444" s="1942"/>
      <c r="AZ444" s="1942"/>
      <c r="BA444" s="1942"/>
      <c r="BB444" s="575"/>
      <c r="BC444" s="584"/>
      <c r="BD444" s="678"/>
      <c r="BE444" s="585"/>
    </row>
    <row r="445" spans="1:57" s="51" customFormat="1" hidden="1" outlineLevel="1" x14ac:dyDescent="0.25">
      <c r="A445" s="1267"/>
      <c r="B445" s="228"/>
      <c r="C445" s="328"/>
      <c r="D445" s="3990"/>
      <c r="E445" s="4009"/>
      <c r="F445" s="3385" t="str">
        <f t="shared" si="60"/>
        <v>CAC-SEER16_ROF_MF_CompE</v>
      </c>
      <c r="G445" s="3386"/>
      <c r="H445" s="3387"/>
      <c r="I445" s="3155" t="str">
        <f t="shared" si="61"/>
        <v>350951_2021_12_</v>
      </c>
      <c r="J445" s="2282">
        <v>16</v>
      </c>
      <c r="K445" s="2670"/>
      <c r="L445" s="2563"/>
      <c r="M445" s="328"/>
      <c r="N445" s="1544"/>
      <c r="O445" s="328"/>
      <c r="P445" s="123"/>
      <c r="Q445" s="123"/>
      <c r="R445" s="123"/>
      <c r="S445" s="123"/>
      <c r="T445" s="123"/>
      <c r="U445" s="123"/>
      <c r="V445" s="3990"/>
      <c r="W445" s="2857"/>
      <c r="X445" s="703"/>
      <c r="Y445" s="702">
        <v>16</v>
      </c>
      <c r="Z445" s="702">
        <v>16</v>
      </c>
      <c r="AA445" s="702">
        <v>16</v>
      </c>
      <c r="AB445" s="2227">
        <v>16</v>
      </c>
      <c r="AC445" s="2282">
        <v>16</v>
      </c>
      <c r="AD445" s="2857"/>
      <c r="AE445" s="2857"/>
      <c r="AF445" s="2857"/>
      <c r="AG445" s="2857"/>
      <c r="AH445" s="1942"/>
      <c r="AI445" s="1942"/>
      <c r="AJ445" s="1942"/>
      <c r="AK445" s="1942"/>
      <c r="AL445" s="1942"/>
      <c r="AM445" s="1942"/>
      <c r="AN445" s="1942"/>
      <c r="AO445" s="1942"/>
      <c r="AP445" s="1942"/>
      <c r="AQ445" s="1942"/>
      <c r="AR445" s="1942"/>
      <c r="AS445" s="1942"/>
      <c r="AT445" s="1942"/>
      <c r="AU445" s="1942"/>
      <c r="AV445" s="1942"/>
      <c r="AW445" s="1942"/>
      <c r="AX445" s="1942"/>
      <c r="AY445" s="1942"/>
      <c r="AZ445" s="1942"/>
      <c r="BA445" s="1942"/>
      <c r="BB445" s="575"/>
      <c r="BC445" s="584"/>
      <c r="BD445" s="678"/>
      <c r="BE445" s="585"/>
    </row>
    <row r="446" spans="1:57" s="51" customFormat="1" hidden="1" outlineLevel="1" x14ac:dyDescent="0.25">
      <c r="A446" s="1267"/>
      <c r="B446" s="228"/>
      <c r="C446" s="328"/>
      <c r="D446" s="3990"/>
      <c r="E446" s="4009"/>
      <c r="F446" s="3385" t="str">
        <f t="shared" si="60"/>
        <v>CAC-SEER17_ER1_SF</v>
      </c>
      <c r="G446" s="3386"/>
      <c r="H446" s="3387"/>
      <c r="I446" s="3155" t="str">
        <f t="shared" si="61"/>
        <v>351000_2021_12_</v>
      </c>
      <c r="J446" s="2228">
        <v>17.256511771995044</v>
      </c>
      <c r="K446" s="2670"/>
      <c r="L446" s="2723" t="s">
        <v>1005</v>
      </c>
      <c r="M446" s="328"/>
      <c r="N446" s="1544"/>
      <c r="O446" s="328"/>
      <c r="P446" s="123"/>
      <c r="Q446" s="123"/>
      <c r="R446" s="123"/>
      <c r="S446" s="123"/>
      <c r="T446" s="123"/>
      <c r="U446" s="123"/>
      <c r="V446" s="3990"/>
      <c r="W446" s="2857">
        <v>17</v>
      </c>
      <c r="X446" s="702">
        <f t="shared" ref="X446:X453" si="62">W446</f>
        <v>17</v>
      </c>
      <c r="Y446" s="702">
        <v>17</v>
      </c>
      <c r="Z446" s="702">
        <v>17</v>
      </c>
      <c r="AA446" s="702">
        <v>17</v>
      </c>
      <c r="AB446" s="2228">
        <v>17.598210862619805</v>
      </c>
      <c r="AC446" s="2228">
        <v>17.256511771995044</v>
      </c>
      <c r="AD446" s="2857"/>
      <c r="AE446" s="2857"/>
      <c r="AF446" s="2857"/>
      <c r="AG446" s="2857"/>
      <c r="AH446" s="1942"/>
      <c r="AI446" s="1942"/>
      <c r="AJ446" s="1942"/>
      <c r="AK446" s="1942"/>
      <c r="AL446" s="1942"/>
      <c r="AM446" s="1942"/>
      <c r="AN446" s="1942"/>
      <c r="AO446" s="1942"/>
      <c r="AP446" s="1942"/>
      <c r="AQ446" s="1942"/>
      <c r="AR446" s="1942"/>
      <c r="AS446" s="1942"/>
      <c r="AT446" s="1942"/>
      <c r="AU446" s="1942"/>
      <c r="AV446" s="1942"/>
      <c r="AW446" s="1942"/>
      <c r="AX446" s="1942"/>
      <c r="AY446" s="1942"/>
      <c r="AZ446" s="1942"/>
      <c r="BA446" s="1942"/>
      <c r="BB446" s="575"/>
      <c r="BC446" s="584"/>
      <c r="BD446" s="678"/>
      <c r="BE446" s="585"/>
    </row>
    <row r="447" spans="1:57" s="51" customFormat="1" ht="14.45" hidden="1" customHeight="1" outlineLevel="1" x14ac:dyDescent="0.25">
      <c r="A447" s="1267"/>
      <c r="B447" s="228"/>
      <c r="C447" s="328"/>
      <c r="D447" s="3990"/>
      <c r="E447" s="4009"/>
      <c r="F447" s="3385" t="str">
        <f t="shared" si="60"/>
        <v>CAC-SEER17_ER2_SF</v>
      </c>
      <c r="G447" s="3386"/>
      <c r="H447" s="3387"/>
      <c r="I447" s="3155" t="str">
        <f t="shared" si="61"/>
        <v>351000_2021_12_</v>
      </c>
      <c r="J447" s="2228">
        <f>J446</f>
        <v>17.256511771995044</v>
      </c>
      <c r="K447" s="2670"/>
      <c r="L447" s="2723" t="s">
        <v>1005</v>
      </c>
      <c r="M447" s="328"/>
      <c r="N447" s="1544"/>
      <c r="O447" s="328"/>
      <c r="P447" s="123"/>
      <c r="Q447" s="123"/>
      <c r="R447" s="123"/>
      <c r="S447" s="123"/>
      <c r="T447" s="123"/>
      <c r="U447" s="123"/>
      <c r="V447" s="3990"/>
      <c r="W447" s="2857">
        <v>17</v>
      </c>
      <c r="X447" s="702">
        <f t="shared" si="62"/>
        <v>17</v>
      </c>
      <c r="Y447" s="702">
        <v>17</v>
      </c>
      <c r="Z447" s="702">
        <v>17</v>
      </c>
      <c r="AA447" s="702">
        <v>17</v>
      </c>
      <c r="AB447" s="2228">
        <v>17.598210862619805</v>
      </c>
      <c r="AC447" s="2228">
        <v>17.256511771995044</v>
      </c>
      <c r="AD447" s="2857"/>
      <c r="AE447" s="2857"/>
      <c r="AF447" s="2857"/>
      <c r="AG447" s="2857"/>
      <c r="AH447" s="1942"/>
      <c r="AI447" s="1942"/>
      <c r="AJ447" s="1942"/>
      <c r="AK447" s="1942"/>
      <c r="AL447" s="1942"/>
      <c r="AM447" s="1942"/>
      <c r="AN447" s="1942"/>
      <c r="AO447" s="1942"/>
      <c r="AP447" s="1942"/>
      <c r="AQ447" s="1942"/>
      <c r="AR447" s="1942"/>
      <c r="AS447" s="1942"/>
      <c r="AT447" s="1942"/>
      <c r="AU447" s="1942"/>
      <c r="AV447" s="1942"/>
      <c r="AW447" s="1942"/>
      <c r="AX447" s="1942"/>
      <c r="AY447" s="1942"/>
      <c r="AZ447" s="1942"/>
      <c r="BA447" s="1942"/>
      <c r="BB447" s="575"/>
      <c r="BC447" s="584"/>
      <c r="BD447" s="678"/>
      <c r="BE447" s="585"/>
    </row>
    <row r="448" spans="1:57" s="51" customFormat="1" ht="14.45" hidden="1" customHeight="1" outlineLevel="1" x14ac:dyDescent="0.25">
      <c r="A448" s="1267"/>
      <c r="B448" s="228"/>
      <c r="C448" s="328"/>
      <c r="D448" s="3990"/>
      <c r="E448" s="4009"/>
      <c r="F448" s="3385" t="str">
        <f t="shared" si="60"/>
        <v>CAC-SEER17_ROF_SF</v>
      </c>
      <c r="G448" s="3386"/>
      <c r="H448" s="3387"/>
      <c r="I448" s="3155" t="str">
        <f t="shared" si="61"/>
        <v>351050_2021_12_</v>
      </c>
      <c r="J448" s="2228">
        <v>17.227010869565216</v>
      </c>
      <c r="K448" s="2670"/>
      <c r="L448" s="2723" t="s">
        <v>1005</v>
      </c>
      <c r="M448" s="328"/>
      <c r="N448" s="1544"/>
      <c r="O448" s="328"/>
      <c r="P448" s="123"/>
      <c r="Q448" s="123"/>
      <c r="R448" s="123"/>
      <c r="S448" s="123"/>
      <c r="T448" s="123"/>
      <c r="U448" s="123"/>
      <c r="V448" s="3990"/>
      <c r="W448" s="2857">
        <v>17</v>
      </c>
      <c r="X448" s="702">
        <f t="shared" si="62"/>
        <v>17</v>
      </c>
      <c r="Y448" s="702">
        <v>17</v>
      </c>
      <c r="Z448" s="702">
        <v>17</v>
      </c>
      <c r="AA448" s="702">
        <v>17</v>
      </c>
      <c r="AB448" s="2228">
        <v>17.546938775510206</v>
      </c>
      <c r="AC448" s="2228">
        <v>17.227010869565216</v>
      </c>
      <c r="AD448" s="2857"/>
      <c r="AE448" s="2857"/>
      <c r="AF448" s="2857"/>
      <c r="AG448" s="2857"/>
      <c r="AH448" s="1942"/>
      <c r="AI448" s="1942"/>
      <c r="AJ448" s="1942"/>
      <c r="AK448" s="1942"/>
      <c r="AL448" s="1942"/>
      <c r="AM448" s="1942"/>
      <c r="AN448" s="1942"/>
      <c r="AO448" s="1942"/>
      <c r="AP448" s="1942"/>
      <c r="AQ448" s="1942"/>
      <c r="AR448" s="1942"/>
      <c r="AS448" s="1942"/>
      <c r="AT448" s="1942"/>
      <c r="AU448" s="1942"/>
      <c r="AV448" s="1942"/>
      <c r="AW448" s="1942"/>
      <c r="AX448" s="1942"/>
      <c r="AY448" s="1942"/>
      <c r="AZ448" s="1942"/>
      <c r="BA448" s="1942"/>
      <c r="BB448" s="575"/>
      <c r="BC448" s="584"/>
      <c r="BD448" s="678"/>
      <c r="BE448" s="585"/>
    </row>
    <row r="449" spans="1:57" s="51" customFormat="1" ht="14.45" hidden="1" customHeight="1" outlineLevel="1" x14ac:dyDescent="0.25">
      <c r="A449" s="1267"/>
      <c r="B449" s="228"/>
      <c r="C449" s="328"/>
      <c r="D449" s="3990"/>
      <c r="E449" s="4009"/>
      <c r="F449" s="3385" t="str">
        <f t="shared" si="60"/>
        <v>CAC-SEER17_ER1_MF</v>
      </c>
      <c r="G449" s="3386"/>
      <c r="H449" s="3387"/>
      <c r="I449" s="3155" t="str">
        <f t="shared" si="61"/>
        <v>351100_2021_12_</v>
      </c>
      <c r="J449" s="2228">
        <v>17.15625</v>
      </c>
      <c r="K449" s="2670"/>
      <c r="L449" s="2723" t="s">
        <v>1005</v>
      </c>
      <c r="M449" s="328"/>
      <c r="N449" s="1544"/>
      <c r="O449" s="328"/>
      <c r="P449" s="123"/>
      <c r="Q449" s="123"/>
      <c r="R449" s="123"/>
      <c r="S449" s="123"/>
      <c r="T449" s="123"/>
      <c r="U449" s="123"/>
      <c r="V449" s="3990"/>
      <c r="W449" s="2857">
        <v>17</v>
      </c>
      <c r="X449" s="702">
        <f t="shared" si="62"/>
        <v>17</v>
      </c>
      <c r="Y449" s="702">
        <v>17</v>
      </c>
      <c r="Z449" s="702">
        <v>17</v>
      </c>
      <c r="AA449" s="702">
        <v>17</v>
      </c>
      <c r="AB449" s="2228">
        <v>17.136363636363637</v>
      </c>
      <c r="AC449" s="2228">
        <v>17.15625</v>
      </c>
      <c r="AD449" s="2857"/>
      <c r="AE449" s="2857"/>
      <c r="AF449" s="2857"/>
      <c r="AG449" s="2857"/>
      <c r="AH449" s="1942"/>
      <c r="AI449" s="1942"/>
      <c r="AJ449" s="1942"/>
      <c r="AK449" s="1942"/>
      <c r="AL449" s="1942"/>
      <c r="AM449" s="1942"/>
      <c r="AN449" s="1942"/>
      <c r="AO449" s="1942"/>
      <c r="AP449" s="1942"/>
      <c r="AQ449" s="1942"/>
      <c r="AR449" s="1942"/>
      <c r="AS449" s="1942"/>
      <c r="AT449" s="1942"/>
      <c r="AU449" s="1942"/>
      <c r="AV449" s="1942"/>
      <c r="AW449" s="1942"/>
      <c r="AX449" s="1942"/>
      <c r="AY449" s="1942"/>
      <c r="AZ449" s="1942"/>
      <c r="BA449" s="1942"/>
      <c r="BB449" s="575"/>
      <c r="BC449" s="584"/>
      <c r="BD449" s="678"/>
      <c r="BE449" s="585"/>
    </row>
    <row r="450" spans="1:57" s="51" customFormat="1" ht="14.45" hidden="1" customHeight="1" outlineLevel="1" x14ac:dyDescent="0.25">
      <c r="A450" s="1267"/>
      <c r="B450" s="228"/>
      <c r="C450" s="328"/>
      <c r="D450" s="3990"/>
      <c r="E450" s="4009"/>
      <c r="F450" s="3385" t="str">
        <f t="shared" si="60"/>
        <v>CAC-SEER17_ER2_MF</v>
      </c>
      <c r="G450" s="3386"/>
      <c r="H450" s="3387"/>
      <c r="I450" s="3155" t="str">
        <f t="shared" si="61"/>
        <v>351100_2021_12_</v>
      </c>
      <c r="J450" s="2228">
        <f>J449</f>
        <v>17.15625</v>
      </c>
      <c r="K450" s="2670"/>
      <c r="L450" s="2723" t="s">
        <v>1005</v>
      </c>
      <c r="M450" s="328"/>
      <c r="N450" s="1544"/>
      <c r="O450" s="328"/>
      <c r="P450" s="123"/>
      <c r="Q450" s="123"/>
      <c r="R450" s="123"/>
      <c r="S450" s="123"/>
      <c r="T450" s="123"/>
      <c r="U450" s="123"/>
      <c r="V450" s="3990"/>
      <c r="W450" s="2857">
        <v>17</v>
      </c>
      <c r="X450" s="702">
        <f t="shared" si="62"/>
        <v>17</v>
      </c>
      <c r="Y450" s="702">
        <v>17</v>
      </c>
      <c r="Z450" s="702">
        <v>17</v>
      </c>
      <c r="AA450" s="702">
        <v>17</v>
      </c>
      <c r="AB450" s="2228">
        <v>17.136363636363637</v>
      </c>
      <c r="AC450" s="2228">
        <v>17.15625</v>
      </c>
      <c r="AD450" s="2857"/>
      <c r="AE450" s="2857"/>
      <c r="AF450" s="2857"/>
      <c r="AG450" s="2857"/>
      <c r="AH450" s="1942"/>
      <c r="AI450" s="1942"/>
      <c r="AJ450" s="1942"/>
      <c r="AK450" s="1942"/>
      <c r="AL450" s="1942"/>
      <c r="AM450" s="1942"/>
      <c r="AN450" s="1942"/>
      <c r="AO450" s="1942"/>
      <c r="AP450" s="1942"/>
      <c r="AQ450" s="1942"/>
      <c r="AR450" s="1942"/>
      <c r="AS450" s="1942"/>
      <c r="AT450" s="1942"/>
      <c r="AU450" s="1942"/>
      <c r="AV450" s="1942"/>
      <c r="AW450" s="1942"/>
      <c r="AX450" s="1942"/>
      <c r="AY450" s="1942"/>
      <c r="AZ450" s="1942"/>
      <c r="BA450" s="1942"/>
      <c r="BB450" s="575"/>
      <c r="BC450" s="584"/>
      <c r="BD450" s="678"/>
      <c r="BE450" s="585"/>
    </row>
    <row r="451" spans="1:57" s="51" customFormat="1" ht="14.45" hidden="1" customHeight="1" outlineLevel="1" x14ac:dyDescent="0.25">
      <c r="A451" s="1267"/>
      <c r="B451" s="228"/>
      <c r="C451" s="328"/>
      <c r="D451" s="3990"/>
      <c r="E451" s="4009"/>
      <c r="F451" s="3385" t="str">
        <f t="shared" si="60"/>
        <v>CAC-SEER17_ER1_MF_CompE</v>
      </c>
      <c r="G451" s="3386"/>
      <c r="H451" s="3387"/>
      <c r="I451" s="692" t="str">
        <f t="shared" si="61"/>
        <v>351101_2021_12_</v>
      </c>
      <c r="J451" s="2564">
        <v>17</v>
      </c>
      <c r="K451" s="2565"/>
      <c r="L451" s="2566"/>
      <c r="M451" s="328"/>
      <c r="N451" s="1544"/>
      <c r="O451" s="328"/>
      <c r="P451" s="123"/>
      <c r="Q451" s="123"/>
      <c r="R451" s="123"/>
      <c r="S451" s="123"/>
      <c r="T451" s="123"/>
      <c r="U451" s="123"/>
      <c r="V451" s="3990"/>
      <c r="W451" s="693"/>
      <c r="X451" s="704"/>
      <c r="Y451" s="704">
        <v>17</v>
      </c>
      <c r="Z451" s="704">
        <v>17</v>
      </c>
      <c r="AA451" s="704">
        <v>17</v>
      </c>
      <c r="AB451" s="2229">
        <v>17</v>
      </c>
      <c r="AC451" s="2564">
        <v>17</v>
      </c>
      <c r="AD451" s="693"/>
      <c r="AE451" s="693"/>
      <c r="AF451" s="693"/>
      <c r="AG451" s="693"/>
      <c r="AH451" s="1942"/>
      <c r="AI451" s="1942"/>
      <c r="AJ451" s="1942"/>
      <c r="AK451" s="1942"/>
      <c r="AL451" s="1942"/>
      <c r="AM451" s="1942"/>
      <c r="AN451" s="1942"/>
      <c r="AO451" s="1942"/>
      <c r="AP451" s="1942"/>
      <c r="AQ451" s="1942"/>
      <c r="AR451" s="1942"/>
      <c r="AS451" s="1942"/>
      <c r="AT451" s="1942"/>
      <c r="AU451" s="1942"/>
      <c r="AV451" s="1942"/>
      <c r="AW451" s="1942"/>
      <c r="AX451" s="1942"/>
      <c r="AY451" s="1942"/>
      <c r="AZ451" s="1942"/>
      <c r="BA451" s="1942"/>
      <c r="BB451" s="575"/>
      <c r="BC451" s="584"/>
      <c r="BD451" s="678"/>
      <c r="BE451" s="585"/>
    </row>
    <row r="452" spans="1:57" s="51" customFormat="1" ht="14.45" hidden="1" customHeight="1" outlineLevel="1" x14ac:dyDescent="0.25">
      <c r="A452" s="1267"/>
      <c r="B452" s="228"/>
      <c r="C452" s="328"/>
      <c r="D452" s="3990"/>
      <c r="E452" s="4009"/>
      <c r="F452" s="3385" t="str">
        <f t="shared" si="60"/>
        <v>CAC-SEER17_ER2_MF_CompE</v>
      </c>
      <c r="G452" s="3386"/>
      <c r="H452" s="3387"/>
      <c r="I452" s="3155" t="str">
        <f t="shared" si="61"/>
        <v>351101_2021_12_</v>
      </c>
      <c r="J452" s="2282">
        <v>17</v>
      </c>
      <c r="K452" s="2670"/>
      <c r="L452" s="2563"/>
      <c r="M452" s="328"/>
      <c r="N452" s="1544"/>
      <c r="O452" s="328"/>
      <c r="P452" s="123"/>
      <c r="Q452" s="123"/>
      <c r="R452" s="123"/>
      <c r="S452" s="123"/>
      <c r="T452" s="123"/>
      <c r="U452" s="123"/>
      <c r="V452" s="3990"/>
      <c r="W452" s="693"/>
      <c r="X452" s="704"/>
      <c r="Y452" s="704">
        <v>17</v>
      </c>
      <c r="Z452" s="704">
        <v>17</v>
      </c>
      <c r="AA452" s="704">
        <v>17</v>
      </c>
      <c r="AB452" s="2227">
        <v>17</v>
      </c>
      <c r="AC452" s="2282">
        <v>17</v>
      </c>
      <c r="AD452" s="693"/>
      <c r="AE452" s="693"/>
      <c r="AF452" s="693"/>
      <c r="AG452" s="693"/>
      <c r="AH452" s="1942"/>
      <c r="AI452" s="1942"/>
      <c r="AJ452" s="1942"/>
      <c r="AK452" s="1942"/>
      <c r="AL452" s="1942"/>
      <c r="AM452" s="1942"/>
      <c r="AN452" s="1942"/>
      <c r="AO452" s="1942"/>
      <c r="AP452" s="1942"/>
      <c r="AQ452" s="1942"/>
      <c r="AR452" s="1942"/>
      <c r="AS452" s="1942"/>
      <c r="AT452" s="1942"/>
      <c r="AU452" s="1942"/>
      <c r="AV452" s="1942"/>
      <c r="AW452" s="1942"/>
      <c r="AX452" s="1942"/>
      <c r="AY452" s="1942"/>
      <c r="AZ452" s="1942"/>
      <c r="BA452" s="1942"/>
      <c r="BB452" s="575"/>
      <c r="BC452" s="584"/>
      <c r="BD452" s="678"/>
      <c r="BE452" s="585"/>
    </row>
    <row r="453" spans="1:57" s="51" customFormat="1" ht="15" hidden="1" customHeight="1" outlineLevel="1" x14ac:dyDescent="0.25">
      <c r="A453" s="1267"/>
      <c r="B453" s="228"/>
      <c r="C453" s="328"/>
      <c r="D453" s="3990"/>
      <c r="E453" s="4009"/>
      <c r="F453" s="3385" t="str">
        <f t="shared" si="60"/>
        <v>CAC-SEER17_ROF_MF</v>
      </c>
      <c r="G453" s="3386"/>
      <c r="H453" s="3387"/>
      <c r="I453" s="3155" t="str">
        <f t="shared" si="61"/>
        <v>351150_2021_12_</v>
      </c>
      <c r="J453" s="2282">
        <v>17</v>
      </c>
      <c r="K453" s="2670"/>
      <c r="L453" s="2723" t="s">
        <v>1005</v>
      </c>
      <c r="M453" s="328"/>
      <c r="N453" s="1544"/>
      <c r="O453" s="328"/>
      <c r="P453" s="123"/>
      <c r="Q453" s="123"/>
      <c r="R453" s="123"/>
      <c r="S453" s="123"/>
      <c r="T453" s="123"/>
      <c r="U453" s="123"/>
      <c r="V453" s="3990"/>
      <c r="W453" s="2857">
        <v>17</v>
      </c>
      <c r="X453" s="702">
        <f t="shared" si="62"/>
        <v>17</v>
      </c>
      <c r="Y453" s="702">
        <v>17</v>
      </c>
      <c r="Z453" s="702">
        <v>17</v>
      </c>
      <c r="AA453" s="702">
        <v>17</v>
      </c>
      <c r="AB453" s="2228">
        <v>17</v>
      </c>
      <c r="AC453" s="2282">
        <v>17</v>
      </c>
      <c r="AD453" s="2857"/>
      <c r="AE453" s="2857"/>
      <c r="AF453" s="2857"/>
      <c r="AG453" s="2857"/>
      <c r="AH453" s="1942"/>
      <c r="AI453" s="1942"/>
      <c r="AJ453" s="1942"/>
      <c r="AK453" s="1942"/>
      <c r="AL453" s="1942"/>
      <c r="AM453" s="1942"/>
      <c r="AN453" s="1942"/>
      <c r="AO453" s="1942"/>
      <c r="AP453" s="1942"/>
      <c r="AQ453" s="1942"/>
      <c r="AR453" s="1942"/>
      <c r="AS453" s="1942"/>
      <c r="AT453" s="1942"/>
      <c r="AU453" s="1942"/>
      <c r="AV453" s="1942"/>
      <c r="AW453" s="1942"/>
      <c r="AX453" s="1942"/>
      <c r="AY453" s="1942"/>
      <c r="AZ453" s="1942"/>
      <c r="BA453" s="1942"/>
      <c r="BB453" s="575"/>
      <c r="BC453" s="584"/>
      <c r="BD453" s="678"/>
      <c r="BE453" s="585"/>
    </row>
    <row r="454" spans="1:57" s="51" customFormat="1" ht="15" hidden="1" customHeight="1" outlineLevel="1" x14ac:dyDescent="0.25">
      <c r="A454" s="1267"/>
      <c r="B454" s="228"/>
      <c r="C454" s="328"/>
      <c r="D454" s="4005"/>
      <c r="E454" s="3890"/>
      <c r="F454" s="3385" t="str">
        <f t="shared" si="60"/>
        <v>CAC-SEER17_ROF_MF_CompE</v>
      </c>
      <c r="G454" s="3386"/>
      <c r="H454" s="3387"/>
      <c r="I454" s="3155" t="str">
        <f t="shared" si="61"/>
        <v>351151_2021_12_</v>
      </c>
      <c r="J454" s="2282">
        <v>17</v>
      </c>
      <c r="K454" s="2670"/>
      <c r="L454" s="2563"/>
      <c r="M454" s="328"/>
      <c r="N454" s="1544"/>
      <c r="O454" s="328"/>
      <c r="P454" s="123"/>
      <c r="Q454" s="123"/>
      <c r="R454" s="123"/>
      <c r="S454" s="123"/>
      <c r="T454" s="123"/>
      <c r="U454" s="123"/>
      <c r="V454" s="4005"/>
      <c r="W454" s="2857"/>
      <c r="X454" s="702"/>
      <c r="Y454" s="702">
        <v>17</v>
      </c>
      <c r="Z454" s="702">
        <v>17</v>
      </c>
      <c r="AA454" s="702">
        <v>17</v>
      </c>
      <c r="AB454" s="2227">
        <v>17</v>
      </c>
      <c r="AC454" s="2282">
        <v>17</v>
      </c>
      <c r="AD454" s="2857"/>
      <c r="AE454" s="2857"/>
      <c r="AF454" s="2857"/>
      <c r="AG454" s="2857"/>
      <c r="AH454" s="1942"/>
      <c r="AI454" s="1942"/>
      <c r="AJ454" s="1942"/>
      <c r="AK454" s="1942"/>
      <c r="AL454" s="1942"/>
      <c r="AM454" s="1942"/>
      <c r="AN454" s="1942"/>
      <c r="AO454" s="1942"/>
      <c r="AP454" s="1942"/>
      <c r="AQ454" s="1942"/>
      <c r="AR454" s="1942"/>
      <c r="AS454" s="1942"/>
      <c r="AT454" s="1942"/>
      <c r="AU454" s="1942"/>
      <c r="AV454" s="1942"/>
      <c r="AW454" s="1942"/>
      <c r="AX454" s="1942"/>
      <c r="AY454" s="1942"/>
      <c r="AZ454" s="1942"/>
      <c r="BA454" s="1942"/>
      <c r="BB454" s="575"/>
      <c r="BC454" s="584"/>
      <c r="BD454" s="678"/>
      <c r="BE454" s="585"/>
    </row>
    <row r="455" spans="1:57" s="51" customFormat="1" ht="14.45" hidden="1" customHeight="1" outlineLevel="1" x14ac:dyDescent="0.25">
      <c r="A455" s="1267"/>
      <c r="B455" s="228"/>
      <c r="C455" s="328"/>
      <c r="D455" s="4006"/>
      <c r="E455" s="4010"/>
      <c r="F455" s="3391" t="str">
        <f t="shared" si="60"/>
        <v>CAC-SEER18_ER1_SF</v>
      </c>
      <c r="G455" s="3392"/>
      <c r="H455" s="3393"/>
      <c r="I455" s="3155" t="str">
        <f t="shared" si="61"/>
        <v>351160_2021_12_</v>
      </c>
      <c r="J455" s="2228">
        <v>18.00561797752809</v>
      </c>
      <c r="K455" s="2670"/>
      <c r="L455" s="2723" t="s">
        <v>1008</v>
      </c>
      <c r="M455" s="328"/>
      <c r="N455" s="1544"/>
      <c r="O455" s="328"/>
      <c r="P455" s="123"/>
      <c r="Q455" s="123"/>
      <c r="R455" s="123"/>
      <c r="S455" s="123"/>
      <c r="T455" s="123"/>
      <c r="U455" s="123"/>
      <c r="V455" s="4005"/>
      <c r="W455" s="696"/>
      <c r="X455" s="808"/>
      <c r="Y455" s="808"/>
      <c r="Z455" s="3158">
        <v>18</v>
      </c>
      <c r="AA455" s="807">
        <v>18</v>
      </c>
      <c r="AB455" s="2227">
        <v>18</v>
      </c>
      <c r="AC455" s="2228">
        <v>18.00561797752809</v>
      </c>
      <c r="AD455" s="696"/>
      <c r="AE455" s="696"/>
      <c r="AF455" s="696"/>
      <c r="AG455" s="696"/>
      <c r="AH455" s="1942"/>
      <c r="AI455" s="1942"/>
      <c r="AJ455" s="1942"/>
      <c r="AK455" s="1942"/>
      <c r="AL455" s="1942"/>
      <c r="AM455" s="1942"/>
      <c r="AN455" s="1942"/>
      <c r="AO455" s="1942"/>
      <c r="AP455" s="1942"/>
      <c r="AQ455" s="1942"/>
      <c r="AR455" s="1942"/>
      <c r="AS455" s="1942"/>
      <c r="AT455" s="1942"/>
      <c r="AU455" s="1942"/>
      <c r="AV455" s="1942"/>
      <c r="AW455" s="1942"/>
      <c r="AX455" s="1942"/>
      <c r="AY455" s="1942"/>
      <c r="AZ455" s="1942"/>
      <c r="BA455" s="1942"/>
      <c r="BB455" s="575"/>
      <c r="BC455" s="584"/>
      <c r="BD455" s="678"/>
      <c r="BE455" s="585"/>
    </row>
    <row r="456" spans="1:57" s="51" customFormat="1" ht="14.45" hidden="1" customHeight="1" outlineLevel="1" x14ac:dyDescent="0.25">
      <c r="A456" s="1267"/>
      <c r="B456" s="228"/>
      <c r="C456" s="328"/>
      <c r="D456" s="4006"/>
      <c r="E456" s="4010"/>
      <c r="F456" s="3391" t="str">
        <f t="shared" si="60"/>
        <v>CAC-SEER18_ER2_SF</v>
      </c>
      <c r="G456" s="3392"/>
      <c r="H456" s="3393"/>
      <c r="I456" s="3155" t="str">
        <f t="shared" si="61"/>
        <v>351160_2021_12_</v>
      </c>
      <c r="J456" s="2228">
        <v>18</v>
      </c>
      <c r="K456" s="2670"/>
      <c r="L456" s="2723" t="s">
        <v>1008</v>
      </c>
      <c r="M456" s="328"/>
      <c r="N456" s="1544"/>
      <c r="O456" s="328"/>
      <c r="P456" s="123"/>
      <c r="Q456" s="123"/>
      <c r="R456" s="123"/>
      <c r="S456" s="123"/>
      <c r="T456" s="123"/>
      <c r="U456" s="123"/>
      <c r="V456" s="4005"/>
      <c r="W456" s="2857"/>
      <c r="X456" s="703"/>
      <c r="Y456" s="703"/>
      <c r="Z456" s="3155">
        <v>18</v>
      </c>
      <c r="AA456" s="702">
        <v>18</v>
      </c>
      <c r="AB456" s="2227">
        <v>18</v>
      </c>
      <c r="AC456" s="3451">
        <v>18</v>
      </c>
      <c r="AD456" s="2857"/>
      <c r="AE456" s="2857"/>
      <c r="AF456" s="2857"/>
      <c r="AG456" s="2857"/>
      <c r="AH456" s="1942"/>
      <c r="AI456" s="1942"/>
      <c r="AJ456" s="1942"/>
      <c r="AK456" s="1942"/>
      <c r="AL456" s="1942"/>
      <c r="AM456" s="1942"/>
      <c r="AN456" s="1942"/>
      <c r="AO456" s="1942"/>
      <c r="AP456" s="1942"/>
      <c r="AQ456" s="1942"/>
      <c r="AR456" s="1942"/>
      <c r="AS456" s="1942"/>
      <c r="AT456" s="1942"/>
      <c r="AU456" s="1942"/>
      <c r="AV456" s="1942"/>
      <c r="AW456" s="1942"/>
      <c r="AX456" s="1942"/>
      <c r="AY456" s="1942"/>
      <c r="AZ456" s="1942"/>
      <c r="BA456" s="1942"/>
      <c r="BB456" s="575"/>
      <c r="BC456" s="584"/>
      <c r="BD456" s="678"/>
      <c r="BE456" s="585"/>
    </row>
    <row r="457" spans="1:57" s="51" customFormat="1" ht="14.45" hidden="1" customHeight="1" outlineLevel="1" x14ac:dyDescent="0.25">
      <c r="A457" s="1267"/>
      <c r="B457" s="228"/>
      <c r="C457" s="328"/>
      <c r="D457" s="4006"/>
      <c r="E457" s="4010"/>
      <c r="F457" s="3391" t="str">
        <f t="shared" si="60"/>
        <v>CAC-SEER18_ROF_SF</v>
      </c>
      <c r="G457" s="3392"/>
      <c r="H457" s="3393"/>
      <c r="I457" s="3155" t="str">
        <f t="shared" si="61"/>
        <v>351161_2021_12_</v>
      </c>
      <c r="J457" s="2228">
        <v>18.012820512820515</v>
      </c>
      <c r="K457" s="2670"/>
      <c r="L457" s="2723" t="s">
        <v>1008</v>
      </c>
      <c r="M457" s="328"/>
      <c r="N457" s="1544"/>
      <c r="O457" s="328"/>
      <c r="P457" s="123"/>
      <c r="Q457" s="123"/>
      <c r="R457" s="123"/>
      <c r="S457" s="123"/>
      <c r="T457" s="123"/>
      <c r="U457" s="123"/>
      <c r="V457" s="4005"/>
      <c r="W457" s="2857"/>
      <c r="X457" s="703"/>
      <c r="Y457" s="703"/>
      <c r="Z457" s="3155">
        <v>18</v>
      </c>
      <c r="AA457" s="702">
        <v>18</v>
      </c>
      <c r="AB457" s="2227">
        <v>18</v>
      </c>
      <c r="AC457" s="2228">
        <v>18.012820512820515</v>
      </c>
      <c r="AD457" s="2857"/>
      <c r="AE457" s="2857"/>
      <c r="AF457" s="2857"/>
      <c r="AG457" s="2857"/>
      <c r="AH457" s="1942"/>
      <c r="AI457" s="1942"/>
      <c r="AJ457" s="1942"/>
      <c r="AK457" s="1942"/>
      <c r="AL457" s="1942"/>
      <c r="AM457" s="1942"/>
      <c r="AN457" s="1942"/>
      <c r="AO457" s="1942"/>
      <c r="AP457" s="1942"/>
      <c r="AQ457" s="1942"/>
      <c r="AR457" s="1942"/>
      <c r="AS457" s="1942"/>
      <c r="AT457" s="1942"/>
      <c r="AU457" s="1942"/>
      <c r="AV457" s="1942"/>
      <c r="AW457" s="1942"/>
      <c r="AX457" s="1942"/>
      <c r="AY457" s="1942"/>
      <c r="AZ457" s="1942"/>
      <c r="BA457" s="1942"/>
      <c r="BB457" s="575"/>
      <c r="BC457" s="584"/>
      <c r="BD457" s="678"/>
      <c r="BE457" s="585"/>
    </row>
    <row r="458" spans="1:57" s="51" customFormat="1" hidden="1" outlineLevel="1" x14ac:dyDescent="0.25">
      <c r="A458" s="1267"/>
      <c r="B458" s="228"/>
      <c r="C458" s="328"/>
      <c r="D458" s="4006"/>
      <c r="E458" s="4010"/>
      <c r="F458" s="3385" t="str">
        <f t="shared" si="60"/>
        <v>CAC-SEER18_ER1_MF</v>
      </c>
      <c r="G458" s="3386"/>
      <c r="H458" s="3387"/>
      <c r="I458" s="3155" t="str">
        <f t="shared" si="61"/>
        <v>351162_2021_12_</v>
      </c>
      <c r="J458" s="2282">
        <v>18</v>
      </c>
      <c r="K458" s="2670"/>
      <c r="L458" s="2723" t="s">
        <v>1008</v>
      </c>
      <c r="M458" s="328"/>
      <c r="N458" s="1544"/>
      <c r="O458" s="328"/>
      <c r="P458" s="123"/>
      <c r="Q458" s="123"/>
      <c r="R458" s="123"/>
      <c r="S458" s="123"/>
      <c r="T458" s="123"/>
      <c r="U458" s="123"/>
      <c r="V458" s="4005"/>
      <c r="W458" s="2857"/>
      <c r="X458" s="703"/>
      <c r="Y458" s="703"/>
      <c r="Z458" s="3155">
        <v>18</v>
      </c>
      <c r="AA458" s="702">
        <v>18</v>
      </c>
      <c r="AB458" s="2227">
        <v>18</v>
      </c>
      <c r="AC458" s="2282">
        <v>18</v>
      </c>
      <c r="AD458" s="2857"/>
      <c r="AE458" s="2857"/>
      <c r="AF458" s="2857"/>
      <c r="AG458" s="2857"/>
      <c r="AH458" s="1942"/>
      <c r="AI458" s="1942"/>
      <c r="AJ458" s="1942"/>
      <c r="AK458" s="1942"/>
      <c r="AL458" s="1942"/>
      <c r="AM458" s="1942"/>
      <c r="AN458" s="1942"/>
      <c r="AO458" s="1942"/>
      <c r="AP458" s="1942"/>
      <c r="AQ458" s="1942"/>
      <c r="AR458" s="1942"/>
      <c r="AS458" s="1942"/>
      <c r="AT458" s="1942"/>
      <c r="AU458" s="1942"/>
      <c r="AV458" s="1942"/>
      <c r="AW458" s="1942"/>
      <c r="AX458" s="1942"/>
      <c r="AY458" s="1942"/>
      <c r="AZ458" s="1942"/>
      <c r="BA458" s="1942"/>
      <c r="BB458" s="575"/>
      <c r="BC458" s="584"/>
      <c r="BD458" s="678"/>
      <c r="BE458" s="585"/>
    </row>
    <row r="459" spans="1:57" s="51" customFormat="1" hidden="1" outlineLevel="1" x14ac:dyDescent="0.25">
      <c r="A459" s="1267"/>
      <c r="B459" s="228"/>
      <c r="C459" s="328"/>
      <c r="D459" s="4006"/>
      <c r="E459" s="4010"/>
      <c r="F459" s="3385" t="str">
        <f t="shared" si="60"/>
        <v>CAC-SEER18_ER2_MF</v>
      </c>
      <c r="G459" s="3386"/>
      <c r="H459" s="3387"/>
      <c r="I459" s="3155" t="str">
        <f t="shared" si="61"/>
        <v>351162_2021_12_</v>
      </c>
      <c r="J459" s="2282">
        <f>J458</f>
        <v>18</v>
      </c>
      <c r="K459" s="2670"/>
      <c r="L459" s="2723" t="s">
        <v>1008</v>
      </c>
      <c r="M459" s="328"/>
      <c r="N459" s="1544"/>
      <c r="O459" s="328"/>
      <c r="P459" s="123"/>
      <c r="Q459" s="123"/>
      <c r="R459" s="123"/>
      <c r="S459" s="123"/>
      <c r="T459" s="123"/>
      <c r="U459" s="123"/>
      <c r="V459" s="4005"/>
      <c r="W459" s="2857"/>
      <c r="X459" s="703"/>
      <c r="Y459" s="703"/>
      <c r="Z459" s="3155">
        <v>18</v>
      </c>
      <c r="AA459" s="702">
        <v>18</v>
      </c>
      <c r="AB459" s="2227">
        <v>18</v>
      </c>
      <c r="AC459" s="2282">
        <v>18</v>
      </c>
      <c r="AD459" s="2857"/>
      <c r="AE459" s="2857"/>
      <c r="AF459" s="2857"/>
      <c r="AG459" s="2857"/>
      <c r="AH459" s="1942"/>
      <c r="AI459" s="1942"/>
      <c r="AJ459" s="1942"/>
      <c r="AK459" s="1942"/>
      <c r="AL459" s="1942"/>
      <c r="AM459" s="1942"/>
      <c r="AN459" s="1942"/>
      <c r="AO459" s="1942"/>
      <c r="AP459" s="1942"/>
      <c r="AQ459" s="1942"/>
      <c r="AR459" s="1942"/>
      <c r="AS459" s="1942"/>
      <c r="AT459" s="1942"/>
      <c r="AU459" s="1942"/>
      <c r="AV459" s="1942"/>
      <c r="AW459" s="1942"/>
      <c r="AX459" s="1942"/>
      <c r="AY459" s="1942"/>
      <c r="AZ459" s="1942"/>
      <c r="BA459" s="1942"/>
      <c r="BB459" s="575"/>
      <c r="BC459" s="584"/>
      <c r="BD459" s="678"/>
      <c r="BE459" s="585"/>
    </row>
    <row r="460" spans="1:57" s="51" customFormat="1" hidden="1" outlineLevel="1" x14ac:dyDescent="0.25">
      <c r="A460" s="1267"/>
      <c r="B460" s="228"/>
      <c r="C460" s="328"/>
      <c r="D460" s="4006"/>
      <c r="E460" s="4010"/>
      <c r="F460" s="3385" t="str">
        <f t="shared" si="60"/>
        <v>CAC-SEER18_ER1_MF_CompE</v>
      </c>
      <c r="G460" s="3386"/>
      <c r="H460" s="3387"/>
      <c r="I460" s="3155" t="str">
        <f t="shared" si="61"/>
        <v>351163_2021_12_</v>
      </c>
      <c r="J460" s="2282">
        <v>18</v>
      </c>
      <c r="K460" s="2670"/>
      <c r="L460" s="2563"/>
      <c r="M460" s="328"/>
      <c r="N460" s="1544"/>
      <c r="O460" s="328"/>
      <c r="P460" s="123"/>
      <c r="Q460" s="123"/>
      <c r="R460" s="123"/>
      <c r="S460" s="123"/>
      <c r="T460" s="123"/>
      <c r="U460" s="123"/>
      <c r="V460" s="4005"/>
      <c r="W460" s="2857"/>
      <c r="X460" s="703"/>
      <c r="Y460" s="703"/>
      <c r="Z460" s="3155">
        <v>18</v>
      </c>
      <c r="AA460" s="702">
        <v>18</v>
      </c>
      <c r="AB460" s="2227">
        <v>18</v>
      </c>
      <c r="AC460" s="2282">
        <v>18</v>
      </c>
      <c r="AD460" s="2857"/>
      <c r="AE460" s="2857"/>
      <c r="AF460" s="2857"/>
      <c r="AG460" s="2857"/>
      <c r="AH460" s="1942"/>
      <c r="AI460" s="1942"/>
      <c r="AJ460" s="1942"/>
      <c r="AK460" s="1942"/>
      <c r="AL460" s="1942"/>
      <c r="AM460" s="1942"/>
      <c r="AN460" s="1942"/>
      <c r="AO460" s="1942"/>
      <c r="AP460" s="1942"/>
      <c r="AQ460" s="1942"/>
      <c r="AR460" s="1942"/>
      <c r="AS460" s="1942"/>
      <c r="AT460" s="1942"/>
      <c r="AU460" s="1942"/>
      <c r="AV460" s="1942"/>
      <c r="AW460" s="1942"/>
      <c r="AX460" s="1942"/>
      <c r="AY460" s="1942"/>
      <c r="AZ460" s="1942"/>
      <c r="BA460" s="1942"/>
      <c r="BB460" s="575"/>
      <c r="BC460" s="584"/>
      <c r="BD460" s="678"/>
      <c r="BE460" s="585"/>
    </row>
    <row r="461" spans="1:57" s="51" customFormat="1" hidden="1" outlineLevel="1" x14ac:dyDescent="0.25">
      <c r="A461" s="1267"/>
      <c r="B461" s="228"/>
      <c r="C461" s="328"/>
      <c r="D461" s="4006"/>
      <c r="E461" s="4010"/>
      <c r="F461" s="3385" t="str">
        <f t="shared" si="60"/>
        <v>CAC-SEER18_ER2_MF_CompE</v>
      </c>
      <c r="G461" s="3386"/>
      <c r="H461" s="3387"/>
      <c r="I461" s="3155" t="str">
        <f t="shared" si="61"/>
        <v>351163_2021_12_</v>
      </c>
      <c r="J461" s="2282">
        <v>18</v>
      </c>
      <c r="K461" s="2670"/>
      <c r="L461" s="2563"/>
      <c r="M461" s="328"/>
      <c r="N461" s="1544"/>
      <c r="O461" s="328"/>
      <c r="P461" s="123"/>
      <c r="Q461" s="123"/>
      <c r="R461" s="123"/>
      <c r="S461" s="123"/>
      <c r="T461" s="123"/>
      <c r="U461" s="123"/>
      <c r="V461" s="4005"/>
      <c r="W461" s="2857"/>
      <c r="X461" s="703"/>
      <c r="Y461" s="703"/>
      <c r="Z461" s="3155">
        <v>18</v>
      </c>
      <c r="AA461" s="702">
        <v>18</v>
      </c>
      <c r="AB461" s="2227">
        <v>18</v>
      </c>
      <c r="AC461" s="2282">
        <v>18</v>
      </c>
      <c r="AD461" s="2857"/>
      <c r="AE461" s="2857"/>
      <c r="AF461" s="2857"/>
      <c r="AG461" s="2857"/>
      <c r="AH461" s="1942"/>
      <c r="AI461" s="1942"/>
      <c r="AJ461" s="1942"/>
      <c r="AK461" s="1942"/>
      <c r="AL461" s="1942"/>
      <c r="AM461" s="1942"/>
      <c r="AN461" s="1942"/>
      <c r="AO461" s="1942"/>
      <c r="AP461" s="1942"/>
      <c r="AQ461" s="1942"/>
      <c r="AR461" s="1942"/>
      <c r="AS461" s="1942"/>
      <c r="AT461" s="1942"/>
      <c r="AU461" s="1942"/>
      <c r="AV461" s="1942"/>
      <c r="AW461" s="1942"/>
      <c r="AX461" s="1942"/>
      <c r="AY461" s="1942"/>
      <c r="AZ461" s="1942"/>
      <c r="BA461" s="1942"/>
      <c r="BB461" s="575"/>
      <c r="BC461" s="584"/>
      <c r="BD461" s="678"/>
      <c r="BE461" s="585"/>
    </row>
    <row r="462" spans="1:57" s="51" customFormat="1" hidden="1" outlineLevel="1" x14ac:dyDescent="0.25">
      <c r="A462" s="1267"/>
      <c r="B462" s="228"/>
      <c r="C462" s="328"/>
      <c r="D462" s="4006"/>
      <c r="E462" s="4010"/>
      <c r="F462" s="3385" t="str">
        <f t="shared" si="60"/>
        <v>CAC-SEER18_ROF_MF</v>
      </c>
      <c r="G462" s="3386"/>
      <c r="H462" s="3387"/>
      <c r="I462" s="3155" t="str">
        <f t="shared" si="61"/>
        <v>351164_2021_12_</v>
      </c>
      <c r="J462" s="2282">
        <v>18</v>
      </c>
      <c r="K462" s="2670"/>
      <c r="L462" s="2723" t="s">
        <v>1008</v>
      </c>
      <c r="M462" s="328"/>
      <c r="N462" s="1544"/>
      <c r="O462" s="328"/>
      <c r="P462" s="123"/>
      <c r="Q462" s="123"/>
      <c r="R462" s="123"/>
      <c r="S462" s="123"/>
      <c r="T462" s="123"/>
      <c r="U462" s="123"/>
      <c r="V462" s="4005"/>
      <c r="W462" s="2857"/>
      <c r="X462" s="703"/>
      <c r="Y462" s="703"/>
      <c r="Z462" s="3155">
        <v>18</v>
      </c>
      <c r="AA462" s="702">
        <v>18</v>
      </c>
      <c r="AB462" s="2227">
        <v>18</v>
      </c>
      <c r="AC462" s="2282">
        <v>18</v>
      </c>
      <c r="AD462" s="2857"/>
      <c r="AE462" s="2857"/>
      <c r="AF462" s="2857"/>
      <c r="AG462" s="2857"/>
      <c r="AH462" s="1942"/>
      <c r="AI462" s="1942"/>
      <c r="AJ462" s="1942"/>
      <c r="AK462" s="1942"/>
      <c r="AL462" s="1942"/>
      <c r="AM462" s="1942"/>
      <c r="AN462" s="1942"/>
      <c r="AO462" s="1942"/>
      <c r="AP462" s="1942"/>
      <c r="AQ462" s="1942"/>
      <c r="AR462" s="1942"/>
      <c r="AS462" s="1942"/>
      <c r="AT462" s="1942"/>
      <c r="AU462" s="1942"/>
      <c r="AV462" s="1942"/>
      <c r="AW462" s="1942"/>
      <c r="AX462" s="1942"/>
      <c r="AY462" s="1942"/>
      <c r="AZ462" s="1942"/>
      <c r="BA462" s="1942"/>
      <c r="BB462" s="575"/>
      <c r="BC462" s="584"/>
      <c r="BD462" s="678"/>
      <c r="BE462" s="585"/>
    </row>
    <row r="463" spans="1:57" s="51" customFormat="1" hidden="1" outlineLevel="1" x14ac:dyDescent="0.25">
      <c r="A463" s="1267"/>
      <c r="B463" s="228"/>
      <c r="C463" s="328"/>
      <c r="D463" s="4006"/>
      <c r="E463" s="4010"/>
      <c r="F463" s="3385" t="str">
        <f t="shared" si="60"/>
        <v>CAC-SEER18_ROF_MF_CompE</v>
      </c>
      <c r="G463" s="3386"/>
      <c r="H463" s="3387"/>
      <c r="I463" s="3155" t="str">
        <f t="shared" si="61"/>
        <v>351165_2021_12_</v>
      </c>
      <c r="J463" s="2282">
        <v>18</v>
      </c>
      <c r="K463" s="2670"/>
      <c r="L463" s="2563"/>
      <c r="M463" s="328"/>
      <c r="N463" s="1544"/>
      <c r="O463" s="328"/>
      <c r="P463" s="123"/>
      <c r="Q463" s="123"/>
      <c r="R463" s="123"/>
      <c r="S463" s="123"/>
      <c r="T463" s="123"/>
      <c r="U463" s="123"/>
      <c r="V463" s="4005"/>
      <c r="W463" s="2857"/>
      <c r="X463" s="703"/>
      <c r="Y463" s="703"/>
      <c r="Z463" s="3155">
        <v>18</v>
      </c>
      <c r="AA463" s="702">
        <v>18</v>
      </c>
      <c r="AB463" s="2227">
        <v>18</v>
      </c>
      <c r="AC463" s="2282">
        <v>18</v>
      </c>
      <c r="AD463" s="2857"/>
      <c r="AE463" s="2857"/>
      <c r="AF463" s="2857"/>
      <c r="AG463" s="2857"/>
      <c r="AH463" s="1942"/>
      <c r="AI463" s="1942"/>
      <c r="AJ463" s="1942"/>
      <c r="AK463" s="1942"/>
      <c r="AL463" s="1942"/>
      <c r="AM463" s="1942"/>
      <c r="AN463" s="1942"/>
      <c r="AO463" s="1942"/>
      <c r="AP463" s="1942"/>
      <c r="AQ463" s="1942"/>
      <c r="AR463" s="1942"/>
      <c r="AS463" s="1942"/>
      <c r="AT463" s="1942"/>
      <c r="AU463" s="1942"/>
      <c r="AV463" s="1942"/>
      <c r="AW463" s="1942"/>
      <c r="AX463" s="1942"/>
      <c r="AY463" s="1942"/>
      <c r="AZ463" s="1942"/>
      <c r="BA463" s="1942"/>
      <c r="BB463" s="575"/>
      <c r="BC463" s="584"/>
      <c r="BD463" s="678"/>
      <c r="BE463" s="585"/>
    </row>
    <row r="464" spans="1:57" s="51" customFormat="1" hidden="1" outlineLevel="1" x14ac:dyDescent="0.25">
      <c r="A464" s="1267"/>
      <c r="B464" s="228"/>
      <c r="C464" s="328"/>
      <c r="D464" s="4006"/>
      <c r="E464" s="4010"/>
      <c r="F464" s="3385" t="str">
        <f t="shared" si="60"/>
        <v>CAC-SEER19_ER1_SF</v>
      </c>
      <c r="G464" s="3386"/>
      <c r="H464" s="3387"/>
      <c r="I464" s="3155" t="str">
        <f t="shared" si="61"/>
        <v>351170_2021_12_</v>
      </c>
      <c r="J464" s="2228">
        <v>19.164705882352941</v>
      </c>
      <c r="K464" s="2670"/>
      <c r="L464" s="2723" t="s">
        <v>1008</v>
      </c>
      <c r="M464" s="328"/>
      <c r="N464" s="1544"/>
      <c r="O464" s="328"/>
      <c r="P464" s="123"/>
      <c r="Q464" s="123"/>
      <c r="R464" s="123"/>
      <c r="S464" s="123"/>
      <c r="T464" s="123"/>
      <c r="U464" s="123"/>
      <c r="V464" s="4005"/>
      <c r="W464" s="2857"/>
      <c r="X464" s="703"/>
      <c r="Y464" s="703"/>
      <c r="Z464" s="3155">
        <v>19</v>
      </c>
      <c r="AA464" s="702">
        <v>19</v>
      </c>
      <c r="AB464" s="2227">
        <v>19</v>
      </c>
      <c r="AC464" s="2228">
        <v>19.164705882352941</v>
      </c>
      <c r="AD464" s="2857"/>
      <c r="AE464" s="2857"/>
      <c r="AF464" s="2857"/>
      <c r="AG464" s="2857"/>
      <c r="AH464" s="1942"/>
      <c r="AI464" s="1942"/>
      <c r="AJ464" s="1942"/>
      <c r="AK464" s="1942"/>
      <c r="AL464" s="1942"/>
      <c r="AM464" s="1942"/>
      <c r="AN464" s="1942"/>
      <c r="AO464" s="1942"/>
      <c r="AP464" s="1942"/>
      <c r="AQ464" s="1942"/>
      <c r="AR464" s="1942"/>
      <c r="AS464" s="1942"/>
      <c r="AT464" s="1942"/>
      <c r="AU464" s="1942"/>
      <c r="AV464" s="1942"/>
      <c r="AW464" s="1942"/>
      <c r="AX464" s="1942"/>
      <c r="AY464" s="1942"/>
      <c r="AZ464" s="1942"/>
      <c r="BA464" s="1942"/>
      <c r="BB464" s="575"/>
      <c r="BC464" s="584"/>
      <c r="BD464" s="678"/>
      <c r="BE464" s="585"/>
    </row>
    <row r="465" spans="1:57" s="51" customFormat="1" hidden="1" outlineLevel="1" x14ac:dyDescent="0.25">
      <c r="A465" s="1267"/>
      <c r="B465" s="228"/>
      <c r="C465" s="328"/>
      <c r="D465" s="4006"/>
      <c r="E465" s="4010"/>
      <c r="F465" s="3385" t="str">
        <f t="shared" si="60"/>
        <v>CAC-SEER19_ER2_SF</v>
      </c>
      <c r="G465" s="3386"/>
      <c r="H465" s="3387"/>
      <c r="I465" s="3155" t="str">
        <f t="shared" si="61"/>
        <v>351170_2021_12_</v>
      </c>
      <c r="J465" s="2228">
        <f>J464</f>
        <v>19.164705882352941</v>
      </c>
      <c r="K465" s="2670"/>
      <c r="L465" s="2723" t="s">
        <v>1008</v>
      </c>
      <c r="M465" s="328"/>
      <c r="N465" s="1544"/>
      <c r="O465" s="328"/>
      <c r="P465" s="123"/>
      <c r="Q465" s="123"/>
      <c r="R465" s="123"/>
      <c r="S465" s="123"/>
      <c r="T465" s="123"/>
      <c r="U465" s="123"/>
      <c r="V465" s="4005"/>
      <c r="W465" s="2857"/>
      <c r="X465" s="703"/>
      <c r="Y465" s="703"/>
      <c r="Z465" s="3155">
        <v>19</v>
      </c>
      <c r="AA465" s="702">
        <v>19</v>
      </c>
      <c r="AB465" s="2227">
        <v>19</v>
      </c>
      <c r="AC465" s="2228">
        <v>19.164705882352941</v>
      </c>
      <c r="AD465" s="2857"/>
      <c r="AE465" s="2857"/>
      <c r="AF465" s="2857"/>
      <c r="AG465" s="2857"/>
      <c r="AH465" s="1942"/>
      <c r="AI465" s="1942"/>
      <c r="AJ465" s="1942"/>
      <c r="AK465" s="1942"/>
      <c r="AL465" s="1942"/>
      <c r="AM465" s="1942"/>
      <c r="AN465" s="1942"/>
      <c r="AO465" s="1942"/>
      <c r="AP465" s="1942"/>
      <c r="AQ465" s="1942"/>
      <c r="AR465" s="1942"/>
      <c r="AS465" s="1942"/>
      <c r="AT465" s="1942"/>
      <c r="AU465" s="1942"/>
      <c r="AV465" s="1942"/>
      <c r="AW465" s="1942"/>
      <c r="AX465" s="1942"/>
      <c r="AY465" s="1942"/>
      <c r="AZ465" s="1942"/>
      <c r="BA465" s="1942"/>
      <c r="BB465" s="575"/>
      <c r="BC465" s="584"/>
      <c r="BD465" s="678"/>
      <c r="BE465" s="585"/>
    </row>
    <row r="466" spans="1:57" s="51" customFormat="1" hidden="1" outlineLevel="1" x14ac:dyDescent="0.25">
      <c r="A466" s="1267"/>
      <c r="B466" s="228"/>
      <c r="C466" s="328"/>
      <c r="D466" s="4006"/>
      <c r="E466" s="4010"/>
      <c r="F466" s="3385" t="str">
        <f t="shared" si="60"/>
        <v>CAC-SEER19_ROF_SF</v>
      </c>
      <c r="G466" s="3386"/>
      <c r="H466" s="3387"/>
      <c r="I466" s="3155" t="str">
        <f t="shared" si="61"/>
        <v>351171_2021_12_</v>
      </c>
      <c r="J466" s="2228">
        <v>19.142857142857142</v>
      </c>
      <c r="K466" s="2670"/>
      <c r="L466" s="2723" t="s">
        <v>1008</v>
      </c>
      <c r="M466" s="328"/>
      <c r="N466" s="1544"/>
      <c r="O466" s="328"/>
      <c r="P466" s="123"/>
      <c r="Q466" s="123"/>
      <c r="R466" s="123"/>
      <c r="S466" s="123"/>
      <c r="T466" s="123"/>
      <c r="U466" s="123"/>
      <c r="V466" s="4005"/>
      <c r="W466" s="2857"/>
      <c r="X466" s="703"/>
      <c r="Y466" s="703"/>
      <c r="Z466" s="3155">
        <v>19</v>
      </c>
      <c r="AA466" s="702">
        <v>19</v>
      </c>
      <c r="AB466" s="2227">
        <v>19</v>
      </c>
      <c r="AC466" s="2228">
        <v>19.142857142857142</v>
      </c>
      <c r="AD466" s="2857"/>
      <c r="AE466" s="2857"/>
      <c r="AF466" s="2857"/>
      <c r="AG466" s="2857"/>
      <c r="AH466" s="1942"/>
      <c r="AI466" s="1942"/>
      <c r="AJ466" s="1942"/>
      <c r="AK466" s="1942"/>
      <c r="AL466" s="1942"/>
      <c r="AM466" s="1942"/>
      <c r="AN466" s="1942"/>
      <c r="AO466" s="1942"/>
      <c r="AP466" s="1942"/>
      <c r="AQ466" s="1942"/>
      <c r="AR466" s="1942"/>
      <c r="AS466" s="1942"/>
      <c r="AT466" s="1942"/>
      <c r="AU466" s="1942"/>
      <c r="AV466" s="1942"/>
      <c r="AW466" s="1942"/>
      <c r="AX466" s="1942"/>
      <c r="AY466" s="1942"/>
      <c r="AZ466" s="1942"/>
      <c r="BA466" s="1942"/>
      <c r="BB466" s="575"/>
      <c r="BC466" s="584"/>
      <c r="BD466" s="678"/>
      <c r="BE466" s="585"/>
    </row>
    <row r="467" spans="1:57" s="51" customFormat="1" hidden="1" outlineLevel="1" x14ac:dyDescent="0.25">
      <c r="A467" s="1267"/>
      <c r="B467" s="228"/>
      <c r="C467" s="328"/>
      <c r="D467" s="4006"/>
      <c r="E467" s="4010"/>
      <c r="F467" s="3385" t="str">
        <f t="shared" ref="F467:F530" si="63">F395</f>
        <v>CAC-SEER19_ER1_MF</v>
      </c>
      <c r="G467" s="3386"/>
      <c r="H467" s="3387"/>
      <c r="I467" s="3155" t="str">
        <f t="shared" ref="I467:I530" si="64">I395</f>
        <v>351172_2021_12_</v>
      </c>
      <c r="J467" s="2282">
        <v>19</v>
      </c>
      <c r="K467" s="2670"/>
      <c r="L467" s="2563"/>
      <c r="M467" s="328"/>
      <c r="N467" s="1544"/>
      <c r="O467" s="328"/>
      <c r="P467" s="123"/>
      <c r="Q467" s="123"/>
      <c r="R467" s="123"/>
      <c r="S467" s="123"/>
      <c r="T467" s="123"/>
      <c r="U467" s="123"/>
      <c r="V467" s="4005"/>
      <c r="W467" s="2857"/>
      <c r="X467" s="703"/>
      <c r="Y467" s="703"/>
      <c r="Z467" s="3155">
        <v>19</v>
      </c>
      <c r="AA467" s="702">
        <v>19</v>
      </c>
      <c r="AB467" s="2227">
        <v>19</v>
      </c>
      <c r="AC467" s="2282">
        <v>19</v>
      </c>
      <c r="AD467" s="2857"/>
      <c r="AE467" s="2857"/>
      <c r="AF467" s="2857"/>
      <c r="AG467" s="2857"/>
      <c r="AH467" s="1942"/>
      <c r="AI467" s="1942"/>
      <c r="AJ467" s="1942"/>
      <c r="AK467" s="1942"/>
      <c r="AL467" s="1942"/>
      <c r="AM467" s="1942"/>
      <c r="AN467" s="1942"/>
      <c r="AO467" s="1942"/>
      <c r="AP467" s="1942"/>
      <c r="AQ467" s="1942"/>
      <c r="AR467" s="1942"/>
      <c r="AS467" s="1942"/>
      <c r="AT467" s="1942"/>
      <c r="AU467" s="1942"/>
      <c r="AV467" s="1942"/>
      <c r="AW467" s="1942"/>
      <c r="AX467" s="1942"/>
      <c r="AY467" s="1942"/>
      <c r="AZ467" s="1942"/>
      <c r="BA467" s="1942"/>
      <c r="BB467" s="575"/>
      <c r="BC467" s="584"/>
      <c r="BD467" s="678"/>
      <c r="BE467" s="585"/>
    </row>
    <row r="468" spans="1:57" s="51" customFormat="1" hidden="1" outlineLevel="1" x14ac:dyDescent="0.25">
      <c r="A468" s="1267"/>
      <c r="B468" s="228"/>
      <c r="C468" s="328"/>
      <c r="D468" s="4006"/>
      <c r="E468" s="4010"/>
      <c r="F468" s="3385" t="str">
        <f t="shared" si="63"/>
        <v>CAC-SEER19_ER2_MF</v>
      </c>
      <c r="G468" s="3386"/>
      <c r="H468" s="3387"/>
      <c r="I468" s="3155" t="str">
        <f t="shared" si="64"/>
        <v>351172_2021_12_</v>
      </c>
      <c r="J468" s="2282">
        <v>19</v>
      </c>
      <c r="K468" s="2670"/>
      <c r="L468" s="2563"/>
      <c r="M468" s="328"/>
      <c r="N468" s="1544"/>
      <c r="O468" s="328"/>
      <c r="P468" s="123"/>
      <c r="Q468" s="123"/>
      <c r="R468" s="123"/>
      <c r="S468" s="123"/>
      <c r="T468" s="123"/>
      <c r="U468" s="123"/>
      <c r="V468" s="4005"/>
      <c r="W468" s="2857"/>
      <c r="X468" s="703"/>
      <c r="Y468" s="703"/>
      <c r="Z468" s="3155">
        <v>19</v>
      </c>
      <c r="AA468" s="702">
        <v>19</v>
      </c>
      <c r="AB468" s="2227">
        <v>19</v>
      </c>
      <c r="AC468" s="2282">
        <v>19</v>
      </c>
      <c r="AD468" s="2857"/>
      <c r="AE468" s="2857"/>
      <c r="AF468" s="2857"/>
      <c r="AG468" s="2857"/>
      <c r="AH468" s="1942"/>
      <c r="AI468" s="1942"/>
      <c r="AJ468" s="1942"/>
      <c r="AK468" s="1942"/>
      <c r="AL468" s="1942"/>
      <c r="AM468" s="1942"/>
      <c r="AN468" s="1942"/>
      <c r="AO468" s="1942"/>
      <c r="AP468" s="1942"/>
      <c r="AQ468" s="1942"/>
      <c r="AR468" s="1942"/>
      <c r="AS468" s="1942"/>
      <c r="AT468" s="1942"/>
      <c r="AU468" s="1942"/>
      <c r="AV468" s="1942"/>
      <c r="AW468" s="1942"/>
      <c r="AX468" s="1942"/>
      <c r="AY468" s="1942"/>
      <c r="AZ468" s="1942"/>
      <c r="BA468" s="1942"/>
      <c r="BB468" s="575"/>
      <c r="BC468" s="584"/>
      <c r="BD468" s="678"/>
      <c r="BE468" s="585"/>
    </row>
    <row r="469" spans="1:57" s="51" customFormat="1" hidden="1" outlineLevel="1" x14ac:dyDescent="0.25">
      <c r="A469" s="1267"/>
      <c r="B469" s="228"/>
      <c r="C469" s="328"/>
      <c r="D469" s="4006"/>
      <c r="E469" s="4010"/>
      <c r="F469" s="3385" t="str">
        <f t="shared" si="63"/>
        <v>CAC-SEER19_ER1_MF_CompE</v>
      </c>
      <c r="G469" s="3386"/>
      <c r="H469" s="3387"/>
      <c r="I469" s="3155" t="str">
        <f t="shared" si="64"/>
        <v>351173_2021_12_</v>
      </c>
      <c r="J469" s="2282">
        <v>19</v>
      </c>
      <c r="K469" s="2670"/>
      <c r="L469" s="2563"/>
      <c r="M469" s="328"/>
      <c r="N469" s="1544"/>
      <c r="O469" s="328"/>
      <c r="P469" s="123"/>
      <c r="Q469" s="123"/>
      <c r="R469" s="123"/>
      <c r="S469" s="123"/>
      <c r="T469" s="123"/>
      <c r="U469" s="123"/>
      <c r="V469" s="4005"/>
      <c r="W469" s="2857"/>
      <c r="X469" s="703"/>
      <c r="Y469" s="703"/>
      <c r="Z469" s="3155">
        <v>19</v>
      </c>
      <c r="AA469" s="702">
        <v>19</v>
      </c>
      <c r="AB469" s="2227">
        <v>19</v>
      </c>
      <c r="AC469" s="2282">
        <v>19</v>
      </c>
      <c r="AD469" s="2857"/>
      <c r="AE469" s="2857"/>
      <c r="AF469" s="2857"/>
      <c r="AG469" s="2857"/>
      <c r="AH469" s="1942"/>
      <c r="AI469" s="1942"/>
      <c r="AJ469" s="1942"/>
      <c r="AK469" s="1942"/>
      <c r="AL469" s="1942"/>
      <c r="AM469" s="1942"/>
      <c r="AN469" s="1942"/>
      <c r="AO469" s="1942"/>
      <c r="AP469" s="1942"/>
      <c r="AQ469" s="1942"/>
      <c r="AR469" s="1942"/>
      <c r="AS469" s="1942"/>
      <c r="AT469" s="1942"/>
      <c r="AU469" s="1942"/>
      <c r="AV469" s="1942"/>
      <c r="AW469" s="1942"/>
      <c r="AX469" s="1942"/>
      <c r="AY469" s="1942"/>
      <c r="AZ469" s="1942"/>
      <c r="BA469" s="1942"/>
      <c r="BB469" s="575"/>
      <c r="BC469" s="584"/>
      <c r="BD469" s="678"/>
      <c r="BE469" s="585"/>
    </row>
    <row r="470" spans="1:57" s="51" customFormat="1" hidden="1" outlineLevel="1" x14ac:dyDescent="0.25">
      <c r="A470" s="1267"/>
      <c r="B470" s="228"/>
      <c r="C470" s="328"/>
      <c r="D470" s="4006"/>
      <c r="E470" s="4010"/>
      <c r="F470" s="3385" t="str">
        <f t="shared" si="63"/>
        <v>CAC-SEER19_ER2_MF_CompE</v>
      </c>
      <c r="G470" s="3386"/>
      <c r="H470" s="3387"/>
      <c r="I470" s="3155" t="str">
        <f t="shared" si="64"/>
        <v>351173_2021_12_</v>
      </c>
      <c r="J470" s="2282">
        <v>19</v>
      </c>
      <c r="K470" s="2670"/>
      <c r="L470" s="2563"/>
      <c r="M470" s="328"/>
      <c r="N470" s="1544"/>
      <c r="O470" s="328"/>
      <c r="P470" s="123"/>
      <c r="Q470" s="123"/>
      <c r="R470" s="123"/>
      <c r="S470" s="123"/>
      <c r="T470" s="123"/>
      <c r="U470" s="123"/>
      <c r="V470" s="4005"/>
      <c r="W470" s="2857"/>
      <c r="X470" s="703"/>
      <c r="Y470" s="703"/>
      <c r="Z470" s="3155">
        <v>19</v>
      </c>
      <c r="AA470" s="702">
        <v>19</v>
      </c>
      <c r="AB470" s="2227">
        <v>19</v>
      </c>
      <c r="AC470" s="2282">
        <v>19</v>
      </c>
      <c r="AD470" s="2857"/>
      <c r="AE470" s="2857"/>
      <c r="AF470" s="2857"/>
      <c r="AG470" s="2857"/>
      <c r="AH470" s="1942"/>
      <c r="AI470" s="1942"/>
      <c r="AJ470" s="1942"/>
      <c r="AK470" s="1942"/>
      <c r="AL470" s="1942"/>
      <c r="AM470" s="1942"/>
      <c r="AN470" s="1942"/>
      <c r="AO470" s="1942"/>
      <c r="AP470" s="1942"/>
      <c r="AQ470" s="1942"/>
      <c r="AR470" s="1942"/>
      <c r="AS470" s="1942"/>
      <c r="AT470" s="1942"/>
      <c r="AU470" s="1942"/>
      <c r="AV470" s="1942"/>
      <c r="AW470" s="1942"/>
      <c r="AX470" s="1942"/>
      <c r="AY470" s="1942"/>
      <c r="AZ470" s="1942"/>
      <c r="BA470" s="1942"/>
      <c r="BB470" s="575"/>
      <c r="BC470" s="584"/>
      <c r="BD470" s="678"/>
      <c r="BE470" s="585"/>
    </row>
    <row r="471" spans="1:57" s="51" customFormat="1" hidden="1" outlineLevel="1" x14ac:dyDescent="0.25">
      <c r="A471" s="1267"/>
      <c r="B471" s="228"/>
      <c r="C471" s="328"/>
      <c r="D471" s="4006"/>
      <c r="E471" s="4010"/>
      <c r="F471" s="3385" t="str">
        <f t="shared" si="63"/>
        <v>CAC-SEER19_ROF_MF</v>
      </c>
      <c r="G471" s="3386"/>
      <c r="H471" s="3387"/>
      <c r="I471" s="3155" t="str">
        <f t="shared" si="64"/>
        <v>351174_2021_12_</v>
      </c>
      <c r="J471" s="2282">
        <v>19</v>
      </c>
      <c r="K471" s="2670"/>
      <c r="L471" s="2563"/>
      <c r="M471" s="328"/>
      <c r="N471" s="1544"/>
      <c r="O471" s="328"/>
      <c r="P471" s="123"/>
      <c r="Q471" s="123"/>
      <c r="R471" s="123"/>
      <c r="S471" s="123"/>
      <c r="T471" s="123"/>
      <c r="U471" s="123"/>
      <c r="V471" s="4005"/>
      <c r="W471" s="2857"/>
      <c r="X471" s="703"/>
      <c r="Y471" s="703"/>
      <c r="Z471" s="3155">
        <v>19</v>
      </c>
      <c r="AA471" s="702">
        <v>19</v>
      </c>
      <c r="AB471" s="2227">
        <v>19</v>
      </c>
      <c r="AC471" s="2282">
        <v>19</v>
      </c>
      <c r="AD471" s="2857"/>
      <c r="AE471" s="2857"/>
      <c r="AF471" s="2857"/>
      <c r="AG471" s="2857"/>
      <c r="AH471" s="1942"/>
      <c r="AI471" s="1942"/>
      <c r="AJ471" s="1942"/>
      <c r="AK471" s="1942"/>
      <c r="AL471" s="1942"/>
      <c r="AM471" s="1942"/>
      <c r="AN471" s="1942"/>
      <c r="AO471" s="1942"/>
      <c r="AP471" s="1942"/>
      <c r="AQ471" s="1942"/>
      <c r="AR471" s="1942"/>
      <c r="AS471" s="1942"/>
      <c r="AT471" s="1942"/>
      <c r="AU471" s="1942"/>
      <c r="AV471" s="1942"/>
      <c r="AW471" s="1942"/>
      <c r="AX471" s="1942"/>
      <c r="AY471" s="1942"/>
      <c r="AZ471" s="1942"/>
      <c r="BA471" s="1942"/>
      <c r="BB471" s="575"/>
      <c r="BC471" s="584"/>
      <c r="BD471" s="678"/>
      <c r="BE471" s="585"/>
    </row>
    <row r="472" spans="1:57" s="51" customFormat="1" hidden="1" outlineLevel="1" x14ac:dyDescent="0.25">
      <c r="A472" s="1267"/>
      <c r="B472" s="228"/>
      <c r="C472" s="328"/>
      <c r="D472" s="4006"/>
      <c r="E472" s="4010"/>
      <c r="F472" s="3385" t="str">
        <f t="shared" si="63"/>
        <v>CAC-SEER19_ROF_MF_CompE</v>
      </c>
      <c r="G472" s="3386"/>
      <c r="H472" s="3387"/>
      <c r="I472" s="3155" t="str">
        <f t="shared" si="64"/>
        <v>351175_2021_12_</v>
      </c>
      <c r="J472" s="2282">
        <v>19</v>
      </c>
      <c r="K472" s="2670"/>
      <c r="L472" s="2563"/>
      <c r="M472" s="328"/>
      <c r="N472" s="1544"/>
      <c r="O472" s="328"/>
      <c r="P472" s="123"/>
      <c r="Q472" s="123"/>
      <c r="R472" s="123"/>
      <c r="S472" s="123"/>
      <c r="T472" s="123"/>
      <c r="U472" s="123"/>
      <c r="V472" s="4005"/>
      <c r="W472" s="2857"/>
      <c r="X472" s="703"/>
      <c r="Y472" s="703"/>
      <c r="Z472" s="3155">
        <v>19</v>
      </c>
      <c r="AA472" s="702">
        <v>19</v>
      </c>
      <c r="AB472" s="2227">
        <v>19</v>
      </c>
      <c r="AC472" s="2282">
        <v>19</v>
      </c>
      <c r="AD472" s="2857"/>
      <c r="AE472" s="2857"/>
      <c r="AF472" s="2857"/>
      <c r="AG472" s="2857"/>
      <c r="AH472" s="1942"/>
      <c r="AI472" s="1942"/>
      <c r="AJ472" s="1942"/>
      <c r="AK472" s="1942"/>
      <c r="AL472" s="1942"/>
      <c r="AM472" s="1942"/>
      <c r="AN472" s="1942"/>
      <c r="AO472" s="1942"/>
      <c r="AP472" s="1942"/>
      <c r="AQ472" s="1942"/>
      <c r="AR472" s="1942"/>
      <c r="AS472" s="1942"/>
      <c r="AT472" s="1942"/>
      <c r="AU472" s="1942"/>
      <c r="AV472" s="1942"/>
      <c r="AW472" s="1942"/>
      <c r="AX472" s="1942"/>
      <c r="AY472" s="1942"/>
      <c r="AZ472" s="1942"/>
      <c r="BA472" s="1942"/>
      <c r="BB472" s="575"/>
      <c r="BC472" s="584"/>
      <c r="BD472" s="678"/>
      <c r="BE472" s="585"/>
    </row>
    <row r="473" spans="1:57" s="51" customFormat="1" hidden="1" outlineLevel="1" x14ac:dyDescent="0.25">
      <c r="A473" s="1267"/>
      <c r="B473" s="228"/>
      <c r="C473" s="328"/>
      <c r="D473" s="4006"/>
      <c r="E473" s="4010"/>
      <c r="F473" s="3385" t="str">
        <f t="shared" si="63"/>
        <v>CAC-SEER20_ER1_SF</v>
      </c>
      <c r="G473" s="3386"/>
      <c r="H473" s="3387"/>
      <c r="I473" s="3155" t="str">
        <f t="shared" si="64"/>
        <v>351180_2021_12_</v>
      </c>
      <c r="J473" s="2228">
        <v>20.194078947368421</v>
      </c>
      <c r="K473" s="2670"/>
      <c r="L473" s="2723" t="s">
        <v>1008</v>
      </c>
      <c r="M473" s="328"/>
      <c r="N473" s="1544"/>
      <c r="O473" s="328"/>
      <c r="P473" s="123"/>
      <c r="Q473" s="123"/>
      <c r="R473" s="123"/>
      <c r="S473" s="123"/>
      <c r="T473" s="123"/>
      <c r="U473" s="123"/>
      <c r="V473" s="4005"/>
      <c r="W473" s="2857"/>
      <c r="X473" s="703"/>
      <c r="Y473" s="703"/>
      <c r="Z473" s="3155">
        <v>20</v>
      </c>
      <c r="AA473" s="702">
        <v>20</v>
      </c>
      <c r="AB473" s="2227">
        <v>20</v>
      </c>
      <c r="AC473" s="2228">
        <v>20.194078947368421</v>
      </c>
      <c r="AD473" s="2857"/>
      <c r="AE473" s="2857"/>
      <c r="AF473" s="2857"/>
      <c r="AG473" s="2857"/>
      <c r="AH473" s="1942"/>
      <c r="AI473" s="1942"/>
      <c r="AJ473" s="1942"/>
      <c r="AK473" s="1942"/>
      <c r="AL473" s="1942"/>
      <c r="AM473" s="1942"/>
      <c r="AN473" s="1942"/>
      <c r="AO473" s="1942"/>
      <c r="AP473" s="1942"/>
      <c r="AQ473" s="1942"/>
      <c r="AR473" s="1942"/>
      <c r="AS473" s="1942"/>
      <c r="AT473" s="1942"/>
      <c r="AU473" s="1942"/>
      <c r="AV473" s="1942"/>
      <c r="AW473" s="1942"/>
      <c r="AX473" s="1942"/>
      <c r="AY473" s="1942"/>
      <c r="AZ473" s="1942"/>
      <c r="BA473" s="1942"/>
      <c r="BB473" s="575"/>
      <c r="BC473" s="584"/>
      <c r="BD473" s="678"/>
      <c r="BE473" s="585"/>
    </row>
    <row r="474" spans="1:57" s="51" customFormat="1" hidden="1" outlineLevel="1" x14ac:dyDescent="0.25">
      <c r="A474" s="1267"/>
      <c r="B474" s="228"/>
      <c r="C474" s="328"/>
      <c r="D474" s="4006"/>
      <c r="E474" s="4010"/>
      <c r="F474" s="3385" t="str">
        <f t="shared" si="63"/>
        <v>CAC-SEER20_ER2_SF</v>
      </c>
      <c r="G474" s="3386"/>
      <c r="H474" s="3387"/>
      <c r="I474" s="3155" t="str">
        <f t="shared" si="64"/>
        <v>351180_2021_12_</v>
      </c>
      <c r="J474" s="2228">
        <f>J473</f>
        <v>20.194078947368421</v>
      </c>
      <c r="K474" s="2670"/>
      <c r="L474" s="2723" t="s">
        <v>1008</v>
      </c>
      <c r="M474" s="328"/>
      <c r="N474" s="1544"/>
      <c r="O474" s="328"/>
      <c r="P474" s="123"/>
      <c r="Q474" s="123"/>
      <c r="R474" s="123"/>
      <c r="S474" s="123"/>
      <c r="T474" s="123"/>
      <c r="U474" s="123"/>
      <c r="V474" s="4005"/>
      <c r="W474" s="2857"/>
      <c r="X474" s="703"/>
      <c r="Y474" s="703"/>
      <c r="Z474" s="3155">
        <v>20</v>
      </c>
      <c r="AA474" s="702">
        <v>20</v>
      </c>
      <c r="AB474" s="2227">
        <v>20</v>
      </c>
      <c r="AC474" s="2228">
        <v>20.194078947368421</v>
      </c>
      <c r="AD474" s="2857"/>
      <c r="AE474" s="2857"/>
      <c r="AF474" s="2857"/>
      <c r="AG474" s="2857"/>
      <c r="AH474" s="1942"/>
      <c r="AI474" s="1942"/>
      <c r="AJ474" s="1942"/>
      <c r="AK474" s="1942"/>
      <c r="AL474" s="1942"/>
      <c r="AM474" s="1942"/>
      <c r="AN474" s="1942"/>
      <c r="AO474" s="1942"/>
      <c r="AP474" s="1942"/>
      <c r="AQ474" s="1942"/>
      <c r="AR474" s="1942"/>
      <c r="AS474" s="1942"/>
      <c r="AT474" s="1942"/>
      <c r="AU474" s="1942"/>
      <c r="AV474" s="1942"/>
      <c r="AW474" s="1942"/>
      <c r="AX474" s="1942"/>
      <c r="AY474" s="1942"/>
      <c r="AZ474" s="1942"/>
      <c r="BA474" s="1942"/>
      <c r="BB474" s="575"/>
      <c r="BC474" s="584"/>
      <c r="BD474" s="678"/>
      <c r="BE474" s="585"/>
    </row>
    <row r="475" spans="1:57" s="51" customFormat="1" hidden="1" outlineLevel="1" x14ac:dyDescent="0.25">
      <c r="A475" s="1267"/>
      <c r="B475" s="228"/>
      <c r="C475" s="328"/>
      <c r="D475" s="4006"/>
      <c r="E475" s="4010"/>
      <c r="F475" s="3385" t="str">
        <f t="shared" si="63"/>
        <v>CAC-SEER20_ROF_SF</v>
      </c>
      <c r="G475" s="3386"/>
      <c r="H475" s="3387"/>
      <c r="I475" s="3155" t="str">
        <f t="shared" si="64"/>
        <v>351181_2021_12_</v>
      </c>
      <c r="J475" s="2228">
        <v>20.083333333333332</v>
      </c>
      <c r="K475" s="2670"/>
      <c r="L475" s="2723" t="s">
        <v>1008</v>
      </c>
      <c r="M475" s="328"/>
      <c r="N475" s="1544"/>
      <c r="O475" s="328"/>
      <c r="P475" s="123"/>
      <c r="Q475" s="123"/>
      <c r="R475" s="123"/>
      <c r="S475" s="123"/>
      <c r="T475" s="123"/>
      <c r="U475" s="123"/>
      <c r="V475" s="4005"/>
      <c r="W475" s="2857"/>
      <c r="X475" s="703"/>
      <c r="Y475" s="703"/>
      <c r="Z475" s="3155">
        <v>20</v>
      </c>
      <c r="AA475" s="702">
        <v>20</v>
      </c>
      <c r="AB475" s="2227">
        <v>20</v>
      </c>
      <c r="AC475" s="2228">
        <v>20.083333333333332</v>
      </c>
      <c r="AD475" s="2857"/>
      <c r="AE475" s="2857"/>
      <c r="AF475" s="2857"/>
      <c r="AG475" s="2857"/>
      <c r="AH475" s="1942"/>
      <c r="AI475" s="1942"/>
      <c r="AJ475" s="1942"/>
      <c r="AK475" s="1942"/>
      <c r="AL475" s="1942"/>
      <c r="AM475" s="1942"/>
      <c r="AN475" s="1942"/>
      <c r="AO475" s="1942"/>
      <c r="AP475" s="1942"/>
      <c r="AQ475" s="1942"/>
      <c r="AR475" s="1942"/>
      <c r="AS475" s="1942"/>
      <c r="AT475" s="1942"/>
      <c r="AU475" s="1942"/>
      <c r="AV475" s="1942"/>
      <c r="AW475" s="1942"/>
      <c r="AX475" s="1942"/>
      <c r="AY475" s="1942"/>
      <c r="AZ475" s="1942"/>
      <c r="BA475" s="1942"/>
      <c r="BB475" s="575"/>
      <c r="BC475" s="584"/>
      <c r="BD475" s="678"/>
      <c r="BE475" s="585"/>
    </row>
    <row r="476" spans="1:57" s="51" customFormat="1" hidden="1" outlineLevel="1" x14ac:dyDescent="0.25">
      <c r="A476" s="1267"/>
      <c r="B476" s="228"/>
      <c r="C476" s="328"/>
      <c r="D476" s="4006"/>
      <c r="E476" s="4010"/>
      <c r="F476" s="3385" t="str">
        <f t="shared" si="63"/>
        <v>CAC-SEER20_ER1_MF</v>
      </c>
      <c r="G476" s="3386"/>
      <c r="H476" s="3387"/>
      <c r="I476" s="3155" t="str">
        <f t="shared" si="64"/>
        <v>351182_2021_12_</v>
      </c>
      <c r="J476" s="2282">
        <v>20</v>
      </c>
      <c r="K476" s="2670"/>
      <c r="L476" s="2723" t="s">
        <v>1008</v>
      </c>
      <c r="M476" s="328"/>
      <c r="N476" s="1544"/>
      <c r="O476" s="328"/>
      <c r="P476" s="123"/>
      <c r="Q476" s="123"/>
      <c r="R476" s="123"/>
      <c r="S476" s="123"/>
      <c r="T476" s="123"/>
      <c r="U476" s="123"/>
      <c r="V476" s="4005"/>
      <c r="W476" s="2857"/>
      <c r="X476" s="703"/>
      <c r="Y476" s="702"/>
      <c r="Z476" s="3155">
        <v>20</v>
      </c>
      <c r="AA476" s="702">
        <v>20</v>
      </c>
      <c r="AB476" s="2227">
        <v>20</v>
      </c>
      <c r="AC476" s="2282">
        <v>20</v>
      </c>
      <c r="AD476" s="2857"/>
      <c r="AE476" s="2857"/>
      <c r="AF476" s="2857"/>
      <c r="AG476" s="2857"/>
      <c r="AH476" s="1942"/>
      <c r="AI476" s="1942"/>
      <c r="AJ476" s="1942"/>
      <c r="AK476" s="1942"/>
      <c r="AL476" s="1942"/>
      <c r="AM476" s="1942"/>
      <c r="AN476" s="1942"/>
      <c r="AO476" s="1942"/>
      <c r="AP476" s="1942"/>
      <c r="AQ476" s="1942"/>
      <c r="AR476" s="1942"/>
      <c r="AS476" s="1942"/>
      <c r="AT476" s="1942"/>
      <c r="AU476" s="1942"/>
      <c r="AV476" s="1942"/>
      <c r="AW476" s="1942"/>
      <c r="AX476" s="1942"/>
      <c r="AY476" s="1942"/>
      <c r="AZ476" s="1942"/>
      <c r="BA476" s="1942"/>
      <c r="BB476" s="575"/>
      <c r="BC476" s="584"/>
      <c r="BD476" s="678"/>
      <c r="BE476" s="585"/>
    </row>
    <row r="477" spans="1:57" s="51" customFormat="1" hidden="1" outlineLevel="1" x14ac:dyDescent="0.25">
      <c r="A477" s="1267"/>
      <c r="B477" s="228"/>
      <c r="C477" s="328"/>
      <c r="D477" s="4006"/>
      <c r="E477" s="4010"/>
      <c r="F477" s="3385" t="str">
        <f t="shared" si="63"/>
        <v>CAC-SEER20_ER2_MF</v>
      </c>
      <c r="G477" s="3386"/>
      <c r="H477" s="3387"/>
      <c r="I477" s="3155" t="str">
        <f t="shared" si="64"/>
        <v>351182_2021_12_</v>
      </c>
      <c r="J477" s="2282">
        <f>J476</f>
        <v>20</v>
      </c>
      <c r="K477" s="2670"/>
      <c r="L477" s="2723" t="s">
        <v>1008</v>
      </c>
      <c r="M477" s="328"/>
      <c r="N477" s="1544"/>
      <c r="O477" s="328"/>
      <c r="P477" s="123"/>
      <c r="Q477" s="123"/>
      <c r="R477" s="123"/>
      <c r="S477" s="123"/>
      <c r="T477" s="123"/>
      <c r="U477" s="123"/>
      <c r="V477" s="4005"/>
      <c r="W477" s="2857"/>
      <c r="X477" s="703"/>
      <c r="Y477" s="702"/>
      <c r="Z477" s="3155">
        <v>20</v>
      </c>
      <c r="AA477" s="702">
        <v>20</v>
      </c>
      <c r="AB477" s="2227">
        <v>20</v>
      </c>
      <c r="AC477" s="2282">
        <v>20</v>
      </c>
      <c r="AD477" s="2857"/>
      <c r="AE477" s="2857"/>
      <c r="AF477" s="2857"/>
      <c r="AG477" s="2857"/>
      <c r="AH477" s="1942"/>
      <c r="AI477" s="1942"/>
      <c r="AJ477" s="1942"/>
      <c r="AK477" s="1942"/>
      <c r="AL477" s="1942"/>
      <c r="AM477" s="1942"/>
      <c r="AN477" s="1942"/>
      <c r="AO477" s="1942"/>
      <c r="AP477" s="1942"/>
      <c r="AQ477" s="1942"/>
      <c r="AR477" s="1942"/>
      <c r="AS477" s="1942"/>
      <c r="AT477" s="1942"/>
      <c r="AU477" s="1942"/>
      <c r="AV477" s="1942"/>
      <c r="AW477" s="1942"/>
      <c r="AX477" s="1942"/>
      <c r="AY477" s="1942"/>
      <c r="AZ477" s="1942"/>
      <c r="BA477" s="1942"/>
      <c r="BB477" s="575"/>
      <c r="BC477" s="584"/>
      <c r="BD477" s="678"/>
      <c r="BE477" s="585"/>
    </row>
    <row r="478" spans="1:57" s="51" customFormat="1" hidden="1" outlineLevel="1" x14ac:dyDescent="0.25">
      <c r="A478" s="1267"/>
      <c r="B478" s="228"/>
      <c r="C478" s="328"/>
      <c r="D478" s="4006"/>
      <c r="E478" s="4010"/>
      <c r="F478" s="3385" t="str">
        <f t="shared" si="63"/>
        <v>CAC-SEER20_ER1_MF_CompE</v>
      </c>
      <c r="G478" s="3386"/>
      <c r="H478" s="3387"/>
      <c r="I478" s="3155" t="str">
        <f t="shared" si="64"/>
        <v>351183_2021_12_</v>
      </c>
      <c r="J478" s="2282">
        <v>20</v>
      </c>
      <c r="K478" s="2670"/>
      <c r="L478" s="2563"/>
      <c r="M478" s="328"/>
      <c r="N478" s="1544"/>
      <c r="O478" s="328"/>
      <c r="P478" s="123"/>
      <c r="Q478" s="123"/>
      <c r="R478" s="123"/>
      <c r="S478" s="123"/>
      <c r="T478" s="123"/>
      <c r="U478" s="123"/>
      <c r="V478" s="4005"/>
      <c r="W478" s="2857"/>
      <c r="X478" s="703"/>
      <c r="Y478" s="702"/>
      <c r="Z478" s="3155">
        <v>20</v>
      </c>
      <c r="AA478" s="702">
        <v>20</v>
      </c>
      <c r="AB478" s="2227">
        <v>20</v>
      </c>
      <c r="AC478" s="2282">
        <v>20</v>
      </c>
      <c r="AD478" s="2857"/>
      <c r="AE478" s="2857"/>
      <c r="AF478" s="2857"/>
      <c r="AG478" s="2857"/>
      <c r="AH478" s="1942"/>
      <c r="AI478" s="1942"/>
      <c r="AJ478" s="1942"/>
      <c r="AK478" s="1942"/>
      <c r="AL478" s="1942"/>
      <c r="AM478" s="1942"/>
      <c r="AN478" s="1942"/>
      <c r="AO478" s="1942"/>
      <c r="AP478" s="1942"/>
      <c r="AQ478" s="1942"/>
      <c r="AR478" s="1942"/>
      <c r="AS478" s="1942"/>
      <c r="AT478" s="1942"/>
      <c r="AU478" s="1942"/>
      <c r="AV478" s="1942"/>
      <c r="AW478" s="1942"/>
      <c r="AX478" s="1942"/>
      <c r="AY478" s="1942"/>
      <c r="AZ478" s="1942"/>
      <c r="BA478" s="1942"/>
      <c r="BB478" s="575"/>
      <c r="BC478" s="584"/>
      <c r="BD478" s="678"/>
      <c r="BE478" s="585"/>
    </row>
    <row r="479" spans="1:57" s="51" customFormat="1" hidden="1" outlineLevel="1" x14ac:dyDescent="0.25">
      <c r="A479" s="1267"/>
      <c r="B479" s="228"/>
      <c r="C479" s="328"/>
      <c r="D479" s="4006"/>
      <c r="E479" s="4010"/>
      <c r="F479" s="3385" t="str">
        <f t="shared" si="63"/>
        <v>CAC-SEER20_ER2_MF_CompE</v>
      </c>
      <c r="G479" s="3386"/>
      <c r="H479" s="3387"/>
      <c r="I479" s="3155" t="str">
        <f t="shared" si="64"/>
        <v>351183_2021_12_</v>
      </c>
      <c r="J479" s="2282">
        <v>20</v>
      </c>
      <c r="K479" s="2670"/>
      <c r="L479" s="2563"/>
      <c r="M479" s="328"/>
      <c r="N479" s="1544"/>
      <c r="O479" s="328"/>
      <c r="P479" s="123"/>
      <c r="Q479" s="123"/>
      <c r="R479" s="123"/>
      <c r="S479" s="123"/>
      <c r="T479" s="123"/>
      <c r="U479" s="123"/>
      <c r="V479" s="4005"/>
      <c r="W479" s="2857"/>
      <c r="X479" s="703"/>
      <c r="Y479" s="702"/>
      <c r="Z479" s="3155">
        <v>20</v>
      </c>
      <c r="AA479" s="702">
        <v>20</v>
      </c>
      <c r="AB479" s="2227">
        <v>20</v>
      </c>
      <c r="AC479" s="2282">
        <v>20</v>
      </c>
      <c r="AD479" s="2857"/>
      <c r="AE479" s="2857"/>
      <c r="AF479" s="2857"/>
      <c r="AG479" s="2857"/>
      <c r="AH479" s="1942"/>
      <c r="AI479" s="1942"/>
      <c r="AJ479" s="1942"/>
      <c r="AK479" s="1942"/>
      <c r="AL479" s="1942"/>
      <c r="AM479" s="1942"/>
      <c r="AN479" s="1942"/>
      <c r="AO479" s="1942"/>
      <c r="AP479" s="1942"/>
      <c r="AQ479" s="1942"/>
      <c r="AR479" s="1942"/>
      <c r="AS479" s="1942"/>
      <c r="AT479" s="1942"/>
      <c r="AU479" s="1942"/>
      <c r="AV479" s="1942"/>
      <c r="AW479" s="1942"/>
      <c r="AX479" s="1942"/>
      <c r="AY479" s="1942"/>
      <c r="AZ479" s="1942"/>
      <c r="BA479" s="1942"/>
      <c r="BB479" s="575"/>
      <c r="BC479" s="584"/>
      <c r="BD479" s="678"/>
      <c r="BE479" s="585"/>
    </row>
    <row r="480" spans="1:57" s="51" customFormat="1" hidden="1" outlineLevel="1" x14ac:dyDescent="0.25">
      <c r="A480" s="1267"/>
      <c r="B480" s="228"/>
      <c r="C480" s="328"/>
      <c r="D480" s="4006"/>
      <c r="E480" s="4010"/>
      <c r="F480" s="3385" t="str">
        <f t="shared" si="63"/>
        <v>CAC-SEER20_ROF_MF</v>
      </c>
      <c r="G480" s="3386"/>
      <c r="H480" s="3387"/>
      <c r="I480" s="3155" t="str">
        <f t="shared" si="64"/>
        <v>351184_2021_12_</v>
      </c>
      <c r="J480" s="2282">
        <v>20</v>
      </c>
      <c r="K480" s="2670"/>
      <c r="L480" s="2563"/>
      <c r="M480" s="328"/>
      <c r="N480" s="1544"/>
      <c r="O480" s="328"/>
      <c r="P480" s="123"/>
      <c r="Q480" s="123"/>
      <c r="R480" s="123"/>
      <c r="S480" s="123"/>
      <c r="T480" s="123"/>
      <c r="U480" s="123"/>
      <c r="V480" s="4005"/>
      <c r="W480" s="2857"/>
      <c r="X480" s="703"/>
      <c r="Y480" s="702"/>
      <c r="Z480" s="3155">
        <v>20</v>
      </c>
      <c r="AA480" s="702">
        <v>20</v>
      </c>
      <c r="AB480" s="2227">
        <v>20</v>
      </c>
      <c r="AC480" s="2282">
        <v>20</v>
      </c>
      <c r="AD480" s="2857"/>
      <c r="AE480" s="2857"/>
      <c r="AF480" s="2857"/>
      <c r="AG480" s="2857"/>
      <c r="AH480" s="1942"/>
      <c r="AI480" s="1942"/>
      <c r="AJ480" s="1942"/>
      <c r="AK480" s="1942"/>
      <c r="AL480" s="1942"/>
      <c r="AM480" s="1942"/>
      <c r="AN480" s="1942"/>
      <c r="AO480" s="1942"/>
      <c r="AP480" s="1942"/>
      <c r="AQ480" s="1942"/>
      <c r="AR480" s="1942"/>
      <c r="AS480" s="1942"/>
      <c r="AT480" s="1942"/>
      <c r="AU480" s="1942"/>
      <c r="AV480" s="1942"/>
      <c r="AW480" s="1942"/>
      <c r="AX480" s="1942"/>
      <c r="AY480" s="1942"/>
      <c r="AZ480" s="1942"/>
      <c r="BA480" s="1942"/>
      <c r="BB480" s="575"/>
      <c r="BC480" s="584"/>
      <c r="BD480" s="678"/>
      <c r="BE480" s="585"/>
    </row>
    <row r="481" spans="1:57" s="51" customFormat="1" hidden="1" outlineLevel="1" x14ac:dyDescent="0.25">
      <c r="A481" s="1267"/>
      <c r="B481" s="228"/>
      <c r="C481" s="328"/>
      <c r="D481" s="4006"/>
      <c r="E481" s="4010"/>
      <c r="F481" s="3385" t="str">
        <f t="shared" si="63"/>
        <v>CAC-SEER20_ROF_MF_CompE</v>
      </c>
      <c r="G481" s="3386"/>
      <c r="H481" s="3387"/>
      <c r="I481" s="3155" t="str">
        <f t="shared" si="64"/>
        <v>351185_2021_12_</v>
      </c>
      <c r="J481" s="2282">
        <v>20</v>
      </c>
      <c r="K481" s="2670"/>
      <c r="L481" s="2563"/>
      <c r="M481" s="328"/>
      <c r="N481" s="1544"/>
      <c r="O481" s="328"/>
      <c r="P481" s="123"/>
      <c r="Q481" s="123"/>
      <c r="R481" s="123"/>
      <c r="S481" s="123"/>
      <c r="T481" s="123"/>
      <c r="U481" s="123"/>
      <c r="V481" s="4005"/>
      <c r="W481" s="2857"/>
      <c r="X481" s="703"/>
      <c r="Y481" s="702"/>
      <c r="Z481" s="3155">
        <v>20</v>
      </c>
      <c r="AA481" s="702">
        <v>20</v>
      </c>
      <c r="AB481" s="2227">
        <v>20</v>
      </c>
      <c r="AC481" s="2282">
        <v>20</v>
      </c>
      <c r="AD481" s="2857"/>
      <c r="AE481" s="2857"/>
      <c r="AF481" s="2857"/>
      <c r="AG481" s="2857"/>
      <c r="AH481" s="1942"/>
      <c r="AI481" s="1942"/>
      <c r="AJ481" s="1942"/>
      <c r="AK481" s="1942"/>
      <c r="AL481" s="1942"/>
      <c r="AM481" s="1942"/>
      <c r="AN481" s="1942"/>
      <c r="AO481" s="1942"/>
      <c r="AP481" s="1942"/>
      <c r="AQ481" s="1942"/>
      <c r="AR481" s="1942"/>
      <c r="AS481" s="1942"/>
      <c r="AT481" s="1942"/>
      <c r="AU481" s="1942"/>
      <c r="AV481" s="1942"/>
      <c r="AW481" s="1942"/>
      <c r="AX481" s="1942"/>
      <c r="AY481" s="1942"/>
      <c r="AZ481" s="1942"/>
      <c r="BA481" s="1942"/>
      <c r="BB481" s="575"/>
      <c r="BC481" s="584"/>
      <c r="BD481" s="678"/>
      <c r="BE481" s="585"/>
    </row>
    <row r="482" spans="1:57" s="51" customFormat="1" hidden="1" outlineLevel="1" x14ac:dyDescent="0.25">
      <c r="A482" s="1267"/>
      <c r="B482" s="228"/>
      <c r="C482" s="328"/>
      <c r="D482" s="4006"/>
      <c r="E482" s="4010"/>
      <c r="F482" s="3385" t="str">
        <f t="shared" si="63"/>
        <v>CAC-SEER21+_ER1_SF</v>
      </c>
      <c r="G482" s="3386"/>
      <c r="H482" s="3387"/>
      <c r="I482" s="3155" t="str">
        <f t="shared" si="64"/>
        <v>351190_2021_12_</v>
      </c>
      <c r="J482" s="2228">
        <v>21.873376623376622</v>
      </c>
      <c r="K482" s="2670"/>
      <c r="L482" s="2723" t="s">
        <v>1008</v>
      </c>
      <c r="M482" s="328"/>
      <c r="N482" s="1544"/>
      <c r="O482" s="328"/>
      <c r="P482" s="123"/>
      <c r="Q482" s="123"/>
      <c r="R482" s="123"/>
      <c r="S482" s="123"/>
      <c r="T482" s="123"/>
      <c r="U482" s="123"/>
      <c r="V482" s="4005"/>
      <c r="W482" s="2857"/>
      <c r="X482" s="702"/>
      <c r="Y482" s="702"/>
      <c r="Z482" s="3155">
        <v>21</v>
      </c>
      <c r="AA482" s="702">
        <v>21</v>
      </c>
      <c r="AB482" s="2227">
        <v>21</v>
      </c>
      <c r="AC482" s="2228">
        <v>21.873376623376622</v>
      </c>
      <c r="AD482" s="2857"/>
      <c r="AE482" s="2857"/>
      <c r="AF482" s="2857"/>
      <c r="AG482" s="2857"/>
      <c r="AH482" s="1942"/>
      <c r="AI482" s="1942"/>
      <c r="AJ482" s="1942"/>
      <c r="AK482" s="1942"/>
      <c r="AL482" s="1942"/>
      <c r="AM482" s="1942"/>
      <c r="AN482" s="1942"/>
      <c r="AO482" s="1942"/>
      <c r="AP482" s="1942"/>
      <c r="AQ482" s="1942"/>
      <c r="AR482" s="1942"/>
      <c r="AS482" s="1942"/>
      <c r="AT482" s="1942"/>
      <c r="AU482" s="1942"/>
      <c r="AV482" s="1942"/>
      <c r="AW482" s="1942"/>
      <c r="AX482" s="1942"/>
      <c r="AY482" s="1942"/>
      <c r="AZ482" s="1942"/>
      <c r="BA482" s="1942"/>
      <c r="BB482" s="575"/>
      <c r="BC482" s="584"/>
      <c r="BD482" s="678"/>
      <c r="BE482" s="585"/>
    </row>
    <row r="483" spans="1:57" s="51" customFormat="1" ht="14.45" hidden="1" customHeight="1" outlineLevel="1" x14ac:dyDescent="0.25">
      <c r="A483" s="1267"/>
      <c r="B483" s="228"/>
      <c r="C483" s="328"/>
      <c r="D483" s="4006"/>
      <c r="E483" s="4010"/>
      <c r="F483" s="3385" t="str">
        <f t="shared" si="63"/>
        <v>CAC-SEER21+_ER2_SF</v>
      </c>
      <c r="G483" s="3386"/>
      <c r="H483" s="3387"/>
      <c r="I483" s="3155" t="str">
        <f t="shared" si="64"/>
        <v>351190_2021_12_</v>
      </c>
      <c r="J483" s="2228">
        <f>J482</f>
        <v>21.873376623376622</v>
      </c>
      <c r="K483" s="2670"/>
      <c r="L483" s="2723" t="s">
        <v>1008</v>
      </c>
      <c r="M483" s="328"/>
      <c r="N483" s="1544"/>
      <c r="O483" s="328"/>
      <c r="P483" s="123"/>
      <c r="Q483" s="123"/>
      <c r="R483" s="123"/>
      <c r="S483" s="123"/>
      <c r="T483" s="123"/>
      <c r="U483" s="123"/>
      <c r="V483" s="4005"/>
      <c r="W483" s="2857"/>
      <c r="X483" s="702"/>
      <c r="Y483" s="702"/>
      <c r="Z483" s="3155">
        <v>21</v>
      </c>
      <c r="AA483" s="702">
        <v>21</v>
      </c>
      <c r="AB483" s="2227">
        <v>21</v>
      </c>
      <c r="AC483" s="2228">
        <v>21.873376623376622</v>
      </c>
      <c r="AD483" s="2857"/>
      <c r="AE483" s="2857"/>
      <c r="AF483" s="2857"/>
      <c r="AG483" s="2857"/>
      <c r="AH483" s="1942"/>
      <c r="AI483" s="1942"/>
      <c r="AJ483" s="1942"/>
      <c r="AK483" s="1942"/>
      <c r="AL483" s="1942"/>
      <c r="AM483" s="1942"/>
      <c r="AN483" s="1942"/>
      <c r="AO483" s="1942"/>
      <c r="AP483" s="1942"/>
      <c r="AQ483" s="1942"/>
      <c r="AR483" s="1942"/>
      <c r="AS483" s="1942"/>
      <c r="AT483" s="1942"/>
      <c r="AU483" s="1942"/>
      <c r="AV483" s="1942"/>
      <c r="AW483" s="1942"/>
      <c r="AX483" s="1942"/>
      <c r="AY483" s="1942"/>
      <c r="AZ483" s="1942"/>
      <c r="BA483" s="1942"/>
      <c r="BB483" s="575"/>
      <c r="BC483" s="584"/>
      <c r="BD483" s="678"/>
      <c r="BE483" s="585"/>
    </row>
    <row r="484" spans="1:57" s="51" customFormat="1" ht="14.45" hidden="1" customHeight="1" outlineLevel="1" x14ac:dyDescent="0.25">
      <c r="A484" s="1267"/>
      <c r="B484" s="228"/>
      <c r="C484" s="328"/>
      <c r="D484" s="4006"/>
      <c r="E484" s="4010"/>
      <c r="F484" s="3385" t="str">
        <f t="shared" si="63"/>
        <v>CAC-SEER21+_ROF_SF</v>
      </c>
      <c r="G484" s="3386"/>
      <c r="H484" s="3387"/>
      <c r="I484" s="3155" t="str">
        <f t="shared" si="64"/>
        <v>351191_2021_12_</v>
      </c>
      <c r="J484" s="2228">
        <v>21.714285714285715</v>
      </c>
      <c r="K484" s="2670"/>
      <c r="L484" s="2723" t="s">
        <v>1008</v>
      </c>
      <c r="M484" s="328"/>
      <c r="N484" s="1544"/>
      <c r="O484" s="328"/>
      <c r="P484" s="123"/>
      <c r="Q484" s="123"/>
      <c r="R484" s="123"/>
      <c r="S484" s="123"/>
      <c r="T484" s="123"/>
      <c r="U484" s="123"/>
      <c r="V484" s="4005"/>
      <c r="W484" s="2857"/>
      <c r="X484" s="702"/>
      <c r="Y484" s="702"/>
      <c r="Z484" s="3155">
        <v>21</v>
      </c>
      <c r="AA484" s="702">
        <v>21</v>
      </c>
      <c r="AB484" s="2227">
        <v>21</v>
      </c>
      <c r="AC484" s="2228">
        <v>21.714285714285715</v>
      </c>
      <c r="AD484" s="2857"/>
      <c r="AE484" s="2857"/>
      <c r="AF484" s="2857"/>
      <c r="AG484" s="2857"/>
      <c r="AH484" s="1942"/>
      <c r="AI484" s="1942"/>
      <c r="AJ484" s="1942"/>
      <c r="AK484" s="1942"/>
      <c r="AL484" s="1942"/>
      <c r="AM484" s="1942"/>
      <c r="AN484" s="1942"/>
      <c r="AO484" s="1942"/>
      <c r="AP484" s="1942"/>
      <c r="AQ484" s="1942"/>
      <c r="AR484" s="1942"/>
      <c r="AS484" s="1942"/>
      <c r="AT484" s="1942"/>
      <c r="AU484" s="1942"/>
      <c r="AV484" s="1942"/>
      <c r="AW484" s="1942"/>
      <c r="AX484" s="1942"/>
      <c r="AY484" s="1942"/>
      <c r="AZ484" s="1942"/>
      <c r="BA484" s="1942"/>
      <c r="BB484" s="575"/>
      <c r="BC484" s="584"/>
      <c r="BD484" s="678"/>
      <c r="BE484" s="585"/>
    </row>
    <row r="485" spans="1:57" s="51" customFormat="1" ht="14.45" hidden="1" customHeight="1" outlineLevel="1" x14ac:dyDescent="0.25">
      <c r="A485" s="1267"/>
      <c r="B485" s="228"/>
      <c r="C485" s="328"/>
      <c r="D485" s="4006"/>
      <c r="E485" s="4010"/>
      <c r="F485" s="3385" t="str">
        <f t="shared" si="63"/>
        <v>CAC-SEER21+_ER1_MF</v>
      </c>
      <c r="G485" s="3386"/>
      <c r="H485" s="3387"/>
      <c r="I485" s="3155" t="str">
        <f t="shared" si="64"/>
        <v>351192_2021_12_</v>
      </c>
      <c r="J485" s="2282">
        <v>21</v>
      </c>
      <c r="K485" s="2670"/>
      <c r="L485" s="2563"/>
      <c r="M485" s="328"/>
      <c r="N485" s="1544"/>
      <c r="O485" s="328"/>
      <c r="P485" s="123"/>
      <c r="Q485" s="123"/>
      <c r="R485" s="123"/>
      <c r="S485" s="123"/>
      <c r="T485" s="123"/>
      <c r="U485" s="123"/>
      <c r="V485" s="4005"/>
      <c r="W485" s="2857"/>
      <c r="X485" s="702"/>
      <c r="Y485" s="702"/>
      <c r="Z485" s="3155">
        <v>21</v>
      </c>
      <c r="AA485" s="702">
        <v>21</v>
      </c>
      <c r="AB485" s="2227">
        <v>21</v>
      </c>
      <c r="AC485" s="2282">
        <v>21</v>
      </c>
      <c r="AD485" s="2857"/>
      <c r="AE485" s="2857"/>
      <c r="AF485" s="2857"/>
      <c r="AG485" s="2857"/>
      <c r="AH485" s="1942"/>
      <c r="AI485" s="1942"/>
      <c r="AJ485" s="1942"/>
      <c r="AK485" s="1942"/>
      <c r="AL485" s="1942"/>
      <c r="AM485" s="1942"/>
      <c r="AN485" s="1942"/>
      <c r="AO485" s="1942"/>
      <c r="AP485" s="1942"/>
      <c r="AQ485" s="1942"/>
      <c r="AR485" s="1942"/>
      <c r="AS485" s="1942"/>
      <c r="AT485" s="1942"/>
      <c r="AU485" s="1942"/>
      <c r="AV485" s="1942"/>
      <c r="AW485" s="1942"/>
      <c r="AX485" s="1942"/>
      <c r="AY485" s="1942"/>
      <c r="AZ485" s="1942"/>
      <c r="BA485" s="1942"/>
      <c r="BB485" s="575"/>
      <c r="BC485" s="584"/>
      <c r="BD485" s="678"/>
      <c r="BE485" s="585"/>
    </row>
    <row r="486" spans="1:57" s="51" customFormat="1" ht="14.45" hidden="1" customHeight="1" outlineLevel="1" x14ac:dyDescent="0.25">
      <c r="A486" s="1267"/>
      <c r="B486" s="228"/>
      <c r="C486" s="328"/>
      <c r="D486" s="4006"/>
      <c r="E486" s="4010"/>
      <c r="F486" s="3385" t="str">
        <f t="shared" si="63"/>
        <v>CAC-SEER21+_ER2_MF</v>
      </c>
      <c r="G486" s="3386"/>
      <c r="H486" s="3387"/>
      <c r="I486" s="3155" t="str">
        <f t="shared" si="64"/>
        <v>351192_2021_12_</v>
      </c>
      <c r="J486" s="2282">
        <v>21</v>
      </c>
      <c r="K486" s="2670"/>
      <c r="L486" s="2563"/>
      <c r="M486" s="328"/>
      <c r="N486" s="1544"/>
      <c r="O486" s="328"/>
      <c r="P486" s="123"/>
      <c r="Q486" s="123"/>
      <c r="R486" s="123"/>
      <c r="S486" s="123"/>
      <c r="T486" s="123"/>
      <c r="U486" s="123"/>
      <c r="V486" s="4005"/>
      <c r="W486" s="2857"/>
      <c r="X486" s="702"/>
      <c r="Y486" s="702"/>
      <c r="Z486" s="3155">
        <v>21</v>
      </c>
      <c r="AA486" s="702">
        <v>21</v>
      </c>
      <c r="AB486" s="2227">
        <v>21</v>
      </c>
      <c r="AC486" s="2282">
        <v>21</v>
      </c>
      <c r="AD486" s="2857"/>
      <c r="AE486" s="2857"/>
      <c r="AF486" s="2857"/>
      <c r="AG486" s="2857"/>
      <c r="AH486" s="1942"/>
      <c r="AI486" s="1942"/>
      <c r="AJ486" s="1942"/>
      <c r="AK486" s="1942"/>
      <c r="AL486" s="1942"/>
      <c r="AM486" s="1942"/>
      <c r="AN486" s="1942"/>
      <c r="AO486" s="1942"/>
      <c r="AP486" s="1942"/>
      <c r="AQ486" s="1942"/>
      <c r="AR486" s="1942"/>
      <c r="AS486" s="1942"/>
      <c r="AT486" s="1942"/>
      <c r="AU486" s="1942"/>
      <c r="AV486" s="1942"/>
      <c r="AW486" s="1942"/>
      <c r="AX486" s="1942"/>
      <c r="AY486" s="1942"/>
      <c r="AZ486" s="1942"/>
      <c r="BA486" s="1942"/>
      <c r="BB486" s="575"/>
      <c r="BC486" s="584"/>
      <c r="BD486" s="678"/>
      <c r="BE486" s="585"/>
    </row>
    <row r="487" spans="1:57" s="51" customFormat="1" ht="14.45" hidden="1" customHeight="1" outlineLevel="1" x14ac:dyDescent="0.25">
      <c r="A487" s="1267"/>
      <c r="B487" s="228"/>
      <c r="C487" s="328"/>
      <c r="D487" s="4006"/>
      <c r="E487" s="4010"/>
      <c r="F487" s="3385" t="str">
        <f t="shared" si="63"/>
        <v>CAC-SEER21+_ER1_MF_CompE</v>
      </c>
      <c r="G487" s="3386"/>
      <c r="H487" s="3387"/>
      <c r="I487" s="692" t="str">
        <f t="shared" si="64"/>
        <v>351193_2021_12_</v>
      </c>
      <c r="J487" s="2282">
        <v>21</v>
      </c>
      <c r="K487" s="2565"/>
      <c r="L487" s="2566"/>
      <c r="M487" s="328"/>
      <c r="N487" s="1544"/>
      <c r="O487" s="328"/>
      <c r="P487" s="123"/>
      <c r="Q487" s="123"/>
      <c r="R487" s="123"/>
      <c r="S487" s="123"/>
      <c r="T487" s="123"/>
      <c r="U487" s="123"/>
      <c r="V487" s="4005"/>
      <c r="W487" s="693"/>
      <c r="X487" s="704"/>
      <c r="Y487" s="704"/>
      <c r="Z487" s="692">
        <v>21</v>
      </c>
      <c r="AA487" s="704">
        <v>21</v>
      </c>
      <c r="AB487" s="2227">
        <v>21</v>
      </c>
      <c r="AC487" s="2282">
        <v>21</v>
      </c>
      <c r="AD487" s="693"/>
      <c r="AE487" s="693"/>
      <c r="AF487" s="693"/>
      <c r="AG487" s="693"/>
      <c r="AH487" s="1942"/>
      <c r="AI487" s="1942"/>
      <c r="AJ487" s="1942"/>
      <c r="AK487" s="1942"/>
      <c r="AL487" s="1942"/>
      <c r="AM487" s="1942"/>
      <c r="AN487" s="1942"/>
      <c r="AO487" s="1942"/>
      <c r="AP487" s="1942"/>
      <c r="AQ487" s="1942"/>
      <c r="AR487" s="1942"/>
      <c r="AS487" s="1942"/>
      <c r="AT487" s="1942"/>
      <c r="AU487" s="1942"/>
      <c r="AV487" s="1942"/>
      <c r="AW487" s="1942"/>
      <c r="AX487" s="1942"/>
      <c r="AY487" s="1942"/>
      <c r="AZ487" s="1942"/>
      <c r="BA487" s="1942"/>
      <c r="BB487" s="575"/>
      <c r="BC487" s="584"/>
      <c r="BD487" s="678"/>
      <c r="BE487" s="585"/>
    </row>
    <row r="488" spans="1:57" s="51" customFormat="1" ht="14.45" hidden="1" customHeight="1" outlineLevel="1" x14ac:dyDescent="0.25">
      <c r="A488" s="1267"/>
      <c r="B488" s="228"/>
      <c r="C488" s="328"/>
      <c r="D488" s="4006"/>
      <c r="E488" s="4010"/>
      <c r="F488" s="3385" t="str">
        <f t="shared" si="63"/>
        <v>CAC-SEER21+_ER2_MF_CompE</v>
      </c>
      <c r="G488" s="3386"/>
      <c r="H488" s="3387"/>
      <c r="I488" s="692" t="str">
        <f t="shared" si="64"/>
        <v>351193_2021_12_</v>
      </c>
      <c r="J488" s="2282">
        <v>21</v>
      </c>
      <c r="K488" s="2565"/>
      <c r="L488" s="2566"/>
      <c r="M488" s="328"/>
      <c r="N488" s="1544"/>
      <c r="O488" s="328"/>
      <c r="P488" s="123"/>
      <c r="Q488" s="123"/>
      <c r="R488" s="123"/>
      <c r="S488" s="123"/>
      <c r="T488" s="123"/>
      <c r="U488" s="123"/>
      <c r="V488" s="4005"/>
      <c r="W488" s="693"/>
      <c r="X488" s="704"/>
      <c r="Y488" s="704"/>
      <c r="Z488" s="692">
        <v>21</v>
      </c>
      <c r="AA488" s="704">
        <v>21</v>
      </c>
      <c r="AB488" s="2227">
        <v>21</v>
      </c>
      <c r="AC488" s="2282">
        <v>21</v>
      </c>
      <c r="AD488" s="693"/>
      <c r="AE488" s="693"/>
      <c r="AF488" s="693"/>
      <c r="AG488" s="693"/>
      <c r="AH488" s="1942"/>
      <c r="AI488" s="1942"/>
      <c r="AJ488" s="1942"/>
      <c r="AK488" s="1942"/>
      <c r="AL488" s="1942"/>
      <c r="AM488" s="1942"/>
      <c r="AN488" s="1942"/>
      <c r="AO488" s="1942"/>
      <c r="AP488" s="1942"/>
      <c r="AQ488" s="1942"/>
      <c r="AR488" s="1942"/>
      <c r="AS488" s="1942"/>
      <c r="AT488" s="1942"/>
      <c r="AU488" s="1942"/>
      <c r="AV488" s="1942"/>
      <c r="AW488" s="1942"/>
      <c r="AX488" s="1942"/>
      <c r="AY488" s="1942"/>
      <c r="AZ488" s="1942"/>
      <c r="BA488" s="1942"/>
      <c r="BB488" s="575"/>
      <c r="BC488" s="584"/>
      <c r="BD488" s="678"/>
      <c r="BE488" s="585"/>
    </row>
    <row r="489" spans="1:57" s="51" customFormat="1" ht="15" hidden="1" customHeight="1" outlineLevel="1" x14ac:dyDescent="0.25">
      <c r="A489" s="1267"/>
      <c r="B489" s="228"/>
      <c r="C489" s="328"/>
      <c r="D489" s="4006"/>
      <c r="E489" s="4010"/>
      <c r="F489" s="3385" t="str">
        <f t="shared" si="63"/>
        <v>CAC-SEER21+_ROF_MF</v>
      </c>
      <c r="G489" s="3386"/>
      <c r="H489" s="3387"/>
      <c r="I489" s="3155" t="str">
        <f t="shared" si="64"/>
        <v>351194_2021_12_</v>
      </c>
      <c r="J489" s="2282">
        <v>21</v>
      </c>
      <c r="K489" s="2670"/>
      <c r="L489" s="2563"/>
      <c r="M489" s="328"/>
      <c r="N489" s="1544"/>
      <c r="O489" s="328"/>
      <c r="P489" s="123"/>
      <c r="Q489" s="123"/>
      <c r="R489" s="123"/>
      <c r="S489" s="123"/>
      <c r="T489" s="123"/>
      <c r="U489" s="123"/>
      <c r="V489" s="4005"/>
      <c r="W489" s="2857"/>
      <c r="X489" s="702"/>
      <c r="Y489" s="702"/>
      <c r="Z489" s="3155">
        <v>21</v>
      </c>
      <c r="AA489" s="702">
        <v>21</v>
      </c>
      <c r="AB489" s="2227">
        <v>21</v>
      </c>
      <c r="AC489" s="2282">
        <v>21</v>
      </c>
      <c r="AD489" s="2857"/>
      <c r="AE489" s="2857"/>
      <c r="AF489" s="2857"/>
      <c r="AG489" s="2857"/>
      <c r="AH489" s="1942"/>
      <c r="AI489" s="1942"/>
      <c r="AJ489" s="1942"/>
      <c r="AK489" s="1942"/>
      <c r="AL489" s="1942"/>
      <c r="AM489" s="1942"/>
      <c r="AN489" s="1942"/>
      <c r="AO489" s="1942"/>
      <c r="AP489" s="1942"/>
      <c r="AQ489" s="1942"/>
      <c r="AR489" s="1942"/>
      <c r="AS489" s="1942"/>
      <c r="AT489" s="1942"/>
      <c r="AU489" s="1942"/>
      <c r="AV489" s="1942"/>
      <c r="AW489" s="1942"/>
      <c r="AX489" s="1942"/>
      <c r="AY489" s="1942"/>
      <c r="AZ489" s="1942"/>
      <c r="BA489" s="1942"/>
      <c r="BB489" s="575"/>
      <c r="BC489" s="584"/>
      <c r="BD489" s="678"/>
      <c r="BE489" s="585"/>
    </row>
    <row r="490" spans="1:57" s="51" customFormat="1" ht="15" hidden="1" customHeight="1" outlineLevel="1" thickBot="1" x14ac:dyDescent="0.3">
      <c r="A490" s="1267"/>
      <c r="B490" s="228"/>
      <c r="C490" s="328"/>
      <c r="D490" s="4007"/>
      <c r="E490" s="4011"/>
      <c r="F490" s="3385" t="str">
        <f t="shared" si="63"/>
        <v>CAC-SEER21+_ROF_MF_CompE</v>
      </c>
      <c r="G490" s="3386"/>
      <c r="H490" s="3387"/>
      <c r="I490" s="694" t="str">
        <f t="shared" si="64"/>
        <v>351195_2021_12_</v>
      </c>
      <c r="J490" s="2282">
        <v>21</v>
      </c>
      <c r="K490" s="2567"/>
      <c r="L490" s="2568"/>
      <c r="M490" s="328"/>
      <c r="N490" s="1544"/>
      <c r="O490" s="328"/>
      <c r="P490" s="123"/>
      <c r="Q490" s="123"/>
      <c r="R490" s="123"/>
      <c r="S490" s="123"/>
      <c r="T490" s="123"/>
      <c r="U490" s="123"/>
      <c r="V490" s="4035"/>
      <c r="W490" s="695"/>
      <c r="X490" s="705"/>
      <c r="Y490" s="705"/>
      <c r="Z490" s="694">
        <v>21</v>
      </c>
      <c r="AA490" s="705">
        <v>21</v>
      </c>
      <c r="AB490" s="2227">
        <v>21</v>
      </c>
      <c r="AC490" s="2282">
        <v>21</v>
      </c>
      <c r="AD490" s="695"/>
      <c r="AE490" s="695"/>
      <c r="AF490" s="695"/>
      <c r="AG490" s="695"/>
      <c r="AH490" s="1942"/>
      <c r="AI490" s="1942"/>
      <c r="AJ490" s="1942"/>
      <c r="AK490" s="1942"/>
      <c r="AL490" s="1942"/>
      <c r="AM490" s="1942"/>
      <c r="AN490" s="1942"/>
      <c r="AO490" s="1942"/>
      <c r="AP490" s="1942"/>
      <c r="AQ490" s="1942"/>
      <c r="AR490" s="1942"/>
      <c r="AS490" s="1942"/>
      <c r="AT490" s="1942"/>
      <c r="AU490" s="1942"/>
      <c r="AV490" s="1942"/>
      <c r="AW490" s="1942"/>
      <c r="AX490" s="1942"/>
      <c r="AY490" s="1942"/>
      <c r="AZ490" s="1942"/>
      <c r="BA490" s="1942"/>
      <c r="BB490" s="575"/>
      <c r="BC490" s="584"/>
      <c r="BD490" s="678"/>
      <c r="BE490" s="585"/>
    </row>
    <row r="491" spans="1:57" s="51" customFormat="1" ht="14.45" hidden="1" customHeight="1" outlineLevel="1" x14ac:dyDescent="0.25">
      <c r="A491" s="1267"/>
      <c r="B491" s="228"/>
      <c r="C491" s="328"/>
      <c r="D491" s="3989" t="s">
        <v>1015</v>
      </c>
      <c r="E491" s="4008" t="s">
        <v>1016</v>
      </c>
      <c r="F491" s="3388" t="str">
        <f t="shared" si="63"/>
        <v>CAC-SEER14_ER1_SF</v>
      </c>
      <c r="G491" s="3389"/>
      <c r="H491" s="3390"/>
      <c r="I491" s="3157" t="str">
        <f t="shared" si="64"/>
        <v>350400_2021_12_</v>
      </c>
      <c r="J491" s="2560">
        <v>8.33</v>
      </c>
      <c r="K491" s="2116"/>
      <c r="L491" s="2569" t="s">
        <v>838</v>
      </c>
      <c r="M491" s="328"/>
      <c r="N491" s="1544"/>
      <c r="O491" s="328"/>
      <c r="P491" s="123"/>
      <c r="Q491" s="123"/>
      <c r="R491" s="123"/>
      <c r="S491" s="123"/>
      <c r="T491" s="123"/>
      <c r="U491" s="123"/>
      <c r="V491" s="3989" t="str">
        <f>D491</f>
        <v>SEERexist</v>
      </c>
      <c r="W491" s="2861">
        <v>8.1999999999999993</v>
      </c>
      <c r="X491" s="3157">
        <v>8.33</v>
      </c>
      <c r="Y491" s="2861">
        <v>8.33</v>
      </c>
      <c r="Z491" s="2861">
        <v>8.33</v>
      </c>
      <c r="AA491" s="2861">
        <v>8.33</v>
      </c>
      <c r="AB491" s="2226">
        <v>8.33</v>
      </c>
      <c r="AC491" s="2560">
        <v>8.33</v>
      </c>
      <c r="AD491" s="2861"/>
      <c r="AE491" s="2861"/>
      <c r="AF491" s="2861"/>
      <c r="AG491" s="2861"/>
      <c r="AH491" s="1942"/>
      <c r="AI491" s="1942"/>
      <c r="AJ491" s="1942"/>
      <c r="AK491" s="1942"/>
      <c r="AL491" s="1942"/>
      <c r="AM491" s="1942"/>
      <c r="AN491" s="1942"/>
      <c r="AO491" s="1942"/>
      <c r="AP491" s="1942"/>
      <c r="AQ491" s="1942"/>
      <c r="AR491" s="1942"/>
      <c r="AS491" s="1942"/>
      <c r="AT491" s="1942"/>
      <c r="AU491" s="1942"/>
      <c r="AV491" s="1942"/>
      <c r="AW491" s="1942"/>
      <c r="AX491" s="1942"/>
      <c r="AY491" s="1942"/>
      <c r="AZ491" s="1942"/>
      <c r="BA491" s="1942"/>
      <c r="BB491" s="575"/>
      <c r="BC491" s="584"/>
      <c r="BD491" s="678"/>
      <c r="BE491" s="585"/>
    </row>
    <row r="492" spans="1:57" s="51" customFormat="1" ht="14.45" hidden="1" customHeight="1" outlineLevel="1" x14ac:dyDescent="0.25">
      <c r="A492" s="1267"/>
      <c r="B492" s="228"/>
      <c r="C492" s="328"/>
      <c r="D492" s="3990"/>
      <c r="E492" s="4009"/>
      <c r="F492" s="3391" t="str">
        <f t="shared" si="63"/>
        <v>CAC-SEER14_ER2_SF</v>
      </c>
      <c r="G492" s="3392"/>
      <c r="H492" s="3393"/>
      <c r="I492" s="3155" t="str">
        <f t="shared" si="64"/>
        <v>350400_2021_12_</v>
      </c>
      <c r="J492" s="2282"/>
      <c r="K492" s="129"/>
      <c r="L492" s="2974" t="s">
        <v>838</v>
      </c>
      <c r="M492" s="328"/>
      <c r="N492" s="1544"/>
      <c r="O492" s="328"/>
      <c r="P492" s="123"/>
      <c r="Q492" s="123"/>
      <c r="R492" s="123"/>
      <c r="S492" s="123"/>
      <c r="T492" s="123"/>
      <c r="U492" s="123"/>
      <c r="V492" s="3990"/>
      <c r="W492" s="2857"/>
      <c r="X492" s="2857"/>
      <c r="Y492" s="2857"/>
      <c r="Z492" s="2857"/>
      <c r="AA492" s="2857"/>
      <c r="AB492" s="2227"/>
      <c r="AC492" s="2282"/>
      <c r="AD492" s="2857"/>
      <c r="AE492" s="2857"/>
      <c r="AF492" s="2857"/>
      <c r="AG492" s="2857"/>
      <c r="AH492" s="1942"/>
      <c r="AI492" s="1942"/>
      <c r="AJ492" s="1942"/>
      <c r="AK492" s="1942"/>
      <c r="AL492" s="1942"/>
      <c r="AM492" s="1942"/>
      <c r="AN492" s="1942"/>
      <c r="AO492" s="1942"/>
      <c r="AP492" s="1942"/>
      <c r="AQ492" s="1942"/>
      <c r="AR492" s="1942"/>
      <c r="AS492" s="1942"/>
      <c r="AT492" s="1942"/>
      <c r="AU492" s="1942"/>
      <c r="AV492" s="1942"/>
      <c r="AW492" s="1942"/>
      <c r="AX492" s="1942"/>
      <c r="AY492" s="1942"/>
      <c r="AZ492" s="1942"/>
      <c r="BA492" s="1942"/>
      <c r="BB492" s="575"/>
      <c r="BC492" s="584"/>
      <c r="BD492" s="678"/>
      <c r="BE492" s="585"/>
    </row>
    <row r="493" spans="1:57" s="51" customFormat="1" ht="14.45" hidden="1" customHeight="1" outlineLevel="1" x14ac:dyDescent="0.25">
      <c r="A493" s="1267"/>
      <c r="B493" s="228"/>
      <c r="C493" s="328"/>
      <c r="D493" s="3990"/>
      <c r="E493" s="4009"/>
      <c r="F493" s="3391" t="str">
        <f t="shared" si="63"/>
        <v>CAC-SEER14_ROF_SF</v>
      </c>
      <c r="G493" s="3392"/>
      <c r="H493" s="3393"/>
      <c r="I493" s="3155" t="str">
        <f t="shared" si="64"/>
        <v>350450_2021_12_</v>
      </c>
      <c r="J493" s="2564"/>
      <c r="K493" s="129"/>
      <c r="L493" s="2974" t="s">
        <v>838</v>
      </c>
      <c r="M493" s="328"/>
      <c r="N493" s="1544"/>
      <c r="O493" s="328"/>
      <c r="P493" s="123"/>
      <c r="Q493" s="123"/>
      <c r="R493" s="123"/>
      <c r="S493" s="123"/>
      <c r="T493" s="123"/>
      <c r="U493" s="123"/>
      <c r="V493" s="3990"/>
      <c r="W493" s="2857"/>
      <c r="X493" s="693"/>
      <c r="Y493" s="693"/>
      <c r="Z493" s="693"/>
      <c r="AA493" s="693"/>
      <c r="AB493" s="2229"/>
      <c r="AC493" s="2564"/>
      <c r="AD493" s="2857"/>
      <c r="AE493" s="2857"/>
      <c r="AF493" s="2857"/>
      <c r="AG493" s="2857"/>
      <c r="AH493" s="1942"/>
      <c r="AI493" s="1942"/>
      <c r="AJ493" s="1942"/>
      <c r="AK493" s="1942"/>
      <c r="AL493" s="1942"/>
      <c r="AM493" s="1942"/>
      <c r="AN493" s="1942"/>
      <c r="AO493" s="1942"/>
      <c r="AP493" s="1942"/>
      <c r="AQ493" s="1942"/>
      <c r="AR493" s="1942"/>
      <c r="AS493" s="1942"/>
      <c r="AT493" s="1942"/>
      <c r="AU493" s="1942"/>
      <c r="AV493" s="1942"/>
      <c r="AW493" s="1942"/>
      <c r="AX493" s="1942"/>
      <c r="AY493" s="1942"/>
      <c r="AZ493" s="1942"/>
      <c r="BA493" s="1942"/>
      <c r="BB493" s="575"/>
      <c r="BC493" s="584"/>
      <c r="BD493" s="678"/>
      <c r="BE493" s="585"/>
    </row>
    <row r="494" spans="1:57" s="51" customFormat="1" ht="30" hidden="1" outlineLevel="1" x14ac:dyDescent="0.25">
      <c r="A494" s="1267"/>
      <c r="B494" s="228"/>
      <c r="C494" s="328"/>
      <c r="D494" s="3990"/>
      <c r="E494" s="4009"/>
      <c r="F494" s="3385" t="str">
        <f t="shared" si="63"/>
        <v>CAC-SEER14_ER1_MF</v>
      </c>
      <c r="G494" s="3386"/>
      <c r="H494" s="3387"/>
      <c r="I494" s="3155" t="str">
        <f t="shared" si="64"/>
        <v>350500_2021_12_</v>
      </c>
      <c r="J494" s="2282">
        <v>8.33</v>
      </c>
      <c r="K494" s="129"/>
      <c r="L494" s="2570" t="s">
        <v>838</v>
      </c>
      <c r="M494" s="328"/>
      <c r="N494" s="1544"/>
      <c r="O494" s="328"/>
      <c r="P494" s="123"/>
      <c r="Q494" s="123"/>
      <c r="R494" s="123"/>
      <c r="S494" s="123"/>
      <c r="T494" s="123"/>
      <c r="U494" s="123"/>
      <c r="V494" s="3990"/>
      <c r="W494" s="2857">
        <v>8.1999999999999993</v>
      </c>
      <c r="X494" s="3155">
        <v>8.33</v>
      </c>
      <c r="Y494" s="2857">
        <v>8.33</v>
      </c>
      <c r="Z494" s="2857">
        <v>8.33</v>
      </c>
      <c r="AA494" s="2857">
        <v>8.33</v>
      </c>
      <c r="AB494" s="2227">
        <v>8.33</v>
      </c>
      <c r="AC494" s="2282">
        <v>8.33</v>
      </c>
      <c r="AD494" s="2857"/>
      <c r="AE494" s="2857"/>
      <c r="AF494" s="2857"/>
      <c r="AG494" s="2857"/>
      <c r="AH494" s="1942"/>
      <c r="AI494" s="1942"/>
      <c r="AJ494" s="1942"/>
      <c r="AK494" s="1942"/>
      <c r="AL494" s="1942"/>
      <c r="AM494" s="1942"/>
      <c r="AN494" s="1942"/>
      <c r="AO494" s="1942"/>
      <c r="AP494" s="1942"/>
      <c r="AQ494" s="1942"/>
      <c r="AR494" s="1942"/>
      <c r="AS494" s="1942"/>
      <c r="AT494" s="1942"/>
      <c r="AU494" s="1942"/>
      <c r="AV494" s="1942"/>
      <c r="AW494" s="1942"/>
      <c r="AX494" s="1942"/>
      <c r="AY494" s="1942"/>
      <c r="AZ494" s="1942"/>
      <c r="BA494" s="1942"/>
      <c r="BB494" s="575"/>
      <c r="BC494" s="584"/>
      <c r="BD494" s="678"/>
      <c r="BE494" s="585"/>
    </row>
    <row r="495" spans="1:57" s="51" customFormat="1" ht="30" hidden="1" outlineLevel="1" x14ac:dyDescent="0.25">
      <c r="A495" s="1267"/>
      <c r="B495" s="228"/>
      <c r="C495" s="328"/>
      <c r="D495" s="3990"/>
      <c r="E495" s="4009"/>
      <c r="F495" s="3385" t="str">
        <f t="shared" si="63"/>
        <v>CAC-SEER14_ER2_MF</v>
      </c>
      <c r="G495" s="3386"/>
      <c r="H495" s="3387"/>
      <c r="I495" s="3155" t="str">
        <f t="shared" si="64"/>
        <v>350500_2021_12_</v>
      </c>
      <c r="J495" s="2282"/>
      <c r="K495" s="129"/>
      <c r="L495" s="2974" t="s">
        <v>838</v>
      </c>
      <c r="M495" s="328"/>
      <c r="N495" s="1544"/>
      <c r="O495" s="328"/>
      <c r="P495" s="123"/>
      <c r="Q495" s="123"/>
      <c r="R495" s="123"/>
      <c r="S495" s="123"/>
      <c r="T495" s="123"/>
      <c r="U495" s="123"/>
      <c r="V495" s="3990"/>
      <c r="W495" s="2857"/>
      <c r="X495" s="2857"/>
      <c r="Y495" s="2857"/>
      <c r="Z495" s="2857"/>
      <c r="AA495" s="2857"/>
      <c r="AB495" s="2227"/>
      <c r="AC495" s="2282"/>
      <c r="AD495" s="2857"/>
      <c r="AE495" s="2857"/>
      <c r="AF495" s="2857"/>
      <c r="AG495" s="2857"/>
      <c r="AH495" s="1942"/>
      <c r="AI495" s="1942"/>
      <c r="AJ495" s="1942"/>
      <c r="AK495" s="1942"/>
      <c r="AL495" s="1942"/>
      <c r="AM495" s="1942"/>
      <c r="AN495" s="1942"/>
      <c r="AO495" s="1942"/>
      <c r="AP495" s="1942"/>
      <c r="AQ495" s="1942"/>
      <c r="AR495" s="1942"/>
      <c r="AS495" s="1942"/>
      <c r="AT495" s="1942"/>
      <c r="AU495" s="1942"/>
      <c r="AV495" s="1942"/>
      <c r="AW495" s="1942"/>
      <c r="AX495" s="1942"/>
      <c r="AY495" s="1942"/>
      <c r="AZ495" s="1942"/>
      <c r="BA495" s="1942"/>
      <c r="BB495" s="575"/>
      <c r="BC495" s="584"/>
      <c r="BD495" s="678"/>
      <c r="BE495" s="585"/>
    </row>
    <row r="496" spans="1:57" s="51" customFormat="1" ht="30" hidden="1" outlineLevel="1" x14ac:dyDescent="0.25">
      <c r="A496" s="1267"/>
      <c r="B496" s="228"/>
      <c r="C496" s="328"/>
      <c r="D496" s="3990"/>
      <c r="E496" s="4009"/>
      <c r="F496" s="3385" t="str">
        <f t="shared" si="63"/>
        <v>CAC-SEER14_ER1_MF_CompE</v>
      </c>
      <c r="G496" s="3386"/>
      <c r="H496" s="3387"/>
      <c r="I496" s="3155" t="str">
        <f t="shared" si="64"/>
        <v>350501_2021_12_</v>
      </c>
      <c r="J496" s="2282">
        <v>8.33</v>
      </c>
      <c r="K496" s="129"/>
      <c r="L496" s="2570" t="s">
        <v>838</v>
      </c>
      <c r="M496" s="328"/>
      <c r="N496" s="1544"/>
      <c r="O496" s="328"/>
      <c r="P496" s="123"/>
      <c r="Q496" s="123"/>
      <c r="R496" s="123"/>
      <c r="S496" s="123"/>
      <c r="T496" s="123"/>
      <c r="U496" s="123"/>
      <c r="V496" s="3990"/>
      <c r="W496" s="2857"/>
      <c r="X496" s="2857"/>
      <c r="Y496" s="2857">
        <v>8.33</v>
      </c>
      <c r="Z496" s="2857">
        <v>8.33</v>
      </c>
      <c r="AA496" s="2857">
        <v>8.33</v>
      </c>
      <c r="AB496" s="2227">
        <v>8.33</v>
      </c>
      <c r="AC496" s="2282">
        <v>8.33</v>
      </c>
      <c r="AD496" s="2857"/>
      <c r="AE496" s="2857"/>
      <c r="AF496" s="2857"/>
      <c r="AG496" s="2857"/>
      <c r="AH496" s="1942"/>
      <c r="AI496" s="1942"/>
      <c r="AJ496" s="1942"/>
      <c r="AK496" s="1942"/>
      <c r="AL496" s="1942"/>
      <c r="AM496" s="1942"/>
      <c r="AN496" s="1942"/>
      <c r="AO496" s="1942"/>
      <c r="AP496" s="1942"/>
      <c r="AQ496" s="1942"/>
      <c r="AR496" s="1942"/>
      <c r="AS496" s="1942"/>
      <c r="AT496" s="1942"/>
      <c r="AU496" s="1942"/>
      <c r="AV496" s="1942"/>
      <c r="AW496" s="1942"/>
      <c r="AX496" s="1942"/>
      <c r="AY496" s="1942"/>
      <c r="AZ496" s="1942"/>
      <c r="BA496" s="1942"/>
      <c r="BB496" s="575"/>
      <c r="BC496" s="584"/>
      <c r="BD496" s="678"/>
      <c r="BE496" s="585"/>
    </row>
    <row r="497" spans="1:57" s="51" customFormat="1" ht="30" hidden="1" outlineLevel="1" x14ac:dyDescent="0.25">
      <c r="A497" s="1267"/>
      <c r="B497" s="228"/>
      <c r="C497" s="328"/>
      <c r="D497" s="3990"/>
      <c r="E497" s="4009"/>
      <c r="F497" s="3385" t="str">
        <f t="shared" si="63"/>
        <v>CAC-SEER14_ER2_MF_CompE</v>
      </c>
      <c r="G497" s="3386"/>
      <c r="H497" s="3387"/>
      <c r="I497" s="3155" t="str">
        <f t="shared" si="64"/>
        <v>350501_2021_12_</v>
      </c>
      <c r="J497" s="2282"/>
      <c r="K497" s="129"/>
      <c r="L497" s="2974" t="s">
        <v>838</v>
      </c>
      <c r="M497" s="328"/>
      <c r="N497" s="1544"/>
      <c r="O497" s="328"/>
      <c r="P497" s="123"/>
      <c r="Q497" s="123"/>
      <c r="R497" s="123"/>
      <c r="S497" s="123"/>
      <c r="T497" s="123"/>
      <c r="U497" s="123"/>
      <c r="V497" s="3990"/>
      <c r="W497" s="2857"/>
      <c r="X497" s="2857"/>
      <c r="Y497" s="2857"/>
      <c r="Z497" s="2857"/>
      <c r="AA497" s="2857"/>
      <c r="AB497" s="2227"/>
      <c r="AC497" s="2282"/>
      <c r="AD497" s="2857"/>
      <c r="AE497" s="2857"/>
      <c r="AF497" s="2857"/>
      <c r="AG497" s="2857"/>
      <c r="AH497" s="1942"/>
      <c r="AI497" s="1942"/>
      <c r="AJ497" s="1942"/>
      <c r="AK497" s="1942"/>
      <c r="AL497" s="1942"/>
      <c r="AM497" s="1942"/>
      <c r="AN497" s="1942"/>
      <c r="AO497" s="1942"/>
      <c r="AP497" s="1942"/>
      <c r="AQ497" s="1942"/>
      <c r="AR497" s="1942"/>
      <c r="AS497" s="1942"/>
      <c r="AT497" s="1942"/>
      <c r="AU497" s="1942"/>
      <c r="AV497" s="1942"/>
      <c r="AW497" s="1942"/>
      <c r="AX497" s="1942"/>
      <c r="AY497" s="1942"/>
      <c r="AZ497" s="1942"/>
      <c r="BA497" s="1942"/>
      <c r="BB497" s="575"/>
      <c r="BC497" s="584"/>
      <c r="BD497" s="678"/>
      <c r="BE497" s="585"/>
    </row>
    <row r="498" spans="1:57" s="51" customFormat="1" ht="30" hidden="1" outlineLevel="1" x14ac:dyDescent="0.25">
      <c r="A498" s="1267"/>
      <c r="B498" s="228"/>
      <c r="C498" s="328"/>
      <c r="D498" s="3990"/>
      <c r="E498" s="4009"/>
      <c r="F498" s="3385" t="str">
        <f t="shared" si="63"/>
        <v>CAC-SEER14_ROF_MF</v>
      </c>
      <c r="G498" s="3386"/>
      <c r="H498" s="3387"/>
      <c r="I498" s="3155" t="str">
        <f t="shared" si="64"/>
        <v>350550_2021_12_</v>
      </c>
      <c r="J498" s="2282"/>
      <c r="K498" s="129"/>
      <c r="L498" s="2974" t="s">
        <v>838</v>
      </c>
      <c r="M498" s="328"/>
      <c r="N498" s="1544"/>
      <c r="O498" s="328"/>
      <c r="P498" s="123"/>
      <c r="Q498" s="123"/>
      <c r="R498" s="123"/>
      <c r="S498" s="123"/>
      <c r="T498" s="123"/>
      <c r="U498" s="123"/>
      <c r="V498" s="3990"/>
      <c r="W498" s="2857"/>
      <c r="X498" s="2857"/>
      <c r="Y498" s="2857"/>
      <c r="Z498" s="2857"/>
      <c r="AA498" s="2857"/>
      <c r="AB498" s="2227"/>
      <c r="AC498" s="2282"/>
      <c r="AD498" s="2857"/>
      <c r="AE498" s="2857"/>
      <c r="AF498" s="2857"/>
      <c r="AG498" s="2857"/>
      <c r="AH498" s="1942"/>
      <c r="AI498" s="1942"/>
      <c r="AJ498" s="1942"/>
      <c r="AK498" s="1942"/>
      <c r="AL498" s="1942"/>
      <c r="AM498" s="1942"/>
      <c r="AN498" s="1942"/>
      <c r="AO498" s="1942"/>
      <c r="AP498" s="1942"/>
      <c r="AQ498" s="1942"/>
      <c r="AR498" s="1942"/>
      <c r="AS498" s="1942"/>
      <c r="AT498" s="1942"/>
      <c r="AU498" s="1942"/>
      <c r="AV498" s="1942"/>
      <c r="AW498" s="1942"/>
      <c r="AX498" s="1942"/>
      <c r="AY498" s="1942"/>
      <c r="AZ498" s="1942"/>
      <c r="BA498" s="1942"/>
      <c r="BB498" s="575"/>
      <c r="BC498" s="584"/>
      <c r="BD498" s="678"/>
      <c r="BE498" s="585"/>
    </row>
    <row r="499" spans="1:57" s="51" customFormat="1" ht="30" hidden="1" outlineLevel="1" x14ac:dyDescent="0.25">
      <c r="A499" s="1267"/>
      <c r="B499" s="228"/>
      <c r="C499" s="328"/>
      <c r="D499" s="3990"/>
      <c r="E499" s="4009"/>
      <c r="F499" s="3385" t="str">
        <f t="shared" si="63"/>
        <v>CAC-SEER14_ROF_MF_CompE</v>
      </c>
      <c r="G499" s="3386"/>
      <c r="H499" s="3387"/>
      <c r="I499" s="3155" t="str">
        <f t="shared" si="64"/>
        <v>350551_2021_12_</v>
      </c>
      <c r="J499" s="2282"/>
      <c r="K499" s="129"/>
      <c r="L499" s="2974" t="s">
        <v>838</v>
      </c>
      <c r="M499" s="328"/>
      <c r="N499" s="1544"/>
      <c r="O499" s="328"/>
      <c r="P499" s="123"/>
      <c r="Q499" s="123"/>
      <c r="R499" s="123"/>
      <c r="S499" s="123"/>
      <c r="T499" s="123"/>
      <c r="U499" s="123"/>
      <c r="V499" s="3990"/>
      <c r="W499" s="2857"/>
      <c r="X499" s="2857"/>
      <c r="Y499" s="2857"/>
      <c r="Z499" s="2857"/>
      <c r="AA499" s="2857"/>
      <c r="AB499" s="2227"/>
      <c r="AC499" s="2282"/>
      <c r="AD499" s="2857"/>
      <c r="AE499" s="2857"/>
      <c r="AF499" s="2857"/>
      <c r="AG499" s="2857"/>
      <c r="AH499" s="1942"/>
      <c r="AI499" s="1942"/>
      <c r="AJ499" s="1942"/>
      <c r="AK499" s="1942"/>
      <c r="AL499" s="1942"/>
      <c r="AM499" s="1942"/>
      <c r="AN499" s="1942"/>
      <c r="AO499" s="1942"/>
      <c r="AP499" s="1942"/>
      <c r="AQ499" s="1942"/>
      <c r="AR499" s="1942"/>
      <c r="AS499" s="1942"/>
      <c r="AT499" s="1942"/>
      <c r="AU499" s="1942"/>
      <c r="AV499" s="1942"/>
      <c r="AW499" s="1942"/>
      <c r="AX499" s="1942"/>
      <c r="AY499" s="1942"/>
      <c r="AZ499" s="1942"/>
      <c r="BA499" s="1942"/>
      <c r="BB499" s="575"/>
      <c r="BC499" s="584"/>
      <c r="BD499" s="678"/>
      <c r="BE499" s="585"/>
    </row>
    <row r="500" spans="1:57" s="51" customFormat="1" hidden="1" outlineLevel="1" x14ac:dyDescent="0.25">
      <c r="A500" s="1267"/>
      <c r="B500" s="228"/>
      <c r="C500" s="328"/>
      <c r="D500" s="3990"/>
      <c r="E500" s="4009"/>
      <c r="F500" s="3385" t="str">
        <f t="shared" si="63"/>
        <v>CAC-SEER15_ER1_SF</v>
      </c>
      <c r="G500" s="3386"/>
      <c r="H500" s="3387"/>
      <c r="I500" s="3155" t="str">
        <f t="shared" si="64"/>
        <v>350600_2021_12_</v>
      </c>
      <c r="J500" s="2228">
        <v>8.2517061990859339</v>
      </c>
      <c r="K500" s="129"/>
      <c r="L500" s="2723" t="s">
        <v>1005</v>
      </c>
      <c r="M500" s="328"/>
      <c r="N500" s="1544"/>
      <c r="O500" s="328"/>
      <c r="P500" s="123"/>
      <c r="Q500" s="123"/>
      <c r="R500" s="123"/>
      <c r="S500" s="123"/>
      <c r="T500" s="123"/>
      <c r="U500" s="123"/>
      <c r="V500" s="3990"/>
      <c r="W500" s="2857">
        <v>8.1999999999999993</v>
      </c>
      <c r="X500" s="3155">
        <v>8.33</v>
      </c>
      <c r="Y500" s="2857">
        <v>8.33</v>
      </c>
      <c r="Z500" s="2857">
        <v>8.33</v>
      </c>
      <c r="AA500" s="2857">
        <v>8.33</v>
      </c>
      <c r="AB500" s="2228">
        <v>7.5274715869040065</v>
      </c>
      <c r="AC500" s="2228">
        <v>8.2517061990859339</v>
      </c>
      <c r="AD500" s="2857"/>
      <c r="AE500" s="2857"/>
      <c r="AF500" s="2857"/>
      <c r="AG500" s="2857"/>
      <c r="AH500" s="1942"/>
      <c r="AI500" s="1942"/>
      <c r="AJ500" s="1942"/>
      <c r="AK500" s="1942"/>
      <c r="AL500" s="1942"/>
      <c r="AM500" s="1942"/>
      <c r="AN500" s="1942"/>
      <c r="AO500" s="1942"/>
      <c r="AP500" s="1942"/>
      <c r="AQ500" s="1942"/>
      <c r="AR500" s="1942"/>
      <c r="AS500" s="1942"/>
      <c r="AT500" s="1942"/>
      <c r="AU500" s="1942"/>
      <c r="AV500" s="1942"/>
      <c r="AW500" s="1942"/>
      <c r="AX500" s="1942"/>
      <c r="AY500" s="1942"/>
      <c r="AZ500" s="1942"/>
      <c r="BA500" s="1942"/>
      <c r="BB500" s="575"/>
      <c r="BC500" s="584"/>
      <c r="BD500" s="678"/>
      <c r="BE500" s="585"/>
    </row>
    <row r="501" spans="1:57" s="51" customFormat="1" hidden="1" outlineLevel="1" x14ac:dyDescent="0.25">
      <c r="A501" s="1267"/>
      <c r="B501" s="228"/>
      <c r="C501" s="328"/>
      <c r="D501" s="3990"/>
      <c r="E501" s="4009"/>
      <c r="F501" s="3385" t="str">
        <f t="shared" si="63"/>
        <v>CAC-SEER15_ER2_SF</v>
      </c>
      <c r="G501" s="3386"/>
      <c r="H501" s="3387"/>
      <c r="I501" s="3155" t="str">
        <f t="shared" si="64"/>
        <v>350600_2021_12_</v>
      </c>
      <c r="J501" s="2282"/>
      <c r="K501" s="129"/>
      <c r="L501" s="2976" t="s">
        <v>1017</v>
      </c>
      <c r="M501" s="328"/>
      <c r="N501" s="1544"/>
      <c r="O501" s="328"/>
      <c r="P501" s="123"/>
      <c r="Q501" s="123"/>
      <c r="R501" s="123"/>
      <c r="S501" s="123"/>
      <c r="T501" s="123"/>
      <c r="U501" s="123"/>
      <c r="V501" s="3990"/>
      <c r="W501" s="2857"/>
      <c r="X501" s="2857"/>
      <c r="Y501" s="2857"/>
      <c r="Z501" s="2857"/>
      <c r="AA501" s="2857"/>
      <c r="AB501" s="2227"/>
      <c r="AC501" s="2282"/>
      <c r="AD501" s="2857"/>
      <c r="AE501" s="2857"/>
      <c r="AF501" s="2857"/>
      <c r="AG501" s="2857"/>
      <c r="AH501" s="1942"/>
      <c r="AI501" s="1942"/>
      <c r="AJ501" s="1942"/>
      <c r="AK501" s="1942"/>
      <c r="AL501" s="1942"/>
      <c r="AM501" s="1942"/>
      <c r="AN501" s="1942"/>
      <c r="AO501" s="1942"/>
      <c r="AP501" s="1942"/>
      <c r="AQ501" s="1942"/>
      <c r="AR501" s="1942"/>
      <c r="AS501" s="1942"/>
      <c r="AT501" s="1942"/>
      <c r="AU501" s="1942"/>
      <c r="AV501" s="1942"/>
      <c r="AW501" s="1942"/>
      <c r="AX501" s="1942"/>
      <c r="AY501" s="1942"/>
      <c r="AZ501" s="1942"/>
      <c r="BA501" s="1942"/>
      <c r="BB501" s="575"/>
      <c r="BC501" s="584"/>
      <c r="BD501" s="678"/>
      <c r="BE501" s="585"/>
    </row>
    <row r="502" spans="1:57" s="51" customFormat="1" ht="30" hidden="1" outlineLevel="1" x14ac:dyDescent="0.25">
      <c r="A502" s="1267"/>
      <c r="B502" s="228"/>
      <c r="C502" s="328"/>
      <c r="D502" s="3990"/>
      <c r="E502" s="4009"/>
      <c r="F502" s="3385" t="str">
        <f t="shared" si="63"/>
        <v>CAC-SEER15_ROF_SF</v>
      </c>
      <c r="G502" s="3386"/>
      <c r="H502" s="3387"/>
      <c r="I502" s="3155" t="str">
        <f t="shared" si="64"/>
        <v>350650_2021_12_</v>
      </c>
      <c r="J502" s="2282"/>
      <c r="K502" s="129"/>
      <c r="L502" s="2974" t="s">
        <v>838</v>
      </c>
      <c r="M502" s="328"/>
      <c r="N502" s="1544"/>
      <c r="O502" s="328"/>
      <c r="P502" s="123"/>
      <c r="Q502" s="123"/>
      <c r="R502" s="123"/>
      <c r="S502" s="123"/>
      <c r="T502" s="123"/>
      <c r="U502" s="123"/>
      <c r="V502" s="3990"/>
      <c r="W502" s="2857"/>
      <c r="X502" s="2857"/>
      <c r="Y502" s="2857"/>
      <c r="Z502" s="2857"/>
      <c r="AA502" s="2857"/>
      <c r="AB502" s="2227"/>
      <c r="AC502" s="2282"/>
      <c r="AD502" s="2857"/>
      <c r="AE502" s="2857"/>
      <c r="AF502" s="2857"/>
      <c r="AG502" s="2857"/>
      <c r="AH502" s="1942"/>
      <c r="AI502" s="1942"/>
      <c r="AJ502" s="1942"/>
      <c r="AK502" s="1942"/>
      <c r="AL502" s="1942"/>
      <c r="AM502" s="1942"/>
      <c r="AN502" s="1942"/>
      <c r="AO502" s="1942"/>
      <c r="AP502" s="1942"/>
      <c r="AQ502" s="1942"/>
      <c r="AR502" s="1942"/>
      <c r="AS502" s="1942"/>
      <c r="AT502" s="1942"/>
      <c r="AU502" s="1942"/>
      <c r="AV502" s="1942"/>
      <c r="AW502" s="1942"/>
      <c r="AX502" s="1942"/>
      <c r="AY502" s="1942"/>
      <c r="AZ502" s="1942"/>
      <c r="BA502" s="1942"/>
      <c r="BB502" s="575"/>
      <c r="BC502" s="584"/>
      <c r="BD502" s="678"/>
      <c r="BE502" s="585"/>
    </row>
    <row r="503" spans="1:57" s="51" customFormat="1" hidden="1" outlineLevel="1" x14ac:dyDescent="0.25">
      <c r="A503" s="1267"/>
      <c r="B503" s="228"/>
      <c r="C503" s="328"/>
      <c r="D503" s="3990"/>
      <c r="E503" s="4009"/>
      <c r="F503" s="3385" t="str">
        <f t="shared" si="63"/>
        <v>CAC-SEER15_ER1_MF</v>
      </c>
      <c r="G503" s="3386"/>
      <c r="H503" s="3387"/>
      <c r="I503" s="3155" t="str">
        <f t="shared" si="64"/>
        <v>350700_2021_12_</v>
      </c>
      <c r="J503" s="2228">
        <v>8.1380151250559827</v>
      </c>
      <c r="K503" s="129"/>
      <c r="L503" s="2723" t="s">
        <v>1005</v>
      </c>
      <c r="M503" s="328"/>
      <c r="N503" s="1544"/>
      <c r="O503" s="328"/>
      <c r="P503" s="123"/>
      <c r="Q503" s="123"/>
      <c r="R503" s="123"/>
      <c r="S503" s="123"/>
      <c r="T503" s="123"/>
      <c r="U503" s="123"/>
      <c r="V503" s="3990"/>
      <c r="W503" s="2857">
        <v>8.1999999999999993</v>
      </c>
      <c r="X503" s="3155">
        <v>8.33</v>
      </c>
      <c r="Y503" s="2857">
        <v>8.33</v>
      </c>
      <c r="Z503" s="2857">
        <v>8.33</v>
      </c>
      <c r="AA503" s="2857">
        <v>8.33</v>
      </c>
      <c r="AB503" s="2228">
        <v>7.2595221661569607</v>
      </c>
      <c r="AC503" s="2228">
        <v>8.1380151250559827</v>
      </c>
      <c r="AD503" s="2857"/>
      <c r="AE503" s="2857"/>
      <c r="AF503" s="2857"/>
      <c r="AG503" s="2857"/>
      <c r="AH503" s="1942"/>
      <c r="AI503" s="1942"/>
      <c r="AJ503" s="1942"/>
      <c r="AK503" s="1942"/>
      <c r="AL503" s="1942"/>
      <c r="AM503" s="1942"/>
      <c r="AN503" s="1942"/>
      <c r="AO503" s="1942"/>
      <c r="AP503" s="1942"/>
      <c r="AQ503" s="1942"/>
      <c r="AR503" s="1942"/>
      <c r="AS503" s="1942"/>
      <c r="AT503" s="1942"/>
      <c r="AU503" s="1942"/>
      <c r="AV503" s="1942"/>
      <c r="AW503" s="1942"/>
      <c r="AX503" s="1942"/>
      <c r="AY503" s="1942"/>
      <c r="AZ503" s="1942"/>
      <c r="BA503" s="1942"/>
      <c r="BB503" s="575"/>
      <c r="BC503" s="584"/>
      <c r="BD503" s="678"/>
      <c r="BE503" s="585"/>
    </row>
    <row r="504" spans="1:57" s="51" customFormat="1" hidden="1" outlineLevel="1" x14ac:dyDescent="0.25">
      <c r="A504" s="1267"/>
      <c r="B504" s="228"/>
      <c r="C504" s="328"/>
      <c r="D504" s="3990"/>
      <c r="E504" s="4009"/>
      <c r="F504" s="3385" t="str">
        <f t="shared" si="63"/>
        <v>CAC-SEER15_ER2_MF</v>
      </c>
      <c r="G504" s="3386"/>
      <c r="H504" s="3387"/>
      <c r="I504" s="3155" t="str">
        <f t="shared" si="64"/>
        <v>350700_2021_12_</v>
      </c>
      <c r="J504" s="2282"/>
      <c r="K504" s="129"/>
      <c r="L504" s="2976" t="s">
        <v>1017</v>
      </c>
      <c r="M504" s="328"/>
      <c r="N504" s="1544"/>
      <c r="O504" s="328"/>
      <c r="P504" s="123"/>
      <c r="Q504" s="123"/>
      <c r="R504" s="123"/>
      <c r="S504" s="123"/>
      <c r="T504" s="123"/>
      <c r="U504" s="123"/>
      <c r="V504" s="3990"/>
      <c r="W504" s="2857"/>
      <c r="X504" s="2857"/>
      <c r="Y504" s="2857"/>
      <c r="Z504" s="2857"/>
      <c r="AA504" s="2857"/>
      <c r="AB504" s="2227"/>
      <c r="AC504" s="2282"/>
      <c r="AD504" s="2857"/>
      <c r="AE504" s="2857"/>
      <c r="AF504" s="2857"/>
      <c r="AG504" s="2857"/>
      <c r="AH504" s="1942"/>
      <c r="AI504" s="1942"/>
      <c r="AJ504" s="1942"/>
      <c r="AK504" s="1942"/>
      <c r="AL504" s="1942"/>
      <c r="AM504" s="1942"/>
      <c r="AN504" s="1942"/>
      <c r="AO504" s="1942"/>
      <c r="AP504" s="1942"/>
      <c r="AQ504" s="1942"/>
      <c r="AR504" s="1942"/>
      <c r="AS504" s="1942"/>
      <c r="AT504" s="1942"/>
      <c r="AU504" s="1942"/>
      <c r="AV504" s="1942"/>
      <c r="AW504" s="1942"/>
      <c r="AX504" s="1942"/>
      <c r="AY504" s="1942"/>
      <c r="AZ504" s="1942"/>
      <c r="BA504" s="1942"/>
      <c r="BB504" s="575"/>
      <c r="BC504" s="584"/>
      <c r="BD504" s="678"/>
      <c r="BE504" s="585"/>
    </row>
    <row r="505" spans="1:57" s="51" customFormat="1" hidden="1" outlineLevel="1" x14ac:dyDescent="0.25">
      <c r="A505" s="1267"/>
      <c r="B505" s="228"/>
      <c r="C505" s="328"/>
      <c r="D505" s="3990"/>
      <c r="E505" s="4009"/>
      <c r="F505" s="3385" t="str">
        <f t="shared" si="63"/>
        <v>CAC-SEER15_ER1_MF_CompE</v>
      </c>
      <c r="G505" s="3386"/>
      <c r="H505" s="3387"/>
      <c r="I505" s="3155" t="str">
        <f t="shared" si="64"/>
        <v>350701_2021_12_</v>
      </c>
      <c r="J505" s="2228">
        <f>J503</f>
        <v>8.1380151250559827</v>
      </c>
      <c r="K505" s="129"/>
      <c r="L505" s="2570" t="s">
        <v>1004</v>
      </c>
      <c r="M505" s="328"/>
      <c r="N505" s="1544"/>
      <c r="O505" s="328"/>
      <c r="P505" s="123"/>
      <c r="Q505" s="123"/>
      <c r="R505" s="123"/>
      <c r="S505" s="123"/>
      <c r="T505" s="123"/>
      <c r="U505" s="123"/>
      <c r="V505" s="3990"/>
      <c r="W505" s="2857"/>
      <c r="X505" s="2857"/>
      <c r="Y505" s="2857">
        <v>8.33</v>
      </c>
      <c r="Z505" s="2857">
        <v>8.33</v>
      </c>
      <c r="AA505" s="2857">
        <v>8.33</v>
      </c>
      <c r="AB505" s="2228">
        <v>7.2595221661569607</v>
      </c>
      <c r="AC505" s="2228">
        <v>8.1380151250559827</v>
      </c>
      <c r="AD505" s="2857"/>
      <c r="AE505" s="2857"/>
      <c r="AF505" s="2857"/>
      <c r="AG505" s="2857"/>
      <c r="AH505" s="1942"/>
      <c r="AI505" s="1942"/>
      <c r="AJ505" s="1942"/>
      <c r="AK505" s="1942"/>
      <c r="AL505" s="1942"/>
      <c r="AM505" s="1942"/>
      <c r="AN505" s="1942"/>
      <c r="AO505" s="1942"/>
      <c r="AP505" s="1942"/>
      <c r="AQ505" s="1942"/>
      <c r="AR505" s="1942"/>
      <c r="AS505" s="1942"/>
      <c r="AT505" s="1942"/>
      <c r="AU505" s="1942"/>
      <c r="AV505" s="1942"/>
      <c r="AW505" s="1942"/>
      <c r="AX505" s="1942"/>
      <c r="AY505" s="1942"/>
      <c r="AZ505" s="1942"/>
      <c r="BA505" s="1942"/>
      <c r="BB505" s="575"/>
      <c r="BC505" s="584"/>
      <c r="BD505" s="678"/>
      <c r="BE505" s="585"/>
    </row>
    <row r="506" spans="1:57" s="51" customFormat="1" hidden="1" outlineLevel="1" x14ac:dyDescent="0.25">
      <c r="A506" s="1267"/>
      <c r="B506" s="228"/>
      <c r="C506" s="328"/>
      <c r="D506" s="3990"/>
      <c r="E506" s="4009"/>
      <c r="F506" s="3385" t="str">
        <f t="shared" si="63"/>
        <v>CAC-SEER15_ER2_MF_CompE</v>
      </c>
      <c r="G506" s="3386"/>
      <c r="H506" s="3387"/>
      <c r="I506" s="3155" t="str">
        <f t="shared" si="64"/>
        <v>350701_2021_12_</v>
      </c>
      <c r="J506" s="2282"/>
      <c r="K506" s="129"/>
      <c r="L506" s="2974" t="s">
        <v>1004</v>
      </c>
      <c r="M506" s="328"/>
      <c r="N506" s="1544"/>
      <c r="O506" s="328"/>
      <c r="P506" s="123"/>
      <c r="Q506" s="123"/>
      <c r="R506" s="123"/>
      <c r="S506" s="123"/>
      <c r="T506" s="123"/>
      <c r="U506" s="123"/>
      <c r="V506" s="3990"/>
      <c r="W506" s="2857"/>
      <c r="X506" s="2857"/>
      <c r="Y506" s="2857"/>
      <c r="Z506" s="2857"/>
      <c r="AA506" s="2857"/>
      <c r="AB506" s="2227"/>
      <c r="AC506" s="2282"/>
      <c r="AD506" s="2857"/>
      <c r="AE506" s="2857"/>
      <c r="AF506" s="2857"/>
      <c r="AG506" s="2857"/>
      <c r="AH506" s="1942"/>
      <c r="AI506" s="1942"/>
      <c r="AJ506" s="1942"/>
      <c r="AK506" s="1942"/>
      <c r="AL506" s="1942"/>
      <c r="AM506" s="1942"/>
      <c r="AN506" s="1942"/>
      <c r="AO506" s="1942"/>
      <c r="AP506" s="1942"/>
      <c r="AQ506" s="1942"/>
      <c r="AR506" s="1942"/>
      <c r="AS506" s="1942"/>
      <c r="AT506" s="1942"/>
      <c r="AU506" s="1942"/>
      <c r="AV506" s="1942"/>
      <c r="AW506" s="1942"/>
      <c r="AX506" s="1942"/>
      <c r="AY506" s="1942"/>
      <c r="AZ506" s="1942"/>
      <c r="BA506" s="1942"/>
      <c r="BB506" s="575"/>
      <c r="BC506" s="584"/>
      <c r="BD506" s="678"/>
      <c r="BE506" s="585"/>
    </row>
    <row r="507" spans="1:57" s="51" customFormat="1" ht="30" hidden="1" outlineLevel="1" x14ac:dyDescent="0.25">
      <c r="A507" s="1267"/>
      <c r="B507" s="228"/>
      <c r="C507" s="328"/>
      <c r="D507" s="3990"/>
      <c r="E507" s="4009"/>
      <c r="F507" s="3385" t="str">
        <f t="shared" si="63"/>
        <v>CAC-SEER15_ROF_MF</v>
      </c>
      <c r="G507" s="3386"/>
      <c r="H507" s="3387"/>
      <c r="I507" s="3155" t="str">
        <f t="shared" si="64"/>
        <v>350750_2021_12_</v>
      </c>
      <c r="J507" s="2282"/>
      <c r="K507" s="129"/>
      <c r="L507" s="2974" t="s">
        <v>838</v>
      </c>
      <c r="M507" s="328"/>
      <c r="N507" s="1544"/>
      <c r="O507" s="328"/>
      <c r="P507" s="123"/>
      <c r="Q507" s="123"/>
      <c r="R507" s="123"/>
      <c r="S507" s="123"/>
      <c r="T507" s="123"/>
      <c r="U507" s="123"/>
      <c r="V507" s="3990"/>
      <c r="W507" s="2857"/>
      <c r="X507" s="2857"/>
      <c r="Y507" s="2857"/>
      <c r="Z507" s="2857"/>
      <c r="AA507" s="2857"/>
      <c r="AB507" s="2227"/>
      <c r="AC507" s="2282"/>
      <c r="AD507" s="2857"/>
      <c r="AE507" s="2857"/>
      <c r="AF507" s="2857"/>
      <c r="AG507" s="2857"/>
      <c r="AH507" s="1942"/>
      <c r="AI507" s="1942"/>
      <c r="AJ507" s="1942"/>
      <c r="AK507" s="1942"/>
      <c r="AL507" s="1942"/>
      <c r="AM507" s="1942"/>
      <c r="AN507" s="1942"/>
      <c r="AO507" s="1942"/>
      <c r="AP507" s="1942"/>
      <c r="AQ507" s="1942"/>
      <c r="AR507" s="1942"/>
      <c r="AS507" s="1942"/>
      <c r="AT507" s="1942"/>
      <c r="AU507" s="1942"/>
      <c r="AV507" s="1942"/>
      <c r="AW507" s="1942"/>
      <c r="AX507" s="1942"/>
      <c r="AY507" s="1942"/>
      <c r="AZ507" s="1942"/>
      <c r="BA507" s="1942"/>
      <c r="BB507" s="575"/>
      <c r="BC507" s="584"/>
      <c r="BD507" s="678"/>
      <c r="BE507" s="585"/>
    </row>
    <row r="508" spans="1:57" s="51" customFormat="1" ht="30" hidden="1" outlineLevel="1" x14ac:dyDescent="0.25">
      <c r="A508" s="1267"/>
      <c r="B508" s="228"/>
      <c r="C508" s="328"/>
      <c r="D508" s="3990"/>
      <c r="E508" s="4009"/>
      <c r="F508" s="3385" t="str">
        <f t="shared" si="63"/>
        <v>CAC-SEER15_ROF_MF_CompE</v>
      </c>
      <c r="G508" s="3386"/>
      <c r="H508" s="3387"/>
      <c r="I508" s="3155" t="str">
        <f t="shared" si="64"/>
        <v>350751_2021_12_</v>
      </c>
      <c r="J508" s="2282"/>
      <c r="K508" s="129"/>
      <c r="L508" s="2974" t="s">
        <v>838</v>
      </c>
      <c r="M508" s="328"/>
      <c r="N508" s="1544"/>
      <c r="O508" s="328"/>
      <c r="P508" s="123"/>
      <c r="Q508" s="123"/>
      <c r="R508" s="123"/>
      <c r="S508" s="123"/>
      <c r="T508" s="123"/>
      <c r="U508" s="123"/>
      <c r="V508" s="3990"/>
      <c r="W508" s="2857"/>
      <c r="X508" s="2857"/>
      <c r="Y508" s="2857"/>
      <c r="Z508" s="2857"/>
      <c r="AA508" s="2857"/>
      <c r="AB508" s="2227"/>
      <c r="AC508" s="2282"/>
      <c r="AD508" s="2857"/>
      <c r="AE508" s="2857"/>
      <c r="AF508" s="2857"/>
      <c r="AG508" s="2857"/>
      <c r="AH508" s="1942"/>
      <c r="AI508" s="1942"/>
      <c r="AJ508" s="1942"/>
      <c r="AK508" s="1942"/>
      <c r="AL508" s="1942"/>
      <c r="AM508" s="1942"/>
      <c r="AN508" s="1942"/>
      <c r="AO508" s="1942"/>
      <c r="AP508" s="1942"/>
      <c r="AQ508" s="1942"/>
      <c r="AR508" s="1942"/>
      <c r="AS508" s="1942"/>
      <c r="AT508" s="1942"/>
      <c r="AU508" s="1942"/>
      <c r="AV508" s="1942"/>
      <c r="AW508" s="1942"/>
      <c r="AX508" s="1942"/>
      <c r="AY508" s="1942"/>
      <c r="AZ508" s="1942"/>
      <c r="BA508" s="1942"/>
      <c r="BB508" s="575"/>
      <c r="BC508" s="584"/>
      <c r="BD508" s="678"/>
      <c r="BE508" s="585"/>
    </row>
    <row r="509" spans="1:57" s="51" customFormat="1" hidden="1" outlineLevel="1" x14ac:dyDescent="0.25">
      <c r="A509" s="1267"/>
      <c r="B509" s="228"/>
      <c r="C509" s="328"/>
      <c r="D509" s="3990"/>
      <c r="E509" s="4009"/>
      <c r="F509" s="3385" t="str">
        <f t="shared" si="63"/>
        <v>CAC-SEER16_ER1_SF</v>
      </c>
      <c r="G509" s="3386"/>
      <c r="H509" s="3387"/>
      <c r="I509" s="3155" t="str">
        <f t="shared" si="64"/>
        <v>350800_2021_12_</v>
      </c>
      <c r="J509" s="2228">
        <v>8.2475141229575382</v>
      </c>
      <c r="K509" s="129"/>
      <c r="L509" s="2723" t="s">
        <v>1005</v>
      </c>
      <c r="M509" s="328"/>
      <c r="N509" s="1544"/>
      <c r="O509" s="328"/>
      <c r="P509" s="123"/>
      <c r="Q509" s="123"/>
      <c r="R509" s="123"/>
      <c r="S509" s="123"/>
      <c r="T509" s="123"/>
      <c r="U509" s="123"/>
      <c r="V509" s="3990"/>
      <c r="W509" s="2857">
        <v>8.1999999999999993</v>
      </c>
      <c r="X509" s="3155">
        <v>8.33</v>
      </c>
      <c r="Y509" s="2857">
        <v>8.33</v>
      </c>
      <c r="Z509" s="2857">
        <v>8.33</v>
      </c>
      <c r="AA509" s="2857">
        <v>8.33</v>
      </c>
      <c r="AB509" s="2228">
        <v>7.508722873173407</v>
      </c>
      <c r="AC509" s="2228">
        <v>8.2475141229575382</v>
      </c>
      <c r="AD509" s="2857"/>
      <c r="AE509" s="2857"/>
      <c r="AF509" s="2857"/>
      <c r="AG509" s="2857"/>
      <c r="AH509" s="1942"/>
      <c r="AI509" s="1942"/>
      <c r="AJ509" s="1942"/>
      <c r="AK509" s="1942"/>
      <c r="AL509" s="1942"/>
      <c r="AM509" s="1942"/>
      <c r="AN509" s="1942"/>
      <c r="AO509" s="1942"/>
      <c r="AP509" s="1942"/>
      <c r="AQ509" s="1942"/>
      <c r="AR509" s="1942"/>
      <c r="AS509" s="1942"/>
      <c r="AT509" s="1942"/>
      <c r="AU509" s="1942"/>
      <c r="AV509" s="1942"/>
      <c r="AW509" s="1942"/>
      <c r="AX509" s="1942"/>
      <c r="AY509" s="1942"/>
      <c r="AZ509" s="1942"/>
      <c r="BA509" s="1942"/>
      <c r="BB509" s="575"/>
      <c r="BC509" s="584"/>
      <c r="BD509" s="678"/>
      <c r="BE509" s="585"/>
    </row>
    <row r="510" spans="1:57" s="51" customFormat="1" hidden="1" outlineLevel="1" x14ac:dyDescent="0.25">
      <c r="A510" s="1267"/>
      <c r="B510" s="228"/>
      <c r="C510" s="328"/>
      <c r="D510" s="3990"/>
      <c r="E510" s="4009"/>
      <c r="F510" s="3385" t="str">
        <f t="shared" si="63"/>
        <v>CAC-SEER16_ER2_SF</v>
      </c>
      <c r="G510" s="3386"/>
      <c r="H510" s="3387"/>
      <c r="I510" s="3155" t="str">
        <f t="shared" si="64"/>
        <v>350800_2021_12_</v>
      </c>
      <c r="J510" s="2282"/>
      <c r="K510" s="129"/>
      <c r="L510" s="2976" t="s">
        <v>1017</v>
      </c>
      <c r="M510" s="328"/>
      <c r="N510" s="1544"/>
      <c r="O510" s="328"/>
      <c r="P510" s="123"/>
      <c r="Q510" s="123"/>
      <c r="R510" s="123"/>
      <c r="S510" s="123"/>
      <c r="T510" s="123"/>
      <c r="U510" s="123"/>
      <c r="V510" s="3990"/>
      <c r="W510" s="2857"/>
      <c r="X510" s="2857"/>
      <c r="Y510" s="2857"/>
      <c r="Z510" s="2857"/>
      <c r="AA510" s="2857"/>
      <c r="AB510" s="2227"/>
      <c r="AC510" s="2282"/>
      <c r="AD510" s="2857"/>
      <c r="AE510" s="2857"/>
      <c r="AF510" s="2857"/>
      <c r="AG510" s="2857"/>
      <c r="AH510" s="1942"/>
      <c r="AI510" s="1942"/>
      <c r="AJ510" s="1942"/>
      <c r="AK510" s="1942"/>
      <c r="AL510" s="1942"/>
      <c r="AM510" s="1942"/>
      <c r="AN510" s="1942"/>
      <c r="AO510" s="1942"/>
      <c r="AP510" s="1942"/>
      <c r="AQ510" s="1942"/>
      <c r="AR510" s="1942"/>
      <c r="AS510" s="1942"/>
      <c r="AT510" s="1942"/>
      <c r="AU510" s="1942"/>
      <c r="AV510" s="1942"/>
      <c r="AW510" s="1942"/>
      <c r="AX510" s="1942"/>
      <c r="AY510" s="1942"/>
      <c r="AZ510" s="1942"/>
      <c r="BA510" s="1942"/>
      <c r="BB510" s="575"/>
      <c r="BC510" s="584"/>
      <c r="BD510" s="678"/>
      <c r="BE510" s="585"/>
    </row>
    <row r="511" spans="1:57" s="51" customFormat="1" ht="30" hidden="1" outlineLevel="1" x14ac:dyDescent="0.25">
      <c r="A511" s="1267"/>
      <c r="B511" s="228"/>
      <c r="C511" s="328"/>
      <c r="D511" s="3990"/>
      <c r="E511" s="4009"/>
      <c r="F511" s="3385" t="str">
        <f t="shared" si="63"/>
        <v>CAC-SEER16_ROF_SF</v>
      </c>
      <c r="G511" s="3386"/>
      <c r="H511" s="3387"/>
      <c r="I511" s="3155" t="str">
        <f t="shared" si="64"/>
        <v>350850_2021_12_</v>
      </c>
      <c r="J511" s="2282"/>
      <c r="K511" s="129"/>
      <c r="L511" s="2974" t="s">
        <v>838</v>
      </c>
      <c r="M511" s="328"/>
      <c r="N511" s="1544"/>
      <c r="O511" s="328"/>
      <c r="P511" s="123"/>
      <c r="Q511" s="123"/>
      <c r="R511" s="123"/>
      <c r="S511" s="123"/>
      <c r="T511" s="123"/>
      <c r="U511" s="123"/>
      <c r="V511" s="3990"/>
      <c r="W511" s="2857"/>
      <c r="X511" s="2857"/>
      <c r="Y511" s="2857"/>
      <c r="Z511" s="2857"/>
      <c r="AA511" s="2857"/>
      <c r="AB511" s="2227"/>
      <c r="AC511" s="2282"/>
      <c r="AD511" s="2857"/>
      <c r="AE511" s="2857"/>
      <c r="AF511" s="2857"/>
      <c r="AG511" s="2857"/>
      <c r="AH511" s="1942"/>
      <c r="AI511" s="1942"/>
      <c r="AJ511" s="1942"/>
      <c r="AK511" s="1942"/>
      <c r="AL511" s="1942"/>
      <c r="AM511" s="1942"/>
      <c r="AN511" s="1942"/>
      <c r="AO511" s="1942"/>
      <c r="AP511" s="1942"/>
      <c r="AQ511" s="1942"/>
      <c r="AR511" s="1942"/>
      <c r="AS511" s="1942"/>
      <c r="AT511" s="1942"/>
      <c r="AU511" s="1942"/>
      <c r="AV511" s="1942"/>
      <c r="AW511" s="1942"/>
      <c r="AX511" s="1942"/>
      <c r="AY511" s="1942"/>
      <c r="AZ511" s="1942"/>
      <c r="BA511" s="1942"/>
      <c r="BB511" s="575"/>
      <c r="BC511" s="584"/>
      <c r="BD511" s="678"/>
      <c r="BE511" s="585"/>
    </row>
    <row r="512" spans="1:57" s="51" customFormat="1" hidden="1" outlineLevel="1" x14ac:dyDescent="0.25">
      <c r="A512" s="1267"/>
      <c r="B512" s="228"/>
      <c r="C512" s="328"/>
      <c r="D512" s="3990"/>
      <c r="E512" s="4009"/>
      <c r="F512" s="3385" t="str">
        <f t="shared" si="63"/>
        <v>CAC-SEER16_ER1_MF</v>
      </c>
      <c r="G512" s="3386"/>
      <c r="H512" s="3387"/>
      <c r="I512" s="3155" t="str">
        <f t="shared" si="64"/>
        <v>350900_2021_12_</v>
      </c>
      <c r="J512" s="2228">
        <v>8.3039211249486229</v>
      </c>
      <c r="K512" s="129"/>
      <c r="L512" s="2723" t="s">
        <v>1005</v>
      </c>
      <c r="M512" s="328"/>
      <c r="N512" s="1544"/>
      <c r="O512" s="328"/>
      <c r="P512" s="123"/>
      <c r="Q512" s="123"/>
      <c r="R512" s="123"/>
      <c r="S512" s="123"/>
      <c r="T512" s="123"/>
      <c r="U512" s="123"/>
      <c r="V512" s="3990"/>
      <c r="W512" s="2857">
        <v>8.1999999999999993</v>
      </c>
      <c r="X512" s="3155">
        <v>8.33</v>
      </c>
      <c r="Y512" s="2857">
        <v>8.33</v>
      </c>
      <c r="Z512" s="2857">
        <v>8.33</v>
      </c>
      <c r="AA512" s="2857">
        <v>8.33</v>
      </c>
      <c r="AB512" s="2228">
        <v>7.983392742151227</v>
      </c>
      <c r="AC512" s="2228">
        <v>8.3039211249486229</v>
      </c>
      <c r="AD512" s="2857"/>
      <c r="AE512" s="2857"/>
      <c r="AF512" s="2857"/>
      <c r="AG512" s="2857"/>
      <c r="AH512" s="1942"/>
      <c r="AI512" s="1942"/>
      <c r="AJ512" s="1942"/>
      <c r="AK512" s="1942"/>
      <c r="AL512" s="1942"/>
      <c r="AM512" s="1942"/>
      <c r="AN512" s="1942"/>
      <c r="AO512" s="1942"/>
      <c r="AP512" s="1942"/>
      <c r="AQ512" s="1942"/>
      <c r="AR512" s="1942"/>
      <c r="AS512" s="1942"/>
      <c r="AT512" s="1942"/>
      <c r="AU512" s="1942"/>
      <c r="AV512" s="1942"/>
      <c r="AW512" s="1942"/>
      <c r="AX512" s="1942"/>
      <c r="AY512" s="1942"/>
      <c r="AZ512" s="1942"/>
      <c r="BA512" s="1942"/>
      <c r="BB512" s="575"/>
      <c r="BC512" s="584"/>
      <c r="BD512" s="678"/>
      <c r="BE512" s="585"/>
    </row>
    <row r="513" spans="1:57" s="51" customFormat="1" hidden="1" outlineLevel="1" x14ac:dyDescent="0.25">
      <c r="A513" s="1267"/>
      <c r="B513" s="228"/>
      <c r="C513" s="328"/>
      <c r="D513" s="3990"/>
      <c r="E513" s="4009"/>
      <c r="F513" s="3385" t="str">
        <f t="shared" si="63"/>
        <v>CAC-SEER16_ER2_MF</v>
      </c>
      <c r="G513" s="3386"/>
      <c r="H513" s="3387"/>
      <c r="I513" s="3155" t="str">
        <f t="shared" si="64"/>
        <v>350900_2021_12_</v>
      </c>
      <c r="J513" s="2282"/>
      <c r="K513" s="129"/>
      <c r="L513" s="2976" t="s">
        <v>1017</v>
      </c>
      <c r="M513" s="328"/>
      <c r="N513" s="1544"/>
      <c r="O513" s="328"/>
      <c r="P513" s="123"/>
      <c r="Q513" s="123"/>
      <c r="R513" s="123"/>
      <c r="S513" s="123"/>
      <c r="T513" s="123"/>
      <c r="U513" s="123"/>
      <c r="V513" s="3990"/>
      <c r="W513" s="2857"/>
      <c r="X513" s="2857"/>
      <c r="Y513" s="2857"/>
      <c r="Z513" s="2857"/>
      <c r="AA513" s="2857"/>
      <c r="AB513" s="2227"/>
      <c r="AC513" s="2282"/>
      <c r="AD513" s="2857"/>
      <c r="AE513" s="2857"/>
      <c r="AF513" s="2857"/>
      <c r="AG513" s="2857"/>
      <c r="AH513" s="1942"/>
      <c r="AI513" s="1942"/>
      <c r="AJ513" s="1942"/>
      <c r="AK513" s="1942"/>
      <c r="AL513" s="1942"/>
      <c r="AM513" s="1942"/>
      <c r="AN513" s="1942"/>
      <c r="AO513" s="1942"/>
      <c r="AP513" s="1942"/>
      <c r="AQ513" s="1942"/>
      <c r="AR513" s="1942"/>
      <c r="AS513" s="1942"/>
      <c r="AT513" s="1942"/>
      <c r="AU513" s="1942"/>
      <c r="AV513" s="1942"/>
      <c r="AW513" s="1942"/>
      <c r="AX513" s="1942"/>
      <c r="AY513" s="1942"/>
      <c r="AZ513" s="1942"/>
      <c r="BA513" s="1942"/>
      <c r="BB513" s="575"/>
      <c r="BC513" s="584"/>
      <c r="BD513" s="678"/>
      <c r="BE513" s="585"/>
    </row>
    <row r="514" spans="1:57" s="51" customFormat="1" hidden="1" outlineLevel="1" x14ac:dyDescent="0.25">
      <c r="A514" s="1267"/>
      <c r="B514" s="228"/>
      <c r="C514" s="328"/>
      <c r="D514" s="3990"/>
      <c r="E514" s="4009"/>
      <c r="F514" s="3385" t="str">
        <f t="shared" si="63"/>
        <v>CAC-SEER16_ER1_MF_CompE</v>
      </c>
      <c r="G514" s="3386"/>
      <c r="H514" s="3387"/>
      <c r="I514" s="3155" t="str">
        <f t="shared" si="64"/>
        <v>350901_2021_12_</v>
      </c>
      <c r="J514" s="2228">
        <f>J512</f>
        <v>8.3039211249486229</v>
      </c>
      <c r="K514" s="129"/>
      <c r="L514" s="2723" t="s">
        <v>1018</v>
      </c>
      <c r="M514" s="328"/>
      <c r="N514" s="1544"/>
      <c r="O514" s="328"/>
      <c r="P514" s="123"/>
      <c r="Q514" s="123"/>
      <c r="R514" s="123"/>
      <c r="S514" s="123"/>
      <c r="T514" s="123"/>
      <c r="U514" s="123"/>
      <c r="V514" s="3990"/>
      <c r="W514" s="2857"/>
      <c r="X514" s="2857"/>
      <c r="Y514" s="2857">
        <v>8.33</v>
      </c>
      <c r="Z514" s="2857">
        <v>8.33</v>
      </c>
      <c r="AA514" s="2857">
        <v>8.33</v>
      </c>
      <c r="AB514" s="2228">
        <v>7.983392742151227</v>
      </c>
      <c r="AC514" s="2228">
        <v>8.3039211249486229</v>
      </c>
      <c r="AD514" s="2857"/>
      <c r="AE514" s="2857"/>
      <c r="AF514" s="2857"/>
      <c r="AG514" s="2857"/>
      <c r="AH514" s="1942"/>
      <c r="AI514" s="1942"/>
      <c r="AJ514" s="1942"/>
      <c r="AK514" s="1942"/>
      <c r="AL514" s="1942"/>
      <c r="AM514" s="1942"/>
      <c r="AN514" s="1942"/>
      <c r="AO514" s="1942"/>
      <c r="AP514" s="1942"/>
      <c r="AQ514" s="1942"/>
      <c r="AR514" s="1942"/>
      <c r="AS514" s="1942"/>
      <c r="AT514" s="1942"/>
      <c r="AU514" s="1942"/>
      <c r="AV514" s="1942"/>
      <c r="AW514" s="1942"/>
      <c r="AX514" s="1942"/>
      <c r="AY514" s="1942"/>
      <c r="AZ514" s="1942"/>
      <c r="BA514" s="1942"/>
      <c r="BB514" s="575"/>
      <c r="BC514" s="584"/>
      <c r="BD514" s="678"/>
      <c r="BE514" s="585"/>
    </row>
    <row r="515" spans="1:57" s="51" customFormat="1" hidden="1" outlineLevel="1" x14ac:dyDescent="0.25">
      <c r="A515" s="1267"/>
      <c r="B515" s="228"/>
      <c r="C515" s="328"/>
      <c r="D515" s="3990"/>
      <c r="E515" s="4009"/>
      <c r="F515" s="3385" t="str">
        <f t="shared" si="63"/>
        <v>CAC-SEER16_ER2_MF_CompE</v>
      </c>
      <c r="G515" s="3386"/>
      <c r="H515" s="3387"/>
      <c r="I515" s="3155" t="str">
        <f t="shared" si="64"/>
        <v>350901_2021_12_</v>
      </c>
      <c r="J515" s="2282"/>
      <c r="K515" s="129"/>
      <c r="L515" s="2974" t="s">
        <v>1004</v>
      </c>
      <c r="M515" s="328"/>
      <c r="N515" s="1544"/>
      <c r="O515" s="328"/>
      <c r="P515" s="123"/>
      <c r="Q515" s="123"/>
      <c r="R515" s="123"/>
      <c r="S515" s="123"/>
      <c r="T515" s="123"/>
      <c r="U515" s="123"/>
      <c r="V515" s="3990"/>
      <c r="W515" s="2857"/>
      <c r="X515" s="2857"/>
      <c r="Y515" s="2857"/>
      <c r="Z515" s="2857"/>
      <c r="AA515" s="2857"/>
      <c r="AB515" s="2227"/>
      <c r="AC515" s="2282"/>
      <c r="AD515" s="2857"/>
      <c r="AE515" s="2857"/>
      <c r="AF515" s="2857"/>
      <c r="AG515" s="2857"/>
      <c r="AH515" s="1942"/>
      <c r="AI515" s="1942"/>
      <c r="AJ515" s="1942"/>
      <c r="AK515" s="1942"/>
      <c r="AL515" s="1942"/>
      <c r="AM515" s="1942"/>
      <c r="AN515" s="1942"/>
      <c r="AO515" s="1942"/>
      <c r="AP515" s="1942"/>
      <c r="AQ515" s="1942"/>
      <c r="AR515" s="1942"/>
      <c r="AS515" s="1942"/>
      <c r="AT515" s="1942"/>
      <c r="AU515" s="1942"/>
      <c r="AV515" s="1942"/>
      <c r="AW515" s="1942"/>
      <c r="AX515" s="1942"/>
      <c r="AY515" s="1942"/>
      <c r="AZ515" s="1942"/>
      <c r="BA515" s="1942"/>
      <c r="BB515" s="575"/>
      <c r="BC515" s="584"/>
      <c r="BD515" s="678"/>
      <c r="BE515" s="585"/>
    </row>
    <row r="516" spans="1:57" s="51" customFormat="1" ht="30" hidden="1" outlineLevel="1" x14ac:dyDescent="0.25">
      <c r="A516" s="1267"/>
      <c r="B516" s="228"/>
      <c r="C516" s="328"/>
      <c r="D516" s="3990"/>
      <c r="E516" s="4009"/>
      <c r="F516" s="3385" t="str">
        <f t="shared" si="63"/>
        <v>CAC-SEER16_ROF_MF</v>
      </c>
      <c r="G516" s="3386"/>
      <c r="H516" s="3387"/>
      <c r="I516" s="3155" t="str">
        <f t="shared" si="64"/>
        <v>350950_2021_12_</v>
      </c>
      <c r="J516" s="2282"/>
      <c r="K516" s="129"/>
      <c r="L516" s="2974" t="s">
        <v>838</v>
      </c>
      <c r="M516" s="328"/>
      <c r="N516" s="1544"/>
      <c r="O516" s="328"/>
      <c r="P516" s="123"/>
      <c r="Q516" s="123"/>
      <c r="R516" s="123"/>
      <c r="S516" s="123"/>
      <c r="T516" s="123"/>
      <c r="U516" s="123"/>
      <c r="V516" s="3990"/>
      <c r="W516" s="2857"/>
      <c r="X516" s="2857"/>
      <c r="Y516" s="2857"/>
      <c r="Z516" s="2857"/>
      <c r="AA516" s="2857"/>
      <c r="AB516" s="2227"/>
      <c r="AC516" s="2282"/>
      <c r="AD516" s="2857"/>
      <c r="AE516" s="2857"/>
      <c r="AF516" s="2857"/>
      <c r="AG516" s="2857"/>
      <c r="AH516" s="1942"/>
      <c r="AI516" s="1942"/>
      <c r="AJ516" s="1942"/>
      <c r="AK516" s="1942"/>
      <c r="AL516" s="1942"/>
      <c r="AM516" s="1942"/>
      <c r="AN516" s="1942"/>
      <c r="AO516" s="1942"/>
      <c r="AP516" s="1942"/>
      <c r="AQ516" s="1942"/>
      <c r="AR516" s="1942"/>
      <c r="AS516" s="1942"/>
      <c r="AT516" s="1942"/>
      <c r="AU516" s="1942"/>
      <c r="AV516" s="1942"/>
      <c r="AW516" s="1942"/>
      <c r="AX516" s="1942"/>
      <c r="AY516" s="1942"/>
      <c r="AZ516" s="1942"/>
      <c r="BA516" s="1942"/>
      <c r="BB516" s="575"/>
      <c r="BC516" s="584"/>
      <c r="BD516" s="678"/>
      <c r="BE516" s="585"/>
    </row>
    <row r="517" spans="1:57" s="51" customFormat="1" ht="30" hidden="1" outlineLevel="1" x14ac:dyDescent="0.25">
      <c r="A517" s="1267"/>
      <c r="B517" s="228"/>
      <c r="C517" s="328"/>
      <c r="D517" s="3990"/>
      <c r="E517" s="4009"/>
      <c r="F517" s="3385" t="str">
        <f t="shared" si="63"/>
        <v>CAC-SEER16_ROF_MF_CompE</v>
      </c>
      <c r="G517" s="3386"/>
      <c r="H517" s="3387"/>
      <c r="I517" s="3155" t="str">
        <f t="shared" si="64"/>
        <v>350951_2021_12_</v>
      </c>
      <c r="J517" s="2282"/>
      <c r="K517" s="129"/>
      <c r="L517" s="2974" t="s">
        <v>838</v>
      </c>
      <c r="M517" s="328"/>
      <c r="N517" s="1544"/>
      <c r="O517" s="328"/>
      <c r="P517" s="123"/>
      <c r="Q517" s="123"/>
      <c r="R517" s="123"/>
      <c r="S517" s="123"/>
      <c r="T517" s="123"/>
      <c r="U517" s="123"/>
      <c r="V517" s="3990"/>
      <c r="W517" s="2857"/>
      <c r="X517" s="2857"/>
      <c r="Y517" s="2857"/>
      <c r="Z517" s="2857"/>
      <c r="AA517" s="2857"/>
      <c r="AB517" s="2227"/>
      <c r="AC517" s="2282"/>
      <c r="AD517" s="2857"/>
      <c r="AE517" s="2857"/>
      <c r="AF517" s="2857"/>
      <c r="AG517" s="2857"/>
      <c r="AH517" s="1942"/>
      <c r="AI517" s="1942"/>
      <c r="AJ517" s="1942"/>
      <c r="AK517" s="1942"/>
      <c r="AL517" s="1942"/>
      <c r="AM517" s="1942"/>
      <c r="AN517" s="1942"/>
      <c r="AO517" s="1942"/>
      <c r="AP517" s="1942"/>
      <c r="AQ517" s="1942"/>
      <c r="AR517" s="1942"/>
      <c r="AS517" s="1942"/>
      <c r="AT517" s="1942"/>
      <c r="AU517" s="1942"/>
      <c r="AV517" s="1942"/>
      <c r="AW517" s="1942"/>
      <c r="AX517" s="1942"/>
      <c r="AY517" s="1942"/>
      <c r="AZ517" s="1942"/>
      <c r="BA517" s="1942"/>
      <c r="BB517" s="575"/>
      <c r="BC517" s="584"/>
      <c r="BD517" s="678"/>
      <c r="BE517" s="585"/>
    </row>
    <row r="518" spans="1:57" s="51" customFormat="1" hidden="1" outlineLevel="1" x14ac:dyDescent="0.25">
      <c r="A518" s="1267"/>
      <c r="B518" s="228"/>
      <c r="C518" s="328"/>
      <c r="D518" s="3990"/>
      <c r="E518" s="4009"/>
      <c r="F518" s="3385" t="str">
        <f t="shared" si="63"/>
        <v>CAC-SEER17_ER1_SF</v>
      </c>
      <c r="G518" s="3386"/>
      <c r="H518" s="3387"/>
      <c r="I518" s="3155" t="str">
        <f t="shared" si="64"/>
        <v>351000_2021_12_</v>
      </c>
      <c r="J518" s="2228">
        <v>8.3071815083938851</v>
      </c>
      <c r="K518" s="129"/>
      <c r="L518" s="2723" t="s">
        <v>1005</v>
      </c>
      <c r="M518" s="328"/>
      <c r="N518" s="1544"/>
      <c r="O518" s="328"/>
      <c r="P518" s="123"/>
      <c r="Q518" s="123"/>
      <c r="R518" s="123"/>
      <c r="S518" s="123"/>
      <c r="T518" s="123"/>
      <c r="U518" s="123"/>
      <c r="V518" s="3990"/>
      <c r="W518" s="2857">
        <v>8.1999999999999993</v>
      </c>
      <c r="X518" s="3155">
        <v>8.33</v>
      </c>
      <c r="Y518" s="2857">
        <v>8.33</v>
      </c>
      <c r="Z518" s="2857">
        <v>8.33</v>
      </c>
      <c r="AA518" s="2857">
        <v>8.33</v>
      </c>
      <c r="AB518" s="2228">
        <v>7.5482963446217566</v>
      </c>
      <c r="AC518" s="2228">
        <v>8.3071815083938851</v>
      </c>
      <c r="AD518" s="2857"/>
      <c r="AE518" s="2857"/>
      <c r="AF518" s="2857"/>
      <c r="AG518" s="2857"/>
      <c r="AH518" s="1942"/>
      <c r="AI518" s="1942"/>
      <c r="AJ518" s="1942"/>
      <c r="AK518" s="1942"/>
      <c r="AL518" s="1942"/>
      <c r="AM518" s="1942"/>
      <c r="AN518" s="1942"/>
      <c r="AO518" s="1942"/>
      <c r="AP518" s="1942"/>
      <c r="AQ518" s="1942"/>
      <c r="AR518" s="1942"/>
      <c r="AS518" s="1942"/>
      <c r="AT518" s="1942"/>
      <c r="AU518" s="1942"/>
      <c r="AV518" s="1942"/>
      <c r="AW518" s="1942"/>
      <c r="AX518" s="1942"/>
      <c r="AY518" s="1942"/>
      <c r="AZ518" s="1942"/>
      <c r="BA518" s="1942"/>
      <c r="BB518" s="575"/>
      <c r="BC518" s="584"/>
      <c r="BD518" s="678"/>
      <c r="BE518" s="585"/>
    </row>
    <row r="519" spans="1:57" s="51" customFormat="1" ht="14.45" hidden="1" customHeight="1" outlineLevel="1" x14ac:dyDescent="0.25">
      <c r="A519" s="1267"/>
      <c r="B519" s="228"/>
      <c r="C519" s="328"/>
      <c r="D519" s="3990"/>
      <c r="E519" s="4009"/>
      <c r="F519" s="3385" t="str">
        <f t="shared" si="63"/>
        <v>CAC-SEER17_ER2_SF</v>
      </c>
      <c r="G519" s="3386"/>
      <c r="H519" s="3387"/>
      <c r="I519" s="3155" t="str">
        <f t="shared" si="64"/>
        <v>351000_2021_12_</v>
      </c>
      <c r="J519" s="2282"/>
      <c r="K519" s="129"/>
      <c r="L519" s="2976" t="s">
        <v>1017</v>
      </c>
      <c r="M519" s="328"/>
      <c r="N519" s="1544"/>
      <c r="O519" s="328"/>
      <c r="P519" s="123"/>
      <c r="Q519" s="123"/>
      <c r="R519" s="123"/>
      <c r="S519" s="123"/>
      <c r="T519" s="123"/>
      <c r="U519" s="123"/>
      <c r="V519" s="3990"/>
      <c r="W519" s="2857"/>
      <c r="X519" s="2857"/>
      <c r="Y519" s="2857"/>
      <c r="Z519" s="2857"/>
      <c r="AA519" s="2857"/>
      <c r="AB519" s="2227"/>
      <c r="AC519" s="2282"/>
      <c r="AD519" s="2857"/>
      <c r="AE519" s="2857"/>
      <c r="AF519" s="2857"/>
      <c r="AG519" s="2857"/>
      <c r="AH519" s="1942"/>
      <c r="AI519" s="1942"/>
      <c r="AJ519" s="1942"/>
      <c r="AK519" s="1942"/>
      <c r="AL519" s="1942"/>
      <c r="AM519" s="1942"/>
      <c r="AN519" s="1942"/>
      <c r="AO519" s="1942"/>
      <c r="AP519" s="1942"/>
      <c r="AQ519" s="1942"/>
      <c r="AR519" s="1942"/>
      <c r="AS519" s="1942"/>
      <c r="AT519" s="1942"/>
      <c r="AU519" s="1942"/>
      <c r="AV519" s="1942"/>
      <c r="AW519" s="1942"/>
      <c r="AX519" s="1942"/>
      <c r="AY519" s="1942"/>
      <c r="AZ519" s="1942"/>
      <c r="BA519" s="1942"/>
      <c r="BB519" s="575"/>
      <c r="BC519" s="584"/>
      <c r="BD519" s="678"/>
      <c r="BE519" s="585"/>
    </row>
    <row r="520" spans="1:57" s="51" customFormat="1" ht="14.45" hidden="1" customHeight="1" outlineLevel="1" x14ac:dyDescent="0.25">
      <c r="A520" s="1267"/>
      <c r="B520" s="228"/>
      <c r="C520" s="328"/>
      <c r="D520" s="3990"/>
      <c r="E520" s="4009"/>
      <c r="F520" s="3385" t="str">
        <f t="shared" si="63"/>
        <v>CAC-SEER17_ROF_SF</v>
      </c>
      <c r="G520" s="3386"/>
      <c r="H520" s="3387"/>
      <c r="I520" s="3155" t="str">
        <f t="shared" si="64"/>
        <v>351050_2021_12_</v>
      </c>
      <c r="J520" s="2282"/>
      <c r="K520" s="129"/>
      <c r="L520" s="2974" t="s">
        <v>838</v>
      </c>
      <c r="M520" s="328"/>
      <c r="N520" s="1544"/>
      <c r="O520" s="328"/>
      <c r="P520" s="123"/>
      <c r="Q520" s="123"/>
      <c r="R520" s="123"/>
      <c r="S520" s="123"/>
      <c r="T520" s="123"/>
      <c r="U520" s="123"/>
      <c r="V520" s="3990"/>
      <c r="W520" s="2857"/>
      <c r="X520" s="2857"/>
      <c r="Y520" s="2857"/>
      <c r="Z520" s="2857"/>
      <c r="AA520" s="2857"/>
      <c r="AB520" s="2227"/>
      <c r="AC520" s="2282"/>
      <c r="AD520" s="2857"/>
      <c r="AE520" s="2857"/>
      <c r="AF520" s="2857"/>
      <c r="AG520" s="2857"/>
      <c r="AH520" s="1942"/>
      <c r="AI520" s="1942"/>
      <c r="AJ520" s="1942"/>
      <c r="AK520" s="1942"/>
      <c r="AL520" s="1942"/>
      <c r="AM520" s="1942"/>
      <c r="AN520" s="1942"/>
      <c r="AO520" s="1942"/>
      <c r="AP520" s="1942"/>
      <c r="AQ520" s="1942"/>
      <c r="AR520" s="1942"/>
      <c r="AS520" s="1942"/>
      <c r="AT520" s="1942"/>
      <c r="AU520" s="1942"/>
      <c r="AV520" s="1942"/>
      <c r="AW520" s="1942"/>
      <c r="AX520" s="1942"/>
      <c r="AY520" s="1942"/>
      <c r="AZ520" s="1942"/>
      <c r="BA520" s="1942"/>
      <c r="BB520" s="575"/>
      <c r="BC520" s="584"/>
      <c r="BD520" s="678"/>
      <c r="BE520" s="585"/>
    </row>
    <row r="521" spans="1:57" s="51" customFormat="1" ht="14.45" hidden="1" customHeight="1" outlineLevel="1" x14ac:dyDescent="0.25">
      <c r="A521" s="1267"/>
      <c r="B521" s="228"/>
      <c r="C521" s="328"/>
      <c r="D521" s="3990"/>
      <c r="E521" s="4009"/>
      <c r="F521" s="3385" t="str">
        <f t="shared" si="63"/>
        <v>CAC-SEER17_ER1_MF</v>
      </c>
      <c r="G521" s="3386"/>
      <c r="H521" s="3387"/>
      <c r="I521" s="3155" t="str">
        <f t="shared" si="64"/>
        <v>351100_2021_12_</v>
      </c>
      <c r="J521" s="2228">
        <v>8.4427503572736704</v>
      </c>
      <c r="K521" s="129"/>
      <c r="L521" s="2723" t="s">
        <v>1005</v>
      </c>
      <c r="M521" s="328"/>
      <c r="N521" s="1544"/>
      <c r="O521" s="328"/>
      <c r="P521" s="123"/>
      <c r="Q521" s="123"/>
      <c r="R521" s="123"/>
      <c r="S521" s="123"/>
      <c r="T521" s="123"/>
      <c r="U521" s="123"/>
      <c r="V521" s="3990"/>
      <c r="W521" s="2857">
        <v>8.1999999999999993</v>
      </c>
      <c r="X521" s="3155">
        <v>8.33</v>
      </c>
      <c r="Y521" s="2857">
        <v>8.33</v>
      </c>
      <c r="Z521" s="2857">
        <v>8.33</v>
      </c>
      <c r="AA521" s="2857">
        <v>8.33</v>
      </c>
      <c r="AB521" s="2228">
        <v>6.9280914499938051</v>
      </c>
      <c r="AC521" s="2228">
        <v>8.4427503572736704</v>
      </c>
      <c r="AD521" s="2857"/>
      <c r="AE521" s="2857"/>
      <c r="AF521" s="2857"/>
      <c r="AG521" s="2857"/>
      <c r="AH521" s="1942"/>
      <c r="AI521" s="1942"/>
      <c r="AJ521" s="1942"/>
      <c r="AK521" s="1942"/>
      <c r="AL521" s="1942"/>
      <c r="AM521" s="1942"/>
      <c r="AN521" s="1942"/>
      <c r="AO521" s="1942"/>
      <c r="AP521" s="1942"/>
      <c r="AQ521" s="1942"/>
      <c r="AR521" s="1942"/>
      <c r="AS521" s="1942"/>
      <c r="AT521" s="1942"/>
      <c r="AU521" s="1942"/>
      <c r="AV521" s="1942"/>
      <c r="AW521" s="1942"/>
      <c r="AX521" s="1942"/>
      <c r="AY521" s="1942"/>
      <c r="AZ521" s="1942"/>
      <c r="BA521" s="1942"/>
      <c r="BB521" s="575"/>
      <c r="BC521" s="584"/>
      <c r="BD521" s="678"/>
      <c r="BE521" s="585"/>
    </row>
    <row r="522" spans="1:57" s="51" customFormat="1" ht="14.45" hidden="1" customHeight="1" outlineLevel="1" x14ac:dyDescent="0.25">
      <c r="A522" s="1267"/>
      <c r="B522" s="228"/>
      <c r="C522" s="328"/>
      <c r="D522" s="3990"/>
      <c r="E522" s="4009"/>
      <c r="F522" s="3385" t="str">
        <f t="shared" si="63"/>
        <v>CAC-SEER17_ER2_MF</v>
      </c>
      <c r="G522" s="3386"/>
      <c r="H522" s="3387"/>
      <c r="I522" s="3155" t="str">
        <f t="shared" si="64"/>
        <v>351100_2021_12_</v>
      </c>
      <c r="J522" s="2282"/>
      <c r="K522" s="129"/>
      <c r="L522" s="2976" t="s">
        <v>1017</v>
      </c>
      <c r="M522" s="328"/>
      <c r="N522" s="1544"/>
      <c r="O522" s="328"/>
      <c r="P522" s="123"/>
      <c r="Q522" s="123"/>
      <c r="R522" s="123"/>
      <c r="S522" s="123"/>
      <c r="T522" s="123"/>
      <c r="U522" s="123"/>
      <c r="V522" s="3990"/>
      <c r="W522" s="2857"/>
      <c r="X522" s="2857"/>
      <c r="Y522" s="2857"/>
      <c r="Z522" s="2857"/>
      <c r="AA522" s="2857"/>
      <c r="AB522" s="2227"/>
      <c r="AC522" s="2282"/>
      <c r="AD522" s="2857"/>
      <c r="AE522" s="2857"/>
      <c r="AF522" s="2857"/>
      <c r="AG522" s="2857"/>
      <c r="AH522" s="1942"/>
      <c r="AI522" s="1942"/>
      <c r="AJ522" s="1942"/>
      <c r="AK522" s="1942"/>
      <c r="AL522" s="1942"/>
      <c r="AM522" s="1942"/>
      <c r="AN522" s="1942"/>
      <c r="AO522" s="1942"/>
      <c r="AP522" s="1942"/>
      <c r="AQ522" s="1942"/>
      <c r="AR522" s="1942"/>
      <c r="AS522" s="1942"/>
      <c r="AT522" s="1942"/>
      <c r="AU522" s="1942"/>
      <c r="AV522" s="1942"/>
      <c r="AW522" s="1942"/>
      <c r="AX522" s="1942"/>
      <c r="AY522" s="1942"/>
      <c r="AZ522" s="1942"/>
      <c r="BA522" s="1942"/>
      <c r="BB522" s="575"/>
      <c r="BC522" s="584"/>
      <c r="BD522" s="678"/>
      <c r="BE522" s="585"/>
    </row>
    <row r="523" spans="1:57" s="51" customFormat="1" ht="14.45" hidden="1" customHeight="1" outlineLevel="1" x14ac:dyDescent="0.25">
      <c r="A523" s="1267"/>
      <c r="B523" s="228"/>
      <c r="C523" s="328"/>
      <c r="D523" s="3990"/>
      <c r="E523" s="4009"/>
      <c r="F523" s="3385" t="str">
        <f t="shared" si="63"/>
        <v>CAC-SEER17_ER1_MF_CompE</v>
      </c>
      <c r="G523" s="3386"/>
      <c r="H523" s="3387"/>
      <c r="I523" s="692" t="str">
        <f t="shared" si="64"/>
        <v>351101_2021_12_</v>
      </c>
      <c r="J523" s="2282">
        <v>8.33</v>
      </c>
      <c r="K523" s="2571"/>
      <c r="L523" s="2570" t="s">
        <v>838</v>
      </c>
      <c r="M523" s="328"/>
      <c r="N523" s="1544"/>
      <c r="O523" s="328"/>
      <c r="P523" s="123"/>
      <c r="Q523" s="123"/>
      <c r="R523" s="123"/>
      <c r="S523" s="123"/>
      <c r="T523" s="123"/>
      <c r="U523" s="123"/>
      <c r="V523" s="3990"/>
      <c r="W523" s="693"/>
      <c r="X523" s="693"/>
      <c r="Y523" s="693">
        <v>8.33</v>
      </c>
      <c r="Z523" s="693">
        <v>8.33</v>
      </c>
      <c r="AA523" s="693">
        <v>8.33</v>
      </c>
      <c r="AB523" s="2227">
        <v>8.33</v>
      </c>
      <c r="AC523" s="2282">
        <v>8.33</v>
      </c>
      <c r="AD523" s="693"/>
      <c r="AE523" s="693"/>
      <c r="AF523" s="693"/>
      <c r="AG523" s="693"/>
      <c r="AH523" s="1942"/>
      <c r="AI523" s="1942"/>
      <c r="AJ523" s="1942"/>
      <c r="AK523" s="1942"/>
      <c r="AL523" s="1942"/>
      <c r="AM523" s="1942"/>
      <c r="AN523" s="1942"/>
      <c r="AO523" s="1942"/>
      <c r="AP523" s="1942"/>
      <c r="AQ523" s="1942"/>
      <c r="AR523" s="1942"/>
      <c r="AS523" s="1942"/>
      <c r="AT523" s="1942"/>
      <c r="AU523" s="1942"/>
      <c r="AV523" s="1942"/>
      <c r="AW523" s="1942"/>
      <c r="AX523" s="1942"/>
      <c r="AY523" s="1942"/>
      <c r="AZ523" s="1942"/>
      <c r="BA523" s="1942"/>
      <c r="BB523" s="575"/>
      <c r="BC523" s="584"/>
      <c r="BD523" s="678"/>
      <c r="BE523" s="585"/>
    </row>
    <row r="524" spans="1:57" s="51" customFormat="1" ht="14.45" hidden="1" customHeight="1" outlineLevel="1" x14ac:dyDescent="0.25">
      <c r="A524" s="1267"/>
      <c r="B524" s="228"/>
      <c r="C524" s="328"/>
      <c r="D524" s="3990"/>
      <c r="E524" s="4009"/>
      <c r="F524" s="3385" t="str">
        <f t="shared" si="63"/>
        <v>CAC-SEER17_ER2_MF_CompE</v>
      </c>
      <c r="G524" s="3386"/>
      <c r="H524" s="3387"/>
      <c r="I524" s="692" t="str">
        <f t="shared" si="64"/>
        <v>351101_2021_12_</v>
      </c>
      <c r="J524" s="2564"/>
      <c r="K524" s="2571"/>
      <c r="L524" s="2974" t="s">
        <v>838</v>
      </c>
      <c r="M524" s="328"/>
      <c r="N524" s="1544"/>
      <c r="O524" s="328"/>
      <c r="P524" s="123"/>
      <c r="Q524" s="123"/>
      <c r="R524" s="123"/>
      <c r="S524" s="123"/>
      <c r="T524" s="123"/>
      <c r="U524" s="123"/>
      <c r="V524" s="3990"/>
      <c r="W524" s="693"/>
      <c r="X524" s="693"/>
      <c r="Y524" s="693"/>
      <c r="Z524" s="693"/>
      <c r="AA524" s="693"/>
      <c r="AB524" s="2229"/>
      <c r="AC524" s="2564"/>
      <c r="AD524" s="693"/>
      <c r="AE524" s="693"/>
      <c r="AF524" s="693"/>
      <c r="AG524" s="693"/>
      <c r="AH524" s="1942"/>
      <c r="AI524" s="1942"/>
      <c r="AJ524" s="1942"/>
      <c r="AK524" s="1942"/>
      <c r="AL524" s="1942"/>
      <c r="AM524" s="1942"/>
      <c r="AN524" s="1942"/>
      <c r="AO524" s="1942"/>
      <c r="AP524" s="1942"/>
      <c r="AQ524" s="1942"/>
      <c r="AR524" s="1942"/>
      <c r="AS524" s="1942"/>
      <c r="AT524" s="1942"/>
      <c r="AU524" s="1942"/>
      <c r="AV524" s="1942"/>
      <c r="AW524" s="1942"/>
      <c r="AX524" s="1942"/>
      <c r="AY524" s="1942"/>
      <c r="AZ524" s="1942"/>
      <c r="BA524" s="1942"/>
      <c r="BB524" s="575"/>
      <c r="BC524" s="584"/>
      <c r="BD524" s="678"/>
      <c r="BE524" s="585"/>
    </row>
    <row r="525" spans="1:57" s="51" customFormat="1" ht="15" hidden="1" customHeight="1" outlineLevel="1" x14ac:dyDescent="0.25">
      <c r="A525" s="1267"/>
      <c r="B525" s="228"/>
      <c r="C525" s="328"/>
      <c r="D525" s="3990"/>
      <c r="E525" s="4009"/>
      <c r="F525" s="3385" t="str">
        <f t="shared" si="63"/>
        <v>CAC-SEER17_ROF_MF</v>
      </c>
      <c r="G525" s="3386"/>
      <c r="H525" s="3387"/>
      <c r="I525" s="3155" t="str">
        <f t="shared" si="64"/>
        <v>351150_2021_12_</v>
      </c>
      <c r="J525" s="2282"/>
      <c r="K525" s="129"/>
      <c r="L525" s="2974" t="s">
        <v>838</v>
      </c>
      <c r="M525" s="328"/>
      <c r="N525" s="1544"/>
      <c r="O525" s="328"/>
      <c r="P525" s="123"/>
      <c r="Q525" s="123"/>
      <c r="R525" s="123"/>
      <c r="S525" s="123"/>
      <c r="T525" s="123"/>
      <c r="U525" s="123"/>
      <c r="V525" s="3990"/>
      <c r="W525" s="693"/>
      <c r="X525" s="2857"/>
      <c r="Y525" s="2857"/>
      <c r="Z525" s="2857"/>
      <c r="AA525" s="2857"/>
      <c r="AB525" s="2227"/>
      <c r="AC525" s="2282"/>
      <c r="AD525" s="2857"/>
      <c r="AE525" s="2857"/>
      <c r="AF525" s="2857"/>
      <c r="AG525" s="2857"/>
      <c r="AH525" s="1942"/>
      <c r="AI525" s="1942"/>
      <c r="AJ525" s="1942"/>
      <c r="AK525" s="1942"/>
      <c r="AL525" s="1942"/>
      <c r="AM525" s="1942"/>
      <c r="AN525" s="1942"/>
      <c r="AO525" s="1942"/>
      <c r="AP525" s="1942"/>
      <c r="AQ525" s="1942"/>
      <c r="AR525" s="1942"/>
      <c r="AS525" s="1942"/>
      <c r="AT525" s="1942"/>
      <c r="AU525" s="1942"/>
      <c r="AV525" s="1942"/>
      <c r="AW525" s="1942"/>
      <c r="AX525" s="1942"/>
      <c r="AY525" s="1942"/>
      <c r="AZ525" s="1942"/>
      <c r="BA525" s="1942"/>
      <c r="BB525" s="575"/>
      <c r="BC525" s="584"/>
      <c r="BD525" s="678"/>
      <c r="BE525" s="585"/>
    </row>
    <row r="526" spans="1:57" s="51" customFormat="1" ht="30" hidden="1" outlineLevel="1" x14ac:dyDescent="0.25">
      <c r="A526" s="1267"/>
      <c r="B526" s="228"/>
      <c r="C526" s="328"/>
      <c r="D526" s="4005"/>
      <c r="E526" s="3890"/>
      <c r="F526" s="3385" t="str">
        <f t="shared" si="63"/>
        <v>CAC-SEER17_ROF_MF_CompE</v>
      </c>
      <c r="G526" s="3386"/>
      <c r="H526" s="3387"/>
      <c r="I526" s="3155" t="str">
        <f t="shared" si="64"/>
        <v>351151_2021_12_</v>
      </c>
      <c r="J526" s="2282"/>
      <c r="K526" s="129"/>
      <c r="L526" s="2974" t="s">
        <v>838</v>
      </c>
      <c r="M526" s="328"/>
      <c r="N526" s="1544"/>
      <c r="O526" s="328"/>
      <c r="P526" s="123"/>
      <c r="Q526" s="123"/>
      <c r="R526" s="123"/>
      <c r="S526" s="123"/>
      <c r="T526" s="123"/>
      <c r="U526" s="123"/>
      <c r="V526" s="4005"/>
      <c r="W526" s="2857"/>
      <c r="X526" s="2857"/>
      <c r="Y526" s="2857"/>
      <c r="Z526" s="2857"/>
      <c r="AA526" s="2857"/>
      <c r="AB526" s="2227"/>
      <c r="AC526" s="2282"/>
      <c r="AD526" s="2857"/>
      <c r="AE526" s="2857"/>
      <c r="AF526" s="2857"/>
      <c r="AG526" s="2857"/>
      <c r="AH526" s="1942"/>
      <c r="AI526" s="1942"/>
      <c r="AJ526" s="1942"/>
      <c r="AK526" s="1942"/>
      <c r="AL526" s="1942"/>
      <c r="AM526" s="1942"/>
      <c r="AN526" s="1942"/>
      <c r="AO526" s="1942"/>
      <c r="AP526" s="1942"/>
      <c r="AQ526" s="1942"/>
      <c r="AR526" s="1942"/>
      <c r="AS526" s="1942"/>
      <c r="AT526" s="1942"/>
      <c r="AU526" s="1942"/>
      <c r="AV526" s="1942"/>
      <c r="AW526" s="1942"/>
      <c r="AX526" s="1942"/>
      <c r="AY526" s="1942"/>
      <c r="AZ526" s="1942"/>
      <c r="BA526" s="1942"/>
      <c r="BB526" s="575"/>
      <c r="BC526" s="584"/>
      <c r="BD526" s="678"/>
      <c r="BE526" s="585"/>
    </row>
    <row r="527" spans="1:57" s="51" customFormat="1" ht="14.45" hidden="1" customHeight="1" outlineLevel="1" x14ac:dyDescent="0.25">
      <c r="A527" s="1267"/>
      <c r="B527" s="228"/>
      <c r="C527" s="328"/>
      <c r="D527" s="4006"/>
      <c r="E527" s="4010"/>
      <c r="F527" s="3391" t="str">
        <f t="shared" si="63"/>
        <v>CAC-SEER18_ER1_SF</v>
      </c>
      <c r="G527" s="3392"/>
      <c r="H527" s="3393"/>
      <c r="I527" s="3155" t="str">
        <f t="shared" si="64"/>
        <v>351160_2021_12_</v>
      </c>
      <c r="J527" s="2228">
        <v>8.2545556293481042</v>
      </c>
      <c r="K527" s="129"/>
      <c r="L527" s="2973" t="s">
        <v>1019</v>
      </c>
      <c r="M527" s="328"/>
      <c r="N527" s="1544"/>
      <c r="O527" s="328"/>
      <c r="P527" s="123"/>
      <c r="Q527" s="123"/>
      <c r="R527" s="123"/>
      <c r="S527" s="123"/>
      <c r="T527" s="123"/>
      <c r="U527" s="123"/>
      <c r="V527" s="4005"/>
      <c r="W527" s="696"/>
      <c r="X527" s="3158"/>
      <c r="Y527" s="696"/>
      <c r="Z527" s="3158">
        <v>8.33</v>
      </c>
      <c r="AA527" s="696">
        <v>8.33</v>
      </c>
      <c r="AB527" s="2227">
        <v>8.33</v>
      </c>
      <c r="AC527" s="2228">
        <v>8.2545556293481042</v>
      </c>
      <c r="AD527" s="696"/>
      <c r="AE527" s="696"/>
      <c r="AF527" s="696"/>
      <c r="AG527" s="696"/>
      <c r="AH527" s="1942"/>
      <c r="AI527" s="1942"/>
      <c r="AJ527" s="1942"/>
      <c r="AK527" s="1942"/>
      <c r="AL527" s="1942"/>
      <c r="AM527" s="1942"/>
      <c r="AN527" s="1942"/>
      <c r="AO527" s="1942"/>
      <c r="AP527" s="1942"/>
      <c r="AQ527" s="1942"/>
      <c r="AR527" s="1942"/>
      <c r="AS527" s="1942"/>
      <c r="AT527" s="1942"/>
      <c r="AU527" s="1942"/>
      <c r="AV527" s="1942"/>
      <c r="AW527" s="1942"/>
      <c r="AX527" s="1942"/>
      <c r="AY527" s="1942"/>
      <c r="AZ527" s="1942"/>
      <c r="BA527" s="1942"/>
      <c r="BB527" s="575"/>
      <c r="BC527" s="584"/>
      <c r="BD527" s="678"/>
      <c r="BE527" s="585"/>
    </row>
    <row r="528" spans="1:57" s="51" customFormat="1" ht="14.45" hidden="1" customHeight="1" outlineLevel="1" x14ac:dyDescent="0.25">
      <c r="A528" s="1267"/>
      <c r="B528" s="228"/>
      <c r="C528" s="328"/>
      <c r="D528" s="4006"/>
      <c r="E528" s="4010"/>
      <c r="F528" s="3391" t="str">
        <f t="shared" si="63"/>
        <v>CAC-SEER18_ER2_SF</v>
      </c>
      <c r="G528" s="3392"/>
      <c r="H528" s="3393"/>
      <c r="I528" s="3155" t="str">
        <f t="shared" si="64"/>
        <v>351160_2021_12_</v>
      </c>
      <c r="J528" s="2282"/>
      <c r="K528" s="129"/>
      <c r="L528" s="2974" t="s">
        <v>838</v>
      </c>
      <c r="M528" s="328"/>
      <c r="N528" s="1544"/>
      <c r="O528" s="328"/>
      <c r="P528" s="123"/>
      <c r="Q528" s="123"/>
      <c r="R528" s="123"/>
      <c r="S528" s="123"/>
      <c r="T528" s="123"/>
      <c r="U528" s="123"/>
      <c r="V528" s="4005"/>
      <c r="W528" s="2857"/>
      <c r="X528" s="2857"/>
      <c r="Y528" s="2857"/>
      <c r="Z528" s="3155"/>
      <c r="AA528" s="2857"/>
      <c r="AB528" s="2227"/>
      <c r="AC528" s="2282"/>
      <c r="AD528" s="2857"/>
      <c r="AE528" s="2857"/>
      <c r="AF528" s="2857"/>
      <c r="AG528" s="2857"/>
      <c r="AH528" s="1942"/>
      <c r="AI528" s="1942"/>
      <c r="AJ528" s="1942"/>
      <c r="AK528" s="1942"/>
      <c r="AL528" s="1942"/>
      <c r="AM528" s="1942"/>
      <c r="AN528" s="1942"/>
      <c r="AO528" s="1942"/>
      <c r="AP528" s="1942"/>
      <c r="AQ528" s="1942"/>
      <c r="AR528" s="1942"/>
      <c r="AS528" s="1942"/>
      <c r="AT528" s="1942"/>
      <c r="AU528" s="1942"/>
      <c r="AV528" s="1942"/>
      <c r="AW528" s="1942"/>
      <c r="AX528" s="1942"/>
      <c r="AY528" s="1942"/>
      <c r="AZ528" s="1942"/>
      <c r="BA528" s="1942"/>
      <c r="BB528" s="575"/>
      <c r="BC528" s="584"/>
      <c r="BD528" s="678"/>
      <c r="BE528" s="585"/>
    </row>
    <row r="529" spans="1:57" s="51" customFormat="1" ht="14.45" hidden="1" customHeight="1" outlineLevel="1" x14ac:dyDescent="0.25">
      <c r="A529" s="1267"/>
      <c r="B529" s="228"/>
      <c r="C529" s="328"/>
      <c r="D529" s="4006"/>
      <c r="E529" s="4010"/>
      <c r="F529" s="3391" t="str">
        <f t="shared" si="63"/>
        <v>CAC-SEER18_ROF_SF</v>
      </c>
      <c r="G529" s="3392"/>
      <c r="H529" s="3393"/>
      <c r="I529" s="3155" t="str">
        <f t="shared" si="64"/>
        <v>351161_2021_12_</v>
      </c>
      <c r="J529" s="2564"/>
      <c r="K529" s="129"/>
      <c r="L529" s="2974" t="s">
        <v>838</v>
      </c>
      <c r="M529" s="328"/>
      <c r="N529" s="1544"/>
      <c r="O529" s="328"/>
      <c r="P529" s="123"/>
      <c r="Q529" s="123"/>
      <c r="R529" s="123"/>
      <c r="S529" s="123"/>
      <c r="T529" s="123"/>
      <c r="U529" s="123"/>
      <c r="V529" s="4005"/>
      <c r="W529" s="2857"/>
      <c r="X529" s="693"/>
      <c r="Y529" s="693"/>
      <c r="Z529" s="3155"/>
      <c r="AA529" s="2857"/>
      <c r="AB529" s="2229"/>
      <c r="AC529" s="2564"/>
      <c r="AD529" s="2857"/>
      <c r="AE529" s="2857"/>
      <c r="AF529" s="2857"/>
      <c r="AG529" s="2857"/>
      <c r="AH529" s="1942"/>
      <c r="AI529" s="1942"/>
      <c r="AJ529" s="1942"/>
      <c r="AK529" s="1942"/>
      <c r="AL529" s="1942"/>
      <c r="AM529" s="1942"/>
      <c r="AN529" s="1942"/>
      <c r="AO529" s="1942"/>
      <c r="AP529" s="1942"/>
      <c r="AQ529" s="1942"/>
      <c r="AR529" s="1942"/>
      <c r="AS529" s="1942"/>
      <c r="AT529" s="1942"/>
      <c r="AU529" s="1942"/>
      <c r="AV529" s="1942"/>
      <c r="AW529" s="1942"/>
      <c r="AX529" s="1942"/>
      <c r="AY529" s="1942"/>
      <c r="AZ529" s="1942"/>
      <c r="BA529" s="1942"/>
      <c r="BB529" s="575"/>
      <c r="BC529" s="584"/>
      <c r="BD529" s="678"/>
      <c r="BE529" s="585"/>
    </row>
    <row r="530" spans="1:57" s="51" customFormat="1" hidden="1" outlineLevel="1" x14ac:dyDescent="0.25">
      <c r="A530" s="1267"/>
      <c r="B530" s="228"/>
      <c r="C530" s="328"/>
      <c r="D530" s="4006"/>
      <c r="E530" s="4010"/>
      <c r="F530" s="3385" t="str">
        <f t="shared" si="63"/>
        <v>CAC-SEER18_ER1_MF</v>
      </c>
      <c r="G530" s="3386"/>
      <c r="H530" s="3387"/>
      <c r="I530" s="3155" t="str">
        <f t="shared" si="64"/>
        <v>351162_2021_12_</v>
      </c>
      <c r="J530" s="2228">
        <v>6.7219971629290205</v>
      </c>
      <c r="K530" s="129"/>
      <c r="L530" s="2973" t="s">
        <v>1019</v>
      </c>
      <c r="M530" s="328"/>
      <c r="N530" s="1544"/>
      <c r="O530" s="328"/>
      <c r="P530" s="123"/>
      <c r="Q530" s="123"/>
      <c r="R530" s="123"/>
      <c r="S530" s="123"/>
      <c r="T530" s="123"/>
      <c r="U530" s="123"/>
      <c r="V530" s="4005"/>
      <c r="W530" s="2857"/>
      <c r="X530" s="3155"/>
      <c r="Y530" s="2857"/>
      <c r="Z530" s="3155">
        <v>8.33</v>
      </c>
      <c r="AA530" s="2857">
        <v>8.33</v>
      </c>
      <c r="AB530" s="2227">
        <v>8.33</v>
      </c>
      <c r="AC530" s="2228">
        <v>6.7219971629290205</v>
      </c>
      <c r="AD530" s="2857"/>
      <c r="AE530" s="2857"/>
      <c r="AF530" s="2857"/>
      <c r="AG530" s="2857"/>
      <c r="AH530" s="1942"/>
      <c r="AI530" s="1942"/>
      <c r="AJ530" s="1942"/>
      <c r="AK530" s="1942"/>
      <c r="AL530" s="1942"/>
      <c r="AM530" s="1942"/>
      <c r="AN530" s="1942"/>
      <c r="AO530" s="1942"/>
      <c r="AP530" s="1942"/>
      <c r="AQ530" s="1942"/>
      <c r="AR530" s="1942"/>
      <c r="AS530" s="1942"/>
      <c r="AT530" s="1942"/>
      <c r="AU530" s="1942"/>
      <c r="AV530" s="1942"/>
      <c r="AW530" s="1942"/>
      <c r="AX530" s="1942"/>
      <c r="AY530" s="1942"/>
      <c r="AZ530" s="1942"/>
      <c r="BA530" s="1942"/>
      <c r="BB530" s="575"/>
      <c r="BC530" s="584"/>
      <c r="BD530" s="678"/>
      <c r="BE530" s="585"/>
    </row>
    <row r="531" spans="1:57" s="51" customFormat="1" ht="30" hidden="1" outlineLevel="1" x14ac:dyDescent="0.25">
      <c r="A531" s="1267"/>
      <c r="B531" s="228"/>
      <c r="C531" s="328"/>
      <c r="D531" s="4006"/>
      <c r="E531" s="4010"/>
      <c r="F531" s="3385" t="str">
        <f t="shared" ref="F531:F594" si="65">F459</f>
        <v>CAC-SEER18_ER2_MF</v>
      </c>
      <c r="G531" s="3386"/>
      <c r="H531" s="3387"/>
      <c r="I531" s="3155" t="str">
        <f t="shared" ref="I531:I594" si="66">I459</f>
        <v>351162_2021_12_</v>
      </c>
      <c r="J531" s="2282"/>
      <c r="K531" s="129"/>
      <c r="L531" s="2974" t="s">
        <v>838</v>
      </c>
      <c r="M531" s="328"/>
      <c r="N531" s="1544"/>
      <c r="O531" s="328"/>
      <c r="P531" s="123"/>
      <c r="Q531" s="123"/>
      <c r="R531" s="123"/>
      <c r="S531" s="123"/>
      <c r="T531" s="123"/>
      <c r="U531" s="123"/>
      <c r="V531" s="4005"/>
      <c r="W531" s="2857"/>
      <c r="X531" s="2857"/>
      <c r="Y531" s="2857"/>
      <c r="Z531" s="3155"/>
      <c r="AA531" s="2857"/>
      <c r="AB531" s="2227"/>
      <c r="AC531" s="2282"/>
      <c r="AD531" s="2857"/>
      <c r="AE531" s="2857"/>
      <c r="AF531" s="2857"/>
      <c r="AG531" s="2857"/>
      <c r="AH531" s="1942"/>
      <c r="AI531" s="1942"/>
      <c r="AJ531" s="1942"/>
      <c r="AK531" s="1942"/>
      <c r="AL531" s="1942"/>
      <c r="AM531" s="1942"/>
      <c r="AN531" s="1942"/>
      <c r="AO531" s="1942"/>
      <c r="AP531" s="1942"/>
      <c r="AQ531" s="1942"/>
      <c r="AR531" s="1942"/>
      <c r="AS531" s="1942"/>
      <c r="AT531" s="1942"/>
      <c r="AU531" s="1942"/>
      <c r="AV531" s="1942"/>
      <c r="AW531" s="1942"/>
      <c r="AX531" s="1942"/>
      <c r="AY531" s="1942"/>
      <c r="AZ531" s="1942"/>
      <c r="BA531" s="1942"/>
      <c r="BB531" s="575"/>
      <c r="BC531" s="584"/>
      <c r="BD531" s="678"/>
      <c r="BE531" s="585"/>
    </row>
    <row r="532" spans="1:57" s="51" customFormat="1" ht="30" hidden="1" outlineLevel="1" x14ac:dyDescent="0.25">
      <c r="A532" s="1267"/>
      <c r="B532" s="228"/>
      <c r="C532" s="328"/>
      <c r="D532" s="4006"/>
      <c r="E532" s="4010"/>
      <c r="F532" s="3385" t="str">
        <f t="shared" si="65"/>
        <v>CAC-SEER18_ER1_MF_CompE</v>
      </c>
      <c r="G532" s="3386"/>
      <c r="H532" s="3387"/>
      <c r="I532" s="3155" t="str">
        <f t="shared" si="66"/>
        <v>351163_2021_12_</v>
      </c>
      <c r="J532" s="2282">
        <v>8.33</v>
      </c>
      <c r="K532" s="129"/>
      <c r="L532" s="2570" t="s">
        <v>838</v>
      </c>
      <c r="M532" s="328"/>
      <c r="N532" s="1544"/>
      <c r="O532" s="328"/>
      <c r="P532" s="123"/>
      <c r="Q532" s="123"/>
      <c r="R532" s="123"/>
      <c r="S532" s="123"/>
      <c r="T532" s="123"/>
      <c r="U532" s="123"/>
      <c r="V532" s="4005"/>
      <c r="W532" s="2857"/>
      <c r="X532" s="2857"/>
      <c r="Y532" s="2857"/>
      <c r="Z532" s="3155">
        <v>8.33</v>
      </c>
      <c r="AA532" s="2857">
        <v>8.33</v>
      </c>
      <c r="AB532" s="2227">
        <v>8.33</v>
      </c>
      <c r="AC532" s="2282">
        <v>8.33</v>
      </c>
      <c r="AD532" s="2857"/>
      <c r="AE532" s="2857"/>
      <c r="AF532" s="2857"/>
      <c r="AG532" s="2857"/>
      <c r="AH532" s="1942"/>
      <c r="AI532" s="1942"/>
      <c r="AJ532" s="1942"/>
      <c r="AK532" s="1942"/>
      <c r="AL532" s="1942"/>
      <c r="AM532" s="1942"/>
      <c r="AN532" s="1942"/>
      <c r="AO532" s="1942"/>
      <c r="AP532" s="1942"/>
      <c r="AQ532" s="1942"/>
      <c r="AR532" s="1942"/>
      <c r="AS532" s="1942"/>
      <c r="AT532" s="1942"/>
      <c r="AU532" s="1942"/>
      <c r="AV532" s="1942"/>
      <c r="AW532" s="1942"/>
      <c r="AX532" s="1942"/>
      <c r="AY532" s="1942"/>
      <c r="AZ532" s="1942"/>
      <c r="BA532" s="1942"/>
      <c r="BB532" s="575"/>
      <c r="BC532" s="584"/>
      <c r="BD532" s="678"/>
      <c r="BE532" s="585"/>
    </row>
    <row r="533" spans="1:57" s="51" customFormat="1" ht="30" hidden="1" outlineLevel="1" x14ac:dyDescent="0.25">
      <c r="A533" s="1267"/>
      <c r="B533" s="228"/>
      <c r="C533" s="328"/>
      <c r="D533" s="4006"/>
      <c r="E533" s="4010"/>
      <c r="F533" s="3385" t="str">
        <f t="shared" si="65"/>
        <v>CAC-SEER18_ER2_MF_CompE</v>
      </c>
      <c r="G533" s="3386"/>
      <c r="H533" s="3387"/>
      <c r="I533" s="3155" t="str">
        <f t="shared" si="66"/>
        <v>351163_2021_12_</v>
      </c>
      <c r="J533" s="2282"/>
      <c r="K533" s="129"/>
      <c r="L533" s="2974" t="s">
        <v>838</v>
      </c>
      <c r="M533" s="328"/>
      <c r="N533" s="1544"/>
      <c r="O533" s="328"/>
      <c r="P533" s="123"/>
      <c r="Q533" s="123"/>
      <c r="R533" s="123"/>
      <c r="S533" s="123"/>
      <c r="T533" s="123"/>
      <c r="U533" s="123"/>
      <c r="V533" s="4005"/>
      <c r="W533" s="2857"/>
      <c r="X533" s="2857"/>
      <c r="Y533" s="2857"/>
      <c r="Z533" s="3155"/>
      <c r="AA533" s="2857"/>
      <c r="AB533" s="2227"/>
      <c r="AC533" s="2282"/>
      <c r="AD533" s="2857"/>
      <c r="AE533" s="2857"/>
      <c r="AF533" s="2857"/>
      <c r="AG533" s="2857"/>
      <c r="AH533" s="1942"/>
      <c r="AI533" s="1942"/>
      <c r="AJ533" s="1942"/>
      <c r="AK533" s="1942"/>
      <c r="AL533" s="1942"/>
      <c r="AM533" s="1942"/>
      <c r="AN533" s="1942"/>
      <c r="AO533" s="1942"/>
      <c r="AP533" s="1942"/>
      <c r="AQ533" s="1942"/>
      <c r="AR533" s="1942"/>
      <c r="AS533" s="1942"/>
      <c r="AT533" s="1942"/>
      <c r="AU533" s="1942"/>
      <c r="AV533" s="1942"/>
      <c r="AW533" s="1942"/>
      <c r="AX533" s="1942"/>
      <c r="AY533" s="1942"/>
      <c r="AZ533" s="1942"/>
      <c r="BA533" s="1942"/>
      <c r="BB533" s="575"/>
      <c r="BC533" s="584"/>
      <c r="BD533" s="678"/>
      <c r="BE533" s="585"/>
    </row>
    <row r="534" spans="1:57" s="51" customFormat="1" ht="30" hidden="1" outlineLevel="1" x14ac:dyDescent="0.25">
      <c r="A534" s="1267"/>
      <c r="B534" s="228"/>
      <c r="C534" s="328"/>
      <c r="D534" s="4006"/>
      <c r="E534" s="4010"/>
      <c r="F534" s="3385" t="str">
        <f t="shared" si="65"/>
        <v>CAC-SEER18_ROF_MF</v>
      </c>
      <c r="G534" s="3386"/>
      <c r="H534" s="3387"/>
      <c r="I534" s="3155" t="str">
        <f t="shared" si="66"/>
        <v>351164_2021_12_</v>
      </c>
      <c r="J534" s="2282"/>
      <c r="K534" s="129"/>
      <c r="L534" s="2974" t="s">
        <v>838</v>
      </c>
      <c r="M534" s="328"/>
      <c r="N534" s="1544"/>
      <c r="O534" s="328"/>
      <c r="P534" s="123"/>
      <c r="Q534" s="123"/>
      <c r="R534" s="123"/>
      <c r="S534" s="123"/>
      <c r="T534" s="123"/>
      <c r="U534" s="123"/>
      <c r="V534" s="4005"/>
      <c r="W534" s="2857"/>
      <c r="X534" s="2857"/>
      <c r="Y534" s="2857"/>
      <c r="Z534" s="3155"/>
      <c r="AA534" s="2857"/>
      <c r="AB534" s="2227"/>
      <c r="AC534" s="2282"/>
      <c r="AD534" s="2857"/>
      <c r="AE534" s="2857"/>
      <c r="AF534" s="2857"/>
      <c r="AG534" s="2857"/>
      <c r="AH534" s="1942"/>
      <c r="AI534" s="1942"/>
      <c r="AJ534" s="1942"/>
      <c r="AK534" s="1942"/>
      <c r="AL534" s="1942"/>
      <c r="AM534" s="1942"/>
      <c r="AN534" s="1942"/>
      <c r="AO534" s="1942"/>
      <c r="AP534" s="1942"/>
      <c r="AQ534" s="1942"/>
      <c r="AR534" s="1942"/>
      <c r="AS534" s="1942"/>
      <c r="AT534" s="1942"/>
      <c r="AU534" s="1942"/>
      <c r="AV534" s="1942"/>
      <c r="AW534" s="1942"/>
      <c r="AX534" s="1942"/>
      <c r="AY534" s="1942"/>
      <c r="AZ534" s="1942"/>
      <c r="BA534" s="1942"/>
      <c r="BB534" s="575"/>
      <c r="BC534" s="584"/>
      <c r="BD534" s="678"/>
      <c r="BE534" s="585"/>
    </row>
    <row r="535" spans="1:57" s="51" customFormat="1" ht="30" hidden="1" outlineLevel="1" x14ac:dyDescent="0.25">
      <c r="A535" s="1267"/>
      <c r="B535" s="228"/>
      <c r="C535" s="328"/>
      <c r="D535" s="4006"/>
      <c r="E535" s="4010"/>
      <c r="F535" s="3385" t="str">
        <f t="shared" si="65"/>
        <v>CAC-SEER18_ROF_MF_CompE</v>
      </c>
      <c r="G535" s="3386"/>
      <c r="H535" s="3387"/>
      <c r="I535" s="3155" t="str">
        <f t="shared" si="66"/>
        <v>351165_2021_12_</v>
      </c>
      <c r="J535" s="2282"/>
      <c r="K535" s="129"/>
      <c r="L535" s="2974" t="s">
        <v>838</v>
      </c>
      <c r="M535" s="328"/>
      <c r="N535" s="1544"/>
      <c r="O535" s="328"/>
      <c r="P535" s="123"/>
      <c r="Q535" s="123"/>
      <c r="R535" s="123"/>
      <c r="S535" s="123"/>
      <c r="T535" s="123"/>
      <c r="U535" s="123"/>
      <c r="V535" s="4005"/>
      <c r="W535" s="2857"/>
      <c r="X535" s="2857"/>
      <c r="Y535" s="2857"/>
      <c r="Z535" s="3155"/>
      <c r="AA535" s="2857"/>
      <c r="AB535" s="2227"/>
      <c r="AC535" s="2282"/>
      <c r="AD535" s="2857"/>
      <c r="AE535" s="2857"/>
      <c r="AF535" s="2857"/>
      <c r="AG535" s="2857"/>
      <c r="AH535" s="1942"/>
      <c r="AI535" s="1942"/>
      <c r="AJ535" s="1942"/>
      <c r="AK535" s="1942"/>
      <c r="AL535" s="1942"/>
      <c r="AM535" s="1942"/>
      <c r="AN535" s="1942"/>
      <c r="AO535" s="1942"/>
      <c r="AP535" s="1942"/>
      <c r="AQ535" s="1942"/>
      <c r="AR535" s="1942"/>
      <c r="AS535" s="1942"/>
      <c r="AT535" s="1942"/>
      <c r="AU535" s="1942"/>
      <c r="AV535" s="1942"/>
      <c r="AW535" s="1942"/>
      <c r="AX535" s="1942"/>
      <c r="AY535" s="1942"/>
      <c r="AZ535" s="1942"/>
      <c r="BA535" s="1942"/>
      <c r="BB535" s="575"/>
      <c r="BC535" s="584"/>
      <c r="BD535" s="678"/>
      <c r="BE535" s="585"/>
    </row>
    <row r="536" spans="1:57" s="51" customFormat="1" hidden="1" outlineLevel="1" x14ac:dyDescent="0.25">
      <c r="A536" s="1267"/>
      <c r="B536" s="228"/>
      <c r="C536" s="328"/>
      <c r="D536" s="4006"/>
      <c r="E536" s="4010"/>
      <c r="F536" s="3385" t="str">
        <f t="shared" si="65"/>
        <v>CAC-SEER19_ER1_SF</v>
      </c>
      <c r="G536" s="3386"/>
      <c r="H536" s="3387"/>
      <c r="I536" s="3155" t="str">
        <f t="shared" si="66"/>
        <v>351170_2021_12_</v>
      </c>
      <c r="J536" s="2228">
        <v>8.1633174958765817</v>
      </c>
      <c r="K536" s="129"/>
      <c r="L536" s="2973" t="s">
        <v>1019</v>
      </c>
      <c r="M536" s="328"/>
      <c r="N536" s="1544"/>
      <c r="O536" s="328"/>
      <c r="P536" s="123"/>
      <c r="Q536" s="123"/>
      <c r="R536" s="123"/>
      <c r="S536" s="123"/>
      <c r="T536" s="123"/>
      <c r="U536" s="123"/>
      <c r="V536" s="4005"/>
      <c r="W536" s="2857"/>
      <c r="X536" s="3155"/>
      <c r="Y536" s="2857"/>
      <c r="Z536" s="3155">
        <v>8.33</v>
      </c>
      <c r="AA536" s="2857">
        <v>8.33</v>
      </c>
      <c r="AB536" s="2227">
        <v>8.33</v>
      </c>
      <c r="AC536" s="2228">
        <v>8.1633174958765817</v>
      </c>
      <c r="AD536" s="2857"/>
      <c r="AE536" s="2857"/>
      <c r="AF536" s="2857"/>
      <c r="AG536" s="2857"/>
      <c r="AH536" s="1942"/>
      <c r="AI536" s="1942"/>
      <c r="AJ536" s="1942"/>
      <c r="AK536" s="1942"/>
      <c r="AL536" s="1942"/>
      <c r="AM536" s="1942"/>
      <c r="AN536" s="1942"/>
      <c r="AO536" s="1942"/>
      <c r="AP536" s="1942"/>
      <c r="AQ536" s="1942"/>
      <c r="AR536" s="1942"/>
      <c r="AS536" s="1942"/>
      <c r="AT536" s="1942"/>
      <c r="AU536" s="1942"/>
      <c r="AV536" s="1942"/>
      <c r="AW536" s="1942"/>
      <c r="AX536" s="1942"/>
      <c r="AY536" s="1942"/>
      <c r="AZ536" s="1942"/>
      <c r="BA536" s="1942"/>
      <c r="BB536" s="575"/>
      <c r="BC536" s="584"/>
      <c r="BD536" s="678"/>
      <c r="BE536" s="585"/>
    </row>
    <row r="537" spans="1:57" s="51" customFormat="1" ht="30" hidden="1" outlineLevel="1" x14ac:dyDescent="0.25">
      <c r="A537" s="1267"/>
      <c r="B537" s="228"/>
      <c r="C537" s="328"/>
      <c r="D537" s="4006"/>
      <c r="E537" s="4010"/>
      <c r="F537" s="3385" t="str">
        <f t="shared" si="65"/>
        <v>CAC-SEER19_ER2_SF</v>
      </c>
      <c r="G537" s="3386"/>
      <c r="H537" s="3387"/>
      <c r="I537" s="3155" t="str">
        <f t="shared" si="66"/>
        <v>351170_2021_12_</v>
      </c>
      <c r="J537" s="2282"/>
      <c r="K537" s="129"/>
      <c r="L537" s="2974" t="s">
        <v>838</v>
      </c>
      <c r="M537" s="328"/>
      <c r="N537" s="1544"/>
      <c r="O537" s="328"/>
      <c r="P537" s="123"/>
      <c r="Q537" s="123"/>
      <c r="R537" s="123"/>
      <c r="S537" s="123"/>
      <c r="T537" s="123"/>
      <c r="U537" s="123"/>
      <c r="V537" s="4005"/>
      <c r="W537" s="2857"/>
      <c r="X537" s="2857"/>
      <c r="Y537" s="2857"/>
      <c r="Z537" s="3155"/>
      <c r="AA537" s="2857"/>
      <c r="AB537" s="2227"/>
      <c r="AC537" s="2282"/>
      <c r="AD537" s="2857"/>
      <c r="AE537" s="2857"/>
      <c r="AF537" s="2857"/>
      <c r="AG537" s="2857"/>
      <c r="AH537" s="1942"/>
      <c r="AI537" s="1942"/>
      <c r="AJ537" s="1942"/>
      <c r="AK537" s="1942"/>
      <c r="AL537" s="1942"/>
      <c r="AM537" s="1942"/>
      <c r="AN537" s="1942"/>
      <c r="AO537" s="1942"/>
      <c r="AP537" s="1942"/>
      <c r="AQ537" s="1942"/>
      <c r="AR537" s="1942"/>
      <c r="AS537" s="1942"/>
      <c r="AT537" s="1942"/>
      <c r="AU537" s="1942"/>
      <c r="AV537" s="1942"/>
      <c r="AW537" s="1942"/>
      <c r="AX537" s="1942"/>
      <c r="AY537" s="1942"/>
      <c r="AZ537" s="1942"/>
      <c r="BA537" s="1942"/>
      <c r="BB537" s="575"/>
      <c r="BC537" s="584"/>
      <c r="BD537" s="678"/>
      <c r="BE537" s="585"/>
    </row>
    <row r="538" spans="1:57" s="51" customFormat="1" ht="30" hidden="1" outlineLevel="1" x14ac:dyDescent="0.25">
      <c r="A538" s="1267"/>
      <c r="B538" s="228"/>
      <c r="C538" s="328"/>
      <c r="D538" s="4006"/>
      <c r="E538" s="4010"/>
      <c r="F538" s="3385" t="str">
        <f t="shared" si="65"/>
        <v>CAC-SEER19_ROF_SF</v>
      </c>
      <c r="G538" s="3386"/>
      <c r="H538" s="3387"/>
      <c r="I538" s="3155" t="str">
        <f t="shared" si="66"/>
        <v>351171_2021_12_</v>
      </c>
      <c r="J538" s="2282"/>
      <c r="K538" s="129"/>
      <c r="L538" s="2974" t="s">
        <v>838</v>
      </c>
      <c r="M538" s="328"/>
      <c r="N538" s="1544"/>
      <c r="O538" s="328"/>
      <c r="P538" s="123"/>
      <c r="Q538" s="123"/>
      <c r="R538" s="123"/>
      <c r="S538" s="123"/>
      <c r="T538" s="123"/>
      <c r="U538" s="123"/>
      <c r="V538" s="4005"/>
      <c r="W538" s="2857"/>
      <c r="X538" s="2857"/>
      <c r="Y538" s="2857"/>
      <c r="Z538" s="3155"/>
      <c r="AA538" s="2857"/>
      <c r="AB538" s="2227"/>
      <c r="AC538" s="2282"/>
      <c r="AD538" s="2857"/>
      <c r="AE538" s="2857"/>
      <c r="AF538" s="2857"/>
      <c r="AG538" s="2857"/>
      <c r="AH538" s="1942"/>
      <c r="AI538" s="1942"/>
      <c r="AJ538" s="1942"/>
      <c r="AK538" s="1942"/>
      <c r="AL538" s="1942"/>
      <c r="AM538" s="1942"/>
      <c r="AN538" s="1942"/>
      <c r="AO538" s="1942"/>
      <c r="AP538" s="1942"/>
      <c r="AQ538" s="1942"/>
      <c r="AR538" s="1942"/>
      <c r="AS538" s="1942"/>
      <c r="AT538" s="1942"/>
      <c r="AU538" s="1942"/>
      <c r="AV538" s="1942"/>
      <c r="AW538" s="1942"/>
      <c r="AX538" s="1942"/>
      <c r="AY538" s="1942"/>
      <c r="AZ538" s="1942"/>
      <c r="BA538" s="1942"/>
      <c r="BB538" s="575"/>
      <c r="BC538" s="584"/>
      <c r="BD538" s="678"/>
      <c r="BE538" s="585"/>
    </row>
    <row r="539" spans="1:57" s="51" customFormat="1" ht="30" hidden="1" outlineLevel="1" x14ac:dyDescent="0.25">
      <c r="A539" s="1267"/>
      <c r="B539" s="228"/>
      <c r="C539" s="328"/>
      <c r="D539" s="4006"/>
      <c r="E539" s="4010"/>
      <c r="F539" s="3385" t="str">
        <f t="shared" si="65"/>
        <v>CAC-SEER19_ER1_MF</v>
      </c>
      <c r="G539" s="3386"/>
      <c r="H539" s="3387"/>
      <c r="I539" s="3155" t="str">
        <f t="shared" si="66"/>
        <v>351172_2021_12_</v>
      </c>
      <c r="J539" s="2282">
        <v>8.33</v>
      </c>
      <c r="K539" s="129"/>
      <c r="L539" s="2570" t="s">
        <v>838</v>
      </c>
      <c r="M539" s="328"/>
      <c r="N539" s="1544"/>
      <c r="O539" s="328"/>
      <c r="P539" s="123"/>
      <c r="Q539" s="123"/>
      <c r="R539" s="123"/>
      <c r="S539" s="123"/>
      <c r="T539" s="123"/>
      <c r="U539" s="123"/>
      <c r="V539" s="4005"/>
      <c r="W539" s="2857"/>
      <c r="X539" s="3155"/>
      <c r="Y539" s="2857"/>
      <c r="Z539" s="3155">
        <v>8.33</v>
      </c>
      <c r="AA539" s="2857">
        <v>8.33</v>
      </c>
      <c r="AB539" s="2227">
        <v>8.33</v>
      </c>
      <c r="AC539" s="2282">
        <v>8.33</v>
      </c>
      <c r="AD539" s="2857"/>
      <c r="AE539" s="2857"/>
      <c r="AF539" s="2857"/>
      <c r="AG539" s="2857"/>
      <c r="AH539" s="1942"/>
      <c r="AI539" s="1942"/>
      <c r="AJ539" s="1942"/>
      <c r="AK539" s="1942"/>
      <c r="AL539" s="1942"/>
      <c r="AM539" s="1942"/>
      <c r="AN539" s="1942"/>
      <c r="AO539" s="1942"/>
      <c r="AP539" s="1942"/>
      <c r="AQ539" s="1942"/>
      <c r="AR539" s="1942"/>
      <c r="AS539" s="1942"/>
      <c r="AT539" s="1942"/>
      <c r="AU539" s="1942"/>
      <c r="AV539" s="1942"/>
      <c r="AW539" s="1942"/>
      <c r="AX539" s="1942"/>
      <c r="AY539" s="1942"/>
      <c r="AZ539" s="1942"/>
      <c r="BA539" s="1942"/>
      <c r="BB539" s="575"/>
      <c r="BC539" s="584"/>
      <c r="BD539" s="678"/>
      <c r="BE539" s="585"/>
    </row>
    <row r="540" spans="1:57" s="51" customFormat="1" ht="30" hidden="1" outlineLevel="1" x14ac:dyDescent="0.25">
      <c r="A540" s="1267"/>
      <c r="B540" s="228"/>
      <c r="C540" s="328"/>
      <c r="D540" s="4006"/>
      <c r="E540" s="4010"/>
      <c r="F540" s="3385" t="str">
        <f t="shared" si="65"/>
        <v>CAC-SEER19_ER2_MF</v>
      </c>
      <c r="G540" s="3386"/>
      <c r="H540" s="3387"/>
      <c r="I540" s="3155" t="str">
        <f t="shared" si="66"/>
        <v>351172_2021_12_</v>
      </c>
      <c r="J540" s="2282"/>
      <c r="K540" s="129"/>
      <c r="L540" s="2974" t="s">
        <v>838</v>
      </c>
      <c r="M540" s="328"/>
      <c r="N540" s="1544"/>
      <c r="O540" s="328"/>
      <c r="P540" s="123"/>
      <c r="Q540" s="123"/>
      <c r="R540" s="123"/>
      <c r="S540" s="123"/>
      <c r="T540" s="123"/>
      <c r="U540" s="123"/>
      <c r="V540" s="4005"/>
      <c r="W540" s="2857"/>
      <c r="X540" s="2857"/>
      <c r="Y540" s="2857"/>
      <c r="Z540" s="3155"/>
      <c r="AA540" s="2857"/>
      <c r="AB540" s="2227"/>
      <c r="AC540" s="2282"/>
      <c r="AD540" s="2857"/>
      <c r="AE540" s="2857"/>
      <c r="AF540" s="2857"/>
      <c r="AG540" s="2857"/>
      <c r="AH540" s="1942"/>
      <c r="AI540" s="1942"/>
      <c r="AJ540" s="1942"/>
      <c r="AK540" s="1942"/>
      <c r="AL540" s="1942"/>
      <c r="AM540" s="1942"/>
      <c r="AN540" s="1942"/>
      <c r="AO540" s="1942"/>
      <c r="AP540" s="1942"/>
      <c r="AQ540" s="1942"/>
      <c r="AR540" s="1942"/>
      <c r="AS540" s="1942"/>
      <c r="AT540" s="1942"/>
      <c r="AU540" s="1942"/>
      <c r="AV540" s="1942"/>
      <c r="AW540" s="1942"/>
      <c r="AX540" s="1942"/>
      <c r="AY540" s="1942"/>
      <c r="AZ540" s="1942"/>
      <c r="BA540" s="1942"/>
      <c r="BB540" s="575"/>
      <c r="BC540" s="584"/>
      <c r="BD540" s="678"/>
      <c r="BE540" s="585"/>
    </row>
    <row r="541" spans="1:57" s="51" customFormat="1" ht="30" hidden="1" outlineLevel="1" x14ac:dyDescent="0.25">
      <c r="A541" s="1267"/>
      <c r="B541" s="228"/>
      <c r="C541" s="328"/>
      <c r="D541" s="4006"/>
      <c r="E541" s="4010"/>
      <c r="F541" s="3385" t="str">
        <f t="shared" si="65"/>
        <v>CAC-SEER19_ER1_MF_CompE</v>
      </c>
      <c r="G541" s="3386"/>
      <c r="H541" s="3387"/>
      <c r="I541" s="3155" t="str">
        <f t="shared" si="66"/>
        <v>351173_2021_12_</v>
      </c>
      <c r="J541" s="2282">
        <v>8.33</v>
      </c>
      <c r="K541" s="129"/>
      <c r="L541" s="2570" t="s">
        <v>838</v>
      </c>
      <c r="M541" s="328"/>
      <c r="N541" s="1544"/>
      <c r="O541" s="328"/>
      <c r="P541" s="123"/>
      <c r="Q541" s="123"/>
      <c r="R541" s="123"/>
      <c r="S541" s="123"/>
      <c r="T541" s="123"/>
      <c r="U541" s="123"/>
      <c r="V541" s="4005"/>
      <c r="W541" s="2857"/>
      <c r="X541" s="2857"/>
      <c r="Y541" s="2857"/>
      <c r="Z541" s="3155">
        <v>8.33</v>
      </c>
      <c r="AA541" s="2857">
        <v>8.33</v>
      </c>
      <c r="AB541" s="2227">
        <v>8.33</v>
      </c>
      <c r="AC541" s="2282">
        <v>8.33</v>
      </c>
      <c r="AD541" s="2857"/>
      <c r="AE541" s="2857"/>
      <c r="AF541" s="2857"/>
      <c r="AG541" s="2857"/>
      <c r="AH541" s="1942"/>
      <c r="AI541" s="1942"/>
      <c r="AJ541" s="1942"/>
      <c r="AK541" s="1942"/>
      <c r="AL541" s="1942"/>
      <c r="AM541" s="1942"/>
      <c r="AN541" s="1942"/>
      <c r="AO541" s="1942"/>
      <c r="AP541" s="1942"/>
      <c r="AQ541" s="1942"/>
      <c r="AR541" s="1942"/>
      <c r="AS541" s="1942"/>
      <c r="AT541" s="1942"/>
      <c r="AU541" s="1942"/>
      <c r="AV541" s="1942"/>
      <c r="AW541" s="1942"/>
      <c r="AX541" s="1942"/>
      <c r="AY541" s="1942"/>
      <c r="AZ541" s="1942"/>
      <c r="BA541" s="1942"/>
      <c r="BB541" s="575"/>
      <c r="BC541" s="584"/>
      <c r="BD541" s="678"/>
      <c r="BE541" s="585"/>
    </row>
    <row r="542" spans="1:57" s="51" customFormat="1" ht="30" hidden="1" outlineLevel="1" x14ac:dyDescent="0.25">
      <c r="A542" s="1267"/>
      <c r="B542" s="228"/>
      <c r="C542" s="328"/>
      <c r="D542" s="4006"/>
      <c r="E542" s="4010"/>
      <c r="F542" s="3385" t="str">
        <f t="shared" si="65"/>
        <v>CAC-SEER19_ER2_MF_CompE</v>
      </c>
      <c r="G542" s="3386"/>
      <c r="H542" s="3387"/>
      <c r="I542" s="3155" t="str">
        <f t="shared" si="66"/>
        <v>351173_2021_12_</v>
      </c>
      <c r="J542" s="2282"/>
      <c r="K542" s="129"/>
      <c r="L542" s="2974" t="s">
        <v>838</v>
      </c>
      <c r="M542" s="328"/>
      <c r="N542" s="1544"/>
      <c r="O542" s="328"/>
      <c r="P542" s="123"/>
      <c r="Q542" s="123"/>
      <c r="R542" s="123"/>
      <c r="S542" s="123"/>
      <c r="T542" s="123"/>
      <c r="U542" s="123"/>
      <c r="V542" s="4005"/>
      <c r="W542" s="2857"/>
      <c r="X542" s="2857"/>
      <c r="Y542" s="2857"/>
      <c r="Z542" s="3155"/>
      <c r="AA542" s="2857"/>
      <c r="AB542" s="2227"/>
      <c r="AC542" s="2282"/>
      <c r="AD542" s="2857"/>
      <c r="AE542" s="2857"/>
      <c r="AF542" s="2857"/>
      <c r="AG542" s="2857"/>
      <c r="AH542" s="1942"/>
      <c r="AI542" s="1942"/>
      <c r="AJ542" s="1942"/>
      <c r="AK542" s="1942"/>
      <c r="AL542" s="1942"/>
      <c r="AM542" s="1942"/>
      <c r="AN542" s="1942"/>
      <c r="AO542" s="1942"/>
      <c r="AP542" s="1942"/>
      <c r="AQ542" s="1942"/>
      <c r="AR542" s="1942"/>
      <c r="AS542" s="1942"/>
      <c r="AT542" s="1942"/>
      <c r="AU542" s="1942"/>
      <c r="AV542" s="1942"/>
      <c r="AW542" s="1942"/>
      <c r="AX542" s="1942"/>
      <c r="AY542" s="1942"/>
      <c r="AZ542" s="1942"/>
      <c r="BA542" s="1942"/>
      <c r="BB542" s="575"/>
      <c r="BC542" s="584"/>
      <c r="BD542" s="678"/>
      <c r="BE542" s="585"/>
    </row>
    <row r="543" spans="1:57" s="51" customFormat="1" ht="30" hidden="1" outlineLevel="1" x14ac:dyDescent="0.25">
      <c r="A543" s="1267"/>
      <c r="B543" s="228"/>
      <c r="C543" s="328"/>
      <c r="D543" s="4006"/>
      <c r="E543" s="4010"/>
      <c r="F543" s="3385" t="str">
        <f t="shared" si="65"/>
        <v>CAC-SEER19_ROF_MF</v>
      </c>
      <c r="G543" s="3386"/>
      <c r="H543" s="3387"/>
      <c r="I543" s="3155" t="str">
        <f t="shared" si="66"/>
        <v>351174_2021_12_</v>
      </c>
      <c r="J543" s="2282"/>
      <c r="K543" s="129"/>
      <c r="L543" s="2974" t="s">
        <v>838</v>
      </c>
      <c r="M543" s="328"/>
      <c r="N543" s="1544"/>
      <c r="O543" s="328"/>
      <c r="P543" s="123"/>
      <c r="Q543" s="123"/>
      <c r="R543" s="123"/>
      <c r="S543" s="123"/>
      <c r="T543" s="123"/>
      <c r="U543" s="123"/>
      <c r="V543" s="4005"/>
      <c r="W543" s="2857"/>
      <c r="X543" s="2857"/>
      <c r="Y543" s="2857"/>
      <c r="Z543" s="3155"/>
      <c r="AA543" s="2857"/>
      <c r="AB543" s="2227"/>
      <c r="AC543" s="2282"/>
      <c r="AD543" s="2857"/>
      <c r="AE543" s="2857"/>
      <c r="AF543" s="2857"/>
      <c r="AG543" s="2857"/>
      <c r="AH543" s="1942"/>
      <c r="AI543" s="1942"/>
      <c r="AJ543" s="1942"/>
      <c r="AK543" s="1942"/>
      <c r="AL543" s="1942"/>
      <c r="AM543" s="1942"/>
      <c r="AN543" s="1942"/>
      <c r="AO543" s="1942"/>
      <c r="AP543" s="1942"/>
      <c r="AQ543" s="1942"/>
      <c r="AR543" s="1942"/>
      <c r="AS543" s="1942"/>
      <c r="AT543" s="1942"/>
      <c r="AU543" s="1942"/>
      <c r="AV543" s="1942"/>
      <c r="AW543" s="1942"/>
      <c r="AX543" s="1942"/>
      <c r="AY543" s="1942"/>
      <c r="AZ543" s="1942"/>
      <c r="BA543" s="1942"/>
      <c r="BB543" s="575"/>
      <c r="BC543" s="584"/>
      <c r="BD543" s="678"/>
      <c r="BE543" s="585"/>
    </row>
    <row r="544" spans="1:57" s="51" customFormat="1" ht="30" hidden="1" outlineLevel="1" x14ac:dyDescent="0.25">
      <c r="A544" s="1267"/>
      <c r="B544" s="228"/>
      <c r="C544" s="328"/>
      <c r="D544" s="4006"/>
      <c r="E544" s="4010"/>
      <c r="F544" s="3385" t="str">
        <f t="shared" si="65"/>
        <v>CAC-SEER19_ROF_MF_CompE</v>
      </c>
      <c r="G544" s="3386"/>
      <c r="H544" s="3387"/>
      <c r="I544" s="3155" t="str">
        <f t="shared" si="66"/>
        <v>351175_2021_12_</v>
      </c>
      <c r="J544" s="2282"/>
      <c r="K544" s="129"/>
      <c r="L544" s="2974" t="s">
        <v>838</v>
      </c>
      <c r="M544" s="328"/>
      <c r="N544" s="1544"/>
      <c r="O544" s="328"/>
      <c r="P544" s="123"/>
      <c r="Q544" s="123"/>
      <c r="R544" s="123"/>
      <c r="S544" s="123"/>
      <c r="T544" s="123"/>
      <c r="U544" s="123"/>
      <c r="V544" s="4005"/>
      <c r="W544" s="2857"/>
      <c r="X544" s="2857"/>
      <c r="Y544" s="2857"/>
      <c r="Z544" s="3155"/>
      <c r="AA544" s="2857"/>
      <c r="AB544" s="2227"/>
      <c r="AC544" s="2282"/>
      <c r="AD544" s="2857"/>
      <c r="AE544" s="2857"/>
      <c r="AF544" s="2857"/>
      <c r="AG544" s="2857"/>
      <c r="AH544" s="1942"/>
      <c r="AI544" s="1942"/>
      <c r="AJ544" s="1942"/>
      <c r="AK544" s="1942"/>
      <c r="AL544" s="1942"/>
      <c r="AM544" s="1942"/>
      <c r="AN544" s="1942"/>
      <c r="AO544" s="1942"/>
      <c r="AP544" s="1942"/>
      <c r="AQ544" s="1942"/>
      <c r="AR544" s="1942"/>
      <c r="AS544" s="1942"/>
      <c r="AT544" s="1942"/>
      <c r="AU544" s="1942"/>
      <c r="AV544" s="1942"/>
      <c r="AW544" s="1942"/>
      <c r="AX544" s="1942"/>
      <c r="AY544" s="1942"/>
      <c r="AZ544" s="1942"/>
      <c r="BA544" s="1942"/>
      <c r="BB544" s="575"/>
      <c r="BC544" s="584"/>
      <c r="BD544" s="678"/>
      <c r="BE544" s="585"/>
    </row>
    <row r="545" spans="1:57" s="51" customFormat="1" hidden="1" outlineLevel="1" x14ac:dyDescent="0.25">
      <c r="A545" s="1267"/>
      <c r="B545" s="228"/>
      <c r="C545" s="328"/>
      <c r="D545" s="4006"/>
      <c r="E545" s="4010"/>
      <c r="F545" s="3385" t="str">
        <f t="shared" si="65"/>
        <v>CAC-SEER20_ER1_SF</v>
      </c>
      <c r="G545" s="3386"/>
      <c r="H545" s="3387"/>
      <c r="I545" s="3155" t="str">
        <f t="shared" si="66"/>
        <v>351180_2021_12_</v>
      </c>
      <c r="J545" s="2228">
        <v>8.3552367744076541</v>
      </c>
      <c r="K545" s="129"/>
      <c r="L545" s="2973" t="s">
        <v>1019</v>
      </c>
      <c r="M545" s="328"/>
      <c r="N545" s="1544"/>
      <c r="O545" s="328"/>
      <c r="P545" s="123"/>
      <c r="Q545" s="123"/>
      <c r="R545" s="123"/>
      <c r="S545" s="123"/>
      <c r="T545" s="123"/>
      <c r="U545" s="123"/>
      <c r="V545" s="4005"/>
      <c r="W545" s="2857"/>
      <c r="X545" s="3155"/>
      <c r="Y545" s="2857"/>
      <c r="Z545" s="3155">
        <v>8.33</v>
      </c>
      <c r="AA545" s="2857">
        <v>8.33</v>
      </c>
      <c r="AB545" s="2227">
        <v>8.33</v>
      </c>
      <c r="AC545" s="2228">
        <v>8.3552367744076541</v>
      </c>
      <c r="AD545" s="2857"/>
      <c r="AE545" s="2857"/>
      <c r="AF545" s="2857"/>
      <c r="AG545" s="2857"/>
      <c r="AH545" s="1942"/>
      <c r="AI545" s="1942"/>
      <c r="AJ545" s="1942"/>
      <c r="AK545" s="1942"/>
      <c r="AL545" s="1942"/>
      <c r="AM545" s="1942"/>
      <c r="AN545" s="1942"/>
      <c r="AO545" s="1942"/>
      <c r="AP545" s="1942"/>
      <c r="AQ545" s="1942"/>
      <c r="AR545" s="1942"/>
      <c r="AS545" s="1942"/>
      <c r="AT545" s="1942"/>
      <c r="AU545" s="1942"/>
      <c r="AV545" s="1942"/>
      <c r="AW545" s="1942"/>
      <c r="AX545" s="1942"/>
      <c r="AY545" s="1942"/>
      <c r="AZ545" s="1942"/>
      <c r="BA545" s="1942"/>
      <c r="BB545" s="575"/>
      <c r="BC545" s="584"/>
      <c r="BD545" s="678"/>
      <c r="BE545" s="585"/>
    </row>
    <row r="546" spans="1:57" s="51" customFormat="1" ht="30" hidden="1" outlineLevel="1" x14ac:dyDescent="0.25">
      <c r="A546" s="1267"/>
      <c r="B546" s="228"/>
      <c r="C546" s="328"/>
      <c r="D546" s="4006"/>
      <c r="E546" s="4010"/>
      <c r="F546" s="3385" t="str">
        <f t="shared" si="65"/>
        <v>CAC-SEER20_ER2_SF</v>
      </c>
      <c r="G546" s="3386"/>
      <c r="H546" s="3387"/>
      <c r="I546" s="3155" t="str">
        <f t="shared" si="66"/>
        <v>351180_2021_12_</v>
      </c>
      <c r="J546" s="2282"/>
      <c r="K546" s="129"/>
      <c r="L546" s="2974" t="s">
        <v>838</v>
      </c>
      <c r="M546" s="328"/>
      <c r="N546" s="1544"/>
      <c r="O546" s="328"/>
      <c r="P546" s="123"/>
      <c r="Q546" s="123"/>
      <c r="R546" s="123"/>
      <c r="S546" s="123"/>
      <c r="T546" s="123"/>
      <c r="U546" s="123"/>
      <c r="V546" s="4005"/>
      <c r="W546" s="2857"/>
      <c r="X546" s="2857"/>
      <c r="Y546" s="2857"/>
      <c r="Z546" s="3155"/>
      <c r="AA546" s="2857"/>
      <c r="AB546" s="2227"/>
      <c r="AC546" s="2282"/>
      <c r="AD546" s="2857"/>
      <c r="AE546" s="2857"/>
      <c r="AF546" s="2857"/>
      <c r="AG546" s="2857"/>
      <c r="AH546" s="1942"/>
      <c r="AI546" s="1942"/>
      <c r="AJ546" s="1942"/>
      <c r="AK546" s="1942"/>
      <c r="AL546" s="1942"/>
      <c r="AM546" s="1942"/>
      <c r="AN546" s="1942"/>
      <c r="AO546" s="1942"/>
      <c r="AP546" s="1942"/>
      <c r="AQ546" s="1942"/>
      <c r="AR546" s="1942"/>
      <c r="AS546" s="1942"/>
      <c r="AT546" s="1942"/>
      <c r="AU546" s="1942"/>
      <c r="AV546" s="1942"/>
      <c r="AW546" s="1942"/>
      <c r="AX546" s="1942"/>
      <c r="AY546" s="1942"/>
      <c r="AZ546" s="1942"/>
      <c r="BA546" s="1942"/>
      <c r="BB546" s="575"/>
      <c r="BC546" s="584"/>
      <c r="BD546" s="678"/>
      <c r="BE546" s="585"/>
    </row>
    <row r="547" spans="1:57" s="51" customFormat="1" ht="30" hidden="1" outlineLevel="1" x14ac:dyDescent="0.25">
      <c r="A547" s="1267"/>
      <c r="B547" s="228"/>
      <c r="C547" s="328"/>
      <c r="D547" s="4006"/>
      <c r="E547" s="4010"/>
      <c r="F547" s="3385" t="str">
        <f t="shared" si="65"/>
        <v>CAC-SEER20_ROF_SF</v>
      </c>
      <c r="G547" s="3386"/>
      <c r="H547" s="3387"/>
      <c r="I547" s="3155" t="str">
        <f t="shared" si="66"/>
        <v>351181_2021_12_</v>
      </c>
      <c r="J547" s="2282"/>
      <c r="K547" s="129"/>
      <c r="L547" s="2974" t="s">
        <v>838</v>
      </c>
      <c r="M547" s="328"/>
      <c r="N547" s="1544"/>
      <c r="O547" s="328"/>
      <c r="P547" s="123"/>
      <c r="Q547" s="123"/>
      <c r="R547" s="123"/>
      <c r="S547" s="123"/>
      <c r="T547" s="123"/>
      <c r="U547" s="123"/>
      <c r="V547" s="4005"/>
      <c r="W547" s="2857"/>
      <c r="X547" s="2857"/>
      <c r="Y547" s="2857"/>
      <c r="Z547" s="3155"/>
      <c r="AA547" s="2857"/>
      <c r="AB547" s="2227"/>
      <c r="AC547" s="2282"/>
      <c r="AD547" s="2857"/>
      <c r="AE547" s="2857"/>
      <c r="AF547" s="2857"/>
      <c r="AG547" s="2857"/>
      <c r="AH547" s="1942"/>
      <c r="AI547" s="1942"/>
      <c r="AJ547" s="1942"/>
      <c r="AK547" s="1942"/>
      <c r="AL547" s="1942"/>
      <c r="AM547" s="1942"/>
      <c r="AN547" s="1942"/>
      <c r="AO547" s="1942"/>
      <c r="AP547" s="1942"/>
      <c r="AQ547" s="1942"/>
      <c r="AR547" s="1942"/>
      <c r="AS547" s="1942"/>
      <c r="AT547" s="1942"/>
      <c r="AU547" s="1942"/>
      <c r="AV547" s="1942"/>
      <c r="AW547" s="1942"/>
      <c r="AX547" s="1942"/>
      <c r="AY547" s="1942"/>
      <c r="AZ547" s="1942"/>
      <c r="BA547" s="1942"/>
      <c r="BB547" s="575"/>
      <c r="BC547" s="584"/>
      <c r="BD547" s="678"/>
      <c r="BE547" s="585"/>
    </row>
    <row r="548" spans="1:57" s="51" customFormat="1" hidden="1" outlineLevel="1" x14ac:dyDescent="0.25">
      <c r="A548" s="1267"/>
      <c r="B548" s="228"/>
      <c r="C548" s="328"/>
      <c r="D548" s="4006"/>
      <c r="E548" s="4010"/>
      <c r="F548" s="3385" t="str">
        <f t="shared" si="65"/>
        <v>CAC-SEER20_ER1_MF</v>
      </c>
      <c r="G548" s="3386"/>
      <c r="H548" s="3387"/>
      <c r="I548" s="3155" t="str">
        <f t="shared" si="66"/>
        <v>351182_2021_12_</v>
      </c>
      <c r="J548" s="2228">
        <v>8.402496453661275</v>
      </c>
      <c r="K548" s="129"/>
      <c r="L548" s="2973" t="s">
        <v>1019</v>
      </c>
      <c r="M548" s="328"/>
      <c r="N548" s="1544"/>
      <c r="O548" s="328"/>
      <c r="P548" s="123"/>
      <c r="Q548" s="123"/>
      <c r="R548" s="123"/>
      <c r="S548" s="123"/>
      <c r="T548" s="123"/>
      <c r="U548" s="123"/>
      <c r="V548" s="4005"/>
      <c r="W548" s="2857"/>
      <c r="X548" s="3155"/>
      <c r="Y548" s="2857"/>
      <c r="Z548" s="3155">
        <v>8.33</v>
      </c>
      <c r="AA548" s="2857">
        <v>8.33</v>
      </c>
      <c r="AB548" s="2227">
        <v>8.33</v>
      </c>
      <c r="AC548" s="2228">
        <v>8.402496453661275</v>
      </c>
      <c r="AD548" s="2857"/>
      <c r="AE548" s="2857"/>
      <c r="AF548" s="2857"/>
      <c r="AG548" s="2857"/>
      <c r="AH548" s="1942"/>
      <c r="AI548" s="1942"/>
      <c r="AJ548" s="1942"/>
      <c r="AK548" s="1942"/>
      <c r="AL548" s="1942"/>
      <c r="AM548" s="1942"/>
      <c r="AN548" s="1942"/>
      <c r="AO548" s="1942"/>
      <c r="AP548" s="1942"/>
      <c r="AQ548" s="1942"/>
      <c r="AR548" s="1942"/>
      <c r="AS548" s="1942"/>
      <c r="AT548" s="1942"/>
      <c r="AU548" s="1942"/>
      <c r="AV548" s="1942"/>
      <c r="AW548" s="1942"/>
      <c r="AX548" s="1942"/>
      <c r="AY548" s="1942"/>
      <c r="AZ548" s="1942"/>
      <c r="BA548" s="1942"/>
      <c r="BB548" s="575"/>
      <c r="BC548" s="584"/>
      <c r="BD548" s="678"/>
      <c r="BE548" s="585"/>
    </row>
    <row r="549" spans="1:57" s="51" customFormat="1" ht="30" hidden="1" outlineLevel="1" x14ac:dyDescent="0.25">
      <c r="A549" s="1267"/>
      <c r="B549" s="228"/>
      <c r="C549" s="328"/>
      <c r="D549" s="4006"/>
      <c r="E549" s="4010"/>
      <c r="F549" s="3385" t="str">
        <f t="shared" si="65"/>
        <v>CAC-SEER20_ER2_MF</v>
      </c>
      <c r="G549" s="3386"/>
      <c r="H549" s="3387"/>
      <c r="I549" s="3155" t="str">
        <f t="shared" si="66"/>
        <v>351182_2021_12_</v>
      </c>
      <c r="J549" s="2282"/>
      <c r="K549" s="129"/>
      <c r="L549" s="2974" t="s">
        <v>838</v>
      </c>
      <c r="M549" s="328"/>
      <c r="N549" s="1544"/>
      <c r="O549" s="328"/>
      <c r="P549" s="123"/>
      <c r="Q549" s="123"/>
      <c r="R549" s="123"/>
      <c r="S549" s="123"/>
      <c r="T549" s="123"/>
      <c r="U549" s="123"/>
      <c r="V549" s="4005"/>
      <c r="W549" s="2857"/>
      <c r="X549" s="2857"/>
      <c r="Y549" s="2857"/>
      <c r="Z549" s="3155"/>
      <c r="AA549" s="2857"/>
      <c r="AB549" s="2227"/>
      <c r="AC549" s="2282"/>
      <c r="AD549" s="2857"/>
      <c r="AE549" s="2857"/>
      <c r="AF549" s="2857"/>
      <c r="AG549" s="2857"/>
      <c r="AH549" s="1942"/>
      <c r="AI549" s="1942"/>
      <c r="AJ549" s="1942"/>
      <c r="AK549" s="1942"/>
      <c r="AL549" s="1942"/>
      <c r="AM549" s="1942"/>
      <c r="AN549" s="1942"/>
      <c r="AO549" s="1942"/>
      <c r="AP549" s="1942"/>
      <c r="AQ549" s="1942"/>
      <c r="AR549" s="1942"/>
      <c r="AS549" s="1942"/>
      <c r="AT549" s="1942"/>
      <c r="AU549" s="1942"/>
      <c r="AV549" s="1942"/>
      <c r="AW549" s="1942"/>
      <c r="AX549" s="1942"/>
      <c r="AY549" s="1942"/>
      <c r="AZ549" s="1942"/>
      <c r="BA549" s="1942"/>
      <c r="BB549" s="575"/>
      <c r="BC549" s="584"/>
      <c r="BD549" s="678"/>
      <c r="BE549" s="585"/>
    </row>
    <row r="550" spans="1:57" s="51" customFormat="1" ht="30" hidden="1" outlineLevel="1" x14ac:dyDescent="0.25">
      <c r="A550" s="1267"/>
      <c r="B550" s="228"/>
      <c r="C550" s="328"/>
      <c r="D550" s="4006"/>
      <c r="E550" s="4010"/>
      <c r="F550" s="3385" t="str">
        <f t="shared" si="65"/>
        <v>CAC-SEER20_ER1_MF_CompE</v>
      </c>
      <c r="G550" s="3386"/>
      <c r="H550" s="3387"/>
      <c r="I550" s="3155" t="str">
        <f t="shared" si="66"/>
        <v>351183_2021_12_</v>
      </c>
      <c r="J550" s="2282">
        <v>8.33</v>
      </c>
      <c r="K550" s="129"/>
      <c r="L550" s="2570" t="s">
        <v>838</v>
      </c>
      <c r="M550" s="328"/>
      <c r="N550" s="1544"/>
      <c r="O550" s="328"/>
      <c r="P550" s="123"/>
      <c r="Q550" s="123"/>
      <c r="R550" s="123"/>
      <c r="S550" s="123"/>
      <c r="T550" s="123"/>
      <c r="U550" s="123"/>
      <c r="V550" s="4005"/>
      <c r="W550" s="2857"/>
      <c r="X550" s="2857"/>
      <c r="Y550" s="2857"/>
      <c r="Z550" s="3155">
        <v>8.33</v>
      </c>
      <c r="AA550" s="2857">
        <v>8.33</v>
      </c>
      <c r="AB550" s="2227">
        <v>8.33</v>
      </c>
      <c r="AC550" s="2282">
        <v>8.33</v>
      </c>
      <c r="AD550" s="2857"/>
      <c r="AE550" s="2857"/>
      <c r="AF550" s="2857"/>
      <c r="AG550" s="2857"/>
      <c r="AH550" s="1942"/>
      <c r="AI550" s="1942"/>
      <c r="AJ550" s="1942"/>
      <c r="AK550" s="1942"/>
      <c r="AL550" s="1942"/>
      <c r="AM550" s="1942"/>
      <c r="AN550" s="1942"/>
      <c r="AO550" s="1942"/>
      <c r="AP550" s="1942"/>
      <c r="AQ550" s="1942"/>
      <c r="AR550" s="1942"/>
      <c r="AS550" s="1942"/>
      <c r="AT550" s="1942"/>
      <c r="AU550" s="1942"/>
      <c r="AV550" s="1942"/>
      <c r="AW550" s="1942"/>
      <c r="AX550" s="1942"/>
      <c r="AY550" s="1942"/>
      <c r="AZ550" s="1942"/>
      <c r="BA550" s="1942"/>
      <c r="BB550" s="575"/>
      <c r="BC550" s="584"/>
      <c r="BD550" s="678"/>
      <c r="BE550" s="585"/>
    </row>
    <row r="551" spans="1:57" s="51" customFormat="1" ht="30" hidden="1" outlineLevel="1" x14ac:dyDescent="0.25">
      <c r="A551" s="1267"/>
      <c r="B551" s="228"/>
      <c r="C551" s="328"/>
      <c r="D551" s="4006"/>
      <c r="E551" s="4010"/>
      <c r="F551" s="3385" t="str">
        <f t="shared" si="65"/>
        <v>CAC-SEER20_ER2_MF_CompE</v>
      </c>
      <c r="G551" s="3386"/>
      <c r="H551" s="3387"/>
      <c r="I551" s="3155" t="str">
        <f t="shared" si="66"/>
        <v>351183_2021_12_</v>
      </c>
      <c r="J551" s="2282"/>
      <c r="K551" s="129"/>
      <c r="L551" s="2974" t="s">
        <v>838</v>
      </c>
      <c r="M551" s="328"/>
      <c r="N551" s="1544"/>
      <c r="O551" s="328"/>
      <c r="P551" s="123"/>
      <c r="Q551" s="123"/>
      <c r="R551" s="123"/>
      <c r="S551" s="123"/>
      <c r="T551" s="123"/>
      <c r="U551" s="123"/>
      <c r="V551" s="4005"/>
      <c r="W551" s="2857"/>
      <c r="X551" s="2857"/>
      <c r="Y551" s="2857"/>
      <c r="Z551" s="3155"/>
      <c r="AA551" s="2857"/>
      <c r="AB551" s="2227"/>
      <c r="AC551" s="2282"/>
      <c r="AD551" s="2857"/>
      <c r="AE551" s="2857"/>
      <c r="AF551" s="2857"/>
      <c r="AG551" s="2857"/>
      <c r="AH551" s="1942"/>
      <c r="AI551" s="1942"/>
      <c r="AJ551" s="1942"/>
      <c r="AK551" s="1942"/>
      <c r="AL551" s="1942"/>
      <c r="AM551" s="1942"/>
      <c r="AN551" s="1942"/>
      <c r="AO551" s="1942"/>
      <c r="AP551" s="1942"/>
      <c r="AQ551" s="1942"/>
      <c r="AR551" s="1942"/>
      <c r="AS551" s="1942"/>
      <c r="AT551" s="1942"/>
      <c r="AU551" s="1942"/>
      <c r="AV551" s="1942"/>
      <c r="AW551" s="1942"/>
      <c r="AX551" s="1942"/>
      <c r="AY551" s="1942"/>
      <c r="AZ551" s="1942"/>
      <c r="BA551" s="1942"/>
      <c r="BB551" s="575"/>
      <c r="BC551" s="584"/>
      <c r="BD551" s="678"/>
      <c r="BE551" s="585"/>
    </row>
    <row r="552" spans="1:57" s="51" customFormat="1" ht="30" hidden="1" outlineLevel="1" x14ac:dyDescent="0.25">
      <c r="A552" s="1267"/>
      <c r="B552" s="228"/>
      <c r="C552" s="328"/>
      <c r="D552" s="4006"/>
      <c r="E552" s="4010"/>
      <c r="F552" s="3385" t="str">
        <f t="shared" si="65"/>
        <v>CAC-SEER20_ROF_MF</v>
      </c>
      <c r="G552" s="3386"/>
      <c r="H552" s="3387"/>
      <c r="I552" s="3155" t="str">
        <f t="shared" si="66"/>
        <v>351184_2021_12_</v>
      </c>
      <c r="J552" s="2282"/>
      <c r="K552" s="129"/>
      <c r="L552" s="2974" t="s">
        <v>838</v>
      </c>
      <c r="M552" s="328"/>
      <c r="N552" s="1544"/>
      <c r="O552" s="328"/>
      <c r="P552" s="123"/>
      <c r="Q552" s="123"/>
      <c r="R552" s="123"/>
      <c r="S552" s="123"/>
      <c r="T552" s="123"/>
      <c r="U552" s="123"/>
      <c r="V552" s="4005"/>
      <c r="W552" s="2857"/>
      <c r="X552" s="2857"/>
      <c r="Y552" s="2857"/>
      <c r="Z552" s="3155"/>
      <c r="AA552" s="2857"/>
      <c r="AB552" s="2227"/>
      <c r="AC552" s="2282"/>
      <c r="AD552" s="2857"/>
      <c r="AE552" s="2857"/>
      <c r="AF552" s="2857"/>
      <c r="AG552" s="2857"/>
      <c r="AH552" s="1942"/>
      <c r="AI552" s="1942"/>
      <c r="AJ552" s="1942"/>
      <c r="AK552" s="1942"/>
      <c r="AL552" s="1942"/>
      <c r="AM552" s="1942"/>
      <c r="AN552" s="1942"/>
      <c r="AO552" s="1942"/>
      <c r="AP552" s="1942"/>
      <c r="AQ552" s="1942"/>
      <c r="AR552" s="1942"/>
      <c r="AS552" s="1942"/>
      <c r="AT552" s="1942"/>
      <c r="AU552" s="1942"/>
      <c r="AV552" s="1942"/>
      <c r="AW552" s="1942"/>
      <c r="AX552" s="1942"/>
      <c r="AY552" s="1942"/>
      <c r="AZ552" s="1942"/>
      <c r="BA552" s="1942"/>
      <c r="BB552" s="575"/>
      <c r="BC552" s="584"/>
      <c r="BD552" s="678"/>
      <c r="BE552" s="585"/>
    </row>
    <row r="553" spans="1:57" s="51" customFormat="1" ht="30" hidden="1" outlineLevel="1" x14ac:dyDescent="0.25">
      <c r="A553" s="1267"/>
      <c r="B553" s="228"/>
      <c r="C553" s="328"/>
      <c r="D553" s="4006"/>
      <c r="E553" s="4010"/>
      <c r="F553" s="3385" t="str">
        <f t="shared" si="65"/>
        <v>CAC-SEER20_ROF_MF_CompE</v>
      </c>
      <c r="G553" s="3386"/>
      <c r="H553" s="3387"/>
      <c r="I553" s="3155" t="str">
        <f t="shared" si="66"/>
        <v>351185_2021_12_</v>
      </c>
      <c r="J553" s="2282"/>
      <c r="K553" s="129"/>
      <c r="L553" s="2974" t="s">
        <v>838</v>
      </c>
      <c r="M553" s="328"/>
      <c r="N553" s="1544"/>
      <c r="O553" s="328"/>
      <c r="P553" s="123"/>
      <c r="Q553" s="123"/>
      <c r="R553" s="123"/>
      <c r="S553" s="123"/>
      <c r="T553" s="123"/>
      <c r="U553" s="123"/>
      <c r="V553" s="4005"/>
      <c r="W553" s="2857"/>
      <c r="X553" s="2857"/>
      <c r="Y553" s="2857"/>
      <c r="Z553" s="3155"/>
      <c r="AA553" s="2857"/>
      <c r="AB553" s="2227"/>
      <c r="AC553" s="2282"/>
      <c r="AD553" s="2857"/>
      <c r="AE553" s="2857"/>
      <c r="AF553" s="2857"/>
      <c r="AG553" s="2857"/>
      <c r="AH553" s="1942"/>
      <c r="AI553" s="1942"/>
      <c r="AJ553" s="1942"/>
      <c r="AK553" s="1942"/>
      <c r="AL553" s="1942"/>
      <c r="AM553" s="1942"/>
      <c r="AN553" s="1942"/>
      <c r="AO553" s="1942"/>
      <c r="AP553" s="1942"/>
      <c r="AQ553" s="1942"/>
      <c r="AR553" s="1942"/>
      <c r="AS553" s="1942"/>
      <c r="AT553" s="1942"/>
      <c r="AU553" s="1942"/>
      <c r="AV553" s="1942"/>
      <c r="AW553" s="1942"/>
      <c r="AX553" s="1942"/>
      <c r="AY553" s="1942"/>
      <c r="AZ553" s="1942"/>
      <c r="BA553" s="1942"/>
      <c r="BB553" s="575"/>
      <c r="BC553" s="584"/>
      <c r="BD553" s="678"/>
      <c r="BE553" s="585"/>
    </row>
    <row r="554" spans="1:57" s="51" customFormat="1" hidden="1" outlineLevel="1" x14ac:dyDescent="0.25">
      <c r="A554" s="1267"/>
      <c r="B554" s="228"/>
      <c r="C554" s="328"/>
      <c r="D554" s="4006"/>
      <c r="E554" s="4010"/>
      <c r="F554" s="3385" t="str">
        <f t="shared" si="65"/>
        <v>CAC-SEER21+_ER1_SF</v>
      </c>
      <c r="G554" s="3386"/>
      <c r="H554" s="3387"/>
      <c r="I554" s="3155" t="str">
        <f t="shared" si="66"/>
        <v>351190_2021_12_</v>
      </c>
      <c r="J554" s="2228">
        <v>8.45383975017978</v>
      </c>
      <c r="K554" s="129"/>
      <c r="L554" s="2973" t="s">
        <v>1019</v>
      </c>
      <c r="M554" s="328"/>
      <c r="N554" s="1544"/>
      <c r="O554" s="328"/>
      <c r="P554" s="123"/>
      <c r="Q554" s="123"/>
      <c r="R554" s="123"/>
      <c r="S554" s="123"/>
      <c r="T554" s="123"/>
      <c r="U554" s="123"/>
      <c r="V554" s="4005"/>
      <c r="W554" s="2857"/>
      <c r="X554" s="3155"/>
      <c r="Y554" s="2857"/>
      <c r="Z554" s="3155">
        <v>8.33</v>
      </c>
      <c r="AA554" s="2857">
        <v>8.33</v>
      </c>
      <c r="AB554" s="2227">
        <v>8.33</v>
      </c>
      <c r="AC554" s="2228">
        <v>8.45383975017978</v>
      </c>
      <c r="AD554" s="2857"/>
      <c r="AE554" s="2857"/>
      <c r="AF554" s="2857"/>
      <c r="AG554" s="2857"/>
      <c r="AH554" s="1942"/>
      <c r="AI554" s="1942"/>
      <c r="AJ554" s="1942"/>
      <c r="AK554" s="1942"/>
      <c r="AL554" s="1942"/>
      <c r="AM554" s="1942"/>
      <c r="AN554" s="1942"/>
      <c r="AO554" s="1942"/>
      <c r="AP554" s="1942"/>
      <c r="AQ554" s="1942"/>
      <c r="AR554" s="1942"/>
      <c r="AS554" s="1942"/>
      <c r="AT554" s="1942"/>
      <c r="AU554" s="1942"/>
      <c r="AV554" s="1942"/>
      <c r="AW554" s="1942"/>
      <c r="AX554" s="1942"/>
      <c r="AY554" s="1942"/>
      <c r="AZ554" s="1942"/>
      <c r="BA554" s="1942"/>
      <c r="BB554" s="575"/>
      <c r="BC554" s="584"/>
      <c r="BD554" s="678"/>
      <c r="BE554" s="585"/>
    </row>
    <row r="555" spans="1:57" s="51" customFormat="1" ht="14.45" hidden="1" customHeight="1" outlineLevel="1" x14ac:dyDescent="0.25">
      <c r="A555" s="1267"/>
      <c r="B555" s="228"/>
      <c r="C555" s="328"/>
      <c r="D555" s="4006"/>
      <c r="E555" s="4010"/>
      <c r="F555" s="3385" t="str">
        <f t="shared" si="65"/>
        <v>CAC-SEER21+_ER2_SF</v>
      </c>
      <c r="G555" s="3386"/>
      <c r="H555" s="3387"/>
      <c r="I555" s="3155" t="str">
        <f t="shared" si="66"/>
        <v>351190_2021_12_</v>
      </c>
      <c r="J555" s="2282"/>
      <c r="K555" s="129"/>
      <c r="L555" s="2974" t="s">
        <v>838</v>
      </c>
      <c r="M555" s="328"/>
      <c r="N555" s="1544"/>
      <c r="O555" s="328"/>
      <c r="P555" s="123"/>
      <c r="Q555" s="123"/>
      <c r="R555" s="123"/>
      <c r="S555" s="123"/>
      <c r="T555" s="123"/>
      <c r="U555" s="123"/>
      <c r="V555" s="4005"/>
      <c r="W555" s="2857"/>
      <c r="X555" s="2857"/>
      <c r="Y555" s="2857"/>
      <c r="Z555" s="3155"/>
      <c r="AA555" s="2857"/>
      <c r="AB555" s="2227"/>
      <c r="AC555" s="2282"/>
      <c r="AD555" s="2857"/>
      <c r="AE555" s="2857"/>
      <c r="AF555" s="2857"/>
      <c r="AG555" s="2857"/>
      <c r="AH555" s="1942"/>
      <c r="AI555" s="1942"/>
      <c r="AJ555" s="1942"/>
      <c r="AK555" s="1942"/>
      <c r="AL555" s="1942"/>
      <c r="AM555" s="1942"/>
      <c r="AN555" s="1942"/>
      <c r="AO555" s="1942"/>
      <c r="AP555" s="1942"/>
      <c r="AQ555" s="1942"/>
      <c r="AR555" s="1942"/>
      <c r="AS555" s="1942"/>
      <c r="AT555" s="1942"/>
      <c r="AU555" s="1942"/>
      <c r="AV555" s="1942"/>
      <c r="AW555" s="1942"/>
      <c r="AX555" s="1942"/>
      <c r="AY555" s="1942"/>
      <c r="AZ555" s="1942"/>
      <c r="BA555" s="1942"/>
      <c r="BB555" s="575"/>
      <c r="BC555" s="584"/>
      <c r="BD555" s="678"/>
      <c r="BE555" s="585"/>
    </row>
    <row r="556" spans="1:57" s="51" customFormat="1" ht="14.45" hidden="1" customHeight="1" outlineLevel="1" x14ac:dyDescent="0.25">
      <c r="A556" s="1267"/>
      <c r="B556" s="228"/>
      <c r="C556" s="328"/>
      <c r="D556" s="4006"/>
      <c r="E556" s="4010"/>
      <c r="F556" s="3385" t="str">
        <f t="shared" si="65"/>
        <v>CAC-SEER21+_ROF_SF</v>
      </c>
      <c r="G556" s="3386"/>
      <c r="H556" s="3387"/>
      <c r="I556" s="3155" t="str">
        <f t="shared" si="66"/>
        <v>351191_2021_12_</v>
      </c>
      <c r="J556" s="2282"/>
      <c r="K556" s="129"/>
      <c r="L556" s="2974" t="s">
        <v>838</v>
      </c>
      <c r="M556" s="328"/>
      <c r="N556" s="1544"/>
      <c r="O556" s="328"/>
      <c r="P556" s="123"/>
      <c r="Q556" s="123"/>
      <c r="R556" s="123"/>
      <c r="S556" s="123"/>
      <c r="T556" s="123"/>
      <c r="U556" s="123"/>
      <c r="V556" s="4005"/>
      <c r="W556" s="2857"/>
      <c r="X556" s="2857"/>
      <c r="Y556" s="2857"/>
      <c r="Z556" s="3155"/>
      <c r="AA556" s="2857"/>
      <c r="AB556" s="2227"/>
      <c r="AC556" s="2282"/>
      <c r="AD556" s="2857"/>
      <c r="AE556" s="2857"/>
      <c r="AF556" s="2857"/>
      <c r="AG556" s="2857"/>
      <c r="AH556" s="1942"/>
      <c r="AI556" s="1942"/>
      <c r="AJ556" s="1942"/>
      <c r="AK556" s="1942"/>
      <c r="AL556" s="1942"/>
      <c r="AM556" s="1942"/>
      <c r="AN556" s="1942"/>
      <c r="AO556" s="1942"/>
      <c r="AP556" s="1942"/>
      <c r="AQ556" s="1942"/>
      <c r="AR556" s="1942"/>
      <c r="AS556" s="1942"/>
      <c r="AT556" s="1942"/>
      <c r="AU556" s="1942"/>
      <c r="AV556" s="1942"/>
      <c r="AW556" s="1942"/>
      <c r="AX556" s="1942"/>
      <c r="AY556" s="1942"/>
      <c r="AZ556" s="1942"/>
      <c r="BA556" s="1942"/>
      <c r="BB556" s="575"/>
      <c r="BC556" s="584"/>
      <c r="BD556" s="678"/>
      <c r="BE556" s="585"/>
    </row>
    <row r="557" spans="1:57" s="51" customFormat="1" ht="14.45" hidden="1" customHeight="1" outlineLevel="1" x14ac:dyDescent="0.25">
      <c r="A557" s="1267"/>
      <c r="B557" s="228"/>
      <c r="C557" s="328"/>
      <c r="D557" s="4006"/>
      <c r="E557" s="4010"/>
      <c r="F557" s="3385" t="str">
        <f t="shared" si="65"/>
        <v>CAC-SEER21+_ER1_MF</v>
      </c>
      <c r="G557" s="3386"/>
      <c r="H557" s="3387"/>
      <c r="I557" s="3155" t="str">
        <f t="shared" si="66"/>
        <v>351192_2021_12_</v>
      </c>
      <c r="J557" s="2282">
        <v>8.33</v>
      </c>
      <c r="K557" s="129"/>
      <c r="L557" s="2570" t="s">
        <v>838</v>
      </c>
      <c r="M557" s="328"/>
      <c r="N557" s="1544"/>
      <c r="O557" s="328"/>
      <c r="P557" s="123"/>
      <c r="Q557" s="123"/>
      <c r="R557" s="123"/>
      <c r="S557" s="123"/>
      <c r="T557" s="123"/>
      <c r="U557" s="123"/>
      <c r="V557" s="4005"/>
      <c r="W557" s="2857"/>
      <c r="X557" s="3155"/>
      <c r="Y557" s="2857"/>
      <c r="Z557" s="3155">
        <v>8.33</v>
      </c>
      <c r="AA557" s="2857">
        <v>8.33</v>
      </c>
      <c r="AB557" s="2227">
        <v>8.33</v>
      </c>
      <c r="AC557" s="2282">
        <v>8.33</v>
      </c>
      <c r="AD557" s="2857"/>
      <c r="AE557" s="2857"/>
      <c r="AF557" s="2857"/>
      <c r="AG557" s="2857"/>
      <c r="AH557" s="1942"/>
      <c r="AI557" s="1942"/>
      <c r="AJ557" s="1942"/>
      <c r="AK557" s="1942"/>
      <c r="AL557" s="1942"/>
      <c r="AM557" s="1942"/>
      <c r="AN557" s="1942"/>
      <c r="AO557" s="1942"/>
      <c r="AP557" s="1942"/>
      <c r="AQ557" s="1942"/>
      <c r="AR557" s="1942"/>
      <c r="AS557" s="1942"/>
      <c r="AT557" s="1942"/>
      <c r="AU557" s="1942"/>
      <c r="AV557" s="1942"/>
      <c r="AW557" s="1942"/>
      <c r="AX557" s="1942"/>
      <c r="AY557" s="1942"/>
      <c r="AZ557" s="1942"/>
      <c r="BA557" s="1942"/>
      <c r="BB557" s="575"/>
      <c r="BC557" s="584"/>
      <c r="BD557" s="678"/>
      <c r="BE557" s="585"/>
    </row>
    <row r="558" spans="1:57" s="51" customFormat="1" ht="14.45" hidden="1" customHeight="1" outlineLevel="1" x14ac:dyDescent="0.25">
      <c r="A558" s="1267"/>
      <c r="B558" s="228"/>
      <c r="C558" s="328"/>
      <c r="D558" s="4006"/>
      <c r="E558" s="4010"/>
      <c r="F558" s="3385" t="str">
        <f t="shared" si="65"/>
        <v>CAC-SEER21+_ER2_MF</v>
      </c>
      <c r="G558" s="3386"/>
      <c r="H558" s="3387"/>
      <c r="I558" s="3155" t="str">
        <f t="shared" si="66"/>
        <v>351192_2021_12_</v>
      </c>
      <c r="J558" s="2282"/>
      <c r="K558" s="129"/>
      <c r="L558" s="2974" t="s">
        <v>838</v>
      </c>
      <c r="M558" s="328"/>
      <c r="N558" s="1544"/>
      <c r="O558" s="328"/>
      <c r="P558" s="123"/>
      <c r="Q558" s="123"/>
      <c r="R558" s="123"/>
      <c r="S558" s="123"/>
      <c r="T558" s="123"/>
      <c r="U558" s="123"/>
      <c r="V558" s="4005"/>
      <c r="W558" s="2857"/>
      <c r="X558" s="2857"/>
      <c r="Y558" s="2857"/>
      <c r="Z558" s="3155"/>
      <c r="AA558" s="2857"/>
      <c r="AB558" s="2227"/>
      <c r="AC558" s="2282"/>
      <c r="AD558" s="2857"/>
      <c r="AE558" s="2857"/>
      <c r="AF558" s="2857"/>
      <c r="AG558" s="2857"/>
      <c r="AH558" s="1942"/>
      <c r="AI558" s="1942"/>
      <c r="AJ558" s="1942"/>
      <c r="AK558" s="1942"/>
      <c r="AL558" s="1942"/>
      <c r="AM558" s="1942"/>
      <c r="AN558" s="1942"/>
      <c r="AO558" s="1942"/>
      <c r="AP558" s="1942"/>
      <c r="AQ558" s="1942"/>
      <c r="AR558" s="1942"/>
      <c r="AS558" s="1942"/>
      <c r="AT558" s="1942"/>
      <c r="AU558" s="1942"/>
      <c r="AV558" s="1942"/>
      <c r="AW558" s="1942"/>
      <c r="AX558" s="1942"/>
      <c r="AY558" s="1942"/>
      <c r="AZ558" s="1942"/>
      <c r="BA558" s="1942"/>
      <c r="BB558" s="575"/>
      <c r="BC558" s="584"/>
      <c r="BD558" s="678"/>
      <c r="BE558" s="585"/>
    </row>
    <row r="559" spans="1:57" s="51" customFormat="1" ht="14.45" hidden="1" customHeight="1" outlineLevel="1" x14ac:dyDescent="0.25">
      <c r="A559" s="1267"/>
      <c r="B559" s="228"/>
      <c r="C559" s="328"/>
      <c r="D559" s="4006"/>
      <c r="E559" s="4010"/>
      <c r="F559" s="3385" t="str">
        <f t="shared" si="65"/>
        <v>CAC-SEER21+_ER1_MF_CompE</v>
      </c>
      <c r="G559" s="3386"/>
      <c r="H559" s="3387"/>
      <c r="I559" s="692" t="str">
        <f t="shared" si="66"/>
        <v>351193_2021_12_</v>
      </c>
      <c r="J559" s="2282">
        <v>8.33</v>
      </c>
      <c r="K559" s="2571"/>
      <c r="L559" s="2570" t="s">
        <v>838</v>
      </c>
      <c r="M559" s="328"/>
      <c r="N559" s="1544"/>
      <c r="O559" s="328"/>
      <c r="P559" s="123"/>
      <c r="Q559" s="123"/>
      <c r="R559" s="123"/>
      <c r="S559" s="123"/>
      <c r="T559" s="123"/>
      <c r="U559" s="123"/>
      <c r="V559" s="4005"/>
      <c r="W559" s="2857"/>
      <c r="X559" s="693"/>
      <c r="Y559" s="693"/>
      <c r="Z559" s="692">
        <v>8.33</v>
      </c>
      <c r="AA559" s="693">
        <v>8.33</v>
      </c>
      <c r="AB559" s="2227">
        <v>8.33</v>
      </c>
      <c r="AC559" s="2282">
        <v>8.33</v>
      </c>
      <c r="AD559" s="693"/>
      <c r="AE559" s="693"/>
      <c r="AF559" s="693"/>
      <c r="AG559" s="693"/>
      <c r="AH559" s="1942"/>
      <c r="AI559" s="1942"/>
      <c r="AJ559" s="1942"/>
      <c r="AK559" s="1942"/>
      <c r="AL559" s="1942"/>
      <c r="AM559" s="1942"/>
      <c r="AN559" s="1942"/>
      <c r="AO559" s="1942"/>
      <c r="AP559" s="1942"/>
      <c r="AQ559" s="1942"/>
      <c r="AR559" s="1942"/>
      <c r="AS559" s="1942"/>
      <c r="AT559" s="1942"/>
      <c r="AU559" s="1942"/>
      <c r="AV559" s="1942"/>
      <c r="AW559" s="1942"/>
      <c r="AX559" s="1942"/>
      <c r="AY559" s="1942"/>
      <c r="AZ559" s="1942"/>
      <c r="BA559" s="1942"/>
      <c r="BB559" s="575"/>
      <c r="BC559" s="584"/>
      <c r="BD559" s="678"/>
      <c r="BE559" s="585"/>
    </row>
    <row r="560" spans="1:57" s="51" customFormat="1" ht="14.45" hidden="1" customHeight="1" outlineLevel="1" x14ac:dyDescent="0.25">
      <c r="A560" s="1267"/>
      <c r="B560" s="228"/>
      <c r="C560" s="328"/>
      <c r="D560" s="4006"/>
      <c r="E560" s="4010"/>
      <c r="F560" s="3385" t="str">
        <f t="shared" si="65"/>
        <v>CAC-SEER21+_ER2_MF_CompE</v>
      </c>
      <c r="G560" s="3386"/>
      <c r="H560" s="3387"/>
      <c r="I560" s="692" t="str">
        <f t="shared" si="66"/>
        <v>351193_2021_12_</v>
      </c>
      <c r="J560" s="2564"/>
      <c r="K560" s="2571"/>
      <c r="L560" s="2974" t="s">
        <v>838</v>
      </c>
      <c r="M560" s="328"/>
      <c r="N560" s="1544"/>
      <c r="O560" s="328"/>
      <c r="P560" s="123"/>
      <c r="Q560" s="123"/>
      <c r="R560" s="123"/>
      <c r="S560" s="123"/>
      <c r="T560" s="123"/>
      <c r="U560" s="123"/>
      <c r="V560" s="4005"/>
      <c r="W560" s="2857"/>
      <c r="X560" s="693"/>
      <c r="Y560" s="693"/>
      <c r="Z560" s="692"/>
      <c r="AA560" s="693"/>
      <c r="AB560" s="2229"/>
      <c r="AC560" s="2564"/>
      <c r="AD560" s="693"/>
      <c r="AE560" s="693"/>
      <c r="AF560" s="693"/>
      <c r="AG560" s="693"/>
      <c r="AH560" s="1942"/>
      <c r="AI560" s="1942"/>
      <c r="AJ560" s="1942"/>
      <c r="AK560" s="1942"/>
      <c r="AL560" s="1942"/>
      <c r="AM560" s="1942"/>
      <c r="AN560" s="1942"/>
      <c r="AO560" s="1942"/>
      <c r="AP560" s="1942"/>
      <c r="AQ560" s="1942"/>
      <c r="AR560" s="1942"/>
      <c r="AS560" s="1942"/>
      <c r="AT560" s="1942"/>
      <c r="AU560" s="1942"/>
      <c r="AV560" s="1942"/>
      <c r="AW560" s="1942"/>
      <c r="AX560" s="1942"/>
      <c r="AY560" s="1942"/>
      <c r="AZ560" s="1942"/>
      <c r="BA560" s="1942"/>
      <c r="BB560" s="575"/>
      <c r="BC560" s="584"/>
      <c r="BD560" s="678"/>
      <c r="BE560" s="585"/>
    </row>
    <row r="561" spans="1:57" s="51" customFormat="1" ht="15" hidden="1" customHeight="1" outlineLevel="1" x14ac:dyDescent="0.25">
      <c r="A561" s="1267"/>
      <c r="B561" s="228"/>
      <c r="C561" s="328"/>
      <c r="D561" s="4006"/>
      <c r="E561" s="4010"/>
      <c r="F561" s="3385" t="str">
        <f t="shared" si="65"/>
        <v>CAC-SEER21+_ROF_MF</v>
      </c>
      <c r="G561" s="3386"/>
      <c r="H561" s="3387"/>
      <c r="I561" s="3155" t="str">
        <f t="shared" si="66"/>
        <v>351194_2021_12_</v>
      </c>
      <c r="J561" s="2282"/>
      <c r="K561" s="129"/>
      <c r="L561" s="2974" t="s">
        <v>838</v>
      </c>
      <c r="M561" s="328"/>
      <c r="N561" s="1544"/>
      <c r="O561" s="328"/>
      <c r="P561" s="123"/>
      <c r="Q561" s="123"/>
      <c r="R561" s="123"/>
      <c r="S561" s="123"/>
      <c r="T561" s="123"/>
      <c r="U561" s="123"/>
      <c r="V561" s="4005"/>
      <c r="W561" s="2857"/>
      <c r="X561" s="2857"/>
      <c r="Y561" s="2857"/>
      <c r="Z561" s="3155"/>
      <c r="AA561" s="2857"/>
      <c r="AB561" s="2227"/>
      <c r="AC561" s="2282"/>
      <c r="AD561" s="2857"/>
      <c r="AE561" s="2857"/>
      <c r="AF561" s="2857"/>
      <c r="AG561" s="2857"/>
      <c r="AH561" s="1942"/>
      <c r="AI561" s="1942"/>
      <c r="AJ561" s="1942"/>
      <c r="AK561" s="1942"/>
      <c r="AL561" s="1942"/>
      <c r="AM561" s="1942"/>
      <c r="AN561" s="1942"/>
      <c r="AO561" s="1942"/>
      <c r="AP561" s="1942"/>
      <c r="AQ561" s="1942"/>
      <c r="AR561" s="1942"/>
      <c r="AS561" s="1942"/>
      <c r="AT561" s="1942"/>
      <c r="AU561" s="1942"/>
      <c r="AV561" s="1942"/>
      <c r="AW561" s="1942"/>
      <c r="AX561" s="1942"/>
      <c r="AY561" s="1942"/>
      <c r="AZ561" s="1942"/>
      <c r="BA561" s="1942"/>
      <c r="BB561" s="575"/>
      <c r="BC561" s="584"/>
      <c r="BD561" s="678"/>
      <c r="BE561" s="585"/>
    </row>
    <row r="562" spans="1:57" s="51" customFormat="1" ht="30.75" hidden="1" outlineLevel="1" thickBot="1" x14ac:dyDescent="0.3">
      <c r="A562" s="1267"/>
      <c r="B562" s="228"/>
      <c r="C562" s="328"/>
      <c r="D562" s="4007"/>
      <c r="E562" s="4011"/>
      <c r="F562" s="3385" t="str">
        <f t="shared" si="65"/>
        <v>CAC-SEER21+_ROF_MF_CompE</v>
      </c>
      <c r="G562" s="3386"/>
      <c r="H562" s="3387"/>
      <c r="I562" s="694" t="str">
        <f t="shared" si="66"/>
        <v>351195_2021_12_</v>
      </c>
      <c r="J562" s="2572"/>
      <c r="K562" s="2573"/>
      <c r="L562" s="2975" t="s">
        <v>838</v>
      </c>
      <c r="M562" s="328"/>
      <c r="N562" s="1544"/>
      <c r="O562" s="328"/>
      <c r="P562" s="123"/>
      <c r="Q562" s="123"/>
      <c r="R562" s="123"/>
      <c r="S562" s="123"/>
      <c r="T562" s="123"/>
      <c r="U562" s="123"/>
      <c r="V562" s="4035"/>
      <c r="W562" s="2857"/>
      <c r="X562" s="2860"/>
      <c r="Y562" s="2860"/>
      <c r="Z562" s="3156"/>
      <c r="AA562" s="2860"/>
      <c r="AB562" s="2230"/>
      <c r="AC562" s="2572"/>
      <c r="AD562" s="2860"/>
      <c r="AE562" s="2860"/>
      <c r="AF562" s="2860"/>
      <c r="AG562" s="2860"/>
      <c r="AH562" s="1942"/>
      <c r="AI562" s="1942"/>
      <c r="AJ562" s="1942"/>
      <c r="AK562" s="1942"/>
      <c r="AL562" s="1942"/>
      <c r="AM562" s="1942"/>
      <c r="AN562" s="1942"/>
      <c r="AO562" s="1942"/>
      <c r="AP562" s="1942"/>
      <c r="AQ562" s="1942"/>
      <c r="AR562" s="1942"/>
      <c r="AS562" s="1942"/>
      <c r="AT562" s="1942"/>
      <c r="AU562" s="1942"/>
      <c r="AV562" s="1942"/>
      <c r="AW562" s="1942"/>
      <c r="AX562" s="1942"/>
      <c r="AY562" s="1942"/>
      <c r="AZ562" s="1942"/>
      <c r="BA562" s="1942"/>
      <c r="BB562" s="575"/>
      <c r="BC562" s="584"/>
      <c r="BD562" s="678"/>
      <c r="BE562" s="585"/>
    </row>
    <row r="563" spans="1:57" s="446" customFormat="1" ht="14.45" hidden="1" customHeight="1" outlineLevel="1" x14ac:dyDescent="0.25">
      <c r="A563" s="2059"/>
      <c r="B563" s="1279"/>
      <c r="C563" s="328"/>
      <c r="D563" s="3989" t="s">
        <v>294</v>
      </c>
      <c r="E563" s="4008" t="s">
        <v>1020</v>
      </c>
      <c r="F563" s="3388" t="str">
        <f t="shared" si="65"/>
        <v>CAC-SEER14_ER1_SF</v>
      </c>
      <c r="G563" s="3389"/>
      <c r="H563" s="3390"/>
      <c r="I563" s="2963" t="str">
        <f t="shared" si="66"/>
        <v>350400_2021_12_</v>
      </c>
      <c r="J563" s="706">
        <v>1</v>
      </c>
      <c r="K563" s="2574"/>
      <c r="L563" s="2575"/>
      <c r="M563" s="328"/>
      <c r="N563" s="1544"/>
      <c r="O563" s="328"/>
      <c r="P563" s="353"/>
      <c r="Q563" s="353"/>
      <c r="R563" s="353"/>
      <c r="S563" s="353"/>
      <c r="T563" s="353"/>
      <c r="U563" s="353"/>
      <c r="V563" s="3989" t="str">
        <f>D563</f>
        <v>HF</v>
      </c>
      <c r="W563" s="706">
        <v>1</v>
      </c>
      <c r="X563" s="706">
        <f>W563</f>
        <v>1</v>
      </c>
      <c r="Y563" s="706">
        <v>1</v>
      </c>
      <c r="Z563" s="706">
        <v>1</v>
      </c>
      <c r="AA563" s="706">
        <v>1</v>
      </c>
      <c r="AB563" s="706">
        <v>1</v>
      </c>
      <c r="AC563" s="706">
        <v>1</v>
      </c>
      <c r="AD563" s="706"/>
      <c r="AE563" s="706"/>
      <c r="AF563" s="706"/>
      <c r="AG563" s="706"/>
      <c r="BB563" s="707"/>
      <c r="BC563" s="584"/>
      <c r="BD563" s="678"/>
      <c r="BE563" s="585"/>
    </row>
    <row r="564" spans="1:57" s="446" customFormat="1" ht="14.45" hidden="1" customHeight="1" outlineLevel="1" x14ac:dyDescent="0.25">
      <c r="A564" s="2059"/>
      <c r="B564" s="1279"/>
      <c r="C564" s="328"/>
      <c r="D564" s="3990"/>
      <c r="E564" s="4009"/>
      <c r="F564" s="3391" t="str">
        <f t="shared" si="65"/>
        <v>CAC-SEER14_ER2_SF</v>
      </c>
      <c r="G564" s="3392"/>
      <c r="H564" s="3393"/>
      <c r="I564" s="2964" t="str">
        <f t="shared" si="66"/>
        <v>350400_2021_12_</v>
      </c>
      <c r="J564" s="708">
        <v>1</v>
      </c>
      <c r="K564" s="2576"/>
      <c r="L564" s="2577"/>
      <c r="M564" s="328"/>
      <c r="N564" s="1544"/>
      <c r="O564" s="328"/>
      <c r="P564" s="353"/>
      <c r="Q564" s="353"/>
      <c r="R564" s="353"/>
      <c r="S564" s="353"/>
      <c r="T564" s="353"/>
      <c r="U564" s="353"/>
      <c r="V564" s="3990"/>
      <c r="W564" s="708">
        <v>1</v>
      </c>
      <c r="X564" s="708">
        <f>W564</f>
        <v>1</v>
      </c>
      <c r="Y564" s="708">
        <v>1</v>
      </c>
      <c r="Z564" s="708">
        <v>1</v>
      </c>
      <c r="AA564" s="708">
        <v>1</v>
      </c>
      <c r="AB564" s="708">
        <v>1</v>
      </c>
      <c r="AC564" s="708">
        <v>1</v>
      </c>
      <c r="AD564" s="708"/>
      <c r="AE564" s="708"/>
      <c r="AF564" s="708"/>
      <c r="AG564" s="708"/>
      <c r="BB564" s="707"/>
      <c r="BC564" s="584"/>
      <c r="BD564" s="678"/>
      <c r="BE564" s="585"/>
    </row>
    <row r="565" spans="1:57" s="446" customFormat="1" ht="14.45" hidden="1" customHeight="1" outlineLevel="1" x14ac:dyDescent="0.25">
      <c r="A565" s="2059"/>
      <c r="B565" s="1279"/>
      <c r="C565" s="328"/>
      <c r="D565" s="3990"/>
      <c r="E565" s="4009"/>
      <c r="F565" s="3391" t="str">
        <f t="shared" si="65"/>
        <v>CAC-SEER14_ROF_SF</v>
      </c>
      <c r="G565" s="3392"/>
      <c r="H565" s="3393"/>
      <c r="I565" s="2964" t="str">
        <f t="shared" si="66"/>
        <v>350450_2021_12_</v>
      </c>
      <c r="J565" s="708">
        <v>1</v>
      </c>
      <c r="K565" s="2576"/>
      <c r="L565" s="2577"/>
      <c r="M565" s="328"/>
      <c r="N565" s="1544"/>
      <c r="O565" s="328"/>
      <c r="P565" s="353"/>
      <c r="Q565" s="353"/>
      <c r="R565" s="353"/>
      <c r="S565" s="353"/>
      <c r="T565" s="353"/>
      <c r="U565" s="353"/>
      <c r="V565" s="3990"/>
      <c r="W565" s="708">
        <v>1</v>
      </c>
      <c r="X565" s="708">
        <f>W565</f>
        <v>1</v>
      </c>
      <c r="Y565" s="708">
        <v>1</v>
      </c>
      <c r="Z565" s="708">
        <v>1</v>
      </c>
      <c r="AA565" s="708">
        <v>1</v>
      </c>
      <c r="AB565" s="708">
        <v>1</v>
      </c>
      <c r="AC565" s="708">
        <v>1</v>
      </c>
      <c r="AD565" s="708"/>
      <c r="AE565" s="708"/>
      <c r="AF565" s="708"/>
      <c r="AG565" s="708"/>
      <c r="BB565" s="707"/>
      <c r="BC565" s="584"/>
      <c r="BD565" s="678"/>
      <c r="BE565" s="585"/>
    </row>
    <row r="566" spans="1:57" s="446" customFormat="1" ht="14.45" hidden="1" customHeight="1" outlineLevel="1" x14ac:dyDescent="0.25">
      <c r="A566" s="2059"/>
      <c r="B566" s="1279"/>
      <c r="C566" s="328"/>
      <c r="D566" s="3990"/>
      <c r="E566" s="4009"/>
      <c r="F566" s="3385" t="str">
        <f t="shared" si="65"/>
        <v>CAC-SEER14_ER1_MF</v>
      </c>
      <c r="G566" s="3386"/>
      <c r="H566" s="3387"/>
      <c r="I566" s="2964" t="str">
        <f t="shared" si="66"/>
        <v>350500_2021_12_</v>
      </c>
      <c r="J566" s="708">
        <v>1</v>
      </c>
      <c r="K566" s="2576"/>
      <c r="L566" s="2577"/>
      <c r="M566" s="328"/>
      <c r="N566" s="1544"/>
      <c r="O566" s="328"/>
      <c r="P566" s="353"/>
      <c r="Q566" s="353"/>
      <c r="R566" s="353"/>
      <c r="S566" s="353"/>
      <c r="T566" s="353"/>
      <c r="U566" s="353"/>
      <c r="V566" s="3990"/>
      <c r="W566" s="708">
        <v>0.65</v>
      </c>
      <c r="X566" s="709">
        <v>1</v>
      </c>
      <c r="Y566" s="708">
        <v>1</v>
      </c>
      <c r="Z566" s="708">
        <v>1</v>
      </c>
      <c r="AA566" s="708">
        <v>1</v>
      </c>
      <c r="AB566" s="708">
        <v>1</v>
      </c>
      <c r="AC566" s="708">
        <v>1</v>
      </c>
      <c r="AD566" s="708"/>
      <c r="AE566" s="708"/>
      <c r="AF566" s="708"/>
      <c r="AG566" s="708"/>
      <c r="BB566" s="707"/>
      <c r="BC566" s="584"/>
      <c r="BD566" s="678"/>
      <c r="BE566" s="585"/>
    </row>
    <row r="567" spans="1:57" s="446" customFormat="1" ht="14.45" hidden="1" customHeight="1" outlineLevel="1" x14ac:dyDescent="0.25">
      <c r="A567" s="2059"/>
      <c r="B567" s="1279"/>
      <c r="C567" s="328"/>
      <c r="D567" s="3990"/>
      <c r="E567" s="4009"/>
      <c r="F567" s="3385" t="str">
        <f t="shared" si="65"/>
        <v>CAC-SEER14_ER2_MF</v>
      </c>
      <c r="G567" s="3386"/>
      <c r="H567" s="3387"/>
      <c r="I567" s="2964" t="str">
        <f t="shared" si="66"/>
        <v>350500_2021_12_</v>
      </c>
      <c r="J567" s="708">
        <v>1</v>
      </c>
      <c r="K567" s="2576"/>
      <c r="L567" s="2577"/>
      <c r="M567" s="328"/>
      <c r="N567" s="1544"/>
      <c r="O567" s="328"/>
      <c r="P567" s="353"/>
      <c r="Q567" s="353"/>
      <c r="R567" s="353"/>
      <c r="S567" s="353"/>
      <c r="T567" s="353"/>
      <c r="U567" s="353"/>
      <c r="V567" s="3990"/>
      <c r="W567" s="708">
        <v>0.65</v>
      </c>
      <c r="X567" s="709">
        <v>1</v>
      </c>
      <c r="Y567" s="708">
        <v>1</v>
      </c>
      <c r="Z567" s="708">
        <v>1</v>
      </c>
      <c r="AA567" s="708">
        <v>1</v>
      </c>
      <c r="AB567" s="708">
        <v>1</v>
      </c>
      <c r="AC567" s="708">
        <v>1</v>
      </c>
      <c r="AD567" s="708"/>
      <c r="AE567" s="708"/>
      <c r="AF567" s="708"/>
      <c r="AG567" s="708"/>
      <c r="BB567" s="707"/>
      <c r="BC567" s="584"/>
      <c r="BD567" s="678"/>
      <c r="BE567" s="585"/>
    </row>
    <row r="568" spans="1:57" s="446" customFormat="1" ht="14.45" hidden="1" customHeight="1" outlineLevel="1" x14ac:dyDescent="0.25">
      <c r="A568" s="2059"/>
      <c r="B568" s="1279"/>
      <c r="C568" s="328"/>
      <c r="D568" s="3990"/>
      <c r="E568" s="4009"/>
      <c r="F568" s="3385" t="str">
        <f t="shared" si="65"/>
        <v>CAC-SEER14_ER1_MF_CompE</v>
      </c>
      <c r="G568" s="3386"/>
      <c r="H568" s="3387"/>
      <c r="I568" s="2964" t="str">
        <f t="shared" si="66"/>
        <v>350501_2021_12_</v>
      </c>
      <c r="J568" s="708">
        <v>1</v>
      </c>
      <c r="K568" s="2576"/>
      <c r="L568" s="2577"/>
      <c r="M568" s="328"/>
      <c r="N568" s="1544"/>
      <c r="O568" s="328"/>
      <c r="P568" s="353"/>
      <c r="Q568" s="353"/>
      <c r="R568" s="353"/>
      <c r="S568" s="353"/>
      <c r="T568" s="353"/>
      <c r="U568" s="353"/>
      <c r="V568" s="3990"/>
      <c r="W568" s="708"/>
      <c r="X568" s="709"/>
      <c r="Y568" s="708">
        <v>1</v>
      </c>
      <c r="Z568" s="708">
        <v>1</v>
      </c>
      <c r="AA568" s="708">
        <v>1</v>
      </c>
      <c r="AB568" s="708">
        <v>1</v>
      </c>
      <c r="AC568" s="708">
        <v>1</v>
      </c>
      <c r="AD568" s="708"/>
      <c r="AE568" s="708"/>
      <c r="AF568" s="708"/>
      <c r="AG568" s="708"/>
      <c r="BB568" s="707"/>
      <c r="BC568" s="584"/>
      <c r="BD568" s="678"/>
      <c r="BE568" s="585"/>
    </row>
    <row r="569" spans="1:57" s="446" customFormat="1" ht="14.45" hidden="1" customHeight="1" outlineLevel="1" x14ac:dyDescent="0.25">
      <c r="A569" s="2059"/>
      <c r="B569" s="1279"/>
      <c r="C569" s="328"/>
      <c r="D569" s="3990"/>
      <c r="E569" s="4009"/>
      <c r="F569" s="3385" t="str">
        <f t="shared" si="65"/>
        <v>CAC-SEER14_ER2_MF_CompE</v>
      </c>
      <c r="G569" s="3386"/>
      <c r="H569" s="3387"/>
      <c r="I569" s="2964" t="str">
        <f t="shared" si="66"/>
        <v>350501_2021_12_</v>
      </c>
      <c r="J569" s="708">
        <v>1</v>
      </c>
      <c r="K569" s="2576"/>
      <c r="L569" s="2577"/>
      <c r="M569" s="328"/>
      <c r="N569" s="1544"/>
      <c r="O569" s="328"/>
      <c r="P569" s="353"/>
      <c r="Q569" s="353"/>
      <c r="R569" s="353"/>
      <c r="S569" s="353"/>
      <c r="T569" s="353"/>
      <c r="U569" s="353"/>
      <c r="V569" s="3990"/>
      <c r="W569" s="708"/>
      <c r="X569" s="709"/>
      <c r="Y569" s="708">
        <v>1</v>
      </c>
      <c r="Z569" s="708">
        <v>1</v>
      </c>
      <c r="AA569" s="708">
        <v>1</v>
      </c>
      <c r="AB569" s="708">
        <v>1</v>
      </c>
      <c r="AC569" s="708">
        <v>1</v>
      </c>
      <c r="AD569" s="708"/>
      <c r="AE569" s="708"/>
      <c r="AF569" s="708"/>
      <c r="AG569" s="708"/>
      <c r="BB569" s="707"/>
      <c r="BC569" s="584"/>
      <c r="BD569" s="678"/>
      <c r="BE569" s="585"/>
    </row>
    <row r="570" spans="1:57" s="446" customFormat="1" ht="14.45" hidden="1" customHeight="1" outlineLevel="1" x14ac:dyDescent="0.25">
      <c r="A570" s="2059"/>
      <c r="B570" s="1279"/>
      <c r="C570" s="328"/>
      <c r="D570" s="3990"/>
      <c r="E570" s="4009"/>
      <c r="F570" s="3385" t="str">
        <f t="shared" si="65"/>
        <v>CAC-SEER14_ROF_MF</v>
      </c>
      <c r="G570" s="3386"/>
      <c r="H570" s="3387"/>
      <c r="I570" s="2964" t="str">
        <f t="shared" si="66"/>
        <v>350550_2021_12_</v>
      </c>
      <c r="J570" s="708">
        <v>1</v>
      </c>
      <c r="K570" s="2576"/>
      <c r="L570" s="2577"/>
      <c r="M570" s="328"/>
      <c r="N570" s="1544"/>
      <c r="O570" s="328"/>
      <c r="P570" s="353"/>
      <c r="Q570" s="353"/>
      <c r="R570" s="353"/>
      <c r="S570" s="353"/>
      <c r="T570" s="353"/>
      <c r="U570" s="353"/>
      <c r="V570" s="3990"/>
      <c r="W570" s="708">
        <v>0.65</v>
      </c>
      <c r="X570" s="709">
        <v>1</v>
      </c>
      <c r="Y570" s="708">
        <v>1</v>
      </c>
      <c r="Z570" s="708">
        <v>1</v>
      </c>
      <c r="AA570" s="708">
        <v>1</v>
      </c>
      <c r="AB570" s="708">
        <v>1</v>
      </c>
      <c r="AC570" s="708">
        <v>1</v>
      </c>
      <c r="AD570" s="708"/>
      <c r="AE570" s="708"/>
      <c r="AF570" s="708"/>
      <c r="AG570" s="708"/>
      <c r="BB570" s="707"/>
      <c r="BC570" s="584"/>
      <c r="BD570" s="678"/>
      <c r="BE570" s="585"/>
    </row>
    <row r="571" spans="1:57" s="446" customFormat="1" ht="14.45" hidden="1" customHeight="1" outlineLevel="1" x14ac:dyDescent="0.25">
      <c r="A571" s="2059"/>
      <c r="B571" s="1279"/>
      <c r="C571" s="328"/>
      <c r="D571" s="3990"/>
      <c r="E571" s="4009"/>
      <c r="F571" s="3385" t="str">
        <f t="shared" si="65"/>
        <v>CAC-SEER14_ROF_MF_CompE</v>
      </c>
      <c r="G571" s="3386"/>
      <c r="H571" s="3387"/>
      <c r="I571" s="2964" t="str">
        <f t="shared" si="66"/>
        <v>350551_2021_12_</v>
      </c>
      <c r="J571" s="708">
        <v>1</v>
      </c>
      <c r="K571" s="2576"/>
      <c r="L571" s="2577"/>
      <c r="M571" s="328"/>
      <c r="N571" s="1544"/>
      <c r="O571" s="328"/>
      <c r="P571" s="353"/>
      <c r="Q571" s="353"/>
      <c r="R571" s="353"/>
      <c r="S571" s="353"/>
      <c r="T571" s="353"/>
      <c r="U571" s="353"/>
      <c r="V571" s="3990"/>
      <c r="W571" s="708"/>
      <c r="X571" s="709"/>
      <c r="Y571" s="708">
        <v>1</v>
      </c>
      <c r="Z571" s="708">
        <v>1</v>
      </c>
      <c r="AA571" s="708">
        <v>1</v>
      </c>
      <c r="AB571" s="708">
        <v>1</v>
      </c>
      <c r="AC571" s="708">
        <v>1</v>
      </c>
      <c r="AD571" s="708"/>
      <c r="AE571" s="708"/>
      <c r="AF571" s="708"/>
      <c r="AG571" s="708"/>
      <c r="BB571" s="707"/>
      <c r="BC571" s="584"/>
      <c r="BD571" s="678"/>
      <c r="BE571" s="585"/>
    </row>
    <row r="572" spans="1:57" s="446" customFormat="1" ht="14.45" hidden="1" customHeight="1" outlineLevel="1" x14ac:dyDescent="0.25">
      <c r="A572" s="2059"/>
      <c r="B572" s="1279"/>
      <c r="C572" s="328"/>
      <c r="D572" s="3990"/>
      <c r="E572" s="4009"/>
      <c r="F572" s="3385" t="str">
        <f t="shared" si="65"/>
        <v>CAC-SEER15_ER1_SF</v>
      </c>
      <c r="G572" s="3386"/>
      <c r="H572" s="3387"/>
      <c r="I572" s="2964" t="str">
        <f t="shared" si="66"/>
        <v>350600_2021_12_</v>
      </c>
      <c r="J572" s="708">
        <v>1</v>
      </c>
      <c r="K572" s="2576"/>
      <c r="L572" s="2577"/>
      <c r="M572" s="328"/>
      <c r="N572" s="1544"/>
      <c r="O572" s="328"/>
      <c r="P572" s="353"/>
      <c r="Q572" s="353"/>
      <c r="R572" s="353"/>
      <c r="S572" s="353"/>
      <c r="T572" s="353"/>
      <c r="U572" s="353"/>
      <c r="V572" s="3990"/>
      <c r="W572" s="708">
        <v>1</v>
      </c>
      <c r="X572" s="708">
        <f>W572</f>
        <v>1</v>
      </c>
      <c r="Y572" s="708">
        <v>1</v>
      </c>
      <c r="Z572" s="708">
        <v>1</v>
      </c>
      <c r="AA572" s="708">
        <v>1</v>
      </c>
      <c r="AB572" s="708">
        <v>1</v>
      </c>
      <c r="AC572" s="708">
        <v>1</v>
      </c>
      <c r="AD572" s="708"/>
      <c r="AE572" s="708"/>
      <c r="AF572" s="708"/>
      <c r="AG572" s="708"/>
      <c r="BB572" s="707"/>
      <c r="BC572" s="584"/>
      <c r="BD572" s="678"/>
      <c r="BE572" s="585"/>
    </row>
    <row r="573" spans="1:57" s="446" customFormat="1" ht="14.45" hidden="1" customHeight="1" outlineLevel="1" x14ac:dyDescent="0.25">
      <c r="A573" s="2059"/>
      <c r="B573" s="1279"/>
      <c r="C573" s="328"/>
      <c r="D573" s="3990"/>
      <c r="E573" s="4009"/>
      <c r="F573" s="3385" t="str">
        <f t="shared" si="65"/>
        <v>CAC-SEER15_ER2_SF</v>
      </c>
      <c r="G573" s="3386"/>
      <c r="H573" s="3387"/>
      <c r="I573" s="2964" t="str">
        <f t="shared" si="66"/>
        <v>350600_2021_12_</v>
      </c>
      <c r="J573" s="708">
        <v>1</v>
      </c>
      <c r="K573" s="2576"/>
      <c r="L573" s="2577"/>
      <c r="M573" s="328"/>
      <c r="N573" s="1544"/>
      <c r="O573" s="328"/>
      <c r="P573" s="353"/>
      <c r="Q573" s="353"/>
      <c r="R573" s="353"/>
      <c r="S573" s="353"/>
      <c r="T573" s="353"/>
      <c r="U573" s="353"/>
      <c r="V573" s="3990"/>
      <c r="W573" s="708">
        <v>1</v>
      </c>
      <c r="X573" s="708">
        <f>W573</f>
        <v>1</v>
      </c>
      <c r="Y573" s="708">
        <v>1</v>
      </c>
      <c r="Z573" s="708">
        <v>1</v>
      </c>
      <c r="AA573" s="708">
        <v>1</v>
      </c>
      <c r="AB573" s="708">
        <v>1</v>
      </c>
      <c r="AC573" s="708">
        <v>1</v>
      </c>
      <c r="AD573" s="708"/>
      <c r="AE573" s="708"/>
      <c r="AF573" s="708"/>
      <c r="AG573" s="708"/>
      <c r="BB573" s="707"/>
      <c r="BC573" s="584"/>
      <c r="BD573" s="678"/>
      <c r="BE573" s="585"/>
    </row>
    <row r="574" spans="1:57" s="446" customFormat="1" ht="14.45" hidden="1" customHeight="1" outlineLevel="1" x14ac:dyDescent="0.25">
      <c r="A574" s="2059"/>
      <c r="B574" s="1279"/>
      <c r="C574" s="328"/>
      <c r="D574" s="3990"/>
      <c r="E574" s="4009"/>
      <c r="F574" s="3385" t="str">
        <f t="shared" si="65"/>
        <v>CAC-SEER15_ROF_SF</v>
      </c>
      <c r="G574" s="3386"/>
      <c r="H574" s="3387"/>
      <c r="I574" s="2964" t="str">
        <f t="shared" si="66"/>
        <v>350650_2021_12_</v>
      </c>
      <c r="J574" s="708">
        <v>1</v>
      </c>
      <c r="K574" s="2576"/>
      <c r="L574" s="2577"/>
      <c r="M574" s="328"/>
      <c r="N574" s="1544"/>
      <c r="O574" s="328"/>
      <c r="P574" s="353"/>
      <c r="Q574" s="353"/>
      <c r="R574" s="353"/>
      <c r="S574" s="353"/>
      <c r="T574" s="353"/>
      <c r="U574" s="353"/>
      <c r="V574" s="3990"/>
      <c r="W574" s="708">
        <v>1</v>
      </c>
      <c r="X574" s="708">
        <f>W574</f>
        <v>1</v>
      </c>
      <c r="Y574" s="708">
        <v>1</v>
      </c>
      <c r="Z574" s="708">
        <v>1</v>
      </c>
      <c r="AA574" s="708">
        <v>1</v>
      </c>
      <c r="AB574" s="708">
        <v>1</v>
      </c>
      <c r="AC574" s="708">
        <v>1</v>
      </c>
      <c r="AD574" s="708"/>
      <c r="AE574" s="708"/>
      <c r="AF574" s="708"/>
      <c r="AG574" s="708"/>
      <c r="BB574" s="707"/>
      <c r="BC574" s="584"/>
      <c r="BD574" s="678"/>
      <c r="BE574" s="585"/>
    </row>
    <row r="575" spans="1:57" s="446" customFormat="1" ht="14.45" hidden="1" customHeight="1" outlineLevel="1" x14ac:dyDescent="0.25">
      <c r="A575" s="2059"/>
      <c r="B575" s="1279"/>
      <c r="C575" s="328"/>
      <c r="D575" s="3990"/>
      <c r="E575" s="4009"/>
      <c r="F575" s="3385" t="str">
        <f t="shared" si="65"/>
        <v>CAC-SEER15_ER1_MF</v>
      </c>
      <c r="G575" s="3386"/>
      <c r="H575" s="3387"/>
      <c r="I575" s="2964" t="str">
        <f t="shared" si="66"/>
        <v>350700_2021_12_</v>
      </c>
      <c r="J575" s="708">
        <v>1</v>
      </c>
      <c r="K575" s="2576"/>
      <c r="L575" s="2577"/>
      <c r="M575" s="328"/>
      <c r="N575" s="1544"/>
      <c r="O575" s="328"/>
      <c r="P575" s="353"/>
      <c r="Q575" s="353"/>
      <c r="R575" s="353"/>
      <c r="S575" s="353"/>
      <c r="T575" s="353"/>
      <c r="U575" s="353"/>
      <c r="V575" s="3990"/>
      <c r="W575" s="708">
        <v>0.65</v>
      </c>
      <c r="X575" s="709">
        <v>1</v>
      </c>
      <c r="Y575" s="708">
        <v>1</v>
      </c>
      <c r="Z575" s="708">
        <v>1</v>
      </c>
      <c r="AA575" s="708">
        <v>1</v>
      </c>
      <c r="AB575" s="708">
        <v>1</v>
      </c>
      <c r="AC575" s="708">
        <v>1</v>
      </c>
      <c r="AD575" s="708"/>
      <c r="AE575" s="708"/>
      <c r="AF575" s="708"/>
      <c r="AG575" s="708"/>
      <c r="BB575" s="707"/>
      <c r="BC575" s="584"/>
      <c r="BD575" s="678"/>
      <c r="BE575" s="585"/>
    </row>
    <row r="576" spans="1:57" s="446" customFormat="1" ht="14.45" hidden="1" customHeight="1" outlineLevel="1" x14ac:dyDescent="0.25">
      <c r="A576" s="2059"/>
      <c r="B576" s="1279"/>
      <c r="C576" s="328"/>
      <c r="D576" s="3990"/>
      <c r="E576" s="4009"/>
      <c r="F576" s="3385" t="str">
        <f t="shared" si="65"/>
        <v>CAC-SEER15_ER2_MF</v>
      </c>
      <c r="G576" s="3386"/>
      <c r="H576" s="3387"/>
      <c r="I576" s="2964" t="str">
        <f t="shared" si="66"/>
        <v>350700_2021_12_</v>
      </c>
      <c r="J576" s="708">
        <v>1</v>
      </c>
      <c r="K576" s="2576"/>
      <c r="L576" s="2577"/>
      <c r="M576" s="328"/>
      <c r="N576" s="1544"/>
      <c r="O576" s="328"/>
      <c r="P576" s="353"/>
      <c r="Q576" s="353"/>
      <c r="R576" s="353"/>
      <c r="S576" s="353"/>
      <c r="T576" s="353"/>
      <c r="U576" s="353"/>
      <c r="V576" s="3990"/>
      <c r="W576" s="708">
        <v>0.65</v>
      </c>
      <c r="X576" s="709">
        <v>1</v>
      </c>
      <c r="Y576" s="708">
        <v>1</v>
      </c>
      <c r="Z576" s="708">
        <v>1</v>
      </c>
      <c r="AA576" s="708">
        <v>1</v>
      </c>
      <c r="AB576" s="708">
        <v>1</v>
      </c>
      <c r="AC576" s="708">
        <v>1</v>
      </c>
      <c r="AD576" s="708"/>
      <c r="AE576" s="708"/>
      <c r="AF576" s="708"/>
      <c r="AG576" s="708"/>
      <c r="BB576" s="707"/>
      <c r="BC576" s="584"/>
      <c r="BD576" s="678"/>
      <c r="BE576" s="585"/>
    </row>
    <row r="577" spans="1:57" s="446" customFormat="1" ht="14.45" hidden="1" customHeight="1" outlineLevel="1" x14ac:dyDescent="0.25">
      <c r="A577" s="2059"/>
      <c r="B577" s="1279"/>
      <c r="C577" s="328"/>
      <c r="D577" s="3990"/>
      <c r="E577" s="4009"/>
      <c r="F577" s="3385" t="str">
        <f t="shared" si="65"/>
        <v>CAC-SEER15_ER1_MF_CompE</v>
      </c>
      <c r="G577" s="3386"/>
      <c r="H577" s="3387"/>
      <c r="I577" s="2964" t="str">
        <f t="shared" si="66"/>
        <v>350701_2021_12_</v>
      </c>
      <c r="J577" s="708">
        <v>1</v>
      </c>
      <c r="K577" s="2576"/>
      <c r="L577" s="2577"/>
      <c r="M577" s="328"/>
      <c r="N577" s="1544"/>
      <c r="O577" s="328"/>
      <c r="P577" s="353"/>
      <c r="Q577" s="353"/>
      <c r="R577" s="353"/>
      <c r="S577" s="353"/>
      <c r="T577" s="353"/>
      <c r="U577" s="353"/>
      <c r="V577" s="3990"/>
      <c r="W577" s="708"/>
      <c r="X577" s="709"/>
      <c r="Y577" s="708">
        <v>1</v>
      </c>
      <c r="Z577" s="708">
        <v>1</v>
      </c>
      <c r="AA577" s="708">
        <v>1</v>
      </c>
      <c r="AB577" s="708">
        <v>1</v>
      </c>
      <c r="AC577" s="708">
        <v>1</v>
      </c>
      <c r="AD577" s="708"/>
      <c r="AE577" s="708"/>
      <c r="AF577" s="708"/>
      <c r="AG577" s="708"/>
      <c r="BB577" s="707"/>
      <c r="BC577" s="584"/>
      <c r="BD577" s="678"/>
      <c r="BE577" s="585"/>
    </row>
    <row r="578" spans="1:57" s="446" customFormat="1" ht="14.45" hidden="1" customHeight="1" outlineLevel="1" x14ac:dyDescent="0.25">
      <c r="A578" s="2059"/>
      <c r="B578" s="1279"/>
      <c r="C578" s="328"/>
      <c r="D578" s="3990"/>
      <c r="E578" s="4009"/>
      <c r="F578" s="3385" t="str">
        <f t="shared" si="65"/>
        <v>CAC-SEER15_ER2_MF_CompE</v>
      </c>
      <c r="G578" s="3386"/>
      <c r="H578" s="3387"/>
      <c r="I578" s="2964" t="str">
        <f t="shared" si="66"/>
        <v>350701_2021_12_</v>
      </c>
      <c r="J578" s="708">
        <v>1</v>
      </c>
      <c r="K578" s="2576"/>
      <c r="L578" s="2577"/>
      <c r="M578" s="328"/>
      <c r="N578" s="1544"/>
      <c r="O578" s="328"/>
      <c r="P578" s="353"/>
      <c r="Q578" s="353"/>
      <c r="R578" s="353"/>
      <c r="S578" s="353"/>
      <c r="T578" s="353"/>
      <c r="U578" s="353"/>
      <c r="V578" s="3990"/>
      <c r="W578" s="708"/>
      <c r="X578" s="709"/>
      <c r="Y578" s="708">
        <v>1</v>
      </c>
      <c r="Z578" s="708">
        <v>1</v>
      </c>
      <c r="AA578" s="708">
        <v>1</v>
      </c>
      <c r="AB578" s="708">
        <v>1</v>
      </c>
      <c r="AC578" s="708">
        <v>1</v>
      </c>
      <c r="AD578" s="708"/>
      <c r="AE578" s="708"/>
      <c r="AF578" s="708"/>
      <c r="AG578" s="708"/>
      <c r="BB578" s="707"/>
      <c r="BC578" s="584"/>
      <c r="BD578" s="678"/>
      <c r="BE578" s="585"/>
    </row>
    <row r="579" spans="1:57" s="446" customFormat="1" ht="14.45" hidden="1" customHeight="1" outlineLevel="1" x14ac:dyDescent="0.25">
      <c r="A579" s="2059"/>
      <c r="B579" s="1279"/>
      <c r="C579" s="328"/>
      <c r="D579" s="3990"/>
      <c r="E579" s="4009"/>
      <c r="F579" s="3385" t="str">
        <f t="shared" si="65"/>
        <v>CAC-SEER15_ROF_MF</v>
      </c>
      <c r="G579" s="3386"/>
      <c r="H579" s="3387"/>
      <c r="I579" s="2964" t="str">
        <f t="shared" si="66"/>
        <v>350750_2021_12_</v>
      </c>
      <c r="J579" s="708">
        <v>1</v>
      </c>
      <c r="K579" s="2576"/>
      <c r="L579" s="2577"/>
      <c r="M579" s="328"/>
      <c r="N579" s="1544"/>
      <c r="O579" s="328"/>
      <c r="P579" s="353"/>
      <c r="Q579" s="353"/>
      <c r="R579" s="353"/>
      <c r="S579" s="353"/>
      <c r="T579" s="353"/>
      <c r="U579" s="353"/>
      <c r="V579" s="3990"/>
      <c r="W579" s="708">
        <v>0.65</v>
      </c>
      <c r="X579" s="709">
        <v>1</v>
      </c>
      <c r="Y579" s="708">
        <v>1</v>
      </c>
      <c r="Z579" s="708">
        <v>1</v>
      </c>
      <c r="AA579" s="708">
        <v>1</v>
      </c>
      <c r="AB579" s="708">
        <v>1</v>
      </c>
      <c r="AC579" s="708">
        <v>1</v>
      </c>
      <c r="AD579" s="708"/>
      <c r="AE579" s="708"/>
      <c r="AF579" s="708"/>
      <c r="AG579" s="708"/>
      <c r="BB579" s="707"/>
      <c r="BC579" s="584"/>
      <c r="BD579" s="678"/>
      <c r="BE579" s="585"/>
    </row>
    <row r="580" spans="1:57" s="446" customFormat="1" ht="14.45" hidden="1" customHeight="1" outlineLevel="1" x14ac:dyDescent="0.25">
      <c r="A580" s="2059"/>
      <c r="B580" s="1279"/>
      <c r="C580" s="328"/>
      <c r="D580" s="3990"/>
      <c r="E580" s="4009"/>
      <c r="F580" s="3385" t="str">
        <f t="shared" si="65"/>
        <v>CAC-SEER15_ROF_MF_CompE</v>
      </c>
      <c r="G580" s="3386"/>
      <c r="H580" s="3387"/>
      <c r="I580" s="2964" t="str">
        <f t="shared" si="66"/>
        <v>350751_2021_12_</v>
      </c>
      <c r="J580" s="708">
        <v>1</v>
      </c>
      <c r="K580" s="2576"/>
      <c r="L580" s="2577"/>
      <c r="M580" s="328"/>
      <c r="N580" s="1544"/>
      <c r="O580" s="328"/>
      <c r="P580" s="353"/>
      <c r="Q580" s="353"/>
      <c r="R580" s="353"/>
      <c r="S580" s="353"/>
      <c r="T580" s="353"/>
      <c r="U580" s="353"/>
      <c r="V580" s="3990"/>
      <c r="W580" s="708"/>
      <c r="X580" s="709"/>
      <c r="Y580" s="708">
        <v>1</v>
      </c>
      <c r="Z580" s="708">
        <v>1</v>
      </c>
      <c r="AA580" s="708">
        <v>1</v>
      </c>
      <c r="AB580" s="708">
        <v>1</v>
      </c>
      <c r="AC580" s="708">
        <v>1</v>
      </c>
      <c r="AD580" s="708"/>
      <c r="AE580" s="708"/>
      <c r="AF580" s="708"/>
      <c r="AG580" s="708"/>
      <c r="BB580" s="707"/>
      <c r="BC580" s="584"/>
      <c r="BD580" s="678"/>
      <c r="BE580" s="585"/>
    </row>
    <row r="581" spans="1:57" s="446" customFormat="1" ht="14.45" hidden="1" customHeight="1" outlineLevel="1" x14ac:dyDescent="0.25">
      <c r="A581" s="2059"/>
      <c r="B581" s="1279"/>
      <c r="C581" s="328"/>
      <c r="D581" s="3990"/>
      <c r="E581" s="4009"/>
      <c r="F581" s="3385" t="str">
        <f t="shared" si="65"/>
        <v>CAC-SEER16_ER1_SF</v>
      </c>
      <c r="G581" s="3386"/>
      <c r="H581" s="3387"/>
      <c r="I581" s="2964" t="str">
        <f t="shared" si="66"/>
        <v>350800_2021_12_</v>
      </c>
      <c r="J581" s="708">
        <v>1</v>
      </c>
      <c r="K581" s="2576"/>
      <c r="L581" s="2577"/>
      <c r="M581" s="328"/>
      <c r="N581" s="1544"/>
      <c r="O581" s="328"/>
      <c r="P581" s="353"/>
      <c r="Q581" s="353"/>
      <c r="R581" s="353"/>
      <c r="S581" s="353"/>
      <c r="T581" s="353"/>
      <c r="U581" s="353"/>
      <c r="V581" s="3990"/>
      <c r="W581" s="708">
        <v>1</v>
      </c>
      <c r="X581" s="708">
        <f>W581</f>
        <v>1</v>
      </c>
      <c r="Y581" s="708">
        <v>1</v>
      </c>
      <c r="Z581" s="708">
        <v>1</v>
      </c>
      <c r="AA581" s="708">
        <v>1</v>
      </c>
      <c r="AB581" s="708">
        <v>1</v>
      </c>
      <c r="AC581" s="708">
        <v>1</v>
      </c>
      <c r="AD581" s="708"/>
      <c r="AE581" s="708"/>
      <c r="AF581" s="708"/>
      <c r="AG581" s="708"/>
      <c r="BB581" s="707"/>
      <c r="BC581" s="584"/>
      <c r="BD581" s="678"/>
      <c r="BE581" s="585"/>
    </row>
    <row r="582" spans="1:57" s="446" customFormat="1" ht="14.45" hidden="1" customHeight="1" outlineLevel="1" x14ac:dyDescent="0.25">
      <c r="A582" s="2059"/>
      <c r="B582" s="1279"/>
      <c r="C582" s="328"/>
      <c r="D582" s="3990"/>
      <c r="E582" s="4009"/>
      <c r="F582" s="3385" t="str">
        <f t="shared" si="65"/>
        <v>CAC-SEER16_ER2_SF</v>
      </c>
      <c r="G582" s="3386"/>
      <c r="H582" s="3387"/>
      <c r="I582" s="2964" t="str">
        <f t="shared" si="66"/>
        <v>350800_2021_12_</v>
      </c>
      <c r="J582" s="708">
        <v>1</v>
      </c>
      <c r="K582" s="2576"/>
      <c r="L582" s="2577"/>
      <c r="M582" s="328"/>
      <c r="N582" s="1544"/>
      <c r="O582" s="328"/>
      <c r="P582" s="353"/>
      <c r="Q582" s="353"/>
      <c r="R582" s="353"/>
      <c r="S582" s="353"/>
      <c r="T582" s="353"/>
      <c r="U582" s="353"/>
      <c r="V582" s="3990"/>
      <c r="W582" s="708">
        <v>1</v>
      </c>
      <c r="X582" s="708">
        <f>W582</f>
        <v>1</v>
      </c>
      <c r="Y582" s="708">
        <v>1</v>
      </c>
      <c r="Z582" s="708">
        <v>1</v>
      </c>
      <c r="AA582" s="708">
        <v>1</v>
      </c>
      <c r="AB582" s="708">
        <v>1</v>
      </c>
      <c r="AC582" s="708">
        <v>1</v>
      </c>
      <c r="AD582" s="708"/>
      <c r="AE582" s="708"/>
      <c r="AF582" s="708"/>
      <c r="AG582" s="708"/>
      <c r="BB582" s="707"/>
      <c r="BC582" s="584"/>
      <c r="BD582" s="678"/>
      <c r="BE582" s="585"/>
    </row>
    <row r="583" spans="1:57" s="446" customFormat="1" ht="14.45" hidden="1" customHeight="1" outlineLevel="1" x14ac:dyDescent="0.25">
      <c r="A583" s="2059"/>
      <c r="B583" s="1279"/>
      <c r="C583" s="328"/>
      <c r="D583" s="3990"/>
      <c r="E583" s="4009"/>
      <c r="F583" s="3385" t="str">
        <f t="shared" si="65"/>
        <v>CAC-SEER16_ROF_SF</v>
      </c>
      <c r="G583" s="3386"/>
      <c r="H583" s="3387"/>
      <c r="I583" s="2964" t="str">
        <f t="shared" si="66"/>
        <v>350850_2021_12_</v>
      </c>
      <c r="J583" s="708">
        <v>1</v>
      </c>
      <c r="K583" s="2576"/>
      <c r="L583" s="2577"/>
      <c r="M583" s="328"/>
      <c r="N583" s="1544"/>
      <c r="O583" s="328"/>
      <c r="P583" s="353"/>
      <c r="Q583" s="353"/>
      <c r="R583" s="353"/>
      <c r="S583" s="353"/>
      <c r="T583" s="353"/>
      <c r="U583" s="353"/>
      <c r="V583" s="3990"/>
      <c r="W583" s="708">
        <v>1</v>
      </c>
      <c r="X583" s="708">
        <f>W583</f>
        <v>1</v>
      </c>
      <c r="Y583" s="708">
        <v>1</v>
      </c>
      <c r="Z583" s="708">
        <v>1</v>
      </c>
      <c r="AA583" s="708">
        <v>1</v>
      </c>
      <c r="AB583" s="708">
        <v>1</v>
      </c>
      <c r="AC583" s="708">
        <v>1</v>
      </c>
      <c r="AD583" s="708"/>
      <c r="AE583" s="708"/>
      <c r="AF583" s="708"/>
      <c r="AG583" s="708"/>
      <c r="BB583" s="707"/>
      <c r="BC583" s="584"/>
      <c r="BD583" s="678"/>
      <c r="BE583" s="585"/>
    </row>
    <row r="584" spans="1:57" s="446" customFormat="1" ht="14.45" hidden="1" customHeight="1" outlineLevel="1" x14ac:dyDescent="0.25">
      <c r="A584" s="2059"/>
      <c r="B584" s="1279"/>
      <c r="C584" s="328"/>
      <c r="D584" s="3990"/>
      <c r="E584" s="4009"/>
      <c r="F584" s="3385" t="str">
        <f t="shared" si="65"/>
        <v>CAC-SEER16_ER1_MF</v>
      </c>
      <c r="G584" s="3386"/>
      <c r="H584" s="3387"/>
      <c r="I584" s="2964" t="str">
        <f t="shared" si="66"/>
        <v>350900_2021_12_</v>
      </c>
      <c r="J584" s="708">
        <v>1</v>
      </c>
      <c r="K584" s="2576"/>
      <c r="L584" s="2577"/>
      <c r="M584" s="328"/>
      <c r="N584" s="1544"/>
      <c r="O584" s="328"/>
      <c r="P584" s="353"/>
      <c r="Q584" s="353"/>
      <c r="R584" s="353"/>
      <c r="S584" s="353"/>
      <c r="T584" s="353"/>
      <c r="U584" s="353"/>
      <c r="V584" s="3990"/>
      <c r="W584" s="708">
        <v>0.65</v>
      </c>
      <c r="X584" s="709">
        <v>1</v>
      </c>
      <c r="Y584" s="708">
        <v>1</v>
      </c>
      <c r="Z584" s="708">
        <v>1</v>
      </c>
      <c r="AA584" s="708">
        <v>1</v>
      </c>
      <c r="AB584" s="708">
        <v>1</v>
      </c>
      <c r="AC584" s="708">
        <v>1</v>
      </c>
      <c r="AD584" s="708"/>
      <c r="AE584" s="708"/>
      <c r="AF584" s="708"/>
      <c r="AG584" s="708"/>
      <c r="BB584" s="707"/>
      <c r="BC584" s="584"/>
      <c r="BD584" s="678"/>
      <c r="BE584" s="585"/>
    </row>
    <row r="585" spans="1:57" s="446" customFormat="1" ht="14.45" hidden="1" customHeight="1" outlineLevel="1" x14ac:dyDescent="0.25">
      <c r="A585" s="2059"/>
      <c r="B585" s="1279"/>
      <c r="C585" s="328"/>
      <c r="D585" s="3990"/>
      <c r="E585" s="4009"/>
      <c r="F585" s="3385" t="str">
        <f t="shared" si="65"/>
        <v>CAC-SEER16_ER2_MF</v>
      </c>
      <c r="G585" s="3386"/>
      <c r="H585" s="3387"/>
      <c r="I585" s="2964" t="str">
        <f t="shared" si="66"/>
        <v>350900_2021_12_</v>
      </c>
      <c r="J585" s="708">
        <v>1</v>
      </c>
      <c r="K585" s="2576"/>
      <c r="L585" s="2577"/>
      <c r="M585" s="328"/>
      <c r="N585" s="1544"/>
      <c r="O585" s="328"/>
      <c r="P585" s="353"/>
      <c r="Q585" s="353"/>
      <c r="R585" s="353"/>
      <c r="S585" s="353"/>
      <c r="T585" s="353"/>
      <c r="U585" s="353"/>
      <c r="V585" s="3990"/>
      <c r="W585" s="708">
        <v>0.65</v>
      </c>
      <c r="X585" s="709">
        <v>1</v>
      </c>
      <c r="Y585" s="708">
        <v>1</v>
      </c>
      <c r="Z585" s="708">
        <v>1</v>
      </c>
      <c r="AA585" s="708">
        <v>1</v>
      </c>
      <c r="AB585" s="708">
        <v>1</v>
      </c>
      <c r="AC585" s="708">
        <v>1</v>
      </c>
      <c r="AD585" s="708"/>
      <c r="AE585" s="708"/>
      <c r="AF585" s="708"/>
      <c r="AG585" s="708"/>
      <c r="BB585" s="707"/>
      <c r="BC585" s="584"/>
      <c r="BD585" s="678"/>
      <c r="BE585" s="585"/>
    </row>
    <row r="586" spans="1:57" s="446" customFormat="1" ht="14.45" hidden="1" customHeight="1" outlineLevel="1" x14ac:dyDescent="0.25">
      <c r="A586" s="2059"/>
      <c r="B586" s="1279"/>
      <c r="C586" s="328"/>
      <c r="D586" s="3990"/>
      <c r="E586" s="4009"/>
      <c r="F586" s="3385" t="str">
        <f t="shared" si="65"/>
        <v>CAC-SEER16_ER1_MF_CompE</v>
      </c>
      <c r="G586" s="3386"/>
      <c r="H586" s="3387"/>
      <c r="I586" s="2964" t="str">
        <f t="shared" si="66"/>
        <v>350901_2021_12_</v>
      </c>
      <c r="J586" s="708">
        <v>1</v>
      </c>
      <c r="K586" s="2576"/>
      <c r="L586" s="2577"/>
      <c r="M586" s="328"/>
      <c r="N586" s="1544"/>
      <c r="O586" s="328"/>
      <c r="P586" s="353"/>
      <c r="Q586" s="353"/>
      <c r="R586" s="353"/>
      <c r="S586" s="353"/>
      <c r="T586" s="353"/>
      <c r="U586" s="353"/>
      <c r="V586" s="3990"/>
      <c r="W586" s="708"/>
      <c r="X586" s="709"/>
      <c r="Y586" s="708">
        <v>1</v>
      </c>
      <c r="Z586" s="708">
        <v>1</v>
      </c>
      <c r="AA586" s="708">
        <v>1</v>
      </c>
      <c r="AB586" s="708">
        <v>1</v>
      </c>
      <c r="AC586" s="708">
        <v>1</v>
      </c>
      <c r="AD586" s="708"/>
      <c r="AE586" s="708"/>
      <c r="AF586" s="708"/>
      <c r="AG586" s="708"/>
      <c r="BB586" s="707"/>
      <c r="BC586" s="584"/>
      <c r="BD586" s="678"/>
      <c r="BE586" s="585"/>
    </row>
    <row r="587" spans="1:57" s="446" customFormat="1" ht="14.45" hidden="1" customHeight="1" outlineLevel="1" x14ac:dyDescent="0.25">
      <c r="A587" s="2059"/>
      <c r="B587" s="1279"/>
      <c r="C587" s="328"/>
      <c r="D587" s="3990"/>
      <c r="E587" s="4009"/>
      <c r="F587" s="3385" t="str">
        <f t="shared" si="65"/>
        <v>CAC-SEER16_ER2_MF_CompE</v>
      </c>
      <c r="G587" s="3386"/>
      <c r="H587" s="3387"/>
      <c r="I587" s="2964" t="str">
        <f t="shared" si="66"/>
        <v>350901_2021_12_</v>
      </c>
      <c r="J587" s="708">
        <v>1</v>
      </c>
      <c r="K587" s="2576"/>
      <c r="L587" s="2577"/>
      <c r="M587" s="328"/>
      <c r="N587" s="1544"/>
      <c r="O587" s="328"/>
      <c r="P587" s="353"/>
      <c r="Q587" s="353"/>
      <c r="R587" s="353"/>
      <c r="S587" s="353"/>
      <c r="T587" s="353"/>
      <c r="U587" s="353"/>
      <c r="V587" s="3990"/>
      <c r="W587" s="708"/>
      <c r="X587" s="709"/>
      <c r="Y587" s="708">
        <v>1</v>
      </c>
      <c r="Z587" s="708">
        <v>1</v>
      </c>
      <c r="AA587" s="708">
        <v>1</v>
      </c>
      <c r="AB587" s="708">
        <v>1</v>
      </c>
      <c r="AC587" s="708">
        <v>1</v>
      </c>
      <c r="AD587" s="708"/>
      <c r="AE587" s="708"/>
      <c r="AF587" s="708"/>
      <c r="AG587" s="708"/>
      <c r="BB587" s="707"/>
      <c r="BC587" s="584"/>
      <c r="BD587" s="678"/>
      <c r="BE587" s="585"/>
    </row>
    <row r="588" spans="1:57" s="446" customFormat="1" ht="14.45" hidden="1" customHeight="1" outlineLevel="1" x14ac:dyDescent="0.25">
      <c r="A588" s="2059"/>
      <c r="B588" s="1279"/>
      <c r="C588" s="328"/>
      <c r="D588" s="3990"/>
      <c r="E588" s="4009"/>
      <c r="F588" s="3385" t="str">
        <f t="shared" si="65"/>
        <v>CAC-SEER16_ROF_MF</v>
      </c>
      <c r="G588" s="3386"/>
      <c r="H588" s="3387"/>
      <c r="I588" s="2964" t="str">
        <f t="shared" si="66"/>
        <v>350950_2021_12_</v>
      </c>
      <c r="J588" s="708">
        <v>1</v>
      </c>
      <c r="K588" s="2576"/>
      <c r="L588" s="2577"/>
      <c r="M588" s="328"/>
      <c r="N588" s="1544"/>
      <c r="O588" s="328"/>
      <c r="P588" s="353"/>
      <c r="Q588" s="353"/>
      <c r="R588" s="353"/>
      <c r="S588" s="353"/>
      <c r="T588" s="353"/>
      <c r="U588" s="353"/>
      <c r="V588" s="3990"/>
      <c r="W588" s="708">
        <v>0.65</v>
      </c>
      <c r="X588" s="709">
        <v>1</v>
      </c>
      <c r="Y588" s="708">
        <v>1</v>
      </c>
      <c r="Z588" s="708">
        <v>1</v>
      </c>
      <c r="AA588" s="708">
        <v>1</v>
      </c>
      <c r="AB588" s="708">
        <v>1</v>
      </c>
      <c r="AC588" s="708">
        <v>1</v>
      </c>
      <c r="AD588" s="708"/>
      <c r="AE588" s="708"/>
      <c r="AF588" s="708"/>
      <c r="AG588" s="708"/>
      <c r="BB588" s="707"/>
      <c r="BC588" s="584"/>
      <c r="BD588" s="678"/>
      <c r="BE588" s="585"/>
    </row>
    <row r="589" spans="1:57" s="446" customFormat="1" ht="14.45" hidden="1" customHeight="1" outlineLevel="1" x14ac:dyDescent="0.25">
      <c r="A589" s="2059"/>
      <c r="B589" s="1279"/>
      <c r="C589" s="328"/>
      <c r="D589" s="3990"/>
      <c r="E589" s="4009"/>
      <c r="F589" s="3385" t="str">
        <f t="shared" si="65"/>
        <v>CAC-SEER16_ROF_MF_CompE</v>
      </c>
      <c r="G589" s="3386"/>
      <c r="H589" s="3387"/>
      <c r="I589" s="2964" t="str">
        <f t="shared" si="66"/>
        <v>350951_2021_12_</v>
      </c>
      <c r="J589" s="708">
        <v>1</v>
      </c>
      <c r="K589" s="2576"/>
      <c r="L589" s="2577"/>
      <c r="M589" s="328"/>
      <c r="N589" s="1544"/>
      <c r="O589" s="328"/>
      <c r="P589" s="353"/>
      <c r="Q589" s="353"/>
      <c r="R589" s="353"/>
      <c r="S589" s="353"/>
      <c r="T589" s="353"/>
      <c r="U589" s="353"/>
      <c r="V589" s="3990"/>
      <c r="W589" s="708"/>
      <c r="X589" s="709"/>
      <c r="Y589" s="708">
        <v>1</v>
      </c>
      <c r="Z589" s="708">
        <v>1</v>
      </c>
      <c r="AA589" s="708">
        <v>1</v>
      </c>
      <c r="AB589" s="708">
        <v>1</v>
      </c>
      <c r="AC589" s="708">
        <v>1</v>
      </c>
      <c r="AD589" s="708"/>
      <c r="AE589" s="708"/>
      <c r="AF589" s="708"/>
      <c r="AG589" s="708"/>
      <c r="BB589" s="707"/>
      <c r="BC589" s="584"/>
      <c r="BD589" s="678"/>
      <c r="BE589" s="585"/>
    </row>
    <row r="590" spans="1:57" s="446" customFormat="1" ht="14.45" hidden="1" customHeight="1" outlineLevel="1" x14ac:dyDescent="0.25">
      <c r="A590" s="2059"/>
      <c r="B590" s="1279"/>
      <c r="C590" s="328"/>
      <c r="D590" s="3990"/>
      <c r="E590" s="4009"/>
      <c r="F590" s="3385" t="str">
        <f t="shared" si="65"/>
        <v>CAC-SEER17_ER1_SF</v>
      </c>
      <c r="G590" s="3386"/>
      <c r="H590" s="3387"/>
      <c r="I590" s="2964" t="str">
        <f t="shared" si="66"/>
        <v>351000_2021_12_</v>
      </c>
      <c r="J590" s="708">
        <v>1</v>
      </c>
      <c r="K590" s="2576"/>
      <c r="L590" s="2577"/>
      <c r="M590" s="328"/>
      <c r="N590" s="1544"/>
      <c r="O590" s="328"/>
      <c r="P590" s="353"/>
      <c r="Q590" s="353"/>
      <c r="R590" s="353"/>
      <c r="S590" s="353"/>
      <c r="T590" s="353"/>
      <c r="U590" s="353"/>
      <c r="V590" s="3990"/>
      <c r="W590" s="708">
        <v>1</v>
      </c>
      <c r="X590" s="708">
        <f>W590</f>
        <v>1</v>
      </c>
      <c r="Y590" s="708">
        <v>1</v>
      </c>
      <c r="Z590" s="708">
        <v>1</v>
      </c>
      <c r="AA590" s="708">
        <v>1</v>
      </c>
      <c r="AB590" s="708">
        <v>1</v>
      </c>
      <c r="AC590" s="708">
        <v>1</v>
      </c>
      <c r="AD590" s="708"/>
      <c r="AE590" s="708"/>
      <c r="AF590" s="708"/>
      <c r="AG590" s="708"/>
      <c r="BB590" s="707"/>
      <c r="BC590" s="584"/>
      <c r="BD590" s="678"/>
      <c r="BE590" s="585"/>
    </row>
    <row r="591" spans="1:57" s="446" customFormat="1" ht="14.45" hidden="1" customHeight="1" outlineLevel="1" x14ac:dyDescent="0.25">
      <c r="A591" s="2059"/>
      <c r="B591" s="1279"/>
      <c r="C591" s="328"/>
      <c r="D591" s="3990"/>
      <c r="E591" s="4009"/>
      <c r="F591" s="3385" t="str">
        <f t="shared" si="65"/>
        <v>CAC-SEER17_ER2_SF</v>
      </c>
      <c r="G591" s="3386"/>
      <c r="H591" s="3387"/>
      <c r="I591" s="2964" t="str">
        <f t="shared" si="66"/>
        <v>351000_2021_12_</v>
      </c>
      <c r="J591" s="708">
        <v>1</v>
      </c>
      <c r="K591" s="2576"/>
      <c r="L591" s="2577"/>
      <c r="M591" s="328"/>
      <c r="N591" s="1544"/>
      <c r="O591" s="328"/>
      <c r="P591" s="353"/>
      <c r="Q591" s="353"/>
      <c r="R591" s="353"/>
      <c r="S591" s="353"/>
      <c r="T591" s="353"/>
      <c r="U591" s="353"/>
      <c r="V591" s="3990"/>
      <c r="W591" s="708">
        <v>1</v>
      </c>
      <c r="X591" s="708">
        <f>W591</f>
        <v>1</v>
      </c>
      <c r="Y591" s="708">
        <v>1</v>
      </c>
      <c r="Z591" s="708">
        <v>1</v>
      </c>
      <c r="AA591" s="708">
        <v>1</v>
      </c>
      <c r="AB591" s="708">
        <v>1</v>
      </c>
      <c r="AC591" s="708">
        <v>1</v>
      </c>
      <c r="AD591" s="708"/>
      <c r="AE591" s="708"/>
      <c r="AF591" s="708"/>
      <c r="AG591" s="708"/>
      <c r="BB591" s="707"/>
      <c r="BC591" s="584"/>
      <c r="BD591" s="678"/>
      <c r="BE591" s="585"/>
    </row>
    <row r="592" spans="1:57" s="446" customFormat="1" ht="14.45" hidden="1" customHeight="1" outlineLevel="1" x14ac:dyDescent="0.25">
      <c r="A592" s="2059"/>
      <c r="B592" s="1279"/>
      <c r="C592" s="328"/>
      <c r="D592" s="3990"/>
      <c r="E592" s="4009"/>
      <c r="F592" s="3385" t="str">
        <f t="shared" si="65"/>
        <v>CAC-SEER17_ROF_SF</v>
      </c>
      <c r="G592" s="3386"/>
      <c r="H592" s="3387"/>
      <c r="I592" s="2964" t="str">
        <f t="shared" si="66"/>
        <v>351050_2021_12_</v>
      </c>
      <c r="J592" s="708">
        <v>1</v>
      </c>
      <c r="K592" s="2576"/>
      <c r="L592" s="2577"/>
      <c r="M592" s="328"/>
      <c r="N592" s="1544"/>
      <c r="O592" s="328"/>
      <c r="P592" s="353"/>
      <c r="Q592" s="353"/>
      <c r="R592" s="353"/>
      <c r="S592" s="353"/>
      <c r="T592" s="353"/>
      <c r="U592" s="353"/>
      <c r="V592" s="3990"/>
      <c r="W592" s="708">
        <v>1</v>
      </c>
      <c r="X592" s="708">
        <f>W592</f>
        <v>1</v>
      </c>
      <c r="Y592" s="708">
        <v>1</v>
      </c>
      <c r="Z592" s="708">
        <v>1</v>
      </c>
      <c r="AA592" s="708">
        <v>1</v>
      </c>
      <c r="AB592" s="708">
        <v>1</v>
      </c>
      <c r="AC592" s="708">
        <v>1</v>
      </c>
      <c r="AD592" s="708"/>
      <c r="AE592" s="708"/>
      <c r="AF592" s="708"/>
      <c r="AG592" s="708"/>
      <c r="BB592" s="707"/>
      <c r="BC592" s="584"/>
      <c r="BD592" s="678"/>
      <c r="BE592" s="585"/>
    </row>
    <row r="593" spans="1:57" s="446" customFormat="1" ht="14.45" hidden="1" customHeight="1" outlineLevel="1" x14ac:dyDescent="0.25">
      <c r="A593" s="2059"/>
      <c r="B593" s="1279"/>
      <c r="C593" s="328"/>
      <c r="D593" s="3990"/>
      <c r="E593" s="4009"/>
      <c r="F593" s="3385" t="str">
        <f t="shared" si="65"/>
        <v>CAC-SEER17_ER1_MF</v>
      </c>
      <c r="G593" s="3386"/>
      <c r="H593" s="3387"/>
      <c r="I593" s="2964" t="str">
        <f t="shared" si="66"/>
        <v>351100_2021_12_</v>
      </c>
      <c r="J593" s="708">
        <v>1</v>
      </c>
      <c r="K593" s="2576"/>
      <c r="L593" s="2577"/>
      <c r="M593" s="328"/>
      <c r="N593" s="1544"/>
      <c r="O593" s="328"/>
      <c r="P593" s="353"/>
      <c r="Q593" s="353"/>
      <c r="R593" s="353"/>
      <c r="S593" s="353"/>
      <c r="T593" s="353"/>
      <c r="U593" s="353"/>
      <c r="V593" s="3990"/>
      <c r="W593" s="708">
        <v>0.65</v>
      </c>
      <c r="X593" s="709">
        <v>1</v>
      </c>
      <c r="Y593" s="708">
        <v>1</v>
      </c>
      <c r="Z593" s="708">
        <v>1</v>
      </c>
      <c r="AA593" s="708">
        <v>1</v>
      </c>
      <c r="AB593" s="708">
        <v>1</v>
      </c>
      <c r="AC593" s="708">
        <v>1</v>
      </c>
      <c r="AD593" s="708"/>
      <c r="AE593" s="708"/>
      <c r="AF593" s="708"/>
      <c r="AG593" s="708"/>
      <c r="BB593" s="707"/>
      <c r="BC593" s="584"/>
      <c r="BD593" s="678"/>
      <c r="BE593" s="585"/>
    </row>
    <row r="594" spans="1:57" s="446" customFormat="1" ht="14.45" hidden="1" customHeight="1" outlineLevel="1" x14ac:dyDescent="0.25">
      <c r="A594" s="2059"/>
      <c r="B594" s="1279"/>
      <c r="C594" s="328"/>
      <c r="D594" s="3990"/>
      <c r="E594" s="4009"/>
      <c r="F594" s="3385" t="str">
        <f t="shared" si="65"/>
        <v>CAC-SEER17_ER2_MF</v>
      </c>
      <c r="G594" s="3386"/>
      <c r="H594" s="3387"/>
      <c r="I594" s="2964" t="str">
        <f t="shared" si="66"/>
        <v>351100_2021_12_</v>
      </c>
      <c r="J594" s="708">
        <v>1</v>
      </c>
      <c r="K594" s="2576"/>
      <c r="L594" s="2577"/>
      <c r="M594" s="328"/>
      <c r="N594" s="1544"/>
      <c r="O594" s="328"/>
      <c r="P594" s="353"/>
      <c r="Q594" s="353"/>
      <c r="R594" s="353"/>
      <c r="S594" s="353"/>
      <c r="T594" s="353"/>
      <c r="U594" s="353"/>
      <c r="V594" s="3990"/>
      <c r="W594" s="708">
        <v>0.65</v>
      </c>
      <c r="X594" s="709">
        <v>1</v>
      </c>
      <c r="Y594" s="708">
        <v>1</v>
      </c>
      <c r="Z594" s="708">
        <v>1</v>
      </c>
      <c r="AA594" s="708">
        <v>1</v>
      </c>
      <c r="AB594" s="708">
        <v>1</v>
      </c>
      <c r="AC594" s="708">
        <v>1</v>
      </c>
      <c r="AD594" s="708"/>
      <c r="AE594" s="708"/>
      <c r="AF594" s="708"/>
      <c r="AG594" s="708"/>
      <c r="BB594" s="707"/>
      <c r="BC594" s="584"/>
      <c r="BD594" s="678"/>
      <c r="BE594" s="585"/>
    </row>
    <row r="595" spans="1:57" s="446" customFormat="1" ht="14.45" hidden="1" customHeight="1" outlineLevel="1" x14ac:dyDescent="0.25">
      <c r="A595" s="2059"/>
      <c r="B595" s="1279"/>
      <c r="C595" s="328"/>
      <c r="D595" s="3990"/>
      <c r="E595" s="4009"/>
      <c r="F595" s="3385" t="str">
        <f t="shared" ref="F595:F634" si="67">F523</f>
        <v>CAC-SEER17_ER1_MF_CompE</v>
      </c>
      <c r="G595" s="3386"/>
      <c r="H595" s="3387"/>
      <c r="I595" s="2965" t="str">
        <f t="shared" ref="I595:I634" si="68">I523</f>
        <v>351101_2021_12_</v>
      </c>
      <c r="J595" s="708">
        <v>1</v>
      </c>
      <c r="K595" s="2578"/>
      <c r="L595" s="2579"/>
      <c r="M595" s="328"/>
      <c r="N595" s="1544"/>
      <c r="O595" s="328"/>
      <c r="P595" s="353"/>
      <c r="Q595" s="353"/>
      <c r="R595" s="353"/>
      <c r="S595" s="353"/>
      <c r="T595" s="353"/>
      <c r="U595" s="353"/>
      <c r="V595" s="3990"/>
      <c r="W595" s="711"/>
      <c r="X595" s="709"/>
      <c r="Y595" s="708">
        <v>1</v>
      </c>
      <c r="Z595" s="708">
        <v>1</v>
      </c>
      <c r="AA595" s="708">
        <v>1</v>
      </c>
      <c r="AB595" s="708">
        <v>1</v>
      </c>
      <c r="AC595" s="708">
        <v>1</v>
      </c>
      <c r="AD595" s="711"/>
      <c r="AE595" s="711"/>
      <c r="AF595" s="711"/>
      <c r="AG595" s="711"/>
      <c r="BB595" s="707"/>
      <c r="BC595" s="584"/>
      <c r="BD595" s="678"/>
      <c r="BE595" s="585"/>
    </row>
    <row r="596" spans="1:57" s="446" customFormat="1" ht="14.45" hidden="1" customHeight="1" outlineLevel="1" x14ac:dyDescent="0.25">
      <c r="A596" s="2059"/>
      <c r="B596" s="1279"/>
      <c r="C596" s="328"/>
      <c r="D596" s="3990"/>
      <c r="E596" s="4009"/>
      <c r="F596" s="3385" t="str">
        <f t="shared" si="67"/>
        <v>CAC-SEER17_ER2_MF_CompE</v>
      </c>
      <c r="G596" s="3386"/>
      <c r="H596" s="3387"/>
      <c r="I596" s="2965" t="str">
        <f t="shared" si="68"/>
        <v>351101_2021_12_</v>
      </c>
      <c r="J596" s="708">
        <v>1</v>
      </c>
      <c r="K596" s="2578"/>
      <c r="L596" s="2579"/>
      <c r="M596" s="328"/>
      <c r="N596" s="1544"/>
      <c r="O596" s="328"/>
      <c r="P596" s="353"/>
      <c r="Q596" s="353"/>
      <c r="R596" s="353"/>
      <c r="S596" s="353"/>
      <c r="T596" s="353"/>
      <c r="U596" s="353"/>
      <c r="V596" s="3990"/>
      <c r="W596" s="711"/>
      <c r="X596" s="709"/>
      <c r="Y596" s="708">
        <v>1</v>
      </c>
      <c r="Z596" s="708">
        <v>1</v>
      </c>
      <c r="AA596" s="708">
        <v>1</v>
      </c>
      <c r="AB596" s="708">
        <v>1</v>
      </c>
      <c r="AC596" s="708">
        <v>1</v>
      </c>
      <c r="AD596" s="711"/>
      <c r="AE596" s="711"/>
      <c r="AF596" s="711"/>
      <c r="AG596" s="711"/>
      <c r="BB596" s="707"/>
      <c r="BC596" s="584"/>
      <c r="BD596" s="678"/>
      <c r="BE596" s="585"/>
    </row>
    <row r="597" spans="1:57" s="446" customFormat="1" ht="14.45" hidden="1" customHeight="1" outlineLevel="1" x14ac:dyDescent="0.25">
      <c r="A597" s="2059"/>
      <c r="B597" s="1279"/>
      <c r="C597" s="328"/>
      <c r="D597" s="3990"/>
      <c r="E597" s="4009"/>
      <c r="F597" s="3385" t="str">
        <f t="shared" si="67"/>
        <v>CAC-SEER17_ROF_MF</v>
      </c>
      <c r="G597" s="3386"/>
      <c r="H597" s="3387"/>
      <c r="I597" s="2964" t="str">
        <f t="shared" si="68"/>
        <v>351150_2021_12_</v>
      </c>
      <c r="J597" s="708">
        <v>1</v>
      </c>
      <c r="K597" s="2576"/>
      <c r="L597" s="2577"/>
      <c r="M597" s="328"/>
      <c r="N597" s="1544"/>
      <c r="O597" s="328"/>
      <c r="P597" s="353"/>
      <c r="Q597" s="353"/>
      <c r="R597" s="353"/>
      <c r="S597" s="353"/>
      <c r="T597" s="353"/>
      <c r="U597" s="353"/>
      <c r="V597" s="3990"/>
      <c r="W597" s="708">
        <v>0.65</v>
      </c>
      <c r="X597" s="709">
        <v>1</v>
      </c>
      <c r="Y597" s="708">
        <v>1</v>
      </c>
      <c r="Z597" s="708">
        <v>1</v>
      </c>
      <c r="AA597" s="708">
        <v>1</v>
      </c>
      <c r="AB597" s="708">
        <v>1</v>
      </c>
      <c r="AC597" s="708">
        <v>1</v>
      </c>
      <c r="AD597" s="708"/>
      <c r="AE597" s="708"/>
      <c r="AF597" s="708"/>
      <c r="AG597" s="708"/>
      <c r="BB597" s="707"/>
      <c r="BC597" s="584"/>
      <c r="BD597" s="678"/>
      <c r="BE597" s="585"/>
    </row>
    <row r="598" spans="1:57" s="446" customFormat="1" ht="14.45" hidden="1" customHeight="1" outlineLevel="1" x14ac:dyDescent="0.25">
      <c r="A598" s="2059"/>
      <c r="B598" s="1279"/>
      <c r="C598" s="328"/>
      <c r="D598" s="4005"/>
      <c r="E598" s="3890"/>
      <c r="F598" s="3385" t="str">
        <f t="shared" si="67"/>
        <v>CAC-SEER17_ROF_MF_CompE</v>
      </c>
      <c r="G598" s="3386"/>
      <c r="H598" s="3387"/>
      <c r="I598" s="2964" t="str">
        <f t="shared" si="68"/>
        <v>351151_2021_12_</v>
      </c>
      <c r="J598" s="708">
        <v>1</v>
      </c>
      <c r="K598" s="2576"/>
      <c r="L598" s="2577"/>
      <c r="M598" s="328"/>
      <c r="N598" s="1544"/>
      <c r="O598" s="328"/>
      <c r="P598" s="353"/>
      <c r="Q598" s="353"/>
      <c r="R598" s="353"/>
      <c r="S598" s="353"/>
      <c r="T598" s="353"/>
      <c r="U598" s="353"/>
      <c r="V598" s="4005"/>
      <c r="W598" s="714"/>
      <c r="X598" s="713"/>
      <c r="Y598" s="714">
        <v>1</v>
      </c>
      <c r="Z598" s="714">
        <v>1</v>
      </c>
      <c r="AA598" s="714">
        <v>1</v>
      </c>
      <c r="AB598" s="714">
        <v>1</v>
      </c>
      <c r="AC598" s="708">
        <v>1</v>
      </c>
      <c r="AD598" s="714"/>
      <c r="AE598" s="714"/>
      <c r="AF598" s="714"/>
      <c r="AG598" s="714"/>
      <c r="BB598" s="707"/>
      <c r="BC598" s="584"/>
      <c r="BD598" s="678"/>
      <c r="BE598" s="585"/>
    </row>
    <row r="599" spans="1:57" s="446" customFormat="1" ht="14.45" hidden="1" customHeight="1" outlineLevel="1" x14ac:dyDescent="0.25">
      <c r="A599" s="2059"/>
      <c r="B599" s="1279"/>
      <c r="C599" s="328"/>
      <c r="D599" s="4006"/>
      <c r="E599" s="4010"/>
      <c r="F599" s="3391" t="str">
        <f t="shared" si="67"/>
        <v>CAC-SEER18_ER1_SF</v>
      </c>
      <c r="G599" s="3392"/>
      <c r="H599" s="3393"/>
      <c r="I599" s="2964" t="str">
        <f t="shared" si="68"/>
        <v>351160_2021_12_</v>
      </c>
      <c r="J599" s="708">
        <v>1</v>
      </c>
      <c r="K599" s="2576"/>
      <c r="L599" s="2577"/>
      <c r="M599" s="328"/>
      <c r="N599" s="1544"/>
      <c r="O599" s="328"/>
      <c r="P599" s="353"/>
      <c r="Q599" s="353"/>
      <c r="R599" s="353"/>
      <c r="S599" s="353"/>
      <c r="T599" s="353"/>
      <c r="U599" s="353"/>
      <c r="V599" s="4005"/>
      <c r="W599" s="714"/>
      <c r="X599" s="714"/>
      <c r="Y599" s="714"/>
      <c r="Z599" s="713">
        <v>1</v>
      </c>
      <c r="AA599" s="714">
        <v>1</v>
      </c>
      <c r="AB599" s="714">
        <v>1</v>
      </c>
      <c r="AC599" s="708">
        <v>1</v>
      </c>
      <c r="AD599" s="714"/>
      <c r="AE599" s="714"/>
      <c r="AF599" s="714"/>
      <c r="AG599" s="714"/>
      <c r="BB599" s="707"/>
      <c r="BC599" s="584"/>
      <c r="BD599" s="678"/>
      <c r="BE599" s="585"/>
    </row>
    <row r="600" spans="1:57" s="446" customFormat="1" ht="14.45" hidden="1" customHeight="1" outlineLevel="1" x14ac:dyDescent="0.25">
      <c r="A600" s="2059"/>
      <c r="B600" s="1279"/>
      <c r="C600" s="328"/>
      <c r="D600" s="4006"/>
      <c r="E600" s="4010"/>
      <c r="F600" s="3391" t="str">
        <f t="shared" si="67"/>
        <v>CAC-SEER18_ER2_SF</v>
      </c>
      <c r="G600" s="3392"/>
      <c r="H600" s="3393"/>
      <c r="I600" s="2964" t="str">
        <f t="shared" si="68"/>
        <v>351160_2021_12_</v>
      </c>
      <c r="J600" s="708">
        <v>1</v>
      </c>
      <c r="K600" s="2576"/>
      <c r="L600" s="2577"/>
      <c r="M600" s="328"/>
      <c r="N600" s="1544"/>
      <c r="O600" s="328"/>
      <c r="P600" s="353"/>
      <c r="Q600" s="353"/>
      <c r="R600" s="353"/>
      <c r="S600" s="353"/>
      <c r="T600" s="353"/>
      <c r="U600" s="353"/>
      <c r="V600" s="4005"/>
      <c r="W600" s="708"/>
      <c r="X600" s="708"/>
      <c r="Y600" s="708"/>
      <c r="Z600" s="709">
        <v>1</v>
      </c>
      <c r="AA600" s="708">
        <v>1</v>
      </c>
      <c r="AB600" s="708">
        <v>1</v>
      </c>
      <c r="AC600" s="708">
        <v>1</v>
      </c>
      <c r="AD600" s="708"/>
      <c r="AE600" s="708"/>
      <c r="AF600" s="708"/>
      <c r="AG600" s="708"/>
      <c r="BB600" s="707"/>
      <c r="BC600" s="584"/>
      <c r="BD600" s="678"/>
      <c r="BE600" s="585"/>
    </row>
    <row r="601" spans="1:57" s="446" customFormat="1" ht="14.45" hidden="1" customHeight="1" outlineLevel="1" x14ac:dyDescent="0.25">
      <c r="A601" s="2059"/>
      <c r="B601" s="1279"/>
      <c r="C601" s="328"/>
      <c r="D601" s="4006"/>
      <c r="E601" s="4010"/>
      <c r="F601" s="3391" t="str">
        <f t="shared" si="67"/>
        <v>CAC-SEER18_ROF_SF</v>
      </c>
      <c r="G601" s="3392"/>
      <c r="H601" s="3393"/>
      <c r="I601" s="2964" t="str">
        <f t="shared" si="68"/>
        <v>351161_2021_12_</v>
      </c>
      <c r="J601" s="708">
        <v>1</v>
      </c>
      <c r="K601" s="2576"/>
      <c r="L601" s="2577"/>
      <c r="M601" s="328"/>
      <c r="N601" s="1544"/>
      <c r="O601" s="328"/>
      <c r="P601" s="353"/>
      <c r="Q601" s="353"/>
      <c r="R601" s="353"/>
      <c r="S601" s="353"/>
      <c r="T601" s="353"/>
      <c r="U601" s="353"/>
      <c r="V601" s="4005"/>
      <c r="W601" s="708"/>
      <c r="X601" s="708"/>
      <c r="Y601" s="708"/>
      <c r="Z601" s="709">
        <v>1</v>
      </c>
      <c r="AA601" s="708">
        <v>1</v>
      </c>
      <c r="AB601" s="708">
        <v>1</v>
      </c>
      <c r="AC601" s="708">
        <v>1</v>
      </c>
      <c r="AD601" s="708"/>
      <c r="AE601" s="708"/>
      <c r="AF601" s="708"/>
      <c r="AG601" s="708"/>
      <c r="BB601" s="707"/>
      <c r="BC601" s="584"/>
      <c r="BD601" s="678"/>
      <c r="BE601" s="585"/>
    </row>
    <row r="602" spans="1:57" s="446" customFormat="1" ht="14.45" hidden="1" customHeight="1" outlineLevel="1" x14ac:dyDescent="0.25">
      <c r="A602" s="2059"/>
      <c r="B602" s="1279"/>
      <c r="C602" s="328"/>
      <c r="D602" s="4006"/>
      <c r="E602" s="4010"/>
      <c r="F602" s="3385" t="str">
        <f t="shared" si="67"/>
        <v>CAC-SEER18_ER1_MF</v>
      </c>
      <c r="G602" s="3386"/>
      <c r="H602" s="3387"/>
      <c r="I602" s="2964" t="str">
        <f t="shared" si="68"/>
        <v>351162_2021_12_</v>
      </c>
      <c r="J602" s="708">
        <v>1</v>
      </c>
      <c r="K602" s="2576"/>
      <c r="L602" s="2577"/>
      <c r="M602" s="328"/>
      <c r="N602" s="1544"/>
      <c r="O602" s="328"/>
      <c r="P602" s="353"/>
      <c r="Q602" s="353"/>
      <c r="R602" s="353"/>
      <c r="S602" s="353"/>
      <c r="T602" s="353"/>
      <c r="U602" s="353"/>
      <c r="V602" s="4005"/>
      <c r="W602" s="708"/>
      <c r="X602" s="709"/>
      <c r="Y602" s="708"/>
      <c r="Z602" s="709">
        <v>1</v>
      </c>
      <c r="AA602" s="708">
        <v>1</v>
      </c>
      <c r="AB602" s="708">
        <v>1</v>
      </c>
      <c r="AC602" s="708">
        <v>1</v>
      </c>
      <c r="AD602" s="708"/>
      <c r="AE602" s="708"/>
      <c r="AF602" s="708"/>
      <c r="AG602" s="708"/>
      <c r="BB602" s="707"/>
      <c r="BC602" s="584"/>
      <c r="BD602" s="678"/>
      <c r="BE602" s="585"/>
    </row>
    <row r="603" spans="1:57" s="446" customFormat="1" ht="14.45" hidden="1" customHeight="1" outlineLevel="1" x14ac:dyDescent="0.25">
      <c r="A603" s="2059"/>
      <c r="B603" s="1279"/>
      <c r="C603" s="328"/>
      <c r="D603" s="4006"/>
      <c r="E603" s="4010"/>
      <c r="F603" s="3385" t="str">
        <f t="shared" si="67"/>
        <v>CAC-SEER18_ER2_MF</v>
      </c>
      <c r="G603" s="3386"/>
      <c r="H603" s="3387"/>
      <c r="I603" s="2964" t="str">
        <f t="shared" si="68"/>
        <v>351162_2021_12_</v>
      </c>
      <c r="J603" s="708">
        <v>1</v>
      </c>
      <c r="K603" s="2576"/>
      <c r="L603" s="2577"/>
      <c r="M603" s="328"/>
      <c r="N603" s="1544"/>
      <c r="O603" s="328"/>
      <c r="P603" s="353"/>
      <c r="Q603" s="353"/>
      <c r="R603" s="353"/>
      <c r="S603" s="353"/>
      <c r="T603" s="353"/>
      <c r="U603" s="353"/>
      <c r="V603" s="4005"/>
      <c r="W603" s="708"/>
      <c r="X603" s="709"/>
      <c r="Y603" s="708"/>
      <c r="Z603" s="709">
        <v>1</v>
      </c>
      <c r="AA603" s="708">
        <v>1</v>
      </c>
      <c r="AB603" s="708">
        <v>1</v>
      </c>
      <c r="AC603" s="708">
        <v>1</v>
      </c>
      <c r="AD603" s="708"/>
      <c r="AE603" s="708"/>
      <c r="AF603" s="708"/>
      <c r="AG603" s="708"/>
      <c r="BB603" s="707"/>
      <c r="BC603" s="584"/>
      <c r="BD603" s="678"/>
      <c r="BE603" s="585"/>
    </row>
    <row r="604" spans="1:57" s="446" customFormat="1" ht="14.45" hidden="1" customHeight="1" outlineLevel="1" x14ac:dyDescent="0.25">
      <c r="A604" s="2059"/>
      <c r="B604" s="1279"/>
      <c r="C604" s="328"/>
      <c r="D604" s="4006"/>
      <c r="E604" s="4010"/>
      <c r="F604" s="3385" t="str">
        <f t="shared" si="67"/>
        <v>CAC-SEER18_ER1_MF_CompE</v>
      </c>
      <c r="G604" s="3386"/>
      <c r="H604" s="3387"/>
      <c r="I604" s="2964" t="str">
        <f t="shared" si="68"/>
        <v>351163_2021_12_</v>
      </c>
      <c r="J604" s="708">
        <v>1</v>
      </c>
      <c r="K604" s="2576"/>
      <c r="L604" s="2577"/>
      <c r="M604" s="328"/>
      <c r="N604" s="1544"/>
      <c r="O604" s="328"/>
      <c r="P604" s="353"/>
      <c r="Q604" s="353"/>
      <c r="R604" s="353"/>
      <c r="S604" s="353"/>
      <c r="T604" s="353"/>
      <c r="U604" s="353"/>
      <c r="V604" s="4005"/>
      <c r="W604" s="708"/>
      <c r="X604" s="709"/>
      <c r="Y604" s="708"/>
      <c r="Z604" s="709">
        <v>1</v>
      </c>
      <c r="AA604" s="708">
        <v>1</v>
      </c>
      <c r="AB604" s="708">
        <v>1</v>
      </c>
      <c r="AC604" s="708">
        <v>1</v>
      </c>
      <c r="AD604" s="708"/>
      <c r="AE604" s="708"/>
      <c r="AF604" s="708"/>
      <c r="AG604" s="708"/>
      <c r="BB604" s="707"/>
      <c r="BC604" s="584"/>
      <c r="BD604" s="678"/>
      <c r="BE604" s="585"/>
    </row>
    <row r="605" spans="1:57" s="446" customFormat="1" ht="14.45" hidden="1" customHeight="1" outlineLevel="1" x14ac:dyDescent="0.25">
      <c r="A605" s="2059"/>
      <c r="B605" s="1279"/>
      <c r="C605" s="328"/>
      <c r="D605" s="4006"/>
      <c r="E605" s="4010"/>
      <c r="F605" s="3385" t="str">
        <f t="shared" si="67"/>
        <v>CAC-SEER18_ER2_MF_CompE</v>
      </c>
      <c r="G605" s="3386"/>
      <c r="H605" s="3387"/>
      <c r="I605" s="2964" t="str">
        <f t="shared" si="68"/>
        <v>351163_2021_12_</v>
      </c>
      <c r="J605" s="708">
        <v>1</v>
      </c>
      <c r="K605" s="2576"/>
      <c r="L605" s="2577"/>
      <c r="M605" s="328"/>
      <c r="N605" s="1544"/>
      <c r="O605" s="328"/>
      <c r="P605" s="353"/>
      <c r="Q605" s="353"/>
      <c r="R605" s="353"/>
      <c r="S605" s="353"/>
      <c r="T605" s="353"/>
      <c r="U605" s="353"/>
      <c r="V605" s="4005"/>
      <c r="W605" s="708"/>
      <c r="X605" s="709"/>
      <c r="Y605" s="708"/>
      <c r="Z605" s="709">
        <v>1</v>
      </c>
      <c r="AA605" s="708">
        <v>1</v>
      </c>
      <c r="AB605" s="708">
        <v>1</v>
      </c>
      <c r="AC605" s="708">
        <v>1</v>
      </c>
      <c r="AD605" s="708"/>
      <c r="AE605" s="708"/>
      <c r="AF605" s="708"/>
      <c r="AG605" s="708"/>
      <c r="BB605" s="707"/>
      <c r="BC605" s="584"/>
      <c r="BD605" s="678"/>
      <c r="BE605" s="585"/>
    </row>
    <row r="606" spans="1:57" s="446" customFormat="1" ht="14.45" hidden="1" customHeight="1" outlineLevel="1" x14ac:dyDescent="0.25">
      <c r="A606" s="2059"/>
      <c r="B606" s="1279"/>
      <c r="C606" s="328"/>
      <c r="D606" s="4006"/>
      <c r="E606" s="4010"/>
      <c r="F606" s="3385" t="str">
        <f t="shared" si="67"/>
        <v>CAC-SEER18_ROF_MF</v>
      </c>
      <c r="G606" s="3386"/>
      <c r="H606" s="3387"/>
      <c r="I606" s="2964" t="str">
        <f t="shared" si="68"/>
        <v>351164_2021_12_</v>
      </c>
      <c r="J606" s="708">
        <v>1</v>
      </c>
      <c r="K606" s="2576"/>
      <c r="L606" s="2577"/>
      <c r="M606" s="328"/>
      <c r="N606" s="1544"/>
      <c r="O606" s="328"/>
      <c r="P606" s="353"/>
      <c r="Q606" s="353"/>
      <c r="R606" s="353"/>
      <c r="S606" s="353"/>
      <c r="T606" s="353"/>
      <c r="U606" s="353"/>
      <c r="V606" s="4005"/>
      <c r="W606" s="708"/>
      <c r="X606" s="709"/>
      <c r="Y606" s="708"/>
      <c r="Z606" s="709">
        <v>1</v>
      </c>
      <c r="AA606" s="708">
        <v>1</v>
      </c>
      <c r="AB606" s="708">
        <v>1</v>
      </c>
      <c r="AC606" s="708">
        <v>1</v>
      </c>
      <c r="AD606" s="708"/>
      <c r="AE606" s="708"/>
      <c r="AF606" s="708"/>
      <c r="AG606" s="708"/>
      <c r="BB606" s="707"/>
      <c r="BC606" s="584"/>
      <c r="BD606" s="678"/>
      <c r="BE606" s="585"/>
    </row>
    <row r="607" spans="1:57" s="446" customFormat="1" ht="14.45" hidden="1" customHeight="1" outlineLevel="1" x14ac:dyDescent="0.25">
      <c r="A607" s="2059"/>
      <c r="B607" s="1279"/>
      <c r="C607" s="328"/>
      <c r="D607" s="4006"/>
      <c r="E607" s="4010"/>
      <c r="F607" s="3385" t="str">
        <f t="shared" si="67"/>
        <v>CAC-SEER18_ROF_MF_CompE</v>
      </c>
      <c r="G607" s="3386"/>
      <c r="H607" s="3387"/>
      <c r="I607" s="2964" t="str">
        <f t="shared" si="68"/>
        <v>351165_2021_12_</v>
      </c>
      <c r="J607" s="708">
        <v>1</v>
      </c>
      <c r="K607" s="2576"/>
      <c r="L607" s="2577"/>
      <c r="M607" s="328"/>
      <c r="N607" s="1544"/>
      <c r="O607" s="328"/>
      <c r="P607" s="353"/>
      <c r="Q607" s="353"/>
      <c r="R607" s="353"/>
      <c r="S607" s="353"/>
      <c r="T607" s="353"/>
      <c r="U607" s="353"/>
      <c r="V607" s="4005"/>
      <c r="W607" s="708"/>
      <c r="X607" s="709"/>
      <c r="Y607" s="708"/>
      <c r="Z607" s="709">
        <v>1</v>
      </c>
      <c r="AA607" s="708">
        <v>1</v>
      </c>
      <c r="AB607" s="708">
        <v>1</v>
      </c>
      <c r="AC607" s="708">
        <v>1</v>
      </c>
      <c r="AD607" s="708"/>
      <c r="AE607" s="708"/>
      <c r="AF607" s="708"/>
      <c r="AG607" s="708"/>
      <c r="BB607" s="707"/>
      <c r="BC607" s="584"/>
      <c r="BD607" s="678"/>
      <c r="BE607" s="585"/>
    </row>
    <row r="608" spans="1:57" s="446" customFormat="1" ht="14.45" hidden="1" customHeight="1" outlineLevel="1" x14ac:dyDescent="0.25">
      <c r="A608" s="2059"/>
      <c r="B608" s="1279"/>
      <c r="C608" s="328"/>
      <c r="D608" s="4006"/>
      <c r="E608" s="4010"/>
      <c r="F608" s="3385" t="str">
        <f t="shared" si="67"/>
        <v>CAC-SEER19_ER1_SF</v>
      </c>
      <c r="G608" s="3386"/>
      <c r="H608" s="3387"/>
      <c r="I608" s="2964" t="str">
        <f t="shared" si="68"/>
        <v>351170_2021_12_</v>
      </c>
      <c r="J608" s="708">
        <v>1</v>
      </c>
      <c r="K608" s="2576"/>
      <c r="L608" s="2577"/>
      <c r="M608" s="328"/>
      <c r="N608" s="1544"/>
      <c r="O608" s="328"/>
      <c r="P608" s="353"/>
      <c r="Q608" s="353"/>
      <c r="R608" s="353"/>
      <c r="S608" s="353"/>
      <c r="T608" s="353"/>
      <c r="U608" s="353"/>
      <c r="V608" s="4005"/>
      <c r="W608" s="708"/>
      <c r="X608" s="708"/>
      <c r="Y608" s="708"/>
      <c r="Z608" s="709">
        <v>1</v>
      </c>
      <c r="AA608" s="708">
        <v>1</v>
      </c>
      <c r="AB608" s="708">
        <v>1</v>
      </c>
      <c r="AC608" s="708">
        <v>1</v>
      </c>
      <c r="AD608" s="708"/>
      <c r="AE608" s="708"/>
      <c r="AF608" s="708"/>
      <c r="AG608" s="708"/>
      <c r="BB608" s="707"/>
      <c r="BC608" s="584"/>
      <c r="BD608" s="678"/>
      <c r="BE608" s="585"/>
    </row>
    <row r="609" spans="1:57" s="446" customFormat="1" ht="14.45" hidden="1" customHeight="1" outlineLevel="1" x14ac:dyDescent="0.25">
      <c r="A609" s="2059"/>
      <c r="B609" s="1279"/>
      <c r="C609" s="328"/>
      <c r="D609" s="4006"/>
      <c r="E609" s="4010"/>
      <c r="F609" s="3385" t="str">
        <f t="shared" si="67"/>
        <v>CAC-SEER19_ER2_SF</v>
      </c>
      <c r="G609" s="3386"/>
      <c r="H609" s="3387"/>
      <c r="I609" s="2964" t="str">
        <f t="shared" si="68"/>
        <v>351170_2021_12_</v>
      </c>
      <c r="J609" s="708">
        <v>1</v>
      </c>
      <c r="K609" s="2576"/>
      <c r="L609" s="2577"/>
      <c r="M609" s="328"/>
      <c r="N609" s="1544"/>
      <c r="O609" s="328"/>
      <c r="P609" s="353"/>
      <c r="Q609" s="353"/>
      <c r="R609" s="353"/>
      <c r="S609" s="353"/>
      <c r="T609" s="353"/>
      <c r="U609" s="353"/>
      <c r="V609" s="4005"/>
      <c r="W609" s="708"/>
      <c r="X609" s="708"/>
      <c r="Y609" s="708"/>
      <c r="Z609" s="709">
        <v>1</v>
      </c>
      <c r="AA609" s="708">
        <v>1</v>
      </c>
      <c r="AB609" s="708">
        <v>1</v>
      </c>
      <c r="AC609" s="708">
        <v>1</v>
      </c>
      <c r="AD609" s="708"/>
      <c r="AE609" s="708"/>
      <c r="AF609" s="708"/>
      <c r="AG609" s="708"/>
      <c r="BB609" s="707"/>
      <c r="BC609" s="584"/>
      <c r="BD609" s="678"/>
      <c r="BE609" s="585"/>
    </row>
    <row r="610" spans="1:57" s="446" customFormat="1" ht="14.45" hidden="1" customHeight="1" outlineLevel="1" x14ac:dyDescent="0.25">
      <c r="A610" s="2059"/>
      <c r="B610" s="1279"/>
      <c r="C610" s="328"/>
      <c r="D610" s="4006"/>
      <c r="E610" s="4010"/>
      <c r="F610" s="3385" t="str">
        <f t="shared" si="67"/>
        <v>CAC-SEER19_ROF_SF</v>
      </c>
      <c r="G610" s="3386"/>
      <c r="H610" s="3387"/>
      <c r="I610" s="2964" t="str">
        <f t="shared" si="68"/>
        <v>351171_2021_12_</v>
      </c>
      <c r="J610" s="708">
        <v>1</v>
      </c>
      <c r="K610" s="2576"/>
      <c r="L610" s="2577"/>
      <c r="M610" s="328"/>
      <c r="N610" s="1544"/>
      <c r="O610" s="328"/>
      <c r="P610" s="353"/>
      <c r="Q610" s="353"/>
      <c r="R610" s="353"/>
      <c r="S610" s="353"/>
      <c r="T610" s="353"/>
      <c r="U610" s="353"/>
      <c r="V610" s="4005"/>
      <c r="W610" s="708"/>
      <c r="X610" s="708"/>
      <c r="Y610" s="708"/>
      <c r="Z610" s="709">
        <v>1</v>
      </c>
      <c r="AA610" s="708">
        <v>1</v>
      </c>
      <c r="AB610" s="708">
        <v>1</v>
      </c>
      <c r="AC610" s="708">
        <v>1</v>
      </c>
      <c r="AD610" s="708"/>
      <c r="AE610" s="708"/>
      <c r="AF610" s="708"/>
      <c r="AG610" s="708"/>
      <c r="BB610" s="707"/>
      <c r="BC610" s="584"/>
      <c r="BD610" s="678"/>
      <c r="BE610" s="585"/>
    </row>
    <row r="611" spans="1:57" s="446" customFormat="1" ht="14.45" hidden="1" customHeight="1" outlineLevel="1" x14ac:dyDescent="0.25">
      <c r="A611" s="2059"/>
      <c r="B611" s="1279"/>
      <c r="C611" s="328"/>
      <c r="D611" s="4006"/>
      <c r="E611" s="4010"/>
      <c r="F611" s="3385" t="str">
        <f t="shared" si="67"/>
        <v>CAC-SEER19_ER1_MF</v>
      </c>
      <c r="G611" s="3386"/>
      <c r="H611" s="3387"/>
      <c r="I611" s="2964" t="str">
        <f t="shared" si="68"/>
        <v>351172_2021_12_</v>
      </c>
      <c r="J611" s="708">
        <v>1</v>
      </c>
      <c r="K611" s="2576"/>
      <c r="L611" s="2577"/>
      <c r="M611" s="328"/>
      <c r="N611" s="1544"/>
      <c r="O611" s="328"/>
      <c r="P611" s="353"/>
      <c r="Q611" s="353"/>
      <c r="R611" s="353"/>
      <c r="S611" s="353"/>
      <c r="T611" s="353"/>
      <c r="U611" s="353"/>
      <c r="V611" s="4005"/>
      <c r="W611" s="708"/>
      <c r="X611" s="709"/>
      <c r="Y611" s="708"/>
      <c r="Z611" s="709">
        <v>1</v>
      </c>
      <c r="AA611" s="708">
        <v>1</v>
      </c>
      <c r="AB611" s="708">
        <v>1</v>
      </c>
      <c r="AC611" s="708">
        <v>1</v>
      </c>
      <c r="AD611" s="708"/>
      <c r="AE611" s="708"/>
      <c r="AF611" s="708"/>
      <c r="AG611" s="708"/>
      <c r="BB611" s="707"/>
      <c r="BC611" s="584"/>
      <c r="BD611" s="678"/>
      <c r="BE611" s="585"/>
    </row>
    <row r="612" spans="1:57" s="446" customFormat="1" ht="14.45" hidden="1" customHeight="1" outlineLevel="1" x14ac:dyDescent="0.25">
      <c r="A612" s="2059"/>
      <c r="B612" s="1279"/>
      <c r="C612" s="328"/>
      <c r="D612" s="4006"/>
      <c r="E612" s="4010"/>
      <c r="F612" s="3385" t="str">
        <f t="shared" si="67"/>
        <v>CAC-SEER19_ER2_MF</v>
      </c>
      <c r="G612" s="3386"/>
      <c r="H612" s="3387"/>
      <c r="I612" s="2964" t="str">
        <f t="shared" si="68"/>
        <v>351172_2021_12_</v>
      </c>
      <c r="J612" s="708">
        <v>1</v>
      </c>
      <c r="K612" s="2576"/>
      <c r="L612" s="2577"/>
      <c r="M612" s="328"/>
      <c r="N612" s="1544"/>
      <c r="O612" s="328"/>
      <c r="P612" s="353"/>
      <c r="Q612" s="353"/>
      <c r="R612" s="353"/>
      <c r="S612" s="353"/>
      <c r="T612" s="353"/>
      <c r="U612" s="353"/>
      <c r="V612" s="4005"/>
      <c r="W612" s="708"/>
      <c r="X612" s="709"/>
      <c r="Y612" s="708"/>
      <c r="Z612" s="709">
        <v>1</v>
      </c>
      <c r="AA612" s="708">
        <v>1</v>
      </c>
      <c r="AB612" s="708">
        <v>1</v>
      </c>
      <c r="AC612" s="708">
        <v>1</v>
      </c>
      <c r="AD612" s="708"/>
      <c r="AE612" s="708"/>
      <c r="AF612" s="708"/>
      <c r="AG612" s="708"/>
      <c r="BB612" s="707"/>
      <c r="BC612" s="584"/>
      <c r="BD612" s="678"/>
      <c r="BE612" s="585"/>
    </row>
    <row r="613" spans="1:57" s="446" customFormat="1" ht="14.45" hidden="1" customHeight="1" outlineLevel="1" x14ac:dyDescent="0.25">
      <c r="A613" s="2059"/>
      <c r="B613" s="1279"/>
      <c r="C613" s="328"/>
      <c r="D613" s="4006"/>
      <c r="E613" s="4010"/>
      <c r="F613" s="3385" t="str">
        <f t="shared" si="67"/>
        <v>CAC-SEER19_ER1_MF_CompE</v>
      </c>
      <c r="G613" s="3386"/>
      <c r="H613" s="3387"/>
      <c r="I613" s="2964" t="str">
        <f t="shared" si="68"/>
        <v>351173_2021_12_</v>
      </c>
      <c r="J613" s="708">
        <v>1</v>
      </c>
      <c r="K613" s="2576"/>
      <c r="L613" s="2577"/>
      <c r="M613" s="328"/>
      <c r="N613" s="1544"/>
      <c r="O613" s="328"/>
      <c r="P613" s="353"/>
      <c r="Q613" s="353"/>
      <c r="R613" s="353"/>
      <c r="S613" s="353"/>
      <c r="T613" s="353"/>
      <c r="U613" s="353"/>
      <c r="V613" s="4005"/>
      <c r="W613" s="708"/>
      <c r="X613" s="709"/>
      <c r="Y613" s="708"/>
      <c r="Z613" s="709">
        <v>1</v>
      </c>
      <c r="AA613" s="708">
        <v>1</v>
      </c>
      <c r="AB613" s="708">
        <v>1</v>
      </c>
      <c r="AC613" s="708">
        <v>1</v>
      </c>
      <c r="AD613" s="708"/>
      <c r="AE613" s="708"/>
      <c r="AF613" s="708"/>
      <c r="AG613" s="708"/>
      <c r="BB613" s="707"/>
      <c r="BC613" s="584"/>
      <c r="BD613" s="678"/>
      <c r="BE613" s="585"/>
    </row>
    <row r="614" spans="1:57" s="446" customFormat="1" ht="14.45" hidden="1" customHeight="1" outlineLevel="1" x14ac:dyDescent="0.25">
      <c r="A614" s="2059"/>
      <c r="B614" s="1279"/>
      <c r="C614" s="328"/>
      <c r="D614" s="4006"/>
      <c r="E614" s="4010"/>
      <c r="F614" s="3385" t="str">
        <f t="shared" si="67"/>
        <v>CAC-SEER19_ER2_MF_CompE</v>
      </c>
      <c r="G614" s="3386"/>
      <c r="H614" s="3387"/>
      <c r="I614" s="2964" t="str">
        <f t="shared" si="68"/>
        <v>351173_2021_12_</v>
      </c>
      <c r="J614" s="708">
        <v>1</v>
      </c>
      <c r="K614" s="2576"/>
      <c r="L614" s="2577"/>
      <c r="M614" s="328"/>
      <c r="N614" s="1544"/>
      <c r="O614" s="328"/>
      <c r="P614" s="353"/>
      <c r="Q614" s="353"/>
      <c r="R614" s="353"/>
      <c r="S614" s="353"/>
      <c r="T614" s="353"/>
      <c r="U614" s="353"/>
      <c r="V614" s="4005"/>
      <c r="W614" s="708"/>
      <c r="X614" s="709"/>
      <c r="Y614" s="708"/>
      <c r="Z614" s="709">
        <v>1</v>
      </c>
      <c r="AA614" s="708">
        <v>1</v>
      </c>
      <c r="AB614" s="708">
        <v>1</v>
      </c>
      <c r="AC614" s="708">
        <v>1</v>
      </c>
      <c r="AD614" s="708"/>
      <c r="AE614" s="708"/>
      <c r="AF614" s="708"/>
      <c r="AG614" s="708"/>
      <c r="BB614" s="707"/>
      <c r="BC614" s="584"/>
      <c r="BD614" s="678"/>
      <c r="BE614" s="585"/>
    </row>
    <row r="615" spans="1:57" s="446" customFormat="1" ht="14.45" hidden="1" customHeight="1" outlineLevel="1" x14ac:dyDescent="0.25">
      <c r="A615" s="2059"/>
      <c r="B615" s="1279"/>
      <c r="C615" s="328"/>
      <c r="D615" s="4006"/>
      <c r="E615" s="4010"/>
      <c r="F615" s="3385" t="str">
        <f t="shared" si="67"/>
        <v>CAC-SEER19_ROF_MF</v>
      </c>
      <c r="G615" s="3386"/>
      <c r="H615" s="3387"/>
      <c r="I615" s="2964" t="str">
        <f t="shared" si="68"/>
        <v>351174_2021_12_</v>
      </c>
      <c r="J615" s="708">
        <v>1</v>
      </c>
      <c r="K615" s="2576"/>
      <c r="L615" s="2577"/>
      <c r="M615" s="328"/>
      <c r="N615" s="1544"/>
      <c r="O615" s="328"/>
      <c r="P615" s="353"/>
      <c r="Q615" s="353"/>
      <c r="R615" s="353"/>
      <c r="S615" s="353"/>
      <c r="T615" s="353"/>
      <c r="U615" s="353"/>
      <c r="V615" s="4005"/>
      <c r="W615" s="708"/>
      <c r="X615" s="709"/>
      <c r="Y615" s="708"/>
      <c r="Z615" s="709">
        <v>1</v>
      </c>
      <c r="AA615" s="708">
        <v>1</v>
      </c>
      <c r="AB615" s="708">
        <v>1</v>
      </c>
      <c r="AC615" s="708">
        <v>1</v>
      </c>
      <c r="AD615" s="708"/>
      <c r="AE615" s="708"/>
      <c r="AF615" s="708"/>
      <c r="AG615" s="708"/>
      <c r="BB615" s="707"/>
      <c r="BC615" s="584"/>
      <c r="BD615" s="678"/>
      <c r="BE615" s="585"/>
    </row>
    <row r="616" spans="1:57" s="446" customFormat="1" ht="14.45" hidden="1" customHeight="1" outlineLevel="1" x14ac:dyDescent="0.25">
      <c r="A616" s="2059"/>
      <c r="B616" s="1279"/>
      <c r="C616" s="328"/>
      <c r="D616" s="4006"/>
      <c r="E616" s="4010"/>
      <c r="F616" s="3385" t="str">
        <f t="shared" si="67"/>
        <v>CAC-SEER19_ROF_MF_CompE</v>
      </c>
      <c r="G616" s="3386"/>
      <c r="H616" s="3387"/>
      <c r="I616" s="2964" t="str">
        <f t="shared" si="68"/>
        <v>351175_2021_12_</v>
      </c>
      <c r="J616" s="708">
        <v>1</v>
      </c>
      <c r="K616" s="2576"/>
      <c r="L616" s="2577"/>
      <c r="M616" s="328"/>
      <c r="N616" s="1544"/>
      <c r="O616" s="328"/>
      <c r="P616" s="353"/>
      <c r="Q616" s="353"/>
      <c r="R616" s="353"/>
      <c r="S616" s="353"/>
      <c r="T616" s="353"/>
      <c r="U616" s="353"/>
      <c r="V616" s="4005"/>
      <c r="W616" s="708"/>
      <c r="X616" s="709"/>
      <c r="Y616" s="708"/>
      <c r="Z616" s="709">
        <v>1</v>
      </c>
      <c r="AA616" s="708">
        <v>1</v>
      </c>
      <c r="AB616" s="708">
        <v>1</v>
      </c>
      <c r="AC616" s="708">
        <v>1</v>
      </c>
      <c r="AD616" s="708"/>
      <c r="AE616" s="708"/>
      <c r="AF616" s="708"/>
      <c r="AG616" s="708"/>
      <c r="BB616" s="707"/>
      <c r="BC616" s="584"/>
      <c r="BD616" s="678"/>
      <c r="BE616" s="585"/>
    </row>
    <row r="617" spans="1:57" s="446" customFormat="1" ht="14.45" hidden="1" customHeight="1" outlineLevel="1" x14ac:dyDescent="0.25">
      <c r="A617" s="2059"/>
      <c r="B617" s="1279"/>
      <c r="C617" s="328"/>
      <c r="D617" s="4006"/>
      <c r="E617" s="4010"/>
      <c r="F617" s="3385" t="str">
        <f t="shared" si="67"/>
        <v>CAC-SEER20_ER1_SF</v>
      </c>
      <c r="G617" s="3386"/>
      <c r="H617" s="3387"/>
      <c r="I617" s="2964" t="str">
        <f t="shared" si="68"/>
        <v>351180_2021_12_</v>
      </c>
      <c r="J617" s="708">
        <v>1</v>
      </c>
      <c r="K617" s="2576"/>
      <c r="L617" s="2577"/>
      <c r="M617" s="328"/>
      <c r="N617" s="1544"/>
      <c r="O617" s="328"/>
      <c r="P617" s="353"/>
      <c r="Q617" s="353"/>
      <c r="R617" s="353"/>
      <c r="S617" s="353"/>
      <c r="T617" s="353"/>
      <c r="U617" s="353"/>
      <c r="V617" s="4005"/>
      <c r="W617" s="708"/>
      <c r="X617" s="708"/>
      <c r="Y617" s="708"/>
      <c r="Z617" s="709">
        <v>1</v>
      </c>
      <c r="AA617" s="708">
        <v>1</v>
      </c>
      <c r="AB617" s="708">
        <v>1</v>
      </c>
      <c r="AC617" s="708">
        <v>1</v>
      </c>
      <c r="AD617" s="708"/>
      <c r="AE617" s="708"/>
      <c r="AF617" s="708"/>
      <c r="AG617" s="708"/>
      <c r="BB617" s="707"/>
      <c r="BC617" s="584"/>
      <c r="BD617" s="678"/>
      <c r="BE617" s="585"/>
    </row>
    <row r="618" spans="1:57" s="446" customFormat="1" ht="14.45" hidden="1" customHeight="1" outlineLevel="1" x14ac:dyDescent="0.25">
      <c r="A618" s="2059"/>
      <c r="B618" s="1279"/>
      <c r="C618" s="328"/>
      <c r="D618" s="4006"/>
      <c r="E618" s="4010"/>
      <c r="F618" s="3385" t="str">
        <f t="shared" si="67"/>
        <v>CAC-SEER20_ER2_SF</v>
      </c>
      <c r="G618" s="3386"/>
      <c r="H618" s="3387"/>
      <c r="I618" s="2964" t="str">
        <f t="shared" si="68"/>
        <v>351180_2021_12_</v>
      </c>
      <c r="J618" s="708">
        <v>1</v>
      </c>
      <c r="K618" s="2576"/>
      <c r="L618" s="2577"/>
      <c r="M618" s="328"/>
      <c r="N618" s="1544"/>
      <c r="O618" s="328"/>
      <c r="P618" s="353"/>
      <c r="Q618" s="353"/>
      <c r="R618" s="353"/>
      <c r="S618" s="353"/>
      <c r="T618" s="353"/>
      <c r="U618" s="353"/>
      <c r="V618" s="4005"/>
      <c r="W618" s="708"/>
      <c r="X618" s="708"/>
      <c r="Y618" s="708"/>
      <c r="Z618" s="709">
        <v>1</v>
      </c>
      <c r="AA618" s="708">
        <v>1</v>
      </c>
      <c r="AB618" s="708">
        <v>1</v>
      </c>
      <c r="AC618" s="708">
        <v>1</v>
      </c>
      <c r="AD618" s="708"/>
      <c r="AE618" s="708"/>
      <c r="AF618" s="708"/>
      <c r="AG618" s="708"/>
      <c r="BB618" s="707"/>
      <c r="BC618" s="584"/>
      <c r="BD618" s="678"/>
      <c r="BE618" s="585"/>
    </row>
    <row r="619" spans="1:57" s="446" customFormat="1" ht="14.45" hidden="1" customHeight="1" outlineLevel="1" x14ac:dyDescent="0.25">
      <c r="A619" s="2059"/>
      <c r="B619" s="1279"/>
      <c r="C619" s="328"/>
      <c r="D619" s="4006"/>
      <c r="E619" s="4010"/>
      <c r="F619" s="3385" t="str">
        <f t="shared" si="67"/>
        <v>CAC-SEER20_ROF_SF</v>
      </c>
      <c r="G619" s="3386"/>
      <c r="H619" s="3387"/>
      <c r="I619" s="2964" t="str">
        <f t="shared" si="68"/>
        <v>351181_2021_12_</v>
      </c>
      <c r="J619" s="708">
        <v>1</v>
      </c>
      <c r="K619" s="2576"/>
      <c r="L619" s="2577"/>
      <c r="M619" s="328"/>
      <c r="N619" s="1544"/>
      <c r="O619" s="328"/>
      <c r="P619" s="353"/>
      <c r="Q619" s="353"/>
      <c r="R619" s="353"/>
      <c r="S619" s="353"/>
      <c r="T619" s="353"/>
      <c r="U619" s="353"/>
      <c r="V619" s="4005"/>
      <c r="W619" s="708"/>
      <c r="X619" s="708"/>
      <c r="Y619" s="708"/>
      <c r="Z619" s="709">
        <v>1</v>
      </c>
      <c r="AA619" s="708">
        <v>1</v>
      </c>
      <c r="AB619" s="708">
        <v>1</v>
      </c>
      <c r="AC619" s="708">
        <v>1</v>
      </c>
      <c r="AD619" s="708"/>
      <c r="AE619" s="708"/>
      <c r="AF619" s="708"/>
      <c r="AG619" s="708"/>
      <c r="BB619" s="707"/>
      <c r="BC619" s="584"/>
      <c r="BD619" s="678"/>
      <c r="BE619" s="585"/>
    </row>
    <row r="620" spans="1:57" s="446" customFormat="1" ht="14.45" hidden="1" customHeight="1" outlineLevel="1" x14ac:dyDescent="0.25">
      <c r="A620" s="2059"/>
      <c r="B620" s="1279"/>
      <c r="C620" s="328"/>
      <c r="D620" s="4006"/>
      <c r="E620" s="4010"/>
      <c r="F620" s="3385" t="str">
        <f t="shared" si="67"/>
        <v>CAC-SEER20_ER1_MF</v>
      </c>
      <c r="G620" s="3386"/>
      <c r="H620" s="3387"/>
      <c r="I620" s="2964" t="str">
        <f t="shared" si="68"/>
        <v>351182_2021_12_</v>
      </c>
      <c r="J620" s="708">
        <v>1</v>
      </c>
      <c r="K620" s="2576"/>
      <c r="L620" s="2577"/>
      <c r="M620" s="328"/>
      <c r="N620" s="1544"/>
      <c r="O620" s="328"/>
      <c r="P620" s="353"/>
      <c r="Q620" s="353"/>
      <c r="R620" s="353"/>
      <c r="S620" s="353"/>
      <c r="T620" s="353"/>
      <c r="U620" s="353"/>
      <c r="V620" s="4005"/>
      <c r="W620" s="708"/>
      <c r="X620" s="709"/>
      <c r="Y620" s="708"/>
      <c r="Z620" s="709">
        <v>1</v>
      </c>
      <c r="AA620" s="708">
        <v>1</v>
      </c>
      <c r="AB620" s="708">
        <v>1</v>
      </c>
      <c r="AC620" s="708">
        <v>1</v>
      </c>
      <c r="AD620" s="708"/>
      <c r="AE620" s="708"/>
      <c r="AF620" s="708"/>
      <c r="AG620" s="708"/>
      <c r="BB620" s="707"/>
      <c r="BC620" s="584"/>
      <c r="BD620" s="678"/>
      <c r="BE620" s="585"/>
    </row>
    <row r="621" spans="1:57" s="446" customFormat="1" ht="14.45" hidden="1" customHeight="1" outlineLevel="1" x14ac:dyDescent="0.25">
      <c r="A621" s="2059"/>
      <c r="B621" s="1279"/>
      <c r="C621" s="328"/>
      <c r="D621" s="4006"/>
      <c r="E621" s="4010"/>
      <c r="F621" s="3385" t="str">
        <f t="shared" si="67"/>
        <v>CAC-SEER20_ER2_MF</v>
      </c>
      <c r="G621" s="3386"/>
      <c r="H621" s="3387"/>
      <c r="I621" s="2964" t="str">
        <f t="shared" si="68"/>
        <v>351182_2021_12_</v>
      </c>
      <c r="J621" s="708">
        <v>1</v>
      </c>
      <c r="K621" s="2576"/>
      <c r="L621" s="2577"/>
      <c r="M621" s="328"/>
      <c r="N621" s="1544"/>
      <c r="O621" s="328"/>
      <c r="P621" s="353"/>
      <c r="Q621" s="353"/>
      <c r="R621" s="353"/>
      <c r="S621" s="353"/>
      <c r="T621" s="353"/>
      <c r="U621" s="353"/>
      <c r="V621" s="4005"/>
      <c r="W621" s="708"/>
      <c r="X621" s="709"/>
      <c r="Y621" s="708"/>
      <c r="Z621" s="709">
        <v>1</v>
      </c>
      <c r="AA621" s="708">
        <v>1</v>
      </c>
      <c r="AB621" s="708">
        <v>1</v>
      </c>
      <c r="AC621" s="708">
        <v>1</v>
      </c>
      <c r="AD621" s="708"/>
      <c r="AE621" s="708"/>
      <c r="AF621" s="708"/>
      <c r="AG621" s="708"/>
      <c r="BB621" s="707"/>
      <c r="BC621" s="584"/>
      <c r="BD621" s="678"/>
      <c r="BE621" s="585"/>
    </row>
    <row r="622" spans="1:57" s="446" customFormat="1" ht="14.45" hidden="1" customHeight="1" outlineLevel="1" x14ac:dyDescent="0.25">
      <c r="A622" s="2059"/>
      <c r="B622" s="1279"/>
      <c r="C622" s="328"/>
      <c r="D622" s="4006"/>
      <c r="E622" s="4010"/>
      <c r="F622" s="3385" t="str">
        <f t="shared" si="67"/>
        <v>CAC-SEER20_ER1_MF_CompE</v>
      </c>
      <c r="G622" s="3386"/>
      <c r="H622" s="3387"/>
      <c r="I622" s="2964" t="str">
        <f t="shared" si="68"/>
        <v>351183_2021_12_</v>
      </c>
      <c r="J622" s="708">
        <v>1</v>
      </c>
      <c r="K622" s="2576"/>
      <c r="L622" s="2577"/>
      <c r="M622" s="328"/>
      <c r="N622" s="1544"/>
      <c r="O622" s="328"/>
      <c r="P622" s="353"/>
      <c r="Q622" s="353"/>
      <c r="R622" s="353"/>
      <c r="S622" s="353"/>
      <c r="T622" s="353"/>
      <c r="U622" s="353"/>
      <c r="V622" s="4005"/>
      <c r="W622" s="708"/>
      <c r="X622" s="709"/>
      <c r="Y622" s="708"/>
      <c r="Z622" s="709">
        <v>1</v>
      </c>
      <c r="AA622" s="708">
        <v>1</v>
      </c>
      <c r="AB622" s="708">
        <v>1</v>
      </c>
      <c r="AC622" s="708">
        <v>1</v>
      </c>
      <c r="AD622" s="708"/>
      <c r="AE622" s="708"/>
      <c r="AF622" s="708"/>
      <c r="AG622" s="708"/>
      <c r="BB622" s="707"/>
      <c r="BC622" s="584"/>
      <c r="BD622" s="678"/>
      <c r="BE622" s="585"/>
    </row>
    <row r="623" spans="1:57" s="446" customFormat="1" ht="14.45" hidden="1" customHeight="1" outlineLevel="1" x14ac:dyDescent="0.25">
      <c r="A623" s="2059"/>
      <c r="B623" s="1279"/>
      <c r="C623" s="328"/>
      <c r="D623" s="4006"/>
      <c r="E623" s="4010"/>
      <c r="F623" s="3385" t="str">
        <f t="shared" si="67"/>
        <v>CAC-SEER20_ER2_MF_CompE</v>
      </c>
      <c r="G623" s="3386"/>
      <c r="H623" s="3387"/>
      <c r="I623" s="2964" t="str">
        <f t="shared" si="68"/>
        <v>351183_2021_12_</v>
      </c>
      <c r="J623" s="708">
        <v>1</v>
      </c>
      <c r="K623" s="2576"/>
      <c r="L623" s="2577"/>
      <c r="M623" s="328"/>
      <c r="N623" s="1544"/>
      <c r="O623" s="328"/>
      <c r="P623" s="353"/>
      <c r="Q623" s="353"/>
      <c r="R623" s="353"/>
      <c r="S623" s="353"/>
      <c r="T623" s="353"/>
      <c r="U623" s="353"/>
      <c r="V623" s="4005"/>
      <c r="W623" s="708"/>
      <c r="X623" s="709"/>
      <c r="Y623" s="708"/>
      <c r="Z623" s="709">
        <v>1</v>
      </c>
      <c r="AA623" s="708">
        <v>1</v>
      </c>
      <c r="AB623" s="708">
        <v>1</v>
      </c>
      <c r="AC623" s="708">
        <v>1</v>
      </c>
      <c r="AD623" s="708"/>
      <c r="AE623" s="708"/>
      <c r="AF623" s="708"/>
      <c r="AG623" s="708"/>
      <c r="BB623" s="707"/>
      <c r="BC623" s="584"/>
      <c r="BD623" s="678"/>
      <c r="BE623" s="585"/>
    </row>
    <row r="624" spans="1:57" s="446" customFormat="1" ht="14.45" hidden="1" customHeight="1" outlineLevel="1" x14ac:dyDescent="0.25">
      <c r="A624" s="2059"/>
      <c r="B624" s="1279"/>
      <c r="C624" s="328"/>
      <c r="D624" s="4006"/>
      <c r="E624" s="4010"/>
      <c r="F624" s="3385" t="str">
        <f t="shared" si="67"/>
        <v>CAC-SEER20_ROF_MF</v>
      </c>
      <c r="G624" s="3386"/>
      <c r="H624" s="3387"/>
      <c r="I624" s="2964" t="str">
        <f t="shared" si="68"/>
        <v>351184_2021_12_</v>
      </c>
      <c r="J624" s="708">
        <v>1</v>
      </c>
      <c r="K624" s="2576"/>
      <c r="L624" s="2577"/>
      <c r="M624" s="328"/>
      <c r="N624" s="1544"/>
      <c r="O624" s="328"/>
      <c r="P624" s="353"/>
      <c r="Q624" s="353"/>
      <c r="R624" s="353"/>
      <c r="S624" s="353"/>
      <c r="T624" s="353"/>
      <c r="U624" s="353"/>
      <c r="V624" s="4005"/>
      <c r="W624" s="708"/>
      <c r="X624" s="709"/>
      <c r="Y624" s="708"/>
      <c r="Z624" s="709">
        <v>1</v>
      </c>
      <c r="AA624" s="708">
        <v>1</v>
      </c>
      <c r="AB624" s="708">
        <v>1</v>
      </c>
      <c r="AC624" s="708">
        <v>1</v>
      </c>
      <c r="AD624" s="708"/>
      <c r="AE624" s="708"/>
      <c r="AF624" s="708"/>
      <c r="AG624" s="708"/>
      <c r="BB624" s="707"/>
      <c r="BC624" s="584"/>
      <c r="BD624" s="678"/>
      <c r="BE624" s="585"/>
    </row>
    <row r="625" spans="1:57" s="446" customFormat="1" ht="14.45" hidden="1" customHeight="1" outlineLevel="1" x14ac:dyDescent="0.25">
      <c r="A625" s="2059"/>
      <c r="B625" s="1279"/>
      <c r="C625" s="328"/>
      <c r="D625" s="4006"/>
      <c r="E625" s="4010"/>
      <c r="F625" s="3385" t="str">
        <f t="shared" si="67"/>
        <v>CAC-SEER20_ROF_MF_CompE</v>
      </c>
      <c r="G625" s="3386"/>
      <c r="H625" s="3387"/>
      <c r="I625" s="2964" t="str">
        <f t="shared" si="68"/>
        <v>351185_2021_12_</v>
      </c>
      <c r="J625" s="708">
        <v>1</v>
      </c>
      <c r="K625" s="2576"/>
      <c r="L625" s="2577"/>
      <c r="M625" s="328"/>
      <c r="N625" s="1544"/>
      <c r="O625" s="328"/>
      <c r="P625" s="353"/>
      <c r="Q625" s="353"/>
      <c r="R625" s="353"/>
      <c r="S625" s="353"/>
      <c r="T625" s="353"/>
      <c r="U625" s="353"/>
      <c r="V625" s="4005"/>
      <c r="W625" s="708"/>
      <c r="X625" s="709"/>
      <c r="Y625" s="708"/>
      <c r="Z625" s="709">
        <v>1</v>
      </c>
      <c r="AA625" s="708">
        <v>1</v>
      </c>
      <c r="AB625" s="708">
        <v>1</v>
      </c>
      <c r="AC625" s="708">
        <v>1</v>
      </c>
      <c r="AD625" s="708"/>
      <c r="AE625" s="708"/>
      <c r="AF625" s="708"/>
      <c r="AG625" s="708"/>
      <c r="BB625" s="707"/>
      <c r="BC625" s="584"/>
      <c r="BD625" s="678"/>
      <c r="BE625" s="585"/>
    </row>
    <row r="626" spans="1:57" s="446" customFormat="1" ht="14.45" hidden="1" customHeight="1" outlineLevel="1" x14ac:dyDescent="0.25">
      <c r="A626" s="2059"/>
      <c r="B626" s="1279"/>
      <c r="C626" s="328"/>
      <c r="D626" s="4006"/>
      <c r="E626" s="4010"/>
      <c r="F626" s="3385" t="str">
        <f t="shared" si="67"/>
        <v>CAC-SEER21+_ER1_SF</v>
      </c>
      <c r="G626" s="3386"/>
      <c r="H626" s="3387"/>
      <c r="I626" s="2964" t="str">
        <f t="shared" si="68"/>
        <v>351190_2021_12_</v>
      </c>
      <c r="J626" s="708">
        <v>1</v>
      </c>
      <c r="K626" s="2576"/>
      <c r="L626" s="2577"/>
      <c r="M626" s="328"/>
      <c r="N626" s="1544"/>
      <c r="O626" s="328"/>
      <c r="P626" s="353"/>
      <c r="Q626" s="353"/>
      <c r="R626" s="353"/>
      <c r="S626" s="353"/>
      <c r="T626" s="353"/>
      <c r="U626" s="353"/>
      <c r="V626" s="4005"/>
      <c r="W626" s="708"/>
      <c r="X626" s="708"/>
      <c r="Y626" s="708"/>
      <c r="Z626" s="709">
        <v>1</v>
      </c>
      <c r="AA626" s="708">
        <v>1</v>
      </c>
      <c r="AB626" s="708">
        <v>1</v>
      </c>
      <c r="AC626" s="708">
        <v>1</v>
      </c>
      <c r="AD626" s="708"/>
      <c r="AE626" s="708"/>
      <c r="AF626" s="708"/>
      <c r="AG626" s="708"/>
      <c r="BB626" s="707"/>
      <c r="BC626" s="584"/>
      <c r="BD626" s="678"/>
      <c r="BE626" s="585"/>
    </row>
    <row r="627" spans="1:57" s="446" customFormat="1" ht="14.45" hidden="1" customHeight="1" outlineLevel="1" x14ac:dyDescent="0.25">
      <c r="A627" s="2059"/>
      <c r="B627" s="1279"/>
      <c r="C627" s="328"/>
      <c r="D627" s="4006"/>
      <c r="E627" s="4010"/>
      <c r="F627" s="3385" t="str">
        <f t="shared" si="67"/>
        <v>CAC-SEER21+_ER2_SF</v>
      </c>
      <c r="G627" s="3386"/>
      <c r="H627" s="3387"/>
      <c r="I627" s="2964" t="str">
        <f t="shared" si="68"/>
        <v>351190_2021_12_</v>
      </c>
      <c r="J627" s="708">
        <v>1</v>
      </c>
      <c r="K627" s="2576"/>
      <c r="L627" s="2577"/>
      <c r="M627" s="328"/>
      <c r="N627" s="1544"/>
      <c r="O627" s="328"/>
      <c r="P627" s="353"/>
      <c r="Q627" s="353"/>
      <c r="R627" s="353"/>
      <c r="S627" s="353"/>
      <c r="T627" s="353"/>
      <c r="U627" s="353"/>
      <c r="V627" s="4005"/>
      <c r="W627" s="708"/>
      <c r="X627" s="708"/>
      <c r="Y627" s="708"/>
      <c r="Z627" s="709">
        <v>1</v>
      </c>
      <c r="AA627" s="708">
        <v>1</v>
      </c>
      <c r="AB627" s="708">
        <v>1</v>
      </c>
      <c r="AC627" s="708">
        <v>1</v>
      </c>
      <c r="AD627" s="708"/>
      <c r="AE627" s="708"/>
      <c r="AF627" s="708"/>
      <c r="AG627" s="708"/>
      <c r="BB627" s="707"/>
      <c r="BC627" s="584"/>
      <c r="BD627" s="678"/>
      <c r="BE627" s="585"/>
    </row>
    <row r="628" spans="1:57" s="446" customFormat="1" ht="14.45" hidden="1" customHeight="1" outlineLevel="1" x14ac:dyDescent="0.25">
      <c r="A628" s="2059"/>
      <c r="B628" s="1279"/>
      <c r="C628" s="328"/>
      <c r="D628" s="4006"/>
      <c r="E628" s="4010"/>
      <c r="F628" s="3385" t="str">
        <f t="shared" si="67"/>
        <v>CAC-SEER21+_ROF_SF</v>
      </c>
      <c r="G628" s="3386"/>
      <c r="H628" s="3387"/>
      <c r="I628" s="2964" t="str">
        <f t="shared" si="68"/>
        <v>351191_2021_12_</v>
      </c>
      <c r="J628" s="708">
        <v>1</v>
      </c>
      <c r="K628" s="2576"/>
      <c r="L628" s="2577"/>
      <c r="M628" s="328"/>
      <c r="N628" s="1544"/>
      <c r="O628" s="328"/>
      <c r="P628" s="353"/>
      <c r="Q628" s="353"/>
      <c r="R628" s="353"/>
      <c r="S628" s="353"/>
      <c r="T628" s="353"/>
      <c r="U628" s="353"/>
      <c r="V628" s="4005"/>
      <c r="W628" s="708"/>
      <c r="X628" s="708"/>
      <c r="Y628" s="708"/>
      <c r="Z628" s="709">
        <v>1</v>
      </c>
      <c r="AA628" s="708">
        <v>1</v>
      </c>
      <c r="AB628" s="708">
        <v>1</v>
      </c>
      <c r="AC628" s="708">
        <v>1</v>
      </c>
      <c r="AD628" s="708"/>
      <c r="AE628" s="708"/>
      <c r="AF628" s="708"/>
      <c r="AG628" s="708"/>
      <c r="BB628" s="707"/>
      <c r="BC628" s="584"/>
      <c r="BD628" s="678"/>
      <c r="BE628" s="585"/>
    </row>
    <row r="629" spans="1:57" s="446" customFormat="1" ht="14.45" hidden="1" customHeight="1" outlineLevel="1" x14ac:dyDescent="0.25">
      <c r="A629" s="2059"/>
      <c r="B629" s="1279"/>
      <c r="C629" s="328"/>
      <c r="D629" s="4006"/>
      <c r="E629" s="4010"/>
      <c r="F629" s="3385" t="str">
        <f t="shared" si="67"/>
        <v>CAC-SEER21+_ER1_MF</v>
      </c>
      <c r="G629" s="3386"/>
      <c r="H629" s="3387"/>
      <c r="I629" s="2964" t="str">
        <f t="shared" si="68"/>
        <v>351192_2021_12_</v>
      </c>
      <c r="J629" s="708">
        <v>1</v>
      </c>
      <c r="K629" s="2576"/>
      <c r="L629" s="2577"/>
      <c r="M629" s="328"/>
      <c r="N629" s="1544"/>
      <c r="O629" s="328"/>
      <c r="P629" s="353"/>
      <c r="Q629" s="353"/>
      <c r="R629" s="353"/>
      <c r="S629" s="353"/>
      <c r="T629" s="353"/>
      <c r="U629" s="353"/>
      <c r="V629" s="4005"/>
      <c r="W629" s="708"/>
      <c r="X629" s="709"/>
      <c r="Y629" s="708"/>
      <c r="Z629" s="709">
        <v>1</v>
      </c>
      <c r="AA629" s="708">
        <v>1</v>
      </c>
      <c r="AB629" s="708">
        <v>1</v>
      </c>
      <c r="AC629" s="708">
        <v>1</v>
      </c>
      <c r="AD629" s="708"/>
      <c r="AE629" s="708"/>
      <c r="AF629" s="708"/>
      <c r="AG629" s="708"/>
      <c r="BB629" s="707"/>
      <c r="BC629" s="584"/>
      <c r="BD629" s="678"/>
      <c r="BE629" s="585"/>
    </row>
    <row r="630" spans="1:57" s="446" customFormat="1" ht="14.45" hidden="1" customHeight="1" outlineLevel="1" x14ac:dyDescent="0.25">
      <c r="A630" s="2059"/>
      <c r="B630" s="1279"/>
      <c r="C630" s="328"/>
      <c r="D630" s="4006"/>
      <c r="E630" s="4010"/>
      <c r="F630" s="3385" t="str">
        <f t="shared" si="67"/>
        <v>CAC-SEER21+_ER2_MF</v>
      </c>
      <c r="G630" s="3386"/>
      <c r="H630" s="3387"/>
      <c r="I630" s="2964" t="str">
        <f t="shared" si="68"/>
        <v>351192_2021_12_</v>
      </c>
      <c r="J630" s="708">
        <v>1</v>
      </c>
      <c r="K630" s="2576"/>
      <c r="L630" s="2577"/>
      <c r="M630" s="328"/>
      <c r="N630" s="1544"/>
      <c r="O630" s="328"/>
      <c r="P630" s="353"/>
      <c r="Q630" s="353"/>
      <c r="R630" s="353"/>
      <c r="S630" s="353"/>
      <c r="T630" s="353"/>
      <c r="U630" s="353"/>
      <c r="V630" s="4005"/>
      <c r="W630" s="708"/>
      <c r="X630" s="709"/>
      <c r="Y630" s="708"/>
      <c r="Z630" s="709">
        <v>1</v>
      </c>
      <c r="AA630" s="708">
        <v>1</v>
      </c>
      <c r="AB630" s="708">
        <v>1</v>
      </c>
      <c r="AC630" s="708">
        <v>1</v>
      </c>
      <c r="AD630" s="708"/>
      <c r="AE630" s="708"/>
      <c r="AF630" s="708"/>
      <c r="AG630" s="708"/>
      <c r="BB630" s="707"/>
      <c r="BC630" s="584"/>
      <c r="BD630" s="678"/>
      <c r="BE630" s="585"/>
    </row>
    <row r="631" spans="1:57" s="446" customFormat="1" ht="14.45" hidden="1" customHeight="1" outlineLevel="1" x14ac:dyDescent="0.25">
      <c r="A631" s="2059"/>
      <c r="B631" s="1279"/>
      <c r="C631" s="328"/>
      <c r="D631" s="4006"/>
      <c r="E631" s="4010"/>
      <c r="F631" s="3385" t="str">
        <f t="shared" si="67"/>
        <v>CAC-SEER21+_ER1_MF_CompE</v>
      </c>
      <c r="G631" s="3386"/>
      <c r="H631" s="3387"/>
      <c r="I631" s="2965" t="str">
        <f t="shared" si="68"/>
        <v>351193_2021_12_</v>
      </c>
      <c r="J631" s="708">
        <v>1</v>
      </c>
      <c r="K631" s="2578"/>
      <c r="L631" s="2579"/>
      <c r="M631" s="328"/>
      <c r="N631" s="1544"/>
      <c r="O631" s="328"/>
      <c r="P631" s="353"/>
      <c r="Q631" s="353"/>
      <c r="R631" s="353"/>
      <c r="S631" s="353"/>
      <c r="T631" s="353"/>
      <c r="U631" s="353"/>
      <c r="V631" s="4005"/>
      <c r="W631" s="711"/>
      <c r="X631" s="709"/>
      <c r="Y631" s="708"/>
      <c r="Z631" s="1897">
        <v>1</v>
      </c>
      <c r="AA631" s="711">
        <v>1</v>
      </c>
      <c r="AB631" s="711">
        <v>1</v>
      </c>
      <c r="AC631" s="708">
        <v>1</v>
      </c>
      <c r="AD631" s="711"/>
      <c r="AE631" s="711"/>
      <c r="AF631" s="711"/>
      <c r="AG631" s="711"/>
      <c r="BB631" s="707"/>
      <c r="BC631" s="584"/>
      <c r="BD631" s="678"/>
      <c r="BE631" s="585"/>
    </row>
    <row r="632" spans="1:57" s="446" customFormat="1" ht="14.45" hidden="1" customHeight="1" outlineLevel="1" x14ac:dyDescent="0.25">
      <c r="A632" s="2059"/>
      <c r="B632" s="1279"/>
      <c r="C632" s="328"/>
      <c r="D632" s="4006"/>
      <c r="E632" s="4010"/>
      <c r="F632" s="3385" t="str">
        <f t="shared" si="67"/>
        <v>CAC-SEER21+_ER2_MF_CompE</v>
      </c>
      <c r="G632" s="3386"/>
      <c r="H632" s="3387"/>
      <c r="I632" s="2965" t="str">
        <f t="shared" si="68"/>
        <v>351193_2021_12_</v>
      </c>
      <c r="J632" s="708">
        <v>1</v>
      </c>
      <c r="K632" s="2578"/>
      <c r="L632" s="2579"/>
      <c r="M632" s="328"/>
      <c r="N632" s="1544"/>
      <c r="O632" s="328"/>
      <c r="P632" s="353"/>
      <c r="Q632" s="353"/>
      <c r="R632" s="353"/>
      <c r="S632" s="353"/>
      <c r="T632" s="353"/>
      <c r="U632" s="353"/>
      <c r="V632" s="4005"/>
      <c r="W632" s="711"/>
      <c r="X632" s="709"/>
      <c r="Y632" s="708"/>
      <c r="Z632" s="1897">
        <v>1</v>
      </c>
      <c r="AA632" s="711">
        <v>1</v>
      </c>
      <c r="AB632" s="711">
        <v>1</v>
      </c>
      <c r="AC632" s="708">
        <v>1</v>
      </c>
      <c r="AD632" s="711"/>
      <c r="AE632" s="711"/>
      <c r="AF632" s="711"/>
      <c r="AG632" s="711"/>
      <c r="BB632" s="707"/>
      <c r="BC632" s="584"/>
      <c r="BD632" s="678"/>
      <c r="BE632" s="585"/>
    </row>
    <row r="633" spans="1:57" s="446" customFormat="1" ht="14.45" hidden="1" customHeight="1" outlineLevel="1" x14ac:dyDescent="0.25">
      <c r="A633" s="2059"/>
      <c r="B633" s="1279"/>
      <c r="C633" s="328"/>
      <c r="D633" s="4006"/>
      <c r="E633" s="4010"/>
      <c r="F633" s="3385" t="str">
        <f t="shared" si="67"/>
        <v>CAC-SEER21+_ROF_MF</v>
      </c>
      <c r="G633" s="3386"/>
      <c r="H633" s="3387"/>
      <c r="I633" s="2964" t="str">
        <f t="shared" si="68"/>
        <v>351194_2021_12_</v>
      </c>
      <c r="J633" s="708">
        <v>1</v>
      </c>
      <c r="K633" s="2576"/>
      <c r="L633" s="2577"/>
      <c r="M633" s="328"/>
      <c r="N633" s="1544"/>
      <c r="O633" s="328"/>
      <c r="P633" s="353"/>
      <c r="Q633" s="353"/>
      <c r="R633" s="353"/>
      <c r="S633" s="353"/>
      <c r="T633" s="353"/>
      <c r="U633" s="353"/>
      <c r="V633" s="4005"/>
      <c r="W633" s="708"/>
      <c r="X633" s="709"/>
      <c r="Y633" s="708"/>
      <c r="Z633" s="709">
        <v>1</v>
      </c>
      <c r="AA633" s="708">
        <v>1</v>
      </c>
      <c r="AB633" s="708">
        <v>1</v>
      </c>
      <c r="AC633" s="708">
        <v>1</v>
      </c>
      <c r="AD633" s="708"/>
      <c r="AE633" s="708"/>
      <c r="AF633" s="708"/>
      <c r="AG633" s="708"/>
      <c r="BB633" s="707"/>
      <c r="BC633" s="584"/>
      <c r="BD633" s="678"/>
      <c r="BE633" s="585"/>
    </row>
    <row r="634" spans="1:57" s="446" customFormat="1" ht="14.45" hidden="1" customHeight="1" outlineLevel="1" thickBot="1" x14ac:dyDescent="0.3">
      <c r="A634" s="2059"/>
      <c r="B634" s="1279"/>
      <c r="C634" s="328"/>
      <c r="D634" s="4007"/>
      <c r="E634" s="4011"/>
      <c r="F634" s="3394" t="str">
        <f t="shared" si="67"/>
        <v>CAC-SEER21+_ROF_MF_CompE</v>
      </c>
      <c r="G634" s="3395"/>
      <c r="H634" s="3396"/>
      <c r="I634" s="2967" t="str">
        <f t="shared" si="68"/>
        <v>351195_2021_12_</v>
      </c>
      <c r="J634" s="2580">
        <v>1</v>
      </c>
      <c r="K634" s="2581"/>
      <c r="L634" s="2582"/>
      <c r="M634" s="328"/>
      <c r="N634" s="1544"/>
      <c r="O634" s="328"/>
      <c r="P634" s="353"/>
      <c r="Q634" s="353"/>
      <c r="R634" s="353"/>
      <c r="S634" s="353"/>
      <c r="T634" s="353"/>
      <c r="U634" s="353"/>
      <c r="V634" s="4035"/>
      <c r="W634" s="2218"/>
      <c r="X634" s="2219"/>
      <c r="Y634" s="2218"/>
      <c r="Z634" s="2219">
        <v>1</v>
      </c>
      <c r="AA634" s="2218">
        <v>1</v>
      </c>
      <c r="AB634" s="2218">
        <v>1</v>
      </c>
      <c r="AC634" s="2580">
        <v>1</v>
      </c>
      <c r="AD634" s="2218"/>
      <c r="AE634" s="2218"/>
      <c r="AF634" s="2218"/>
      <c r="AG634" s="2218"/>
      <c r="BB634" s="707"/>
      <c r="BC634" s="584"/>
      <c r="BD634" s="678"/>
      <c r="BE634" s="585"/>
    </row>
    <row r="635" spans="1:57" s="446" customFormat="1" ht="105.75" hidden="1" outlineLevel="1" thickBot="1" x14ac:dyDescent="0.3">
      <c r="A635" s="2059"/>
      <c r="B635" s="1279"/>
      <c r="C635" s="328"/>
      <c r="D635" s="2606" t="s">
        <v>133</v>
      </c>
      <c r="E635" s="3108" t="s">
        <v>860</v>
      </c>
      <c r="F635" s="3397" t="s">
        <v>135</v>
      </c>
      <c r="G635" s="3398"/>
      <c r="H635" s="3399"/>
      <c r="I635" s="2583" t="s">
        <v>135</v>
      </c>
      <c r="J635" s="2699">
        <v>0.998</v>
      </c>
      <c r="K635" s="2567"/>
      <c r="L635" s="2702" t="s">
        <v>1021</v>
      </c>
      <c r="M635" s="328"/>
      <c r="N635" s="1544"/>
      <c r="O635" s="328"/>
      <c r="P635" s="353"/>
      <c r="Q635" s="353"/>
      <c r="R635" s="353"/>
      <c r="S635" s="353"/>
      <c r="T635" s="353"/>
      <c r="U635" s="353"/>
      <c r="V635" s="3148" t="s">
        <v>133</v>
      </c>
      <c r="W635" s="712"/>
      <c r="X635" s="713"/>
      <c r="Y635" s="714"/>
      <c r="Z635" s="1898"/>
      <c r="AA635" s="712"/>
      <c r="AB635" s="1898">
        <v>1</v>
      </c>
      <c r="AC635" s="2699">
        <v>0.998</v>
      </c>
      <c r="AD635" s="712"/>
      <c r="AE635" s="712"/>
      <c r="AF635" s="712"/>
      <c r="AG635" s="712"/>
      <c r="BB635" s="707"/>
      <c r="BC635" s="584"/>
      <c r="BD635" s="678"/>
      <c r="BE635" s="585"/>
    </row>
    <row r="636" spans="1:57" s="446" customFormat="1" ht="14.45" hidden="1" customHeight="1" outlineLevel="1" x14ac:dyDescent="0.25">
      <c r="A636" s="2059"/>
      <c r="B636" s="1279"/>
      <c r="C636" s="328"/>
      <c r="D636" s="3989" t="str">
        <f>J118</f>
        <v>EUL</v>
      </c>
      <c r="E636" s="4008" t="str">
        <f>E89</f>
        <v>End of Useful Life</v>
      </c>
      <c r="F636" s="3388" t="str">
        <f t="shared" ref="F636:F667" si="69">F563</f>
        <v>CAC-SEER14_ER1_SF</v>
      </c>
      <c r="G636" s="3389"/>
      <c r="H636" s="3390"/>
      <c r="I636" s="2963" t="str">
        <f t="shared" ref="I636:I699" si="70">I563</f>
        <v>350400_2021_12_</v>
      </c>
      <c r="J636" s="1886">
        <v>6</v>
      </c>
      <c r="K636" s="1880"/>
      <c r="L636" s="1881"/>
      <c r="M636" s="328"/>
      <c r="N636" s="1544"/>
      <c r="O636" s="328"/>
      <c r="P636" s="353"/>
      <c r="Q636" s="353"/>
      <c r="R636" s="353"/>
      <c r="S636" s="353"/>
      <c r="T636" s="353"/>
      <c r="U636" s="353"/>
      <c r="V636" s="3989" t="str">
        <f>D636</f>
        <v>EUL</v>
      </c>
      <c r="W636" s="715">
        <v>6</v>
      </c>
      <c r="X636" s="715">
        <v>6</v>
      </c>
      <c r="Y636" s="715">
        <v>6</v>
      </c>
      <c r="Z636" s="715">
        <v>6</v>
      </c>
      <c r="AA636" s="715">
        <v>6</v>
      </c>
      <c r="AB636" s="715">
        <v>6</v>
      </c>
      <c r="AC636" s="1886">
        <v>6</v>
      </c>
      <c r="AD636" s="715"/>
      <c r="AE636" s="715"/>
      <c r="AF636" s="715"/>
      <c r="AG636" s="715"/>
      <c r="BB636" s="707"/>
      <c r="BC636" s="584"/>
      <c r="BD636" s="678"/>
      <c r="BE636" s="585"/>
    </row>
    <row r="637" spans="1:57" s="446" customFormat="1" ht="14.45" hidden="1" customHeight="1" outlineLevel="1" x14ac:dyDescent="0.25">
      <c r="A637" s="2059"/>
      <c r="B637" s="1279"/>
      <c r="C637" s="328"/>
      <c r="D637" s="3990"/>
      <c r="E637" s="4009"/>
      <c r="F637" s="3391" t="str">
        <f t="shared" si="69"/>
        <v>CAC-SEER14_ER2_SF</v>
      </c>
      <c r="G637" s="3392"/>
      <c r="H637" s="3393"/>
      <c r="I637" s="2964" t="str">
        <f t="shared" si="70"/>
        <v>350400_2021_12_</v>
      </c>
      <c r="J637" s="1887">
        <v>12</v>
      </c>
      <c r="K637" s="1882"/>
      <c r="L637" s="1883"/>
      <c r="M637" s="328"/>
      <c r="N637" s="1544"/>
      <c r="O637" s="328"/>
      <c r="P637" s="353"/>
      <c r="Q637" s="353"/>
      <c r="R637" s="353"/>
      <c r="S637" s="353"/>
      <c r="T637" s="353"/>
      <c r="U637" s="353"/>
      <c r="V637" s="3990"/>
      <c r="W637" s="716">
        <v>12</v>
      </c>
      <c r="X637" s="716">
        <v>12</v>
      </c>
      <c r="Y637" s="716">
        <v>12</v>
      </c>
      <c r="Z637" s="716">
        <v>12</v>
      </c>
      <c r="AA637" s="716">
        <v>12</v>
      </c>
      <c r="AB637" s="716">
        <v>12</v>
      </c>
      <c r="AC637" s="1887">
        <v>12</v>
      </c>
      <c r="AD637" s="716"/>
      <c r="AE637" s="716"/>
      <c r="AF637" s="716"/>
      <c r="AG637" s="716"/>
      <c r="BB637" s="707"/>
      <c r="BC637" s="584"/>
      <c r="BD637" s="678"/>
      <c r="BE637" s="585"/>
    </row>
    <row r="638" spans="1:57" s="446" customFormat="1" ht="14.45" hidden="1" customHeight="1" outlineLevel="1" x14ac:dyDescent="0.25">
      <c r="A638" s="2059"/>
      <c r="B638" s="1279"/>
      <c r="C638" s="328"/>
      <c r="D638" s="3990"/>
      <c r="E638" s="4009"/>
      <c r="F638" s="3391" t="str">
        <f t="shared" si="69"/>
        <v>CAC-SEER14_ROF_SF</v>
      </c>
      <c r="G638" s="3392"/>
      <c r="H638" s="3393"/>
      <c r="I638" s="2964" t="str">
        <f t="shared" si="70"/>
        <v>350450_2021_12_</v>
      </c>
      <c r="J638" s="1887">
        <v>18</v>
      </c>
      <c r="K638" s="1882"/>
      <c r="L638" s="1883"/>
      <c r="M638" s="328"/>
      <c r="N638" s="1544"/>
      <c r="O638" s="328"/>
      <c r="P638" s="353"/>
      <c r="Q638" s="353"/>
      <c r="R638" s="353"/>
      <c r="S638" s="353"/>
      <c r="T638" s="353"/>
      <c r="U638" s="353"/>
      <c r="V638" s="3990"/>
      <c r="W638" s="716">
        <v>18</v>
      </c>
      <c r="X638" s="716">
        <v>18</v>
      </c>
      <c r="Y638" s="716">
        <v>18</v>
      </c>
      <c r="Z638" s="716">
        <v>18</v>
      </c>
      <c r="AA638" s="716">
        <v>18</v>
      </c>
      <c r="AB638" s="716">
        <v>18</v>
      </c>
      <c r="AC638" s="1887">
        <v>18</v>
      </c>
      <c r="AD638" s="716"/>
      <c r="AE638" s="716"/>
      <c r="AF638" s="716"/>
      <c r="AG638" s="716"/>
      <c r="BB638" s="707"/>
      <c r="BC638" s="584"/>
      <c r="BD638" s="678"/>
      <c r="BE638" s="585"/>
    </row>
    <row r="639" spans="1:57" s="446" customFormat="1" ht="14.45" hidden="1" customHeight="1" outlineLevel="1" x14ac:dyDescent="0.25">
      <c r="A639" s="2059"/>
      <c r="B639" s="1279"/>
      <c r="C639" s="328"/>
      <c r="D639" s="3990"/>
      <c r="E639" s="4009"/>
      <c r="F639" s="3385" t="str">
        <f t="shared" si="69"/>
        <v>CAC-SEER14_ER1_MF</v>
      </c>
      <c r="G639" s="3386"/>
      <c r="H639" s="3387"/>
      <c r="I639" s="2964" t="str">
        <f t="shared" si="70"/>
        <v>350500_2021_12_</v>
      </c>
      <c r="J639" s="1887">
        <v>6</v>
      </c>
      <c r="K639" s="1882"/>
      <c r="L639" s="1883"/>
      <c r="M639" s="328"/>
      <c r="N639" s="1544"/>
      <c r="O639" s="328"/>
      <c r="P639" s="353"/>
      <c r="Q639" s="353"/>
      <c r="R639" s="353"/>
      <c r="S639" s="353"/>
      <c r="T639" s="353"/>
      <c r="U639" s="353"/>
      <c r="V639" s="3990"/>
      <c r="W639" s="716">
        <v>6</v>
      </c>
      <c r="X639" s="716">
        <v>6</v>
      </c>
      <c r="Y639" s="716">
        <v>6</v>
      </c>
      <c r="Z639" s="716">
        <v>6</v>
      </c>
      <c r="AA639" s="716">
        <v>6</v>
      </c>
      <c r="AB639" s="716">
        <v>6</v>
      </c>
      <c r="AC639" s="1887">
        <v>6</v>
      </c>
      <c r="AD639" s="716"/>
      <c r="AE639" s="716"/>
      <c r="AF639" s="716"/>
      <c r="AG639" s="716"/>
      <c r="BB639" s="707"/>
      <c r="BC639" s="584"/>
      <c r="BD639" s="678"/>
      <c r="BE639" s="585"/>
    </row>
    <row r="640" spans="1:57" s="446" customFormat="1" ht="14.45" hidden="1" customHeight="1" outlineLevel="1" x14ac:dyDescent="0.25">
      <c r="A640" s="2059"/>
      <c r="B640" s="1279"/>
      <c r="C640" s="328"/>
      <c r="D640" s="3990"/>
      <c r="E640" s="4009"/>
      <c r="F640" s="3385" t="str">
        <f t="shared" si="69"/>
        <v>CAC-SEER14_ER2_MF</v>
      </c>
      <c r="G640" s="3386"/>
      <c r="H640" s="3387"/>
      <c r="I640" s="2964" t="str">
        <f t="shared" si="70"/>
        <v>350500_2021_12_</v>
      </c>
      <c r="J640" s="1887">
        <v>12</v>
      </c>
      <c r="K640" s="1882"/>
      <c r="L640" s="1883"/>
      <c r="M640" s="328"/>
      <c r="N640" s="1544"/>
      <c r="O640" s="328"/>
      <c r="P640" s="353"/>
      <c r="Q640" s="353"/>
      <c r="R640" s="353"/>
      <c r="S640" s="353"/>
      <c r="T640" s="353"/>
      <c r="U640" s="353"/>
      <c r="V640" s="3990"/>
      <c r="W640" s="716">
        <v>12</v>
      </c>
      <c r="X640" s="716">
        <v>12</v>
      </c>
      <c r="Y640" s="716">
        <v>12</v>
      </c>
      <c r="Z640" s="716">
        <v>12</v>
      </c>
      <c r="AA640" s="716">
        <v>12</v>
      </c>
      <c r="AB640" s="716">
        <v>12</v>
      </c>
      <c r="AC640" s="1887">
        <v>12</v>
      </c>
      <c r="AD640" s="716"/>
      <c r="AE640" s="716"/>
      <c r="AF640" s="716"/>
      <c r="AG640" s="716"/>
      <c r="BB640" s="707"/>
      <c r="BC640" s="584"/>
      <c r="BD640" s="678"/>
      <c r="BE640" s="585"/>
    </row>
    <row r="641" spans="1:57" s="446" customFormat="1" ht="14.45" hidden="1" customHeight="1" outlineLevel="1" x14ac:dyDescent="0.25">
      <c r="A641" s="2059"/>
      <c r="B641" s="1279"/>
      <c r="C641" s="328"/>
      <c r="D641" s="3990"/>
      <c r="E641" s="4009"/>
      <c r="F641" s="3385" t="str">
        <f t="shared" si="69"/>
        <v>CAC-SEER14_ER1_MF_CompE</v>
      </c>
      <c r="G641" s="3386"/>
      <c r="H641" s="3387"/>
      <c r="I641" s="2964" t="str">
        <f t="shared" si="70"/>
        <v>350501_2021_12_</v>
      </c>
      <c r="J641" s="1887">
        <v>6</v>
      </c>
      <c r="K641" s="1882"/>
      <c r="L641" s="1883"/>
      <c r="M641" s="328"/>
      <c r="N641" s="1544"/>
      <c r="O641" s="328"/>
      <c r="P641" s="353"/>
      <c r="Q641" s="353"/>
      <c r="R641" s="353"/>
      <c r="S641" s="353"/>
      <c r="T641" s="353"/>
      <c r="U641" s="353"/>
      <c r="V641" s="3990"/>
      <c r="W641" s="716"/>
      <c r="X641" s="716"/>
      <c r="Y641" s="716">
        <v>6</v>
      </c>
      <c r="Z641" s="716">
        <v>6</v>
      </c>
      <c r="AA641" s="716">
        <v>6</v>
      </c>
      <c r="AB641" s="716">
        <v>6</v>
      </c>
      <c r="AC641" s="1887">
        <v>6</v>
      </c>
      <c r="AD641" s="716"/>
      <c r="AE641" s="716"/>
      <c r="AF641" s="716"/>
      <c r="AG641" s="716"/>
      <c r="BB641" s="707"/>
      <c r="BC641" s="584"/>
      <c r="BD641" s="678"/>
      <c r="BE641" s="585"/>
    </row>
    <row r="642" spans="1:57" s="446" customFormat="1" ht="14.45" hidden="1" customHeight="1" outlineLevel="1" x14ac:dyDescent="0.25">
      <c r="A642" s="2059"/>
      <c r="B642" s="1279"/>
      <c r="C642" s="328"/>
      <c r="D642" s="3990"/>
      <c r="E642" s="4009"/>
      <c r="F642" s="3385" t="str">
        <f t="shared" si="69"/>
        <v>CAC-SEER14_ER2_MF_CompE</v>
      </c>
      <c r="G642" s="3386"/>
      <c r="H642" s="3387"/>
      <c r="I642" s="2964" t="str">
        <f t="shared" si="70"/>
        <v>350501_2021_12_</v>
      </c>
      <c r="J642" s="1887">
        <v>12</v>
      </c>
      <c r="K642" s="1882"/>
      <c r="L642" s="1883"/>
      <c r="M642" s="328"/>
      <c r="N642" s="1544"/>
      <c r="O642" s="328"/>
      <c r="P642" s="353"/>
      <c r="Q642" s="353"/>
      <c r="R642" s="353"/>
      <c r="S642" s="353"/>
      <c r="T642" s="353"/>
      <c r="U642" s="353"/>
      <c r="V642" s="3990"/>
      <c r="W642" s="716"/>
      <c r="X642" s="716"/>
      <c r="Y642" s="716">
        <v>12</v>
      </c>
      <c r="Z642" s="716">
        <v>12</v>
      </c>
      <c r="AA642" s="716">
        <v>12</v>
      </c>
      <c r="AB642" s="716">
        <v>12</v>
      </c>
      <c r="AC642" s="1887">
        <v>12</v>
      </c>
      <c r="AD642" s="716"/>
      <c r="AE642" s="716"/>
      <c r="AF642" s="716"/>
      <c r="AG642" s="716"/>
      <c r="BB642" s="707"/>
      <c r="BC642" s="584"/>
      <c r="BD642" s="678"/>
      <c r="BE642" s="585"/>
    </row>
    <row r="643" spans="1:57" s="446" customFormat="1" ht="14.45" hidden="1" customHeight="1" outlineLevel="1" x14ac:dyDescent="0.25">
      <c r="A643" s="2059"/>
      <c r="B643" s="1279"/>
      <c r="C643" s="328"/>
      <c r="D643" s="3990"/>
      <c r="E643" s="4009"/>
      <c r="F643" s="3385" t="str">
        <f t="shared" si="69"/>
        <v>CAC-SEER14_ROF_MF</v>
      </c>
      <c r="G643" s="3386"/>
      <c r="H643" s="3387"/>
      <c r="I643" s="2964" t="str">
        <f t="shared" si="70"/>
        <v>350550_2021_12_</v>
      </c>
      <c r="J643" s="1887">
        <v>18</v>
      </c>
      <c r="K643" s="1882"/>
      <c r="L643" s="1883"/>
      <c r="M643" s="328"/>
      <c r="N643" s="1544"/>
      <c r="O643" s="328"/>
      <c r="P643" s="353"/>
      <c r="Q643" s="353"/>
      <c r="R643" s="353"/>
      <c r="S643" s="353"/>
      <c r="T643" s="353"/>
      <c r="U643" s="353"/>
      <c r="V643" s="3990"/>
      <c r="W643" s="716">
        <v>16</v>
      </c>
      <c r="X643" s="716">
        <v>16</v>
      </c>
      <c r="Y643" s="717">
        <v>18</v>
      </c>
      <c r="Z643" s="716">
        <v>18</v>
      </c>
      <c r="AA643" s="716">
        <v>18</v>
      </c>
      <c r="AB643" s="716">
        <v>18</v>
      </c>
      <c r="AC643" s="1887">
        <v>18</v>
      </c>
      <c r="AD643" s="716"/>
      <c r="AE643" s="716"/>
      <c r="AF643" s="716"/>
      <c r="AG643" s="716"/>
      <c r="BB643" s="707"/>
      <c r="BC643" s="584"/>
      <c r="BD643" s="678"/>
      <c r="BE643" s="585"/>
    </row>
    <row r="644" spans="1:57" s="446" customFormat="1" ht="14.45" hidden="1" customHeight="1" outlineLevel="1" x14ac:dyDescent="0.25">
      <c r="A644" s="2059"/>
      <c r="B644" s="1279"/>
      <c r="C644" s="328"/>
      <c r="D644" s="3990"/>
      <c r="E644" s="4009"/>
      <c r="F644" s="3385" t="str">
        <f t="shared" si="69"/>
        <v>CAC-SEER14_ROF_MF_CompE</v>
      </c>
      <c r="G644" s="3386"/>
      <c r="H644" s="3387"/>
      <c r="I644" s="2964" t="str">
        <f t="shared" si="70"/>
        <v>350551_2021_12_</v>
      </c>
      <c r="J644" s="1887">
        <v>18</v>
      </c>
      <c r="K644" s="1882"/>
      <c r="L644" s="1883"/>
      <c r="M644" s="328"/>
      <c r="N644" s="1544"/>
      <c r="O644" s="328"/>
      <c r="P644" s="353"/>
      <c r="Q644" s="353"/>
      <c r="R644" s="353"/>
      <c r="S644" s="353"/>
      <c r="T644" s="353"/>
      <c r="U644" s="353"/>
      <c r="V644" s="3990"/>
      <c r="W644" s="716"/>
      <c r="X644" s="716"/>
      <c r="Y644" s="716">
        <v>18</v>
      </c>
      <c r="Z644" s="716">
        <v>18</v>
      </c>
      <c r="AA644" s="716">
        <v>18</v>
      </c>
      <c r="AB644" s="716">
        <v>18</v>
      </c>
      <c r="AC644" s="1887">
        <v>18</v>
      </c>
      <c r="AD644" s="716"/>
      <c r="AE644" s="716"/>
      <c r="AF644" s="716"/>
      <c r="AG644" s="716"/>
      <c r="BB644" s="707"/>
      <c r="BC644" s="584"/>
      <c r="BD644" s="678"/>
      <c r="BE644" s="585"/>
    </row>
    <row r="645" spans="1:57" s="446" customFormat="1" ht="14.45" hidden="1" customHeight="1" outlineLevel="1" x14ac:dyDescent="0.25">
      <c r="A645" s="2059"/>
      <c r="B645" s="1279"/>
      <c r="C645" s="328"/>
      <c r="D645" s="3990"/>
      <c r="E645" s="4009"/>
      <c r="F645" s="3385" t="str">
        <f t="shared" si="69"/>
        <v>CAC-SEER15_ER1_SF</v>
      </c>
      <c r="G645" s="3386"/>
      <c r="H645" s="3387"/>
      <c r="I645" s="2964" t="str">
        <f t="shared" si="70"/>
        <v>350600_2021_12_</v>
      </c>
      <c r="J645" s="1887">
        <v>6</v>
      </c>
      <c r="K645" s="1882"/>
      <c r="L645" s="1883"/>
      <c r="M645" s="328"/>
      <c r="N645" s="1544"/>
      <c r="O645" s="328"/>
      <c r="P645" s="353"/>
      <c r="Q645" s="353"/>
      <c r="R645" s="353"/>
      <c r="S645" s="353"/>
      <c r="T645" s="353"/>
      <c r="U645" s="353"/>
      <c r="V645" s="3990"/>
      <c r="W645" s="716">
        <v>6</v>
      </c>
      <c r="X645" s="716">
        <v>6</v>
      </c>
      <c r="Y645" s="716">
        <v>6</v>
      </c>
      <c r="Z645" s="716">
        <v>6</v>
      </c>
      <c r="AA645" s="716">
        <v>6</v>
      </c>
      <c r="AB645" s="716">
        <v>6</v>
      </c>
      <c r="AC645" s="1887">
        <v>6</v>
      </c>
      <c r="AD645" s="716"/>
      <c r="AE645" s="716"/>
      <c r="AF645" s="716"/>
      <c r="AG645" s="716"/>
      <c r="BB645" s="707"/>
      <c r="BC645" s="584"/>
      <c r="BD645" s="678"/>
      <c r="BE645" s="585"/>
    </row>
    <row r="646" spans="1:57" s="446" customFormat="1" ht="14.45" hidden="1" customHeight="1" outlineLevel="1" x14ac:dyDescent="0.25">
      <c r="A646" s="2059"/>
      <c r="B646" s="1279"/>
      <c r="C646" s="328"/>
      <c r="D646" s="3990"/>
      <c r="E646" s="4009"/>
      <c r="F646" s="3385" t="str">
        <f t="shared" si="69"/>
        <v>CAC-SEER15_ER2_SF</v>
      </c>
      <c r="G646" s="3386"/>
      <c r="H646" s="3387"/>
      <c r="I646" s="2964" t="str">
        <f t="shared" si="70"/>
        <v>350600_2021_12_</v>
      </c>
      <c r="J646" s="1887">
        <v>12</v>
      </c>
      <c r="K646" s="1882"/>
      <c r="L646" s="1883"/>
      <c r="M646" s="328"/>
      <c r="N646" s="1544"/>
      <c r="O646" s="328"/>
      <c r="P646" s="353"/>
      <c r="Q646" s="353"/>
      <c r="R646" s="353"/>
      <c r="S646" s="353"/>
      <c r="T646" s="353"/>
      <c r="U646" s="353"/>
      <c r="V646" s="3990"/>
      <c r="W646" s="716">
        <v>12</v>
      </c>
      <c r="X646" s="716">
        <v>12</v>
      </c>
      <c r="Y646" s="716">
        <v>12</v>
      </c>
      <c r="Z646" s="716">
        <v>12</v>
      </c>
      <c r="AA646" s="716">
        <v>12</v>
      </c>
      <c r="AB646" s="716">
        <v>12</v>
      </c>
      <c r="AC646" s="1887">
        <v>12</v>
      </c>
      <c r="AD646" s="716"/>
      <c r="AE646" s="716"/>
      <c r="AF646" s="716"/>
      <c r="AG646" s="716"/>
      <c r="BB646" s="707"/>
      <c r="BC646" s="584"/>
      <c r="BD646" s="678"/>
      <c r="BE646" s="585"/>
    </row>
    <row r="647" spans="1:57" s="446" customFormat="1" ht="14.45" hidden="1" customHeight="1" outlineLevel="1" x14ac:dyDescent="0.25">
      <c r="A647" s="2059"/>
      <c r="B647" s="1279"/>
      <c r="C647" s="328"/>
      <c r="D647" s="3990"/>
      <c r="E647" s="4009"/>
      <c r="F647" s="3385" t="str">
        <f t="shared" si="69"/>
        <v>CAC-SEER15_ROF_SF</v>
      </c>
      <c r="G647" s="3386"/>
      <c r="H647" s="3387"/>
      <c r="I647" s="2964" t="str">
        <f t="shared" si="70"/>
        <v>350650_2021_12_</v>
      </c>
      <c r="J647" s="1887">
        <v>18</v>
      </c>
      <c r="K647" s="1882"/>
      <c r="L647" s="1883"/>
      <c r="M647" s="328"/>
      <c r="N647" s="1544"/>
      <c r="O647" s="328"/>
      <c r="P647" s="353"/>
      <c r="Q647" s="353"/>
      <c r="R647" s="353"/>
      <c r="S647" s="353"/>
      <c r="T647" s="353"/>
      <c r="U647" s="353"/>
      <c r="V647" s="3990"/>
      <c r="W647" s="716">
        <v>18</v>
      </c>
      <c r="X647" s="716">
        <v>18</v>
      </c>
      <c r="Y647" s="716">
        <v>18</v>
      </c>
      <c r="Z647" s="716">
        <v>18</v>
      </c>
      <c r="AA647" s="716">
        <v>18</v>
      </c>
      <c r="AB647" s="716">
        <v>18</v>
      </c>
      <c r="AC647" s="1887">
        <v>18</v>
      </c>
      <c r="AD647" s="716"/>
      <c r="AE647" s="716"/>
      <c r="AF647" s="716"/>
      <c r="AG647" s="716"/>
      <c r="BB647" s="707"/>
      <c r="BC647" s="584"/>
      <c r="BD647" s="678"/>
      <c r="BE647" s="585"/>
    </row>
    <row r="648" spans="1:57" s="446" customFormat="1" ht="14.45" hidden="1" customHeight="1" outlineLevel="1" x14ac:dyDescent="0.25">
      <c r="A648" s="2059"/>
      <c r="B648" s="1279"/>
      <c r="C648" s="328"/>
      <c r="D648" s="3990"/>
      <c r="E648" s="4009"/>
      <c r="F648" s="3385" t="str">
        <f t="shared" si="69"/>
        <v>CAC-SEER15_ER1_MF</v>
      </c>
      <c r="G648" s="3386"/>
      <c r="H648" s="3387"/>
      <c r="I648" s="2964" t="str">
        <f t="shared" si="70"/>
        <v>350700_2021_12_</v>
      </c>
      <c r="J648" s="1887">
        <v>6</v>
      </c>
      <c r="K648" s="1882"/>
      <c r="L648" s="1883"/>
      <c r="M648" s="328"/>
      <c r="N648" s="1544"/>
      <c r="O648" s="328"/>
      <c r="P648" s="353"/>
      <c r="Q648" s="353"/>
      <c r="R648" s="353"/>
      <c r="S648" s="353"/>
      <c r="T648" s="353"/>
      <c r="U648" s="353"/>
      <c r="V648" s="3990"/>
      <c r="W648" s="716">
        <v>6</v>
      </c>
      <c r="X648" s="716">
        <v>6</v>
      </c>
      <c r="Y648" s="716">
        <v>6</v>
      </c>
      <c r="Z648" s="716">
        <v>6</v>
      </c>
      <c r="AA648" s="716">
        <v>6</v>
      </c>
      <c r="AB648" s="716">
        <v>6</v>
      </c>
      <c r="AC648" s="1887">
        <v>6</v>
      </c>
      <c r="AD648" s="716"/>
      <c r="AE648" s="716"/>
      <c r="AF648" s="716"/>
      <c r="AG648" s="716"/>
      <c r="BB648" s="707"/>
      <c r="BC648" s="584"/>
      <c r="BD648" s="678"/>
      <c r="BE648" s="585"/>
    </row>
    <row r="649" spans="1:57" s="446" customFormat="1" ht="14.45" hidden="1" customHeight="1" outlineLevel="1" x14ac:dyDescent="0.25">
      <c r="A649" s="2059"/>
      <c r="B649" s="1279"/>
      <c r="C649" s="328"/>
      <c r="D649" s="3990"/>
      <c r="E649" s="4009"/>
      <c r="F649" s="3385" t="str">
        <f t="shared" si="69"/>
        <v>CAC-SEER15_ER2_MF</v>
      </c>
      <c r="G649" s="3386"/>
      <c r="H649" s="3387"/>
      <c r="I649" s="2964" t="str">
        <f t="shared" si="70"/>
        <v>350700_2021_12_</v>
      </c>
      <c r="J649" s="1887">
        <v>12</v>
      </c>
      <c r="K649" s="1882"/>
      <c r="L649" s="1883"/>
      <c r="M649" s="328"/>
      <c r="N649" s="1544"/>
      <c r="O649" s="328"/>
      <c r="P649" s="353"/>
      <c r="Q649" s="353"/>
      <c r="R649" s="353"/>
      <c r="S649" s="353"/>
      <c r="T649" s="353"/>
      <c r="U649" s="353"/>
      <c r="V649" s="3990"/>
      <c r="W649" s="716">
        <v>12</v>
      </c>
      <c r="X649" s="716">
        <v>12</v>
      </c>
      <c r="Y649" s="716">
        <v>12</v>
      </c>
      <c r="Z649" s="716">
        <v>12</v>
      </c>
      <c r="AA649" s="716">
        <v>12</v>
      </c>
      <c r="AB649" s="716">
        <v>12</v>
      </c>
      <c r="AC649" s="1887">
        <v>12</v>
      </c>
      <c r="AD649" s="716"/>
      <c r="AE649" s="716"/>
      <c r="AF649" s="716"/>
      <c r="AG649" s="716"/>
      <c r="BB649" s="707"/>
      <c r="BC649" s="584"/>
      <c r="BD649" s="678"/>
      <c r="BE649" s="585"/>
    </row>
    <row r="650" spans="1:57" s="446" customFormat="1" ht="14.45" hidden="1" customHeight="1" outlineLevel="1" x14ac:dyDescent="0.25">
      <c r="A650" s="2059"/>
      <c r="B650" s="1279"/>
      <c r="C650" s="328"/>
      <c r="D650" s="3990"/>
      <c r="E650" s="4009"/>
      <c r="F650" s="3385" t="str">
        <f t="shared" si="69"/>
        <v>CAC-SEER15_ER1_MF_CompE</v>
      </c>
      <c r="G650" s="3386"/>
      <c r="H650" s="3387"/>
      <c r="I650" s="2964" t="str">
        <f t="shared" si="70"/>
        <v>350701_2021_12_</v>
      </c>
      <c r="J650" s="1887">
        <v>6</v>
      </c>
      <c r="K650" s="1882"/>
      <c r="L650" s="1883"/>
      <c r="M650" s="328"/>
      <c r="N650" s="1544"/>
      <c r="O650" s="328"/>
      <c r="P650" s="353"/>
      <c r="Q650" s="353"/>
      <c r="R650" s="353"/>
      <c r="S650" s="353"/>
      <c r="T650" s="353"/>
      <c r="U650" s="353"/>
      <c r="V650" s="3990"/>
      <c r="W650" s="716"/>
      <c r="X650" s="716"/>
      <c r="Y650" s="716">
        <v>6</v>
      </c>
      <c r="Z650" s="716">
        <v>6</v>
      </c>
      <c r="AA650" s="716">
        <v>6</v>
      </c>
      <c r="AB650" s="716">
        <v>6</v>
      </c>
      <c r="AC650" s="1887">
        <v>6</v>
      </c>
      <c r="AD650" s="716"/>
      <c r="AE650" s="716"/>
      <c r="AF650" s="716"/>
      <c r="AG650" s="716"/>
      <c r="BB650" s="707"/>
      <c r="BC650" s="584"/>
      <c r="BD650" s="678"/>
      <c r="BE650" s="585"/>
    </row>
    <row r="651" spans="1:57" s="446" customFormat="1" ht="14.45" hidden="1" customHeight="1" outlineLevel="1" x14ac:dyDescent="0.25">
      <c r="A651" s="2059"/>
      <c r="B651" s="1279"/>
      <c r="C651" s="328"/>
      <c r="D651" s="3990"/>
      <c r="E651" s="4009"/>
      <c r="F651" s="3385" t="str">
        <f t="shared" si="69"/>
        <v>CAC-SEER15_ER2_MF_CompE</v>
      </c>
      <c r="G651" s="3386"/>
      <c r="H651" s="3387"/>
      <c r="I651" s="2964" t="str">
        <f t="shared" si="70"/>
        <v>350701_2021_12_</v>
      </c>
      <c r="J651" s="1887">
        <v>12</v>
      </c>
      <c r="K651" s="1882"/>
      <c r="L651" s="1883"/>
      <c r="M651" s="328"/>
      <c r="N651" s="1544"/>
      <c r="O651" s="328"/>
      <c r="P651" s="353"/>
      <c r="Q651" s="353"/>
      <c r="R651" s="353"/>
      <c r="S651" s="353"/>
      <c r="T651" s="353"/>
      <c r="U651" s="353"/>
      <c r="V651" s="3990"/>
      <c r="W651" s="716"/>
      <c r="X651" s="716"/>
      <c r="Y651" s="716">
        <v>12</v>
      </c>
      <c r="Z651" s="716">
        <v>12</v>
      </c>
      <c r="AA651" s="716">
        <v>12</v>
      </c>
      <c r="AB651" s="716">
        <v>12</v>
      </c>
      <c r="AC651" s="1887">
        <v>12</v>
      </c>
      <c r="AD651" s="716"/>
      <c r="AE651" s="716"/>
      <c r="AF651" s="716"/>
      <c r="AG651" s="716"/>
      <c r="BB651" s="707"/>
      <c r="BC651" s="584"/>
      <c r="BD651" s="678"/>
      <c r="BE651" s="585"/>
    </row>
    <row r="652" spans="1:57" s="446" customFormat="1" ht="14.45" hidden="1" customHeight="1" outlineLevel="1" x14ac:dyDescent="0.25">
      <c r="A652" s="2059"/>
      <c r="B652" s="1279"/>
      <c r="C652" s="328"/>
      <c r="D652" s="3990"/>
      <c r="E652" s="4009"/>
      <c r="F652" s="3385" t="str">
        <f t="shared" si="69"/>
        <v>CAC-SEER15_ROF_MF</v>
      </c>
      <c r="G652" s="3386"/>
      <c r="H652" s="3387"/>
      <c r="I652" s="2964" t="str">
        <f t="shared" si="70"/>
        <v>350750_2021_12_</v>
      </c>
      <c r="J652" s="1887">
        <v>18</v>
      </c>
      <c r="K652" s="1882"/>
      <c r="L652" s="1883"/>
      <c r="M652" s="328"/>
      <c r="N652" s="1544"/>
      <c r="O652" s="328"/>
      <c r="P652" s="353"/>
      <c r="Q652" s="353"/>
      <c r="R652" s="353"/>
      <c r="S652" s="353"/>
      <c r="T652" s="353"/>
      <c r="U652" s="353"/>
      <c r="V652" s="3990"/>
      <c r="W652" s="716">
        <v>18</v>
      </c>
      <c r="X652" s="716">
        <v>18</v>
      </c>
      <c r="Y652" s="716">
        <v>18</v>
      </c>
      <c r="Z652" s="716">
        <v>18</v>
      </c>
      <c r="AA652" s="716">
        <v>18</v>
      </c>
      <c r="AB652" s="716">
        <v>18</v>
      </c>
      <c r="AC652" s="1887">
        <v>18</v>
      </c>
      <c r="AD652" s="716"/>
      <c r="AE652" s="716"/>
      <c r="AF652" s="716"/>
      <c r="AG652" s="716"/>
      <c r="BB652" s="707"/>
      <c r="BC652" s="584"/>
      <c r="BD652" s="678"/>
      <c r="BE652" s="585"/>
    </row>
    <row r="653" spans="1:57" s="446" customFormat="1" ht="14.45" hidden="1" customHeight="1" outlineLevel="1" x14ac:dyDescent="0.25">
      <c r="A653" s="2059"/>
      <c r="B653" s="1279"/>
      <c r="C653" s="328"/>
      <c r="D653" s="3990"/>
      <c r="E653" s="4009"/>
      <c r="F653" s="3385" t="str">
        <f t="shared" si="69"/>
        <v>CAC-SEER15_ROF_MF_CompE</v>
      </c>
      <c r="G653" s="3386"/>
      <c r="H653" s="3387"/>
      <c r="I653" s="2964" t="str">
        <f t="shared" si="70"/>
        <v>350751_2021_12_</v>
      </c>
      <c r="J653" s="1887">
        <v>18</v>
      </c>
      <c r="K653" s="1882"/>
      <c r="L653" s="1883"/>
      <c r="M653" s="328"/>
      <c r="N653" s="1544"/>
      <c r="O653" s="328"/>
      <c r="P653" s="353"/>
      <c r="Q653" s="353"/>
      <c r="R653" s="353"/>
      <c r="S653" s="353"/>
      <c r="T653" s="353"/>
      <c r="U653" s="353"/>
      <c r="V653" s="3990"/>
      <c r="W653" s="716"/>
      <c r="X653" s="716"/>
      <c r="Y653" s="716">
        <v>18</v>
      </c>
      <c r="Z653" s="716">
        <v>18</v>
      </c>
      <c r="AA653" s="716">
        <v>18</v>
      </c>
      <c r="AB653" s="716">
        <v>18</v>
      </c>
      <c r="AC653" s="1887">
        <v>18</v>
      </c>
      <c r="AD653" s="716"/>
      <c r="AE653" s="716"/>
      <c r="AF653" s="716"/>
      <c r="AG653" s="716"/>
      <c r="BB653" s="707"/>
      <c r="BC653" s="584"/>
      <c r="BD653" s="678"/>
      <c r="BE653" s="585"/>
    </row>
    <row r="654" spans="1:57" s="446" customFormat="1" ht="14.45" hidden="1" customHeight="1" outlineLevel="1" x14ac:dyDescent="0.25">
      <c r="A654" s="2059"/>
      <c r="B654" s="1279"/>
      <c r="C654" s="328"/>
      <c r="D654" s="3990"/>
      <c r="E654" s="4009"/>
      <c r="F654" s="3385" t="str">
        <f t="shared" si="69"/>
        <v>CAC-SEER16_ER1_SF</v>
      </c>
      <c r="G654" s="3386"/>
      <c r="H654" s="3387"/>
      <c r="I654" s="2964" t="str">
        <f t="shared" si="70"/>
        <v>350800_2021_12_</v>
      </c>
      <c r="J654" s="1887">
        <v>6</v>
      </c>
      <c r="K654" s="1882"/>
      <c r="L654" s="1883"/>
      <c r="M654" s="328"/>
      <c r="N654" s="1544"/>
      <c r="O654" s="328"/>
      <c r="P654" s="353"/>
      <c r="Q654" s="353"/>
      <c r="R654" s="353"/>
      <c r="S654" s="353"/>
      <c r="T654" s="353"/>
      <c r="U654" s="353"/>
      <c r="V654" s="3990"/>
      <c r="W654" s="716">
        <v>6</v>
      </c>
      <c r="X654" s="716">
        <v>6</v>
      </c>
      <c r="Y654" s="716">
        <v>6</v>
      </c>
      <c r="Z654" s="716">
        <v>6</v>
      </c>
      <c r="AA654" s="716">
        <v>6</v>
      </c>
      <c r="AB654" s="716">
        <v>6</v>
      </c>
      <c r="AC654" s="1887">
        <v>6</v>
      </c>
      <c r="AD654" s="716"/>
      <c r="AE654" s="716"/>
      <c r="AF654" s="716"/>
      <c r="AG654" s="716"/>
      <c r="BB654" s="707"/>
      <c r="BC654" s="584"/>
      <c r="BD654" s="678"/>
      <c r="BE654" s="585"/>
    </row>
    <row r="655" spans="1:57" s="446" customFormat="1" ht="14.45" hidden="1" customHeight="1" outlineLevel="1" x14ac:dyDescent="0.25">
      <c r="A655" s="2059"/>
      <c r="B655" s="1279"/>
      <c r="C655" s="328"/>
      <c r="D655" s="3990"/>
      <c r="E655" s="4009"/>
      <c r="F655" s="3385" t="str">
        <f t="shared" si="69"/>
        <v>CAC-SEER16_ER2_SF</v>
      </c>
      <c r="G655" s="3386"/>
      <c r="H655" s="3387"/>
      <c r="I655" s="2964" t="str">
        <f t="shared" si="70"/>
        <v>350800_2021_12_</v>
      </c>
      <c r="J655" s="1887">
        <v>12</v>
      </c>
      <c r="K655" s="1882"/>
      <c r="L655" s="1883"/>
      <c r="M655" s="328"/>
      <c r="N655" s="1544"/>
      <c r="O655" s="328"/>
      <c r="P655" s="353"/>
      <c r="Q655" s="353"/>
      <c r="R655" s="353"/>
      <c r="S655" s="353"/>
      <c r="T655" s="353"/>
      <c r="U655" s="353"/>
      <c r="V655" s="3990"/>
      <c r="W655" s="716">
        <v>12</v>
      </c>
      <c r="X655" s="716">
        <v>12</v>
      </c>
      <c r="Y655" s="716">
        <v>12</v>
      </c>
      <c r="Z655" s="716">
        <v>12</v>
      </c>
      <c r="AA655" s="716">
        <v>12</v>
      </c>
      <c r="AB655" s="716">
        <v>12</v>
      </c>
      <c r="AC655" s="1887">
        <v>12</v>
      </c>
      <c r="AD655" s="716"/>
      <c r="AE655" s="716"/>
      <c r="AF655" s="716"/>
      <c r="AG655" s="716"/>
      <c r="BB655" s="707"/>
      <c r="BC655" s="584"/>
      <c r="BD655" s="678"/>
      <c r="BE655" s="585"/>
    </row>
    <row r="656" spans="1:57" s="446" customFormat="1" ht="14.45" hidden="1" customHeight="1" outlineLevel="1" x14ac:dyDescent="0.25">
      <c r="A656" s="2059"/>
      <c r="B656" s="1279"/>
      <c r="C656" s="328"/>
      <c r="D656" s="3990"/>
      <c r="E656" s="4009"/>
      <c r="F656" s="3385" t="str">
        <f t="shared" si="69"/>
        <v>CAC-SEER16_ROF_SF</v>
      </c>
      <c r="G656" s="3386"/>
      <c r="H656" s="3387"/>
      <c r="I656" s="2964" t="str">
        <f t="shared" si="70"/>
        <v>350850_2021_12_</v>
      </c>
      <c r="J656" s="1887">
        <v>18</v>
      </c>
      <c r="K656" s="1882"/>
      <c r="L656" s="1883"/>
      <c r="M656" s="328"/>
      <c r="N656" s="1544"/>
      <c r="O656" s="328"/>
      <c r="P656" s="353"/>
      <c r="Q656" s="353"/>
      <c r="R656" s="353"/>
      <c r="S656" s="353"/>
      <c r="T656" s="353"/>
      <c r="U656" s="353"/>
      <c r="V656" s="3990"/>
      <c r="W656" s="716">
        <v>18</v>
      </c>
      <c r="X656" s="716">
        <v>18</v>
      </c>
      <c r="Y656" s="716">
        <v>18</v>
      </c>
      <c r="Z656" s="716">
        <v>18</v>
      </c>
      <c r="AA656" s="716">
        <v>18</v>
      </c>
      <c r="AB656" s="716">
        <v>18</v>
      </c>
      <c r="AC656" s="1887">
        <v>18</v>
      </c>
      <c r="AD656" s="716"/>
      <c r="AE656" s="716"/>
      <c r="AF656" s="716"/>
      <c r="AG656" s="716"/>
      <c r="BB656" s="707"/>
      <c r="BC656" s="584"/>
      <c r="BD656" s="678"/>
      <c r="BE656" s="585"/>
    </row>
    <row r="657" spans="1:57" s="446" customFormat="1" ht="14.45" hidden="1" customHeight="1" outlineLevel="1" x14ac:dyDescent="0.25">
      <c r="A657" s="2059"/>
      <c r="B657" s="1279"/>
      <c r="C657" s="328"/>
      <c r="D657" s="3990"/>
      <c r="E657" s="4009"/>
      <c r="F657" s="3385" t="str">
        <f t="shared" si="69"/>
        <v>CAC-SEER16_ER1_MF</v>
      </c>
      <c r="G657" s="3386"/>
      <c r="H657" s="3387"/>
      <c r="I657" s="2964" t="str">
        <f t="shared" si="70"/>
        <v>350900_2021_12_</v>
      </c>
      <c r="J657" s="1887">
        <v>6</v>
      </c>
      <c r="K657" s="1882"/>
      <c r="L657" s="1883"/>
      <c r="M657" s="328"/>
      <c r="N657" s="1544"/>
      <c r="O657" s="328"/>
      <c r="P657" s="353"/>
      <c r="Q657" s="353"/>
      <c r="R657" s="353"/>
      <c r="S657" s="353"/>
      <c r="T657" s="353"/>
      <c r="U657" s="353"/>
      <c r="V657" s="3990"/>
      <c r="W657" s="716">
        <v>6</v>
      </c>
      <c r="X657" s="716">
        <v>6</v>
      </c>
      <c r="Y657" s="716">
        <v>6</v>
      </c>
      <c r="Z657" s="716">
        <v>6</v>
      </c>
      <c r="AA657" s="716">
        <v>6</v>
      </c>
      <c r="AB657" s="716">
        <v>6</v>
      </c>
      <c r="AC657" s="1887">
        <v>6</v>
      </c>
      <c r="AD657" s="716"/>
      <c r="AE657" s="716"/>
      <c r="AF657" s="716"/>
      <c r="AG657" s="716"/>
      <c r="BB657" s="707"/>
      <c r="BC657" s="584"/>
      <c r="BD657" s="678"/>
      <c r="BE657" s="585"/>
    </row>
    <row r="658" spans="1:57" s="446" customFormat="1" ht="14.45" hidden="1" customHeight="1" outlineLevel="1" x14ac:dyDescent="0.25">
      <c r="A658" s="2059"/>
      <c r="B658" s="1279"/>
      <c r="C658" s="328"/>
      <c r="D658" s="3990"/>
      <c r="E658" s="4009"/>
      <c r="F658" s="3385" t="str">
        <f t="shared" si="69"/>
        <v>CAC-SEER16_ER2_MF</v>
      </c>
      <c r="G658" s="3386"/>
      <c r="H658" s="3387"/>
      <c r="I658" s="2964" t="str">
        <f t="shared" si="70"/>
        <v>350900_2021_12_</v>
      </c>
      <c r="J658" s="1887">
        <v>12</v>
      </c>
      <c r="K658" s="1882"/>
      <c r="L658" s="1883"/>
      <c r="M658" s="328"/>
      <c r="N658" s="1544"/>
      <c r="O658" s="328"/>
      <c r="P658" s="353"/>
      <c r="Q658" s="353"/>
      <c r="R658" s="353"/>
      <c r="S658" s="353"/>
      <c r="T658" s="353"/>
      <c r="U658" s="353"/>
      <c r="V658" s="3990"/>
      <c r="W658" s="716">
        <v>12</v>
      </c>
      <c r="X658" s="716">
        <v>12</v>
      </c>
      <c r="Y658" s="716">
        <v>12</v>
      </c>
      <c r="Z658" s="716">
        <v>12</v>
      </c>
      <c r="AA658" s="716">
        <v>12</v>
      </c>
      <c r="AB658" s="716">
        <v>12</v>
      </c>
      <c r="AC658" s="1887">
        <v>12</v>
      </c>
      <c r="AD658" s="716"/>
      <c r="AE658" s="716"/>
      <c r="AF658" s="716"/>
      <c r="AG658" s="716"/>
      <c r="BB658" s="707"/>
      <c r="BC658" s="584"/>
      <c r="BD658" s="678"/>
      <c r="BE658" s="585"/>
    </row>
    <row r="659" spans="1:57" s="446" customFormat="1" ht="14.45" hidden="1" customHeight="1" outlineLevel="1" x14ac:dyDescent="0.25">
      <c r="A659" s="2059"/>
      <c r="B659" s="1279"/>
      <c r="C659" s="328"/>
      <c r="D659" s="3990"/>
      <c r="E659" s="4009"/>
      <c r="F659" s="3385" t="str">
        <f t="shared" si="69"/>
        <v>CAC-SEER16_ER1_MF_CompE</v>
      </c>
      <c r="G659" s="3386"/>
      <c r="H659" s="3387"/>
      <c r="I659" s="2964" t="str">
        <f t="shared" si="70"/>
        <v>350901_2021_12_</v>
      </c>
      <c r="J659" s="1887">
        <v>6</v>
      </c>
      <c r="K659" s="1882"/>
      <c r="L659" s="1883"/>
      <c r="M659" s="328"/>
      <c r="N659" s="1544"/>
      <c r="O659" s="328"/>
      <c r="P659" s="353"/>
      <c r="Q659" s="353"/>
      <c r="R659" s="353"/>
      <c r="S659" s="353"/>
      <c r="T659" s="353"/>
      <c r="U659" s="353"/>
      <c r="V659" s="3990"/>
      <c r="W659" s="716"/>
      <c r="X659" s="716"/>
      <c r="Y659" s="716">
        <v>6</v>
      </c>
      <c r="Z659" s="716">
        <v>6</v>
      </c>
      <c r="AA659" s="716">
        <v>6</v>
      </c>
      <c r="AB659" s="716">
        <v>6</v>
      </c>
      <c r="AC659" s="1887">
        <v>6</v>
      </c>
      <c r="AD659" s="716"/>
      <c r="AE659" s="716"/>
      <c r="AF659" s="716"/>
      <c r="AG659" s="716"/>
      <c r="BB659" s="707"/>
      <c r="BC659" s="584"/>
      <c r="BD659" s="678"/>
      <c r="BE659" s="585"/>
    </row>
    <row r="660" spans="1:57" s="446" customFormat="1" ht="14.45" hidden="1" customHeight="1" outlineLevel="1" x14ac:dyDescent="0.25">
      <c r="A660" s="2059"/>
      <c r="B660" s="1279"/>
      <c r="C660" s="328"/>
      <c r="D660" s="3990"/>
      <c r="E660" s="4009"/>
      <c r="F660" s="3385" t="str">
        <f t="shared" si="69"/>
        <v>CAC-SEER16_ER2_MF_CompE</v>
      </c>
      <c r="G660" s="3386"/>
      <c r="H660" s="3387"/>
      <c r="I660" s="2964" t="str">
        <f t="shared" si="70"/>
        <v>350901_2021_12_</v>
      </c>
      <c r="J660" s="1887">
        <v>12</v>
      </c>
      <c r="K660" s="1882"/>
      <c r="L660" s="1883"/>
      <c r="M660" s="328"/>
      <c r="N660" s="1544"/>
      <c r="O660" s="328"/>
      <c r="P660" s="353"/>
      <c r="Q660" s="353"/>
      <c r="R660" s="353"/>
      <c r="S660" s="353"/>
      <c r="T660" s="353"/>
      <c r="U660" s="353"/>
      <c r="V660" s="3990"/>
      <c r="W660" s="716"/>
      <c r="X660" s="716"/>
      <c r="Y660" s="716">
        <v>12</v>
      </c>
      <c r="Z660" s="716">
        <v>12</v>
      </c>
      <c r="AA660" s="716">
        <v>12</v>
      </c>
      <c r="AB660" s="716">
        <v>12</v>
      </c>
      <c r="AC660" s="1887">
        <v>12</v>
      </c>
      <c r="AD660" s="716"/>
      <c r="AE660" s="716"/>
      <c r="AF660" s="716"/>
      <c r="AG660" s="716"/>
      <c r="BB660" s="707"/>
      <c r="BC660" s="584"/>
      <c r="BD660" s="678"/>
      <c r="BE660" s="585"/>
    </row>
    <row r="661" spans="1:57" s="446" customFormat="1" ht="14.45" hidden="1" customHeight="1" outlineLevel="1" x14ac:dyDescent="0.25">
      <c r="A661" s="2059"/>
      <c r="B661" s="1279"/>
      <c r="C661" s="328"/>
      <c r="D661" s="3990"/>
      <c r="E661" s="4009"/>
      <c r="F661" s="3385" t="str">
        <f t="shared" si="69"/>
        <v>CAC-SEER16_ROF_MF</v>
      </c>
      <c r="G661" s="3386"/>
      <c r="H661" s="3387"/>
      <c r="I661" s="2964" t="str">
        <f t="shared" si="70"/>
        <v>350950_2021_12_</v>
      </c>
      <c r="J661" s="1887">
        <v>18</v>
      </c>
      <c r="K661" s="1882"/>
      <c r="L661" s="1883"/>
      <c r="M661" s="328"/>
      <c r="N661" s="1544"/>
      <c r="O661" s="328"/>
      <c r="P661" s="353"/>
      <c r="Q661" s="353"/>
      <c r="R661" s="353"/>
      <c r="S661" s="353"/>
      <c r="T661" s="353"/>
      <c r="U661" s="353"/>
      <c r="V661" s="3990"/>
      <c r="W661" s="716">
        <v>18</v>
      </c>
      <c r="X661" s="716">
        <v>18</v>
      </c>
      <c r="Y661" s="716">
        <v>18</v>
      </c>
      <c r="Z661" s="716">
        <v>18</v>
      </c>
      <c r="AA661" s="716">
        <v>18</v>
      </c>
      <c r="AB661" s="716">
        <v>18</v>
      </c>
      <c r="AC661" s="1887">
        <v>18</v>
      </c>
      <c r="AD661" s="716"/>
      <c r="AE661" s="716"/>
      <c r="AF661" s="716"/>
      <c r="AG661" s="716"/>
      <c r="BB661" s="707"/>
      <c r="BC661" s="584"/>
      <c r="BD661" s="678"/>
      <c r="BE661" s="585"/>
    </row>
    <row r="662" spans="1:57" s="446" customFormat="1" ht="14.45" hidden="1" customHeight="1" outlineLevel="1" x14ac:dyDescent="0.25">
      <c r="A662" s="2059"/>
      <c r="B662" s="1279"/>
      <c r="C662" s="328"/>
      <c r="D662" s="3990"/>
      <c r="E662" s="4009"/>
      <c r="F662" s="3385" t="str">
        <f t="shared" si="69"/>
        <v>CAC-SEER16_ROF_MF_CompE</v>
      </c>
      <c r="G662" s="3386"/>
      <c r="H662" s="3387"/>
      <c r="I662" s="2964" t="str">
        <f t="shared" si="70"/>
        <v>350951_2021_12_</v>
      </c>
      <c r="J662" s="1887">
        <v>18</v>
      </c>
      <c r="K662" s="1882"/>
      <c r="L662" s="1883"/>
      <c r="M662" s="328"/>
      <c r="N662" s="1544"/>
      <c r="O662" s="328"/>
      <c r="P662" s="353"/>
      <c r="Q662" s="353"/>
      <c r="R662" s="353"/>
      <c r="S662" s="353"/>
      <c r="T662" s="353"/>
      <c r="U662" s="353"/>
      <c r="V662" s="3990"/>
      <c r="W662" s="716"/>
      <c r="X662" s="716"/>
      <c r="Y662" s="716">
        <v>18</v>
      </c>
      <c r="Z662" s="716">
        <v>18</v>
      </c>
      <c r="AA662" s="716">
        <v>18</v>
      </c>
      <c r="AB662" s="716">
        <v>18</v>
      </c>
      <c r="AC662" s="1887">
        <v>18</v>
      </c>
      <c r="AD662" s="716"/>
      <c r="AE662" s="716"/>
      <c r="AF662" s="716"/>
      <c r="AG662" s="716"/>
      <c r="BB662" s="707"/>
      <c r="BC662" s="584"/>
      <c r="BD662" s="678"/>
      <c r="BE662" s="585"/>
    </row>
    <row r="663" spans="1:57" s="446" customFormat="1" ht="14.45" hidden="1" customHeight="1" outlineLevel="1" x14ac:dyDescent="0.25">
      <c r="A663" s="2059"/>
      <c r="B663" s="1279"/>
      <c r="C663" s="328"/>
      <c r="D663" s="3990"/>
      <c r="E663" s="4009"/>
      <c r="F663" s="3385" t="str">
        <f t="shared" si="69"/>
        <v>CAC-SEER17_ER1_SF</v>
      </c>
      <c r="G663" s="3386"/>
      <c r="H663" s="3387"/>
      <c r="I663" s="2964" t="str">
        <f t="shared" si="70"/>
        <v>351000_2021_12_</v>
      </c>
      <c r="J663" s="1887">
        <v>6</v>
      </c>
      <c r="K663" s="1882"/>
      <c r="L663" s="1883"/>
      <c r="M663" s="328"/>
      <c r="N663" s="1544"/>
      <c r="O663" s="328"/>
      <c r="P663" s="353"/>
      <c r="Q663" s="353"/>
      <c r="R663" s="353"/>
      <c r="S663" s="353"/>
      <c r="T663" s="353"/>
      <c r="U663" s="353"/>
      <c r="V663" s="3990"/>
      <c r="W663" s="716">
        <v>6</v>
      </c>
      <c r="X663" s="716">
        <v>6</v>
      </c>
      <c r="Y663" s="716">
        <v>6</v>
      </c>
      <c r="Z663" s="716">
        <v>6</v>
      </c>
      <c r="AA663" s="716">
        <v>6</v>
      </c>
      <c r="AB663" s="716">
        <v>6</v>
      </c>
      <c r="AC663" s="1887">
        <v>6</v>
      </c>
      <c r="AD663" s="716"/>
      <c r="AE663" s="716"/>
      <c r="AF663" s="716"/>
      <c r="AG663" s="716"/>
      <c r="BB663" s="707"/>
      <c r="BC663" s="584"/>
      <c r="BD663" s="678"/>
      <c r="BE663" s="585"/>
    </row>
    <row r="664" spans="1:57" s="446" customFormat="1" ht="14.45" hidden="1" customHeight="1" outlineLevel="1" x14ac:dyDescent="0.25">
      <c r="A664" s="2059"/>
      <c r="B664" s="1279"/>
      <c r="C664" s="328"/>
      <c r="D664" s="3990"/>
      <c r="E664" s="4009"/>
      <c r="F664" s="3385" t="str">
        <f t="shared" si="69"/>
        <v>CAC-SEER17_ER2_SF</v>
      </c>
      <c r="G664" s="3386"/>
      <c r="H664" s="3387"/>
      <c r="I664" s="2964" t="str">
        <f t="shared" si="70"/>
        <v>351000_2021_12_</v>
      </c>
      <c r="J664" s="1887">
        <v>12</v>
      </c>
      <c r="K664" s="1882"/>
      <c r="L664" s="1883"/>
      <c r="M664" s="328"/>
      <c r="N664" s="1544"/>
      <c r="O664" s="328"/>
      <c r="P664" s="353"/>
      <c r="Q664" s="353"/>
      <c r="R664" s="353"/>
      <c r="S664" s="353"/>
      <c r="T664" s="353"/>
      <c r="U664" s="353"/>
      <c r="V664" s="3990"/>
      <c r="W664" s="716">
        <v>12</v>
      </c>
      <c r="X664" s="716">
        <v>12</v>
      </c>
      <c r="Y664" s="716">
        <v>12</v>
      </c>
      <c r="Z664" s="716">
        <v>12</v>
      </c>
      <c r="AA664" s="716">
        <v>12</v>
      </c>
      <c r="AB664" s="716">
        <v>12</v>
      </c>
      <c r="AC664" s="1887">
        <v>12</v>
      </c>
      <c r="AD664" s="716"/>
      <c r="AE664" s="716"/>
      <c r="AF664" s="716"/>
      <c r="AG664" s="716"/>
      <c r="BB664" s="707"/>
      <c r="BC664" s="584"/>
      <c r="BD664" s="678"/>
      <c r="BE664" s="585"/>
    </row>
    <row r="665" spans="1:57" s="446" customFormat="1" ht="14.45" hidden="1" customHeight="1" outlineLevel="1" x14ac:dyDescent="0.25">
      <c r="A665" s="2059"/>
      <c r="B665" s="1279"/>
      <c r="C665" s="328"/>
      <c r="D665" s="3990"/>
      <c r="E665" s="4009"/>
      <c r="F665" s="3385" t="str">
        <f t="shared" si="69"/>
        <v>CAC-SEER17_ROF_SF</v>
      </c>
      <c r="G665" s="3386"/>
      <c r="H665" s="3387"/>
      <c r="I665" s="2964" t="str">
        <f t="shared" si="70"/>
        <v>351050_2021_12_</v>
      </c>
      <c r="J665" s="1887">
        <v>18</v>
      </c>
      <c r="K665" s="1882"/>
      <c r="L665" s="1883"/>
      <c r="M665" s="328"/>
      <c r="N665" s="1544"/>
      <c r="O665" s="328"/>
      <c r="P665" s="353"/>
      <c r="Q665" s="353"/>
      <c r="R665" s="353"/>
      <c r="S665" s="353"/>
      <c r="T665" s="353"/>
      <c r="U665" s="353"/>
      <c r="V665" s="3990"/>
      <c r="W665" s="716">
        <v>18</v>
      </c>
      <c r="X665" s="716">
        <v>18</v>
      </c>
      <c r="Y665" s="716">
        <v>18</v>
      </c>
      <c r="Z665" s="716">
        <v>18</v>
      </c>
      <c r="AA665" s="716">
        <v>18</v>
      </c>
      <c r="AB665" s="716">
        <v>18</v>
      </c>
      <c r="AC665" s="1887">
        <v>18</v>
      </c>
      <c r="AD665" s="716"/>
      <c r="AE665" s="716"/>
      <c r="AF665" s="716"/>
      <c r="AG665" s="716"/>
      <c r="BB665" s="707"/>
      <c r="BC665" s="584"/>
      <c r="BD665" s="678"/>
      <c r="BE665" s="585"/>
    </row>
    <row r="666" spans="1:57" s="446" customFormat="1" ht="14.45" hidden="1" customHeight="1" outlineLevel="1" x14ac:dyDescent="0.25">
      <c r="A666" s="2059"/>
      <c r="B666" s="1279"/>
      <c r="C666" s="328"/>
      <c r="D666" s="3990"/>
      <c r="E666" s="4009"/>
      <c r="F666" s="3385" t="str">
        <f t="shared" si="69"/>
        <v>CAC-SEER17_ER1_MF</v>
      </c>
      <c r="G666" s="3386"/>
      <c r="H666" s="3387"/>
      <c r="I666" s="2964" t="str">
        <f t="shared" si="70"/>
        <v>351100_2021_12_</v>
      </c>
      <c r="J666" s="1887">
        <v>6</v>
      </c>
      <c r="K666" s="1882"/>
      <c r="L666" s="1883"/>
      <c r="M666" s="328"/>
      <c r="N666" s="1544"/>
      <c r="O666" s="328"/>
      <c r="P666" s="353"/>
      <c r="Q666" s="353"/>
      <c r="R666" s="353"/>
      <c r="S666" s="353"/>
      <c r="T666" s="353"/>
      <c r="U666" s="353"/>
      <c r="V666" s="3990"/>
      <c r="W666" s="716">
        <v>6</v>
      </c>
      <c r="X666" s="716">
        <v>6</v>
      </c>
      <c r="Y666" s="716">
        <v>6</v>
      </c>
      <c r="Z666" s="716">
        <v>6</v>
      </c>
      <c r="AA666" s="716">
        <v>6</v>
      </c>
      <c r="AB666" s="716">
        <v>6</v>
      </c>
      <c r="AC666" s="1887">
        <v>6</v>
      </c>
      <c r="AD666" s="716"/>
      <c r="AE666" s="716"/>
      <c r="AF666" s="716"/>
      <c r="AG666" s="716"/>
      <c r="BB666" s="707"/>
      <c r="BC666" s="584"/>
      <c r="BD666" s="678"/>
      <c r="BE666" s="585"/>
    </row>
    <row r="667" spans="1:57" s="446" customFormat="1" ht="14.45" hidden="1" customHeight="1" outlineLevel="1" x14ac:dyDescent="0.25">
      <c r="A667" s="2059"/>
      <c r="B667" s="1279"/>
      <c r="C667" s="328"/>
      <c r="D667" s="3990"/>
      <c r="E667" s="4009"/>
      <c r="F667" s="3385" t="str">
        <f t="shared" si="69"/>
        <v>CAC-SEER17_ER2_MF</v>
      </c>
      <c r="G667" s="3386"/>
      <c r="H667" s="3387"/>
      <c r="I667" s="2964" t="str">
        <f t="shared" si="70"/>
        <v>351100_2021_12_</v>
      </c>
      <c r="J667" s="1887">
        <v>12</v>
      </c>
      <c r="K667" s="1882"/>
      <c r="L667" s="1883"/>
      <c r="M667" s="328"/>
      <c r="N667" s="1544"/>
      <c r="O667" s="328"/>
      <c r="P667" s="353"/>
      <c r="Q667" s="353"/>
      <c r="R667" s="353"/>
      <c r="S667" s="353"/>
      <c r="T667" s="353"/>
      <c r="U667" s="353"/>
      <c r="V667" s="3990"/>
      <c r="W667" s="716">
        <v>12</v>
      </c>
      <c r="X667" s="716">
        <v>12</v>
      </c>
      <c r="Y667" s="716">
        <v>12</v>
      </c>
      <c r="Z667" s="716">
        <v>12</v>
      </c>
      <c r="AA667" s="716">
        <v>12</v>
      </c>
      <c r="AB667" s="716">
        <v>12</v>
      </c>
      <c r="AC667" s="1887">
        <v>12</v>
      </c>
      <c r="AD667" s="716"/>
      <c r="AE667" s="716"/>
      <c r="AF667" s="716"/>
      <c r="AG667" s="716"/>
      <c r="BB667" s="707"/>
      <c r="BC667" s="584"/>
      <c r="BD667" s="678"/>
      <c r="BE667" s="585"/>
    </row>
    <row r="668" spans="1:57" s="446" customFormat="1" ht="14.45" hidden="1" customHeight="1" outlineLevel="1" x14ac:dyDescent="0.25">
      <c r="A668" s="2059"/>
      <c r="B668" s="1279"/>
      <c r="C668" s="328"/>
      <c r="D668" s="3990"/>
      <c r="E668" s="4009"/>
      <c r="F668" s="3385" t="str">
        <f t="shared" ref="F668:F699" si="71">F595</f>
        <v>CAC-SEER17_ER1_MF_CompE</v>
      </c>
      <c r="G668" s="3386"/>
      <c r="H668" s="3387"/>
      <c r="I668" s="2965" t="str">
        <f t="shared" si="70"/>
        <v>351101_2021_12_</v>
      </c>
      <c r="J668" s="1887">
        <v>6</v>
      </c>
      <c r="K668" s="1884"/>
      <c r="L668" s="1885"/>
      <c r="M668" s="328"/>
      <c r="N668" s="1544"/>
      <c r="O668" s="328"/>
      <c r="P668" s="353"/>
      <c r="Q668" s="353"/>
      <c r="R668" s="353"/>
      <c r="S668" s="353"/>
      <c r="T668" s="353"/>
      <c r="U668" s="353"/>
      <c r="V668" s="3990"/>
      <c r="W668" s="718"/>
      <c r="X668" s="718"/>
      <c r="Y668" s="718">
        <v>6</v>
      </c>
      <c r="Z668" s="718">
        <v>6</v>
      </c>
      <c r="AA668" s="718">
        <v>6</v>
      </c>
      <c r="AB668" s="718">
        <v>6</v>
      </c>
      <c r="AC668" s="1887">
        <v>6</v>
      </c>
      <c r="AD668" s="718"/>
      <c r="AE668" s="718"/>
      <c r="AF668" s="718"/>
      <c r="AG668" s="718"/>
      <c r="BB668" s="707"/>
      <c r="BC668" s="584"/>
      <c r="BD668" s="678"/>
      <c r="BE668" s="585"/>
    </row>
    <row r="669" spans="1:57" s="446" customFormat="1" ht="14.45" hidden="1" customHeight="1" outlineLevel="1" x14ac:dyDescent="0.25">
      <c r="A669" s="2059"/>
      <c r="B669" s="1279"/>
      <c r="C669" s="328"/>
      <c r="D669" s="3990"/>
      <c r="E669" s="4009"/>
      <c r="F669" s="3385" t="str">
        <f t="shared" si="71"/>
        <v>CAC-SEER17_ER2_MF_CompE</v>
      </c>
      <c r="G669" s="3386"/>
      <c r="H669" s="3387"/>
      <c r="I669" s="2965" t="str">
        <f t="shared" si="70"/>
        <v>351101_2021_12_</v>
      </c>
      <c r="J669" s="1887">
        <v>12</v>
      </c>
      <c r="K669" s="1884"/>
      <c r="L669" s="1885"/>
      <c r="M669" s="328"/>
      <c r="N669" s="1544"/>
      <c r="O669" s="328"/>
      <c r="P669" s="353"/>
      <c r="Q669" s="353"/>
      <c r="R669" s="353"/>
      <c r="S669" s="353"/>
      <c r="T669" s="353"/>
      <c r="U669" s="353"/>
      <c r="V669" s="3990"/>
      <c r="W669" s="718"/>
      <c r="X669" s="718"/>
      <c r="Y669" s="718">
        <v>12</v>
      </c>
      <c r="Z669" s="718">
        <v>12</v>
      </c>
      <c r="AA669" s="718">
        <v>12</v>
      </c>
      <c r="AB669" s="718">
        <v>12</v>
      </c>
      <c r="AC669" s="1887">
        <v>12</v>
      </c>
      <c r="AD669" s="718"/>
      <c r="AE669" s="718"/>
      <c r="AF669" s="718"/>
      <c r="AG669" s="718"/>
      <c r="BB669" s="707"/>
      <c r="BC669" s="584"/>
      <c r="BD669" s="678"/>
      <c r="BE669" s="585"/>
    </row>
    <row r="670" spans="1:57" s="446" customFormat="1" ht="14.45" hidden="1" customHeight="1" outlineLevel="1" x14ac:dyDescent="0.25">
      <c r="A670" s="2059"/>
      <c r="B670" s="1279"/>
      <c r="C670" s="328"/>
      <c r="D670" s="3990"/>
      <c r="E670" s="4009"/>
      <c r="F670" s="3385" t="str">
        <f t="shared" si="71"/>
        <v>CAC-SEER17_ROF_MF</v>
      </c>
      <c r="G670" s="3386"/>
      <c r="H670" s="3387"/>
      <c r="I670" s="2964" t="str">
        <f t="shared" si="70"/>
        <v>351150_2021_12_</v>
      </c>
      <c r="J670" s="1887">
        <v>18</v>
      </c>
      <c r="K670" s="1882"/>
      <c r="L670" s="1883"/>
      <c r="M670" s="328"/>
      <c r="N670" s="1544"/>
      <c r="O670" s="328"/>
      <c r="P670" s="353"/>
      <c r="Q670" s="353"/>
      <c r="R670" s="353"/>
      <c r="S670" s="353"/>
      <c r="T670" s="353"/>
      <c r="U670" s="353"/>
      <c r="V670" s="3990"/>
      <c r="W670" s="718">
        <v>18</v>
      </c>
      <c r="X670" s="718">
        <v>18</v>
      </c>
      <c r="Y670" s="718">
        <v>18</v>
      </c>
      <c r="Z670" s="718">
        <v>18</v>
      </c>
      <c r="AA670" s="718">
        <v>18</v>
      </c>
      <c r="AB670" s="718">
        <v>18</v>
      </c>
      <c r="AC670" s="1887">
        <v>18</v>
      </c>
      <c r="AD670" s="718"/>
      <c r="AE670" s="718"/>
      <c r="AF670" s="718"/>
      <c r="AG670" s="718"/>
      <c r="BB670" s="707"/>
      <c r="BC670" s="584"/>
      <c r="BD670" s="678"/>
      <c r="BE670" s="585"/>
    </row>
    <row r="671" spans="1:57" s="446" customFormat="1" ht="14.45" hidden="1" customHeight="1" outlineLevel="1" x14ac:dyDescent="0.25">
      <c r="A671" s="2059"/>
      <c r="B671" s="1279"/>
      <c r="C671" s="328"/>
      <c r="D671" s="4005"/>
      <c r="E671" s="3890"/>
      <c r="F671" s="3385" t="str">
        <f t="shared" si="71"/>
        <v>CAC-SEER17_ROF_MF_CompE</v>
      </c>
      <c r="G671" s="3386"/>
      <c r="H671" s="3387"/>
      <c r="I671" s="2964" t="str">
        <f t="shared" si="70"/>
        <v>351151_2021_12_</v>
      </c>
      <c r="J671" s="1887">
        <v>18</v>
      </c>
      <c r="K671" s="1882"/>
      <c r="L671" s="1883"/>
      <c r="M671" s="328"/>
      <c r="N671" s="1544"/>
      <c r="O671" s="328"/>
      <c r="P671" s="353"/>
      <c r="Q671" s="353"/>
      <c r="R671" s="353"/>
      <c r="S671" s="353"/>
      <c r="T671" s="353"/>
      <c r="U671" s="353"/>
      <c r="V671" s="4005"/>
      <c r="W671" s="716"/>
      <c r="X671" s="716"/>
      <c r="Y671" s="716">
        <v>18</v>
      </c>
      <c r="Z671" s="716">
        <v>18</v>
      </c>
      <c r="AA671" s="716">
        <v>18</v>
      </c>
      <c r="AB671" s="716">
        <v>18</v>
      </c>
      <c r="AC671" s="1887">
        <v>18</v>
      </c>
      <c r="AD671" s="716"/>
      <c r="AE671" s="716"/>
      <c r="AF671" s="716"/>
      <c r="AG671" s="716"/>
      <c r="BB671" s="707"/>
      <c r="BC671" s="584"/>
      <c r="BD671" s="678"/>
      <c r="BE671" s="585"/>
    </row>
    <row r="672" spans="1:57" s="446" customFormat="1" ht="14.45" hidden="1" customHeight="1" outlineLevel="1" x14ac:dyDescent="0.25">
      <c r="A672" s="2059"/>
      <c r="B672" s="1279"/>
      <c r="C672" s="328"/>
      <c r="D672" s="4006"/>
      <c r="E672" s="4010"/>
      <c r="F672" s="3391" t="str">
        <f t="shared" si="71"/>
        <v>CAC-SEER18_ER1_SF</v>
      </c>
      <c r="G672" s="3392"/>
      <c r="H672" s="3393"/>
      <c r="I672" s="2964" t="str">
        <f t="shared" si="70"/>
        <v>351160_2021_12_</v>
      </c>
      <c r="J672" s="1887">
        <v>6</v>
      </c>
      <c r="K672" s="1882"/>
      <c r="L672" s="1883"/>
      <c r="M672" s="328"/>
      <c r="N672" s="1544"/>
      <c r="O672" s="328"/>
      <c r="P672" s="353"/>
      <c r="Q672" s="353"/>
      <c r="R672" s="353"/>
      <c r="S672" s="353"/>
      <c r="T672" s="353"/>
      <c r="U672" s="353"/>
      <c r="V672" s="4005"/>
      <c r="W672" s="1901"/>
      <c r="X672" s="1901"/>
      <c r="Y672" s="1901"/>
      <c r="Z672" s="1902">
        <v>6</v>
      </c>
      <c r="AA672" s="1901">
        <v>6</v>
      </c>
      <c r="AB672" s="1901">
        <v>6</v>
      </c>
      <c r="AC672" s="1887">
        <v>6</v>
      </c>
      <c r="AD672" s="1901"/>
      <c r="AE672" s="1901"/>
      <c r="AF672" s="1901"/>
      <c r="AG672" s="1901"/>
      <c r="BB672" s="707"/>
      <c r="BC672" s="584"/>
      <c r="BD672" s="678"/>
      <c r="BE672" s="585"/>
    </row>
    <row r="673" spans="1:57" s="446" customFormat="1" ht="14.45" hidden="1" customHeight="1" outlineLevel="1" x14ac:dyDescent="0.25">
      <c r="A673" s="2059"/>
      <c r="B673" s="1279"/>
      <c r="C673" s="328"/>
      <c r="D673" s="4006"/>
      <c r="E673" s="4010"/>
      <c r="F673" s="3391" t="str">
        <f t="shared" si="71"/>
        <v>CAC-SEER18_ER2_SF</v>
      </c>
      <c r="G673" s="3392"/>
      <c r="H673" s="3393"/>
      <c r="I673" s="2964" t="str">
        <f t="shared" si="70"/>
        <v>351160_2021_12_</v>
      </c>
      <c r="J673" s="1887">
        <v>12</v>
      </c>
      <c r="K673" s="1882"/>
      <c r="L673" s="1883"/>
      <c r="M673" s="328"/>
      <c r="N673" s="1544"/>
      <c r="O673" s="328"/>
      <c r="P673" s="353"/>
      <c r="Q673" s="353"/>
      <c r="R673" s="353"/>
      <c r="S673" s="353"/>
      <c r="T673" s="353"/>
      <c r="U673" s="353"/>
      <c r="V673" s="4005"/>
      <c r="W673" s="716"/>
      <c r="X673" s="716"/>
      <c r="Y673" s="716"/>
      <c r="Z673" s="717">
        <v>12</v>
      </c>
      <c r="AA673" s="716">
        <v>12</v>
      </c>
      <c r="AB673" s="716">
        <v>12</v>
      </c>
      <c r="AC673" s="1887">
        <v>12</v>
      </c>
      <c r="AD673" s="716"/>
      <c r="AE673" s="716"/>
      <c r="AF673" s="716"/>
      <c r="AG673" s="716"/>
      <c r="BB673" s="707"/>
      <c r="BC673" s="584"/>
      <c r="BD673" s="678"/>
      <c r="BE673" s="585"/>
    </row>
    <row r="674" spans="1:57" s="446" customFormat="1" ht="14.45" hidden="1" customHeight="1" outlineLevel="1" x14ac:dyDescent="0.25">
      <c r="A674" s="2059"/>
      <c r="B674" s="1279"/>
      <c r="C674" s="328"/>
      <c r="D674" s="4006"/>
      <c r="E674" s="4010"/>
      <c r="F674" s="3391" t="str">
        <f t="shared" si="71"/>
        <v>CAC-SEER18_ROF_SF</v>
      </c>
      <c r="G674" s="3392"/>
      <c r="H674" s="3393"/>
      <c r="I674" s="2964" t="str">
        <f t="shared" si="70"/>
        <v>351161_2021_12_</v>
      </c>
      <c r="J674" s="1887">
        <v>18</v>
      </c>
      <c r="K674" s="1882"/>
      <c r="L674" s="1883"/>
      <c r="M674" s="328"/>
      <c r="N674" s="1544"/>
      <c r="O674" s="328"/>
      <c r="P674" s="353"/>
      <c r="Q674" s="353"/>
      <c r="R674" s="353"/>
      <c r="S674" s="353"/>
      <c r="T674" s="353"/>
      <c r="U674" s="353"/>
      <c r="V674" s="4005"/>
      <c r="W674" s="716"/>
      <c r="X674" s="716"/>
      <c r="Y674" s="716"/>
      <c r="Z674" s="717">
        <v>18</v>
      </c>
      <c r="AA674" s="716">
        <v>18</v>
      </c>
      <c r="AB674" s="716">
        <v>18</v>
      </c>
      <c r="AC674" s="1887">
        <v>18</v>
      </c>
      <c r="AD674" s="716"/>
      <c r="AE674" s="716"/>
      <c r="AF674" s="716"/>
      <c r="AG674" s="716"/>
      <c r="BB674" s="707"/>
      <c r="BC674" s="584"/>
      <c r="BD674" s="678"/>
      <c r="BE674" s="585"/>
    </row>
    <row r="675" spans="1:57" s="446" customFormat="1" ht="14.45" hidden="1" customHeight="1" outlineLevel="1" x14ac:dyDescent="0.25">
      <c r="A675" s="2059"/>
      <c r="B675" s="1279"/>
      <c r="C675" s="328"/>
      <c r="D675" s="4006"/>
      <c r="E675" s="4010"/>
      <c r="F675" s="3385" t="str">
        <f t="shared" si="71"/>
        <v>CAC-SEER18_ER1_MF</v>
      </c>
      <c r="G675" s="3386"/>
      <c r="H675" s="3387"/>
      <c r="I675" s="2964" t="str">
        <f t="shared" si="70"/>
        <v>351162_2021_12_</v>
      </c>
      <c r="J675" s="1887">
        <v>6</v>
      </c>
      <c r="K675" s="1882"/>
      <c r="L675" s="1883"/>
      <c r="M675" s="328"/>
      <c r="N675" s="1544"/>
      <c r="O675" s="328"/>
      <c r="P675" s="353"/>
      <c r="Q675" s="353"/>
      <c r="R675" s="353"/>
      <c r="S675" s="353"/>
      <c r="T675" s="353"/>
      <c r="U675" s="353"/>
      <c r="V675" s="4005"/>
      <c r="W675" s="716"/>
      <c r="X675" s="716"/>
      <c r="Y675" s="716"/>
      <c r="Z675" s="717">
        <v>6</v>
      </c>
      <c r="AA675" s="716">
        <v>6</v>
      </c>
      <c r="AB675" s="716">
        <v>6</v>
      </c>
      <c r="AC675" s="1887">
        <v>6</v>
      </c>
      <c r="AD675" s="716"/>
      <c r="AE675" s="716"/>
      <c r="AF675" s="716"/>
      <c r="AG675" s="716"/>
      <c r="BB675" s="707"/>
      <c r="BC675" s="584"/>
      <c r="BD675" s="678"/>
      <c r="BE675" s="585"/>
    </row>
    <row r="676" spans="1:57" s="446" customFormat="1" ht="14.45" hidden="1" customHeight="1" outlineLevel="1" x14ac:dyDescent="0.25">
      <c r="A676" s="2059"/>
      <c r="B676" s="1279"/>
      <c r="C676" s="328"/>
      <c r="D676" s="4006"/>
      <c r="E676" s="4010"/>
      <c r="F676" s="3385" t="str">
        <f t="shared" si="71"/>
        <v>CAC-SEER18_ER2_MF</v>
      </c>
      <c r="G676" s="3386"/>
      <c r="H676" s="3387"/>
      <c r="I676" s="2964" t="str">
        <f t="shared" si="70"/>
        <v>351162_2021_12_</v>
      </c>
      <c r="J676" s="1887">
        <v>12</v>
      </c>
      <c r="K676" s="1882"/>
      <c r="L676" s="1883"/>
      <c r="M676" s="328"/>
      <c r="N676" s="1544"/>
      <c r="O676" s="328"/>
      <c r="P676" s="353"/>
      <c r="Q676" s="353"/>
      <c r="R676" s="353"/>
      <c r="S676" s="353"/>
      <c r="T676" s="353"/>
      <c r="U676" s="353"/>
      <c r="V676" s="4005"/>
      <c r="W676" s="716"/>
      <c r="X676" s="716"/>
      <c r="Y676" s="716"/>
      <c r="Z676" s="717">
        <v>12</v>
      </c>
      <c r="AA676" s="716">
        <v>12</v>
      </c>
      <c r="AB676" s="716">
        <v>12</v>
      </c>
      <c r="AC676" s="1887">
        <v>12</v>
      </c>
      <c r="AD676" s="716"/>
      <c r="AE676" s="716"/>
      <c r="AF676" s="716"/>
      <c r="AG676" s="716"/>
      <c r="BB676" s="707"/>
      <c r="BC676" s="584"/>
      <c r="BD676" s="678"/>
      <c r="BE676" s="585"/>
    </row>
    <row r="677" spans="1:57" s="446" customFormat="1" ht="14.45" hidden="1" customHeight="1" outlineLevel="1" x14ac:dyDescent="0.25">
      <c r="A677" s="2059"/>
      <c r="B677" s="1279"/>
      <c r="C677" s="328"/>
      <c r="D677" s="4006"/>
      <c r="E677" s="4010"/>
      <c r="F677" s="3385" t="str">
        <f t="shared" si="71"/>
        <v>CAC-SEER18_ER1_MF_CompE</v>
      </c>
      <c r="G677" s="3386"/>
      <c r="H677" s="3387"/>
      <c r="I677" s="2964" t="str">
        <f t="shared" si="70"/>
        <v>351163_2021_12_</v>
      </c>
      <c r="J677" s="1887">
        <v>6</v>
      </c>
      <c r="K677" s="1882"/>
      <c r="L677" s="1883"/>
      <c r="M677" s="328"/>
      <c r="N677" s="1544"/>
      <c r="O677" s="328"/>
      <c r="P677" s="353"/>
      <c r="Q677" s="353"/>
      <c r="R677" s="353"/>
      <c r="S677" s="353"/>
      <c r="T677" s="353"/>
      <c r="U677" s="353"/>
      <c r="V677" s="4005"/>
      <c r="W677" s="716"/>
      <c r="X677" s="716"/>
      <c r="Y677" s="716"/>
      <c r="Z677" s="717">
        <v>6</v>
      </c>
      <c r="AA677" s="716">
        <v>6</v>
      </c>
      <c r="AB677" s="716">
        <v>6</v>
      </c>
      <c r="AC677" s="1887">
        <v>6</v>
      </c>
      <c r="AD677" s="716"/>
      <c r="AE677" s="716"/>
      <c r="AF677" s="716"/>
      <c r="AG677" s="716"/>
      <c r="BB677" s="707"/>
      <c r="BC677" s="584"/>
      <c r="BD677" s="678"/>
      <c r="BE677" s="585"/>
    </row>
    <row r="678" spans="1:57" s="446" customFormat="1" ht="14.45" hidden="1" customHeight="1" outlineLevel="1" x14ac:dyDescent="0.25">
      <c r="A678" s="2059"/>
      <c r="B678" s="1279"/>
      <c r="C678" s="328"/>
      <c r="D678" s="4006"/>
      <c r="E678" s="4010"/>
      <c r="F678" s="3385" t="str">
        <f t="shared" si="71"/>
        <v>CAC-SEER18_ER2_MF_CompE</v>
      </c>
      <c r="G678" s="3386"/>
      <c r="H678" s="3387"/>
      <c r="I678" s="2964" t="str">
        <f t="shared" si="70"/>
        <v>351163_2021_12_</v>
      </c>
      <c r="J678" s="1887">
        <v>12</v>
      </c>
      <c r="K678" s="1882"/>
      <c r="L678" s="1883"/>
      <c r="M678" s="328"/>
      <c r="N678" s="1544"/>
      <c r="O678" s="328"/>
      <c r="P678" s="353"/>
      <c r="Q678" s="353"/>
      <c r="R678" s="353"/>
      <c r="S678" s="353"/>
      <c r="T678" s="353"/>
      <c r="U678" s="353"/>
      <c r="V678" s="4005"/>
      <c r="W678" s="716"/>
      <c r="X678" s="716"/>
      <c r="Y678" s="716"/>
      <c r="Z678" s="717">
        <v>12</v>
      </c>
      <c r="AA678" s="716">
        <v>12</v>
      </c>
      <c r="AB678" s="716">
        <v>12</v>
      </c>
      <c r="AC678" s="1887">
        <v>12</v>
      </c>
      <c r="AD678" s="716"/>
      <c r="AE678" s="716"/>
      <c r="AF678" s="716"/>
      <c r="AG678" s="716"/>
      <c r="BB678" s="707"/>
      <c r="BC678" s="584"/>
      <c r="BD678" s="678"/>
      <c r="BE678" s="585"/>
    </row>
    <row r="679" spans="1:57" s="446" customFormat="1" ht="14.45" hidden="1" customHeight="1" outlineLevel="1" x14ac:dyDescent="0.25">
      <c r="A679" s="2059"/>
      <c r="B679" s="1279"/>
      <c r="C679" s="328"/>
      <c r="D679" s="4006"/>
      <c r="E679" s="4010"/>
      <c r="F679" s="3385" t="str">
        <f t="shared" si="71"/>
        <v>CAC-SEER18_ROF_MF</v>
      </c>
      <c r="G679" s="3386"/>
      <c r="H679" s="3387"/>
      <c r="I679" s="2964" t="str">
        <f t="shared" si="70"/>
        <v>351164_2021_12_</v>
      </c>
      <c r="J679" s="1887">
        <v>18</v>
      </c>
      <c r="K679" s="1882"/>
      <c r="L679" s="1883"/>
      <c r="M679" s="328"/>
      <c r="N679" s="1544"/>
      <c r="O679" s="328"/>
      <c r="P679" s="353"/>
      <c r="Q679" s="353"/>
      <c r="R679" s="353"/>
      <c r="S679" s="353"/>
      <c r="T679" s="353"/>
      <c r="U679" s="353"/>
      <c r="V679" s="4005"/>
      <c r="W679" s="716"/>
      <c r="X679" s="716"/>
      <c r="Y679" s="717"/>
      <c r="Z679" s="717">
        <v>18</v>
      </c>
      <c r="AA679" s="716">
        <v>18</v>
      </c>
      <c r="AB679" s="716">
        <v>18</v>
      </c>
      <c r="AC679" s="1887">
        <v>18</v>
      </c>
      <c r="AD679" s="716"/>
      <c r="AE679" s="716"/>
      <c r="AF679" s="716"/>
      <c r="AG679" s="716"/>
      <c r="BB679" s="707"/>
      <c r="BC679" s="584"/>
      <c r="BD679" s="678"/>
      <c r="BE679" s="585"/>
    </row>
    <row r="680" spans="1:57" s="446" customFormat="1" ht="14.45" hidden="1" customHeight="1" outlineLevel="1" x14ac:dyDescent="0.25">
      <c r="A680" s="2059"/>
      <c r="B680" s="1279"/>
      <c r="C680" s="328"/>
      <c r="D680" s="4006"/>
      <c r="E680" s="4010"/>
      <c r="F680" s="3385" t="str">
        <f t="shared" si="71"/>
        <v>CAC-SEER18_ROF_MF_CompE</v>
      </c>
      <c r="G680" s="3386"/>
      <c r="H680" s="3387"/>
      <c r="I680" s="2964" t="str">
        <f t="shared" si="70"/>
        <v>351165_2021_12_</v>
      </c>
      <c r="J680" s="1887">
        <v>18</v>
      </c>
      <c r="K680" s="1882"/>
      <c r="L680" s="1883"/>
      <c r="M680" s="328"/>
      <c r="N680" s="1544"/>
      <c r="O680" s="328"/>
      <c r="P680" s="353"/>
      <c r="Q680" s="353"/>
      <c r="R680" s="353"/>
      <c r="S680" s="353"/>
      <c r="T680" s="353"/>
      <c r="U680" s="353"/>
      <c r="V680" s="4005"/>
      <c r="W680" s="716"/>
      <c r="X680" s="716"/>
      <c r="Y680" s="716"/>
      <c r="Z680" s="717">
        <v>18</v>
      </c>
      <c r="AA680" s="716">
        <v>18</v>
      </c>
      <c r="AB680" s="716">
        <v>18</v>
      </c>
      <c r="AC680" s="1887">
        <v>18</v>
      </c>
      <c r="AD680" s="716"/>
      <c r="AE680" s="716"/>
      <c r="AF680" s="716"/>
      <c r="AG680" s="716"/>
      <c r="BB680" s="707"/>
      <c r="BC680" s="584"/>
      <c r="BD680" s="678"/>
      <c r="BE680" s="585"/>
    </row>
    <row r="681" spans="1:57" s="446" customFormat="1" ht="14.45" hidden="1" customHeight="1" outlineLevel="1" x14ac:dyDescent="0.25">
      <c r="A681" s="2059"/>
      <c r="B681" s="1279"/>
      <c r="C681" s="328"/>
      <c r="D681" s="4006"/>
      <c r="E681" s="4010"/>
      <c r="F681" s="3385" t="str">
        <f t="shared" si="71"/>
        <v>CAC-SEER19_ER1_SF</v>
      </c>
      <c r="G681" s="3386"/>
      <c r="H681" s="3387"/>
      <c r="I681" s="2964" t="str">
        <f t="shared" si="70"/>
        <v>351170_2021_12_</v>
      </c>
      <c r="J681" s="1887">
        <v>6</v>
      </c>
      <c r="K681" s="1882"/>
      <c r="L681" s="1883"/>
      <c r="M681" s="328"/>
      <c r="N681" s="1544"/>
      <c r="O681" s="328"/>
      <c r="P681" s="353"/>
      <c r="Q681" s="353"/>
      <c r="R681" s="353"/>
      <c r="S681" s="353"/>
      <c r="T681" s="353"/>
      <c r="U681" s="353"/>
      <c r="V681" s="4005"/>
      <c r="W681" s="716"/>
      <c r="X681" s="716"/>
      <c r="Y681" s="716"/>
      <c r="Z681" s="717">
        <v>6</v>
      </c>
      <c r="AA681" s="716">
        <v>6</v>
      </c>
      <c r="AB681" s="716">
        <v>6</v>
      </c>
      <c r="AC681" s="1887">
        <v>6</v>
      </c>
      <c r="AD681" s="716"/>
      <c r="AE681" s="716"/>
      <c r="AF681" s="716"/>
      <c r="AG681" s="716"/>
      <c r="BB681" s="707"/>
      <c r="BC681" s="584"/>
      <c r="BD681" s="678"/>
      <c r="BE681" s="585"/>
    </row>
    <row r="682" spans="1:57" s="446" customFormat="1" ht="14.45" hidden="1" customHeight="1" outlineLevel="1" x14ac:dyDescent="0.25">
      <c r="A682" s="2059"/>
      <c r="B682" s="1279"/>
      <c r="C682" s="328"/>
      <c r="D682" s="4006"/>
      <c r="E682" s="4010"/>
      <c r="F682" s="3385" t="str">
        <f t="shared" si="71"/>
        <v>CAC-SEER19_ER2_SF</v>
      </c>
      <c r="G682" s="3386"/>
      <c r="H682" s="3387"/>
      <c r="I682" s="2964" t="str">
        <f t="shared" si="70"/>
        <v>351170_2021_12_</v>
      </c>
      <c r="J682" s="1887">
        <v>12</v>
      </c>
      <c r="K682" s="1882"/>
      <c r="L682" s="1883"/>
      <c r="M682" s="328"/>
      <c r="N682" s="1544"/>
      <c r="O682" s="328"/>
      <c r="P682" s="353"/>
      <c r="Q682" s="353"/>
      <c r="R682" s="353"/>
      <c r="S682" s="353"/>
      <c r="T682" s="353"/>
      <c r="U682" s="353"/>
      <c r="V682" s="4005"/>
      <c r="W682" s="716"/>
      <c r="X682" s="716"/>
      <c r="Y682" s="716"/>
      <c r="Z682" s="717">
        <v>12</v>
      </c>
      <c r="AA682" s="716">
        <v>12</v>
      </c>
      <c r="AB682" s="716">
        <v>12</v>
      </c>
      <c r="AC682" s="1887">
        <v>12</v>
      </c>
      <c r="AD682" s="716"/>
      <c r="AE682" s="716"/>
      <c r="AF682" s="716"/>
      <c r="AG682" s="716"/>
      <c r="BB682" s="707"/>
      <c r="BC682" s="584"/>
      <c r="BD682" s="678"/>
      <c r="BE682" s="585"/>
    </row>
    <row r="683" spans="1:57" s="446" customFormat="1" ht="14.45" hidden="1" customHeight="1" outlineLevel="1" x14ac:dyDescent="0.25">
      <c r="A683" s="2059"/>
      <c r="B683" s="1279"/>
      <c r="C683" s="328"/>
      <c r="D683" s="4006"/>
      <c r="E683" s="4010"/>
      <c r="F683" s="3385" t="str">
        <f t="shared" si="71"/>
        <v>CAC-SEER19_ROF_SF</v>
      </c>
      <c r="G683" s="3386"/>
      <c r="H683" s="3387"/>
      <c r="I683" s="2964" t="str">
        <f t="shared" si="70"/>
        <v>351171_2021_12_</v>
      </c>
      <c r="J683" s="1887">
        <v>18</v>
      </c>
      <c r="K683" s="1882"/>
      <c r="L683" s="1883"/>
      <c r="M683" s="328"/>
      <c r="N683" s="1544"/>
      <c r="O683" s="328"/>
      <c r="P683" s="353"/>
      <c r="Q683" s="353"/>
      <c r="R683" s="353"/>
      <c r="S683" s="353"/>
      <c r="T683" s="353"/>
      <c r="U683" s="353"/>
      <c r="V683" s="4005"/>
      <c r="W683" s="716"/>
      <c r="X683" s="716"/>
      <c r="Y683" s="716"/>
      <c r="Z683" s="717">
        <v>18</v>
      </c>
      <c r="AA683" s="716">
        <v>18</v>
      </c>
      <c r="AB683" s="716">
        <v>18</v>
      </c>
      <c r="AC683" s="1887">
        <v>18</v>
      </c>
      <c r="AD683" s="716"/>
      <c r="AE683" s="716"/>
      <c r="AF683" s="716"/>
      <c r="AG683" s="716"/>
      <c r="BB683" s="707"/>
      <c r="BC683" s="584"/>
      <c r="BD683" s="678"/>
      <c r="BE683" s="585"/>
    </row>
    <row r="684" spans="1:57" s="446" customFormat="1" ht="14.45" hidden="1" customHeight="1" outlineLevel="1" x14ac:dyDescent="0.25">
      <c r="A684" s="2059"/>
      <c r="B684" s="1279"/>
      <c r="C684" s="328"/>
      <c r="D684" s="4006"/>
      <c r="E684" s="4010"/>
      <c r="F684" s="3385" t="str">
        <f t="shared" si="71"/>
        <v>CAC-SEER19_ER1_MF</v>
      </c>
      <c r="G684" s="3386"/>
      <c r="H684" s="3387"/>
      <c r="I684" s="2964" t="str">
        <f t="shared" si="70"/>
        <v>351172_2021_12_</v>
      </c>
      <c r="J684" s="1887">
        <v>6</v>
      </c>
      <c r="K684" s="1882"/>
      <c r="L684" s="1883"/>
      <c r="M684" s="328"/>
      <c r="N684" s="1544"/>
      <c r="O684" s="328"/>
      <c r="P684" s="353"/>
      <c r="Q684" s="353"/>
      <c r="R684" s="353"/>
      <c r="S684" s="353"/>
      <c r="T684" s="353"/>
      <c r="U684" s="353"/>
      <c r="V684" s="4005"/>
      <c r="W684" s="716"/>
      <c r="X684" s="716"/>
      <c r="Y684" s="716"/>
      <c r="Z684" s="717">
        <v>6</v>
      </c>
      <c r="AA684" s="716">
        <v>6</v>
      </c>
      <c r="AB684" s="716">
        <v>6</v>
      </c>
      <c r="AC684" s="1887">
        <v>6</v>
      </c>
      <c r="AD684" s="716"/>
      <c r="AE684" s="716"/>
      <c r="AF684" s="716"/>
      <c r="AG684" s="716"/>
      <c r="BB684" s="707"/>
      <c r="BC684" s="584"/>
      <c r="BD684" s="678"/>
      <c r="BE684" s="585"/>
    </row>
    <row r="685" spans="1:57" s="446" customFormat="1" ht="14.45" hidden="1" customHeight="1" outlineLevel="1" x14ac:dyDescent="0.25">
      <c r="A685" s="2059"/>
      <c r="B685" s="1279"/>
      <c r="C685" s="328"/>
      <c r="D685" s="4006"/>
      <c r="E685" s="4010"/>
      <c r="F685" s="3385" t="str">
        <f t="shared" si="71"/>
        <v>CAC-SEER19_ER2_MF</v>
      </c>
      <c r="G685" s="3386"/>
      <c r="H685" s="3387"/>
      <c r="I685" s="2964" t="str">
        <f t="shared" si="70"/>
        <v>351172_2021_12_</v>
      </c>
      <c r="J685" s="1887">
        <v>12</v>
      </c>
      <c r="K685" s="1882"/>
      <c r="L685" s="1883"/>
      <c r="M685" s="328"/>
      <c r="N685" s="1544"/>
      <c r="O685" s="328"/>
      <c r="P685" s="353"/>
      <c r="Q685" s="353"/>
      <c r="R685" s="353"/>
      <c r="S685" s="353"/>
      <c r="T685" s="353"/>
      <c r="U685" s="353"/>
      <c r="V685" s="4005"/>
      <c r="W685" s="716"/>
      <c r="X685" s="716"/>
      <c r="Y685" s="716"/>
      <c r="Z685" s="717">
        <v>12</v>
      </c>
      <c r="AA685" s="716">
        <v>12</v>
      </c>
      <c r="AB685" s="716">
        <v>12</v>
      </c>
      <c r="AC685" s="1887">
        <v>12</v>
      </c>
      <c r="AD685" s="716"/>
      <c r="AE685" s="716"/>
      <c r="AF685" s="716"/>
      <c r="AG685" s="716"/>
      <c r="BB685" s="707"/>
      <c r="BC685" s="584"/>
      <c r="BD685" s="678"/>
      <c r="BE685" s="585"/>
    </row>
    <row r="686" spans="1:57" s="446" customFormat="1" ht="14.45" hidden="1" customHeight="1" outlineLevel="1" x14ac:dyDescent="0.25">
      <c r="A686" s="2059"/>
      <c r="B686" s="1279"/>
      <c r="C686" s="328"/>
      <c r="D686" s="4006"/>
      <c r="E686" s="4010"/>
      <c r="F686" s="3385" t="str">
        <f t="shared" si="71"/>
        <v>CAC-SEER19_ER1_MF_CompE</v>
      </c>
      <c r="G686" s="3386"/>
      <c r="H686" s="3387"/>
      <c r="I686" s="2964" t="str">
        <f t="shared" si="70"/>
        <v>351173_2021_12_</v>
      </c>
      <c r="J686" s="1887">
        <v>6</v>
      </c>
      <c r="K686" s="1882"/>
      <c r="L686" s="1883"/>
      <c r="M686" s="328"/>
      <c r="N686" s="1544"/>
      <c r="O686" s="328"/>
      <c r="P686" s="353"/>
      <c r="Q686" s="353"/>
      <c r="R686" s="353"/>
      <c r="S686" s="353"/>
      <c r="T686" s="353"/>
      <c r="U686" s="353"/>
      <c r="V686" s="4005"/>
      <c r="W686" s="716"/>
      <c r="X686" s="716"/>
      <c r="Y686" s="716"/>
      <c r="Z686" s="717">
        <v>6</v>
      </c>
      <c r="AA686" s="716">
        <v>6</v>
      </c>
      <c r="AB686" s="716">
        <v>6</v>
      </c>
      <c r="AC686" s="1887">
        <v>6</v>
      </c>
      <c r="AD686" s="716"/>
      <c r="AE686" s="716"/>
      <c r="AF686" s="716"/>
      <c r="AG686" s="716"/>
      <c r="BB686" s="707"/>
      <c r="BC686" s="584"/>
      <c r="BD686" s="678"/>
      <c r="BE686" s="585"/>
    </row>
    <row r="687" spans="1:57" s="446" customFormat="1" ht="14.45" hidden="1" customHeight="1" outlineLevel="1" x14ac:dyDescent="0.25">
      <c r="A687" s="2059"/>
      <c r="B687" s="1279"/>
      <c r="C687" s="328"/>
      <c r="D687" s="4006"/>
      <c r="E687" s="4010"/>
      <c r="F687" s="3385" t="str">
        <f t="shared" si="71"/>
        <v>CAC-SEER19_ER2_MF_CompE</v>
      </c>
      <c r="G687" s="3386"/>
      <c r="H687" s="3387"/>
      <c r="I687" s="2964" t="str">
        <f t="shared" si="70"/>
        <v>351173_2021_12_</v>
      </c>
      <c r="J687" s="1887">
        <v>12</v>
      </c>
      <c r="K687" s="1882"/>
      <c r="L687" s="1883"/>
      <c r="M687" s="328"/>
      <c r="N687" s="1544"/>
      <c r="O687" s="328"/>
      <c r="P687" s="353"/>
      <c r="Q687" s="353"/>
      <c r="R687" s="353"/>
      <c r="S687" s="353"/>
      <c r="T687" s="353"/>
      <c r="U687" s="353"/>
      <c r="V687" s="4005"/>
      <c r="W687" s="716"/>
      <c r="X687" s="716"/>
      <c r="Y687" s="716"/>
      <c r="Z687" s="717">
        <v>12</v>
      </c>
      <c r="AA687" s="716">
        <v>12</v>
      </c>
      <c r="AB687" s="716">
        <v>12</v>
      </c>
      <c r="AC687" s="1887">
        <v>12</v>
      </c>
      <c r="AD687" s="716"/>
      <c r="AE687" s="716"/>
      <c r="AF687" s="716"/>
      <c r="AG687" s="716"/>
      <c r="BB687" s="707"/>
      <c r="BC687" s="584"/>
      <c r="BD687" s="678"/>
      <c r="BE687" s="585"/>
    </row>
    <row r="688" spans="1:57" s="446" customFormat="1" ht="14.45" hidden="1" customHeight="1" outlineLevel="1" x14ac:dyDescent="0.25">
      <c r="A688" s="2059"/>
      <c r="B688" s="1279"/>
      <c r="C688" s="328"/>
      <c r="D688" s="4006"/>
      <c r="E688" s="4010"/>
      <c r="F688" s="3385" t="str">
        <f t="shared" si="71"/>
        <v>CAC-SEER19_ROF_MF</v>
      </c>
      <c r="G688" s="3386"/>
      <c r="H688" s="3387"/>
      <c r="I688" s="2964" t="str">
        <f t="shared" si="70"/>
        <v>351174_2021_12_</v>
      </c>
      <c r="J688" s="1887">
        <v>18</v>
      </c>
      <c r="K688" s="1882"/>
      <c r="L688" s="1883"/>
      <c r="M688" s="328"/>
      <c r="N688" s="1544"/>
      <c r="O688" s="328"/>
      <c r="P688" s="353"/>
      <c r="Q688" s="353"/>
      <c r="R688" s="353"/>
      <c r="S688" s="353"/>
      <c r="T688" s="353"/>
      <c r="U688" s="353"/>
      <c r="V688" s="4005"/>
      <c r="W688" s="716"/>
      <c r="X688" s="716"/>
      <c r="Y688" s="716"/>
      <c r="Z688" s="717">
        <v>18</v>
      </c>
      <c r="AA688" s="716">
        <v>18</v>
      </c>
      <c r="AB688" s="716">
        <v>18</v>
      </c>
      <c r="AC688" s="1887">
        <v>18</v>
      </c>
      <c r="AD688" s="716"/>
      <c r="AE688" s="716"/>
      <c r="AF688" s="716"/>
      <c r="AG688" s="716"/>
      <c r="BB688" s="707"/>
      <c r="BC688" s="584"/>
      <c r="BD688" s="678"/>
      <c r="BE688" s="585"/>
    </row>
    <row r="689" spans="1:57" s="446" customFormat="1" ht="14.45" hidden="1" customHeight="1" outlineLevel="1" x14ac:dyDescent="0.25">
      <c r="A689" s="2059"/>
      <c r="B689" s="1279"/>
      <c r="C689" s="328"/>
      <c r="D689" s="4006"/>
      <c r="E689" s="4010"/>
      <c r="F689" s="3385" t="str">
        <f t="shared" si="71"/>
        <v>CAC-SEER19_ROF_MF_CompE</v>
      </c>
      <c r="G689" s="3386"/>
      <c r="H689" s="3387"/>
      <c r="I689" s="2964" t="str">
        <f t="shared" si="70"/>
        <v>351175_2021_12_</v>
      </c>
      <c r="J689" s="1887">
        <v>18</v>
      </c>
      <c r="K689" s="1882"/>
      <c r="L689" s="1883"/>
      <c r="M689" s="328"/>
      <c r="N689" s="1544"/>
      <c r="O689" s="328"/>
      <c r="P689" s="353"/>
      <c r="Q689" s="353"/>
      <c r="R689" s="353"/>
      <c r="S689" s="353"/>
      <c r="T689" s="353"/>
      <c r="U689" s="353"/>
      <c r="V689" s="4005"/>
      <c r="W689" s="716"/>
      <c r="X689" s="716"/>
      <c r="Y689" s="716"/>
      <c r="Z689" s="717">
        <v>18</v>
      </c>
      <c r="AA689" s="716">
        <v>18</v>
      </c>
      <c r="AB689" s="716">
        <v>18</v>
      </c>
      <c r="AC689" s="1887">
        <v>18</v>
      </c>
      <c r="AD689" s="716"/>
      <c r="AE689" s="716"/>
      <c r="AF689" s="716"/>
      <c r="AG689" s="716"/>
      <c r="BB689" s="707"/>
      <c r="BC689" s="584"/>
      <c r="BD689" s="678"/>
      <c r="BE689" s="585"/>
    </row>
    <row r="690" spans="1:57" s="446" customFormat="1" ht="14.45" hidden="1" customHeight="1" outlineLevel="1" x14ac:dyDescent="0.25">
      <c r="A690" s="2059"/>
      <c r="B690" s="1279"/>
      <c r="C690" s="328"/>
      <c r="D690" s="4006"/>
      <c r="E690" s="4010"/>
      <c r="F690" s="3385" t="str">
        <f t="shared" si="71"/>
        <v>CAC-SEER20_ER1_SF</v>
      </c>
      <c r="G690" s="3386"/>
      <c r="H690" s="3387"/>
      <c r="I690" s="2964" t="str">
        <f t="shared" si="70"/>
        <v>351180_2021_12_</v>
      </c>
      <c r="J690" s="1887">
        <v>6</v>
      </c>
      <c r="K690" s="1882"/>
      <c r="L690" s="1883"/>
      <c r="M690" s="328"/>
      <c r="N690" s="1544"/>
      <c r="O690" s="328"/>
      <c r="P690" s="353"/>
      <c r="Q690" s="353"/>
      <c r="R690" s="353"/>
      <c r="S690" s="353"/>
      <c r="T690" s="353"/>
      <c r="U690" s="353"/>
      <c r="V690" s="4005"/>
      <c r="W690" s="716"/>
      <c r="X690" s="716"/>
      <c r="Y690" s="716"/>
      <c r="Z690" s="717">
        <v>6</v>
      </c>
      <c r="AA690" s="716">
        <v>6</v>
      </c>
      <c r="AB690" s="716">
        <v>6</v>
      </c>
      <c r="AC690" s="1887">
        <v>6</v>
      </c>
      <c r="AD690" s="716"/>
      <c r="AE690" s="716"/>
      <c r="AF690" s="716"/>
      <c r="AG690" s="716"/>
      <c r="BB690" s="707"/>
      <c r="BC690" s="584"/>
      <c r="BD690" s="678"/>
      <c r="BE690" s="585"/>
    </row>
    <row r="691" spans="1:57" s="446" customFormat="1" ht="14.45" hidden="1" customHeight="1" outlineLevel="1" x14ac:dyDescent="0.25">
      <c r="A691" s="2059"/>
      <c r="B691" s="1279"/>
      <c r="C691" s="328"/>
      <c r="D691" s="4006"/>
      <c r="E691" s="4010"/>
      <c r="F691" s="3385" t="str">
        <f t="shared" si="71"/>
        <v>CAC-SEER20_ER2_SF</v>
      </c>
      <c r="G691" s="3386"/>
      <c r="H691" s="3387"/>
      <c r="I691" s="2964" t="str">
        <f t="shared" si="70"/>
        <v>351180_2021_12_</v>
      </c>
      <c r="J691" s="1887">
        <v>12</v>
      </c>
      <c r="K691" s="1882"/>
      <c r="L691" s="1883"/>
      <c r="M691" s="328"/>
      <c r="N691" s="1544"/>
      <c r="O691" s="328"/>
      <c r="P691" s="353"/>
      <c r="Q691" s="353"/>
      <c r="R691" s="353"/>
      <c r="S691" s="353"/>
      <c r="T691" s="353"/>
      <c r="U691" s="353"/>
      <c r="V691" s="4005"/>
      <c r="W691" s="716"/>
      <c r="X691" s="716"/>
      <c r="Y691" s="716"/>
      <c r="Z691" s="717">
        <v>12</v>
      </c>
      <c r="AA691" s="716">
        <v>12</v>
      </c>
      <c r="AB691" s="716">
        <v>12</v>
      </c>
      <c r="AC691" s="1887">
        <v>12</v>
      </c>
      <c r="AD691" s="716"/>
      <c r="AE691" s="716"/>
      <c r="AF691" s="716"/>
      <c r="AG691" s="716"/>
      <c r="BB691" s="707"/>
      <c r="BC691" s="584"/>
      <c r="BD691" s="678"/>
      <c r="BE691" s="585"/>
    </row>
    <row r="692" spans="1:57" s="446" customFormat="1" ht="14.45" hidden="1" customHeight="1" outlineLevel="1" x14ac:dyDescent="0.25">
      <c r="A692" s="2059"/>
      <c r="B692" s="1279"/>
      <c r="C692" s="328"/>
      <c r="D692" s="4006"/>
      <c r="E692" s="4010"/>
      <c r="F692" s="3385" t="str">
        <f t="shared" si="71"/>
        <v>CAC-SEER20_ROF_SF</v>
      </c>
      <c r="G692" s="3386"/>
      <c r="H692" s="3387"/>
      <c r="I692" s="2964" t="str">
        <f t="shared" si="70"/>
        <v>351181_2021_12_</v>
      </c>
      <c r="J692" s="1887">
        <v>18</v>
      </c>
      <c r="K692" s="1882"/>
      <c r="L692" s="1883"/>
      <c r="M692" s="328"/>
      <c r="N692" s="1544"/>
      <c r="O692" s="328"/>
      <c r="P692" s="353"/>
      <c r="Q692" s="353"/>
      <c r="R692" s="353"/>
      <c r="S692" s="353"/>
      <c r="T692" s="353"/>
      <c r="U692" s="353"/>
      <c r="V692" s="4005"/>
      <c r="W692" s="716"/>
      <c r="X692" s="716"/>
      <c r="Y692" s="716"/>
      <c r="Z692" s="717">
        <v>18</v>
      </c>
      <c r="AA692" s="716">
        <v>18</v>
      </c>
      <c r="AB692" s="716">
        <v>18</v>
      </c>
      <c r="AC692" s="1887">
        <v>18</v>
      </c>
      <c r="AD692" s="716"/>
      <c r="AE692" s="716"/>
      <c r="AF692" s="716"/>
      <c r="AG692" s="716"/>
      <c r="BB692" s="707"/>
      <c r="BC692" s="584"/>
      <c r="BD692" s="678"/>
      <c r="BE692" s="585"/>
    </row>
    <row r="693" spans="1:57" s="446" customFormat="1" ht="14.45" hidden="1" customHeight="1" outlineLevel="1" x14ac:dyDescent="0.25">
      <c r="A693" s="2059"/>
      <c r="B693" s="1279"/>
      <c r="C693" s="328"/>
      <c r="D693" s="4006"/>
      <c r="E693" s="4010"/>
      <c r="F693" s="3385" t="str">
        <f t="shared" si="71"/>
        <v>CAC-SEER20_ER1_MF</v>
      </c>
      <c r="G693" s="3386"/>
      <c r="H693" s="3387"/>
      <c r="I693" s="2964" t="str">
        <f t="shared" si="70"/>
        <v>351182_2021_12_</v>
      </c>
      <c r="J693" s="1887">
        <v>6</v>
      </c>
      <c r="K693" s="1882"/>
      <c r="L693" s="1883"/>
      <c r="M693" s="328"/>
      <c r="N693" s="1544"/>
      <c r="O693" s="328"/>
      <c r="P693" s="353"/>
      <c r="Q693" s="353"/>
      <c r="R693" s="353"/>
      <c r="S693" s="353"/>
      <c r="T693" s="353"/>
      <c r="U693" s="353"/>
      <c r="V693" s="4005"/>
      <c r="W693" s="716"/>
      <c r="X693" s="716"/>
      <c r="Y693" s="716"/>
      <c r="Z693" s="717">
        <v>6</v>
      </c>
      <c r="AA693" s="716">
        <v>6</v>
      </c>
      <c r="AB693" s="716">
        <v>6</v>
      </c>
      <c r="AC693" s="1887">
        <v>6</v>
      </c>
      <c r="AD693" s="716"/>
      <c r="AE693" s="716"/>
      <c r="AF693" s="716"/>
      <c r="AG693" s="716"/>
      <c r="BB693" s="707"/>
      <c r="BC693" s="584"/>
      <c r="BD693" s="678"/>
      <c r="BE693" s="585"/>
    </row>
    <row r="694" spans="1:57" s="446" customFormat="1" ht="14.45" hidden="1" customHeight="1" outlineLevel="1" x14ac:dyDescent="0.25">
      <c r="A694" s="2059"/>
      <c r="B694" s="1279"/>
      <c r="C694" s="328"/>
      <c r="D694" s="4006"/>
      <c r="E694" s="4010"/>
      <c r="F694" s="3385" t="str">
        <f t="shared" si="71"/>
        <v>CAC-SEER20_ER2_MF</v>
      </c>
      <c r="G694" s="3386"/>
      <c r="H694" s="3387"/>
      <c r="I694" s="2964" t="str">
        <f t="shared" si="70"/>
        <v>351182_2021_12_</v>
      </c>
      <c r="J694" s="1887">
        <v>12</v>
      </c>
      <c r="K694" s="1882"/>
      <c r="L694" s="1883"/>
      <c r="M694" s="328"/>
      <c r="N694" s="1544"/>
      <c r="O694" s="328"/>
      <c r="P694" s="353"/>
      <c r="Q694" s="353"/>
      <c r="R694" s="353"/>
      <c r="S694" s="353"/>
      <c r="T694" s="353"/>
      <c r="U694" s="353"/>
      <c r="V694" s="4005"/>
      <c r="W694" s="716"/>
      <c r="X694" s="716"/>
      <c r="Y694" s="716"/>
      <c r="Z694" s="717">
        <v>12</v>
      </c>
      <c r="AA694" s="716">
        <v>12</v>
      </c>
      <c r="AB694" s="716">
        <v>12</v>
      </c>
      <c r="AC694" s="1887">
        <v>12</v>
      </c>
      <c r="AD694" s="716"/>
      <c r="AE694" s="716"/>
      <c r="AF694" s="716"/>
      <c r="AG694" s="716"/>
      <c r="BB694" s="707"/>
      <c r="BC694" s="584"/>
      <c r="BD694" s="678"/>
      <c r="BE694" s="585"/>
    </row>
    <row r="695" spans="1:57" s="446" customFormat="1" ht="14.45" hidden="1" customHeight="1" outlineLevel="1" x14ac:dyDescent="0.25">
      <c r="A695" s="2059"/>
      <c r="B695" s="1279"/>
      <c r="C695" s="328"/>
      <c r="D695" s="4006"/>
      <c r="E695" s="4010"/>
      <c r="F695" s="3385" t="str">
        <f t="shared" si="71"/>
        <v>CAC-SEER20_ER1_MF_CompE</v>
      </c>
      <c r="G695" s="3386"/>
      <c r="H695" s="3387"/>
      <c r="I695" s="2964" t="str">
        <f t="shared" si="70"/>
        <v>351183_2021_12_</v>
      </c>
      <c r="J695" s="1887">
        <v>6</v>
      </c>
      <c r="K695" s="1882"/>
      <c r="L695" s="1883"/>
      <c r="M695" s="328"/>
      <c r="N695" s="1544"/>
      <c r="O695" s="328"/>
      <c r="P695" s="353"/>
      <c r="Q695" s="353"/>
      <c r="R695" s="353"/>
      <c r="S695" s="353"/>
      <c r="T695" s="353"/>
      <c r="U695" s="353"/>
      <c r="V695" s="4005"/>
      <c r="W695" s="716"/>
      <c r="X695" s="716"/>
      <c r="Y695" s="716"/>
      <c r="Z695" s="717">
        <v>6</v>
      </c>
      <c r="AA695" s="716">
        <v>6</v>
      </c>
      <c r="AB695" s="716">
        <v>6</v>
      </c>
      <c r="AC695" s="1887">
        <v>6</v>
      </c>
      <c r="AD695" s="716"/>
      <c r="AE695" s="716"/>
      <c r="AF695" s="716"/>
      <c r="AG695" s="716"/>
      <c r="BB695" s="707"/>
      <c r="BC695" s="584"/>
      <c r="BD695" s="678"/>
      <c r="BE695" s="585"/>
    </row>
    <row r="696" spans="1:57" s="446" customFormat="1" ht="14.45" hidden="1" customHeight="1" outlineLevel="1" x14ac:dyDescent="0.25">
      <c r="A696" s="2059"/>
      <c r="B696" s="1279"/>
      <c r="C696" s="328"/>
      <c r="D696" s="4006"/>
      <c r="E696" s="4010"/>
      <c r="F696" s="3385" t="str">
        <f t="shared" si="71"/>
        <v>CAC-SEER20_ER2_MF_CompE</v>
      </c>
      <c r="G696" s="3386"/>
      <c r="H696" s="3387"/>
      <c r="I696" s="2964" t="str">
        <f t="shared" si="70"/>
        <v>351183_2021_12_</v>
      </c>
      <c r="J696" s="1887">
        <v>12</v>
      </c>
      <c r="K696" s="1882"/>
      <c r="L696" s="1883"/>
      <c r="M696" s="328"/>
      <c r="N696" s="1544"/>
      <c r="O696" s="328"/>
      <c r="P696" s="353"/>
      <c r="Q696" s="353"/>
      <c r="R696" s="353"/>
      <c r="S696" s="353"/>
      <c r="T696" s="353"/>
      <c r="U696" s="353"/>
      <c r="V696" s="4005"/>
      <c r="W696" s="716"/>
      <c r="X696" s="716"/>
      <c r="Y696" s="716"/>
      <c r="Z696" s="717">
        <v>12</v>
      </c>
      <c r="AA696" s="716">
        <v>12</v>
      </c>
      <c r="AB696" s="716">
        <v>12</v>
      </c>
      <c r="AC696" s="1887">
        <v>12</v>
      </c>
      <c r="AD696" s="716"/>
      <c r="AE696" s="716"/>
      <c r="AF696" s="716"/>
      <c r="AG696" s="716"/>
      <c r="BB696" s="707"/>
      <c r="BC696" s="584"/>
      <c r="BD696" s="678"/>
      <c r="BE696" s="585"/>
    </row>
    <row r="697" spans="1:57" s="446" customFormat="1" ht="14.45" hidden="1" customHeight="1" outlineLevel="1" x14ac:dyDescent="0.25">
      <c r="A697" s="2059"/>
      <c r="B697" s="1279"/>
      <c r="C697" s="328"/>
      <c r="D697" s="4006"/>
      <c r="E697" s="4010"/>
      <c r="F697" s="3385" t="str">
        <f t="shared" si="71"/>
        <v>CAC-SEER20_ROF_MF</v>
      </c>
      <c r="G697" s="3386"/>
      <c r="H697" s="3387"/>
      <c r="I697" s="2964" t="str">
        <f t="shared" si="70"/>
        <v>351184_2021_12_</v>
      </c>
      <c r="J697" s="1887">
        <v>18</v>
      </c>
      <c r="K697" s="1882"/>
      <c r="L697" s="1883"/>
      <c r="M697" s="328"/>
      <c r="N697" s="1544"/>
      <c r="O697" s="328"/>
      <c r="P697" s="353"/>
      <c r="Q697" s="353"/>
      <c r="R697" s="353"/>
      <c r="S697" s="353"/>
      <c r="T697" s="353"/>
      <c r="U697" s="353"/>
      <c r="V697" s="4005"/>
      <c r="W697" s="716"/>
      <c r="X697" s="716"/>
      <c r="Y697" s="716"/>
      <c r="Z697" s="717">
        <v>18</v>
      </c>
      <c r="AA697" s="716">
        <v>18</v>
      </c>
      <c r="AB697" s="716">
        <v>18</v>
      </c>
      <c r="AC697" s="1887">
        <v>18</v>
      </c>
      <c r="AD697" s="716"/>
      <c r="AE697" s="716"/>
      <c r="AF697" s="716"/>
      <c r="AG697" s="716"/>
      <c r="BB697" s="707"/>
      <c r="BC697" s="584"/>
      <c r="BD697" s="678"/>
      <c r="BE697" s="585"/>
    </row>
    <row r="698" spans="1:57" s="446" customFormat="1" ht="14.45" hidden="1" customHeight="1" outlineLevel="1" x14ac:dyDescent="0.25">
      <c r="A698" s="2059"/>
      <c r="B698" s="1279"/>
      <c r="C698" s="328"/>
      <c r="D698" s="4006"/>
      <c r="E698" s="4010"/>
      <c r="F698" s="3385" t="str">
        <f t="shared" si="71"/>
        <v>CAC-SEER20_ROF_MF_CompE</v>
      </c>
      <c r="G698" s="3386"/>
      <c r="H698" s="3387"/>
      <c r="I698" s="2964" t="str">
        <f t="shared" si="70"/>
        <v>351185_2021_12_</v>
      </c>
      <c r="J698" s="1887">
        <v>18</v>
      </c>
      <c r="K698" s="1882"/>
      <c r="L698" s="1883"/>
      <c r="M698" s="328"/>
      <c r="N698" s="1544"/>
      <c r="O698" s="328"/>
      <c r="P698" s="353"/>
      <c r="Q698" s="353"/>
      <c r="R698" s="353"/>
      <c r="S698" s="353"/>
      <c r="T698" s="353"/>
      <c r="U698" s="353"/>
      <c r="V698" s="4005"/>
      <c r="W698" s="716"/>
      <c r="X698" s="716"/>
      <c r="Y698" s="716"/>
      <c r="Z698" s="717">
        <v>18</v>
      </c>
      <c r="AA698" s="716">
        <v>18</v>
      </c>
      <c r="AB698" s="716">
        <v>18</v>
      </c>
      <c r="AC698" s="1887">
        <v>18</v>
      </c>
      <c r="AD698" s="716"/>
      <c r="AE698" s="716"/>
      <c r="AF698" s="716"/>
      <c r="AG698" s="716"/>
      <c r="BB698" s="707"/>
      <c r="BC698" s="584"/>
      <c r="BD698" s="678"/>
      <c r="BE698" s="585"/>
    </row>
    <row r="699" spans="1:57" s="446" customFormat="1" ht="14.45" hidden="1" customHeight="1" outlineLevel="1" x14ac:dyDescent="0.25">
      <c r="A699" s="2059"/>
      <c r="B699" s="1279"/>
      <c r="C699" s="328"/>
      <c r="D699" s="4006"/>
      <c r="E699" s="4010"/>
      <c r="F699" s="3385" t="str">
        <f t="shared" si="71"/>
        <v>CAC-SEER21+_ER1_SF</v>
      </c>
      <c r="G699" s="3386"/>
      <c r="H699" s="3387"/>
      <c r="I699" s="2964" t="str">
        <f t="shared" si="70"/>
        <v>351190_2021_12_</v>
      </c>
      <c r="J699" s="1887">
        <v>6</v>
      </c>
      <c r="K699" s="1882"/>
      <c r="L699" s="1883"/>
      <c r="M699" s="328"/>
      <c r="N699" s="1544"/>
      <c r="O699" s="328"/>
      <c r="P699" s="353"/>
      <c r="Q699" s="353"/>
      <c r="R699" s="353"/>
      <c r="S699" s="353"/>
      <c r="T699" s="353"/>
      <c r="U699" s="353"/>
      <c r="V699" s="4005"/>
      <c r="W699" s="716"/>
      <c r="X699" s="716"/>
      <c r="Y699" s="716"/>
      <c r="Z699" s="717">
        <v>6</v>
      </c>
      <c r="AA699" s="716">
        <v>6</v>
      </c>
      <c r="AB699" s="716">
        <v>6</v>
      </c>
      <c r="AC699" s="1887">
        <v>6</v>
      </c>
      <c r="AD699" s="716"/>
      <c r="AE699" s="716"/>
      <c r="AF699" s="716"/>
      <c r="AG699" s="716"/>
      <c r="BB699" s="707"/>
      <c r="BC699" s="584"/>
      <c r="BD699" s="678"/>
      <c r="BE699" s="585"/>
    </row>
    <row r="700" spans="1:57" s="446" customFormat="1" ht="14.45" hidden="1" customHeight="1" outlineLevel="1" x14ac:dyDescent="0.25">
      <c r="A700" s="2059"/>
      <c r="B700" s="1279"/>
      <c r="C700" s="328"/>
      <c r="D700" s="4006"/>
      <c r="E700" s="4010"/>
      <c r="F700" s="3385" t="str">
        <f t="shared" ref="F700:F707" si="72">F627</f>
        <v>CAC-SEER21+_ER2_SF</v>
      </c>
      <c r="G700" s="3386"/>
      <c r="H700" s="3387"/>
      <c r="I700" s="2964" t="str">
        <f t="shared" ref="I700:I707" si="73">I627</f>
        <v>351190_2021_12_</v>
      </c>
      <c r="J700" s="1887">
        <v>12</v>
      </c>
      <c r="K700" s="1882"/>
      <c r="L700" s="1883"/>
      <c r="M700" s="328"/>
      <c r="N700" s="1544"/>
      <c r="O700" s="328"/>
      <c r="P700" s="353"/>
      <c r="Q700" s="353"/>
      <c r="R700" s="353"/>
      <c r="S700" s="353"/>
      <c r="T700" s="353"/>
      <c r="U700" s="353"/>
      <c r="V700" s="4005"/>
      <c r="W700" s="716"/>
      <c r="X700" s="716"/>
      <c r="Y700" s="716"/>
      <c r="Z700" s="717">
        <v>12</v>
      </c>
      <c r="AA700" s="716">
        <v>12</v>
      </c>
      <c r="AB700" s="716">
        <v>12</v>
      </c>
      <c r="AC700" s="1887">
        <v>12</v>
      </c>
      <c r="AD700" s="716"/>
      <c r="AE700" s="716"/>
      <c r="AF700" s="716"/>
      <c r="AG700" s="716"/>
      <c r="BB700" s="707"/>
      <c r="BC700" s="584"/>
      <c r="BD700" s="678"/>
      <c r="BE700" s="585"/>
    </row>
    <row r="701" spans="1:57" s="446" customFormat="1" ht="14.45" hidden="1" customHeight="1" outlineLevel="1" x14ac:dyDescent="0.25">
      <c r="A701" s="2059"/>
      <c r="B701" s="1279"/>
      <c r="C701" s="328"/>
      <c r="D701" s="4006"/>
      <c r="E701" s="4010"/>
      <c r="F701" s="3385" t="str">
        <f t="shared" si="72"/>
        <v>CAC-SEER21+_ROF_SF</v>
      </c>
      <c r="G701" s="3386"/>
      <c r="H701" s="3387"/>
      <c r="I701" s="2964" t="str">
        <f t="shared" si="73"/>
        <v>351191_2021_12_</v>
      </c>
      <c r="J701" s="1887">
        <v>18</v>
      </c>
      <c r="K701" s="1882"/>
      <c r="L701" s="1883"/>
      <c r="M701" s="328"/>
      <c r="N701" s="1544"/>
      <c r="O701" s="328"/>
      <c r="P701" s="353"/>
      <c r="Q701" s="353"/>
      <c r="R701" s="353"/>
      <c r="S701" s="353"/>
      <c r="T701" s="353"/>
      <c r="U701" s="353"/>
      <c r="V701" s="4005"/>
      <c r="W701" s="716"/>
      <c r="X701" s="716"/>
      <c r="Y701" s="716"/>
      <c r="Z701" s="717">
        <v>18</v>
      </c>
      <c r="AA701" s="716">
        <v>18</v>
      </c>
      <c r="AB701" s="716">
        <v>18</v>
      </c>
      <c r="AC701" s="1887">
        <v>18</v>
      </c>
      <c r="AD701" s="716"/>
      <c r="AE701" s="716"/>
      <c r="AF701" s="716"/>
      <c r="AG701" s="716"/>
      <c r="BB701" s="707"/>
      <c r="BC701" s="584"/>
      <c r="BD701" s="678"/>
      <c r="BE701" s="585"/>
    </row>
    <row r="702" spans="1:57" s="446" customFormat="1" ht="14.45" hidden="1" customHeight="1" outlineLevel="1" x14ac:dyDescent="0.25">
      <c r="A702" s="2059"/>
      <c r="B702" s="1279"/>
      <c r="C702" s="328"/>
      <c r="D702" s="4006"/>
      <c r="E702" s="4010"/>
      <c r="F702" s="3385" t="str">
        <f t="shared" si="72"/>
        <v>CAC-SEER21+_ER1_MF</v>
      </c>
      <c r="G702" s="3386"/>
      <c r="H702" s="3387"/>
      <c r="I702" s="2964" t="str">
        <f t="shared" si="73"/>
        <v>351192_2021_12_</v>
      </c>
      <c r="J702" s="1887">
        <v>6</v>
      </c>
      <c r="K702" s="1882"/>
      <c r="L702" s="1883"/>
      <c r="M702" s="328"/>
      <c r="N702" s="1544"/>
      <c r="O702" s="328"/>
      <c r="P702" s="353"/>
      <c r="Q702" s="353"/>
      <c r="R702" s="353"/>
      <c r="S702" s="353"/>
      <c r="T702" s="353"/>
      <c r="U702" s="353"/>
      <c r="V702" s="4005"/>
      <c r="W702" s="716"/>
      <c r="X702" s="716"/>
      <c r="Y702" s="716"/>
      <c r="Z702" s="717">
        <v>6</v>
      </c>
      <c r="AA702" s="716">
        <v>6</v>
      </c>
      <c r="AB702" s="716">
        <v>6</v>
      </c>
      <c r="AC702" s="1887">
        <v>6</v>
      </c>
      <c r="AD702" s="716"/>
      <c r="AE702" s="716"/>
      <c r="AF702" s="716"/>
      <c r="AG702" s="716"/>
      <c r="BB702" s="707"/>
      <c r="BC702" s="584"/>
      <c r="BD702" s="678"/>
      <c r="BE702" s="585"/>
    </row>
    <row r="703" spans="1:57" s="446" customFormat="1" ht="14.45" hidden="1" customHeight="1" outlineLevel="1" x14ac:dyDescent="0.25">
      <c r="A703" s="2059"/>
      <c r="B703" s="1279"/>
      <c r="C703" s="328"/>
      <c r="D703" s="4006"/>
      <c r="E703" s="4010"/>
      <c r="F703" s="3385" t="str">
        <f t="shared" si="72"/>
        <v>CAC-SEER21+_ER2_MF</v>
      </c>
      <c r="G703" s="3386"/>
      <c r="H703" s="3387"/>
      <c r="I703" s="2964" t="str">
        <f t="shared" si="73"/>
        <v>351192_2021_12_</v>
      </c>
      <c r="J703" s="1887">
        <v>12</v>
      </c>
      <c r="K703" s="1882"/>
      <c r="L703" s="1883"/>
      <c r="M703" s="328"/>
      <c r="N703" s="1544"/>
      <c r="O703" s="328"/>
      <c r="P703" s="353"/>
      <c r="Q703" s="353"/>
      <c r="R703" s="353"/>
      <c r="S703" s="353"/>
      <c r="T703" s="353"/>
      <c r="U703" s="353"/>
      <c r="V703" s="4005"/>
      <c r="W703" s="716"/>
      <c r="X703" s="716"/>
      <c r="Y703" s="716"/>
      <c r="Z703" s="717">
        <v>12</v>
      </c>
      <c r="AA703" s="716">
        <v>12</v>
      </c>
      <c r="AB703" s="716">
        <v>12</v>
      </c>
      <c r="AC703" s="1887">
        <v>12</v>
      </c>
      <c r="AD703" s="716"/>
      <c r="AE703" s="716"/>
      <c r="AF703" s="716"/>
      <c r="AG703" s="716"/>
      <c r="BB703" s="707"/>
      <c r="BC703" s="584"/>
      <c r="BD703" s="678"/>
      <c r="BE703" s="585"/>
    </row>
    <row r="704" spans="1:57" s="446" customFormat="1" ht="14.45" hidden="1" customHeight="1" outlineLevel="1" x14ac:dyDescent="0.25">
      <c r="A704" s="2059"/>
      <c r="B704" s="1279"/>
      <c r="C704" s="328"/>
      <c r="D704" s="4006"/>
      <c r="E704" s="4010"/>
      <c r="F704" s="3385" t="str">
        <f t="shared" si="72"/>
        <v>CAC-SEER21+_ER1_MF_CompE</v>
      </c>
      <c r="G704" s="3386"/>
      <c r="H704" s="3387"/>
      <c r="I704" s="2965" t="str">
        <f t="shared" si="73"/>
        <v>351193_2021_12_</v>
      </c>
      <c r="J704" s="1887">
        <v>6</v>
      </c>
      <c r="K704" s="1884"/>
      <c r="L704" s="1885"/>
      <c r="M704" s="328"/>
      <c r="N704" s="1544"/>
      <c r="O704" s="328"/>
      <c r="P704" s="353"/>
      <c r="Q704" s="353"/>
      <c r="R704" s="353"/>
      <c r="S704" s="353"/>
      <c r="T704" s="353"/>
      <c r="U704" s="353"/>
      <c r="V704" s="4005"/>
      <c r="W704" s="718"/>
      <c r="X704" s="718"/>
      <c r="Y704" s="718"/>
      <c r="Z704" s="1899">
        <v>6</v>
      </c>
      <c r="AA704" s="718">
        <v>6</v>
      </c>
      <c r="AB704" s="718">
        <v>6</v>
      </c>
      <c r="AC704" s="1887">
        <v>6</v>
      </c>
      <c r="AD704" s="718"/>
      <c r="AE704" s="718"/>
      <c r="AF704" s="718"/>
      <c r="AG704" s="718"/>
      <c r="BB704" s="707"/>
      <c r="BC704" s="584"/>
      <c r="BD704" s="678"/>
      <c r="BE704" s="585"/>
    </row>
    <row r="705" spans="1:57" s="446" customFormat="1" ht="14.45" hidden="1" customHeight="1" outlineLevel="1" x14ac:dyDescent="0.25">
      <c r="A705" s="2059"/>
      <c r="B705" s="1279"/>
      <c r="C705" s="328"/>
      <c r="D705" s="4006"/>
      <c r="E705" s="4010"/>
      <c r="F705" s="3385" t="str">
        <f t="shared" si="72"/>
        <v>CAC-SEER21+_ER2_MF_CompE</v>
      </c>
      <c r="G705" s="3386"/>
      <c r="H705" s="3387"/>
      <c r="I705" s="2965" t="str">
        <f t="shared" si="73"/>
        <v>351193_2021_12_</v>
      </c>
      <c r="J705" s="1887">
        <v>12</v>
      </c>
      <c r="K705" s="1884"/>
      <c r="L705" s="1885"/>
      <c r="M705" s="328"/>
      <c r="N705" s="1544"/>
      <c r="O705" s="328"/>
      <c r="P705" s="353"/>
      <c r="Q705" s="353"/>
      <c r="R705" s="353"/>
      <c r="S705" s="353"/>
      <c r="T705" s="353"/>
      <c r="U705" s="353"/>
      <c r="V705" s="4005"/>
      <c r="W705" s="718"/>
      <c r="X705" s="718"/>
      <c r="Y705" s="718"/>
      <c r="Z705" s="1899">
        <v>12</v>
      </c>
      <c r="AA705" s="718">
        <v>12</v>
      </c>
      <c r="AB705" s="718">
        <v>12</v>
      </c>
      <c r="AC705" s="1887">
        <v>12</v>
      </c>
      <c r="AD705" s="718"/>
      <c r="AE705" s="718"/>
      <c r="AF705" s="718"/>
      <c r="AG705" s="718"/>
      <c r="BB705" s="707"/>
      <c r="BC705" s="584"/>
      <c r="BD705" s="678"/>
      <c r="BE705" s="585"/>
    </row>
    <row r="706" spans="1:57" s="446" customFormat="1" ht="14.45" hidden="1" customHeight="1" outlineLevel="1" x14ac:dyDescent="0.25">
      <c r="A706" s="2059"/>
      <c r="B706" s="1279"/>
      <c r="C706" s="328"/>
      <c r="D706" s="4006"/>
      <c r="E706" s="4010"/>
      <c r="F706" s="3385" t="str">
        <f t="shared" si="72"/>
        <v>CAC-SEER21+_ROF_MF</v>
      </c>
      <c r="G706" s="3386"/>
      <c r="H706" s="3387"/>
      <c r="I706" s="2964" t="str">
        <f t="shared" si="73"/>
        <v>351194_2021_12_</v>
      </c>
      <c r="J706" s="1887">
        <v>18</v>
      </c>
      <c r="K706" s="1882"/>
      <c r="L706" s="1883"/>
      <c r="M706" s="328"/>
      <c r="N706" s="1544"/>
      <c r="O706" s="328"/>
      <c r="P706" s="353"/>
      <c r="Q706" s="353"/>
      <c r="R706" s="353"/>
      <c r="S706" s="353"/>
      <c r="T706" s="353"/>
      <c r="U706" s="353"/>
      <c r="V706" s="4005"/>
      <c r="W706" s="718"/>
      <c r="X706" s="718"/>
      <c r="Y706" s="718"/>
      <c r="Z706" s="1899">
        <v>18</v>
      </c>
      <c r="AA706" s="718">
        <v>18</v>
      </c>
      <c r="AB706" s="718">
        <v>18</v>
      </c>
      <c r="AC706" s="1887">
        <v>18</v>
      </c>
      <c r="AD706" s="718"/>
      <c r="AE706" s="718"/>
      <c r="AF706" s="718"/>
      <c r="AG706" s="718"/>
      <c r="BB706" s="707"/>
      <c r="BC706" s="584"/>
      <c r="BD706" s="678"/>
      <c r="BE706" s="585"/>
    </row>
    <row r="707" spans="1:57" s="446" customFormat="1" ht="14.45" hidden="1" customHeight="1" outlineLevel="1" thickBot="1" x14ac:dyDescent="0.3">
      <c r="A707" s="2059"/>
      <c r="B707" s="1279"/>
      <c r="C707" s="328"/>
      <c r="D707" s="4007"/>
      <c r="E707" s="4011"/>
      <c r="F707" s="3385" t="str">
        <f t="shared" si="72"/>
        <v>CAC-SEER21+_ROF_MF_CompE</v>
      </c>
      <c r="G707" s="3386"/>
      <c r="H707" s="3387"/>
      <c r="I707" s="2966" t="str">
        <f t="shared" si="73"/>
        <v>351195_2021_12_</v>
      </c>
      <c r="J707" s="1888">
        <v>18</v>
      </c>
      <c r="K707" s="1889"/>
      <c r="L707" s="1890"/>
      <c r="M707" s="328"/>
      <c r="N707" s="1544"/>
      <c r="O707" s="328"/>
      <c r="P707" s="353"/>
      <c r="Q707" s="353"/>
      <c r="R707" s="353"/>
      <c r="S707" s="353"/>
      <c r="T707" s="353"/>
      <c r="U707" s="353"/>
      <c r="V707" s="4035"/>
      <c r="W707" s="719"/>
      <c r="X707" s="719"/>
      <c r="Y707" s="719"/>
      <c r="Z707" s="1900">
        <v>18</v>
      </c>
      <c r="AA707" s="719">
        <v>18</v>
      </c>
      <c r="AB707" s="719">
        <v>18</v>
      </c>
      <c r="AC707" s="1888">
        <v>18</v>
      </c>
      <c r="AD707" s="719"/>
      <c r="AE707" s="719"/>
      <c r="AF707" s="719"/>
      <c r="AG707" s="719"/>
      <c r="BB707" s="707"/>
      <c r="BC707" s="584"/>
      <c r="BD707" s="678"/>
      <c r="BE707" s="585"/>
    </row>
    <row r="708" spans="1:57" s="446" customFormat="1" ht="14.45" hidden="1" customHeight="1" outlineLevel="1" x14ac:dyDescent="0.25">
      <c r="A708" s="2059"/>
      <c r="B708" s="1279"/>
      <c r="C708" s="328"/>
      <c r="D708" s="4015" t="str">
        <f>K118</f>
        <v>Inc. Cost</v>
      </c>
      <c r="E708" s="3989" t="str">
        <f>E101</f>
        <v>Incremental Cost ($)</v>
      </c>
      <c r="F708" s="3388" t="str">
        <f t="shared" ref="F708:F723" si="74">F636</f>
        <v>CAC-SEER14_ER1_SF</v>
      </c>
      <c r="G708" s="3389"/>
      <c r="H708" s="3390"/>
      <c r="I708" s="2963" t="str">
        <f t="shared" ref="I708:I771" si="75">I636</f>
        <v>350400_2021_12_</v>
      </c>
      <c r="J708" s="1891">
        <f>(($R$216/3*K708)+$R$203)-(($Q$216/3*K708)/((1+$R$218)^($R$219-1)))*J563</f>
        <v>444.07830140084025</v>
      </c>
      <c r="K708" s="1878">
        <f t="shared" ref="K708:K739" si="76">K275*J563</f>
        <v>2.98</v>
      </c>
      <c r="L708" s="1881"/>
      <c r="M708" s="328"/>
      <c r="N708" s="1544"/>
      <c r="O708" s="328"/>
      <c r="P708" s="353"/>
      <c r="Q708" s="353"/>
      <c r="R708" s="353"/>
      <c r="S708" s="353"/>
      <c r="T708" s="353"/>
      <c r="U708" s="353"/>
      <c r="V708" s="3989" t="str">
        <f>D708</f>
        <v>Inc. Cost</v>
      </c>
      <c r="W708" s="1908">
        <v>637.14870909240062</v>
      </c>
      <c r="X708" s="1909">
        <f>$Q$203*(X$275/12000)*X$563</f>
        <v>1363.5290126904986</v>
      </c>
      <c r="Y708" s="1909">
        <v>578.51488884773289</v>
      </c>
      <c r="Z708" s="1910">
        <v>444.07830140084025</v>
      </c>
      <c r="AA708" s="1908">
        <v>444.07830140084025</v>
      </c>
      <c r="AB708" s="3450">
        <v>444.07830140084025</v>
      </c>
      <c r="AC708" s="1891">
        <v>444.07830140084025</v>
      </c>
      <c r="AD708" s="1908"/>
      <c r="AE708" s="1908"/>
      <c r="AF708" s="1908"/>
      <c r="AG708" s="1908"/>
      <c r="BB708" s="707"/>
      <c r="BC708" s="584"/>
      <c r="BD708" s="678"/>
      <c r="BE708" s="585"/>
    </row>
    <row r="709" spans="1:57" s="446" customFormat="1" ht="14.45" hidden="1" customHeight="1" outlineLevel="1" x14ac:dyDescent="0.25">
      <c r="A709" s="2059"/>
      <c r="B709" s="1279"/>
      <c r="C709" s="328"/>
      <c r="D709" s="4016"/>
      <c r="E709" s="3990"/>
      <c r="F709" s="3391" t="str">
        <f t="shared" si="74"/>
        <v>CAC-SEER14_ER2_SF</v>
      </c>
      <c r="G709" s="3392"/>
      <c r="H709" s="3393"/>
      <c r="I709" s="2964" t="str">
        <f t="shared" si="75"/>
        <v>350400_2021_12_</v>
      </c>
      <c r="J709" s="1892"/>
      <c r="K709" s="1229">
        <f t="shared" si="76"/>
        <v>2.98</v>
      </c>
      <c r="L709" s="1883"/>
      <c r="M709" s="328"/>
      <c r="N709" s="1544"/>
      <c r="O709" s="328"/>
      <c r="P709" s="353"/>
      <c r="Q709" s="353"/>
      <c r="R709" s="353"/>
      <c r="S709" s="353"/>
      <c r="T709" s="353"/>
      <c r="U709" s="353"/>
      <c r="V709" s="3990"/>
      <c r="W709" s="667"/>
      <c r="X709" s="1911"/>
      <c r="Y709" s="1912"/>
      <c r="Z709" s="1846"/>
      <c r="AA709" s="667"/>
      <c r="AB709" s="442"/>
      <c r="AC709" s="1892"/>
      <c r="AD709" s="667"/>
      <c r="AE709" s="667"/>
      <c r="AF709" s="667"/>
      <c r="AG709" s="667"/>
      <c r="BB709" s="707"/>
      <c r="BC709" s="584"/>
      <c r="BD709" s="678"/>
      <c r="BE709" s="585"/>
    </row>
    <row r="710" spans="1:57" s="446" customFormat="1" ht="14.45" hidden="1" customHeight="1" outlineLevel="1" x14ac:dyDescent="0.25">
      <c r="A710" s="2059"/>
      <c r="B710" s="1279"/>
      <c r="C710" s="328"/>
      <c r="D710" s="4016"/>
      <c r="E710" s="3990"/>
      <c r="F710" s="3391" t="str">
        <f t="shared" si="74"/>
        <v>CAC-SEER14_ROF_SF</v>
      </c>
      <c r="G710" s="3392"/>
      <c r="H710" s="3393"/>
      <c r="I710" s="2964" t="str">
        <f t="shared" si="75"/>
        <v>350450_2021_12_</v>
      </c>
      <c r="J710" s="1893"/>
      <c r="K710" s="1229">
        <f t="shared" si="76"/>
        <v>2.97</v>
      </c>
      <c r="L710" s="1883"/>
      <c r="M710" s="328"/>
      <c r="N710" s="1544"/>
      <c r="O710" s="328"/>
      <c r="P710" s="353"/>
      <c r="Q710" s="353"/>
      <c r="R710" s="353"/>
      <c r="S710" s="353"/>
      <c r="T710" s="353"/>
      <c r="U710" s="353"/>
      <c r="V710" s="3990"/>
      <c r="W710" s="667"/>
      <c r="X710" s="722"/>
      <c r="Y710" s="723"/>
      <c r="Z710" s="1846"/>
      <c r="AA710" s="667"/>
      <c r="AB710" s="442"/>
      <c r="AC710" s="1893"/>
      <c r="AD710" s="667"/>
      <c r="AE710" s="667"/>
      <c r="AF710" s="667"/>
      <c r="AG710" s="667"/>
      <c r="BB710" s="707"/>
      <c r="BC710" s="584"/>
      <c r="BD710" s="678"/>
      <c r="BE710" s="585"/>
    </row>
    <row r="711" spans="1:57" s="446" customFormat="1" ht="14.45" hidden="1" customHeight="1" outlineLevel="1" x14ac:dyDescent="0.25">
      <c r="A711" s="2059"/>
      <c r="B711" s="1279"/>
      <c r="C711" s="328"/>
      <c r="D711" s="4016"/>
      <c r="E711" s="3990"/>
      <c r="F711" s="3385" t="str">
        <f t="shared" si="74"/>
        <v>CAC-SEER14_ER1_MF</v>
      </c>
      <c r="G711" s="3386"/>
      <c r="H711" s="3387"/>
      <c r="I711" s="2964" t="str">
        <f t="shared" si="75"/>
        <v>350500_2021_12_</v>
      </c>
      <c r="J711" s="1893">
        <f>(($R$216/3*K711)+$R$203)-(($Q$216/3*K711)/((1+$R$218)^$R$219))*J566</f>
        <v>388.26502607230418</v>
      </c>
      <c r="K711" s="1229">
        <f t="shared" si="76"/>
        <v>2</v>
      </c>
      <c r="L711" s="1883"/>
      <c r="M711" s="328"/>
      <c r="N711" s="1544"/>
      <c r="O711" s="328"/>
      <c r="P711" s="353"/>
      <c r="Q711" s="353"/>
      <c r="R711" s="353"/>
      <c r="S711" s="353"/>
      <c r="T711" s="353"/>
      <c r="U711" s="353"/>
      <c r="V711" s="3990"/>
      <c r="W711" s="667">
        <v>637.14870909240062</v>
      </c>
      <c r="X711" s="723">
        <f>(X$278/12000)*$Q$203*X$566</f>
        <v>894.11738537081874</v>
      </c>
      <c r="Y711" s="723">
        <v>388.26502607230418</v>
      </c>
      <c r="Z711" s="1846">
        <v>388.26502607230418</v>
      </c>
      <c r="AA711" s="667">
        <v>388.26502607230418</v>
      </c>
      <c r="AB711" s="442">
        <v>388.26502607230418</v>
      </c>
      <c r="AC711" s="1893">
        <v>388.26502607230418</v>
      </c>
      <c r="AD711" s="667"/>
      <c r="AE711" s="667"/>
      <c r="AF711" s="667"/>
      <c r="AG711" s="667"/>
      <c r="BB711" s="707"/>
      <c r="BC711" s="584"/>
      <c r="BD711" s="678"/>
      <c r="BE711" s="585"/>
    </row>
    <row r="712" spans="1:57" s="446" customFormat="1" ht="14.45" hidden="1" customHeight="1" outlineLevel="1" x14ac:dyDescent="0.25">
      <c r="A712" s="2059"/>
      <c r="B712" s="1279"/>
      <c r="C712" s="328"/>
      <c r="D712" s="4016"/>
      <c r="E712" s="3990"/>
      <c r="F712" s="3385" t="str">
        <f t="shared" si="74"/>
        <v>CAC-SEER14_ER2_MF</v>
      </c>
      <c r="G712" s="3386"/>
      <c r="H712" s="3387"/>
      <c r="I712" s="2964" t="str">
        <f t="shared" si="75"/>
        <v>350500_2021_12_</v>
      </c>
      <c r="J712" s="1893"/>
      <c r="K712" s="1229">
        <f t="shared" si="76"/>
        <v>2</v>
      </c>
      <c r="L712" s="1883"/>
      <c r="M712" s="328"/>
      <c r="N712" s="1544"/>
      <c r="O712" s="328"/>
      <c r="P712" s="353"/>
      <c r="Q712" s="353"/>
      <c r="R712" s="353"/>
      <c r="S712" s="353"/>
      <c r="T712" s="353"/>
      <c r="U712" s="353"/>
      <c r="V712" s="3990"/>
      <c r="W712" s="667"/>
      <c r="X712" s="722"/>
      <c r="Y712" s="723"/>
      <c r="Z712" s="1846"/>
      <c r="AA712" s="667"/>
      <c r="AB712" s="442"/>
      <c r="AC712" s="1893"/>
      <c r="AD712" s="667"/>
      <c r="AE712" s="667"/>
      <c r="AF712" s="667"/>
      <c r="AG712" s="667"/>
      <c r="BB712" s="707"/>
      <c r="BC712" s="584"/>
      <c r="BD712" s="678"/>
      <c r="BE712" s="585"/>
    </row>
    <row r="713" spans="1:57" s="446" customFormat="1" ht="14.45" hidden="1" customHeight="1" outlineLevel="1" x14ac:dyDescent="0.25">
      <c r="A713" s="2059"/>
      <c r="B713" s="1279"/>
      <c r="C713" s="328"/>
      <c r="D713" s="4016"/>
      <c r="E713" s="3990"/>
      <c r="F713" s="3385" t="str">
        <f t="shared" si="74"/>
        <v>CAC-SEER14_ER1_MF_CompE</v>
      </c>
      <c r="G713" s="3386"/>
      <c r="H713" s="3387"/>
      <c r="I713" s="2964" t="str">
        <f t="shared" si="75"/>
        <v>350501_2021_12_</v>
      </c>
      <c r="J713" s="1893">
        <f>(($R$216/3*K713)+$R$203)-(($Q$216/3*K713)/((1+$R$218)^($R$219-1)))*J568</f>
        <v>298.03912845693981</v>
      </c>
      <c r="K713" s="1229">
        <f t="shared" si="76"/>
        <v>2</v>
      </c>
      <c r="L713" s="1883"/>
      <c r="M713" s="328"/>
      <c r="N713" s="1544"/>
      <c r="O713" s="328"/>
      <c r="P713" s="353"/>
      <c r="Q713" s="353"/>
      <c r="R713" s="353"/>
      <c r="S713" s="353"/>
      <c r="T713" s="353"/>
      <c r="U713" s="353"/>
      <c r="V713" s="3990"/>
      <c r="W713" s="667"/>
      <c r="X713" s="722"/>
      <c r="Y713" s="723">
        <v>388.26502607230418</v>
      </c>
      <c r="Z713" s="1846">
        <v>298.03912845693981</v>
      </c>
      <c r="AA713" s="667">
        <v>298.03912845693981</v>
      </c>
      <c r="AB713" s="442">
        <v>298.03912845693981</v>
      </c>
      <c r="AC713" s="1893">
        <v>298.03912845693981</v>
      </c>
      <c r="AD713" s="667"/>
      <c r="AE713" s="667"/>
      <c r="AF713" s="667"/>
      <c r="AG713" s="667"/>
      <c r="BB713" s="707"/>
      <c r="BC713" s="584"/>
      <c r="BD713" s="678"/>
      <c r="BE713" s="585"/>
    </row>
    <row r="714" spans="1:57" s="446" customFormat="1" ht="14.45" hidden="1" customHeight="1" outlineLevel="1" x14ac:dyDescent="0.25">
      <c r="A714" s="2059"/>
      <c r="B714" s="1279"/>
      <c r="C714" s="328"/>
      <c r="D714" s="4016"/>
      <c r="E714" s="3990"/>
      <c r="F714" s="3385" t="str">
        <f t="shared" si="74"/>
        <v>CAC-SEER14_ER2_MF_CompE</v>
      </c>
      <c r="G714" s="3386"/>
      <c r="H714" s="3387"/>
      <c r="I714" s="2964" t="str">
        <f t="shared" si="75"/>
        <v>350501_2021_12_</v>
      </c>
      <c r="J714" s="1893"/>
      <c r="K714" s="1229">
        <f t="shared" si="76"/>
        <v>2</v>
      </c>
      <c r="L714" s="1883"/>
      <c r="M714" s="328"/>
      <c r="N714" s="1544"/>
      <c r="O714" s="328"/>
      <c r="P714" s="353"/>
      <c r="Q714" s="353"/>
      <c r="R714" s="353"/>
      <c r="S714" s="353"/>
      <c r="T714" s="353"/>
      <c r="U714" s="353"/>
      <c r="V714" s="3990"/>
      <c r="W714" s="667"/>
      <c r="X714" s="722"/>
      <c r="Y714" s="723"/>
      <c r="Z714" s="1846"/>
      <c r="AA714" s="667"/>
      <c r="AB714" s="442"/>
      <c r="AC714" s="1893"/>
      <c r="AD714" s="667"/>
      <c r="AE714" s="667"/>
      <c r="AF714" s="667"/>
      <c r="AG714" s="667"/>
      <c r="BB714" s="707"/>
      <c r="BC714" s="584"/>
      <c r="BD714" s="678"/>
      <c r="BE714" s="585"/>
    </row>
    <row r="715" spans="1:57" s="446" customFormat="1" ht="14.25" hidden="1" customHeight="1" outlineLevel="1" x14ac:dyDescent="0.25">
      <c r="A715" s="2059"/>
      <c r="B715" s="1279"/>
      <c r="C715" s="328"/>
      <c r="D715" s="4016"/>
      <c r="E715" s="3990"/>
      <c r="F715" s="3385" t="str">
        <f t="shared" si="74"/>
        <v>CAC-SEER14_ROF_MF</v>
      </c>
      <c r="G715" s="3386"/>
      <c r="H715" s="3387"/>
      <c r="I715" s="2964" t="str">
        <f t="shared" si="75"/>
        <v>350550_2021_12_</v>
      </c>
      <c r="J715" s="1893">
        <f>$R$203*J570</f>
        <v>0</v>
      </c>
      <c r="K715" s="1229">
        <f t="shared" si="76"/>
        <v>2</v>
      </c>
      <c r="L715" s="1883"/>
      <c r="M715" s="328"/>
      <c r="N715" s="1544"/>
      <c r="O715" s="328"/>
      <c r="P715" s="353"/>
      <c r="Q715" s="353"/>
      <c r="R715" s="353"/>
      <c r="S715" s="353"/>
      <c r="T715" s="353"/>
      <c r="U715" s="353"/>
      <c r="V715" s="3990"/>
      <c r="W715" s="667"/>
      <c r="X715" s="722"/>
      <c r="Y715" s="723">
        <v>0</v>
      </c>
      <c r="Z715" s="1846">
        <v>0</v>
      </c>
      <c r="AA715" s="667">
        <v>0</v>
      </c>
      <c r="AB715" s="442">
        <v>0</v>
      </c>
      <c r="AC715" s="1893">
        <v>0</v>
      </c>
      <c r="AD715" s="667"/>
      <c r="AE715" s="667"/>
      <c r="AF715" s="667"/>
      <c r="AG715" s="667"/>
      <c r="BB715" s="707"/>
      <c r="BC715" s="584"/>
      <c r="BD715" s="678"/>
      <c r="BE715" s="585"/>
    </row>
    <row r="716" spans="1:57" s="446" customFormat="1" ht="14.25" hidden="1" customHeight="1" outlineLevel="1" x14ac:dyDescent="0.25">
      <c r="A716" s="2059"/>
      <c r="B716" s="1279"/>
      <c r="C716" s="328"/>
      <c r="D716" s="4016"/>
      <c r="E716" s="3990"/>
      <c r="F716" s="3385" t="str">
        <f t="shared" si="74"/>
        <v>CAC-SEER14_ROF_MF_CompE</v>
      </c>
      <c r="G716" s="3386"/>
      <c r="H716" s="3387"/>
      <c r="I716" s="2964" t="str">
        <f t="shared" si="75"/>
        <v>350551_2021_12_</v>
      </c>
      <c r="J716" s="1893">
        <f>$R$203*J571</f>
        <v>0</v>
      </c>
      <c r="K716" s="1229">
        <f t="shared" si="76"/>
        <v>2</v>
      </c>
      <c r="L716" s="1883"/>
      <c r="M716" s="328"/>
      <c r="N716" s="1544"/>
      <c r="O716" s="328"/>
      <c r="P716" s="353"/>
      <c r="Q716" s="353"/>
      <c r="R716" s="353"/>
      <c r="S716" s="353"/>
      <c r="T716" s="353"/>
      <c r="U716" s="353"/>
      <c r="V716" s="3990"/>
      <c r="W716" s="667"/>
      <c r="X716" s="722"/>
      <c r="Y716" s="723">
        <v>0</v>
      </c>
      <c r="Z716" s="1846">
        <v>0</v>
      </c>
      <c r="AA716" s="667">
        <v>0</v>
      </c>
      <c r="AB716" s="442">
        <v>0</v>
      </c>
      <c r="AC716" s="1893">
        <v>0</v>
      </c>
      <c r="AD716" s="667"/>
      <c r="AE716" s="667"/>
      <c r="AF716" s="667"/>
      <c r="AG716" s="667"/>
      <c r="BB716" s="707"/>
      <c r="BC716" s="584"/>
      <c r="BD716" s="678"/>
      <c r="BE716" s="585"/>
    </row>
    <row r="717" spans="1:57" s="446" customFormat="1" ht="14.45" hidden="1" customHeight="1" outlineLevel="1" x14ac:dyDescent="0.25">
      <c r="A717" s="2059"/>
      <c r="B717" s="1279"/>
      <c r="C717" s="328"/>
      <c r="D717" s="4016"/>
      <c r="E717" s="3990"/>
      <c r="F717" s="3385" t="str">
        <f t="shared" si="74"/>
        <v>CAC-SEER15_ER1_SF</v>
      </c>
      <c r="G717" s="3386"/>
      <c r="H717" s="3387"/>
      <c r="I717" s="2964" t="str">
        <f t="shared" si="75"/>
        <v>350600_2021_12_</v>
      </c>
      <c r="J717" s="682">
        <f>(($R$216/3*K717)+$R$204)-(($Q$216/3*K717)/((1+$R$218)^($R$219-1)))*J572</f>
        <v>574.35262787904776</v>
      </c>
      <c r="K717" s="1229">
        <f t="shared" si="76"/>
        <v>3.1294724977457173</v>
      </c>
      <c r="L717" s="1883"/>
      <c r="M717" s="328"/>
      <c r="N717" s="1544"/>
      <c r="O717" s="328"/>
      <c r="P717" s="353"/>
      <c r="Q717" s="353"/>
      <c r="R717" s="353"/>
      <c r="S717" s="353"/>
      <c r="T717" s="353"/>
      <c r="U717" s="353"/>
      <c r="V717" s="3990"/>
      <c r="W717" s="667">
        <v>1057.263580001641</v>
      </c>
      <c r="X717" s="723">
        <f>$Q$204*(X$284/12000)*X$572</f>
        <v>1692.9290126904984</v>
      </c>
      <c r="Y717" s="723">
        <v>742.81331762821719</v>
      </c>
      <c r="Z717" s="1846">
        <v>595.29397502709662</v>
      </c>
      <c r="AA717" s="667">
        <v>595.29397502709662</v>
      </c>
      <c r="AB717" s="442">
        <v>595.29397502709662</v>
      </c>
      <c r="AC717" s="682">
        <v>574.35262787904776</v>
      </c>
      <c r="AD717" s="667"/>
      <c r="AE717" s="667"/>
      <c r="AF717" s="667"/>
      <c r="AG717" s="667"/>
      <c r="BB717" s="707"/>
      <c r="BC717" s="584"/>
      <c r="BD717" s="678"/>
      <c r="BE717" s="585"/>
    </row>
    <row r="718" spans="1:57" s="446" customFormat="1" ht="14.45" hidden="1" customHeight="1" outlineLevel="1" x14ac:dyDescent="0.25">
      <c r="A718" s="2059"/>
      <c r="B718" s="1279"/>
      <c r="C718" s="328"/>
      <c r="D718" s="4016"/>
      <c r="E718" s="3990"/>
      <c r="F718" s="3385" t="str">
        <f t="shared" si="74"/>
        <v>CAC-SEER15_ER2_SF</v>
      </c>
      <c r="G718" s="3386"/>
      <c r="H718" s="3387"/>
      <c r="I718" s="2964" t="str">
        <f t="shared" si="75"/>
        <v>350600_2021_12_</v>
      </c>
      <c r="J718" s="1893"/>
      <c r="K718" s="1229">
        <f t="shared" si="76"/>
        <v>3.1294724977457173</v>
      </c>
      <c r="L718" s="1883"/>
      <c r="M718" s="328"/>
      <c r="N718" s="1544"/>
      <c r="O718" s="328"/>
      <c r="P718" s="353"/>
      <c r="Q718" s="353"/>
      <c r="R718" s="353"/>
      <c r="S718" s="353"/>
      <c r="T718" s="353"/>
      <c r="U718" s="353"/>
      <c r="V718" s="3990"/>
      <c r="W718" s="667"/>
      <c r="X718" s="722"/>
      <c r="Y718" s="723"/>
      <c r="Z718" s="1846"/>
      <c r="AA718" s="667"/>
      <c r="AB718" s="442"/>
      <c r="AC718" s="1893"/>
      <c r="AD718" s="667"/>
      <c r="AE718" s="667"/>
      <c r="AF718" s="667"/>
      <c r="AG718" s="667"/>
      <c r="BB718" s="707"/>
      <c r="BC718" s="584"/>
      <c r="BD718" s="678"/>
      <c r="BE718" s="585"/>
    </row>
    <row r="719" spans="1:57" s="446" customFormat="1" ht="14.45" hidden="1" customHeight="1" outlineLevel="1" x14ac:dyDescent="0.25">
      <c r="A719" s="2059"/>
      <c r="B719" s="1279"/>
      <c r="C719" s="328"/>
      <c r="D719" s="4016"/>
      <c r="E719" s="3990"/>
      <c r="F719" s="3385" t="str">
        <f t="shared" si="74"/>
        <v>CAC-SEER15_ROF_SF</v>
      </c>
      <c r="G719" s="3386"/>
      <c r="H719" s="3387"/>
      <c r="I719" s="2964" t="str">
        <f t="shared" si="75"/>
        <v>350650_2021_12_</v>
      </c>
      <c r="J719" s="1893">
        <f>$R$204*J574</f>
        <v>108</v>
      </c>
      <c r="K719" s="1229">
        <f t="shared" si="76"/>
        <v>3.1133333333333333</v>
      </c>
      <c r="L719" s="1883"/>
      <c r="M719" s="328"/>
      <c r="N719" s="1544"/>
      <c r="O719" s="328"/>
      <c r="P719" s="353"/>
      <c r="Q719" s="353"/>
      <c r="R719" s="353"/>
      <c r="S719" s="353"/>
      <c r="T719" s="353"/>
      <c r="U719" s="353"/>
      <c r="V719" s="3990"/>
      <c r="W719" s="667">
        <v>324</v>
      </c>
      <c r="X719" s="723">
        <f>(X$278/12000)*$R$204*X$574</f>
        <v>216</v>
      </c>
      <c r="Y719" s="723">
        <v>108</v>
      </c>
      <c r="Z719" s="1846">
        <v>108</v>
      </c>
      <c r="AA719" s="667">
        <v>108</v>
      </c>
      <c r="AB719" s="442">
        <v>108</v>
      </c>
      <c r="AC719" s="1893">
        <v>108</v>
      </c>
      <c r="AD719" s="667"/>
      <c r="AE719" s="667"/>
      <c r="AF719" s="667"/>
      <c r="AG719" s="667"/>
      <c r="BB719" s="707"/>
      <c r="BC719" s="584"/>
      <c r="BD719" s="678"/>
      <c r="BE719" s="585"/>
    </row>
    <row r="720" spans="1:57" s="446" customFormat="1" ht="14.45" hidden="1" customHeight="1" outlineLevel="1" x14ac:dyDescent="0.25">
      <c r="A720" s="2059"/>
      <c r="B720" s="1279"/>
      <c r="C720" s="328"/>
      <c r="D720" s="4016"/>
      <c r="E720" s="3990"/>
      <c r="F720" s="3385" t="str">
        <f t="shared" si="74"/>
        <v>CAC-SEER15_ER1_MF</v>
      </c>
      <c r="G720" s="3386"/>
      <c r="H720" s="3387"/>
      <c r="I720" s="2964" t="str">
        <f t="shared" si="75"/>
        <v>350700_2021_12_</v>
      </c>
      <c r="J720" s="682">
        <f>(($R$216/3*K720)+$R$204)-(($Q$216/3*K720)/((1+$R$218)^($R$219-1)))*J575</f>
        <v>478.77486813988367</v>
      </c>
      <c r="K720" s="1229">
        <f t="shared" si="76"/>
        <v>2.4880952380952381</v>
      </c>
      <c r="L720" s="1883"/>
      <c r="M720" s="328"/>
      <c r="N720" s="1544"/>
      <c r="O720" s="328"/>
      <c r="P720" s="353"/>
      <c r="Q720" s="353"/>
      <c r="R720" s="353"/>
      <c r="S720" s="353"/>
      <c r="T720" s="353"/>
      <c r="U720" s="353"/>
      <c r="V720" s="3990"/>
      <c r="W720" s="667">
        <v>1057.263580001641</v>
      </c>
      <c r="X720" s="723">
        <f>(X$287/12000)*$Q$204*X$575</f>
        <v>1120.7791377594842</v>
      </c>
      <c r="Y720" s="723">
        <v>496.26502607230418</v>
      </c>
      <c r="Z720" s="1846">
        <v>406.03912845693981</v>
      </c>
      <c r="AA720" s="667">
        <v>406.03912845693981</v>
      </c>
      <c r="AB720" s="442">
        <v>406.03912845693981</v>
      </c>
      <c r="AC720" s="682">
        <v>478.77486813988367</v>
      </c>
      <c r="AD720" s="667"/>
      <c r="AE720" s="667"/>
      <c r="AF720" s="667"/>
      <c r="AG720" s="667"/>
      <c r="BB720" s="707"/>
      <c r="BC720" s="584"/>
      <c r="BD720" s="678"/>
      <c r="BE720" s="585"/>
    </row>
    <row r="721" spans="1:57" s="446" customFormat="1" ht="14.45" hidden="1" customHeight="1" outlineLevel="1" x14ac:dyDescent="0.25">
      <c r="A721" s="2059"/>
      <c r="B721" s="1279"/>
      <c r="C721" s="328"/>
      <c r="D721" s="4016"/>
      <c r="E721" s="3990"/>
      <c r="F721" s="3385" t="str">
        <f t="shared" si="74"/>
        <v>CAC-SEER15_ER2_MF</v>
      </c>
      <c r="G721" s="3386"/>
      <c r="H721" s="3387"/>
      <c r="I721" s="2964" t="str">
        <f t="shared" si="75"/>
        <v>350700_2021_12_</v>
      </c>
      <c r="J721" s="1893"/>
      <c r="K721" s="1229">
        <f t="shared" si="76"/>
        <v>2.4880952380952381</v>
      </c>
      <c r="L721" s="1883"/>
      <c r="M721" s="328"/>
      <c r="N721" s="1544"/>
      <c r="O721" s="328"/>
      <c r="P721" s="353"/>
      <c r="Q721" s="353"/>
      <c r="R721" s="353"/>
      <c r="S721" s="353"/>
      <c r="T721" s="353"/>
      <c r="U721" s="353"/>
      <c r="V721" s="3990"/>
      <c r="W721" s="667"/>
      <c r="X721" s="722"/>
      <c r="Y721" s="723"/>
      <c r="Z721" s="1846"/>
      <c r="AA721" s="667"/>
      <c r="AB721" s="442"/>
      <c r="AC721" s="1893"/>
      <c r="AD721" s="667"/>
      <c r="AE721" s="667"/>
      <c r="AF721" s="667"/>
      <c r="AG721" s="667"/>
      <c r="BB721" s="707"/>
      <c r="BC721" s="584"/>
      <c r="BD721" s="678"/>
      <c r="BE721" s="585"/>
    </row>
    <row r="722" spans="1:57" s="446" customFormat="1" ht="14.45" hidden="1" customHeight="1" outlineLevel="1" x14ac:dyDescent="0.25">
      <c r="A722" s="2059"/>
      <c r="B722" s="1279"/>
      <c r="C722" s="328"/>
      <c r="D722" s="4016"/>
      <c r="E722" s="3990"/>
      <c r="F722" s="3385" t="str">
        <f t="shared" si="74"/>
        <v>CAC-SEER15_ER1_MF_CompE</v>
      </c>
      <c r="G722" s="3386"/>
      <c r="H722" s="3387"/>
      <c r="I722" s="2964" t="str">
        <f t="shared" si="75"/>
        <v>350701_2021_12_</v>
      </c>
      <c r="J722" s="682">
        <f>(($R$216/3*K722)+$R$204)-(($Q$216/3*K722)/((1+$R$218)^($R$219-1)))*J577</f>
        <v>478.77486813988367</v>
      </c>
      <c r="K722" s="1229">
        <f t="shared" si="76"/>
        <v>2.4880952380952381</v>
      </c>
      <c r="L722" s="1883"/>
      <c r="M722" s="328"/>
      <c r="N722" s="1544"/>
      <c r="O722" s="328"/>
      <c r="P722" s="353"/>
      <c r="Q722" s="353"/>
      <c r="R722" s="353"/>
      <c r="S722" s="353"/>
      <c r="T722" s="353"/>
      <c r="U722" s="353"/>
      <c r="V722" s="3990"/>
      <c r="W722" s="667"/>
      <c r="X722" s="722"/>
      <c r="Y722" s="723">
        <v>496.26502607230418</v>
      </c>
      <c r="Z722" s="1846">
        <v>406.03912845693981</v>
      </c>
      <c r="AA722" s="667">
        <v>406.03912845693981</v>
      </c>
      <c r="AB722" s="442">
        <v>406.03912845693981</v>
      </c>
      <c r="AC722" s="682">
        <v>478.77486813988367</v>
      </c>
      <c r="AD722" s="667"/>
      <c r="AE722" s="667"/>
      <c r="AF722" s="667"/>
      <c r="AG722" s="667"/>
      <c r="BB722" s="707"/>
      <c r="BC722" s="584"/>
      <c r="BD722" s="678"/>
      <c r="BE722" s="585"/>
    </row>
    <row r="723" spans="1:57" s="446" customFormat="1" ht="14.45" hidden="1" customHeight="1" outlineLevel="1" x14ac:dyDescent="0.25">
      <c r="A723" s="2059"/>
      <c r="B723" s="1279"/>
      <c r="C723" s="328"/>
      <c r="D723" s="4016"/>
      <c r="E723" s="3990"/>
      <c r="F723" s="3385" t="str">
        <f t="shared" si="74"/>
        <v>CAC-SEER15_ER2_MF_CompE</v>
      </c>
      <c r="G723" s="3386"/>
      <c r="H723" s="3387"/>
      <c r="I723" s="2964" t="str">
        <f t="shared" si="75"/>
        <v>350701_2021_12_</v>
      </c>
      <c r="J723" s="1893"/>
      <c r="K723" s="1229">
        <f t="shared" si="76"/>
        <v>2.4880952380952381</v>
      </c>
      <c r="L723" s="1883"/>
      <c r="M723" s="328"/>
      <c r="N723" s="1544"/>
      <c r="O723" s="328"/>
      <c r="P723" s="353"/>
      <c r="Q723" s="353"/>
      <c r="R723" s="353"/>
      <c r="S723" s="353"/>
      <c r="T723" s="353"/>
      <c r="U723" s="353"/>
      <c r="V723" s="3990"/>
      <c r="W723" s="667"/>
      <c r="X723" s="722"/>
      <c r="Y723" s="723"/>
      <c r="Z723" s="1846"/>
      <c r="AA723" s="667"/>
      <c r="AB723" s="442"/>
      <c r="AC723" s="1893"/>
      <c r="AD723" s="667"/>
      <c r="AE723" s="667"/>
      <c r="AF723" s="667"/>
      <c r="AG723" s="667"/>
      <c r="BB723" s="707"/>
      <c r="BC723" s="584"/>
      <c r="BD723" s="678"/>
      <c r="BE723" s="585"/>
    </row>
    <row r="724" spans="1:57" s="446" customFormat="1" ht="14.25" hidden="1" customHeight="1" outlineLevel="1" x14ac:dyDescent="0.25">
      <c r="A724" s="2059"/>
      <c r="B724" s="1279"/>
      <c r="C724" s="328"/>
      <c r="D724" s="4016"/>
      <c r="E724" s="3990"/>
      <c r="F724" s="3385" t="str">
        <f t="shared" ref="F724:F779" si="77">F652</f>
        <v>CAC-SEER15_ROF_MF</v>
      </c>
      <c r="G724" s="3386"/>
      <c r="H724" s="3387"/>
      <c r="I724" s="2964" t="str">
        <f t="shared" si="75"/>
        <v>350750_2021_12_</v>
      </c>
      <c r="J724" s="1893">
        <f>$R$204*J579</f>
        <v>108</v>
      </c>
      <c r="K724" s="1229">
        <f t="shared" si="76"/>
        <v>2.75</v>
      </c>
      <c r="L724" s="1883"/>
      <c r="M724" s="328"/>
      <c r="N724" s="1544"/>
      <c r="O724" s="328"/>
      <c r="P724" s="353"/>
      <c r="Q724" s="353"/>
      <c r="R724" s="353"/>
      <c r="S724" s="353"/>
      <c r="T724" s="353"/>
      <c r="U724" s="353"/>
      <c r="V724" s="3990"/>
      <c r="W724" s="667">
        <v>324</v>
      </c>
      <c r="X724" s="723">
        <f>(X$291/12000)*$R$204*X$579</f>
        <v>218.0745</v>
      </c>
      <c r="Y724" s="723">
        <v>108</v>
      </c>
      <c r="Z724" s="1846">
        <v>108</v>
      </c>
      <c r="AA724" s="667">
        <v>108</v>
      </c>
      <c r="AB724" s="442">
        <v>108</v>
      </c>
      <c r="AC724" s="1893">
        <v>108</v>
      </c>
      <c r="AD724" s="667"/>
      <c r="AE724" s="667"/>
      <c r="AF724" s="667"/>
      <c r="AG724" s="667"/>
      <c r="BB724" s="707"/>
      <c r="BC724" s="584"/>
      <c r="BD724" s="678"/>
      <c r="BE724" s="585"/>
    </row>
    <row r="725" spans="1:57" s="446" customFormat="1" ht="14.25" hidden="1" customHeight="1" outlineLevel="1" x14ac:dyDescent="0.25">
      <c r="A725" s="2059"/>
      <c r="B725" s="1279"/>
      <c r="C725" s="328"/>
      <c r="D725" s="4016"/>
      <c r="E725" s="3990"/>
      <c r="F725" s="3385" t="str">
        <f t="shared" si="77"/>
        <v>CAC-SEER15_ROF_MF_CompE</v>
      </c>
      <c r="G725" s="3386"/>
      <c r="H725" s="3387"/>
      <c r="I725" s="2964" t="str">
        <f t="shared" si="75"/>
        <v>350751_2021_12_</v>
      </c>
      <c r="J725" s="1893">
        <f>$R$204*J580</f>
        <v>108</v>
      </c>
      <c r="K725" s="1229">
        <f t="shared" si="76"/>
        <v>2.75</v>
      </c>
      <c r="L725" s="1883"/>
      <c r="M725" s="328"/>
      <c r="N725" s="1544"/>
      <c r="O725" s="328"/>
      <c r="P725" s="353"/>
      <c r="Q725" s="353"/>
      <c r="R725" s="353"/>
      <c r="S725" s="353"/>
      <c r="T725" s="353"/>
      <c r="U725" s="353"/>
      <c r="V725" s="3990"/>
      <c r="W725" s="667"/>
      <c r="X725" s="723"/>
      <c r="Y725" s="723">
        <v>108</v>
      </c>
      <c r="Z725" s="1846">
        <v>108</v>
      </c>
      <c r="AA725" s="667">
        <v>108</v>
      </c>
      <c r="AB725" s="442">
        <v>108</v>
      </c>
      <c r="AC725" s="1893">
        <v>108</v>
      </c>
      <c r="AD725" s="667"/>
      <c r="AE725" s="667"/>
      <c r="AF725" s="667"/>
      <c r="AG725" s="667"/>
      <c r="BB725" s="707"/>
      <c r="BC725" s="584"/>
      <c r="BD725" s="678"/>
      <c r="BE725" s="585"/>
    </row>
    <row r="726" spans="1:57" s="446" customFormat="1" ht="14.45" hidden="1" customHeight="1" outlineLevel="1" x14ac:dyDescent="0.25">
      <c r="A726" s="2059"/>
      <c r="B726" s="1279"/>
      <c r="C726" s="328"/>
      <c r="D726" s="4016"/>
      <c r="E726" s="3990"/>
      <c r="F726" s="3385" t="str">
        <f t="shared" si="77"/>
        <v>CAC-SEER16_ER1_SF</v>
      </c>
      <c r="G726" s="3386"/>
      <c r="H726" s="3387"/>
      <c r="I726" s="2964" t="str">
        <f t="shared" si="75"/>
        <v>350800_2021_12_</v>
      </c>
      <c r="J726" s="682">
        <f>(($R$216/3*K726)+$R$205)-(($Q$216/3*K726)/((1+$R$218)^($R$219-1)))*J581</f>
        <v>661.30099318631073</v>
      </c>
      <c r="K726" s="1229">
        <f t="shared" si="76"/>
        <v>2.9546522664048429</v>
      </c>
      <c r="L726" s="1883"/>
      <c r="M726" s="328"/>
      <c r="N726" s="1544"/>
      <c r="O726" s="328"/>
      <c r="P726" s="353"/>
      <c r="Q726" s="353"/>
      <c r="R726" s="353"/>
      <c r="S726" s="353"/>
      <c r="T726" s="353"/>
      <c r="U726" s="353"/>
      <c r="V726" s="3990"/>
      <c r="W726" s="667">
        <v>1343.486999395481</v>
      </c>
      <c r="X726" s="723">
        <f>$Q$205*(X$293/12000)*X$581</f>
        <v>2037.5790126904985</v>
      </c>
      <c r="Y726" s="723">
        <v>815.0454898906255</v>
      </c>
      <c r="Z726" s="1846">
        <v>676.9998665391181</v>
      </c>
      <c r="AA726" s="667">
        <v>676.9998665391181</v>
      </c>
      <c r="AB726" s="442">
        <v>676.9998665391181</v>
      </c>
      <c r="AC726" s="682">
        <v>661.30099318631073</v>
      </c>
      <c r="AD726" s="667"/>
      <c r="AE726" s="667"/>
      <c r="AF726" s="667"/>
      <c r="AG726" s="667"/>
      <c r="BB726" s="707"/>
      <c r="BC726" s="584"/>
      <c r="BD726" s="678"/>
      <c r="BE726" s="585"/>
    </row>
    <row r="727" spans="1:57" s="446" customFormat="1" ht="14.45" hidden="1" customHeight="1" outlineLevel="1" x14ac:dyDescent="0.25">
      <c r="A727" s="2059"/>
      <c r="B727" s="1279"/>
      <c r="C727" s="328"/>
      <c r="D727" s="4016"/>
      <c r="E727" s="3990"/>
      <c r="F727" s="3385" t="str">
        <f t="shared" si="77"/>
        <v>CAC-SEER16_ER2_SF</v>
      </c>
      <c r="G727" s="3386"/>
      <c r="H727" s="3387"/>
      <c r="I727" s="2964" t="str">
        <f t="shared" si="75"/>
        <v>350800_2021_12_</v>
      </c>
      <c r="J727" s="1893"/>
      <c r="K727" s="1229">
        <f t="shared" si="76"/>
        <v>2.9546522664048429</v>
      </c>
      <c r="L727" s="1883"/>
      <c r="M727" s="328"/>
      <c r="N727" s="1544"/>
      <c r="O727" s="328"/>
      <c r="P727" s="353"/>
      <c r="Q727" s="353"/>
      <c r="R727" s="353"/>
      <c r="S727" s="353"/>
      <c r="T727" s="353"/>
      <c r="U727" s="353"/>
      <c r="V727" s="3990"/>
      <c r="W727" s="667"/>
      <c r="X727" s="722"/>
      <c r="Y727" s="723"/>
      <c r="Z727" s="1846"/>
      <c r="AA727" s="667"/>
      <c r="AB727" s="442"/>
      <c r="AC727" s="1893"/>
      <c r="AD727" s="667"/>
      <c r="AE727" s="667"/>
      <c r="AF727" s="667"/>
      <c r="AG727" s="667"/>
      <c r="BB727" s="707"/>
      <c r="BC727" s="584"/>
      <c r="BD727" s="678"/>
      <c r="BE727" s="585"/>
    </row>
    <row r="728" spans="1:57" s="446" customFormat="1" ht="14.45" hidden="1" customHeight="1" outlineLevel="1" x14ac:dyDescent="0.25">
      <c r="A728" s="2059"/>
      <c r="B728" s="1279"/>
      <c r="C728" s="328"/>
      <c r="D728" s="4016"/>
      <c r="E728" s="3990"/>
      <c r="F728" s="3385" t="str">
        <f t="shared" si="77"/>
        <v>CAC-SEER16_ROF_SF</v>
      </c>
      <c r="G728" s="3386"/>
      <c r="H728" s="3387"/>
      <c r="I728" s="2964" t="str">
        <f t="shared" si="75"/>
        <v>350850_2021_12_</v>
      </c>
      <c r="J728" s="1893">
        <f>$R$205*J583</f>
        <v>221</v>
      </c>
      <c r="K728" s="1229">
        <f t="shared" si="76"/>
        <v>3.0332576769025361</v>
      </c>
      <c r="L728" s="1883"/>
      <c r="M728" s="328"/>
      <c r="N728" s="1544"/>
      <c r="O728" s="328"/>
      <c r="P728" s="353"/>
      <c r="Q728" s="353"/>
      <c r="R728" s="353"/>
      <c r="S728" s="353"/>
      <c r="T728" s="353"/>
      <c r="U728" s="353"/>
      <c r="V728" s="3990"/>
      <c r="W728" s="442">
        <v>640.9</v>
      </c>
      <c r="X728" s="723">
        <f>(X$295/12000)*$R$205*X$583</f>
        <v>674.05</v>
      </c>
      <c r="Y728" s="723">
        <v>221</v>
      </c>
      <c r="Z728" s="682">
        <v>221</v>
      </c>
      <c r="AA728" s="442">
        <v>221</v>
      </c>
      <c r="AB728" s="442">
        <v>221</v>
      </c>
      <c r="AC728" s="1893">
        <v>221</v>
      </c>
      <c r="AD728" s="442"/>
      <c r="AE728" s="442"/>
      <c r="AF728" s="442"/>
      <c r="AG728" s="442"/>
      <c r="BB728" s="707"/>
      <c r="BC728" s="584"/>
      <c r="BD728" s="678"/>
      <c r="BE728" s="585"/>
    </row>
    <row r="729" spans="1:57" s="446" customFormat="1" ht="14.45" hidden="1" customHeight="1" outlineLevel="1" x14ac:dyDescent="0.25">
      <c r="A729" s="2059"/>
      <c r="B729" s="1279"/>
      <c r="C729" s="328"/>
      <c r="D729" s="4016"/>
      <c r="E729" s="3990"/>
      <c r="F729" s="3385" t="str">
        <f t="shared" si="77"/>
        <v>CAC-SEER16_ER1_MF</v>
      </c>
      <c r="G729" s="3386"/>
      <c r="H729" s="3387"/>
      <c r="I729" s="2964" t="str">
        <f t="shared" si="75"/>
        <v>350900_2021_12_</v>
      </c>
      <c r="J729" s="682">
        <f>(($R$216/3*K729)+$R$205)-(($Q$216/3*K729)/((1+$R$218)^($R$219-1)))*J584</f>
        <v>596.24203522590619</v>
      </c>
      <c r="K729" s="1229">
        <f t="shared" si="76"/>
        <v>2.5180722891566263</v>
      </c>
      <c r="L729" s="1883"/>
      <c r="M729" s="328"/>
      <c r="N729" s="1544"/>
      <c r="O729" s="328"/>
      <c r="P729" s="353"/>
      <c r="Q729" s="353"/>
      <c r="R729" s="353"/>
      <c r="S729" s="353"/>
      <c r="T729" s="353"/>
      <c r="U729" s="353"/>
      <c r="V729" s="3990"/>
      <c r="W729" s="667">
        <v>1343.486999395481</v>
      </c>
      <c r="X729" s="723">
        <f>(X$296/12000)*$Q$205*X$584</f>
        <v>1361.7819734814832</v>
      </c>
      <c r="Y729" s="723">
        <v>609.26502607230441</v>
      </c>
      <c r="Z729" s="1846">
        <v>519.03912845694003</v>
      </c>
      <c r="AA729" s="667">
        <v>519.03912845694003</v>
      </c>
      <c r="AB729" s="442">
        <v>519.03912845694003</v>
      </c>
      <c r="AC729" s="682">
        <v>596.24203522590619</v>
      </c>
      <c r="AD729" s="667"/>
      <c r="AE729" s="667"/>
      <c r="AF729" s="667"/>
      <c r="AG729" s="667"/>
      <c r="BB729" s="707"/>
      <c r="BC729" s="584"/>
      <c r="BD729" s="678"/>
      <c r="BE729" s="585"/>
    </row>
    <row r="730" spans="1:57" s="446" customFormat="1" ht="14.45" hidden="1" customHeight="1" outlineLevel="1" x14ac:dyDescent="0.25">
      <c r="A730" s="2059"/>
      <c r="B730" s="1279"/>
      <c r="C730" s="328"/>
      <c r="D730" s="4016"/>
      <c r="E730" s="3990"/>
      <c r="F730" s="3385" t="str">
        <f t="shared" si="77"/>
        <v>CAC-SEER16_ER2_MF</v>
      </c>
      <c r="G730" s="3386"/>
      <c r="H730" s="3387"/>
      <c r="I730" s="2964" t="str">
        <f t="shared" si="75"/>
        <v>350900_2021_12_</v>
      </c>
      <c r="J730" s="1893"/>
      <c r="K730" s="1229">
        <f t="shared" si="76"/>
        <v>2.5180722891566263</v>
      </c>
      <c r="L730" s="1883"/>
      <c r="M730" s="328"/>
      <c r="N730" s="1544"/>
      <c r="O730" s="328"/>
      <c r="P730" s="353"/>
      <c r="Q730" s="353"/>
      <c r="R730" s="353"/>
      <c r="S730" s="353"/>
      <c r="T730" s="353"/>
      <c r="U730" s="353"/>
      <c r="V730" s="3990"/>
      <c r="W730" s="667"/>
      <c r="X730" s="722"/>
      <c r="Y730" s="723"/>
      <c r="Z730" s="1846"/>
      <c r="AA730" s="667"/>
      <c r="AB730" s="442"/>
      <c r="AC730" s="1893"/>
      <c r="AD730" s="667"/>
      <c r="AE730" s="667"/>
      <c r="AF730" s="667"/>
      <c r="AG730" s="667"/>
      <c r="BB730" s="707"/>
      <c r="BC730" s="584"/>
      <c r="BD730" s="678"/>
      <c r="BE730" s="585"/>
    </row>
    <row r="731" spans="1:57" s="446" customFormat="1" ht="14.45" hidden="1" customHeight="1" outlineLevel="1" x14ac:dyDescent="0.25">
      <c r="A731" s="2059"/>
      <c r="B731" s="1279"/>
      <c r="C731" s="328"/>
      <c r="D731" s="4016"/>
      <c r="E731" s="3990"/>
      <c r="F731" s="3385" t="str">
        <f t="shared" si="77"/>
        <v>CAC-SEER16_ER1_MF_CompE</v>
      </c>
      <c r="G731" s="3386"/>
      <c r="H731" s="3387"/>
      <c r="I731" s="2964" t="str">
        <f t="shared" si="75"/>
        <v>350901_2021_12_</v>
      </c>
      <c r="J731" s="682">
        <f>(($R$216/3*K731)+$R$205)-(($Q$216/3*K731)/((1+$R$218)^($R$219-1)))*J586</f>
        <v>596.24203522590619</v>
      </c>
      <c r="K731" s="1229">
        <f t="shared" si="76"/>
        <v>2.5180722891566263</v>
      </c>
      <c r="L731" s="1883"/>
      <c r="M731" s="328"/>
      <c r="N731" s="1544"/>
      <c r="O731" s="328"/>
      <c r="P731" s="353"/>
      <c r="Q731" s="353"/>
      <c r="R731" s="353"/>
      <c r="S731" s="353"/>
      <c r="T731" s="353"/>
      <c r="U731" s="353"/>
      <c r="V731" s="3990"/>
      <c r="W731" s="667"/>
      <c r="X731" s="722"/>
      <c r="Y731" s="723">
        <v>609.26502607230441</v>
      </c>
      <c r="Z731" s="1846">
        <v>519.03912845694003</v>
      </c>
      <c r="AA731" s="667">
        <v>519.03912845694003</v>
      </c>
      <c r="AB731" s="442">
        <v>519.03912845694003</v>
      </c>
      <c r="AC731" s="682">
        <v>596.24203522590619</v>
      </c>
      <c r="AD731" s="667"/>
      <c r="AE731" s="667"/>
      <c r="AF731" s="667"/>
      <c r="AG731" s="667"/>
      <c r="BB731" s="707"/>
      <c r="BC731" s="584"/>
      <c r="BD731" s="678"/>
      <c r="BE731" s="585"/>
    </row>
    <row r="732" spans="1:57" s="446" customFormat="1" ht="14.45" hidden="1" customHeight="1" outlineLevel="1" x14ac:dyDescent="0.25">
      <c r="A732" s="2059"/>
      <c r="B732" s="1279"/>
      <c r="C732" s="328"/>
      <c r="D732" s="4016"/>
      <c r="E732" s="3990"/>
      <c r="F732" s="3385" t="str">
        <f t="shared" si="77"/>
        <v>CAC-SEER16_ER2_MF_CompE</v>
      </c>
      <c r="G732" s="3386"/>
      <c r="H732" s="3387"/>
      <c r="I732" s="2964" t="str">
        <f t="shared" si="75"/>
        <v>350901_2021_12_</v>
      </c>
      <c r="J732" s="1893"/>
      <c r="K732" s="1229">
        <f t="shared" si="76"/>
        <v>2.5180722891566263</v>
      </c>
      <c r="L732" s="1883"/>
      <c r="M732" s="328"/>
      <c r="N732" s="1544"/>
      <c r="O732" s="328"/>
      <c r="P732" s="353"/>
      <c r="Q732" s="353"/>
      <c r="R732" s="353"/>
      <c r="S732" s="353"/>
      <c r="T732" s="353"/>
      <c r="U732" s="353"/>
      <c r="V732" s="3990"/>
      <c r="W732" s="667"/>
      <c r="X732" s="722"/>
      <c r="Y732" s="723"/>
      <c r="Z732" s="1846"/>
      <c r="AA732" s="667"/>
      <c r="AB732" s="442"/>
      <c r="AC732" s="1893"/>
      <c r="AD732" s="667"/>
      <c r="AE732" s="667"/>
      <c r="AF732" s="667"/>
      <c r="AG732" s="667"/>
      <c r="BB732" s="707"/>
      <c r="BC732" s="584"/>
      <c r="BD732" s="678"/>
      <c r="BE732" s="585"/>
    </row>
    <row r="733" spans="1:57" s="446" customFormat="1" ht="14.45" hidden="1" customHeight="1" outlineLevel="1" x14ac:dyDescent="0.25">
      <c r="A733" s="2059"/>
      <c r="B733" s="1279"/>
      <c r="C733" s="328"/>
      <c r="D733" s="4016"/>
      <c r="E733" s="3990"/>
      <c r="F733" s="3385" t="str">
        <f t="shared" si="77"/>
        <v>CAC-SEER16_ROF_MF</v>
      </c>
      <c r="G733" s="3386"/>
      <c r="H733" s="3387"/>
      <c r="I733" s="2964" t="str">
        <f t="shared" si="75"/>
        <v>350950_2021_12_</v>
      </c>
      <c r="J733" s="1893">
        <f>$R$205*J588</f>
        <v>221</v>
      </c>
      <c r="K733" s="1229">
        <f t="shared" si="76"/>
        <v>2.1</v>
      </c>
      <c r="L733" s="1883"/>
      <c r="M733" s="328"/>
      <c r="N733" s="1544"/>
      <c r="O733" s="328"/>
      <c r="P733" s="353"/>
      <c r="Q733" s="353"/>
      <c r="R733" s="353"/>
      <c r="S733" s="353"/>
      <c r="T733" s="353"/>
      <c r="U733" s="353"/>
      <c r="V733" s="3990"/>
      <c r="W733" s="442">
        <v>640.9</v>
      </c>
      <c r="X733" s="723">
        <f>(X$300/12000)*$R$205*X$588</f>
        <v>450.4900833333333</v>
      </c>
      <c r="Y733" s="723">
        <v>221</v>
      </c>
      <c r="Z733" s="682">
        <v>221</v>
      </c>
      <c r="AA733" s="442">
        <v>221</v>
      </c>
      <c r="AB733" s="442">
        <v>221</v>
      </c>
      <c r="AC733" s="1893">
        <v>221</v>
      </c>
      <c r="AD733" s="442"/>
      <c r="AE733" s="442"/>
      <c r="AF733" s="442"/>
      <c r="AG733" s="442"/>
      <c r="BB733" s="707"/>
      <c r="BC733" s="584"/>
      <c r="BD733" s="678"/>
      <c r="BE733" s="585"/>
    </row>
    <row r="734" spans="1:57" s="446" customFormat="1" ht="14.45" hidden="1" customHeight="1" outlineLevel="1" x14ac:dyDescent="0.25">
      <c r="A734" s="2059"/>
      <c r="B734" s="1279"/>
      <c r="C734" s="328"/>
      <c r="D734" s="4016"/>
      <c r="E734" s="3990"/>
      <c r="F734" s="3385" t="str">
        <f t="shared" si="77"/>
        <v>CAC-SEER16_ROF_MF_CompE</v>
      </c>
      <c r="G734" s="3386"/>
      <c r="H734" s="3387"/>
      <c r="I734" s="2964" t="str">
        <f t="shared" si="75"/>
        <v>350951_2021_12_</v>
      </c>
      <c r="J734" s="1893">
        <f>$R$205*J589</f>
        <v>221</v>
      </c>
      <c r="K734" s="1229">
        <f t="shared" si="76"/>
        <v>2.1</v>
      </c>
      <c r="L734" s="1883"/>
      <c r="M734" s="328"/>
      <c r="N734" s="1544"/>
      <c r="O734" s="328"/>
      <c r="P734" s="353"/>
      <c r="Q734" s="353"/>
      <c r="R734" s="353"/>
      <c r="S734" s="353"/>
      <c r="T734" s="353"/>
      <c r="U734" s="353"/>
      <c r="V734" s="3990"/>
      <c r="W734" s="442"/>
      <c r="X734" s="723"/>
      <c r="Y734" s="723">
        <v>221</v>
      </c>
      <c r="Z734" s="682">
        <v>221</v>
      </c>
      <c r="AA734" s="442">
        <v>221</v>
      </c>
      <c r="AB734" s="442">
        <v>221</v>
      </c>
      <c r="AC734" s="1893">
        <v>221</v>
      </c>
      <c r="AD734" s="442"/>
      <c r="AE734" s="442"/>
      <c r="AF734" s="442"/>
      <c r="AG734" s="442"/>
      <c r="BB734" s="707"/>
      <c r="BC734" s="584"/>
      <c r="BD734" s="678"/>
      <c r="BE734" s="585"/>
    </row>
    <row r="735" spans="1:57" s="446" customFormat="1" ht="14.45" hidden="1" customHeight="1" outlineLevel="1" x14ac:dyDescent="0.25">
      <c r="A735" s="2059"/>
      <c r="B735" s="1279"/>
      <c r="C735" s="328"/>
      <c r="D735" s="4016"/>
      <c r="E735" s="3990"/>
      <c r="F735" s="3385" t="str">
        <f t="shared" si="77"/>
        <v>CAC-SEER17_ER1_SF</v>
      </c>
      <c r="G735" s="3386"/>
      <c r="H735" s="3387"/>
      <c r="I735" s="2964" t="str">
        <f t="shared" si="75"/>
        <v>351000_2021_12_</v>
      </c>
      <c r="J735" s="682">
        <f>(($R$216/3*K735)+$R$206)-(($Q$216/3*K735)/((1+$R$218)^($R$219-1)))*J590</f>
        <v>1055.0097130498366</v>
      </c>
      <c r="K735" s="1229">
        <f t="shared" si="76"/>
        <v>2.9191449814126398</v>
      </c>
      <c r="L735" s="1883"/>
      <c r="M735" s="328"/>
      <c r="N735" s="1544"/>
      <c r="O735" s="328"/>
      <c r="P735" s="353"/>
      <c r="Q735" s="353"/>
      <c r="R735" s="353"/>
      <c r="S735" s="353"/>
      <c r="T735" s="353"/>
      <c r="U735" s="353"/>
      <c r="V735" s="3990"/>
      <c r="W735" s="667">
        <v>1910.786999395481</v>
      </c>
      <c r="X735" s="723">
        <f>$Q$206*(X$306/12000)*X$590</f>
        <v>3307.881947324769</v>
      </c>
      <c r="Y735" s="723">
        <v>998.0454898906255</v>
      </c>
      <c r="Z735" s="1846">
        <v>1075.9998665391181</v>
      </c>
      <c r="AA735" s="667">
        <v>1075.9998665391181</v>
      </c>
      <c r="AB735" s="442">
        <v>1075.9998665391181</v>
      </c>
      <c r="AC735" s="682">
        <v>1055.0097130498366</v>
      </c>
      <c r="AD735" s="667"/>
      <c r="AE735" s="667"/>
      <c r="AF735" s="667"/>
      <c r="AG735" s="667"/>
      <c r="BB735" s="707"/>
      <c r="BC735" s="584"/>
      <c r="BD735" s="678"/>
      <c r="BE735" s="585"/>
    </row>
    <row r="736" spans="1:57" s="446" customFormat="1" ht="14.45" hidden="1" customHeight="1" outlineLevel="1" x14ac:dyDescent="0.25">
      <c r="A736" s="2059"/>
      <c r="B736" s="1279"/>
      <c r="C736" s="328"/>
      <c r="D736" s="4016"/>
      <c r="E736" s="3990"/>
      <c r="F736" s="3385" t="str">
        <f t="shared" si="77"/>
        <v>CAC-SEER17_ER2_SF</v>
      </c>
      <c r="G736" s="3386"/>
      <c r="H736" s="3387"/>
      <c r="I736" s="2964" t="str">
        <f t="shared" si="75"/>
        <v>351000_2021_12_</v>
      </c>
      <c r="J736" s="1893"/>
      <c r="K736" s="1229">
        <f t="shared" si="76"/>
        <v>2.9191449814126398</v>
      </c>
      <c r="L736" s="1883"/>
      <c r="M736" s="328"/>
      <c r="N736" s="1544"/>
      <c r="O736" s="328"/>
      <c r="P736" s="353"/>
      <c r="Q736" s="353"/>
      <c r="R736" s="353"/>
      <c r="S736" s="353"/>
      <c r="T736" s="353"/>
      <c r="U736" s="353"/>
      <c r="V736" s="3990"/>
      <c r="W736" s="667"/>
      <c r="X736" s="722"/>
      <c r="Y736" s="723"/>
      <c r="Z736" s="1846"/>
      <c r="AA736" s="667"/>
      <c r="AB736" s="442"/>
      <c r="AC736" s="1893"/>
      <c r="AD736" s="667"/>
      <c r="AE736" s="667"/>
      <c r="AF736" s="667"/>
      <c r="AG736" s="667"/>
      <c r="BB736" s="707"/>
      <c r="BC736" s="584"/>
      <c r="BD736" s="678"/>
      <c r="BE736" s="585"/>
    </row>
    <row r="737" spans="1:57" s="446" customFormat="1" ht="14.45" hidden="1" customHeight="1" outlineLevel="1" x14ac:dyDescent="0.25">
      <c r="A737" s="2059"/>
      <c r="B737" s="1279"/>
      <c r="C737" s="328"/>
      <c r="D737" s="4016"/>
      <c r="E737" s="3990"/>
      <c r="F737" s="3385" t="str">
        <f t="shared" si="77"/>
        <v>CAC-SEER17_ROF_SF</v>
      </c>
      <c r="G737" s="3386"/>
      <c r="H737" s="3387"/>
      <c r="I737" s="2964" t="str">
        <f t="shared" si="75"/>
        <v>351050_2021_12_</v>
      </c>
      <c r="J737" s="1893">
        <f>$R$206*J592</f>
        <v>620</v>
      </c>
      <c r="K737" s="1229">
        <f t="shared" si="76"/>
        <v>3.0298913043478262</v>
      </c>
      <c r="L737" s="1883"/>
      <c r="M737" s="328"/>
      <c r="N737" s="1544"/>
      <c r="O737" s="328"/>
      <c r="P737" s="353"/>
      <c r="Q737" s="353"/>
      <c r="R737" s="353"/>
      <c r="S737" s="353"/>
      <c r="T737" s="353"/>
      <c r="U737" s="353"/>
      <c r="V737" s="3990"/>
      <c r="W737" s="667">
        <v>1171.5999999999999</v>
      </c>
      <c r="X737" s="723">
        <f>(X$309/12000)*$R$206*X$592</f>
        <v>1798</v>
      </c>
      <c r="Y737" s="723">
        <v>404</v>
      </c>
      <c r="Z737" s="1846">
        <v>620</v>
      </c>
      <c r="AA737" s="667">
        <v>620</v>
      </c>
      <c r="AB737" s="442">
        <v>620</v>
      </c>
      <c r="AC737" s="1893">
        <v>620</v>
      </c>
      <c r="AD737" s="667"/>
      <c r="AE737" s="667"/>
      <c r="AF737" s="667"/>
      <c r="AG737" s="667"/>
      <c r="BB737" s="707"/>
      <c r="BC737" s="584"/>
      <c r="BD737" s="678"/>
      <c r="BE737" s="585"/>
    </row>
    <row r="738" spans="1:57" s="446" customFormat="1" ht="14.45" hidden="1" customHeight="1" outlineLevel="1" x14ac:dyDescent="0.25">
      <c r="A738" s="2059"/>
      <c r="B738" s="1279"/>
      <c r="C738" s="328"/>
      <c r="D738" s="4016"/>
      <c r="E738" s="3990"/>
      <c r="F738" s="3385" t="str">
        <f t="shared" si="77"/>
        <v>CAC-SEER17_ER1_MF</v>
      </c>
      <c r="G738" s="3386"/>
      <c r="H738" s="3387"/>
      <c r="I738" s="2964" t="str">
        <f t="shared" si="75"/>
        <v>351100_2021_12_</v>
      </c>
      <c r="J738" s="682">
        <f>(($R$216/3*K738)+$R$206)-(($Q$216/3*K738)/((1+$R$218)^($R$219-1)))*J593</f>
        <v>1001.8626333354541</v>
      </c>
      <c r="K738" s="1229">
        <f t="shared" si="76"/>
        <v>2.5625</v>
      </c>
      <c r="L738" s="1883"/>
      <c r="M738" s="328"/>
      <c r="N738" s="1544"/>
      <c r="O738" s="328"/>
      <c r="P738" s="353"/>
      <c r="Q738" s="353"/>
      <c r="R738" s="353"/>
      <c r="S738" s="353"/>
      <c r="T738" s="353"/>
      <c r="U738" s="353"/>
      <c r="V738" s="3990"/>
      <c r="W738" s="667">
        <v>1910.786999395481</v>
      </c>
      <c r="X738" s="723">
        <f>(X$305/12000)*$Q$206*X$593</f>
        <v>3307.881947324769</v>
      </c>
      <c r="Y738" s="723">
        <v>792.26502607230441</v>
      </c>
      <c r="Z738" s="1846">
        <v>918.03912845694003</v>
      </c>
      <c r="AA738" s="667">
        <v>918.03912845694003</v>
      </c>
      <c r="AB738" s="442">
        <v>918.03912845694003</v>
      </c>
      <c r="AC738" s="682">
        <v>1001.8626333354541</v>
      </c>
      <c r="AD738" s="667"/>
      <c r="AE738" s="667"/>
      <c r="AF738" s="667"/>
      <c r="AG738" s="667"/>
      <c r="BB738" s="707"/>
      <c r="BC738" s="584"/>
      <c r="BD738" s="678"/>
      <c r="BE738" s="585"/>
    </row>
    <row r="739" spans="1:57" s="446" customFormat="1" ht="14.45" hidden="1" customHeight="1" outlineLevel="1" x14ac:dyDescent="0.25">
      <c r="A739" s="2059"/>
      <c r="B739" s="1279"/>
      <c r="C739" s="328"/>
      <c r="D739" s="4016"/>
      <c r="E739" s="3990"/>
      <c r="F739" s="3385" t="str">
        <f t="shared" si="77"/>
        <v>CAC-SEER17_ER2_MF</v>
      </c>
      <c r="G739" s="3386"/>
      <c r="H739" s="3387"/>
      <c r="I739" s="2964" t="str">
        <f t="shared" si="75"/>
        <v>351100_2021_12_</v>
      </c>
      <c r="J739" s="1893"/>
      <c r="K739" s="1229">
        <f t="shared" si="76"/>
        <v>2.5625</v>
      </c>
      <c r="L739" s="1883"/>
      <c r="M739" s="328"/>
      <c r="N739" s="1544"/>
      <c r="O739" s="328"/>
      <c r="P739" s="353"/>
      <c r="Q739" s="353"/>
      <c r="R739" s="353"/>
      <c r="S739" s="353"/>
      <c r="T739" s="353"/>
      <c r="U739" s="353"/>
      <c r="V739" s="3990"/>
      <c r="W739" s="667"/>
      <c r="X739" s="722"/>
      <c r="Y739" s="723"/>
      <c r="Z739" s="1846"/>
      <c r="AA739" s="667"/>
      <c r="AB739" s="442"/>
      <c r="AC739" s="1893"/>
      <c r="AD739" s="667"/>
      <c r="AE739" s="667"/>
      <c r="AF739" s="667"/>
      <c r="AG739" s="667"/>
      <c r="BB739" s="707"/>
      <c r="BC739" s="584"/>
      <c r="BD739" s="678"/>
      <c r="BE739" s="585"/>
    </row>
    <row r="740" spans="1:57" s="446" customFormat="1" ht="14.45" hidden="1" customHeight="1" outlineLevel="1" x14ac:dyDescent="0.25">
      <c r="A740" s="2059"/>
      <c r="B740" s="1279"/>
      <c r="C740" s="328"/>
      <c r="D740" s="4016"/>
      <c r="E740" s="3990"/>
      <c r="F740" s="3385" t="str">
        <f t="shared" si="77"/>
        <v>CAC-SEER17_ER1_MF_CompE</v>
      </c>
      <c r="G740" s="3386"/>
      <c r="H740" s="3387"/>
      <c r="I740" s="2965" t="str">
        <f t="shared" si="75"/>
        <v>351101_2021_12_</v>
      </c>
      <c r="J740" s="682">
        <f>(($R$216/3*K740)+$R$206)-(($Q$216/3*K740)/((1+$R$218)^($R$219-1)))*J595</f>
        <v>1001.8626333354541</v>
      </c>
      <c r="K740" s="1229">
        <f t="shared" ref="K740:K771" si="78">K307*J595</f>
        <v>2.5625</v>
      </c>
      <c r="L740" s="1885"/>
      <c r="M740" s="328"/>
      <c r="N740" s="1544"/>
      <c r="O740" s="328"/>
      <c r="P740" s="353"/>
      <c r="Q740" s="353"/>
      <c r="R740" s="353"/>
      <c r="S740" s="353"/>
      <c r="T740" s="353"/>
      <c r="U740" s="353"/>
      <c r="V740" s="3990"/>
      <c r="W740" s="724"/>
      <c r="X740" s="725"/>
      <c r="Y740" s="726">
        <v>792.26502607230441</v>
      </c>
      <c r="Z740" s="1903">
        <v>918.03912845694003</v>
      </c>
      <c r="AA740" s="724">
        <v>918.03912845694003</v>
      </c>
      <c r="AB740" s="736">
        <v>918.03912845694003</v>
      </c>
      <c r="AC740" s="682">
        <v>1001.8626333354541</v>
      </c>
      <c r="AD740" s="724"/>
      <c r="AE740" s="724"/>
      <c r="AF740" s="724"/>
      <c r="AG740" s="724"/>
      <c r="BB740" s="707"/>
      <c r="BC740" s="584"/>
      <c r="BD740" s="678"/>
      <c r="BE740" s="585"/>
    </row>
    <row r="741" spans="1:57" s="446" customFormat="1" ht="14.45" hidden="1" customHeight="1" outlineLevel="1" x14ac:dyDescent="0.25">
      <c r="A741" s="2059"/>
      <c r="B741" s="1279"/>
      <c r="C741" s="328"/>
      <c r="D741" s="4016"/>
      <c r="E741" s="3990"/>
      <c r="F741" s="3385" t="str">
        <f t="shared" si="77"/>
        <v>CAC-SEER17_ER2_MF_CompE</v>
      </c>
      <c r="G741" s="3386"/>
      <c r="H741" s="3387"/>
      <c r="I741" s="2965" t="str">
        <f t="shared" si="75"/>
        <v>351101_2021_12_</v>
      </c>
      <c r="J741" s="1894"/>
      <c r="K741" s="1229">
        <f t="shared" si="78"/>
        <v>2.5625</v>
      </c>
      <c r="L741" s="1885"/>
      <c r="M741" s="328"/>
      <c r="N741" s="1544"/>
      <c r="O741" s="328"/>
      <c r="P741" s="353"/>
      <c r="Q741" s="353"/>
      <c r="R741" s="353"/>
      <c r="S741" s="353"/>
      <c r="T741" s="353"/>
      <c r="U741" s="353"/>
      <c r="V741" s="3990"/>
      <c r="W741" s="724"/>
      <c r="X741" s="725"/>
      <c r="Y741" s="726"/>
      <c r="Z741" s="1903"/>
      <c r="AA741" s="724"/>
      <c r="AB741" s="736"/>
      <c r="AC741" s="1894"/>
      <c r="AD741" s="724"/>
      <c r="AE741" s="724"/>
      <c r="AF741" s="724"/>
      <c r="AG741" s="724"/>
      <c r="BB741" s="707"/>
      <c r="BC741" s="584"/>
      <c r="BD741" s="678"/>
      <c r="BE741" s="585"/>
    </row>
    <row r="742" spans="1:57" s="446" customFormat="1" ht="14.45" hidden="1" customHeight="1" outlineLevel="1" x14ac:dyDescent="0.25">
      <c r="A742" s="2059"/>
      <c r="B742" s="1279"/>
      <c r="C742" s="328"/>
      <c r="D742" s="4016"/>
      <c r="E742" s="3990"/>
      <c r="F742" s="3385" t="str">
        <f t="shared" si="77"/>
        <v>CAC-SEER17_ROF_MF</v>
      </c>
      <c r="G742" s="3386"/>
      <c r="H742" s="3387"/>
      <c r="I742" s="2965" t="str">
        <f t="shared" si="75"/>
        <v>351150_2021_12_</v>
      </c>
      <c r="J742" s="1893">
        <f>$R$206*J597</f>
        <v>620</v>
      </c>
      <c r="K742" s="1229">
        <f t="shared" si="78"/>
        <v>2.75</v>
      </c>
      <c r="L742" s="1885"/>
      <c r="M742" s="328"/>
      <c r="N742" s="1544"/>
      <c r="O742" s="328"/>
      <c r="P742" s="353"/>
      <c r="Q742" s="353"/>
      <c r="R742" s="353"/>
      <c r="S742" s="353"/>
      <c r="T742" s="353"/>
      <c r="U742" s="353"/>
      <c r="V742" s="3990"/>
      <c r="W742" s="724">
        <v>1171.5999999999999</v>
      </c>
      <c r="X742" s="726">
        <f>(X$309/12000)*$R$206*X$597</f>
        <v>1798</v>
      </c>
      <c r="Y742" s="726">
        <v>404</v>
      </c>
      <c r="Z742" s="1903">
        <v>620</v>
      </c>
      <c r="AA742" s="724">
        <v>620</v>
      </c>
      <c r="AB742" s="736">
        <v>620</v>
      </c>
      <c r="AC742" s="1893">
        <v>620</v>
      </c>
      <c r="AD742" s="724"/>
      <c r="AE742" s="724"/>
      <c r="AF742" s="724"/>
      <c r="AG742" s="724"/>
      <c r="BB742" s="707"/>
      <c r="BC742" s="584"/>
      <c r="BD742" s="678"/>
      <c r="BE742" s="585"/>
    </row>
    <row r="743" spans="1:57" s="446" customFormat="1" ht="14.45" hidden="1" customHeight="1" outlineLevel="1" x14ac:dyDescent="0.25">
      <c r="A743" s="2059"/>
      <c r="B743" s="1279"/>
      <c r="C743" s="328"/>
      <c r="D743" s="4017"/>
      <c r="E743" s="4005"/>
      <c r="F743" s="3385" t="str">
        <f t="shared" si="77"/>
        <v>CAC-SEER17_ROF_MF_CompE</v>
      </c>
      <c r="G743" s="3386"/>
      <c r="H743" s="3387"/>
      <c r="I743" s="2964" t="str">
        <f t="shared" si="75"/>
        <v>351151_2021_12_</v>
      </c>
      <c r="J743" s="1893">
        <f>$R$206*J598</f>
        <v>620</v>
      </c>
      <c r="K743" s="1229">
        <f t="shared" si="78"/>
        <v>2.75</v>
      </c>
      <c r="L743" s="1883"/>
      <c r="M743" s="328"/>
      <c r="N743" s="1544"/>
      <c r="O743" s="328"/>
      <c r="P743" s="353"/>
      <c r="Q743" s="353"/>
      <c r="R743" s="353"/>
      <c r="S743" s="353"/>
      <c r="T743" s="353"/>
      <c r="U743" s="353"/>
      <c r="V743" s="4005"/>
      <c r="W743" s="667"/>
      <c r="X743" s="723"/>
      <c r="Y743" s="723">
        <v>404</v>
      </c>
      <c r="Z743" s="1846">
        <v>620</v>
      </c>
      <c r="AA743" s="667">
        <v>620</v>
      </c>
      <c r="AB743" s="442">
        <v>620</v>
      </c>
      <c r="AC743" s="1893">
        <v>620</v>
      </c>
      <c r="AD743" s="667"/>
      <c r="AE743" s="667"/>
      <c r="AF743" s="667"/>
      <c r="AG743" s="667"/>
      <c r="BB743" s="707"/>
      <c r="BC743" s="584"/>
      <c r="BD743" s="678"/>
      <c r="BE743" s="585"/>
    </row>
    <row r="744" spans="1:57" s="446" customFormat="1" ht="14.45" hidden="1" customHeight="1" outlineLevel="1" x14ac:dyDescent="0.25">
      <c r="A744" s="2059"/>
      <c r="B744" s="1279"/>
      <c r="C744" s="328"/>
      <c r="D744" s="4018"/>
      <c r="E744" s="4006"/>
      <c r="F744" s="3391" t="str">
        <f t="shared" si="77"/>
        <v>CAC-SEER18_ER1_SF</v>
      </c>
      <c r="G744" s="3392"/>
      <c r="H744" s="3393"/>
      <c r="I744" s="2964" t="str">
        <f t="shared" si="75"/>
        <v>351160_2021_12_</v>
      </c>
      <c r="J744" s="682">
        <f>(($R$216/3*K744)+$R$207)-(($Q$216/3*K744)/((1+$R$218)^($R$219-1)))*J599</f>
        <v>1309.7244675645725</v>
      </c>
      <c r="K744" s="1229">
        <f t="shared" si="78"/>
        <v>3.2415730337078652</v>
      </c>
      <c r="L744" s="1883"/>
      <c r="M744" s="328"/>
      <c r="N744" s="1544"/>
      <c r="O744" s="328"/>
      <c r="P744" s="353"/>
      <c r="Q744" s="353"/>
      <c r="R744" s="353"/>
      <c r="S744" s="353"/>
      <c r="T744" s="353"/>
      <c r="U744" s="353"/>
      <c r="V744" s="4005"/>
      <c r="W744" s="720"/>
      <c r="X744" s="721"/>
      <c r="Y744" s="721"/>
      <c r="Z744" s="1907">
        <v>1273.7253593520768</v>
      </c>
      <c r="AA744" s="1565">
        <v>1273.7253593520768</v>
      </c>
      <c r="AB744" s="1565">
        <v>1273.7253593520768</v>
      </c>
      <c r="AC744" s="682">
        <v>1309.7244675645725</v>
      </c>
      <c r="AD744" s="720"/>
      <c r="AE744" s="720"/>
      <c r="AF744" s="720"/>
      <c r="AG744" s="720"/>
      <c r="BB744" s="707"/>
      <c r="BC744" s="584"/>
      <c r="BD744" s="678"/>
      <c r="BE744" s="585"/>
    </row>
    <row r="745" spans="1:57" s="446" customFormat="1" ht="14.45" hidden="1" customHeight="1" outlineLevel="1" x14ac:dyDescent="0.25">
      <c r="A745" s="2059"/>
      <c r="B745" s="1279"/>
      <c r="C745" s="328"/>
      <c r="D745" s="4018"/>
      <c r="E745" s="4006"/>
      <c r="F745" s="3391" t="str">
        <f t="shared" si="77"/>
        <v>CAC-SEER18_ER2_SF</v>
      </c>
      <c r="G745" s="3392"/>
      <c r="H745" s="3393"/>
      <c r="I745" s="2964" t="str">
        <f t="shared" si="75"/>
        <v>351160_2021_12_</v>
      </c>
      <c r="J745" s="1892"/>
      <c r="K745" s="1229">
        <f t="shared" si="78"/>
        <v>3.2415730337078652</v>
      </c>
      <c r="L745" s="1883"/>
      <c r="M745" s="328"/>
      <c r="N745" s="1544"/>
      <c r="O745" s="328"/>
      <c r="P745" s="353"/>
      <c r="Q745" s="353"/>
      <c r="R745" s="353"/>
      <c r="S745" s="353"/>
      <c r="T745" s="353"/>
      <c r="U745" s="353"/>
      <c r="V745" s="4005"/>
      <c r="W745" s="667"/>
      <c r="X745" s="722"/>
      <c r="Y745" s="723"/>
      <c r="Z745" s="1904"/>
      <c r="AA745" s="2211"/>
      <c r="AB745" s="2211"/>
      <c r="AC745" s="1892"/>
      <c r="AD745" s="667"/>
      <c r="AE745" s="667"/>
      <c r="AF745" s="667"/>
      <c r="AG745" s="667"/>
      <c r="BB745" s="707"/>
      <c r="BC745" s="584"/>
      <c r="BD745" s="678"/>
      <c r="BE745" s="585"/>
    </row>
    <row r="746" spans="1:57" s="446" customFormat="1" ht="14.45" hidden="1" customHeight="1" outlineLevel="1" x14ac:dyDescent="0.25">
      <c r="A746" s="2059"/>
      <c r="B746" s="1279"/>
      <c r="C746" s="328"/>
      <c r="D746" s="4018"/>
      <c r="E746" s="4006"/>
      <c r="F746" s="3391" t="str">
        <f t="shared" si="77"/>
        <v>CAC-SEER18_ROF_SF</v>
      </c>
      <c r="G746" s="3392"/>
      <c r="H746" s="3393"/>
      <c r="I746" s="2964" t="str">
        <f t="shared" si="75"/>
        <v>351161_2021_12_</v>
      </c>
      <c r="J746" s="1893">
        <f>$R$207*J601</f>
        <v>826.66666666666708</v>
      </c>
      <c r="K746" s="1229">
        <f t="shared" si="78"/>
        <v>3.1730769230769234</v>
      </c>
      <c r="L746" s="1883"/>
      <c r="M746" s="328"/>
      <c r="N746" s="1544"/>
      <c r="O746" s="328"/>
      <c r="P746" s="353"/>
      <c r="Q746" s="353"/>
      <c r="R746" s="353"/>
      <c r="S746" s="353"/>
      <c r="T746" s="353"/>
      <c r="U746" s="353"/>
      <c r="V746" s="4005"/>
      <c r="W746" s="667"/>
      <c r="X746" s="722"/>
      <c r="Y746" s="723"/>
      <c r="Z746" s="682">
        <v>826.66666666666708</v>
      </c>
      <c r="AA746" s="442">
        <v>826.66666666666708</v>
      </c>
      <c r="AB746" s="442">
        <v>826.66666666666708</v>
      </c>
      <c r="AC746" s="1893">
        <v>826.66666666666708</v>
      </c>
      <c r="AD746" s="667"/>
      <c r="AE746" s="667"/>
      <c r="AF746" s="667"/>
      <c r="AG746" s="667"/>
      <c r="BB746" s="707"/>
      <c r="BC746" s="584"/>
      <c r="BD746" s="678"/>
      <c r="BE746" s="585"/>
    </row>
    <row r="747" spans="1:57" s="446" customFormat="1" ht="14.45" hidden="1" customHeight="1" outlineLevel="1" x14ac:dyDescent="0.25">
      <c r="A747" s="2059"/>
      <c r="B747" s="1279"/>
      <c r="C747" s="328"/>
      <c r="D747" s="4018"/>
      <c r="E747" s="4006"/>
      <c r="F747" s="3385" t="str">
        <f t="shared" si="77"/>
        <v>CAC-SEER18_ER1_MF</v>
      </c>
      <c r="G747" s="3386"/>
      <c r="H747" s="3387"/>
      <c r="I747" s="2964" t="str">
        <f t="shared" si="75"/>
        <v>351162_2021_12_</v>
      </c>
      <c r="J747" s="682">
        <f>(($R$216/3*K747)+$R$207)-(($Q$216/3*K747)/((1+$R$218)^$R$219))*J602</f>
        <v>1409.0642057751234</v>
      </c>
      <c r="K747" s="1229">
        <f t="shared" si="78"/>
        <v>3</v>
      </c>
      <c r="L747" s="1883"/>
      <c r="M747" s="328"/>
      <c r="N747" s="1544"/>
      <c r="O747" s="328"/>
      <c r="P747" s="353"/>
      <c r="Q747" s="353"/>
      <c r="R747" s="353"/>
      <c r="S747" s="353"/>
      <c r="T747" s="353"/>
      <c r="U747" s="353"/>
      <c r="V747" s="4005"/>
      <c r="W747" s="667"/>
      <c r="X747" s="723"/>
      <c r="Y747" s="723"/>
      <c r="Z747" s="682">
        <v>1214.9316927389714</v>
      </c>
      <c r="AA747" s="442">
        <v>1214.9316927389714</v>
      </c>
      <c r="AB747" s="442">
        <v>1214.9316927389714</v>
      </c>
      <c r="AC747" s="682">
        <v>1409.0642057751234</v>
      </c>
      <c r="AD747" s="667"/>
      <c r="AE747" s="667"/>
      <c r="AF747" s="667"/>
      <c r="AG747" s="667"/>
      <c r="BB747" s="707"/>
      <c r="BC747" s="584"/>
      <c r="BD747" s="678"/>
      <c r="BE747" s="585"/>
    </row>
    <row r="748" spans="1:57" s="446" customFormat="1" ht="14.45" hidden="1" customHeight="1" outlineLevel="1" x14ac:dyDescent="0.25">
      <c r="A748" s="2059"/>
      <c r="B748" s="1279"/>
      <c r="C748" s="328"/>
      <c r="D748" s="4018"/>
      <c r="E748" s="4006"/>
      <c r="F748" s="3385" t="str">
        <f t="shared" si="77"/>
        <v>CAC-SEER18_ER2_MF</v>
      </c>
      <c r="G748" s="3386"/>
      <c r="H748" s="3387"/>
      <c r="I748" s="2964" t="str">
        <f t="shared" si="75"/>
        <v>351162_2021_12_</v>
      </c>
      <c r="J748" s="1893"/>
      <c r="K748" s="1229">
        <f t="shared" si="78"/>
        <v>3</v>
      </c>
      <c r="L748" s="1883"/>
      <c r="M748" s="328"/>
      <c r="N748" s="1544"/>
      <c r="O748" s="328"/>
      <c r="P748" s="353"/>
      <c r="Q748" s="353"/>
      <c r="R748" s="353"/>
      <c r="S748" s="353"/>
      <c r="T748" s="353"/>
      <c r="U748" s="353"/>
      <c r="V748" s="4005"/>
      <c r="W748" s="667"/>
      <c r="X748" s="722"/>
      <c r="Y748" s="723"/>
      <c r="Z748" s="682"/>
      <c r="AA748" s="442"/>
      <c r="AB748" s="442"/>
      <c r="AC748" s="1893"/>
      <c r="AD748" s="667"/>
      <c r="AE748" s="667"/>
      <c r="AF748" s="667"/>
      <c r="AG748" s="667"/>
      <c r="BB748" s="707"/>
      <c r="BC748" s="584"/>
      <c r="BD748" s="678"/>
      <c r="BE748" s="585"/>
    </row>
    <row r="749" spans="1:57" s="446" customFormat="1" ht="14.45" hidden="1" customHeight="1" outlineLevel="1" x14ac:dyDescent="0.25">
      <c r="A749" s="2059"/>
      <c r="B749" s="1279"/>
      <c r="C749" s="328"/>
      <c r="D749" s="4018"/>
      <c r="E749" s="4006"/>
      <c r="F749" s="3385" t="str">
        <f t="shared" si="77"/>
        <v>CAC-SEER18_ER1_MF_CompE</v>
      </c>
      <c r="G749" s="3386"/>
      <c r="H749" s="3387"/>
      <c r="I749" s="2964" t="str">
        <f t="shared" si="75"/>
        <v>351163_2021_12_</v>
      </c>
      <c r="J749" s="682">
        <f>(($R$216/3*K749)+$R$207)-(($Q$216/3*K749)/((1+$R$218)^($R$219-1)))*J604</f>
        <v>1273.7253593520768</v>
      </c>
      <c r="K749" s="1229">
        <f t="shared" si="78"/>
        <v>3</v>
      </c>
      <c r="L749" s="1883"/>
      <c r="M749" s="328"/>
      <c r="N749" s="1544"/>
      <c r="O749" s="328"/>
      <c r="P749" s="353"/>
      <c r="Q749" s="353"/>
      <c r="R749" s="353"/>
      <c r="S749" s="353"/>
      <c r="T749" s="353"/>
      <c r="U749" s="353"/>
      <c r="V749" s="4005"/>
      <c r="W749" s="667"/>
      <c r="X749" s="722"/>
      <c r="Y749" s="723"/>
      <c r="Z749" s="682">
        <v>1124.705795123607</v>
      </c>
      <c r="AA749" s="442">
        <v>1124.705795123607</v>
      </c>
      <c r="AB749" s="442">
        <v>1124.705795123607</v>
      </c>
      <c r="AC749" s="682">
        <v>1273.7253593520768</v>
      </c>
      <c r="AD749" s="667"/>
      <c r="AE749" s="667"/>
      <c r="AF749" s="667"/>
      <c r="AG749" s="667"/>
      <c r="BB749" s="707"/>
      <c r="BC749" s="584"/>
      <c r="BD749" s="678"/>
      <c r="BE749" s="585"/>
    </row>
    <row r="750" spans="1:57" s="446" customFormat="1" ht="14.45" hidden="1" customHeight="1" outlineLevel="1" x14ac:dyDescent="0.25">
      <c r="A750" s="2059"/>
      <c r="B750" s="1279"/>
      <c r="C750" s="328"/>
      <c r="D750" s="4018"/>
      <c r="E750" s="4006"/>
      <c r="F750" s="3385" t="str">
        <f t="shared" si="77"/>
        <v>CAC-SEER18_ER2_MF_CompE</v>
      </c>
      <c r="G750" s="3386"/>
      <c r="H750" s="3387"/>
      <c r="I750" s="2964" t="str">
        <f t="shared" si="75"/>
        <v>351163_2021_12_</v>
      </c>
      <c r="J750" s="1893"/>
      <c r="K750" s="1229">
        <f t="shared" si="78"/>
        <v>3</v>
      </c>
      <c r="L750" s="1883"/>
      <c r="M750" s="328"/>
      <c r="N750" s="1544"/>
      <c r="O750" s="328"/>
      <c r="P750" s="353"/>
      <c r="Q750" s="353"/>
      <c r="R750" s="353"/>
      <c r="S750" s="353"/>
      <c r="T750" s="353"/>
      <c r="U750" s="353"/>
      <c r="V750" s="4005"/>
      <c r="W750" s="667"/>
      <c r="X750" s="722"/>
      <c r="Y750" s="723"/>
      <c r="Z750" s="682"/>
      <c r="AA750" s="442"/>
      <c r="AB750" s="442"/>
      <c r="AC750" s="1893"/>
      <c r="AD750" s="667"/>
      <c r="AE750" s="667"/>
      <c r="AF750" s="667"/>
      <c r="AG750" s="667"/>
      <c r="BB750" s="707"/>
      <c r="BC750" s="584"/>
      <c r="BD750" s="678"/>
      <c r="BE750" s="585"/>
    </row>
    <row r="751" spans="1:57" s="446" customFormat="1" ht="14.25" hidden="1" customHeight="1" outlineLevel="1" x14ac:dyDescent="0.25">
      <c r="A751" s="2059"/>
      <c r="B751" s="1279"/>
      <c r="C751" s="328"/>
      <c r="D751" s="4018"/>
      <c r="E751" s="4006"/>
      <c r="F751" s="3385" t="str">
        <f t="shared" si="77"/>
        <v>CAC-SEER18_ROF_MF</v>
      </c>
      <c r="G751" s="3386"/>
      <c r="H751" s="3387"/>
      <c r="I751" s="2964" t="str">
        <f t="shared" si="75"/>
        <v>351164_2021_12_</v>
      </c>
      <c r="J751" s="1893">
        <f>$R$207*J606</f>
        <v>826.66666666666708</v>
      </c>
      <c r="K751" s="1229">
        <f t="shared" si="78"/>
        <v>2</v>
      </c>
      <c r="L751" s="1883"/>
      <c r="M751" s="328"/>
      <c r="N751" s="1544"/>
      <c r="O751" s="328"/>
      <c r="P751" s="353"/>
      <c r="Q751" s="353"/>
      <c r="R751" s="353"/>
      <c r="S751" s="353"/>
      <c r="T751" s="353"/>
      <c r="U751" s="353"/>
      <c r="V751" s="4005"/>
      <c r="W751" s="667"/>
      <c r="X751" s="722"/>
      <c r="Y751" s="723"/>
      <c r="Z751" s="682">
        <v>826.66666666666708</v>
      </c>
      <c r="AA751" s="442">
        <v>826.66666666666708</v>
      </c>
      <c r="AB751" s="442">
        <v>826.66666666666708</v>
      </c>
      <c r="AC751" s="1893">
        <v>826.66666666666708</v>
      </c>
      <c r="AD751" s="667"/>
      <c r="AE751" s="667"/>
      <c r="AF751" s="667"/>
      <c r="AG751" s="667"/>
      <c r="BB751" s="707"/>
      <c r="BC751" s="584"/>
      <c r="BD751" s="678"/>
      <c r="BE751" s="585"/>
    </row>
    <row r="752" spans="1:57" s="446" customFormat="1" ht="14.25" hidden="1" customHeight="1" outlineLevel="1" x14ac:dyDescent="0.25">
      <c r="A752" s="2059"/>
      <c r="B752" s="1279"/>
      <c r="C752" s="328"/>
      <c r="D752" s="4018"/>
      <c r="E752" s="4006"/>
      <c r="F752" s="3385" t="str">
        <f t="shared" si="77"/>
        <v>CAC-SEER18_ROF_MF_CompE</v>
      </c>
      <c r="G752" s="3386"/>
      <c r="H752" s="3387"/>
      <c r="I752" s="2964" t="str">
        <f t="shared" si="75"/>
        <v>351165_2021_12_</v>
      </c>
      <c r="J752" s="1893">
        <f>$R$207*J607</f>
        <v>826.66666666666708</v>
      </c>
      <c r="K752" s="1229">
        <f t="shared" si="78"/>
        <v>2</v>
      </c>
      <c r="L752" s="1883"/>
      <c r="M752" s="328"/>
      <c r="N752" s="1544"/>
      <c r="O752" s="328"/>
      <c r="P752" s="353"/>
      <c r="Q752" s="353"/>
      <c r="R752" s="353"/>
      <c r="S752" s="353"/>
      <c r="T752" s="353"/>
      <c r="U752" s="353"/>
      <c r="V752" s="4005"/>
      <c r="W752" s="667"/>
      <c r="X752" s="722"/>
      <c r="Y752" s="723"/>
      <c r="Z752" s="682">
        <v>826.66666666666708</v>
      </c>
      <c r="AA752" s="442">
        <v>826.66666666666708</v>
      </c>
      <c r="AB752" s="442">
        <v>826.66666666666708</v>
      </c>
      <c r="AC752" s="1893">
        <v>826.66666666666708</v>
      </c>
      <c r="AD752" s="667"/>
      <c r="AE752" s="667"/>
      <c r="AF752" s="667"/>
      <c r="AG752" s="667"/>
      <c r="BB752" s="707"/>
      <c r="BC752" s="584"/>
      <c r="BD752" s="678"/>
      <c r="BE752" s="585"/>
    </row>
    <row r="753" spans="1:57" s="446" customFormat="1" ht="14.45" hidden="1" customHeight="1" outlineLevel="1" x14ac:dyDescent="0.25">
      <c r="A753" s="2059"/>
      <c r="B753" s="1279"/>
      <c r="C753" s="328"/>
      <c r="D753" s="4018"/>
      <c r="E753" s="4006"/>
      <c r="F753" s="3385" t="str">
        <f t="shared" si="77"/>
        <v>CAC-SEER19_ER1_SF</v>
      </c>
      <c r="G753" s="3386"/>
      <c r="H753" s="3387"/>
      <c r="I753" s="2964" t="str">
        <f t="shared" si="75"/>
        <v>351170_2021_12_</v>
      </c>
      <c r="J753" s="682">
        <f>(($R$216/3*K753)+$R$208)-(($Q$216/3*K753)/((1+$R$218)^($R$219-1)))*J608</f>
        <v>1664.4750171244996</v>
      </c>
      <c r="K753" s="1229">
        <f t="shared" si="78"/>
        <v>4.2352941176470589</v>
      </c>
      <c r="L753" s="1883"/>
      <c r="M753" s="328"/>
      <c r="N753" s="1544"/>
      <c r="O753" s="328"/>
      <c r="P753" s="353"/>
      <c r="Q753" s="353"/>
      <c r="R753" s="353"/>
      <c r="S753" s="353"/>
      <c r="T753" s="353"/>
      <c r="U753" s="353"/>
      <c r="V753" s="4005"/>
      <c r="W753" s="667"/>
      <c r="X753" s="723"/>
      <c r="Y753" s="723"/>
      <c r="Z753" s="682">
        <v>1480.3920260187429</v>
      </c>
      <c r="AA753" s="442">
        <v>1480.3920260187429</v>
      </c>
      <c r="AB753" s="442">
        <v>1480.3920260187429</v>
      </c>
      <c r="AC753" s="682">
        <v>1664.4750171244996</v>
      </c>
      <c r="AD753" s="667"/>
      <c r="AE753" s="667"/>
      <c r="AF753" s="667"/>
      <c r="AG753" s="667"/>
      <c r="BB753" s="707"/>
      <c r="BC753" s="584"/>
      <c r="BD753" s="678"/>
      <c r="BE753" s="585"/>
    </row>
    <row r="754" spans="1:57" s="446" customFormat="1" ht="14.45" hidden="1" customHeight="1" outlineLevel="1" x14ac:dyDescent="0.25">
      <c r="A754" s="2059"/>
      <c r="B754" s="1279"/>
      <c r="C754" s="328"/>
      <c r="D754" s="4018"/>
      <c r="E754" s="4006"/>
      <c r="F754" s="3385" t="str">
        <f t="shared" si="77"/>
        <v>CAC-SEER19_ER2_SF</v>
      </c>
      <c r="G754" s="3386"/>
      <c r="H754" s="3387"/>
      <c r="I754" s="2964" t="str">
        <f t="shared" si="75"/>
        <v>351170_2021_12_</v>
      </c>
      <c r="J754" s="1893"/>
      <c r="K754" s="1229">
        <f t="shared" si="78"/>
        <v>4.2352941176470589</v>
      </c>
      <c r="L754" s="1883"/>
      <c r="M754" s="328"/>
      <c r="N754" s="1544"/>
      <c r="O754" s="328"/>
      <c r="P754" s="353"/>
      <c r="Q754" s="353"/>
      <c r="R754" s="353"/>
      <c r="S754" s="353"/>
      <c r="T754" s="353"/>
      <c r="U754" s="353"/>
      <c r="V754" s="4005"/>
      <c r="W754" s="667"/>
      <c r="X754" s="722"/>
      <c r="Y754" s="723"/>
      <c r="Z754" s="682"/>
      <c r="AA754" s="442"/>
      <c r="AB754" s="442"/>
      <c r="AC754" s="1893"/>
      <c r="AD754" s="667"/>
      <c r="AE754" s="667"/>
      <c r="AF754" s="667"/>
      <c r="AG754" s="667"/>
      <c r="BB754" s="707"/>
      <c r="BC754" s="584"/>
      <c r="BD754" s="678"/>
      <c r="BE754" s="585"/>
    </row>
    <row r="755" spans="1:57" s="446" customFormat="1" ht="14.45" hidden="1" customHeight="1" outlineLevel="1" x14ac:dyDescent="0.25">
      <c r="A755" s="2059"/>
      <c r="B755" s="1279"/>
      <c r="C755" s="328"/>
      <c r="D755" s="4018"/>
      <c r="E755" s="4006"/>
      <c r="F755" s="3385" t="str">
        <f t="shared" si="77"/>
        <v>CAC-SEER19_ROF_SF</v>
      </c>
      <c r="G755" s="3386"/>
      <c r="H755" s="3387"/>
      <c r="I755" s="2964" t="str">
        <f t="shared" si="75"/>
        <v>351171_2021_12_</v>
      </c>
      <c r="J755" s="1893">
        <f>$R$208*J610</f>
        <v>1033.3333333333328</v>
      </c>
      <c r="K755" s="1229">
        <f t="shared" si="78"/>
        <v>4.3571428571428568</v>
      </c>
      <c r="L755" s="1883"/>
      <c r="M755" s="328"/>
      <c r="N755" s="1544"/>
      <c r="O755" s="328"/>
      <c r="P755" s="353"/>
      <c r="Q755" s="353"/>
      <c r="R755" s="353"/>
      <c r="S755" s="353"/>
      <c r="T755" s="353"/>
      <c r="U755" s="353"/>
      <c r="V755" s="4005"/>
      <c r="W755" s="667"/>
      <c r="X755" s="723"/>
      <c r="Y755" s="723"/>
      <c r="Z755" s="682">
        <v>1033.3333333333328</v>
      </c>
      <c r="AA755" s="442">
        <v>1033.3333333333328</v>
      </c>
      <c r="AB755" s="442">
        <v>1033.3333333333328</v>
      </c>
      <c r="AC755" s="1893">
        <v>1033.3333333333328</v>
      </c>
      <c r="AD755" s="667"/>
      <c r="AE755" s="667"/>
      <c r="AF755" s="667"/>
      <c r="AG755" s="667"/>
      <c r="BB755" s="707"/>
      <c r="BC755" s="584"/>
      <c r="BD755" s="678"/>
      <c r="BE755" s="585"/>
    </row>
    <row r="756" spans="1:57" s="446" customFormat="1" ht="14.45" hidden="1" customHeight="1" outlineLevel="1" x14ac:dyDescent="0.25">
      <c r="A756" s="2059"/>
      <c r="B756" s="1279"/>
      <c r="C756" s="328"/>
      <c r="D756" s="4018"/>
      <c r="E756" s="4006"/>
      <c r="F756" s="3385" t="str">
        <f t="shared" si="77"/>
        <v>CAC-SEER19_ER1_MF</v>
      </c>
      <c r="G756" s="3386"/>
      <c r="H756" s="3387"/>
      <c r="I756" s="2964" t="str">
        <f t="shared" si="75"/>
        <v>351172_2021_12_</v>
      </c>
      <c r="J756" s="1893">
        <f>(($R$216/3*K756)+$R$208)-(($Q$216/3*K756)/((1+$R$218)^($R$219-1)))*J611</f>
        <v>1331.3724617902726</v>
      </c>
      <c r="K756" s="1229">
        <f t="shared" si="78"/>
        <v>2</v>
      </c>
      <c r="L756" s="1883"/>
      <c r="M756" s="328"/>
      <c r="N756" s="1544"/>
      <c r="O756" s="328"/>
      <c r="P756" s="353"/>
      <c r="Q756" s="353"/>
      <c r="R756" s="353"/>
      <c r="S756" s="353"/>
      <c r="T756" s="353"/>
      <c r="U756" s="353"/>
      <c r="V756" s="4005"/>
      <c r="W756" s="667"/>
      <c r="X756" s="723"/>
      <c r="Y756" s="723"/>
      <c r="Z756" s="682">
        <v>1331.3724617902726</v>
      </c>
      <c r="AA756" s="442">
        <v>1331.3724617902726</v>
      </c>
      <c r="AB756" s="442">
        <v>1331.3724617902726</v>
      </c>
      <c r="AC756" s="1893">
        <v>1331.3724617902726</v>
      </c>
      <c r="AD756" s="667"/>
      <c r="AE756" s="667"/>
      <c r="AF756" s="667"/>
      <c r="AG756" s="667"/>
      <c r="BB756" s="707"/>
      <c r="BC756" s="584"/>
      <c r="BD756" s="678"/>
      <c r="BE756" s="585"/>
    </row>
    <row r="757" spans="1:57" s="446" customFormat="1" ht="14.45" hidden="1" customHeight="1" outlineLevel="1" x14ac:dyDescent="0.25">
      <c r="A757" s="2059"/>
      <c r="B757" s="1279"/>
      <c r="C757" s="328"/>
      <c r="D757" s="4018"/>
      <c r="E757" s="4006"/>
      <c r="F757" s="3385" t="str">
        <f t="shared" si="77"/>
        <v>CAC-SEER19_ER2_MF</v>
      </c>
      <c r="G757" s="3386"/>
      <c r="H757" s="3387"/>
      <c r="I757" s="2964" t="str">
        <f t="shared" si="75"/>
        <v>351172_2021_12_</v>
      </c>
      <c r="J757" s="1893"/>
      <c r="K757" s="1229">
        <f t="shared" si="78"/>
        <v>2</v>
      </c>
      <c r="L757" s="1883"/>
      <c r="M757" s="328"/>
      <c r="N757" s="1544"/>
      <c r="O757" s="328"/>
      <c r="P757" s="353"/>
      <c r="Q757" s="353"/>
      <c r="R757" s="353"/>
      <c r="S757" s="353"/>
      <c r="T757" s="353"/>
      <c r="U757" s="353"/>
      <c r="V757" s="4005"/>
      <c r="W757" s="667"/>
      <c r="X757" s="722"/>
      <c r="Y757" s="723"/>
      <c r="Z757" s="682"/>
      <c r="AA757" s="442"/>
      <c r="AB757" s="442"/>
      <c r="AC757" s="1893"/>
      <c r="AD757" s="667"/>
      <c r="AE757" s="667"/>
      <c r="AF757" s="667"/>
      <c r="AG757" s="667"/>
      <c r="BB757" s="707"/>
      <c r="BC757" s="584"/>
      <c r="BD757" s="678"/>
      <c r="BE757" s="585"/>
    </row>
    <row r="758" spans="1:57" s="446" customFormat="1" ht="14.45" hidden="1" customHeight="1" outlineLevel="1" x14ac:dyDescent="0.25">
      <c r="A758" s="2059"/>
      <c r="B758" s="1279"/>
      <c r="C758" s="328"/>
      <c r="D758" s="4018"/>
      <c r="E758" s="4006"/>
      <c r="F758" s="3385" t="str">
        <f t="shared" si="77"/>
        <v>CAC-SEER19_ER1_MF_CompE</v>
      </c>
      <c r="G758" s="3386"/>
      <c r="H758" s="3387"/>
      <c r="I758" s="2964" t="str">
        <f t="shared" si="75"/>
        <v>351173_2021_12_</v>
      </c>
      <c r="J758" s="1893">
        <f>(($R$216/3*K758)+$R$208)-(($Q$216/3*K758)/((1+$R$218)^($R$219-1)))*J613</f>
        <v>1331.3724617902726</v>
      </c>
      <c r="K758" s="1229">
        <f t="shared" si="78"/>
        <v>2</v>
      </c>
      <c r="L758" s="1883"/>
      <c r="M758" s="328"/>
      <c r="N758" s="1544"/>
      <c r="O758" s="328"/>
      <c r="P758" s="353"/>
      <c r="Q758" s="353"/>
      <c r="R758" s="353"/>
      <c r="S758" s="353"/>
      <c r="T758" s="353"/>
      <c r="U758" s="353"/>
      <c r="V758" s="4005"/>
      <c r="W758" s="667"/>
      <c r="X758" s="722"/>
      <c r="Y758" s="723"/>
      <c r="Z758" s="682">
        <v>1331.3724617902726</v>
      </c>
      <c r="AA758" s="442">
        <v>1331.3724617902726</v>
      </c>
      <c r="AB758" s="442">
        <v>1331.3724617902726</v>
      </c>
      <c r="AC758" s="1893">
        <v>1331.3724617902726</v>
      </c>
      <c r="AD758" s="667"/>
      <c r="AE758" s="667"/>
      <c r="AF758" s="667"/>
      <c r="AG758" s="667"/>
      <c r="BB758" s="707"/>
      <c r="BC758" s="584"/>
      <c r="BD758" s="678"/>
      <c r="BE758" s="585"/>
    </row>
    <row r="759" spans="1:57" s="446" customFormat="1" ht="14.45" hidden="1" customHeight="1" outlineLevel="1" x14ac:dyDescent="0.25">
      <c r="A759" s="2059"/>
      <c r="B759" s="1279"/>
      <c r="C759" s="328"/>
      <c r="D759" s="4018"/>
      <c r="E759" s="4006"/>
      <c r="F759" s="3385" t="str">
        <f t="shared" si="77"/>
        <v>CAC-SEER19_ER2_MF_CompE</v>
      </c>
      <c r="G759" s="3386"/>
      <c r="H759" s="3387"/>
      <c r="I759" s="2964" t="str">
        <f t="shared" si="75"/>
        <v>351173_2021_12_</v>
      </c>
      <c r="J759" s="1893"/>
      <c r="K759" s="1229">
        <f t="shared" si="78"/>
        <v>2</v>
      </c>
      <c r="L759" s="1883"/>
      <c r="M759" s="328"/>
      <c r="N759" s="1544"/>
      <c r="O759" s="328"/>
      <c r="P759" s="353"/>
      <c r="Q759" s="353"/>
      <c r="R759" s="353"/>
      <c r="S759" s="353"/>
      <c r="T759" s="353"/>
      <c r="U759" s="353"/>
      <c r="V759" s="4005"/>
      <c r="W759" s="667"/>
      <c r="X759" s="722"/>
      <c r="Y759" s="723"/>
      <c r="Z759" s="682"/>
      <c r="AA759" s="442"/>
      <c r="AB759" s="442"/>
      <c r="AC759" s="1893"/>
      <c r="AD759" s="667"/>
      <c r="AE759" s="667"/>
      <c r="AF759" s="667"/>
      <c r="AG759" s="667"/>
      <c r="BB759" s="707"/>
      <c r="BC759" s="584"/>
      <c r="BD759" s="678"/>
      <c r="BE759" s="585"/>
    </row>
    <row r="760" spans="1:57" s="446" customFormat="1" ht="14.25" hidden="1" customHeight="1" outlineLevel="1" x14ac:dyDescent="0.25">
      <c r="A760" s="2059"/>
      <c r="B760" s="1279"/>
      <c r="C760" s="328"/>
      <c r="D760" s="4018"/>
      <c r="E760" s="4006"/>
      <c r="F760" s="3385" t="str">
        <f t="shared" si="77"/>
        <v>CAC-SEER19_ROF_MF</v>
      </c>
      <c r="G760" s="3386"/>
      <c r="H760" s="3387"/>
      <c r="I760" s="2964" t="str">
        <f t="shared" si="75"/>
        <v>351174_2021_12_</v>
      </c>
      <c r="J760" s="1893">
        <f>$R$208*J615</f>
        <v>1033.3333333333328</v>
      </c>
      <c r="K760" s="1229">
        <f t="shared" si="78"/>
        <v>2</v>
      </c>
      <c r="L760" s="1883"/>
      <c r="M760" s="328"/>
      <c r="N760" s="1544"/>
      <c r="O760" s="328"/>
      <c r="P760" s="353"/>
      <c r="Q760" s="353"/>
      <c r="R760" s="353"/>
      <c r="S760" s="353"/>
      <c r="T760" s="353"/>
      <c r="U760" s="353"/>
      <c r="V760" s="4005"/>
      <c r="W760" s="667"/>
      <c r="X760" s="723"/>
      <c r="Y760" s="723"/>
      <c r="Z760" s="682">
        <v>1033.3333333333328</v>
      </c>
      <c r="AA760" s="442">
        <v>1033.3333333333328</v>
      </c>
      <c r="AB760" s="442">
        <v>1033.3333333333328</v>
      </c>
      <c r="AC760" s="1893">
        <v>1033.3333333333328</v>
      </c>
      <c r="AD760" s="667"/>
      <c r="AE760" s="667"/>
      <c r="AF760" s="667"/>
      <c r="AG760" s="667"/>
      <c r="BB760" s="707"/>
      <c r="BC760" s="584"/>
      <c r="BD760" s="678"/>
      <c r="BE760" s="585"/>
    </row>
    <row r="761" spans="1:57" s="446" customFormat="1" ht="14.25" hidden="1" customHeight="1" outlineLevel="1" x14ac:dyDescent="0.25">
      <c r="A761" s="2059"/>
      <c r="B761" s="1279"/>
      <c r="C761" s="328"/>
      <c r="D761" s="4018"/>
      <c r="E761" s="4006"/>
      <c r="F761" s="3385" t="str">
        <f t="shared" si="77"/>
        <v>CAC-SEER19_ROF_MF_CompE</v>
      </c>
      <c r="G761" s="3386"/>
      <c r="H761" s="3387"/>
      <c r="I761" s="2964" t="str">
        <f t="shared" si="75"/>
        <v>351175_2021_12_</v>
      </c>
      <c r="J761" s="1893">
        <f>$R$208*J616</f>
        <v>1033.3333333333328</v>
      </c>
      <c r="K761" s="1229">
        <f t="shared" si="78"/>
        <v>2</v>
      </c>
      <c r="L761" s="1883"/>
      <c r="M761" s="328"/>
      <c r="N761" s="1544"/>
      <c r="O761" s="328"/>
      <c r="P761" s="353"/>
      <c r="Q761" s="353"/>
      <c r="R761" s="353"/>
      <c r="S761" s="353"/>
      <c r="T761" s="353"/>
      <c r="U761" s="353"/>
      <c r="V761" s="4005"/>
      <c r="W761" s="667"/>
      <c r="X761" s="723"/>
      <c r="Y761" s="723"/>
      <c r="Z761" s="682">
        <v>1033.3333333333328</v>
      </c>
      <c r="AA761" s="442">
        <v>1033.3333333333328</v>
      </c>
      <c r="AB761" s="442">
        <v>1033.3333333333328</v>
      </c>
      <c r="AC761" s="1893">
        <v>1033.3333333333328</v>
      </c>
      <c r="AD761" s="667"/>
      <c r="AE761" s="667"/>
      <c r="AF761" s="667"/>
      <c r="AG761" s="667"/>
      <c r="BB761" s="707"/>
      <c r="BC761" s="584"/>
      <c r="BD761" s="678"/>
      <c r="BE761" s="585"/>
    </row>
    <row r="762" spans="1:57" s="446" customFormat="1" ht="14.45" hidden="1" customHeight="1" outlineLevel="1" x14ac:dyDescent="0.25">
      <c r="A762" s="2059"/>
      <c r="B762" s="1279"/>
      <c r="C762" s="328"/>
      <c r="D762" s="4018"/>
      <c r="E762" s="4006"/>
      <c r="F762" s="3385" t="str">
        <f t="shared" si="77"/>
        <v>CAC-SEER20_ER1_SF</v>
      </c>
      <c r="G762" s="3386"/>
      <c r="H762" s="3387"/>
      <c r="I762" s="2964" t="str">
        <f t="shared" si="75"/>
        <v>351180_2021_12_</v>
      </c>
      <c r="J762" s="682">
        <f>(($R$216/3*K762)+$R$209)-(($Q$216/3*K762)/((1+$R$218)^($R$219-1)))*J617</f>
        <v>1749.8037723605553</v>
      </c>
      <c r="K762" s="1229">
        <f t="shared" si="78"/>
        <v>3.4210526315789473</v>
      </c>
      <c r="L762" s="1883"/>
      <c r="M762" s="328"/>
      <c r="N762" s="1544"/>
      <c r="O762" s="328"/>
      <c r="P762" s="353"/>
      <c r="Q762" s="353"/>
      <c r="R762" s="353"/>
      <c r="S762" s="353"/>
      <c r="T762" s="353"/>
      <c r="U762" s="353"/>
      <c r="V762" s="4005"/>
      <c r="W762" s="667"/>
      <c r="X762" s="723"/>
      <c r="Y762" s="723"/>
      <c r="Z762" s="682">
        <v>1687.0586926854098</v>
      </c>
      <c r="AA762" s="442">
        <v>1687.0586926854098</v>
      </c>
      <c r="AB762" s="442">
        <v>1687.0586926854098</v>
      </c>
      <c r="AC762" s="682">
        <v>1749.8037723605553</v>
      </c>
      <c r="AD762" s="667"/>
      <c r="AE762" s="667"/>
      <c r="AF762" s="667"/>
      <c r="AG762" s="667"/>
      <c r="BB762" s="707"/>
      <c r="BC762" s="584"/>
      <c r="BD762" s="678"/>
      <c r="BE762" s="585"/>
    </row>
    <row r="763" spans="1:57" s="446" customFormat="1" ht="14.45" hidden="1" customHeight="1" outlineLevel="1" x14ac:dyDescent="0.25">
      <c r="A763" s="2059"/>
      <c r="B763" s="1279"/>
      <c r="C763" s="328"/>
      <c r="D763" s="4018"/>
      <c r="E763" s="4006"/>
      <c r="F763" s="3385" t="str">
        <f t="shared" si="77"/>
        <v>CAC-SEER20_ER2_SF</v>
      </c>
      <c r="G763" s="3386"/>
      <c r="H763" s="3387"/>
      <c r="I763" s="2964" t="str">
        <f t="shared" si="75"/>
        <v>351180_2021_12_</v>
      </c>
      <c r="J763" s="1893"/>
      <c r="K763" s="1229">
        <f t="shared" si="78"/>
        <v>3.4210526315789473</v>
      </c>
      <c r="L763" s="1883"/>
      <c r="M763" s="328"/>
      <c r="N763" s="1544"/>
      <c r="O763" s="328"/>
      <c r="P763" s="353"/>
      <c r="Q763" s="353"/>
      <c r="R763" s="353"/>
      <c r="S763" s="353"/>
      <c r="T763" s="353"/>
      <c r="U763" s="353"/>
      <c r="V763" s="4005"/>
      <c r="W763" s="667"/>
      <c r="X763" s="722"/>
      <c r="Y763" s="723"/>
      <c r="Z763" s="682"/>
      <c r="AA763" s="442"/>
      <c r="AB763" s="442"/>
      <c r="AC763" s="1893"/>
      <c r="AD763" s="667"/>
      <c r="AE763" s="667"/>
      <c r="AF763" s="667"/>
      <c r="AG763" s="667"/>
      <c r="BB763" s="707"/>
      <c r="BC763" s="584"/>
      <c r="BD763" s="678"/>
      <c r="BE763" s="585"/>
    </row>
    <row r="764" spans="1:57" s="446" customFormat="1" ht="14.45" hidden="1" customHeight="1" outlineLevel="1" x14ac:dyDescent="0.25">
      <c r="A764" s="2059"/>
      <c r="B764" s="1279"/>
      <c r="C764" s="328"/>
      <c r="D764" s="4018"/>
      <c r="E764" s="4006"/>
      <c r="F764" s="3385" t="str">
        <f t="shared" si="77"/>
        <v>CAC-SEER20_ROF_SF</v>
      </c>
      <c r="G764" s="3386"/>
      <c r="H764" s="3387"/>
      <c r="I764" s="2964" t="str">
        <f t="shared" si="75"/>
        <v>351181_2021_12_</v>
      </c>
      <c r="J764" s="1893">
        <f>$R$209*J619</f>
        <v>1239.9999999999995</v>
      </c>
      <c r="K764" s="1229">
        <f t="shared" si="78"/>
        <v>3.25</v>
      </c>
      <c r="L764" s="1883"/>
      <c r="M764" s="328"/>
      <c r="N764" s="1544"/>
      <c r="O764" s="328"/>
      <c r="P764" s="353"/>
      <c r="Q764" s="353"/>
      <c r="R764" s="353"/>
      <c r="S764" s="353"/>
      <c r="T764" s="353"/>
      <c r="U764" s="353"/>
      <c r="V764" s="4005"/>
      <c r="W764" s="442"/>
      <c r="X764" s="723"/>
      <c r="Y764" s="723"/>
      <c r="Z764" s="682">
        <v>1239.9999999999995</v>
      </c>
      <c r="AA764" s="442">
        <v>1239.9999999999995</v>
      </c>
      <c r="AB764" s="442">
        <v>1239.9999999999995</v>
      </c>
      <c r="AC764" s="1893">
        <v>1239.9999999999995</v>
      </c>
      <c r="AD764" s="442"/>
      <c r="AE764" s="442"/>
      <c r="AF764" s="442"/>
      <c r="AG764" s="442"/>
      <c r="BB764" s="707"/>
      <c r="BC764" s="584"/>
      <c r="BD764" s="678"/>
      <c r="BE764" s="585"/>
    </row>
    <row r="765" spans="1:57" s="446" customFormat="1" ht="14.45" hidden="1" customHeight="1" outlineLevel="1" x14ac:dyDescent="0.25">
      <c r="A765" s="2059"/>
      <c r="B765" s="1279"/>
      <c r="C765" s="328"/>
      <c r="D765" s="4018"/>
      <c r="E765" s="4006"/>
      <c r="F765" s="3385" t="str">
        <f t="shared" si="77"/>
        <v>CAC-SEER20_ER1_MF</v>
      </c>
      <c r="G765" s="3386"/>
      <c r="H765" s="3387"/>
      <c r="I765" s="2964" t="str">
        <f t="shared" si="75"/>
        <v>351182_2021_12_</v>
      </c>
      <c r="J765" s="1893">
        <f>(($R$216/3*K765)+$R$209)-(($Q$216/3*K765)/((1+$R$218)^($R$219-1)))*J620</f>
        <v>1538.0391284569391</v>
      </c>
      <c r="K765" s="1229">
        <f t="shared" si="78"/>
        <v>2</v>
      </c>
      <c r="L765" s="1883"/>
      <c r="M765" s="328"/>
      <c r="N765" s="1544"/>
      <c r="O765" s="328"/>
      <c r="P765" s="353"/>
      <c r="Q765" s="353"/>
      <c r="R765" s="353"/>
      <c r="S765" s="353"/>
      <c r="T765" s="353"/>
      <c r="U765" s="353"/>
      <c r="V765" s="4005"/>
      <c r="W765" s="667"/>
      <c r="X765" s="723"/>
      <c r="Y765" s="723"/>
      <c r="Z765" s="682">
        <v>1538.0391284569391</v>
      </c>
      <c r="AA765" s="442">
        <v>1538.0391284569391</v>
      </c>
      <c r="AB765" s="442">
        <v>1538.0391284569391</v>
      </c>
      <c r="AC765" s="1893">
        <v>1538.0391284569391</v>
      </c>
      <c r="AD765" s="667"/>
      <c r="AE765" s="667"/>
      <c r="AF765" s="667"/>
      <c r="AG765" s="667"/>
      <c r="BB765" s="707"/>
      <c r="BC765" s="584"/>
      <c r="BD765" s="678"/>
      <c r="BE765" s="585"/>
    </row>
    <row r="766" spans="1:57" s="446" customFormat="1" ht="14.45" hidden="1" customHeight="1" outlineLevel="1" x14ac:dyDescent="0.25">
      <c r="A766" s="2059"/>
      <c r="B766" s="1279"/>
      <c r="C766" s="328"/>
      <c r="D766" s="4018"/>
      <c r="E766" s="4006"/>
      <c r="F766" s="3385" t="str">
        <f t="shared" si="77"/>
        <v>CAC-SEER20_ER2_MF</v>
      </c>
      <c r="G766" s="3386"/>
      <c r="H766" s="3387"/>
      <c r="I766" s="2964" t="str">
        <f t="shared" si="75"/>
        <v>351182_2021_12_</v>
      </c>
      <c r="J766" s="1893"/>
      <c r="K766" s="1229">
        <f t="shared" si="78"/>
        <v>2</v>
      </c>
      <c r="L766" s="1883"/>
      <c r="M766" s="328"/>
      <c r="N766" s="1544"/>
      <c r="O766" s="328"/>
      <c r="P766" s="353"/>
      <c r="Q766" s="353"/>
      <c r="R766" s="353"/>
      <c r="S766" s="353"/>
      <c r="T766" s="353"/>
      <c r="U766" s="353"/>
      <c r="V766" s="4005"/>
      <c r="W766" s="667"/>
      <c r="X766" s="722"/>
      <c r="Y766" s="723"/>
      <c r="Z766" s="682"/>
      <c r="AA766" s="442"/>
      <c r="AB766" s="442"/>
      <c r="AC766" s="1893"/>
      <c r="AD766" s="667"/>
      <c r="AE766" s="667"/>
      <c r="AF766" s="667"/>
      <c r="AG766" s="667"/>
      <c r="BB766" s="707"/>
      <c r="BC766" s="584"/>
      <c r="BD766" s="678"/>
      <c r="BE766" s="585"/>
    </row>
    <row r="767" spans="1:57" s="446" customFormat="1" ht="14.45" hidden="1" customHeight="1" outlineLevel="1" x14ac:dyDescent="0.25">
      <c r="A767" s="2059"/>
      <c r="B767" s="1279"/>
      <c r="C767" s="328"/>
      <c r="D767" s="4018"/>
      <c r="E767" s="4006"/>
      <c r="F767" s="3385" t="str">
        <f t="shared" si="77"/>
        <v>CAC-SEER20_ER1_MF_CompE</v>
      </c>
      <c r="G767" s="3386"/>
      <c r="H767" s="3387"/>
      <c r="I767" s="2964" t="str">
        <f t="shared" si="75"/>
        <v>351183_2021_12_</v>
      </c>
      <c r="J767" s="1893">
        <f>(($R$216/3*K767)+$R$209)-(($Q$216/3*K767)/((1+$R$218)^($R$219-1)))*J622</f>
        <v>1538.0391284569391</v>
      </c>
      <c r="K767" s="1229">
        <f t="shared" si="78"/>
        <v>2</v>
      </c>
      <c r="L767" s="1883"/>
      <c r="M767" s="328"/>
      <c r="N767" s="1544"/>
      <c r="O767" s="328"/>
      <c r="P767" s="353"/>
      <c r="Q767" s="353"/>
      <c r="R767" s="353"/>
      <c r="S767" s="353"/>
      <c r="T767" s="353"/>
      <c r="U767" s="353"/>
      <c r="V767" s="4005"/>
      <c r="W767" s="667"/>
      <c r="X767" s="722"/>
      <c r="Y767" s="723"/>
      <c r="Z767" s="682">
        <v>1538.0391284569391</v>
      </c>
      <c r="AA767" s="442">
        <v>1538.0391284569391</v>
      </c>
      <c r="AB767" s="442">
        <v>1538.0391284569391</v>
      </c>
      <c r="AC767" s="1893">
        <v>1538.0391284569391</v>
      </c>
      <c r="AD767" s="667"/>
      <c r="AE767" s="667"/>
      <c r="AF767" s="667"/>
      <c r="AG767" s="667"/>
      <c r="BB767" s="707"/>
      <c r="BC767" s="584"/>
      <c r="BD767" s="678"/>
      <c r="BE767" s="585"/>
    </row>
    <row r="768" spans="1:57" s="446" customFormat="1" ht="14.45" hidden="1" customHeight="1" outlineLevel="1" x14ac:dyDescent="0.25">
      <c r="A768" s="2059"/>
      <c r="B768" s="1279"/>
      <c r="C768" s="328"/>
      <c r="D768" s="4018"/>
      <c r="E768" s="4006"/>
      <c r="F768" s="3385" t="str">
        <f t="shared" si="77"/>
        <v>CAC-SEER20_ER2_MF_CompE</v>
      </c>
      <c r="G768" s="3386"/>
      <c r="H768" s="3387"/>
      <c r="I768" s="2964" t="str">
        <f t="shared" si="75"/>
        <v>351183_2021_12_</v>
      </c>
      <c r="J768" s="1893"/>
      <c r="K768" s="1229">
        <f t="shared" si="78"/>
        <v>2</v>
      </c>
      <c r="L768" s="1883"/>
      <c r="M768" s="328"/>
      <c r="N768" s="1544"/>
      <c r="O768" s="328"/>
      <c r="P768" s="353"/>
      <c r="Q768" s="353"/>
      <c r="R768" s="353"/>
      <c r="S768" s="353"/>
      <c r="T768" s="353"/>
      <c r="U768" s="353"/>
      <c r="V768" s="4005"/>
      <c r="W768" s="667"/>
      <c r="X768" s="722"/>
      <c r="Y768" s="723"/>
      <c r="Z768" s="682"/>
      <c r="AA768" s="442"/>
      <c r="AB768" s="442"/>
      <c r="AC768" s="1893"/>
      <c r="AD768" s="667"/>
      <c r="AE768" s="667"/>
      <c r="AF768" s="667"/>
      <c r="AG768" s="667"/>
      <c r="BB768" s="707"/>
      <c r="BC768" s="584"/>
      <c r="BD768" s="678"/>
      <c r="BE768" s="585"/>
    </row>
    <row r="769" spans="1:57" s="446" customFormat="1" ht="14.45" hidden="1" customHeight="1" outlineLevel="1" x14ac:dyDescent="0.25">
      <c r="A769" s="2059"/>
      <c r="B769" s="1279"/>
      <c r="C769" s="328"/>
      <c r="D769" s="4018"/>
      <c r="E769" s="4006"/>
      <c r="F769" s="3385" t="str">
        <f t="shared" si="77"/>
        <v>CAC-SEER20_ROF_MF</v>
      </c>
      <c r="G769" s="3386"/>
      <c r="H769" s="3387"/>
      <c r="I769" s="2964" t="str">
        <f t="shared" si="75"/>
        <v>351184_2021_12_</v>
      </c>
      <c r="J769" s="1893">
        <f>$R$209*J624</f>
        <v>1239.9999999999995</v>
      </c>
      <c r="K769" s="1229">
        <f t="shared" si="78"/>
        <v>2</v>
      </c>
      <c r="L769" s="1883"/>
      <c r="M769" s="328"/>
      <c r="N769" s="1544"/>
      <c r="O769" s="328"/>
      <c r="P769" s="353"/>
      <c r="Q769" s="353"/>
      <c r="R769" s="353"/>
      <c r="S769" s="353"/>
      <c r="T769" s="353"/>
      <c r="U769" s="353"/>
      <c r="V769" s="4005"/>
      <c r="W769" s="442"/>
      <c r="X769" s="723"/>
      <c r="Y769" s="723"/>
      <c r="Z769" s="682">
        <v>1239.9999999999995</v>
      </c>
      <c r="AA769" s="442">
        <v>1239.9999999999995</v>
      </c>
      <c r="AB769" s="442">
        <v>1239.9999999999995</v>
      </c>
      <c r="AC769" s="1893">
        <v>1239.9999999999995</v>
      </c>
      <c r="AD769" s="442"/>
      <c r="AE769" s="442"/>
      <c r="AF769" s="442"/>
      <c r="AG769" s="442"/>
      <c r="BB769" s="707"/>
      <c r="BC769" s="584"/>
      <c r="BD769" s="678"/>
      <c r="BE769" s="585"/>
    </row>
    <row r="770" spans="1:57" s="446" customFormat="1" ht="14.45" hidden="1" customHeight="1" outlineLevel="1" x14ac:dyDescent="0.25">
      <c r="A770" s="2059"/>
      <c r="B770" s="1279"/>
      <c r="C770" s="328"/>
      <c r="D770" s="4018"/>
      <c r="E770" s="4006"/>
      <c r="F770" s="3385" t="str">
        <f t="shared" si="77"/>
        <v>CAC-SEER20_ROF_MF_CompE</v>
      </c>
      <c r="G770" s="3386"/>
      <c r="H770" s="3387"/>
      <c r="I770" s="2964" t="str">
        <f t="shared" si="75"/>
        <v>351185_2021_12_</v>
      </c>
      <c r="J770" s="1893">
        <f>$R$209*J625</f>
        <v>1239.9999999999995</v>
      </c>
      <c r="K770" s="1229">
        <f t="shared" si="78"/>
        <v>2</v>
      </c>
      <c r="L770" s="1883"/>
      <c r="M770" s="328"/>
      <c r="N770" s="1544"/>
      <c r="O770" s="328"/>
      <c r="P770" s="353"/>
      <c r="Q770" s="353"/>
      <c r="R770" s="353"/>
      <c r="S770" s="353"/>
      <c r="T770" s="353"/>
      <c r="U770" s="353"/>
      <c r="V770" s="4005"/>
      <c r="W770" s="442"/>
      <c r="X770" s="723"/>
      <c r="Y770" s="723"/>
      <c r="Z770" s="682">
        <v>1239.9999999999995</v>
      </c>
      <c r="AA770" s="442">
        <v>1239.9999999999995</v>
      </c>
      <c r="AB770" s="442">
        <v>1239.9999999999995</v>
      </c>
      <c r="AC770" s="1893">
        <v>1239.9999999999995</v>
      </c>
      <c r="AD770" s="442"/>
      <c r="AE770" s="442"/>
      <c r="AF770" s="442"/>
      <c r="AG770" s="442"/>
      <c r="BB770" s="707"/>
      <c r="BC770" s="584"/>
      <c r="BD770" s="678"/>
      <c r="BE770" s="585"/>
    </row>
    <row r="771" spans="1:57" s="446" customFormat="1" ht="14.45" hidden="1" customHeight="1" outlineLevel="1" x14ac:dyDescent="0.25">
      <c r="A771" s="2059"/>
      <c r="B771" s="1279"/>
      <c r="C771" s="328"/>
      <c r="D771" s="4018"/>
      <c r="E771" s="4006"/>
      <c r="F771" s="3385" t="str">
        <f t="shared" si="77"/>
        <v>CAC-SEER21+_ER1_SF</v>
      </c>
      <c r="G771" s="3386"/>
      <c r="H771" s="3387"/>
      <c r="I771" s="2964" t="str">
        <f t="shared" si="75"/>
        <v>351190_2021_12_</v>
      </c>
      <c r="J771" s="682">
        <f>(($R$216/3*K771)+$R$210)-(($Q$216/3*K771)/((1+$R$218)^($R$219-1)))*J626</f>
        <v>1943.075994258907</v>
      </c>
      <c r="K771" s="1229">
        <f t="shared" si="78"/>
        <v>3.331168831168831</v>
      </c>
      <c r="L771" s="1883"/>
      <c r="M771" s="328"/>
      <c r="N771" s="1544"/>
      <c r="O771" s="328"/>
      <c r="P771" s="353"/>
      <c r="Q771" s="353"/>
      <c r="R771" s="353"/>
      <c r="S771" s="353"/>
      <c r="T771" s="353"/>
      <c r="U771" s="353"/>
      <c r="V771" s="4005"/>
      <c r="W771" s="667"/>
      <c r="X771" s="723"/>
      <c r="Y771" s="723"/>
      <c r="Z771" s="682">
        <v>1893.7253593520759</v>
      </c>
      <c r="AA771" s="442">
        <v>1893.7253593520759</v>
      </c>
      <c r="AB771" s="442">
        <v>1893.7253593520759</v>
      </c>
      <c r="AC771" s="682">
        <v>1943.075994258907</v>
      </c>
      <c r="AD771" s="667"/>
      <c r="AE771" s="667"/>
      <c r="AF771" s="667"/>
      <c r="AG771" s="667"/>
      <c r="BB771" s="707"/>
      <c r="BC771" s="584"/>
      <c r="BD771" s="678"/>
      <c r="BE771" s="585"/>
    </row>
    <row r="772" spans="1:57" s="446" customFormat="1" ht="14.45" hidden="1" customHeight="1" outlineLevel="1" x14ac:dyDescent="0.25">
      <c r="A772" s="2059"/>
      <c r="B772" s="1279"/>
      <c r="C772" s="328"/>
      <c r="D772" s="4018"/>
      <c r="E772" s="4006"/>
      <c r="F772" s="3385" t="str">
        <f t="shared" si="77"/>
        <v>CAC-SEER21+_ER2_SF</v>
      </c>
      <c r="G772" s="3386"/>
      <c r="H772" s="3387"/>
      <c r="I772" s="2964" t="str">
        <f t="shared" ref="I772:I779" si="79">I700</f>
        <v>351190_2021_12_</v>
      </c>
      <c r="J772" s="1893"/>
      <c r="K772" s="1229">
        <f t="shared" ref="K772:K779" si="80">K339*J627</f>
        <v>3.331168831168831</v>
      </c>
      <c r="L772" s="1883"/>
      <c r="M772" s="328"/>
      <c r="N772" s="1544"/>
      <c r="O772" s="328"/>
      <c r="P772" s="353"/>
      <c r="Q772" s="353"/>
      <c r="R772" s="353"/>
      <c r="S772" s="353"/>
      <c r="T772" s="353"/>
      <c r="U772" s="353"/>
      <c r="V772" s="4005"/>
      <c r="W772" s="667"/>
      <c r="X772" s="722"/>
      <c r="Y772" s="723"/>
      <c r="Z772" s="682"/>
      <c r="AA772" s="442"/>
      <c r="AB772" s="442"/>
      <c r="AC772" s="1893"/>
      <c r="AD772" s="667"/>
      <c r="AE772" s="667"/>
      <c r="AF772" s="667"/>
      <c r="AG772" s="667"/>
      <c r="BB772" s="707"/>
      <c r="BC772" s="584"/>
      <c r="BD772" s="678"/>
      <c r="BE772" s="585"/>
    </row>
    <row r="773" spans="1:57" s="446" customFormat="1" ht="14.45" hidden="1" customHeight="1" outlineLevel="1" x14ac:dyDescent="0.25">
      <c r="A773" s="2059"/>
      <c r="B773" s="1279"/>
      <c r="C773" s="328"/>
      <c r="D773" s="4018"/>
      <c r="E773" s="4006"/>
      <c r="F773" s="3385" t="str">
        <f t="shared" si="77"/>
        <v>CAC-SEER21+_ROF_SF</v>
      </c>
      <c r="G773" s="3386"/>
      <c r="H773" s="3387"/>
      <c r="I773" s="2964" t="str">
        <f t="shared" si="79"/>
        <v>351191_2021_12_</v>
      </c>
      <c r="J773" s="1893">
        <f>$R$210*J628</f>
        <v>1446.6666666666663</v>
      </c>
      <c r="K773" s="1229">
        <f t="shared" si="80"/>
        <v>3.1428571428571423</v>
      </c>
      <c r="L773" s="1883"/>
      <c r="M773" s="328"/>
      <c r="N773" s="1544"/>
      <c r="O773" s="328"/>
      <c r="P773" s="353"/>
      <c r="Q773" s="353"/>
      <c r="R773" s="353"/>
      <c r="S773" s="353"/>
      <c r="T773" s="353"/>
      <c r="U773" s="353"/>
      <c r="V773" s="4005"/>
      <c r="W773" s="667"/>
      <c r="X773" s="723"/>
      <c r="Y773" s="723"/>
      <c r="Z773" s="682">
        <v>1446.6666666666663</v>
      </c>
      <c r="AA773" s="442">
        <v>1446.6666666666663</v>
      </c>
      <c r="AB773" s="442">
        <v>1446.6666666666663</v>
      </c>
      <c r="AC773" s="1893">
        <v>1446.6666666666663</v>
      </c>
      <c r="AD773" s="667"/>
      <c r="AE773" s="667"/>
      <c r="AF773" s="667"/>
      <c r="AG773" s="667"/>
      <c r="BB773" s="707"/>
      <c r="BC773" s="584"/>
      <c r="BD773" s="678"/>
      <c r="BE773" s="585"/>
    </row>
    <row r="774" spans="1:57" s="446" customFormat="1" ht="14.45" hidden="1" customHeight="1" outlineLevel="1" x14ac:dyDescent="0.25">
      <c r="A774" s="2059"/>
      <c r="B774" s="1279"/>
      <c r="C774" s="328"/>
      <c r="D774" s="4018"/>
      <c r="E774" s="4006"/>
      <c r="F774" s="3385" t="str">
        <f t="shared" si="77"/>
        <v>CAC-SEER21+_ER1_MF</v>
      </c>
      <c r="G774" s="3386"/>
      <c r="H774" s="3387"/>
      <c r="I774" s="2964" t="str">
        <f t="shared" si="79"/>
        <v>351192_2021_12_</v>
      </c>
      <c r="J774" s="1893">
        <f>(($R$216/3*K774)+$R$210)-(($Q$216/3*K774)/((1+$R$218)^($R$219-1)))*J629</f>
        <v>1744.7057951236061</v>
      </c>
      <c r="K774" s="1229">
        <f t="shared" si="80"/>
        <v>2</v>
      </c>
      <c r="L774" s="1883"/>
      <c r="M774" s="328"/>
      <c r="N774" s="1544"/>
      <c r="O774" s="328"/>
      <c r="P774" s="353"/>
      <c r="Q774" s="353"/>
      <c r="R774" s="353"/>
      <c r="S774" s="353"/>
      <c r="T774" s="353"/>
      <c r="U774" s="353"/>
      <c r="V774" s="4005"/>
      <c r="W774" s="667"/>
      <c r="X774" s="723"/>
      <c r="Y774" s="723"/>
      <c r="Z774" s="682">
        <v>1744.7057951236061</v>
      </c>
      <c r="AA774" s="442">
        <v>1744.7057951236061</v>
      </c>
      <c r="AB774" s="442">
        <v>1744.7057951236061</v>
      </c>
      <c r="AC774" s="1893">
        <v>1744.7057951236061</v>
      </c>
      <c r="AD774" s="667"/>
      <c r="AE774" s="667"/>
      <c r="AF774" s="667"/>
      <c r="AG774" s="667"/>
      <c r="BB774" s="707"/>
      <c r="BC774" s="584"/>
      <c r="BD774" s="678"/>
      <c r="BE774" s="585"/>
    </row>
    <row r="775" spans="1:57" s="446" customFormat="1" ht="14.45" hidden="1" customHeight="1" outlineLevel="1" x14ac:dyDescent="0.25">
      <c r="A775" s="2059"/>
      <c r="B775" s="1279"/>
      <c r="C775" s="328"/>
      <c r="D775" s="4018"/>
      <c r="E775" s="4006"/>
      <c r="F775" s="3385" t="str">
        <f t="shared" si="77"/>
        <v>CAC-SEER21+_ER2_MF</v>
      </c>
      <c r="G775" s="3386"/>
      <c r="H775" s="3387"/>
      <c r="I775" s="2964" t="str">
        <f t="shared" si="79"/>
        <v>351192_2021_12_</v>
      </c>
      <c r="J775" s="1893"/>
      <c r="K775" s="1229">
        <f t="shared" si="80"/>
        <v>2</v>
      </c>
      <c r="L775" s="1883"/>
      <c r="M775" s="328"/>
      <c r="N775" s="1544"/>
      <c r="O775" s="328"/>
      <c r="P775" s="353"/>
      <c r="Q775" s="353"/>
      <c r="R775" s="353"/>
      <c r="S775" s="353"/>
      <c r="T775" s="353"/>
      <c r="U775" s="353"/>
      <c r="V775" s="4005"/>
      <c r="W775" s="667"/>
      <c r="X775" s="722"/>
      <c r="Y775" s="723"/>
      <c r="Z775" s="682"/>
      <c r="AA775" s="442"/>
      <c r="AB775" s="442"/>
      <c r="AC775" s="1893"/>
      <c r="AD775" s="667"/>
      <c r="AE775" s="667"/>
      <c r="AF775" s="667"/>
      <c r="AG775" s="667"/>
      <c r="BB775" s="707"/>
      <c r="BC775" s="584"/>
      <c r="BD775" s="678"/>
      <c r="BE775" s="585"/>
    </row>
    <row r="776" spans="1:57" s="446" customFormat="1" ht="14.45" hidden="1" customHeight="1" outlineLevel="1" x14ac:dyDescent="0.25">
      <c r="A776" s="2059"/>
      <c r="B776" s="1279"/>
      <c r="C776" s="328"/>
      <c r="D776" s="4018"/>
      <c r="E776" s="4006"/>
      <c r="F776" s="3385" t="str">
        <f t="shared" si="77"/>
        <v>CAC-SEER21+_ER1_MF_CompE</v>
      </c>
      <c r="G776" s="3386"/>
      <c r="H776" s="3387"/>
      <c r="I776" s="2965" t="str">
        <f t="shared" si="79"/>
        <v>351193_2021_12_</v>
      </c>
      <c r="J776" s="1893">
        <f>(($R$216/3*K776)+$R$210)-(($Q$216/3*K776)/((1+$R$218)^($R$219-1)))*J631</f>
        <v>1744.7057951236061</v>
      </c>
      <c r="K776" s="1229">
        <f t="shared" si="80"/>
        <v>2</v>
      </c>
      <c r="L776" s="1885"/>
      <c r="M776" s="328"/>
      <c r="N776" s="1544"/>
      <c r="O776" s="328"/>
      <c r="P776" s="353"/>
      <c r="Q776" s="353"/>
      <c r="R776" s="353"/>
      <c r="S776" s="353"/>
      <c r="T776" s="353"/>
      <c r="U776" s="353"/>
      <c r="V776" s="4005"/>
      <c r="W776" s="724"/>
      <c r="X776" s="725"/>
      <c r="Y776" s="726"/>
      <c r="Z776" s="682">
        <v>1744.7057951236061</v>
      </c>
      <c r="AA776" s="442">
        <v>1744.7057951236061</v>
      </c>
      <c r="AB776" s="442">
        <v>1744.7057951236061</v>
      </c>
      <c r="AC776" s="1893">
        <v>1744.7057951236061</v>
      </c>
      <c r="AD776" s="724"/>
      <c r="AE776" s="724"/>
      <c r="AF776" s="724"/>
      <c r="AG776" s="724"/>
      <c r="BB776" s="707"/>
      <c r="BC776" s="584"/>
      <c r="BD776" s="678"/>
      <c r="BE776" s="585"/>
    </row>
    <row r="777" spans="1:57" s="446" customFormat="1" ht="14.45" hidden="1" customHeight="1" outlineLevel="1" x14ac:dyDescent="0.25">
      <c r="A777" s="2059"/>
      <c r="B777" s="1279"/>
      <c r="C777" s="328"/>
      <c r="D777" s="4018"/>
      <c r="E777" s="4006"/>
      <c r="F777" s="3385" t="str">
        <f t="shared" si="77"/>
        <v>CAC-SEER21+_ER2_MF_CompE</v>
      </c>
      <c r="G777" s="3386"/>
      <c r="H777" s="3387"/>
      <c r="I777" s="2965" t="str">
        <f t="shared" si="79"/>
        <v>351193_2021_12_</v>
      </c>
      <c r="J777" s="1894"/>
      <c r="K777" s="1229">
        <f t="shared" si="80"/>
        <v>2</v>
      </c>
      <c r="L777" s="1885"/>
      <c r="M777" s="328"/>
      <c r="N777" s="1544"/>
      <c r="O777" s="328"/>
      <c r="P777" s="353"/>
      <c r="Q777" s="353"/>
      <c r="R777" s="353"/>
      <c r="S777" s="353"/>
      <c r="T777" s="353"/>
      <c r="U777" s="353"/>
      <c r="V777" s="4005"/>
      <c r="W777" s="724"/>
      <c r="X777" s="725"/>
      <c r="Y777" s="726"/>
      <c r="Z777" s="1905"/>
      <c r="AA777" s="736"/>
      <c r="AB777" s="736"/>
      <c r="AC777" s="1894"/>
      <c r="AD777" s="724"/>
      <c r="AE777" s="724"/>
      <c r="AF777" s="724"/>
      <c r="AG777" s="724"/>
      <c r="BB777" s="707"/>
      <c r="BC777" s="584"/>
      <c r="BD777" s="678"/>
      <c r="BE777" s="585"/>
    </row>
    <row r="778" spans="1:57" s="446" customFormat="1" ht="14.45" hidden="1" customHeight="1" outlineLevel="1" x14ac:dyDescent="0.25">
      <c r="A778" s="2059"/>
      <c r="B778" s="1279"/>
      <c r="C778" s="328"/>
      <c r="D778" s="4018"/>
      <c r="E778" s="4006"/>
      <c r="F778" s="3385" t="str">
        <f t="shared" si="77"/>
        <v>CAC-SEER21+_ROF_MF</v>
      </c>
      <c r="G778" s="3386"/>
      <c r="H778" s="3387"/>
      <c r="I778" s="2965" t="str">
        <f t="shared" si="79"/>
        <v>351194_2021_12_</v>
      </c>
      <c r="J778" s="1893">
        <f>$R$210*J633</f>
        <v>1446.6666666666663</v>
      </c>
      <c r="K778" s="1229">
        <f t="shared" si="80"/>
        <v>2</v>
      </c>
      <c r="L778" s="1885"/>
      <c r="M778" s="328"/>
      <c r="N778" s="1544"/>
      <c r="O778" s="328"/>
      <c r="P778" s="353"/>
      <c r="Q778" s="353"/>
      <c r="R778" s="353"/>
      <c r="S778" s="353"/>
      <c r="T778" s="353"/>
      <c r="U778" s="353"/>
      <c r="V778" s="4005"/>
      <c r="W778" s="724"/>
      <c r="X778" s="726"/>
      <c r="Y778" s="726"/>
      <c r="Z778" s="682">
        <v>1446.6666666666663</v>
      </c>
      <c r="AA778" s="442">
        <v>1446.6666666666663</v>
      </c>
      <c r="AB778" s="442">
        <v>1446.6666666666663</v>
      </c>
      <c r="AC778" s="1893">
        <v>1446.6666666666663</v>
      </c>
      <c r="AD778" s="724"/>
      <c r="AE778" s="724"/>
      <c r="AF778" s="724"/>
      <c r="AG778" s="724"/>
      <c r="BB778" s="707"/>
      <c r="BC778" s="584"/>
      <c r="BD778" s="678"/>
      <c r="BE778" s="585"/>
    </row>
    <row r="779" spans="1:57" s="446" customFormat="1" ht="14.45" hidden="1" customHeight="1" outlineLevel="1" thickBot="1" x14ac:dyDescent="0.3">
      <c r="A779" s="2059"/>
      <c r="B779" s="1279"/>
      <c r="C779" s="328"/>
      <c r="D779" s="4019"/>
      <c r="E779" s="4007"/>
      <c r="F779" s="3394" t="str">
        <f t="shared" si="77"/>
        <v>CAC-SEER21+_ROF_MF_CompE</v>
      </c>
      <c r="G779" s="3395"/>
      <c r="H779" s="3396"/>
      <c r="I779" s="2967" t="str">
        <f t="shared" si="79"/>
        <v>351195_2021_12_</v>
      </c>
      <c r="J779" s="1895">
        <f>$R$210*J634</f>
        <v>1446.6666666666663</v>
      </c>
      <c r="K779" s="1879">
        <f t="shared" si="80"/>
        <v>2</v>
      </c>
      <c r="L779" s="1896"/>
      <c r="M779" s="328"/>
      <c r="N779" s="1544"/>
      <c r="O779" s="328"/>
      <c r="P779" s="353"/>
      <c r="Q779" s="353"/>
      <c r="R779" s="353"/>
      <c r="S779" s="353"/>
      <c r="T779" s="353"/>
      <c r="U779" s="353"/>
      <c r="V779" s="4035"/>
      <c r="W779" s="727"/>
      <c r="X779" s="728"/>
      <c r="Y779" s="728"/>
      <c r="Z779" s="1906">
        <v>1446.6666666666663</v>
      </c>
      <c r="AA779" s="2212">
        <v>1446.6666666666663</v>
      </c>
      <c r="AB779" s="2212">
        <v>1446.6666666666663</v>
      </c>
      <c r="AC779" s="1895">
        <v>1446.6666666666663</v>
      </c>
      <c r="AD779" s="727"/>
      <c r="AE779" s="727"/>
      <c r="AF779" s="727"/>
      <c r="AG779" s="727"/>
      <c r="BB779" s="707"/>
      <c r="BC779" s="584"/>
      <c r="BD779" s="678"/>
      <c r="BE779" s="585"/>
    </row>
    <row r="780" spans="1:57" collapsed="1" x14ac:dyDescent="0.25">
      <c r="B780" s="228"/>
      <c r="I780" s="123" t="s">
        <v>1022</v>
      </c>
      <c r="L780" s="328"/>
      <c r="M780" s="328"/>
      <c r="N780" s="328"/>
      <c r="O780" s="328"/>
      <c r="P780" s="328"/>
      <c r="Q780" s="328"/>
      <c r="W780" s="1942"/>
      <c r="X780" s="1942"/>
      <c r="Y780" s="1942"/>
      <c r="Z780" s="1942"/>
      <c r="AA780" s="1930"/>
      <c r="AB780" s="1930"/>
      <c r="AC780" s="1930"/>
      <c r="AD780" s="1930"/>
      <c r="AE780" s="1930"/>
      <c r="AF780" s="1930"/>
      <c r="AG780" s="1930"/>
      <c r="AH780" s="1930"/>
      <c r="AI780" s="1930"/>
      <c r="AJ780" s="1930"/>
      <c r="AK780" s="1930"/>
      <c r="AL780" s="1930"/>
      <c r="AM780" s="1930"/>
      <c r="AN780" s="1930"/>
      <c r="AO780" s="1930"/>
      <c r="AP780" s="1930"/>
      <c r="AQ780" s="1930"/>
      <c r="AR780" s="1930"/>
      <c r="AS780" s="1930"/>
      <c r="AT780" s="1930"/>
      <c r="AU780" s="1930"/>
      <c r="AV780" s="1930"/>
      <c r="AW780" s="1930"/>
      <c r="AX780" s="1930"/>
      <c r="AY780" s="1930"/>
      <c r="AZ780" s="1930"/>
      <c r="BA780" s="1930"/>
      <c r="BC780" s="584"/>
      <c r="BD780" s="678"/>
      <c r="BE780" s="585"/>
    </row>
    <row r="781" spans="1:57" x14ac:dyDescent="0.25">
      <c r="H781" s="328"/>
      <c r="I781" s="328"/>
      <c r="J781" s="328"/>
      <c r="K781" s="328"/>
      <c r="L781" s="328"/>
      <c r="M781" s="328"/>
      <c r="W781" s="1930"/>
      <c r="X781" s="1930"/>
      <c r="Y781" s="1930"/>
      <c r="Z781" s="1930"/>
      <c r="AA781" s="1930"/>
      <c r="AB781" s="1930"/>
      <c r="AC781" s="1930"/>
      <c r="AD781" s="1930"/>
      <c r="AE781" s="1930"/>
      <c r="AF781" s="1930"/>
      <c r="AG781" s="1930"/>
      <c r="AH781" s="1930"/>
      <c r="AI781" s="1930"/>
      <c r="AJ781" s="1930"/>
      <c r="AK781" s="1930"/>
      <c r="AL781" s="1930"/>
      <c r="AM781" s="1930"/>
      <c r="AN781" s="1930"/>
      <c r="AO781" s="1930"/>
      <c r="AP781" s="1930"/>
      <c r="AQ781" s="1930"/>
      <c r="AR781" s="1930"/>
      <c r="AS781" s="1930"/>
      <c r="AT781" s="1930"/>
      <c r="AU781" s="1930"/>
      <c r="AV781" s="1930"/>
      <c r="AW781" s="1930"/>
      <c r="AX781" s="1930"/>
      <c r="AY781" s="1930"/>
      <c r="AZ781" s="1930"/>
      <c r="BA781" s="1930"/>
      <c r="BC781" s="584"/>
      <c r="BD781" s="678"/>
      <c r="BE781" s="585"/>
    </row>
    <row r="782" spans="1:57" s="51" customFormat="1" x14ac:dyDescent="0.25">
      <c r="A782" s="1267"/>
      <c r="B782" s="3096" t="s">
        <v>1023</v>
      </c>
      <c r="C782" s="729"/>
      <c r="D782" s="3078"/>
      <c r="E782" s="3078"/>
      <c r="F782" s="3078"/>
      <c r="G782" s="3078"/>
      <c r="H782" s="3078"/>
      <c r="I782" s="3078"/>
      <c r="J782" s="3078"/>
      <c r="K782" s="3078"/>
      <c r="L782" s="3078"/>
      <c r="M782" s="3078"/>
      <c r="N782" s="1551"/>
      <c r="O782" s="1551"/>
      <c r="P782" s="1551"/>
      <c r="Q782" s="1552"/>
      <c r="R782" s="123"/>
      <c r="S782" s="123"/>
      <c r="T782" s="123"/>
      <c r="U782" s="123"/>
      <c r="V782" s="3750" t="str">
        <f>B782</f>
        <v>Ductless Heat Pumps and Air Conditioners Mini/Multi-Split Heat Pumps and Air Conditioners</v>
      </c>
      <c r="W782" s="3751"/>
      <c r="X782" s="3751"/>
      <c r="Y782" s="3751"/>
      <c r="Z782" s="3751"/>
      <c r="AA782" s="3751"/>
      <c r="AB782" s="3751"/>
      <c r="AC782" s="3752"/>
      <c r="AD782" s="3752"/>
      <c r="AE782" s="3752"/>
      <c r="AF782" s="3752"/>
      <c r="AG782" s="3752"/>
      <c r="AH782" s="3753"/>
      <c r="AI782" s="1942"/>
      <c r="AJ782" s="1942"/>
      <c r="AK782" s="1942"/>
      <c r="AL782" s="1942"/>
      <c r="AM782" s="1942"/>
      <c r="AN782" s="1942"/>
      <c r="AO782" s="1942"/>
      <c r="AP782" s="1942"/>
      <c r="AQ782" s="1942"/>
      <c r="AR782" s="1942"/>
      <c r="AS782" s="1942"/>
      <c r="AT782" s="1942"/>
      <c r="AU782" s="1942"/>
      <c r="AV782" s="1942"/>
      <c r="AW782" s="1942"/>
      <c r="AX782" s="1942"/>
      <c r="AY782" s="1942"/>
      <c r="AZ782" s="1942"/>
      <c r="BA782" s="1942"/>
      <c r="BB782" s="575"/>
      <c r="BC782" s="584"/>
      <c r="BD782" s="678"/>
      <c r="BE782" s="585"/>
    </row>
    <row r="783" spans="1:57" s="1942" customFormat="1" x14ac:dyDescent="0.25">
      <c r="A783" s="1267"/>
      <c r="B783" s="123"/>
      <c r="C783" s="328"/>
      <c r="D783" s="329"/>
      <c r="E783" s="329"/>
      <c r="F783" s="123"/>
      <c r="G783" s="329"/>
      <c r="H783" s="328"/>
      <c r="I783" s="328"/>
      <c r="J783" s="328"/>
      <c r="K783" s="328"/>
      <c r="L783" s="328"/>
      <c r="M783" s="328"/>
      <c r="N783" s="123"/>
      <c r="O783" s="123"/>
      <c r="P783" s="123"/>
      <c r="Q783" s="123"/>
      <c r="R783" s="123"/>
      <c r="S783" s="123"/>
      <c r="T783" s="123"/>
      <c r="U783" s="123"/>
      <c r="V783" s="123"/>
      <c r="BB783" s="575"/>
      <c r="BC783" s="584"/>
      <c r="BD783" s="678"/>
      <c r="BE783" s="585"/>
    </row>
    <row r="784" spans="1:57" s="51" customFormat="1" x14ac:dyDescent="0.25">
      <c r="A784" s="1267"/>
      <c r="B784" s="123"/>
      <c r="C784" s="328"/>
      <c r="D784" s="329" t="s">
        <v>874</v>
      </c>
      <c r="E784" s="329"/>
      <c r="F784" s="123"/>
      <c r="G784" s="329"/>
      <c r="H784" s="328"/>
      <c r="I784" s="328"/>
      <c r="J784" s="328"/>
      <c r="K784" s="328"/>
      <c r="L784" s="328"/>
      <c r="M784" s="328"/>
      <c r="N784" s="123"/>
      <c r="O784" s="123"/>
      <c r="P784" s="123"/>
      <c r="Q784" s="123"/>
      <c r="R784" s="123"/>
      <c r="S784" s="123"/>
      <c r="T784" s="123"/>
      <c r="U784" s="123"/>
      <c r="V784" s="123"/>
      <c r="W784" s="1942"/>
      <c r="X784" s="1942"/>
      <c r="Y784" s="1942"/>
      <c r="Z784" s="1942"/>
      <c r="AA784" s="1942"/>
      <c r="AB784" s="1942"/>
      <c r="AC784" s="1942"/>
      <c r="AD784" s="1942"/>
      <c r="AE784" s="1942"/>
      <c r="AF784" s="1942"/>
      <c r="AG784" s="1942"/>
      <c r="AH784" s="1942"/>
      <c r="AI784" s="1942"/>
      <c r="AJ784" s="1942"/>
      <c r="AK784" s="1942"/>
      <c r="AL784" s="1942"/>
      <c r="AM784" s="1942"/>
      <c r="AN784" s="1942"/>
      <c r="AO784" s="1942"/>
      <c r="AP784" s="1942"/>
      <c r="AQ784" s="1942"/>
      <c r="AR784" s="1942"/>
      <c r="AS784" s="1942"/>
      <c r="AT784" s="1942"/>
      <c r="AU784" s="1942"/>
      <c r="AV784" s="1942"/>
      <c r="AW784" s="1942"/>
      <c r="AX784" s="1942"/>
      <c r="AY784" s="1942"/>
      <c r="AZ784" s="1942"/>
      <c r="BA784" s="1942"/>
      <c r="BB784" s="575"/>
      <c r="BC784" s="584"/>
      <c r="BD784" s="678"/>
      <c r="BE784" s="585"/>
    </row>
    <row r="785" spans="1:57" s="51" customFormat="1" ht="30" x14ac:dyDescent="0.25">
      <c r="A785" s="1267"/>
      <c r="B785" s="123"/>
      <c r="C785" s="3161" t="s">
        <v>28</v>
      </c>
      <c r="D785" s="3161" t="s">
        <v>175</v>
      </c>
      <c r="E785" s="3161" t="s">
        <v>30</v>
      </c>
      <c r="F785" s="3161" t="s">
        <v>31</v>
      </c>
      <c r="G785" s="3161" t="s">
        <v>176</v>
      </c>
      <c r="H785" s="3161" t="s">
        <v>177</v>
      </c>
      <c r="I785" s="3161" t="s">
        <v>32</v>
      </c>
      <c r="J785" s="3213" t="s">
        <v>181</v>
      </c>
      <c r="K785" s="3161" t="s">
        <v>170</v>
      </c>
      <c r="L785" s="3161" t="s">
        <v>875</v>
      </c>
      <c r="M785" s="123"/>
      <c r="N785" s="123"/>
      <c r="O785" s="123"/>
      <c r="P785" s="123"/>
      <c r="Q785" s="123"/>
      <c r="R785" s="228"/>
      <c r="S785" s="228"/>
      <c r="T785" s="228"/>
      <c r="U785" s="228"/>
      <c r="V785" s="551" t="s">
        <v>45</v>
      </c>
      <c r="W785" s="1937">
        <f>W$6</f>
        <v>43252</v>
      </c>
      <c r="X785" s="1937">
        <f t="shared" ref="X785:AG785" si="81">X$6</f>
        <v>43465</v>
      </c>
      <c r="Y785" s="1937">
        <f t="shared" si="81"/>
        <v>43800</v>
      </c>
      <c r="Z785" s="1937">
        <f t="shared" si="81"/>
        <v>43862</v>
      </c>
      <c r="AA785" s="1937">
        <f t="shared" si="81"/>
        <v>44013</v>
      </c>
      <c r="AB785" s="1937">
        <f t="shared" si="81"/>
        <v>44166</v>
      </c>
      <c r="AC785" s="1937">
        <f t="shared" si="81"/>
        <v>44531</v>
      </c>
      <c r="AD785" s="1937" t="str">
        <f t="shared" si="81"/>
        <v>-</v>
      </c>
      <c r="AE785" s="1937" t="str">
        <f t="shared" si="81"/>
        <v>-</v>
      </c>
      <c r="AF785" s="1937" t="str">
        <f t="shared" si="81"/>
        <v>-</v>
      </c>
      <c r="AG785" s="1937" t="str">
        <f t="shared" si="81"/>
        <v>-</v>
      </c>
      <c r="AH785" s="1942"/>
      <c r="AI785" s="1942"/>
      <c r="AJ785" s="1942"/>
      <c r="AK785" s="1942"/>
      <c r="AL785" s="1942"/>
      <c r="AM785" s="1942"/>
      <c r="AN785" s="1942"/>
      <c r="AO785" s="1942"/>
      <c r="AP785" s="1942"/>
      <c r="AQ785" s="1942"/>
      <c r="AR785" s="1942"/>
      <c r="AS785" s="1942"/>
      <c r="AT785" s="1942"/>
      <c r="AU785" s="1942"/>
      <c r="AV785" s="1942"/>
      <c r="AW785" s="1942"/>
      <c r="AX785" s="1942"/>
      <c r="AY785" s="1942"/>
      <c r="AZ785" s="1942"/>
      <c r="BA785" s="1942"/>
      <c r="BB785" s="1953" t="str">
        <f>$BB$6</f>
        <v>TRC (2020)</v>
      </c>
      <c r="BC785" s="1953" t="str">
        <f>$BC$6</f>
        <v>Benefit Lookup</v>
      </c>
      <c r="BD785" s="665" t="str">
        <f>$BD$6</f>
        <v>Benefits (2019 $)</v>
      </c>
      <c r="BE785" s="230" t="str">
        <f>$BE$6</f>
        <v>Incremental Cost (2019 $)</v>
      </c>
    </row>
    <row r="786" spans="1:57" s="51" customFormat="1" x14ac:dyDescent="0.25">
      <c r="A786" s="1267" t="str">
        <f t="shared" ref="A786:A836" si="82">C786&amp;G786</f>
        <v>351200_2021_12_Cooling RES</v>
      </c>
      <c r="B786" s="123"/>
      <c r="C786" s="2038" t="s">
        <v>1024</v>
      </c>
      <c r="D786" s="2667" t="s">
        <v>320</v>
      </c>
      <c r="E786" s="2878" t="s">
        <v>1025</v>
      </c>
      <c r="F786" s="425">
        <f>ROUND((($J$961*$J$982*(1/$J$1024-1/$J$1045))/1000)*$J$1066*$J$1117,2)</f>
        <v>696.9</v>
      </c>
      <c r="G786" s="1553" t="s">
        <v>258</v>
      </c>
      <c r="H786" s="155">
        <f>VLOOKUP(G786,'CP FACTORS'!$A$3:$B$38, 2, FALSE)</f>
        <v>9.4741810000000004E-4</v>
      </c>
      <c r="I786" s="1554">
        <f>ROUND(F786*H786,6)</f>
        <v>0.66025599999999995</v>
      </c>
      <c r="J786" s="2718">
        <f t="shared" ref="J786:J804" si="83">J1118</f>
        <v>6</v>
      </c>
      <c r="K786" s="682">
        <f t="shared" ref="K786:K804" si="84">J1152</f>
        <v>1133.5954314013989</v>
      </c>
      <c r="L786" s="237">
        <f>K962</f>
        <v>1.4</v>
      </c>
      <c r="M786" s="1555"/>
      <c r="N786" s="123"/>
      <c r="O786" s="123"/>
      <c r="P786" s="123"/>
      <c r="Q786" s="123"/>
      <c r="R786" s="1431"/>
      <c r="S786" s="228"/>
      <c r="T786" s="228"/>
      <c r="U786" s="228"/>
      <c r="V786" s="1962" t="s">
        <v>31</v>
      </c>
      <c r="W786" s="730">
        <v>2022.4940476190473</v>
      </c>
      <c r="X786" s="669">
        <v>1807.7600345274061</v>
      </c>
      <c r="Y786" s="731">
        <v>1320.98</v>
      </c>
      <c r="Z786" s="2213">
        <v>1320.98</v>
      </c>
      <c r="AA786" s="2213">
        <v>1320.98</v>
      </c>
      <c r="AB786" s="2055">
        <v>1320.98</v>
      </c>
      <c r="AC786" s="1963">
        <v>696.9</v>
      </c>
      <c r="AD786" s="1941"/>
      <c r="AE786" s="1941"/>
      <c r="AF786" s="1941"/>
      <c r="AG786" s="1941"/>
      <c r="AH786" s="163"/>
      <c r="AI786" s="163"/>
      <c r="AJ786" s="1942"/>
      <c r="AK786" s="1942"/>
      <c r="AL786" s="1942"/>
      <c r="AM786" s="1942"/>
      <c r="AN786" s="1942"/>
      <c r="AO786" s="1942"/>
      <c r="AP786" s="1942"/>
      <c r="AQ786" s="1942"/>
      <c r="AR786" s="1942"/>
      <c r="AS786" s="1942"/>
      <c r="AT786" s="1942"/>
      <c r="AU786" s="1942"/>
      <c r="AV786" s="1942"/>
      <c r="AW786" s="1942"/>
      <c r="AX786" s="1942"/>
      <c r="AY786" s="1942"/>
      <c r="AZ786" s="1942"/>
      <c r="BA786" s="1942"/>
      <c r="BB786" s="239">
        <f>(BD786+BD787)/(BE786+BE787)</f>
        <v>0.67630371295066838</v>
      </c>
      <c r="BC786" s="3115" t="str">
        <f t="shared" ref="BC786:BC836" si="85">CONCATENATE(G786," ",J786," Year EUL")</f>
        <v>Cooling RES 6 Year EUL</v>
      </c>
      <c r="BD786" s="671">
        <f>(INDEX('Avoided Cost Benefits'!$C$4:$C$857,MATCH(BC786,'Avoided Cost Benefits'!$A$4:$A$857,0)))*F786</f>
        <v>405.23631314940661</v>
      </c>
      <c r="BE786" s="1946">
        <f t="shared" ref="BE786:BE836" si="86">K786/(1.0595^(2020-2019))</f>
        <v>1069.9343382740904</v>
      </c>
    </row>
    <row r="787" spans="1:57" s="51" customFormat="1" x14ac:dyDescent="0.25">
      <c r="A787" s="1267" t="str">
        <f t="shared" si="82"/>
        <v>351200_2021_12_Cooling RES ER2</v>
      </c>
      <c r="B787" s="123"/>
      <c r="C787" s="2038" t="s">
        <v>1024</v>
      </c>
      <c r="D787" s="1532" t="s">
        <v>320</v>
      </c>
      <c r="E787" s="3005" t="s">
        <v>1026</v>
      </c>
      <c r="F787" s="425">
        <f>ROUND((($J$961*$J$982*(1/$J$1003-1/$J$1045))/1000)*$J$1067*$J$1117,2)</f>
        <v>269.27</v>
      </c>
      <c r="G787" s="1553" t="s">
        <v>879</v>
      </c>
      <c r="H787" s="155">
        <f>VLOOKUP(G787,'CP FACTORS'!$A$3:$B$38, 2, FALSE)</f>
        <v>9.4741810000000004E-4</v>
      </c>
      <c r="I787" s="1554">
        <f t="shared" ref="I787:I836" si="87">ROUND(F787*H787,6)</f>
        <v>0.25511099999999998</v>
      </c>
      <c r="J787" s="2718">
        <f t="shared" si="83"/>
        <v>12</v>
      </c>
      <c r="K787" s="442">
        <f t="shared" si="84"/>
        <v>0</v>
      </c>
      <c r="L787" s="236"/>
      <c r="M787" s="1555"/>
      <c r="N787" s="123"/>
      <c r="O787" s="123"/>
      <c r="P787" s="123"/>
      <c r="Q787" s="123"/>
      <c r="R787" s="1431"/>
      <c r="S787" s="228"/>
      <c r="T787" s="228"/>
      <c r="U787" s="228"/>
      <c r="V787" s="1962" t="s">
        <v>31</v>
      </c>
      <c r="W787" s="730">
        <v>572.25082417582416</v>
      </c>
      <c r="X787" s="669">
        <v>528.13366090103261</v>
      </c>
      <c r="Y787" s="731">
        <v>385.92</v>
      </c>
      <c r="Z787" s="2213">
        <v>385.92</v>
      </c>
      <c r="AA787" s="2213">
        <v>385.92</v>
      </c>
      <c r="AB787" s="2055">
        <v>385.92</v>
      </c>
      <c r="AC787" s="1963">
        <v>269.27</v>
      </c>
      <c r="AD787" s="1941"/>
      <c r="AE787" s="1941"/>
      <c r="AF787" s="1941"/>
      <c r="AG787" s="1941"/>
      <c r="AH787" s="163"/>
      <c r="AI787" s="163"/>
      <c r="AJ787" s="1942"/>
      <c r="AK787" s="1942"/>
      <c r="AL787" s="1942"/>
      <c r="AM787" s="1942"/>
      <c r="AN787" s="1942"/>
      <c r="AO787" s="1942"/>
      <c r="AP787" s="1942"/>
      <c r="AQ787" s="1942"/>
      <c r="AR787" s="1942"/>
      <c r="AS787" s="1942"/>
      <c r="AT787" s="1942"/>
      <c r="AU787" s="1942"/>
      <c r="AV787" s="1942"/>
      <c r="AW787" s="1942"/>
      <c r="AX787" s="1942"/>
      <c r="AY787" s="1942"/>
      <c r="AZ787" s="1942"/>
      <c r="BA787" s="1942"/>
      <c r="BB787" s="242"/>
      <c r="BC787" s="3116" t="str">
        <f t="shared" si="85"/>
        <v>Cooling RES ER2 12 Year EUL</v>
      </c>
      <c r="BD787" s="673">
        <f>(INDEX('Avoided Cost Benefits'!$C$4:$C$857,MATCH(BC787,'Avoided Cost Benefits'!$A$4:$A$857,0)))*F787</f>
        <v>318.3642524387771</v>
      </c>
      <c r="BE787" s="1949">
        <f t="shared" si="86"/>
        <v>0</v>
      </c>
    </row>
    <row r="788" spans="1:57" s="51" customFormat="1" x14ac:dyDescent="0.25">
      <c r="A788" s="1267" t="str">
        <f t="shared" si="82"/>
        <v>351250_2021_12_Cooling RES</v>
      </c>
      <c r="B788" s="123"/>
      <c r="C788" s="2038" t="s">
        <v>1027</v>
      </c>
      <c r="D788" s="1532" t="s">
        <v>320</v>
      </c>
      <c r="E788" s="2865" t="s">
        <v>1028</v>
      </c>
      <c r="F788" s="425">
        <f>ROUND((($J$962*$J$983*(1/$J$1004-1/$J$1046))/1000)*$J$1068*$J$1117,2)</f>
        <v>329.12</v>
      </c>
      <c r="G788" s="323" t="s">
        <v>258</v>
      </c>
      <c r="H788" s="155">
        <f>VLOOKUP(G788,'CP FACTORS'!$A$3:$B$38, 2, FALSE)</f>
        <v>9.4741810000000004E-4</v>
      </c>
      <c r="I788" s="1554">
        <f t="shared" si="87"/>
        <v>0.31181399999999998</v>
      </c>
      <c r="J788" s="2718">
        <f t="shared" si="83"/>
        <v>18</v>
      </c>
      <c r="K788" s="682">
        <f t="shared" si="84"/>
        <v>337.89830508474574</v>
      </c>
      <c r="L788" s="237">
        <f>K962</f>
        <v>1.4</v>
      </c>
      <c r="M788" s="1555"/>
      <c r="N788" s="1556"/>
      <c r="O788" s="123"/>
      <c r="P788" s="123"/>
      <c r="Q788" s="123"/>
      <c r="R788" s="1431"/>
      <c r="S788" s="228"/>
      <c r="T788" s="228"/>
      <c r="U788" s="228"/>
      <c r="V788" s="1962" t="s">
        <v>31</v>
      </c>
      <c r="W788" s="730">
        <v>1875.936507936508</v>
      </c>
      <c r="X788" s="669">
        <v>1807.7600345274061</v>
      </c>
      <c r="Y788" s="731">
        <v>1320.98</v>
      </c>
      <c r="Z788" s="2213">
        <v>1320.98</v>
      </c>
      <c r="AA788" s="2213">
        <v>1320.98</v>
      </c>
      <c r="AB788" s="1857">
        <v>332.95</v>
      </c>
      <c r="AC788" s="1963">
        <v>329.12</v>
      </c>
      <c r="AD788" s="1941"/>
      <c r="AE788" s="1941"/>
      <c r="AF788" s="1941"/>
      <c r="AG788" s="1941"/>
      <c r="AH788" s="163"/>
      <c r="AI788" s="163"/>
      <c r="AJ788" s="1942"/>
      <c r="AK788" s="1942"/>
      <c r="AL788" s="1942"/>
      <c r="AM788" s="1942"/>
      <c r="AN788" s="1942"/>
      <c r="AO788" s="1942"/>
      <c r="AP788" s="1942"/>
      <c r="AQ788" s="1942"/>
      <c r="AR788" s="1942"/>
      <c r="AS788" s="1942"/>
      <c r="AT788" s="1942"/>
      <c r="AU788" s="1942"/>
      <c r="AV788" s="1942"/>
      <c r="AW788" s="1942"/>
      <c r="AX788" s="1942"/>
      <c r="AY788" s="1942"/>
      <c r="AZ788" s="1942"/>
      <c r="BA788" s="1942"/>
      <c r="BB788" s="1913">
        <f>(BD788)/(BE788)</f>
        <v>1.8202056178332329</v>
      </c>
      <c r="BC788" s="3121" t="str">
        <f t="shared" si="85"/>
        <v>Cooling RES 18 Year EUL</v>
      </c>
      <c r="BD788" s="673">
        <f>(INDEX('Avoided Cost Benefits'!$C$4:$C$857,MATCH(BC788,'Avoided Cost Benefits'!$A$4:$A$857,0)))*F788</f>
        <v>580.50438241772702</v>
      </c>
      <c r="BE788" s="1949">
        <f t="shared" si="86"/>
        <v>318.92242103326635</v>
      </c>
    </row>
    <row r="789" spans="1:57" s="51" customFormat="1" x14ac:dyDescent="0.25">
      <c r="A789" s="1267" t="str">
        <f t="shared" si="82"/>
        <v>351300_2021_12_Cooling RES</v>
      </c>
      <c r="B789" s="123"/>
      <c r="C789" s="2038" t="s">
        <v>1029</v>
      </c>
      <c r="D789" s="1532" t="s">
        <v>320</v>
      </c>
      <c r="E789" s="2878" t="s">
        <v>1030</v>
      </c>
      <c r="F789" s="425">
        <f>ROUND((($J$963*$J$984*(1/$J$1005-1/$J$1047))/1000)*$J$1069*$J$1117,2)</f>
        <v>305.98</v>
      </c>
      <c r="G789" s="323" t="s">
        <v>258</v>
      </c>
      <c r="H789" s="155">
        <f>VLOOKUP(G789,'CP FACTORS'!$A$3:$B$38, 2, FALSE)</f>
        <v>9.4741810000000004E-4</v>
      </c>
      <c r="I789" s="1554">
        <f t="shared" si="87"/>
        <v>0.28989100000000001</v>
      </c>
      <c r="J789" s="2718">
        <f t="shared" si="83"/>
        <v>18</v>
      </c>
      <c r="K789" s="682">
        <f t="shared" si="84"/>
        <v>337.89830508474574</v>
      </c>
      <c r="L789" s="237">
        <f>K963</f>
        <v>1.5084745762711864</v>
      </c>
      <c r="M789" s="1555"/>
      <c r="N789" s="1556"/>
      <c r="O789" s="123"/>
      <c r="P789" s="123"/>
      <c r="Q789" s="123"/>
      <c r="R789" s="1431"/>
      <c r="S789" s="228"/>
      <c r="T789" s="228"/>
      <c r="U789" s="228"/>
      <c r="V789" s="1962" t="s">
        <v>31</v>
      </c>
      <c r="W789" s="730">
        <v>548.43293798712307</v>
      </c>
      <c r="X789" s="669">
        <v>528.13366090103261</v>
      </c>
      <c r="Y789" s="733">
        <v>214.85</v>
      </c>
      <c r="Z789" s="2214">
        <v>214.85</v>
      </c>
      <c r="AA789" s="2214">
        <v>214.85</v>
      </c>
      <c r="AB789" s="2055">
        <v>214.85</v>
      </c>
      <c r="AC789" s="1963">
        <v>305.98</v>
      </c>
      <c r="AD789" s="1941"/>
      <c r="AE789" s="1941"/>
      <c r="AF789" s="1941"/>
      <c r="AG789" s="1941"/>
      <c r="AH789" s="163"/>
      <c r="AI789" s="163"/>
      <c r="AJ789" s="1942"/>
      <c r="AK789" s="1942"/>
      <c r="AL789" s="1942"/>
      <c r="AM789" s="1942"/>
      <c r="AN789" s="1942"/>
      <c r="AO789" s="1942"/>
      <c r="AP789" s="1942"/>
      <c r="AQ789" s="1942"/>
      <c r="AR789" s="1942"/>
      <c r="AS789" s="1942"/>
      <c r="AT789" s="1942"/>
      <c r="AU789" s="1942"/>
      <c r="AV789" s="1942"/>
      <c r="AW789" s="1942"/>
      <c r="AX789" s="1942"/>
      <c r="AY789" s="1942"/>
      <c r="AZ789" s="1942"/>
      <c r="BA789" s="1942"/>
      <c r="BB789" s="244">
        <f>(BD789+BD790)/(BE789+BE790)</f>
        <v>2.6083012705187127</v>
      </c>
      <c r="BC789" s="3115" t="str">
        <f t="shared" si="85"/>
        <v>Cooling RES 18 Year EUL</v>
      </c>
      <c r="BD789" s="673">
        <f>(INDEX('Avoided Cost Benefits'!$C$4:$C$857,MATCH(BC789,'Avoided Cost Benefits'!$A$4:$A$857,0)))*F789</f>
        <v>539.68987278857594</v>
      </c>
      <c r="BE789" s="1949">
        <f t="shared" si="86"/>
        <v>318.92242103326635</v>
      </c>
    </row>
    <row r="790" spans="1:57" s="51" customFormat="1" x14ac:dyDescent="0.25">
      <c r="A790" s="1267" t="str">
        <f t="shared" si="82"/>
        <v>351300_2021_12_Heating RES</v>
      </c>
      <c r="B790" s="123"/>
      <c r="C790" s="2038" t="s">
        <v>1029</v>
      </c>
      <c r="D790" s="1532" t="s">
        <v>320</v>
      </c>
      <c r="E790" s="3005" t="s">
        <v>1030</v>
      </c>
      <c r="F790" s="425">
        <f>ROUND((($J$858*$J$879*(1/$J$900-1/$J$942))/1000)*$J$1070*$J$1117,2)</f>
        <v>632.35</v>
      </c>
      <c r="G790" s="323" t="s">
        <v>259</v>
      </c>
      <c r="H790" s="155">
        <f>VLOOKUP(G790,'CP FACTORS'!$A$3:$B$38, 2, FALSE)</f>
        <v>0</v>
      </c>
      <c r="I790" s="1554">
        <f t="shared" si="87"/>
        <v>0</v>
      </c>
      <c r="J790" s="2718">
        <f t="shared" si="83"/>
        <v>18</v>
      </c>
      <c r="K790" s="442">
        <f t="shared" si="84"/>
        <v>0</v>
      </c>
      <c r="L790" s="236"/>
      <c r="M790" s="1555"/>
      <c r="N790" s="1556"/>
      <c r="O790" s="123"/>
      <c r="P790" s="123"/>
      <c r="Q790" s="123"/>
      <c r="R790" s="1431"/>
      <c r="S790" s="228"/>
      <c r="T790" s="228"/>
      <c r="U790" s="228"/>
      <c r="V790" s="1962" t="s">
        <v>31</v>
      </c>
      <c r="W790" s="730">
        <v>1059.3684210526314</v>
      </c>
      <c r="X790" s="669">
        <v>905.10385245195232</v>
      </c>
      <c r="Y790" s="733">
        <v>513.91</v>
      </c>
      <c r="Z790" s="2214">
        <v>513.91</v>
      </c>
      <c r="AA790" s="2214">
        <v>513.91</v>
      </c>
      <c r="AB790" s="2055">
        <v>513.91</v>
      </c>
      <c r="AC790" s="1963">
        <v>632.35</v>
      </c>
      <c r="AD790" s="1941"/>
      <c r="AE790" s="1941"/>
      <c r="AF790" s="1941"/>
      <c r="AG790" s="1941"/>
      <c r="AH790" s="163"/>
      <c r="AI790" s="163"/>
      <c r="AJ790" s="1942"/>
      <c r="AK790" s="1942"/>
      <c r="AL790" s="1942"/>
      <c r="AM790" s="1942"/>
      <c r="AN790" s="1942"/>
      <c r="AO790" s="1942"/>
      <c r="AP790" s="1942"/>
      <c r="AQ790" s="1942"/>
      <c r="AR790" s="1942"/>
      <c r="AS790" s="1942"/>
      <c r="AT790" s="1942"/>
      <c r="AU790" s="1942"/>
      <c r="AV790" s="1942"/>
      <c r="AW790" s="1942"/>
      <c r="AX790" s="1942"/>
      <c r="AY790" s="1942"/>
      <c r="AZ790" s="1942"/>
      <c r="BA790" s="1942"/>
      <c r="BB790" s="242"/>
      <c r="BC790" s="3116" t="str">
        <f t="shared" si="85"/>
        <v>Heating RES 18 Year EUL</v>
      </c>
      <c r="BD790" s="673">
        <f>(INDEX('Avoided Cost Benefits'!$C$4:$C$857,MATCH(BC790,'Avoided Cost Benefits'!$A$4:$A$857,0)))*F790</f>
        <v>292.15588318939655</v>
      </c>
      <c r="BE790" s="1949">
        <f t="shared" si="86"/>
        <v>0</v>
      </c>
    </row>
    <row r="791" spans="1:57" s="51" customFormat="1" x14ac:dyDescent="0.25">
      <c r="A791" s="1267" t="str">
        <f t="shared" si="82"/>
        <v>351350_2021_12_Cooling RES</v>
      </c>
      <c r="B791" s="123"/>
      <c r="C791" s="2038" t="s">
        <v>1031</v>
      </c>
      <c r="D791" s="1532" t="s">
        <v>320</v>
      </c>
      <c r="E791" s="2878" t="s">
        <v>1032</v>
      </c>
      <c r="F791" s="425">
        <f>ROUND((($J$964*$J$985*(1/$J$1006-1/$J$1048))/1000)*$J$1071*$J$1117,2)</f>
        <v>296.29000000000002</v>
      </c>
      <c r="G791" s="323" t="s">
        <v>258</v>
      </c>
      <c r="H791" s="155">
        <f>VLOOKUP(G791,'CP FACTORS'!$A$3:$B$38, 2, FALSE)</f>
        <v>9.4741810000000004E-4</v>
      </c>
      <c r="I791" s="1554">
        <f t="shared" si="87"/>
        <v>0.28071099999999999</v>
      </c>
      <c r="J791" s="2718">
        <f t="shared" si="83"/>
        <v>18</v>
      </c>
      <c r="K791" s="682">
        <f t="shared" si="84"/>
        <v>337.89830508474574</v>
      </c>
      <c r="L791" s="237">
        <f>K961</f>
        <v>1.3333333333333333</v>
      </c>
      <c r="M791" s="1555"/>
      <c r="N791" s="1556"/>
      <c r="O791" s="123"/>
      <c r="P791" s="123"/>
      <c r="Q791" s="123"/>
      <c r="R791" s="1431"/>
      <c r="S791" s="228"/>
      <c r="T791" s="228"/>
      <c r="U791" s="228"/>
      <c r="V791" s="1962" t="s">
        <v>31</v>
      </c>
      <c r="W791" s="730">
        <v>548.43293798712307</v>
      </c>
      <c r="X791" s="669">
        <v>528.13366090103261</v>
      </c>
      <c r="Y791" s="733">
        <v>214.85</v>
      </c>
      <c r="Z791" s="2214">
        <v>214.85</v>
      </c>
      <c r="AA791" s="2214">
        <v>214.85</v>
      </c>
      <c r="AB791" s="1857">
        <v>312.66000000000003</v>
      </c>
      <c r="AC791" s="1963">
        <v>296.29000000000002</v>
      </c>
      <c r="AD791" s="1941"/>
      <c r="AE791" s="1941"/>
      <c r="AF791" s="1941"/>
      <c r="AG791" s="1941"/>
      <c r="AH791" s="163"/>
      <c r="AI791" s="163"/>
      <c r="AJ791" s="1942"/>
      <c r="AK791" s="1942"/>
      <c r="AL791" s="1942"/>
      <c r="AM791" s="1942"/>
      <c r="AN791" s="1942"/>
      <c r="AO791" s="1942"/>
      <c r="AP791" s="1942"/>
      <c r="AQ791" s="1942"/>
      <c r="AR791" s="1942"/>
      <c r="AS791" s="1942"/>
      <c r="AT791" s="1942"/>
      <c r="AU791" s="1942"/>
      <c r="AV791" s="1942"/>
      <c r="AW791" s="1942"/>
      <c r="AX791" s="1942"/>
      <c r="AY791" s="1942"/>
      <c r="AZ791" s="1942"/>
      <c r="BA791" s="1942"/>
      <c r="BB791" s="244">
        <f>(BD791+BD792)/(BE791+BE792)</f>
        <v>2.5645325472201184</v>
      </c>
      <c r="BC791" s="3115" t="str">
        <f t="shared" si="85"/>
        <v>Cooling RES 18 Year EUL</v>
      </c>
      <c r="BD791" s="673">
        <f>(INDEX('Avoided Cost Benefits'!$C$4:$C$857,MATCH(BC791,'Avoided Cost Benefits'!$A$4:$A$857,0)))*F791</f>
        <v>522.5985764054094</v>
      </c>
      <c r="BE791" s="1949">
        <f t="shared" si="86"/>
        <v>318.92242103326635</v>
      </c>
    </row>
    <row r="792" spans="1:57" s="51" customFormat="1" x14ac:dyDescent="0.25">
      <c r="A792" s="1267" t="str">
        <f t="shared" si="82"/>
        <v>351350_2021_12_Heating RES</v>
      </c>
      <c r="B792" s="123"/>
      <c r="C792" s="2038" t="s">
        <v>1031</v>
      </c>
      <c r="D792" s="1532" t="s">
        <v>320</v>
      </c>
      <c r="E792" s="3005" t="s">
        <v>1032</v>
      </c>
      <c r="F792" s="425">
        <f>ROUND((($J$859*$J$880*(1/$J$901-1/$J$943))/1000)*$J$1072*$J$1117,2)</f>
        <v>639.13</v>
      </c>
      <c r="G792" s="323" t="s">
        <v>259</v>
      </c>
      <c r="H792" s="155">
        <f>VLOOKUP(G792,'CP FACTORS'!$A$3:$B$38, 2, FALSE)</f>
        <v>0</v>
      </c>
      <c r="I792" s="1554">
        <f t="shared" si="87"/>
        <v>0</v>
      </c>
      <c r="J792" s="2718">
        <f t="shared" si="83"/>
        <v>18</v>
      </c>
      <c r="K792" s="442">
        <f t="shared" si="84"/>
        <v>0</v>
      </c>
      <c r="L792" s="236"/>
      <c r="M792" s="1555"/>
      <c r="N792" s="1556"/>
      <c r="O792" s="123"/>
      <c r="P792" s="123"/>
      <c r="Q792" s="123"/>
      <c r="R792" s="1431"/>
      <c r="S792" s="228"/>
      <c r="T792" s="228"/>
      <c r="U792" s="228"/>
      <c r="V792" s="1962" t="s">
        <v>31</v>
      </c>
      <c r="W792" s="730">
        <v>1059.3684210526314</v>
      </c>
      <c r="X792" s="669">
        <v>905.10385245195232</v>
      </c>
      <c r="Y792" s="733">
        <v>513.91</v>
      </c>
      <c r="Z792" s="2214">
        <v>513.91</v>
      </c>
      <c r="AA792" s="2214">
        <v>513.91</v>
      </c>
      <c r="AB792" s="1857">
        <v>585.46</v>
      </c>
      <c r="AC792" s="1963">
        <v>639.13</v>
      </c>
      <c r="AD792" s="1941"/>
      <c r="AE792" s="1941"/>
      <c r="AF792" s="1941"/>
      <c r="AG792" s="1941"/>
      <c r="AH792" s="163"/>
      <c r="AI792" s="163"/>
      <c r="AJ792" s="1942"/>
      <c r="AK792" s="1942"/>
      <c r="AL792" s="1942"/>
      <c r="AM792" s="1942"/>
      <c r="AN792" s="1942"/>
      <c r="AO792" s="1942"/>
      <c r="AP792" s="1942"/>
      <c r="AQ792" s="1942"/>
      <c r="AR792" s="1942"/>
      <c r="AS792" s="1942"/>
      <c r="AT792" s="1942"/>
      <c r="AU792" s="1942"/>
      <c r="AV792" s="1942"/>
      <c r="AW792" s="1942"/>
      <c r="AX792" s="1942"/>
      <c r="AY792" s="1942"/>
      <c r="AZ792" s="1942"/>
      <c r="BA792" s="1942"/>
      <c r="BB792" s="242"/>
      <c r="BC792" s="3116" t="str">
        <f t="shared" si="85"/>
        <v>Heating RES 18 Year EUL</v>
      </c>
      <c r="BD792" s="673">
        <f>(INDEX('Avoided Cost Benefits'!$C$4:$C$857,MATCH(BC792,'Avoided Cost Benefits'!$A$4:$A$857,0)))*F792</f>
        <v>295.28835237264013</v>
      </c>
      <c r="BE792" s="1949">
        <f t="shared" si="86"/>
        <v>0</v>
      </c>
    </row>
    <row r="793" spans="1:57" s="51" customFormat="1" x14ac:dyDescent="0.25">
      <c r="A793" s="1267" t="str">
        <f t="shared" si="82"/>
        <v>351400_2021_12_Cooling RES</v>
      </c>
      <c r="B793" s="123"/>
      <c r="C793" s="2038" t="s">
        <v>1033</v>
      </c>
      <c r="D793" s="1532" t="s">
        <v>320</v>
      </c>
      <c r="E793" s="2878" t="s">
        <v>1034</v>
      </c>
      <c r="F793" s="425">
        <f>ROUND((($J$965*$J$986*(1/$J$1028-1/$J$1049))/1000)*$J$1073*$J$1117,2)</f>
        <v>884.18</v>
      </c>
      <c r="G793" s="323" t="s">
        <v>258</v>
      </c>
      <c r="H793" s="155">
        <f>VLOOKUP(G793,'CP FACTORS'!$A$3:$B$38, 2, FALSE)</f>
        <v>9.4741810000000004E-4</v>
      </c>
      <c r="I793" s="1554">
        <f t="shared" si="87"/>
        <v>0.83768799999999999</v>
      </c>
      <c r="J793" s="2718">
        <f t="shared" si="83"/>
        <v>6</v>
      </c>
      <c r="K793" s="682">
        <f t="shared" si="84"/>
        <v>2505.747142294048</v>
      </c>
      <c r="L793" s="237">
        <f>K965</f>
        <v>1.569767441860465</v>
      </c>
      <c r="M793" s="1555"/>
      <c r="N793" s="1556"/>
      <c r="O793" s="123"/>
      <c r="P793" s="123"/>
      <c r="Q793" s="123"/>
      <c r="R793" s="1431"/>
      <c r="S793" s="228"/>
      <c r="T793" s="228"/>
      <c r="U793" s="228"/>
      <c r="V793" s="1962" t="s">
        <v>31</v>
      </c>
      <c r="W793" s="730">
        <v>1495.1911764705883</v>
      </c>
      <c r="X793" s="669">
        <v>1625.1970093173225</v>
      </c>
      <c r="Y793" s="733">
        <v>1175.8</v>
      </c>
      <c r="Z793" s="2214">
        <v>1175.8</v>
      </c>
      <c r="AA793" s="2214">
        <v>1175.8</v>
      </c>
      <c r="AB793" s="1857">
        <v>1039.47</v>
      </c>
      <c r="AC793" s="1963">
        <v>884.18</v>
      </c>
      <c r="AD793" s="1941"/>
      <c r="AE793" s="1941"/>
      <c r="AF793" s="1941"/>
      <c r="AG793" s="1941"/>
      <c r="AH793" s="163"/>
      <c r="AI793" s="163"/>
      <c r="AJ793" s="1942"/>
      <c r="AK793" s="1942"/>
      <c r="AL793" s="1942"/>
      <c r="AM793" s="1942"/>
      <c r="AN793" s="1942"/>
      <c r="AO793" s="1942"/>
      <c r="AP793" s="1942"/>
      <c r="AQ793" s="1942"/>
      <c r="AR793" s="1942"/>
      <c r="AS793" s="1942"/>
      <c r="AT793" s="1942"/>
      <c r="AU793" s="1942"/>
      <c r="AV793" s="1942"/>
      <c r="AW793" s="1942"/>
      <c r="AX793" s="1942"/>
      <c r="AY793" s="1942"/>
      <c r="AZ793" s="1942"/>
      <c r="BA793" s="1942"/>
      <c r="BB793" s="244">
        <f>(BD793+BD794+BD795+BD796)/(BE793+BE794+BE795+BE796)</f>
        <v>1.1597028605642348</v>
      </c>
      <c r="BC793" s="3115" t="str">
        <f t="shared" si="85"/>
        <v>Cooling RES 6 Year EUL</v>
      </c>
      <c r="BD793" s="673">
        <f>(INDEX('Avoided Cost Benefits'!$C$4:$C$857,MATCH(BC793,'Avoided Cost Benefits'!$A$4:$A$857,0)))*F793</f>
        <v>514.13666718387481</v>
      </c>
      <c r="BE793" s="1949">
        <f t="shared" si="86"/>
        <v>2365.0279776253401</v>
      </c>
    </row>
    <row r="794" spans="1:57" s="51" customFormat="1" x14ac:dyDescent="0.25">
      <c r="A794" s="1267" t="str">
        <f t="shared" si="82"/>
        <v>351400_2021_12_Heating RES</v>
      </c>
      <c r="B794" s="228"/>
      <c r="C794" s="2038" t="s">
        <v>1033</v>
      </c>
      <c r="D794" s="1532" t="s">
        <v>320</v>
      </c>
      <c r="E794" s="3007" t="s">
        <v>1034</v>
      </c>
      <c r="F794" s="425">
        <f>ROUND((($J$860*$J$881*(1/$J$923-1/$J$944))/1000)*$J$1074*$J$1117,2)</f>
        <v>3895.33</v>
      </c>
      <c r="G794" s="323" t="s">
        <v>259</v>
      </c>
      <c r="H794" s="155">
        <f>VLOOKUP(G794,'CP FACTORS'!$A$3:$B$38, 2, FALSE)</f>
        <v>0</v>
      </c>
      <c r="I794" s="1554">
        <f t="shared" si="87"/>
        <v>0</v>
      </c>
      <c r="J794" s="2718">
        <f t="shared" si="83"/>
        <v>6</v>
      </c>
      <c r="K794" s="442">
        <f t="shared" si="84"/>
        <v>0</v>
      </c>
      <c r="L794" s="236"/>
      <c r="M794" s="1555"/>
      <c r="N794" s="1556"/>
      <c r="O794" s="123"/>
      <c r="P794" s="123"/>
      <c r="Q794" s="123"/>
      <c r="R794" s="1431"/>
      <c r="S794" s="228"/>
      <c r="T794" s="228"/>
      <c r="U794" s="228"/>
      <c r="V794" s="1962" t="s">
        <v>31</v>
      </c>
      <c r="W794" s="730">
        <v>5217.8997805633207</v>
      </c>
      <c r="X794" s="669">
        <v>5513.3467827124387</v>
      </c>
      <c r="Y794" s="733">
        <v>3822.23</v>
      </c>
      <c r="Z794" s="2214">
        <v>3822.23</v>
      </c>
      <c r="AA794" s="2214">
        <v>3822.23</v>
      </c>
      <c r="AB794" s="1857">
        <v>3646.53</v>
      </c>
      <c r="AC794" s="1963">
        <v>3895.33</v>
      </c>
      <c r="AD794" s="1941"/>
      <c r="AE794" s="1941"/>
      <c r="AF794" s="1941"/>
      <c r="AG794" s="1941"/>
      <c r="AH794" s="163"/>
      <c r="AI794" s="163"/>
      <c r="AJ794" s="1942"/>
      <c r="AK794" s="1942"/>
      <c r="AL794" s="1942"/>
      <c r="AM794" s="1942"/>
      <c r="AN794" s="1942"/>
      <c r="AO794" s="1942"/>
      <c r="AP794" s="1942"/>
      <c r="AQ794" s="1942"/>
      <c r="AR794" s="1942"/>
      <c r="AS794" s="1942"/>
      <c r="AT794" s="1942"/>
      <c r="AU794" s="1942"/>
      <c r="AV794" s="1942"/>
      <c r="AW794" s="1942"/>
      <c r="AX794" s="1942"/>
      <c r="AY794" s="1942"/>
      <c r="AZ794" s="1942"/>
      <c r="BA794" s="1942"/>
      <c r="BB794" s="734"/>
      <c r="BC794" s="3130" t="str">
        <f t="shared" si="85"/>
        <v>Heating RES 6 Year EUL</v>
      </c>
      <c r="BD794" s="673">
        <f>(INDEX('Avoided Cost Benefits'!$C$4:$C$857,MATCH(BC794,'Avoided Cost Benefits'!$A$4:$A$857,0)))*F794</f>
        <v>647.92388898760237</v>
      </c>
      <c r="BE794" s="1949">
        <f t="shared" si="86"/>
        <v>0</v>
      </c>
    </row>
    <row r="795" spans="1:57" s="51" customFormat="1" x14ac:dyDescent="0.25">
      <c r="A795" s="1267" t="str">
        <f t="shared" si="82"/>
        <v>351400_2021_12_Cooling RES ER2</v>
      </c>
      <c r="B795" s="228"/>
      <c r="C795" s="2038" t="s">
        <v>1033</v>
      </c>
      <c r="D795" s="1532" t="s">
        <v>320</v>
      </c>
      <c r="E795" s="3007" t="s">
        <v>1035</v>
      </c>
      <c r="F795" s="425">
        <f>ROUND(((J$965*J$986*(1/J$1007-1/J$1049))/1000)*J$1075*$J$1117,2)</f>
        <v>362.75</v>
      </c>
      <c r="G795" s="1553" t="s">
        <v>879</v>
      </c>
      <c r="H795" s="155">
        <f>VLOOKUP(G795,'CP FACTORS'!$A$3:$B$38, 2, FALSE)</f>
        <v>9.4741810000000004E-4</v>
      </c>
      <c r="I795" s="1554">
        <f t="shared" si="87"/>
        <v>0.34367599999999998</v>
      </c>
      <c r="J795" s="2718">
        <f t="shared" si="83"/>
        <v>12</v>
      </c>
      <c r="K795" s="442">
        <f t="shared" si="84"/>
        <v>0</v>
      </c>
      <c r="L795" s="236"/>
      <c r="M795" s="1555"/>
      <c r="N795" s="1556"/>
      <c r="O795" s="123"/>
      <c r="P795" s="123"/>
      <c r="Q795" s="123"/>
      <c r="R795" s="1431"/>
      <c r="S795" s="228"/>
      <c r="T795" s="228"/>
      <c r="U795" s="228"/>
      <c r="V795" s="1962" t="s">
        <v>31</v>
      </c>
      <c r="W795" s="730">
        <v>471.26538461538468</v>
      </c>
      <c r="X795" s="669">
        <v>528.13366090103261</v>
      </c>
      <c r="Y795" s="733">
        <v>374.15</v>
      </c>
      <c r="Z795" s="2214">
        <v>374.15</v>
      </c>
      <c r="AA795" s="2214">
        <v>374.15</v>
      </c>
      <c r="AB795" s="1857">
        <v>386.88</v>
      </c>
      <c r="AC795" s="1963">
        <v>362.75</v>
      </c>
      <c r="AD795" s="1941"/>
      <c r="AE795" s="1941"/>
      <c r="AF795" s="1941"/>
      <c r="AG795" s="1941"/>
      <c r="AH795" s="163"/>
      <c r="AI795" s="163"/>
      <c r="AJ795" s="1942"/>
      <c r="AK795" s="1942"/>
      <c r="AL795" s="1942"/>
      <c r="AM795" s="1942"/>
      <c r="AN795" s="1942"/>
      <c r="AO795" s="1942"/>
      <c r="AP795" s="1942"/>
      <c r="AQ795" s="1942"/>
      <c r="AR795" s="1942"/>
      <c r="AS795" s="1942"/>
      <c r="AT795" s="1942"/>
      <c r="AU795" s="1942"/>
      <c r="AV795" s="1942"/>
      <c r="AW795" s="1942"/>
      <c r="AX795" s="1942"/>
      <c r="AY795" s="1942"/>
      <c r="AZ795" s="1942"/>
      <c r="BA795" s="1942"/>
      <c r="BB795" s="734"/>
      <c r="BC795" s="3130" t="str">
        <f t="shared" si="85"/>
        <v>Cooling RES ER2 12 Year EUL</v>
      </c>
      <c r="BD795" s="673">
        <f>(INDEX('Avoided Cost Benefits'!$C$4:$C$857,MATCH(BC795,'Avoided Cost Benefits'!$A$4:$A$857,0)))*F795</f>
        <v>428.88785446639582</v>
      </c>
      <c r="BE795" s="1949">
        <f t="shared" si="86"/>
        <v>0</v>
      </c>
    </row>
    <row r="796" spans="1:57" s="51" customFormat="1" x14ac:dyDescent="0.25">
      <c r="A796" s="1267" t="str">
        <f t="shared" si="82"/>
        <v>351400_2021_12_Heating RES ER2</v>
      </c>
      <c r="B796" s="228"/>
      <c r="C796" s="2038" t="s">
        <v>1033</v>
      </c>
      <c r="D796" s="1532" t="s">
        <v>320</v>
      </c>
      <c r="E796" s="3005" t="s">
        <v>1035</v>
      </c>
      <c r="F796" s="425">
        <f>ROUND((($J$860*$J$881*(1/$J$902-1/$J$944))/1000)*$J$1076*$J$1117,2)</f>
        <v>3895.33</v>
      </c>
      <c r="G796" s="88" t="s">
        <v>1036</v>
      </c>
      <c r="H796" s="155">
        <f>VLOOKUP(G796,'CP FACTORS'!$A$3:$B$38, 2, FALSE)</f>
        <v>0</v>
      </c>
      <c r="I796" s="1554">
        <f t="shared" si="87"/>
        <v>0</v>
      </c>
      <c r="J796" s="2718">
        <f t="shared" si="83"/>
        <v>12</v>
      </c>
      <c r="K796" s="442">
        <f t="shared" si="84"/>
        <v>0</v>
      </c>
      <c r="L796" s="236"/>
      <c r="M796" s="1555"/>
      <c r="N796" s="1556"/>
      <c r="O796" s="123"/>
      <c r="P796" s="123"/>
      <c r="Q796" s="123"/>
      <c r="R796" s="1431"/>
      <c r="S796" s="228"/>
      <c r="T796" s="228"/>
      <c r="U796" s="228"/>
      <c r="V796" s="1962" t="s">
        <v>31</v>
      </c>
      <c r="W796" s="730">
        <v>1115.8974358974356</v>
      </c>
      <c r="X796" s="669">
        <v>5517.9756069759478</v>
      </c>
      <c r="Y796" s="733">
        <v>3822.23</v>
      </c>
      <c r="Z796" s="2214">
        <v>3822.23</v>
      </c>
      <c r="AA796" s="2214">
        <v>3822.23</v>
      </c>
      <c r="AB796" s="1857">
        <v>3646.53</v>
      </c>
      <c r="AC796" s="1963">
        <v>3895.33</v>
      </c>
      <c r="AD796" s="1941"/>
      <c r="AE796" s="1941"/>
      <c r="AF796" s="1941"/>
      <c r="AG796" s="1941"/>
      <c r="AH796" s="163"/>
      <c r="AI796" s="163"/>
      <c r="AJ796" s="1942"/>
      <c r="AK796" s="1942"/>
      <c r="AL796" s="1942"/>
      <c r="AM796" s="1942"/>
      <c r="AN796" s="1942"/>
      <c r="AO796" s="1942"/>
      <c r="AP796" s="1942"/>
      <c r="AQ796" s="1942"/>
      <c r="AR796" s="1942"/>
      <c r="AS796" s="1942"/>
      <c r="AT796" s="1942"/>
      <c r="AU796" s="1942"/>
      <c r="AV796" s="1942"/>
      <c r="AW796" s="1942"/>
      <c r="AX796" s="1942"/>
      <c r="AY796" s="1942"/>
      <c r="AZ796" s="1942"/>
      <c r="BA796" s="1942"/>
      <c r="BB796" s="734"/>
      <c r="BC796" s="3116" t="str">
        <f t="shared" si="85"/>
        <v>Heating RES ER2 12 Year EUL</v>
      </c>
      <c r="BD796" s="673">
        <f>(INDEX('Avoided Cost Benefits'!$C$4:$C$857,MATCH(BC796,'Avoided Cost Benefits'!$A$4:$A$857,0)))*F796</f>
        <v>1151.7813003286813</v>
      </c>
      <c r="BE796" s="1949">
        <f t="shared" si="86"/>
        <v>0</v>
      </c>
    </row>
    <row r="797" spans="1:57" s="51" customFormat="1" x14ac:dyDescent="0.25">
      <c r="A797" s="1267" t="str">
        <f t="shared" si="82"/>
        <v>351450_2021_12_Cooling RES</v>
      </c>
      <c r="B797" s="228"/>
      <c r="C797" s="2038" t="s">
        <v>1037</v>
      </c>
      <c r="D797" s="1532" t="s">
        <v>320</v>
      </c>
      <c r="E797" s="2878" t="s">
        <v>1038</v>
      </c>
      <c r="F797" s="425">
        <f>ROUND((($J$966*$J$987*(1/$J$1008-1/$J$1050))/1000)*$J$1077*$J$1117,2)</f>
        <v>346.51</v>
      </c>
      <c r="G797" s="323" t="s">
        <v>258</v>
      </c>
      <c r="H797" s="155">
        <f>VLOOKUP(G797,'CP FACTORS'!$A$3:$B$38, 2, FALSE)</f>
        <v>9.4741810000000004E-4</v>
      </c>
      <c r="I797" s="1554">
        <f t="shared" si="87"/>
        <v>0.32829000000000003</v>
      </c>
      <c r="J797" s="2718">
        <f t="shared" si="83"/>
        <v>18</v>
      </c>
      <c r="K797" s="682">
        <f t="shared" si="84"/>
        <v>337.89830508474574</v>
      </c>
      <c r="L797" s="237">
        <f>K966</f>
        <v>1.7307692307692308</v>
      </c>
      <c r="M797" s="1555"/>
      <c r="N797" s="1556"/>
      <c r="O797" s="123"/>
      <c r="P797" s="123"/>
      <c r="Q797" s="123"/>
      <c r="R797" s="1431"/>
      <c r="S797" s="228"/>
      <c r="T797" s="228"/>
      <c r="U797" s="228"/>
      <c r="V797" s="1962" t="s">
        <v>31</v>
      </c>
      <c r="W797" s="730">
        <v>447.12649572649582</v>
      </c>
      <c r="X797" s="669">
        <v>528.13366090103261</v>
      </c>
      <c r="Y797" s="733">
        <v>335.42</v>
      </c>
      <c r="Z797" s="2214">
        <v>335.42</v>
      </c>
      <c r="AA797" s="2214">
        <v>335.42</v>
      </c>
      <c r="AB797" s="1857">
        <v>345.19</v>
      </c>
      <c r="AC797" s="1963">
        <v>346.51</v>
      </c>
      <c r="AD797" s="1941"/>
      <c r="AE797" s="1941"/>
      <c r="AF797" s="1941"/>
      <c r="AG797" s="1941"/>
      <c r="AH797" s="163"/>
      <c r="AI797" s="163"/>
      <c r="AJ797" s="1942"/>
      <c r="AK797" s="1942"/>
      <c r="AL797" s="1942"/>
      <c r="AM797" s="1942"/>
      <c r="AN797" s="1942"/>
      <c r="AO797" s="1942"/>
      <c r="AP797" s="1942"/>
      <c r="AQ797" s="1942"/>
      <c r="AR797" s="1942"/>
      <c r="AS797" s="1942"/>
      <c r="AT797" s="1942"/>
      <c r="AU797" s="1942"/>
      <c r="AV797" s="1942"/>
      <c r="AW797" s="1942"/>
      <c r="AX797" s="1942"/>
      <c r="AY797" s="1942"/>
      <c r="AZ797" s="1942"/>
      <c r="BA797" s="1942"/>
      <c r="BB797" s="244">
        <f>(BD797+BD798)/(BE797+BE798)</f>
        <v>8.2316931852257706</v>
      </c>
      <c r="BC797" s="3115" t="str">
        <f t="shared" si="85"/>
        <v>Cooling RES 18 Year EUL</v>
      </c>
      <c r="BD797" s="673">
        <f>(INDEX('Avoided Cost Benefits'!$C$4:$C$857,MATCH(BC797,'Avoided Cost Benefits'!$A$4:$A$857,0)))*F797</f>
        <v>611.17699790826009</v>
      </c>
      <c r="BE797" s="1949">
        <f t="shared" si="86"/>
        <v>318.92242103326635</v>
      </c>
    </row>
    <row r="798" spans="1:57" s="51" customFormat="1" x14ac:dyDescent="0.25">
      <c r="A798" s="1267" t="str">
        <f t="shared" si="82"/>
        <v>351450_2021_12_Heating RES</v>
      </c>
      <c r="B798" s="228"/>
      <c r="C798" s="2038" t="s">
        <v>1037</v>
      </c>
      <c r="D798" s="1532" t="s">
        <v>320</v>
      </c>
      <c r="E798" s="3005" t="s">
        <v>1038</v>
      </c>
      <c r="F798" s="425">
        <f xml:space="preserve"> ROUND((($J$861*$J$882*(1/$J$903-1/$J$945))/1000)*$J$1078*$J$1117,2)</f>
        <v>4359.3599999999997</v>
      </c>
      <c r="G798" s="323" t="s">
        <v>259</v>
      </c>
      <c r="H798" s="155">
        <f>VLOOKUP(G798,'CP FACTORS'!$A$3:$B$38, 2, FALSE)</f>
        <v>0</v>
      </c>
      <c r="I798" s="1554">
        <f t="shared" si="87"/>
        <v>0</v>
      </c>
      <c r="J798" s="2718">
        <f t="shared" si="83"/>
        <v>18</v>
      </c>
      <c r="K798" s="442">
        <f t="shared" si="84"/>
        <v>0</v>
      </c>
      <c r="L798" s="236"/>
      <c r="M798" s="1555"/>
      <c r="N798" s="1556"/>
      <c r="O798" s="123"/>
      <c r="P798" s="123"/>
      <c r="Q798" s="123"/>
      <c r="R798" s="1431"/>
      <c r="S798" s="228"/>
      <c r="T798" s="228"/>
      <c r="U798" s="228"/>
      <c r="V798" s="1962" t="s">
        <v>31</v>
      </c>
      <c r="W798" s="730">
        <v>1070.7301587301586</v>
      </c>
      <c r="X798" s="669">
        <v>5517.9756069759478</v>
      </c>
      <c r="Y798" s="733">
        <v>4077.05</v>
      </c>
      <c r="Z798" s="2214">
        <v>4077.05</v>
      </c>
      <c r="AA798" s="2214">
        <v>4077.05</v>
      </c>
      <c r="AB798" s="1857">
        <v>4050.16</v>
      </c>
      <c r="AC798" s="1963">
        <v>4359.3599999999997</v>
      </c>
      <c r="AD798" s="1941"/>
      <c r="AE798" s="1941"/>
      <c r="AF798" s="1941"/>
      <c r="AG798" s="1941"/>
      <c r="AH798" s="163"/>
      <c r="AI798" s="163"/>
      <c r="AJ798" s="1942"/>
      <c r="AK798" s="1942"/>
      <c r="AL798" s="1942"/>
      <c r="AM798" s="1942"/>
      <c r="AN798" s="1942"/>
      <c r="AO798" s="1942"/>
      <c r="AP798" s="1942"/>
      <c r="AQ798" s="1942"/>
      <c r="AR798" s="1942"/>
      <c r="AS798" s="1942"/>
      <c r="AT798" s="1942"/>
      <c r="AU798" s="1942"/>
      <c r="AV798" s="1942"/>
      <c r="AW798" s="1942"/>
      <c r="AX798" s="1942"/>
      <c r="AY798" s="1942"/>
      <c r="AZ798" s="1942"/>
      <c r="BA798" s="1942"/>
      <c r="BB798" s="242"/>
      <c r="BC798" s="3116" t="str">
        <f t="shared" si="85"/>
        <v>Heating RES 18 Year EUL</v>
      </c>
      <c r="BD798" s="673">
        <f>(INDEX('Avoided Cost Benefits'!$C$4:$C$857,MATCH(BC798,'Avoided Cost Benefits'!$A$4:$A$857,0)))*F798</f>
        <v>2014.0945219269827</v>
      </c>
      <c r="BE798" s="1949">
        <f t="shared" si="86"/>
        <v>0</v>
      </c>
    </row>
    <row r="799" spans="1:57" s="51" customFormat="1" x14ac:dyDescent="0.25">
      <c r="A799" s="1267" t="str">
        <f t="shared" si="82"/>
        <v>351500_2021_12_Cooling RES</v>
      </c>
      <c r="B799" s="228"/>
      <c r="C799" s="2038" t="s">
        <v>1039</v>
      </c>
      <c r="D799" s="1532" t="s">
        <v>320</v>
      </c>
      <c r="E799" s="2878" t="s">
        <v>1040</v>
      </c>
      <c r="F799" s="425">
        <f>ROUND((($J$967*$J$988*(1/$J$1030-1/$J$1051))/1000)*$J$1079*$J$1117,2)</f>
        <v>843.09</v>
      </c>
      <c r="G799" s="323" t="s">
        <v>258</v>
      </c>
      <c r="H799" s="155">
        <f>VLOOKUP(G799,'CP FACTORS'!$A$3:$B$38, 2, FALSE)</f>
        <v>9.4741810000000004E-4</v>
      </c>
      <c r="I799" s="1554">
        <f t="shared" si="87"/>
        <v>0.798759</v>
      </c>
      <c r="J799" s="2718">
        <f t="shared" si="83"/>
        <v>6</v>
      </c>
      <c r="K799" s="682">
        <f t="shared" si="84"/>
        <v>698.32770489042764</v>
      </c>
      <c r="L799" s="237">
        <f>K967</f>
        <v>1.4772727272727273</v>
      </c>
      <c r="M799" s="1555"/>
      <c r="N799" s="1556"/>
      <c r="O799" s="123"/>
      <c r="P799" s="123"/>
      <c r="Q799" s="123"/>
      <c r="R799" s="1431"/>
      <c r="S799" s="228"/>
      <c r="T799" s="228"/>
      <c r="U799" s="228"/>
      <c r="V799" s="1962" t="s">
        <v>31</v>
      </c>
      <c r="W799" s="730">
        <v>1625.9591194968555</v>
      </c>
      <c r="X799" s="669">
        <v>1497.4028916702637</v>
      </c>
      <c r="Y799" s="733">
        <v>1164.32</v>
      </c>
      <c r="Z799" s="2214">
        <v>1164.32</v>
      </c>
      <c r="AA799" s="2214">
        <v>1164.32</v>
      </c>
      <c r="AB799" s="1857">
        <v>779.12</v>
      </c>
      <c r="AC799" s="1963">
        <v>843.09</v>
      </c>
      <c r="AD799" s="1941"/>
      <c r="AE799" s="1941"/>
      <c r="AF799" s="1941"/>
      <c r="AG799" s="1941"/>
      <c r="AH799" s="163"/>
      <c r="AI799" s="163"/>
      <c r="AJ799" s="1942"/>
      <c r="AK799" s="1942"/>
      <c r="AL799" s="1942"/>
      <c r="AM799" s="1942"/>
      <c r="AN799" s="1942"/>
      <c r="AO799" s="1942"/>
      <c r="AP799" s="1942"/>
      <c r="AQ799" s="1942"/>
      <c r="AR799" s="1942"/>
      <c r="AS799" s="1942"/>
      <c r="AT799" s="1942"/>
      <c r="AU799" s="1942"/>
      <c r="AV799" s="1942"/>
      <c r="AW799" s="1942"/>
      <c r="AX799" s="1942"/>
      <c r="AY799" s="1942"/>
      <c r="AZ799" s="1942"/>
      <c r="BA799" s="1942"/>
      <c r="BB799" s="244">
        <f>(BD799+BD800+BD801+BD802)/(BE799+BE800+BE801+BE802)</f>
        <v>2.2998869785070375</v>
      </c>
      <c r="BC799" s="3115" t="str">
        <f t="shared" si="85"/>
        <v>Cooling RES 6 Year EUL</v>
      </c>
      <c r="BD799" s="673">
        <f>(INDEX('Avoided Cost Benefits'!$C$4:$C$857,MATCH(BC799,'Avoided Cost Benefits'!$A$4:$A$857,0)))*F799</f>
        <v>490.24348292887538</v>
      </c>
      <c r="BE799" s="1949">
        <f t="shared" si="86"/>
        <v>659.11062283192791</v>
      </c>
    </row>
    <row r="800" spans="1:57" s="51" customFormat="1" x14ac:dyDescent="0.25">
      <c r="A800" s="1267" t="str">
        <f t="shared" si="82"/>
        <v>351500_2021_12_Heating RES</v>
      </c>
      <c r="B800" s="228"/>
      <c r="C800" s="2038" t="s">
        <v>1039</v>
      </c>
      <c r="D800" s="1532" t="s">
        <v>320</v>
      </c>
      <c r="E800" s="3007" t="s">
        <v>1040</v>
      </c>
      <c r="F800" s="425">
        <f xml:space="preserve"> ROUND((($J$862*$J$883*(1/$J$925-1/$J$946))/1000)*$J$1080*$J$1117,2)</f>
        <v>1692.45</v>
      </c>
      <c r="G800" s="323" t="s">
        <v>259</v>
      </c>
      <c r="H800" s="155">
        <f>VLOOKUP(G800,'CP FACTORS'!$A$3:$B$38, 2, FALSE)</f>
        <v>0</v>
      </c>
      <c r="I800" s="1554">
        <f t="shared" si="87"/>
        <v>0</v>
      </c>
      <c r="J800" s="2718">
        <f t="shared" si="83"/>
        <v>6</v>
      </c>
      <c r="K800" s="442">
        <f t="shared" si="84"/>
        <v>0</v>
      </c>
      <c r="L800" s="236"/>
      <c r="M800" s="1555"/>
      <c r="N800" s="1556"/>
      <c r="O800" s="123"/>
      <c r="P800" s="123"/>
      <c r="Q800" s="123"/>
      <c r="R800" s="1431"/>
      <c r="S800" s="228"/>
      <c r="T800" s="228"/>
      <c r="U800" s="228"/>
      <c r="V800" s="1962" t="s">
        <v>31</v>
      </c>
      <c r="W800" s="730">
        <v>2932.947368421052</v>
      </c>
      <c r="X800" s="669">
        <v>2571.2014134275614</v>
      </c>
      <c r="Y800" s="733">
        <v>1944.18</v>
      </c>
      <c r="Z800" s="2214">
        <v>1944.18</v>
      </c>
      <c r="AA800" s="2214">
        <v>1944.18</v>
      </c>
      <c r="AB800" s="1857">
        <v>1021.3</v>
      </c>
      <c r="AC800" s="1963">
        <v>1692.45</v>
      </c>
      <c r="AD800" s="1941"/>
      <c r="AE800" s="1941"/>
      <c r="AF800" s="1941"/>
      <c r="AG800" s="1941"/>
      <c r="AH800" s="163"/>
      <c r="AI800" s="163"/>
      <c r="AJ800" s="1942"/>
      <c r="AK800" s="1942"/>
      <c r="AL800" s="1942"/>
      <c r="AM800" s="1942"/>
      <c r="AN800" s="1942"/>
      <c r="AO800" s="1942"/>
      <c r="AP800" s="1942"/>
      <c r="AQ800" s="1942"/>
      <c r="AR800" s="1942"/>
      <c r="AS800" s="1942"/>
      <c r="AT800" s="1942"/>
      <c r="AU800" s="1942"/>
      <c r="AV800" s="1942"/>
      <c r="AW800" s="1942"/>
      <c r="AX800" s="1942"/>
      <c r="AY800" s="1942"/>
      <c r="AZ800" s="1942"/>
      <c r="BA800" s="1942"/>
      <c r="BB800" s="734"/>
      <c r="BC800" s="3130" t="str">
        <f t="shared" si="85"/>
        <v>Heating RES 6 Year EUL</v>
      </c>
      <c r="BD800" s="673">
        <f>(INDEX('Avoided Cost Benefits'!$C$4:$C$857,MATCH(BC800,'Avoided Cost Benefits'!$A$4:$A$857,0)))*F800</f>
        <v>281.51113921466668</v>
      </c>
      <c r="BE800" s="1949">
        <f t="shared" si="86"/>
        <v>0</v>
      </c>
    </row>
    <row r="801" spans="1:57" s="51" customFormat="1" x14ac:dyDescent="0.25">
      <c r="A801" s="1267" t="str">
        <f t="shared" si="82"/>
        <v>351500_2021_12_Cooling RES ER2</v>
      </c>
      <c r="B801" s="228"/>
      <c r="C801" s="2038" t="s">
        <v>1039</v>
      </c>
      <c r="D801" s="1532" t="s">
        <v>320</v>
      </c>
      <c r="E801" s="3007" t="s">
        <v>1041</v>
      </c>
      <c r="F801" s="425">
        <f>ROUND((($J$967*$J$988*(1/$J$1009-1/$J$1051))/1000)*$J$1081*$J$1117,2)</f>
        <v>352.11</v>
      </c>
      <c r="G801" s="1553" t="s">
        <v>879</v>
      </c>
      <c r="H801" s="155">
        <f>VLOOKUP(G801,'CP FACTORS'!$A$3:$B$38, 2, FALSE)</f>
        <v>9.4741810000000004E-4</v>
      </c>
      <c r="I801" s="1554">
        <f t="shared" si="87"/>
        <v>0.33359499999999997</v>
      </c>
      <c r="J801" s="2718">
        <f t="shared" si="83"/>
        <v>12</v>
      </c>
      <c r="K801" s="442">
        <f t="shared" si="84"/>
        <v>0</v>
      </c>
      <c r="L801" s="236"/>
      <c r="M801" s="1555"/>
      <c r="N801" s="1556"/>
      <c r="O801" s="123"/>
      <c r="P801" s="123"/>
      <c r="Q801" s="123"/>
      <c r="R801" s="1431"/>
      <c r="S801" s="228"/>
      <c r="T801" s="228"/>
      <c r="U801" s="228"/>
      <c r="V801" s="1962" t="s">
        <v>31</v>
      </c>
      <c r="W801" s="730">
        <v>527.45399129172722</v>
      </c>
      <c r="X801" s="669">
        <v>528.13366090103261</v>
      </c>
      <c r="Y801" s="733">
        <v>456.05</v>
      </c>
      <c r="Z801" s="2214">
        <v>456.05</v>
      </c>
      <c r="AA801" s="2214">
        <v>456.05</v>
      </c>
      <c r="AB801" s="1857">
        <v>312.22000000000003</v>
      </c>
      <c r="AC801" s="1963">
        <v>352.11</v>
      </c>
      <c r="AD801" s="1941"/>
      <c r="AE801" s="1941"/>
      <c r="AF801" s="1941"/>
      <c r="AG801" s="1941"/>
      <c r="AH801" s="163"/>
      <c r="AI801" s="163"/>
      <c r="AJ801" s="1942"/>
      <c r="AK801" s="1942"/>
      <c r="AL801" s="1942"/>
      <c r="AM801" s="1942"/>
      <c r="AN801" s="1942"/>
      <c r="AO801" s="1942"/>
      <c r="AP801" s="1942"/>
      <c r="AQ801" s="1942"/>
      <c r="AR801" s="1942"/>
      <c r="AS801" s="1942"/>
      <c r="AT801" s="1942"/>
      <c r="AU801" s="1942"/>
      <c r="AV801" s="1942"/>
      <c r="AW801" s="1942"/>
      <c r="AX801" s="1942"/>
      <c r="AY801" s="1942"/>
      <c r="AZ801" s="1942"/>
      <c r="BA801" s="1942"/>
      <c r="BB801" s="734"/>
      <c r="BC801" s="3130" t="str">
        <f t="shared" si="85"/>
        <v>Cooling RES ER2 12 Year EUL</v>
      </c>
      <c r="BD801" s="673">
        <f>(INDEX('Avoided Cost Benefits'!$C$4:$C$857,MATCH(BC801,'Avoided Cost Benefits'!$A$4:$A$857,0)))*F801</f>
        <v>416.30793228439046</v>
      </c>
      <c r="BE801" s="1949">
        <f t="shared" si="86"/>
        <v>0</v>
      </c>
    </row>
    <row r="802" spans="1:57" s="51" customFormat="1" x14ac:dyDescent="0.25">
      <c r="A802" s="1267" t="str">
        <f t="shared" si="82"/>
        <v>351500_2021_12_Heating RES ER2</v>
      </c>
      <c r="B802" s="228"/>
      <c r="C802" s="3046" t="s">
        <v>1039</v>
      </c>
      <c r="D802" s="1557" t="s">
        <v>320</v>
      </c>
      <c r="E802" s="3007" t="s">
        <v>1041</v>
      </c>
      <c r="F802" s="425">
        <f>ROUND((($J$862*$J$883*(1/$J$904-1/$J$946))/1000)*$J$1082*$J$1117,2)</f>
        <v>1108.68</v>
      </c>
      <c r="G802" s="1558" t="s">
        <v>1036</v>
      </c>
      <c r="H802" s="1559">
        <f>VLOOKUP(G802,'CP FACTORS'!$A$3:$B$38, 2, FALSE)</f>
        <v>0</v>
      </c>
      <c r="I802" s="1560">
        <f t="shared" si="87"/>
        <v>0</v>
      </c>
      <c r="J802" s="735">
        <f t="shared" si="83"/>
        <v>12</v>
      </c>
      <c r="K802" s="736">
        <f t="shared" si="84"/>
        <v>0</v>
      </c>
      <c r="L802" s="1561"/>
      <c r="M802" s="1555"/>
      <c r="N802" s="1556"/>
      <c r="O802" s="123"/>
      <c r="P802" s="123"/>
      <c r="Q802" s="123"/>
      <c r="R802" s="1431"/>
      <c r="S802" s="123"/>
      <c r="T802" s="123"/>
      <c r="U802" s="123"/>
      <c r="V802" s="1962" t="s">
        <v>31</v>
      </c>
      <c r="W802" s="730">
        <v>1286.375939849624</v>
      </c>
      <c r="X802" s="669">
        <v>1713.6026292330328</v>
      </c>
      <c r="Y802" s="733">
        <v>1351.43</v>
      </c>
      <c r="Z802" s="2214">
        <v>1351.43</v>
      </c>
      <c r="AA802" s="2214">
        <v>1351.43</v>
      </c>
      <c r="AB802" s="1857">
        <v>515</v>
      </c>
      <c r="AC802" s="1963">
        <v>1108.68</v>
      </c>
      <c r="AD802" s="1941"/>
      <c r="AE802" s="1941"/>
      <c r="AF802" s="1941"/>
      <c r="AG802" s="1941"/>
      <c r="AH802" s="163"/>
      <c r="AI802" s="163"/>
      <c r="AJ802" s="1942"/>
      <c r="AK802" s="1942"/>
      <c r="AL802" s="1942"/>
      <c r="AM802" s="1942"/>
      <c r="AN802" s="1942"/>
      <c r="AO802" s="1942"/>
      <c r="AP802" s="1942"/>
      <c r="AQ802" s="1942"/>
      <c r="AR802" s="1942"/>
      <c r="AS802" s="1942"/>
      <c r="AT802" s="1942"/>
      <c r="AU802" s="1942"/>
      <c r="AV802" s="1942"/>
      <c r="AW802" s="1942"/>
      <c r="AX802" s="1942"/>
      <c r="AY802" s="1942"/>
      <c r="AZ802" s="1942"/>
      <c r="BA802" s="1942"/>
      <c r="BB802" s="734"/>
      <c r="BC802" s="3116" t="str">
        <f t="shared" si="85"/>
        <v>Heating RES ER2 12 Year EUL</v>
      </c>
      <c r="BD802" s="673">
        <f>(INDEX('Avoided Cost Benefits'!$C$4:$C$857,MATCH(BC802,'Avoided Cost Benefits'!$A$4:$A$857,0)))*F802</f>
        <v>327.81738441888172</v>
      </c>
      <c r="BE802" s="1949">
        <f t="shared" si="86"/>
        <v>0</v>
      </c>
    </row>
    <row r="803" spans="1:57" s="51" customFormat="1" x14ac:dyDescent="0.25">
      <c r="A803" s="1267" t="str">
        <f t="shared" si="82"/>
        <v>351550_2021_12_Cooling RES</v>
      </c>
      <c r="B803" s="228"/>
      <c r="C803" s="2038" t="s">
        <v>1042</v>
      </c>
      <c r="D803" s="1532" t="s">
        <v>322</v>
      </c>
      <c r="E803" s="2878" t="s">
        <v>1043</v>
      </c>
      <c r="F803" s="425">
        <f>ROUND((($J$968*$J$989*(1/$J$1031-1/$J$1052))/1000)*$J$1083*$J$1117,2)</f>
        <v>696.9</v>
      </c>
      <c r="G803" s="1553" t="s">
        <v>258</v>
      </c>
      <c r="H803" s="155">
        <f>VLOOKUP(G803,'CP FACTORS'!$A$3:$B$38, 2, FALSE)</f>
        <v>9.4741810000000004E-4</v>
      </c>
      <c r="I803" s="1554">
        <f t="shared" si="87"/>
        <v>0.66025599999999995</v>
      </c>
      <c r="J803" s="2718">
        <f t="shared" si="83"/>
        <v>6</v>
      </c>
      <c r="K803" s="682">
        <f t="shared" si="84"/>
        <v>1133.5954314013989</v>
      </c>
      <c r="L803" s="237">
        <f>K961</f>
        <v>1.3333333333333333</v>
      </c>
      <c r="M803" s="1428"/>
      <c r="N803" s="1428"/>
      <c r="O803" s="1428"/>
      <c r="P803" s="1428"/>
      <c r="Q803" s="1428"/>
      <c r="R803" s="1562"/>
      <c r="S803" s="1428"/>
      <c r="T803" s="1428"/>
      <c r="U803" s="1428"/>
      <c r="V803" s="1947" t="s">
        <v>31</v>
      </c>
      <c r="W803" s="739">
        <v>1314.6211309523808</v>
      </c>
      <c r="X803" s="740">
        <v>1175.0440224428139</v>
      </c>
      <c r="Y803" s="112">
        <v>1320.98</v>
      </c>
      <c r="Z803" s="109">
        <v>1320.98</v>
      </c>
      <c r="AA803" s="109">
        <v>1320.98</v>
      </c>
      <c r="AB803" s="2055">
        <v>1320.98</v>
      </c>
      <c r="AC803" s="1963">
        <v>696.9</v>
      </c>
      <c r="AD803" s="1939"/>
      <c r="AE803" s="1939"/>
      <c r="AF803" s="1939"/>
      <c r="AG803" s="1939"/>
      <c r="AH803" s="741"/>
      <c r="AI803" s="741"/>
      <c r="AJ803" s="738"/>
      <c r="AK803" s="738"/>
      <c r="AL803" s="738"/>
      <c r="AM803" s="738"/>
      <c r="AN803" s="738"/>
      <c r="AO803" s="738"/>
      <c r="AP803" s="1942"/>
      <c r="AQ803" s="1942"/>
      <c r="AR803" s="1942"/>
      <c r="AS803" s="1942"/>
      <c r="AT803" s="1942"/>
      <c r="AU803" s="1942"/>
      <c r="AV803" s="1942"/>
      <c r="AW803" s="1942"/>
      <c r="AX803" s="1942"/>
      <c r="AY803" s="1942"/>
      <c r="AZ803" s="1942"/>
      <c r="BA803" s="1942"/>
      <c r="BB803" s="244">
        <f>(BD803+BD804)/(BE803+BE804)</f>
        <v>0.67630371295066838</v>
      </c>
      <c r="BC803" s="3115" t="str">
        <f t="shared" si="85"/>
        <v>Cooling RES 6 Year EUL</v>
      </c>
      <c r="BD803" s="673">
        <f>(INDEX('Avoided Cost Benefits'!$C$4:$C$857,MATCH(BC803,'Avoided Cost Benefits'!$A$4:$A$857,0)))*F803</f>
        <v>405.23631314940661</v>
      </c>
      <c r="BE803" s="1949">
        <f t="shared" si="86"/>
        <v>1069.9343382740904</v>
      </c>
    </row>
    <row r="804" spans="1:57" s="51" customFormat="1" x14ac:dyDescent="0.25">
      <c r="A804" s="1267" t="str">
        <f t="shared" si="82"/>
        <v>351550_2021_12_Cooling RES ER2</v>
      </c>
      <c r="B804" s="228"/>
      <c r="C804" s="2038" t="s">
        <v>1042</v>
      </c>
      <c r="D804" s="1532" t="s">
        <v>322</v>
      </c>
      <c r="E804" s="3005" t="s">
        <v>1044</v>
      </c>
      <c r="F804" s="425">
        <f>ROUND((($J$968*$J$989*(1/$J$1010-1/$J$1052))/1000)*$J$1084*$J$1117,2)</f>
        <v>269.27</v>
      </c>
      <c r="G804" s="1553" t="s">
        <v>879</v>
      </c>
      <c r="H804" s="155">
        <f>VLOOKUP(G804,'CP FACTORS'!$A$3:$B$38, 2, FALSE)</f>
        <v>9.4741810000000004E-4</v>
      </c>
      <c r="I804" s="1554">
        <f t="shared" si="87"/>
        <v>0.25511099999999998</v>
      </c>
      <c r="J804" s="2718">
        <f t="shared" si="83"/>
        <v>12</v>
      </c>
      <c r="K804" s="442">
        <f t="shared" si="84"/>
        <v>0</v>
      </c>
      <c r="L804" s="236"/>
      <c r="M804" s="1428"/>
      <c r="N804" s="1428"/>
      <c r="O804" s="1428"/>
      <c r="P804" s="1428"/>
      <c r="Q804" s="1428"/>
      <c r="R804" s="1562"/>
      <c r="S804" s="1428"/>
      <c r="T804" s="1428"/>
      <c r="U804" s="1428"/>
      <c r="V804" s="1947" t="s">
        <v>31</v>
      </c>
      <c r="W804" s="739">
        <v>371.9630357142857</v>
      </c>
      <c r="X804" s="740">
        <v>343.28687958567122</v>
      </c>
      <c r="Y804" s="112">
        <v>385.92</v>
      </c>
      <c r="Z804" s="109">
        <v>385.92</v>
      </c>
      <c r="AA804" s="109">
        <v>385.92</v>
      </c>
      <c r="AB804" s="2055">
        <v>385.92</v>
      </c>
      <c r="AC804" s="1963">
        <v>269.27</v>
      </c>
      <c r="AD804" s="1939"/>
      <c r="AE804" s="1939"/>
      <c r="AF804" s="1939"/>
      <c r="AG804" s="1939"/>
      <c r="AH804" s="741"/>
      <c r="AI804" s="741"/>
      <c r="AJ804" s="738"/>
      <c r="AK804" s="738"/>
      <c r="AL804" s="738"/>
      <c r="AM804" s="738"/>
      <c r="AN804" s="738"/>
      <c r="AO804" s="738"/>
      <c r="AP804" s="1942"/>
      <c r="AQ804" s="1942"/>
      <c r="AR804" s="1942"/>
      <c r="AS804" s="1942"/>
      <c r="AT804" s="1942"/>
      <c r="AU804" s="1942"/>
      <c r="AV804" s="1942"/>
      <c r="AW804" s="1942"/>
      <c r="AX804" s="1942"/>
      <c r="AY804" s="1942"/>
      <c r="AZ804" s="1942"/>
      <c r="BA804" s="1942"/>
      <c r="BB804" s="242"/>
      <c r="BC804" s="3116" t="str">
        <f t="shared" si="85"/>
        <v>Cooling RES ER2 12 Year EUL</v>
      </c>
      <c r="BD804" s="673">
        <f>(INDEX('Avoided Cost Benefits'!$C$4:$C$857,MATCH(BC804,'Avoided Cost Benefits'!$A$4:$A$857,0)))*F804</f>
        <v>318.3642524387771</v>
      </c>
      <c r="BE804" s="1949">
        <f t="shared" si="86"/>
        <v>0</v>
      </c>
    </row>
    <row r="805" spans="1:57" s="51" customFormat="1" x14ac:dyDescent="0.25">
      <c r="A805" s="1267" t="str">
        <f t="shared" si="82"/>
        <v>351551_2021_12_Cooling RES</v>
      </c>
      <c r="B805" s="228"/>
      <c r="C805" s="3041" t="s">
        <v>1045</v>
      </c>
      <c r="D805" s="1532" t="s">
        <v>317</v>
      </c>
      <c r="E805" s="2878" t="s">
        <v>1046</v>
      </c>
      <c r="F805" s="425">
        <f>ROUND((($J$975*$J$996*(1/$J$1038-1/$J$1059))/1000)*$J$1100*$J$1117,2)</f>
        <v>457.65</v>
      </c>
      <c r="G805" s="1553" t="s">
        <v>258</v>
      </c>
      <c r="H805" s="155">
        <f>VLOOKUP(G805,'CP FACTORS'!$A$3:$B$38, 2, FALSE)</f>
        <v>9.4741810000000004E-4</v>
      </c>
      <c r="I805" s="1554">
        <f>ROUND(F805*H805,6)</f>
        <v>0.43358600000000003</v>
      </c>
      <c r="J805" s="2718">
        <f>J803</f>
        <v>6</v>
      </c>
      <c r="K805" s="682">
        <f>K803</f>
        <v>1133.5954314013989</v>
      </c>
      <c r="L805" s="237">
        <f>K975</f>
        <v>1.3333333333333333</v>
      </c>
      <c r="M805" s="1428"/>
      <c r="N805" s="1428"/>
      <c r="O805" s="1428"/>
      <c r="P805" s="1428"/>
      <c r="Q805" s="1428"/>
      <c r="R805" s="1562"/>
      <c r="S805" s="1428"/>
      <c r="T805" s="1428"/>
      <c r="U805" s="1428"/>
      <c r="V805" s="1947" t="s">
        <v>31</v>
      </c>
      <c r="W805" s="739"/>
      <c r="X805" s="740"/>
      <c r="Y805" s="112">
        <v>1164.95</v>
      </c>
      <c r="Z805" s="109">
        <v>1164.95</v>
      </c>
      <c r="AA805" s="109">
        <v>1164.95</v>
      </c>
      <c r="AB805" s="1857">
        <v>867.48</v>
      </c>
      <c r="AC805" s="1963">
        <v>457.65</v>
      </c>
      <c r="AD805" s="1939"/>
      <c r="AE805" s="1939"/>
      <c r="AF805" s="1939"/>
      <c r="AG805" s="1939"/>
      <c r="AH805" s="741"/>
      <c r="AI805" s="741"/>
      <c r="AJ805" s="738"/>
      <c r="AK805" s="738"/>
      <c r="AL805" s="738"/>
      <c r="AM805" s="738"/>
      <c r="AN805" s="738"/>
      <c r="AO805" s="738"/>
      <c r="AP805" s="1942"/>
      <c r="AQ805" s="1942"/>
      <c r="AR805" s="1942"/>
      <c r="AS805" s="1942"/>
      <c r="AT805" s="1942"/>
      <c r="AU805" s="1942"/>
      <c r="AV805" s="1942"/>
      <c r="AW805" s="1942"/>
      <c r="AX805" s="1942"/>
      <c r="AY805" s="1942"/>
      <c r="AZ805" s="1942"/>
      <c r="BA805" s="1942"/>
      <c r="BB805" s="244">
        <f>(BD805+BD806)/(BE805+BE806)</f>
        <v>0.44412678146097029</v>
      </c>
      <c r="BC805" s="3115" t="str">
        <f>CONCATENATE(G805," ",J805," Year EUL")</f>
        <v>Cooling RES 6 Year EUL</v>
      </c>
      <c r="BD805" s="673">
        <f>(INDEX('Avoided Cost Benefits'!$C$4:$C$857,MATCH(BC805,'Avoided Cost Benefits'!$A$4:$A$857,0)))*F805</f>
        <v>266.11622716720609</v>
      </c>
      <c r="BE805" s="1949">
        <f>K805/(1.0595^(2020-2019))</f>
        <v>1069.9343382740904</v>
      </c>
    </row>
    <row r="806" spans="1:57" s="51" customFormat="1" x14ac:dyDescent="0.25">
      <c r="A806" s="1267" t="str">
        <f t="shared" si="82"/>
        <v>351551_2021_12_Cooling RES ER2</v>
      </c>
      <c r="B806" s="228"/>
      <c r="C806" s="3047" t="s">
        <v>1045</v>
      </c>
      <c r="D806" s="1564" t="s">
        <v>317</v>
      </c>
      <c r="E806" s="3005" t="s">
        <v>1047</v>
      </c>
      <c r="F806" s="425">
        <f>ROUND((($J$975*$J$996*(1/$J$1017-1/$J$1059))/1000)*$J$1101*$J$1117,2)</f>
        <v>176.83</v>
      </c>
      <c r="G806" s="1916" t="s">
        <v>879</v>
      </c>
      <c r="H806" s="1567">
        <f>VLOOKUP(G806,'CP FACTORS'!$A$3:$B$38, 2, FALSE)</f>
        <v>9.4741810000000004E-4</v>
      </c>
      <c r="I806" s="1568">
        <f>ROUND(F806*H806,6)</f>
        <v>0.16753199999999999</v>
      </c>
      <c r="J806" s="389">
        <f>J804</f>
        <v>12</v>
      </c>
      <c r="K806" s="1565">
        <f>K804</f>
        <v>0</v>
      </c>
      <c r="L806" s="1569"/>
      <c r="M806" s="1428"/>
      <c r="N806" s="1428"/>
      <c r="O806" s="1428"/>
      <c r="P806" s="1428"/>
      <c r="Q806" s="1428"/>
      <c r="R806" s="1562"/>
      <c r="S806" s="1428"/>
      <c r="T806" s="1428"/>
      <c r="U806" s="1428"/>
      <c r="V806" s="1947" t="s">
        <v>31</v>
      </c>
      <c r="W806" s="739"/>
      <c r="X806" s="740"/>
      <c r="Y806" s="112">
        <v>340.34</v>
      </c>
      <c r="Z806" s="109">
        <v>340.34</v>
      </c>
      <c r="AA806" s="109">
        <v>340.34</v>
      </c>
      <c r="AB806" s="1857">
        <v>253.43</v>
      </c>
      <c r="AC806" s="1963">
        <v>176.83</v>
      </c>
      <c r="AD806" s="1939"/>
      <c r="AE806" s="1939"/>
      <c r="AF806" s="1939"/>
      <c r="AG806" s="1939"/>
      <c r="AH806" s="741"/>
      <c r="AI806" s="741"/>
      <c r="AJ806" s="738"/>
      <c r="AK806" s="738"/>
      <c r="AL806" s="738"/>
      <c r="AM806" s="738"/>
      <c r="AN806" s="738"/>
      <c r="AO806" s="738"/>
      <c r="AP806" s="1942"/>
      <c r="AQ806" s="1942"/>
      <c r="AR806" s="1942"/>
      <c r="AS806" s="1942"/>
      <c r="AT806" s="1942"/>
      <c r="AU806" s="1942"/>
      <c r="AV806" s="1942"/>
      <c r="AW806" s="1942"/>
      <c r="AX806" s="1942"/>
      <c r="AY806" s="1942"/>
      <c r="AZ806" s="1942"/>
      <c r="BA806" s="1942"/>
      <c r="BB806" s="242"/>
      <c r="BC806" s="3116" t="str">
        <f>CONCATENATE(G806," ",J806," Year EUL")</f>
        <v>Cooling RES ER2 12 Year EUL</v>
      </c>
      <c r="BD806" s="673">
        <f>(INDEX('Avoided Cost Benefits'!$C$4:$C$857,MATCH(BC806,'Avoided Cost Benefits'!$A$4:$A$857,0)))*F806</f>
        <v>209.07026686503869</v>
      </c>
      <c r="BE806" s="1949">
        <f>K806/(1.0595^(2020-2019))</f>
        <v>0</v>
      </c>
    </row>
    <row r="807" spans="1:57" s="51" customFormat="1" x14ac:dyDescent="0.25">
      <c r="A807" s="1267" t="str">
        <f t="shared" si="82"/>
        <v>351600_2021_12_Cooling RES</v>
      </c>
      <c r="B807" s="228"/>
      <c r="C807" s="2038" t="s">
        <v>1048</v>
      </c>
      <c r="D807" s="1532" t="s">
        <v>322</v>
      </c>
      <c r="E807" s="2865" t="s">
        <v>1049</v>
      </c>
      <c r="F807" s="425">
        <f>ROUND((($J$969*$J$990*(1/$J$1011-1/$J$1053))/1000)*$J$1085*$J$1117,2)</f>
        <v>329.12</v>
      </c>
      <c r="G807" s="323" t="s">
        <v>258</v>
      </c>
      <c r="H807" s="155">
        <f>VLOOKUP(G807,'CP FACTORS'!$A$3:$B$38, 2, FALSE)</f>
        <v>9.4741810000000004E-4</v>
      </c>
      <c r="I807" s="1554">
        <f t="shared" si="87"/>
        <v>0.31181399999999998</v>
      </c>
      <c r="J807" s="2718">
        <f>J1137</f>
        <v>18</v>
      </c>
      <c r="K807" s="682">
        <f>J1171</f>
        <v>337.89830508474574</v>
      </c>
      <c r="L807" s="237">
        <f>K962</f>
        <v>1.4</v>
      </c>
      <c r="M807" s="1428"/>
      <c r="N807" s="1428"/>
      <c r="O807" s="1428"/>
      <c r="P807" s="1428"/>
      <c r="Q807" s="1428"/>
      <c r="R807" s="1562"/>
      <c r="S807" s="1428"/>
      <c r="T807" s="1428"/>
      <c r="U807" s="1428"/>
      <c r="V807" s="1947" t="s">
        <v>31</v>
      </c>
      <c r="W807" s="739">
        <v>1219.3587301587302</v>
      </c>
      <c r="X807" s="740">
        <v>1175.0440224428139</v>
      </c>
      <c r="Y807" s="112">
        <v>1320.98</v>
      </c>
      <c r="Z807" s="109">
        <v>1320.98</v>
      </c>
      <c r="AA807" s="109">
        <v>1320.98</v>
      </c>
      <c r="AB807" s="1857">
        <v>332.95</v>
      </c>
      <c r="AC807" s="1963">
        <v>329.12</v>
      </c>
      <c r="AD807" s="1939"/>
      <c r="AE807" s="1939"/>
      <c r="AF807" s="1939"/>
      <c r="AG807" s="1939"/>
      <c r="AH807" s="741"/>
      <c r="AI807" s="741"/>
      <c r="AJ807" s="738"/>
      <c r="AK807" s="738"/>
      <c r="AL807" s="738"/>
      <c r="AM807" s="738"/>
      <c r="AN807" s="738"/>
      <c r="AO807" s="738"/>
      <c r="AP807" s="1942"/>
      <c r="AQ807" s="1942"/>
      <c r="AR807" s="1942"/>
      <c r="AS807" s="1942"/>
      <c r="AT807" s="1942"/>
      <c r="AU807" s="1942"/>
      <c r="AV807" s="1942"/>
      <c r="AW807" s="1942"/>
      <c r="AX807" s="1942"/>
      <c r="AY807" s="1942"/>
      <c r="AZ807" s="1942"/>
      <c r="BA807" s="1942"/>
      <c r="BB807" s="1913">
        <f>(BD807)/(BE807)</f>
        <v>1.8202056178332329</v>
      </c>
      <c r="BC807" s="3121" t="str">
        <f t="shared" si="85"/>
        <v>Cooling RES 18 Year EUL</v>
      </c>
      <c r="BD807" s="673">
        <f>(INDEX('Avoided Cost Benefits'!$C$4:$C$857,MATCH(BC807,'Avoided Cost Benefits'!$A$4:$A$857,0)))*F807</f>
        <v>580.50438241772702</v>
      </c>
      <c r="BE807" s="1949">
        <f t="shared" si="86"/>
        <v>318.92242103326635</v>
      </c>
    </row>
    <row r="808" spans="1:57" s="51" customFormat="1" x14ac:dyDescent="0.25">
      <c r="A808" s="1267" t="str">
        <f t="shared" si="82"/>
        <v>351601_2021_12_Cooling RES</v>
      </c>
      <c r="B808" s="228"/>
      <c r="C808" s="3041" t="s">
        <v>1050</v>
      </c>
      <c r="D808" s="1564" t="s">
        <v>317</v>
      </c>
      <c r="E808" s="2865" t="s">
        <v>1051</v>
      </c>
      <c r="F808" s="425">
        <f>ROUND((($J$976*$J$997*(1/$J$1039-1/$J$1060))/1000)*$J$1102*$J$1117,2)</f>
        <v>789.24</v>
      </c>
      <c r="G808" s="323" t="s">
        <v>258</v>
      </c>
      <c r="H808" s="155">
        <f>VLOOKUP(G808,'CP FACTORS'!$A$3:$B$38, 2, FALSE)</f>
        <v>9.4741810000000004E-4</v>
      </c>
      <c r="I808" s="1554">
        <f>ROUND(F808*H808,6)</f>
        <v>0.74773999999999996</v>
      </c>
      <c r="J808" s="389">
        <f>J807</f>
        <v>18</v>
      </c>
      <c r="K808" s="1907">
        <f>K807</f>
        <v>337.89830508474574</v>
      </c>
      <c r="L808" s="237">
        <f>K976</f>
        <v>1.4</v>
      </c>
      <c r="M808" s="1428"/>
      <c r="N808" s="1428"/>
      <c r="O808" s="1428"/>
      <c r="P808" s="1428"/>
      <c r="Q808" s="1428"/>
      <c r="R808" s="1562"/>
      <c r="S808" s="1428"/>
      <c r="T808" s="1428"/>
      <c r="U808" s="1428"/>
      <c r="V808" s="1947" t="s">
        <v>31</v>
      </c>
      <c r="W808" s="739"/>
      <c r="X808" s="740"/>
      <c r="Y808" s="112">
        <v>1164.95</v>
      </c>
      <c r="Z808" s="109">
        <v>1164.95</v>
      </c>
      <c r="AA808" s="109">
        <v>1164.95</v>
      </c>
      <c r="AB808" s="1857">
        <v>755.93</v>
      </c>
      <c r="AC808" s="1963">
        <v>789.24</v>
      </c>
      <c r="AD808" s="1939"/>
      <c r="AE808" s="1939"/>
      <c r="AF808" s="1939"/>
      <c r="AG808" s="1939"/>
      <c r="AH808" s="741"/>
      <c r="AI808" s="741"/>
      <c r="AJ808" s="738"/>
      <c r="AK808" s="738"/>
      <c r="AL808" s="738"/>
      <c r="AM808" s="738"/>
      <c r="AN808" s="738"/>
      <c r="AO808" s="738"/>
      <c r="AP808" s="1942"/>
      <c r="AQ808" s="1942"/>
      <c r="AR808" s="1942"/>
      <c r="AS808" s="1942"/>
      <c r="AT808" s="1942"/>
      <c r="AU808" s="1942"/>
      <c r="AV808" s="1942"/>
      <c r="AW808" s="1942"/>
      <c r="AX808" s="1942"/>
      <c r="AY808" s="1942"/>
      <c r="AZ808" s="1942"/>
      <c r="BA808" s="1942"/>
      <c r="BB808" s="1913">
        <f>(BD808)/(BE808)</f>
        <v>4.3649097041161298</v>
      </c>
      <c r="BC808" s="3121" t="str">
        <f>CONCATENATE(G808," ",J808," Year EUL")</f>
        <v>Cooling RES 18 Year EUL</v>
      </c>
      <c r="BD808" s="673">
        <f>(INDEX('Avoided Cost Benefits'!$C$4:$C$857,MATCH(BC808,'Avoided Cost Benefits'!$A$4:$A$857,0)))*F808</f>
        <v>1392.0675704283144</v>
      </c>
      <c r="BE808" s="1949">
        <f>K808/(1.0595^(2020-2019))</f>
        <v>318.92242103326635</v>
      </c>
    </row>
    <row r="809" spans="1:57" s="51" customFormat="1" x14ac:dyDescent="0.25">
      <c r="A809" s="1267" t="str">
        <f t="shared" si="82"/>
        <v>351650_2021_12_Cooling RES</v>
      </c>
      <c r="B809" s="228"/>
      <c r="C809" s="2038" t="s">
        <v>1052</v>
      </c>
      <c r="D809" s="1532" t="s">
        <v>322</v>
      </c>
      <c r="E809" s="2878" t="s">
        <v>1053</v>
      </c>
      <c r="F809" s="425">
        <f>ROUND((($J$970*$J$991*(1/$J$1012-1/$J$1054))/1000)*$J$1086*$J$1117,2)</f>
        <v>305.98</v>
      </c>
      <c r="G809" s="323" t="s">
        <v>258</v>
      </c>
      <c r="H809" s="155">
        <f>VLOOKUP(G809,'CP FACTORS'!$A$3:$B$38, 2, FALSE)</f>
        <v>9.4741810000000004E-4</v>
      </c>
      <c r="I809" s="1554">
        <f t="shared" si="87"/>
        <v>0.28989100000000001</v>
      </c>
      <c r="J809" s="2718">
        <f>J1138</f>
        <v>18</v>
      </c>
      <c r="K809" s="682">
        <f>J1172</f>
        <v>337.89830508474574</v>
      </c>
      <c r="L809" s="237">
        <f>K963</f>
        <v>1.5084745762711864</v>
      </c>
      <c r="M809" s="1428"/>
      <c r="N809" s="1428"/>
      <c r="O809" s="1428"/>
      <c r="P809" s="1428"/>
      <c r="Q809" s="1428"/>
      <c r="R809" s="1562"/>
      <c r="S809" s="1428"/>
      <c r="T809" s="1428"/>
      <c r="U809" s="1428"/>
      <c r="V809" s="1947" t="s">
        <v>31</v>
      </c>
      <c r="W809" s="739">
        <v>356.48140969163001</v>
      </c>
      <c r="X809" s="740">
        <v>343.28687958567122</v>
      </c>
      <c r="Y809" s="112">
        <v>214.85</v>
      </c>
      <c r="Z809" s="109">
        <v>214.85</v>
      </c>
      <c r="AA809" s="109">
        <v>214.85</v>
      </c>
      <c r="AB809" s="2055">
        <v>214.85</v>
      </c>
      <c r="AC809" s="1963">
        <v>305.98</v>
      </c>
      <c r="AD809" s="1939"/>
      <c r="AE809" s="1939"/>
      <c r="AF809" s="1939"/>
      <c r="AG809" s="1939"/>
      <c r="AH809" s="741"/>
      <c r="AI809" s="741"/>
      <c r="AJ809" s="738"/>
      <c r="AK809" s="738"/>
      <c r="AL809" s="738"/>
      <c r="AM809" s="738"/>
      <c r="AN809" s="738"/>
      <c r="AO809" s="738"/>
      <c r="AP809" s="1942"/>
      <c r="AQ809" s="1942"/>
      <c r="AR809" s="1942"/>
      <c r="AS809" s="1942"/>
      <c r="AT809" s="1942"/>
      <c r="AU809" s="1942"/>
      <c r="AV809" s="1942"/>
      <c r="AW809" s="1942"/>
      <c r="AX809" s="1942"/>
      <c r="AY809" s="1942"/>
      <c r="AZ809" s="1942"/>
      <c r="BA809" s="1942"/>
      <c r="BB809" s="244">
        <f>(BD809+BD810)/(BE809+BE810)</f>
        <v>2.6083012705187127</v>
      </c>
      <c r="BC809" s="3115" t="str">
        <f t="shared" si="85"/>
        <v>Cooling RES 18 Year EUL</v>
      </c>
      <c r="BD809" s="673">
        <f>(INDEX('Avoided Cost Benefits'!$C$4:$C$857,MATCH(BC809,'Avoided Cost Benefits'!$A$4:$A$857,0)))*F809</f>
        <v>539.68987278857594</v>
      </c>
      <c r="BE809" s="1949">
        <f t="shared" si="86"/>
        <v>318.92242103326635</v>
      </c>
    </row>
    <row r="810" spans="1:57" s="51" customFormat="1" x14ac:dyDescent="0.25">
      <c r="A810" s="1267" t="str">
        <f t="shared" si="82"/>
        <v>351650_2021_12_Heating RES</v>
      </c>
      <c r="B810" s="228"/>
      <c r="C810" s="2038" t="s">
        <v>1052</v>
      </c>
      <c r="D810" s="1532" t="s">
        <v>322</v>
      </c>
      <c r="E810" s="3005" t="s">
        <v>1053</v>
      </c>
      <c r="F810" s="425">
        <f>ROUND((($J$865*$J$886*(1/$J$907-1/$J$949))/1000)*$J$1087*$J$1117,2)</f>
        <v>632.35</v>
      </c>
      <c r="G810" s="323" t="s">
        <v>259</v>
      </c>
      <c r="H810" s="155">
        <f>VLOOKUP(G810,'CP FACTORS'!$A$3:$B$38, 2, FALSE)</f>
        <v>0</v>
      </c>
      <c r="I810" s="1554">
        <f t="shared" si="87"/>
        <v>0</v>
      </c>
      <c r="J810" s="2718">
        <f>J1139</f>
        <v>18</v>
      </c>
      <c r="K810" s="442">
        <f>J1173</f>
        <v>0</v>
      </c>
      <c r="L810" s="236"/>
      <c r="M810" s="1428"/>
      <c r="N810" s="1428"/>
      <c r="O810" s="1428"/>
      <c r="P810" s="1428"/>
      <c r="Q810" s="1428"/>
      <c r="R810" s="1562"/>
      <c r="S810" s="1428"/>
      <c r="T810" s="1428"/>
      <c r="U810" s="1428"/>
      <c r="V810" s="1947" t="s">
        <v>31</v>
      </c>
      <c r="W810" s="739">
        <v>688.58947368421047</v>
      </c>
      <c r="X810" s="740">
        <v>588.317504093769</v>
      </c>
      <c r="Y810" s="112">
        <v>513.91</v>
      </c>
      <c r="Z810" s="109">
        <v>513.91</v>
      </c>
      <c r="AA810" s="109">
        <v>513.91</v>
      </c>
      <c r="AB810" s="2055">
        <v>513.91</v>
      </c>
      <c r="AC810" s="1963">
        <v>632.35</v>
      </c>
      <c r="AD810" s="1939"/>
      <c r="AE810" s="1939"/>
      <c r="AF810" s="1939"/>
      <c r="AG810" s="1939"/>
      <c r="AH810" s="741"/>
      <c r="AI810" s="741"/>
      <c r="AJ810" s="738"/>
      <c r="AK810" s="738"/>
      <c r="AL810" s="738"/>
      <c r="AM810" s="738"/>
      <c r="AN810" s="738"/>
      <c r="AO810" s="738"/>
      <c r="AP810" s="1942"/>
      <c r="AQ810" s="1942"/>
      <c r="AR810" s="1942"/>
      <c r="AS810" s="1942"/>
      <c r="AT810" s="1942"/>
      <c r="AU810" s="1942"/>
      <c r="AV810" s="1942"/>
      <c r="AW810" s="1942"/>
      <c r="AX810" s="1942"/>
      <c r="AY810" s="1942"/>
      <c r="AZ810" s="1942"/>
      <c r="BA810" s="1942"/>
      <c r="BB810" s="242"/>
      <c r="BC810" s="3116" t="str">
        <f t="shared" si="85"/>
        <v>Heating RES 18 Year EUL</v>
      </c>
      <c r="BD810" s="673">
        <f>(INDEX('Avoided Cost Benefits'!$C$4:$C$857,MATCH(BC810,'Avoided Cost Benefits'!$A$4:$A$857,0)))*F810</f>
        <v>292.15588318939655</v>
      </c>
      <c r="BE810" s="1949">
        <f t="shared" si="86"/>
        <v>0</v>
      </c>
    </row>
    <row r="811" spans="1:57" s="51" customFormat="1" x14ac:dyDescent="0.25">
      <c r="A811" s="1267" t="str">
        <f t="shared" si="82"/>
        <v>351651_2021_12_Cooling RES</v>
      </c>
      <c r="B811" s="228"/>
      <c r="C811" s="3041" t="s">
        <v>1054</v>
      </c>
      <c r="D811" s="1564" t="s">
        <v>317</v>
      </c>
      <c r="E811" s="2878" t="s">
        <v>1055</v>
      </c>
      <c r="F811" s="425">
        <f>ROUND((($J$977*$J$998*(1/$J$1019-1/$J$1061))/1000)*$J$1103*$J$1117,2)</f>
        <v>200.94</v>
      </c>
      <c r="G811" s="323" t="s">
        <v>258</v>
      </c>
      <c r="H811" s="155">
        <f>VLOOKUP(G811,'CP FACTORS'!$A$3:$B$38, 2, FALSE)</f>
        <v>9.4741810000000004E-4</v>
      </c>
      <c r="I811" s="1554">
        <f>ROUND(F811*H811,6)</f>
        <v>0.19037399999999999</v>
      </c>
      <c r="J811" s="389">
        <f>J809</f>
        <v>18</v>
      </c>
      <c r="K811" s="1907">
        <f>K809</f>
        <v>337.89830508474574</v>
      </c>
      <c r="L811" s="237">
        <f>K977</f>
        <v>1.5084745762711864</v>
      </c>
      <c r="M811" s="1428"/>
      <c r="N811" s="1428"/>
      <c r="O811" s="1428"/>
      <c r="P811" s="1428"/>
      <c r="Q811" s="1428"/>
      <c r="R811" s="1562"/>
      <c r="S811" s="1428"/>
      <c r="T811" s="1428"/>
      <c r="U811" s="1428"/>
      <c r="V811" s="1947" t="s">
        <v>31</v>
      </c>
      <c r="W811" s="739">
        <v>356.48140969163001</v>
      </c>
      <c r="X811" s="740"/>
      <c r="Y811" s="112">
        <v>189.47</v>
      </c>
      <c r="Z811" s="109">
        <v>189.47</v>
      </c>
      <c r="AA811" s="109">
        <v>189.47</v>
      </c>
      <c r="AB811" s="1857">
        <v>141.09</v>
      </c>
      <c r="AC811" s="1963">
        <v>200.94</v>
      </c>
      <c r="AD811" s="1939"/>
      <c r="AE811" s="1939"/>
      <c r="AF811" s="1939"/>
      <c r="AG811" s="1939"/>
      <c r="AH811" s="741"/>
      <c r="AI811" s="741"/>
      <c r="AJ811" s="738"/>
      <c r="AK811" s="738"/>
      <c r="AL811" s="738"/>
      <c r="AM811" s="738"/>
      <c r="AN811" s="738"/>
      <c r="AO811" s="738"/>
      <c r="AP811" s="1942"/>
      <c r="AQ811" s="1942"/>
      <c r="AR811" s="1942"/>
      <c r="AS811" s="1942"/>
      <c r="AT811" s="1942"/>
      <c r="AU811" s="1942"/>
      <c r="AV811" s="1942"/>
      <c r="AW811" s="1942"/>
      <c r="AX811" s="1942"/>
      <c r="AY811" s="1942"/>
      <c r="AZ811" s="1942"/>
      <c r="BA811" s="1942"/>
      <c r="BB811" s="244">
        <f>(BD811+BD812)/(BE811+BE812)</f>
        <v>1.459478651054998</v>
      </c>
      <c r="BC811" s="3115" t="str">
        <f>CONCATENATE(G811," ",J811," Year EUL")</f>
        <v>Cooling RES 18 Year EUL</v>
      </c>
      <c r="BD811" s="673">
        <f>(INDEX('Avoided Cost Benefits'!$C$4:$C$857,MATCH(BC811,'Avoided Cost Benefits'!$A$4:$A$857,0)))*F811</f>
        <v>354.41951447197999</v>
      </c>
      <c r="BE811" s="1949">
        <f>K811/(1.0595^(2020-2019))</f>
        <v>318.92242103326635</v>
      </c>
    </row>
    <row r="812" spans="1:57" s="51" customFormat="1" x14ac:dyDescent="0.25">
      <c r="A812" s="1267" t="str">
        <f t="shared" si="82"/>
        <v>351651_2021_12_Heating RES</v>
      </c>
      <c r="B812" s="228"/>
      <c r="C812" s="3041" t="s">
        <v>1054</v>
      </c>
      <c r="D812" s="1564" t="s">
        <v>317</v>
      </c>
      <c r="E812" s="3005" t="s">
        <v>1055</v>
      </c>
      <c r="F812" s="425">
        <f>ROUND((($J$872*$J$893*(1/$J$914-1/$J$956))/1000)*$J$1104*$J$1117,2)</f>
        <v>240.34</v>
      </c>
      <c r="G812" s="323" t="s">
        <v>259</v>
      </c>
      <c r="H812" s="155">
        <f>VLOOKUP(G812,'CP FACTORS'!$A$3:$B$38, 2, FALSE)</f>
        <v>0</v>
      </c>
      <c r="I812" s="1554">
        <f>ROUND(F812*H812,6)</f>
        <v>0</v>
      </c>
      <c r="J812" s="389">
        <f>J810</f>
        <v>18</v>
      </c>
      <c r="K812" s="1565">
        <f>K810</f>
        <v>0</v>
      </c>
      <c r="L812" s="236"/>
      <c r="M812" s="1428"/>
      <c r="N812" s="1428"/>
      <c r="O812" s="1428"/>
      <c r="P812" s="1428"/>
      <c r="Q812" s="1428"/>
      <c r="R812" s="1562"/>
      <c r="S812" s="1428"/>
      <c r="T812" s="1428"/>
      <c r="U812" s="1428"/>
      <c r="V812" s="1947" t="s">
        <v>31</v>
      </c>
      <c r="W812" s="739">
        <v>688.58947368421047</v>
      </c>
      <c r="X812" s="740"/>
      <c r="Y812" s="112">
        <v>236.58</v>
      </c>
      <c r="Z812" s="109">
        <v>236.58</v>
      </c>
      <c r="AA812" s="109">
        <v>236.58</v>
      </c>
      <c r="AB812" s="1857">
        <v>195.32</v>
      </c>
      <c r="AC812" s="1963">
        <v>240.34</v>
      </c>
      <c r="AD812" s="1939"/>
      <c r="AE812" s="1939"/>
      <c r="AF812" s="1939"/>
      <c r="AG812" s="1939"/>
      <c r="AH812" s="741"/>
      <c r="AI812" s="741"/>
      <c r="AJ812" s="738"/>
      <c r="AK812" s="738"/>
      <c r="AL812" s="738"/>
      <c r="AM812" s="738"/>
      <c r="AN812" s="738"/>
      <c r="AO812" s="738"/>
      <c r="AP812" s="1942"/>
      <c r="AQ812" s="1942"/>
      <c r="AR812" s="1942"/>
      <c r="AS812" s="1942"/>
      <c r="AT812" s="1942"/>
      <c r="AU812" s="1942"/>
      <c r="AV812" s="1942"/>
      <c r="AW812" s="1942"/>
      <c r="AX812" s="1942"/>
      <c r="AY812" s="1942"/>
      <c r="AZ812" s="1942"/>
      <c r="BA812" s="1942"/>
      <c r="BB812" s="242"/>
      <c r="BC812" s="3116" t="str">
        <f>CONCATENATE(G812," ",J812," Year EUL")</f>
        <v>Heating RES 18 Year EUL</v>
      </c>
      <c r="BD812" s="673">
        <f>(INDEX('Avoided Cost Benefits'!$C$4:$C$857,MATCH(BC812,'Avoided Cost Benefits'!$A$4:$A$857,0)))*F812</f>
        <v>111.04095036884567</v>
      </c>
      <c r="BE812" s="1949">
        <f>K812/(1.0595^(2020-2019))</f>
        <v>0</v>
      </c>
    </row>
    <row r="813" spans="1:57" s="51" customFormat="1" x14ac:dyDescent="0.25">
      <c r="A813" s="1267" t="str">
        <f t="shared" si="82"/>
        <v>351700_2021_12_Cooling RES</v>
      </c>
      <c r="B813" s="228"/>
      <c r="C813" s="2038" t="s">
        <v>1056</v>
      </c>
      <c r="D813" s="1532" t="s">
        <v>322</v>
      </c>
      <c r="E813" s="2878" t="s">
        <v>1057</v>
      </c>
      <c r="F813" s="425">
        <f>ROUND((($J$971*$J$992*(1/$J$1013-1/$J$1055))/1000)*$J$1088*$J$1117,2)</f>
        <v>296.29000000000002</v>
      </c>
      <c r="G813" s="323" t="s">
        <v>258</v>
      </c>
      <c r="H813" s="155">
        <f>VLOOKUP(G813,'CP FACTORS'!$A$3:$B$38, 2, FALSE)</f>
        <v>9.4741810000000004E-4</v>
      </c>
      <c r="I813" s="1554">
        <f t="shared" si="87"/>
        <v>0.28071099999999999</v>
      </c>
      <c r="J813" s="2718">
        <f>J1140</f>
        <v>18</v>
      </c>
      <c r="K813" s="682">
        <f>J1174</f>
        <v>337.89830508474574</v>
      </c>
      <c r="L813" s="237">
        <f>K964</f>
        <v>1.375</v>
      </c>
      <c r="M813" s="1428"/>
      <c r="N813" s="1428"/>
      <c r="O813" s="1428"/>
      <c r="P813" s="1428"/>
      <c r="Q813" s="1428"/>
      <c r="R813" s="1562"/>
      <c r="S813" s="1428"/>
      <c r="T813" s="1428"/>
      <c r="U813" s="1428"/>
      <c r="V813" s="1947" t="s">
        <v>31</v>
      </c>
      <c r="W813" s="739">
        <v>356.48140969163001</v>
      </c>
      <c r="X813" s="740">
        <v>343.28687958567122</v>
      </c>
      <c r="Y813" s="112">
        <v>214.85</v>
      </c>
      <c r="Z813" s="109">
        <v>214.85</v>
      </c>
      <c r="AA813" s="109">
        <v>214.85</v>
      </c>
      <c r="AB813" s="1857">
        <v>312.66000000000003</v>
      </c>
      <c r="AC813" s="1963">
        <v>296.29000000000002</v>
      </c>
      <c r="AD813" s="1939"/>
      <c r="AE813" s="1939"/>
      <c r="AF813" s="1939"/>
      <c r="AG813" s="1939"/>
      <c r="AH813" s="741"/>
      <c r="AI813" s="741"/>
      <c r="AJ813" s="738"/>
      <c r="AK813" s="738"/>
      <c r="AL813" s="738"/>
      <c r="AM813" s="738"/>
      <c r="AN813" s="738"/>
      <c r="AO813" s="738"/>
      <c r="AP813" s="1942"/>
      <c r="AQ813" s="1942"/>
      <c r="AR813" s="1942"/>
      <c r="AS813" s="1942"/>
      <c r="AT813" s="1942"/>
      <c r="AU813" s="1942"/>
      <c r="AV813" s="1942"/>
      <c r="AW813" s="1942"/>
      <c r="AX813" s="1942"/>
      <c r="AY813" s="1942"/>
      <c r="AZ813" s="1942"/>
      <c r="BA813" s="1942"/>
      <c r="BB813" s="244">
        <f>(BD813+BD814)/(BE813+BE814)</f>
        <v>2.5645325472201184</v>
      </c>
      <c r="BC813" s="3115" t="str">
        <f t="shared" si="85"/>
        <v>Cooling RES 18 Year EUL</v>
      </c>
      <c r="BD813" s="673">
        <f>(INDEX('Avoided Cost Benefits'!$C$4:$C$857,MATCH(BC813,'Avoided Cost Benefits'!$A$4:$A$857,0)))*F813</f>
        <v>522.5985764054094</v>
      </c>
      <c r="BE813" s="1949">
        <f t="shared" si="86"/>
        <v>318.92242103326635</v>
      </c>
    </row>
    <row r="814" spans="1:57" s="51" customFormat="1" x14ac:dyDescent="0.25">
      <c r="A814" s="1267" t="str">
        <f t="shared" si="82"/>
        <v>351700_2021_12_Heating RES</v>
      </c>
      <c r="B814" s="228"/>
      <c r="C814" s="2038" t="s">
        <v>1056</v>
      </c>
      <c r="D814" s="1532" t="s">
        <v>322</v>
      </c>
      <c r="E814" s="3005" t="s">
        <v>1057</v>
      </c>
      <c r="F814" s="425">
        <f>ROUND((($J$866*$J$886*(1/$J$908-1/$J$950))/1000)*$J$1089*$J$1117,2)</f>
        <v>639.13</v>
      </c>
      <c r="G814" s="323" t="s">
        <v>259</v>
      </c>
      <c r="H814" s="155">
        <f>VLOOKUP(G814,'CP FACTORS'!$A$3:$B$38, 2, FALSE)</f>
        <v>0</v>
      </c>
      <c r="I814" s="1554">
        <f t="shared" si="87"/>
        <v>0</v>
      </c>
      <c r="J814" s="2718">
        <f>J1141</f>
        <v>18</v>
      </c>
      <c r="K814" s="442">
        <f>J1175</f>
        <v>0</v>
      </c>
      <c r="L814" s="236"/>
      <c r="M814" s="1428"/>
      <c r="N814" s="1428"/>
      <c r="O814" s="1428"/>
      <c r="P814" s="1428"/>
      <c r="Q814" s="1428"/>
      <c r="R814" s="1562"/>
      <c r="S814" s="1428"/>
      <c r="T814" s="1428"/>
      <c r="U814" s="1428"/>
      <c r="V814" s="1947" t="s">
        <v>31</v>
      </c>
      <c r="W814" s="739">
        <v>688.58947368421047</v>
      </c>
      <c r="X814" s="740">
        <v>588.317504093769</v>
      </c>
      <c r="Y814" s="112">
        <v>513.91</v>
      </c>
      <c r="Z814" s="109">
        <v>513.91</v>
      </c>
      <c r="AA814" s="109">
        <v>513.91</v>
      </c>
      <c r="AB814" s="1857">
        <v>585.46</v>
      </c>
      <c r="AC814" s="1963">
        <v>639.13</v>
      </c>
      <c r="AD814" s="1939"/>
      <c r="AE814" s="1939"/>
      <c r="AF814" s="1939"/>
      <c r="AG814" s="1939"/>
      <c r="AH814" s="741"/>
      <c r="AI814" s="741"/>
      <c r="AJ814" s="738"/>
      <c r="AK814" s="738"/>
      <c r="AL814" s="738"/>
      <c r="AM814" s="738"/>
      <c r="AN814" s="738"/>
      <c r="AO814" s="738"/>
      <c r="AP814" s="1942"/>
      <c r="AQ814" s="1942"/>
      <c r="AR814" s="1942"/>
      <c r="AS814" s="1942"/>
      <c r="AT814" s="1942"/>
      <c r="AU814" s="1942"/>
      <c r="AV814" s="1942"/>
      <c r="AW814" s="1942"/>
      <c r="AX814" s="1942"/>
      <c r="AY814" s="1942"/>
      <c r="AZ814" s="1942"/>
      <c r="BA814" s="1942"/>
      <c r="BB814" s="242"/>
      <c r="BC814" s="3116" t="str">
        <f t="shared" si="85"/>
        <v>Heating RES 18 Year EUL</v>
      </c>
      <c r="BD814" s="673">
        <f>(INDEX('Avoided Cost Benefits'!$C$4:$C$857,MATCH(BC814,'Avoided Cost Benefits'!$A$4:$A$857,0)))*F814</f>
        <v>295.28835237264013</v>
      </c>
      <c r="BE814" s="1949">
        <f t="shared" si="86"/>
        <v>0</v>
      </c>
    </row>
    <row r="815" spans="1:57" s="51" customFormat="1" x14ac:dyDescent="0.25">
      <c r="A815" s="1267" t="str">
        <f t="shared" si="82"/>
        <v>351701_2021_12_Cooling RES</v>
      </c>
      <c r="B815" s="228"/>
      <c r="C815" s="3041" t="s">
        <v>1058</v>
      </c>
      <c r="D815" s="1564" t="s">
        <v>317</v>
      </c>
      <c r="E815" s="2878" t="s">
        <v>1059</v>
      </c>
      <c r="F815" s="425">
        <f>ROUND((($J$978*$J$999*(1/$J$1020-1/$J$1062))/1000)*$J$1105*$J$1117,2)</f>
        <v>194.57</v>
      </c>
      <c r="G815" s="323" t="s">
        <v>258</v>
      </c>
      <c r="H815" s="155">
        <f>VLOOKUP(G815,'CP FACTORS'!$A$3:$B$38, 2, FALSE)</f>
        <v>9.4741810000000004E-4</v>
      </c>
      <c r="I815" s="1554">
        <f>ROUND(F815*H815,6)</f>
        <v>0.184339</v>
      </c>
      <c r="J815" s="389">
        <f>J813</f>
        <v>18</v>
      </c>
      <c r="K815" s="1907">
        <f>K813</f>
        <v>337.89830508474574</v>
      </c>
      <c r="L815" s="237">
        <f>K978</f>
        <v>1.375</v>
      </c>
      <c r="M815" s="1428"/>
      <c r="N815" s="1428"/>
      <c r="O815" s="1428"/>
      <c r="P815" s="1428"/>
      <c r="Q815" s="1428"/>
      <c r="R815" s="1562"/>
      <c r="S815" s="1428"/>
      <c r="T815" s="1428"/>
      <c r="U815" s="1428"/>
      <c r="V815" s="1947" t="s">
        <v>31</v>
      </c>
      <c r="W815" s="739"/>
      <c r="X815" s="740"/>
      <c r="Y815" s="112">
        <v>189.47</v>
      </c>
      <c r="Z815" s="109">
        <v>189.47</v>
      </c>
      <c r="AA815" s="109">
        <v>189.47</v>
      </c>
      <c r="AB815" s="1857">
        <v>205.32</v>
      </c>
      <c r="AC815" s="1963">
        <v>194.57</v>
      </c>
      <c r="AD815" s="1939"/>
      <c r="AE815" s="1939"/>
      <c r="AF815" s="1939"/>
      <c r="AG815" s="1939"/>
      <c r="AH815" s="741"/>
      <c r="AI815" s="741"/>
      <c r="AJ815" s="738"/>
      <c r="AK815" s="738"/>
      <c r="AL815" s="738"/>
      <c r="AM815" s="738"/>
      <c r="AN815" s="738"/>
      <c r="AO815" s="738"/>
      <c r="AP815" s="1942"/>
      <c r="AQ815" s="1942"/>
      <c r="AR815" s="1942"/>
      <c r="AS815" s="1942"/>
      <c r="AT815" s="1942"/>
      <c r="AU815" s="1942"/>
      <c r="AV815" s="1942"/>
      <c r="AW815" s="1942"/>
      <c r="AX815" s="1942"/>
      <c r="AY815" s="1942"/>
      <c r="AZ815" s="1942"/>
      <c r="BA815" s="1942"/>
      <c r="BB815" s="244">
        <f>(BD815+BD816)/(BE815+BE816)</f>
        <v>1.4279868126393513</v>
      </c>
      <c r="BC815" s="3115" t="str">
        <f>CONCATENATE(G815," ",J815," Year EUL")</f>
        <v>Cooling RES 18 Year EUL</v>
      </c>
      <c r="BD815" s="673">
        <f>(INDEX('Avoided Cost Benefits'!$C$4:$C$857,MATCH(BC815,'Avoided Cost Benefits'!$A$4:$A$857,0)))*F815</f>
        <v>343.18405957406759</v>
      </c>
      <c r="BE815" s="1949">
        <f>K815/(1.0595^(2020-2019))</f>
        <v>318.92242103326635</v>
      </c>
    </row>
    <row r="816" spans="1:57" s="51" customFormat="1" x14ac:dyDescent="0.25">
      <c r="A816" s="1267" t="str">
        <f t="shared" si="82"/>
        <v>351701_2021_12_Heating RES</v>
      </c>
      <c r="B816" s="228"/>
      <c r="C816" s="3041" t="s">
        <v>1058</v>
      </c>
      <c r="D816" s="1564" t="s">
        <v>317</v>
      </c>
      <c r="E816" s="3005" t="s">
        <v>1059</v>
      </c>
      <c r="F816" s="425">
        <f>ROUND((($J$873*$J$894*(1/$J$915-1/$J$957))/1000)*$J$1106*$J$1117,2)</f>
        <v>242.92</v>
      </c>
      <c r="G816" s="323" t="s">
        <v>259</v>
      </c>
      <c r="H816" s="155">
        <f>VLOOKUP(G816,'CP FACTORS'!$A$3:$B$38, 2, FALSE)</f>
        <v>0</v>
      </c>
      <c r="I816" s="1554">
        <f>ROUND(F816*H816,6)</f>
        <v>0</v>
      </c>
      <c r="J816" s="389">
        <f>J814</f>
        <v>18</v>
      </c>
      <c r="K816" s="1565">
        <f>K814</f>
        <v>0</v>
      </c>
      <c r="L816" s="236"/>
      <c r="M816" s="1428"/>
      <c r="N816" s="1428"/>
      <c r="O816" s="1428"/>
      <c r="P816" s="1428"/>
      <c r="Q816" s="1428"/>
      <c r="R816" s="1562"/>
      <c r="S816" s="1428"/>
      <c r="T816" s="1428"/>
      <c r="U816" s="1428"/>
      <c r="V816" s="1947" t="s">
        <v>31</v>
      </c>
      <c r="W816" s="739"/>
      <c r="X816" s="740"/>
      <c r="Y816" s="112">
        <v>236.58</v>
      </c>
      <c r="Z816" s="109">
        <v>236.58</v>
      </c>
      <c r="AA816" s="109">
        <v>236.58</v>
      </c>
      <c r="AB816" s="1857">
        <v>222.52</v>
      </c>
      <c r="AC816" s="1963">
        <v>242.92</v>
      </c>
      <c r="AD816" s="1939"/>
      <c r="AE816" s="1939"/>
      <c r="AF816" s="1939"/>
      <c r="AG816" s="1939"/>
      <c r="AH816" s="741"/>
      <c r="AI816" s="741"/>
      <c r="AJ816" s="738"/>
      <c r="AK816" s="738"/>
      <c r="AL816" s="738"/>
      <c r="AM816" s="738"/>
      <c r="AN816" s="738"/>
      <c r="AO816" s="738"/>
      <c r="AP816" s="1942"/>
      <c r="AQ816" s="1942"/>
      <c r="AR816" s="1942"/>
      <c r="AS816" s="1942"/>
      <c r="AT816" s="1942"/>
      <c r="AU816" s="1942"/>
      <c r="AV816" s="1942"/>
      <c r="AW816" s="1942"/>
      <c r="AX816" s="1942"/>
      <c r="AY816" s="1942"/>
      <c r="AZ816" s="1942"/>
      <c r="BA816" s="1942"/>
      <c r="BB816" s="242"/>
      <c r="BC816" s="3116" t="str">
        <f>CONCATENATE(G816," ",J816," Year EUL")</f>
        <v>Heating RES 18 Year EUL</v>
      </c>
      <c r="BD816" s="673">
        <f>(INDEX('Avoided Cost Benefits'!$C$4:$C$857,MATCH(BC816,'Avoided Cost Benefits'!$A$4:$A$857,0)))*F816</f>
        <v>112.23295191645165</v>
      </c>
      <c r="BE816" s="1949">
        <f>K816/(1.0595^(2020-2019))</f>
        <v>0</v>
      </c>
    </row>
    <row r="817" spans="1:57" s="51" customFormat="1" x14ac:dyDescent="0.25">
      <c r="A817" s="1267" t="str">
        <f t="shared" si="82"/>
        <v>351750_2021_12_Cooling RES</v>
      </c>
      <c r="B817" s="228"/>
      <c r="C817" s="2038" t="s">
        <v>1060</v>
      </c>
      <c r="D817" s="1532" t="s">
        <v>322</v>
      </c>
      <c r="E817" s="2878" t="s">
        <v>1061</v>
      </c>
      <c r="F817" s="425">
        <f>ROUND((($J$972*$J$993*(1/$J$1035-1/$J$1056))/1000)*$J$1090*$J$1117,2)</f>
        <v>884.18</v>
      </c>
      <c r="G817" s="323" t="s">
        <v>258</v>
      </c>
      <c r="H817" s="155">
        <f>VLOOKUP(G817,'CP FACTORS'!$A$3:$B$38, 2, FALSE)</f>
        <v>9.4741810000000004E-4</v>
      </c>
      <c r="I817" s="1554">
        <f t="shared" si="87"/>
        <v>0.83768799999999999</v>
      </c>
      <c r="J817" s="2718">
        <f>J1142</f>
        <v>6</v>
      </c>
      <c r="K817" s="682">
        <f>J1176</f>
        <v>2505.747142294048</v>
      </c>
      <c r="L817" s="237">
        <f>K965</f>
        <v>1.569767441860465</v>
      </c>
      <c r="M817" s="1428"/>
      <c r="N817" s="1428"/>
      <c r="O817" s="1428"/>
      <c r="P817" s="1428"/>
      <c r="Q817" s="1428"/>
      <c r="R817" s="1562"/>
      <c r="S817" s="1428"/>
      <c r="T817" s="1428"/>
      <c r="U817" s="1428"/>
      <c r="V817" s="1947" t="s">
        <v>31</v>
      </c>
      <c r="W817" s="739">
        <v>971.87426470588241</v>
      </c>
      <c r="X817" s="740">
        <v>1056.3780560562595</v>
      </c>
      <c r="Y817" s="112">
        <v>1175.8</v>
      </c>
      <c r="Z817" s="109">
        <v>1175.8</v>
      </c>
      <c r="AA817" s="109">
        <v>1175.8</v>
      </c>
      <c r="AB817" s="1857">
        <v>1039.47</v>
      </c>
      <c r="AC817" s="1963">
        <v>884.18</v>
      </c>
      <c r="AD817" s="1939"/>
      <c r="AE817" s="1939"/>
      <c r="AF817" s="1939"/>
      <c r="AG817" s="1939"/>
      <c r="AH817" s="741"/>
      <c r="AI817" s="741"/>
      <c r="AJ817" s="738"/>
      <c r="AK817" s="738"/>
      <c r="AL817" s="738"/>
      <c r="AM817" s="738"/>
      <c r="AN817" s="738"/>
      <c r="AO817" s="738"/>
      <c r="AP817" s="1942"/>
      <c r="AQ817" s="1942"/>
      <c r="AR817" s="1942"/>
      <c r="AS817" s="1942"/>
      <c r="AT817" s="1942"/>
      <c r="AU817" s="1942"/>
      <c r="AV817" s="1942"/>
      <c r="AW817" s="1942"/>
      <c r="AX817" s="1942"/>
      <c r="AY817" s="1942"/>
      <c r="AZ817" s="1942"/>
      <c r="BA817" s="1942"/>
      <c r="BB817" s="244">
        <f>(BD817+BD818+BD819+BD820)/(BE817+BE818+BE819+BE820)</f>
        <v>1.1597028605642348</v>
      </c>
      <c r="BC817" s="3115" t="str">
        <f t="shared" si="85"/>
        <v>Cooling RES 6 Year EUL</v>
      </c>
      <c r="BD817" s="673">
        <f>(INDEX('Avoided Cost Benefits'!$C$4:$C$857,MATCH(BC817,'Avoided Cost Benefits'!$A$4:$A$857,0)))*F817</f>
        <v>514.13666718387481</v>
      </c>
      <c r="BE817" s="1949">
        <f t="shared" si="86"/>
        <v>2365.0279776253401</v>
      </c>
    </row>
    <row r="818" spans="1:57" s="51" customFormat="1" x14ac:dyDescent="0.25">
      <c r="A818" s="1267" t="str">
        <f t="shared" si="82"/>
        <v>351750_2021_12_Heating RES</v>
      </c>
      <c r="B818" s="228"/>
      <c r="C818" s="2038" t="s">
        <v>1060</v>
      </c>
      <c r="D818" s="1532" t="s">
        <v>322</v>
      </c>
      <c r="E818" s="3007" t="s">
        <v>1061</v>
      </c>
      <c r="F818" s="425">
        <f>ROUND((($J$867*$J$887*(1/$J$930-1/$J$951))/1000)*$J$1091*$J$1117,2)</f>
        <v>3895.33</v>
      </c>
      <c r="G818" s="323" t="s">
        <v>259</v>
      </c>
      <c r="H818" s="155">
        <f>VLOOKUP(G818,'CP FACTORS'!$A$3:$B$38, 2, FALSE)</f>
        <v>0</v>
      </c>
      <c r="I818" s="1554">
        <f t="shared" si="87"/>
        <v>0</v>
      </c>
      <c r="J818" s="2718">
        <f>J1143</f>
        <v>6</v>
      </c>
      <c r="K818" s="442">
        <f>J1177</f>
        <v>0</v>
      </c>
      <c r="L818" s="236"/>
      <c r="M818" s="1428"/>
      <c r="N818" s="1428"/>
      <c r="O818" s="1428"/>
      <c r="P818" s="1428"/>
      <c r="Q818" s="1428"/>
      <c r="R818" s="1562"/>
      <c r="S818" s="1428"/>
      <c r="T818" s="1428"/>
      <c r="U818" s="1428"/>
      <c r="V818" s="1947" t="s">
        <v>31</v>
      </c>
      <c r="W818" s="739">
        <v>3391.6348573661585</v>
      </c>
      <c r="X818" s="740">
        <v>3583.6754087630852</v>
      </c>
      <c r="Y818" s="112">
        <v>3822.23</v>
      </c>
      <c r="Z818" s="109">
        <v>3822.23</v>
      </c>
      <c r="AA818" s="109">
        <v>3822.23</v>
      </c>
      <c r="AB818" s="1857">
        <v>3646.53</v>
      </c>
      <c r="AC818" s="1963">
        <v>3895.33</v>
      </c>
      <c r="AD818" s="1939"/>
      <c r="AE818" s="1939"/>
      <c r="AF818" s="1939"/>
      <c r="AG818" s="1939"/>
      <c r="AH818" s="741"/>
      <c r="AI818" s="741"/>
      <c r="AJ818" s="738"/>
      <c r="AK818" s="738"/>
      <c r="AL818" s="738"/>
      <c r="AM818" s="738"/>
      <c r="AN818" s="738"/>
      <c r="AO818" s="738"/>
      <c r="AP818" s="1942"/>
      <c r="AQ818" s="1942"/>
      <c r="AR818" s="1942"/>
      <c r="AS818" s="1942"/>
      <c r="AT818" s="1942"/>
      <c r="AU818" s="1942"/>
      <c r="AV818" s="1942"/>
      <c r="AW818" s="1942"/>
      <c r="AX818" s="1942"/>
      <c r="AY818" s="1942"/>
      <c r="AZ818" s="1942"/>
      <c r="BA818" s="1942"/>
      <c r="BB818" s="734"/>
      <c r="BC818" s="3130" t="str">
        <f t="shared" si="85"/>
        <v>Heating RES 6 Year EUL</v>
      </c>
      <c r="BD818" s="673">
        <f>(INDEX('Avoided Cost Benefits'!$C$4:$C$857,MATCH(BC818,'Avoided Cost Benefits'!$A$4:$A$857,0)))*F818</f>
        <v>647.92388898760237</v>
      </c>
      <c r="BE818" s="1949">
        <f t="shared" si="86"/>
        <v>0</v>
      </c>
    </row>
    <row r="819" spans="1:57" s="51" customFormat="1" x14ac:dyDescent="0.25">
      <c r="A819" s="1267" t="str">
        <f t="shared" si="82"/>
        <v>351750_2021_12_Cooling RES ER2</v>
      </c>
      <c r="B819" s="228"/>
      <c r="C819" s="2038" t="s">
        <v>1060</v>
      </c>
      <c r="D819" s="1532" t="s">
        <v>322</v>
      </c>
      <c r="E819" s="3007" t="s">
        <v>1062</v>
      </c>
      <c r="F819" s="425">
        <f>ROUND((($J$972*$J$993*(1/$J$1014-1/$J$1056))/1000)*$J$1092*$J$1117,2)</f>
        <v>362.75</v>
      </c>
      <c r="G819" s="1553" t="s">
        <v>879</v>
      </c>
      <c r="H819" s="155">
        <f>VLOOKUP(G819,'CP FACTORS'!$A$3:$B$38, 2, FALSE)</f>
        <v>9.4741810000000004E-4</v>
      </c>
      <c r="I819" s="1554">
        <f t="shared" si="87"/>
        <v>0.34367599999999998</v>
      </c>
      <c r="J819" s="2718">
        <f>J1144</f>
        <v>12</v>
      </c>
      <c r="K819" s="442">
        <f>J1178</f>
        <v>0</v>
      </c>
      <c r="L819" s="236"/>
      <c r="M819" s="1428"/>
      <c r="N819" s="1428"/>
      <c r="O819" s="1428"/>
      <c r="P819" s="1428"/>
      <c r="Q819" s="1428"/>
      <c r="R819" s="1562"/>
      <c r="S819" s="1428"/>
      <c r="T819" s="1428"/>
      <c r="U819" s="1428"/>
      <c r="V819" s="1947" t="s">
        <v>31</v>
      </c>
      <c r="W819" s="739">
        <v>306.32250000000005</v>
      </c>
      <c r="X819" s="740">
        <v>343.28687958567122</v>
      </c>
      <c r="Y819" s="112">
        <v>374.15</v>
      </c>
      <c r="Z819" s="109">
        <v>374.15</v>
      </c>
      <c r="AA819" s="109">
        <v>374.15</v>
      </c>
      <c r="AB819" s="1857">
        <v>386.88</v>
      </c>
      <c r="AC819" s="1963">
        <v>362.75</v>
      </c>
      <c r="AD819" s="1939"/>
      <c r="AE819" s="1939"/>
      <c r="AF819" s="1939"/>
      <c r="AG819" s="1939"/>
      <c r="AH819" s="741"/>
      <c r="AI819" s="741"/>
      <c r="AJ819" s="738"/>
      <c r="AK819" s="738"/>
      <c r="AL819" s="738"/>
      <c r="AM819" s="738"/>
      <c r="AN819" s="738"/>
      <c r="AO819" s="738"/>
      <c r="AP819" s="1942"/>
      <c r="AQ819" s="1942"/>
      <c r="AR819" s="1942"/>
      <c r="AS819" s="1942"/>
      <c r="AT819" s="1942"/>
      <c r="AU819" s="1942"/>
      <c r="AV819" s="1942"/>
      <c r="AW819" s="1942"/>
      <c r="AX819" s="1942"/>
      <c r="AY819" s="1942"/>
      <c r="AZ819" s="1942"/>
      <c r="BA819" s="1942"/>
      <c r="BB819" s="734"/>
      <c r="BC819" s="3130" t="str">
        <f t="shared" si="85"/>
        <v>Cooling RES ER2 12 Year EUL</v>
      </c>
      <c r="BD819" s="673">
        <f>(INDEX('Avoided Cost Benefits'!$C$4:$C$857,MATCH(BC819,'Avoided Cost Benefits'!$A$4:$A$857,0)))*F819</f>
        <v>428.88785446639582</v>
      </c>
      <c r="BE819" s="1949">
        <f t="shared" si="86"/>
        <v>0</v>
      </c>
    </row>
    <row r="820" spans="1:57" s="51" customFormat="1" x14ac:dyDescent="0.25">
      <c r="A820" s="1267" t="str">
        <f t="shared" si="82"/>
        <v>351750_2021_12_Heating RES ER2</v>
      </c>
      <c r="B820" s="228"/>
      <c r="C820" s="2038" t="s">
        <v>1060</v>
      </c>
      <c r="D820" s="1532" t="s">
        <v>322</v>
      </c>
      <c r="E820" s="3005" t="s">
        <v>1062</v>
      </c>
      <c r="F820" s="425">
        <f>ROUND((($J$867*$J$887*(1/$J$909-1/$J$951))/1000)*$J$1093*$J$1117,2)</f>
        <v>3895.33</v>
      </c>
      <c r="G820" s="88" t="s">
        <v>1036</v>
      </c>
      <c r="H820" s="155">
        <f>VLOOKUP(G820,'CP FACTORS'!$A$3:$B$38, 2, FALSE)</f>
        <v>0</v>
      </c>
      <c r="I820" s="1554">
        <f t="shared" si="87"/>
        <v>0</v>
      </c>
      <c r="J820" s="2718">
        <f>J1145</f>
        <v>12</v>
      </c>
      <c r="K820" s="442">
        <f>J1179</f>
        <v>0</v>
      </c>
      <c r="L820" s="236"/>
      <c r="M820" s="1428"/>
      <c r="N820" s="1428"/>
      <c r="O820" s="1428"/>
      <c r="P820" s="1428"/>
      <c r="Q820" s="1428"/>
      <c r="R820" s="1562"/>
      <c r="S820" s="1428"/>
      <c r="T820" s="1428"/>
      <c r="U820" s="1428"/>
      <c r="V820" s="1947" t="s">
        <v>31</v>
      </c>
      <c r="W820" s="739">
        <v>725.33333333333314</v>
      </c>
      <c r="X820" s="740">
        <v>3586.6841445343662</v>
      </c>
      <c r="Y820" s="112">
        <v>3822.23</v>
      </c>
      <c r="Z820" s="109">
        <v>3822.23</v>
      </c>
      <c r="AA820" s="109">
        <v>3822.23</v>
      </c>
      <c r="AB820" s="1857">
        <v>3646.53</v>
      </c>
      <c r="AC820" s="1963">
        <v>3895.33</v>
      </c>
      <c r="AD820" s="1939"/>
      <c r="AE820" s="1939"/>
      <c r="AF820" s="1939"/>
      <c r="AG820" s="1939"/>
      <c r="AH820" s="741"/>
      <c r="AI820" s="741"/>
      <c r="AJ820" s="738"/>
      <c r="AK820" s="738"/>
      <c r="AL820" s="738"/>
      <c r="AM820" s="738"/>
      <c r="AN820" s="738"/>
      <c r="AO820" s="738"/>
      <c r="AP820" s="1942"/>
      <c r="AQ820" s="1942"/>
      <c r="AR820" s="1942"/>
      <c r="AS820" s="1942"/>
      <c r="AT820" s="1942"/>
      <c r="AU820" s="1942"/>
      <c r="AV820" s="1942"/>
      <c r="AW820" s="1942"/>
      <c r="AX820" s="1942"/>
      <c r="AY820" s="1942"/>
      <c r="AZ820" s="1942"/>
      <c r="BA820" s="1942"/>
      <c r="BB820" s="734"/>
      <c r="BC820" s="3116" t="str">
        <f t="shared" si="85"/>
        <v>Heating RES ER2 12 Year EUL</v>
      </c>
      <c r="BD820" s="673">
        <f>(INDEX('Avoided Cost Benefits'!$C$4:$C$857,MATCH(BC820,'Avoided Cost Benefits'!$A$4:$A$857,0)))*F820</f>
        <v>1151.7813003286813</v>
      </c>
      <c r="BE820" s="1949">
        <f t="shared" si="86"/>
        <v>0</v>
      </c>
    </row>
    <row r="821" spans="1:57" s="51" customFormat="1" x14ac:dyDescent="0.25">
      <c r="A821" s="1267" t="str">
        <f t="shared" si="82"/>
        <v>351751_2021_12_Cooling RES</v>
      </c>
      <c r="B821" s="228"/>
      <c r="C821" s="3041" t="s">
        <v>1063</v>
      </c>
      <c r="D821" s="1564" t="s">
        <v>317</v>
      </c>
      <c r="E821" s="2878" t="s">
        <v>1064</v>
      </c>
      <c r="F821" s="425">
        <f>ROUND((($J$979*$J$1000*(1/$J$1042-1/$J$1063))/1000)*$J$1107*$J$1117,2)</f>
        <v>580.64</v>
      </c>
      <c r="G821" s="323" t="s">
        <v>258</v>
      </c>
      <c r="H821" s="155">
        <f>VLOOKUP(G821,'CP FACTORS'!$A$3:$B$38, 2, FALSE)</f>
        <v>9.4741810000000004E-4</v>
      </c>
      <c r="I821" s="1554">
        <f>ROUND(F821*H821,6)</f>
        <v>0.55010899999999996</v>
      </c>
      <c r="J821" s="389">
        <f t="shared" ref="J821:K824" si="88">J817</f>
        <v>6</v>
      </c>
      <c r="K821" s="1907">
        <f t="shared" si="88"/>
        <v>2505.747142294048</v>
      </c>
      <c r="L821" s="237">
        <f>K979</f>
        <v>1.569767441860465</v>
      </c>
      <c r="M821" s="1428"/>
      <c r="N821" s="1428"/>
      <c r="O821" s="1428"/>
      <c r="P821" s="1428"/>
      <c r="Q821" s="1428"/>
      <c r="R821" s="1562"/>
      <c r="S821" s="1428"/>
      <c r="T821" s="1428"/>
      <c r="U821" s="1428"/>
      <c r="V821" s="1947" t="s">
        <v>31</v>
      </c>
      <c r="W821" s="739"/>
      <c r="X821" s="740"/>
      <c r="Y821" s="112">
        <v>1036.93</v>
      </c>
      <c r="Z821" s="109">
        <v>1036.93</v>
      </c>
      <c r="AA821" s="109">
        <v>1036.93</v>
      </c>
      <c r="AB821" s="1857">
        <v>682.61</v>
      </c>
      <c r="AC821" s="1963">
        <v>580.64</v>
      </c>
      <c r="AD821" s="1939"/>
      <c r="AE821" s="1939"/>
      <c r="AF821" s="1939"/>
      <c r="AG821" s="1939"/>
      <c r="AH821" s="741"/>
      <c r="AI821" s="741"/>
      <c r="AJ821" s="738"/>
      <c r="AK821" s="738"/>
      <c r="AL821" s="738"/>
      <c r="AM821" s="738"/>
      <c r="AN821" s="738"/>
      <c r="AO821" s="738"/>
      <c r="AP821" s="1942"/>
      <c r="AQ821" s="1942"/>
      <c r="AR821" s="1942"/>
      <c r="AS821" s="1942"/>
      <c r="AT821" s="1942"/>
      <c r="AU821" s="1942"/>
      <c r="AV821" s="1942"/>
      <c r="AW821" s="1942"/>
      <c r="AX821" s="1942"/>
      <c r="AY821" s="1942"/>
      <c r="AZ821" s="1942"/>
      <c r="BA821" s="1942"/>
      <c r="BB821" s="244">
        <f>(BD821+BD822+BD823+BD824)/(BE821+BE822+BE823+BE824)</f>
        <v>0.55107295256389066</v>
      </c>
      <c r="BC821" s="3115" t="str">
        <f>CONCATENATE(G821," ",J821," Year EUL")</f>
        <v>Cooling RES 6 Year EUL</v>
      </c>
      <c r="BD821" s="673">
        <f>(INDEX('Avoided Cost Benefits'!$C$4:$C$857,MATCH(BC821,'Avoided Cost Benefits'!$A$4:$A$857,0)))*F821</f>
        <v>337.63296436658266</v>
      </c>
      <c r="BE821" s="1949">
        <f>K821/(1.0595^(2020-2019))</f>
        <v>2365.0279776253401</v>
      </c>
    </row>
    <row r="822" spans="1:57" s="51" customFormat="1" x14ac:dyDescent="0.25">
      <c r="A822" s="1267" t="str">
        <f t="shared" si="82"/>
        <v>351751_2021_12_Heating RES</v>
      </c>
      <c r="B822" s="228"/>
      <c r="C822" s="3041" t="s">
        <v>1063</v>
      </c>
      <c r="D822" s="1564" t="s">
        <v>317</v>
      </c>
      <c r="E822" s="3007" t="s">
        <v>1064</v>
      </c>
      <c r="F822" s="425">
        <f>ROUND((($J$874*$J$895*(1/$J$937-1/$J$958))/1000)*$J$1108*$J$1117,2)</f>
        <v>1480.53</v>
      </c>
      <c r="G822" s="323" t="s">
        <v>259</v>
      </c>
      <c r="H822" s="155">
        <f>VLOOKUP(G822,'CP FACTORS'!$A$3:$B$38, 2, FALSE)</f>
        <v>0</v>
      </c>
      <c r="I822" s="1554">
        <f>ROUND(F822*H822,6)</f>
        <v>0</v>
      </c>
      <c r="J822" s="389">
        <f t="shared" si="88"/>
        <v>6</v>
      </c>
      <c r="K822" s="1565">
        <f t="shared" si="88"/>
        <v>0</v>
      </c>
      <c r="L822" s="236"/>
      <c r="M822" s="1428"/>
      <c r="N822" s="1428"/>
      <c r="O822" s="1428"/>
      <c r="P822" s="1428"/>
      <c r="Q822" s="1428"/>
      <c r="R822" s="1562"/>
      <c r="S822" s="1428"/>
      <c r="T822" s="1428"/>
      <c r="U822" s="1428"/>
      <c r="V822" s="1947" t="s">
        <v>31</v>
      </c>
      <c r="W822" s="739"/>
      <c r="X822" s="740"/>
      <c r="Y822" s="112">
        <v>1759.56</v>
      </c>
      <c r="Z822" s="109">
        <v>1759.56</v>
      </c>
      <c r="AA822" s="109">
        <v>1759.56</v>
      </c>
      <c r="AB822" s="1857">
        <v>1385.96</v>
      </c>
      <c r="AC822" s="1963">
        <v>1480.53</v>
      </c>
      <c r="AD822" s="1939"/>
      <c r="AE822" s="1939"/>
      <c r="AF822" s="1939"/>
      <c r="AG822" s="1939"/>
      <c r="AH822" s="741"/>
      <c r="AI822" s="741"/>
      <c r="AJ822" s="738"/>
      <c r="AK822" s="738"/>
      <c r="AL822" s="738"/>
      <c r="AM822" s="738"/>
      <c r="AN822" s="738"/>
      <c r="AO822" s="738"/>
      <c r="AP822" s="1942"/>
      <c r="AQ822" s="1942"/>
      <c r="AR822" s="1942"/>
      <c r="AS822" s="1942"/>
      <c r="AT822" s="1942"/>
      <c r="AU822" s="1942"/>
      <c r="AV822" s="1942"/>
      <c r="AW822" s="1942"/>
      <c r="AX822" s="1942"/>
      <c r="AY822" s="1942"/>
      <c r="AZ822" s="1942"/>
      <c r="BA822" s="1942"/>
      <c r="BB822" s="734"/>
      <c r="BC822" s="3130" t="str">
        <f>CONCATENATE(G822," ",J822," Year EUL")</f>
        <v>Heating RES 6 Year EUL</v>
      </c>
      <c r="BD822" s="673">
        <f>(INDEX('Avoided Cost Benefits'!$C$4:$C$857,MATCH(BC822,'Avoided Cost Benefits'!$A$4:$A$857,0)))*F822</f>
        <v>246.26174300067385</v>
      </c>
      <c r="BE822" s="1949">
        <f>K822/(1.0595^(2020-2019))</f>
        <v>0</v>
      </c>
    </row>
    <row r="823" spans="1:57" s="51" customFormat="1" x14ac:dyDescent="0.25">
      <c r="A823" s="1267" t="str">
        <f t="shared" si="82"/>
        <v>351751_2021_12_Cooling RES ER2</v>
      </c>
      <c r="B823" s="228"/>
      <c r="C823" s="3041" t="s">
        <v>1063</v>
      </c>
      <c r="D823" s="1564" t="s">
        <v>317</v>
      </c>
      <c r="E823" s="3007" t="s">
        <v>1065</v>
      </c>
      <c r="F823" s="425">
        <f>ROUND((($J$979*$J$1000*(1/$J$1021-1/$J$1063))/1000)*$J$1109*$J$1117,2)</f>
        <v>238.21</v>
      </c>
      <c r="G823" s="1553" t="s">
        <v>879</v>
      </c>
      <c r="H823" s="155">
        <f>VLOOKUP(G823,'CP FACTORS'!$A$3:$B$38, 2, FALSE)</f>
        <v>9.4741810000000004E-4</v>
      </c>
      <c r="I823" s="1554">
        <f>ROUND(F823*H823,6)</f>
        <v>0.225684</v>
      </c>
      <c r="J823" s="389">
        <f t="shared" si="88"/>
        <v>12</v>
      </c>
      <c r="K823" s="1565">
        <f t="shared" si="88"/>
        <v>0</v>
      </c>
      <c r="L823" s="236"/>
      <c r="M823" s="1428"/>
      <c r="N823" s="1428"/>
      <c r="O823" s="1428"/>
      <c r="P823" s="1428"/>
      <c r="Q823" s="1428"/>
      <c r="R823" s="1562"/>
      <c r="S823" s="1428"/>
      <c r="T823" s="1428"/>
      <c r="U823" s="1428"/>
      <c r="V823" s="1947" t="s">
        <v>31</v>
      </c>
      <c r="W823" s="739"/>
      <c r="X823" s="740"/>
      <c r="Y823" s="112">
        <v>329.96</v>
      </c>
      <c r="Z823" s="109">
        <v>329.96</v>
      </c>
      <c r="AA823" s="109">
        <v>329.96</v>
      </c>
      <c r="AB823" s="1857">
        <v>254.06</v>
      </c>
      <c r="AC823" s="1963">
        <v>238.21</v>
      </c>
      <c r="AD823" s="1939"/>
      <c r="AE823" s="1939"/>
      <c r="AF823" s="1939"/>
      <c r="AG823" s="1939"/>
      <c r="AH823" s="741"/>
      <c r="AI823" s="741"/>
      <c r="AJ823" s="738"/>
      <c r="AK823" s="738"/>
      <c r="AL823" s="738"/>
      <c r="AM823" s="738"/>
      <c r="AN823" s="738"/>
      <c r="AO823" s="738"/>
      <c r="AP823" s="1942"/>
      <c r="AQ823" s="1942"/>
      <c r="AR823" s="1942"/>
      <c r="AS823" s="1942"/>
      <c r="AT823" s="1942"/>
      <c r="AU823" s="1942"/>
      <c r="AV823" s="1942"/>
      <c r="AW823" s="1942"/>
      <c r="AX823" s="1942"/>
      <c r="AY823" s="1942"/>
      <c r="AZ823" s="1942"/>
      <c r="BA823" s="1942"/>
      <c r="BB823" s="734"/>
      <c r="BC823" s="3130" t="str">
        <f>CONCATENATE(G823," ",J823," Year EUL")</f>
        <v>Cooling RES ER2 12 Year EUL</v>
      </c>
      <c r="BD823" s="673">
        <f>(INDEX('Avoided Cost Benefits'!$C$4:$C$857,MATCH(BC823,'Avoided Cost Benefits'!$A$4:$A$857,0)))*F823</f>
        <v>281.64128411423889</v>
      </c>
      <c r="BE823" s="1949">
        <f>K823/(1.0595^(2020-2019))</f>
        <v>0</v>
      </c>
    </row>
    <row r="824" spans="1:57" s="51" customFormat="1" x14ac:dyDescent="0.25">
      <c r="A824" s="1267" t="str">
        <f t="shared" si="82"/>
        <v>351751_2021_12_Heating RES ER2</v>
      </c>
      <c r="B824" s="228"/>
      <c r="C824" s="3041" t="s">
        <v>1063</v>
      </c>
      <c r="D824" s="1564" t="s">
        <v>317</v>
      </c>
      <c r="E824" s="3005" t="s">
        <v>1065</v>
      </c>
      <c r="F824" s="425">
        <f>ROUND((($J$874*$J$895*(1/$J$916-1/$J$958))/1000)*$J$1110*$J$1117,2)</f>
        <v>1480.53</v>
      </c>
      <c r="G824" s="88" t="s">
        <v>1036</v>
      </c>
      <c r="H824" s="155">
        <f>VLOOKUP(G824,'CP FACTORS'!$A$3:$B$38, 2, FALSE)</f>
        <v>0</v>
      </c>
      <c r="I824" s="1554">
        <f>ROUND(F824*H824,6)</f>
        <v>0</v>
      </c>
      <c r="J824" s="389">
        <f t="shared" si="88"/>
        <v>12</v>
      </c>
      <c r="K824" s="1565">
        <f t="shared" si="88"/>
        <v>0</v>
      </c>
      <c r="L824" s="236"/>
      <c r="M824" s="1428"/>
      <c r="N824" s="1428"/>
      <c r="O824" s="1428"/>
      <c r="P824" s="1428"/>
      <c r="Q824" s="1428"/>
      <c r="R824" s="1562"/>
      <c r="S824" s="1428"/>
      <c r="T824" s="1428"/>
      <c r="U824" s="1428"/>
      <c r="V824" s="1947" t="s">
        <v>31</v>
      </c>
      <c r="W824" s="739"/>
      <c r="X824" s="740"/>
      <c r="Y824" s="112">
        <v>1759.56</v>
      </c>
      <c r="Z824" s="109">
        <v>1759.56</v>
      </c>
      <c r="AA824" s="109">
        <v>1759.56</v>
      </c>
      <c r="AB824" s="1857">
        <v>1385.96</v>
      </c>
      <c r="AC824" s="1963">
        <v>1480.53</v>
      </c>
      <c r="AD824" s="1939"/>
      <c r="AE824" s="1939"/>
      <c r="AF824" s="1939"/>
      <c r="AG824" s="1939"/>
      <c r="AH824" s="741"/>
      <c r="AI824" s="741"/>
      <c r="AJ824" s="738"/>
      <c r="AK824" s="738"/>
      <c r="AL824" s="738"/>
      <c r="AM824" s="738"/>
      <c r="AN824" s="738"/>
      <c r="AO824" s="738"/>
      <c r="AP824" s="1942"/>
      <c r="AQ824" s="1942"/>
      <c r="AR824" s="1942"/>
      <c r="AS824" s="1942"/>
      <c r="AT824" s="1942"/>
      <c r="AU824" s="1942"/>
      <c r="AV824" s="1942"/>
      <c r="AW824" s="1942"/>
      <c r="AX824" s="1942"/>
      <c r="AY824" s="1942"/>
      <c r="AZ824" s="1942"/>
      <c r="BA824" s="1942"/>
      <c r="BB824" s="734"/>
      <c r="BC824" s="3116" t="str">
        <f>CONCATENATE(G824," ",J824," Year EUL")</f>
        <v>Heating RES ER2 12 Year EUL</v>
      </c>
      <c r="BD824" s="673">
        <f>(INDEX('Avoided Cost Benefits'!$C$4:$C$857,MATCH(BC824,'Avoided Cost Benefits'!$A$4:$A$857,0)))*F824</f>
        <v>437.76695904470802</v>
      </c>
      <c r="BE824" s="1949">
        <f>K824/(1.0595^(2020-2019))</f>
        <v>0</v>
      </c>
    </row>
    <row r="825" spans="1:57" s="51" customFormat="1" x14ac:dyDescent="0.25">
      <c r="A825" s="1267" t="str">
        <f t="shared" si="82"/>
        <v>351800_2021_12_Cooling RES</v>
      </c>
      <c r="B825" s="228"/>
      <c r="C825" s="2038" t="s">
        <v>1066</v>
      </c>
      <c r="D825" s="1532" t="s">
        <v>322</v>
      </c>
      <c r="E825" s="2878" t="s">
        <v>1067</v>
      </c>
      <c r="F825" s="425">
        <f>ROUND((($J$973*$J$994*(1/$J$1015-1/$J$1057))/1000)*$J$1094*$J$1117,2)</f>
        <v>346.51</v>
      </c>
      <c r="G825" s="323" t="s">
        <v>258</v>
      </c>
      <c r="H825" s="155">
        <f>VLOOKUP(G825,'CP FACTORS'!$A$3:$B$38, 2, FALSE)</f>
        <v>9.4741810000000004E-4</v>
      </c>
      <c r="I825" s="1554">
        <f t="shared" si="87"/>
        <v>0.32829000000000003</v>
      </c>
      <c r="J825" s="2718">
        <f>J1146</f>
        <v>18</v>
      </c>
      <c r="K825" s="682">
        <f>J1180</f>
        <v>337.89830508474574</v>
      </c>
      <c r="L825" s="237">
        <f>K966</f>
        <v>1.7307692307692308</v>
      </c>
      <c r="M825" s="1428"/>
      <c r="N825" s="1428"/>
      <c r="O825" s="1428"/>
      <c r="P825" s="1428"/>
      <c r="Q825" s="1428"/>
      <c r="R825" s="1562"/>
      <c r="S825" s="1428"/>
      <c r="T825" s="1428"/>
      <c r="U825" s="1428"/>
      <c r="V825" s="1947" t="s">
        <v>31</v>
      </c>
      <c r="W825" s="739">
        <v>290.63222222222231</v>
      </c>
      <c r="X825" s="740">
        <v>343.28687958567122</v>
      </c>
      <c r="Y825" s="112">
        <v>335.42</v>
      </c>
      <c r="Z825" s="109">
        <v>335.42</v>
      </c>
      <c r="AA825" s="109">
        <v>335.42</v>
      </c>
      <c r="AB825" s="1857">
        <v>345.19</v>
      </c>
      <c r="AC825" s="1963">
        <v>346.51</v>
      </c>
      <c r="AD825" s="1939"/>
      <c r="AE825" s="1939"/>
      <c r="AF825" s="1939"/>
      <c r="AG825" s="1939"/>
      <c r="AH825" s="741"/>
      <c r="AI825" s="741"/>
      <c r="AJ825" s="738"/>
      <c r="AK825" s="738"/>
      <c r="AL825" s="738"/>
      <c r="AM825" s="738"/>
      <c r="AN825" s="738"/>
      <c r="AO825" s="738"/>
      <c r="AP825" s="1942"/>
      <c r="AQ825" s="1942"/>
      <c r="AR825" s="1942"/>
      <c r="AS825" s="1942"/>
      <c r="AT825" s="1942"/>
      <c r="AU825" s="1942"/>
      <c r="AV825" s="1942"/>
      <c r="AW825" s="1942"/>
      <c r="AX825" s="1942"/>
      <c r="AY825" s="1942"/>
      <c r="AZ825" s="1942"/>
      <c r="BA825" s="1942"/>
      <c r="BB825" s="244">
        <f>(BD825+BD826)/(BE825+BE826)</f>
        <v>8.2316931852257706</v>
      </c>
      <c r="BC825" s="3115" t="str">
        <f t="shared" si="85"/>
        <v>Cooling RES 18 Year EUL</v>
      </c>
      <c r="BD825" s="673">
        <f>(INDEX('Avoided Cost Benefits'!$C$4:$C$857,MATCH(BC825,'Avoided Cost Benefits'!$A$4:$A$857,0)))*F825</f>
        <v>611.17699790826009</v>
      </c>
      <c r="BE825" s="1949">
        <f t="shared" si="86"/>
        <v>318.92242103326635</v>
      </c>
    </row>
    <row r="826" spans="1:57" s="51" customFormat="1" x14ac:dyDescent="0.25">
      <c r="A826" s="1267" t="str">
        <f t="shared" si="82"/>
        <v>351800_2021_12_Heating RES</v>
      </c>
      <c r="B826" s="228"/>
      <c r="C826" s="2038" t="s">
        <v>1066</v>
      </c>
      <c r="D826" s="1532" t="s">
        <v>322</v>
      </c>
      <c r="E826" s="3005" t="s">
        <v>1067</v>
      </c>
      <c r="F826" s="425">
        <f xml:space="preserve"> ROUND((($J$861*$J$888*(1/$J$910-1/$J$952))/1000)*$J$1095*$J$1117,2)</f>
        <v>4359.3599999999997</v>
      </c>
      <c r="G826" s="323" t="s">
        <v>259</v>
      </c>
      <c r="H826" s="155">
        <f>VLOOKUP(G826,'CP FACTORS'!$A$3:$B$38, 2, FALSE)</f>
        <v>0</v>
      </c>
      <c r="I826" s="1554">
        <f t="shared" si="87"/>
        <v>0</v>
      </c>
      <c r="J826" s="2718">
        <f>J1147</f>
        <v>18</v>
      </c>
      <c r="K826" s="442">
        <f>J1181</f>
        <v>0</v>
      </c>
      <c r="L826" s="236"/>
      <c r="M826" s="1428"/>
      <c r="N826" s="1428"/>
      <c r="O826" s="1428"/>
      <c r="P826" s="1428"/>
      <c r="Q826" s="1428"/>
      <c r="R826" s="1562"/>
      <c r="S826" s="1428"/>
      <c r="T826" s="1428"/>
      <c r="U826" s="1428"/>
      <c r="V826" s="1947" t="s">
        <v>31</v>
      </c>
      <c r="W826" s="739">
        <v>695.97460317460309</v>
      </c>
      <c r="X826" s="740">
        <v>3586.6841445343662</v>
      </c>
      <c r="Y826" s="112">
        <v>4077.05</v>
      </c>
      <c r="Z826" s="109">
        <v>4077.05</v>
      </c>
      <c r="AA826" s="109">
        <v>4077.05</v>
      </c>
      <c r="AB826" s="1857">
        <v>4050.16</v>
      </c>
      <c r="AC826" s="1963">
        <v>4359.3599999999997</v>
      </c>
      <c r="AD826" s="1939"/>
      <c r="AE826" s="1939"/>
      <c r="AF826" s="1939"/>
      <c r="AG826" s="1939"/>
      <c r="AH826" s="741"/>
      <c r="AI826" s="741"/>
      <c r="AJ826" s="738"/>
      <c r="AK826" s="738"/>
      <c r="AL826" s="738"/>
      <c r="AM826" s="738"/>
      <c r="AN826" s="738"/>
      <c r="AO826" s="738"/>
      <c r="AP826" s="1942"/>
      <c r="AQ826" s="1942"/>
      <c r="AR826" s="1942"/>
      <c r="AS826" s="1942"/>
      <c r="AT826" s="1942"/>
      <c r="AU826" s="1942"/>
      <c r="AV826" s="1942"/>
      <c r="AW826" s="1942"/>
      <c r="AX826" s="1942"/>
      <c r="AY826" s="1942"/>
      <c r="AZ826" s="1942"/>
      <c r="BA826" s="1942"/>
      <c r="BB826" s="242"/>
      <c r="BC826" s="3116" t="str">
        <f t="shared" si="85"/>
        <v>Heating RES 18 Year EUL</v>
      </c>
      <c r="BD826" s="673">
        <f>(INDEX('Avoided Cost Benefits'!$C$4:$C$857,MATCH(BC826,'Avoided Cost Benefits'!$A$4:$A$857,0)))*F826</f>
        <v>2014.0945219269827</v>
      </c>
      <c r="BE826" s="1949">
        <f t="shared" si="86"/>
        <v>0</v>
      </c>
    </row>
    <row r="827" spans="1:57" s="51" customFormat="1" x14ac:dyDescent="0.25">
      <c r="A827" s="1267" t="str">
        <f t="shared" si="82"/>
        <v>351801_2021_12_Cooling RES</v>
      </c>
      <c r="B827" s="228"/>
      <c r="C827" s="3041" t="s">
        <v>1068</v>
      </c>
      <c r="D827" s="1564" t="s">
        <v>317</v>
      </c>
      <c r="E827" s="2878" t="s">
        <v>1069</v>
      </c>
      <c r="F827" s="425">
        <f>ROUND((($J$980*$J$1001*(1/$J$1022-1/$J$1064))/1000)*$J$1115*$J$1117,2)</f>
        <v>227.55</v>
      </c>
      <c r="G827" s="88" t="s">
        <v>258</v>
      </c>
      <c r="H827" s="155">
        <f>VLOOKUP(G827,'CP FACTORS'!$A$3:$B$38, 2, FALSE)</f>
        <v>9.4741810000000004E-4</v>
      </c>
      <c r="I827" s="1554">
        <f>ROUND(F827*H827,6)</f>
        <v>0.215585</v>
      </c>
      <c r="J827" s="389">
        <f>J825</f>
        <v>18</v>
      </c>
      <c r="K827" s="1907">
        <f>K825</f>
        <v>337.89830508474574</v>
      </c>
      <c r="L827" s="237">
        <f>K980</f>
        <v>1.7307692307692308</v>
      </c>
      <c r="M827" s="1428"/>
      <c r="N827" s="1428"/>
      <c r="O827" s="1428"/>
      <c r="P827" s="1428"/>
      <c r="Q827" s="1428"/>
      <c r="R827" s="1562"/>
      <c r="S827" s="1428"/>
      <c r="T827" s="1428"/>
      <c r="U827" s="1428"/>
      <c r="V827" s="1947" t="s">
        <v>31</v>
      </c>
      <c r="W827" s="739"/>
      <c r="X827" s="740"/>
      <c r="Y827" s="112">
        <v>295.8</v>
      </c>
      <c r="Z827" s="109">
        <v>295.8</v>
      </c>
      <c r="AA827" s="109">
        <v>295.8</v>
      </c>
      <c r="AB827" s="1857">
        <v>226.68</v>
      </c>
      <c r="AC827" s="1963">
        <v>227.55</v>
      </c>
      <c r="AD827" s="1939"/>
      <c r="AE827" s="1939"/>
      <c r="AF827" s="1939"/>
      <c r="AG827" s="1939"/>
      <c r="AH827" s="741"/>
      <c r="AI827" s="741"/>
      <c r="AJ827" s="738"/>
      <c r="AK827" s="738"/>
      <c r="AL827" s="738"/>
      <c r="AM827" s="738"/>
      <c r="AN827" s="738"/>
      <c r="AO827" s="738"/>
      <c r="AP827" s="1942"/>
      <c r="AQ827" s="1942"/>
      <c r="AR827" s="1942"/>
      <c r="AS827" s="1942"/>
      <c r="AT827" s="1942"/>
      <c r="AU827" s="1942"/>
      <c r="AV827" s="1942"/>
      <c r="AW827" s="1942"/>
      <c r="AX827" s="1942"/>
      <c r="AY827" s="1942"/>
      <c r="AZ827" s="1942"/>
      <c r="BA827" s="1942"/>
      <c r="BB827" s="244">
        <f>(BD827+BD828)/(BE827+BE828)</f>
        <v>3.6587716067605278</v>
      </c>
      <c r="BC827" s="3115" t="str">
        <f>CONCATENATE(G827," ",J827," Year EUL")</f>
        <v>Cooling RES 18 Year EUL</v>
      </c>
      <c r="BD827" s="673">
        <f>(INDEX('Avoided Cost Benefits'!$C$4:$C$857,MATCH(BC827,'Avoided Cost Benefits'!$A$4:$A$857,0)))*F827</f>
        <v>401.35443673782748</v>
      </c>
      <c r="BE827" s="1949">
        <f>K827/(1.0595^(2020-2019))</f>
        <v>318.92242103326635</v>
      </c>
    </row>
    <row r="828" spans="1:57" s="51" customFormat="1" x14ac:dyDescent="0.25">
      <c r="A828" s="1267" t="str">
        <f t="shared" si="82"/>
        <v>351801_2021_12_Heating RES</v>
      </c>
      <c r="B828" s="228"/>
      <c r="C828" s="3041" t="s">
        <v>1068</v>
      </c>
      <c r="D828" s="1564" t="s">
        <v>317</v>
      </c>
      <c r="E828" s="3005" t="s">
        <v>1069</v>
      </c>
      <c r="F828" s="425">
        <f xml:space="preserve"> ROUND((($J$875*$J$896*(1/$J$917-1/$J$959))/1000)*$J$1112*$J$1117,2)</f>
        <v>1656.89</v>
      </c>
      <c r="G828" s="323" t="s">
        <v>259</v>
      </c>
      <c r="H828" s="155">
        <f>VLOOKUP(G828,'CP FACTORS'!$A$3:$B$38, 2, FALSE)</f>
        <v>0</v>
      </c>
      <c r="I828" s="1554">
        <f>ROUND(F828*H828,6)</f>
        <v>0</v>
      </c>
      <c r="J828" s="389">
        <f>J826</f>
        <v>18</v>
      </c>
      <c r="K828" s="1565">
        <f>K826</f>
        <v>0</v>
      </c>
      <c r="L828" s="236"/>
      <c r="M828" s="1428"/>
      <c r="N828" s="1428"/>
      <c r="O828" s="1428"/>
      <c r="P828" s="1428"/>
      <c r="Q828" s="1428"/>
      <c r="R828" s="1562"/>
      <c r="S828" s="1428"/>
      <c r="T828" s="1428"/>
      <c r="U828" s="1428"/>
      <c r="V828" s="1947" t="s">
        <v>31</v>
      </c>
      <c r="W828" s="739"/>
      <c r="X828" s="740"/>
      <c r="Y828" s="112">
        <v>1876.86</v>
      </c>
      <c r="Z828" s="109">
        <v>1876.86</v>
      </c>
      <c r="AA828" s="109">
        <v>1876.86</v>
      </c>
      <c r="AB828" s="1857">
        <v>1539.37</v>
      </c>
      <c r="AC828" s="1963">
        <v>1656.89</v>
      </c>
      <c r="AD828" s="1939"/>
      <c r="AE828" s="1939"/>
      <c r="AF828" s="1939"/>
      <c r="AG828" s="1939"/>
      <c r="AH828" s="741"/>
      <c r="AI828" s="741"/>
      <c r="AJ828" s="738"/>
      <c r="AK828" s="738"/>
      <c r="AL828" s="738"/>
      <c r="AM828" s="738"/>
      <c r="AN828" s="738"/>
      <c r="AO828" s="738"/>
      <c r="AP828" s="1942"/>
      <c r="AQ828" s="1942"/>
      <c r="AR828" s="1942"/>
      <c r="AS828" s="1942"/>
      <c r="AT828" s="1942"/>
      <c r="AU828" s="1942"/>
      <c r="AV828" s="1942"/>
      <c r="AW828" s="1942"/>
      <c r="AX828" s="1942"/>
      <c r="AY828" s="1942"/>
      <c r="AZ828" s="1942"/>
      <c r="BA828" s="1942"/>
      <c r="BB828" s="242"/>
      <c r="BC828" s="3116" t="str">
        <f>CONCATENATE(G828," ",J828," Year EUL")</f>
        <v>Heating RES 18 Year EUL</v>
      </c>
      <c r="BD828" s="673">
        <f>(INDEX('Avoided Cost Benefits'!$C$4:$C$857,MATCH(BC828,'Avoided Cost Benefits'!$A$4:$A$857,0)))*F828</f>
        <v>765.50986209801408</v>
      </c>
      <c r="BE828" s="1949">
        <f>K828/(1.0595^(2020-2019))</f>
        <v>0</v>
      </c>
    </row>
    <row r="829" spans="1:57" s="51" customFormat="1" x14ac:dyDescent="0.25">
      <c r="A829" s="1267" t="str">
        <f t="shared" si="82"/>
        <v>351850_2021_12_Cooling RES</v>
      </c>
      <c r="B829" s="228"/>
      <c r="C829" s="2038" t="s">
        <v>1070</v>
      </c>
      <c r="D829" s="1532" t="s">
        <v>322</v>
      </c>
      <c r="E829" s="2878" t="s">
        <v>1071</v>
      </c>
      <c r="F829" s="425">
        <f>ROUND((($J$974*$J$995*(1/$J$1037-1/$J$1058))/1000)*$J$1096*$J$1117,2)</f>
        <v>843.09</v>
      </c>
      <c r="G829" s="323" t="s">
        <v>258</v>
      </c>
      <c r="H829" s="155">
        <f>VLOOKUP(G829,'CP FACTORS'!$A$3:$B$38, 2, FALSE)</f>
        <v>9.4741810000000004E-4</v>
      </c>
      <c r="I829" s="1554">
        <f t="shared" si="87"/>
        <v>0.798759</v>
      </c>
      <c r="J829" s="2718">
        <f>J1148</f>
        <v>6</v>
      </c>
      <c r="K829" s="682">
        <f>J1182</f>
        <v>698.32770489042764</v>
      </c>
      <c r="L829" s="237">
        <f>K967</f>
        <v>1.4772727272727273</v>
      </c>
      <c r="M829" s="1428"/>
      <c r="N829" s="1428"/>
      <c r="O829" s="1428"/>
      <c r="P829" s="1428"/>
      <c r="Q829" s="1428"/>
      <c r="R829" s="1562"/>
      <c r="S829" s="1428"/>
      <c r="T829" s="1428"/>
      <c r="U829" s="1428"/>
      <c r="V829" s="1947" t="s">
        <v>31</v>
      </c>
      <c r="W829" s="739">
        <v>1056.873427672956</v>
      </c>
      <c r="X829" s="740">
        <v>973.31187958567136</v>
      </c>
      <c r="Y829" s="112">
        <v>1164.32</v>
      </c>
      <c r="Z829" s="109">
        <v>1164.32</v>
      </c>
      <c r="AA829" s="109">
        <v>1164.32</v>
      </c>
      <c r="AB829" s="1857">
        <v>779.12</v>
      </c>
      <c r="AC829" s="1963">
        <v>843.09</v>
      </c>
      <c r="AD829" s="1939"/>
      <c r="AE829" s="1939"/>
      <c r="AF829" s="1939"/>
      <c r="AG829" s="1939"/>
      <c r="AH829" s="741"/>
      <c r="AI829" s="741"/>
      <c r="AJ829" s="738"/>
      <c r="AK829" s="738"/>
      <c r="AL829" s="738"/>
      <c r="AM829" s="738"/>
      <c r="AN829" s="738"/>
      <c r="AO829" s="738"/>
      <c r="AP829" s="1942"/>
      <c r="AQ829" s="1942"/>
      <c r="AR829" s="1942"/>
      <c r="AS829" s="1942"/>
      <c r="AT829" s="1942"/>
      <c r="AU829" s="1942"/>
      <c r="AV829" s="1942"/>
      <c r="AW829" s="1942"/>
      <c r="AX829" s="1942"/>
      <c r="AY829" s="1942"/>
      <c r="AZ829" s="1942"/>
      <c r="BA829" s="1942"/>
      <c r="BB829" s="244">
        <f>(BD829+BD830+BD831+BD832)/(BE829+BE830+BE831+BE832)</f>
        <v>2.2998869785070375</v>
      </c>
      <c r="BC829" s="3115" t="str">
        <f t="shared" si="85"/>
        <v>Cooling RES 6 Year EUL</v>
      </c>
      <c r="BD829" s="673">
        <f>(INDEX('Avoided Cost Benefits'!$C$4:$C$857,MATCH(BC829,'Avoided Cost Benefits'!$A$4:$A$857,0)))*F829</f>
        <v>490.24348292887538</v>
      </c>
      <c r="BE829" s="1949">
        <f t="shared" si="86"/>
        <v>659.11062283192791</v>
      </c>
    </row>
    <row r="830" spans="1:57" s="51" customFormat="1" x14ac:dyDescent="0.25">
      <c r="A830" s="1267" t="str">
        <f t="shared" si="82"/>
        <v>351850_2021_12_Heating RES</v>
      </c>
      <c r="B830" s="228"/>
      <c r="C830" s="2038" t="s">
        <v>1070</v>
      </c>
      <c r="D830" s="1532" t="s">
        <v>322</v>
      </c>
      <c r="E830" s="3007" t="s">
        <v>1071</v>
      </c>
      <c r="F830" s="425">
        <f xml:space="preserve"> ROUND((($J$869*$J$889*(1/$J$932-1/$J$953))/1000)*$J$1097*$J$1117,2)</f>
        <v>1692.45</v>
      </c>
      <c r="G830" s="323" t="s">
        <v>259</v>
      </c>
      <c r="H830" s="155">
        <f>VLOOKUP(G830,'CP FACTORS'!$A$3:$B$38, 2, FALSE)</f>
        <v>0</v>
      </c>
      <c r="I830" s="1554">
        <f t="shared" si="87"/>
        <v>0</v>
      </c>
      <c r="J830" s="2718">
        <f>J1149</f>
        <v>6</v>
      </c>
      <c r="K830" s="442">
        <f>J1183</f>
        <v>0</v>
      </c>
      <c r="L830" s="236"/>
      <c r="M830" s="1428"/>
      <c r="N830" s="1428"/>
      <c r="O830" s="1428"/>
      <c r="P830" s="1428"/>
      <c r="Q830" s="1428"/>
      <c r="R830" s="1562"/>
      <c r="S830" s="1428"/>
      <c r="T830" s="1428"/>
      <c r="U830" s="1428"/>
      <c r="V830" s="1947" t="s">
        <v>31</v>
      </c>
      <c r="W830" s="739">
        <v>1906.4157894736838</v>
      </c>
      <c r="X830" s="740">
        <v>1671.2809187279149</v>
      </c>
      <c r="Y830" s="112">
        <v>1944.18</v>
      </c>
      <c r="Z830" s="109">
        <v>1944.18</v>
      </c>
      <c r="AA830" s="109">
        <v>1944.18</v>
      </c>
      <c r="AB830" s="1857">
        <v>1021.3</v>
      </c>
      <c r="AC830" s="1963">
        <v>1692.45</v>
      </c>
      <c r="AD830" s="1939"/>
      <c r="AE830" s="1939"/>
      <c r="AF830" s="1939"/>
      <c r="AG830" s="1939"/>
      <c r="AH830" s="741"/>
      <c r="AI830" s="741"/>
      <c r="AJ830" s="738"/>
      <c r="AK830" s="738"/>
      <c r="AL830" s="738"/>
      <c r="AM830" s="738"/>
      <c r="AN830" s="738"/>
      <c r="AO830" s="738"/>
      <c r="AP830" s="1942"/>
      <c r="AQ830" s="1942"/>
      <c r="AR830" s="1942"/>
      <c r="AS830" s="1942"/>
      <c r="AT830" s="1942"/>
      <c r="AU830" s="1942"/>
      <c r="AV830" s="1942"/>
      <c r="AW830" s="1942"/>
      <c r="AX830" s="1942"/>
      <c r="AY830" s="1942"/>
      <c r="AZ830" s="1942"/>
      <c r="BA830" s="1942"/>
      <c r="BB830" s="734"/>
      <c r="BC830" s="3130" t="str">
        <f t="shared" si="85"/>
        <v>Heating RES 6 Year EUL</v>
      </c>
      <c r="BD830" s="673">
        <f>(INDEX('Avoided Cost Benefits'!$C$4:$C$857,MATCH(BC830,'Avoided Cost Benefits'!$A$4:$A$857,0)))*F830</f>
        <v>281.51113921466668</v>
      </c>
      <c r="BE830" s="1949">
        <f t="shared" si="86"/>
        <v>0</v>
      </c>
    </row>
    <row r="831" spans="1:57" s="51" customFormat="1" x14ac:dyDescent="0.25">
      <c r="A831" s="1267" t="str">
        <f t="shared" si="82"/>
        <v>351850_2021_12_Cooling RES ER2</v>
      </c>
      <c r="B831" s="228"/>
      <c r="C831" s="2038" t="s">
        <v>1070</v>
      </c>
      <c r="D831" s="1532" t="s">
        <v>322</v>
      </c>
      <c r="E831" s="3007" t="s">
        <v>1072</v>
      </c>
      <c r="F831" s="425">
        <f>ROUND((($J$974*$J$995*(1/$J$1016-1/$J$1058))/1000)*$J$1098*$J$1117,2)</f>
        <v>352.11</v>
      </c>
      <c r="G831" s="1553" t="s">
        <v>879</v>
      </c>
      <c r="H831" s="155">
        <f>VLOOKUP(G831,'CP FACTORS'!$A$3:$B$38, 2, FALSE)</f>
        <v>9.4741810000000004E-4</v>
      </c>
      <c r="I831" s="1554">
        <f t="shared" si="87"/>
        <v>0.33359499999999997</v>
      </c>
      <c r="J831" s="2718">
        <f>J1150</f>
        <v>12</v>
      </c>
      <c r="K831" s="442">
        <f>J1184</f>
        <v>0</v>
      </c>
      <c r="L831" s="236"/>
      <c r="M831" s="1428"/>
      <c r="N831" s="1428"/>
      <c r="O831" s="1428"/>
      <c r="P831" s="1428"/>
      <c r="Q831" s="1428"/>
      <c r="R831" s="1562"/>
      <c r="S831" s="1428"/>
      <c r="T831" s="1428"/>
      <c r="U831" s="1428"/>
      <c r="V831" s="1947" t="s">
        <v>31</v>
      </c>
      <c r="W831" s="739">
        <v>342.84509433962273</v>
      </c>
      <c r="X831" s="740">
        <v>343.28687958567122</v>
      </c>
      <c r="Y831" s="112">
        <v>456.05</v>
      </c>
      <c r="Z831" s="109">
        <v>456.05</v>
      </c>
      <c r="AA831" s="109">
        <v>456.05</v>
      </c>
      <c r="AB831" s="1857">
        <v>312.22000000000003</v>
      </c>
      <c r="AC831" s="1963">
        <v>352.11</v>
      </c>
      <c r="AD831" s="1939"/>
      <c r="AE831" s="1939"/>
      <c r="AF831" s="1939"/>
      <c r="AG831" s="1939"/>
      <c r="AH831" s="741"/>
      <c r="AI831" s="741"/>
      <c r="AJ831" s="738"/>
      <c r="AK831" s="738"/>
      <c r="AL831" s="738"/>
      <c r="AM831" s="738"/>
      <c r="AN831" s="738"/>
      <c r="AO831" s="738"/>
      <c r="AP831" s="1942"/>
      <c r="AQ831" s="1942"/>
      <c r="AR831" s="1942"/>
      <c r="AS831" s="1942"/>
      <c r="AT831" s="1942"/>
      <c r="AU831" s="1942"/>
      <c r="AV831" s="1942"/>
      <c r="AW831" s="1942"/>
      <c r="AX831" s="1942"/>
      <c r="AY831" s="1942"/>
      <c r="AZ831" s="1942"/>
      <c r="BA831" s="1942"/>
      <c r="BB831" s="734"/>
      <c r="BC831" s="3130" t="str">
        <f t="shared" si="85"/>
        <v>Cooling RES ER2 12 Year EUL</v>
      </c>
      <c r="BD831" s="673">
        <f>(INDEX('Avoided Cost Benefits'!$C$4:$C$857,MATCH(BC831,'Avoided Cost Benefits'!$A$4:$A$857,0)))*F831</f>
        <v>416.30793228439046</v>
      </c>
      <c r="BE831" s="1949">
        <f t="shared" si="86"/>
        <v>0</v>
      </c>
    </row>
    <row r="832" spans="1:57" s="51" customFormat="1" x14ac:dyDescent="0.25">
      <c r="A832" s="1267" t="str">
        <f t="shared" si="82"/>
        <v>351850_2021_12_Heating RES ER2</v>
      </c>
      <c r="B832" s="228"/>
      <c r="C832" s="2038" t="s">
        <v>1070</v>
      </c>
      <c r="D832" s="1532" t="s">
        <v>322</v>
      </c>
      <c r="E832" s="3005" t="s">
        <v>1072</v>
      </c>
      <c r="F832" s="425">
        <f>ROUND((($J$862*$J$883*(1/$J$904-1/$J$946))/1000)*$J$1099*$J$1117,2)</f>
        <v>1108.68</v>
      </c>
      <c r="G832" s="88" t="s">
        <v>1036</v>
      </c>
      <c r="H832" s="155">
        <f>VLOOKUP(G832,'CP FACTORS'!$A$3:$B$38, 2, FALSE)</f>
        <v>0</v>
      </c>
      <c r="I832" s="1554">
        <f t="shared" si="87"/>
        <v>0</v>
      </c>
      <c r="J832" s="2718">
        <f>J1151</f>
        <v>12</v>
      </c>
      <c r="K832" s="442">
        <f>J1185</f>
        <v>0</v>
      </c>
      <c r="L832" s="236"/>
      <c r="M832" s="1428"/>
      <c r="N832" s="1428"/>
      <c r="O832" s="1428"/>
      <c r="P832" s="1428"/>
      <c r="Q832" s="1428"/>
      <c r="R832" s="1562"/>
      <c r="S832" s="1428"/>
      <c r="T832" s="1428"/>
      <c r="U832" s="1428"/>
      <c r="V832" s="1947" t="s">
        <v>31</v>
      </c>
      <c r="W832" s="739">
        <v>836.1443609022557</v>
      </c>
      <c r="X832" s="740">
        <v>1113.8417090014714</v>
      </c>
      <c r="Y832" s="112">
        <v>1351.43</v>
      </c>
      <c r="Z832" s="109">
        <v>1351.43</v>
      </c>
      <c r="AA832" s="109">
        <v>1351.43</v>
      </c>
      <c r="AB832" s="1857">
        <v>515</v>
      </c>
      <c r="AC832" s="1963">
        <v>1108.68</v>
      </c>
      <c r="AD832" s="1939"/>
      <c r="AE832" s="1939"/>
      <c r="AF832" s="1939"/>
      <c r="AG832" s="1939"/>
      <c r="AH832" s="741"/>
      <c r="AI832" s="741"/>
      <c r="AJ832" s="738"/>
      <c r="AK832" s="738"/>
      <c r="AL832" s="738"/>
      <c r="AM832" s="738"/>
      <c r="AN832" s="738"/>
      <c r="AO832" s="738"/>
      <c r="AP832" s="1942"/>
      <c r="AQ832" s="1942"/>
      <c r="AR832" s="1942"/>
      <c r="AS832" s="1942"/>
      <c r="AT832" s="1942"/>
      <c r="AU832" s="1942"/>
      <c r="AV832" s="1942"/>
      <c r="AW832" s="1942"/>
      <c r="AX832" s="1942"/>
      <c r="AY832" s="1942"/>
      <c r="AZ832" s="1942"/>
      <c r="BA832" s="1942"/>
      <c r="BB832" s="734"/>
      <c r="BC832" s="3116" t="str">
        <f t="shared" si="85"/>
        <v>Heating RES ER2 12 Year EUL</v>
      </c>
      <c r="BD832" s="673">
        <f>(INDEX('Avoided Cost Benefits'!$C$4:$C$857,MATCH(BC832,'Avoided Cost Benefits'!$A$4:$A$857,0)))*F832</f>
        <v>327.81738441888172</v>
      </c>
      <c r="BE832" s="1949">
        <f t="shared" si="86"/>
        <v>0</v>
      </c>
    </row>
    <row r="833" spans="1:57" s="51" customFormat="1" x14ac:dyDescent="0.25">
      <c r="A833" s="1267" t="str">
        <f t="shared" si="82"/>
        <v>351851_2021_12_Cooling RES</v>
      </c>
      <c r="B833" s="228"/>
      <c r="C833" s="3047" t="s">
        <v>1073</v>
      </c>
      <c r="D833" s="1564" t="s">
        <v>317</v>
      </c>
      <c r="E833" s="3007" t="s">
        <v>1074</v>
      </c>
      <c r="F833" s="425">
        <f>ROUND((($J$981*$J$1002*(1/$J$1044-1/$J$1065))/1000)*$J$1116*$J$1117,2)</f>
        <v>553.65</v>
      </c>
      <c r="G833" s="1566" t="s">
        <v>258</v>
      </c>
      <c r="H833" s="1567">
        <f>VLOOKUP(G833,'CP FACTORS'!$A$3:$B$38, 2, FALSE)</f>
        <v>9.4741810000000004E-4</v>
      </c>
      <c r="I833" s="1568">
        <f t="shared" si="87"/>
        <v>0.52453799999999995</v>
      </c>
      <c r="J833" s="389">
        <f t="shared" ref="J833:K836" si="89">J829</f>
        <v>6</v>
      </c>
      <c r="K833" s="1907">
        <f t="shared" si="89"/>
        <v>698.32770489042764</v>
      </c>
      <c r="L833" s="3045">
        <f>K981</f>
        <v>1.4772727272727273</v>
      </c>
      <c r="M833" s="1428"/>
      <c r="N833" s="1428"/>
      <c r="O833" s="1428"/>
      <c r="P833" s="1428"/>
      <c r="Q833" s="1428"/>
      <c r="R833" s="1562"/>
      <c r="S833" s="1428"/>
      <c r="T833" s="1428"/>
      <c r="U833" s="1428"/>
      <c r="V833" s="1947" t="s">
        <v>31</v>
      </c>
      <c r="W833" s="739"/>
      <c r="X833" s="740"/>
      <c r="Y833" s="112">
        <v>1026.8</v>
      </c>
      <c r="Z833" s="109">
        <v>1026.8</v>
      </c>
      <c r="AA833" s="109">
        <v>1026.8</v>
      </c>
      <c r="AB833" s="1857">
        <v>511.64</v>
      </c>
      <c r="AC833" s="1963">
        <v>553.65</v>
      </c>
      <c r="AD833" s="1939"/>
      <c r="AE833" s="1939"/>
      <c r="AF833" s="1939"/>
      <c r="AG833" s="1939"/>
      <c r="AH833" s="741"/>
      <c r="AI833" s="741"/>
      <c r="AJ833" s="738"/>
      <c r="AK833" s="738"/>
      <c r="AL833" s="738"/>
      <c r="AM833" s="738"/>
      <c r="AN833" s="738"/>
      <c r="AO833" s="738"/>
      <c r="AP833" s="1942"/>
      <c r="AQ833" s="1942"/>
      <c r="AR833" s="1942"/>
      <c r="AS833" s="1942"/>
      <c r="AT833" s="1942"/>
      <c r="AU833" s="1942"/>
      <c r="AV833" s="1942"/>
      <c r="AW833" s="1942"/>
      <c r="AX833" s="1942"/>
      <c r="AY833" s="1942"/>
      <c r="AZ833" s="1942"/>
      <c r="BA833" s="1942"/>
      <c r="BB833" s="244">
        <f>(BD833+BD834+BD835+BD836)/(BE833+BE834+BE835+BE836)</f>
        <v>1.2545963725330866</v>
      </c>
      <c r="BC833" s="3115" t="str">
        <f t="shared" si="85"/>
        <v>Cooling RES 6 Year EUL</v>
      </c>
      <c r="BD833" s="673">
        <f>(INDEX('Avoided Cost Benefits'!$C$4:$C$857,MATCH(BC833,'Avoided Cost Benefits'!$A$4:$A$857,0)))*F833</f>
        <v>321.9387068089668</v>
      </c>
      <c r="BE833" s="1949">
        <f t="shared" si="86"/>
        <v>659.11062283192791</v>
      </c>
    </row>
    <row r="834" spans="1:57" s="51" customFormat="1" x14ac:dyDescent="0.25">
      <c r="A834" s="1267" t="str">
        <f t="shared" si="82"/>
        <v>351851_2021_12_Heating RES</v>
      </c>
      <c r="B834" s="228"/>
      <c r="C834" s="3041" t="s">
        <v>1073</v>
      </c>
      <c r="D834" s="1564" t="s">
        <v>317</v>
      </c>
      <c r="E834" s="3007" t="s">
        <v>1074</v>
      </c>
      <c r="F834" s="425">
        <f xml:space="preserve"> ROUND((($J$876*$J$897*(1/$J$939-1/$J$960))/1000)*$J$1114*$J$1117,2)</f>
        <v>643.26</v>
      </c>
      <c r="G834" s="323" t="s">
        <v>259</v>
      </c>
      <c r="H834" s="155">
        <f>VLOOKUP(G834,'CP FACTORS'!$A$3:$B$38, 2, FALSE)</f>
        <v>0</v>
      </c>
      <c r="I834" s="1554">
        <f t="shared" si="87"/>
        <v>0</v>
      </c>
      <c r="J834" s="389">
        <f t="shared" si="89"/>
        <v>6</v>
      </c>
      <c r="K834" s="1565">
        <f t="shared" si="89"/>
        <v>0</v>
      </c>
      <c r="L834" s="236"/>
      <c r="M834" s="1428"/>
      <c r="N834" s="1428"/>
      <c r="O834" s="1428"/>
      <c r="P834" s="1428"/>
      <c r="Q834" s="1428"/>
      <c r="R834" s="1562"/>
      <c r="S834" s="1428"/>
      <c r="T834" s="1428"/>
      <c r="U834" s="1428"/>
      <c r="V834" s="1947" t="s">
        <v>31</v>
      </c>
      <c r="W834" s="739"/>
      <c r="X834" s="740"/>
      <c r="Y834" s="112">
        <v>895</v>
      </c>
      <c r="Z834" s="109">
        <v>895</v>
      </c>
      <c r="AA834" s="109">
        <v>895</v>
      </c>
      <c r="AB834" s="1857">
        <v>388.17</v>
      </c>
      <c r="AC834" s="1963">
        <v>643.26</v>
      </c>
      <c r="AD834" s="1939"/>
      <c r="AE834" s="1939"/>
      <c r="AF834" s="1939"/>
      <c r="AG834" s="1939"/>
      <c r="AH834" s="741"/>
      <c r="AI834" s="741"/>
      <c r="AJ834" s="738"/>
      <c r="AK834" s="738"/>
      <c r="AL834" s="738"/>
      <c r="AM834" s="738"/>
      <c r="AN834" s="738"/>
      <c r="AO834" s="738"/>
      <c r="AP834" s="1942"/>
      <c r="AQ834" s="1942"/>
      <c r="AR834" s="1942"/>
      <c r="AS834" s="1942"/>
      <c r="AT834" s="1942"/>
      <c r="AU834" s="1942"/>
      <c r="AV834" s="1942"/>
      <c r="AW834" s="1942"/>
      <c r="AX834" s="1942"/>
      <c r="AY834" s="1942"/>
      <c r="AZ834" s="1942"/>
      <c r="BA834" s="1942"/>
      <c r="BB834" s="734"/>
      <c r="BC834" s="3130" t="str">
        <f t="shared" si="85"/>
        <v>Heating RES 6 Year EUL</v>
      </c>
      <c r="BD834" s="673">
        <f>(INDEX('Avoided Cost Benefits'!$C$4:$C$857,MATCH(BC834,'Avoided Cost Benefits'!$A$4:$A$857,0)))*F834</f>
        <v>106.99568992361753</v>
      </c>
      <c r="BE834" s="1949">
        <f t="shared" si="86"/>
        <v>0</v>
      </c>
    </row>
    <row r="835" spans="1:57" s="51" customFormat="1" x14ac:dyDescent="0.25">
      <c r="A835" s="1267" t="str">
        <f t="shared" si="82"/>
        <v>351851_2021_12_Cooling RES ER2</v>
      </c>
      <c r="B835" s="228"/>
      <c r="C835" s="3041" t="s">
        <v>1073</v>
      </c>
      <c r="D835" s="1564" t="s">
        <v>317</v>
      </c>
      <c r="E835" s="3007" t="s">
        <v>1075</v>
      </c>
      <c r="F835" s="425">
        <f>ROUND((($J$981*$J$1002*(1/$J$1023-1/$J$1065))/1000)*$J$1115*$J$1117,2)</f>
        <v>231.23</v>
      </c>
      <c r="G835" s="1553" t="s">
        <v>879</v>
      </c>
      <c r="H835" s="155">
        <f>VLOOKUP(G835,'CP FACTORS'!$A$3:$B$38, 2, FALSE)</f>
        <v>9.4741810000000004E-4</v>
      </c>
      <c r="I835" s="1554">
        <f t="shared" si="87"/>
        <v>0.21907099999999999</v>
      </c>
      <c r="J835" s="389">
        <f t="shared" si="89"/>
        <v>12</v>
      </c>
      <c r="K835" s="1565">
        <f t="shared" si="89"/>
        <v>0</v>
      </c>
      <c r="L835" s="236"/>
      <c r="M835" s="1428"/>
      <c r="N835" s="1428"/>
      <c r="O835" s="1428"/>
      <c r="P835" s="1428"/>
      <c r="Q835" s="1428"/>
      <c r="R835" s="1562"/>
      <c r="S835" s="1428"/>
      <c r="T835" s="1428"/>
      <c r="U835" s="1428"/>
      <c r="V835" s="1947" t="s">
        <v>31</v>
      </c>
      <c r="W835" s="739"/>
      <c r="X835" s="740"/>
      <c r="Y835" s="112">
        <v>402.19</v>
      </c>
      <c r="Z835" s="109">
        <v>402.19</v>
      </c>
      <c r="AA835" s="109">
        <v>402.19</v>
      </c>
      <c r="AB835" s="1857">
        <v>205.03</v>
      </c>
      <c r="AC835" s="1963">
        <v>231.23</v>
      </c>
      <c r="AD835" s="1939"/>
      <c r="AE835" s="1939"/>
      <c r="AF835" s="1939"/>
      <c r="AG835" s="1939"/>
      <c r="AH835" s="741"/>
      <c r="AI835" s="741"/>
      <c r="AJ835" s="738"/>
      <c r="AK835" s="738"/>
      <c r="AL835" s="738"/>
      <c r="AM835" s="738"/>
      <c r="AN835" s="738"/>
      <c r="AO835" s="738"/>
      <c r="AP835" s="1942"/>
      <c r="AQ835" s="1942"/>
      <c r="AR835" s="1942"/>
      <c r="AS835" s="1942"/>
      <c r="AT835" s="1942"/>
      <c r="AU835" s="1942"/>
      <c r="AV835" s="1942"/>
      <c r="AW835" s="1942"/>
      <c r="AX835" s="1942"/>
      <c r="AY835" s="1942"/>
      <c r="AZ835" s="1942"/>
      <c r="BA835" s="1942"/>
      <c r="BB835" s="734"/>
      <c r="BC835" s="3130" t="str">
        <f t="shared" si="85"/>
        <v>Cooling RES ER2 12 Year EUL</v>
      </c>
      <c r="BD835" s="673">
        <f>(INDEX('Avoided Cost Benefits'!$C$4:$C$857,MATCH(BC835,'Avoided Cost Benefits'!$A$4:$A$857,0)))*F835</f>
        <v>273.38866599108121</v>
      </c>
      <c r="BE835" s="1949">
        <f t="shared" si="86"/>
        <v>0</v>
      </c>
    </row>
    <row r="836" spans="1:57" s="51" customFormat="1" x14ac:dyDescent="0.25">
      <c r="A836" s="1267" t="str">
        <f t="shared" si="82"/>
        <v>351851_2021_12_Heating RES ER2</v>
      </c>
      <c r="B836" s="228"/>
      <c r="C836" s="3041" t="s">
        <v>1073</v>
      </c>
      <c r="D836" s="1564" t="s">
        <v>317</v>
      </c>
      <c r="E836" s="3005" t="s">
        <v>1075</v>
      </c>
      <c r="F836" s="425">
        <f>ROUND((($J$876*$J$897*(1/$J$918-1/$J$960))/1000)*$J$1116*$J$1117,2)</f>
        <v>421.38</v>
      </c>
      <c r="G836" s="88" t="s">
        <v>1036</v>
      </c>
      <c r="H836" s="155">
        <f>VLOOKUP(G836,'CP FACTORS'!$A$3:$B$38, 2, FALSE)</f>
        <v>0</v>
      </c>
      <c r="I836" s="1554">
        <f t="shared" si="87"/>
        <v>0</v>
      </c>
      <c r="J836" s="389">
        <f t="shared" si="89"/>
        <v>12</v>
      </c>
      <c r="K836" s="1565">
        <f t="shared" si="89"/>
        <v>0</v>
      </c>
      <c r="L836" s="236"/>
      <c r="M836" s="1428"/>
      <c r="N836" s="1428"/>
      <c r="O836" s="1428"/>
      <c r="P836" s="1428"/>
      <c r="Q836" s="1428"/>
      <c r="R836" s="1562"/>
      <c r="S836" s="1428"/>
      <c r="T836" s="1428"/>
      <c r="U836" s="1428"/>
      <c r="V836" s="1947" t="s">
        <v>31</v>
      </c>
      <c r="W836" s="739"/>
      <c r="X836" s="740"/>
      <c r="Y836" s="112">
        <v>622.13</v>
      </c>
      <c r="Z836" s="109">
        <v>622.13</v>
      </c>
      <c r="AA836" s="109">
        <v>622.13</v>
      </c>
      <c r="AB836" s="1857">
        <v>195.74</v>
      </c>
      <c r="AC836" s="1963">
        <v>421.38</v>
      </c>
      <c r="AD836" s="1939"/>
      <c r="AE836" s="1939"/>
      <c r="AF836" s="1939"/>
      <c r="AG836" s="1939"/>
      <c r="AH836" s="741"/>
      <c r="AI836" s="741"/>
      <c r="AJ836" s="738"/>
      <c r="AK836" s="738"/>
      <c r="AL836" s="738"/>
      <c r="AM836" s="738"/>
      <c r="AN836" s="738"/>
      <c r="AO836" s="738"/>
      <c r="AP836" s="1942"/>
      <c r="AQ836" s="1942"/>
      <c r="AR836" s="1942"/>
      <c r="AS836" s="1942"/>
      <c r="AT836" s="1942"/>
      <c r="AU836" s="1942"/>
      <c r="AV836" s="1942"/>
      <c r="AW836" s="1942"/>
      <c r="AX836" s="1942"/>
      <c r="AY836" s="1942"/>
      <c r="AZ836" s="1942"/>
      <c r="BA836" s="1942"/>
      <c r="BB836" s="744"/>
      <c r="BC836" s="3116" t="str">
        <f t="shared" si="85"/>
        <v>Heating RES ER2 12 Year EUL</v>
      </c>
      <c r="BD836" s="677">
        <f>(INDEX('Avoided Cost Benefits'!$C$4:$C$857,MATCH(BC836,'Avoided Cost Benefits'!$A$4:$A$857,0)))*F836</f>
        <v>124.59473377929463</v>
      </c>
      <c r="BE836" s="1950">
        <f t="shared" si="86"/>
        <v>0</v>
      </c>
    </row>
    <row r="837" spans="1:57" s="51" customFormat="1" hidden="1" outlineLevel="1" x14ac:dyDescent="0.25">
      <c r="A837" s="1267"/>
      <c r="B837" s="228"/>
      <c r="C837" s="328"/>
      <c r="D837" s="329" t="s">
        <v>1076</v>
      </c>
      <c r="E837" s="123"/>
      <c r="F837" s="123"/>
      <c r="G837" s="123"/>
      <c r="H837" s="123"/>
      <c r="I837" s="123"/>
      <c r="J837" s="123"/>
      <c r="K837" s="123"/>
      <c r="L837" s="123"/>
      <c r="M837" s="123"/>
      <c r="N837" s="1556"/>
      <c r="O837" s="123"/>
      <c r="P837" s="123"/>
      <c r="Q837" s="123"/>
      <c r="R837" s="123"/>
      <c r="S837" s="123"/>
      <c r="T837" s="123"/>
      <c r="U837" s="123"/>
      <c r="V837" s="123"/>
      <c r="W837" s="1942"/>
      <c r="X837" s="1942"/>
      <c r="Y837" s="1942"/>
      <c r="Z837" s="1942"/>
      <c r="AA837" s="1942"/>
      <c r="AB837" s="1942"/>
      <c r="AC837" s="1942"/>
      <c r="AD837" s="1942"/>
      <c r="AE837" s="1942"/>
      <c r="AF837" s="1942"/>
      <c r="AG837" s="1942"/>
      <c r="AH837" s="1942"/>
      <c r="AI837" s="1942"/>
      <c r="AJ837" s="1942"/>
      <c r="AK837" s="1942"/>
      <c r="AL837" s="1942"/>
      <c r="AM837" s="1942"/>
      <c r="AN837" s="1942"/>
      <c r="AO837" s="1942"/>
      <c r="AP837" s="1942"/>
      <c r="AQ837" s="1942"/>
      <c r="AR837" s="1942"/>
      <c r="AS837" s="1942"/>
      <c r="AT837" s="1942"/>
      <c r="AU837" s="1942"/>
      <c r="AV837" s="1942"/>
      <c r="AW837" s="1942"/>
      <c r="AX837" s="1942"/>
      <c r="AY837" s="1942"/>
      <c r="AZ837" s="1942"/>
      <c r="BA837" s="1942"/>
      <c r="BB837" s="575"/>
      <c r="BC837" s="584"/>
      <c r="BD837" s="678"/>
      <c r="BE837" s="1942"/>
    </row>
    <row r="838" spans="1:57" s="51" customFormat="1" hidden="1" outlineLevel="1" x14ac:dyDescent="0.25">
      <c r="A838" s="1267"/>
      <c r="B838" s="228"/>
      <c r="C838" s="328"/>
      <c r="D838" s="828"/>
      <c r="E838" s="123"/>
      <c r="F838" s="123"/>
      <c r="G838" s="123"/>
      <c r="H838" s="123"/>
      <c r="I838" s="123"/>
      <c r="J838" s="123"/>
      <c r="K838" s="123"/>
      <c r="L838" s="123"/>
      <c r="M838" s="123"/>
      <c r="N838" s="1556"/>
      <c r="O838" s="123"/>
      <c r="P838" s="123"/>
      <c r="Q838" s="123"/>
      <c r="R838" s="123"/>
      <c r="S838" s="123"/>
      <c r="T838" s="123"/>
      <c r="U838" s="123"/>
      <c r="V838" s="123"/>
      <c r="W838" s="1942"/>
      <c r="X838" s="1942"/>
      <c r="Y838" s="1942"/>
      <c r="Z838" s="1942"/>
      <c r="AA838" s="1942"/>
      <c r="AB838" s="1942"/>
      <c r="AC838" s="1942"/>
      <c r="AD838" s="1942"/>
      <c r="AE838" s="1942"/>
      <c r="AF838" s="1942"/>
      <c r="AG838" s="1942"/>
      <c r="AH838" s="1942"/>
      <c r="AI838" s="1942"/>
      <c r="AJ838" s="1942"/>
      <c r="AK838" s="1942"/>
      <c r="AL838" s="1942"/>
      <c r="AM838" s="1942"/>
      <c r="AN838" s="1942"/>
      <c r="AO838" s="1942"/>
      <c r="AP838" s="1942"/>
      <c r="AQ838" s="1942"/>
      <c r="AR838" s="1942"/>
      <c r="AS838" s="1942"/>
      <c r="AT838" s="1942"/>
      <c r="AU838" s="1942"/>
      <c r="AV838" s="1942"/>
      <c r="AW838" s="1942"/>
      <c r="AX838" s="1942"/>
      <c r="AY838" s="1942"/>
      <c r="AZ838" s="1942"/>
      <c r="BA838" s="1942"/>
      <c r="BB838" s="575"/>
      <c r="BC838" s="576"/>
      <c r="BD838" s="678"/>
      <c r="BE838" s="1942"/>
    </row>
    <row r="839" spans="1:57" s="51" customFormat="1" hidden="1" outlineLevel="1" x14ac:dyDescent="0.25">
      <c r="A839" s="1267"/>
      <c r="B839" s="228"/>
      <c r="C839" s="328"/>
      <c r="D839" s="174" t="s">
        <v>108</v>
      </c>
      <c r="E839" s="353"/>
      <c r="F839" s="353"/>
      <c r="G839" s="353"/>
      <c r="H839" s="353"/>
      <c r="I839" s="353"/>
      <c r="J839" s="123"/>
      <c r="K839" s="123"/>
      <c r="L839" s="123"/>
      <c r="M839" s="123"/>
      <c r="N839" s="1556"/>
      <c r="O839" s="123"/>
      <c r="P839" s="123"/>
      <c r="Q839" s="123"/>
      <c r="R839" s="123"/>
      <c r="S839" s="123"/>
      <c r="T839" s="123"/>
      <c r="U839" s="123"/>
      <c r="V839" s="123"/>
      <c r="W839" s="1942"/>
      <c r="X839" s="1942"/>
      <c r="Y839" s="1942"/>
      <c r="Z839" s="1942"/>
      <c r="AA839" s="1942"/>
      <c r="AB839" s="1942"/>
      <c r="AC839" s="1942"/>
      <c r="AD839" s="1942"/>
      <c r="AE839" s="1942"/>
      <c r="AF839" s="1942"/>
      <c r="AG839" s="1942"/>
      <c r="AH839" s="1942"/>
      <c r="AI839" s="1942"/>
      <c r="AJ839" s="1942"/>
      <c r="AK839" s="1942"/>
      <c r="AL839" s="1942"/>
      <c r="AM839" s="1942"/>
      <c r="AN839" s="1942"/>
      <c r="AO839" s="1942"/>
      <c r="AP839" s="1942"/>
      <c r="AQ839" s="1942"/>
      <c r="AR839" s="1942"/>
      <c r="AS839" s="1942"/>
      <c r="AT839" s="1942"/>
      <c r="AU839" s="1942"/>
      <c r="AV839" s="1942"/>
      <c r="AW839" s="1942"/>
      <c r="AX839" s="1942"/>
      <c r="AY839" s="1942"/>
      <c r="AZ839" s="1942"/>
      <c r="BA839" s="1942"/>
      <c r="BB839" s="575"/>
      <c r="BC839" s="576"/>
      <c r="BD839" s="678"/>
      <c r="BE839" s="1942"/>
    </row>
    <row r="840" spans="1:57" s="51" customFormat="1" hidden="1" outlineLevel="1" x14ac:dyDescent="0.25">
      <c r="A840" s="1267"/>
      <c r="B840" s="228"/>
      <c r="C840" s="328"/>
      <c r="D840" s="329"/>
      <c r="E840" s="353"/>
      <c r="F840" s="353"/>
      <c r="G840" s="353"/>
      <c r="H840" s="353"/>
      <c r="I840" s="353"/>
      <c r="J840" s="123"/>
      <c r="K840" s="123"/>
      <c r="L840" s="123"/>
      <c r="M840" s="123"/>
      <c r="N840" s="1556"/>
      <c r="O840" s="123"/>
      <c r="P840" s="123"/>
      <c r="Q840" s="123"/>
      <c r="R840" s="123"/>
      <c r="S840" s="123"/>
      <c r="T840" s="123"/>
      <c r="U840" s="123"/>
      <c r="V840" s="123"/>
      <c r="W840" s="1942"/>
      <c r="X840" s="1942"/>
      <c r="Y840" s="1942"/>
      <c r="Z840" s="1942"/>
      <c r="AA840" s="1942"/>
      <c r="AB840" s="1942"/>
      <c r="AC840" s="1942"/>
      <c r="AD840" s="1942"/>
      <c r="AE840" s="1942"/>
      <c r="AF840" s="1942"/>
      <c r="AG840" s="1942"/>
      <c r="AH840" s="1942"/>
      <c r="AI840" s="1942"/>
      <c r="AJ840" s="1942"/>
      <c r="AK840" s="1942"/>
      <c r="AL840" s="1942"/>
      <c r="AM840" s="1942"/>
      <c r="AN840" s="1942"/>
      <c r="AO840" s="1942"/>
      <c r="AP840" s="1942"/>
      <c r="AQ840" s="1942"/>
      <c r="AR840" s="1942"/>
      <c r="AS840" s="1942"/>
      <c r="AT840" s="1942"/>
      <c r="AU840" s="1942"/>
      <c r="AV840" s="1942"/>
      <c r="AW840" s="1942"/>
      <c r="AX840" s="1942"/>
      <c r="AY840" s="1942"/>
      <c r="AZ840" s="1942"/>
      <c r="BA840" s="1942"/>
      <c r="BB840" s="575"/>
      <c r="BC840" s="576"/>
      <c r="BD840" s="678"/>
      <c r="BE840" s="1942"/>
    </row>
    <row r="841" spans="1:57" s="51" customFormat="1" hidden="1" outlineLevel="1" x14ac:dyDescent="0.25">
      <c r="A841" s="1267"/>
      <c r="B841" s="228"/>
      <c r="C841" s="328"/>
      <c r="D841" s="329"/>
      <c r="E841" s="353"/>
      <c r="F841" s="353"/>
      <c r="G841" s="353"/>
      <c r="H841" s="353"/>
      <c r="I841" s="353"/>
      <c r="J841" s="123"/>
      <c r="K841" s="123"/>
      <c r="L841" s="123"/>
      <c r="M841" s="123"/>
      <c r="N841" s="1556"/>
      <c r="O841" s="123"/>
      <c r="P841" s="123"/>
      <c r="Q841" s="123"/>
      <c r="R841" s="123"/>
      <c r="S841" s="123"/>
      <c r="T841" s="123"/>
      <c r="U841" s="123"/>
      <c r="V841" s="123"/>
      <c r="W841" s="1942"/>
      <c r="X841" s="1942"/>
      <c r="Y841" s="1942"/>
      <c r="Z841" s="1942"/>
      <c r="AA841" s="1942"/>
      <c r="AB841" s="1942"/>
      <c r="AC841" s="1942"/>
      <c r="AD841" s="1942"/>
      <c r="AE841" s="1942"/>
      <c r="AF841" s="1942"/>
      <c r="AG841" s="1942"/>
      <c r="AH841" s="1942"/>
      <c r="AI841" s="1942"/>
      <c r="AJ841" s="1942"/>
      <c r="AK841" s="1942"/>
      <c r="AL841" s="1942"/>
      <c r="AM841" s="1942"/>
      <c r="AN841" s="1942"/>
      <c r="AO841" s="1942"/>
      <c r="AP841" s="1942"/>
      <c r="AQ841" s="1942"/>
      <c r="AR841" s="1942"/>
      <c r="AS841" s="1942"/>
      <c r="AT841" s="1942"/>
      <c r="AU841" s="1942"/>
      <c r="AV841" s="1942"/>
      <c r="AW841" s="1942"/>
      <c r="AX841" s="1942"/>
      <c r="AY841" s="1942"/>
      <c r="AZ841" s="1942"/>
      <c r="BA841" s="1942"/>
      <c r="BB841" s="575"/>
      <c r="BC841" s="576"/>
      <c r="BD841" s="678"/>
      <c r="BE841" s="1942"/>
    </row>
    <row r="842" spans="1:57" s="51" customFormat="1" hidden="1" outlineLevel="1" x14ac:dyDescent="0.25">
      <c r="A842" s="1267"/>
      <c r="B842" s="228"/>
      <c r="C842" s="328"/>
      <c r="D842" s="329"/>
      <c r="E842" s="353"/>
      <c r="F842" s="353"/>
      <c r="G842" s="353"/>
      <c r="H842" s="353"/>
      <c r="I842" s="353"/>
      <c r="J842" s="123"/>
      <c r="K842" s="123"/>
      <c r="L842" s="123"/>
      <c r="M842" s="123"/>
      <c r="N842" s="1556"/>
      <c r="O842" s="123"/>
      <c r="P842" s="123"/>
      <c r="Q842" s="123"/>
      <c r="R842" s="123"/>
      <c r="S842" s="123"/>
      <c r="T842" s="123"/>
      <c r="U842" s="123"/>
      <c r="V842" s="123"/>
      <c r="W842" s="1942"/>
      <c r="X842" s="1942"/>
      <c r="Y842" s="1942"/>
      <c r="Z842" s="1942"/>
      <c r="AA842" s="1942"/>
      <c r="AB842" s="1942"/>
      <c r="AC842" s="1942"/>
      <c r="AD842" s="1942"/>
      <c r="AE842" s="1942"/>
      <c r="AF842" s="1942"/>
      <c r="AG842" s="1942"/>
      <c r="AH842" s="1942"/>
      <c r="AI842" s="1942"/>
      <c r="AJ842" s="1942"/>
      <c r="AK842" s="1942"/>
      <c r="AL842" s="1942"/>
      <c r="AM842" s="1942"/>
      <c r="AN842" s="1942"/>
      <c r="AO842" s="1942"/>
      <c r="AP842" s="1942"/>
      <c r="AQ842" s="1942"/>
      <c r="AR842" s="1942"/>
      <c r="AS842" s="1942"/>
      <c r="AT842" s="1942"/>
      <c r="AU842" s="1942"/>
      <c r="AV842" s="1942"/>
      <c r="AW842" s="1942"/>
      <c r="AX842" s="1942"/>
      <c r="AY842" s="1942"/>
      <c r="AZ842" s="1942"/>
      <c r="BA842" s="1942"/>
      <c r="BB842" s="575"/>
      <c r="BC842" s="576"/>
      <c r="BD842" s="678"/>
      <c r="BE842" s="1942"/>
    </row>
    <row r="843" spans="1:57" s="51" customFormat="1" hidden="1" outlineLevel="1" x14ac:dyDescent="0.25">
      <c r="A843" s="1267"/>
      <c r="B843" s="228"/>
      <c r="C843" s="328"/>
      <c r="D843" s="329"/>
      <c r="E843" s="353"/>
      <c r="F843" s="353"/>
      <c r="G843" s="353"/>
      <c r="H843" s="353"/>
      <c r="I843" s="353"/>
      <c r="J843" s="123"/>
      <c r="K843" s="123"/>
      <c r="L843" s="123"/>
      <c r="M843" s="123"/>
      <c r="N843" s="1556"/>
      <c r="O843" s="123"/>
      <c r="P843" s="123"/>
      <c r="Q843" s="123"/>
      <c r="R843" s="123"/>
      <c r="S843" s="123"/>
      <c r="T843" s="123"/>
      <c r="U843" s="123"/>
      <c r="V843" s="123"/>
      <c r="W843" s="1942"/>
      <c r="X843" s="1942"/>
      <c r="Y843" s="1942"/>
      <c r="Z843" s="1942"/>
      <c r="AA843" s="1942"/>
      <c r="AB843" s="1942"/>
      <c r="AC843" s="1942"/>
      <c r="AD843" s="1942"/>
      <c r="AE843" s="1942"/>
      <c r="AF843" s="1942"/>
      <c r="AG843" s="1942"/>
      <c r="AH843" s="1942"/>
      <c r="AI843" s="1942"/>
      <c r="AJ843" s="1942"/>
      <c r="AK843" s="1942"/>
      <c r="AL843" s="1942"/>
      <c r="AM843" s="1942"/>
      <c r="AN843" s="1942"/>
      <c r="AO843" s="1942"/>
      <c r="AP843" s="1942"/>
      <c r="AQ843" s="1942"/>
      <c r="AR843" s="1942"/>
      <c r="AS843" s="1942"/>
      <c r="AT843" s="1942"/>
      <c r="AU843" s="1942"/>
      <c r="AV843" s="1942"/>
      <c r="AW843" s="1942"/>
      <c r="AX843" s="1942"/>
      <c r="AY843" s="1942"/>
      <c r="AZ843" s="1942"/>
      <c r="BA843" s="1942"/>
      <c r="BB843" s="575"/>
      <c r="BC843" s="576"/>
      <c r="BD843" s="678"/>
      <c r="BE843" s="1942"/>
    </row>
    <row r="844" spans="1:57" s="51" customFormat="1" hidden="1" outlineLevel="1" x14ac:dyDescent="0.25">
      <c r="A844" s="1267"/>
      <c r="B844" s="228"/>
      <c r="C844" s="328"/>
      <c r="D844" s="329"/>
      <c r="E844" s="353"/>
      <c r="F844" s="353"/>
      <c r="G844" s="353"/>
      <c r="H844" s="353"/>
      <c r="I844" s="353"/>
      <c r="J844" s="123"/>
      <c r="K844" s="123"/>
      <c r="L844" s="123"/>
      <c r="M844" s="123"/>
      <c r="N844" s="1556"/>
      <c r="O844" s="123"/>
      <c r="P844" s="123"/>
      <c r="Q844" s="123"/>
      <c r="R844" s="123"/>
      <c r="S844" s="123"/>
      <c r="T844" s="123"/>
      <c r="U844" s="123"/>
      <c r="V844" s="123"/>
      <c r="W844" s="1942"/>
      <c r="X844" s="1942"/>
      <c r="Y844" s="1942"/>
      <c r="Z844" s="1942"/>
      <c r="AA844" s="1942"/>
      <c r="AB844" s="1942"/>
      <c r="AC844" s="1942"/>
      <c r="AD844" s="1942"/>
      <c r="AE844" s="1942"/>
      <c r="AF844" s="1942"/>
      <c r="AG844" s="1942"/>
      <c r="AH844" s="1942"/>
      <c r="AI844" s="1942"/>
      <c r="AJ844" s="1942"/>
      <c r="AK844" s="1942"/>
      <c r="AL844" s="1942"/>
      <c r="AM844" s="1942"/>
      <c r="AN844" s="1942"/>
      <c r="AO844" s="1942"/>
      <c r="AP844" s="1942"/>
      <c r="AQ844" s="1942"/>
      <c r="AR844" s="1942"/>
      <c r="AS844" s="1942"/>
      <c r="AT844" s="1942"/>
      <c r="AU844" s="1942"/>
      <c r="AV844" s="1942"/>
      <c r="AW844" s="1942"/>
      <c r="AX844" s="1942"/>
      <c r="AY844" s="1942"/>
      <c r="AZ844" s="1942"/>
      <c r="BA844" s="1942"/>
      <c r="BB844" s="575"/>
      <c r="BC844" s="576"/>
      <c r="BD844" s="678"/>
      <c r="BE844" s="1942"/>
    </row>
    <row r="845" spans="1:57" s="51" customFormat="1" hidden="1" outlineLevel="1" x14ac:dyDescent="0.25">
      <c r="A845" s="1267"/>
      <c r="B845" s="228"/>
      <c r="C845" s="328"/>
      <c r="D845" s="329" t="s">
        <v>973</v>
      </c>
      <c r="E845" s="353"/>
      <c r="F845" s="353"/>
      <c r="G845" s="353"/>
      <c r="H845" s="353"/>
      <c r="I845" s="353"/>
      <c r="J845" s="123"/>
      <c r="K845" s="123"/>
      <c r="L845" s="123"/>
      <c r="M845" s="123"/>
      <c r="N845" s="1556"/>
      <c r="O845" s="123"/>
      <c r="P845" s="123"/>
      <c r="Q845" s="123"/>
      <c r="R845" s="123"/>
      <c r="S845" s="123"/>
      <c r="T845" s="123"/>
      <c r="U845" s="123"/>
      <c r="V845" s="123"/>
      <c r="W845" s="1942"/>
      <c r="X845" s="1942"/>
      <c r="Y845" s="1942"/>
      <c r="Z845" s="1942"/>
      <c r="AA845" s="1942"/>
      <c r="AB845" s="1942"/>
      <c r="AC845" s="1942"/>
      <c r="AD845" s="1942"/>
      <c r="AE845" s="1942"/>
      <c r="AF845" s="1942"/>
      <c r="AG845" s="1942"/>
      <c r="AH845" s="1942"/>
      <c r="AI845" s="1942"/>
      <c r="AJ845" s="1942"/>
      <c r="AK845" s="1942"/>
      <c r="AL845" s="1942"/>
      <c r="AM845" s="1942"/>
      <c r="AN845" s="1942"/>
      <c r="AO845" s="1942"/>
      <c r="AP845" s="1942"/>
      <c r="AQ845" s="1942"/>
      <c r="AR845" s="1942"/>
      <c r="AS845" s="1942"/>
      <c r="AT845" s="1942"/>
      <c r="AU845" s="1942"/>
      <c r="AV845" s="1942"/>
      <c r="AW845" s="1942"/>
      <c r="AX845" s="1942"/>
      <c r="AY845" s="1942"/>
      <c r="AZ845" s="1942"/>
      <c r="BA845" s="1942"/>
      <c r="BB845" s="575"/>
      <c r="BC845" s="576"/>
      <c r="BD845" s="678"/>
      <c r="BE845" s="1942"/>
    </row>
    <row r="846" spans="1:57" s="51" customFormat="1" hidden="1" outlineLevel="1" x14ac:dyDescent="0.25">
      <c r="A846" s="1267"/>
      <c r="B846" s="228"/>
      <c r="C846" s="328"/>
      <c r="D846" s="329"/>
      <c r="E846" s="353"/>
      <c r="F846" s="353"/>
      <c r="G846" s="353"/>
      <c r="H846" s="353"/>
      <c r="I846" s="353"/>
      <c r="J846" s="123"/>
      <c r="K846" s="123"/>
      <c r="L846" s="123"/>
      <c r="M846" s="123"/>
      <c r="N846" s="1556"/>
      <c r="O846" s="123"/>
      <c r="P846" s="123"/>
      <c r="Q846" s="123"/>
      <c r="R846" s="123"/>
      <c r="S846" s="123"/>
      <c r="T846" s="123"/>
      <c r="U846" s="123"/>
      <c r="V846" s="123"/>
      <c r="W846" s="1942"/>
      <c r="X846" s="1942"/>
      <c r="Y846" s="1942"/>
      <c r="Z846" s="1942"/>
      <c r="AA846" s="1942"/>
      <c r="AB846" s="1942"/>
      <c r="AC846" s="1942"/>
      <c r="AD846" s="1942"/>
      <c r="AE846" s="1942"/>
      <c r="AF846" s="1942"/>
      <c r="AG846" s="1942"/>
      <c r="AH846" s="1942"/>
      <c r="AI846" s="1942"/>
      <c r="AJ846" s="1942"/>
      <c r="AK846" s="1942"/>
      <c r="AL846" s="1942"/>
      <c r="AM846" s="1942"/>
      <c r="AN846" s="1942"/>
      <c r="AO846" s="1942"/>
      <c r="AP846" s="1942"/>
      <c r="AQ846" s="1942"/>
      <c r="AR846" s="1942"/>
      <c r="AS846" s="1942"/>
      <c r="AT846" s="1942"/>
      <c r="AU846" s="1942"/>
      <c r="AV846" s="1942"/>
      <c r="AW846" s="1942"/>
      <c r="AX846" s="1942"/>
      <c r="AY846" s="1942"/>
      <c r="AZ846" s="1942"/>
      <c r="BA846" s="1942"/>
      <c r="BB846" s="575"/>
      <c r="BC846" s="576"/>
      <c r="BD846" s="678"/>
      <c r="BE846" s="1942"/>
    </row>
    <row r="847" spans="1:57" s="51" customFormat="1" hidden="1" outlineLevel="1" x14ac:dyDescent="0.25">
      <c r="A847" s="1267"/>
      <c r="B847" s="228"/>
      <c r="C847" s="328"/>
      <c r="D847" s="329"/>
      <c r="E847" s="353"/>
      <c r="F847" s="353"/>
      <c r="G847" s="353"/>
      <c r="H847" s="353"/>
      <c r="I847" s="353"/>
      <c r="J847" s="123"/>
      <c r="K847" s="123"/>
      <c r="L847" s="123"/>
      <c r="M847" s="123"/>
      <c r="N847" s="1556"/>
      <c r="O847" s="123"/>
      <c r="P847" s="123"/>
      <c r="Q847" s="123"/>
      <c r="R847" s="123"/>
      <c r="S847" s="123"/>
      <c r="T847" s="123"/>
      <c r="U847" s="123"/>
      <c r="V847" s="123"/>
      <c r="W847" s="1942"/>
      <c r="X847" s="1942"/>
      <c r="Y847" s="1942"/>
      <c r="Z847" s="1942"/>
      <c r="AA847" s="1942"/>
      <c r="AB847" s="1942"/>
      <c r="AC847" s="1942"/>
      <c r="AD847" s="1942"/>
      <c r="AE847" s="1942"/>
      <c r="AF847" s="1942"/>
      <c r="AG847" s="1942"/>
      <c r="AH847" s="1942"/>
      <c r="AI847" s="1942"/>
      <c r="AJ847" s="1942"/>
      <c r="AK847" s="1942"/>
      <c r="AL847" s="1942"/>
      <c r="AM847" s="1942"/>
      <c r="AN847" s="1942"/>
      <c r="AO847" s="1942"/>
      <c r="AP847" s="1942"/>
      <c r="AQ847" s="1942"/>
      <c r="AR847" s="1942"/>
      <c r="AS847" s="1942"/>
      <c r="AT847" s="1942"/>
      <c r="AU847" s="1942"/>
      <c r="AV847" s="1942"/>
      <c r="AW847" s="1942"/>
      <c r="AX847" s="1942"/>
      <c r="AY847" s="1942"/>
      <c r="AZ847" s="1942"/>
      <c r="BA847" s="1942"/>
      <c r="BB847" s="575"/>
      <c r="BC847" s="576"/>
      <c r="BD847" s="678"/>
      <c r="BE847" s="1942"/>
    </row>
    <row r="848" spans="1:57" s="51" customFormat="1" hidden="1" outlineLevel="1" x14ac:dyDescent="0.25">
      <c r="A848" s="1267"/>
      <c r="B848" s="228"/>
      <c r="C848" s="328"/>
      <c r="D848" s="329"/>
      <c r="E848" s="353"/>
      <c r="F848" s="353"/>
      <c r="G848" s="353"/>
      <c r="H848" s="353"/>
      <c r="I848" s="353"/>
      <c r="J848" s="123"/>
      <c r="K848" s="123"/>
      <c r="L848" s="123"/>
      <c r="M848" s="123"/>
      <c r="N848" s="1556"/>
      <c r="O848" s="123"/>
      <c r="P848" s="123"/>
      <c r="Q848" s="123"/>
      <c r="R848" s="123"/>
      <c r="S848" s="123"/>
      <c r="T848" s="123"/>
      <c r="U848" s="123"/>
      <c r="V848" s="123"/>
      <c r="W848" s="1942"/>
      <c r="X848" s="1942"/>
      <c r="Y848" s="1942"/>
      <c r="Z848" s="1942"/>
      <c r="AA848" s="1942"/>
      <c r="AB848" s="1942"/>
      <c r="AC848" s="1942"/>
      <c r="AD848" s="1942"/>
      <c r="AE848" s="1942"/>
      <c r="AF848" s="1942"/>
      <c r="AG848" s="1942"/>
      <c r="AH848" s="1942"/>
      <c r="AI848" s="1942"/>
      <c r="AJ848" s="1942"/>
      <c r="AK848" s="1942"/>
      <c r="AL848" s="1942"/>
      <c r="AM848" s="1942"/>
      <c r="AN848" s="1942"/>
      <c r="AO848" s="1942"/>
      <c r="AP848" s="1942"/>
      <c r="AQ848" s="1942"/>
      <c r="AR848" s="1942"/>
      <c r="AS848" s="1942"/>
      <c r="AT848" s="1942"/>
      <c r="AU848" s="1942"/>
      <c r="AV848" s="1942"/>
      <c r="AW848" s="1942"/>
      <c r="AX848" s="1942"/>
      <c r="AY848" s="1942"/>
      <c r="AZ848" s="1942"/>
      <c r="BA848" s="1942"/>
      <c r="BB848" s="575"/>
      <c r="BC848" s="576"/>
      <c r="BD848" s="678"/>
      <c r="BE848" s="1942"/>
    </row>
    <row r="849" spans="1:57" s="51" customFormat="1" hidden="1" outlineLevel="1" x14ac:dyDescent="0.25">
      <c r="A849" s="1267"/>
      <c r="B849" s="228"/>
      <c r="C849" s="328"/>
      <c r="D849" s="329"/>
      <c r="E849" s="353"/>
      <c r="F849" s="353"/>
      <c r="G849" s="353"/>
      <c r="H849" s="353"/>
      <c r="I849" s="353"/>
      <c r="J849" s="123"/>
      <c r="K849" s="123"/>
      <c r="L849" s="123"/>
      <c r="M849" s="123"/>
      <c r="N849" s="1556"/>
      <c r="O849" s="123"/>
      <c r="P849" s="123"/>
      <c r="Q849" s="123"/>
      <c r="R849" s="123"/>
      <c r="S849" s="123"/>
      <c r="T849" s="123"/>
      <c r="U849" s="123"/>
      <c r="V849" s="123"/>
      <c r="W849" s="1942"/>
      <c r="X849" s="1942"/>
      <c r="Y849" s="1942"/>
      <c r="Z849" s="1942"/>
      <c r="AA849" s="1942"/>
      <c r="AB849" s="1942"/>
      <c r="AC849" s="1942"/>
      <c r="AD849" s="1942"/>
      <c r="AE849" s="1942"/>
      <c r="AF849" s="1942"/>
      <c r="AG849" s="1942"/>
      <c r="AH849" s="1942"/>
      <c r="AI849" s="1942"/>
      <c r="AJ849" s="1942"/>
      <c r="AK849" s="1942"/>
      <c r="AL849" s="1942"/>
      <c r="AM849" s="1942"/>
      <c r="AN849" s="1942"/>
      <c r="AO849" s="1942"/>
      <c r="AP849" s="1942"/>
      <c r="AQ849" s="1942"/>
      <c r="AR849" s="1942"/>
      <c r="AS849" s="1942"/>
      <c r="AT849" s="1942"/>
      <c r="AU849" s="1942"/>
      <c r="AV849" s="1942"/>
      <c r="AW849" s="1942"/>
      <c r="AX849" s="1942"/>
      <c r="AY849" s="1942"/>
      <c r="AZ849" s="1942"/>
      <c r="BA849" s="1942"/>
      <c r="BB849" s="575"/>
      <c r="BC849" s="576"/>
      <c r="BD849" s="678"/>
      <c r="BE849" s="1942"/>
    </row>
    <row r="850" spans="1:57" s="51" customFormat="1" hidden="1" outlineLevel="1" x14ac:dyDescent="0.25">
      <c r="A850" s="1267"/>
      <c r="B850" s="228"/>
      <c r="C850" s="328"/>
      <c r="D850" s="329"/>
      <c r="E850" s="353"/>
      <c r="F850" s="353"/>
      <c r="G850" s="353"/>
      <c r="H850" s="353"/>
      <c r="I850" s="353"/>
      <c r="J850" s="123"/>
      <c r="K850" s="123"/>
      <c r="L850" s="123"/>
      <c r="M850" s="123"/>
      <c r="N850" s="1556"/>
      <c r="O850" s="123"/>
      <c r="P850" s="123"/>
      <c r="Q850" s="123"/>
      <c r="R850" s="123"/>
      <c r="S850" s="123"/>
      <c r="T850" s="123"/>
      <c r="U850" s="123"/>
      <c r="V850" s="123"/>
      <c r="W850" s="1942"/>
      <c r="X850" s="1942"/>
      <c r="Y850" s="1942"/>
      <c r="Z850" s="1942"/>
      <c r="AA850" s="1942"/>
      <c r="AB850" s="1942"/>
      <c r="AC850" s="1942"/>
      <c r="AD850" s="1942"/>
      <c r="AE850" s="1942"/>
      <c r="AF850" s="1942"/>
      <c r="AG850" s="1942"/>
      <c r="AH850" s="1942"/>
      <c r="AI850" s="1942"/>
      <c r="AJ850" s="1942"/>
      <c r="AK850" s="1942"/>
      <c r="AL850" s="1942"/>
      <c r="AM850" s="1942"/>
      <c r="AN850" s="1942"/>
      <c r="AO850" s="1942"/>
      <c r="AP850" s="1942"/>
      <c r="AQ850" s="1942"/>
      <c r="AR850" s="1942"/>
      <c r="AS850" s="1942"/>
      <c r="AT850" s="1942"/>
      <c r="AU850" s="1942"/>
      <c r="AV850" s="1942"/>
      <c r="AW850" s="1942"/>
      <c r="AX850" s="1942"/>
      <c r="AY850" s="1942"/>
      <c r="AZ850" s="1942"/>
      <c r="BA850" s="1942"/>
      <c r="BB850" s="575"/>
      <c r="BC850" s="576"/>
      <c r="BD850" s="678"/>
      <c r="BE850" s="1942"/>
    </row>
    <row r="851" spans="1:57" s="51" customFormat="1" hidden="1" outlineLevel="1" x14ac:dyDescent="0.25">
      <c r="A851" s="1267"/>
      <c r="B851" s="228"/>
      <c r="C851" s="328"/>
      <c r="D851" s="329" t="s">
        <v>1077</v>
      </c>
      <c r="E851" s="353"/>
      <c r="F851" s="353"/>
      <c r="G851" s="353"/>
      <c r="H851" s="353"/>
      <c r="I851" s="353"/>
      <c r="J851" s="123"/>
      <c r="K851" s="123"/>
      <c r="L851" s="123"/>
      <c r="M851" s="123"/>
      <c r="N851" s="1556"/>
      <c r="O851" s="123"/>
      <c r="P851" s="123"/>
      <c r="Q851" s="123"/>
      <c r="R851" s="123"/>
      <c r="S851" s="123"/>
      <c r="T851" s="123"/>
      <c r="U851" s="123"/>
      <c r="V851" s="123"/>
      <c r="W851" s="1942"/>
      <c r="X851" s="1942"/>
      <c r="Y851" s="1942"/>
      <c r="Z851" s="1942"/>
      <c r="AA851" s="1942"/>
      <c r="AB851" s="1942"/>
      <c r="AC851" s="1942"/>
      <c r="AD851" s="1942"/>
      <c r="AE851" s="1942"/>
      <c r="AF851" s="1942"/>
      <c r="AG851" s="1942"/>
      <c r="AH851" s="1942"/>
      <c r="AI851" s="1942"/>
      <c r="AJ851" s="1942"/>
      <c r="AK851" s="1942"/>
      <c r="AL851" s="1942"/>
      <c r="AM851" s="1942"/>
      <c r="AN851" s="1942"/>
      <c r="AO851" s="1942"/>
      <c r="AP851" s="1942"/>
      <c r="AQ851" s="1942"/>
      <c r="AR851" s="1942"/>
      <c r="AS851" s="1942"/>
      <c r="AT851" s="1942"/>
      <c r="AU851" s="1942"/>
      <c r="AV851" s="1942"/>
      <c r="AW851" s="1942"/>
      <c r="AX851" s="1942"/>
      <c r="AY851" s="1942"/>
      <c r="AZ851" s="1942"/>
      <c r="BA851" s="1942"/>
      <c r="BB851" s="575"/>
      <c r="BC851" s="576"/>
      <c r="BD851" s="678"/>
    </row>
    <row r="852" spans="1:57" s="51" customFormat="1" hidden="1" outlineLevel="1" x14ac:dyDescent="0.25">
      <c r="A852" s="1267"/>
      <c r="B852" s="228"/>
      <c r="C852" s="328"/>
      <c r="D852" s="329"/>
      <c r="E852" s="353"/>
      <c r="F852" s="353"/>
      <c r="G852" s="353"/>
      <c r="H852" s="353"/>
      <c r="I852" s="353"/>
      <c r="J852" s="123"/>
      <c r="K852" s="123"/>
      <c r="L852" s="123"/>
      <c r="M852" s="123"/>
      <c r="N852" s="1556"/>
      <c r="O852" s="123"/>
      <c r="P852" s="123"/>
      <c r="Q852" s="123"/>
      <c r="R852" s="123"/>
      <c r="S852" s="123"/>
      <c r="T852" s="123"/>
      <c r="U852" s="123"/>
      <c r="V852" s="123"/>
      <c r="W852" s="1942"/>
      <c r="X852" s="1942"/>
      <c r="Y852" s="1942"/>
      <c r="Z852" s="1942"/>
      <c r="AA852" s="1942"/>
      <c r="AB852" s="1942"/>
      <c r="AC852" s="1942"/>
      <c r="AD852" s="1942"/>
      <c r="AE852" s="1942"/>
      <c r="AF852" s="1942"/>
      <c r="AG852" s="1942"/>
      <c r="AH852" s="1942"/>
      <c r="AI852" s="1942"/>
      <c r="AJ852" s="1942"/>
      <c r="AK852" s="1942"/>
      <c r="AL852" s="1942"/>
      <c r="AM852" s="1942"/>
      <c r="AN852" s="1942"/>
      <c r="AO852" s="1942"/>
      <c r="AP852" s="1942"/>
      <c r="AQ852" s="1942"/>
      <c r="AR852" s="1942"/>
      <c r="AS852" s="1942"/>
      <c r="AT852" s="1942"/>
      <c r="AU852" s="1942"/>
      <c r="AV852" s="1942"/>
      <c r="AW852" s="1942"/>
      <c r="AX852" s="1942"/>
      <c r="AY852" s="1942"/>
      <c r="AZ852" s="1942"/>
      <c r="BA852" s="1942"/>
      <c r="BB852" s="575"/>
      <c r="BC852" s="576"/>
      <c r="BD852" s="678"/>
    </row>
    <row r="853" spans="1:57" s="51" customFormat="1" hidden="1" outlineLevel="1" x14ac:dyDescent="0.25">
      <c r="A853" s="1267"/>
      <c r="B853" s="228"/>
      <c r="C853" s="328"/>
      <c r="D853" s="329"/>
      <c r="E853" s="123"/>
      <c r="F853" s="123"/>
      <c r="G853" s="123"/>
      <c r="H853" s="123"/>
      <c r="I853" s="123"/>
      <c r="J853" s="123"/>
      <c r="K853" s="123"/>
      <c r="L853" s="123"/>
      <c r="M853" s="123"/>
      <c r="N853" s="1556"/>
      <c r="O853" s="123"/>
      <c r="P853" s="123"/>
      <c r="Q853" s="123"/>
      <c r="R853" s="123"/>
      <c r="S853" s="123"/>
      <c r="T853" s="123"/>
      <c r="U853" s="123"/>
      <c r="V853" s="123"/>
      <c r="W853" s="1942"/>
      <c r="X853" s="1942"/>
      <c r="Y853" s="1942"/>
      <c r="Z853" s="1942"/>
      <c r="AA853" s="1942"/>
      <c r="AB853" s="1942"/>
      <c r="AC853" s="1942"/>
      <c r="AD853" s="1942"/>
      <c r="AE853" s="1942"/>
      <c r="AF853" s="1942"/>
      <c r="AG853" s="1942"/>
      <c r="AH853" s="1942"/>
      <c r="AI853" s="1942"/>
      <c r="AJ853" s="1942"/>
      <c r="AK853" s="1942"/>
      <c r="AL853" s="1942"/>
      <c r="AM853" s="1942"/>
      <c r="AN853" s="1942"/>
      <c r="AO853" s="1942"/>
      <c r="AP853" s="1942"/>
      <c r="AQ853" s="1942"/>
      <c r="AR853" s="1942"/>
      <c r="AS853" s="1942"/>
      <c r="AT853" s="1942"/>
      <c r="AU853" s="1942"/>
      <c r="AV853" s="1942"/>
      <c r="AW853" s="1942"/>
      <c r="AX853" s="1942"/>
      <c r="AY853" s="1942"/>
      <c r="AZ853" s="1942"/>
      <c r="BA853" s="1942"/>
      <c r="BB853" s="575"/>
      <c r="BC853" s="576"/>
      <c r="BD853" s="678"/>
    </row>
    <row r="854" spans="1:57" s="51" customFormat="1" hidden="1" outlineLevel="1" x14ac:dyDescent="0.25">
      <c r="A854" s="1267"/>
      <c r="B854" s="228"/>
      <c r="C854" s="328"/>
      <c r="D854" s="329"/>
      <c r="E854" s="123"/>
      <c r="F854" s="123"/>
      <c r="G854" s="123"/>
      <c r="H854" s="123"/>
      <c r="I854" s="123"/>
      <c r="J854" s="123"/>
      <c r="K854" s="123"/>
      <c r="L854" s="123"/>
      <c r="M854" s="123"/>
      <c r="N854" s="1556"/>
      <c r="O854" s="123"/>
      <c r="P854" s="147"/>
      <c r="Q854" s="147"/>
      <c r="R854" s="147"/>
      <c r="S854" s="123"/>
      <c r="T854" s="123"/>
      <c r="U854" s="123"/>
      <c r="V854" s="123"/>
      <c r="W854" s="1942"/>
      <c r="X854" s="1942"/>
      <c r="Y854" s="1942"/>
      <c r="Z854" s="1942"/>
      <c r="AA854" s="1942"/>
      <c r="AB854" s="1942"/>
      <c r="AC854" s="1942"/>
      <c r="AD854" s="1942"/>
      <c r="AE854" s="1942"/>
      <c r="AF854" s="1942"/>
      <c r="AG854" s="1942"/>
      <c r="AH854" s="1942"/>
      <c r="AI854" s="1942"/>
      <c r="AJ854" s="1942"/>
      <c r="AK854" s="1942"/>
      <c r="AL854" s="1942"/>
      <c r="AM854" s="1942"/>
      <c r="AN854" s="1942"/>
      <c r="AO854" s="1942"/>
      <c r="AP854" s="1942"/>
      <c r="AQ854" s="1942"/>
      <c r="AR854" s="1942"/>
      <c r="AS854" s="1942"/>
      <c r="AT854" s="1942"/>
      <c r="AU854" s="1942"/>
      <c r="AV854" s="1942"/>
      <c r="AW854" s="1942"/>
      <c r="AX854" s="1942"/>
      <c r="AY854" s="1942"/>
      <c r="AZ854" s="1942"/>
      <c r="BA854" s="1942"/>
      <c r="BB854" s="575"/>
      <c r="BC854" s="576"/>
      <c r="BD854" s="678"/>
    </row>
    <row r="855" spans="1:57" s="51" customFormat="1" ht="30.75" hidden="1" outlineLevel="1" thickBot="1" x14ac:dyDescent="0.3">
      <c r="A855" s="1267"/>
      <c r="B855" s="228"/>
      <c r="C855" s="328"/>
      <c r="D855" s="380" t="s">
        <v>109</v>
      </c>
      <c r="E855" s="380" t="s">
        <v>110</v>
      </c>
      <c r="F855" s="4068" t="s">
        <v>186</v>
      </c>
      <c r="G855" s="4068"/>
      <c r="H855" s="4068"/>
      <c r="I855" s="3161" t="s">
        <v>28</v>
      </c>
      <c r="J855" s="3161" t="s">
        <v>112</v>
      </c>
      <c r="K855" s="3161" t="s">
        <v>977</v>
      </c>
      <c r="L855" s="3161" t="s">
        <v>410</v>
      </c>
      <c r="M855" s="3159"/>
      <c r="N855" s="228" t="s">
        <v>1078</v>
      </c>
      <c r="O855" s="2590"/>
      <c r="P855" s="2591"/>
      <c r="Q855" s="228"/>
      <c r="R855" s="147"/>
      <c r="S855" s="1831"/>
      <c r="T855" s="123"/>
      <c r="U855" s="123"/>
      <c r="V855" s="551" t="s">
        <v>45</v>
      </c>
      <c r="W855" s="1937">
        <v>43252</v>
      </c>
      <c r="X855" s="1937">
        <f>$X$6</f>
        <v>43465</v>
      </c>
      <c r="Y855" s="1937">
        <f>$Y$6</f>
        <v>43800</v>
      </c>
      <c r="Z855" s="1937">
        <f>$Z$6</f>
        <v>43862</v>
      </c>
      <c r="AA855" s="1937">
        <f>$AA$6</f>
        <v>44013</v>
      </c>
      <c r="AB855" s="1937">
        <f>$AB$6</f>
        <v>44166</v>
      </c>
      <c r="AC855" s="1937">
        <f>$AC$6</f>
        <v>44531</v>
      </c>
      <c r="AD855" s="1937" t="str">
        <f>$AD$6</f>
        <v>-</v>
      </c>
      <c r="AE855" s="1937" t="str">
        <f>$AE$6</f>
        <v>-</v>
      </c>
      <c r="AF855" s="1937" t="str">
        <f>$AF$6</f>
        <v>-</v>
      </c>
      <c r="AG855" s="1937" t="str">
        <f>$AG$6</f>
        <v>-</v>
      </c>
      <c r="AH855" s="1942"/>
      <c r="AI855" s="1942"/>
      <c r="AJ855" s="1942"/>
      <c r="AK855" s="1942"/>
      <c r="AL855" s="1942"/>
      <c r="AM855" s="1942"/>
      <c r="AN855" s="1942"/>
      <c r="AO855" s="1942"/>
      <c r="AP855" s="1942"/>
      <c r="AQ855" s="1942"/>
      <c r="AR855" s="1942"/>
      <c r="AS855" s="1942"/>
      <c r="AT855" s="1942"/>
      <c r="AU855" s="1942"/>
      <c r="AV855" s="1942"/>
      <c r="AW855" s="1942"/>
      <c r="AX855" s="1942"/>
      <c r="AY855" s="1942"/>
      <c r="AZ855" s="1942"/>
      <c r="BA855" s="1942"/>
      <c r="BB855" s="575"/>
      <c r="BC855" s="576"/>
      <c r="BD855" s="678"/>
    </row>
    <row r="856" spans="1:57" s="51" customFormat="1" hidden="1" outlineLevel="1" x14ac:dyDescent="0.25">
      <c r="A856" s="1267"/>
      <c r="B856" s="228"/>
      <c r="C856" s="328"/>
      <c r="D856" s="4015" t="s">
        <v>1079</v>
      </c>
      <c r="E856" s="3989" t="s">
        <v>1080</v>
      </c>
      <c r="F856" s="3013" t="str">
        <f>E786</f>
        <v>Mini/MultiSplitAC_ER1_SF</v>
      </c>
      <c r="G856" s="3401"/>
      <c r="H856" s="3402"/>
      <c r="I856" s="3410" t="str">
        <f>C786</f>
        <v>351200_2021_12_</v>
      </c>
      <c r="J856" s="2858">
        <v>0</v>
      </c>
      <c r="K856" s="2240">
        <f t="shared" ref="K856:K857" si="90">J856/12000</f>
        <v>0</v>
      </c>
      <c r="L856" s="746" t="s">
        <v>1081</v>
      </c>
      <c r="M856" s="1570"/>
      <c r="N856" s="228"/>
      <c r="O856" s="2592" t="s">
        <v>1082</v>
      </c>
      <c r="P856" s="2593">
        <v>1.5</v>
      </c>
      <c r="Q856" s="228" t="s">
        <v>1083</v>
      </c>
      <c r="R856" s="3162"/>
      <c r="S856" s="1831"/>
      <c r="T856" s="123"/>
      <c r="U856" s="123"/>
      <c r="V856" s="4015" t="s">
        <v>1079</v>
      </c>
      <c r="W856" s="2861">
        <v>0</v>
      </c>
      <c r="X856" s="2861">
        <v>0</v>
      </c>
      <c r="Y856" s="2861">
        <v>0</v>
      </c>
      <c r="Z856" s="2861">
        <v>0</v>
      </c>
      <c r="AA856" s="2861">
        <v>0</v>
      </c>
      <c r="AB856" s="2858">
        <v>0</v>
      </c>
      <c r="AC856" s="2858">
        <v>0</v>
      </c>
      <c r="AD856" s="2861"/>
      <c r="AE856" s="2861"/>
      <c r="AF856" s="2861"/>
      <c r="AG856" s="747"/>
      <c r="AH856" s="1942"/>
      <c r="AI856" s="1942"/>
      <c r="AJ856" s="1942"/>
      <c r="AK856" s="1942"/>
      <c r="AL856" s="1942"/>
      <c r="AM856" s="1942"/>
      <c r="AN856" s="1942"/>
      <c r="AO856" s="1942"/>
      <c r="AP856" s="1942"/>
      <c r="AQ856" s="1942"/>
      <c r="AR856" s="1942"/>
      <c r="AS856" s="1942"/>
      <c r="AT856" s="1942"/>
      <c r="AU856" s="1942"/>
      <c r="AV856" s="1942"/>
      <c r="AW856" s="1942"/>
      <c r="AX856" s="1942"/>
      <c r="AY856" s="1942"/>
      <c r="AZ856" s="1942"/>
      <c r="BA856" s="1942"/>
      <c r="BB856" s="575"/>
      <c r="BC856" s="576"/>
      <c r="BD856" s="678"/>
    </row>
    <row r="857" spans="1:57" s="51" customFormat="1" ht="30" hidden="1" outlineLevel="1" x14ac:dyDescent="0.25">
      <c r="A857" s="1267"/>
      <c r="B857" s="228"/>
      <c r="C857" s="328"/>
      <c r="D857" s="4016"/>
      <c r="E857" s="3990"/>
      <c r="F857" s="3010" t="str">
        <f>E788</f>
        <v>Mini/MultiSplitAC_ROF_SF</v>
      </c>
      <c r="G857" s="3403"/>
      <c r="H857" s="3404"/>
      <c r="I857" s="3411" t="str">
        <f>C788</f>
        <v>351250_2021_12_</v>
      </c>
      <c r="J857" s="2856">
        <v>0</v>
      </c>
      <c r="K857" s="2240">
        <f t="shared" si="90"/>
        <v>0</v>
      </c>
      <c r="L857" s="749" t="s">
        <v>1081</v>
      </c>
      <c r="M857" s="1570"/>
      <c r="N857" s="228"/>
      <c r="O857" s="228"/>
      <c r="P857" s="228"/>
      <c r="Q857" s="228"/>
      <c r="R857" s="3159"/>
      <c r="S857" s="1831"/>
      <c r="T857" s="123"/>
      <c r="U857" s="123"/>
      <c r="V857" s="4016"/>
      <c r="W857" s="2857">
        <v>0</v>
      </c>
      <c r="X857" s="2857">
        <v>0</v>
      </c>
      <c r="Y857" s="2857">
        <v>0</v>
      </c>
      <c r="Z857" s="2857">
        <v>0</v>
      </c>
      <c r="AA857" s="2857">
        <v>0</v>
      </c>
      <c r="AB857" s="2856">
        <v>0</v>
      </c>
      <c r="AC857" s="2856">
        <v>0</v>
      </c>
      <c r="AD857" s="2857"/>
      <c r="AE857" s="2857"/>
      <c r="AF857" s="2857"/>
      <c r="AG857" s="697"/>
      <c r="AH857" s="1942"/>
      <c r="AI857" s="1942"/>
      <c r="AJ857" s="1942"/>
      <c r="AK857" s="1942"/>
      <c r="AL857" s="1942"/>
      <c r="AM857" s="1942"/>
      <c r="AN857" s="1942"/>
      <c r="AO857" s="1942"/>
      <c r="AP857" s="1942"/>
      <c r="AQ857" s="1942"/>
      <c r="AR857" s="1942"/>
      <c r="AS857" s="1942"/>
      <c r="AT857" s="1942"/>
      <c r="AU857" s="1942"/>
      <c r="AV857" s="1942"/>
      <c r="AW857" s="1942"/>
      <c r="AX857" s="1942"/>
      <c r="AY857" s="1942"/>
      <c r="AZ857" s="1942"/>
      <c r="BA857" s="1942"/>
      <c r="BB857" s="575"/>
      <c r="BC857" s="576"/>
      <c r="BD857" s="678"/>
    </row>
    <row r="858" spans="1:57" s="51" customFormat="1" ht="30" hidden="1" outlineLevel="1" x14ac:dyDescent="0.25">
      <c r="A858" s="1267"/>
      <c r="B858" s="228"/>
      <c r="C858" s="328"/>
      <c r="D858" s="4016"/>
      <c r="E858" s="3990"/>
      <c r="F858" s="3010" t="str">
        <f>E789</f>
        <v>Mini/MultiSplitASHP_ROF_SF_NC</v>
      </c>
      <c r="G858" s="3403"/>
      <c r="H858" s="3404"/>
      <c r="I858" s="3411" t="str">
        <f>C789</f>
        <v>351300_2021_12_</v>
      </c>
      <c r="J858" s="2955">
        <v>18101.694915254237</v>
      </c>
      <c r="K858" s="2957">
        <f>J858/12000</f>
        <v>1.5084745762711864</v>
      </c>
      <c r="L858" s="2731" t="s">
        <v>1084</v>
      </c>
      <c r="M858" s="1570"/>
      <c r="N858" s="3923" t="s">
        <v>976</v>
      </c>
      <c r="O858" s="4037"/>
      <c r="P858" s="4037"/>
      <c r="Q858" s="3931"/>
      <c r="R858" s="1829"/>
      <c r="S858" s="1831"/>
      <c r="T858" s="123"/>
      <c r="U858" s="123"/>
      <c r="V858" s="4016"/>
      <c r="W858" s="2857">
        <v>16800</v>
      </c>
      <c r="X858" s="3155">
        <f>1.5*12000</f>
        <v>18000</v>
      </c>
      <c r="Y858" s="2857">
        <v>18000</v>
      </c>
      <c r="Z858" s="2857">
        <v>18000</v>
      </c>
      <c r="AA858" s="2857">
        <v>18000</v>
      </c>
      <c r="AB858" s="2856">
        <v>18000</v>
      </c>
      <c r="AC858" s="2955">
        <v>18101.694915254237</v>
      </c>
      <c r="AD858" s="2857"/>
      <c r="AE858" s="2857"/>
      <c r="AF858" s="2857"/>
      <c r="AG858" s="697"/>
      <c r="AH858" s="1942"/>
      <c r="AI858" s="1942"/>
      <c r="AJ858" s="1942"/>
      <c r="AK858" s="1942"/>
      <c r="AL858" s="1942"/>
      <c r="AM858" s="1942"/>
      <c r="AN858" s="1942"/>
      <c r="AO858" s="1942"/>
      <c r="AP858" s="1942"/>
      <c r="AQ858" s="1942"/>
      <c r="AR858" s="1942"/>
      <c r="AS858" s="1942"/>
      <c r="AT858" s="1942"/>
      <c r="AU858" s="1942"/>
      <c r="AV858" s="1942"/>
      <c r="AW858" s="1942"/>
      <c r="AX858" s="1942"/>
      <c r="AY858" s="1942"/>
      <c r="AZ858" s="1942"/>
      <c r="BA858" s="1942"/>
      <c r="BB858" s="575"/>
      <c r="BC858" s="576"/>
      <c r="BD858" s="678"/>
    </row>
    <row r="859" spans="1:57" s="51" customFormat="1" ht="30" hidden="1" outlineLevel="1" x14ac:dyDescent="0.25">
      <c r="A859" s="1267"/>
      <c r="B859" s="228"/>
      <c r="C859" s="328"/>
      <c r="D859" s="4016"/>
      <c r="E859" s="3990"/>
      <c r="F859" s="3010" t="str">
        <f>E791</f>
        <v>Mini/MultiSplitASHP_ROF_SF</v>
      </c>
      <c r="G859" s="3403"/>
      <c r="H859" s="3404"/>
      <c r="I859" s="3411" t="str">
        <f>C791</f>
        <v>351350_2021_12_</v>
      </c>
      <c r="J859" s="2241">
        <v>16500</v>
      </c>
      <c r="K859" s="2957">
        <f>J859/12000</f>
        <v>1.375</v>
      </c>
      <c r="L859" s="2723" t="s">
        <v>1005</v>
      </c>
      <c r="M859" s="1550"/>
      <c r="N859" s="3205" t="s">
        <v>1085</v>
      </c>
      <c r="O859" s="831" t="s">
        <v>1086</v>
      </c>
      <c r="P859" s="3086" t="s">
        <v>979</v>
      </c>
      <c r="Q859" s="3205" t="s">
        <v>187</v>
      </c>
      <c r="R859" s="1829"/>
      <c r="S859" s="1831"/>
      <c r="T859" s="123"/>
      <c r="U859" s="123"/>
      <c r="V859" s="4016"/>
      <c r="W859" s="2857">
        <v>16800</v>
      </c>
      <c r="X859" s="3155">
        <f>1.5*12000</f>
        <v>18000</v>
      </c>
      <c r="Y859" s="2857">
        <v>18000</v>
      </c>
      <c r="Z859" s="2857">
        <v>18000</v>
      </c>
      <c r="AA859" s="2857">
        <v>18000</v>
      </c>
      <c r="AB859" s="2241">
        <v>18221.05263157895</v>
      </c>
      <c r="AC859" s="2241">
        <v>16500</v>
      </c>
      <c r="AD859" s="2857"/>
      <c r="AE859" s="2857"/>
      <c r="AF859" s="2857"/>
      <c r="AG859" s="697"/>
      <c r="AH859" s="1942"/>
      <c r="AI859" s="1942"/>
      <c r="AJ859" s="1942"/>
      <c r="AK859" s="1942"/>
      <c r="AL859" s="1942"/>
      <c r="AM859" s="1942"/>
      <c r="AN859" s="1942"/>
      <c r="AO859" s="1942"/>
      <c r="AP859" s="1942"/>
      <c r="AQ859" s="1942"/>
      <c r="AR859" s="1942"/>
      <c r="AS859" s="1942"/>
      <c r="AT859" s="1942"/>
      <c r="AU859" s="1942"/>
      <c r="AV859" s="1942"/>
      <c r="AW859" s="1942"/>
      <c r="AX859" s="1942"/>
      <c r="AY859" s="1942"/>
      <c r="AZ859" s="1942"/>
      <c r="BA859" s="1942"/>
      <c r="BB859" s="575"/>
      <c r="BC859" s="576"/>
      <c r="BD859" s="678"/>
    </row>
    <row r="860" spans="1:57" s="51" customFormat="1" ht="45" hidden="1" outlineLevel="1" x14ac:dyDescent="0.25">
      <c r="A860" s="1267"/>
      <c r="B860" s="228"/>
      <c r="C860" s="328"/>
      <c r="D860" s="4016"/>
      <c r="E860" s="3990"/>
      <c r="F860" s="3010" t="str">
        <f>E793</f>
        <v>Mini/MultiSplitASHP-Replace_CAC_ElectricHeat_ER1_SF</v>
      </c>
      <c r="G860" s="3403"/>
      <c r="H860" s="3404"/>
      <c r="I860" s="3411" t="str">
        <f>C793</f>
        <v>351400_2021_12_</v>
      </c>
      <c r="J860" s="2241">
        <v>18837.20930232558</v>
      </c>
      <c r="K860" s="2957">
        <f>J860/12000</f>
        <v>1.569767441860465</v>
      </c>
      <c r="L860" s="2723" t="s">
        <v>1005</v>
      </c>
      <c r="M860" s="1550"/>
      <c r="N860" s="2594" t="s">
        <v>995</v>
      </c>
      <c r="O860" s="2595"/>
      <c r="P860" s="2596">
        <f>(MIN(2000,P$869)-P874)*K$858</f>
        <v>337.89830508474574</v>
      </c>
      <c r="Q860" s="2670" t="s">
        <v>1087</v>
      </c>
      <c r="R860" s="1829"/>
      <c r="S860" s="1831"/>
      <c r="T860" s="123"/>
      <c r="U860" s="123"/>
      <c r="V860" s="4016"/>
      <c r="W860" s="2857">
        <v>16800</v>
      </c>
      <c r="X860" s="3155">
        <f>1.5*12000</f>
        <v>18000</v>
      </c>
      <c r="Y860" s="2857">
        <v>18000</v>
      </c>
      <c r="Z860" s="2857">
        <v>18000</v>
      </c>
      <c r="AA860" s="2857">
        <v>18000</v>
      </c>
      <c r="AB860" s="2241">
        <v>18840</v>
      </c>
      <c r="AC860" s="2241">
        <v>18837.20930232558</v>
      </c>
      <c r="AD860" s="2857"/>
      <c r="AE860" s="2857"/>
      <c r="AF860" s="2857"/>
      <c r="AG860" s="697"/>
      <c r="AH860" s="1942"/>
      <c r="AI860" s="1942"/>
      <c r="AJ860" s="1942"/>
      <c r="AK860" s="1942"/>
      <c r="AL860" s="1942"/>
      <c r="AM860" s="1942"/>
      <c r="AN860" s="1942"/>
      <c r="AO860" s="1942"/>
      <c r="AP860" s="1942"/>
      <c r="AQ860" s="1942"/>
      <c r="AR860" s="1942"/>
      <c r="AS860" s="1942"/>
      <c r="AT860" s="1942"/>
      <c r="AU860" s="1942"/>
      <c r="AV860" s="1942"/>
      <c r="AW860" s="1942"/>
      <c r="AX860" s="1942"/>
      <c r="AY860" s="1942"/>
      <c r="AZ860" s="1942"/>
      <c r="BA860" s="1942"/>
      <c r="BB860" s="575"/>
      <c r="BC860" s="576"/>
      <c r="BD860" s="678"/>
    </row>
    <row r="861" spans="1:57" s="51" customFormat="1" ht="45" hidden="1" outlineLevel="1" x14ac:dyDescent="0.25">
      <c r="A861" s="1267"/>
      <c r="B861" s="228"/>
      <c r="C861" s="328"/>
      <c r="D861" s="4016"/>
      <c r="E861" s="3990"/>
      <c r="F861" s="3010" t="str">
        <f>E797</f>
        <v>Mini/MultiSplitASHP-Replace_CAC_ElectricHeat_ROF_SF</v>
      </c>
      <c r="G861" s="3403"/>
      <c r="H861" s="3404"/>
      <c r="I861" s="3411" t="str">
        <f>C797</f>
        <v>351450_2021_12_</v>
      </c>
      <c r="J861" s="2241">
        <v>20769.23076923077</v>
      </c>
      <c r="K861" s="2957">
        <f>J861/12000</f>
        <v>1.7307692307692308</v>
      </c>
      <c r="L861" s="2723" t="s">
        <v>1005</v>
      </c>
      <c r="M861" s="1550"/>
      <c r="N861" s="2594" t="s">
        <v>1088</v>
      </c>
      <c r="O861" s="2595">
        <f>((P$874*P$856)+P$860)-((O874*P$856)/((1+P$878)^(P$879-1)))</f>
        <v>703.87277257974529</v>
      </c>
      <c r="P861" s="2596"/>
      <c r="Q861" s="2670" t="s">
        <v>1089</v>
      </c>
      <c r="R861" s="1829"/>
      <c r="S861" s="1831"/>
      <c r="T861" s="123"/>
      <c r="U861" s="123"/>
      <c r="V861" s="4016"/>
      <c r="W861" s="2857">
        <v>19200</v>
      </c>
      <c r="X861" s="3155">
        <f>1.5*12000</f>
        <v>18000</v>
      </c>
      <c r="Y861" s="3155">
        <v>19200</v>
      </c>
      <c r="Z861" s="2857">
        <v>19200</v>
      </c>
      <c r="AA861" s="2857">
        <v>19200</v>
      </c>
      <c r="AB861" s="2241">
        <v>19200</v>
      </c>
      <c r="AC861" s="2241">
        <v>20769.23076923077</v>
      </c>
      <c r="AD861" s="2857"/>
      <c r="AE861" s="2857"/>
      <c r="AF861" s="2857"/>
      <c r="AG861" s="697"/>
      <c r="AH861" s="1942"/>
      <c r="AI861" s="1942"/>
      <c r="AJ861" s="1942"/>
      <c r="AK861" s="1942"/>
      <c r="AL861" s="1942"/>
      <c r="AM861" s="1942"/>
      <c r="AN861" s="1942"/>
      <c r="AO861" s="1942"/>
      <c r="AP861" s="1942"/>
      <c r="AQ861" s="1942"/>
      <c r="AR861" s="1942"/>
      <c r="AS861" s="1942"/>
      <c r="AT861" s="1942"/>
      <c r="AU861" s="1942"/>
      <c r="AV861" s="1942"/>
      <c r="AW861" s="1942"/>
      <c r="AX861" s="1942"/>
      <c r="AY861" s="1942"/>
      <c r="AZ861" s="1942"/>
      <c r="BA861" s="1942"/>
      <c r="BB861" s="575"/>
      <c r="BC861" s="576"/>
      <c r="BD861" s="678"/>
    </row>
    <row r="862" spans="1:57" s="51" customFormat="1" ht="30" hidden="1" outlineLevel="1" x14ac:dyDescent="0.25">
      <c r="A862" s="1267"/>
      <c r="B862" s="228"/>
      <c r="C862" s="328"/>
      <c r="D862" s="4016"/>
      <c r="E862" s="3990"/>
      <c r="F862" s="3010" t="str">
        <f>E799</f>
        <v>Mini/MultiSplitASHP_ER1_SF</v>
      </c>
      <c r="G862" s="3403"/>
      <c r="H862" s="3404"/>
      <c r="I862" s="3411" t="str">
        <f>C799</f>
        <v>351500_2021_12_</v>
      </c>
      <c r="J862" s="2241">
        <v>17727.272727272728</v>
      </c>
      <c r="K862" s="2957">
        <f>J862/12000</f>
        <v>1.4772727272727273</v>
      </c>
      <c r="L862" s="2723" t="s">
        <v>1005</v>
      </c>
      <c r="M862" s="1570"/>
      <c r="N862" s="2594" t="s">
        <v>1090</v>
      </c>
      <c r="O862" s="2595">
        <f>((P$874*P$856)+P$860)-((O875*P$856)/((1+P$878)^(P$879-1)))</f>
        <v>1233.0575721909804</v>
      </c>
      <c r="P862" s="2596"/>
      <c r="Q862" s="2670" t="s">
        <v>1089</v>
      </c>
      <c r="R862" s="1829"/>
      <c r="S862" s="1831"/>
      <c r="T862" s="123"/>
      <c r="U862" s="123"/>
      <c r="V862" s="4016"/>
      <c r="W862" s="2857">
        <v>20400</v>
      </c>
      <c r="X862" s="3155">
        <f>1.5*12000</f>
        <v>18000</v>
      </c>
      <c r="Y862" s="2857">
        <v>18000</v>
      </c>
      <c r="Z862" s="2857">
        <v>18000</v>
      </c>
      <c r="AA862" s="2857">
        <v>18000</v>
      </c>
      <c r="AB862" s="2241">
        <v>15375</v>
      </c>
      <c r="AC862" s="2241">
        <v>17727.272727272728</v>
      </c>
      <c r="AD862" s="2857"/>
      <c r="AE862" s="2857"/>
      <c r="AF862" s="2857"/>
      <c r="AG862" s="697"/>
      <c r="AH862" s="1942"/>
      <c r="AI862" s="1942"/>
      <c r="AJ862" s="1942"/>
      <c r="AK862" s="1942"/>
      <c r="AL862" s="1942"/>
      <c r="AM862" s="1942"/>
      <c r="AN862" s="1942"/>
      <c r="AO862" s="1942"/>
      <c r="AP862" s="1942"/>
      <c r="AQ862" s="1942"/>
      <c r="AR862" s="1942"/>
      <c r="AS862" s="1942"/>
      <c r="AT862" s="1942"/>
      <c r="AU862" s="1942"/>
      <c r="AV862" s="1942"/>
      <c r="AW862" s="1942"/>
      <c r="AX862" s="1942"/>
      <c r="AY862" s="1942"/>
      <c r="AZ862" s="1942"/>
      <c r="BA862" s="1942"/>
      <c r="BB862" s="575"/>
      <c r="BC862" s="576"/>
      <c r="BD862" s="678"/>
    </row>
    <row r="863" spans="1:57" s="51" customFormat="1" ht="30" hidden="1" outlineLevel="1" x14ac:dyDescent="0.25">
      <c r="A863" s="1267"/>
      <c r="B863" s="228"/>
      <c r="C863" s="1545"/>
      <c r="D863" s="4016"/>
      <c r="E863" s="3990"/>
      <c r="F863" s="3011" t="str">
        <f>E803</f>
        <v>Mini/MultiSplitAC_ER1_MF</v>
      </c>
      <c r="G863" s="3405"/>
      <c r="H863" s="3406"/>
      <c r="I863" s="3411" t="str">
        <f>C803</f>
        <v>351550_2021_12_</v>
      </c>
      <c r="J863" s="2242">
        <f>J856</f>
        <v>0</v>
      </c>
      <c r="K863" s="2240">
        <f t="shared" ref="K863:K876" si="91">J863/12000</f>
        <v>0</v>
      </c>
      <c r="L863" s="2584" t="s">
        <v>1081</v>
      </c>
      <c r="M863" s="1570"/>
      <c r="N863" s="2594" t="s">
        <v>1091</v>
      </c>
      <c r="O863" s="2595">
        <f>((P$874*P$856)+P$860)-((O876*P$856)/((1+P$878)^(P$879-1)))</f>
        <v>2409.3983050847455</v>
      </c>
      <c r="P863" s="2596"/>
      <c r="Q863" s="2670" t="s">
        <v>1089</v>
      </c>
      <c r="R863" s="1829"/>
      <c r="S863" s="1831"/>
      <c r="T863" s="123"/>
      <c r="U863" s="123"/>
      <c r="V863" s="4016"/>
      <c r="W863" s="2857"/>
      <c r="X863" s="2857"/>
      <c r="Y863" s="3154">
        <v>0</v>
      </c>
      <c r="Z863" s="2856">
        <v>0</v>
      </c>
      <c r="AA863" s="2856">
        <v>0</v>
      </c>
      <c r="AB863" s="2242">
        <v>0</v>
      </c>
      <c r="AC863" s="2242">
        <v>0</v>
      </c>
      <c r="AD863" s="2857"/>
      <c r="AE863" s="2857"/>
      <c r="AF863" s="2857"/>
      <c r="AG863" s="697"/>
      <c r="AH863" s="1942"/>
      <c r="AI863" s="1942"/>
      <c r="AJ863" s="1942"/>
      <c r="AK863" s="1942"/>
      <c r="AL863" s="1942"/>
      <c r="AM863" s="1942"/>
      <c r="AN863" s="1942"/>
      <c r="AO863" s="1942"/>
      <c r="AP863" s="1942"/>
      <c r="AQ863" s="1942"/>
      <c r="AR863" s="1942"/>
      <c r="AS863" s="1942"/>
      <c r="AT863" s="1942"/>
      <c r="AU863" s="1942"/>
      <c r="AV863" s="1942"/>
      <c r="AW863" s="1942"/>
      <c r="AX863" s="1942"/>
      <c r="AY863" s="1942"/>
      <c r="AZ863" s="1942"/>
      <c r="BA863" s="1942"/>
      <c r="BB863" s="575"/>
      <c r="BC863" s="576"/>
      <c r="BD863" s="678"/>
    </row>
    <row r="864" spans="1:57" s="51" customFormat="1" ht="30" hidden="1" outlineLevel="1" x14ac:dyDescent="0.25">
      <c r="A864" s="1267"/>
      <c r="B864" s="228"/>
      <c r="C864" s="1545"/>
      <c r="D864" s="4016"/>
      <c r="E864" s="3990"/>
      <c r="F864" s="3011" t="str">
        <f>E807</f>
        <v>Mini/MultiSplitAC_ROF_MF</v>
      </c>
      <c r="G864" s="3405"/>
      <c r="H864" s="3406"/>
      <c r="I864" s="3411" t="str">
        <f>C807</f>
        <v>351600_2021_12_</v>
      </c>
      <c r="J864" s="2242">
        <f t="shared" ref="J864:J869" si="92">J857</f>
        <v>0</v>
      </c>
      <c r="K864" s="2240">
        <f t="shared" si="91"/>
        <v>0</v>
      </c>
      <c r="L864" s="2243" t="s">
        <v>1081</v>
      </c>
      <c r="M864" s="1570"/>
      <c r="N864" s="2108"/>
      <c r="O864" s="228"/>
      <c r="P864" s="2161"/>
      <c r="Q864" s="1448"/>
      <c r="R864" s="1829"/>
      <c r="S864" s="1831"/>
      <c r="T864" s="123"/>
      <c r="U864" s="123"/>
      <c r="V864" s="4016"/>
      <c r="W864" s="2857"/>
      <c r="X864" s="2857"/>
      <c r="Y864" s="3154">
        <v>0</v>
      </c>
      <c r="Z864" s="2856">
        <v>0</v>
      </c>
      <c r="AA864" s="2856">
        <v>0</v>
      </c>
      <c r="AB864" s="2242">
        <v>0</v>
      </c>
      <c r="AC864" s="2242">
        <v>0</v>
      </c>
      <c r="AD864" s="2857"/>
      <c r="AE864" s="2857"/>
      <c r="AF864" s="2857"/>
      <c r="AG864" s="697"/>
      <c r="AH864" s="1942"/>
      <c r="AI864" s="1942"/>
      <c r="AJ864" s="1942"/>
      <c r="AK864" s="1942"/>
      <c r="AL864" s="1942"/>
      <c r="AM864" s="1942"/>
      <c r="AN864" s="1942"/>
      <c r="AO864" s="1942"/>
      <c r="AP864" s="1942"/>
      <c r="AQ864" s="1942"/>
      <c r="AR864" s="1942"/>
      <c r="AS864" s="1942"/>
      <c r="AT864" s="1942"/>
      <c r="AU864" s="1942"/>
      <c r="AV864" s="1942"/>
      <c r="AW864" s="1942"/>
      <c r="AX864" s="1942"/>
      <c r="AY864" s="1942"/>
      <c r="AZ864" s="1942"/>
      <c r="BA864" s="1942"/>
      <c r="BB864" s="575"/>
      <c r="BC864" s="576"/>
      <c r="BD864" s="678"/>
    </row>
    <row r="865" spans="1:56" s="51" customFormat="1" ht="30" hidden="1" outlineLevel="1" x14ac:dyDescent="0.25">
      <c r="A865" s="1267"/>
      <c r="B865" s="228"/>
      <c r="C865" s="1545"/>
      <c r="D865" s="4016"/>
      <c r="E865" s="3990"/>
      <c r="F865" s="3011" t="str">
        <f>E809</f>
        <v>Mini/MultiSplitASHP_ROF_MF_NC</v>
      </c>
      <c r="G865" s="3405"/>
      <c r="H865" s="3406"/>
      <c r="I865" s="3411" t="str">
        <f>C809</f>
        <v>351650_2021_12_</v>
      </c>
      <c r="J865" s="2241">
        <f t="shared" si="92"/>
        <v>18101.694915254237</v>
      </c>
      <c r="K865" s="2957">
        <f t="shared" si="91"/>
        <v>1.5084745762711864</v>
      </c>
      <c r="L865" s="2731" t="s">
        <v>1092</v>
      </c>
      <c r="M865" s="1570"/>
      <c r="N865" s="123"/>
      <c r="O865" s="123"/>
      <c r="P865" s="123"/>
      <c r="Q865" s="836"/>
      <c r="R865" s="1829"/>
      <c r="S865" s="1831"/>
      <c r="T865" s="123"/>
      <c r="U865" s="123"/>
      <c r="V865" s="4016"/>
      <c r="W865" s="2857"/>
      <c r="X865" s="2857"/>
      <c r="Y865" s="3154">
        <v>18000</v>
      </c>
      <c r="Z865" s="2856">
        <v>18000</v>
      </c>
      <c r="AA865" s="2856">
        <v>18000</v>
      </c>
      <c r="AB865" s="2242">
        <v>18000</v>
      </c>
      <c r="AC865" s="2241">
        <v>18101.694915254237</v>
      </c>
      <c r="AD865" s="2857"/>
      <c r="AE865" s="2857"/>
      <c r="AF865" s="2857"/>
      <c r="AG865" s="697"/>
      <c r="AH865" s="1942"/>
      <c r="AI865" s="1942"/>
      <c r="AJ865" s="1942"/>
      <c r="AK865" s="1942"/>
      <c r="AL865" s="1942"/>
      <c r="AM865" s="1942"/>
      <c r="AN865" s="1942"/>
      <c r="AO865" s="1942"/>
      <c r="AP865" s="1942"/>
      <c r="AQ865" s="1942"/>
      <c r="AR865" s="1942"/>
      <c r="AS865" s="1942"/>
      <c r="AT865" s="1942"/>
      <c r="AU865" s="1942"/>
      <c r="AV865" s="1942"/>
      <c r="AW865" s="1942"/>
      <c r="AX865" s="1942"/>
      <c r="AY865" s="1942"/>
      <c r="AZ865" s="1942"/>
      <c r="BA865" s="1942"/>
      <c r="BB865" s="575"/>
      <c r="BC865" s="576"/>
      <c r="BD865" s="678"/>
    </row>
    <row r="866" spans="1:56" s="51" customFormat="1" ht="30" hidden="1" outlineLevel="1" x14ac:dyDescent="0.25">
      <c r="A866" s="1267"/>
      <c r="B866" s="228"/>
      <c r="C866" s="1545"/>
      <c r="D866" s="4016"/>
      <c r="E866" s="3990"/>
      <c r="F866" s="3011" t="str">
        <f>E813</f>
        <v>Mini/MultiSplitASHP_ROF_MF</v>
      </c>
      <c r="G866" s="3405"/>
      <c r="H866" s="3406"/>
      <c r="I866" s="3411" t="str">
        <f>C813</f>
        <v>351700_2021_12_</v>
      </c>
      <c r="J866" s="2241">
        <f t="shared" si="92"/>
        <v>16500</v>
      </c>
      <c r="K866" s="2957">
        <f t="shared" si="91"/>
        <v>1.375</v>
      </c>
      <c r="L866" s="2243" t="s">
        <v>1092</v>
      </c>
      <c r="M866" s="1570"/>
      <c r="N866" s="123"/>
      <c r="O866" s="123"/>
      <c r="P866" s="123"/>
      <c r="Q866" s="123"/>
      <c r="R866" s="1829"/>
      <c r="S866" s="1831"/>
      <c r="T866" s="123"/>
      <c r="U866" s="123"/>
      <c r="V866" s="4016"/>
      <c r="W866" s="2857"/>
      <c r="X866" s="2857"/>
      <c r="Y866" s="3154">
        <v>18000</v>
      </c>
      <c r="Z866" s="2856">
        <v>18000</v>
      </c>
      <c r="AA866" s="2856">
        <v>18000</v>
      </c>
      <c r="AB866" s="2241">
        <v>18221.05263157895</v>
      </c>
      <c r="AC866" s="2241">
        <v>16500</v>
      </c>
      <c r="AD866" s="2857"/>
      <c r="AE866" s="2857"/>
      <c r="AF866" s="2857"/>
      <c r="AG866" s="697"/>
      <c r="AH866" s="1942"/>
      <c r="AI866" s="1942"/>
      <c r="AJ866" s="1942"/>
      <c r="AK866" s="1942"/>
      <c r="AL866" s="1942"/>
      <c r="AM866" s="1942"/>
      <c r="AN866" s="1942"/>
      <c r="AO866" s="1942"/>
      <c r="AP866" s="1942"/>
      <c r="AQ866" s="1942"/>
      <c r="AR866" s="1942"/>
      <c r="AS866" s="1942"/>
      <c r="AT866" s="1942"/>
      <c r="AU866" s="1942"/>
      <c r="AV866" s="1942"/>
      <c r="AW866" s="1942"/>
      <c r="AX866" s="1942"/>
      <c r="AY866" s="1942"/>
      <c r="AZ866" s="1942"/>
      <c r="BA866" s="1942"/>
      <c r="BB866" s="575"/>
      <c r="BC866" s="576"/>
      <c r="BD866" s="678"/>
    </row>
    <row r="867" spans="1:56" s="51" customFormat="1" ht="45" hidden="1" outlineLevel="1" x14ac:dyDescent="0.25">
      <c r="A867" s="1267"/>
      <c r="B867" s="228"/>
      <c r="C867" s="1545"/>
      <c r="D867" s="4016"/>
      <c r="E867" s="3990"/>
      <c r="F867" s="3011" t="str">
        <f>E817</f>
        <v>Mini/MultiSplitASHP-Replace_CAC_ElectricHeat_ER1_MF</v>
      </c>
      <c r="G867" s="3405"/>
      <c r="H867" s="3406"/>
      <c r="I867" s="3411" t="str">
        <f>C817</f>
        <v>351750_2021_12_</v>
      </c>
      <c r="J867" s="2241">
        <f t="shared" si="92"/>
        <v>18837.20930232558</v>
      </c>
      <c r="K867" s="2957">
        <f t="shared" si="91"/>
        <v>1.569767441860465</v>
      </c>
      <c r="L867" s="2243" t="s">
        <v>1092</v>
      </c>
      <c r="M867" s="1570"/>
      <c r="N867" s="3923" t="s">
        <v>1093</v>
      </c>
      <c r="O867" s="4037"/>
      <c r="P867" s="4037"/>
      <c r="Q867" s="3931"/>
      <c r="R867" s="147"/>
      <c r="S867" s="1831"/>
      <c r="T867" s="123"/>
      <c r="U867" s="123"/>
      <c r="V867" s="4016"/>
      <c r="W867" s="2857"/>
      <c r="X867" s="2857"/>
      <c r="Y867" s="3154">
        <v>18000</v>
      </c>
      <c r="Z867" s="2856">
        <v>18000</v>
      </c>
      <c r="AA867" s="2856">
        <v>18000</v>
      </c>
      <c r="AB867" s="2241">
        <v>18840</v>
      </c>
      <c r="AC867" s="2241">
        <v>18837.20930232558</v>
      </c>
      <c r="AD867" s="2857"/>
      <c r="AE867" s="2857"/>
      <c r="AF867" s="2857"/>
      <c r="AG867" s="697"/>
      <c r="AH867" s="1942"/>
      <c r="AI867" s="1942"/>
      <c r="AJ867" s="1942"/>
      <c r="AK867" s="1942"/>
      <c r="AL867" s="1942"/>
      <c r="AM867" s="1942"/>
      <c r="AN867" s="1942"/>
      <c r="AO867" s="1942"/>
      <c r="AP867" s="1942"/>
      <c r="AQ867" s="1942"/>
      <c r="AR867" s="1942"/>
      <c r="AS867" s="1942"/>
      <c r="AT867" s="1942"/>
      <c r="AU867" s="1942"/>
      <c r="AV867" s="1942"/>
      <c r="AW867" s="1942"/>
      <c r="AX867" s="1942"/>
      <c r="AY867" s="1942"/>
      <c r="AZ867" s="1942"/>
      <c r="BA867" s="1942"/>
      <c r="BB867" s="575"/>
      <c r="BC867" s="576"/>
      <c r="BD867" s="678"/>
    </row>
    <row r="868" spans="1:56" s="51" customFormat="1" ht="45" hidden="1" outlineLevel="1" x14ac:dyDescent="0.25">
      <c r="A868" s="1267"/>
      <c r="B868" s="228"/>
      <c r="C868" s="1545"/>
      <c r="D868" s="4016"/>
      <c r="E868" s="3990"/>
      <c r="F868" s="3011" t="str">
        <f>E825</f>
        <v>Mini/MultiSplitASHP-Replace_CAC_ElectricHeat_ROF_MF</v>
      </c>
      <c r="G868" s="3405"/>
      <c r="H868" s="3406"/>
      <c r="I868" s="3411" t="str">
        <f>C825</f>
        <v>351800_2021_12_</v>
      </c>
      <c r="J868" s="2241">
        <f t="shared" si="92"/>
        <v>20769.23076923077</v>
      </c>
      <c r="K868" s="2957">
        <f t="shared" si="91"/>
        <v>1.7307692307692308</v>
      </c>
      <c r="L868" s="2243" t="s">
        <v>1092</v>
      </c>
      <c r="M868" s="1570"/>
      <c r="N868" s="3205" t="s">
        <v>1094</v>
      </c>
      <c r="O868" s="3205"/>
      <c r="P868" s="3205" t="s">
        <v>1095</v>
      </c>
      <c r="Q868" s="3205" t="s">
        <v>187</v>
      </c>
      <c r="R868" s="147"/>
      <c r="S868" s="1831"/>
      <c r="T868" s="123"/>
      <c r="U868" s="123"/>
      <c r="V868" s="4016"/>
      <c r="W868" s="2857"/>
      <c r="X868" s="2857"/>
      <c r="Y868" s="3154">
        <v>19200</v>
      </c>
      <c r="Z868" s="2856">
        <v>19200</v>
      </c>
      <c r="AA868" s="2856">
        <v>19200</v>
      </c>
      <c r="AB868" s="2241">
        <v>19200</v>
      </c>
      <c r="AC868" s="2241">
        <v>20769.23076923077</v>
      </c>
      <c r="AD868" s="2857"/>
      <c r="AE868" s="2857"/>
      <c r="AF868" s="2857"/>
      <c r="AG868" s="697"/>
      <c r="AH868" s="1942"/>
      <c r="AI868" s="1942"/>
      <c r="AJ868" s="1942"/>
      <c r="AK868" s="1942"/>
      <c r="AL868" s="1942"/>
      <c r="AM868" s="1942"/>
      <c r="AN868" s="1942"/>
      <c r="AO868" s="1942"/>
      <c r="AP868" s="1942"/>
      <c r="AQ868" s="1942"/>
      <c r="AR868" s="1942"/>
      <c r="AS868" s="1942"/>
      <c r="AT868" s="1942"/>
      <c r="AU868" s="1942"/>
      <c r="AV868" s="1942"/>
      <c r="AW868" s="1942"/>
      <c r="AX868" s="1942"/>
      <c r="AY868" s="1942"/>
      <c r="AZ868" s="1942"/>
      <c r="BA868" s="1942"/>
      <c r="BB868" s="575"/>
      <c r="BC868" s="576"/>
      <c r="BD868" s="678"/>
    </row>
    <row r="869" spans="1:56" s="51" customFormat="1" ht="30" hidden="1" outlineLevel="1" x14ac:dyDescent="0.25">
      <c r="A869" s="1267"/>
      <c r="B869" s="228"/>
      <c r="C869" s="1545"/>
      <c r="D869" s="4016"/>
      <c r="E869" s="3990"/>
      <c r="F869" s="3011" t="str">
        <f>E829</f>
        <v>Mini/MultiSplitASHP_ER1_MF</v>
      </c>
      <c r="G869" s="3405"/>
      <c r="H869" s="3406"/>
      <c r="I869" s="3411" t="str">
        <f>C829</f>
        <v>351850_2021_12_</v>
      </c>
      <c r="J869" s="2241">
        <f t="shared" si="92"/>
        <v>17727.272727272728</v>
      </c>
      <c r="K869" s="2957">
        <f t="shared" si="91"/>
        <v>1.4772727272727273</v>
      </c>
      <c r="L869" s="2243" t="s">
        <v>1092</v>
      </c>
      <c r="M869" s="1570"/>
      <c r="N869" s="2594" t="s">
        <v>1096</v>
      </c>
      <c r="O869" s="2595"/>
      <c r="P869" s="2596">
        <v>1605</v>
      </c>
      <c r="Q869" s="2670" t="s">
        <v>1097</v>
      </c>
      <c r="R869" s="3160"/>
      <c r="S869" s="1831"/>
      <c r="T869" s="123"/>
      <c r="U869" s="123"/>
      <c r="V869" s="4016"/>
      <c r="W869" s="2857"/>
      <c r="X869" s="2857"/>
      <c r="Y869" s="3154">
        <v>18000</v>
      </c>
      <c r="Z869" s="2856">
        <v>18000</v>
      </c>
      <c r="AA869" s="2856">
        <v>18000</v>
      </c>
      <c r="AB869" s="2241">
        <v>15375</v>
      </c>
      <c r="AC869" s="2241">
        <v>17727.272727272728</v>
      </c>
      <c r="AD869" s="2857"/>
      <c r="AE869" s="2857"/>
      <c r="AF869" s="2857"/>
      <c r="AG869" s="697"/>
      <c r="AH869" s="1942"/>
      <c r="AI869" s="1942"/>
      <c r="AJ869" s="1942"/>
      <c r="AK869" s="1942"/>
      <c r="AL869" s="1942"/>
      <c r="AM869" s="1942"/>
      <c r="AN869" s="1942"/>
      <c r="AO869" s="1942"/>
      <c r="AP869" s="1942"/>
      <c r="AQ869" s="1942"/>
      <c r="AR869" s="1942"/>
      <c r="AS869" s="1942"/>
      <c r="AT869" s="1942"/>
      <c r="AU869" s="1942"/>
      <c r="AV869" s="1942"/>
      <c r="AW869" s="1942"/>
      <c r="AX869" s="1942"/>
      <c r="AY869" s="1942"/>
      <c r="AZ869" s="1942"/>
      <c r="BA869" s="1942"/>
      <c r="BB869" s="575"/>
      <c r="BC869" s="576"/>
      <c r="BD869" s="678"/>
    </row>
    <row r="870" spans="1:56" s="51" customFormat="1" ht="30" hidden="1" outlineLevel="1" x14ac:dyDescent="0.25">
      <c r="A870" s="1267"/>
      <c r="B870" s="228"/>
      <c r="C870" s="1545"/>
      <c r="D870" s="4017"/>
      <c r="E870" s="4005"/>
      <c r="F870" s="3011" t="str">
        <f>E805</f>
        <v>Mini/MultiSplitAC_ER1_MF_CompE</v>
      </c>
      <c r="G870" s="3405"/>
      <c r="H870" s="3406"/>
      <c r="I870" s="3411" t="str">
        <f>C805</f>
        <v>351551_2021_12_</v>
      </c>
      <c r="J870" s="2242">
        <f>J856</f>
        <v>0</v>
      </c>
      <c r="K870" s="2240">
        <f t="shared" si="91"/>
        <v>0</v>
      </c>
      <c r="L870" s="2584" t="s">
        <v>1081</v>
      </c>
      <c r="M870" s="1570"/>
      <c r="N870" s="2594" t="s">
        <v>1098</v>
      </c>
      <c r="O870" s="2595"/>
      <c r="P870" s="2596">
        <v>1715</v>
      </c>
      <c r="Q870" s="2670" t="s">
        <v>1097</v>
      </c>
      <c r="R870" s="1535"/>
      <c r="S870" s="1831"/>
      <c r="T870" s="123"/>
      <c r="U870" s="123"/>
      <c r="V870" s="4017"/>
      <c r="W870" s="2857"/>
      <c r="X870" s="2857"/>
      <c r="Y870" s="3154">
        <v>0</v>
      </c>
      <c r="Z870" s="2856">
        <v>0</v>
      </c>
      <c r="AA870" s="2856">
        <v>0</v>
      </c>
      <c r="AB870" s="2242">
        <v>0</v>
      </c>
      <c r="AC870" s="2242">
        <v>0</v>
      </c>
      <c r="AD870" s="2857"/>
      <c r="AE870" s="2857"/>
      <c r="AF870" s="2857"/>
      <c r="AG870" s="697"/>
      <c r="AH870" s="1942"/>
      <c r="AI870" s="1942"/>
      <c r="AJ870" s="1942"/>
      <c r="AK870" s="1942"/>
      <c r="AL870" s="1942"/>
      <c r="AM870" s="1942"/>
      <c r="AN870" s="1942"/>
      <c r="AO870" s="1942"/>
      <c r="AP870" s="1942"/>
      <c r="AQ870" s="1942"/>
      <c r="AR870" s="1942"/>
      <c r="AS870" s="1942"/>
      <c r="AT870" s="1942"/>
      <c r="AU870" s="1942"/>
      <c r="AV870" s="1942"/>
      <c r="AW870" s="1942"/>
      <c r="AX870" s="1942"/>
      <c r="AY870" s="1942"/>
      <c r="AZ870" s="1942"/>
      <c r="BA870" s="1942"/>
      <c r="BB870" s="575"/>
      <c r="BC870" s="576"/>
      <c r="BD870" s="678"/>
    </row>
    <row r="871" spans="1:56" s="51" customFormat="1" ht="30" hidden="1" outlineLevel="1" x14ac:dyDescent="0.25">
      <c r="A871" s="1267"/>
      <c r="B871" s="228"/>
      <c r="C871" s="1545"/>
      <c r="D871" s="4017"/>
      <c r="E871" s="4005"/>
      <c r="F871" s="3011" t="str">
        <f>E808</f>
        <v>Mini/MultiSplitAC_ROF_MF_CompE</v>
      </c>
      <c r="G871" s="3405"/>
      <c r="H871" s="3406"/>
      <c r="I871" s="3411" t="str">
        <f>C808</f>
        <v>351601_2021_12_</v>
      </c>
      <c r="J871" s="2242">
        <f t="shared" ref="J871:J876" si="93">J857</f>
        <v>0</v>
      </c>
      <c r="K871" s="2240">
        <f t="shared" si="91"/>
        <v>0</v>
      </c>
      <c r="L871" s="2243" t="s">
        <v>1081</v>
      </c>
      <c r="M871" s="1570"/>
      <c r="N871" s="123"/>
      <c r="O871" s="123"/>
      <c r="P871" s="123"/>
      <c r="Q871" s="123"/>
      <c r="R871" s="1841"/>
      <c r="S871" s="1831"/>
      <c r="T871" s="123"/>
      <c r="U871" s="123"/>
      <c r="V871" s="4017"/>
      <c r="W871" s="2857"/>
      <c r="X871" s="2857"/>
      <c r="Y871" s="3154">
        <v>0</v>
      </c>
      <c r="Z871" s="2856">
        <v>0</v>
      </c>
      <c r="AA871" s="2856">
        <v>0</v>
      </c>
      <c r="AB871" s="2242">
        <v>0</v>
      </c>
      <c r="AC871" s="2242">
        <v>0</v>
      </c>
      <c r="AD871" s="2857"/>
      <c r="AE871" s="2857"/>
      <c r="AF871" s="2857"/>
      <c r="AG871" s="697"/>
      <c r="AH871" s="1942"/>
      <c r="AI871" s="1942"/>
      <c r="AJ871" s="1942"/>
      <c r="AK871" s="1942"/>
      <c r="AL871" s="1942"/>
      <c r="AM871" s="1942"/>
      <c r="AN871" s="1942"/>
      <c r="AO871" s="1942"/>
      <c r="AP871" s="1942"/>
      <c r="AQ871" s="1942"/>
      <c r="AR871" s="1942"/>
      <c r="AS871" s="1942"/>
      <c r="AT871" s="1942"/>
      <c r="AU871" s="1942"/>
      <c r="AV871" s="1942"/>
      <c r="AW871" s="1942"/>
      <c r="AX871" s="1942"/>
      <c r="AY871" s="1942"/>
      <c r="AZ871" s="1942"/>
      <c r="BA871" s="1942"/>
      <c r="BB871" s="575"/>
      <c r="BC871" s="576"/>
      <c r="BD871" s="678"/>
    </row>
    <row r="872" spans="1:56" s="51" customFormat="1" ht="30" hidden="1" outlineLevel="1" x14ac:dyDescent="0.25">
      <c r="A872" s="1267"/>
      <c r="B872" s="228"/>
      <c r="C872" s="1545"/>
      <c r="D872" s="4017"/>
      <c r="E872" s="4005"/>
      <c r="F872" s="3011" t="str">
        <f>E811</f>
        <v>Mini/MultiSplitASHP_ROF_MF_NC_CompE</v>
      </c>
      <c r="G872" s="3405"/>
      <c r="H872" s="3406"/>
      <c r="I872" s="3411" t="str">
        <f>C811</f>
        <v>351651_2021_12_</v>
      </c>
      <c r="J872" s="2241">
        <f t="shared" si="93"/>
        <v>18101.694915254237</v>
      </c>
      <c r="K872" s="2957">
        <f t="shared" si="91"/>
        <v>1.5084745762711864</v>
      </c>
      <c r="L872" s="2731" t="s">
        <v>1092</v>
      </c>
      <c r="M872" s="1570"/>
      <c r="N872" s="3923" t="s">
        <v>1099</v>
      </c>
      <c r="O872" s="4037"/>
      <c r="P872" s="4037"/>
      <c r="Q872" s="3931"/>
      <c r="R872" s="1843"/>
      <c r="S872" s="1831"/>
      <c r="T872" s="123"/>
      <c r="U872" s="123"/>
      <c r="V872" s="4017"/>
      <c r="W872" s="2857"/>
      <c r="X872" s="2857"/>
      <c r="Y872" s="3154">
        <v>18000</v>
      </c>
      <c r="Z872" s="2856">
        <v>18000</v>
      </c>
      <c r="AA872" s="2856">
        <v>18000</v>
      </c>
      <c r="AB872" s="2242">
        <v>18000</v>
      </c>
      <c r="AC872" s="2241">
        <v>18101.694915254237</v>
      </c>
      <c r="AD872" s="2857"/>
      <c r="AE872" s="2857"/>
      <c r="AF872" s="2857"/>
      <c r="AG872" s="697"/>
      <c r="AH872" s="1942"/>
      <c r="AI872" s="1942"/>
      <c r="AJ872" s="1942"/>
      <c r="AK872" s="1942"/>
      <c r="AL872" s="1942"/>
      <c r="AM872" s="1942"/>
      <c r="AN872" s="1942"/>
      <c r="AO872" s="1942"/>
      <c r="AP872" s="1942"/>
      <c r="AQ872" s="1942"/>
      <c r="AR872" s="1942"/>
      <c r="AS872" s="1942"/>
      <c r="AT872" s="1942"/>
      <c r="AU872" s="1942"/>
      <c r="AV872" s="1942"/>
      <c r="AW872" s="1942"/>
      <c r="AX872" s="1942"/>
      <c r="AY872" s="1942"/>
      <c r="AZ872" s="1942"/>
      <c r="BA872" s="1942"/>
      <c r="BB872" s="575"/>
      <c r="BC872" s="576"/>
      <c r="BD872" s="678"/>
    </row>
    <row r="873" spans="1:56" s="51" customFormat="1" ht="30" hidden="1" outlineLevel="1" x14ac:dyDescent="0.25">
      <c r="A873" s="1267"/>
      <c r="B873" s="228"/>
      <c r="C873" s="1545"/>
      <c r="D873" s="4017"/>
      <c r="E873" s="4005"/>
      <c r="F873" s="3011" t="str">
        <f>E815</f>
        <v>Mini/MultiSplitASHP_ROF_MF_CompE</v>
      </c>
      <c r="G873" s="3405"/>
      <c r="H873" s="3406"/>
      <c r="I873" s="3411" t="str">
        <f>C815</f>
        <v>351701_2021_12_</v>
      </c>
      <c r="J873" s="2241">
        <f t="shared" si="93"/>
        <v>16500</v>
      </c>
      <c r="K873" s="2957">
        <f t="shared" si="91"/>
        <v>1.375</v>
      </c>
      <c r="L873" s="2243" t="s">
        <v>1092</v>
      </c>
      <c r="M873" s="1570"/>
      <c r="N873" s="3205"/>
      <c r="O873" s="3205" t="s">
        <v>1100</v>
      </c>
      <c r="P873" s="3205" t="s">
        <v>995</v>
      </c>
      <c r="Q873" s="3205" t="s">
        <v>187</v>
      </c>
      <c r="R873" s="1843"/>
      <c r="S873" s="1831"/>
      <c r="T873" s="123"/>
      <c r="U873" s="123"/>
      <c r="V873" s="4017"/>
      <c r="W873" s="2857"/>
      <c r="X873" s="2857"/>
      <c r="Y873" s="3154">
        <v>18000</v>
      </c>
      <c r="Z873" s="2856">
        <v>18000</v>
      </c>
      <c r="AA873" s="2856">
        <v>18000</v>
      </c>
      <c r="AB873" s="2241">
        <v>18221.05263157895</v>
      </c>
      <c r="AC873" s="2241">
        <v>16500</v>
      </c>
      <c r="AD873" s="2857"/>
      <c r="AE873" s="2857"/>
      <c r="AF873" s="2857"/>
      <c r="AG873" s="697"/>
      <c r="AH873" s="1942"/>
      <c r="AI873" s="1942"/>
      <c r="AJ873" s="1942"/>
      <c r="AK873" s="1942"/>
      <c r="AL873" s="1942"/>
      <c r="AM873" s="1942"/>
      <c r="AN873" s="1942"/>
      <c r="AO873" s="1942"/>
      <c r="AP873" s="1942"/>
      <c r="AQ873" s="1942"/>
      <c r="AR873" s="1942"/>
      <c r="AS873" s="1942"/>
      <c r="AT873" s="1942"/>
      <c r="AU873" s="1942"/>
      <c r="AV873" s="1942"/>
      <c r="AW873" s="1942"/>
      <c r="AX873" s="1942"/>
      <c r="AY873" s="1942"/>
      <c r="AZ873" s="1942"/>
      <c r="BA873" s="1942"/>
      <c r="BB873" s="575"/>
      <c r="BC873" s="576"/>
      <c r="BD873" s="678"/>
    </row>
    <row r="874" spans="1:56" s="51" customFormat="1" ht="45" hidden="1" outlineLevel="1" x14ac:dyDescent="0.25">
      <c r="A874" s="1267"/>
      <c r="B874" s="228"/>
      <c r="C874" s="1545"/>
      <c r="D874" s="4017"/>
      <c r="E874" s="4005"/>
      <c r="F874" s="3011" t="str">
        <f>E821</f>
        <v>Mini/MultiSplitASHP-Replace_CAC_ElectricHeat_ER1_MF_CompE</v>
      </c>
      <c r="G874" s="3405"/>
      <c r="H874" s="3406"/>
      <c r="I874" s="3411" t="str">
        <f>C821</f>
        <v>351751_2021_12_</v>
      </c>
      <c r="J874" s="2241">
        <f t="shared" si="93"/>
        <v>18837.20930232558</v>
      </c>
      <c r="K874" s="2957">
        <f t="shared" si="91"/>
        <v>1.569767441860465</v>
      </c>
      <c r="L874" s="2243" t="s">
        <v>1092</v>
      </c>
      <c r="M874" s="1570"/>
      <c r="N874" s="2594" t="s">
        <v>1101</v>
      </c>
      <c r="O874" s="2596">
        <v>1518</v>
      </c>
      <c r="P874" s="2595">
        <v>1381</v>
      </c>
      <c r="Q874" s="2670" t="s">
        <v>1097</v>
      </c>
      <c r="R874" s="147"/>
      <c r="S874" s="1831"/>
      <c r="T874" s="123"/>
      <c r="U874" s="123"/>
      <c r="V874" s="4017"/>
      <c r="W874" s="2857"/>
      <c r="X874" s="2857"/>
      <c r="Y874" s="3154">
        <v>18000</v>
      </c>
      <c r="Z874" s="2856">
        <v>18000</v>
      </c>
      <c r="AA874" s="2856">
        <v>18000</v>
      </c>
      <c r="AB874" s="2241">
        <v>18840</v>
      </c>
      <c r="AC874" s="2241">
        <v>18837.20930232558</v>
      </c>
      <c r="AD874" s="2857"/>
      <c r="AE874" s="2857"/>
      <c r="AF874" s="2857"/>
      <c r="AG874" s="697"/>
      <c r="AH874" s="1942"/>
      <c r="AI874" s="1942"/>
      <c r="AJ874" s="1942"/>
      <c r="AK874" s="1942"/>
      <c r="AL874" s="1942"/>
      <c r="AM874" s="1942"/>
      <c r="AN874" s="1942"/>
      <c r="AO874" s="1942"/>
      <c r="AP874" s="1942"/>
      <c r="AQ874" s="1942"/>
      <c r="AR874" s="1942"/>
      <c r="AS874" s="1942"/>
      <c r="AT874" s="1942"/>
      <c r="AU874" s="1942"/>
      <c r="AV874" s="1942"/>
      <c r="AW874" s="1942"/>
      <c r="AX874" s="1942"/>
      <c r="AY874" s="1942"/>
      <c r="AZ874" s="1942"/>
      <c r="BA874" s="1942"/>
      <c r="BB874" s="575"/>
      <c r="BC874" s="576"/>
      <c r="BD874" s="678"/>
    </row>
    <row r="875" spans="1:56" s="51" customFormat="1" ht="45" hidden="1" outlineLevel="1" x14ac:dyDescent="0.25">
      <c r="A875" s="1267"/>
      <c r="B875" s="228"/>
      <c r="C875" s="1545"/>
      <c r="D875" s="4017"/>
      <c r="E875" s="4005"/>
      <c r="F875" s="3011" t="str">
        <f>E827</f>
        <v>Mini/MultiSplitASHP-Replace_CAC_ElectricHeat_ROF_MF_CompE</v>
      </c>
      <c r="G875" s="3405"/>
      <c r="H875" s="3406"/>
      <c r="I875" s="3411" t="str">
        <f>C827</f>
        <v>351801_2021_12_</v>
      </c>
      <c r="J875" s="2241">
        <f t="shared" si="93"/>
        <v>20769.23076923077</v>
      </c>
      <c r="K875" s="2957">
        <f t="shared" si="91"/>
        <v>1.7307692307692308</v>
      </c>
      <c r="L875" s="2243" t="s">
        <v>1092</v>
      </c>
      <c r="M875" s="1570"/>
      <c r="N875" s="2594" t="s">
        <v>975</v>
      </c>
      <c r="O875" s="2596">
        <v>1047</v>
      </c>
      <c r="P875" s="2597" t="s">
        <v>493</v>
      </c>
      <c r="Q875" s="2670" t="s">
        <v>1102</v>
      </c>
      <c r="R875" s="147"/>
      <c r="S875" s="1831"/>
      <c r="T875" s="123"/>
      <c r="U875" s="123"/>
      <c r="V875" s="4017"/>
      <c r="W875" s="2857"/>
      <c r="X875" s="2857"/>
      <c r="Y875" s="3154">
        <v>19200</v>
      </c>
      <c r="Z875" s="2856">
        <v>19200</v>
      </c>
      <c r="AA875" s="2856">
        <v>19200</v>
      </c>
      <c r="AB875" s="2241">
        <v>19200</v>
      </c>
      <c r="AC875" s="2241">
        <v>20769.23076923077</v>
      </c>
      <c r="AD875" s="2857"/>
      <c r="AE875" s="2857"/>
      <c r="AF875" s="2857"/>
      <c r="AG875" s="697"/>
      <c r="AH875" s="1942"/>
      <c r="AI875" s="1942"/>
      <c r="AJ875" s="1942"/>
      <c r="AK875" s="1942"/>
      <c r="AL875" s="1942"/>
      <c r="AM875" s="1942"/>
      <c r="AN875" s="1942"/>
      <c r="AO875" s="1942"/>
      <c r="AP875" s="1942"/>
      <c r="AQ875" s="1942"/>
      <c r="AR875" s="1942"/>
      <c r="AS875" s="1942"/>
      <c r="AT875" s="1942"/>
      <c r="AU875" s="1942"/>
      <c r="AV875" s="1942"/>
      <c r="AW875" s="1942"/>
      <c r="AX875" s="1942"/>
      <c r="AY875" s="1942"/>
      <c r="AZ875" s="1942"/>
      <c r="BA875" s="1942"/>
      <c r="BB875" s="575"/>
      <c r="BC875" s="576"/>
      <c r="BD875" s="678"/>
    </row>
    <row r="876" spans="1:56" s="51" customFormat="1" ht="30.75" hidden="1" outlineLevel="1" thickBot="1" x14ac:dyDescent="0.3">
      <c r="A876" s="1267"/>
      <c r="B876" s="228"/>
      <c r="C876" s="1545"/>
      <c r="D876" s="4089"/>
      <c r="E876" s="4035"/>
      <c r="F876" s="3407" t="str">
        <f>E833</f>
        <v>Mini/MultiSplitASHP_ER1_MF_CompE</v>
      </c>
      <c r="G876" s="3408"/>
      <c r="H876" s="3409"/>
      <c r="I876" s="3412" t="str">
        <f>C833</f>
        <v>351851_2021_12_</v>
      </c>
      <c r="J876" s="2241">
        <f t="shared" si="93"/>
        <v>17727.272727272728</v>
      </c>
      <c r="K876" s="2957">
        <f t="shared" si="91"/>
        <v>1.4772727272727273</v>
      </c>
      <c r="L876" s="2243" t="s">
        <v>1092</v>
      </c>
      <c r="M876" s="1570"/>
      <c r="N876" s="2594" t="s">
        <v>1103</v>
      </c>
      <c r="O876" s="2596">
        <v>0</v>
      </c>
      <c r="P876" s="2597" t="s">
        <v>493</v>
      </c>
      <c r="Q876" s="2670" t="s">
        <v>1102</v>
      </c>
      <c r="R876" s="147"/>
      <c r="S876" s="228"/>
      <c r="T876" s="123"/>
      <c r="U876" s="123"/>
      <c r="V876" s="4089"/>
      <c r="W876" s="2857"/>
      <c r="X876" s="2857"/>
      <c r="Y876" s="3154">
        <v>18000</v>
      </c>
      <c r="Z876" s="2856">
        <v>18000</v>
      </c>
      <c r="AA876" s="2856">
        <v>18000</v>
      </c>
      <c r="AB876" s="2241">
        <v>15375</v>
      </c>
      <c r="AC876" s="2241">
        <v>17727.272727272728</v>
      </c>
      <c r="AD876" s="2860"/>
      <c r="AE876" s="2860"/>
      <c r="AF876" s="2860"/>
      <c r="AG876" s="751"/>
      <c r="AH876" s="1942"/>
      <c r="AI876" s="1942"/>
      <c r="AJ876" s="1942"/>
      <c r="AK876" s="1942"/>
      <c r="AL876" s="1942"/>
      <c r="AM876" s="1942"/>
      <c r="AN876" s="1942"/>
      <c r="AO876" s="1942"/>
      <c r="AP876" s="1942"/>
      <c r="AQ876" s="1942"/>
      <c r="AR876" s="1942"/>
      <c r="AS876" s="1942"/>
      <c r="AT876" s="1942"/>
      <c r="AU876" s="1942"/>
      <c r="AV876" s="1942"/>
      <c r="AW876" s="1942"/>
      <c r="AX876" s="1942"/>
      <c r="AY876" s="1942"/>
      <c r="AZ876" s="1942"/>
      <c r="BA876" s="1942"/>
      <c r="BB876" s="575"/>
      <c r="BC876" s="576"/>
      <c r="BD876" s="678"/>
    </row>
    <row r="877" spans="1:56" s="51" customFormat="1" hidden="1" outlineLevel="1" x14ac:dyDescent="0.25">
      <c r="A877" s="1267"/>
      <c r="B877" s="228"/>
      <c r="C877" s="328"/>
      <c r="D877" s="4015" t="s">
        <v>1104</v>
      </c>
      <c r="E877" s="3989" t="s">
        <v>1105</v>
      </c>
      <c r="F877" s="3013" t="str">
        <f t="shared" ref="F877:F940" si="94">F856</f>
        <v>Mini/MultiSplitAC_ER1_SF</v>
      </c>
      <c r="G877" s="3401"/>
      <c r="H877" s="3402"/>
      <c r="I877" s="3410" t="str">
        <f t="shared" ref="I877:I940" si="95">I856</f>
        <v>351200_2021_12_</v>
      </c>
      <c r="J877" s="752">
        <v>0</v>
      </c>
      <c r="K877" s="745"/>
      <c r="L877" s="4086" t="s">
        <v>528</v>
      </c>
      <c r="M877" s="1570"/>
      <c r="N877" s="2594" t="s">
        <v>870</v>
      </c>
      <c r="O877" s="2598"/>
      <c r="P877" s="660">
        <f>$Q$104</f>
        <v>0.02</v>
      </c>
      <c r="Q877" s="2670" t="s">
        <v>1106</v>
      </c>
      <c r="R877" s="147"/>
      <c r="S877" s="228"/>
      <c r="T877" s="123"/>
      <c r="U877" s="123"/>
      <c r="V877" s="4015" t="s">
        <v>1104</v>
      </c>
      <c r="W877" s="2861">
        <v>0</v>
      </c>
      <c r="X877" s="2861">
        <v>0</v>
      </c>
      <c r="Y877" s="752">
        <v>0</v>
      </c>
      <c r="Z877" s="752">
        <v>0</v>
      </c>
      <c r="AA877" s="752">
        <v>0</v>
      </c>
      <c r="AB877" s="752">
        <v>0</v>
      </c>
      <c r="AC877" s="752">
        <v>0</v>
      </c>
      <c r="AD877" s="2861"/>
      <c r="AE877" s="2861"/>
      <c r="AF877" s="2861"/>
      <c r="AG877" s="747"/>
      <c r="AH877" s="1942"/>
      <c r="AI877" s="1942"/>
      <c r="AJ877" s="1942"/>
      <c r="AK877" s="1942"/>
      <c r="AL877" s="1942"/>
      <c r="AM877" s="1942"/>
      <c r="AN877" s="1942"/>
      <c r="AO877" s="1942"/>
      <c r="AP877" s="1942"/>
      <c r="AQ877" s="1942"/>
      <c r="AR877" s="1942"/>
      <c r="AS877" s="1942"/>
      <c r="AT877" s="1942"/>
      <c r="AU877" s="1942"/>
      <c r="AV877" s="1942"/>
      <c r="AW877" s="1942"/>
      <c r="AX877" s="1942"/>
      <c r="AY877" s="1942"/>
      <c r="AZ877" s="1942"/>
      <c r="BA877" s="1942"/>
      <c r="BB877" s="575"/>
      <c r="BC877" s="576"/>
      <c r="BD877" s="678"/>
    </row>
    <row r="878" spans="1:56" s="51" customFormat="1" ht="30" hidden="1" outlineLevel="1" x14ac:dyDescent="0.25">
      <c r="A878" s="1267"/>
      <c r="B878" s="228"/>
      <c r="C878" s="328"/>
      <c r="D878" s="4016"/>
      <c r="E878" s="3990"/>
      <c r="F878" s="3010" t="str">
        <f t="shared" si="94"/>
        <v>Mini/MultiSplitAC_ROF_SF</v>
      </c>
      <c r="G878" s="3403"/>
      <c r="H878" s="3404"/>
      <c r="I878" s="3411" t="str">
        <f t="shared" si="95"/>
        <v>351250_2021_12_</v>
      </c>
      <c r="J878" s="753">
        <v>0</v>
      </c>
      <c r="K878" s="748"/>
      <c r="L878" s="4091"/>
      <c r="M878" s="1570"/>
      <c r="N878" s="2599" t="s">
        <v>871</v>
      </c>
      <c r="O878" s="2599"/>
      <c r="P878" s="660">
        <f>$Q$105</f>
        <v>5.9499999999999997E-2</v>
      </c>
      <c r="Q878" s="2670" t="s">
        <v>1106</v>
      </c>
      <c r="R878" s="228"/>
      <c r="S878" s="228"/>
      <c r="T878" s="123"/>
      <c r="U878" s="123"/>
      <c r="V878" s="4016"/>
      <c r="W878" s="2857">
        <v>0</v>
      </c>
      <c r="X878" s="2857">
        <v>0</v>
      </c>
      <c r="Y878" s="753">
        <v>0</v>
      </c>
      <c r="Z878" s="753">
        <v>0</v>
      </c>
      <c r="AA878" s="753">
        <v>0</v>
      </c>
      <c r="AB878" s="753">
        <v>0</v>
      </c>
      <c r="AC878" s="753">
        <v>0</v>
      </c>
      <c r="AD878" s="2857"/>
      <c r="AE878" s="2857"/>
      <c r="AF878" s="2857"/>
      <c r="AG878" s="697"/>
      <c r="AH878" s="1942"/>
      <c r="AI878" s="1942"/>
      <c r="AJ878" s="1942"/>
      <c r="AK878" s="1942"/>
      <c r="AL878" s="1942"/>
      <c r="AM878" s="1942"/>
      <c r="AN878" s="1942"/>
      <c r="AO878" s="1942"/>
      <c r="AP878" s="1942"/>
      <c r="AQ878" s="1942"/>
      <c r="AR878" s="1942"/>
      <c r="AS878" s="1942"/>
      <c r="AT878" s="1942"/>
      <c r="AU878" s="1942"/>
      <c r="AV878" s="1942"/>
      <c r="AW878" s="1942"/>
      <c r="AX878" s="1942"/>
      <c r="AY878" s="1942"/>
      <c r="AZ878" s="1942"/>
      <c r="BA878" s="1942"/>
      <c r="BB878" s="575"/>
      <c r="BC878" s="576"/>
      <c r="BD878" s="678"/>
    </row>
    <row r="879" spans="1:56" s="51" customFormat="1" ht="30" hidden="1" outlineLevel="1" x14ac:dyDescent="0.25">
      <c r="A879" s="1267"/>
      <c r="B879" s="228"/>
      <c r="C879" s="328"/>
      <c r="D879" s="4016"/>
      <c r="E879" s="3990"/>
      <c r="F879" s="3010" t="str">
        <f t="shared" si="94"/>
        <v>Mini/MultiSplitASHP_ROF_SF_NC</v>
      </c>
      <c r="G879" s="3403"/>
      <c r="H879" s="3404"/>
      <c r="I879" s="3411" t="str">
        <f t="shared" si="95"/>
        <v>351300_2021_12_</v>
      </c>
      <c r="J879" s="753">
        <v>1034</v>
      </c>
      <c r="K879" s="748"/>
      <c r="L879" s="4091"/>
      <c r="M879" s="1570"/>
      <c r="N879" s="1471" t="s">
        <v>872</v>
      </c>
      <c r="O879" s="1471"/>
      <c r="P879" s="2600">
        <f>J$119</f>
        <v>6</v>
      </c>
      <c r="Q879" s="2670" t="s">
        <v>1107</v>
      </c>
      <c r="R879" s="228"/>
      <c r="S879" s="228"/>
      <c r="T879" s="123"/>
      <c r="U879" s="123"/>
      <c r="V879" s="4016"/>
      <c r="W879" s="2857">
        <v>1496</v>
      </c>
      <c r="X879" s="2857">
        <v>1496</v>
      </c>
      <c r="Y879" s="754">
        <v>1034</v>
      </c>
      <c r="Z879" s="753">
        <v>1034</v>
      </c>
      <c r="AA879" s="753">
        <v>1034</v>
      </c>
      <c r="AB879" s="753">
        <v>1034</v>
      </c>
      <c r="AC879" s="753">
        <v>1034</v>
      </c>
      <c r="AD879" s="2857"/>
      <c r="AE879" s="2857"/>
      <c r="AF879" s="2857"/>
      <c r="AG879" s="697"/>
      <c r="AH879" s="1942"/>
      <c r="AI879" s="1942"/>
      <c r="AJ879" s="1942"/>
      <c r="AK879" s="1942"/>
      <c r="AL879" s="1942"/>
      <c r="AM879" s="1942"/>
      <c r="AN879" s="1942"/>
      <c r="AO879" s="1942"/>
      <c r="AP879" s="1942"/>
      <c r="AQ879" s="1942"/>
      <c r="AR879" s="1942"/>
      <c r="AS879" s="1942"/>
      <c r="AT879" s="1942"/>
      <c r="AU879" s="1942"/>
      <c r="AV879" s="1942"/>
      <c r="AW879" s="1942"/>
      <c r="AX879" s="1942"/>
      <c r="AY879" s="1942"/>
      <c r="AZ879" s="1942"/>
      <c r="BA879" s="1942"/>
      <c r="BB879" s="575"/>
      <c r="BC879" s="576"/>
      <c r="BD879" s="678"/>
    </row>
    <row r="880" spans="1:56" s="51" customFormat="1" ht="30" hidden="1" outlineLevel="1" x14ac:dyDescent="0.25">
      <c r="A880" s="1267"/>
      <c r="B880" s="228"/>
      <c r="C880" s="328"/>
      <c r="D880" s="4016"/>
      <c r="E880" s="3990"/>
      <c r="F880" s="3010" t="str">
        <f t="shared" si="94"/>
        <v>Mini/MultiSplitASHP_ROF_SF</v>
      </c>
      <c r="G880" s="3403"/>
      <c r="H880" s="3404"/>
      <c r="I880" s="3411" t="str">
        <f t="shared" si="95"/>
        <v>351350_2021_12_</v>
      </c>
      <c r="J880" s="753">
        <v>1034</v>
      </c>
      <c r="K880" s="748"/>
      <c r="L880" s="4091"/>
      <c r="M880" s="1570"/>
      <c r="N880" s="2232"/>
      <c r="O880" s="228"/>
      <c r="P880" s="228"/>
      <c r="Q880" s="228"/>
      <c r="R880" s="228"/>
      <c r="S880" s="228"/>
      <c r="T880" s="123"/>
      <c r="U880" s="123"/>
      <c r="V880" s="4016"/>
      <c r="W880" s="2857">
        <v>1496</v>
      </c>
      <c r="X880" s="2857">
        <v>1496</v>
      </c>
      <c r="Y880" s="754">
        <v>1034</v>
      </c>
      <c r="Z880" s="753">
        <v>1034</v>
      </c>
      <c r="AA880" s="753">
        <v>1034</v>
      </c>
      <c r="AB880" s="753">
        <v>1034</v>
      </c>
      <c r="AC880" s="753">
        <v>1034</v>
      </c>
      <c r="AD880" s="2857"/>
      <c r="AE880" s="2857"/>
      <c r="AF880" s="2857"/>
      <c r="AG880" s="697"/>
      <c r="AH880" s="1942"/>
      <c r="AI880" s="1942"/>
      <c r="AJ880" s="1942"/>
      <c r="AK880" s="1942"/>
      <c r="AL880" s="1942"/>
      <c r="AM880" s="1942"/>
      <c r="AN880" s="1942"/>
      <c r="AO880" s="1942"/>
      <c r="AP880" s="1942"/>
      <c r="AQ880" s="1942"/>
      <c r="AR880" s="1942"/>
      <c r="AS880" s="1942"/>
      <c r="AT880" s="1942"/>
      <c r="AU880" s="1942"/>
      <c r="AV880" s="1942"/>
      <c r="AW880" s="1942"/>
      <c r="AX880" s="1942"/>
      <c r="AY880" s="1942"/>
      <c r="AZ880" s="1942"/>
      <c r="BA880" s="1942"/>
      <c r="BB880" s="575"/>
      <c r="BC880" s="576"/>
      <c r="BD880" s="678"/>
    </row>
    <row r="881" spans="1:56" s="51" customFormat="1" ht="45" hidden="1" outlineLevel="1" x14ac:dyDescent="0.25">
      <c r="A881" s="1267"/>
      <c r="B881" s="228"/>
      <c r="C881" s="328"/>
      <c r="D881" s="4016"/>
      <c r="E881" s="3990"/>
      <c r="F881" s="3010" t="str">
        <f t="shared" si="94"/>
        <v>Mini/MultiSplitASHP-Replace_CAC_ElectricHeat_ER1_SF</v>
      </c>
      <c r="G881" s="3403"/>
      <c r="H881" s="3404"/>
      <c r="I881" s="3411" t="str">
        <f t="shared" si="95"/>
        <v>351400_2021_12_</v>
      </c>
      <c r="J881" s="753">
        <v>1034</v>
      </c>
      <c r="K881" s="748"/>
      <c r="L881" s="4091"/>
      <c r="M881" s="1570"/>
      <c r="N881" s="1556"/>
      <c r="O881" s="228"/>
      <c r="P881" s="228"/>
      <c r="Q881" s="228"/>
      <c r="R881" s="228"/>
      <c r="S881" s="228"/>
      <c r="T881" s="123"/>
      <c r="U881" s="123"/>
      <c r="V881" s="4016"/>
      <c r="W881" s="2857">
        <v>1496</v>
      </c>
      <c r="X881" s="2857">
        <v>1496</v>
      </c>
      <c r="Y881" s="754">
        <v>1034</v>
      </c>
      <c r="Z881" s="753">
        <v>1034</v>
      </c>
      <c r="AA881" s="753">
        <v>1034</v>
      </c>
      <c r="AB881" s="753">
        <v>1034</v>
      </c>
      <c r="AC881" s="753">
        <v>1034</v>
      </c>
      <c r="AD881" s="2857"/>
      <c r="AE881" s="2857"/>
      <c r="AF881" s="2857"/>
      <c r="AG881" s="697"/>
      <c r="AH881" s="1942"/>
      <c r="AI881" s="1942"/>
      <c r="AJ881" s="1942"/>
      <c r="AK881" s="1942"/>
      <c r="AL881" s="1942"/>
      <c r="AM881" s="1942"/>
      <c r="AN881" s="1942"/>
      <c r="AO881" s="1942"/>
      <c r="AP881" s="1942"/>
      <c r="AQ881" s="1942"/>
      <c r="AR881" s="1942"/>
      <c r="AS881" s="1942"/>
      <c r="AT881" s="1942"/>
      <c r="AU881" s="1942"/>
      <c r="AV881" s="1942"/>
      <c r="AW881" s="1942"/>
      <c r="AX881" s="1942"/>
      <c r="AY881" s="1942"/>
      <c r="AZ881" s="1942"/>
      <c r="BA881" s="1942"/>
      <c r="BB881" s="575"/>
      <c r="BC881" s="576"/>
      <c r="BD881" s="678"/>
    </row>
    <row r="882" spans="1:56" s="51" customFormat="1" ht="45" hidden="1" outlineLevel="1" x14ac:dyDescent="0.25">
      <c r="A882" s="1267"/>
      <c r="B882" s="228"/>
      <c r="C882" s="328"/>
      <c r="D882" s="4016"/>
      <c r="E882" s="3990"/>
      <c r="F882" s="3010" t="str">
        <f t="shared" si="94"/>
        <v>Mini/MultiSplitASHP-Replace_CAC_ElectricHeat_ROF_SF</v>
      </c>
      <c r="G882" s="3403"/>
      <c r="H882" s="3404"/>
      <c r="I882" s="3411" t="str">
        <f t="shared" si="95"/>
        <v>351450_2021_12_</v>
      </c>
      <c r="J882" s="753">
        <v>1034</v>
      </c>
      <c r="K882" s="748"/>
      <c r="L882" s="4091"/>
      <c r="M882" s="1570"/>
      <c r="N882" s="1556"/>
      <c r="O882" s="228"/>
      <c r="P882" s="228"/>
      <c r="Q882" s="228"/>
      <c r="R882" s="228"/>
      <c r="S882" s="228"/>
      <c r="T882" s="123"/>
      <c r="U882" s="123"/>
      <c r="V882" s="4016"/>
      <c r="W882" s="2857">
        <v>1496</v>
      </c>
      <c r="X882" s="2857">
        <v>1496</v>
      </c>
      <c r="Y882" s="754">
        <v>1034</v>
      </c>
      <c r="Z882" s="753">
        <v>1034</v>
      </c>
      <c r="AA882" s="753">
        <v>1034</v>
      </c>
      <c r="AB882" s="753">
        <v>1034</v>
      </c>
      <c r="AC882" s="753">
        <v>1034</v>
      </c>
      <c r="AD882" s="2857"/>
      <c r="AE882" s="2857"/>
      <c r="AF882" s="2857"/>
      <c r="AG882" s="697"/>
      <c r="AH882" s="1942"/>
      <c r="AI882" s="1942"/>
      <c r="AJ882" s="1942"/>
      <c r="AK882" s="1942"/>
      <c r="AL882" s="1942"/>
      <c r="AM882" s="1942"/>
      <c r="AN882" s="1942"/>
      <c r="AO882" s="1942"/>
      <c r="AP882" s="1942"/>
      <c r="AQ882" s="1942"/>
      <c r="AR882" s="1942"/>
      <c r="AS882" s="1942"/>
      <c r="AT882" s="1942"/>
      <c r="AU882" s="1942"/>
      <c r="AV882" s="1942"/>
      <c r="AW882" s="1942"/>
      <c r="AX882" s="1942"/>
      <c r="AY882" s="1942"/>
      <c r="AZ882" s="1942"/>
      <c r="BA882" s="1942"/>
      <c r="BB882" s="575"/>
      <c r="BC882" s="576"/>
      <c r="BD882" s="678"/>
    </row>
    <row r="883" spans="1:56" s="51" customFormat="1" ht="30" hidden="1" outlineLevel="1" x14ac:dyDescent="0.25">
      <c r="A883" s="1267"/>
      <c r="B883" s="228"/>
      <c r="C883" s="328"/>
      <c r="D883" s="4016"/>
      <c r="E883" s="3990"/>
      <c r="F883" s="3010" t="str">
        <f t="shared" si="94"/>
        <v>Mini/MultiSplitASHP_ER1_SF</v>
      </c>
      <c r="G883" s="3403"/>
      <c r="H883" s="3404"/>
      <c r="I883" s="3411" t="str">
        <f t="shared" si="95"/>
        <v>351500_2021_12_</v>
      </c>
      <c r="J883" s="753">
        <v>1034</v>
      </c>
      <c r="K883" s="748"/>
      <c r="L883" s="4091"/>
      <c r="M883" s="1570"/>
      <c r="N883" s="1556"/>
      <c r="O883" s="228"/>
      <c r="P883" s="228"/>
      <c r="Q883" s="228"/>
      <c r="R883" s="228"/>
      <c r="S883" s="228"/>
      <c r="T883" s="123"/>
      <c r="U883" s="123"/>
      <c r="V883" s="4016"/>
      <c r="W883" s="2857">
        <v>1496</v>
      </c>
      <c r="X883" s="2857">
        <v>1496</v>
      </c>
      <c r="Y883" s="754">
        <v>1034</v>
      </c>
      <c r="Z883" s="753">
        <v>1034</v>
      </c>
      <c r="AA883" s="753">
        <v>1034</v>
      </c>
      <c r="AB883" s="753">
        <v>1034</v>
      </c>
      <c r="AC883" s="753">
        <v>1034</v>
      </c>
      <c r="AD883" s="2857"/>
      <c r="AE883" s="2857"/>
      <c r="AF883" s="2857"/>
      <c r="AG883" s="697"/>
      <c r="AH883" s="1942"/>
      <c r="AI883" s="1942"/>
      <c r="AJ883" s="1942"/>
      <c r="AK883" s="1942"/>
      <c r="AL883" s="1942"/>
      <c r="AM883" s="1942"/>
      <c r="AN883" s="1942"/>
      <c r="AO883" s="1942"/>
      <c r="AP883" s="1942"/>
      <c r="AQ883" s="1942"/>
      <c r="AR883" s="1942"/>
      <c r="AS883" s="1942"/>
      <c r="AT883" s="1942"/>
      <c r="AU883" s="1942"/>
      <c r="AV883" s="1942"/>
      <c r="AW883" s="1942"/>
      <c r="AX883" s="1942"/>
      <c r="AY883" s="1942"/>
      <c r="AZ883" s="1942"/>
      <c r="BA883" s="1942"/>
      <c r="BB883" s="575"/>
      <c r="BC883" s="576"/>
      <c r="BD883" s="678"/>
    </row>
    <row r="884" spans="1:56" s="51" customFormat="1" ht="30" hidden="1" outlineLevel="1" x14ac:dyDescent="0.25">
      <c r="A884" s="1267"/>
      <c r="B884" s="228"/>
      <c r="C884" s="328"/>
      <c r="D884" s="4016"/>
      <c r="E884" s="3990"/>
      <c r="F884" s="3010" t="str">
        <f t="shared" si="94"/>
        <v>Mini/MultiSplitAC_ER1_MF</v>
      </c>
      <c r="G884" s="3403"/>
      <c r="H884" s="3404"/>
      <c r="I884" s="3411" t="str">
        <f t="shared" si="95"/>
        <v>351550_2021_12_</v>
      </c>
      <c r="J884" s="753">
        <v>0</v>
      </c>
      <c r="K884" s="748"/>
      <c r="L884" s="4091"/>
      <c r="M884" s="1570"/>
      <c r="N884" s="1556"/>
      <c r="O884" s="228"/>
      <c r="P884" s="228"/>
      <c r="Q884" s="228"/>
      <c r="R884" s="228"/>
      <c r="S884" s="228"/>
      <c r="T884" s="123"/>
      <c r="U884" s="123"/>
      <c r="V884" s="4016"/>
      <c r="W884" s="2857"/>
      <c r="X884" s="2857"/>
      <c r="Y884" s="754">
        <v>0</v>
      </c>
      <c r="Z884" s="753">
        <v>0</v>
      </c>
      <c r="AA884" s="753">
        <v>0</v>
      </c>
      <c r="AB884" s="753">
        <v>0</v>
      </c>
      <c r="AC884" s="753">
        <v>0</v>
      </c>
      <c r="AD884" s="2857"/>
      <c r="AE884" s="2857"/>
      <c r="AF884" s="2857"/>
      <c r="AG884" s="697"/>
      <c r="AH884" s="1942"/>
      <c r="AI884" s="1942"/>
      <c r="AJ884" s="1942"/>
      <c r="AK884" s="1942"/>
      <c r="AL884" s="1942"/>
      <c r="AM884" s="1942"/>
      <c r="AN884" s="1942"/>
      <c r="AO884" s="1942"/>
      <c r="AP884" s="1942"/>
      <c r="AQ884" s="1942"/>
      <c r="AR884" s="1942"/>
      <c r="AS884" s="1942"/>
      <c r="AT884" s="1942"/>
      <c r="AU884" s="1942"/>
      <c r="AV884" s="1942"/>
      <c r="AW884" s="1942"/>
      <c r="AX884" s="1942"/>
      <c r="AY884" s="1942"/>
      <c r="AZ884" s="1942"/>
      <c r="BA884" s="1942"/>
      <c r="BB884" s="575"/>
      <c r="BC884" s="576"/>
      <c r="BD884" s="678"/>
    </row>
    <row r="885" spans="1:56" s="51" customFormat="1" ht="30" hidden="1" outlineLevel="1" x14ac:dyDescent="0.25">
      <c r="A885" s="1267"/>
      <c r="B885" s="228"/>
      <c r="C885" s="328"/>
      <c r="D885" s="4016"/>
      <c r="E885" s="3990"/>
      <c r="F885" s="3010" t="str">
        <f t="shared" si="94"/>
        <v>Mini/MultiSplitAC_ROF_MF</v>
      </c>
      <c r="G885" s="3403"/>
      <c r="H885" s="3404"/>
      <c r="I885" s="3411" t="str">
        <f t="shared" si="95"/>
        <v>351600_2021_12_</v>
      </c>
      <c r="J885" s="753">
        <v>0</v>
      </c>
      <c r="K885" s="748"/>
      <c r="L885" s="4091"/>
      <c r="M885" s="1570"/>
      <c r="N885" s="1556"/>
      <c r="O885" s="228"/>
      <c r="P885" s="228"/>
      <c r="Q885" s="228"/>
      <c r="R885" s="228"/>
      <c r="S885" s="228"/>
      <c r="T885" s="123"/>
      <c r="U885" s="123"/>
      <c r="V885" s="4016"/>
      <c r="W885" s="2857"/>
      <c r="X885" s="2857"/>
      <c r="Y885" s="754">
        <v>0</v>
      </c>
      <c r="Z885" s="753">
        <v>0</v>
      </c>
      <c r="AA885" s="753">
        <v>0</v>
      </c>
      <c r="AB885" s="753">
        <v>0</v>
      </c>
      <c r="AC885" s="753">
        <v>0</v>
      </c>
      <c r="AD885" s="2857"/>
      <c r="AE885" s="2857"/>
      <c r="AF885" s="2857"/>
      <c r="AG885" s="697"/>
      <c r="AH885" s="1942"/>
      <c r="AI885" s="1942"/>
      <c r="AJ885" s="1942"/>
      <c r="AK885" s="1942"/>
      <c r="AL885" s="1942"/>
      <c r="AM885" s="1942"/>
      <c r="AN885" s="1942"/>
      <c r="AO885" s="1942"/>
      <c r="AP885" s="1942"/>
      <c r="AQ885" s="1942"/>
      <c r="AR885" s="1942"/>
      <c r="AS885" s="1942"/>
      <c r="AT885" s="1942"/>
      <c r="AU885" s="1942"/>
      <c r="AV885" s="1942"/>
      <c r="AW885" s="1942"/>
      <c r="AX885" s="1942"/>
      <c r="AY885" s="1942"/>
      <c r="AZ885" s="1942"/>
      <c r="BA885" s="1942"/>
      <c r="BB885" s="575"/>
      <c r="BC885" s="576"/>
      <c r="BD885" s="678"/>
    </row>
    <row r="886" spans="1:56" s="51" customFormat="1" ht="30" hidden="1" outlineLevel="1" x14ac:dyDescent="0.25">
      <c r="A886" s="1267"/>
      <c r="B886" s="228"/>
      <c r="C886" s="328"/>
      <c r="D886" s="4016"/>
      <c r="E886" s="3990"/>
      <c r="F886" s="3010" t="str">
        <f t="shared" si="94"/>
        <v>Mini/MultiSplitASHP_ROF_MF_NC</v>
      </c>
      <c r="G886" s="3403"/>
      <c r="H886" s="3404"/>
      <c r="I886" s="3411" t="str">
        <f t="shared" si="95"/>
        <v>351650_2021_12_</v>
      </c>
      <c r="J886" s="753">
        <v>1034</v>
      </c>
      <c r="K886" s="748"/>
      <c r="L886" s="4091"/>
      <c r="M886" s="1570"/>
      <c r="N886" s="1556"/>
      <c r="O886" s="228"/>
      <c r="P886" s="228"/>
      <c r="Q886" s="228"/>
      <c r="R886" s="228"/>
      <c r="S886" s="228"/>
      <c r="T886" s="123"/>
      <c r="U886" s="123"/>
      <c r="V886" s="4016"/>
      <c r="W886" s="2857"/>
      <c r="X886" s="2857"/>
      <c r="Y886" s="754">
        <v>1034</v>
      </c>
      <c r="Z886" s="753">
        <v>1034</v>
      </c>
      <c r="AA886" s="753">
        <v>1034</v>
      </c>
      <c r="AB886" s="753">
        <v>1034</v>
      </c>
      <c r="AC886" s="753">
        <v>1034</v>
      </c>
      <c r="AD886" s="2857"/>
      <c r="AE886" s="2857"/>
      <c r="AF886" s="2857"/>
      <c r="AG886" s="697"/>
      <c r="AH886" s="1942"/>
      <c r="AI886" s="1942"/>
      <c r="AJ886" s="1942"/>
      <c r="AK886" s="1942"/>
      <c r="AL886" s="1942"/>
      <c r="AM886" s="1942"/>
      <c r="AN886" s="1942"/>
      <c r="AO886" s="1942"/>
      <c r="AP886" s="1942"/>
      <c r="AQ886" s="1942"/>
      <c r="AR886" s="1942"/>
      <c r="AS886" s="1942"/>
      <c r="AT886" s="1942"/>
      <c r="AU886" s="1942"/>
      <c r="AV886" s="1942"/>
      <c r="AW886" s="1942"/>
      <c r="AX886" s="1942"/>
      <c r="AY886" s="1942"/>
      <c r="AZ886" s="1942"/>
      <c r="BA886" s="1942"/>
      <c r="BB886" s="575"/>
      <c r="BC886" s="576"/>
      <c r="BD886" s="678"/>
    </row>
    <row r="887" spans="1:56" s="51" customFormat="1" ht="30" hidden="1" outlineLevel="1" x14ac:dyDescent="0.25">
      <c r="A887" s="1267"/>
      <c r="B887" s="228"/>
      <c r="C887" s="328"/>
      <c r="D887" s="4016"/>
      <c r="E887" s="3990"/>
      <c r="F887" s="3010" t="str">
        <f t="shared" si="94"/>
        <v>Mini/MultiSplitASHP_ROF_MF</v>
      </c>
      <c r="G887" s="3403"/>
      <c r="H887" s="3404"/>
      <c r="I887" s="3411" t="str">
        <f t="shared" si="95"/>
        <v>351700_2021_12_</v>
      </c>
      <c r="J887" s="753">
        <v>1034</v>
      </c>
      <c r="K887" s="748"/>
      <c r="L887" s="4091"/>
      <c r="M887" s="1570"/>
      <c r="N887" s="1556"/>
      <c r="O887" s="228"/>
      <c r="P887" s="228"/>
      <c r="Q887" s="228"/>
      <c r="R887" s="228"/>
      <c r="S887" s="228"/>
      <c r="T887" s="123"/>
      <c r="U887" s="123"/>
      <c r="V887" s="4016"/>
      <c r="W887" s="2857"/>
      <c r="X887" s="2857"/>
      <c r="Y887" s="754">
        <v>1034</v>
      </c>
      <c r="Z887" s="753">
        <v>1034</v>
      </c>
      <c r="AA887" s="753">
        <v>1034</v>
      </c>
      <c r="AB887" s="753">
        <v>1034</v>
      </c>
      <c r="AC887" s="753">
        <v>1034</v>
      </c>
      <c r="AD887" s="2857"/>
      <c r="AE887" s="2857"/>
      <c r="AF887" s="2857"/>
      <c r="AG887" s="697"/>
      <c r="AH887" s="1942"/>
      <c r="AI887" s="1942"/>
      <c r="AJ887" s="1942"/>
      <c r="AK887" s="1942"/>
      <c r="AL887" s="1942"/>
      <c r="AM887" s="1942"/>
      <c r="AN887" s="1942"/>
      <c r="AO887" s="1942"/>
      <c r="AP887" s="1942"/>
      <c r="AQ887" s="1942"/>
      <c r="AR887" s="1942"/>
      <c r="AS887" s="1942"/>
      <c r="AT887" s="1942"/>
      <c r="AU887" s="1942"/>
      <c r="AV887" s="1942"/>
      <c r="AW887" s="1942"/>
      <c r="AX887" s="1942"/>
      <c r="AY887" s="1942"/>
      <c r="AZ887" s="1942"/>
      <c r="BA887" s="1942"/>
      <c r="BB887" s="575"/>
      <c r="BC887" s="576"/>
      <c r="BD887" s="678"/>
    </row>
    <row r="888" spans="1:56" s="51" customFormat="1" ht="45" hidden="1" outlineLevel="1" x14ac:dyDescent="0.25">
      <c r="A888" s="1267"/>
      <c r="B888" s="228"/>
      <c r="C888" s="328"/>
      <c r="D888" s="4016"/>
      <c r="E888" s="3990"/>
      <c r="F888" s="3010" t="str">
        <f t="shared" si="94"/>
        <v>Mini/MultiSplitASHP-Replace_CAC_ElectricHeat_ER1_MF</v>
      </c>
      <c r="G888" s="3403"/>
      <c r="H888" s="3404"/>
      <c r="I888" s="3411" t="str">
        <f t="shared" si="95"/>
        <v>351750_2021_12_</v>
      </c>
      <c r="J888" s="753">
        <v>1034</v>
      </c>
      <c r="K888" s="748"/>
      <c r="L888" s="4091"/>
      <c r="M888" s="1570"/>
      <c r="N888" s="1556"/>
      <c r="O888" s="228"/>
      <c r="P888" s="228"/>
      <c r="Q888" s="228"/>
      <c r="R888" s="228"/>
      <c r="S888" s="228"/>
      <c r="T888" s="123"/>
      <c r="U888" s="123"/>
      <c r="V888" s="4016"/>
      <c r="W888" s="2857"/>
      <c r="X888" s="2857"/>
      <c r="Y888" s="754">
        <v>1034</v>
      </c>
      <c r="Z888" s="753">
        <v>1034</v>
      </c>
      <c r="AA888" s="753">
        <v>1034</v>
      </c>
      <c r="AB888" s="753">
        <v>1034</v>
      </c>
      <c r="AC888" s="753">
        <v>1034</v>
      </c>
      <c r="AD888" s="2857"/>
      <c r="AE888" s="2857"/>
      <c r="AF888" s="2857"/>
      <c r="AG888" s="697"/>
      <c r="AH888" s="1942"/>
      <c r="AI888" s="1942"/>
      <c r="AJ888" s="1942"/>
      <c r="AK888" s="1942"/>
      <c r="AL888" s="1942"/>
      <c r="AM888" s="1942"/>
      <c r="AN888" s="1942"/>
      <c r="AO888" s="1942"/>
      <c r="AP888" s="1942"/>
      <c r="AQ888" s="1942"/>
      <c r="AR888" s="1942"/>
      <c r="AS888" s="1942"/>
      <c r="AT888" s="1942"/>
      <c r="AU888" s="1942"/>
      <c r="AV888" s="1942"/>
      <c r="AW888" s="1942"/>
      <c r="AX888" s="1942"/>
      <c r="AY888" s="1942"/>
      <c r="AZ888" s="1942"/>
      <c r="BA888" s="1942"/>
      <c r="BB888" s="575"/>
      <c r="BC888" s="576"/>
      <c r="BD888" s="678"/>
    </row>
    <row r="889" spans="1:56" s="51" customFormat="1" ht="45" hidden="1" outlineLevel="1" x14ac:dyDescent="0.25">
      <c r="A889" s="1267"/>
      <c r="B889" s="228"/>
      <c r="C889" s="328"/>
      <c r="D889" s="4016"/>
      <c r="E889" s="3990"/>
      <c r="F889" s="3010" t="str">
        <f t="shared" si="94"/>
        <v>Mini/MultiSplitASHP-Replace_CAC_ElectricHeat_ROF_MF</v>
      </c>
      <c r="G889" s="3403"/>
      <c r="H889" s="3404"/>
      <c r="I889" s="3411" t="str">
        <f t="shared" si="95"/>
        <v>351800_2021_12_</v>
      </c>
      <c r="J889" s="753">
        <v>1034</v>
      </c>
      <c r="K889" s="748"/>
      <c r="L889" s="4091"/>
      <c r="M889" s="1570"/>
      <c r="N889" s="1556"/>
      <c r="O889" s="228"/>
      <c r="P889" s="228"/>
      <c r="Q889" s="228"/>
      <c r="R889" s="228"/>
      <c r="S889" s="228"/>
      <c r="T889" s="123"/>
      <c r="U889" s="123"/>
      <c r="V889" s="4016"/>
      <c r="W889" s="2857"/>
      <c r="X889" s="2857"/>
      <c r="Y889" s="754">
        <v>1034</v>
      </c>
      <c r="Z889" s="753">
        <v>1034</v>
      </c>
      <c r="AA889" s="753">
        <v>1034</v>
      </c>
      <c r="AB889" s="753">
        <v>1034</v>
      </c>
      <c r="AC889" s="753">
        <v>1034</v>
      </c>
      <c r="AD889" s="2857"/>
      <c r="AE889" s="2857"/>
      <c r="AF889" s="2857"/>
      <c r="AG889" s="697"/>
      <c r="AH889" s="1942"/>
      <c r="AI889" s="1942"/>
      <c r="AJ889" s="1942"/>
      <c r="AK889" s="1942"/>
      <c r="AL889" s="1942"/>
      <c r="AM889" s="1942"/>
      <c r="AN889" s="1942"/>
      <c r="AO889" s="1942"/>
      <c r="AP889" s="1942"/>
      <c r="AQ889" s="1942"/>
      <c r="AR889" s="1942"/>
      <c r="AS889" s="1942"/>
      <c r="AT889" s="1942"/>
      <c r="AU889" s="1942"/>
      <c r="AV889" s="1942"/>
      <c r="AW889" s="1942"/>
      <c r="AX889" s="1942"/>
      <c r="AY889" s="1942"/>
      <c r="AZ889" s="1942"/>
      <c r="BA889" s="1942"/>
      <c r="BB889" s="575"/>
      <c r="BC889" s="576"/>
      <c r="BD889" s="678"/>
    </row>
    <row r="890" spans="1:56" s="51" customFormat="1" ht="30" hidden="1" outlineLevel="1" x14ac:dyDescent="0.25">
      <c r="A890" s="1267"/>
      <c r="B890" s="228"/>
      <c r="C890" s="328"/>
      <c r="D890" s="4016"/>
      <c r="E890" s="3990"/>
      <c r="F890" s="3010" t="str">
        <f t="shared" si="94"/>
        <v>Mini/MultiSplitASHP_ER1_MF</v>
      </c>
      <c r="G890" s="3403"/>
      <c r="H890" s="3404"/>
      <c r="I890" s="3411" t="str">
        <f t="shared" si="95"/>
        <v>351850_2021_12_</v>
      </c>
      <c r="J890" s="753">
        <v>1034</v>
      </c>
      <c r="K890" s="748"/>
      <c r="L890" s="4091"/>
      <c r="M890" s="1570"/>
      <c r="N890" s="1556"/>
      <c r="O890" s="228"/>
      <c r="P890" s="228"/>
      <c r="Q890" s="228"/>
      <c r="R890" s="228"/>
      <c r="S890" s="228"/>
      <c r="T890" s="123"/>
      <c r="U890" s="123"/>
      <c r="V890" s="4016"/>
      <c r="W890" s="2857"/>
      <c r="X890" s="2857"/>
      <c r="Y890" s="754">
        <v>1034</v>
      </c>
      <c r="Z890" s="753">
        <v>1034</v>
      </c>
      <c r="AA890" s="753">
        <v>1034</v>
      </c>
      <c r="AB890" s="753">
        <v>1034</v>
      </c>
      <c r="AC890" s="753">
        <v>1034</v>
      </c>
      <c r="AD890" s="2857"/>
      <c r="AE890" s="2857"/>
      <c r="AF890" s="2857"/>
      <c r="AG890" s="697"/>
      <c r="AH890" s="1942"/>
      <c r="AI890" s="1942"/>
      <c r="AJ890" s="1942"/>
      <c r="AK890" s="1942"/>
      <c r="AL890" s="1942"/>
      <c r="AM890" s="1942"/>
      <c r="AN890" s="1942"/>
      <c r="AO890" s="1942"/>
      <c r="AP890" s="1942"/>
      <c r="AQ890" s="1942"/>
      <c r="AR890" s="1942"/>
      <c r="AS890" s="1942"/>
      <c r="AT890" s="1942"/>
      <c r="AU890" s="1942"/>
      <c r="AV890" s="1942"/>
      <c r="AW890" s="1942"/>
      <c r="AX890" s="1942"/>
      <c r="AY890" s="1942"/>
      <c r="AZ890" s="1942"/>
      <c r="BA890" s="1942"/>
      <c r="BB890" s="575"/>
      <c r="BC890" s="576"/>
      <c r="BD890" s="678"/>
    </row>
    <row r="891" spans="1:56" s="51" customFormat="1" ht="30" hidden="1" outlineLevel="1" x14ac:dyDescent="0.25">
      <c r="A891" s="1267"/>
      <c r="B891" s="228"/>
      <c r="C891" s="328"/>
      <c r="D891" s="4017"/>
      <c r="E891" s="4005"/>
      <c r="F891" s="3010" t="str">
        <f t="shared" si="94"/>
        <v>Mini/MultiSplitAC_ER1_MF_CompE</v>
      </c>
      <c r="G891" s="3403"/>
      <c r="H891" s="3404"/>
      <c r="I891" s="3411" t="str">
        <f t="shared" si="95"/>
        <v>351551_2021_12_</v>
      </c>
      <c r="J891" s="1572">
        <v>0</v>
      </c>
      <c r="K891" s="748"/>
      <c r="L891" s="4091"/>
      <c r="M891" s="1570"/>
      <c r="N891" s="1556"/>
      <c r="O891" s="228"/>
      <c r="P891" s="228"/>
      <c r="Q891" s="228"/>
      <c r="R891" s="228"/>
      <c r="S891" s="228"/>
      <c r="T891" s="123"/>
      <c r="U891" s="123"/>
      <c r="V891" s="4017"/>
      <c r="W891" s="2857"/>
      <c r="X891" s="2857"/>
      <c r="Y891" s="755">
        <v>0</v>
      </c>
      <c r="Z891" s="1572">
        <v>0</v>
      </c>
      <c r="AA891" s="1572">
        <v>0</v>
      </c>
      <c r="AB891" s="1572">
        <v>0</v>
      </c>
      <c r="AC891" s="1572">
        <v>0</v>
      </c>
      <c r="AD891" s="2857"/>
      <c r="AE891" s="2857"/>
      <c r="AF891" s="2857"/>
      <c r="AG891" s="697"/>
      <c r="AH891" s="1942"/>
      <c r="AI891" s="1942"/>
      <c r="AJ891" s="1942"/>
      <c r="AK891" s="1942"/>
      <c r="AL891" s="1942"/>
      <c r="AM891" s="1942"/>
      <c r="AN891" s="1942"/>
      <c r="AO891" s="1942"/>
      <c r="AP891" s="1942"/>
      <c r="AQ891" s="1942"/>
      <c r="AR891" s="1942"/>
      <c r="AS891" s="1942"/>
      <c r="AT891" s="1942"/>
      <c r="AU891" s="1942"/>
      <c r="AV891" s="1942"/>
      <c r="AW891" s="1942"/>
      <c r="AX891" s="1942"/>
      <c r="AY891" s="1942"/>
      <c r="AZ891" s="1942"/>
      <c r="BA891" s="1942"/>
      <c r="BB891" s="575"/>
      <c r="BC891" s="576"/>
      <c r="BD891" s="678"/>
    </row>
    <row r="892" spans="1:56" s="51" customFormat="1" ht="30" hidden="1" outlineLevel="1" x14ac:dyDescent="0.25">
      <c r="A892" s="1267"/>
      <c r="B892" s="228"/>
      <c r="C892" s="328"/>
      <c r="D892" s="4017"/>
      <c r="E892" s="4005"/>
      <c r="F892" s="3010" t="str">
        <f t="shared" si="94"/>
        <v>Mini/MultiSplitAC_ROF_MF_CompE</v>
      </c>
      <c r="G892" s="3403"/>
      <c r="H892" s="3404"/>
      <c r="I892" s="3411" t="str">
        <f t="shared" si="95"/>
        <v>351601_2021_12_</v>
      </c>
      <c r="J892" s="1572">
        <v>0</v>
      </c>
      <c r="K892" s="748"/>
      <c r="L892" s="4091"/>
      <c r="M892" s="1570"/>
      <c r="N892" s="1556"/>
      <c r="O892" s="228"/>
      <c r="P892" s="228"/>
      <c r="Q892" s="228"/>
      <c r="R892" s="228"/>
      <c r="S892" s="228"/>
      <c r="T892" s="123"/>
      <c r="U892" s="123"/>
      <c r="V892" s="4017"/>
      <c r="W892" s="2857"/>
      <c r="X892" s="2857"/>
      <c r="Y892" s="755">
        <v>0</v>
      </c>
      <c r="Z892" s="1572">
        <v>0</v>
      </c>
      <c r="AA892" s="1572">
        <v>0</v>
      </c>
      <c r="AB892" s="1572">
        <v>0</v>
      </c>
      <c r="AC892" s="1572">
        <v>0</v>
      </c>
      <c r="AD892" s="2857"/>
      <c r="AE892" s="2857"/>
      <c r="AF892" s="2857"/>
      <c r="AG892" s="697"/>
      <c r="AH892" s="1942"/>
      <c r="AI892" s="1942"/>
      <c r="AJ892" s="1942"/>
      <c r="AK892" s="1942"/>
      <c r="AL892" s="1942"/>
      <c r="AM892" s="1942"/>
      <c r="AN892" s="1942"/>
      <c r="AO892" s="1942"/>
      <c r="AP892" s="1942"/>
      <c r="AQ892" s="1942"/>
      <c r="AR892" s="1942"/>
      <c r="AS892" s="1942"/>
      <c r="AT892" s="1942"/>
      <c r="AU892" s="1942"/>
      <c r="AV892" s="1942"/>
      <c r="AW892" s="1942"/>
      <c r="AX892" s="1942"/>
      <c r="AY892" s="1942"/>
      <c r="AZ892" s="1942"/>
      <c r="BA892" s="1942"/>
      <c r="BB892" s="575"/>
      <c r="BC892" s="576"/>
      <c r="BD892" s="678"/>
    </row>
    <row r="893" spans="1:56" s="51" customFormat="1" ht="30" hidden="1" outlineLevel="1" x14ac:dyDescent="0.25">
      <c r="A893" s="1267"/>
      <c r="B893" s="228"/>
      <c r="C893" s="328"/>
      <c r="D893" s="4017"/>
      <c r="E893" s="4005"/>
      <c r="F893" s="3010" t="str">
        <f t="shared" si="94"/>
        <v>Mini/MultiSplitASHP_ROF_MF_NC_CompE</v>
      </c>
      <c r="G893" s="3403"/>
      <c r="H893" s="3404"/>
      <c r="I893" s="3411" t="str">
        <f t="shared" si="95"/>
        <v>351651_2021_12_</v>
      </c>
      <c r="J893" s="1572">
        <v>393</v>
      </c>
      <c r="K893" s="748"/>
      <c r="L893" s="4091"/>
      <c r="M893" s="1570"/>
      <c r="N893" s="1556"/>
      <c r="O893" s="228"/>
      <c r="P893" s="228"/>
      <c r="Q893" s="228"/>
      <c r="R893" s="228"/>
      <c r="S893" s="228"/>
      <c r="T893" s="123"/>
      <c r="U893" s="123"/>
      <c r="V893" s="4017"/>
      <c r="W893" s="2857"/>
      <c r="X893" s="2857"/>
      <c r="Y893" s="755">
        <v>476</v>
      </c>
      <c r="Z893" s="1572">
        <v>476</v>
      </c>
      <c r="AA893" s="1572">
        <v>476</v>
      </c>
      <c r="AB893" s="1572">
        <v>393</v>
      </c>
      <c r="AC893" s="1572">
        <v>393</v>
      </c>
      <c r="AD893" s="2857"/>
      <c r="AE893" s="2857"/>
      <c r="AF893" s="2857"/>
      <c r="AG893" s="697"/>
      <c r="AH893" s="1942"/>
      <c r="AI893" s="1942"/>
      <c r="AJ893" s="1942"/>
      <c r="AK893" s="1942"/>
      <c r="AL893" s="1942"/>
      <c r="AM893" s="1942"/>
      <c r="AN893" s="1942"/>
      <c r="AO893" s="1942"/>
      <c r="AP893" s="1942"/>
      <c r="AQ893" s="1942"/>
      <c r="AR893" s="1942"/>
      <c r="AS893" s="1942"/>
      <c r="AT893" s="1942"/>
      <c r="AU893" s="1942"/>
      <c r="AV893" s="1942"/>
      <c r="AW893" s="1942"/>
      <c r="AX893" s="1942"/>
      <c r="AY893" s="1942"/>
      <c r="AZ893" s="1942"/>
      <c r="BA893" s="1942"/>
      <c r="BB893" s="575"/>
      <c r="BC893" s="576"/>
      <c r="BD893" s="678"/>
    </row>
    <row r="894" spans="1:56" s="51" customFormat="1" ht="30" hidden="1" outlineLevel="1" x14ac:dyDescent="0.25">
      <c r="A894" s="1267"/>
      <c r="B894" s="228"/>
      <c r="C894" s="328"/>
      <c r="D894" s="4017"/>
      <c r="E894" s="4005"/>
      <c r="F894" s="3010" t="str">
        <f t="shared" si="94"/>
        <v>Mini/MultiSplitASHP_ROF_MF_CompE</v>
      </c>
      <c r="G894" s="3403"/>
      <c r="H894" s="3404"/>
      <c r="I894" s="3411" t="str">
        <f t="shared" si="95"/>
        <v>351701_2021_12_</v>
      </c>
      <c r="J894" s="1572">
        <v>393</v>
      </c>
      <c r="K894" s="748"/>
      <c r="L894" s="4091"/>
      <c r="M894" s="1570"/>
      <c r="N894" s="1556"/>
      <c r="O894" s="228"/>
      <c r="P894" s="228"/>
      <c r="Q894" s="228"/>
      <c r="R894" s="228"/>
      <c r="S894" s="228"/>
      <c r="T894" s="123"/>
      <c r="U894" s="123"/>
      <c r="V894" s="4017"/>
      <c r="W894" s="2857"/>
      <c r="X894" s="2857"/>
      <c r="Y894" s="755">
        <v>476</v>
      </c>
      <c r="Z894" s="1572">
        <v>476</v>
      </c>
      <c r="AA894" s="1572">
        <v>476</v>
      </c>
      <c r="AB894" s="1572">
        <v>393</v>
      </c>
      <c r="AC894" s="1572">
        <v>393</v>
      </c>
      <c r="AD894" s="2857"/>
      <c r="AE894" s="2857"/>
      <c r="AF894" s="2857"/>
      <c r="AG894" s="697"/>
      <c r="AH894" s="1942"/>
      <c r="AI894" s="1942"/>
      <c r="AJ894" s="1942"/>
      <c r="AK894" s="1942"/>
      <c r="AL894" s="1942"/>
      <c r="AM894" s="1942"/>
      <c r="AN894" s="1942"/>
      <c r="AO894" s="1942"/>
      <c r="AP894" s="1942"/>
      <c r="AQ894" s="1942"/>
      <c r="AR894" s="1942"/>
      <c r="AS894" s="1942"/>
      <c r="AT894" s="1942"/>
      <c r="AU894" s="1942"/>
      <c r="AV894" s="1942"/>
      <c r="AW894" s="1942"/>
      <c r="AX894" s="1942"/>
      <c r="AY894" s="1942"/>
      <c r="AZ894" s="1942"/>
      <c r="BA894" s="1942"/>
      <c r="BB894" s="575"/>
      <c r="BC894" s="576"/>
      <c r="BD894" s="678"/>
    </row>
    <row r="895" spans="1:56" s="51" customFormat="1" ht="45" hidden="1" outlineLevel="1" x14ac:dyDescent="0.25">
      <c r="A895" s="1267"/>
      <c r="B895" s="228"/>
      <c r="C895" s="328"/>
      <c r="D895" s="4017"/>
      <c r="E895" s="4005"/>
      <c r="F895" s="3010" t="str">
        <f t="shared" si="94"/>
        <v>Mini/MultiSplitASHP-Replace_CAC_ElectricHeat_ER1_MF_CompE</v>
      </c>
      <c r="G895" s="3403"/>
      <c r="H895" s="3404"/>
      <c r="I895" s="3411" t="str">
        <f t="shared" si="95"/>
        <v>351751_2021_12_</v>
      </c>
      <c r="J895" s="1572">
        <v>393</v>
      </c>
      <c r="K895" s="748"/>
      <c r="L895" s="4091"/>
      <c r="M895" s="1570"/>
      <c r="N895" s="1556"/>
      <c r="O895" s="228"/>
      <c r="P895" s="228"/>
      <c r="Q895" s="228"/>
      <c r="R895" s="228"/>
      <c r="S895" s="228"/>
      <c r="T895" s="123"/>
      <c r="U895" s="123"/>
      <c r="V895" s="4017"/>
      <c r="W895" s="2857"/>
      <c r="X895" s="2857"/>
      <c r="Y895" s="755">
        <v>476</v>
      </c>
      <c r="Z895" s="1572">
        <v>476</v>
      </c>
      <c r="AA895" s="1572">
        <v>476</v>
      </c>
      <c r="AB895" s="1572">
        <v>393</v>
      </c>
      <c r="AC895" s="1572">
        <v>393</v>
      </c>
      <c r="AD895" s="2857"/>
      <c r="AE895" s="2857"/>
      <c r="AF895" s="2857"/>
      <c r="AG895" s="697"/>
      <c r="AH895" s="1942"/>
      <c r="AI895" s="1942"/>
      <c r="AJ895" s="1942"/>
      <c r="AK895" s="1942"/>
      <c r="AL895" s="1942"/>
      <c r="AM895" s="1942"/>
      <c r="AN895" s="1942"/>
      <c r="AO895" s="1942"/>
      <c r="AP895" s="1942"/>
      <c r="AQ895" s="1942"/>
      <c r="AR895" s="1942"/>
      <c r="AS895" s="1942"/>
      <c r="AT895" s="1942"/>
      <c r="AU895" s="1942"/>
      <c r="AV895" s="1942"/>
      <c r="AW895" s="1942"/>
      <c r="AX895" s="1942"/>
      <c r="AY895" s="1942"/>
      <c r="AZ895" s="1942"/>
      <c r="BA895" s="1942"/>
      <c r="BB895" s="575"/>
      <c r="BC895" s="576"/>
      <c r="BD895" s="678"/>
    </row>
    <row r="896" spans="1:56" s="51" customFormat="1" ht="45" hidden="1" outlineLevel="1" x14ac:dyDescent="0.25">
      <c r="A896" s="1267"/>
      <c r="B896" s="228"/>
      <c r="C896" s="328"/>
      <c r="D896" s="4017"/>
      <c r="E896" s="4005"/>
      <c r="F896" s="3010" t="str">
        <f t="shared" si="94"/>
        <v>Mini/MultiSplitASHP-Replace_CAC_ElectricHeat_ROF_MF_CompE</v>
      </c>
      <c r="G896" s="3403"/>
      <c r="H896" s="3404"/>
      <c r="I896" s="3411" t="str">
        <f t="shared" si="95"/>
        <v>351801_2021_12_</v>
      </c>
      <c r="J896" s="1572">
        <v>393</v>
      </c>
      <c r="K896" s="748"/>
      <c r="L896" s="4091"/>
      <c r="M896" s="1570"/>
      <c r="N896" s="1556"/>
      <c r="O896" s="228"/>
      <c r="P896" s="228"/>
      <c r="Q896" s="228"/>
      <c r="R896" s="228"/>
      <c r="S896" s="228"/>
      <c r="T896" s="123"/>
      <c r="U896" s="123"/>
      <c r="V896" s="4017"/>
      <c r="W896" s="2857"/>
      <c r="X896" s="2857"/>
      <c r="Y896" s="755">
        <v>476</v>
      </c>
      <c r="Z896" s="1572">
        <v>476</v>
      </c>
      <c r="AA896" s="1572">
        <v>476</v>
      </c>
      <c r="AB896" s="1572">
        <v>393</v>
      </c>
      <c r="AC896" s="1572">
        <v>393</v>
      </c>
      <c r="AD896" s="2857"/>
      <c r="AE896" s="2857"/>
      <c r="AF896" s="2857"/>
      <c r="AG896" s="697"/>
      <c r="AH896" s="1942"/>
      <c r="AI896" s="1942"/>
      <c r="AJ896" s="1942"/>
      <c r="AK896" s="1942"/>
      <c r="AL896" s="1942"/>
      <c r="AM896" s="1942"/>
      <c r="AN896" s="1942"/>
      <c r="AO896" s="1942"/>
      <c r="AP896" s="1942"/>
      <c r="AQ896" s="1942"/>
      <c r="AR896" s="1942"/>
      <c r="AS896" s="1942"/>
      <c r="AT896" s="1942"/>
      <c r="AU896" s="1942"/>
      <c r="AV896" s="1942"/>
      <c r="AW896" s="1942"/>
      <c r="AX896" s="1942"/>
      <c r="AY896" s="1942"/>
      <c r="AZ896" s="1942"/>
      <c r="BA896" s="1942"/>
      <c r="BB896" s="575"/>
      <c r="BC896" s="576"/>
      <c r="BD896" s="678"/>
    </row>
    <row r="897" spans="1:56" s="51" customFormat="1" ht="30.75" hidden="1" outlineLevel="1" thickBot="1" x14ac:dyDescent="0.3">
      <c r="A897" s="1267"/>
      <c r="B897" s="228"/>
      <c r="C897" s="328"/>
      <c r="D897" s="4089"/>
      <c r="E897" s="4035"/>
      <c r="F897" s="3010" t="str">
        <f t="shared" si="94"/>
        <v>Mini/MultiSplitASHP_ER1_MF_CompE</v>
      </c>
      <c r="G897" s="3403"/>
      <c r="H897" s="3404"/>
      <c r="I897" s="3412" t="str">
        <f t="shared" si="95"/>
        <v>351851_2021_12_</v>
      </c>
      <c r="J897" s="1572">
        <v>393</v>
      </c>
      <c r="K897" s="748"/>
      <c r="L897" s="4092"/>
      <c r="M897" s="1570"/>
      <c r="N897" s="1556"/>
      <c r="O897" s="228"/>
      <c r="P897" s="228"/>
      <c r="Q897" s="228"/>
      <c r="R897" s="228"/>
      <c r="S897" s="228"/>
      <c r="T897" s="123"/>
      <c r="U897" s="123"/>
      <c r="V897" s="4089"/>
      <c r="W897" s="2857"/>
      <c r="X897" s="2857"/>
      <c r="Y897" s="756">
        <v>476</v>
      </c>
      <c r="Z897" s="2215">
        <v>476</v>
      </c>
      <c r="AA897" s="2215">
        <v>476</v>
      </c>
      <c r="AB897" s="1572">
        <v>393</v>
      </c>
      <c r="AC897" s="1572">
        <v>393</v>
      </c>
      <c r="AD897" s="2860"/>
      <c r="AE897" s="2860"/>
      <c r="AF897" s="2860"/>
      <c r="AG897" s="751"/>
      <c r="AH897" s="1942"/>
      <c r="AI897" s="1942"/>
      <c r="AJ897" s="1942"/>
      <c r="AK897" s="1942"/>
      <c r="AL897" s="1942"/>
      <c r="AM897" s="1942"/>
      <c r="AN897" s="1942"/>
      <c r="AO897" s="1942"/>
      <c r="AP897" s="1942"/>
      <c r="AQ897" s="1942"/>
      <c r="AR897" s="1942"/>
      <c r="AS897" s="1942"/>
      <c r="AT897" s="1942"/>
      <c r="AU897" s="1942"/>
      <c r="AV897" s="1942"/>
      <c r="AW897" s="1942"/>
      <c r="AX897" s="1942"/>
      <c r="AY897" s="1942"/>
      <c r="AZ897" s="1942"/>
      <c r="BA897" s="1942"/>
      <c r="BB897" s="575"/>
      <c r="BC897" s="576"/>
      <c r="BD897" s="678"/>
    </row>
    <row r="898" spans="1:56" s="51" customFormat="1" hidden="1" outlineLevel="1" x14ac:dyDescent="0.25">
      <c r="A898" s="1267"/>
      <c r="B898" s="228"/>
      <c r="C898" s="328"/>
      <c r="D898" s="4015" t="s">
        <v>1108</v>
      </c>
      <c r="E898" s="3989" t="s">
        <v>1109</v>
      </c>
      <c r="F898" s="3013" t="str">
        <f t="shared" si="94"/>
        <v>Mini/MultiSplitAC_ER1_SF</v>
      </c>
      <c r="G898" s="3401"/>
      <c r="H898" s="3402"/>
      <c r="I898" s="3410" t="str">
        <f t="shared" si="95"/>
        <v>351200_2021_12_</v>
      </c>
      <c r="J898" s="2858">
        <v>0</v>
      </c>
      <c r="K898" s="745"/>
      <c r="L898" s="746"/>
      <c r="M898" s="1570"/>
      <c r="N898" s="1556"/>
      <c r="O898" s="228"/>
      <c r="P898" s="228"/>
      <c r="Q898" s="228"/>
      <c r="R898" s="228"/>
      <c r="S898" s="228"/>
      <c r="T898" s="123"/>
      <c r="U898" s="123"/>
      <c r="V898" s="4015" t="s">
        <v>1108</v>
      </c>
      <c r="W898" s="2861">
        <v>0</v>
      </c>
      <c r="X898" s="3157">
        <v>0</v>
      </c>
      <c r="Y898" s="2861">
        <v>0</v>
      </c>
      <c r="Z898" s="2861">
        <v>0</v>
      </c>
      <c r="AA898" s="2861">
        <v>0</v>
      </c>
      <c r="AB898" s="2858">
        <v>0</v>
      </c>
      <c r="AC898" s="2858">
        <v>0</v>
      </c>
      <c r="AD898" s="2861"/>
      <c r="AE898" s="2861"/>
      <c r="AF898" s="2861"/>
      <c r="AG898" s="747"/>
      <c r="AH898" s="1942"/>
      <c r="AI898" s="1942"/>
      <c r="AJ898" s="1942"/>
      <c r="AK898" s="1942"/>
      <c r="AL898" s="1942"/>
      <c r="AM898" s="1942"/>
      <c r="AN898" s="1942"/>
      <c r="AO898" s="1942"/>
      <c r="AP898" s="1942"/>
      <c r="AQ898" s="1942"/>
      <c r="AR898" s="1942"/>
      <c r="AS898" s="1942"/>
      <c r="AT898" s="1942"/>
      <c r="AU898" s="1942"/>
      <c r="AV898" s="1942"/>
      <c r="AW898" s="1942"/>
      <c r="AX898" s="1942"/>
      <c r="AY898" s="1942"/>
      <c r="AZ898" s="1942"/>
      <c r="BA898" s="1942"/>
      <c r="BB898" s="575"/>
      <c r="BC898" s="576"/>
      <c r="BD898" s="678"/>
    </row>
    <row r="899" spans="1:56" s="51" customFormat="1" ht="30" hidden="1" outlineLevel="1" x14ac:dyDescent="0.25">
      <c r="A899" s="1267"/>
      <c r="B899" s="228"/>
      <c r="C899" s="328"/>
      <c r="D899" s="4016"/>
      <c r="E899" s="3990"/>
      <c r="F899" s="3010" t="str">
        <f t="shared" si="94"/>
        <v>Mini/MultiSplitAC_ROF_SF</v>
      </c>
      <c r="G899" s="3403"/>
      <c r="H899" s="3404"/>
      <c r="I899" s="3411" t="str">
        <f t="shared" si="95"/>
        <v>351250_2021_12_</v>
      </c>
      <c r="J899" s="2856">
        <v>0</v>
      </c>
      <c r="K899" s="748"/>
      <c r="L899" s="749"/>
      <c r="M899" s="1570"/>
      <c r="N899" s="1556"/>
      <c r="O899" s="228"/>
      <c r="P899" s="228"/>
      <c r="Q899" s="228"/>
      <c r="R899" s="228"/>
      <c r="S899" s="228"/>
      <c r="T899" s="123"/>
      <c r="U899" s="123"/>
      <c r="V899" s="4016"/>
      <c r="W899" s="2857">
        <v>0</v>
      </c>
      <c r="X899" s="3155">
        <v>0</v>
      </c>
      <c r="Y899" s="2857">
        <v>0</v>
      </c>
      <c r="Z899" s="2857">
        <v>0</v>
      </c>
      <c r="AA899" s="2857">
        <v>0</v>
      </c>
      <c r="AB899" s="2856">
        <v>0</v>
      </c>
      <c r="AC899" s="2856">
        <v>0</v>
      </c>
      <c r="AD899" s="2857"/>
      <c r="AE899" s="2857"/>
      <c r="AF899" s="2857"/>
      <c r="AG899" s="697"/>
      <c r="AH899" s="1942"/>
      <c r="AI899" s="1942"/>
      <c r="AJ899" s="1942"/>
      <c r="AK899" s="1942"/>
      <c r="AL899" s="1942"/>
      <c r="AM899" s="1942"/>
      <c r="AN899" s="1942"/>
      <c r="AO899" s="1942"/>
      <c r="AP899" s="1942"/>
      <c r="AQ899" s="1942"/>
      <c r="AR899" s="1942"/>
      <c r="AS899" s="1942"/>
      <c r="AT899" s="1942"/>
      <c r="AU899" s="1942"/>
      <c r="AV899" s="1942"/>
      <c r="AW899" s="1942"/>
      <c r="AX899" s="1942"/>
      <c r="AY899" s="1942"/>
      <c r="AZ899" s="1942"/>
      <c r="BA899" s="1942"/>
      <c r="BB899" s="575"/>
      <c r="BC899" s="576"/>
      <c r="BD899" s="678"/>
    </row>
    <row r="900" spans="1:56" s="51" customFormat="1" ht="30" hidden="1" outlineLevel="1" x14ac:dyDescent="0.25">
      <c r="A900" s="1267"/>
      <c r="B900" s="228"/>
      <c r="C900" s="328"/>
      <c r="D900" s="4016"/>
      <c r="E900" s="3990"/>
      <c r="F900" s="3010" t="str">
        <f t="shared" si="94"/>
        <v>Mini/MultiSplitASHP_ROF_SF_NC</v>
      </c>
      <c r="G900" s="3403"/>
      <c r="H900" s="3404"/>
      <c r="I900" s="3411" t="str">
        <f t="shared" si="95"/>
        <v>351300_2021_12_</v>
      </c>
      <c r="J900" s="2856">
        <v>8.1999999999999993</v>
      </c>
      <c r="K900" s="748"/>
      <c r="L900" s="4081" t="s">
        <v>1110</v>
      </c>
      <c r="M900" s="1570"/>
      <c r="N900" s="1556"/>
      <c r="O900" s="228"/>
      <c r="P900" s="228"/>
      <c r="Q900" s="228"/>
      <c r="R900" s="228"/>
      <c r="S900" s="228"/>
      <c r="T900" s="123"/>
      <c r="U900" s="123"/>
      <c r="V900" s="4016"/>
      <c r="W900" s="2857">
        <v>7.7</v>
      </c>
      <c r="X900" s="3155">
        <v>8.1999999999999993</v>
      </c>
      <c r="Y900" s="2857">
        <v>8.1999999999999993</v>
      </c>
      <c r="Z900" s="2857">
        <v>8.1999999999999993</v>
      </c>
      <c r="AA900" s="2857">
        <v>8.1999999999999993</v>
      </c>
      <c r="AB900" s="2856">
        <v>8.1999999999999993</v>
      </c>
      <c r="AC900" s="2856">
        <v>8.1999999999999993</v>
      </c>
      <c r="AD900" s="2857"/>
      <c r="AE900" s="2857"/>
      <c r="AF900" s="2857"/>
      <c r="AG900" s="697"/>
      <c r="AH900" s="1942"/>
      <c r="AI900" s="1942"/>
      <c r="AJ900" s="1942"/>
      <c r="AK900" s="1942"/>
      <c r="AL900" s="1942"/>
      <c r="AM900" s="1942"/>
      <c r="AN900" s="1942"/>
      <c r="AO900" s="1942"/>
      <c r="AP900" s="1942"/>
      <c r="AQ900" s="1942"/>
      <c r="AR900" s="1942"/>
      <c r="AS900" s="1942"/>
      <c r="AT900" s="1942"/>
      <c r="AU900" s="1942"/>
      <c r="AV900" s="1942"/>
      <c r="AW900" s="1942"/>
      <c r="AX900" s="1942"/>
      <c r="AY900" s="1942"/>
      <c r="AZ900" s="1942"/>
      <c r="BA900" s="1942"/>
      <c r="BB900" s="575"/>
      <c r="BC900" s="576"/>
      <c r="BD900" s="678"/>
    </row>
    <row r="901" spans="1:56" s="51" customFormat="1" ht="30" hidden="1" outlineLevel="1" x14ac:dyDescent="0.25">
      <c r="A901" s="1267"/>
      <c r="B901" s="228"/>
      <c r="C901" s="328"/>
      <c r="D901" s="4016"/>
      <c r="E901" s="3990"/>
      <c r="F901" s="3010" t="str">
        <f t="shared" si="94"/>
        <v>Mini/MultiSplitASHP_ROF_SF</v>
      </c>
      <c r="G901" s="3403"/>
      <c r="H901" s="3404"/>
      <c r="I901" s="3411" t="str">
        <f t="shared" si="95"/>
        <v>351350_2021_12_</v>
      </c>
      <c r="J901" s="2856">
        <v>8.1999999999999993</v>
      </c>
      <c r="K901" s="748"/>
      <c r="L901" s="4082"/>
      <c r="M901" s="1550"/>
      <c r="N901" s="1556"/>
      <c r="O901" s="228"/>
      <c r="P901" s="228"/>
      <c r="Q901" s="228"/>
      <c r="R901" s="228"/>
      <c r="S901" s="228"/>
      <c r="T901" s="123"/>
      <c r="U901" s="123"/>
      <c r="V901" s="4016"/>
      <c r="W901" s="2857">
        <v>7.7</v>
      </c>
      <c r="X901" s="3155">
        <v>8.1999999999999993</v>
      </c>
      <c r="Y901" s="2857">
        <v>8.1999999999999993</v>
      </c>
      <c r="Z901" s="2857">
        <v>8.1999999999999993</v>
      </c>
      <c r="AA901" s="2857">
        <v>8.1999999999999993</v>
      </c>
      <c r="AB901" s="2856">
        <v>8.1999999999999993</v>
      </c>
      <c r="AC901" s="2856">
        <v>8.1999999999999993</v>
      </c>
      <c r="AD901" s="2857"/>
      <c r="AE901" s="2857"/>
      <c r="AF901" s="2857"/>
      <c r="AG901" s="697"/>
      <c r="AH901" s="1942"/>
      <c r="AI901" s="1942"/>
      <c r="AJ901" s="1942"/>
      <c r="AK901" s="1942"/>
      <c r="AL901" s="1942"/>
      <c r="AM901" s="1942"/>
      <c r="AN901" s="1942"/>
      <c r="AO901" s="1942"/>
      <c r="AP901" s="1942"/>
      <c r="AQ901" s="1942"/>
      <c r="AR901" s="1942"/>
      <c r="AS901" s="1942"/>
      <c r="AT901" s="1942"/>
      <c r="AU901" s="1942"/>
      <c r="AV901" s="1942"/>
      <c r="AW901" s="1942"/>
      <c r="AX901" s="1942"/>
      <c r="AY901" s="1942"/>
      <c r="AZ901" s="1942"/>
      <c r="BA901" s="1942"/>
      <c r="BB901" s="575"/>
      <c r="BC901" s="576"/>
      <c r="BD901" s="678"/>
    </row>
    <row r="902" spans="1:56" s="51" customFormat="1" ht="45" hidden="1" outlineLevel="1" x14ac:dyDescent="0.25">
      <c r="A902" s="1267"/>
      <c r="B902" s="228"/>
      <c r="C902" s="328"/>
      <c r="D902" s="4016"/>
      <c r="E902" s="3990"/>
      <c r="F902" s="3010" t="str">
        <f t="shared" si="94"/>
        <v>Mini/MultiSplitASHP-Replace_CAC_ElectricHeat_ER1_SF</v>
      </c>
      <c r="G902" s="3403"/>
      <c r="H902" s="3404"/>
      <c r="I902" s="3411" t="str">
        <f t="shared" si="95"/>
        <v>351400_2021_12_</v>
      </c>
      <c r="J902" s="2856">
        <v>3.4119999999999999</v>
      </c>
      <c r="K902" s="748"/>
      <c r="L902" s="4082"/>
      <c r="M902" s="1550"/>
      <c r="N902" s="1556"/>
      <c r="O902" s="228"/>
      <c r="P902" s="228"/>
      <c r="Q902" s="228"/>
      <c r="R902" s="228"/>
      <c r="S902" s="228"/>
      <c r="T902" s="123"/>
      <c r="U902" s="123"/>
      <c r="V902" s="4016"/>
      <c r="W902" s="2857">
        <v>7.7</v>
      </c>
      <c r="X902" s="3155">
        <v>3.41</v>
      </c>
      <c r="Y902" s="2857">
        <v>3.4119999999999999</v>
      </c>
      <c r="Z902" s="2857">
        <v>3.4119999999999999</v>
      </c>
      <c r="AA902" s="2857">
        <v>3.4119999999999999</v>
      </c>
      <c r="AB902" s="2856">
        <v>3.4119999999999999</v>
      </c>
      <c r="AC902" s="2856">
        <v>3.4119999999999999</v>
      </c>
      <c r="AD902" s="2857"/>
      <c r="AE902" s="2857"/>
      <c r="AF902" s="2857"/>
      <c r="AG902" s="697"/>
      <c r="AH902" s="1942"/>
      <c r="AI902" s="1942"/>
      <c r="AJ902" s="1942"/>
      <c r="AK902" s="1942"/>
      <c r="AL902" s="1942"/>
      <c r="AM902" s="1942"/>
      <c r="AN902" s="1942"/>
      <c r="AO902" s="1942"/>
      <c r="AP902" s="1942"/>
      <c r="AQ902" s="1942"/>
      <c r="AR902" s="1942"/>
      <c r="AS902" s="1942"/>
      <c r="AT902" s="1942"/>
      <c r="AU902" s="1942"/>
      <c r="AV902" s="1942"/>
      <c r="AW902" s="1942"/>
      <c r="AX902" s="1942"/>
      <c r="AY902" s="1942"/>
      <c r="AZ902" s="1942"/>
      <c r="BA902" s="1942"/>
      <c r="BB902" s="575"/>
      <c r="BC902" s="576"/>
      <c r="BD902" s="678"/>
    </row>
    <row r="903" spans="1:56" s="51" customFormat="1" ht="45" hidden="1" outlineLevel="1" x14ac:dyDescent="0.25">
      <c r="A903" s="1267"/>
      <c r="B903" s="228"/>
      <c r="C903" s="328"/>
      <c r="D903" s="4016"/>
      <c r="E903" s="3990"/>
      <c r="F903" s="3010" t="str">
        <f t="shared" si="94"/>
        <v>Mini/MultiSplitASHP-Replace_CAC_ElectricHeat_ROF_SF</v>
      </c>
      <c r="G903" s="3403"/>
      <c r="H903" s="3404"/>
      <c r="I903" s="3411" t="str">
        <f t="shared" si="95"/>
        <v>351450_2021_12_</v>
      </c>
      <c r="J903" s="2856">
        <v>3.4119999999999999</v>
      </c>
      <c r="K903" s="748"/>
      <c r="L903" s="4082"/>
      <c r="M903" s="1550"/>
      <c r="N903" s="1556"/>
      <c r="O903" s="228"/>
      <c r="P903" s="228"/>
      <c r="Q903" s="228"/>
      <c r="R903" s="228"/>
      <c r="S903" s="228"/>
      <c r="T903" s="123"/>
      <c r="U903" s="123"/>
      <c r="V903" s="4016"/>
      <c r="W903" s="2857">
        <v>7.7</v>
      </c>
      <c r="X903" s="3155">
        <v>3.41</v>
      </c>
      <c r="Y903" s="2857">
        <v>3.4119999999999999</v>
      </c>
      <c r="Z903" s="2857">
        <v>3.4119999999999999</v>
      </c>
      <c r="AA903" s="2857">
        <v>3.4119999999999999</v>
      </c>
      <c r="AB903" s="2856">
        <v>3.4119999999999999</v>
      </c>
      <c r="AC903" s="2856">
        <v>3.4119999999999999</v>
      </c>
      <c r="AD903" s="2857"/>
      <c r="AE903" s="2857"/>
      <c r="AF903" s="2857"/>
      <c r="AG903" s="697"/>
      <c r="AH903" s="1942"/>
      <c r="AI903" s="1942"/>
      <c r="AJ903" s="1942"/>
      <c r="AK903" s="1942"/>
      <c r="AL903" s="1942"/>
      <c r="AM903" s="1942"/>
      <c r="AN903" s="1942"/>
      <c r="AO903" s="1942"/>
      <c r="AP903" s="1942"/>
      <c r="AQ903" s="1942"/>
      <c r="AR903" s="1942"/>
      <c r="AS903" s="1942"/>
      <c r="AT903" s="1942"/>
      <c r="AU903" s="1942"/>
      <c r="AV903" s="1942"/>
      <c r="AW903" s="1942"/>
      <c r="AX903" s="1942"/>
      <c r="AY903" s="1942"/>
      <c r="AZ903" s="1942"/>
      <c r="BA903" s="1942"/>
      <c r="BB903" s="575"/>
      <c r="BC903" s="576"/>
      <c r="BD903" s="678"/>
    </row>
    <row r="904" spans="1:56" s="51" customFormat="1" ht="30" hidden="1" outlineLevel="1" x14ac:dyDescent="0.25">
      <c r="A904" s="1267"/>
      <c r="B904" s="228"/>
      <c r="C904" s="328"/>
      <c r="D904" s="4016"/>
      <c r="E904" s="3990"/>
      <c r="F904" s="3010" t="str">
        <f t="shared" si="94"/>
        <v>Mini/MultiSplitASHP_ER1_SF</v>
      </c>
      <c r="G904" s="3403"/>
      <c r="H904" s="3404"/>
      <c r="I904" s="3411" t="str">
        <f t="shared" si="95"/>
        <v>351500_2021_12_</v>
      </c>
      <c r="J904" s="2856">
        <v>6.58</v>
      </c>
      <c r="K904" s="748"/>
      <c r="L904" s="4090"/>
      <c r="M904" s="1570"/>
      <c r="N904" s="1556"/>
      <c r="O904" s="228"/>
      <c r="P904" s="228"/>
      <c r="Q904" s="228"/>
      <c r="R904" s="228"/>
      <c r="S904" s="228"/>
      <c r="T904" s="123"/>
      <c r="U904" s="123"/>
      <c r="V904" s="4016"/>
      <c r="W904" s="2857">
        <v>7.7</v>
      </c>
      <c r="X904" s="3155">
        <v>6.58</v>
      </c>
      <c r="Y904" s="2857">
        <v>6.58</v>
      </c>
      <c r="Z904" s="2857">
        <v>6.58</v>
      </c>
      <c r="AA904" s="2857">
        <v>6.58</v>
      </c>
      <c r="AB904" s="2856">
        <v>6.58</v>
      </c>
      <c r="AC904" s="2856">
        <v>6.58</v>
      </c>
      <c r="AD904" s="2857"/>
      <c r="AE904" s="2857"/>
      <c r="AF904" s="2857"/>
      <c r="AG904" s="697"/>
      <c r="AH904" s="1942"/>
      <c r="AI904" s="1942"/>
      <c r="AJ904" s="1942"/>
      <c r="AK904" s="1942"/>
      <c r="AL904" s="1942"/>
      <c r="AM904" s="1942"/>
      <c r="AN904" s="1942"/>
      <c r="AO904" s="1942"/>
      <c r="AP904" s="1942"/>
      <c r="AQ904" s="1942"/>
      <c r="AR904" s="1942"/>
      <c r="AS904" s="1942"/>
      <c r="AT904" s="1942"/>
      <c r="AU904" s="1942"/>
      <c r="AV904" s="1942"/>
      <c r="AW904" s="1942"/>
      <c r="AX904" s="1942"/>
      <c r="AY904" s="1942"/>
      <c r="AZ904" s="1942"/>
      <c r="BA904" s="1942"/>
      <c r="BB904" s="575"/>
      <c r="BC904" s="576"/>
      <c r="BD904" s="678"/>
    </row>
    <row r="905" spans="1:56" s="51" customFormat="1" ht="30" hidden="1" outlineLevel="1" x14ac:dyDescent="0.25">
      <c r="A905" s="1267"/>
      <c r="B905" s="228"/>
      <c r="C905" s="328"/>
      <c r="D905" s="4016"/>
      <c r="E905" s="3990"/>
      <c r="F905" s="3010" t="str">
        <f t="shared" si="94"/>
        <v>Mini/MultiSplitAC_ER1_MF</v>
      </c>
      <c r="G905" s="3403"/>
      <c r="H905" s="3404"/>
      <c r="I905" s="3411" t="str">
        <f t="shared" si="95"/>
        <v>351550_2021_12_</v>
      </c>
      <c r="J905" s="2856">
        <f>J898</f>
        <v>0</v>
      </c>
      <c r="K905" s="748"/>
      <c r="L905" s="749"/>
      <c r="M905" s="1570"/>
      <c r="N905" s="1556"/>
      <c r="O905" s="228"/>
      <c r="P905" s="228"/>
      <c r="Q905" s="228"/>
      <c r="R905" s="228"/>
      <c r="S905" s="228"/>
      <c r="T905" s="123"/>
      <c r="U905" s="123"/>
      <c r="V905" s="4016"/>
      <c r="W905" s="2857"/>
      <c r="X905" s="3155"/>
      <c r="Y905" s="3155">
        <v>0</v>
      </c>
      <c r="Z905" s="2857">
        <v>0</v>
      </c>
      <c r="AA905" s="2857">
        <v>0</v>
      </c>
      <c r="AB905" s="2856">
        <v>0</v>
      </c>
      <c r="AC905" s="2856">
        <v>0</v>
      </c>
      <c r="AD905" s="2857"/>
      <c r="AE905" s="2857"/>
      <c r="AF905" s="2857"/>
      <c r="AG905" s="697"/>
      <c r="AH905" s="1942"/>
      <c r="AI905" s="1942"/>
      <c r="AJ905" s="1942"/>
      <c r="AK905" s="1942"/>
      <c r="AL905" s="1942"/>
      <c r="AM905" s="1942"/>
      <c r="AN905" s="1942"/>
      <c r="AO905" s="1942"/>
      <c r="AP905" s="1942"/>
      <c r="AQ905" s="1942"/>
      <c r="AR905" s="1942"/>
      <c r="AS905" s="1942"/>
      <c r="AT905" s="1942"/>
      <c r="AU905" s="1942"/>
      <c r="AV905" s="1942"/>
      <c r="AW905" s="1942"/>
      <c r="AX905" s="1942"/>
      <c r="AY905" s="1942"/>
      <c r="AZ905" s="1942"/>
      <c r="BA905" s="1942"/>
      <c r="BB905" s="575"/>
      <c r="BC905" s="576"/>
      <c r="BD905" s="678"/>
    </row>
    <row r="906" spans="1:56" s="51" customFormat="1" ht="30" hidden="1" outlineLevel="1" x14ac:dyDescent="0.25">
      <c r="A906" s="1267"/>
      <c r="B906" s="228"/>
      <c r="C906" s="328"/>
      <c r="D906" s="4016"/>
      <c r="E906" s="3990"/>
      <c r="F906" s="3010" t="str">
        <f t="shared" si="94"/>
        <v>Mini/MultiSplitAC_ROF_MF</v>
      </c>
      <c r="G906" s="3403"/>
      <c r="H906" s="3404"/>
      <c r="I906" s="3411" t="str">
        <f t="shared" si="95"/>
        <v>351600_2021_12_</v>
      </c>
      <c r="J906" s="2856">
        <f t="shared" ref="J906:J911" si="96">J899</f>
        <v>0</v>
      </c>
      <c r="K906" s="748"/>
      <c r="L906" s="749"/>
      <c r="M906" s="1570"/>
      <c r="N906" s="1556"/>
      <c r="O906" s="228"/>
      <c r="P906" s="228"/>
      <c r="Q906" s="228"/>
      <c r="R906" s="228"/>
      <c r="S906" s="228"/>
      <c r="T906" s="123"/>
      <c r="U906" s="123"/>
      <c r="V906" s="4016"/>
      <c r="W906" s="2857"/>
      <c r="X906" s="3155"/>
      <c r="Y906" s="3155">
        <v>0</v>
      </c>
      <c r="Z906" s="2857">
        <v>0</v>
      </c>
      <c r="AA906" s="2857">
        <v>0</v>
      </c>
      <c r="AB906" s="2856">
        <v>0</v>
      </c>
      <c r="AC906" s="2856">
        <v>0</v>
      </c>
      <c r="AD906" s="2857"/>
      <c r="AE906" s="2857"/>
      <c r="AF906" s="2857"/>
      <c r="AG906" s="697"/>
      <c r="AH906" s="1942"/>
      <c r="AI906" s="1942"/>
      <c r="AJ906" s="1942"/>
      <c r="AK906" s="1942"/>
      <c r="AL906" s="1942"/>
      <c r="AM906" s="1942"/>
      <c r="AN906" s="1942"/>
      <c r="AO906" s="1942"/>
      <c r="AP906" s="1942"/>
      <c r="AQ906" s="1942"/>
      <c r="AR906" s="1942"/>
      <c r="AS906" s="1942"/>
      <c r="AT906" s="1942"/>
      <c r="AU906" s="1942"/>
      <c r="AV906" s="1942"/>
      <c r="AW906" s="1942"/>
      <c r="AX906" s="1942"/>
      <c r="AY906" s="1942"/>
      <c r="AZ906" s="1942"/>
      <c r="BA906" s="1942"/>
      <c r="BB906" s="575"/>
      <c r="BC906" s="576"/>
      <c r="BD906" s="678"/>
    </row>
    <row r="907" spans="1:56" s="51" customFormat="1" ht="30" hidden="1" outlineLevel="1" x14ac:dyDescent="0.25">
      <c r="A907" s="1267"/>
      <c r="B907" s="228"/>
      <c r="C907" s="328"/>
      <c r="D907" s="4016"/>
      <c r="E907" s="3990"/>
      <c r="F907" s="3010" t="str">
        <f t="shared" si="94"/>
        <v>Mini/MultiSplitASHP_ROF_MF_NC</v>
      </c>
      <c r="G907" s="3403"/>
      <c r="H907" s="3404"/>
      <c r="I907" s="3411" t="str">
        <f t="shared" si="95"/>
        <v>351650_2021_12_</v>
      </c>
      <c r="J907" s="2856">
        <f t="shared" si="96"/>
        <v>8.1999999999999993</v>
      </c>
      <c r="K907" s="748"/>
      <c r="L907" s="749"/>
      <c r="M907" s="1570"/>
      <c r="N907" s="1556"/>
      <c r="O907" s="228"/>
      <c r="P907" s="228"/>
      <c r="Q907" s="228"/>
      <c r="R907" s="228"/>
      <c r="S907" s="228"/>
      <c r="T907" s="123"/>
      <c r="U907" s="123"/>
      <c r="V907" s="4016"/>
      <c r="W907" s="2857"/>
      <c r="X907" s="3155"/>
      <c r="Y907" s="3155">
        <v>8.1999999999999993</v>
      </c>
      <c r="Z907" s="2857">
        <v>8.1999999999999993</v>
      </c>
      <c r="AA907" s="2857">
        <v>8.1999999999999993</v>
      </c>
      <c r="AB907" s="2856">
        <v>8.1999999999999993</v>
      </c>
      <c r="AC907" s="2856">
        <v>8.1999999999999993</v>
      </c>
      <c r="AD907" s="2857"/>
      <c r="AE907" s="2857"/>
      <c r="AF907" s="2857"/>
      <c r="AG907" s="697"/>
      <c r="AH907" s="1942"/>
      <c r="AI907" s="1942"/>
      <c r="AJ907" s="1942"/>
      <c r="AK907" s="1942"/>
      <c r="AL907" s="1942"/>
      <c r="AM907" s="1942"/>
      <c r="AN907" s="1942"/>
      <c r="AO907" s="1942"/>
      <c r="AP907" s="1942"/>
      <c r="AQ907" s="1942"/>
      <c r="AR907" s="1942"/>
      <c r="AS907" s="1942"/>
      <c r="AT907" s="1942"/>
      <c r="AU907" s="1942"/>
      <c r="AV907" s="1942"/>
      <c r="AW907" s="1942"/>
      <c r="AX907" s="1942"/>
      <c r="AY907" s="1942"/>
      <c r="AZ907" s="1942"/>
      <c r="BA907" s="1942"/>
      <c r="BB907" s="575"/>
      <c r="BC907" s="576"/>
      <c r="BD907" s="678"/>
    </row>
    <row r="908" spans="1:56" s="51" customFormat="1" ht="30" hidden="1" outlineLevel="1" x14ac:dyDescent="0.25">
      <c r="A908" s="1267"/>
      <c r="B908" s="228"/>
      <c r="C908" s="328"/>
      <c r="D908" s="4016"/>
      <c r="E908" s="3990"/>
      <c r="F908" s="3010" t="str">
        <f t="shared" si="94"/>
        <v>Mini/MultiSplitASHP_ROF_MF</v>
      </c>
      <c r="G908" s="3403"/>
      <c r="H908" s="3404"/>
      <c r="I908" s="3411" t="str">
        <f t="shared" si="95"/>
        <v>351700_2021_12_</v>
      </c>
      <c r="J908" s="2856">
        <f t="shared" si="96"/>
        <v>8.1999999999999993</v>
      </c>
      <c r="K908" s="748"/>
      <c r="L908" s="749"/>
      <c r="M908" s="1570"/>
      <c r="N908" s="1556"/>
      <c r="O908" s="228"/>
      <c r="P908" s="228"/>
      <c r="Q908" s="228"/>
      <c r="R908" s="228"/>
      <c r="S908" s="228"/>
      <c r="T908" s="123"/>
      <c r="U908" s="123"/>
      <c r="V908" s="4016"/>
      <c r="W908" s="2857"/>
      <c r="X908" s="3155"/>
      <c r="Y908" s="3155">
        <v>8.1999999999999993</v>
      </c>
      <c r="Z908" s="2857">
        <v>8.1999999999999993</v>
      </c>
      <c r="AA908" s="2857">
        <v>8.1999999999999993</v>
      </c>
      <c r="AB908" s="2856">
        <v>8.1999999999999993</v>
      </c>
      <c r="AC908" s="2856">
        <v>8.1999999999999993</v>
      </c>
      <c r="AD908" s="2857"/>
      <c r="AE908" s="2857"/>
      <c r="AF908" s="2857"/>
      <c r="AG908" s="697"/>
      <c r="AH908" s="1942"/>
      <c r="AI908" s="1942"/>
      <c r="AJ908" s="1942"/>
      <c r="AK908" s="1942"/>
      <c r="AL908" s="1942"/>
      <c r="AM908" s="1942"/>
      <c r="AN908" s="1942"/>
      <c r="AO908" s="1942"/>
      <c r="AP908" s="1942"/>
      <c r="AQ908" s="1942"/>
      <c r="AR908" s="1942"/>
      <c r="AS908" s="1942"/>
      <c r="AT908" s="1942"/>
      <c r="AU908" s="1942"/>
      <c r="AV908" s="1942"/>
      <c r="AW908" s="1942"/>
      <c r="AX908" s="1942"/>
      <c r="AY908" s="1942"/>
      <c r="AZ908" s="1942"/>
      <c r="BA908" s="1942"/>
      <c r="BB908" s="575"/>
      <c r="BC908" s="576"/>
      <c r="BD908" s="678"/>
    </row>
    <row r="909" spans="1:56" s="51" customFormat="1" ht="45" hidden="1" outlineLevel="1" x14ac:dyDescent="0.25">
      <c r="A909" s="1267"/>
      <c r="B909" s="228"/>
      <c r="C909" s="328"/>
      <c r="D909" s="4016"/>
      <c r="E909" s="3990"/>
      <c r="F909" s="3010" t="str">
        <f t="shared" si="94"/>
        <v>Mini/MultiSplitASHP-Replace_CAC_ElectricHeat_ER1_MF</v>
      </c>
      <c r="G909" s="3403"/>
      <c r="H909" s="3404"/>
      <c r="I909" s="3411" t="str">
        <f t="shared" si="95"/>
        <v>351750_2021_12_</v>
      </c>
      <c r="J909" s="2856">
        <f t="shared" si="96"/>
        <v>3.4119999999999999</v>
      </c>
      <c r="K909" s="748"/>
      <c r="L909" s="749"/>
      <c r="M909" s="1570"/>
      <c r="N909" s="1556"/>
      <c r="O909" s="228"/>
      <c r="P909" s="228"/>
      <c r="Q909" s="228"/>
      <c r="R909" s="228"/>
      <c r="S909" s="228"/>
      <c r="T909" s="123"/>
      <c r="U909" s="123"/>
      <c r="V909" s="4016"/>
      <c r="W909" s="2857"/>
      <c r="X909" s="3155"/>
      <c r="Y909" s="3155">
        <v>3.4119999999999999</v>
      </c>
      <c r="Z909" s="2857">
        <v>3.4119999999999999</v>
      </c>
      <c r="AA909" s="2857">
        <v>3.4119999999999999</v>
      </c>
      <c r="AB909" s="2856">
        <v>3.4119999999999999</v>
      </c>
      <c r="AC909" s="2856">
        <v>3.4119999999999999</v>
      </c>
      <c r="AD909" s="2857"/>
      <c r="AE909" s="2857"/>
      <c r="AF909" s="2857"/>
      <c r="AG909" s="697"/>
      <c r="AH909" s="1942"/>
      <c r="AI909" s="1942"/>
      <c r="AJ909" s="1942"/>
      <c r="AK909" s="1942"/>
      <c r="AL909" s="1942"/>
      <c r="AM909" s="1942"/>
      <c r="AN909" s="1942"/>
      <c r="AO909" s="1942"/>
      <c r="AP909" s="1942"/>
      <c r="AQ909" s="1942"/>
      <c r="AR909" s="1942"/>
      <c r="AS909" s="1942"/>
      <c r="AT909" s="1942"/>
      <c r="AU909" s="1942"/>
      <c r="AV909" s="1942"/>
      <c r="AW909" s="1942"/>
      <c r="AX909" s="1942"/>
      <c r="AY909" s="1942"/>
      <c r="AZ909" s="1942"/>
      <c r="BA909" s="1942"/>
      <c r="BB909" s="575"/>
      <c r="BC909" s="576"/>
      <c r="BD909" s="678"/>
    </row>
    <row r="910" spans="1:56" s="51" customFormat="1" ht="45" hidden="1" outlineLevel="1" x14ac:dyDescent="0.25">
      <c r="A910" s="1267"/>
      <c r="B910" s="228"/>
      <c r="C910" s="328"/>
      <c r="D910" s="4016"/>
      <c r="E910" s="3990"/>
      <c r="F910" s="3010" t="str">
        <f t="shared" si="94"/>
        <v>Mini/MultiSplitASHP-Replace_CAC_ElectricHeat_ROF_MF</v>
      </c>
      <c r="G910" s="3403"/>
      <c r="H910" s="3404"/>
      <c r="I910" s="3411" t="str">
        <f t="shared" si="95"/>
        <v>351800_2021_12_</v>
      </c>
      <c r="J910" s="2856">
        <f t="shared" si="96"/>
        <v>3.4119999999999999</v>
      </c>
      <c r="K910" s="748"/>
      <c r="L910" s="749"/>
      <c r="M910" s="1570"/>
      <c r="N910" s="1556"/>
      <c r="O910" s="228"/>
      <c r="P910" s="228"/>
      <c r="Q910" s="228"/>
      <c r="R910" s="228"/>
      <c r="S910" s="228"/>
      <c r="T910" s="123"/>
      <c r="U910" s="123"/>
      <c r="V910" s="4016"/>
      <c r="W910" s="2857"/>
      <c r="X910" s="3155"/>
      <c r="Y910" s="3155">
        <v>3.4119999999999999</v>
      </c>
      <c r="Z910" s="2857">
        <v>3.4119999999999999</v>
      </c>
      <c r="AA910" s="2857">
        <v>3.4119999999999999</v>
      </c>
      <c r="AB910" s="2856">
        <v>3.4119999999999999</v>
      </c>
      <c r="AC910" s="2856">
        <v>3.4119999999999999</v>
      </c>
      <c r="AD910" s="2857"/>
      <c r="AE910" s="2857"/>
      <c r="AF910" s="2857"/>
      <c r="AG910" s="697"/>
      <c r="AH910" s="1942"/>
      <c r="AI910" s="1942"/>
      <c r="AJ910" s="1942"/>
      <c r="AK910" s="1942"/>
      <c r="AL910" s="1942"/>
      <c r="AM910" s="1942"/>
      <c r="AN910" s="1942"/>
      <c r="AO910" s="1942"/>
      <c r="AP910" s="1942"/>
      <c r="AQ910" s="1942"/>
      <c r="AR910" s="1942"/>
      <c r="AS910" s="1942"/>
      <c r="AT910" s="1942"/>
      <c r="AU910" s="1942"/>
      <c r="AV910" s="1942"/>
      <c r="AW910" s="1942"/>
      <c r="AX910" s="1942"/>
      <c r="AY910" s="1942"/>
      <c r="AZ910" s="1942"/>
      <c r="BA910" s="1942"/>
      <c r="BB910" s="575"/>
      <c r="BC910" s="576"/>
      <c r="BD910" s="678"/>
    </row>
    <row r="911" spans="1:56" s="51" customFormat="1" ht="30" hidden="1" outlineLevel="1" x14ac:dyDescent="0.25">
      <c r="A911" s="1267"/>
      <c r="B911" s="228"/>
      <c r="C911" s="328"/>
      <c r="D911" s="4016"/>
      <c r="E911" s="3990"/>
      <c r="F911" s="3010" t="str">
        <f t="shared" si="94"/>
        <v>Mini/MultiSplitASHP_ER1_MF</v>
      </c>
      <c r="G911" s="3403"/>
      <c r="H911" s="3404"/>
      <c r="I911" s="3411" t="str">
        <f t="shared" si="95"/>
        <v>351850_2021_12_</v>
      </c>
      <c r="J911" s="2856">
        <f t="shared" si="96"/>
        <v>6.58</v>
      </c>
      <c r="K911" s="748"/>
      <c r="L911" s="749"/>
      <c r="M911" s="1570"/>
      <c r="N911" s="1556"/>
      <c r="O911" s="228"/>
      <c r="P911" s="228"/>
      <c r="Q911" s="228"/>
      <c r="R911" s="228"/>
      <c r="S911" s="228"/>
      <c r="T911" s="123"/>
      <c r="U911" s="123"/>
      <c r="V911" s="4016"/>
      <c r="W911" s="2857"/>
      <c r="X911" s="3155"/>
      <c r="Y911" s="3155">
        <v>6.58</v>
      </c>
      <c r="Z911" s="2857">
        <v>6.58</v>
      </c>
      <c r="AA911" s="2857">
        <v>6.58</v>
      </c>
      <c r="AB911" s="2856">
        <v>6.58</v>
      </c>
      <c r="AC911" s="2856">
        <v>6.58</v>
      </c>
      <c r="AD911" s="2857"/>
      <c r="AE911" s="2857"/>
      <c r="AF911" s="2857"/>
      <c r="AG911" s="697"/>
      <c r="AH911" s="1942"/>
      <c r="AI911" s="1942"/>
      <c r="AJ911" s="1942"/>
      <c r="AK911" s="1942"/>
      <c r="AL911" s="1942"/>
      <c r="AM911" s="1942"/>
      <c r="AN911" s="1942"/>
      <c r="AO911" s="1942"/>
      <c r="AP911" s="1942"/>
      <c r="AQ911" s="1942"/>
      <c r="AR911" s="1942"/>
      <c r="AS911" s="1942"/>
      <c r="AT911" s="1942"/>
      <c r="AU911" s="1942"/>
      <c r="AV911" s="1942"/>
      <c r="AW911" s="1942"/>
      <c r="AX911" s="1942"/>
      <c r="AY911" s="1942"/>
      <c r="AZ911" s="1942"/>
      <c r="BA911" s="1942"/>
      <c r="BB911" s="575"/>
      <c r="BC911" s="576"/>
      <c r="BD911" s="678"/>
    </row>
    <row r="912" spans="1:56" s="51" customFormat="1" ht="30" hidden="1" outlineLevel="1" x14ac:dyDescent="0.25">
      <c r="A912" s="1267"/>
      <c r="B912" s="228"/>
      <c r="C912" s="328"/>
      <c r="D912" s="4017"/>
      <c r="E912" s="4005"/>
      <c r="F912" s="3010" t="str">
        <f t="shared" si="94"/>
        <v>Mini/MultiSplitAC_ER1_MF_CompE</v>
      </c>
      <c r="G912" s="3403"/>
      <c r="H912" s="3404"/>
      <c r="I912" s="3411" t="str">
        <f t="shared" si="95"/>
        <v>351551_2021_12_</v>
      </c>
      <c r="J912" s="2856">
        <f>J898</f>
        <v>0</v>
      </c>
      <c r="K912" s="748"/>
      <c r="L912" s="749"/>
      <c r="M912" s="1570"/>
      <c r="N912" s="1556"/>
      <c r="O912" s="228"/>
      <c r="P912" s="228"/>
      <c r="Q912" s="228"/>
      <c r="R912" s="228"/>
      <c r="S912" s="228"/>
      <c r="T912" s="123"/>
      <c r="U912" s="123"/>
      <c r="V912" s="4017"/>
      <c r="W912" s="2857"/>
      <c r="X912" s="3155"/>
      <c r="Y912" s="3155">
        <v>0</v>
      </c>
      <c r="Z912" s="2857">
        <v>0</v>
      </c>
      <c r="AA912" s="2857">
        <v>0</v>
      </c>
      <c r="AB912" s="2856">
        <v>0</v>
      </c>
      <c r="AC912" s="2856">
        <v>0</v>
      </c>
      <c r="AD912" s="2857"/>
      <c r="AE912" s="2857"/>
      <c r="AF912" s="2857"/>
      <c r="AG912" s="697"/>
      <c r="AH912" s="1942"/>
      <c r="AI912" s="1942"/>
      <c r="AJ912" s="1942"/>
      <c r="AK912" s="1942"/>
      <c r="AL912" s="1942"/>
      <c r="AM912" s="1942"/>
      <c r="AN912" s="1942"/>
      <c r="AO912" s="1942"/>
      <c r="AP912" s="1942"/>
      <c r="AQ912" s="1942"/>
      <c r="AR912" s="1942"/>
      <c r="AS912" s="1942"/>
      <c r="AT912" s="1942"/>
      <c r="AU912" s="1942"/>
      <c r="AV912" s="1942"/>
      <c r="AW912" s="1942"/>
      <c r="AX912" s="1942"/>
      <c r="AY912" s="1942"/>
      <c r="AZ912" s="1942"/>
      <c r="BA912" s="1942"/>
      <c r="BB912" s="575"/>
      <c r="BC912" s="576"/>
      <c r="BD912" s="678"/>
    </row>
    <row r="913" spans="1:56" s="51" customFormat="1" ht="30" hidden="1" outlineLevel="1" x14ac:dyDescent="0.25">
      <c r="A913" s="1267"/>
      <c r="B913" s="228"/>
      <c r="C913" s="328"/>
      <c r="D913" s="4017"/>
      <c r="E913" s="4005"/>
      <c r="F913" s="3010" t="str">
        <f t="shared" si="94"/>
        <v>Mini/MultiSplitAC_ROF_MF_CompE</v>
      </c>
      <c r="G913" s="3403"/>
      <c r="H913" s="3404"/>
      <c r="I913" s="3411" t="str">
        <f t="shared" si="95"/>
        <v>351601_2021_12_</v>
      </c>
      <c r="J913" s="2856">
        <f t="shared" ref="J913:J918" si="97">J899</f>
        <v>0</v>
      </c>
      <c r="K913" s="748"/>
      <c r="L913" s="749"/>
      <c r="M913" s="1570"/>
      <c r="N913" s="1556"/>
      <c r="O913" s="228"/>
      <c r="P913" s="228"/>
      <c r="Q913" s="228"/>
      <c r="R913" s="228"/>
      <c r="S913" s="228"/>
      <c r="T913" s="123"/>
      <c r="U913" s="123"/>
      <c r="V913" s="4017"/>
      <c r="W913" s="2857"/>
      <c r="X913" s="3155"/>
      <c r="Y913" s="3155">
        <v>0</v>
      </c>
      <c r="Z913" s="2857">
        <v>0</v>
      </c>
      <c r="AA913" s="2857">
        <v>0</v>
      </c>
      <c r="AB913" s="2856">
        <v>0</v>
      </c>
      <c r="AC913" s="2856">
        <v>0</v>
      </c>
      <c r="AD913" s="2857"/>
      <c r="AE913" s="2857"/>
      <c r="AF913" s="2857"/>
      <c r="AG913" s="697"/>
      <c r="AH913" s="1942"/>
      <c r="AI913" s="1942"/>
      <c r="AJ913" s="1942"/>
      <c r="AK913" s="1942"/>
      <c r="AL913" s="1942"/>
      <c r="AM913" s="1942"/>
      <c r="AN913" s="1942"/>
      <c r="AO913" s="1942"/>
      <c r="AP913" s="1942"/>
      <c r="AQ913" s="1942"/>
      <c r="AR913" s="1942"/>
      <c r="AS913" s="1942"/>
      <c r="AT913" s="1942"/>
      <c r="AU913" s="1942"/>
      <c r="AV913" s="1942"/>
      <c r="AW913" s="1942"/>
      <c r="AX913" s="1942"/>
      <c r="AY913" s="1942"/>
      <c r="AZ913" s="1942"/>
      <c r="BA913" s="1942"/>
      <c r="BB913" s="575"/>
      <c r="BC913" s="576"/>
      <c r="BD913" s="678"/>
    </row>
    <row r="914" spans="1:56" s="51" customFormat="1" ht="30" hidden="1" outlineLevel="1" x14ac:dyDescent="0.25">
      <c r="A914" s="1267"/>
      <c r="B914" s="228"/>
      <c r="C914" s="328"/>
      <c r="D914" s="4017"/>
      <c r="E914" s="4005"/>
      <c r="F914" s="3010" t="str">
        <f t="shared" si="94"/>
        <v>Mini/MultiSplitASHP_ROF_MF_NC_CompE</v>
      </c>
      <c r="G914" s="3403"/>
      <c r="H914" s="3404"/>
      <c r="I914" s="3411" t="str">
        <f t="shared" si="95"/>
        <v>351651_2021_12_</v>
      </c>
      <c r="J914" s="2856">
        <f t="shared" si="97"/>
        <v>8.1999999999999993</v>
      </c>
      <c r="K914" s="748"/>
      <c r="L914" s="749"/>
      <c r="M914" s="1570"/>
      <c r="N914" s="1556"/>
      <c r="O914" s="228"/>
      <c r="P914" s="228"/>
      <c r="Q914" s="228"/>
      <c r="R914" s="228"/>
      <c r="S914" s="228"/>
      <c r="T914" s="123"/>
      <c r="U914" s="123"/>
      <c r="V914" s="4017"/>
      <c r="W914" s="2857"/>
      <c r="X914" s="3155"/>
      <c r="Y914" s="3155">
        <v>8.1999999999999993</v>
      </c>
      <c r="Z914" s="2857">
        <v>8.1999999999999993</v>
      </c>
      <c r="AA914" s="2857">
        <v>8.1999999999999993</v>
      </c>
      <c r="AB914" s="2856">
        <v>8.1999999999999993</v>
      </c>
      <c r="AC914" s="2856">
        <v>8.1999999999999993</v>
      </c>
      <c r="AD914" s="2857"/>
      <c r="AE914" s="2857"/>
      <c r="AF914" s="2857"/>
      <c r="AG914" s="697"/>
      <c r="AH914" s="1942"/>
      <c r="AI914" s="1942"/>
      <c r="AJ914" s="1942"/>
      <c r="AK914" s="1942"/>
      <c r="AL914" s="1942"/>
      <c r="AM914" s="1942"/>
      <c r="AN914" s="1942"/>
      <c r="AO914" s="1942"/>
      <c r="AP914" s="1942"/>
      <c r="AQ914" s="1942"/>
      <c r="AR914" s="1942"/>
      <c r="AS914" s="1942"/>
      <c r="AT914" s="1942"/>
      <c r="AU914" s="1942"/>
      <c r="AV914" s="1942"/>
      <c r="AW914" s="1942"/>
      <c r="AX914" s="1942"/>
      <c r="AY914" s="1942"/>
      <c r="AZ914" s="1942"/>
      <c r="BA914" s="1942"/>
      <c r="BB914" s="575"/>
      <c r="BC914" s="576"/>
      <c r="BD914" s="678"/>
    </row>
    <row r="915" spans="1:56" s="51" customFormat="1" ht="30" hidden="1" outlineLevel="1" x14ac:dyDescent="0.25">
      <c r="A915" s="1267"/>
      <c r="B915" s="228"/>
      <c r="C915" s="328"/>
      <c r="D915" s="4017"/>
      <c r="E915" s="4005"/>
      <c r="F915" s="3010" t="str">
        <f t="shared" si="94"/>
        <v>Mini/MultiSplitASHP_ROF_MF_CompE</v>
      </c>
      <c r="G915" s="3403"/>
      <c r="H915" s="3404"/>
      <c r="I915" s="3411" t="str">
        <f t="shared" si="95"/>
        <v>351701_2021_12_</v>
      </c>
      <c r="J915" s="2856">
        <f t="shared" si="97"/>
        <v>8.1999999999999993</v>
      </c>
      <c r="K915" s="748"/>
      <c r="L915" s="750"/>
      <c r="M915" s="1570"/>
      <c r="N915" s="1556"/>
      <c r="O915" s="228"/>
      <c r="P915" s="228"/>
      <c r="Q915" s="228"/>
      <c r="R915" s="228"/>
      <c r="S915" s="228"/>
      <c r="T915" s="123"/>
      <c r="U915" s="123"/>
      <c r="V915" s="4017"/>
      <c r="W915" s="2857"/>
      <c r="X915" s="3155"/>
      <c r="Y915" s="3155">
        <v>8.1999999999999993</v>
      </c>
      <c r="Z915" s="2857">
        <v>8.1999999999999993</v>
      </c>
      <c r="AA915" s="2857">
        <v>8.1999999999999993</v>
      </c>
      <c r="AB915" s="2856">
        <v>8.1999999999999993</v>
      </c>
      <c r="AC915" s="2856">
        <v>8.1999999999999993</v>
      </c>
      <c r="AD915" s="2857"/>
      <c r="AE915" s="2857"/>
      <c r="AF915" s="2857"/>
      <c r="AG915" s="697"/>
      <c r="AH915" s="1942"/>
      <c r="AI915" s="1942"/>
      <c r="AJ915" s="1942"/>
      <c r="AK915" s="1942"/>
      <c r="AL915" s="1942"/>
      <c r="AM915" s="1942"/>
      <c r="AN915" s="1942"/>
      <c r="AO915" s="1942"/>
      <c r="AP915" s="1942"/>
      <c r="AQ915" s="1942"/>
      <c r="AR915" s="1942"/>
      <c r="AS915" s="1942"/>
      <c r="AT915" s="1942"/>
      <c r="AU915" s="1942"/>
      <c r="AV915" s="1942"/>
      <c r="AW915" s="1942"/>
      <c r="AX915" s="1942"/>
      <c r="AY915" s="1942"/>
      <c r="AZ915" s="1942"/>
      <c r="BA915" s="1942"/>
      <c r="BB915" s="575"/>
      <c r="BC915" s="576"/>
      <c r="BD915" s="678"/>
    </row>
    <row r="916" spans="1:56" s="51" customFormat="1" ht="45" hidden="1" outlineLevel="1" x14ac:dyDescent="0.25">
      <c r="A916" s="1267"/>
      <c r="B916" s="228"/>
      <c r="C916" s="328"/>
      <c r="D916" s="4017"/>
      <c r="E916" s="4005"/>
      <c r="F916" s="3010" t="str">
        <f t="shared" si="94"/>
        <v>Mini/MultiSplitASHP-Replace_CAC_ElectricHeat_ER1_MF_CompE</v>
      </c>
      <c r="G916" s="3403"/>
      <c r="H916" s="3404"/>
      <c r="I916" s="3411" t="str">
        <f t="shared" si="95"/>
        <v>351751_2021_12_</v>
      </c>
      <c r="J916" s="2856">
        <f t="shared" si="97"/>
        <v>3.4119999999999999</v>
      </c>
      <c r="K916" s="748"/>
      <c r="L916" s="750"/>
      <c r="M916" s="1570"/>
      <c r="N916" s="1556"/>
      <c r="O916" s="228"/>
      <c r="P916" s="228"/>
      <c r="Q916" s="228"/>
      <c r="R916" s="228"/>
      <c r="S916" s="228"/>
      <c r="T916" s="123"/>
      <c r="U916" s="123"/>
      <c r="V916" s="4017"/>
      <c r="W916" s="2857"/>
      <c r="X916" s="3155"/>
      <c r="Y916" s="3155">
        <v>3.4119999999999999</v>
      </c>
      <c r="Z916" s="2857">
        <v>3.4119999999999999</v>
      </c>
      <c r="AA916" s="2857">
        <v>3.4119999999999999</v>
      </c>
      <c r="AB916" s="2856">
        <v>3.4119999999999999</v>
      </c>
      <c r="AC916" s="2856">
        <v>3.4119999999999999</v>
      </c>
      <c r="AD916" s="2857"/>
      <c r="AE916" s="2857"/>
      <c r="AF916" s="2857"/>
      <c r="AG916" s="697"/>
      <c r="AH916" s="1942"/>
      <c r="AI916" s="1942"/>
      <c r="AJ916" s="1942"/>
      <c r="AK916" s="1942"/>
      <c r="AL916" s="1942"/>
      <c r="AM916" s="1942"/>
      <c r="AN916" s="1942"/>
      <c r="AO916" s="1942"/>
      <c r="AP916" s="1942"/>
      <c r="AQ916" s="1942"/>
      <c r="AR916" s="1942"/>
      <c r="AS916" s="1942"/>
      <c r="AT916" s="1942"/>
      <c r="AU916" s="1942"/>
      <c r="AV916" s="1942"/>
      <c r="AW916" s="1942"/>
      <c r="AX916" s="1942"/>
      <c r="AY916" s="1942"/>
      <c r="AZ916" s="1942"/>
      <c r="BA916" s="1942"/>
      <c r="BB916" s="575"/>
      <c r="BC916" s="576"/>
      <c r="BD916" s="678"/>
    </row>
    <row r="917" spans="1:56" s="51" customFormat="1" ht="45" hidden="1" outlineLevel="1" x14ac:dyDescent="0.25">
      <c r="A917" s="1267"/>
      <c r="B917" s="228"/>
      <c r="C917" s="328"/>
      <c r="D917" s="4017"/>
      <c r="E917" s="4005"/>
      <c r="F917" s="3010" t="str">
        <f t="shared" si="94"/>
        <v>Mini/MultiSplitASHP-Replace_CAC_ElectricHeat_ROF_MF_CompE</v>
      </c>
      <c r="G917" s="3403"/>
      <c r="H917" s="3404"/>
      <c r="I917" s="3411" t="str">
        <f t="shared" si="95"/>
        <v>351801_2021_12_</v>
      </c>
      <c r="J917" s="2856">
        <f t="shared" si="97"/>
        <v>3.4119999999999999</v>
      </c>
      <c r="K917" s="748"/>
      <c r="L917" s="750"/>
      <c r="M917" s="1570"/>
      <c r="N917" s="1556"/>
      <c r="O917" s="228"/>
      <c r="P917" s="228"/>
      <c r="Q917" s="228"/>
      <c r="R917" s="228"/>
      <c r="S917" s="228"/>
      <c r="T917" s="123"/>
      <c r="U917" s="123"/>
      <c r="V917" s="4017"/>
      <c r="W917" s="2857"/>
      <c r="X917" s="3155"/>
      <c r="Y917" s="3155">
        <v>3.4119999999999999</v>
      </c>
      <c r="Z917" s="2857">
        <v>3.4119999999999999</v>
      </c>
      <c r="AA917" s="2857">
        <v>3.4119999999999999</v>
      </c>
      <c r="AB917" s="2856">
        <v>3.4119999999999999</v>
      </c>
      <c r="AC917" s="2856">
        <v>3.4119999999999999</v>
      </c>
      <c r="AD917" s="2857"/>
      <c r="AE917" s="2857"/>
      <c r="AF917" s="2857"/>
      <c r="AG917" s="697"/>
      <c r="AH917" s="1942"/>
      <c r="AI917" s="1942"/>
      <c r="AJ917" s="1942"/>
      <c r="AK917" s="1942"/>
      <c r="AL917" s="1942"/>
      <c r="AM917" s="1942"/>
      <c r="AN917" s="1942"/>
      <c r="AO917" s="1942"/>
      <c r="AP917" s="1942"/>
      <c r="AQ917" s="1942"/>
      <c r="AR917" s="1942"/>
      <c r="AS917" s="1942"/>
      <c r="AT917" s="1942"/>
      <c r="AU917" s="1942"/>
      <c r="AV917" s="1942"/>
      <c r="AW917" s="1942"/>
      <c r="AX917" s="1942"/>
      <c r="AY917" s="1942"/>
      <c r="AZ917" s="1942"/>
      <c r="BA917" s="1942"/>
      <c r="BB917" s="575"/>
      <c r="BC917" s="576"/>
      <c r="BD917" s="678"/>
    </row>
    <row r="918" spans="1:56" s="51" customFormat="1" ht="30.75" hidden="1" outlineLevel="1" thickBot="1" x14ac:dyDescent="0.3">
      <c r="A918" s="1267"/>
      <c r="B918" s="228"/>
      <c r="C918" s="328"/>
      <c r="D918" s="4089"/>
      <c r="E918" s="4035"/>
      <c r="F918" s="3010" t="str">
        <f t="shared" si="94"/>
        <v>Mini/MultiSplitASHP_ER1_MF_CompE</v>
      </c>
      <c r="G918" s="3403"/>
      <c r="H918" s="3404"/>
      <c r="I918" s="3412" t="str">
        <f t="shared" si="95"/>
        <v>351851_2021_12_</v>
      </c>
      <c r="J918" s="2856">
        <f t="shared" si="97"/>
        <v>6.58</v>
      </c>
      <c r="K918" s="748"/>
      <c r="L918" s="1571"/>
      <c r="M918" s="1570"/>
      <c r="N918" s="1556"/>
      <c r="O918" s="228"/>
      <c r="P918" s="228"/>
      <c r="Q918" s="228"/>
      <c r="R918" s="228"/>
      <c r="S918" s="228"/>
      <c r="T918" s="123"/>
      <c r="U918" s="123"/>
      <c r="V918" s="4089"/>
      <c r="W918" s="2860"/>
      <c r="X918" s="3156"/>
      <c r="Y918" s="3156">
        <v>6.58</v>
      </c>
      <c r="Z918" s="2860">
        <v>6.58</v>
      </c>
      <c r="AA918" s="2860">
        <v>6.58</v>
      </c>
      <c r="AB918" s="2856">
        <v>6.58</v>
      </c>
      <c r="AC918" s="2856">
        <v>6.58</v>
      </c>
      <c r="AD918" s="2860"/>
      <c r="AE918" s="2860"/>
      <c r="AF918" s="2860"/>
      <c r="AG918" s="751"/>
      <c r="AH918" s="1942"/>
      <c r="AI918" s="1942"/>
      <c r="AJ918" s="1942"/>
      <c r="AK918" s="1942"/>
      <c r="AL918" s="1942"/>
      <c r="AM918" s="1942"/>
      <c r="AN918" s="1942"/>
      <c r="AO918" s="1942"/>
      <c r="AP918" s="1942"/>
      <c r="AQ918" s="1942"/>
      <c r="AR918" s="1942"/>
      <c r="AS918" s="1942"/>
      <c r="AT918" s="1942"/>
      <c r="AU918" s="1942"/>
      <c r="AV918" s="1942"/>
      <c r="AW918" s="1942"/>
      <c r="AX918" s="1942"/>
      <c r="AY918" s="1942"/>
      <c r="AZ918" s="1942"/>
      <c r="BA918" s="1942"/>
      <c r="BB918" s="575"/>
      <c r="BC918" s="576"/>
      <c r="BD918" s="678"/>
    </row>
    <row r="919" spans="1:56" s="51" customFormat="1" hidden="1" outlineLevel="1" x14ac:dyDescent="0.25">
      <c r="A919" s="1267"/>
      <c r="B919" s="228"/>
      <c r="C919" s="328"/>
      <c r="D919" s="4015" t="s">
        <v>1111</v>
      </c>
      <c r="E919" s="3989" t="s">
        <v>1112</v>
      </c>
      <c r="F919" s="3013" t="str">
        <f t="shared" si="94"/>
        <v>Mini/MultiSplitAC_ER1_SF</v>
      </c>
      <c r="G919" s="3401"/>
      <c r="H919" s="3402"/>
      <c r="I919" s="3410" t="str">
        <f t="shared" si="95"/>
        <v>351200_2021_12_</v>
      </c>
      <c r="J919" s="2858">
        <v>0</v>
      </c>
      <c r="K919" s="745"/>
      <c r="L919" s="746"/>
      <c r="M919" s="1570"/>
      <c r="N919" s="1556"/>
      <c r="O919" s="228"/>
      <c r="P919" s="228"/>
      <c r="Q919" s="228"/>
      <c r="R919" s="228"/>
      <c r="S919" s="228"/>
      <c r="T919" s="123"/>
      <c r="U919" s="123"/>
      <c r="V919" s="4015" t="s">
        <v>1111</v>
      </c>
      <c r="W919" s="2861">
        <v>0</v>
      </c>
      <c r="X919" s="2861">
        <v>0</v>
      </c>
      <c r="Y919" s="2861">
        <v>0</v>
      </c>
      <c r="Z919" s="2861">
        <v>0</v>
      </c>
      <c r="AA919" s="2861">
        <v>0</v>
      </c>
      <c r="AB919" s="2858">
        <v>0</v>
      </c>
      <c r="AC919" s="2858">
        <v>0</v>
      </c>
      <c r="AD919" s="2861"/>
      <c r="AE919" s="2861"/>
      <c r="AF919" s="2861"/>
      <c r="AG919" s="747"/>
      <c r="AH919" s="1942"/>
      <c r="AI919" s="1942"/>
      <c r="AJ919" s="1942"/>
      <c r="AK919" s="1942"/>
      <c r="AL919" s="1942"/>
      <c r="AM919" s="1942"/>
      <c r="AN919" s="1942"/>
      <c r="AO919" s="1942"/>
      <c r="AP919" s="1942"/>
      <c r="AQ919" s="1942"/>
      <c r="AR919" s="1942"/>
      <c r="AS919" s="1942"/>
      <c r="AT919" s="1942"/>
      <c r="AU919" s="1942"/>
      <c r="AV919" s="1942"/>
      <c r="AW919" s="1942"/>
      <c r="AX919" s="1942"/>
      <c r="AY919" s="1942"/>
      <c r="AZ919" s="1942"/>
      <c r="BA919" s="1942"/>
      <c r="BB919" s="575"/>
      <c r="BC919" s="576"/>
      <c r="BD919" s="678"/>
    </row>
    <row r="920" spans="1:56" s="51" customFormat="1" ht="30" hidden="1" outlineLevel="1" x14ac:dyDescent="0.25">
      <c r="A920" s="1267"/>
      <c r="B920" s="228"/>
      <c r="C920" s="328"/>
      <c r="D920" s="4016"/>
      <c r="E920" s="3990"/>
      <c r="F920" s="3010" t="str">
        <f t="shared" si="94"/>
        <v>Mini/MultiSplitAC_ROF_SF</v>
      </c>
      <c r="G920" s="3403"/>
      <c r="H920" s="3404"/>
      <c r="I920" s="3411" t="str">
        <f t="shared" si="95"/>
        <v>351250_2021_12_</v>
      </c>
      <c r="J920" s="2856">
        <v>0</v>
      </c>
      <c r="K920" s="748"/>
      <c r="L920" s="749"/>
      <c r="M920" s="1570"/>
      <c r="N920" s="1556"/>
      <c r="O920" s="228"/>
      <c r="P920" s="228"/>
      <c r="Q920" s="228"/>
      <c r="R920" s="228"/>
      <c r="S920" s="228"/>
      <c r="T920" s="123"/>
      <c r="U920" s="123"/>
      <c r="V920" s="4016"/>
      <c r="W920" s="2857">
        <v>0</v>
      </c>
      <c r="X920" s="2857">
        <v>0</v>
      </c>
      <c r="Y920" s="2857">
        <v>0</v>
      </c>
      <c r="Z920" s="2857">
        <v>0</v>
      </c>
      <c r="AA920" s="2857">
        <v>0</v>
      </c>
      <c r="AB920" s="2856">
        <v>0</v>
      </c>
      <c r="AC920" s="2856">
        <v>0</v>
      </c>
      <c r="AD920" s="2857"/>
      <c r="AE920" s="2857"/>
      <c r="AF920" s="2857"/>
      <c r="AG920" s="697"/>
      <c r="AH920" s="1942"/>
      <c r="AI920" s="1942"/>
      <c r="AJ920" s="1942"/>
      <c r="AK920" s="1942"/>
      <c r="AL920" s="1942"/>
      <c r="AM920" s="1942"/>
      <c r="AN920" s="1942"/>
      <c r="AO920" s="1942"/>
      <c r="AP920" s="1942"/>
      <c r="AQ920" s="1942"/>
      <c r="AR920" s="1942"/>
      <c r="AS920" s="1942"/>
      <c r="AT920" s="1942"/>
      <c r="AU920" s="1942"/>
      <c r="AV920" s="1942"/>
      <c r="AW920" s="1942"/>
      <c r="AX920" s="1942"/>
      <c r="AY920" s="1942"/>
      <c r="AZ920" s="1942"/>
      <c r="BA920" s="1942"/>
      <c r="BB920" s="575"/>
      <c r="BC920" s="576"/>
      <c r="BD920" s="678"/>
    </row>
    <row r="921" spans="1:56" s="51" customFormat="1" ht="30" hidden="1" outlineLevel="1" x14ac:dyDescent="0.25">
      <c r="A921" s="1267"/>
      <c r="B921" s="228"/>
      <c r="C921" s="328"/>
      <c r="D921" s="4016"/>
      <c r="E921" s="3990"/>
      <c r="F921" s="3010" t="str">
        <f t="shared" si="94"/>
        <v>Mini/MultiSplitASHP_ROF_SF_NC</v>
      </c>
      <c r="G921" s="3403"/>
      <c r="H921" s="3404"/>
      <c r="I921" s="3411" t="str">
        <f t="shared" si="95"/>
        <v>351300_2021_12_</v>
      </c>
      <c r="J921" s="2856">
        <v>5.44</v>
      </c>
      <c r="K921" s="748"/>
      <c r="L921" s="749" t="s">
        <v>1113</v>
      </c>
      <c r="M921" s="1570"/>
      <c r="N921" s="1556"/>
      <c r="O921" s="228"/>
      <c r="P921" s="228"/>
      <c r="Q921" s="228"/>
      <c r="R921" s="228"/>
      <c r="S921" s="228"/>
      <c r="T921" s="123"/>
      <c r="U921" s="123"/>
      <c r="V921" s="4016"/>
      <c r="W921" s="2857">
        <v>5.44</v>
      </c>
      <c r="X921" s="2857">
        <v>5.44</v>
      </c>
      <c r="Y921" s="2857">
        <v>5.44</v>
      </c>
      <c r="Z921" s="2857">
        <v>5.44</v>
      </c>
      <c r="AA921" s="2857">
        <v>5.44</v>
      </c>
      <c r="AB921" s="2856">
        <v>5.44</v>
      </c>
      <c r="AC921" s="2856">
        <v>5.44</v>
      </c>
      <c r="AD921" s="2857"/>
      <c r="AE921" s="2857"/>
      <c r="AF921" s="2857"/>
      <c r="AG921" s="697"/>
      <c r="AH921" s="1942"/>
      <c r="AI921" s="1942"/>
      <c r="AJ921" s="1942"/>
      <c r="AK921" s="1942"/>
      <c r="AL921" s="1942"/>
      <c r="AM921" s="1942"/>
      <c r="AN921" s="1942"/>
      <c r="AO921" s="1942"/>
      <c r="AP921" s="1942"/>
      <c r="AQ921" s="1942"/>
      <c r="AR921" s="1942"/>
      <c r="AS921" s="1942"/>
      <c r="AT921" s="1942"/>
      <c r="AU921" s="1942"/>
      <c r="AV921" s="1942"/>
      <c r="AW921" s="1942"/>
      <c r="AX921" s="1942"/>
      <c r="AY921" s="1942"/>
      <c r="AZ921" s="1942"/>
      <c r="BA921" s="1942"/>
      <c r="BB921" s="575"/>
      <c r="BC921" s="576"/>
      <c r="BD921" s="678"/>
    </row>
    <row r="922" spans="1:56" s="51" customFormat="1" ht="30" hidden="1" outlineLevel="1" x14ac:dyDescent="0.25">
      <c r="A922" s="1267"/>
      <c r="B922" s="228"/>
      <c r="C922" s="328"/>
      <c r="D922" s="4016"/>
      <c r="E922" s="3990"/>
      <c r="F922" s="3010" t="str">
        <f t="shared" si="94"/>
        <v>Mini/MultiSplitASHP_ROF_SF</v>
      </c>
      <c r="G922" s="3403"/>
      <c r="H922" s="3404"/>
      <c r="I922" s="3411" t="str">
        <f t="shared" si="95"/>
        <v>351350_2021_12_</v>
      </c>
      <c r="J922" s="2856">
        <v>5.44</v>
      </c>
      <c r="K922" s="748"/>
      <c r="L922" s="750" t="s">
        <v>1113</v>
      </c>
      <c r="M922" s="1550"/>
      <c r="N922" s="1556"/>
      <c r="O922" s="228"/>
      <c r="P922" s="228"/>
      <c r="Q922" s="228"/>
      <c r="R922" s="228"/>
      <c r="S922" s="228"/>
      <c r="T922" s="123"/>
      <c r="U922" s="123"/>
      <c r="V922" s="4016"/>
      <c r="W922" s="2857">
        <v>5.44</v>
      </c>
      <c r="X922" s="2857">
        <v>5.44</v>
      </c>
      <c r="Y922" s="2857">
        <v>5.44</v>
      </c>
      <c r="Z922" s="2857">
        <v>5.44</v>
      </c>
      <c r="AA922" s="2857">
        <v>5.44</v>
      </c>
      <c r="AB922" s="2856">
        <v>5.44</v>
      </c>
      <c r="AC922" s="2856">
        <v>5.44</v>
      </c>
      <c r="AD922" s="2857"/>
      <c r="AE922" s="2857"/>
      <c r="AF922" s="2857"/>
      <c r="AG922" s="697"/>
      <c r="AH922" s="1942"/>
      <c r="AI922" s="1942"/>
      <c r="AJ922" s="1942"/>
      <c r="AK922" s="1942"/>
      <c r="AL922" s="1942"/>
      <c r="AM922" s="1942"/>
      <c r="AN922" s="1942"/>
      <c r="AO922" s="1942"/>
      <c r="AP922" s="1942"/>
      <c r="AQ922" s="1942"/>
      <c r="AR922" s="1942"/>
      <c r="AS922" s="1942"/>
      <c r="AT922" s="1942"/>
      <c r="AU922" s="1942"/>
      <c r="AV922" s="1942"/>
      <c r="AW922" s="1942"/>
      <c r="AX922" s="1942"/>
      <c r="AY922" s="1942"/>
      <c r="AZ922" s="1942"/>
      <c r="BA922" s="1942"/>
      <c r="BB922" s="575"/>
      <c r="BC922" s="576"/>
      <c r="BD922" s="678"/>
    </row>
    <row r="923" spans="1:56" s="51" customFormat="1" ht="45" hidden="1" outlineLevel="1" x14ac:dyDescent="0.25">
      <c r="A923" s="1267"/>
      <c r="B923" s="228"/>
      <c r="C923" s="328"/>
      <c r="D923" s="4016"/>
      <c r="E923" s="3990"/>
      <c r="F923" s="3010" t="str">
        <f t="shared" si="94"/>
        <v>Mini/MultiSplitASHP-Replace_CAC_ElectricHeat_ER1_SF</v>
      </c>
      <c r="G923" s="3403"/>
      <c r="H923" s="3404"/>
      <c r="I923" s="3411" t="str">
        <f t="shared" si="95"/>
        <v>351400_2021_12_</v>
      </c>
      <c r="J923" s="2856">
        <v>3.4119999999999999</v>
      </c>
      <c r="K923" s="748"/>
      <c r="L923" s="750" t="s">
        <v>1113</v>
      </c>
      <c r="M923" s="1550"/>
      <c r="N923" s="1556"/>
      <c r="O923" s="228"/>
      <c r="P923" s="228"/>
      <c r="Q923" s="228"/>
      <c r="R923" s="228"/>
      <c r="S923" s="228"/>
      <c r="T923" s="123"/>
      <c r="U923" s="123"/>
      <c r="V923" s="4016"/>
      <c r="W923" s="2857">
        <v>3.4119999999999999</v>
      </c>
      <c r="X923" s="2857">
        <v>3.4119999999999999</v>
      </c>
      <c r="Y923" s="2857">
        <v>3.4119999999999999</v>
      </c>
      <c r="Z923" s="2857">
        <v>3.4119999999999999</v>
      </c>
      <c r="AA923" s="2857">
        <v>3.4119999999999999</v>
      </c>
      <c r="AB923" s="2856">
        <v>3.4119999999999999</v>
      </c>
      <c r="AC923" s="2856">
        <v>3.4119999999999999</v>
      </c>
      <c r="AD923" s="2857"/>
      <c r="AE923" s="2857"/>
      <c r="AF923" s="2857"/>
      <c r="AG923" s="697"/>
      <c r="AH923" s="1942"/>
      <c r="AI923" s="1942"/>
      <c r="AJ923" s="1942"/>
      <c r="AK923" s="1942"/>
      <c r="AL923" s="1942"/>
      <c r="AM923" s="1942"/>
      <c r="AN923" s="1942"/>
      <c r="AO923" s="1942"/>
      <c r="AP923" s="1942"/>
      <c r="AQ923" s="1942"/>
      <c r="AR923" s="1942"/>
      <c r="AS923" s="1942"/>
      <c r="AT923" s="1942"/>
      <c r="AU923" s="1942"/>
      <c r="AV923" s="1942"/>
      <c r="AW923" s="1942"/>
      <c r="AX923" s="1942"/>
      <c r="AY923" s="1942"/>
      <c r="AZ923" s="1942"/>
      <c r="BA923" s="1942"/>
      <c r="BB923" s="575"/>
      <c r="BC923" s="576"/>
      <c r="BD923" s="678"/>
    </row>
    <row r="924" spans="1:56" s="51" customFormat="1" ht="45" hidden="1" outlineLevel="1" x14ac:dyDescent="0.25">
      <c r="A924" s="1267"/>
      <c r="B924" s="228"/>
      <c r="C924" s="328"/>
      <c r="D924" s="4016"/>
      <c r="E924" s="3990"/>
      <c r="F924" s="3010" t="str">
        <f t="shared" si="94"/>
        <v>Mini/MultiSplitASHP-Replace_CAC_ElectricHeat_ROF_SF</v>
      </c>
      <c r="G924" s="3403"/>
      <c r="H924" s="3404"/>
      <c r="I924" s="3411" t="str">
        <f t="shared" si="95"/>
        <v>351450_2021_12_</v>
      </c>
      <c r="J924" s="2856">
        <v>3.4119999999999999</v>
      </c>
      <c r="K924" s="748"/>
      <c r="L924" s="750" t="s">
        <v>1113</v>
      </c>
      <c r="M924" s="1550"/>
      <c r="N924" s="1556"/>
      <c r="O924" s="228"/>
      <c r="P924" s="228"/>
      <c r="Q924" s="228"/>
      <c r="R924" s="228"/>
      <c r="S924" s="228"/>
      <c r="T924" s="123"/>
      <c r="U924" s="123"/>
      <c r="V924" s="4016"/>
      <c r="W924" s="2857">
        <v>3.4119999999999999</v>
      </c>
      <c r="X924" s="2857">
        <v>3.4119999999999999</v>
      </c>
      <c r="Y924" s="2857">
        <v>3.4119999999999999</v>
      </c>
      <c r="Z924" s="2857">
        <v>3.4119999999999999</v>
      </c>
      <c r="AA924" s="2857">
        <v>3.4119999999999999</v>
      </c>
      <c r="AB924" s="2856">
        <v>3.4119999999999999</v>
      </c>
      <c r="AC924" s="2856">
        <v>3.4119999999999999</v>
      </c>
      <c r="AD924" s="2857"/>
      <c r="AE924" s="2857"/>
      <c r="AF924" s="2857"/>
      <c r="AG924" s="697"/>
      <c r="AH924" s="1942"/>
      <c r="AI924" s="1942"/>
      <c r="AJ924" s="1942"/>
      <c r="AK924" s="1942"/>
      <c r="AL924" s="1942"/>
      <c r="AM924" s="1942"/>
      <c r="AN924" s="1942"/>
      <c r="AO924" s="1942"/>
      <c r="AP924" s="1942"/>
      <c r="AQ924" s="1942"/>
      <c r="AR924" s="1942"/>
      <c r="AS924" s="1942"/>
      <c r="AT924" s="1942"/>
      <c r="AU924" s="1942"/>
      <c r="AV924" s="1942"/>
      <c r="AW924" s="1942"/>
      <c r="AX924" s="1942"/>
      <c r="AY924" s="1942"/>
      <c r="AZ924" s="1942"/>
      <c r="BA924" s="1942"/>
      <c r="BB924" s="575"/>
      <c r="BC924" s="576"/>
      <c r="BD924" s="678"/>
    </row>
    <row r="925" spans="1:56" s="51" customFormat="1" ht="30" hidden="1" outlineLevel="1" x14ac:dyDescent="0.25">
      <c r="A925" s="1267"/>
      <c r="B925" s="228"/>
      <c r="C925" s="328"/>
      <c r="D925" s="4016"/>
      <c r="E925" s="3990"/>
      <c r="F925" s="3010" t="str">
        <f t="shared" si="94"/>
        <v>Mini/MultiSplitASHP_ER1_SF</v>
      </c>
      <c r="G925" s="3403"/>
      <c r="H925" s="3404"/>
      <c r="I925" s="3411" t="str">
        <f t="shared" si="95"/>
        <v>351500_2021_12_</v>
      </c>
      <c r="J925" s="2856">
        <v>5.44</v>
      </c>
      <c r="K925" s="748"/>
      <c r="L925" s="750" t="s">
        <v>1113</v>
      </c>
      <c r="M925" s="1570"/>
      <c r="N925" s="1556"/>
      <c r="O925" s="228"/>
      <c r="P925" s="228"/>
      <c r="Q925" s="228"/>
      <c r="R925" s="228"/>
      <c r="S925" s="228"/>
      <c r="T925" s="123"/>
      <c r="U925" s="123"/>
      <c r="V925" s="4016"/>
      <c r="W925" s="2857">
        <v>5.44</v>
      </c>
      <c r="X925" s="2857">
        <v>5.44</v>
      </c>
      <c r="Y925" s="2857">
        <v>5.44</v>
      </c>
      <c r="Z925" s="2857">
        <v>5.44</v>
      </c>
      <c r="AA925" s="2857">
        <v>5.44</v>
      </c>
      <c r="AB925" s="2856">
        <v>5.44</v>
      </c>
      <c r="AC925" s="2856">
        <v>5.44</v>
      </c>
      <c r="AD925" s="2857"/>
      <c r="AE925" s="2857"/>
      <c r="AF925" s="2857"/>
      <c r="AG925" s="697"/>
      <c r="AH925" s="1942"/>
      <c r="AI925" s="1942"/>
      <c r="AJ925" s="1942"/>
      <c r="AK925" s="1942"/>
      <c r="AL925" s="1942"/>
      <c r="AM925" s="1942"/>
      <c r="AN925" s="1942"/>
      <c r="AO925" s="1942"/>
      <c r="AP925" s="1942"/>
      <c r="AQ925" s="1942"/>
      <c r="AR925" s="1942"/>
      <c r="AS925" s="1942"/>
      <c r="AT925" s="1942"/>
      <c r="AU925" s="1942"/>
      <c r="AV925" s="1942"/>
      <c r="AW925" s="1942"/>
      <c r="AX925" s="1942"/>
      <c r="AY925" s="1942"/>
      <c r="AZ925" s="1942"/>
      <c r="BA925" s="1942"/>
      <c r="BB925" s="575"/>
      <c r="BC925" s="576"/>
      <c r="BD925" s="678"/>
    </row>
    <row r="926" spans="1:56" s="51" customFormat="1" ht="30" hidden="1" outlineLevel="1" x14ac:dyDescent="0.25">
      <c r="A926" s="1267"/>
      <c r="B926" s="228"/>
      <c r="C926" s="328"/>
      <c r="D926" s="4016"/>
      <c r="E926" s="3990"/>
      <c r="F926" s="3010" t="str">
        <f t="shared" si="94"/>
        <v>Mini/MultiSplitAC_ER1_MF</v>
      </c>
      <c r="G926" s="3403"/>
      <c r="H926" s="3404"/>
      <c r="I926" s="3411" t="str">
        <f t="shared" si="95"/>
        <v>351550_2021_12_</v>
      </c>
      <c r="J926" s="2856">
        <f>J919</f>
        <v>0</v>
      </c>
      <c r="K926" s="748"/>
      <c r="L926" s="749"/>
      <c r="M926" s="1570"/>
      <c r="N926" s="1556"/>
      <c r="O926" s="228"/>
      <c r="P926" s="228"/>
      <c r="Q926" s="228"/>
      <c r="R926" s="228"/>
      <c r="S926" s="228"/>
      <c r="T926" s="123"/>
      <c r="U926" s="123"/>
      <c r="V926" s="4016"/>
      <c r="W926" s="2857"/>
      <c r="X926" s="3155"/>
      <c r="Y926" s="3155">
        <v>0</v>
      </c>
      <c r="Z926" s="2857">
        <v>0</v>
      </c>
      <c r="AA926" s="2857">
        <v>0</v>
      </c>
      <c r="AB926" s="2856">
        <v>0</v>
      </c>
      <c r="AC926" s="2856">
        <v>0</v>
      </c>
      <c r="AD926" s="2857"/>
      <c r="AE926" s="2857"/>
      <c r="AF926" s="2857"/>
      <c r="AG926" s="697"/>
      <c r="AH926" s="1942"/>
      <c r="AI926" s="1942"/>
      <c r="AJ926" s="1942"/>
      <c r="AK926" s="1942"/>
      <c r="AL926" s="1942"/>
      <c r="AM926" s="1942"/>
      <c r="AN926" s="1942"/>
      <c r="AO926" s="1942"/>
      <c r="AP926" s="1942"/>
      <c r="AQ926" s="1942"/>
      <c r="AR926" s="1942"/>
      <c r="AS926" s="1942"/>
      <c r="AT926" s="1942"/>
      <c r="AU926" s="1942"/>
      <c r="AV926" s="1942"/>
      <c r="AW926" s="1942"/>
      <c r="AX926" s="1942"/>
      <c r="AY926" s="1942"/>
      <c r="AZ926" s="1942"/>
      <c r="BA926" s="1942"/>
      <c r="BB926" s="575"/>
      <c r="BC926" s="576"/>
      <c r="BD926" s="678"/>
    </row>
    <row r="927" spans="1:56" s="51" customFormat="1" ht="30" hidden="1" outlineLevel="1" x14ac:dyDescent="0.25">
      <c r="A927" s="1267"/>
      <c r="B927" s="228"/>
      <c r="C927" s="328"/>
      <c r="D927" s="4016"/>
      <c r="E927" s="3990"/>
      <c r="F927" s="3010" t="str">
        <f t="shared" si="94"/>
        <v>Mini/MultiSplitAC_ROF_MF</v>
      </c>
      <c r="G927" s="3403"/>
      <c r="H927" s="3404"/>
      <c r="I927" s="3411" t="str">
        <f t="shared" si="95"/>
        <v>351600_2021_12_</v>
      </c>
      <c r="J927" s="2856">
        <f t="shared" ref="J927:J932" si="98">J920</f>
        <v>0</v>
      </c>
      <c r="K927" s="748"/>
      <c r="L927" s="749"/>
      <c r="M927" s="1570"/>
      <c r="N927" s="1556"/>
      <c r="O927" s="228"/>
      <c r="P927" s="228"/>
      <c r="Q927" s="228"/>
      <c r="R927" s="228"/>
      <c r="S927" s="228"/>
      <c r="T927" s="123"/>
      <c r="U927" s="123"/>
      <c r="V927" s="4016"/>
      <c r="W927" s="2857"/>
      <c r="X927" s="3155"/>
      <c r="Y927" s="3155">
        <v>0</v>
      </c>
      <c r="Z927" s="2857">
        <v>0</v>
      </c>
      <c r="AA927" s="2857">
        <v>0</v>
      </c>
      <c r="AB927" s="2856">
        <v>0</v>
      </c>
      <c r="AC927" s="2856">
        <v>0</v>
      </c>
      <c r="AD927" s="2857"/>
      <c r="AE927" s="2857"/>
      <c r="AF927" s="2857"/>
      <c r="AG927" s="697"/>
      <c r="AH927" s="1942"/>
      <c r="AI927" s="1942"/>
      <c r="AJ927" s="1942"/>
      <c r="AK927" s="1942"/>
      <c r="AL927" s="1942"/>
      <c r="AM927" s="1942"/>
      <c r="AN927" s="1942"/>
      <c r="AO927" s="1942"/>
      <c r="AP927" s="1942"/>
      <c r="AQ927" s="1942"/>
      <c r="AR927" s="1942"/>
      <c r="AS927" s="1942"/>
      <c r="AT927" s="1942"/>
      <c r="AU927" s="1942"/>
      <c r="AV927" s="1942"/>
      <c r="AW927" s="1942"/>
      <c r="AX927" s="1942"/>
      <c r="AY927" s="1942"/>
      <c r="AZ927" s="1942"/>
      <c r="BA927" s="1942"/>
      <c r="BB927" s="575"/>
      <c r="BC927" s="576"/>
      <c r="BD927" s="678"/>
    </row>
    <row r="928" spans="1:56" s="51" customFormat="1" ht="30" hidden="1" outlineLevel="1" x14ac:dyDescent="0.25">
      <c r="A928" s="1267"/>
      <c r="B928" s="228"/>
      <c r="C928" s="328"/>
      <c r="D928" s="4016"/>
      <c r="E928" s="3990"/>
      <c r="F928" s="3010" t="str">
        <f t="shared" si="94"/>
        <v>Mini/MultiSplitASHP_ROF_MF_NC</v>
      </c>
      <c r="G928" s="3403"/>
      <c r="H928" s="3404"/>
      <c r="I928" s="3411" t="str">
        <f t="shared" si="95"/>
        <v>351650_2021_12_</v>
      </c>
      <c r="J928" s="2856">
        <f t="shared" si="98"/>
        <v>5.44</v>
      </c>
      <c r="K928" s="748"/>
      <c r="L928" s="749"/>
      <c r="M928" s="1570"/>
      <c r="N928" s="1556"/>
      <c r="O928" s="228"/>
      <c r="P928" s="228"/>
      <c r="Q928" s="228"/>
      <c r="R928" s="228"/>
      <c r="S928" s="228"/>
      <c r="T928" s="123"/>
      <c r="U928" s="123"/>
      <c r="V928" s="4016"/>
      <c r="W928" s="2857"/>
      <c r="X928" s="3155"/>
      <c r="Y928" s="3155">
        <v>5.44</v>
      </c>
      <c r="Z928" s="2857">
        <v>5.44</v>
      </c>
      <c r="AA928" s="2857">
        <v>5.44</v>
      </c>
      <c r="AB928" s="2856">
        <v>5.44</v>
      </c>
      <c r="AC928" s="2856">
        <v>5.44</v>
      </c>
      <c r="AD928" s="2857"/>
      <c r="AE928" s="2857"/>
      <c r="AF928" s="2857"/>
      <c r="AG928" s="697"/>
      <c r="AH928" s="1942"/>
      <c r="AI928" s="1942"/>
      <c r="AJ928" s="1942"/>
      <c r="AK928" s="1942"/>
      <c r="AL928" s="1942"/>
      <c r="AM928" s="1942"/>
      <c r="AN928" s="1942"/>
      <c r="AO928" s="1942"/>
      <c r="AP928" s="1942"/>
      <c r="AQ928" s="1942"/>
      <c r="AR928" s="1942"/>
      <c r="AS928" s="1942"/>
      <c r="AT928" s="1942"/>
      <c r="AU928" s="1942"/>
      <c r="AV928" s="1942"/>
      <c r="AW928" s="1942"/>
      <c r="AX928" s="1942"/>
      <c r="AY928" s="1942"/>
      <c r="AZ928" s="1942"/>
      <c r="BA928" s="1942"/>
      <c r="BB928" s="575"/>
      <c r="BC928" s="576"/>
      <c r="BD928" s="678"/>
    </row>
    <row r="929" spans="1:56" s="51" customFormat="1" ht="30" hidden="1" outlineLevel="1" x14ac:dyDescent="0.25">
      <c r="A929" s="1267"/>
      <c r="B929" s="228"/>
      <c r="C929" s="328"/>
      <c r="D929" s="4016"/>
      <c r="E929" s="3990"/>
      <c r="F929" s="3010" t="str">
        <f t="shared" si="94"/>
        <v>Mini/MultiSplitASHP_ROF_MF</v>
      </c>
      <c r="G929" s="3403"/>
      <c r="H929" s="3404"/>
      <c r="I929" s="3411" t="str">
        <f t="shared" si="95"/>
        <v>351700_2021_12_</v>
      </c>
      <c r="J929" s="2856">
        <f t="shared" si="98"/>
        <v>5.44</v>
      </c>
      <c r="K929" s="748"/>
      <c r="L929" s="749"/>
      <c r="M929" s="1570"/>
      <c r="N929" s="1556"/>
      <c r="O929" s="228"/>
      <c r="P929" s="228"/>
      <c r="Q929" s="228"/>
      <c r="R929" s="228"/>
      <c r="S929" s="228"/>
      <c r="T929" s="123"/>
      <c r="U929" s="123"/>
      <c r="V929" s="4016"/>
      <c r="W929" s="2857"/>
      <c r="X929" s="3155"/>
      <c r="Y929" s="3155">
        <v>5.44</v>
      </c>
      <c r="Z929" s="2857">
        <v>5.44</v>
      </c>
      <c r="AA929" s="2857">
        <v>5.44</v>
      </c>
      <c r="AB929" s="2856">
        <v>5.44</v>
      </c>
      <c r="AC929" s="2856">
        <v>5.44</v>
      </c>
      <c r="AD929" s="2857"/>
      <c r="AE929" s="2857"/>
      <c r="AF929" s="2857"/>
      <c r="AG929" s="697"/>
      <c r="AH929" s="1942"/>
      <c r="AI929" s="1942"/>
      <c r="AJ929" s="1942"/>
      <c r="AK929" s="1942"/>
      <c r="AL929" s="1942"/>
      <c r="AM929" s="1942"/>
      <c r="AN929" s="1942"/>
      <c r="AO929" s="1942"/>
      <c r="AP929" s="1942"/>
      <c r="AQ929" s="1942"/>
      <c r="AR929" s="1942"/>
      <c r="AS929" s="1942"/>
      <c r="AT929" s="1942"/>
      <c r="AU929" s="1942"/>
      <c r="AV929" s="1942"/>
      <c r="AW929" s="1942"/>
      <c r="AX929" s="1942"/>
      <c r="AY929" s="1942"/>
      <c r="AZ929" s="1942"/>
      <c r="BA929" s="1942"/>
      <c r="BB929" s="575"/>
      <c r="BC929" s="576"/>
      <c r="BD929" s="678"/>
    </row>
    <row r="930" spans="1:56" s="51" customFormat="1" ht="45" hidden="1" outlineLevel="1" x14ac:dyDescent="0.25">
      <c r="A930" s="1267"/>
      <c r="B930" s="228"/>
      <c r="C930" s="328"/>
      <c r="D930" s="4016"/>
      <c r="E930" s="3990"/>
      <c r="F930" s="3010" t="str">
        <f t="shared" si="94"/>
        <v>Mini/MultiSplitASHP-Replace_CAC_ElectricHeat_ER1_MF</v>
      </c>
      <c r="G930" s="3403"/>
      <c r="H930" s="3404"/>
      <c r="I930" s="3411" t="str">
        <f t="shared" si="95"/>
        <v>351750_2021_12_</v>
      </c>
      <c r="J930" s="2856">
        <f t="shared" si="98"/>
        <v>3.4119999999999999</v>
      </c>
      <c r="K930" s="748"/>
      <c r="L930" s="749"/>
      <c r="M930" s="1570"/>
      <c r="N930" s="1556"/>
      <c r="O930" s="228"/>
      <c r="P930" s="228"/>
      <c r="Q930" s="228"/>
      <c r="R930" s="228"/>
      <c r="S930" s="228"/>
      <c r="T930" s="123"/>
      <c r="U930" s="123"/>
      <c r="V930" s="4016"/>
      <c r="W930" s="2857"/>
      <c r="X930" s="3155"/>
      <c r="Y930" s="3155">
        <v>3.4119999999999999</v>
      </c>
      <c r="Z930" s="2857">
        <v>3.4119999999999999</v>
      </c>
      <c r="AA930" s="2857">
        <v>3.4119999999999999</v>
      </c>
      <c r="AB930" s="2856">
        <v>3.4119999999999999</v>
      </c>
      <c r="AC930" s="2856">
        <v>3.4119999999999999</v>
      </c>
      <c r="AD930" s="2857"/>
      <c r="AE930" s="2857"/>
      <c r="AF930" s="2857"/>
      <c r="AG930" s="697"/>
      <c r="AH930" s="1942"/>
      <c r="AI930" s="1942"/>
      <c r="AJ930" s="1942"/>
      <c r="AK930" s="1942"/>
      <c r="AL930" s="1942"/>
      <c r="AM930" s="1942"/>
      <c r="AN930" s="1942"/>
      <c r="AO930" s="1942"/>
      <c r="AP930" s="1942"/>
      <c r="AQ930" s="1942"/>
      <c r="AR930" s="1942"/>
      <c r="AS930" s="1942"/>
      <c r="AT930" s="1942"/>
      <c r="AU930" s="1942"/>
      <c r="AV930" s="1942"/>
      <c r="AW930" s="1942"/>
      <c r="AX930" s="1942"/>
      <c r="AY930" s="1942"/>
      <c r="AZ930" s="1942"/>
      <c r="BA930" s="1942"/>
      <c r="BB930" s="575"/>
      <c r="BC930" s="576"/>
      <c r="BD930" s="678"/>
    </row>
    <row r="931" spans="1:56" s="51" customFormat="1" ht="45" hidden="1" outlineLevel="1" x14ac:dyDescent="0.25">
      <c r="A931" s="1267"/>
      <c r="B931" s="228"/>
      <c r="C931" s="328"/>
      <c r="D931" s="4016"/>
      <c r="E931" s="3990"/>
      <c r="F931" s="3010" t="str">
        <f t="shared" si="94"/>
        <v>Mini/MultiSplitASHP-Replace_CAC_ElectricHeat_ROF_MF</v>
      </c>
      <c r="G931" s="3403"/>
      <c r="H931" s="3404"/>
      <c r="I931" s="3411" t="str">
        <f t="shared" si="95"/>
        <v>351800_2021_12_</v>
      </c>
      <c r="J931" s="2856">
        <f t="shared" si="98"/>
        <v>3.4119999999999999</v>
      </c>
      <c r="K931" s="748"/>
      <c r="L931" s="749"/>
      <c r="M931" s="1570"/>
      <c r="N931" s="1556"/>
      <c r="O931" s="228"/>
      <c r="P931" s="228"/>
      <c r="Q931" s="228"/>
      <c r="R931" s="228"/>
      <c r="S931" s="228"/>
      <c r="T931" s="123"/>
      <c r="U931" s="123"/>
      <c r="V931" s="4016"/>
      <c r="W931" s="2857"/>
      <c r="X931" s="3155"/>
      <c r="Y931" s="3155">
        <v>3.4119999999999999</v>
      </c>
      <c r="Z931" s="2857">
        <v>3.4119999999999999</v>
      </c>
      <c r="AA931" s="2857">
        <v>3.4119999999999999</v>
      </c>
      <c r="AB931" s="2856">
        <v>3.4119999999999999</v>
      </c>
      <c r="AC931" s="2856">
        <v>3.4119999999999999</v>
      </c>
      <c r="AD931" s="2857"/>
      <c r="AE931" s="2857"/>
      <c r="AF931" s="2857"/>
      <c r="AG931" s="697"/>
      <c r="AH931" s="1942"/>
      <c r="AI931" s="1942"/>
      <c r="AJ931" s="1942"/>
      <c r="AK931" s="1942"/>
      <c r="AL931" s="1942"/>
      <c r="AM931" s="1942"/>
      <c r="AN931" s="1942"/>
      <c r="AO931" s="1942"/>
      <c r="AP931" s="1942"/>
      <c r="AQ931" s="1942"/>
      <c r="AR931" s="1942"/>
      <c r="AS931" s="1942"/>
      <c r="AT931" s="1942"/>
      <c r="AU931" s="1942"/>
      <c r="AV931" s="1942"/>
      <c r="AW931" s="1942"/>
      <c r="AX931" s="1942"/>
      <c r="AY931" s="1942"/>
      <c r="AZ931" s="1942"/>
      <c r="BA931" s="1942"/>
      <c r="BB931" s="575"/>
      <c r="BC931" s="576"/>
      <c r="BD931" s="678"/>
    </row>
    <row r="932" spans="1:56" s="51" customFormat="1" ht="30" hidden="1" outlineLevel="1" x14ac:dyDescent="0.25">
      <c r="A932" s="1267"/>
      <c r="B932" s="228"/>
      <c r="C932" s="328"/>
      <c r="D932" s="4016"/>
      <c r="E932" s="3990"/>
      <c r="F932" s="3010" t="str">
        <f t="shared" si="94"/>
        <v>Mini/MultiSplitASHP_ER1_MF</v>
      </c>
      <c r="G932" s="3403"/>
      <c r="H932" s="3404"/>
      <c r="I932" s="3411" t="str">
        <f t="shared" si="95"/>
        <v>351850_2021_12_</v>
      </c>
      <c r="J932" s="2856">
        <f t="shared" si="98"/>
        <v>5.44</v>
      </c>
      <c r="K932" s="748"/>
      <c r="L932" s="749"/>
      <c r="M932" s="1570"/>
      <c r="N932" s="1556"/>
      <c r="O932" s="228"/>
      <c r="P932" s="228"/>
      <c r="Q932" s="228"/>
      <c r="R932" s="228"/>
      <c r="S932" s="228"/>
      <c r="T932" s="123"/>
      <c r="U932" s="123"/>
      <c r="V932" s="4016"/>
      <c r="W932" s="2857"/>
      <c r="X932" s="3155"/>
      <c r="Y932" s="3155">
        <v>5.44</v>
      </c>
      <c r="Z932" s="2857">
        <v>5.44</v>
      </c>
      <c r="AA932" s="2857">
        <v>5.44</v>
      </c>
      <c r="AB932" s="2856">
        <v>5.44</v>
      </c>
      <c r="AC932" s="2856">
        <v>5.44</v>
      </c>
      <c r="AD932" s="2857"/>
      <c r="AE932" s="2857"/>
      <c r="AF932" s="2857"/>
      <c r="AG932" s="697"/>
      <c r="AH932" s="1942"/>
      <c r="AI932" s="1942"/>
      <c r="AJ932" s="1942"/>
      <c r="AK932" s="1942"/>
      <c r="AL932" s="1942"/>
      <c r="AM932" s="1942"/>
      <c r="AN932" s="1942"/>
      <c r="AO932" s="1942"/>
      <c r="AP932" s="1942"/>
      <c r="AQ932" s="1942"/>
      <c r="AR932" s="1942"/>
      <c r="AS932" s="1942"/>
      <c r="AT932" s="1942"/>
      <c r="AU932" s="1942"/>
      <c r="AV932" s="1942"/>
      <c r="AW932" s="1942"/>
      <c r="AX932" s="1942"/>
      <c r="AY932" s="1942"/>
      <c r="AZ932" s="1942"/>
      <c r="BA932" s="1942"/>
      <c r="BB932" s="575"/>
      <c r="BC932" s="576"/>
      <c r="BD932" s="678"/>
    </row>
    <row r="933" spans="1:56" s="51" customFormat="1" ht="30" hidden="1" outlineLevel="1" x14ac:dyDescent="0.25">
      <c r="A933" s="1267"/>
      <c r="B933" s="228"/>
      <c r="C933" s="328"/>
      <c r="D933" s="4017"/>
      <c r="E933" s="4005"/>
      <c r="F933" s="3010" t="str">
        <f t="shared" si="94"/>
        <v>Mini/MultiSplitAC_ER1_MF_CompE</v>
      </c>
      <c r="G933" s="3403"/>
      <c r="H933" s="3404"/>
      <c r="I933" s="3411" t="str">
        <f t="shared" si="95"/>
        <v>351551_2021_12_</v>
      </c>
      <c r="J933" s="2856">
        <f>J919</f>
        <v>0</v>
      </c>
      <c r="K933" s="748"/>
      <c r="L933" s="749"/>
      <c r="M933" s="1570"/>
      <c r="N933" s="1556"/>
      <c r="O933" s="228"/>
      <c r="P933" s="228"/>
      <c r="Q933" s="228"/>
      <c r="R933" s="228"/>
      <c r="S933" s="228"/>
      <c r="T933" s="123"/>
      <c r="U933" s="123"/>
      <c r="V933" s="4017"/>
      <c r="W933" s="2857"/>
      <c r="X933" s="2857"/>
      <c r="Y933" s="3155">
        <v>0</v>
      </c>
      <c r="Z933" s="2857">
        <v>0</v>
      </c>
      <c r="AA933" s="2857">
        <v>0</v>
      </c>
      <c r="AB933" s="2856">
        <v>0</v>
      </c>
      <c r="AC933" s="2856">
        <v>0</v>
      </c>
      <c r="AD933" s="2857"/>
      <c r="AE933" s="2857"/>
      <c r="AF933" s="2857"/>
      <c r="AG933" s="697"/>
      <c r="AH933" s="1942"/>
      <c r="AI933" s="1942"/>
      <c r="AJ933" s="1942"/>
      <c r="AK933" s="1942"/>
      <c r="AL933" s="1942"/>
      <c r="AM933" s="1942"/>
      <c r="AN933" s="1942"/>
      <c r="AO933" s="1942"/>
      <c r="AP933" s="1942"/>
      <c r="AQ933" s="1942"/>
      <c r="AR933" s="1942"/>
      <c r="AS933" s="1942"/>
      <c r="AT933" s="1942"/>
      <c r="AU933" s="1942"/>
      <c r="AV933" s="1942"/>
      <c r="AW933" s="1942"/>
      <c r="AX933" s="1942"/>
      <c r="AY933" s="1942"/>
      <c r="AZ933" s="1942"/>
      <c r="BA933" s="1942"/>
      <c r="BB933" s="575"/>
      <c r="BC933" s="576"/>
      <c r="BD933" s="678"/>
    </row>
    <row r="934" spans="1:56" s="51" customFormat="1" ht="30" hidden="1" outlineLevel="1" x14ac:dyDescent="0.25">
      <c r="A934" s="1267"/>
      <c r="B934" s="228"/>
      <c r="C934" s="328"/>
      <c r="D934" s="4017"/>
      <c r="E934" s="4005"/>
      <c r="F934" s="3010" t="str">
        <f t="shared" si="94"/>
        <v>Mini/MultiSplitAC_ROF_MF_CompE</v>
      </c>
      <c r="G934" s="3403"/>
      <c r="H934" s="3404"/>
      <c r="I934" s="3411" t="str">
        <f t="shared" si="95"/>
        <v>351601_2021_12_</v>
      </c>
      <c r="J934" s="2856">
        <f t="shared" ref="J934:J939" si="99">J920</f>
        <v>0</v>
      </c>
      <c r="K934" s="748"/>
      <c r="L934" s="749"/>
      <c r="M934" s="1570"/>
      <c r="N934" s="1556"/>
      <c r="O934" s="228"/>
      <c r="P934" s="228"/>
      <c r="Q934" s="228"/>
      <c r="R934" s="228"/>
      <c r="S934" s="228"/>
      <c r="T934" s="123"/>
      <c r="U934" s="123"/>
      <c r="V934" s="4017"/>
      <c r="W934" s="2857"/>
      <c r="X934" s="2857"/>
      <c r="Y934" s="3155">
        <v>0</v>
      </c>
      <c r="Z934" s="2857">
        <v>0</v>
      </c>
      <c r="AA934" s="2857">
        <v>0</v>
      </c>
      <c r="AB934" s="2856">
        <v>0</v>
      </c>
      <c r="AC934" s="2856">
        <v>0</v>
      </c>
      <c r="AD934" s="2857"/>
      <c r="AE934" s="2857"/>
      <c r="AF934" s="2857"/>
      <c r="AG934" s="697"/>
      <c r="AH934" s="1942"/>
      <c r="AI934" s="1942"/>
      <c r="AJ934" s="1942"/>
      <c r="AK934" s="1942"/>
      <c r="AL934" s="1942"/>
      <c r="AM934" s="1942"/>
      <c r="AN934" s="1942"/>
      <c r="AO934" s="1942"/>
      <c r="AP934" s="1942"/>
      <c r="AQ934" s="1942"/>
      <c r="AR934" s="1942"/>
      <c r="AS934" s="1942"/>
      <c r="AT934" s="1942"/>
      <c r="AU934" s="1942"/>
      <c r="AV934" s="1942"/>
      <c r="AW934" s="1942"/>
      <c r="AX934" s="1942"/>
      <c r="AY934" s="1942"/>
      <c r="AZ934" s="1942"/>
      <c r="BA934" s="1942"/>
      <c r="BB934" s="575"/>
      <c r="BC934" s="576"/>
      <c r="BD934" s="678"/>
    </row>
    <row r="935" spans="1:56" s="51" customFormat="1" ht="30" hidden="1" outlineLevel="1" x14ac:dyDescent="0.25">
      <c r="A935" s="1267"/>
      <c r="B935" s="228"/>
      <c r="C935" s="328"/>
      <c r="D935" s="4017"/>
      <c r="E935" s="4005"/>
      <c r="F935" s="3010" t="str">
        <f t="shared" si="94"/>
        <v>Mini/MultiSplitASHP_ROF_MF_NC_CompE</v>
      </c>
      <c r="G935" s="3403"/>
      <c r="H935" s="3404"/>
      <c r="I935" s="3411" t="str">
        <f t="shared" si="95"/>
        <v>351651_2021_12_</v>
      </c>
      <c r="J935" s="2856">
        <f t="shared" si="99"/>
        <v>5.44</v>
      </c>
      <c r="K935" s="748"/>
      <c r="L935" s="749"/>
      <c r="M935" s="1570"/>
      <c r="N935" s="1556"/>
      <c r="O935" s="228"/>
      <c r="P935" s="228"/>
      <c r="Q935" s="228"/>
      <c r="R935" s="228"/>
      <c r="S935" s="228"/>
      <c r="T935" s="123"/>
      <c r="U935" s="123"/>
      <c r="V935" s="4017"/>
      <c r="W935" s="2857"/>
      <c r="X935" s="2857"/>
      <c r="Y935" s="3155">
        <v>5.44</v>
      </c>
      <c r="Z935" s="2857">
        <v>5.44</v>
      </c>
      <c r="AA935" s="2857">
        <v>5.44</v>
      </c>
      <c r="AB935" s="2856">
        <v>5.44</v>
      </c>
      <c r="AC935" s="2856">
        <v>5.44</v>
      </c>
      <c r="AD935" s="2857"/>
      <c r="AE935" s="2857"/>
      <c r="AF935" s="2857"/>
      <c r="AG935" s="697"/>
      <c r="AH935" s="1942"/>
      <c r="AI935" s="1942"/>
      <c r="AJ935" s="1942"/>
      <c r="AK935" s="1942"/>
      <c r="AL935" s="1942"/>
      <c r="AM935" s="1942"/>
      <c r="AN935" s="1942"/>
      <c r="AO935" s="1942"/>
      <c r="AP935" s="1942"/>
      <c r="AQ935" s="1942"/>
      <c r="AR935" s="1942"/>
      <c r="AS935" s="1942"/>
      <c r="AT935" s="1942"/>
      <c r="AU935" s="1942"/>
      <c r="AV935" s="1942"/>
      <c r="AW935" s="1942"/>
      <c r="AX935" s="1942"/>
      <c r="AY935" s="1942"/>
      <c r="AZ935" s="1942"/>
      <c r="BA935" s="1942"/>
      <c r="BB935" s="575"/>
      <c r="BC935" s="576"/>
      <c r="BD935" s="678"/>
    </row>
    <row r="936" spans="1:56" s="51" customFormat="1" ht="30" hidden="1" outlineLevel="1" x14ac:dyDescent="0.25">
      <c r="A936" s="1267"/>
      <c r="B936" s="228"/>
      <c r="C936" s="328"/>
      <c r="D936" s="4017"/>
      <c r="E936" s="4005"/>
      <c r="F936" s="3010" t="str">
        <f t="shared" si="94"/>
        <v>Mini/MultiSplitASHP_ROF_MF_CompE</v>
      </c>
      <c r="G936" s="3403"/>
      <c r="H936" s="3404"/>
      <c r="I936" s="3411" t="str">
        <f t="shared" si="95"/>
        <v>351701_2021_12_</v>
      </c>
      <c r="J936" s="2856">
        <f t="shared" si="99"/>
        <v>5.44</v>
      </c>
      <c r="K936" s="748"/>
      <c r="L936" s="750"/>
      <c r="M936" s="1570"/>
      <c r="N936" s="1556"/>
      <c r="O936" s="228"/>
      <c r="P936" s="228"/>
      <c r="Q936" s="228"/>
      <c r="R936" s="228"/>
      <c r="S936" s="228"/>
      <c r="T936" s="123"/>
      <c r="U936" s="123"/>
      <c r="V936" s="4017"/>
      <c r="W936" s="2857"/>
      <c r="X936" s="2857"/>
      <c r="Y936" s="3155">
        <v>5.44</v>
      </c>
      <c r="Z936" s="2857">
        <v>5.44</v>
      </c>
      <c r="AA936" s="2857">
        <v>5.44</v>
      </c>
      <c r="AB936" s="2856">
        <v>5.44</v>
      </c>
      <c r="AC936" s="2856">
        <v>5.44</v>
      </c>
      <c r="AD936" s="2857"/>
      <c r="AE936" s="2857"/>
      <c r="AF936" s="2857"/>
      <c r="AG936" s="697"/>
      <c r="AH936" s="1942"/>
      <c r="AI936" s="1942"/>
      <c r="AJ936" s="1942"/>
      <c r="AK936" s="1942"/>
      <c r="AL936" s="1942"/>
      <c r="AM936" s="1942"/>
      <c r="AN936" s="1942"/>
      <c r="AO936" s="1942"/>
      <c r="AP936" s="1942"/>
      <c r="AQ936" s="1942"/>
      <c r="AR936" s="1942"/>
      <c r="AS936" s="1942"/>
      <c r="AT936" s="1942"/>
      <c r="AU936" s="1942"/>
      <c r="AV936" s="1942"/>
      <c r="AW936" s="1942"/>
      <c r="AX936" s="1942"/>
      <c r="AY936" s="1942"/>
      <c r="AZ936" s="1942"/>
      <c r="BA936" s="1942"/>
      <c r="BB936" s="575"/>
      <c r="BC936" s="576"/>
      <c r="BD936" s="678"/>
    </row>
    <row r="937" spans="1:56" s="51" customFormat="1" ht="45" hidden="1" outlineLevel="1" x14ac:dyDescent="0.25">
      <c r="A937" s="1267"/>
      <c r="B937" s="228"/>
      <c r="C937" s="328"/>
      <c r="D937" s="4017"/>
      <c r="E937" s="4005"/>
      <c r="F937" s="3010" t="str">
        <f t="shared" si="94"/>
        <v>Mini/MultiSplitASHP-Replace_CAC_ElectricHeat_ER1_MF_CompE</v>
      </c>
      <c r="G937" s="3403"/>
      <c r="H937" s="3404"/>
      <c r="I937" s="3411" t="str">
        <f t="shared" si="95"/>
        <v>351751_2021_12_</v>
      </c>
      <c r="J937" s="2856">
        <f t="shared" si="99"/>
        <v>3.4119999999999999</v>
      </c>
      <c r="K937" s="748"/>
      <c r="L937" s="750"/>
      <c r="M937" s="1570"/>
      <c r="N937" s="1556"/>
      <c r="O937" s="228"/>
      <c r="P937" s="228"/>
      <c r="Q937" s="228"/>
      <c r="R937" s="228"/>
      <c r="S937" s="228"/>
      <c r="T937" s="123"/>
      <c r="U937" s="123"/>
      <c r="V937" s="4017"/>
      <c r="W937" s="2857"/>
      <c r="X937" s="2857"/>
      <c r="Y937" s="3155">
        <v>3.4119999999999999</v>
      </c>
      <c r="Z937" s="2857">
        <v>3.4119999999999999</v>
      </c>
      <c r="AA937" s="2857">
        <v>3.4119999999999999</v>
      </c>
      <c r="AB937" s="2856">
        <v>3.4119999999999999</v>
      </c>
      <c r="AC937" s="2856">
        <v>3.4119999999999999</v>
      </c>
      <c r="AD937" s="2857"/>
      <c r="AE937" s="2857"/>
      <c r="AF937" s="2857"/>
      <c r="AG937" s="697"/>
      <c r="AH937" s="1942"/>
      <c r="AI937" s="1942"/>
      <c r="AJ937" s="1942"/>
      <c r="AK937" s="1942"/>
      <c r="AL937" s="1942"/>
      <c r="AM937" s="1942"/>
      <c r="AN937" s="1942"/>
      <c r="AO937" s="1942"/>
      <c r="AP937" s="1942"/>
      <c r="AQ937" s="1942"/>
      <c r="AR937" s="1942"/>
      <c r="AS937" s="1942"/>
      <c r="AT937" s="1942"/>
      <c r="AU937" s="1942"/>
      <c r="AV937" s="1942"/>
      <c r="AW937" s="1942"/>
      <c r="AX937" s="1942"/>
      <c r="AY937" s="1942"/>
      <c r="AZ937" s="1942"/>
      <c r="BA937" s="1942"/>
      <c r="BB937" s="575"/>
      <c r="BC937" s="576"/>
      <c r="BD937" s="678"/>
    </row>
    <row r="938" spans="1:56" s="51" customFormat="1" ht="45" hidden="1" outlineLevel="1" x14ac:dyDescent="0.25">
      <c r="A938" s="1267"/>
      <c r="B938" s="228"/>
      <c r="C938" s="328"/>
      <c r="D938" s="4017"/>
      <c r="E938" s="4005"/>
      <c r="F938" s="3010" t="str">
        <f t="shared" si="94"/>
        <v>Mini/MultiSplitASHP-Replace_CAC_ElectricHeat_ROF_MF_CompE</v>
      </c>
      <c r="G938" s="3403"/>
      <c r="H938" s="3404"/>
      <c r="I938" s="3411" t="str">
        <f t="shared" si="95"/>
        <v>351801_2021_12_</v>
      </c>
      <c r="J938" s="2856">
        <f t="shared" si="99"/>
        <v>3.4119999999999999</v>
      </c>
      <c r="K938" s="748"/>
      <c r="L938" s="750"/>
      <c r="M938" s="1570"/>
      <c r="N938" s="1556"/>
      <c r="O938" s="228"/>
      <c r="P938" s="228"/>
      <c r="Q938" s="228"/>
      <c r="R938" s="228"/>
      <c r="S938" s="228"/>
      <c r="T938" s="123"/>
      <c r="U938" s="123"/>
      <c r="V938" s="4017"/>
      <c r="W938" s="2857"/>
      <c r="X938" s="2857"/>
      <c r="Y938" s="3155">
        <v>3.4119999999999999</v>
      </c>
      <c r="Z938" s="2857">
        <v>3.4119999999999999</v>
      </c>
      <c r="AA938" s="2857">
        <v>3.4119999999999999</v>
      </c>
      <c r="AB938" s="2856">
        <v>3.4119999999999999</v>
      </c>
      <c r="AC938" s="2856">
        <v>3.4119999999999999</v>
      </c>
      <c r="AD938" s="2857"/>
      <c r="AE938" s="2857"/>
      <c r="AF938" s="2857"/>
      <c r="AG938" s="697"/>
      <c r="AH938" s="1942"/>
      <c r="AI938" s="1942"/>
      <c r="AJ938" s="1942"/>
      <c r="AK938" s="1942"/>
      <c r="AL938" s="1942"/>
      <c r="AM938" s="1942"/>
      <c r="AN938" s="1942"/>
      <c r="AO938" s="1942"/>
      <c r="AP938" s="1942"/>
      <c r="AQ938" s="1942"/>
      <c r="AR938" s="1942"/>
      <c r="AS938" s="1942"/>
      <c r="AT938" s="1942"/>
      <c r="AU938" s="1942"/>
      <c r="AV938" s="1942"/>
      <c r="AW938" s="1942"/>
      <c r="AX938" s="1942"/>
      <c r="AY938" s="1942"/>
      <c r="AZ938" s="1942"/>
      <c r="BA938" s="1942"/>
      <c r="BB938" s="575"/>
      <c r="BC938" s="576"/>
      <c r="BD938" s="678"/>
    </row>
    <row r="939" spans="1:56" s="51" customFormat="1" ht="30.75" hidden="1" outlineLevel="1" thickBot="1" x14ac:dyDescent="0.3">
      <c r="A939" s="1267"/>
      <c r="B939" s="228"/>
      <c r="C939" s="328"/>
      <c r="D939" s="4089"/>
      <c r="E939" s="4035"/>
      <c r="F939" s="3010" t="str">
        <f t="shared" si="94"/>
        <v>Mini/MultiSplitASHP_ER1_MF_CompE</v>
      </c>
      <c r="G939" s="3403"/>
      <c r="H939" s="3404"/>
      <c r="I939" s="3412" t="str">
        <f t="shared" si="95"/>
        <v>351851_2021_12_</v>
      </c>
      <c r="J939" s="2856">
        <f t="shared" si="99"/>
        <v>5.44</v>
      </c>
      <c r="K939" s="748"/>
      <c r="L939" s="1571"/>
      <c r="M939" s="1570"/>
      <c r="N939" s="1556"/>
      <c r="O939" s="228"/>
      <c r="P939" s="228"/>
      <c r="Q939" s="228"/>
      <c r="R939" s="228"/>
      <c r="S939" s="228"/>
      <c r="T939" s="123"/>
      <c r="U939" s="123"/>
      <c r="V939" s="4089"/>
      <c r="W939" s="2860"/>
      <c r="X939" s="2860"/>
      <c r="Y939" s="3156">
        <v>5.44</v>
      </c>
      <c r="Z939" s="2860">
        <v>5.44</v>
      </c>
      <c r="AA939" s="2860">
        <v>5.44</v>
      </c>
      <c r="AB939" s="2856">
        <v>5.44</v>
      </c>
      <c r="AC939" s="2856">
        <v>5.44</v>
      </c>
      <c r="AD939" s="2860"/>
      <c r="AE939" s="2860"/>
      <c r="AF939" s="2860"/>
      <c r="AG939" s="751"/>
      <c r="AH939" s="1942"/>
      <c r="AI939" s="1942"/>
      <c r="AJ939" s="1942"/>
      <c r="AK939" s="1942"/>
      <c r="AL939" s="1942"/>
      <c r="AM939" s="1942"/>
      <c r="AN939" s="1942"/>
      <c r="AO939" s="1942"/>
      <c r="AP939" s="1942"/>
      <c r="AQ939" s="1942"/>
      <c r="AR939" s="1942"/>
      <c r="AS939" s="1942"/>
      <c r="AT939" s="1942"/>
      <c r="AU939" s="1942"/>
      <c r="AV939" s="1942"/>
      <c r="AW939" s="1942"/>
      <c r="AX939" s="1942"/>
      <c r="AY939" s="1942"/>
      <c r="AZ939" s="1942"/>
      <c r="BA939" s="1942"/>
      <c r="BB939" s="575"/>
      <c r="BC939" s="576"/>
      <c r="BD939" s="678"/>
    </row>
    <row r="940" spans="1:56" s="51" customFormat="1" hidden="1" outlineLevel="1" x14ac:dyDescent="0.25">
      <c r="A940" s="1267"/>
      <c r="B940" s="228"/>
      <c r="C940" s="328"/>
      <c r="D940" s="4015" t="s">
        <v>1114</v>
      </c>
      <c r="E940" s="3989" t="s">
        <v>1115</v>
      </c>
      <c r="F940" s="3013" t="str">
        <f t="shared" si="94"/>
        <v>Mini/MultiSplitAC_ER1_SF</v>
      </c>
      <c r="G940" s="3401"/>
      <c r="H940" s="3402"/>
      <c r="I940" s="3410" t="str">
        <f t="shared" si="95"/>
        <v>351200_2021_12_</v>
      </c>
      <c r="J940" s="2251">
        <v>0</v>
      </c>
      <c r="K940" s="745"/>
      <c r="L940" s="746" t="s">
        <v>1081</v>
      </c>
      <c r="M940" s="1570"/>
      <c r="N940" s="1556"/>
      <c r="O940" s="228"/>
      <c r="P940" s="228"/>
      <c r="Q940" s="228"/>
      <c r="R940" s="228"/>
      <c r="S940" s="228"/>
      <c r="T940" s="123"/>
      <c r="U940" s="123"/>
      <c r="V940" s="4015" t="s">
        <v>1114</v>
      </c>
      <c r="W940" s="2861">
        <v>0</v>
      </c>
      <c r="X940" s="2861">
        <v>0</v>
      </c>
      <c r="Y940" s="3157">
        <v>0</v>
      </c>
      <c r="Z940" s="2861">
        <v>0</v>
      </c>
      <c r="AA940" s="2861">
        <v>0</v>
      </c>
      <c r="AB940" s="2244">
        <v>0</v>
      </c>
      <c r="AC940" s="2251">
        <v>0</v>
      </c>
      <c r="AD940" s="2861"/>
      <c r="AE940" s="2861"/>
      <c r="AF940" s="2861"/>
      <c r="AG940" s="747"/>
      <c r="AH940" s="1942"/>
      <c r="AI940" s="1942"/>
      <c r="AJ940" s="1942"/>
      <c r="AK940" s="1942"/>
      <c r="AL940" s="1942"/>
      <c r="AM940" s="1942"/>
      <c r="AN940" s="1942"/>
      <c r="AO940" s="1942"/>
      <c r="AP940" s="1942"/>
      <c r="AQ940" s="1942"/>
      <c r="AR940" s="1942"/>
      <c r="AS940" s="1942"/>
      <c r="AT940" s="1942"/>
      <c r="AU940" s="1942"/>
      <c r="AV940" s="1942"/>
      <c r="AW940" s="1942"/>
      <c r="AX940" s="1942"/>
      <c r="AY940" s="1942"/>
      <c r="AZ940" s="1942"/>
      <c r="BA940" s="1942"/>
      <c r="BB940" s="575"/>
      <c r="BC940" s="576"/>
      <c r="BD940" s="678"/>
    </row>
    <row r="941" spans="1:56" s="51" customFormat="1" ht="30" hidden="1" outlineLevel="1" x14ac:dyDescent="0.25">
      <c r="A941" s="1267"/>
      <c r="B941" s="228"/>
      <c r="C941" s="328"/>
      <c r="D941" s="4016"/>
      <c r="E941" s="3990"/>
      <c r="F941" s="3010" t="str">
        <f t="shared" ref="F941:F1004" si="100">F920</f>
        <v>Mini/MultiSplitAC_ROF_SF</v>
      </c>
      <c r="G941" s="3403"/>
      <c r="H941" s="3404"/>
      <c r="I941" s="3411" t="str">
        <f t="shared" ref="I941:I1004" si="101">I920</f>
        <v>351250_2021_12_</v>
      </c>
      <c r="J941" s="2252">
        <v>0</v>
      </c>
      <c r="K941" s="748"/>
      <c r="L941" s="2243" t="s">
        <v>1081</v>
      </c>
      <c r="M941" s="1570"/>
      <c r="N941" s="1556"/>
      <c r="O941" s="228"/>
      <c r="P941" s="228"/>
      <c r="Q941" s="228"/>
      <c r="R941" s="228"/>
      <c r="S941" s="228"/>
      <c r="T941" s="123"/>
      <c r="U941" s="123"/>
      <c r="V941" s="4016"/>
      <c r="W941" s="2857">
        <v>0</v>
      </c>
      <c r="X941" s="2857">
        <v>0</v>
      </c>
      <c r="Y941" s="3155">
        <v>0</v>
      </c>
      <c r="Z941" s="2857">
        <v>0</v>
      </c>
      <c r="AA941" s="2857">
        <v>0</v>
      </c>
      <c r="AB941" s="2242">
        <v>0</v>
      </c>
      <c r="AC941" s="2252">
        <v>0</v>
      </c>
      <c r="AD941" s="2857"/>
      <c r="AE941" s="2857"/>
      <c r="AF941" s="2857"/>
      <c r="AG941" s="697"/>
      <c r="AH941" s="1942"/>
      <c r="AI941" s="1942"/>
      <c r="AJ941" s="1942"/>
      <c r="AK941" s="1942"/>
      <c r="AL941" s="1942"/>
      <c r="AM941" s="1942"/>
      <c r="AN941" s="1942"/>
      <c r="AO941" s="1942"/>
      <c r="AP941" s="1942"/>
      <c r="AQ941" s="1942"/>
      <c r="AR941" s="1942"/>
      <c r="AS941" s="1942"/>
      <c r="AT941" s="1942"/>
      <c r="AU941" s="1942"/>
      <c r="AV941" s="1942"/>
      <c r="AW941" s="1942"/>
      <c r="AX941" s="1942"/>
      <c r="AY941" s="1942"/>
      <c r="AZ941" s="1942"/>
      <c r="BA941" s="1942"/>
      <c r="BB941" s="575"/>
      <c r="BC941" s="576"/>
      <c r="BD941" s="678"/>
    </row>
    <row r="942" spans="1:56" s="51" customFormat="1" ht="30" hidden="1" outlineLevel="1" x14ac:dyDescent="0.25">
      <c r="A942" s="1267"/>
      <c r="B942" s="228"/>
      <c r="C942" s="328"/>
      <c r="D942" s="4016"/>
      <c r="E942" s="3990"/>
      <c r="F942" s="3010" t="str">
        <f t="shared" si="100"/>
        <v>Mini/MultiSplitASHP_ROF_SF_NC</v>
      </c>
      <c r="G942" s="3403"/>
      <c r="H942" s="3404"/>
      <c r="I942" s="3411" t="str">
        <f t="shared" si="101"/>
        <v>351300_2021_12_</v>
      </c>
      <c r="J942" s="2245">
        <v>11.342156862745099</v>
      </c>
      <c r="K942" s="748"/>
      <c r="L942" s="2723" t="s">
        <v>1008</v>
      </c>
      <c r="M942" s="1570"/>
      <c r="N942" s="1556"/>
      <c r="O942" s="228"/>
      <c r="P942" s="228"/>
      <c r="Q942" s="228"/>
      <c r="R942" s="228"/>
      <c r="S942" s="228"/>
      <c r="T942" s="123"/>
      <c r="U942" s="123"/>
      <c r="V942" s="4016"/>
      <c r="W942" s="2857">
        <v>11.4</v>
      </c>
      <c r="X942" s="3155">
        <v>11.32</v>
      </c>
      <c r="Y942" s="3155">
        <v>10.6</v>
      </c>
      <c r="Z942" s="2857">
        <v>10.6</v>
      </c>
      <c r="AA942" s="2857">
        <v>10.6</v>
      </c>
      <c r="AB942" s="2242">
        <v>10.6</v>
      </c>
      <c r="AC942" s="2245">
        <v>11.342156862745099</v>
      </c>
      <c r="AD942" s="2857"/>
      <c r="AE942" s="2857"/>
      <c r="AF942" s="2857"/>
      <c r="AG942" s="697"/>
      <c r="AH942" s="1942"/>
      <c r="AI942" s="1942"/>
      <c r="AJ942" s="1942"/>
      <c r="AK942" s="1942"/>
      <c r="AL942" s="1942"/>
      <c r="AM942" s="1942"/>
      <c r="AN942" s="1942"/>
      <c r="AO942" s="1942"/>
      <c r="AP942" s="1942"/>
      <c r="AQ942" s="1942"/>
      <c r="AR942" s="1942"/>
      <c r="AS942" s="1942"/>
      <c r="AT942" s="1942"/>
      <c r="AU942" s="1942"/>
      <c r="AV942" s="1942"/>
      <c r="AW942" s="1942"/>
      <c r="AX942" s="1942"/>
      <c r="AY942" s="1942"/>
      <c r="AZ942" s="1942"/>
      <c r="BA942" s="1942"/>
      <c r="BB942" s="575"/>
      <c r="BC942" s="576"/>
      <c r="BD942" s="678"/>
    </row>
    <row r="943" spans="1:56" s="51" customFormat="1" ht="30" hidden="1" outlineLevel="1" x14ac:dyDescent="0.25">
      <c r="A943" s="1267"/>
      <c r="B943" s="228"/>
      <c r="C943" s="328"/>
      <c r="D943" s="4016"/>
      <c r="E943" s="3990"/>
      <c r="F943" s="3010" t="str">
        <f t="shared" si="100"/>
        <v>Mini/MultiSplitASHP_ROF_SF</v>
      </c>
      <c r="G943" s="3403"/>
      <c r="H943" s="3404"/>
      <c r="I943" s="3411" t="str">
        <f t="shared" si="101"/>
        <v>351350_2021_12_</v>
      </c>
      <c r="J943" s="2245">
        <v>11.835714285714287</v>
      </c>
      <c r="K943" s="748"/>
      <c r="L943" s="2723" t="s">
        <v>1005</v>
      </c>
      <c r="M943" s="1550"/>
      <c r="N943" s="1556"/>
      <c r="O943" s="228"/>
      <c r="P943" s="228"/>
      <c r="Q943" s="228"/>
      <c r="R943" s="228"/>
      <c r="S943" s="228"/>
      <c r="T943" s="123"/>
      <c r="U943" s="123"/>
      <c r="V943" s="4016"/>
      <c r="W943" s="2857">
        <v>11.4</v>
      </c>
      <c r="X943" s="3155">
        <v>11.32</v>
      </c>
      <c r="Y943" s="3155">
        <v>10.6</v>
      </c>
      <c r="Z943" s="2857">
        <v>10.6</v>
      </c>
      <c r="AA943" s="2857">
        <v>10.6</v>
      </c>
      <c r="AB943" s="2245">
        <v>11.003896103896107</v>
      </c>
      <c r="AC943" s="2245">
        <v>11.835714285714287</v>
      </c>
      <c r="AD943" s="2857"/>
      <c r="AE943" s="2857"/>
      <c r="AF943" s="2857"/>
      <c r="AG943" s="697"/>
      <c r="AH943" s="1942"/>
      <c r="AI943" s="1942"/>
      <c r="AJ943" s="1942"/>
      <c r="AK943" s="1942"/>
      <c r="AL943" s="1942"/>
      <c r="AM943" s="1942"/>
      <c r="AN943" s="1942"/>
      <c r="AO943" s="1942"/>
      <c r="AP943" s="1942"/>
      <c r="AQ943" s="1942"/>
      <c r="AR943" s="1942"/>
      <c r="AS943" s="1942"/>
      <c r="AT943" s="1942"/>
      <c r="AU943" s="1942"/>
      <c r="AV943" s="1942"/>
      <c r="AW943" s="1942"/>
      <c r="AX943" s="1942"/>
      <c r="AY943" s="1942"/>
      <c r="AZ943" s="1942"/>
      <c r="BA943" s="1942"/>
      <c r="BB943" s="575"/>
      <c r="BC943" s="576"/>
      <c r="BD943" s="678"/>
    </row>
    <row r="944" spans="1:56" s="51" customFormat="1" ht="45" hidden="1" outlineLevel="1" x14ac:dyDescent="0.25">
      <c r="A944" s="1267"/>
      <c r="B944" s="228"/>
      <c r="C944" s="328"/>
      <c r="D944" s="4016"/>
      <c r="E944" s="3990"/>
      <c r="F944" s="3010" t="str">
        <f t="shared" si="100"/>
        <v>Mini/MultiSplitASHP-Replace_CAC_ElectricHeat_ER1_SF</v>
      </c>
      <c r="G944" s="3403"/>
      <c r="H944" s="3404"/>
      <c r="I944" s="3411" t="str">
        <f t="shared" si="101"/>
        <v>351400_2021_12_</v>
      </c>
      <c r="J944" s="2245">
        <v>10.741860465116279</v>
      </c>
      <c r="K944" s="748"/>
      <c r="L944" s="2723" t="s">
        <v>1005</v>
      </c>
      <c r="M944" s="1550"/>
      <c r="N944" s="1556"/>
      <c r="O944" s="228"/>
      <c r="P944" s="228"/>
      <c r="Q944" s="228"/>
      <c r="R944" s="228"/>
      <c r="S944" s="228"/>
      <c r="T944" s="123"/>
      <c r="U944" s="123"/>
      <c r="V944" s="4016"/>
      <c r="W944" s="2857">
        <v>11.7</v>
      </c>
      <c r="X944" s="3155">
        <v>11.32</v>
      </c>
      <c r="Y944" s="3155">
        <v>11.4</v>
      </c>
      <c r="Z944" s="2857">
        <v>11.4</v>
      </c>
      <c r="AA944" s="2857">
        <v>11.4</v>
      </c>
      <c r="AB944" s="2245">
        <v>9.4433000000000007</v>
      </c>
      <c r="AC944" s="2245">
        <v>10.741860465116279</v>
      </c>
      <c r="AD944" s="2857"/>
      <c r="AE944" s="2857"/>
      <c r="AF944" s="2857"/>
      <c r="AG944" s="697"/>
      <c r="AH944" s="1942"/>
      <c r="AI944" s="1942"/>
      <c r="AJ944" s="1942"/>
      <c r="AK944" s="1942"/>
      <c r="AL944" s="1942"/>
      <c r="AM944" s="1942"/>
      <c r="AN944" s="1942"/>
      <c r="AO944" s="1942"/>
      <c r="AP944" s="1942"/>
      <c r="AQ944" s="1942"/>
      <c r="AR944" s="1942"/>
      <c r="AS944" s="1942"/>
      <c r="AT944" s="1942"/>
      <c r="AU944" s="1942"/>
      <c r="AV944" s="1942"/>
      <c r="AW944" s="1942"/>
      <c r="AX944" s="1942"/>
      <c r="AY944" s="1942"/>
      <c r="AZ944" s="1942"/>
      <c r="BA944" s="1942"/>
      <c r="BB944" s="575"/>
      <c r="BC944" s="576"/>
      <c r="BD944" s="678"/>
    </row>
    <row r="945" spans="1:56" s="51" customFormat="1" ht="45" hidden="1" outlineLevel="1" x14ac:dyDescent="0.25">
      <c r="A945" s="1267"/>
      <c r="B945" s="228"/>
      <c r="C945" s="328"/>
      <c r="D945" s="4016"/>
      <c r="E945" s="3990"/>
      <c r="F945" s="3010" t="str">
        <f t="shared" si="100"/>
        <v>Mini/MultiSplitASHP-Replace_CAC_ElectricHeat_ROF_SF</v>
      </c>
      <c r="G945" s="3403"/>
      <c r="H945" s="3404"/>
      <c r="I945" s="3411" t="str">
        <f t="shared" si="101"/>
        <v>351450_2021_12_</v>
      </c>
      <c r="J945" s="2245">
        <v>11.1</v>
      </c>
      <c r="K945" s="748"/>
      <c r="L945" s="2723" t="s">
        <v>1005</v>
      </c>
      <c r="M945" s="1550"/>
      <c r="N945" s="1556"/>
      <c r="O945" s="228"/>
      <c r="P945" s="228"/>
      <c r="Q945" s="228"/>
      <c r="R945" s="228"/>
      <c r="S945" s="228"/>
      <c r="T945" s="123"/>
      <c r="U945" s="123"/>
      <c r="V945" s="4016"/>
      <c r="W945" s="2857">
        <v>10.8</v>
      </c>
      <c r="X945" s="3155">
        <v>11.32</v>
      </c>
      <c r="Y945" s="3155">
        <v>11.4</v>
      </c>
      <c r="Z945" s="2857">
        <v>11.4</v>
      </c>
      <c r="AA945" s="2857">
        <v>11.4</v>
      </c>
      <c r="AB945" s="2245">
        <v>11.226666666666667</v>
      </c>
      <c r="AC945" s="2245">
        <v>11.1</v>
      </c>
      <c r="AD945" s="2857"/>
      <c r="AE945" s="2857"/>
      <c r="AF945" s="2857"/>
      <c r="AG945" s="697"/>
      <c r="AH945" s="1942"/>
      <c r="AI945" s="1942"/>
      <c r="AJ945" s="1942"/>
      <c r="AK945" s="1942"/>
      <c r="AL945" s="1942"/>
      <c r="AM945" s="1942"/>
      <c r="AN945" s="1942"/>
      <c r="AO945" s="1942"/>
      <c r="AP945" s="1942"/>
      <c r="AQ945" s="1942"/>
      <c r="AR945" s="1942"/>
      <c r="AS945" s="1942"/>
      <c r="AT945" s="1942"/>
      <c r="AU945" s="1942"/>
      <c r="AV945" s="1942"/>
      <c r="AW945" s="1942"/>
      <c r="AX945" s="1942"/>
      <c r="AY945" s="1942"/>
      <c r="AZ945" s="1942"/>
      <c r="BA945" s="1942"/>
      <c r="BB945" s="575"/>
      <c r="BC945" s="576"/>
      <c r="BD945" s="678"/>
    </row>
    <row r="946" spans="1:56" s="51" customFormat="1" ht="30" hidden="1" outlineLevel="1" x14ac:dyDescent="0.25">
      <c r="A946" s="1267"/>
      <c r="B946" s="228"/>
      <c r="C946" s="328"/>
      <c r="D946" s="4016"/>
      <c r="E946" s="3990"/>
      <c r="F946" s="3010" t="str">
        <f t="shared" si="100"/>
        <v>Mini/MultiSplitASHP_ER1_SF</v>
      </c>
      <c r="G946" s="3403"/>
      <c r="H946" s="3404"/>
      <c r="I946" s="3411" t="str">
        <f t="shared" si="101"/>
        <v>351500_2021_12_</v>
      </c>
      <c r="J946" s="2245">
        <v>10.93</v>
      </c>
      <c r="K946" s="748"/>
      <c r="L946" s="2723" t="s">
        <v>1005</v>
      </c>
      <c r="M946" s="1573"/>
      <c r="N946" s="1556"/>
      <c r="O946" s="228"/>
      <c r="P946" s="228"/>
      <c r="Q946" s="228"/>
      <c r="R946" s="228"/>
      <c r="S946" s="228"/>
      <c r="T946" s="123"/>
      <c r="U946" s="123"/>
      <c r="V946" s="4016"/>
      <c r="W946" s="2857">
        <v>11.4</v>
      </c>
      <c r="X946" s="3155">
        <v>11.32</v>
      </c>
      <c r="Y946" s="3155">
        <v>12.6</v>
      </c>
      <c r="Z946" s="2857">
        <v>12.6</v>
      </c>
      <c r="AA946" s="2857">
        <v>12.6</v>
      </c>
      <c r="AB946" s="2245">
        <v>8.3625000000000007</v>
      </c>
      <c r="AC946" s="2245">
        <v>10.93</v>
      </c>
      <c r="AD946" s="2857"/>
      <c r="AE946" s="2857"/>
      <c r="AF946" s="2857"/>
      <c r="AG946" s="697"/>
      <c r="AH946" s="1942"/>
      <c r="AI946" s="1942"/>
      <c r="AJ946" s="1942"/>
      <c r="AK946" s="1942"/>
      <c r="AL946" s="1942"/>
      <c r="AM946" s="1942"/>
      <c r="AN946" s="1942"/>
      <c r="AO946" s="1942"/>
      <c r="AP946" s="1942"/>
      <c r="AQ946" s="1942"/>
      <c r="AR946" s="1942"/>
      <c r="AS946" s="1942"/>
      <c r="AT946" s="1942"/>
      <c r="AU946" s="1942"/>
      <c r="AV946" s="1942"/>
      <c r="AW946" s="1942"/>
      <c r="AX946" s="1942"/>
      <c r="AY946" s="1942"/>
      <c r="AZ946" s="1942"/>
      <c r="BA946" s="1942"/>
      <c r="BB946" s="575"/>
      <c r="BC946" s="576"/>
      <c r="BD946" s="678"/>
    </row>
    <row r="947" spans="1:56" s="51" customFormat="1" ht="30" hidden="1" outlineLevel="1" x14ac:dyDescent="0.25">
      <c r="A947" s="1267"/>
      <c r="B947" s="228"/>
      <c r="C947" s="328"/>
      <c r="D947" s="4016"/>
      <c r="E947" s="3990"/>
      <c r="F947" s="3010" t="str">
        <f t="shared" si="100"/>
        <v>Mini/MultiSplitAC_ER1_MF</v>
      </c>
      <c r="G947" s="3403"/>
      <c r="H947" s="3404"/>
      <c r="I947" s="3411" t="str">
        <f t="shared" si="101"/>
        <v>351550_2021_12_</v>
      </c>
      <c r="J947" s="2252">
        <f>J940</f>
        <v>0</v>
      </c>
      <c r="K947" s="748"/>
      <c r="L947" s="2243" t="s">
        <v>1081</v>
      </c>
      <c r="M947" s="1570"/>
      <c r="N947" s="1556"/>
      <c r="O947" s="228"/>
      <c r="P947" s="228"/>
      <c r="Q947" s="228"/>
      <c r="R947" s="228"/>
      <c r="S947" s="228"/>
      <c r="T947" s="123"/>
      <c r="U947" s="123"/>
      <c r="V947" s="4016"/>
      <c r="W947" s="2857"/>
      <c r="X947" s="3155"/>
      <c r="Y947" s="3155">
        <v>0</v>
      </c>
      <c r="Z947" s="2857">
        <v>0</v>
      </c>
      <c r="AA947" s="2857">
        <v>0</v>
      </c>
      <c r="AB947" s="2242">
        <v>0</v>
      </c>
      <c r="AC947" s="2252">
        <v>0</v>
      </c>
      <c r="AD947" s="2857"/>
      <c r="AE947" s="2857"/>
      <c r="AF947" s="2857"/>
      <c r="AG947" s="697"/>
      <c r="AH947" s="1942"/>
      <c r="AI947" s="1942"/>
      <c r="AJ947" s="1942"/>
      <c r="AK947" s="1942"/>
      <c r="AL947" s="1942"/>
      <c r="AM947" s="1942"/>
      <c r="AN947" s="1942"/>
      <c r="AO947" s="1942"/>
      <c r="AP947" s="1942"/>
      <c r="AQ947" s="1942"/>
      <c r="AR947" s="1942"/>
      <c r="AS947" s="1942"/>
      <c r="AT947" s="1942"/>
      <c r="AU947" s="1942"/>
      <c r="AV947" s="1942"/>
      <c r="AW947" s="1942"/>
      <c r="AX947" s="1942"/>
      <c r="AY947" s="1942"/>
      <c r="AZ947" s="1942"/>
      <c r="BA947" s="1942"/>
      <c r="BB947" s="575"/>
      <c r="BC947" s="576"/>
      <c r="BD947" s="678"/>
    </row>
    <row r="948" spans="1:56" s="51" customFormat="1" ht="30" hidden="1" outlineLevel="1" x14ac:dyDescent="0.25">
      <c r="A948" s="1267"/>
      <c r="B948" s="228"/>
      <c r="C948" s="328"/>
      <c r="D948" s="4016"/>
      <c r="E948" s="3990"/>
      <c r="F948" s="3010" t="str">
        <f t="shared" si="100"/>
        <v>Mini/MultiSplitAC_ROF_MF</v>
      </c>
      <c r="G948" s="3403"/>
      <c r="H948" s="3404"/>
      <c r="I948" s="3411" t="str">
        <f t="shared" si="101"/>
        <v>351600_2021_12_</v>
      </c>
      <c r="J948" s="2252">
        <f t="shared" ref="J948:J953" si="102">J941</f>
        <v>0</v>
      </c>
      <c r="K948" s="748"/>
      <c r="L948" s="2243" t="s">
        <v>1081</v>
      </c>
      <c r="M948" s="1570"/>
      <c r="N948" s="1556"/>
      <c r="O948" s="228"/>
      <c r="P948" s="228"/>
      <c r="Q948" s="228"/>
      <c r="R948" s="228"/>
      <c r="S948" s="228"/>
      <c r="T948" s="123"/>
      <c r="U948" s="123"/>
      <c r="V948" s="4016"/>
      <c r="W948" s="2857"/>
      <c r="X948" s="3155"/>
      <c r="Y948" s="3155">
        <v>0</v>
      </c>
      <c r="Z948" s="2857">
        <v>0</v>
      </c>
      <c r="AA948" s="2857">
        <v>0</v>
      </c>
      <c r="AB948" s="2242">
        <v>0</v>
      </c>
      <c r="AC948" s="2252">
        <v>0</v>
      </c>
      <c r="AD948" s="2857"/>
      <c r="AE948" s="2857"/>
      <c r="AF948" s="2857"/>
      <c r="AG948" s="697"/>
      <c r="AH948" s="1942"/>
      <c r="AI948" s="1942"/>
      <c r="AJ948" s="1942"/>
      <c r="AK948" s="1942"/>
      <c r="AL948" s="1942"/>
      <c r="AM948" s="1942"/>
      <c r="AN948" s="1942"/>
      <c r="AO948" s="1942"/>
      <c r="AP948" s="1942"/>
      <c r="AQ948" s="1942"/>
      <c r="AR948" s="1942"/>
      <c r="AS948" s="1942"/>
      <c r="AT948" s="1942"/>
      <c r="AU948" s="1942"/>
      <c r="AV948" s="1942"/>
      <c r="AW948" s="1942"/>
      <c r="AX948" s="1942"/>
      <c r="AY948" s="1942"/>
      <c r="AZ948" s="1942"/>
      <c r="BA948" s="1942"/>
      <c r="BB948" s="575"/>
      <c r="BC948" s="576"/>
      <c r="BD948" s="678"/>
    </row>
    <row r="949" spans="1:56" s="51" customFormat="1" ht="30" hidden="1" outlineLevel="1" x14ac:dyDescent="0.25">
      <c r="A949" s="1267"/>
      <c r="B949" s="228"/>
      <c r="C949" s="328"/>
      <c r="D949" s="4016"/>
      <c r="E949" s="3990"/>
      <c r="F949" s="3010" t="str">
        <f t="shared" si="100"/>
        <v>Mini/MultiSplitASHP_ROF_MF_NC</v>
      </c>
      <c r="G949" s="3403"/>
      <c r="H949" s="3404"/>
      <c r="I949" s="3411" t="str">
        <f t="shared" si="101"/>
        <v>351650_2021_12_</v>
      </c>
      <c r="J949" s="2245">
        <f t="shared" si="102"/>
        <v>11.342156862745099</v>
      </c>
      <c r="K949" s="748"/>
      <c r="L949" s="2731" t="s">
        <v>1092</v>
      </c>
      <c r="M949" s="1570"/>
      <c r="N949" s="1556"/>
      <c r="O949" s="228"/>
      <c r="P949" s="228"/>
      <c r="Q949" s="228"/>
      <c r="R949" s="228"/>
      <c r="S949" s="228"/>
      <c r="T949" s="123"/>
      <c r="U949" s="123"/>
      <c r="V949" s="4016"/>
      <c r="W949" s="2857"/>
      <c r="X949" s="3155"/>
      <c r="Y949" s="3155">
        <v>10.6</v>
      </c>
      <c r="Z949" s="2857">
        <v>10.6</v>
      </c>
      <c r="AA949" s="2857">
        <v>10.6</v>
      </c>
      <c r="AB949" s="2242">
        <v>10.6</v>
      </c>
      <c r="AC949" s="2245">
        <v>11.342156862745099</v>
      </c>
      <c r="AD949" s="2857"/>
      <c r="AE949" s="2857"/>
      <c r="AF949" s="2857"/>
      <c r="AG949" s="697"/>
      <c r="AH949" s="1942"/>
      <c r="AI949" s="1942"/>
      <c r="AJ949" s="1942"/>
      <c r="AK949" s="1942"/>
      <c r="AL949" s="1942"/>
      <c r="AM949" s="1942"/>
      <c r="AN949" s="1942"/>
      <c r="AO949" s="1942"/>
      <c r="AP949" s="1942"/>
      <c r="AQ949" s="1942"/>
      <c r="AR949" s="1942"/>
      <c r="AS949" s="1942"/>
      <c r="AT949" s="1942"/>
      <c r="AU949" s="1942"/>
      <c r="AV949" s="1942"/>
      <c r="AW949" s="1942"/>
      <c r="AX949" s="1942"/>
      <c r="AY949" s="1942"/>
      <c r="AZ949" s="1942"/>
      <c r="BA949" s="1942"/>
      <c r="BB949" s="575"/>
      <c r="BC949" s="576"/>
      <c r="BD949" s="678"/>
    </row>
    <row r="950" spans="1:56" s="51" customFormat="1" ht="30" hidden="1" outlineLevel="1" x14ac:dyDescent="0.25">
      <c r="A950" s="1267"/>
      <c r="B950" s="228"/>
      <c r="C950" s="328"/>
      <c r="D950" s="4016"/>
      <c r="E950" s="3990"/>
      <c r="F950" s="3010" t="str">
        <f t="shared" si="100"/>
        <v>Mini/MultiSplitASHP_ROF_MF</v>
      </c>
      <c r="G950" s="3403"/>
      <c r="H950" s="3404"/>
      <c r="I950" s="3411" t="str">
        <f t="shared" si="101"/>
        <v>351700_2021_12_</v>
      </c>
      <c r="J950" s="2245">
        <f t="shared" si="102"/>
        <v>11.835714285714287</v>
      </c>
      <c r="K950" s="748"/>
      <c r="L950" s="2243" t="s">
        <v>1092</v>
      </c>
      <c r="M950" s="1570"/>
      <c r="N950" s="1556"/>
      <c r="O950" s="228"/>
      <c r="P950" s="228"/>
      <c r="Q950" s="228"/>
      <c r="R950" s="228"/>
      <c r="S950" s="228"/>
      <c r="T950" s="123"/>
      <c r="U950" s="123"/>
      <c r="V950" s="4016"/>
      <c r="W950" s="2857"/>
      <c r="X950" s="3155"/>
      <c r="Y950" s="3155">
        <v>10.6</v>
      </c>
      <c r="Z950" s="2857">
        <v>10.6</v>
      </c>
      <c r="AA950" s="2857">
        <v>10.6</v>
      </c>
      <c r="AB950" s="2245">
        <v>11.003896103896107</v>
      </c>
      <c r="AC950" s="2245">
        <v>11.835714285714287</v>
      </c>
      <c r="AD950" s="2857"/>
      <c r="AE950" s="2857"/>
      <c r="AF950" s="2857"/>
      <c r="AG950" s="697"/>
      <c r="AH950" s="1942"/>
      <c r="AI950" s="1942"/>
      <c r="AJ950" s="1942"/>
      <c r="AK950" s="1942"/>
      <c r="AL950" s="1942"/>
      <c r="AM950" s="1942"/>
      <c r="AN950" s="1942"/>
      <c r="AO950" s="1942"/>
      <c r="AP950" s="1942"/>
      <c r="AQ950" s="1942"/>
      <c r="AR950" s="1942"/>
      <c r="AS950" s="1942"/>
      <c r="AT950" s="1942"/>
      <c r="AU950" s="1942"/>
      <c r="AV950" s="1942"/>
      <c r="AW950" s="1942"/>
      <c r="AX950" s="1942"/>
      <c r="AY950" s="1942"/>
      <c r="AZ950" s="1942"/>
      <c r="BA950" s="1942"/>
      <c r="BB950" s="575"/>
      <c r="BC950" s="576"/>
      <c r="BD950" s="678"/>
    </row>
    <row r="951" spans="1:56" s="51" customFormat="1" ht="45" hidden="1" outlineLevel="1" x14ac:dyDescent="0.25">
      <c r="A951" s="1267"/>
      <c r="B951" s="228"/>
      <c r="C951" s="328"/>
      <c r="D951" s="4016"/>
      <c r="E951" s="3990"/>
      <c r="F951" s="3010" t="str">
        <f t="shared" si="100"/>
        <v>Mini/MultiSplitASHP-Replace_CAC_ElectricHeat_ER1_MF</v>
      </c>
      <c r="G951" s="3403"/>
      <c r="H951" s="3404"/>
      <c r="I951" s="3411" t="str">
        <f t="shared" si="101"/>
        <v>351750_2021_12_</v>
      </c>
      <c r="J951" s="2245">
        <f t="shared" si="102"/>
        <v>10.741860465116279</v>
      </c>
      <c r="K951" s="748"/>
      <c r="L951" s="2243" t="s">
        <v>1092</v>
      </c>
      <c r="M951" s="1570"/>
      <c r="N951" s="1556"/>
      <c r="O951" s="228"/>
      <c r="P951" s="228"/>
      <c r="Q951" s="228"/>
      <c r="R951" s="228"/>
      <c r="S951" s="228"/>
      <c r="T951" s="123"/>
      <c r="U951" s="123"/>
      <c r="V951" s="4016"/>
      <c r="W951" s="2857"/>
      <c r="X951" s="3155"/>
      <c r="Y951" s="3155">
        <v>11.4</v>
      </c>
      <c r="Z951" s="2857">
        <v>11.4</v>
      </c>
      <c r="AA951" s="2857">
        <v>11.4</v>
      </c>
      <c r="AB951" s="2245">
        <v>9.4433000000000007</v>
      </c>
      <c r="AC951" s="2245">
        <v>10.741860465116279</v>
      </c>
      <c r="AD951" s="2857"/>
      <c r="AE951" s="2857"/>
      <c r="AF951" s="2857"/>
      <c r="AG951" s="697"/>
      <c r="AH951" s="1942"/>
      <c r="AI951" s="1942"/>
      <c r="AJ951" s="1942"/>
      <c r="AK951" s="1942"/>
      <c r="AL951" s="1942"/>
      <c r="AM951" s="1942"/>
      <c r="AN951" s="1942"/>
      <c r="AO951" s="1942"/>
      <c r="AP951" s="1942"/>
      <c r="AQ951" s="1942"/>
      <c r="AR951" s="1942"/>
      <c r="AS951" s="1942"/>
      <c r="AT951" s="1942"/>
      <c r="AU951" s="1942"/>
      <c r="AV951" s="1942"/>
      <c r="AW951" s="1942"/>
      <c r="AX951" s="1942"/>
      <c r="AY951" s="1942"/>
      <c r="AZ951" s="1942"/>
      <c r="BA951" s="1942"/>
      <c r="BB951" s="575"/>
      <c r="BC951" s="576"/>
      <c r="BD951" s="678"/>
    </row>
    <row r="952" spans="1:56" s="51" customFormat="1" ht="45" hidden="1" outlineLevel="1" x14ac:dyDescent="0.25">
      <c r="A952" s="1267"/>
      <c r="B952" s="228"/>
      <c r="C952" s="328"/>
      <c r="D952" s="4016"/>
      <c r="E952" s="3990"/>
      <c r="F952" s="3010" t="str">
        <f t="shared" si="100"/>
        <v>Mini/MultiSplitASHP-Replace_CAC_ElectricHeat_ROF_MF</v>
      </c>
      <c r="G952" s="3403"/>
      <c r="H952" s="3404"/>
      <c r="I952" s="3411" t="str">
        <f t="shared" si="101"/>
        <v>351800_2021_12_</v>
      </c>
      <c r="J952" s="2245">
        <f t="shared" si="102"/>
        <v>11.1</v>
      </c>
      <c r="K952" s="748"/>
      <c r="L952" s="2243" t="s">
        <v>1092</v>
      </c>
      <c r="M952" s="1570"/>
      <c r="N952" s="1556"/>
      <c r="O952" s="228"/>
      <c r="P952" s="228"/>
      <c r="Q952" s="228"/>
      <c r="R952" s="228"/>
      <c r="S952" s="228"/>
      <c r="T952" s="123"/>
      <c r="U952" s="123"/>
      <c r="V952" s="4016"/>
      <c r="W952" s="2857"/>
      <c r="X952" s="3155"/>
      <c r="Y952" s="3155">
        <v>11.4</v>
      </c>
      <c r="Z952" s="2857">
        <v>11.4</v>
      </c>
      <c r="AA952" s="2857">
        <v>11.4</v>
      </c>
      <c r="AB952" s="2245">
        <v>11.226666666666667</v>
      </c>
      <c r="AC952" s="2245">
        <v>11.1</v>
      </c>
      <c r="AD952" s="2857"/>
      <c r="AE952" s="2857"/>
      <c r="AF952" s="2857"/>
      <c r="AG952" s="697"/>
      <c r="AH952" s="1942"/>
      <c r="AI952" s="1942"/>
      <c r="AJ952" s="1942"/>
      <c r="AK952" s="1942"/>
      <c r="AL952" s="1942"/>
      <c r="AM952" s="1942"/>
      <c r="AN952" s="1942"/>
      <c r="AO952" s="1942"/>
      <c r="AP952" s="1942"/>
      <c r="AQ952" s="1942"/>
      <c r="AR952" s="1942"/>
      <c r="AS952" s="1942"/>
      <c r="AT952" s="1942"/>
      <c r="AU952" s="1942"/>
      <c r="AV952" s="1942"/>
      <c r="AW952" s="1942"/>
      <c r="AX952" s="1942"/>
      <c r="AY952" s="1942"/>
      <c r="AZ952" s="1942"/>
      <c r="BA952" s="1942"/>
      <c r="BB952" s="575"/>
      <c r="BC952" s="576"/>
      <c r="BD952" s="678"/>
    </row>
    <row r="953" spans="1:56" s="51" customFormat="1" ht="30" hidden="1" outlineLevel="1" x14ac:dyDescent="0.25">
      <c r="A953" s="1267"/>
      <c r="B953" s="228"/>
      <c r="C953" s="328"/>
      <c r="D953" s="4016"/>
      <c r="E953" s="3990"/>
      <c r="F953" s="3010" t="str">
        <f t="shared" si="100"/>
        <v>Mini/MultiSplitASHP_ER1_MF</v>
      </c>
      <c r="G953" s="3403"/>
      <c r="H953" s="3404"/>
      <c r="I953" s="3411" t="str">
        <f t="shared" si="101"/>
        <v>351850_2021_12_</v>
      </c>
      <c r="J953" s="2245">
        <f t="shared" si="102"/>
        <v>10.93</v>
      </c>
      <c r="K953" s="748"/>
      <c r="L953" s="2243" t="s">
        <v>1092</v>
      </c>
      <c r="M953" s="1570"/>
      <c r="N953" s="1556"/>
      <c r="O953" s="228"/>
      <c r="P953" s="228"/>
      <c r="Q953" s="228"/>
      <c r="R953" s="228"/>
      <c r="S953" s="228"/>
      <c r="T953" s="123"/>
      <c r="U953" s="123"/>
      <c r="V953" s="4016"/>
      <c r="W953" s="2857"/>
      <c r="X953" s="3155"/>
      <c r="Y953" s="3155">
        <v>12.6</v>
      </c>
      <c r="Z953" s="2857">
        <v>12.6</v>
      </c>
      <c r="AA953" s="2857">
        <v>12.6</v>
      </c>
      <c r="AB953" s="2245">
        <v>8.3625000000000007</v>
      </c>
      <c r="AC953" s="2245">
        <v>10.93</v>
      </c>
      <c r="AD953" s="2857"/>
      <c r="AE953" s="2857"/>
      <c r="AF953" s="2857"/>
      <c r="AG953" s="697"/>
      <c r="AH953" s="1942"/>
      <c r="AI953" s="1942"/>
      <c r="AJ953" s="1942"/>
      <c r="AK953" s="1942"/>
      <c r="AL953" s="1942"/>
      <c r="AM953" s="1942"/>
      <c r="AN953" s="1942"/>
      <c r="AO953" s="1942"/>
      <c r="AP953" s="1942"/>
      <c r="AQ953" s="1942"/>
      <c r="AR953" s="1942"/>
      <c r="AS953" s="1942"/>
      <c r="AT953" s="1942"/>
      <c r="AU953" s="1942"/>
      <c r="AV953" s="1942"/>
      <c r="AW953" s="1942"/>
      <c r="AX953" s="1942"/>
      <c r="AY953" s="1942"/>
      <c r="AZ953" s="1942"/>
      <c r="BA953" s="1942"/>
      <c r="BB953" s="575"/>
      <c r="BC953" s="576"/>
      <c r="BD953" s="678"/>
    </row>
    <row r="954" spans="1:56" s="51" customFormat="1" ht="30" hidden="1" outlineLevel="1" x14ac:dyDescent="0.25">
      <c r="A954" s="1267"/>
      <c r="B954" s="228"/>
      <c r="C954" s="328"/>
      <c r="D954" s="4016"/>
      <c r="E954" s="3990"/>
      <c r="F954" s="3010" t="str">
        <f t="shared" si="100"/>
        <v>Mini/MultiSplitAC_ER1_MF_CompE</v>
      </c>
      <c r="G954" s="3403"/>
      <c r="H954" s="3404"/>
      <c r="I954" s="3411" t="str">
        <f t="shared" si="101"/>
        <v>351551_2021_12_</v>
      </c>
      <c r="J954" s="2252">
        <f>J940</f>
        <v>0</v>
      </c>
      <c r="K954" s="748"/>
      <c r="L954" s="2243" t="s">
        <v>1081</v>
      </c>
      <c r="M954" s="1573"/>
      <c r="N954" s="1556"/>
      <c r="O954" s="228"/>
      <c r="P954" s="228"/>
      <c r="Q954" s="228"/>
      <c r="R954" s="228"/>
      <c r="S954" s="228"/>
      <c r="T954" s="123"/>
      <c r="U954" s="123"/>
      <c r="V954" s="4016"/>
      <c r="W954" s="2857"/>
      <c r="X954" s="3155"/>
      <c r="Y954" s="3155">
        <v>0</v>
      </c>
      <c r="Z954" s="2857">
        <v>0</v>
      </c>
      <c r="AA954" s="2857">
        <v>0</v>
      </c>
      <c r="AB954" s="2242">
        <v>0</v>
      </c>
      <c r="AC954" s="2252">
        <v>0</v>
      </c>
      <c r="AD954" s="2857"/>
      <c r="AE954" s="2857"/>
      <c r="AF954" s="2857"/>
      <c r="AG954" s="697"/>
      <c r="AH954" s="1942"/>
      <c r="AI954" s="1942"/>
      <c r="AJ954" s="1942"/>
      <c r="AK954" s="1942"/>
      <c r="AL954" s="1942"/>
      <c r="AM954" s="1942"/>
      <c r="AN954" s="1942"/>
      <c r="AO954" s="1942"/>
      <c r="AP954" s="1942"/>
      <c r="AQ954" s="1942"/>
      <c r="AR954" s="1942"/>
      <c r="AS954" s="1942"/>
      <c r="AT954" s="1942"/>
      <c r="AU954" s="1942"/>
      <c r="AV954" s="1942"/>
      <c r="AW954" s="1942"/>
      <c r="AX954" s="1942"/>
      <c r="AY954" s="1942"/>
      <c r="AZ954" s="1942"/>
      <c r="BA954" s="1942"/>
      <c r="BB954" s="575"/>
      <c r="BC954" s="576"/>
      <c r="BD954" s="678"/>
    </row>
    <row r="955" spans="1:56" s="51" customFormat="1" ht="30" hidden="1" outlineLevel="1" x14ac:dyDescent="0.25">
      <c r="A955" s="1267"/>
      <c r="B955" s="228"/>
      <c r="C955" s="328"/>
      <c r="D955" s="4016"/>
      <c r="E955" s="3990"/>
      <c r="F955" s="3010" t="str">
        <f t="shared" si="100"/>
        <v>Mini/MultiSplitAC_ROF_MF_CompE</v>
      </c>
      <c r="G955" s="3403"/>
      <c r="H955" s="3404"/>
      <c r="I955" s="3411" t="str">
        <f t="shared" si="101"/>
        <v>351601_2021_12_</v>
      </c>
      <c r="J955" s="2252">
        <f t="shared" ref="J955:J960" si="103">J941</f>
        <v>0</v>
      </c>
      <c r="K955" s="748"/>
      <c r="L955" s="2243" t="s">
        <v>1081</v>
      </c>
      <c r="M955" s="1573"/>
      <c r="N955" s="1556"/>
      <c r="O955" s="228"/>
      <c r="P955" s="228"/>
      <c r="Q955" s="228"/>
      <c r="R955" s="228"/>
      <c r="S955" s="228"/>
      <c r="T955" s="123"/>
      <c r="U955" s="123"/>
      <c r="V955" s="4016"/>
      <c r="W955" s="2857"/>
      <c r="X955" s="3155"/>
      <c r="Y955" s="3155">
        <v>0</v>
      </c>
      <c r="Z955" s="2857">
        <v>0</v>
      </c>
      <c r="AA955" s="2857">
        <v>0</v>
      </c>
      <c r="AB955" s="2242">
        <v>0</v>
      </c>
      <c r="AC955" s="2252">
        <v>0</v>
      </c>
      <c r="AD955" s="2857"/>
      <c r="AE955" s="2857"/>
      <c r="AF955" s="2857"/>
      <c r="AG955" s="697"/>
      <c r="AH955" s="1942"/>
      <c r="AI955" s="1942"/>
      <c r="AJ955" s="1942"/>
      <c r="AK955" s="1942"/>
      <c r="AL955" s="1942"/>
      <c r="AM955" s="1942"/>
      <c r="AN955" s="1942"/>
      <c r="AO955" s="1942"/>
      <c r="AP955" s="1942"/>
      <c r="AQ955" s="1942"/>
      <c r="AR955" s="1942"/>
      <c r="AS955" s="1942"/>
      <c r="AT955" s="1942"/>
      <c r="AU955" s="1942"/>
      <c r="AV955" s="1942"/>
      <c r="AW955" s="1942"/>
      <c r="AX955" s="1942"/>
      <c r="AY955" s="1942"/>
      <c r="AZ955" s="1942"/>
      <c r="BA955" s="1942"/>
      <c r="BB955" s="575"/>
      <c r="BC955" s="576"/>
      <c r="BD955" s="678"/>
    </row>
    <row r="956" spans="1:56" s="51" customFormat="1" ht="30" hidden="1" outlineLevel="1" x14ac:dyDescent="0.25">
      <c r="A956" s="1267"/>
      <c r="B956" s="228"/>
      <c r="C956" s="328"/>
      <c r="D956" s="4016"/>
      <c r="E956" s="3990"/>
      <c r="F956" s="3010" t="str">
        <f t="shared" si="100"/>
        <v>Mini/MultiSplitASHP_ROF_MF_NC_CompE</v>
      </c>
      <c r="G956" s="3403"/>
      <c r="H956" s="3404"/>
      <c r="I956" s="3411" t="str">
        <f t="shared" si="101"/>
        <v>351651_2021_12_</v>
      </c>
      <c r="J956" s="2245">
        <f t="shared" si="103"/>
        <v>11.342156862745099</v>
      </c>
      <c r="K956" s="748"/>
      <c r="L956" s="2731" t="s">
        <v>1092</v>
      </c>
      <c r="M956" s="1573"/>
      <c r="N956" s="1556"/>
      <c r="O956" s="228"/>
      <c r="P956" s="228"/>
      <c r="Q956" s="228"/>
      <c r="R956" s="228"/>
      <c r="S956" s="228"/>
      <c r="T956" s="123"/>
      <c r="U956" s="123"/>
      <c r="V956" s="4016"/>
      <c r="W956" s="2857"/>
      <c r="X956" s="3155"/>
      <c r="Y956" s="3155">
        <v>10.6</v>
      </c>
      <c r="Z956" s="2857">
        <v>10.6</v>
      </c>
      <c r="AA956" s="2857">
        <v>10.6</v>
      </c>
      <c r="AB956" s="2242">
        <v>10.6</v>
      </c>
      <c r="AC956" s="2245">
        <v>11.342156862745099</v>
      </c>
      <c r="AD956" s="2857"/>
      <c r="AE956" s="2857"/>
      <c r="AF956" s="2857"/>
      <c r="AG956" s="697"/>
      <c r="AH956" s="1942"/>
      <c r="AI956" s="1942"/>
      <c r="AJ956" s="1942"/>
      <c r="AK956" s="1942"/>
      <c r="AL956" s="1942"/>
      <c r="AM956" s="1942"/>
      <c r="AN956" s="1942"/>
      <c r="AO956" s="1942"/>
      <c r="AP956" s="1942"/>
      <c r="AQ956" s="1942"/>
      <c r="AR956" s="1942"/>
      <c r="AS956" s="1942"/>
      <c r="AT956" s="1942"/>
      <c r="AU956" s="1942"/>
      <c r="AV956" s="1942"/>
      <c r="AW956" s="1942"/>
      <c r="AX956" s="1942"/>
      <c r="AY956" s="1942"/>
      <c r="AZ956" s="1942"/>
      <c r="BA956" s="1942"/>
      <c r="BB956" s="575"/>
      <c r="BC956" s="576"/>
      <c r="BD956" s="678"/>
    </row>
    <row r="957" spans="1:56" s="51" customFormat="1" ht="30" hidden="1" outlineLevel="1" x14ac:dyDescent="0.25">
      <c r="A957" s="1267"/>
      <c r="B957" s="228"/>
      <c r="C957" s="328"/>
      <c r="D957" s="4016"/>
      <c r="E957" s="3990"/>
      <c r="F957" s="3010" t="str">
        <f t="shared" si="100"/>
        <v>Mini/MultiSplitASHP_ROF_MF_CompE</v>
      </c>
      <c r="G957" s="3403"/>
      <c r="H957" s="3404"/>
      <c r="I957" s="3411" t="str">
        <f t="shared" si="101"/>
        <v>351701_2021_12_</v>
      </c>
      <c r="J957" s="2245">
        <f t="shared" si="103"/>
        <v>11.835714285714287</v>
      </c>
      <c r="K957" s="748"/>
      <c r="L957" s="2243" t="s">
        <v>1092</v>
      </c>
      <c r="M957" s="1573"/>
      <c r="N957" s="1556"/>
      <c r="O957" s="228"/>
      <c r="P957" s="228"/>
      <c r="Q957" s="228"/>
      <c r="R957" s="228"/>
      <c r="S957" s="228"/>
      <c r="T957" s="123"/>
      <c r="U957" s="123"/>
      <c r="V957" s="4016"/>
      <c r="W957" s="2857"/>
      <c r="X957" s="3155"/>
      <c r="Y957" s="3155">
        <v>10.6</v>
      </c>
      <c r="Z957" s="2857">
        <v>10.6</v>
      </c>
      <c r="AA957" s="2857">
        <v>10.6</v>
      </c>
      <c r="AB957" s="2245">
        <v>11.003896103896107</v>
      </c>
      <c r="AC957" s="2245">
        <v>11.835714285714287</v>
      </c>
      <c r="AD957" s="2857"/>
      <c r="AE957" s="2857"/>
      <c r="AF957" s="2857"/>
      <c r="AG957" s="697"/>
      <c r="AH957" s="1942"/>
      <c r="AI957" s="1942"/>
      <c r="AJ957" s="1942"/>
      <c r="AK957" s="1942"/>
      <c r="AL957" s="1942"/>
      <c r="AM957" s="1942"/>
      <c r="AN957" s="1942"/>
      <c r="AO957" s="1942"/>
      <c r="AP957" s="1942"/>
      <c r="AQ957" s="1942"/>
      <c r="AR957" s="1942"/>
      <c r="AS957" s="1942"/>
      <c r="AT957" s="1942"/>
      <c r="AU957" s="1942"/>
      <c r="AV957" s="1942"/>
      <c r="AW957" s="1942"/>
      <c r="AX957" s="1942"/>
      <c r="AY957" s="1942"/>
      <c r="AZ957" s="1942"/>
      <c r="BA957" s="1942"/>
      <c r="BB957" s="575"/>
      <c r="BC957" s="576"/>
      <c r="BD957" s="678"/>
    </row>
    <row r="958" spans="1:56" s="51" customFormat="1" ht="45" hidden="1" outlineLevel="1" x14ac:dyDescent="0.25">
      <c r="A958" s="1267"/>
      <c r="B958" s="228"/>
      <c r="C958" s="328"/>
      <c r="D958" s="4016"/>
      <c r="E958" s="3990"/>
      <c r="F958" s="3010" t="str">
        <f t="shared" si="100"/>
        <v>Mini/MultiSplitASHP-Replace_CAC_ElectricHeat_ER1_MF_CompE</v>
      </c>
      <c r="G958" s="3403"/>
      <c r="H958" s="3404"/>
      <c r="I958" s="3411" t="str">
        <f t="shared" si="101"/>
        <v>351751_2021_12_</v>
      </c>
      <c r="J958" s="2245">
        <f t="shared" si="103"/>
        <v>10.741860465116279</v>
      </c>
      <c r="K958" s="748"/>
      <c r="L958" s="2246" t="s">
        <v>1092</v>
      </c>
      <c r="M958" s="1573"/>
      <c r="N958" s="1556"/>
      <c r="O958" s="228"/>
      <c r="P958" s="228"/>
      <c r="Q958" s="228"/>
      <c r="R958" s="228"/>
      <c r="S958" s="228"/>
      <c r="T958" s="123"/>
      <c r="U958" s="123"/>
      <c r="V958" s="4016"/>
      <c r="W958" s="2857"/>
      <c r="X958" s="3155"/>
      <c r="Y958" s="3155">
        <v>11.4</v>
      </c>
      <c r="Z958" s="2857">
        <v>11.4</v>
      </c>
      <c r="AA958" s="2857">
        <v>11.4</v>
      </c>
      <c r="AB958" s="2245">
        <v>9.4433000000000007</v>
      </c>
      <c r="AC958" s="2245">
        <v>10.741860465116279</v>
      </c>
      <c r="AD958" s="2857"/>
      <c r="AE958" s="2857"/>
      <c r="AF958" s="2857"/>
      <c r="AG958" s="697"/>
      <c r="AH958" s="1942"/>
      <c r="AI958" s="1942"/>
      <c r="AJ958" s="1942"/>
      <c r="AK958" s="1942"/>
      <c r="AL958" s="1942"/>
      <c r="AM958" s="1942"/>
      <c r="AN958" s="1942"/>
      <c r="AO958" s="1942"/>
      <c r="AP958" s="1942"/>
      <c r="AQ958" s="1942"/>
      <c r="AR958" s="1942"/>
      <c r="AS958" s="1942"/>
      <c r="AT958" s="1942"/>
      <c r="AU958" s="1942"/>
      <c r="AV958" s="1942"/>
      <c r="AW958" s="1942"/>
      <c r="AX958" s="1942"/>
      <c r="AY958" s="1942"/>
      <c r="AZ958" s="1942"/>
      <c r="BA958" s="1942"/>
      <c r="BB958" s="575"/>
      <c r="BC958" s="576"/>
      <c r="BD958" s="678"/>
    </row>
    <row r="959" spans="1:56" s="51" customFormat="1" ht="45" hidden="1" outlineLevel="1" x14ac:dyDescent="0.25">
      <c r="A959" s="1267"/>
      <c r="B959" s="228"/>
      <c r="C959" s="328"/>
      <c r="D959" s="4016"/>
      <c r="E959" s="3990"/>
      <c r="F959" s="3010" t="str">
        <f t="shared" si="100"/>
        <v>Mini/MultiSplitASHP-Replace_CAC_ElectricHeat_ROF_MF_CompE</v>
      </c>
      <c r="G959" s="3403"/>
      <c r="H959" s="3404"/>
      <c r="I959" s="3411" t="str">
        <f t="shared" si="101"/>
        <v>351801_2021_12_</v>
      </c>
      <c r="J959" s="2245">
        <f t="shared" si="103"/>
        <v>11.1</v>
      </c>
      <c r="K959" s="748"/>
      <c r="L959" s="2246" t="s">
        <v>1092</v>
      </c>
      <c r="M959" s="1573"/>
      <c r="N959" s="1556"/>
      <c r="O959" s="228"/>
      <c r="P959" s="228"/>
      <c r="Q959" s="228"/>
      <c r="R959" s="228"/>
      <c r="S959" s="228"/>
      <c r="T959" s="123"/>
      <c r="U959" s="123"/>
      <c r="V959" s="4016"/>
      <c r="W959" s="2857"/>
      <c r="X959" s="3155"/>
      <c r="Y959" s="3155">
        <v>11.4</v>
      </c>
      <c r="Z959" s="2857">
        <v>11.4</v>
      </c>
      <c r="AA959" s="2857">
        <v>11.4</v>
      </c>
      <c r="AB959" s="2245">
        <v>11.226666666666667</v>
      </c>
      <c r="AC959" s="2245">
        <v>11.1</v>
      </c>
      <c r="AD959" s="2857"/>
      <c r="AE959" s="2857"/>
      <c r="AF959" s="2857"/>
      <c r="AG959" s="697"/>
      <c r="AH959" s="1942"/>
      <c r="AI959" s="1942"/>
      <c r="AJ959" s="1942"/>
      <c r="AK959" s="1942"/>
      <c r="AL959" s="1942"/>
      <c r="AM959" s="1942"/>
      <c r="AN959" s="1942"/>
      <c r="AO959" s="1942"/>
      <c r="AP959" s="1942"/>
      <c r="AQ959" s="1942"/>
      <c r="AR959" s="1942"/>
      <c r="AS959" s="1942"/>
      <c r="AT959" s="1942"/>
      <c r="AU959" s="1942"/>
      <c r="AV959" s="1942"/>
      <c r="AW959" s="1942"/>
      <c r="AX959" s="1942"/>
      <c r="AY959" s="1942"/>
      <c r="AZ959" s="1942"/>
      <c r="BA959" s="1942"/>
      <c r="BB959" s="575"/>
      <c r="BC959" s="576"/>
      <c r="BD959" s="678"/>
    </row>
    <row r="960" spans="1:56" s="51" customFormat="1" ht="30.75" hidden="1" outlineLevel="1" thickBot="1" x14ac:dyDescent="0.3">
      <c r="A960" s="1267"/>
      <c r="B960" s="228"/>
      <c r="C960" s="328"/>
      <c r="D960" s="4029"/>
      <c r="E960" s="3991"/>
      <c r="F960" s="3010" t="str">
        <f t="shared" si="100"/>
        <v>Mini/MultiSplitASHP_ER1_MF_CompE</v>
      </c>
      <c r="G960" s="3403"/>
      <c r="H960" s="3404"/>
      <c r="I960" s="3412" t="str">
        <f t="shared" si="101"/>
        <v>351851_2021_12_</v>
      </c>
      <c r="J960" s="2245">
        <f t="shared" si="103"/>
        <v>10.93</v>
      </c>
      <c r="K960" s="748"/>
      <c r="L960" s="2585" t="s">
        <v>1092</v>
      </c>
      <c r="M960" s="1573"/>
      <c r="N960" s="1556"/>
      <c r="O960" s="228"/>
      <c r="P960" s="228"/>
      <c r="Q960" s="228"/>
      <c r="R960" s="228"/>
      <c r="S960" s="228"/>
      <c r="T960" s="123"/>
      <c r="U960" s="123"/>
      <c r="V960" s="4029"/>
      <c r="W960" s="2860"/>
      <c r="X960" s="3156"/>
      <c r="Y960" s="3156">
        <v>12.6</v>
      </c>
      <c r="Z960" s="2860">
        <v>12.6</v>
      </c>
      <c r="AA960" s="2860">
        <v>12.6</v>
      </c>
      <c r="AB960" s="2245">
        <v>8.3625000000000007</v>
      </c>
      <c r="AC960" s="2245">
        <v>10.93</v>
      </c>
      <c r="AD960" s="2860"/>
      <c r="AE960" s="2860"/>
      <c r="AF960" s="2860"/>
      <c r="AG960" s="751"/>
      <c r="AH960" s="1942"/>
      <c r="AI960" s="1942"/>
      <c r="AJ960" s="1942"/>
      <c r="AK960" s="1942"/>
      <c r="AL960" s="1942"/>
      <c r="AM960" s="1942"/>
      <c r="AN960" s="1942"/>
      <c r="AO960" s="1942"/>
      <c r="AP960" s="1942"/>
      <c r="AQ960" s="1942"/>
      <c r="AR960" s="1942"/>
      <c r="AS960" s="1942"/>
      <c r="AT960" s="1942"/>
      <c r="AU960" s="1942"/>
      <c r="AV960" s="1942"/>
      <c r="AW960" s="1942"/>
      <c r="AX960" s="1942"/>
      <c r="AY960" s="1942"/>
      <c r="AZ960" s="1942"/>
      <c r="BA960" s="1942"/>
      <c r="BB960" s="575"/>
      <c r="BC960" s="576"/>
      <c r="BD960" s="678"/>
    </row>
    <row r="961" spans="1:56" s="51" customFormat="1" hidden="1" outlineLevel="1" x14ac:dyDescent="0.25">
      <c r="A961" s="1267"/>
      <c r="B961" s="228"/>
      <c r="C961" s="328"/>
      <c r="D961" s="4015" t="s">
        <v>1116</v>
      </c>
      <c r="E961" s="3989" t="s">
        <v>1117</v>
      </c>
      <c r="F961" s="3013" t="str">
        <f t="shared" si="100"/>
        <v>Mini/MultiSplitAC_ER1_SF</v>
      </c>
      <c r="G961" s="3401"/>
      <c r="H961" s="3402"/>
      <c r="I961" s="3410" t="str">
        <f t="shared" si="101"/>
        <v>351200_2021_12_</v>
      </c>
      <c r="J961" s="2956">
        <v>16000</v>
      </c>
      <c r="K961" s="2247">
        <f>J961/12000</f>
        <v>1.3333333333333333</v>
      </c>
      <c r="L961" s="2959" t="s">
        <v>1118</v>
      </c>
      <c r="M961" s="1574"/>
      <c r="N961" s="1556"/>
      <c r="O961" s="228"/>
      <c r="P961" s="228"/>
      <c r="Q961" s="228"/>
      <c r="R961" s="228"/>
      <c r="S961" s="228"/>
      <c r="T961" s="123"/>
      <c r="U961" s="123"/>
      <c r="V961" s="4015" t="s">
        <v>1116</v>
      </c>
      <c r="W961" s="2861">
        <v>20400</v>
      </c>
      <c r="X961" s="3157">
        <f t="shared" ref="X961:X967" si="104">1.5*12000</f>
        <v>18000</v>
      </c>
      <c r="Y961" s="2861">
        <v>18000</v>
      </c>
      <c r="Z961" s="2861">
        <v>18000</v>
      </c>
      <c r="AA961" s="2861">
        <v>18000</v>
      </c>
      <c r="AB961" s="2244">
        <v>18000</v>
      </c>
      <c r="AC961" s="2956">
        <v>16000</v>
      </c>
      <c r="AD961" s="2861"/>
      <c r="AE961" s="2861"/>
      <c r="AF961" s="2861"/>
      <c r="AG961" s="747"/>
      <c r="AH961" s="1942"/>
      <c r="AI961" s="1942"/>
      <c r="AJ961" s="1942"/>
      <c r="AK961" s="1942"/>
      <c r="AL961" s="1942"/>
      <c r="AM961" s="1942"/>
      <c r="AN961" s="1942"/>
      <c r="AO961" s="1942"/>
      <c r="AP961" s="1942"/>
      <c r="AQ961" s="1942"/>
      <c r="AR961" s="1942"/>
      <c r="AS961" s="1942"/>
      <c r="AT961" s="1942"/>
      <c r="AU961" s="1942"/>
      <c r="AV961" s="1942"/>
      <c r="AW961" s="1942"/>
      <c r="AX961" s="1942"/>
      <c r="AY961" s="1942"/>
      <c r="AZ961" s="1942"/>
      <c r="BA961" s="1942"/>
      <c r="BB961" s="575"/>
      <c r="BC961" s="576"/>
      <c r="BD961" s="678"/>
    </row>
    <row r="962" spans="1:56" s="51" customFormat="1" ht="30" hidden="1" outlineLevel="1" x14ac:dyDescent="0.25">
      <c r="A962" s="1267"/>
      <c r="B962" s="228"/>
      <c r="C962" s="328"/>
      <c r="D962" s="4016"/>
      <c r="E962" s="3990"/>
      <c r="F962" s="3010" t="str">
        <f t="shared" si="100"/>
        <v>Mini/MultiSplitAC_ROF_SF</v>
      </c>
      <c r="G962" s="3403"/>
      <c r="H962" s="3404"/>
      <c r="I962" s="3411" t="str">
        <f t="shared" si="101"/>
        <v>351250_2021_12_</v>
      </c>
      <c r="J962" s="3151">
        <v>16800</v>
      </c>
      <c r="K962" s="2240">
        <f t="shared" ref="K962:K981" si="105">J962/12000</f>
        <v>1.4</v>
      </c>
      <c r="L962" s="2723" t="s">
        <v>1005</v>
      </c>
      <c r="M962" s="1570"/>
      <c r="N962" s="1556"/>
      <c r="O962" s="228"/>
      <c r="P962" s="228"/>
      <c r="Q962" s="228"/>
      <c r="R962" s="228"/>
      <c r="S962" s="228"/>
      <c r="T962" s="123"/>
      <c r="U962" s="123"/>
      <c r="V962" s="4016"/>
      <c r="W962" s="2857">
        <v>19200</v>
      </c>
      <c r="X962" s="3155">
        <f t="shared" si="104"/>
        <v>18000</v>
      </c>
      <c r="Y962" s="2857">
        <v>18000</v>
      </c>
      <c r="Z962" s="2857">
        <v>18000</v>
      </c>
      <c r="AA962" s="2857">
        <v>18000</v>
      </c>
      <c r="AB962" s="3151">
        <v>15750</v>
      </c>
      <c r="AC962" s="3151">
        <v>16800</v>
      </c>
      <c r="AD962" s="2857"/>
      <c r="AE962" s="2857"/>
      <c r="AF962" s="2857"/>
      <c r="AG962" s="697"/>
      <c r="AH962" s="1942"/>
      <c r="AI962" s="1942"/>
      <c r="AJ962" s="1942"/>
      <c r="AK962" s="1942"/>
      <c r="AL962" s="1942"/>
      <c r="AM962" s="1942"/>
      <c r="AN962" s="1942"/>
      <c r="AO962" s="1942"/>
      <c r="AP962" s="1942"/>
      <c r="AQ962" s="1942"/>
      <c r="AR962" s="1942"/>
      <c r="AS962" s="1942"/>
      <c r="AT962" s="1942"/>
      <c r="AU962" s="1942"/>
      <c r="AV962" s="1942"/>
      <c r="AW962" s="1942"/>
      <c r="AX962" s="1942"/>
      <c r="AY962" s="1942"/>
      <c r="AZ962" s="1942"/>
      <c r="BA962" s="1942"/>
      <c r="BB962" s="575"/>
      <c r="BC962" s="576"/>
      <c r="BD962" s="678"/>
    </row>
    <row r="963" spans="1:56" s="51" customFormat="1" ht="30" hidden="1" outlineLevel="1" x14ac:dyDescent="0.25">
      <c r="A963" s="1267"/>
      <c r="B963" s="228"/>
      <c r="C963" s="328"/>
      <c r="D963" s="4016"/>
      <c r="E963" s="3990"/>
      <c r="F963" s="3010" t="str">
        <f t="shared" si="100"/>
        <v>Mini/MultiSplitASHP_ROF_SF_NC</v>
      </c>
      <c r="G963" s="3403"/>
      <c r="H963" s="3404"/>
      <c r="I963" s="3411" t="str">
        <f t="shared" si="101"/>
        <v>351300_2021_12_</v>
      </c>
      <c r="J963" s="2241">
        <v>18101.694915254237</v>
      </c>
      <c r="K963" s="2240">
        <f t="shared" si="105"/>
        <v>1.5084745762711864</v>
      </c>
      <c r="L963" s="2723" t="s">
        <v>1008</v>
      </c>
      <c r="M963" s="1570"/>
      <c r="N963" s="1556"/>
      <c r="O963" s="228"/>
      <c r="P963" s="228"/>
      <c r="Q963" s="228"/>
      <c r="R963" s="228"/>
      <c r="S963" s="228"/>
      <c r="T963" s="123"/>
      <c r="U963" s="123"/>
      <c r="V963" s="4016"/>
      <c r="W963" s="2857">
        <v>19200</v>
      </c>
      <c r="X963" s="3155">
        <f t="shared" si="104"/>
        <v>18000</v>
      </c>
      <c r="Y963" s="2857">
        <v>18000</v>
      </c>
      <c r="Z963" s="2857">
        <v>18000</v>
      </c>
      <c r="AA963" s="2857">
        <v>18000</v>
      </c>
      <c r="AB963" s="2242">
        <v>18000</v>
      </c>
      <c r="AC963" s="2241">
        <v>18101.694915254237</v>
      </c>
      <c r="AD963" s="2857"/>
      <c r="AE963" s="2857"/>
      <c r="AF963" s="2857"/>
      <c r="AG963" s="697"/>
      <c r="AH963" s="1942"/>
      <c r="AI963" s="1942"/>
      <c r="AJ963" s="1942"/>
      <c r="AK963" s="1942"/>
      <c r="AL963" s="1942"/>
      <c r="AM963" s="1942"/>
      <c r="AN963" s="1942"/>
      <c r="AO963" s="1942"/>
      <c r="AP963" s="1942"/>
      <c r="AQ963" s="1942"/>
      <c r="AR963" s="1942"/>
      <c r="AS963" s="1942"/>
      <c r="AT963" s="1942"/>
      <c r="AU963" s="1942"/>
      <c r="AV963" s="1942"/>
      <c r="AW963" s="1942"/>
      <c r="AX963" s="1942"/>
      <c r="AY963" s="1942"/>
      <c r="AZ963" s="1942"/>
      <c r="BA963" s="1942"/>
      <c r="BB963" s="575"/>
      <c r="BC963" s="576"/>
      <c r="BD963" s="678"/>
    </row>
    <row r="964" spans="1:56" s="51" customFormat="1" ht="30" hidden="1" outlineLevel="1" x14ac:dyDescent="0.25">
      <c r="A964" s="1267"/>
      <c r="B964" s="228"/>
      <c r="C964" s="328"/>
      <c r="D964" s="4016"/>
      <c r="E964" s="3990"/>
      <c r="F964" s="3010" t="str">
        <f t="shared" si="100"/>
        <v>Mini/MultiSplitASHP_ROF_SF</v>
      </c>
      <c r="G964" s="3403"/>
      <c r="H964" s="3404"/>
      <c r="I964" s="3411" t="str">
        <f t="shared" si="101"/>
        <v>351350_2021_12_</v>
      </c>
      <c r="J964" s="2241">
        <v>16500</v>
      </c>
      <c r="K964" s="2240">
        <f t="shared" si="105"/>
        <v>1.375</v>
      </c>
      <c r="L964" s="2723" t="s">
        <v>1005</v>
      </c>
      <c r="M964" s="1570"/>
      <c r="N964" s="1556"/>
      <c r="O964" s="228"/>
      <c r="P964" s="228"/>
      <c r="Q964" s="228"/>
      <c r="R964" s="228"/>
      <c r="S964" s="228"/>
      <c r="T964" s="123"/>
      <c r="U964" s="123"/>
      <c r="V964" s="4016"/>
      <c r="W964" s="2857">
        <v>19200</v>
      </c>
      <c r="X964" s="3155">
        <f t="shared" si="104"/>
        <v>18000</v>
      </c>
      <c r="Y964" s="2857">
        <v>18000</v>
      </c>
      <c r="Z964" s="2857">
        <v>18000</v>
      </c>
      <c r="AA964" s="2857">
        <v>18000</v>
      </c>
      <c r="AB964" s="2241">
        <v>18221.05263157895</v>
      </c>
      <c r="AC964" s="2241">
        <v>16500</v>
      </c>
      <c r="AD964" s="2857"/>
      <c r="AE964" s="2857"/>
      <c r="AF964" s="2857"/>
      <c r="AG964" s="697"/>
      <c r="AH964" s="1942"/>
      <c r="AI964" s="1942"/>
      <c r="AJ964" s="1942"/>
      <c r="AK964" s="1942"/>
      <c r="AL964" s="1942"/>
      <c r="AM964" s="1942"/>
      <c r="AN964" s="1942"/>
      <c r="AO964" s="1942"/>
      <c r="AP964" s="1942"/>
      <c r="AQ964" s="1942"/>
      <c r="AR964" s="1942"/>
      <c r="AS964" s="1942"/>
      <c r="AT964" s="1942"/>
      <c r="AU964" s="1942"/>
      <c r="AV964" s="1942"/>
      <c r="AW964" s="1942"/>
      <c r="AX964" s="1942"/>
      <c r="AY964" s="1942"/>
      <c r="AZ964" s="1942"/>
      <c r="BA964" s="1942"/>
      <c r="BB964" s="575"/>
      <c r="BC964" s="576"/>
      <c r="BD964" s="678"/>
    </row>
    <row r="965" spans="1:56" s="51" customFormat="1" ht="45" hidden="1" outlineLevel="1" x14ac:dyDescent="0.25">
      <c r="A965" s="1267"/>
      <c r="B965" s="228"/>
      <c r="C965" s="328"/>
      <c r="D965" s="4016"/>
      <c r="E965" s="3990"/>
      <c r="F965" s="3010" t="str">
        <f t="shared" si="100"/>
        <v>Mini/MultiSplitASHP-Replace_CAC_ElectricHeat_ER1_SF</v>
      </c>
      <c r="G965" s="3403"/>
      <c r="H965" s="3404"/>
      <c r="I965" s="3411" t="str">
        <f t="shared" si="101"/>
        <v>351400_2021_12_</v>
      </c>
      <c r="J965" s="2241">
        <v>18837.20930232558</v>
      </c>
      <c r="K965" s="2240">
        <f t="shared" si="105"/>
        <v>1.569767441860465</v>
      </c>
      <c r="L965" s="2723" t="s">
        <v>1005</v>
      </c>
      <c r="M965" s="1570"/>
      <c r="N965" s="1556"/>
      <c r="O965" s="228"/>
      <c r="P965" s="228"/>
      <c r="Q965" s="228"/>
      <c r="R965" s="228"/>
      <c r="S965" s="228"/>
      <c r="T965" s="123"/>
      <c r="U965" s="123"/>
      <c r="V965" s="4016"/>
      <c r="W965" s="2857">
        <v>16800</v>
      </c>
      <c r="X965" s="3155">
        <f t="shared" si="104"/>
        <v>18000</v>
      </c>
      <c r="Y965" s="2857">
        <v>18000</v>
      </c>
      <c r="Z965" s="2857">
        <v>18000</v>
      </c>
      <c r="AA965" s="2857">
        <v>18000</v>
      </c>
      <c r="AB965" s="2241">
        <v>18840</v>
      </c>
      <c r="AC965" s="2241">
        <v>18837.20930232558</v>
      </c>
      <c r="AD965" s="2857"/>
      <c r="AE965" s="2857"/>
      <c r="AF965" s="2857"/>
      <c r="AG965" s="697"/>
      <c r="AH965" s="1942"/>
      <c r="AI965" s="1942"/>
      <c r="AJ965" s="1942"/>
      <c r="AK965" s="1942"/>
      <c r="AL965" s="1942"/>
      <c r="AM965" s="1942"/>
      <c r="AN965" s="1942"/>
      <c r="AO965" s="1942"/>
      <c r="AP965" s="1942"/>
      <c r="AQ965" s="1942"/>
      <c r="AR965" s="1942"/>
      <c r="AS965" s="1942"/>
      <c r="AT965" s="1942"/>
      <c r="AU965" s="1942"/>
      <c r="AV965" s="1942"/>
      <c r="AW965" s="1942"/>
      <c r="AX965" s="1942"/>
      <c r="AY965" s="1942"/>
      <c r="AZ965" s="1942"/>
      <c r="BA965" s="1942"/>
      <c r="BB965" s="575"/>
      <c r="BC965" s="576"/>
      <c r="BD965" s="678"/>
    </row>
    <row r="966" spans="1:56" s="51" customFormat="1" ht="45" hidden="1" outlineLevel="1" x14ac:dyDescent="0.25">
      <c r="A966" s="1267"/>
      <c r="B966" s="228"/>
      <c r="C966" s="328"/>
      <c r="D966" s="4016"/>
      <c r="E966" s="3990"/>
      <c r="F966" s="3010" t="str">
        <f t="shared" si="100"/>
        <v>Mini/MultiSplitASHP-Replace_CAC_ElectricHeat_ROF_SF</v>
      </c>
      <c r="G966" s="3403"/>
      <c r="H966" s="3404"/>
      <c r="I966" s="3411" t="str">
        <f t="shared" si="101"/>
        <v>351450_2021_12_</v>
      </c>
      <c r="J966" s="2241">
        <v>20769.23076923077</v>
      </c>
      <c r="K966" s="2240">
        <f t="shared" si="105"/>
        <v>1.7307692307692308</v>
      </c>
      <c r="L966" s="2723" t="s">
        <v>1005</v>
      </c>
      <c r="M966" s="1570"/>
      <c r="N966" s="1556"/>
      <c r="O966" s="228"/>
      <c r="P966" s="228"/>
      <c r="Q966" s="228"/>
      <c r="R966" s="228"/>
      <c r="S966" s="228"/>
      <c r="T966" s="123"/>
      <c r="U966" s="123"/>
      <c r="V966" s="4016"/>
      <c r="W966" s="2857">
        <v>16800</v>
      </c>
      <c r="X966" s="3155">
        <f t="shared" si="104"/>
        <v>18000</v>
      </c>
      <c r="Y966" s="3155">
        <v>19200</v>
      </c>
      <c r="Z966" s="2857">
        <v>19200</v>
      </c>
      <c r="AA966" s="2857">
        <v>19200</v>
      </c>
      <c r="AB966" s="2241">
        <v>19200</v>
      </c>
      <c r="AC966" s="2241">
        <v>20769.23076923077</v>
      </c>
      <c r="AD966" s="2857"/>
      <c r="AE966" s="2857"/>
      <c r="AF966" s="2857"/>
      <c r="AG966" s="697"/>
      <c r="AH966" s="1942"/>
      <c r="AI966" s="1942"/>
      <c r="AJ966" s="1942"/>
      <c r="AK966" s="1942"/>
      <c r="AL966" s="1942"/>
      <c r="AM966" s="1942"/>
      <c r="AN966" s="1942"/>
      <c r="AO966" s="1942"/>
      <c r="AP966" s="1942"/>
      <c r="AQ966" s="1942"/>
      <c r="AR966" s="1942"/>
      <c r="AS966" s="1942"/>
      <c r="AT966" s="1942"/>
      <c r="AU966" s="1942"/>
      <c r="AV966" s="1942"/>
      <c r="AW966" s="1942"/>
      <c r="AX966" s="1942"/>
      <c r="AY966" s="1942"/>
      <c r="AZ966" s="1942"/>
      <c r="BA966" s="1942"/>
      <c r="BB966" s="575"/>
      <c r="BC966" s="576"/>
      <c r="BD966" s="678"/>
    </row>
    <row r="967" spans="1:56" s="51" customFormat="1" ht="30" hidden="1" outlineLevel="1" x14ac:dyDescent="0.25">
      <c r="A967" s="1267"/>
      <c r="B967" s="228"/>
      <c r="C967" s="328"/>
      <c r="D967" s="4016"/>
      <c r="E967" s="3990"/>
      <c r="F967" s="3010" t="str">
        <f t="shared" si="100"/>
        <v>Mini/MultiSplitASHP_ER1_SF</v>
      </c>
      <c r="G967" s="3403"/>
      <c r="H967" s="3404"/>
      <c r="I967" s="3411" t="str">
        <f t="shared" si="101"/>
        <v>351500_2021_12_</v>
      </c>
      <c r="J967" s="2241">
        <v>17727.272727272728</v>
      </c>
      <c r="K967" s="2240">
        <f t="shared" si="105"/>
        <v>1.4772727272727273</v>
      </c>
      <c r="L967" s="2723" t="s">
        <v>1005</v>
      </c>
      <c r="M967" s="1570"/>
      <c r="N967" s="1556"/>
      <c r="O967" s="228"/>
      <c r="P967" s="228"/>
      <c r="Q967" s="228"/>
      <c r="R967" s="228"/>
      <c r="S967" s="228"/>
      <c r="T967" s="123"/>
      <c r="U967" s="123"/>
      <c r="V967" s="4016"/>
      <c r="W967" s="2857">
        <v>20400</v>
      </c>
      <c r="X967" s="3155">
        <f t="shared" si="104"/>
        <v>18000</v>
      </c>
      <c r="Y967" s="2857">
        <v>18000</v>
      </c>
      <c r="Z967" s="2857">
        <v>18000</v>
      </c>
      <c r="AA967" s="2857">
        <v>18000</v>
      </c>
      <c r="AB967" s="2241">
        <v>15375</v>
      </c>
      <c r="AC967" s="2241">
        <v>17727.272727272728</v>
      </c>
      <c r="AD967" s="2857"/>
      <c r="AE967" s="2857"/>
      <c r="AF967" s="2857"/>
      <c r="AG967" s="697"/>
      <c r="AH967" s="1942"/>
      <c r="AI967" s="1942"/>
      <c r="AJ967" s="1942"/>
      <c r="AK967" s="1942"/>
      <c r="AL967" s="1942"/>
      <c r="AM967" s="1942"/>
      <c r="AN967" s="1942"/>
      <c r="AO967" s="1942"/>
      <c r="AP967" s="1942"/>
      <c r="AQ967" s="1942"/>
      <c r="AR967" s="1942"/>
      <c r="AS967" s="1942"/>
      <c r="AT967" s="1942"/>
      <c r="AU967" s="1942"/>
      <c r="AV967" s="1942"/>
      <c r="AW967" s="1942"/>
      <c r="AX967" s="1942"/>
      <c r="AY967" s="1942"/>
      <c r="AZ967" s="1942"/>
      <c r="BA967" s="1942"/>
      <c r="BB967" s="575"/>
      <c r="BC967" s="576"/>
      <c r="BD967" s="678"/>
    </row>
    <row r="968" spans="1:56" s="51" customFormat="1" ht="30" hidden="1" outlineLevel="1" x14ac:dyDescent="0.25">
      <c r="A968" s="1267"/>
      <c r="B968" s="228"/>
      <c r="C968" s="328"/>
      <c r="D968" s="4016"/>
      <c r="E968" s="3990"/>
      <c r="F968" s="3010" t="str">
        <f t="shared" si="100"/>
        <v>Mini/MultiSplitAC_ER1_MF</v>
      </c>
      <c r="G968" s="3403"/>
      <c r="H968" s="3404"/>
      <c r="I968" s="3411" t="str">
        <f t="shared" si="101"/>
        <v>351550_2021_12_</v>
      </c>
      <c r="J968" s="3151">
        <f>J961</f>
        <v>16000</v>
      </c>
      <c r="K968" s="2240">
        <f t="shared" si="105"/>
        <v>1.3333333333333333</v>
      </c>
      <c r="L968" s="2958" t="s">
        <v>1092</v>
      </c>
      <c r="M968" s="1570"/>
      <c r="N968" s="1556"/>
      <c r="O968" s="228"/>
      <c r="P968" s="228"/>
      <c r="Q968" s="228"/>
      <c r="R968" s="228"/>
      <c r="S968" s="228"/>
      <c r="T968" s="123"/>
      <c r="U968" s="123"/>
      <c r="V968" s="4016"/>
      <c r="W968" s="2857"/>
      <c r="X968" s="3155"/>
      <c r="Y968" s="3155">
        <v>18000</v>
      </c>
      <c r="Z968" s="2857">
        <v>18000</v>
      </c>
      <c r="AA968" s="2857">
        <v>18000</v>
      </c>
      <c r="AB968" s="2242">
        <v>18000</v>
      </c>
      <c r="AC968" s="3151">
        <v>16000</v>
      </c>
      <c r="AD968" s="2857"/>
      <c r="AE968" s="2857"/>
      <c r="AF968" s="2857"/>
      <c r="AG968" s="697"/>
      <c r="AH968" s="1942"/>
      <c r="AI968" s="1942"/>
      <c r="AJ968" s="1942"/>
      <c r="AK968" s="1942"/>
      <c r="AL968" s="1942"/>
      <c r="AM968" s="1942"/>
      <c r="AN968" s="1942"/>
      <c r="AO968" s="1942"/>
      <c r="AP968" s="1942"/>
      <c r="AQ968" s="1942"/>
      <c r="AR968" s="1942"/>
      <c r="AS968" s="1942"/>
      <c r="AT968" s="1942"/>
      <c r="AU968" s="1942"/>
      <c r="AV968" s="1942"/>
      <c r="AW968" s="1942"/>
      <c r="AX968" s="1942"/>
      <c r="AY968" s="1942"/>
      <c r="AZ968" s="1942"/>
      <c r="BA968" s="1942"/>
      <c r="BB968" s="575"/>
      <c r="BC968" s="576"/>
      <c r="BD968" s="678"/>
    </row>
    <row r="969" spans="1:56" s="51" customFormat="1" ht="30" hidden="1" outlineLevel="1" x14ac:dyDescent="0.25">
      <c r="A969" s="1267"/>
      <c r="B969" s="228"/>
      <c r="C969" s="328"/>
      <c r="D969" s="4016"/>
      <c r="E969" s="3990"/>
      <c r="F969" s="3010" t="str">
        <f t="shared" si="100"/>
        <v>Mini/MultiSplitAC_ROF_MF</v>
      </c>
      <c r="G969" s="3403"/>
      <c r="H969" s="3404"/>
      <c r="I969" s="3411" t="str">
        <f t="shared" si="101"/>
        <v>351600_2021_12_</v>
      </c>
      <c r="J969" s="3151">
        <f t="shared" ref="J969:J974" si="106">J962</f>
        <v>16800</v>
      </c>
      <c r="K969" s="2240">
        <f t="shared" si="105"/>
        <v>1.4</v>
      </c>
      <c r="L969" s="2243" t="s">
        <v>1092</v>
      </c>
      <c r="M969" s="1570"/>
      <c r="N969" s="1556"/>
      <c r="O969" s="228"/>
      <c r="P969" s="228"/>
      <c r="Q969" s="228"/>
      <c r="R969" s="228"/>
      <c r="S969" s="228"/>
      <c r="T969" s="123"/>
      <c r="U969" s="123"/>
      <c r="V969" s="4016"/>
      <c r="W969" s="2857"/>
      <c r="X969" s="3155"/>
      <c r="Y969" s="3155">
        <v>18000</v>
      </c>
      <c r="Z969" s="2857">
        <v>18000</v>
      </c>
      <c r="AA969" s="2857">
        <v>18000</v>
      </c>
      <c r="AB969" s="3151">
        <v>15750</v>
      </c>
      <c r="AC969" s="3151">
        <v>16800</v>
      </c>
      <c r="AD969" s="2857"/>
      <c r="AE969" s="2857"/>
      <c r="AF969" s="2857"/>
      <c r="AG969" s="697"/>
      <c r="AH969" s="1942"/>
      <c r="AI969" s="1942"/>
      <c r="AJ969" s="1942"/>
      <c r="AK969" s="1942"/>
      <c r="AL969" s="1942"/>
      <c r="AM969" s="1942"/>
      <c r="AN969" s="1942"/>
      <c r="AO969" s="1942"/>
      <c r="AP969" s="1942"/>
      <c r="AQ969" s="1942"/>
      <c r="AR969" s="1942"/>
      <c r="AS969" s="1942"/>
      <c r="AT969" s="1942"/>
      <c r="AU969" s="1942"/>
      <c r="AV969" s="1942"/>
      <c r="AW969" s="1942"/>
      <c r="AX969" s="1942"/>
      <c r="AY969" s="1942"/>
      <c r="AZ969" s="1942"/>
      <c r="BA969" s="1942"/>
      <c r="BB969" s="575"/>
      <c r="BC969" s="576"/>
      <c r="BD969" s="678"/>
    </row>
    <row r="970" spans="1:56" s="51" customFormat="1" ht="30" hidden="1" outlineLevel="1" x14ac:dyDescent="0.25">
      <c r="A970" s="1267"/>
      <c r="B970" s="228"/>
      <c r="C970" s="328"/>
      <c r="D970" s="4016"/>
      <c r="E970" s="3990"/>
      <c r="F970" s="3010" t="str">
        <f t="shared" si="100"/>
        <v>Mini/MultiSplitASHP_ROF_MF_NC</v>
      </c>
      <c r="G970" s="3403"/>
      <c r="H970" s="3404"/>
      <c r="I970" s="3411" t="str">
        <f t="shared" si="101"/>
        <v>351650_2021_12_</v>
      </c>
      <c r="J970" s="2241">
        <f t="shared" si="106"/>
        <v>18101.694915254237</v>
      </c>
      <c r="K970" s="2240">
        <f t="shared" si="105"/>
        <v>1.5084745762711864</v>
      </c>
      <c r="L970" s="2958" t="s">
        <v>1092</v>
      </c>
      <c r="M970" s="1570"/>
      <c r="N970" s="1556"/>
      <c r="O970" s="228"/>
      <c r="P970" s="228"/>
      <c r="Q970" s="228"/>
      <c r="R970" s="228"/>
      <c r="S970" s="228"/>
      <c r="T970" s="123"/>
      <c r="U970" s="123"/>
      <c r="V970" s="4016"/>
      <c r="W970" s="2857"/>
      <c r="X970" s="3155"/>
      <c r="Y970" s="3155">
        <v>18000</v>
      </c>
      <c r="Z970" s="2857">
        <v>18000</v>
      </c>
      <c r="AA970" s="2857">
        <v>18000</v>
      </c>
      <c r="AB970" s="2242">
        <v>18000</v>
      </c>
      <c r="AC970" s="2241">
        <v>18101.694915254237</v>
      </c>
      <c r="AD970" s="2857"/>
      <c r="AE970" s="2857"/>
      <c r="AF970" s="2857"/>
      <c r="AG970" s="697"/>
      <c r="AH970" s="1942"/>
      <c r="AI970" s="1942"/>
      <c r="AJ970" s="1942"/>
      <c r="AK970" s="1942"/>
      <c r="AL970" s="1942"/>
      <c r="AM970" s="1942"/>
      <c r="AN970" s="1942"/>
      <c r="AO970" s="1942"/>
      <c r="AP970" s="1942"/>
      <c r="AQ970" s="1942"/>
      <c r="AR970" s="1942"/>
      <c r="AS970" s="1942"/>
      <c r="AT970" s="1942"/>
      <c r="AU970" s="1942"/>
      <c r="AV970" s="1942"/>
      <c r="AW970" s="1942"/>
      <c r="AX970" s="1942"/>
      <c r="AY970" s="1942"/>
      <c r="AZ970" s="1942"/>
      <c r="BA970" s="1942"/>
      <c r="BB970" s="575"/>
      <c r="BC970" s="576"/>
      <c r="BD970" s="678"/>
    </row>
    <row r="971" spans="1:56" s="51" customFormat="1" ht="30" hidden="1" outlineLevel="1" x14ac:dyDescent="0.25">
      <c r="A971" s="1267"/>
      <c r="B971" s="228"/>
      <c r="C971" s="328"/>
      <c r="D971" s="4016"/>
      <c r="E971" s="3990"/>
      <c r="F971" s="3010" t="str">
        <f t="shared" si="100"/>
        <v>Mini/MultiSplitASHP_ROF_MF</v>
      </c>
      <c r="G971" s="3403"/>
      <c r="H971" s="3404"/>
      <c r="I971" s="3411" t="str">
        <f t="shared" si="101"/>
        <v>351700_2021_12_</v>
      </c>
      <c r="J971" s="2241">
        <f t="shared" si="106"/>
        <v>16500</v>
      </c>
      <c r="K971" s="2240">
        <f t="shared" si="105"/>
        <v>1.375</v>
      </c>
      <c r="L971" s="2243" t="s">
        <v>1092</v>
      </c>
      <c r="M971" s="1570"/>
      <c r="N971" s="1556"/>
      <c r="O971" s="228"/>
      <c r="P971" s="228"/>
      <c r="Q971" s="228"/>
      <c r="R971" s="228"/>
      <c r="S971" s="228"/>
      <c r="T971" s="123"/>
      <c r="U971" s="123"/>
      <c r="V971" s="4016"/>
      <c r="W971" s="2857"/>
      <c r="X971" s="3155"/>
      <c r="Y971" s="3155">
        <v>18000</v>
      </c>
      <c r="Z971" s="2857">
        <v>18000</v>
      </c>
      <c r="AA971" s="2857">
        <v>18000</v>
      </c>
      <c r="AB971" s="2241">
        <v>18221.05263157895</v>
      </c>
      <c r="AC971" s="2241">
        <v>16500</v>
      </c>
      <c r="AD971" s="2857"/>
      <c r="AE971" s="2857"/>
      <c r="AF971" s="2857"/>
      <c r="AG971" s="697"/>
      <c r="AH971" s="1942"/>
      <c r="AI971" s="1942"/>
      <c r="AJ971" s="1942"/>
      <c r="AK971" s="1942"/>
      <c r="AL971" s="1942"/>
      <c r="AM971" s="1942"/>
      <c r="AN971" s="1942"/>
      <c r="AO971" s="1942"/>
      <c r="AP971" s="1942"/>
      <c r="AQ971" s="1942"/>
      <c r="AR971" s="1942"/>
      <c r="AS971" s="1942"/>
      <c r="AT971" s="1942"/>
      <c r="AU971" s="1942"/>
      <c r="AV971" s="1942"/>
      <c r="AW971" s="1942"/>
      <c r="AX971" s="1942"/>
      <c r="AY971" s="1942"/>
      <c r="AZ971" s="1942"/>
      <c r="BA971" s="1942"/>
      <c r="BB971" s="575"/>
      <c r="BC971" s="576"/>
      <c r="BD971" s="678"/>
    </row>
    <row r="972" spans="1:56" s="51" customFormat="1" ht="45" hidden="1" outlineLevel="1" x14ac:dyDescent="0.25">
      <c r="A972" s="1267"/>
      <c r="B972" s="228"/>
      <c r="C972" s="328"/>
      <c r="D972" s="4016"/>
      <c r="E972" s="3990"/>
      <c r="F972" s="3010" t="str">
        <f t="shared" si="100"/>
        <v>Mini/MultiSplitASHP-Replace_CAC_ElectricHeat_ER1_MF</v>
      </c>
      <c r="G972" s="3403"/>
      <c r="H972" s="3404"/>
      <c r="I972" s="3411" t="str">
        <f t="shared" si="101"/>
        <v>351750_2021_12_</v>
      </c>
      <c r="J972" s="2241">
        <f t="shared" si="106"/>
        <v>18837.20930232558</v>
      </c>
      <c r="K972" s="2240">
        <f t="shared" si="105"/>
        <v>1.569767441860465</v>
      </c>
      <c r="L972" s="2243" t="s">
        <v>1092</v>
      </c>
      <c r="M972" s="1570"/>
      <c r="N972" s="1556"/>
      <c r="O972" s="228"/>
      <c r="P972" s="228"/>
      <c r="Q972" s="228"/>
      <c r="R972" s="228"/>
      <c r="S972" s="228"/>
      <c r="T972" s="123"/>
      <c r="U972" s="123"/>
      <c r="V972" s="4016"/>
      <c r="W972" s="2857"/>
      <c r="X972" s="3155"/>
      <c r="Y972" s="3155">
        <v>18000</v>
      </c>
      <c r="Z972" s="2857">
        <v>18000</v>
      </c>
      <c r="AA972" s="2857">
        <v>18000</v>
      </c>
      <c r="AB972" s="2241">
        <v>18840</v>
      </c>
      <c r="AC972" s="2241">
        <v>18837.20930232558</v>
      </c>
      <c r="AD972" s="2857"/>
      <c r="AE972" s="2857"/>
      <c r="AF972" s="2857"/>
      <c r="AG972" s="697"/>
      <c r="AH972" s="1942"/>
      <c r="AI972" s="1942"/>
      <c r="AJ972" s="1942"/>
      <c r="AK972" s="1942"/>
      <c r="AL972" s="1942"/>
      <c r="AM972" s="1942"/>
      <c r="AN972" s="1942"/>
      <c r="AO972" s="1942"/>
      <c r="AP972" s="1942"/>
      <c r="AQ972" s="1942"/>
      <c r="AR972" s="1942"/>
      <c r="AS972" s="1942"/>
      <c r="AT972" s="1942"/>
      <c r="AU972" s="1942"/>
      <c r="AV972" s="1942"/>
      <c r="AW972" s="1942"/>
      <c r="AX972" s="1942"/>
      <c r="AY972" s="1942"/>
      <c r="AZ972" s="1942"/>
      <c r="BA972" s="1942"/>
      <c r="BB972" s="575"/>
      <c r="BC972" s="576"/>
      <c r="BD972" s="678"/>
    </row>
    <row r="973" spans="1:56" s="51" customFormat="1" ht="45" hidden="1" outlineLevel="1" x14ac:dyDescent="0.25">
      <c r="A973" s="1267"/>
      <c r="B973" s="228"/>
      <c r="C973" s="328"/>
      <c r="D973" s="4016"/>
      <c r="E973" s="3990"/>
      <c r="F973" s="3010" t="str">
        <f t="shared" si="100"/>
        <v>Mini/MultiSplitASHP-Replace_CAC_ElectricHeat_ROF_MF</v>
      </c>
      <c r="G973" s="3403"/>
      <c r="H973" s="3404"/>
      <c r="I973" s="3411" t="str">
        <f t="shared" si="101"/>
        <v>351800_2021_12_</v>
      </c>
      <c r="J973" s="2241">
        <f t="shared" si="106"/>
        <v>20769.23076923077</v>
      </c>
      <c r="K973" s="2240">
        <f t="shared" si="105"/>
        <v>1.7307692307692308</v>
      </c>
      <c r="L973" s="2243" t="s">
        <v>1092</v>
      </c>
      <c r="M973" s="1570"/>
      <c r="N973" s="1556"/>
      <c r="O973" s="228"/>
      <c r="P973" s="228"/>
      <c r="Q973" s="228"/>
      <c r="R973" s="228"/>
      <c r="S973" s="228"/>
      <c r="T973" s="123"/>
      <c r="U973" s="123"/>
      <c r="V973" s="4016"/>
      <c r="W973" s="2857"/>
      <c r="X973" s="3155"/>
      <c r="Y973" s="3155">
        <v>19200</v>
      </c>
      <c r="Z973" s="2857">
        <v>19200</v>
      </c>
      <c r="AA973" s="2857">
        <v>19200</v>
      </c>
      <c r="AB973" s="2241">
        <v>19200</v>
      </c>
      <c r="AC973" s="2241">
        <v>20769.23076923077</v>
      </c>
      <c r="AD973" s="2857"/>
      <c r="AE973" s="2857"/>
      <c r="AF973" s="2857"/>
      <c r="AG973" s="697"/>
      <c r="AH973" s="1942"/>
      <c r="AI973" s="1942"/>
      <c r="AJ973" s="1942"/>
      <c r="AK973" s="1942"/>
      <c r="AL973" s="1942"/>
      <c r="AM973" s="1942"/>
      <c r="AN973" s="1942"/>
      <c r="AO973" s="1942"/>
      <c r="AP973" s="1942"/>
      <c r="AQ973" s="1942"/>
      <c r="AR973" s="1942"/>
      <c r="AS973" s="1942"/>
      <c r="AT973" s="1942"/>
      <c r="AU973" s="1942"/>
      <c r="AV973" s="1942"/>
      <c r="AW973" s="1942"/>
      <c r="AX973" s="1942"/>
      <c r="AY973" s="1942"/>
      <c r="AZ973" s="1942"/>
      <c r="BA973" s="1942"/>
      <c r="BB973" s="575"/>
      <c r="BC973" s="576"/>
      <c r="BD973" s="678"/>
    </row>
    <row r="974" spans="1:56" s="51" customFormat="1" ht="30" hidden="1" outlineLevel="1" x14ac:dyDescent="0.25">
      <c r="A974" s="1267"/>
      <c r="B974" s="228"/>
      <c r="C974" s="328"/>
      <c r="D974" s="4016"/>
      <c r="E974" s="3990"/>
      <c r="F974" s="3010" t="str">
        <f t="shared" si="100"/>
        <v>Mini/MultiSplitASHP_ER1_MF</v>
      </c>
      <c r="G974" s="3403"/>
      <c r="H974" s="3404"/>
      <c r="I974" s="3411" t="str">
        <f t="shared" si="101"/>
        <v>351850_2021_12_</v>
      </c>
      <c r="J974" s="2241">
        <f t="shared" si="106"/>
        <v>17727.272727272728</v>
      </c>
      <c r="K974" s="2240">
        <f t="shared" si="105"/>
        <v>1.4772727272727273</v>
      </c>
      <c r="L974" s="2243" t="s">
        <v>1092</v>
      </c>
      <c r="M974" s="1570"/>
      <c r="N974" s="1556"/>
      <c r="O974" s="228"/>
      <c r="P974" s="228"/>
      <c r="Q974" s="228"/>
      <c r="R974" s="228"/>
      <c r="S974" s="228"/>
      <c r="T974" s="123"/>
      <c r="U974" s="123"/>
      <c r="V974" s="4016"/>
      <c r="W974" s="2857"/>
      <c r="X974" s="3155"/>
      <c r="Y974" s="3155">
        <v>18000</v>
      </c>
      <c r="Z974" s="2857">
        <v>18000</v>
      </c>
      <c r="AA974" s="2857">
        <v>18000</v>
      </c>
      <c r="AB974" s="2241">
        <v>15375</v>
      </c>
      <c r="AC974" s="2241">
        <v>17727.272727272728</v>
      </c>
      <c r="AD974" s="2857"/>
      <c r="AE974" s="2857"/>
      <c r="AF974" s="2857"/>
      <c r="AG974" s="697"/>
      <c r="AH974" s="1942"/>
      <c r="AI974" s="1942"/>
      <c r="AJ974" s="1942"/>
      <c r="AK974" s="1942"/>
      <c r="AL974" s="1942"/>
      <c r="AM974" s="1942"/>
      <c r="AN974" s="1942"/>
      <c r="AO974" s="1942"/>
      <c r="AP974" s="1942"/>
      <c r="AQ974" s="1942"/>
      <c r="AR974" s="1942"/>
      <c r="AS974" s="1942"/>
      <c r="AT974" s="1942"/>
      <c r="AU974" s="1942"/>
      <c r="AV974" s="1942"/>
      <c r="AW974" s="1942"/>
      <c r="AX974" s="1942"/>
      <c r="AY974" s="1942"/>
      <c r="AZ974" s="1942"/>
      <c r="BA974" s="1942"/>
      <c r="BB974" s="575"/>
      <c r="BC974" s="576"/>
      <c r="BD974" s="678"/>
    </row>
    <row r="975" spans="1:56" s="51" customFormat="1" ht="30" hidden="1" outlineLevel="1" x14ac:dyDescent="0.25">
      <c r="A975" s="1267"/>
      <c r="B975" s="228"/>
      <c r="C975" s="328"/>
      <c r="D975" s="4016"/>
      <c r="E975" s="3990"/>
      <c r="F975" s="3010" t="str">
        <f t="shared" si="100"/>
        <v>Mini/MultiSplitAC_ER1_MF_CompE</v>
      </c>
      <c r="G975" s="3403"/>
      <c r="H975" s="3404"/>
      <c r="I975" s="3411" t="str">
        <f t="shared" si="101"/>
        <v>351551_2021_12_</v>
      </c>
      <c r="J975" s="3151">
        <f>J961</f>
        <v>16000</v>
      </c>
      <c r="K975" s="2240">
        <f t="shared" si="105"/>
        <v>1.3333333333333333</v>
      </c>
      <c r="L975" s="2731" t="s">
        <v>1092</v>
      </c>
      <c r="M975" s="1550"/>
      <c r="N975" s="1556"/>
      <c r="O975" s="228"/>
      <c r="P975" s="228"/>
      <c r="Q975" s="228"/>
      <c r="R975" s="228"/>
      <c r="S975" s="228"/>
      <c r="T975" s="123"/>
      <c r="U975" s="123"/>
      <c r="V975" s="4016"/>
      <c r="W975" s="2857"/>
      <c r="X975" s="3155"/>
      <c r="Y975" s="3155">
        <v>18000</v>
      </c>
      <c r="Z975" s="2857">
        <v>18000</v>
      </c>
      <c r="AA975" s="2857">
        <v>18000</v>
      </c>
      <c r="AB975" s="2242">
        <v>18000</v>
      </c>
      <c r="AC975" s="3151">
        <v>16000</v>
      </c>
      <c r="AD975" s="2857"/>
      <c r="AE975" s="2857"/>
      <c r="AF975" s="2857"/>
      <c r="AG975" s="697"/>
      <c r="AH975" s="1942"/>
      <c r="AI975" s="1942"/>
      <c r="AJ975" s="1942"/>
      <c r="AK975" s="1942"/>
      <c r="AL975" s="1942"/>
      <c r="AM975" s="1942"/>
      <c r="AN975" s="1942"/>
      <c r="AO975" s="1942"/>
      <c r="AP975" s="1942"/>
      <c r="AQ975" s="1942"/>
      <c r="AR975" s="1942"/>
      <c r="AS975" s="1942"/>
      <c r="AT975" s="1942"/>
      <c r="AU975" s="1942"/>
      <c r="AV975" s="1942"/>
      <c r="AW975" s="1942"/>
      <c r="AX975" s="1942"/>
      <c r="AY975" s="1942"/>
      <c r="AZ975" s="1942"/>
      <c r="BA975" s="1942"/>
      <c r="BB975" s="575"/>
      <c r="BC975" s="576"/>
      <c r="BD975" s="678"/>
    </row>
    <row r="976" spans="1:56" s="51" customFormat="1" ht="30" hidden="1" outlineLevel="1" x14ac:dyDescent="0.25">
      <c r="A976" s="1267"/>
      <c r="B976" s="228"/>
      <c r="C976" s="328"/>
      <c r="D976" s="4016"/>
      <c r="E976" s="3990"/>
      <c r="F976" s="3010" t="str">
        <f t="shared" si="100"/>
        <v>Mini/MultiSplitAC_ROF_MF_CompE</v>
      </c>
      <c r="G976" s="3403"/>
      <c r="H976" s="3404"/>
      <c r="I976" s="3411" t="str">
        <f t="shared" si="101"/>
        <v>351601_2021_12_</v>
      </c>
      <c r="J976" s="3151">
        <f t="shared" ref="J976:J981" si="107">J962</f>
        <v>16800</v>
      </c>
      <c r="K976" s="2240">
        <f t="shared" si="105"/>
        <v>1.4</v>
      </c>
      <c r="L976" s="2243" t="s">
        <v>1092</v>
      </c>
      <c r="M976" s="1550"/>
      <c r="N976" s="1556"/>
      <c r="O976" s="228"/>
      <c r="P976" s="228"/>
      <c r="Q976" s="228"/>
      <c r="R976" s="228"/>
      <c r="S976" s="228"/>
      <c r="T976" s="123"/>
      <c r="U976" s="123"/>
      <c r="V976" s="4016"/>
      <c r="W976" s="2857"/>
      <c r="X976" s="3155"/>
      <c r="Y976" s="3155">
        <v>18000</v>
      </c>
      <c r="Z976" s="2857">
        <v>18000</v>
      </c>
      <c r="AA976" s="2857">
        <v>18000</v>
      </c>
      <c r="AB976" s="3151">
        <v>15750</v>
      </c>
      <c r="AC976" s="3151">
        <v>16800</v>
      </c>
      <c r="AD976" s="2857"/>
      <c r="AE976" s="2857"/>
      <c r="AF976" s="2857"/>
      <c r="AG976" s="697"/>
      <c r="AH976" s="1942"/>
      <c r="AI976" s="1942"/>
      <c r="AJ976" s="1942"/>
      <c r="AK976" s="1942"/>
      <c r="AL976" s="1942"/>
      <c r="AM976" s="1942"/>
      <c r="AN976" s="1942"/>
      <c r="AO976" s="1942"/>
      <c r="AP976" s="1942"/>
      <c r="AQ976" s="1942"/>
      <c r="AR976" s="1942"/>
      <c r="AS976" s="1942"/>
      <c r="AT976" s="1942"/>
      <c r="AU976" s="1942"/>
      <c r="AV976" s="1942"/>
      <c r="AW976" s="1942"/>
      <c r="AX976" s="1942"/>
      <c r="AY976" s="1942"/>
      <c r="AZ976" s="1942"/>
      <c r="BA976" s="1942"/>
      <c r="BB976" s="575"/>
      <c r="BC976" s="576"/>
      <c r="BD976" s="678"/>
    </row>
    <row r="977" spans="1:56" s="51" customFormat="1" ht="30" hidden="1" outlineLevel="1" x14ac:dyDescent="0.25">
      <c r="A977" s="1267"/>
      <c r="B977" s="228"/>
      <c r="C977" s="328"/>
      <c r="D977" s="4016"/>
      <c r="E977" s="3990"/>
      <c r="F977" s="3010" t="str">
        <f t="shared" si="100"/>
        <v>Mini/MultiSplitASHP_ROF_MF_NC_CompE</v>
      </c>
      <c r="G977" s="3403"/>
      <c r="H977" s="3404"/>
      <c r="I977" s="3411" t="str">
        <f t="shared" si="101"/>
        <v>351651_2021_12_</v>
      </c>
      <c r="J977" s="2241">
        <f t="shared" si="107"/>
        <v>18101.694915254237</v>
      </c>
      <c r="K977" s="2240">
        <f t="shared" si="105"/>
        <v>1.5084745762711864</v>
      </c>
      <c r="L977" s="2958" t="s">
        <v>1092</v>
      </c>
      <c r="M977" s="1550"/>
      <c r="N977" s="1556"/>
      <c r="O977" s="228"/>
      <c r="P977" s="228"/>
      <c r="Q977" s="228"/>
      <c r="R977" s="228"/>
      <c r="S977" s="228"/>
      <c r="T977" s="123"/>
      <c r="U977" s="123"/>
      <c r="V977" s="4016"/>
      <c r="W977" s="2857"/>
      <c r="X977" s="3155"/>
      <c r="Y977" s="3155">
        <v>18000</v>
      </c>
      <c r="Z977" s="2857">
        <v>18000</v>
      </c>
      <c r="AA977" s="2857">
        <v>18000</v>
      </c>
      <c r="AB977" s="2242">
        <v>18000</v>
      </c>
      <c r="AC977" s="2241">
        <v>18101.694915254237</v>
      </c>
      <c r="AD977" s="2857"/>
      <c r="AE977" s="2857"/>
      <c r="AF977" s="2857"/>
      <c r="AG977" s="697"/>
      <c r="AH977" s="1942"/>
      <c r="AI977" s="1942"/>
      <c r="AJ977" s="1942"/>
      <c r="AK977" s="1942"/>
      <c r="AL977" s="1942"/>
      <c r="AM977" s="1942"/>
      <c r="AN977" s="1942"/>
      <c r="AO977" s="1942"/>
      <c r="AP977" s="1942"/>
      <c r="AQ977" s="1942"/>
      <c r="AR977" s="1942"/>
      <c r="AS977" s="1942"/>
      <c r="AT977" s="1942"/>
      <c r="AU977" s="1942"/>
      <c r="AV977" s="1942"/>
      <c r="AW977" s="1942"/>
      <c r="AX977" s="1942"/>
      <c r="AY977" s="1942"/>
      <c r="AZ977" s="1942"/>
      <c r="BA977" s="1942"/>
      <c r="BB977" s="575"/>
      <c r="BC977" s="576"/>
      <c r="BD977" s="678"/>
    </row>
    <row r="978" spans="1:56" s="51" customFormat="1" ht="30" hidden="1" outlineLevel="1" x14ac:dyDescent="0.25">
      <c r="A978" s="1267"/>
      <c r="B978" s="228"/>
      <c r="C978" s="328"/>
      <c r="D978" s="4016"/>
      <c r="E978" s="3990"/>
      <c r="F978" s="3010" t="str">
        <f t="shared" si="100"/>
        <v>Mini/MultiSplitASHP_ROF_MF_CompE</v>
      </c>
      <c r="G978" s="3403"/>
      <c r="H978" s="3404"/>
      <c r="I978" s="3411" t="str">
        <f t="shared" si="101"/>
        <v>351701_2021_12_</v>
      </c>
      <c r="J978" s="2241">
        <f t="shared" si="107"/>
        <v>16500</v>
      </c>
      <c r="K978" s="2240">
        <f t="shared" si="105"/>
        <v>1.375</v>
      </c>
      <c r="L978" s="2243" t="s">
        <v>1092</v>
      </c>
      <c r="M978" s="1550"/>
      <c r="N978" s="1556"/>
      <c r="O978" s="228"/>
      <c r="P978" s="228"/>
      <c r="Q978" s="228"/>
      <c r="R978" s="228"/>
      <c r="S978" s="228"/>
      <c r="T978" s="123"/>
      <c r="U978" s="123"/>
      <c r="V978" s="4016"/>
      <c r="W978" s="2857"/>
      <c r="X978" s="3155"/>
      <c r="Y978" s="3155">
        <v>18000</v>
      </c>
      <c r="Z978" s="2857">
        <v>18000</v>
      </c>
      <c r="AA978" s="2857">
        <v>18000</v>
      </c>
      <c r="AB978" s="2241">
        <v>18221.05263157895</v>
      </c>
      <c r="AC978" s="2241">
        <v>16500</v>
      </c>
      <c r="AD978" s="2857"/>
      <c r="AE978" s="2857"/>
      <c r="AF978" s="2857"/>
      <c r="AG978" s="697"/>
      <c r="AH978" s="1942"/>
      <c r="AI978" s="1942"/>
      <c r="AJ978" s="1942"/>
      <c r="AK978" s="1942"/>
      <c r="AL978" s="1942"/>
      <c r="AM978" s="1942"/>
      <c r="AN978" s="1942"/>
      <c r="AO978" s="1942"/>
      <c r="AP978" s="1942"/>
      <c r="AQ978" s="1942"/>
      <c r="AR978" s="1942"/>
      <c r="AS978" s="1942"/>
      <c r="AT978" s="1942"/>
      <c r="AU978" s="1942"/>
      <c r="AV978" s="1942"/>
      <c r="AW978" s="1942"/>
      <c r="AX978" s="1942"/>
      <c r="AY978" s="1942"/>
      <c r="AZ978" s="1942"/>
      <c r="BA978" s="1942"/>
      <c r="BB978" s="575"/>
      <c r="BC978" s="576"/>
      <c r="BD978" s="678"/>
    </row>
    <row r="979" spans="1:56" s="51" customFormat="1" ht="45" hidden="1" outlineLevel="1" x14ac:dyDescent="0.25">
      <c r="A979" s="1267"/>
      <c r="B979" s="228"/>
      <c r="C979" s="328"/>
      <c r="D979" s="4016"/>
      <c r="E979" s="3990"/>
      <c r="F979" s="3010" t="str">
        <f t="shared" si="100"/>
        <v>Mini/MultiSplitASHP-Replace_CAC_ElectricHeat_ER1_MF_CompE</v>
      </c>
      <c r="G979" s="3403"/>
      <c r="H979" s="3404"/>
      <c r="I979" s="3411" t="str">
        <f t="shared" si="101"/>
        <v>351751_2021_12_</v>
      </c>
      <c r="J979" s="2241">
        <f t="shared" si="107"/>
        <v>18837.20930232558</v>
      </c>
      <c r="K979" s="2240">
        <f t="shared" si="105"/>
        <v>1.569767441860465</v>
      </c>
      <c r="L979" s="2243" t="s">
        <v>1092</v>
      </c>
      <c r="M979" s="1550"/>
      <c r="N979" s="1556"/>
      <c r="O979" s="228"/>
      <c r="P979" s="228"/>
      <c r="Q979" s="228"/>
      <c r="R979" s="228"/>
      <c r="S979" s="228"/>
      <c r="T979" s="123"/>
      <c r="U979" s="123"/>
      <c r="V979" s="4016"/>
      <c r="W979" s="2857"/>
      <c r="X979" s="3155"/>
      <c r="Y979" s="3155">
        <v>18000</v>
      </c>
      <c r="Z979" s="2857">
        <v>18000</v>
      </c>
      <c r="AA979" s="2857">
        <v>18000</v>
      </c>
      <c r="AB979" s="2241">
        <v>18840</v>
      </c>
      <c r="AC979" s="2241">
        <v>18837.20930232558</v>
      </c>
      <c r="AD979" s="2857"/>
      <c r="AE979" s="2857"/>
      <c r="AF979" s="2857"/>
      <c r="AG979" s="697"/>
      <c r="AH979" s="1942"/>
      <c r="AI979" s="1942"/>
      <c r="AJ979" s="1942"/>
      <c r="AK979" s="1942"/>
      <c r="AL979" s="1942"/>
      <c r="AM979" s="1942"/>
      <c r="AN979" s="1942"/>
      <c r="AO979" s="1942"/>
      <c r="AP979" s="1942"/>
      <c r="AQ979" s="1942"/>
      <c r="AR979" s="1942"/>
      <c r="AS979" s="1942"/>
      <c r="AT979" s="1942"/>
      <c r="AU979" s="1942"/>
      <c r="AV979" s="1942"/>
      <c r="AW979" s="1942"/>
      <c r="AX979" s="1942"/>
      <c r="AY979" s="1942"/>
      <c r="AZ979" s="1942"/>
      <c r="BA979" s="1942"/>
      <c r="BB979" s="575"/>
      <c r="BC979" s="576"/>
      <c r="BD979" s="678"/>
    </row>
    <row r="980" spans="1:56" s="51" customFormat="1" ht="45" hidden="1" outlineLevel="1" x14ac:dyDescent="0.25">
      <c r="A980" s="1267"/>
      <c r="B980" s="228"/>
      <c r="C980" s="328"/>
      <c r="D980" s="4016"/>
      <c r="E980" s="3990"/>
      <c r="F980" s="3010" t="str">
        <f t="shared" si="100"/>
        <v>Mini/MultiSplitASHP-Replace_CAC_ElectricHeat_ROF_MF_CompE</v>
      </c>
      <c r="G980" s="3403"/>
      <c r="H980" s="3404"/>
      <c r="I980" s="3411" t="str">
        <f t="shared" si="101"/>
        <v>351801_2021_12_</v>
      </c>
      <c r="J980" s="2241">
        <f t="shared" si="107"/>
        <v>20769.23076923077</v>
      </c>
      <c r="K980" s="2240">
        <f t="shared" si="105"/>
        <v>1.7307692307692308</v>
      </c>
      <c r="L980" s="2243" t="s">
        <v>1092</v>
      </c>
      <c r="M980" s="1550"/>
      <c r="N980" s="1556"/>
      <c r="O980" s="228"/>
      <c r="P980" s="228"/>
      <c r="Q980" s="228"/>
      <c r="R980" s="228"/>
      <c r="S980" s="228"/>
      <c r="T980" s="123"/>
      <c r="U980" s="123"/>
      <c r="V980" s="4016"/>
      <c r="W980" s="2857"/>
      <c r="X980" s="3155"/>
      <c r="Y980" s="3155">
        <v>19200</v>
      </c>
      <c r="Z980" s="2857">
        <v>19200</v>
      </c>
      <c r="AA980" s="2857">
        <v>19200</v>
      </c>
      <c r="AB980" s="2241">
        <v>19200</v>
      </c>
      <c r="AC980" s="2241">
        <v>20769.23076923077</v>
      </c>
      <c r="AD980" s="2857"/>
      <c r="AE980" s="2857"/>
      <c r="AF980" s="2857"/>
      <c r="AG980" s="697"/>
      <c r="AH980" s="1942"/>
      <c r="AI980" s="1942"/>
      <c r="AJ980" s="1942"/>
      <c r="AK980" s="1942"/>
      <c r="AL980" s="1942"/>
      <c r="AM980" s="1942"/>
      <c r="AN980" s="1942"/>
      <c r="AO980" s="1942"/>
      <c r="AP980" s="1942"/>
      <c r="AQ980" s="1942"/>
      <c r="AR980" s="1942"/>
      <c r="AS980" s="1942"/>
      <c r="AT980" s="1942"/>
      <c r="AU980" s="1942"/>
      <c r="AV980" s="1942"/>
      <c r="AW980" s="1942"/>
      <c r="AX980" s="1942"/>
      <c r="AY980" s="1942"/>
      <c r="AZ980" s="1942"/>
      <c r="BA980" s="1942"/>
      <c r="BB980" s="575"/>
      <c r="BC980" s="576"/>
      <c r="BD980" s="678"/>
    </row>
    <row r="981" spans="1:56" s="51" customFormat="1" ht="30.75" hidden="1" outlineLevel="1" thickBot="1" x14ac:dyDescent="0.3">
      <c r="A981" s="1267"/>
      <c r="B981" s="228"/>
      <c r="C981" s="328"/>
      <c r="D981" s="4029"/>
      <c r="E981" s="3991"/>
      <c r="F981" s="3010" t="str">
        <f t="shared" si="100"/>
        <v>Mini/MultiSplitASHP_ER1_MF_CompE</v>
      </c>
      <c r="G981" s="3403"/>
      <c r="H981" s="3404"/>
      <c r="I981" s="3412" t="str">
        <f t="shared" si="101"/>
        <v>351851_2021_12_</v>
      </c>
      <c r="J981" s="2241">
        <f t="shared" si="107"/>
        <v>17727.272727272728</v>
      </c>
      <c r="K981" s="2240">
        <f t="shared" si="105"/>
        <v>1.4772727272727273</v>
      </c>
      <c r="L981" s="2243" t="s">
        <v>1092</v>
      </c>
      <c r="M981" s="1550"/>
      <c r="N981" s="1556"/>
      <c r="O981" s="228"/>
      <c r="P981" s="228"/>
      <c r="Q981" s="228"/>
      <c r="R981" s="228"/>
      <c r="S981" s="228"/>
      <c r="T981" s="123"/>
      <c r="U981" s="123"/>
      <c r="V981" s="4029"/>
      <c r="W981" s="2860"/>
      <c r="X981" s="3156"/>
      <c r="Y981" s="3156">
        <v>18000</v>
      </c>
      <c r="Z981" s="2860">
        <v>18000</v>
      </c>
      <c r="AA981" s="2860">
        <v>18000</v>
      </c>
      <c r="AB981" s="2241">
        <v>15375</v>
      </c>
      <c r="AC981" s="2241">
        <v>17727.272727272728</v>
      </c>
      <c r="AD981" s="2860"/>
      <c r="AE981" s="2860"/>
      <c r="AF981" s="2860"/>
      <c r="AG981" s="751"/>
      <c r="AH981" s="1942"/>
      <c r="AI981" s="1942"/>
      <c r="AJ981" s="1942"/>
      <c r="AK981" s="1942"/>
      <c r="AL981" s="1942"/>
      <c r="AM981" s="1942"/>
      <c r="AN981" s="1942"/>
      <c r="AO981" s="1942"/>
      <c r="AP981" s="1942"/>
      <c r="AQ981" s="1942"/>
      <c r="AR981" s="1942"/>
      <c r="AS981" s="1942"/>
      <c r="AT981" s="1942"/>
      <c r="AU981" s="1942"/>
      <c r="AV981" s="1942"/>
      <c r="AW981" s="1942"/>
      <c r="AX981" s="1942"/>
      <c r="AY981" s="1942"/>
      <c r="AZ981" s="1942"/>
      <c r="BA981" s="1942"/>
      <c r="BB981" s="575"/>
      <c r="BC981" s="576"/>
      <c r="BD981" s="678"/>
    </row>
    <row r="982" spans="1:56" s="51" customFormat="1" hidden="1" outlineLevel="1" x14ac:dyDescent="0.25">
      <c r="A982" s="1267"/>
      <c r="B982" s="228"/>
      <c r="C982" s="328"/>
      <c r="D982" s="4015" t="s">
        <v>1119</v>
      </c>
      <c r="E982" s="3989" t="s">
        <v>1120</v>
      </c>
      <c r="F982" s="3013" t="str">
        <f t="shared" si="100"/>
        <v>Mini/MultiSplitAC_ER1_SF</v>
      </c>
      <c r="G982" s="3401"/>
      <c r="H982" s="3402"/>
      <c r="I982" s="3410" t="str">
        <f t="shared" si="101"/>
        <v>351200_2021_12_</v>
      </c>
      <c r="J982" s="752">
        <v>635</v>
      </c>
      <c r="K982" s="745"/>
      <c r="L982" s="4086" t="s">
        <v>528</v>
      </c>
      <c r="M982" s="1570"/>
      <c r="N982" s="1556"/>
      <c r="O982" s="228"/>
      <c r="P982" s="228"/>
      <c r="Q982" s="228"/>
      <c r="R982" s="228"/>
      <c r="S982" s="228"/>
      <c r="T982" s="123"/>
      <c r="U982" s="123"/>
      <c r="V982" s="4015" t="s">
        <v>1119</v>
      </c>
      <c r="W982" s="2861">
        <v>869</v>
      </c>
      <c r="X982" s="2861">
        <v>869</v>
      </c>
      <c r="Y982" s="3157">
        <v>635</v>
      </c>
      <c r="Z982" s="2861">
        <v>635</v>
      </c>
      <c r="AA982" s="2861">
        <v>635</v>
      </c>
      <c r="AB982" s="752">
        <v>635</v>
      </c>
      <c r="AC982" s="752">
        <v>635</v>
      </c>
      <c r="AD982" s="2861"/>
      <c r="AE982" s="2861"/>
      <c r="AF982" s="2861"/>
      <c r="AG982" s="747"/>
      <c r="AH982" s="1942"/>
      <c r="AI982" s="1942"/>
      <c r="AJ982" s="1942"/>
      <c r="AK982" s="1942"/>
      <c r="AL982" s="1942"/>
      <c r="AM982" s="1942"/>
      <c r="AN982" s="1942"/>
      <c r="AO982" s="1942"/>
      <c r="AP982" s="1942"/>
      <c r="AQ982" s="1942"/>
      <c r="AR982" s="1942"/>
      <c r="AS982" s="1942"/>
      <c r="AT982" s="1942"/>
      <c r="AU982" s="1942"/>
      <c r="AV982" s="1942"/>
      <c r="AW982" s="1942"/>
      <c r="AX982" s="1942"/>
      <c r="AY982" s="1942"/>
      <c r="AZ982" s="1942"/>
      <c r="BA982" s="1942"/>
      <c r="BB982" s="575"/>
      <c r="BC982" s="576"/>
      <c r="BD982" s="678"/>
    </row>
    <row r="983" spans="1:56" s="51" customFormat="1" ht="30" hidden="1" outlineLevel="1" x14ac:dyDescent="0.25">
      <c r="A983" s="1267"/>
      <c r="B983" s="228"/>
      <c r="C983" s="328"/>
      <c r="D983" s="4016"/>
      <c r="E983" s="3990"/>
      <c r="F983" s="3010" t="str">
        <f t="shared" si="100"/>
        <v>Mini/MultiSplitAC_ROF_SF</v>
      </c>
      <c r="G983" s="3403"/>
      <c r="H983" s="3404"/>
      <c r="I983" s="3411" t="str">
        <f t="shared" si="101"/>
        <v>351250_2021_12_</v>
      </c>
      <c r="J983" s="753">
        <v>635</v>
      </c>
      <c r="K983" s="748"/>
      <c r="L983" s="4087"/>
      <c r="M983" s="1570"/>
      <c r="N983" s="1556"/>
      <c r="O983" s="228"/>
      <c r="P983" s="228"/>
      <c r="Q983" s="228"/>
      <c r="R983" s="228"/>
      <c r="S983" s="228"/>
      <c r="T983" s="123"/>
      <c r="U983" s="123"/>
      <c r="V983" s="4016"/>
      <c r="W983" s="2857">
        <v>869</v>
      </c>
      <c r="X983" s="2857">
        <v>869</v>
      </c>
      <c r="Y983" s="3155">
        <v>635</v>
      </c>
      <c r="Z983" s="2857">
        <v>635</v>
      </c>
      <c r="AA983" s="2857">
        <v>635</v>
      </c>
      <c r="AB983" s="753">
        <v>635</v>
      </c>
      <c r="AC983" s="753">
        <v>635</v>
      </c>
      <c r="AD983" s="2857"/>
      <c r="AE983" s="2857"/>
      <c r="AF983" s="2857"/>
      <c r="AG983" s="697"/>
      <c r="AH983" s="1942"/>
      <c r="AI983" s="1942"/>
      <c r="AJ983" s="1942"/>
      <c r="AK983" s="1942"/>
      <c r="AL983" s="1942"/>
      <c r="AM983" s="1942"/>
      <c r="AN983" s="1942"/>
      <c r="AO983" s="1942"/>
      <c r="AP983" s="1942"/>
      <c r="AQ983" s="1942"/>
      <c r="AR983" s="1942"/>
      <c r="AS983" s="1942"/>
      <c r="AT983" s="1942"/>
      <c r="AU983" s="1942"/>
      <c r="AV983" s="1942"/>
      <c r="AW983" s="1942"/>
      <c r="AX983" s="1942"/>
      <c r="AY983" s="1942"/>
      <c r="AZ983" s="1942"/>
      <c r="BA983" s="1942"/>
      <c r="BB983" s="575"/>
      <c r="BC983" s="576"/>
      <c r="BD983" s="678"/>
    </row>
    <row r="984" spans="1:56" s="51" customFormat="1" ht="30" hidden="1" outlineLevel="1" x14ac:dyDescent="0.25">
      <c r="A984" s="1267"/>
      <c r="B984" s="228"/>
      <c r="C984" s="328"/>
      <c r="D984" s="4016"/>
      <c r="E984" s="3990"/>
      <c r="F984" s="3010" t="str">
        <f t="shared" si="100"/>
        <v>Mini/MultiSplitASHP_ROF_SF_NC</v>
      </c>
      <c r="G984" s="3403"/>
      <c r="H984" s="3404"/>
      <c r="I984" s="3411" t="str">
        <f t="shared" si="101"/>
        <v>351300_2021_12_</v>
      </c>
      <c r="J984" s="753">
        <v>635</v>
      </c>
      <c r="K984" s="748"/>
      <c r="L984" s="4087"/>
      <c r="M984" s="1570"/>
      <c r="N984" s="1556"/>
      <c r="O984" s="228"/>
      <c r="P984" s="228"/>
      <c r="Q984" s="228"/>
      <c r="R984" s="228"/>
      <c r="S984" s="228"/>
      <c r="T984" s="123"/>
      <c r="U984" s="123"/>
      <c r="V984" s="4016"/>
      <c r="W984" s="2857">
        <v>869</v>
      </c>
      <c r="X984" s="2857">
        <v>869</v>
      </c>
      <c r="Y984" s="3155">
        <v>635</v>
      </c>
      <c r="Z984" s="2857">
        <v>635</v>
      </c>
      <c r="AA984" s="2857">
        <v>635</v>
      </c>
      <c r="AB984" s="753">
        <v>635</v>
      </c>
      <c r="AC984" s="753">
        <v>635</v>
      </c>
      <c r="AD984" s="2857"/>
      <c r="AE984" s="2857"/>
      <c r="AF984" s="2857"/>
      <c r="AG984" s="697"/>
      <c r="AH984" s="1942"/>
      <c r="AI984" s="1942"/>
      <c r="AJ984" s="1942"/>
      <c r="AK984" s="1942"/>
      <c r="AL984" s="1942"/>
      <c r="AM984" s="1942"/>
      <c r="AN984" s="1942"/>
      <c r="AO984" s="1942"/>
      <c r="AP984" s="1942"/>
      <c r="AQ984" s="1942"/>
      <c r="AR984" s="1942"/>
      <c r="AS984" s="1942"/>
      <c r="AT984" s="1942"/>
      <c r="AU984" s="1942"/>
      <c r="AV984" s="1942"/>
      <c r="AW984" s="1942"/>
      <c r="AX984" s="1942"/>
      <c r="AY984" s="1942"/>
      <c r="AZ984" s="1942"/>
      <c r="BA984" s="1942"/>
      <c r="BB984" s="575"/>
      <c r="BC984" s="576"/>
      <c r="BD984" s="678"/>
    </row>
    <row r="985" spans="1:56" s="51" customFormat="1" ht="30" hidden="1" outlineLevel="1" x14ac:dyDescent="0.25">
      <c r="A985" s="1267"/>
      <c r="B985" s="228"/>
      <c r="C985" s="328"/>
      <c r="D985" s="4016"/>
      <c r="E985" s="3990"/>
      <c r="F985" s="3010" t="str">
        <f t="shared" si="100"/>
        <v>Mini/MultiSplitASHP_ROF_SF</v>
      </c>
      <c r="G985" s="3403"/>
      <c r="H985" s="3404"/>
      <c r="I985" s="3411" t="str">
        <f t="shared" si="101"/>
        <v>351350_2021_12_</v>
      </c>
      <c r="J985" s="753">
        <v>635</v>
      </c>
      <c r="K985" s="748"/>
      <c r="L985" s="4087"/>
      <c r="M985" s="1570"/>
      <c r="N985" s="1556"/>
      <c r="O985" s="228"/>
      <c r="P985" s="228"/>
      <c r="Q985" s="228"/>
      <c r="R985" s="228"/>
      <c r="S985" s="228"/>
      <c r="T985" s="123"/>
      <c r="U985" s="123"/>
      <c r="V985" s="4016"/>
      <c r="W985" s="2857">
        <v>869</v>
      </c>
      <c r="X985" s="2857">
        <v>869</v>
      </c>
      <c r="Y985" s="3155">
        <v>635</v>
      </c>
      <c r="Z985" s="2857">
        <v>635</v>
      </c>
      <c r="AA985" s="2857">
        <v>635</v>
      </c>
      <c r="AB985" s="753">
        <v>635</v>
      </c>
      <c r="AC985" s="753">
        <v>635</v>
      </c>
      <c r="AD985" s="2857"/>
      <c r="AE985" s="2857"/>
      <c r="AF985" s="2857"/>
      <c r="AG985" s="697"/>
      <c r="AH985" s="1942"/>
      <c r="AI985" s="1942"/>
      <c r="AJ985" s="1942"/>
      <c r="AK985" s="1942"/>
      <c r="AL985" s="1942"/>
      <c r="AM985" s="1942"/>
      <c r="AN985" s="1942"/>
      <c r="AO985" s="1942"/>
      <c r="AP985" s="1942"/>
      <c r="AQ985" s="1942"/>
      <c r="AR985" s="1942"/>
      <c r="AS985" s="1942"/>
      <c r="AT985" s="1942"/>
      <c r="AU985" s="1942"/>
      <c r="AV985" s="1942"/>
      <c r="AW985" s="1942"/>
      <c r="AX985" s="1942"/>
      <c r="AY985" s="1942"/>
      <c r="AZ985" s="1942"/>
      <c r="BA985" s="1942"/>
      <c r="BB985" s="575"/>
      <c r="BC985" s="576"/>
      <c r="BD985" s="678"/>
    </row>
    <row r="986" spans="1:56" s="51" customFormat="1" ht="45" hidden="1" outlineLevel="1" x14ac:dyDescent="0.25">
      <c r="A986" s="1267"/>
      <c r="B986" s="228"/>
      <c r="C986" s="328"/>
      <c r="D986" s="4016"/>
      <c r="E986" s="3990"/>
      <c r="F986" s="3010" t="str">
        <f t="shared" si="100"/>
        <v>Mini/MultiSplitASHP-Replace_CAC_ElectricHeat_ER1_SF</v>
      </c>
      <c r="G986" s="3403"/>
      <c r="H986" s="3404"/>
      <c r="I986" s="3411" t="str">
        <f t="shared" si="101"/>
        <v>351400_2021_12_</v>
      </c>
      <c r="J986" s="753">
        <v>635</v>
      </c>
      <c r="K986" s="748"/>
      <c r="L986" s="4087"/>
      <c r="M986" s="1570"/>
      <c r="N986" s="1556"/>
      <c r="O986" s="228"/>
      <c r="P986" s="228"/>
      <c r="Q986" s="228"/>
      <c r="R986" s="228"/>
      <c r="S986" s="228"/>
      <c r="T986" s="123"/>
      <c r="U986" s="123"/>
      <c r="V986" s="4016"/>
      <c r="W986" s="2857">
        <v>869</v>
      </c>
      <c r="X986" s="2857">
        <v>869</v>
      </c>
      <c r="Y986" s="3155">
        <v>635</v>
      </c>
      <c r="Z986" s="2857">
        <v>635</v>
      </c>
      <c r="AA986" s="2857">
        <v>635</v>
      </c>
      <c r="AB986" s="753">
        <v>635</v>
      </c>
      <c r="AC986" s="753">
        <v>635</v>
      </c>
      <c r="AD986" s="2857"/>
      <c r="AE986" s="2857"/>
      <c r="AF986" s="2857"/>
      <c r="AG986" s="697"/>
      <c r="AH986" s="1942"/>
      <c r="AI986" s="1942"/>
      <c r="AJ986" s="1942"/>
      <c r="AK986" s="1942"/>
      <c r="AL986" s="1942"/>
      <c r="AM986" s="1942"/>
      <c r="AN986" s="1942"/>
      <c r="AO986" s="1942"/>
      <c r="AP986" s="1942"/>
      <c r="AQ986" s="1942"/>
      <c r="AR986" s="1942"/>
      <c r="AS986" s="1942"/>
      <c r="AT986" s="1942"/>
      <c r="AU986" s="1942"/>
      <c r="AV986" s="1942"/>
      <c r="AW986" s="1942"/>
      <c r="AX986" s="1942"/>
      <c r="AY986" s="1942"/>
      <c r="AZ986" s="1942"/>
      <c r="BA986" s="1942"/>
      <c r="BB986" s="575"/>
      <c r="BC986" s="576"/>
      <c r="BD986" s="678"/>
    </row>
    <row r="987" spans="1:56" s="51" customFormat="1" ht="45" hidden="1" outlineLevel="1" x14ac:dyDescent="0.25">
      <c r="A987" s="1267"/>
      <c r="B987" s="228"/>
      <c r="C987" s="328"/>
      <c r="D987" s="4016"/>
      <c r="E987" s="3990"/>
      <c r="F987" s="3010" t="str">
        <f t="shared" si="100"/>
        <v>Mini/MultiSplitASHP-Replace_CAC_ElectricHeat_ROF_SF</v>
      </c>
      <c r="G987" s="3403"/>
      <c r="H987" s="3404"/>
      <c r="I987" s="3411" t="str">
        <f t="shared" si="101"/>
        <v>351450_2021_12_</v>
      </c>
      <c r="J987" s="753">
        <v>635</v>
      </c>
      <c r="K987" s="748"/>
      <c r="L987" s="4087"/>
      <c r="M987" s="1570"/>
      <c r="N987" s="1556"/>
      <c r="O987" s="228"/>
      <c r="P987" s="228"/>
      <c r="Q987" s="228"/>
      <c r="R987" s="228"/>
      <c r="S987" s="228"/>
      <c r="T987" s="123"/>
      <c r="U987" s="123"/>
      <c r="V987" s="4016"/>
      <c r="W987" s="2857">
        <v>869</v>
      </c>
      <c r="X987" s="2857">
        <v>869</v>
      </c>
      <c r="Y987" s="3155">
        <v>635</v>
      </c>
      <c r="Z987" s="2857">
        <v>635</v>
      </c>
      <c r="AA987" s="2857">
        <v>635</v>
      </c>
      <c r="AB987" s="753">
        <v>635</v>
      </c>
      <c r="AC987" s="753">
        <v>635</v>
      </c>
      <c r="AD987" s="2857"/>
      <c r="AE987" s="2857"/>
      <c r="AF987" s="2857"/>
      <c r="AG987" s="697"/>
      <c r="AH987" s="1942"/>
      <c r="AI987" s="1942"/>
      <c r="AJ987" s="1942"/>
      <c r="AK987" s="1942"/>
      <c r="AL987" s="1942"/>
      <c r="AM987" s="1942"/>
      <c r="AN987" s="1942"/>
      <c r="AO987" s="1942"/>
      <c r="AP987" s="1942"/>
      <c r="AQ987" s="1942"/>
      <c r="AR987" s="1942"/>
      <c r="AS987" s="1942"/>
      <c r="AT987" s="1942"/>
      <c r="AU987" s="1942"/>
      <c r="AV987" s="1942"/>
      <c r="AW987" s="1942"/>
      <c r="AX987" s="1942"/>
      <c r="AY987" s="1942"/>
      <c r="AZ987" s="1942"/>
      <c r="BA987" s="1942"/>
      <c r="BB987" s="575"/>
      <c r="BC987" s="576"/>
      <c r="BD987" s="678"/>
    </row>
    <row r="988" spans="1:56" s="51" customFormat="1" ht="30" hidden="1" outlineLevel="1" x14ac:dyDescent="0.25">
      <c r="A988" s="1267"/>
      <c r="B988" s="228"/>
      <c r="C988" s="328"/>
      <c r="D988" s="4016"/>
      <c r="E988" s="3990"/>
      <c r="F988" s="3010" t="str">
        <f t="shared" si="100"/>
        <v>Mini/MultiSplitASHP_ER1_SF</v>
      </c>
      <c r="G988" s="3403"/>
      <c r="H988" s="3404"/>
      <c r="I988" s="3411" t="str">
        <f t="shared" si="101"/>
        <v>351500_2021_12_</v>
      </c>
      <c r="J988" s="753">
        <v>635</v>
      </c>
      <c r="K988" s="748"/>
      <c r="L988" s="4087"/>
      <c r="M988" s="1570"/>
      <c r="N988" s="1556"/>
      <c r="O988" s="228"/>
      <c r="P988" s="228"/>
      <c r="Q988" s="228"/>
      <c r="R988" s="228"/>
      <c r="S988" s="228"/>
      <c r="T988" s="123"/>
      <c r="U988" s="123"/>
      <c r="V988" s="4016"/>
      <c r="W988" s="2857">
        <v>869</v>
      </c>
      <c r="X988" s="2857">
        <v>869</v>
      </c>
      <c r="Y988" s="3155">
        <v>635</v>
      </c>
      <c r="Z988" s="2857">
        <v>635</v>
      </c>
      <c r="AA988" s="2857">
        <v>635</v>
      </c>
      <c r="AB988" s="753">
        <v>635</v>
      </c>
      <c r="AC988" s="753">
        <v>635</v>
      </c>
      <c r="AD988" s="2857"/>
      <c r="AE988" s="2857"/>
      <c r="AF988" s="2857"/>
      <c r="AG988" s="697"/>
      <c r="AH988" s="1942"/>
      <c r="AI988" s="1942"/>
      <c r="AJ988" s="1942"/>
      <c r="AK988" s="1942"/>
      <c r="AL988" s="1942"/>
      <c r="AM988" s="1942"/>
      <c r="AN988" s="1942"/>
      <c r="AO988" s="1942"/>
      <c r="AP988" s="1942"/>
      <c r="AQ988" s="1942"/>
      <c r="AR988" s="1942"/>
      <c r="AS988" s="1942"/>
      <c r="AT988" s="1942"/>
      <c r="AU988" s="1942"/>
      <c r="AV988" s="1942"/>
      <c r="AW988" s="1942"/>
      <c r="AX988" s="1942"/>
      <c r="AY988" s="1942"/>
      <c r="AZ988" s="1942"/>
      <c r="BA988" s="1942"/>
      <c r="BB988" s="575"/>
      <c r="BC988" s="576"/>
      <c r="BD988" s="678"/>
    </row>
    <row r="989" spans="1:56" s="51" customFormat="1" ht="30" hidden="1" outlineLevel="1" x14ac:dyDescent="0.25">
      <c r="A989" s="1267"/>
      <c r="B989" s="228"/>
      <c r="C989" s="328"/>
      <c r="D989" s="4016"/>
      <c r="E989" s="3990"/>
      <c r="F989" s="3010" t="str">
        <f t="shared" si="100"/>
        <v>Mini/MultiSplitAC_ER1_MF</v>
      </c>
      <c r="G989" s="3403"/>
      <c r="H989" s="3404"/>
      <c r="I989" s="3411" t="str">
        <f t="shared" si="101"/>
        <v>351550_2021_12_</v>
      </c>
      <c r="J989" s="753">
        <v>635</v>
      </c>
      <c r="K989" s="748"/>
      <c r="L989" s="4087"/>
      <c r="M989" s="1570"/>
      <c r="N989" s="1556"/>
      <c r="O989" s="228"/>
      <c r="P989" s="228"/>
      <c r="Q989" s="228"/>
      <c r="R989" s="228"/>
      <c r="S989" s="228"/>
      <c r="T989" s="123"/>
      <c r="U989" s="123"/>
      <c r="V989" s="4016"/>
      <c r="W989" s="2857"/>
      <c r="X989" s="3155"/>
      <c r="Y989" s="3155">
        <v>635</v>
      </c>
      <c r="Z989" s="2857">
        <v>635</v>
      </c>
      <c r="AA989" s="2857">
        <v>635</v>
      </c>
      <c r="AB989" s="753">
        <v>635</v>
      </c>
      <c r="AC989" s="753">
        <v>635</v>
      </c>
      <c r="AD989" s="2857"/>
      <c r="AE989" s="2857"/>
      <c r="AF989" s="2857"/>
      <c r="AG989" s="697"/>
      <c r="AH989" s="1942"/>
      <c r="AI989" s="1942"/>
      <c r="AJ989" s="1942"/>
      <c r="AK989" s="1942"/>
      <c r="AL989" s="1942"/>
      <c r="AM989" s="1942"/>
      <c r="AN989" s="1942"/>
      <c r="AO989" s="1942"/>
      <c r="AP989" s="1942"/>
      <c r="AQ989" s="1942"/>
      <c r="AR989" s="1942"/>
      <c r="AS989" s="1942"/>
      <c r="AT989" s="1942"/>
      <c r="AU989" s="1942"/>
      <c r="AV989" s="1942"/>
      <c r="AW989" s="1942"/>
      <c r="AX989" s="1942"/>
      <c r="AY989" s="1942"/>
      <c r="AZ989" s="1942"/>
      <c r="BA989" s="1942"/>
      <c r="BB989" s="575"/>
      <c r="BC989" s="576"/>
      <c r="BD989" s="678"/>
    </row>
    <row r="990" spans="1:56" s="51" customFormat="1" ht="30" hidden="1" outlineLevel="1" x14ac:dyDescent="0.25">
      <c r="A990" s="1267"/>
      <c r="B990" s="228"/>
      <c r="C990" s="328"/>
      <c r="D990" s="4016"/>
      <c r="E990" s="3990"/>
      <c r="F990" s="3010" t="str">
        <f t="shared" si="100"/>
        <v>Mini/MultiSplitAC_ROF_MF</v>
      </c>
      <c r="G990" s="3403"/>
      <c r="H990" s="3404"/>
      <c r="I990" s="3411" t="str">
        <f t="shared" si="101"/>
        <v>351600_2021_12_</v>
      </c>
      <c r="J990" s="753">
        <v>635</v>
      </c>
      <c r="K990" s="748"/>
      <c r="L990" s="4087"/>
      <c r="M990" s="1570"/>
      <c r="N990" s="1556"/>
      <c r="O990" s="228"/>
      <c r="P990" s="228"/>
      <c r="Q990" s="228"/>
      <c r="R990" s="228"/>
      <c r="S990" s="228"/>
      <c r="T990" s="123"/>
      <c r="U990" s="123"/>
      <c r="V990" s="4016"/>
      <c r="W990" s="2857"/>
      <c r="X990" s="3155"/>
      <c r="Y990" s="3155">
        <v>635</v>
      </c>
      <c r="Z990" s="2857">
        <v>635</v>
      </c>
      <c r="AA990" s="2857">
        <v>635</v>
      </c>
      <c r="AB990" s="753">
        <v>635</v>
      </c>
      <c r="AC990" s="753">
        <v>635</v>
      </c>
      <c r="AD990" s="2857"/>
      <c r="AE990" s="2857"/>
      <c r="AF990" s="2857"/>
      <c r="AG990" s="697"/>
      <c r="AH990" s="1942"/>
      <c r="AI990" s="1942"/>
      <c r="AJ990" s="1942"/>
      <c r="AK990" s="1942"/>
      <c r="AL990" s="1942"/>
      <c r="AM990" s="1942"/>
      <c r="AN990" s="1942"/>
      <c r="AO990" s="1942"/>
      <c r="AP990" s="1942"/>
      <c r="AQ990" s="1942"/>
      <c r="AR990" s="1942"/>
      <c r="AS990" s="1942"/>
      <c r="AT990" s="1942"/>
      <c r="AU990" s="1942"/>
      <c r="AV990" s="1942"/>
      <c r="AW990" s="1942"/>
      <c r="AX990" s="1942"/>
      <c r="AY990" s="1942"/>
      <c r="AZ990" s="1942"/>
      <c r="BA990" s="1942"/>
      <c r="BB990" s="575"/>
      <c r="BC990" s="576"/>
      <c r="BD990" s="678"/>
    </row>
    <row r="991" spans="1:56" s="51" customFormat="1" ht="30" hidden="1" outlineLevel="1" x14ac:dyDescent="0.25">
      <c r="A991" s="1267"/>
      <c r="B991" s="228"/>
      <c r="C991" s="328"/>
      <c r="D991" s="4016"/>
      <c r="E991" s="3990"/>
      <c r="F991" s="3010" t="str">
        <f t="shared" si="100"/>
        <v>Mini/MultiSplitASHP_ROF_MF_NC</v>
      </c>
      <c r="G991" s="3403"/>
      <c r="H991" s="3404"/>
      <c r="I991" s="3411" t="str">
        <f t="shared" si="101"/>
        <v>351650_2021_12_</v>
      </c>
      <c r="J991" s="753">
        <v>635</v>
      </c>
      <c r="K991" s="748"/>
      <c r="L991" s="4087"/>
      <c r="M991" s="1570"/>
      <c r="N991" s="1556"/>
      <c r="O991" s="228"/>
      <c r="P991" s="228"/>
      <c r="Q991" s="228"/>
      <c r="R991" s="228"/>
      <c r="S991" s="228"/>
      <c r="T991" s="123"/>
      <c r="U991" s="123"/>
      <c r="V991" s="4016"/>
      <c r="W991" s="2857"/>
      <c r="X991" s="3155"/>
      <c r="Y991" s="3155">
        <v>635</v>
      </c>
      <c r="Z991" s="2857">
        <v>635</v>
      </c>
      <c r="AA991" s="2857">
        <v>635</v>
      </c>
      <c r="AB991" s="753">
        <v>635</v>
      </c>
      <c r="AC991" s="753">
        <v>635</v>
      </c>
      <c r="AD991" s="2857"/>
      <c r="AE991" s="2857"/>
      <c r="AF991" s="2857"/>
      <c r="AG991" s="697"/>
      <c r="AH991" s="1942"/>
      <c r="AI991" s="1942"/>
      <c r="AJ991" s="1942"/>
      <c r="AK991" s="1942"/>
      <c r="AL991" s="1942"/>
      <c r="AM991" s="1942"/>
      <c r="AN991" s="1942"/>
      <c r="AO991" s="1942"/>
      <c r="AP991" s="1942"/>
      <c r="AQ991" s="1942"/>
      <c r="AR991" s="1942"/>
      <c r="AS991" s="1942"/>
      <c r="AT991" s="1942"/>
      <c r="AU991" s="1942"/>
      <c r="AV991" s="1942"/>
      <c r="AW991" s="1942"/>
      <c r="AX991" s="1942"/>
      <c r="AY991" s="1942"/>
      <c r="AZ991" s="1942"/>
      <c r="BA991" s="1942"/>
      <c r="BB991" s="575"/>
      <c r="BC991" s="576"/>
      <c r="BD991" s="678"/>
    </row>
    <row r="992" spans="1:56" s="51" customFormat="1" ht="30" hidden="1" outlineLevel="1" x14ac:dyDescent="0.25">
      <c r="A992" s="1267"/>
      <c r="B992" s="228"/>
      <c r="C992" s="328"/>
      <c r="D992" s="4016"/>
      <c r="E992" s="3990"/>
      <c r="F992" s="3010" t="str">
        <f t="shared" si="100"/>
        <v>Mini/MultiSplitASHP_ROF_MF</v>
      </c>
      <c r="G992" s="3403"/>
      <c r="H992" s="3404"/>
      <c r="I992" s="3411" t="str">
        <f t="shared" si="101"/>
        <v>351700_2021_12_</v>
      </c>
      <c r="J992" s="753">
        <v>635</v>
      </c>
      <c r="K992" s="748"/>
      <c r="L992" s="4087"/>
      <c r="M992" s="1570"/>
      <c r="N992" s="1556"/>
      <c r="O992" s="228"/>
      <c r="P992" s="228"/>
      <c r="Q992" s="228"/>
      <c r="R992" s="228"/>
      <c r="S992" s="228"/>
      <c r="T992" s="123"/>
      <c r="U992" s="123"/>
      <c r="V992" s="4016"/>
      <c r="W992" s="2857"/>
      <c r="X992" s="3155"/>
      <c r="Y992" s="3155">
        <v>635</v>
      </c>
      <c r="Z992" s="2857">
        <v>635</v>
      </c>
      <c r="AA992" s="2857">
        <v>635</v>
      </c>
      <c r="AB992" s="753">
        <v>635</v>
      </c>
      <c r="AC992" s="753">
        <v>635</v>
      </c>
      <c r="AD992" s="2857"/>
      <c r="AE992" s="2857"/>
      <c r="AF992" s="2857"/>
      <c r="AG992" s="697"/>
      <c r="AH992" s="1942"/>
      <c r="AI992" s="1942"/>
      <c r="AJ992" s="1942"/>
      <c r="AK992" s="1942"/>
      <c r="AL992" s="1942"/>
      <c r="AM992" s="1942"/>
      <c r="AN992" s="1942"/>
      <c r="AO992" s="1942"/>
      <c r="AP992" s="1942"/>
      <c r="AQ992" s="1942"/>
      <c r="AR992" s="1942"/>
      <c r="AS992" s="1942"/>
      <c r="AT992" s="1942"/>
      <c r="AU992" s="1942"/>
      <c r="AV992" s="1942"/>
      <c r="AW992" s="1942"/>
      <c r="AX992" s="1942"/>
      <c r="AY992" s="1942"/>
      <c r="AZ992" s="1942"/>
      <c r="BA992" s="1942"/>
      <c r="BB992" s="575"/>
      <c r="BC992" s="576"/>
      <c r="BD992" s="678"/>
    </row>
    <row r="993" spans="1:56" s="51" customFormat="1" ht="45" hidden="1" outlineLevel="1" x14ac:dyDescent="0.25">
      <c r="A993" s="1267"/>
      <c r="B993" s="228"/>
      <c r="C993" s="328"/>
      <c r="D993" s="4016"/>
      <c r="E993" s="3990"/>
      <c r="F993" s="3010" t="str">
        <f t="shared" si="100"/>
        <v>Mini/MultiSplitASHP-Replace_CAC_ElectricHeat_ER1_MF</v>
      </c>
      <c r="G993" s="3403"/>
      <c r="H993" s="3404"/>
      <c r="I993" s="3411" t="str">
        <f t="shared" si="101"/>
        <v>351750_2021_12_</v>
      </c>
      <c r="J993" s="753">
        <v>635</v>
      </c>
      <c r="K993" s="748"/>
      <c r="L993" s="4087"/>
      <c r="M993" s="1570"/>
      <c r="N993" s="1556"/>
      <c r="O993" s="228"/>
      <c r="P993" s="228"/>
      <c r="Q993" s="228"/>
      <c r="R993" s="228"/>
      <c r="S993" s="228"/>
      <c r="T993" s="123"/>
      <c r="U993" s="123"/>
      <c r="V993" s="4016"/>
      <c r="W993" s="2857"/>
      <c r="X993" s="3155"/>
      <c r="Y993" s="3155">
        <v>635</v>
      </c>
      <c r="Z993" s="2857">
        <v>635</v>
      </c>
      <c r="AA993" s="2857">
        <v>635</v>
      </c>
      <c r="AB993" s="753">
        <v>635</v>
      </c>
      <c r="AC993" s="753">
        <v>635</v>
      </c>
      <c r="AD993" s="2857"/>
      <c r="AE993" s="2857"/>
      <c r="AF993" s="2857"/>
      <c r="AG993" s="697"/>
      <c r="AH993" s="1942"/>
      <c r="AI993" s="1942"/>
      <c r="AJ993" s="1942"/>
      <c r="AK993" s="1942"/>
      <c r="AL993" s="1942"/>
      <c r="AM993" s="1942"/>
      <c r="AN993" s="1942"/>
      <c r="AO993" s="1942"/>
      <c r="AP993" s="1942"/>
      <c r="AQ993" s="1942"/>
      <c r="AR993" s="1942"/>
      <c r="AS993" s="1942"/>
      <c r="AT993" s="1942"/>
      <c r="AU993" s="1942"/>
      <c r="AV993" s="1942"/>
      <c r="AW993" s="1942"/>
      <c r="AX993" s="1942"/>
      <c r="AY993" s="1942"/>
      <c r="AZ993" s="1942"/>
      <c r="BA993" s="1942"/>
      <c r="BB993" s="575"/>
      <c r="BC993" s="576"/>
      <c r="BD993" s="678"/>
    </row>
    <row r="994" spans="1:56" s="51" customFormat="1" ht="45" hidden="1" outlineLevel="1" x14ac:dyDescent="0.25">
      <c r="A994" s="1267"/>
      <c r="B994" s="228"/>
      <c r="C994" s="328"/>
      <c r="D994" s="4016"/>
      <c r="E994" s="3990"/>
      <c r="F994" s="3010" t="str">
        <f t="shared" si="100"/>
        <v>Mini/MultiSplitASHP-Replace_CAC_ElectricHeat_ROF_MF</v>
      </c>
      <c r="G994" s="3403"/>
      <c r="H994" s="3404"/>
      <c r="I994" s="3411" t="str">
        <f t="shared" si="101"/>
        <v>351800_2021_12_</v>
      </c>
      <c r="J994" s="753">
        <v>635</v>
      </c>
      <c r="K994" s="748"/>
      <c r="L994" s="4087"/>
      <c r="M994" s="1570"/>
      <c r="N994" s="1556"/>
      <c r="O994" s="228"/>
      <c r="P994" s="228"/>
      <c r="Q994" s="228"/>
      <c r="R994" s="228"/>
      <c r="S994" s="228"/>
      <c r="T994" s="123"/>
      <c r="U994" s="123"/>
      <c r="V994" s="4016"/>
      <c r="W994" s="2857"/>
      <c r="X994" s="3155"/>
      <c r="Y994" s="3155">
        <v>635</v>
      </c>
      <c r="Z994" s="2857">
        <v>635</v>
      </c>
      <c r="AA994" s="2857">
        <v>635</v>
      </c>
      <c r="AB994" s="753">
        <v>635</v>
      </c>
      <c r="AC994" s="753">
        <v>635</v>
      </c>
      <c r="AD994" s="2857"/>
      <c r="AE994" s="2857"/>
      <c r="AF994" s="2857"/>
      <c r="AG994" s="697"/>
      <c r="AH994" s="1942"/>
      <c r="AI994" s="1942"/>
      <c r="AJ994" s="1942"/>
      <c r="AK994" s="1942"/>
      <c r="AL994" s="1942"/>
      <c r="AM994" s="1942"/>
      <c r="AN994" s="1942"/>
      <c r="AO994" s="1942"/>
      <c r="AP994" s="1942"/>
      <c r="AQ994" s="1942"/>
      <c r="AR994" s="1942"/>
      <c r="AS994" s="1942"/>
      <c r="AT994" s="1942"/>
      <c r="AU994" s="1942"/>
      <c r="AV994" s="1942"/>
      <c r="AW994" s="1942"/>
      <c r="AX994" s="1942"/>
      <c r="AY994" s="1942"/>
      <c r="AZ994" s="1942"/>
      <c r="BA994" s="1942"/>
      <c r="BB994" s="575"/>
      <c r="BC994" s="576"/>
      <c r="BD994" s="678"/>
    </row>
    <row r="995" spans="1:56" s="51" customFormat="1" ht="30" hidden="1" outlineLevel="1" x14ac:dyDescent="0.25">
      <c r="A995" s="1267"/>
      <c r="B995" s="228"/>
      <c r="C995" s="328"/>
      <c r="D995" s="4016"/>
      <c r="E995" s="3990"/>
      <c r="F995" s="3010" t="str">
        <f t="shared" si="100"/>
        <v>Mini/MultiSplitASHP_ER1_MF</v>
      </c>
      <c r="G995" s="3403"/>
      <c r="H995" s="3404"/>
      <c r="I995" s="3411" t="str">
        <f t="shared" si="101"/>
        <v>351850_2021_12_</v>
      </c>
      <c r="J995" s="753">
        <v>635</v>
      </c>
      <c r="K995" s="748"/>
      <c r="L995" s="4087"/>
      <c r="M995" s="1570"/>
      <c r="N995" s="1556"/>
      <c r="O995" s="228"/>
      <c r="P995" s="228"/>
      <c r="Q995" s="228"/>
      <c r="R995" s="228"/>
      <c r="S995" s="228"/>
      <c r="T995" s="123"/>
      <c r="U995" s="123"/>
      <c r="V995" s="4016"/>
      <c r="W995" s="2857"/>
      <c r="X995" s="3155"/>
      <c r="Y995" s="3155">
        <v>635</v>
      </c>
      <c r="Z995" s="2857">
        <v>635</v>
      </c>
      <c r="AA995" s="2857">
        <v>635</v>
      </c>
      <c r="AB995" s="753">
        <v>635</v>
      </c>
      <c r="AC995" s="753">
        <v>635</v>
      </c>
      <c r="AD995" s="2857"/>
      <c r="AE995" s="2857"/>
      <c r="AF995" s="2857"/>
      <c r="AG995" s="697"/>
      <c r="AH995" s="1942"/>
      <c r="AI995" s="1942"/>
      <c r="AJ995" s="1942"/>
      <c r="AK995" s="1942"/>
      <c r="AL995" s="1942"/>
      <c r="AM995" s="1942"/>
      <c r="AN995" s="1942"/>
      <c r="AO995" s="1942"/>
      <c r="AP995" s="1942"/>
      <c r="AQ995" s="1942"/>
      <c r="AR995" s="1942"/>
      <c r="AS995" s="1942"/>
      <c r="AT995" s="1942"/>
      <c r="AU995" s="1942"/>
      <c r="AV995" s="1942"/>
      <c r="AW995" s="1942"/>
      <c r="AX995" s="1942"/>
      <c r="AY995" s="1942"/>
      <c r="AZ995" s="1942"/>
      <c r="BA995" s="1942"/>
      <c r="BB995" s="575"/>
      <c r="BC995" s="576"/>
      <c r="BD995" s="678"/>
    </row>
    <row r="996" spans="1:56" s="51" customFormat="1" ht="30" hidden="1" outlineLevel="1" x14ac:dyDescent="0.25">
      <c r="A996" s="1267"/>
      <c r="B996" s="228"/>
      <c r="C996" s="328"/>
      <c r="D996" s="4016"/>
      <c r="E996" s="3990"/>
      <c r="F996" s="3010" t="str">
        <f t="shared" si="100"/>
        <v>Mini/MultiSplitAC_ER1_MF_CompE</v>
      </c>
      <c r="G996" s="3403"/>
      <c r="H996" s="3404"/>
      <c r="I996" s="3411" t="str">
        <f t="shared" si="101"/>
        <v>351551_2021_12_</v>
      </c>
      <c r="J996" s="1572">
        <v>417</v>
      </c>
      <c r="K996" s="748"/>
      <c r="L996" s="4087"/>
      <c r="M996" s="1570"/>
      <c r="N996" s="1556"/>
      <c r="O996" s="228"/>
      <c r="P996" s="228"/>
      <c r="Q996" s="228"/>
      <c r="R996" s="228"/>
      <c r="S996" s="228"/>
      <c r="T996" s="123"/>
      <c r="U996" s="123"/>
      <c r="V996" s="4016"/>
      <c r="W996" s="2857"/>
      <c r="X996" s="2857"/>
      <c r="Y996" s="3155">
        <v>560</v>
      </c>
      <c r="Z996" s="2857">
        <v>560</v>
      </c>
      <c r="AA996" s="2857">
        <v>560</v>
      </c>
      <c r="AB996" s="1572">
        <v>417</v>
      </c>
      <c r="AC996" s="1572">
        <v>417</v>
      </c>
      <c r="AD996" s="2857"/>
      <c r="AE996" s="2857"/>
      <c r="AF996" s="2857"/>
      <c r="AG996" s="697"/>
      <c r="AH996" s="1942"/>
      <c r="AI996" s="1942"/>
      <c r="AJ996" s="1942"/>
      <c r="AK996" s="1942"/>
      <c r="AL996" s="1942"/>
      <c r="AM996" s="1942"/>
      <c r="AN996" s="1942"/>
      <c r="AO996" s="1942"/>
      <c r="AP996" s="1942"/>
      <c r="AQ996" s="1942"/>
      <c r="AR996" s="1942"/>
      <c r="AS996" s="1942"/>
      <c r="AT996" s="1942"/>
      <c r="AU996" s="1942"/>
      <c r="AV996" s="1942"/>
      <c r="AW996" s="1942"/>
      <c r="AX996" s="1942"/>
      <c r="AY996" s="1942"/>
      <c r="AZ996" s="1942"/>
      <c r="BA996" s="1942"/>
      <c r="BB996" s="575"/>
      <c r="BC996" s="576"/>
      <c r="BD996" s="678"/>
    </row>
    <row r="997" spans="1:56" s="51" customFormat="1" ht="30" hidden="1" outlineLevel="1" x14ac:dyDescent="0.25">
      <c r="A997" s="1267"/>
      <c r="B997" s="228"/>
      <c r="C997" s="328"/>
      <c r="D997" s="4016"/>
      <c r="E997" s="3990"/>
      <c r="F997" s="3010" t="str">
        <f t="shared" si="100"/>
        <v>Mini/MultiSplitAC_ROF_MF_CompE</v>
      </c>
      <c r="G997" s="3403"/>
      <c r="H997" s="3404"/>
      <c r="I997" s="3411" t="str">
        <f t="shared" si="101"/>
        <v>351601_2021_12_</v>
      </c>
      <c r="J997" s="1572">
        <v>417</v>
      </c>
      <c r="K997" s="748"/>
      <c r="L997" s="4087"/>
      <c r="M997" s="1570"/>
      <c r="N997" s="1556"/>
      <c r="O997" s="228"/>
      <c r="P997" s="228"/>
      <c r="Q997" s="228"/>
      <c r="R997" s="228"/>
      <c r="S997" s="228"/>
      <c r="T997" s="123"/>
      <c r="U997" s="123"/>
      <c r="V997" s="4016"/>
      <c r="W997" s="2857"/>
      <c r="X997" s="2857"/>
      <c r="Y997" s="3155">
        <v>560</v>
      </c>
      <c r="Z997" s="2857">
        <v>560</v>
      </c>
      <c r="AA997" s="2857">
        <v>560</v>
      </c>
      <c r="AB997" s="1572">
        <v>417</v>
      </c>
      <c r="AC997" s="1572">
        <v>417</v>
      </c>
      <c r="AD997" s="2857"/>
      <c r="AE997" s="2857"/>
      <c r="AF997" s="2857"/>
      <c r="AG997" s="697"/>
      <c r="AH997" s="1942"/>
      <c r="AI997" s="1942"/>
      <c r="AJ997" s="1942"/>
      <c r="AK997" s="1942"/>
      <c r="AL997" s="1942"/>
      <c r="AM997" s="1942"/>
      <c r="AN997" s="1942"/>
      <c r="AO997" s="1942"/>
      <c r="AP997" s="1942"/>
      <c r="AQ997" s="1942"/>
      <c r="AR997" s="1942"/>
      <c r="AS997" s="1942"/>
      <c r="AT997" s="1942"/>
      <c r="AU997" s="1942"/>
      <c r="AV997" s="1942"/>
      <c r="AW997" s="1942"/>
      <c r="AX997" s="1942"/>
      <c r="AY997" s="1942"/>
      <c r="AZ997" s="1942"/>
      <c r="BA997" s="1942"/>
      <c r="BB997" s="575"/>
      <c r="BC997" s="576"/>
      <c r="BD997" s="678"/>
    </row>
    <row r="998" spans="1:56" s="51" customFormat="1" ht="30" hidden="1" outlineLevel="1" x14ac:dyDescent="0.25">
      <c r="A998" s="1267"/>
      <c r="B998" s="228"/>
      <c r="C998" s="328"/>
      <c r="D998" s="4016"/>
      <c r="E998" s="3990"/>
      <c r="F998" s="3010" t="str">
        <f t="shared" si="100"/>
        <v>Mini/MultiSplitASHP_ROF_MF_NC_CompE</v>
      </c>
      <c r="G998" s="3403"/>
      <c r="H998" s="3404"/>
      <c r="I998" s="3411" t="str">
        <f t="shared" si="101"/>
        <v>351651_2021_12_</v>
      </c>
      <c r="J998" s="1572">
        <v>417</v>
      </c>
      <c r="K998" s="748"/>
      <c r="L998" s="4087"/>
      <c r="M998" s="1570"/>
      <c r="N998" s="1556"/>
      <c r="O998" s="228"/>
      <c r="P998" s="228"/>
      <c r="Q998" s="228"/>
      <c r="R998" s="228"/>
      <c r="S998" s="228"/>
      <c r="T998" s="123"/>
      <c r="U998" s="123"/>
      <c r="V998" s="4016"/>
      <c r="W998" s="2857"/>
      <c r="X998" s="2857"/>
      <c r="Y998" s="3155">
        <v>560</v>
      </c>
      <c r="Z998" s="2857">
        <v>560</v>
      </c>
      <c r="AA998" s="2857">
        <v>560</v>
      </c>
      <c r="AB998" s="1572">
        <v>417</v>
      </c>
      <c r="AC998" s="1572">
        <v>417</v>
      </c>
      <c r="AD998" s="2857"/>
      <c r="AE998" s="2857"/>
      <c r="AF998" s="2857"/>
      <c r="AG998" s="697"/>
      <c r="AH998" s="1942"/>
      <c r="AI998" s="1942"/>
      <c r="AJ998" s="1942"/>
      <c r="AK998" s="1942"/>
      <c r="AL998" s="1942"/>
      <c r="AM998" s="1942"/>
      <c r="AN998" s="1942"/>
      <c r="AO998" s="1942"/>
      <c r="AP998" s="1942"/>
      <c r="AQ998" s="1942"/>
      <c r="AR998" s="1942"/>
      <c r="AS998" s="1942"/>
      <c r="AT998" s="1942"/>
      <c r="AU998" s="1942"/>
      <c r="AV998" s="1942"/>
      <c r="AW998" s="1942"/>
      <c r="AX998" s="1942"/>
      <c r="AY998" s="1942"/>
      <c r="AZ998" s="1942"/>
      <c r="BA998" s="1942"/>
      <c r="BB998" s="575"/>
      <c r="BC998" s="576"/>
      <c r="BD998" s="678"/>
    </row>
    <row r="999" spans="1:56" s="51" customFormat="1" ht="30" hidden="1" outlineLevel="1" x14ac:dyDescent="0.25">
      <c r="A999" s="1267"/>
      <c r="B999" s="228"/>
      <c r="C999" s="328"/>
      <c r="D999" s="4016"/>
      <c r="E999" s="3990"/>
      <c r="F999" s="3010" t="str">
        <f t="shared" si="100"/>
        <v>Mini/MultiSplitASHP_ROF_MF_CompE</v>
      </c>
      <c r="G999" s="3403"/>
      <c r="H999" s="3404"/>
      <c r="I999" s="3411" t="str">
        <f t="shared" si="101"/>
        <v>351701_2021_12_</v>
      </c>
      <c r="J999" s="1572">
        <v>417</v>
      </c>
      <c r="K999" s="748"/>
      <c r="L999" s="4087"/>
      <c r="M999" s="1570"/>
      <c r="N999" s="1556"/>
      <c r="O999" s="228"/>
      <c r="P999" s="228"/>
      <c r="Q999" s="228"/>
      <c r="R999" s="228"/>
      <c r="S999" s="228"/>
      <c r="T999" s="123"/>
      <c r="U999" s="123"/>
      <c r="V999" s="4016"/>
      <c r="W999" s="2857"/>
      <c r="X999" s="2857"/>
      <c r="Y999" s="3155">
        <v>560</v>
      </c>
      <c r="Z999" s="2857">
        <v>560</v>
      </c>
      <c r="AA999" s="2857">
        <v>560</v>
      </c>
      <c r="AB999" s="1572">
        <v>417</v>
      </c>
      <c r="AC999" s="1572">
        <v>417</v>
      </c>
      <c r="AD999" s="2857"/>
      <c r="AE999" s="2857"/>
      <c r="AF999" s="2857"/>
      <c r="AG999" s="697"/>
      <c r="AH999" s="1942"/>
      <c r="AI999" s="1942"/>
      <c r="AJ999" s="1942"/>
      <c r="AK999" s="1942"/>
      <c r="AL999" s="1942"/>
      <c r="AM999" s="1942"/>
      <c r="AN999" s="1942"/>
      <c r="AO999" s="1942"/>
      <c r="AP999" s="1942"/>
      <c r="AQ999" s="1942"/>
      <c r="AR999" s="1942"/>
      <c r="AS999" s="1942"/>
      <c r="AT999" s="1942"/>
      <c r="AU999" s="1942"/>
      <c r="AV999" s="1942"/>
      <c r="AW999" s="1942"/>
      <c r="AX999" s="1942"/>
      <c r="AY999" s="1942"/>
      <c r="AZ999" s="1942"/>
      <c r="BA999" s="1942"/>
      <c r="BB999" s="575"/>
      <c r="BC999" s="576"/>
      <c r="BD999" s="678"/>
    </row>
    <row r="1000" spans="1:56" s="51" customFormat="1" ht="45" hidden="1" outlineLevel="1" x14ac:dyDescent="0.25">
      <c r="A1000" s="1267"/>
      <c r="B1000" s="228"/>
      <c r="C1000" s="328"/>
      <c r="D1000" s="4016"/>
      <c r="E1000" s="3990"/>
      <c r="F1000" s="3010" t="str">
        <f t="shared" si="100"/>
        <v>Mini/MultiSplitASHP-Replace_CAC_ElectricHeat_ER1_MF_CompE</v>
      </c>
      <c r="G1000" s="3403"/>
      <c r="H1000" s="3404"/>
      <c r="I1000" s="3411" t="str">
        <f t="shared" si="101"/>
        <v>351751_2021_12_</v>
      </c>
      <c r="J1000" s="1572">
        <v>417</v>
      </c>
      <c r="K1000" s="748"/>
      <c r="L1000" s="4087"/>
      <c r="M1000" s="1570"/>
      <c r="N1000" s="1556"/>
      <c r="O1000" s="228"/>
      <c r="P1000" s="228"/>
      <c r="Q1000" s="228"/>
      <c r="R1000" s="228"/>
      <c r="S1000" s="228"/>
      <c r="T1000" s="123"/>
      <c r="U1000" s="123"/>
      <c r="V1000" s="4016"/>
      <c r="W1000" s="2857"/>
      <c r="X1000" s="2857"/>
      <c r="Y1000" s="3155">
        <v>560</v>
      </c>
      <c r="Z1000" s="2857">
        <v>560</v>
      </c>
      <c r="AA1000" s="2857">
        <v>560</v>
      </c>
      <c r="AB1000" s="1572">
        <v>417</v>
      </c>
      <c r="AC1000" s="1572">
        <v>417</v>
      </c>
      <c r="AD1000" s="2857"/>
      <c r="AE1000" s="2857"/>
      <c r="AF1000" s="2857"/>
      <c r="AG1000" s="697"/>
      <c r="AH1000" s="1942"/>
      <c r="AI1000" s="1942"/>
      <c r="AJ1000" s="1942"/>
      <c r="AK1000" s="1942"/>
      <c r="AL1000" s="1942"/>
      <c r="AM1000" s="1942"/>
      <c r="AN1000" s="1942"/>
      <c r="AO1000" s="1942"/>
      <c r="AP1000" s="1942"/>
      <c r="AQ1000" s="1942"/>
      <c r="AR1000" s="1942"/>
      <c r="AS1000" s="1942"/>
      <c r="AT1000" s="1942"/>
      <c r="AU1000" s="1942"/>
      <c r="AV1000" s="1942"/>
      <c r="AW1000" s="1942"/>
      <c r="AX1000" s="1942"/>
      <c r="AY1000" s="1942"/>
      <c r="AZ1000" s="1942"/>
      <c r="BA1000" s="1942"/>
      <c r="BB1000" s="575"/>
      <c r="BC1000" s="576"/>
      <c r="BD1000" s="678"/>
    </row>
    <row r="1001" spans="1:56" s="51" customFormat="1" ht="45" hidden="1" outlineLevel="1" x14ac:dyDescent="0.25">
      <c r="A1001" s="1267"/>
      <c r="B1001" s="228"/>
      <c r="C1001" s="328"/>
      <c r="D1001" s="4016"/>
      <c r="E1001" s="3990"/>
      <c r="F1001" s="3010" t="str">
        <f t="shared" si="100"/>
        <v>Mini/MultiSplitASHP-Replace_CAC_ElectricHeat_ROF_MF_CompE</v>
      </c>
      <c r="G1001" s="3403"/>
      <c r="H1001" s="3404"/>
      <c r="I1001" s="3411" t="str">
        <f t="shared" si="101"/>
        <v>351801_2021_12_</v>
      </c>
      <c r="J1001" s="1572">
        <v>417</v>
      </c>
      <c r="K1001" s="748"/>
      <c r="L1001" s="4087"/>
      <c r="M1001" s="1570"/>
      <c r="N1001" s="1556"/>
      <c r="O1001" s="228"/>
      <c r="P1001" s="228"/>
      <c r="Q1001" s="228"/>
      <c r="R1001" s="228"/>
      <c r="S1001" s="228"/>
      <c r="T1001" s="123"/>
      <c r="U1001" s="123"/>
      <c r="V1001" s="4016"/>
      <c r="W1001" s="2857"/>
      <c r="X1001" s="2857"/>
      <c r="Y1001" s="3155">
        <v>560</v>
      </c>
      <c r="Z1001" s="2857">
        <v>560</v>
      </c>
      <c r="AA1001" s="2857">
        <v>560</v>
      </c>
      <c r="AB1001" s="1572">
        <v>417</v>
      </c>
      <c r="AC1001" s="1572">
        <v>417</v>
      </c>
      <c r="AD1001" s="2857"/>
      <c r="AE1001" s="2857"/>
      <c r="AF1001" s="2857"/>
      <c r="AG1001" s="697"/>
      <c r="AH1001" s="1942"/>
      <c r="AI1001" s="1942"/>
      <c r="AJ1001" s="1942"/>
      <c r="AK1001" s="1942"/>
      <c r="AL1001" s="1942"/>
      <c r="AM1001" s="1942"/>
      <c r="AN1001" s="1942"/>
      <c r="AO1001" s="1942"/>
      <c r="AP1001" s="1942"/>
      <c r="AQ1001" s="1942"/>
      <c r="AR1001" s="1942"/>
      <c r="AS1001" s="1942"/>
      <c r="AT1001" s="1942"/>
      <c r="AU1001" s="1942"/>
      <c r="AV1001" s="1942"/>
      <c r="AW1001" s="1942"/>
      <c r="AX1001" s="1942"/>
      <c r="AY1001" s="1942"/>
      <c r="AZ1001" s="1942"/>
      <c r="BA1001" s="1942"/>
      <c r="BB1001" s="575"/>
      <c r="BC1001" s="576"/>
      <c r="BD1001" s="678"/>
    </row>
    <row r="1002" spans="1:56" s="51" customFormat="1" ht="30.75" hidden="1" outlineLevel="1" thickBot="1" x14ac:dyDescent="0.3">
      <c r="A1002" s="1267"/>
      <c r="B1002" s="228"/>
      <c r="C1002" s="328"/>
      <c r="D1002" s="4029"/>
      <c r="E1002" s="3991"/>
      <c r="F1002" s="3010" t="str">
        <f t="shared" si="100"/>
        <v>Mini/MultiSplitASHP_ER1_MF_CompE</v>
      </c>
      <c r="G1002" s="3403"/>
      <c r="H1002" s="3404"/>
      <c r="I1002" s="3412" t="str">
        <f t="shared" si="101"/>
        <v>351851_2021_12_</v>
      </c>
      <c r="J1002" s="1572">
        <v>417</v>
      </c>
      <c r="K1002" s="748"/>
      <c r="L1002" s="4088"/>
      <c r="M1002" s="1570"/>
      <c r="N1002" s="1556"/>
      <c r="O1002" s="228"/>
      <c r="P1002" s="228"/>
      <c r="Q1002" s="228"/>
      <c r="R1002" s="228"/>
      <c r="S1002" s="228"/>
      <c r="T1002" s="123"/>
      <c r="U1002" s="123"/>
      <c r="V1002" s="4029"/>
      <c r="W1002" s="2860"/>
      <c r="X1002" s="2860"/>
      <c r="Y1002" s="3156">
        <v>560</v>
      </c>
      <c r="Z1002" s="2860">
        <v>560</v>
      </c>
      <c r="AA1002" s="2860">
        <v>560</v>
      </c>
      <c r="AB1002" s="1572">
        <v>417</v>
      </c>
      <c r="AC1002" s="1572">
        <v>417</v>
      </c>
      <c r="AD1002" s="2860"/>
      <c r="AE1002" s="2860"/>
      <c r="AF1002" s="2860"/>
      <c r="AG1002" s="751"/>
      <c r="AH1002" s="1942"/>
      <c r="AI1002" s="1942"/>
      <c r="AJ1002" s="1942"/>
      <c r="AK1002" s="1942"/>
      <c r="AL1002" s="1942"/>
      <c r="AM1002" s="1942"/>
      <c r="AN1002" s="1942"/>
      <c r="AO1002" s="1942"/>
      <c r="AP1002" s="1942"/>
      <c r="AQ1002" s="1942"/>
      <c r="AR1002" s="1942"/>
      <c r="AS1002" s="1942"/>
      <c r="AT1002" s="1942"/>
      <c r="AU1002" s="1942"/>
      <c r="AV1002" s="1942"/>
      <c r="AW1002" s="1942"/>
      <c r="AX1002" s="1942"/>
      <c r="AY1002" s="1942"/>
      <c r="AZ1002" s="1942"/>
      <c r="BA1002" s="1942"/>
      <c r="BB1002" s="575"/>
      <c r="BC1002" s="576"/>
      <c r="BD1002" s="678"/>
    </row>
    <row r="1003" spans="1:56" s="51" customFormat="1" hidden="1" outlineLevel="1" x14ac:dyDescent="0.25">
      <c r="A1003" s="1267"/>
      <c r="B1003" s="228"/>
      <c r="C1003" s="328"/>
      <c r="D1003" s="4015" t="s">
        <v>1009</v>
      </c>
      <c r="E1003" s="3989" t="s">
        <v>1121</v>
      </c>
      <c r="F1003" s="3013" t="str">
        <f t="shared" si="100"/>
        <v>Mini/MultiSplitAC_ER1_SF</v>
      </c>
      <c r="G1003" s="3401"/>
      <c r="H1003" s="3402"/>
      <c r="I1003" s="3410" t="str">
        <f t="shared" si="101"/>
        <v>351200_2021_12_</v>
      </c>
      <c r="J1003" s="2858">
        <v>13</v>
      </c>
      <c r="K1003" s="745"/>
      <c r="L1003" s="3986" t="s">
        <v>1122</v>
      </c>
      <c r="M1003" s="1570"/>
      <c r="N1003" s="1556"/>
      <c r="O1003" s="228"/>
      <c r="P1003" s="228"/>
      <c r="Q1003" s="228"/>
      <c r="R1003" s="228"/>
      <c r="S1003" s="228"/>
      <c r="T1003" s="123"/>
      <c r="U1003" s="123"/>
      <c r="V1003" s="4015" t="s">
        <v>1009</v>
      </c>
      <c r="W1003" s="2861">
        <v>13</v>
      </c>
      <c r="X1003" s="2861">
        <v>13</v>
      </c>
      <c r="Y1003" s="2861">
        <v>13</v>
      </c>
      <c r="Z1003" s="2861">
        <v>13</v>
      </c>
      <c r="AA1003" s="2861">
        <v>13</v>
      </c>
      <c r="AB1003" s="2858">
        <v>13</v>
      </c>
      <c r="AC1003" s="2858">
        <v>13</v>
      </c>
      <c r="AD1003" s="2861"/>
      <c r="AE1003" s="2861"/>
      <c r="AF1003" s="2861"/>
      <c r="AG1003" s="747"/>
      <c r="AH1003" s="1942"/>
      <c r="AI1003" s="1942"/>
      <c r="AJ1003" s="1942"/>
      <c r="AK1003" s="1942"/>
      <c r="AL1003" s="1942"/>
      <c r="AM1003" s="1942"/>
      <c r="AN1003" s="1942"/>
      <c r="AO1003" s="1942"/>
      <c r="AP1003" s="1942"/>
      <c r="AQ1003" s="1942"/>
      <c r="AR1003" s="1942"/>
      <c r="AS1003" s="1942"/>
      <c r="AT1003" s="1942"/>
      <c r="AU1003" s="1942"/>
      <c r="AV1003" s="1942"/>
      <c r="AW1003" s="1942"/>
      <c r="AX1003" s="1942"/>
      <c r="AY1003" s="1942"/>
      <c r="AZ1003" s="1942"/>
      <c r="BA1003" s="1942"/>
      <c r="BB1003" s="575"/>
      <c r="BC1003" s="576"/>
      <c r="BD1003" s="678"/>
    </row>
    <row r="1004" spans="1:56" s="51" customFormat="1" ht="30" hidden="1" outlineLevel="1" x14ac:dyDescent="0.25">
      <c r="A1004" s="1267"/>
      <c r="B1004" s="228"/>
      <c r="C1004" s="328"/>
      <c r="D1004" s="4016"/>
      <c r="E1004" s="3990"/>
      <c r="F1004" s="3010" t="str">
        <f t="shared" si="100"/>
        <v>Mini/MultiSplitAC_ROF_SF</v>
      </c>
      <c r="G1004" s="3403"/>
      <c r="H1004" s="3404"/>
      <c r="I1004" s="3411" t="str">
        <f t="shared" si="101"/>
        <v>351250_2021_12_</v>
      </c>
      <c r="J1004" s="2856">
        <v>13</v>
      </c>
      <c r="K1004" s="748"/>
      <c r="L1004" s="4084"/>
      <c r="M1004" s="1570"/>
      <c r="N1004" s="1556"/>
      <c r="O1004" s="228"/>
      <c r="P1004" s="228"/>
      <c r="Q1004" s="228"/>
      <c r="R1004" s="228"/>
      <c r="S1004" s="228"/>
      <c r="T1004" s="123"/>
      <c r="U1004" s="123"/>
      <c r="V1004" s="4016"/>
      <c r="W1004" s="2857">
        <v>13</v>
      </c>
      <c r="X1004" s="2857">
        <v>13</v>
      </c>
      <c r="Y1004" s="2857">
        <v>13</v>
      </c>
      <c r="Z1004" s="2857">
        <v>13</v>
      </c>
      <c r="AA1004" s="2857">
        <v>13</v>
      </c>
      <c r="AB1004" s="2856">
        <v>13</v>
      </c>
      <c r="AC1004" s="2856">
        <v>13</v>
      </c>
      <c r="AD1004" s="2857"/>
      <c r="AE1004" s="2857"/>
      <c r="AF1004" s="2857"/>
      <c r="AG1004" s="697"/>
      <c r="AH1004" s="1942"/>
      <c r="AI1004" s="1942"/>
      <c r="AJ1004" s="1942"/>
      <c r="AK1004" s="1942"/>
      <c r="AL1004" s="1942"/>
      <c r="AM1004" s="1942"/>
      <c r="AN1004" s="1942"/>
      <c r="AO1004" s="1942"/>
      <c r="AP1004" s="1942"/>
      <c r="AQ1004" s="1942"/>
      <c r="AR1004" s="1942"/>
      <c r="AS1004" s="1942"/>
      <c r="AT1004" s="1942"/>
      <c r="AU1004" s="1942"/>
      <c r="AV1004" s="1942"/>
      <c r="AW1004" s="1942"/>
      <c r="AX1004" s="1942"/>
      <c r="AY1004" s="1942"/>
      <c r="AZ1004" s="1942"/>
      <c r="BA1004" s="1942"/>
      <c r="BB1004" s="575"/>
      <c r="BC1004" s="576"/>
      <c r="BD1004" s="678"/>
    </row>
    <row r="1005" spans="1:56" s="51" customFormat="1" ht="30" hidden="1" outlineLevel="1" x14ac:dyDescent="0.25">
      <c r="A1005" s="1267"/>
      <c r="B1005" s="228"/>
      <c r="C1005" s="328"/>
      <c r="D1005" s="4016"/>
      <c r="E1005" s="3990"/>
      <c r="F1005" s="3010" t="str">
        <f t="shared" ref="F1005:F1065" si="108">F984</f>
        <v>Mini/MultiSplitASHP_ROF_SF_NC</v>
      </c>
      <c r="G1005" s="3403"/>
      <c r="H1005" s="3404"/>
      <c r="I1005" s="3411" t="str">
        <f t="shared" ref="I1005:I1065" si="109">I984</f>
        <v>351300_2021_12_</v>
      </c>
      <c r="J1005" s="2856">
        <v>14</v>
      </c>
      <c r="K1005" s="748"/>
      <c r="L1005" s="4084"/>
      <c r="M1005" s="1570"/>
      <c r="N1005" s="1556"/>
      <c r="O1005" s="228"/>
      <c r="P1005" s="228"/>
      <c r="Q1005" s="228"/>
      <c r="R1005" s="228"/>
      <c r="S1005" s="228"/>
      <c r="T1005" s="123"/>
      <c r="U1005" s="123"/>
      <c r="V1005" s="4016"/>
      <c r="W1005" s="2857">
        <v>13</v>
      </c>
      <c r="X1005" s="2857">
        <v>13</v>
      </c>
      <c r="Y1005" s="3155">
        <v>14</v>
      </c>
      <c r="Z1005" s="2857">
        <v>14</v>
      </c>
      <c r="AA1005" s="2857">
        <v>14</v>
      </c>
      <c r="AB1005" s="2856">
        <v>14</v>
      </c>
      <c r="AC1005" s="2856">
        <v>14</v>
      </c>
      <c r="AD1005" s="2857"/>
      <c r="AE1005" s="2857"/>
      <c r="AF1005" s="2857"/>
      <c r="AG1005" s="697"/>
      <c r="AH1005" s="1942"/>
      <c r="AI1005" s="1942"/>
      <c r="AJ1005" s="1942"/>
      <c r="AK1005" s="1942"/>
      <c r="AL1005" s="1942"/>
      <c r="AM1005" s="1942"/>
      <c r="AN1005" s="1942"/>
      <c r="AO1005" s="1942"/>
      <c r="AP1005" s="1942"/>
      <c r="AQ1005" s="1942"/>
      <c r="AR1005" s="1942"/>
      <c r="AS1005" s="1942"/>
      <c r="AT1005" s="1942"/>
      <c r="AU1005" s="1942"/>
      <c r="AV1005" s="1942"/>
      <c r="AW1005" s="1942"/>
      <c r="AX1005" s="1942"/>
      <c r="AY1005" s="1942"/>
      <c r="AZ1005" s="1942"/>
      <c r="BA1005" s="1942"/>
      <c r="BB1005" s="575"/>
      <c r="BC1005" s="576"/>
      <c r="BD1005" s="678"/>
    </row>
    <row r="1006" spans="1:56" s="51" customFormat="1" ht="30" hidden="1" outlineLevel="1" x14ac:dyDescent="0.25">
      <c r="A1006" s="1267"/>
      <c r="B1006" s="228"/>
      <c r="C1006" s="328"/>
      <c r="D1006" s="4016"/>
      <c r="E1006" s="3990"/>
      <c r="F1006" s="3010" t="str">
        <f t="shared" si="108"/>
        <v>Mini/MultiSplitASHP_ROF_SF</v>
      </c>
      <c r="G1006" s="3403"/>
      <c r="H1006" s="3404"/>
      <c r="I1006" s="3411" t="str">
        <f t="shared" si="109"/>
        <v>351350_2021_12_</v>
      </c>
      <c r="J1006" s="2856">
        <v>14</v>
      </c>
      <c r="K1006" s="748"/>
      <c r="L1006" s="4084"/>
      <c r="M1006" s="1550"/>
      <c r="N1006" s="1556"/>
      <c r="O1006" s="228"/>
      <c r="P1006" s="228"/>
      <c r="Q1006" s="228"/>
      <c r="R1006" s="228"/>
      <c r="S1006" s="228"/>
      <c r="T1006" s="123"/>
      <c r="U1006" s="123"/>
      <c r="V1006" s="4016"/>
      <c r="W1006" s="2857">
        <v>13</v>
      </c>
      <c r="X1006" s="2857">
        <v>13</v>
      </c>
      <c r="Y1006" s="3155">
        <v>14</v>
      </c>
      <c r="Z1006" s="2857">
        <v>14</v>
      </c>
      <c r="AA1006" s="2857">
        <v>14</v>
      </c>
      <c r="AB1006" s="2856">
        <v>14</v>
      </c>
      <c r="AC1006" s="2856">
        <v>14</v>
      </c>
      <c r="AD1006" s="2857"/>
      <c r="AE1006" s="2857"/>
      <c r="AF1006" s="2857"/>
      <c r="AG1006" s="697"/>
      <c r="AH1006" s="1942"/>
      <c r="AI1006" s="1942"/>
      <c r="AJ1006" s="1942"/>
      <c r="AK1006" s="1942"/>
      <c r="AL1006" s="1942"/>
      <c r="AM1006" s="1942"/>
      <c r="AN1006" s="1942"/>
      <c r="AO1006" s="1942"/>
      <c r="AP1006" s="1942"/>
      <c r="AQ1006" s="1942"/>
      <c r="AR1006" s="1942"/>
      <c r="AS1006" s="1942"/>
      <c r="AT1006" s="1942"/>
      <c r="AU1006" s="1942"/>
      <c r="AV1006" s="1942"/>
      <c r="AW1006" s="1942"/>
      <c r="AX1006" s="1942"/>
      <c r="AY1006" s="1942"/>
      <c r="AZ1006" s="1942"/>
      <c r="BA1006" s="1942"/>
      <c r="BB1006" s="575"/>
      <c r="BC1006" s="576"/>
      <c r="BD1006" s="678"/>
    </row>
    <row r="1007" spans="1:56" s="51" customFormat="1" ht="45" hidden="1" outlineLevel="1" x14ac:dyDescent="0.25">
      <c r="A1007" s="1267"/>
      <c r="B1007" s="228"/>
      <c r="C1007" s="328"/>
      <c r="D1007" s="4016"/>
      <c r="E1007" s="3990"/>
      <c r="F1007" s="3010" t="str">
        <f t="shared" si="108"/>
        <v>Mini/MultiSplitASHP-Replace_CAC_ElectricHeat_ER1_SF</v>
      </c>
      <c r="G1007" s="3403"/>
      <c r="H1007" s="3404"/>
      <c r="I1007" s="3411" t="str">
        <f t="shared" si="109"/>
        <v>351400_2021_12_</v>
      </c>
      <c r="J1007" s="2856">
        <v>13</v>
      </c>
      <c r="K1007" s="748"/>
      <c r="L1007" s="4084"/>
      <c r="M1007" s="1550"/>
      <c r="N1007" s="1556"/>
      <c r="O1007" s="228"/>
      <c r="P1007" s="228"/>
      <c r="Q1007" s="228"/>
      <c r="R1007" s="228"/>
      <c r="S1007" s="228"/>
      <c r="T1007" s="123"/>
      <c r="U1007" s="123"/>
      <c r="V1007" s="4016"/>
      <c r="W1007" s="2857">
        <v>13</v>
      </c>
      <c r="X1007" s="2857">
        <v>13</v>
      </c>
      <c r="Y1007" s="2857">
        <v>13</v>
      </c>
      <c r="Z1007" s="2857">
        <v>13</v>
      </c>
      <c r="AA1007" s="2857">
        <v>13</v>
      </c>
      <c r="AB1007" s="2856">
        <v>13</v>
      </c>
      <c r="AC1007" s="2856">
        <v>13</v>
      </c>
      <c r="AD1007" s="2857"/>
      <c r="AE1007" s="2857"/>
      <c r="AF1007" s="2857"/>
      <c r="AG1007" s="697"/>
      <c r="AH1007" s="1942"/>
      <c r="AI1007" s="1942"/>
      <c r="AJ1007" s="1942"/>
      <c r="AK1007" s="1942"/>
      <c r="AL1007" s="1942"/>
      <c r="AM1007" s="1942"/>
      <c r="AN1007" s="1942"/>
      <c r="AO1007" s="1942"/>
      <c r="AP1007" s="1942"/>
      <c r="AQ1007" s="1942"/>
      <c r="AR1007" s="1942"/>
      <c r="AS1007" s="1942"/>
      <c r="AT1007" s="1942"/>
      <c r="AU1007" s="1942"/>
      <c r="AV1007" s="1942"/>
      <c r="AW1007" s="1942"/>
      <c r="AX1007" s="1942"/>
      <c r="AY1007" s="1942"/>
      <c r="AZ1007" s="1942"/>
      <c r="BA1007" s="1942"/>
      <c r="BB1007" s="575"/>
      <c r="BC1007" s="576"/>
      <c r="BD1007" s="678"/>
    </row>
    <row r="1008" spans="1:56" s="51" customFormat="1" ht="45" hidden="1" outlineLevel="1" x14ac:dyDescent="0.25">
      <c r="A1008" s="1267"/>
      <c r="B1008" s="228"/>
      <c r="C1008" s="328"/>
      <c r="D1008" s="4016"/>
      <c r="E1008" s="3990"/>
      <c r="F1008" s="3010" t="str">
        <f t="shared" si="108"/>
        <v>Mini/MultiSplitASHP-Replace_CAC_ElectricHeat_ROF_SF</v>
      </c>
      <c r="G1008" s="3403"/>
      <c r="H1008" s="3404"/>
      <c r="I1008" s="3411" t="str">
        <f t="shared" si="109"/>
        <v>351450_2021_12_</v>
      </c>
      <c r="J1008" s="2856">
        <v>14</v>
      </c>
      <c r="K1008" s="748"/>
      <c r="L1008" s="4084"/>
      <c r="M1008" s="1550"/>
      <c r="N1008" s="1556"/>
      <c r="O1008" s="228"/>
      <c r="P1008" s="228"/>
      <c r="Q1008" s="228"/>
      <c r="R1008" s="228"/>
      <c r="S1008" s="228"/>
      <c r="T1008" s="123"/>
      <c r="U1008" s="123"/>
      <c r="V1008" s="4016"/>
      <c r="W1008" s="2857">
        <v>13</v>
      </c>
      <c r="X1008" s="2857">
        <v>13</v>
      </c>
      <c r="Y1008" s="3155">
        <v>14</v>
      </c>
      <c r="Z1008" s="2857">
        <v>14</v>
      </c>
      <c r="AA1008" s="2857">
        <v>14</v>
      </c>
      <c r="AB1008" s="2856">
        <v>14</v>
      </c>
      <c r="AC1008" s="2856">
        <v>14</v>
      </c>
      <c r="AD1008" s="2857"/>
      <c r="AE1008" s="2857"/>
      <c r="AF1008" s="2857"/>
      <c r="AG1008" s="697"/>
      <c r="AH1008" s="1942"/>
      <c r="AI1008" s="1942"/>
      <c r="AJ1008" s="1942"/>
      <c r="AK1008" s="1942"/>
      <c r="AL1008" s="1942"/>
      <c r="AM1008" s="1942"/>
      <c r="AN1008" s="1942"/>
      <c r="AO1008" s="1942"/>
      <c r="AP1008" s="1942"/>
      <c r="AQ1008" s="1942"/>
      <c r="AR1008" s="1942"/>
      <c r="AS1008" s="1942"/>
      <c r="AT1008" s="1942"/>
      <c r="AU1008" s="1942"/>
      <c r="AV1008" s="1942"/>
      <c r="AW1008" s="1942"/>
      <c r="AX1008" s="1942"/>
      <c r="AY1008" s="1942"/>
      <c r="AZ1008" s="1942"/>
      <c r="BA1008" s="1942"/>
      <c r="BB1008" s="575"/>
      <c r="BC1008" s="576"/>
      <c r="BD1008" s="678"/>
    </row>
    <row r="1009" spans="1:56" s="51" customFormat="1" ht="30" hidden="1" outlineLevel="1" x14ac:dyDescent="0.25">
      <c r="A1009" s="1267"/>
      <c r="B1009" s="228"/>
      <c r="C1009" s="328"/>
      <c r="D1009" s="4016"/>
      <c r="E1009" s="3990"/>
      <c r="F1009" s="3010" t="str">
        <f t="shared" si="108"/>
        <v>Mini/MultiSplitASHP_ER1_SF</v>
      </c>
      <c r="G1009" s="3403"/>
      <c r="H1009" s="3404"/>
      <c r="I1009" s="3411" t="str">
        <f t="shared" si="109"/>
        <v>351500_2021_12_</v>
      </c>
      <c r="J1009" s="2856">
        <v>13</v>
      </c>
      <c r="K1009" s="748"/>
      <c r="L1009" s="4085"/>
      <c r="M1009" s="1570"/>
      <c r="N1009" s="1556"/>
      <c r="O1009" s="228"/>
      <c r="P1009" s="228"/>
      <c r="Q1009" s="228"/>
      <c r="R1009" s="228"/>
      <c r="S1009" s="228"/>
      <c r="T1009" s="123"/>
      <c r="U1009" s="123"/>
      <c r="V1009" s="4016"/>
      <c r="W1009" s="2857">
        <v>13</v>
      </c>
      <c r="X1009" s="2857">
        <v>13</v>
      </c>
      <c r="Y1009" s="2857">
        <v>13</v>
      </c>
      <c r="Z1009" s="2857">
        <v>13</v>
      </c>
      <c r="AA1009" s="2857">
        <v>13</v>
      </c>
      <c r="AB1009" s="2856">
        <v>13</v>
      </c>
      <c r="AC1009" s="2856">
        <v>13</v>
      </c>
      <c r="AD1009" s="2857"/>
      <c r="AE1009" s="2857"/>
      <c r="AF1009" s="2857"/>
      <c r="AG1009" s="697"/>
      <c r="AH1009" s="1942"/>
      <c r="AI1009" s="1942"/>
      <c r="AJ1009" s="1942"/>
      <c r="AK1009" s="1942"/>
      <c r="AL1009" s="1942"/>
      <c r="AM1009" s="1942"/>
      <c r="AN1009" s="1942"/>
      <c r="AO1009" s="1942"/>
      <c r="AP1009" s="1942"/>
      <c r="AQ1009" s="1942"/>
      <c r="AR1009" s="1942"/>
      <c r="AS1009" s="1942"/>
      <c r="AT1009" s="1942"/>
      <c r="AU1009" s="1942"/>
      <c r="AV1009" s="1942"/>
      <c r="AW1009" s="1942"/>
      <c r="AX1009" s="1942"/>
      <c r="AY1009" s="1942"/>
      <c r="AZ1009" s="1942"/>
      <c r="BA1009" s="1942"/>
      <c r="BB1009" s="575"/>
      <c r="BC1009" s="576"/>
      <c r="BD1009" s="678"/>
    </row>
    <row r="1010" spans="1:56" s="51" customFormat="1" ht="30" hidden="1" outlineLevel="1" x14ac:dyDescent="0.25">
      <c r="A1010" s="1267"/>
      <c r="B1010" s="228"/>
      <c r="C1010" s="328"/>
      <c r="D1010" s="4016"/>
      <c r="E1010" s="3990"/>
      <c r="F1010" s="3010" t="str">
        <f t="shared" si="108"/>
        <v>Mini/MultiSplitAC_ER1_MF</v>
      </c>
      <c r="G1010" s="3403"/>
      <c r="H1010" s="3404"/>
      <c r="I1010" s="3411" t="str">
        <f t="shared" si="109"/>
        <v>351550_2021_12_</v>
      </c>
      <c r="J1010" s="2856">
        <f>J1003</f>
        <v>13</v>
      </c>
      <c r="K1010" s="748"/>
      <c r="L1010" s="749"/>
      <c r="M1010" s="1570"/>
      <c r="N1010" s="1556"/>
      <c r="O1010" s="228"/>
      <c r="P1010" s="228"/>
      <c r="Q1010" s="228"/>
      <c r="R1010" s="228"/>
      <c r="S1010" s="228"/>
      <c r="T1010" s="123"/>
      <c r="U1010" s="123"/>
      <c r="V1010" s="4016"/>
      <c r="W1010" s="2857"/>
      <c r="X1010" s="3155"/>
      <c r="Y1010" s="3155">
        <v>13</v>
      </c>
      <c r="Z1010" s="2857">
        <v>13</v>
      </c>
      <c r="AA1010" s="2857">
        <v>13</v>
      </c>
      <c r="AB1010" s="2856">
        <v>13</v>
      </c>
      <c r="AC1010" s="2856">
        <v>13</v>
      </c>
      <c r="AD1010" s="2857"/>
      <c r="AE1010" s="2857"/>
      <c r="AF1010" s="2857"/>
      <c r="AG1010" s="697"/>
      <c r="AH1010" s="1942"/>
      <c r="AI1010" s="1942"/>
      <c r="AJ1010" s="1942"/>
      <c r="AK1010" s="1942"/>
      <c r="AL1010" s="1942"/>
      <c r="AM1010" s="1942"/>
      <c r="AN1010" s="1942"/>
      <c r="AO1010" s="1942"/>
      <c r="AP1010" s="1942"/>
      <c r="AQ1010" s="1942"/>
      <c r="AR1010" s="1942"/>
      <c r="AS1010" s="1942"/>
      <c r="AT1010" s="1942"/>
      <c r="AU1010" s="1942"/>
      <c r="AV1010" s="1942"/>
      <c r="AW1010" s="1942"/>
      <c r="AX1010" s="1942"/>
      <c r="AY1010" s="1942"/>
      <c r="AZ1010" s="1942"/>
      <c r="BA1010" s="1942"/>
      <c r="BB1010" s="575"/>
      <c r="BC1010" s="576"/>
      <c r="BD1010" s="678"/>
    </row>
    <row r="1011" spans="1:56" s="51" customFormat="1" ht="30" hidden="1" outlineLevel="1" x14ac:dyDescent="0.25">
      <c r="A1011" s="1267"/>
      <c r="B1011" s="228"/>
      <c r="C1011" s="328"/>
      <c r="D1011" s="4016"/>
      <c r="E1011" s="3990"/>
      <c r="F1011" s="3010" t="str">
        <f t="shared" si="108"/>
        <v>Mini/MultiSplitAC_ROF_MF</v>
      </c>
      <c r="G1011" s="3403"/>
      <c r="H1011" s="3404"/>
      <c r="I1011" s="3411" t="str">
        <f t="shared" si="109"/>
        <v>351600_2021_12_</v>
      </c>
      <c r="J1011" s="2856">
        <f t="shared" ref="J1011:J1016" si="110">J1004</f>
        <v>13</v>
      </c>
      <c r="K1011" s="748"/>
      <c r="L1011" s="749"/>
      <c r="M1011" s="1570"/>
      <c r="N1011" s="1556"/>
      <c r="O1011" s="228"/>
      <c r="P1011" s="228"/>
      <c r="Q1011" s="228"/>
      <c r="R1011" s="228"/>
      <c r="S1011" s="228"/>
      <c r="T1011" s="123"/>
      <c r="U1011" s="123"/>
      <c r="V1011" s="4016"/>
      <c r="W1011" s="2857"/>
      <c r="X1011" s="3155"/>
      <c r="Y1011" s="3155">
        <v>13</v>
      </c>
      <c r="Z1011" s="2857">
        <v>13</v>
      </c>
      <c r="AA1011" s="2857">
        <v>13</v>
      </c>
      <c r="AB1011" s="2856">
        <v>13</v>
      </c>
      <c r="AC1011" s="2856">
        <v>13</v>
      </c>
      <c r="AD1011" s="2857"/>
      <c r="AE1011" s="2857"/>
      <c r="AF1011" s="2857"/>
      <c r="AG1011" s="697"/>
      <c r="AH1011" s="1942"/>
      <c r="AI1011" s="1942"/>
      <c r="AJ1011" s="1942"/>
      <c r="AK1011" s="1942"/>
      <c r="AL1011" s="1942"/>
      <c r="AM1011" s="1942"/>
      <c r="AN1011" s="1942"/>
      <c r="AO1011" s="1942"/>
      <c r="AP1011" s="1942"/>
      <c r="AQ1011" s="1942"/>
      <c r="AR1011" s="1942"/>
      <c r="AS1011" s="1942"/>
      <c r="AT1011" s="1942"/>
      <c r="AU1011" s="1942"/>
      <c r="AV1011" s="1942"/>
      <c r="AW1011" s="1942"/>
      <c r="AX1011" s="1942"/>
      <c r="AY1011" s="1942"/>
      <c r="AZ1011" s="1942"/>
      <c r="BA1011" s="1942"/>
      <c r="BB1011" s="575"/>
      <c r="BC1011" s="576"/>
      <c r="BD1011" s="678"/>
    </row>
    <row r="1012" spans="1:56" s="51" customFormat="1" ht="30" hidden="1" outlineLevel="1" x14ac:dyDescent="0.25">
      <c r="A1012" s="1267"/>
      <c r="B1012" s="228"/>
      <c r="C1012" s="328"/>
      <c r="D1012" s="4016"/>
      <c r="E1012" s="3990"/>
      <c r="F1012" s="3010" t="str">
        <f t="shared" si="108"/>
        <v>Mini/MultiSplitASHP_ROF_MF_NC</v>
      </c>
      <c r="G1012" s="3403"/>
      <c r="H1012" s="3404"/>
      <c r="I1012" s="3411" t="str">
        <f t="shared" si="109"/>
        <v>351650_2021_12_</v>
      </c>
      <c r="J1012" s="2856">
        <f t="shared" si="110"/>
        <v>14</v>
      </c>
      <c r="K1012" s="748"/>
      <c r="L1012" s="749"/>
      <c r="M1012" s="1570"/>
      <c r="N1012" s="1556"/>
      <c r="O1012" s="228"/>
      <c r="P1012" s="228"/>
      <c r="Q1012" s="228"/>
      <c r="R1012" s="228"/>
      <c r="S1012" s="228"/>
      <c r="T1012" s="123"/>
      <c r="U1012" s="123"/>
      <c r="V1012" s="4016"/>
      <c r="W1012" s="2857"/>
      <c r="X1012" s="3155"/>
      <c r="Y1012" s="3155">
        <v>14</v>
      </c>
      <c r="Z1012" s="2857">
        <v>14</v>
      </c>
      <c r="AA1012" s="2857">
        <v>14</v>
      </c>
      <c r="AB1012" s="2856">
        <v>14</v>
      </c>
      <c r="AC1012" s="2856">
        <v>14</v>
      </c>
      <c r="AD1012" s="2857"/>
      <c r="AE1012" s="2857"/>
      <c r="AF1012" s="2857"/>
      <c r="AG1012" s="697"/>
      <c r="AH1012" s="1942"/>
      <c r="AI1012" s="1942"/>
      <c r="AJ1012" s="1942"/>
      <c r="AK1012" s="1942"/>
      <c r="AL1012" s="1942"/>
      <c r="AM1012" s="1942"/>
      <c r="AN1012" s="1942"/>
      <c r="AO1012" s="1942"/>
      <c r="AP1012" s="1942"/>
      <c r="AQ1012" s="1942"/>
      <c r="AR1012" s="1942"/>
      <c r="AS1012" s="1942"/>
      <c r="AT1012" s="1942"/>
      <c r="AU1012" s="1942"/>
      <c r="AV1012" s="1942"/>
      <c r="AW1012" s="1942"/>
      <c r="AX1012" s="1942"/>
      <c r="AY1012" s="1942"/>
      <c r="AZ1012" s="1942"/>
      <c r="BA1012" s="1942"/>
      <c r="BB1012" s="575"/>
      <c r="BC1012" s="576"/>
      <c r="BD1012" s="678"/>
    </row>
    <row r="1013" spans="1:56" s="51" customFormat="1" ht="30" hidden="1" outlineLevel="1" x14ac:dyDescent="0.25">
      <c r="A1013" s="1267"/>
      <c r="B1013" s="228"/>
      <c r="C1013" s="328"/>
      <c r="D1013" s="4016"/>
      <c r="E1013" s="3990"/>
      <c r="F1013" s="3010" t="str">
        <f t="shared" si="108"/>
        <v>Mini/MultiSplitASHP_ROF_MF</v>
      </c>
      <c r="G1013" s="3403"/>
      <c r="H1013" s="3404"/>
      <c r="I1013" s="3411" t="str">
        <f t="shared" si="109"/>
        <v>351700_2021_12_</v>
      </c>
      <c r="J1013" s="2856">
        <f t="shared" si="110"/>
        <v>14</v>
      </c>
      <c r="K1013" s="748"/>
      <c r="L1013" s="749"/>
      <c r="M1013" s="1570"/>
      <c r="N1013" s="1556"/>
      <c r="O1013" s="228"/>
      <c r="P1013" s="228"/>
      <c r="Q1013" s="228"/>
      <c r="R1013" s="228"/>
      <c r="S1013" s="228"/>
      <c r="T1013" s="123"/>
      <c r="U1013" s="123"/>
      <c r="V1013" s="4016"/>
      <c r="W1013" s="2857"/>
      <c r="X1013" s="3155"/>
      <c r="Y1013" s="3155">
        <v>14</v>
      </c>
      <c r="Z1013" s="2857">
        <v>14</v>
      </c>
      <c r="AA1013" s="2857">
        <v>14</v>
      </c>
      <c r="AB1013" s="2856">
        <v>14</v>
      </c>
      <c r="AC1013" s="2856">
        <v>14</v>
      </c>
      <c r="AD1013" s="2857"/>
      <c r="AE1013" s="2857"/>
      <c r="AF1013" s="2857"/>
      <c r="AG1013" s="697"/>
      <c r="AH1013" s="1942"/>
      <c r="AI1013" s="1942"/>
      <c r="AJ1013" s="1942"/>
      <c r="AK1013" s="1942"/>
      <c r="AL1013" s="1942"/>
      <c r="AM1013" s="1942"/>
      <c r="AN1013" s="1942"/>
      <c r="AO1013" s="1942"/>
      <c r="AP1013" s="1942"/>
      <c r="AQ1013" s="1942"/>
      <c r="AR1013" s="1942"/>
      <c r="AS1013" s="1942"/>
      <c r="AT1013" s="1942"/>
      <c r="AU1013" s="1942"/>
      <c r="AV1013" s="1942"/>
      <c r="AW1013" s="1942"/>
      <c r="AX1013" s="1942"/>
      <c r="AY1013" s="1942"/>
      <c r="AZ1013" s="1942"/>
      <c r="BA1013" s="1942"/>
      <c r="BB1013" s="575"/>
      <c r="BC1013" s="576"/>
      <c r="BD1013" s="678"/>
    </row>
    <row r="1014" spans="1:56" s="51" customFormat="1" ht="45" hidden="1" outlineLevel="1" x14ac:dyDescent="0.25">
      <c r="A1014" s="1267"/>
      <c r="B1014" s="228"/>
      <c r="C1014" s="328"/>
      <c r="D1014" s="4016"/>
      <c r="E1014" s="3990"/>
      <c r="F1014" s="3010" t="str">
        <f t="shared" si="108"/>
        <v>Mini/MultiSplitASHP-Replace_CAC_ElectricHeat_ER1_MF</v>
      </c>
      <c r="G1014" s="3403"/>
      <c r="H1014" s="3404"/>
      <c r="I1014" s="3411" t="str">
        <f t="shared" si="109"/>
        <v>351750_2021_12_</v>
      </c>
      <c r="J1014" s="2856">
        <f t="shared" si="110"/>
        <v>13</v>
      </c>
      <c r="K1014" s="748"/>
      <c r="L1014" s="749"/>
      <c r="M1014" s="1570"/>
      <c r="N1014" s="1556"/>
      <c r="O1014" s="228"/>
      <c r="P1014" s="228"/>
      <c r="Q1014" s="228"/>
      <c r="R1014" s="228"/>
      <c r="S1014" s="228"/>
      <c r="T1014" s="123"/>
      <c r="U1014" s="123"/>
      <c r="V1014" s="4016"/>
      <c r="W1014" s="2857"/>
      <c r="X1014" s="3155"/>
      <c r="Y1014" s="3155">
        <v>13</v>
      </c>
      <c r="Z1014" s="2857">
        <v>13</v>
      </c>
      <c r="AA1014" s="2857">
        <v>13</v>
      </c>
      <c r="AB1014" s="2856">
        <v>13</v>
      </c>
      <c r="AC1014" s="2856">
        <v>13</v>
      </c>
      <c r="AD1014" s="2857"/>
      <c r="AE1014" s="2857"/>
      <c r="AF1014" s="2857"/>
      <c r="AG1014" s="697"/>
      <c r="AH1014" s="1942"/>
      <c r="AI1014" s="1942"/>
      <c r="AJ1014" s="1942"/>
      <c r="AK1014" s="1942"/>
      <c r="AL1014" s="1942"/>
      <c r="AM1014" s="1942"/>
      <c r="AN1014" s="1942"/>
      <c r="AO1014" s="1942"/>
      <c r="AP1014" s="1942"/>
      <c r="AQ1014" s="1942"/>
      <c r="AR1014" s="1942"/>
      <c r="AS1014" s="1942"/>
      <c r="AT1014" s="1942"/>
      <c r="AU1014" s="1942"/>
      <c r="AV1014" s="1942"/>
      <c r="AW1014" s="1942"/>
      <c r="AX1014" s="1942"/>
      <c r="AY1014" s="1942"/>
      <c r="AZ1014" s="1942"/>
      <c r="BA1014" s="1942"/>
      <c r="BB1014" s="575"/>
      <c r="BC1014" s="576"/>
      <c r="BD1014" s="678"/>
    </row>
    <row r="1015" spans="1:56" s="51" customFormat="1" ht="45" hidden="1" outlineLevel="1" x14ac:dyDescent="0.25">
      <c r="A1015" s="1267"/>
      <c r="B1015" s="228"/>
      <c r="C1015" s="328"/>
      <c r="D1015" s="4016"/>
      <c r="E1015" s="3990"/>
      <c r="F1015" s="3010" t="str">
        <f t="shared" si="108"/>
        <v>Mini/MultiSplitASHP-Replace_CAC_ElectricHeat_ROF_MF</v>
      </c>
      <c r="G1015" s="3403"/>
      <c r="H1015" s="3404"/>
      <c r="I1015" s="3411" t="str">
        <f t="shared" si="109"/>
        <v>351800_2021_12_</v>
      </c>
      <c r="J1015" s="2856">
        <f t="shared" si="110"/>
        <v>14</v>
      </c>
      <c r="K1015" s="748"/>
      <c r="L1015" s="749"/>
      <c r="M1015" s="1570"/>
      <c r="N1015" s="1556"/>
      <c r="O1015" s="228"/>
      <c r="P1015" s="228"/>
      <c r="Q1015" s="228"/>
      <c r="R1015" s="228"/>
      <c r="S1015" s="228"/>
      <c r="T1015" s="123"/>
      <c r="U1015" s="123"/>
      <c r="V1015" s="4016"/>
      <c r="W1015" s="2857"/>
      <c r="X1015" s="3155"/>
      <c r="Y1015" s="3155">
        <v>14</v>
      </c>
      <c r="Z1015" s="2857">
        <v>14</v>
      </c>
      <c r="AA1015" s="2857">
        <v>14</v>
      </c>
      <c r="AB1015" s="2856">
        <v>14</v>
      </c>
      <c r="AC1015" s="2856">
        <v>14</v>
      </c>
      <c r="AD1015" s="2857"/>
      <c r="AE1015" s="2857"/>
      <c r="AF1015" s="2857"/>
      <c r="AG1015" s="697"/>
      <c r="AH1015" s="1942"/>
      <c r="AI1015" s="1942"/>
      <c r="AJ1015" s="1942"/>
      <c r="AK1015" s="1942"/>
      <c r="AL1015" s="1942"/>
      <c r="AM1015" s="1942"/>
      <c r="AN1015" s="1942"/>
      <c r="AO1015" s="1942"/>
      <c r="AP1015" s="1942"/>
      <c r="AQ1015" s="1942"/>
      <c r="AR1015" s="1942"/>
      <c r="AS1015" s="1942"/>
      <c r="AT1015" s="1942"/>
      <c r="AU1015" s="1942"/>
      <c r="AV1015" s="1942"/>
      <c r="AW1015" s="1942"/>
      <c r="AX1015" s="1942"/>
      <c r="AY1015" s="1942"/>
      <c r="AZ1015" s="1942"/>
      <c r="BA1015" s="1942"/>
      <c r="BB1015" s="575"/>
      <c r="BC1015" s="576"/>
      <c r="BD1015" s="678"/>
    </row>
    <row r="1016" spans="1:56" s="51" customFormat="1" ht="30" hidden="1" outlineLevel="1" x14ac:dyDescent="0.25">
      <c r="A1016" s="1267"/>
      <c r="B1016" s="228"/>
      <c r="C1016" s="328"/>
      <c r="D1016" s="4016"/>
      <c r="E1016" s="3990"/>
      <c r="F1016" s="3010" t="str">
        <f t="shared" si="108"/>
        <v>Mini/MultiSplitASHP_ER1_MF</v>
      </c>
      <c r="G1016" s="3403"/>
      <c r="H1016" s="3404"/>
      <c r="I1016" s="3411" t="str">
        <f t="shared" si="109"/>
        <v>351850_2021_12_</v>
      </c>
      <c r="J1016" s="2856">
        <f t="shared" si="110"/>
        <v>13</v>
      </c>
      <c r="K1016" s="748"/>
      <c r="L1016" s="749"/>
      <c r="M1016" s="1570"/>
      <c r="N1016" s="1556"/>
      <c r="O1016" s="228"/>
      <c r="P1016" s="228"/>
      <c r="Q1016" s="228"/>
      <c r="R1016" s="228"/>
      <c r="S1016" s="228"/>
      <c r="T1016" s="123"/>
      <c r="U1016" s="123"/>
      <c r="V1016" s="4016"/>
      <c r="W1016" s="2857"/>
      <c r="X1016" s="3155"/>
      <c r="Y1016" s="3155">
        <v>13</v>
      </c>
      <c r="Z1016" s="2857">
        <v>13</v>
      </c>
      <c r="AA1016" s="2857">
        <v>13</v>
      </c>
      <c r="AB1016" s="2856">
        <v>13</v>
      </c>
      <c r="AC1016" s="2856">
        <v>13</v>
      </c>
      <c r="AD1016" s="2857"/>
      <c r="AE1016" s="2857"/>
      <c r="AF1016" s="2857"/>
      <c r="AG1016" s="697"/>
      <c r="AH1016" s="1942"/>
      <c r="AI1016" s="1942"/>
      <c r="AJ1016" s="1942"/>
      <c r="AK1016" s="1942"/>
      <c r="AL1016" s="1942"/>
      <c r="AM1016" s="1942"/>
      <c r="AN1016" s="1942"/>
      <c r="AO1016" s="1942"/>
      <c r="AP1016" s="1942"/>
      <c r="AQ1016" s="1942"/>
      <c r="AR1016" s="1942"/>
      <c r="AS1016" s="1942"/>
      <c r="AT1016" s="1942"/>
      <c r="AU1016" s="1942"/>
      <c r="AV1016" s="1942"/>
      <c r="AW1016" s="1942"/>
      <c r="AX1016" s="1942"/>
      <c r="AY1016" s="1942"/>
      <c r="AZ1016" s="1942"/>
      <c r="BA1016" s="1942"/>
      <c r="BB1016" s="575"/>
      <c r="BC1016" s="576"/>
      <c r="BD1016" s="678"/>
    </row>
    <row r="1017" spans="1:56" s="51" customFormat="1" ht="30" hidden="1" outlineLevel="1" x14ac:dyDescent="0.25">
      <c r="A1017" s="1267"/>
      <c r="B1017" s="228"/>
      <c r="C1017" s="328"/>
      <c r="D1017" s="4016"/>
      <c r="E1017" s="3990"/>
      <c r="F1017" s="3010" t="str">
        <f t="shared" si="108"/>
        <v>Mini/MultiSplitAC_ER1_MF_CompE</v>
      </c>
      <c r="G1017" s="3403"/>
      <c r="H1017" s="3404"/>
      <c r="I1017" s="3411" t="str">
        <f t="shared" si="109"/>
        <v>351551_2021_12_</v>
      </c>
      <c r="J1017" s="2856">
        <f>J1003</f>
        <v>13</v>
      </c>
      <c r="K1017" s="748"/>
      <c r="L1017" s="749"/>
      <c r="M1017" s="1570"/>
      <c r="N1017" s="1556"/>
      <c r="O1017" s="228"/>
      <c r="P1017" s="228"/>
      <c r="Q1017" s="228"/>
      <c r="R1017" s="228"/>
      <c r="S1017" s="228"/>
      <c r="T1017" s="123"/>
      <c r="U1017" s="123"/>
      <c r="V1017" s="4016"/>
      <c r="W1017" s="2857"/>
      <c r="X1017" s="2857"/>
      <c r="Y1017" s="3155">
        <v>13</v>
      </c>
      <c r="Z1017" s="2857">
        <v>13</v>
      </c>
      <c r="AA1017" s="2857">
        <v>13</v>
      </c>
      <c r="AB1017" s="2856">
        <v>13</v>
      </c>
      <c r="AC1017" s="2856">
        <v>13</v>
      </c>
      <c r="AD1017" s="2857"/>
      <c r="AE1017" s="2857"/>
      <c r="AF1017" s="2857"/>
      <c r="AG1017" s="697"/>
      <c r="AH1017" s="1942"/>
      <c r="AI1017" s="1942"/>
      <c r="AJ1017" s="1942"/>
      <c r="AK1017" s="1942"/>
      <c r="AL1017" s="1942"/>
      <c r="AM1017" s="1942"/>
      <c r="AN1017" s="1942"/>
      <c r="AO1017" s="1942"/>
      <c r="AP1017" s="1942"/>
      <c r="AQ1017" s="1942"/>
      <c r="AR1017" s="1942"/>
      <c r="AS1017" s="1942"/>
      <c r="AT1017" s="1942"/>
      <c r="AU1017" s="1942"/>
      <c r="AV1017" s="1942"/>
      <c r="AW1017" s="1942"/>
      <c r="AX1017" s="1942"/>
      <c r="AY1017" s="1942"/>
      <c r="AZ1017" s="1942"/>
      <c r="BA1017" s="1942"/>
      <c r="BB1017" s="575"/>
      <c r="BC1017" s="576"/>
      <c r="BD1017" s="678"/>
    </row>
    <row r="1018" spans="1:56" s="51" customFormat="1" ht="30" hidden="1" outlineLevel="1" x14ac:dyDescent="0.25">
      <c r="A1018" s="1267"/>
      <c r="B1018" s="228"/>
      <c r="C1018" s="328"/>
      <c r="D1018" s="4016"/>
      <c r="E1018" s="3990"/>
      <c r="F1018" s="3010" t="str">
        <f t="shared" si="108"/>
        <v>Mini/MultiSplitAC_ROF_MF_CompE</v>
      </c>
      <c r="G1018" s="3403"/>
      <c r="H1018" s="3404"/>
      <c r="I1018" s="3411" t="str">
        <f t="shared" si="109"/>
        <v>351601_2021_12_</v>
      </c>
      <c r="J1018" s="2856">
        <f t="shared" ref="J1018:J1023" si="111">J1004</f>
        <v>13</v>
      </c>
      <c r="K1018" s="748"/>
      <c r="L1018" s="749"/>
      <c r="M1018" s="1570"/>
      <c r="N1018" s="1556"/>
      <c r="O1018" s="228"/>
      <c r="P1018" s="228"/>
      <c r="Q1018" s="228"/>
      <c r="R1018" s="228"/>
      <c r="S1018" s="228"/>
      <c r="T1018" s="123"/>
      <c r="U1018" s="123"/>
      <c r="V1018" s="4016"/>
      <c r="W1018" s="2857"/>
      <c r="X1018" s="2857"/>
      <c r="Y1018" s="3155">
        <v>13</v>
      </c>
      <c r="Z1018" s="2857">
        <v>13</v>
      </c>
      <c r="AA1018" s="2857">
        <v>13</v>
      </c>
      <c r="AB1018" s="2856">
        <v>13</v>
      </c>
      <c r="AC1018" s="2856">
        <v>13</v>
      </c>
      <c r="AD1018" s="2857"/>
      <c r="AE1018" s="2857"/>
      <c r="AF1018" s="2857"/>
      <c r="AG1018" s="697"/>
      <c r="AH1018" s="1942"/>
      <c r="AI1018" s="1942"/>
      <c r="AJ1018" s="1942"/>
      <c r="AK1018" s="1942"/>
      <c r="AL1018" s="1942"/>
      <c r="AM1018" s="1942"/>
      <c r="AN1018" s="1942"/>
      <c r="AO1018" s="1942"/>
      <c r="AP1018" s="1942"/>
      <c r="AQ1018" s="1942"/>
      <c r="AR1018" s="1942"/>
      <c r="AS1018" s="1942"/>
      <c r="AT1018" s="1942"/>
      <c r="AU1018" s="1942"/>
      <c r="AV1018" s="1942"/>
      <c r="AW1018" s="1942"/>
      <c r="AX1018" s="1942"/>
      <c r="AY1018" s="1942"/>
      <c r="AZ1018" s="1942"/>
      <c r="BA1018" s="1942"/>
      <c r="BB1018" s="575"/>
      <c r="BC1018" s="576"/>
      <c r="BD1018" s="678"/>
    </row>
    <row r="1019" spans="1:56" s="51" customFormat="1" ht="30" hidden="1" outlineLevel="1" x14ac:dyDescent="0.25">
      <c r="A1019" s="1267"/>
      <c r="B1019" s="228"/>
      <c r="C1019" s="328"/>
      <c r="D1019" s="4016"/>
      <c r="E1019" s="3990"/>
      <c r="F1019" s="3010" t="str">
        <f t="shared" si="108"/>
        <v>Mini/MultiSplitASHP_ROF_MF_NC_CompE</v>
      </c>
      <c r="G1019" s="3403"/>
      <c r="H1019" s="3404"/>
      <c r="I1019" s="3411" t="str">
        <f t="shared" si="109"/>
        <v>351651_2021_12_</v>
      </c>
      <c r="J1019" s="2856">
        <f t="shared" si="111"/>
        <v>14</v>
      </c>
      <c r="K1019" s="748"/>
      <c r="L1019" s="749"/>
      <c r="M1019" s="1570"/>
      <c r="N1019" s="1556"/>
      <c r="O1019" s="228"/>
      <c r="P1019" s="228"/>
      <c r="Q1019" s="228"/>
      <c r="R1019" s="228"/>
      <c r="S1019" s="228"/>
      <c r="T1019" s="123"/>
      <c r="U1019" s="123"/>
      <c r="V1019" s="4016"/>
      <c r="W1019" s="2857"/>
      <c r="X1019" s="2857"/>
      <c r="Y1019" s="3155">
        <v>14</v>
      </c>
      <c r="Z1019" s="2857">
        <v>14</v>
      </c>
      <c r="AA1019" s="2857">
        <v>14</v>
      </c>
      <c r="AB1019" s="2856">
        <v>14</v>
      </c>
      <c r="AC1019" s="2856">
        <v>14</v>
      </c>
      <c r="AD1019" s="2857"/>
      <c r="AE1019" s="2857"/>
      <c r="AF1019" s="2857"/>
      <c r="AG1019" s="697"/>
      <c r="AH1019" s="1942"/>
      <c r="AI1019" s="1942"/>
      <c r="AJ1019" s="1942"/>
      <c r="AK1019" s="1942"/>
      <c r="AL1019" s="1942"/>
      <c r="AM1019" s="1942"/>
      <c r="AN1019" s="1942"/>
      <c r="AO1019" s="1942"/>
      <c r="AP1019" s="1942"/>
      <c r="AQ1019" s="1942"/>
      <c r="AR1019" s="1942"/>
      <c r="AS1019" s="1942"/>
      <c r="AT1019" s="1942"/>
      <c r="AU1019" s="1942"/>
      <c r="AV1019" s="1942"/>
      <c r="AW1019" s="1942"/>
      <c r="AX1019" s="1942"/>
      <c r="AY1019" s="1942"/>
      <c r="AZ1019" s="1942"/>
      <c r="BA1019" s="1942"/>
      <c r="BB1019" s="575"/>
      <c r="BC1019" s="576"/>
      <c r="BD1019" s="678"/>
    </row>
    <row r="1020" spans="1:56" s="51" customFormat="1" ht="30" hidden="1" outlineLevel="1" x14ac:dyDescent="0.25">
      <c r="A1020" s="1267"/>
      <c r="B1020" s="228"/>
      <c r="C1020" s="328"/>
      <c r="D1020" s="4016"/>
      <c r="E1020" s="3990"/>
      <c r="F1020" s="3010" t="str">
        <f t="shared" si="108"/>
        <v>Mini/MultiSplitASHP_ROF_MF_CompE</v>
      </c>
      <c r="G1020" s="3403"/>
      <c r="H1020" s="3404"/>
      <c r="I1020" s="3411" t="str">
        <f t="shared" si="109"/>
        <v>351701_2021_12_</v>
      </c>
      <c r="J1020" s="2856">
        <f t="shared" si="111"/>
        <v>14</v>
      </c>
      <c r="K1020" s="748"/>
      <c r="L1020" s="750"/>
      <c r="M1020" s="1570"/>
      <c r="N1020" s="1556"/>
      <c r="O1020" s="228"/>
      <c r="P1020" s="228"/>
      <c r="Q1020" s="228"/>
      <c r="R1020" s="228"/>
      <c r="S1020" s="228"/>
      <c r="T1020" s="123"/>
      <c r="U1020" s="123"/>
      <c r="V1020" s="4016"/>
      <c r="W1020" s="2857"/>
      <c r="X1020" s="2857"/>
      <c r="Y1020" s="3155">
        <v>14</v>
      </c>
      <c r="Z1020" s="2857">
        <v>14</v>
      </c>
      <c r="AA1020" s="2857">
        <v>14</v>
      </c>
      <c r="AB1020" s="2856">
        <v>14</v>
      </c>
      <c r="AC1020" s="2856">
        <v>14</v>
      </c>
      <c r="AD1020" s="2857"/>
      <c r="AE1020" s="2857"/>
      <c r="AF1020" s="2857"/>
      <c r="AG1020" s="697"/>
      <c r="AH1020" s="1942"/>
      <c r="AI1020" s="1942"/>
      <c r="AJ1020" s="1942"/>
      <c r="AK1020" s="1942"/>
      <c r="AL1020" s="1942"/>
      <c r="AM1020" s="1942"/>
      <c r="AN1020" s="1942"/>
      <c r="AO1020" s="1942"/>
      <c r="AP1020" s="1942"/>
      <c r="AQ1020" s="1942"/>
      <c r="AR1020" s="1942"/>
      <c r="AS1020" s="1942"/>
      <c r="AT1020" s="1942"/>
      <c r="AU1020" s="1942"/>
      <c r="AV1020" s="1942"/>
      <c r="AW1020" s="1942"/>
      <c r="AX1020" s="1942"/>
      <c r="AY1020" s="1942"/>
      <c r="AZ1020" s="1942"/>
      <c r="BA1020" s="1942"/>
      <c r="BB1020" s="575"/>
      <c r="BC1020" s="576"/>
      <c r="BD1020" s="678"/>
    </row>
    <row r="1021" spans="1:56" s="51" customFormat="1" ht="45" hidden="1" outlineLevel="1" x14ac:dyDescent="0.25">
      <c r="A1021" s="1267"/>
      <c r="B1021" s="228"/>
      <c r="C1021" s="328"/>
      <c r="D1021" s="4016"/>
      <c r="E1021" s="3990"/>
      <c r="F1021" s="3010" t="str">
        <f t="shared" si="108"/>
        <v>Mini/MultiSplitASHP-Replace_CAC_ElectricHeat_ER1_MF_CompE</v>
      </c>
      <c r="G1021" s="3403"/>
      <c r="H1021" s="3404"/>
      <c r="I1021" s="3411" t="str">
        <f t="shared" si="109"/>
        <v>351751_2021_12_</v>
      </c>
      <c r="J1021" s="2856">
        <f t="shared" si="111"/>
        <v>13</v>
      </c>
      <c r="K1021" s="748"/>
      <c r="L1021" s="750"/>
      <c r="M1021" s="1570"/>
      <c r="N1021" s="1556"/>
      <c r="O1021" s="228"/>
      <c r="P1021" s="228"/>
      <c r="Q1021" s="228"/>
      <c r="R1021" s="228"/>
      <c r="S1021" s="228"/>
      <c r="T1021" s="123"/>
      <c r="U1021" s="123"/>
      <c r="V1021" s="4016"/>
      <c r="W1021" s="2857"/>
      <c r="X1021" s="2857"/>
      <c r="Y1021" s="3155">
        <v>13</v>
      </c>
      <c r="Z1021" s="2857">
        <v>13</v>
      </c>
      <c r="AA1021" s="2857">
        <v>13</v>
      </c>
      <c r="AB1021" s="2856">
        <v>13</v>
      </c>
      <c r="AC1021" s="2856">
        <v>13</v>
      </c>
      <c r="AD1021" s="2857"/>
      <c r="AE1021" s="2857"/>
      <c r="AF1021" s="2857"/>
      <c r="AG1021" s="697"/>
      <c r="AH1021" s="1942"/>
      <c r="AI1021" s="1942"/>
      <c r="AJ1021" s="1942"/>
      <c r="AK1021" s="1942"/>
      <c r="AL1021" s="1942"/>
      <c r="AM1021" s="1942"/>
      <c r="AN1021" s="1942"/>
      <c r="AO1021" s="1942"/>
      <c r="AP1021" s="1942"/>
      <c r="AQ1021" s="1942"/>
      <c r="AR1021" s="1942"/>
      <c r="AS1021" s="1942"/>
      <c r="AT1021" s="1942"/>
      <c r="AU1021" s="1942"/>
      <c r="AV1021" s="1942"/>
      <c r="AW1021" s="1942"/>
      <c r="AX1021" s="1942"/>
      <c r="AY1021" s="1942"/>
      <c r="AZ1021" s="1942"/>
      <c r="BA1021" s="1942"/>
      <c r="BB1021" s="575"/>
      <c r="BC1021" s="576"/>
      <c r="BD1021" s="678"/>
    </row>
    <row r="1022" spans="1:56" s="51" customFormat="1" ht="45" hidden="1" outlineLevel="1" x14ac:dyDescent="0.25">
      <c r="A1022" s="1267"/>
      <c r="B1022" s="228"/>
      <c r="C1022" s="328"/>
      <c r="D1022" s="4016"/>
      <c r="E1022" s="3990"/>
      <c r="F1022" s="3010" t="str">
        <f t="shared" si="108"/>
        <v>Mini/MultiSplitASHP-Replace_CAC_ElectricHeat_ROF_MF_CompE</v>
      </c>
      <c r="G1022" s="3403"/>
      <c r="H1022" s="3404"/>
      <c r="I1022" s="3411" t="str">
        <f t="shared" si="109"/>
        <v>351801_2021_12_</v>
      </c>
      <c r="J1022" s="2856">
        <f t="shared" si="111"/>
        <v>14</v>
      </c>
      <c r="K1022" s="748"/>
      <c r="L1022" s="750"/>
      <c r="M1022" s="1570"/>
      <c r="N1022" s="1556"/>
      <c r="O1022" s="228"/>
      <c r="P1022" s="228"/>
      <c r="Q1022" s="228"/>
      <c r="R1022" s="228"/>
      <c r="S1022" s="228"/>
      <c r="T1022" s="123"/>
      <c r="U1022" s="123"/>
      <c r="V1022" s="4016"/>
      <c r="W1022" s="2857"/>
      <c r="X1022" s="2857"/>
      <c r="Y1022" s="3155">
        <v>14</v>
      </c>
      <c r="Z1022" s="2857">
        <v>14</v>
      </c>
      <c r="AA1022" s="2857">
        <v>14</v>
      </c>
      <c r="AB1022" s="2856">
        <v>14</v>
      </c>
      <c r="AC1022" s="2856">
        <v>14</v>
      </c>
      <c r="AD1022" s="2857"/>
      <c r="AE1022" s="2857"/>
      <c r="AF1022" s="2857"/>
      <c r="AG1022" s="697"/>
      <c r="AH1022" s="1942"/>
      <c r="AI1022" s="1942"/>
      <c r="AJ1022" s="1942"/>
      <c r="AK1022" s="1942"/>
      <c r="AL1022" s="1942"/>
      <c r="AM1022" s="1942"/>
      <c r="AN1022" s="1942"/>
      <c r="AO1022" s="1942"/>
      <c r="AP1022" s="1942"/>
      <c r="AQ1022" s="1942"/>
      <c r="AR1022" s="1942"/>
      <c r="AS1022" s="1942"/>
      <c r="AT1022" s="1942"/>
      <c r="AU1022" s="1942"/>
      <c r="AV1022" s="1942"/>
      <c r="AW1022" s="1942"/>
      <c r="AX1022" s="1942"/>
      <c r="AY1022" s="1942"/>
      <c r="AZ1022" s="1942"/>
      <c r="BA1022" s="1942"/>
      <c r="BB1022" s="575"/>
      <c r="BC1022" s="576"/>
      <c r="BD1022" s="678"/>
    </row>
    <row r="1023" spans="1:56" s="51" customFormat="1" ht="30.75" hidden="1" outlineLevel="1" thickBot="1" x14ac:dyDescent="0.3">
      <c r="A1023" s="1267"/>
      <c r="B1023" s="228"/>
      <c r="C1023" s="328"/>
      <c r="D1023" s="4029"/>
      <c r="E1023" s="3991"/>
      <c r="F1023" s="3010" t="str">
        <f t="shared" si="108"/>
        <v>Mini/MultiSplitASHP_ER1_MF_CompE</v>
      </c>
      <c r="G1023" s="3403"/>
      <c r="H1023" s="3404"/>
      <c r="I1023" s="3412" t="str">
        <f t="shared" si="109"/>
        <v>351851_2021_12_</v>
      </c>
      <c r="J1023" s="2856">
        <f t="shared" si="111"/>
        <v>13</v>
      </c>
      <c r="K1023" s="748"/>
      <c r="L1023" s="1571"/>
      <c r="M1023" s="1570"/>
      <c r="N1023" s="1556"/>
      <c r="O1023" s="228"/>
      <c r="P1023" s="228"/>
      <c r="Q1023" s="228"/>
      <c r="R1023" s="228"/>
      <c r="S1023" s="228"/>
      <c r="T1023" s="123"/>
      <c r="U1023" s="123"/>
      <c r="V1023" s="4029"/>
      <c r="W1023" s="2860"/>
      <c r="X1023" s="2860"/>
      <c r="Y1023" s="3155">
        <v>13</v>
      </c>
      <c r="Z1023" s="2857">
        <v>13</v>
      </c>
      <c r="AA1023" s="2857">
        <v>13</v>
      </c>
      <c r="AB1023" s="2856">
        <v>13</v>
      </c>
      <c r="AC1023" s="2856">
        <v>13</v>
      </c>
      <c r="AD1023" s="2860"/>
      <c r="AE1023" s="2860"/>
      <c r="AF1023" s="2860"/>
      <c r="AG1023" s="751"/>
      <c r="AH1023" s="1942"/>
      <c r="AI1023" s="1942"/>
      <c r="AJ1023" s="1942"/>
      <c r="AK1023" s="1942"/>
      <c r="AL1023" s="1942"/>
      <c r="AM1023" s="1942"/>
      <c r="AN1023" s="1942"/>
      <c r="AO1023" s="1942"/>
      <c r="AP1023" s="1942"/>
      <c r="AQ1023" s="1942"/>
      <c r="AR1023" s="1942"/>
      <c r="AS1023" s="1942"/>
      <c r="AT1023" s="1942"/>
      <c r="AU1023" s="1942"/>
      <c r="AV1023" s="1942"/>
      <c r="AW1023" s="1942"/>
      <c r="AX1023" s="1942"/>
      <c r="AY1023" s="1942"/>
      <c r="AZ1023" s="1942"/>
      <c r="BA1023" s="1942"/>
      <c r="BB1023" s="575"/>
      <c r="BC1023" s="576"/>
      <c r="BD1023" s="678"/>
    </row>
    <row r="1024" spans="1:56" s="51" customFormat="1" hidden="1" outlineLevel="1" x14ac:dyDescent="0.25">
      <c r="A1024" s="1267"/>
      <c r="B1024" s="228"/>
      <c r="C1024" s="328"/>
      <c r="D1024" s="4015" t="s">
        <v>1015</v>
      </c>
      <c r="E1024" s="3989" t="s">
        <v>1123</v>
      </c>
      <c r="F1024" s="3013" t="str">
        <f t="shared" si="108"/>
        <v>Mini/MultiSplitAC_ER1_SF</v>
      </c>
      <c r="G1024" s="3401"/>
      <c r="H1024" s="3402"/>
      <c r="I1024" s="3410" t="str">
        <f t="shared" si="109"/>
        <v>351200_2021_12_</v>
      </c>
      <c r="J1024" s="2960">
        <v>8.402496453661275</v>
      </c>
      <c r="K1024" s="745"/>
      <c r="L1024" s="2961" t="s">
        <v>1124</v>
      </c>
      <c r="M1024" s="1570"/>
      <c r="N1024" s="1556"/>
      <c r="O1024" s="228"/>
      <c r="P1024" s="228"/>
      <c r="Q1024" s="228"/>
      <c r="R1024" s="228"/>
      <c r="S1024" s="228"/>
      <c r="T1024" s="123"/>
      <c r="U1024" s="123"/>
      <c r="V1024" s="4015" t="s">
        <v>1015</v>
      </c>
      <c r="W1024" s="2861">
        <v>6.3</v>
      </c>
      <c r="X1024" s="2861">
        <v>6.3</v>
      </c>
      <c r="Y1024" s="2861">
        <v>6.3</v>
      </c>
      <c r="Z1024" s="2861">
        <v>6.3</v>
      </c>
      <c r="AA1024" s="2861">
        <v>6.3</v>
      </c>
      <c r="AB1024" s="2244">
        <v>6.3</v>
      </c>
      <c r="AC1024" s="2960">
        <v>8.402496453661275</v>
      </c>
      <c r="AD1024" s="2861"/>
      <c r="AE1024" s="2861"/>
      <c r="AF1024" s="2861"/>
      <c r="AG1024" s="747"/>
      <c r="AH1024" s="1942"/>
      <c r="AI1024" s="1942"/>
      <c r="AJ1024" s="1942"/>
      <c r="AK1024" s="1942"/>
      <c r="AL1024" s="1942"/>
      <c r="AM1024" s="1942"/>
      <c r="AN1024" s="1942"/>
      <c r="AO1024" s="1942"/>
      <c r="AP1024" s="1942"/>
      <c r="AQ1024" s="1942"/>
      <c r="AR1024" s="1942"/>
      <c r="AS1024" s="1942"/>
      <c r="AT1024" s="1942"/>
      <c r="AU1024" s="1942"/>
      <c r="AV1024" s="1942"/>
      <c r="AW1024" s="1942"/>
      <c r="AX1024" s="1942"/>
      <c r="AY1024" s="1942"/>
      <c r="AZ1024" s="1942"/>
      <c r="BA1024" s="1942"/>
      <c r="BB1024" s="575"/>
      <c r="BC1024" s="576"/>
      <c r="BD1024" s="678"/>
    </row>
    <row r="1025" spans="1:56" s="51" customFormat="1" ht="30" hidden="1" outlineLevel="1" x14ac:dyDescent="0.25">
      <c r="A1025" s="1267"/>
      <c r="B1025" s="228"/>
      <c r="C1025" s="328"/>
      <c r="D1025" s="4016"/>
      <c r="E1025" s="3990"/>
      <c r="F1025" s="3010" t="str">
        <f t="shared" si="108"/>
        <v>Mini/MultiSplitAC_ROF_SF</v>
      </c>
      <c r="G1025" s="3403"/>
      <c r="H1025" s="3404"/>
      <c r="I1025" s="3411" t="str">
        <f t="shared" si="109"/>
        <v>351250_2021_12_</v>
      </c>
      <c r="J1025" s="2242">
        <v>6.3</v>
      </c>
      <c r="K1025" s="748"/>
      <c r="L1025" s="749" t="s">
        <v>1011</v>
      </c>
      <c r="M1025" s="1570"/>
      <c r="N1025" s="1556"/>
      <c r="O1025" s="228"/>
      <c r="P1025" s="228"/>
      <c r="Q1025" s="228"/>
      <c r="R1025" s="228"/>
      <c r="S1025" s="228"/>
      <c r="T1025" s="123"/>
      <c r="U1025" s="123"/>
      <c r="V1025" s="4016"/>
      <c r="W1025" s="2857">
        <v>6.3</v>
      </c>
      <c r="X1025" s="2857">
        <v>6.3</v>
      </c>
      <c r="Y1025" s="2857">
        <v>6.3</v>
      </c>
      <c r="Z1025" s="2857">
        <v>6.3</v>
      </c>
      <c r="AA1025" s="2857">
        <v>6.3</v>
      </c>
      <c r="AB1025" s="2242">
        <v>6.3</v>
      </c>
      <c r="AC1025" s="2242">
        <v>6.3</v>
      </c>
      <c r="AD1025" s="2857"/>
      <c r="AE1025" s="2857"/>
      <c r="AF1025" s="2857"/>
      <c r="AG1025" s="697"/>
      <c r="AH1025" s="1942"/>
      <c r="AI1025" s="1942"/>
      <c r="AJ1025" s="1942"/>
      <c r="AK1025" s="1942"/>
      <c r="AL1025" s="1942"/>
      <c r="AM1025" s="1942"/>
      <c r="AN1025" s="1942"/>
      <c r="AO1025" s="1942"/>
      <c r="AP1025" s="1942"/>
      <c r="AQ1025" s="1942"/>
      <c r="AR1025" s="1942"/>
      <c r="AS1025" s="1942"/>
      <c r="AT1025" s="1942"/>
      <c r="AU1025" s="1942"/>
      <c r="AV1025" s="1942"/>
      <c r="AW1025" s="1942"/>
      <c r="AX1025" s="1942"/>
      <c r="AY1025" s="1942"/>
      <c r="AZ1025" s="1942"/>
      <c r="BA1025" s="1942"/>
      <c r="BB1025" s="575"/>
      <c r="BC1025" s="576"/>
      <c r="BD1025" s="678"/>
    </row>
    <row r="1026" spans="1:56" s="51" customFormat="1" ht="30" hidden="1" outlineLevel="1" x14ac:dyDescent="0.25">
      <c r="A1026" s="1267"/>
      <c r="B1026" s="228"/>
      <c r="C1026" s="328"/>
      <c r="D1026" s="4016"/>
      <c r="E1026" s="3990"/>
      <c r="F1026" s="3010" t="str">
        <f t="shared" si="108"/>
        <v>Mini/MultiSplitASHP_ROF_SF_NC</v>
      </c>
      <c r="G1026" s="3403"/>
      <c r="H1026" s="3404"/>
      <c r="I1026" s="3411" t="str">
        <f t="shared" si="109"/>
        <v>351300_2021_12_</v>
      </c>
      <c r="J1026" s="2242">
        <v>7.2</v>
      </c>
      <c r="K1026" s="748"/>
      <c r="L1026" s="749" t="s">
        <v>1011</v>
      </c>
      <c r="M1026" s="1570"/>
      <c r="N1026" s="1556"/>
      <c r="O1026" s="228"/>
      <c r="P1026" s="228"/>
      <c r="Q1026" s="228"/>
      <c r="R1026" s="228"/>
      <c r="S1026" s="228"/>
      <c r="T1026" s="123"/>
      <c r="U1026" s="123"/>
      <c r="V1026" s="4016"/>
      <c r="W1026" s="2857">
        <v>7.2</v>
      </c>
      <c r="X1026" s="2857">
        <v>7.2</v>
      </c>
      <c r="Y1026" s="2857">
        <v>7.2</v>
      </c>
      <c r="Z1026" s="2857">
        <v>7.2</v>
      </c>
      <c r="AA1026" s="2857">
        <v>7.2</v>
      </c>
      <c r="AB1026" s="2242">
        <v>7.2</v>
      </c>
      <c r="AC1026" s="2242">
        <v>7.2</v>
      </c>
      <c r="AD1026" s="2857"/>
      <c r="AE1026" s="2857"/>
      <c r="AF1026" s="2857"/>
      <c r="AG1026" s="697"/>
      <c r="AH1026" s="1942"/>
      <c r="AI1026" s="1942"/>
      <c r="AJ1026" s="1942"/>
      <c r="AK1026" s="1942"/>
      <c r="AL1026" s="1942"/>
      <c r="AM1026" s="1942"/>
      <c r="AN1026" s="1942"/>
      <c r="AO1026" s="1942"/>
      <c r="AP1026" s="1942"/>
      <c r="AQ1026" s="1942"/>
      <c r="AR1026" s="1942"/>
      <c r="AS1026" s="1942"/>
      <c r="AT1026" s="1942"/>
      <c r="AU1026" s="1942"/>
      <c r="AV1026" s="1942"/>
      <c r="AW1026" s="1942"/>
      <c r="AX1026" s="1942"/>
      <c r="AY1026" s="1942"/>
      <c r="AZ1026" s="1942"/>
      <c r="BA1026" s="1942"/>
      <c r="BB1026" s="575"/>
      <c r="BC1026" s="576"/>
      <c r="BD1026" s="678"/>
    </row>
    <row r="1027" spans="1:56" s="51" customFormat="1" ht="30" hidden="1" outlineLevel="1" x14ac:dyDescent="0.25">
      <c r="A1027" s="1267"/>
      <c r="B1027" s="228"/>
      <c r="C1027" s="328"/>
      <c r="D1027" s="4016"/>
      <c r="E1027" s="3990"/>
      <c r="F1027" s="3010" t="str">
        <f t="shared" si="108"/>
        <v>Mini/MultiSplitASHP_ROF_SF</v>
      </c>
      <c r="G1027" s="3403"/>
      <c r="H1027" s="3404"/>
      <c r="I1027" s="3411" t="str">
        <f t="shared" si="109"/>
        <v>351350_2021_12_</v>
      </c>
      <c r="J1027" s="2248">
        <v>7.2</v>
      </c>
      <c r="K1027" s="748"/>
      <c r="L1027" s="2246" t="s">
        <v>1011</v>
      </c>
      <c r="M1027" s="1570"/>
      <c r="N1027" s="1556"/>
      <c r="O1027" s="228"/>
      <c r="P1027" s="228"/>
      <c r="Q1027" s="228"/>
      <c r="R1027" s="228"/>
      <c r="S1027" s="228"/>
      <c r="T1027" s="123"/>
      <c r="U1027" s="123"/>
      <c r="V1027" s="4016"/>
      <c r="W1027" s="2857">
        <v>7.2</v>
      </c>
      <c r="X1027" s="2857">
        <v>7.2</v>
      </c>
      <c r="Y1027" s="2857">
        <v>7.2</v>
      </c>
      <c r="Z1027" s="2857">
        <v>7.2</v>
      </c>
      <c r="AA1027" s="2857">
        <v>7.2</v>
      </c>
      <c r="AB1027" s="2248">
        <v>7.2</v>
      </c>
      <c r="AC1027" s="2248">
        <v>7.2</v>
      </c>
      <c r="AD1027" s="2857"/>
      <c r="AE1027" s="2857"/>
      <c r="AF1027" s="2857"/>
      <c r="AG1027" s="697"/>
      <c r="AH1027" s="1942"/>
      <c r="AI1027" s="1942"/>
      <c r="AJ1027" s="1942"/>
      <c r="AK1027" s="1942"/>
      <c r="AL1027" s="1942"/>
      <c r="AM1027" s="1942"/>
      <c r="AN1027" s="1942"/>
      <c r="AO1027" s="1942"/>
      <c r="AP1027" s="1942"/>
      <c r="AQ1027" s="1942"/>
      <c r="AR1027" s="1942"/>
      <c r="AS1027" s="1942"/>
      <c r="AT1027" s="1942"/>
      <c r="AU1027" s="1942"/>
      <c r="AV1027" s="1942"/>
      <c r="AW1027" s="1942"/>
      <c r="AX1027" s="1942"/>
      <c r="AY1027" s="1942"/>
      <c r="AZ1027" s="1942"/>
      <c r="BA1027" s="1942"/>
      <c r="BB1027" s="575"/>
      <c r="BC1027" s="576"/>
      <c r="BD1027" s="678"/>
    </row>
    <row r="1028" spans="1:56" s="51" customFormat="1" ht="45" hidden="1" outlineLevel="1" x14ac:dyDescent="0.25">
      <c r="A1028" s="1267"/>
      <c r="B1028" s="228"/>
      <c r="C1028" s="328"/>
      <c r="D1028" s="4016"/>
      <c r="E1028" s="3990"/>
      <c r="F1028" s="3010" t="str">
        <f t="shared" si="108"/>
        <v>Mini/MultiSplitASHP-Replace_CAC_ElectricHeat_ER1_SF</v>
      </c>
      <c r="G1028" s="3403"/>
      <c r="H1028" s="3404"/>
      <c r="I1028" s="3411" t="str">
        <f t="shared" si="109"/>
        <v>351400_2021_12_</v>
      </c>
      <c r="J1028" s="2249">
        <v>8.2976860977532869</v>
      </c>
      <c r="K1028" s="748"/>
      <c r="L1028" s="2723" t="s">
        <v>1005</v>
      </c>
      <c r="M1028" s="1570"/>
      <c r="N1028" s="1556"/>
      <c r="O1028" s="228"/>
      <c r="P1028" s="228"/>
      <c r="Q1028" s="228"/>
      <c r="R1028" s="228"/>
      <c r="S1028" s="228"/>
      <c r="T1028" s="123"/>
      <c r="U1028" s="123"/>
      <c r="V1028" s="4016"/>
      <c r="W1028" s="2857">
        <v>6.8</v>
      </c>
      <c r="X1028" s="2857">
        <v>6.8</v>
      </c>
      <c r="Y1028" s="2857">
        <v>6.8</v>
      </c>
      <c r="Z1028" s="2857">
        <v>6.8</v>
      </c>
      <c r="AA1028" s="2857">
        <v>6.8</v>
      </c>
      <c r="AB1028" s="2249">
        <v>7.6061892029279887</v>
      </c>
      <c r="AC1028" s="2249">
        <v>8.2976860977532869</v>
      </c>
      <c r="AD1028" s="2857"/>
      <c r="AE1028" s="2857"/>
      <c r="AF1028" s="2857"/>
      <c r="AG1028" s="697"/>
      <c r="AH1028" s="1942"/>
      <c r="AI1028" s="1942"/>
      <c r="AJ1028" s="1942"/>
      <c r="AK1028" s="1942"/>
      <c r="AL1028" s="1942"/>
      <c r="AM1028" s="1942"/>
      <c r="AN1028" s="1942"/>
      <c r="AO1028" s="1942"/>
      <c r="AP1028" s="1942"/>
      <c r="AQ1028" s="1942"/>
      <c r="AR1028" s="1942"/>
      <c r="AS1028" s="1942"/>
      <c r="AT1028" s="1942"/>
      <c r="AU1028" s="1942"/>
      <c r="AV1028" s="1942"/>
      <c r="AW1028" s="1942"/>
      <c r="AX1028" s="1942"/>
      <c r="AY1028" s="1942"/>
      <c r="AZ1028" s="1942"/>
      <c r="BA1028" s="1942"/>
      <c r="BB1028" s="575"/>
      <c r="BC1028" s="576"/>
      <c r="BD1028" s="678"/>
    </row>
    <row r="1029" spans="1:56" s="51" customFormat="1" ht="45" hidden="1" outlineLevel="1" x14ac:dyDescent="0.25">
      <c r="A1029" s="1267"/>
      <c r="B1029" s="228"/>
      <c r="C1029" s="328"/>
      <c r="D1029" s="4016"/>
      <c r="E1029" s="3990"/>
      <c r="F1029" s="3010" t="str">
        <f t="shared" si="108"/>
        <v>Mini/MultiSplitASHP-Replace_CAC_ElectricHeat_ROF_SF</v>
      </c>
      <c r="G1029" s="3403"/>
      <c r="H1029" s="3404"/>
      <c r="I1029" s="3411" t="str">
        <f t="shared" si="109"/>
        <v>351450_2021_12_</v>
      </c>
      <c r="J1029" s="2248">
        <v>6.8</v>
      </c>
      <c r="K1029" s="748"/>
      <c r="L1029" s="2246" t="s">
        <v>1011</v>
      </c>
      <c r="M1029" s="1570"/>
      <c r="N1029" s="1556"/>
      <c r="O1029" s="228"/>
      <c r="P1029" s="228"/>
      <c r="Q1029" s="228"/>
      <c r="R1029" s="228"/>
      <c r="S1029" s="228"/>
      <c r="T1029" s="123"/>
      <c r="U1029" s="123"/>
      <c r="V1029" s="4016"/>
      <c r="W1029" s="2857">
        <v>6.8</v>
      </c>
      <c r="X1029" s="2857">
        <v>6.8</v>
      </c>
      <c r="Y1029" s="2857">
        <v>6.8</v>
      </c>
      <c r="Z1029" s="2857">
        <v>6.8</v>
      </c>
      <c r="AA1029" s="2857">
        <v>6.8</v>
      </c>
      <c r="AB1029" s="2248">
        <v>6.8</v>
      </c>
      <c r="AC1029" s="2248">
        <v>6.8</v>
      </c>
      <c r="AD1029" s="2857"/>
      <c r="AE1029" s="2857"/>
      <c r="AF1029" s="2857"/>
      <c r="AG1029" s="697"/>
      <c r="AH1029" s="1942"/>
      <c r="AI1029" s="1942"/>
      <c r="AJ1029" s="1942"/>
      <c r="AK1029" s="1942"/>
      <c r="AL1029" s="1942"/>
      <c r="AM1029" s="1942"/>
      <c r="AN1029" s="1942"/>
      <c r="AO1029" s="1942"/>
      <c r="AP1029" s="1942"/>
      <c r="AQ1029" s="1942"/>
      <c r="AR1029" s="1942"/>
      <c r="AS1029" s="1942"/>
      <c r="AT1029" s="1942"/>
      <c r="AU1029" s="1942"/>
      <c r="AV1029" s="1942"/>
      <c r="AW1029" s="1942"/>
      <c r="AX1029" s="1942"/>
      <c r="AY1029" s="1942"/>
      <c r="AZ1029" s="1942"/>
      <c r="BA1029" s="1942"/>
      <c r="BB1029" s="575"/>
      <c r="BC1029" s="576"/>
      <c r="BD1029" s="678"/>
    </row>
    <row r="1030" spans="1:56" s="51" customFormat="1" ht="30" hidden="1" outlineLevel="1" x14ac:dyDescent="0.25">
      <c r="A1030" s="1267"/>
      <c r="B1030" s="228"/>
      <c r="C1030" s="328"/>
      <c r="D1030" s="4016"/>
      <c r="E1030" s="3990"/>
      <c r="F1030" s="3010" t="str">
        <f t="shared" si="108"/>
        <v>Mini/MultiSplitASHP_ER1_SF</v>
      </c>
      <c r="G1030" s="3403"/>
      <c r="H1030" s="3404"/>
      <c r="I1030" s="3411" t="str">
        <f t="shared" si="109"/>
        <v>351500_2021_12_</v>
      </c>
      <c r="J1030" s="2249">
        <v>8.2960580500029604</v>
      </c>
      <c r="K1030" s="748"/>
      <c r="L1030" s="2723" t="s">
        <v>1005</v>
      </c>
      <c r="M1030" s="1570"/>
      <c r="N1030" s="1556"/>
      <c r="O1030" s="228"/>
      <c r="P1030" s="228"/>
      <c r="Q1030" s="228"/>
      <c r="R1030" s="228"/>
      <c r="S1030" s="228"/>
      <c r="T1030" s="123"/>
      <c r="U1030" s="123"/>
      <c r="V1030" s="4016"/>
      <c r="W1030" s="2857">
        <v>7.2</v>
      </c>
      <c r="X1030" s="2857">
        <v>7.2</v>
      </c>
      <c r="Y1030" s="2857">
        <v>7.2</v>
      </c>
      <c r="Z1030" s="2857">
        <v>7.2</v>
      </c>
      <c r="AA1030" s="2857">
        <v>7.2</v>
      </c>
      <c r="AB1030" s="2249">
        <v>8.0162959726442171</v>
      </c>
      <c r="AC1030" s="2249">
        <v>8.2960580500029604</v>
      </c>
      <c r="AD1030" s="2857"/>
      <c r="AE1030" s="2857"/>
      <c r="AF1030" s="2857"/>
      <c r="AG1030" s="697"/>
      <c r="AH1030" s="1942"/>
      <c r="AI1030" s="1942"/>
      <c r="AJ1030" s="1942"/>
      <c r="AK1030" s="1942"/>
      <c r="AL1030" s="1942"/>
      <c r="AM1030" s="1942"/>
      <c r="AN1030" s="1942"/>
      <c r="AO1030" s="1942"/>
      <c r="AP1030" s="1942"/>
      <c r="AQ1030" s="1942"/>
      <c r="AR1030" s="1942"/>
      <c r="AS1030" s="1942"/>
      <c r="AT1030" s="1942"/>
      <c r="AU1030" s="1942"/>
      <c r="AV1030" s="1942"/>
      <c r="AW1030" s="1942"/>
      <c r="AX1030" s="1942"/>
      <c r="AY1030" s="1942"/>
      <c r="AZ1030" s="1942"/>
      <c r="BA1030" s="1942"/>
      <c r="BB1030" s="575"/>
      <c r="BC1030" s="576"/>
      <c r="BD1030" s="678"/>
    </row>
    <row r="1031" spans="1:56" s="51" customFormat="1" ht="30" hidden="1" outlineLevel="1" x14ac:dyDescent="0.25">
      <c r="A1031" s="1267"/>
      <c r="B1031" s="228"/>
      <c r="C1031" s="328"/>
      <c r="D1031" s="4016"/>
      <c r="E1031" s="3990"/>
      <c r="F1031" s="3010" t="str">
        <f t="shared" si="108"/>
        <v>Mini/MultiSplitAC_ER1_MF</v>
      </c>
      <c r="G1031" s="3403"/>
      <c r="H1031" s="3404"/>
      <c r="I1031" s="3411" t="str">
        <f t="shared" si="109"/>
        <v>351550_2021_12_</v>
      </c>
      <c r="J1031" s="2249">
        <f>J1024</f>
        <v>8.402496453661275</v>
      </c>
      <c r="K1031" s="748"/>
      <c r="L1031" s="2731" t="s">
        <v>1125</v>
      </c>
      <c r="M1031" s="1570"/>
      <c r="N1031" s="1556"/>
      <c r="O1031" s="228"/>
      <c r="P1031" s="228"/>
      <c r="Q1031" s="228"/>
      <c r="R1031" s="228"/>
      <c r="S1031" s="228"/>
      <c r="T1031" s="123"/>
      <c r="U1031" s="123"/>
      <c r="V1031" s="4016"/>
      <c r="W1031" s="2857"/>
      <c r="X1031" s="3155"/>
      <c r="Y1031" s="3155">
        <v>6.3</v>
      </c>
      <c r="Z1031" s="2857">
        <v>6.3</v>
      </c>
      <c r="AA1031" s="2857">
        <v>6.3</v>
      </c>
      <c r="AB1031" s="2248">
        <v>6.3</v>
      </c>
      <c r="AC1031" s="2249">
        <v>8.402496453661275</v>
      </c>
      <c r="AD1031" s="2857"/>
      <c r="AE1031" s="2857"/>
      <c r="AF1031" s="2857"/>
      <c r="AG1031" s="697"/>
      <c r="AH1031" s="1942"/>
      <c r="AI1031" s="1942"/>
      <c r="AJ1031" s="1942"/>
      <c r="AK1031" s="1942"/>
      <c r="AL1031" s="1942"/>
      <c r="AM1031" s="1942"/>
      <c r="AN1031" s="1942"/>
      <c r="AO1031" s="1942"/>
      <c r="AP1031" s="1942"/>
      <c r="AQ1031" s="1942"/>
      <c r="AR1031" s="1942"/>
      <c r="AS1031" s="1942"/>
      <c r="AT1031" s="1942"/>
      <c r="AU1031" s="1942"/>
      <c r="AV1031" s="1942"/>
      <c r="AW1031" s="1942"/>
      <c r="AX1031" s="1942"/>
      <c r="AY1031" s="1942"/>
      <c r="AZ1031" s="1942"/>
      <c r="BA1031" s="1942"/>
      <c r="BB1031" s="575"/>
      <c r="BC1031" s="576"/>
      <c r="BD1031" s="678"/>
    </row>
    <row r="1032" spans="1:56" s="51" customFormat="1" ht="30" hidden="1" outlineLevel="1" x14ac:dyDescent="0.25">
      <c r="A1032" s="1267"/>
      <c r="B1032" s="228"/>
      <c r="C1032" s="328"/>
      <c r="D1032" s="4016"/>
      <c r="E1032" s="3990"/>
      <c r="F1032" s="3010" t="str">
        <f t="shared" si="108"/>
        <v>Mini/MultiSplitAC_ROF_MF</v>
      </c>
      <c r="G1032" s="3403"/>
      <c r="H1032" s="3404"/>
      <c r="I1032" s="3411" t="str">
        <f t="shared" si="109"/>
        <v>351600_2021_12_</v>
      </c>
      <c r="J1032" s="2248">
        <f t="shared" ref="J1032:J1037" si="112">J1025</f>
        <v>6.3</v>
      </c>
      <c r="K1032" s="748"/>
      <c r="L1032" s="2243"/>
      <c r="M1032" s="1570"/>
      <c r="N1032" s="1556"/>
      <c r="O1032" s="228"/>
      <c r="P1032" s="228"/>
      <c r="Q1032" s="228"/>
      <c r="R1032" s="228"/>
      <c r="S1032" s="228"/>
      <c r="T1032" s="123"/>
      <c r="U1032" s="123"/>
      <c r="V1032" s="4016"/>
      <c r="W1032" s="2857"/>
      <c r="X1032" s="3155"/>
      <c r="Y1032" s="3155">
        <v>6.3</v>
      </c>
      <c r="Z1032" s="2857">
        <v>6.3</v>
      </c>
      <c r="AA1032" s="2857">
        <v>6.3</v>
      </c>
      <c r="AB1032" s="2248">
        <v>6.3</v>
      </c>
      <c r="AC1032" s="2248">
        <v>6.3</v>
      </c>
      <c r="AD1032" s="2857"/>
      <c r="AE1032" s="2857"/>
      <c r="AF1032" s="2857"/>
      <c r="AG1032" s="697"/>
      <c r="AH1032" s="1942"/>
      <c r="AI1032" s="1942"/>
      <c r="AJ1032" s="1942"/>
      <c r="AK1032" s="1942"/>
      <c r="AL1032" s="1942"/>
      <c r="AM1032" s="1942"/>
      <c r="AN1032" s="1942"/>
      <c r="AO1032" s="1942"/>
      <c r="AP1032" s="1942"/>
      <c r="AQ1032" s="1942"/>
      <c r="AR1032" s="1942"/>
      <c r="AS1032" s="1942"/>
      <c r="AT1032" s="1942"/>
      <c r="AU1032" s="1942"/>
      <c r="AV1032" s="1942"/>
      <c r="AW1032" s="1942"/>
      <c r="AX1032" s="1942"/>
      <c r="AY1032" s="1942"/>
      <c r="AZ1032" s="1942"/>
      <c r="BA1032" s="1942"/>
      <c r="BB1032" s="575"/>
      <c r="BC1032" s="576"/>
      <c r="BD1032" s="678"/>
    </row>
    <row r="1033" spans="1:56" s="51" customFormat="1" ht="30" hidden="1" outlineLevel="1" x14ac:dyDescent="0.25">
      <c r="A1033" s="1267"/>
      <c r="B1033" s="228"/>
      <c r="C1033" s="328"/>
      <c r="D1033" s="4016"/>
      <c r="E1033" s="3990"/>
      <c r="F1033" s="3010" t="str">
        <f t="shared" si="108"/>
        <v>Mini/MultiSplitASHP_ROF_MF_NC</v>
      </c>
      <c r="G1033" s="3403"/>
      <c r="H1033" s="3404"/>
      <c r="I1033" s="3411" t="str">
        <f t="shared" si="109"/>
        <v>351650_2021_12_</v>
      </c>
      <c r="J1033" s="2248">
        <f t="shared" si="112"/>
        <v>7.2</v>
      </c>
      <c r="K1033" s="748"/>
      <c r="L1033" s="2243"/>
      <c r="M1033" s="1570"/>
      <c r="N1033" s="1556"/>
      <c r="O1033" s="228"/>
      <c r="P1033" s="228"/>
      <c r="Q1033" s="228"/>
      <c r="R1033" s="228"/>
      <c r="S1033" s="228"/>
      <c r="T1033" s="123"/>
      <c r="U1033" s="123"/>
      <c r="V1033" s="4016"/>
      <c r="W1033" s="2857"/>
      <c r="X1033" s="3155"/>
      <c r="Y1033" s="3155">
        <v>7.2</v>
      </c>
      <c r="Z1033" s="2857">
        <v>7.2</v>
      </c>
      <c r="AA1033" s="2857">
        <v>7.2</v>
      </c>
      <c r="AB1033" s="2248">
        <v>7.2</v>
      </c>
      <c r="AC1033" s="2248">
        <v>7.2</v>
      </c>
      <c r="AD1033" s="2857"/>
      <c r="AE1033" s="2857"/>
      <c r="AF1033" s="2857"/>
      <c r="AG1033" s="697"/>
      <c r="AH1033" s="1942"/>
      <c r="AI1033" s="1942"/>
      <c r="AJ1033" s="1942"/>
      <c r="AK1033" s="1942"/>
      <c r="AL1033" s="1942"/>
      <c r="AM1033" s="1942"/>
      <c r="AN1033" s="1942"/>
      <c r="AO1033" s="1942"/>
      <c r="AP1033" s="1942"/>
      <c r="AQ1033" s="1942"/>
      <c r="AR1033" s="1942"/>
      <c r="AS1033" s="1942"/>
      <c r="AT1033" s="1942"/>
      <c r="AU1033" s="1942"/>
      <c r="AV1033" s="1942"/>
      <c r="AW1033" s="1942"/>
      <c r="AX1033" s="1942"/>
      <c r="AY1033" s="1942"/>
      <c r="AZ1033" s="1942"/>
      <c r="BA1033" s="1942"/>
      <c r="BB1033" s="575"/>
      <c r="BC1033" s="576"/>
      <c r="BD1033" s="678"/>
    </row>
    <row r="1034" spans="1:56" s="51" customFormat="1" ht="30" hidden="1" outlineLevel="1" x14ac:dyDescent="0.25">
      <c r="A1034" s="1267"/>
      <c r="B1034" s="228"/>
      <c r="C1034" s="328"/>
      <c r="D1034" s="4016"/>
      <c r="E1034" s="3990"/>
      <c r="F1034" s="3010" t="str">
        <f t="shared" si="108"/>
        <v>Mini/MultiSplitASHP_ROF_MF</v>
      </c>
      <c r="G1034" s="3403"/>
      <c r="H1034" s="3404"/>
      <c r="I1034" s="3411" t="str">
        <f t="shared" si="109"/>
        <v>351700_2021_12_</v>
      </c>
      <c r="J1034" s="2248">
        <f t="shared" si="112"/>
        <v>7.2</v>
      </c>
      <c r="K1034" s="748"/>
      <c r="L1034" s="2243"/>
      <c r="M1034" s="1570"/>
      <c r="N1034" s="1556"/>
      <c r="O1034" s="228"/>
      <c r="P1034" s="228"/>
      <c r="Q1034" s="228"/>
      <c r="R1034" s="228"/>
      <c r="S1034" s="228"/>
      <c r="T1034" s="123"/>
      <c r="U1034" s="123"/>
      <c r="V1034" s="4016"/>
      <c r="W1034" s="2857"/>
      <c r="X1034" s="3155"/>
      <c r="Y1034" s="3155">
        <v>7.2</v>
      </c>
      <c r="Z1034" s="2857">
        <v>7.2</v>
      </c>
      <c r="AA1034" s="2857">
        <v>7.2</v>
      </c>
      <c r="AB1034" s="2248">
        <v>7.2</v>
      </c>
      <c r="AC1034" s="2248">
        <v>7.2</v>
      </c>
      <c r="AD1034" s="2857"/>
      <c r="AE1034" s="2857"/>
      <c r="AF1034" s="2857"/>
      <c r="AG1034" s="697"/>
      <c r="AH1034" s="1942"/>
      <c r="AI1034" s="1942"/>
      <c r="AJ1034" s="1942"/>
      <c r="AK1034" s="1942"/>
      <c r="AL1034" s="1942"/>
      <c r="AM1034" s="1942"/>
      <c r="AN1034" s="1942"/>
      <c r="AO1034" s="1942"/>
      <c r="AP1034" s="1942"/>
      <c r="AQ1034" s="1942"/>
      <c r="AR1034" s="1942"/>
      <c r="AS1034" s="1942"/>
      <c r="AT1034" s="1942"/>
      <c r="AU1034" s="1942"/>
      <c r="AV1034" s="1942"/>
      <c r="AW1034" s="1942"/>
      <c r="AX1034" s="1942"/>
      <c r="AY1034" s="1942"/>
      <c r="AZ1034" s="1942"/>
      <c r="BA1034" s="1942"/>
      <c r="BB1034" s="575"/>
      <c r="BC1034" s="576"/>
      <c r="BD1034" s="678"/>
    </row>
    <row r="1035" spans="1:56" s="51" customFormat="1" ht="45" hidden="1" outlineLevel="1" x14ac:dyDescent="0.25">
      <c r="A1035" s="1267"/>
      <c r="B1035" s="228"/>
      <c r="C1035" s="328"/>
      <c r="D1035" s="4016"/>
      <c r="E1035" s="3990"/>
      <c r="F1035" s="3010" t="str">
        <f t="shared" si="108"/>
        <v>Mini/MultiSplitASHP-Replace_CAC_ElectricHeat_ER1_MF</v>
      </c>
      <c r="G1035" s="3403"/>
      <c r="H1035" s="3404"/>
      <c r="I1035" s="3411" t="str">
        <f t="shared" si="109"/>
        <v>351750_2021_12_</v>
      </c>
      <c r="J1035" s="2249">
        <f t="shared" si="112"/>
        <v>8.2976860977532869</v>
      </c>
      <c r="K1035" s="748"/>
      <c r="L1035" s="2243" t="s">
        <v>1125</v>
      </c>
      <c r="M1035" s="1570"/>
      <c r="N1035" s="1556"/>
      <c r="O1035" s="228"/>
      <c r="P1035" s="228"/>
      <c r="Q1035" s="228"/>
      <c r="R1035" s="228"/>
      <c r="S1035" s="228"/>
      <c r="T1035" s="123"/>
      <c r="U1035" s="123"/>
      <c r="V1035" s="4016"/>
      <c r="W1035" s="2857"/>
      <c r="X1035" s="3155"/>
      <c r="Y1035" s="3155">
        <v>6.8</v>
      </c>
      <c r="Z1035" s="2857">
        <v>6.8</v>
      </c>
      <c r="AA1035" s="2857">
        <v>6.8</v>
      </c>
      <c r="AB1035" s="2249">
        <v>7.6061892029279887</v>
      </c>
      <c r="AC1035" s="2249">
        <v>8.2976860977532869</v>
      </c>
      <c r="AD1035" s="2857"/>
      <c r="AE1035" s="2857"/>
      <c r="AF1035" s="2857"/>
      <c r="AG1035" s="697"/>
      <c r="AH1035" s="1942"/>
      <c r="AI1035" s="1942"/>
      <c r="AJ1035" s="1942"/>
      <c r="AK1035" s="1942"/>
      <c r="AL1035" s="1942"/>
      <c r="AM1035" s="1942"/>
      <c r="AN1035" s="1942"/>
      <c r="AO1035" s="1942"/>
      <c r="AP1035" s="1942"/>
      <c r="AQ1035" s="1942"/>
      <c r="AR1035" s="1942"/>
      <c r="AS1035" s="1942"/>
      <c r="AT1035" s="1942"/>
      <c r="AU1035" s="1942"/>
      <c r="AV1035" s="1942"/>
      <c r="AW1035" s="1942"/>
      <c r="AX1035" s="1942"/>
      <c r="AY1035" s="1942"/>
      <c r="AZ1035" s="1942"/>
      <c r="BA1035" s="1942"/>
      <c r="BB1035" s="575"/>
      <c r="BC1035" s="576"/>
      <c r="BD1035" s="678"/>
    </row>
    <row r="1036" spans="1:56" s="51" customFormat="1" ht="45" hidden="1" outlineLevel="1" x14ac:dyDescent="0.25">
      <c r="A1036" s="1267"/>
      <c r="B1036" s="228"/>
      <c r="C1036" s="328"/>
      <c r="D1036" s="4016"/>
      <c r="E1036" s="3990"/>
      <c r="F1036" s="3010" t="str">
        <f t="shared" si="108"/>
        <v>Mini/MultiSplitASHP-Replace_CAC_ElectricHeat_ROF_MF</v>
      </c>
      <c r="G1036" s="3403"/>
      <c r="H1036" s="3404"/>
      <c r="I1036" s="3411" t="str">
        <f t="shared" si="109"/>
        <v>351800_2021_12_</v>
      </c>
      <c r="J1036" s="2248">
        <f t="shared" si="112"/>
        <v>6.8</v>
      </c>
      <c r="K1036" s="748"/>
      <c r="L1036" s="2243"/>
      <c r="M1036" s="1570"/>
      <c r="N1036" s="1556"/>
      <c r="O1036" s="228"/>
      <c r="P1036" s="228"/>
      <c r="Q1036" s="228"/>
      <c r="R1036" s="228"/>
      <c r="S1036" s="228"/>
      <c r="T1036" s="123"/>
      <c r="U1036" s="123"/>
      <c r="V1036" s="4016"/>
      <c r="W1036" s="2857"/>
      <c r="X1036" s="3155"/>
      <c r="Y1036" s="3155">
        <v>6.8</v>
      </c>
      <c r="Z1036" s="2857">
        <v>6.8</v>
      </c>
      <c r="AA1036" s="2857">
        <v>6.8</v>
      </c>
      <c r="AB1036" s="2248">
        <v>6.8</v>
      </c>
      <c r="AC1036" s="2248">
        <v>6.8</v>
      </c>
      <c r="AD1036" s="2857"/>
      <c r="AE1036" s="2857"/>
      <c r="AF1036" s="2857"/>
      <c r="AG1036" s="697"/>
      <c r="AH1036" s="1942"/>
      <c r="AI1036" s="1942"/>
      <c r="AJ1036" s="1942"/>
      <c r="AK1036" s="1942"/>
      <c r="AL1036" s="1942"/>
      <c r="AM1036" s="1942"/>
      <c r="AN1036" s="1942"/>
      <c r="AO1036" s="1942"/>
      <c r="AP1036" s="1942"/>
      <c r="AQ1036" s="1942"/>
      <c r="AR1036" s="1942"/>
      <c r="AS1036" s="1942"/>
      <c r="AT1036" s="1942"/>
      <c r="AU1036" s="1942"/>
      <c r="AV1036" s="1942"/>
      <c r="AW1036" s="1942"/>
      <c r="AX1036" s="1942"/>
      <c r="AY1036" s="1942"/>
      <c r="AZ1036" s="1942"/>
      <c r="BA1036" s="1942"/>
      <c r="BB1036" s="575"/>
      <c r="BC1036" s="576"/>
      <c r="BD1036" s="678"/>
    </row>
    <row r="1037" spans="1:56" s="51" customFormat="1" ht="30" hidden="1" outlineLevel="1" x14ac:dyDescent="0.25">
      <c r="A1037" s="1267"/>
      <c r="B1037" s="228"/>
      <c r="C1037" s="328"/>
      <c r="D1037" s="4016"/>
      <c r="E1037" s="3990"/>
      <c r="F1037" s="3010" t="str">
        <f t="shared" si="108"/>
        <v>Mini/MultiSplitASHP_ER1_MF</v>
      </c>
      <c r="G1037" s="3403"/>
      <c r="H1037" s="3404"/>
      <c r="I1037" s="3411" t="str">
        <f t="shared" si="109"/>
        <v>351850_2021_12_</v>
      </c>
      <c r="J1037" s="2249">
        <f t="shared" si="112"/>
        <v>8.2960580500029604</v>
      </c>
      <c r="K1037" s="748"/>
      <c r="L1037" s="2243" t="s">
        <v>1125</v>
      </c>
      <c r="M1037" s="1570"/>
      <c r="N1037" s="1556"/>
      <c r="O1037" s="228"/>
      <c r="P1037" s="228"/>
      <c r="Q1037" s="228"/>
      <c r="R1037" s="228"/>
      <c r="S1037" s="228"/>
      <c r="T1037" s="123"/>
      <c r="U1037" s="123"/>
      <c r="V1037" s="4016"/>
      <c r="W1037" s="2857"/>
      <c r="X1037" s="3155"/>
      <c r="Y1037" s="3155">
        <v>7.2</v>
      </c>
      <c r="Z1037" s="2857">
        <v>7.2</v>
      </c>
      <c r="AA1037" s="2857">
        <v>7.2</v>
      </c>
      <c r="AB1037" s="2249">
        <v>8.0162959726442171</v>
      </c>
      <c r="AC1037" s="2249">
        <v>8.2960580500029604</v>
      </c>
      <c r="AD1037" s="2857"/>
      <c r="AE1037" s="2857"/>
      <c r="AF1037" s="2857"/>
      <c r="AG1037" s="697"/>
      <c r="AH1037" s="1942"/>
      <c r="AI1037" s="1942"/>
      <c r="AJ1037" s="1942"/>
      <c r="AK1037" s="1942"/>
      <c r="AL1037" s="1942"/>
      <c r="AM1037" s="1942"/>
      <c r="AN1037" s="1942"/>
      <c r="AO1037" s="1942"/>
      <c r="AP1037" s="1942"/>
      <c r="AQ1037" s="1942"/>
      <c r="AR1037" s="1942"/>
      <c r="AS1037" s="1942"/>
      <c r="AT1037" s="1942"/>
      <c r="AU1037" s="1942"/>
      <c r="AV1037" s="1942"/>
      <c r="AW1037" s="1942"/>
      <c r="AX1037" s="1942"/>
      <c r="AY1037" s="1942"/>
      <c r="AZ1037" s="1942"/>
      <c r="BA1037" s="1942"/>
      <c r="BB1037" s="575"/>
      <c r="BC1037" s="576"/>
      <c r="BD1037" s="678"/>
    </row>
    <row r="1038" spans="1:56" s="51" customFormat="1" ht="30" hidden="1" outlineLevel="1" x14ac:dyDescent="0.25">
      <c r="A1038" s="1267"/>
      <c r="B1038" s="228"/>
      <c r="C1038" s="328"/>
      <c r="D1038" s="4016"/>
      <c r="E1038" s="3990"/>
      <c r="F1038" s="3010" t="str">
        <f t="shared" si="108"/>
        <v>Mini/MultiSplitAC_ER1_MF_CompE</v>
      </c>
      <c r="G1038" s="3403"/>
      <c r="H1038" s="3404"/>
      <c r="I1038" s="3411" t="str">
        <f t="shared" si="109"/>
        <v>351551_2021_12_</v>
      </c>
      <c r="J1038" s="2249">
        <f>J1024</f>
        <v>8.402496453661275</v>
      </c>
      <c r="K1038" s="748"/>
      <c r="L1038" s="2731" t="s">
        <v>1125</v>
      </c>
      <c r="M1038" s="1570"/>
      <c r="N1038" s="1556"/>
      <c r="O1038" s="228"/>
      <c r="P1038" s="228"/>
      <c r="Q1038" s="228"/>
      <c r="R1038" s="228"/>
      <c r="S1038" s="228"/>
      <c r="T1038" s="123"/>
      <c r="U1038" s="123"/>
      <c r="V1038" s="4016"/>
      <c r="W1038" s="2857"/>
      <c r="X1038" s="2857"/>
      <c r="Y1038" s="3155">
        <v>6.3</v>
      </c>
      <c r="Z1038" s="2857">
        <v>6.3</v>
      </c>
      <c r="AA1038" s="2857">
        <v>6.3</v>
      </c>
      <c r="AB1038" s="2248">
        <v>6.3</v>
      </c>
      <c r="AC1038" s="2249">
        <v>8.402496453661275</v>
      </c>
      <c r="AD1038" s="2857"/>
      <c r="AE1038" s="2857"/>
      <c r="AF1038" s="2857"/>
      <c r="AG1038" s="697"/>
      <c r="AH1038" s="1942"/>
      <c r="AI1038" s="1942"/>
      <c r="AJ1038" s="1942"/>
      <c r="AK1038" s="1942"/>
      <c r="AL1038" s="1942"/>
      <c r="AM1038" s="1942"/>
      <c r="AN1038" s="1942"/>
      <c r="AO1038" s="1942"/>
      <c r="AP1038" s="1942"/>
      <c r="AQ1038" s="1942"/>
      <c r="AR1038" s="1942"/>
      <c r="AS1038" s="1942"/>
      <c r="AT1038" s="1942"/>
      <c r="AU1038" s="1942"/>
      <c r="AV1038" s="1942"/>
      <c r="AW1038" s="1942"/>
      <c r="AX1038" s="1942"/>
      <c r="AY1038" s="1942"/>
      <c r="AZ1038" s="1942"/>
      <c r="BA1038" s="1942"/>
      <c r="BB1038" s="575"/>
      <c r="BC1038" s="576"/>
      <c r="BD1038" s="678"/>
    </row>
    <row r="1039" spans="1:56" s="51" customFormat="1" ht="30" hidden="1" outlineLevel="1" x14ac:dyDescent="0.25">
      <c r="A1039" s="1267"/>
      <c r="B1039" s="228"/>
      <c r="C1039" s="328"/>
      <c r="D1039" s="4016"/>
      <c r="E1039" s="3990"/>
      <c r="F1039" s="3010" t="str">
        <f t="shared" si="108"/>
        <v>Mini/MultiSplitAC_ROF_MF_CompE</v>
      </c>
      <c r="G1039" s="3403"/>
      <c r="H1039" s="3404"/>
      <c r="I1039" s="3411" t="str">
        <f t="shared" si="109"/>
        <v>351601_2021_12_</v>
      </c>
      <c r="J1039" s="2248">
        <f t="shared" ref="J1039:J1044" si="113">J1025</f>
        <v>6.3</v>
      </c>
      <c r="K1039" s="748"/>
      <c r="L1039" s="2243"/>
      <c r="M1039" s="1570"/>
      <c r="N1039" s="1556"/>
      <c r="O1039" s="228"/>
      <c r="P1039" s="228"/>
      <c r="Q1039" s="228"/>
      <c r="R1039" s="228"/>
      <c r="S1039" s="228"/>
      <c r="T1039" s="123"/>
      <c r="U1039" s="123"/>
      <c r="V1039" s="4016"/>
      <c r="W1039" s="2857"/>
      <c r="X1039" s="2857"/>
      <c r="Y1039" s="3155">
        <v>6.3</v>
      </c>
      <c r="Z1039" s="2857">
        <v>6.3</v>
      </c>
      <c r="AA1039" s="2857">
        <v>6.3</v>
      </c>
      <c r="AB1039" s="2248">
        <v>6.3</v>
      </c>
      <c r="AC1039" s="2248">
        <v>6.3</v>
      </c>
      <c r="AD1039" s="2857"/>
      <c r="AE1039" s="2857"/>
      <c r="AF1039" s="2857"/>
      <c r="AG1039" s="697"/>
      <c r="AH1039" s="1942"/>
      <c r="AI1039" s="1942"/>
      <c r="AJ1039" s="1942"/>
      <c r="AK1039" s="1942"/>
      <c r="AL1039" s="1942"/>
      <c r="AM1039" s="1942"/>
      <c r="AN1039" s="1942"/>
      <c r="AO1039" s="1942"/>
      <c r="AP1039" s="1942"/>
      <c r="AQ1039" s="1942"/>
      <c r="AR1039" s="1942"/>
      <c r="AS1039" s="1942"/>
      <c r="AT1039" s="1942"/>
      <c r="AU1039" s="1942"/>
      <c r="AV1039" s="1942"/>
      <c r="AW1039" s="1942"/>
      <c r="AX1039" s="1942"/>
      <c r="AY1039" s="1942"/>
      <c r="AZ1039" s="1942"/>
      <c r="BA1039" s="1942"/>
      <c r="BB1039" s="575"/>
      <c r="BC1039" s="576"/>
      <c r="BD1039" s="678"/>
    </row>
    <row r="1040" spans="1:56" s="51" customFormat="1" ht="30" hidden="1" outlineLevel="1" x14ac:dyDescent="0.25">
      <c r="A1040" s="1267"/>
      <c r="B1040" s="228"/>
      <c r="C1040" s="328"/>
      <c r="D1040" s="4016"/>
      <c r="E1040" s="3990"/>
      <c r="F1040" s="3010" t="str">
        <f t="shared" si="108"/>
        <v>Mini/MultiSplitASHP_ROF_MF_NC_CompE</v>
      </c>
      <c r="G1040" s="3403"/>
      <c r="H1040" s="3404"/>
      <c r="I1040" s="3411" t="str">
        <f t="shared" si="109"/>
        <v>351651_2021_12_</v>
      </c>
      <c r="J1040" s="2248">
        <f t="shared" si="113"/>
        <v>7.2</v>
      </c>
      <c r="K1040" s="748"/>
      <c r="L1040" s="2243"/>
      <c r="M1040" s="1570"/>
      <c r="N1040" s="1556"/>
      <c r="O1040" s="228"/>
      <c r="P1040" s="228"/>
      <c r="Q1040" s="228"/>
      <c r="R1040" s="228"/>
      <c r="S1040" s="228"/>
      <c r="T1040" s="123"/>
      <c r="U1040" s="123"/>
      <c r="V1040" s="4016"/>
      <c r="W1040" s="2857"/>
      <c r="X1040" s="2857"/>
      <c r="Y1040" s="3155">
        <v>7.2</v>
      </c>
      <c r="Z1040" s="2857">
        <v>7.2</v>
      </c>
      <c r="AA1040" s="2857">
        <v>7.2</v>
      </c>
      <c r="AB1040" s="2248">
        <v>7.2</v>
      </c>
      <c r="AC1040" s="2248">
        <v>7.2</v>
      </c>
      <c r="AD1040" s="2857"/>
      <c r="AE1040" s="2857"/>
      <c r="AF1040" s="2857"/>
      <c r="AG1040" s="697"/>
      <c r="AH1040" s="1942"/>
      <c r="AI1040" s="1942"/>
      <c r="AJ1040" s="1942"/>
      <c r="AK1040" s="1942"/>
      <c r="AL1040" s="1942"/>
      <c r="AM1040" s="1942"/>
      <c r="AN1040" s="1942"/>
      <c r="AO1040" s="1942"/>
      <c r="AP1040" s="1942"/>
      <c r="AQ1040" s="1942"/>
      <c r="AR1040" s="1942"/>
      <c r="AS1040" s="1942"/>
      <c r="AT1040" s="1942"/>
      <c r="AU1040" s="1942"/>
      <c r="AV1040" s="1942"/>
      <c r="AW1040" s="1942"/>
      <c r="AX1040" s="1942"/>
      <c r="AY1040" s="1942"/>
      <c r="AZ1040" s="1942"/>
      <c r="BA1040" s="1942"/>
      <c r="BB1040" s="575"/>
      <c r="BC1040" s="576"/>
      <c r="BD1040" s="678"/>
    </row>
    <row r="1041" spans="1:56" s="51" customFormat="1" ht="30" hidden="1" outlineLevel="1" x14ac:dyDescent="0.25">
      <c r="A1041" s="1267"/>
      <c r="B1041" s="228"/>
      <c r="C1041" s="328"/>
      <c r="D1041" s="4016"/>
      <c r="E1041" s="3990"/>
      <c r="F1041" s="3010" t="str">
        <f t="shared" si="108"/>
        <v>Mini/MultiSplitASHP_ROF_MF_CompE</v>
      </c>
      <c r="G1041" s="3403"/>
      <c r="H1041" s="3404"/>
      <c r="I1041" s="3411" t="str">
        <f t="shared" si="109"/>
        <v>351701_2021_12_</v>
      </c>
      <c r="J1041" s="2248">
        <f t="shared" si="113"/>
        <v>7.2</v>
      </c>
      <c r="K1041" s="748"/>
      <c r="L1041" s="2246"/>
      <c r="M1041" s="1570"/>
      <c r="N1041" s="1556"/>
      <c r="O1041" s="228"/>
      <c r="P1041" s="228"/>
      <c r="Q1041" s="228"/>
      <c r="R1041" s="228"/>
      <c r="S1041" s="228"/>
      <c r="T1041" s="123"/>
      <c r="U1041" s="123"/>
      <c r="V1041" s="4016"/>
      <c r="W1041" s="2857"/>
      <c r="X1041" s="2857"/>
      <c r="Y1041" s="3155">
        <v>7.2</v>
      </c>
      <c r="Z1041" s="2857">
        <v>7.2</v>
      </c>
      <c r="AA1041" s="2857">
        <v>7.2</v>
      </c>
      <c r="AB1041" s="2248">
        <v>7.2</v>
      </c>
      <c r="AC1041" s="2248">
        <v>7.2</v>
      </c>
      <c r="AD1041" s="2857"/>
      <c r="AE1041" s="2857"/>
      <c r="AF1041" s="2857"/>
      <c r="AG1041" s="697"/>
      <c r="AH1041" s="1942"/>
      <c r="AI1041" s="1942"/>
      <c r="AJ1041" s="1942"/>
      <c r="AK1041" s="1942"/>
      <c r="AL1041" s="1942"/>
      <c r="AM1041" s="1942"/>
      <c r="AN1041" s="1942"/>
      <c r="AO1041" s="1942"/>
      <c r="AP1041" s="1942"/>
      <c r="AQ1041" s="1942"/>
      <c r="AR1041" s="1942"/>
      <c r="AS1041" s="1942"/>
      <c r="AT1041" s="1942"/>
      <c r="AU1041" s="1942"/>
      <c r="AV1041" s="1942"/>
      <c r="AW1041" s="1942"/>
      <c r="AX1041" s="1942"/>
      <c r="AY1041" s="1942"/>
      <c r="AZ1041" s="1942"/>
      <c r="BA1041" s="1942"/>
      <c r="BB1041" s="575"/>
      <c r="BC1041" s="576"/>
      <c r="BD1041" s="678"/>
    </row>
    <row r="1042" spans="1:56" s="51" customFormat="1" ht="45" hidden="1" outlineLevel="1" x14ac:dyDescent="0.25">
      <c r="A1042" s="1267"/>
      <c r="B1042" s="228"/>
      <c r="C1042" s="328"/>
      <c r="D1042" s="4016"/>
      <c r="E1042" s="3990"/>
      <c r="F1042" s="3010" t="str">
        <f t="shared" si="108"/>
        <v>Mini/MultiSplitASHP-Replace_CAC_ElectricHeat_ER1_MF_CompE</v>
      </c>
      <c r="G1042" s="3403"/>
      <c r="H1042" s="3404"/>
      <c r="I1042" s="3411" t="str">
        <f t="shared" si="109"/>
        <v>351751_2021_12_</v>
      </c>
      <c r="J1042" s="2249">
        <f t="shared" si="113"/>
        <v>8.2976860977532869</v>
      </c>
      <c r="K1042" s="748"/>
      <c r="L1042" s="2243" t="s">
        <v>1125</v>
      </c>
      <c r="M1042" s="1570"/>
      <c r="N1042" s="1556"/>
      <c r="O1042" s="228"/>
      <c r="P1042" s="228"/>
      <c r="Q1042" s="228"/>
      <c r="R1042" s="228"/>
      <c r="S1042" s="228"/>
      <c r="T1042" s="123"/>
      <c r="U1042" s="123"/>
      <c r="V1042" s="4016"/>
      <c r="W1042" s="2857"/>
      <c r="X1042" s="2857"/>
      <c r="Y1042" s="3155">
        <v>6.8</v>
      </c>
      <c r="Z1042" s="2857">
        <v>6.8</v>
      </c>
      <c r="AA1042" s="2857">
        <v>6.8</v>
      </c>
      <c r="AB1042" s="2249">
        <v>7.6061892029279887</v>
      </c>
      <c r="AC1042" s="2249">
        <v>8.2976860977532869</v>
      </c>
      <c r="AD1042" s="2857"/>
      <c r="AE1042" s="2857"/>
      <c r="AF1042" s="2857"/>
      <c r="AG1042" s="697"/>
      <c r="AH1042" s="1942"/>
      <c r="AI1042" s="1942"/>
      <c r="AJ1042" s="1942"/>
      <c r="AK1042" s="1942"/>
      <c r="AL1042" s="1942"/>
      <c r="AM1042" s="1942"/>
      <c r="AN1042" s="1942"/>
      <c r="AO1042" s="1942"/>
      <c r="AP1042" s="1942"/>
      <c r="AQ1042" s="1942"/>
      <c r="AR1042" s="1942"/>
      <c r="AS1042" s="1942"/>
      <c r="AT1042" s="1942"/>
      <c r="AU1042" s="1942"/>
      <c r="AV1042" s="1942"/>
      <c r="AW1042" s="1942"/>
      <c r="AX1042" s="1942"/>
      <c r="AY1042" s="1942"/>
      <c r="AZ1042" s="1942"/>
      <c r="BA1042" s="1942"/>
      <c r="BB1042" s="575"/>
      <c r="BC1042" s="576"/>
      <c r="BD1042" s="678"/>
    </row>
    <row r="1043" spans="1:56" s="51" customFormat="1" ht="45" hidden="1" outlineLevel="1" x14ac:dyDescent="0.25">
      <c r="A1043" s="1267"/>
      <c r="B1043" s="228"/>
      <c r="C1043" s="328"/>
      <c r="D1043" s="4016"/>
      <c r="E1043" s="3990"/>
      <c r="F1043" s="3010" t="str">
        <f t="shared" si="108"/>
        <v>Mini/MultiSplitASHP-Replace_CAC_ElectricHeat_ROF_MF_CompE</v>
      </c>
      <c r="G1043" s="3403"/>
      <c r="H1043" s="3404"/>
      <c r="I1043" s="3411" t="str">
        <f t="shared" si="109"/>
        <v>351801_2021_12_</v>
      </c>
      <c r="J1043" s="2248">
        <f t="shared" si="113"/>
        <v>6.8</v>
      </c>
      <c r="K1043" s="748"/>
      <c r="L1043" s="2246"/>
      <c r="M1043" s="1570"/>
      <c r="N1043" s="1556"/>
      <c r="O1043" s="228"/>
      <c r="P1043" s="228"/>
      <c r="Q1043" s="228"/>
      <c r="R1043" s="228"/>
      <c r="S1043" s="228"/>
      <c r="T1043" s="123"/>
      <c r="U1043" s="123"/>
      <c r="V1043" s="4016"/>
      <c r="W1043" s="2857"/>
      <c r="X1043" s="2857"/>
      <c r="Y1043" s="3155">
        <v>6.8</v>
      </c>
      <c r="Z1043" s="2857">
        <v>6.8</v>
      </c>
      <c r="AA1043" s="2857">
        <v>6.8</v>
      </c>
      <c r="AB1043" s="2248">
        <v>6.8</v>
      </c>
      <c r="AC1043" s="2248">
        <v>6.8</v>
      </c>
      <c r="AD1043" s="2857"/>
      <c r="AE1043" s="2857"/>
      <c r="AF1043" s="2857"/>
      <c r="AG1043" s="697"/>
      <c r="AH1043" s="1942"/>
      <c r="AI1043" s="1942"/>
      <c r="AJ1043" s="1942"/>
      <c r="AK1043" s="1942"/>
      <c r="AL1043" s="1942"/>
      <c r="AM1043" s="1942"/>
      <c r="AN1043" s="1942"/>
      <c r="AO1043" s="1942"/>
      <c r="AP1043" s="1942"/>
      <c r="AQ1043" s="1942"/>
      <c r="AR1043" s="1942"/>
      <c r="AS1043" s="1942"/>
      <c r="AT1043" s="1942"/>
      <c r="AU1043" s="1942"/>
      <c r="AV1043" s="1942"/>
      <c r="AW1043" s="1942"/>
      <c r="AX1043" s="1942"/>
      <c r="AY1043" s="1942"/>
      <c r="AZ1043" s="1942"/>
      <c r="BA1043" s="1942"/>
      <c r="BB1043" s="575"/>
      <c r="BC1043" s="576"/>
      <c r="BD1043" s="678"/>
    </row>
    <row r="1044" spans="1:56" s="51" customFormat="1" ht="30.75" hidden="1" outlineLevel="1" thickBot="1" x14ac:dyDescent="0.3">
      <c r="A1044" s="1267"/>
      <c r="B1044" s="228"/>
      <c r="C1044" s="328"/>
      <c r="D1044" s="4029"/>
      <c r="E1044" s="3991"/>
      <c r="F1044" s="3010" t="str">
        <f t="shared" si="108"/>
        <v>Mini/MultiSplitASHP_ER1_MF_CompE</v>
      </c>
      <c r="G1044" s="3403"/>
      <c r="H1044" s="3404"/>
      <c r="I1044" s="3412" t="str">
        <f t="shared" si="109"/>
        <v>351851_2021_12_</v>
      </c>
      <c r="J1044" s="2249">
        <f t="shared" si="113"/>
        <v>8.2960580500029604</v>
      </c>
      <c r="K1044" s="748"/>
      <c r="L1044" s="2243" t="s">
        <v>1125</v>
      </c>
      <c r="M1044" s="1570"/>
      <c r="N1044" s="1556"/>
      <c r="O1044" s="228"/>
      <c r="P1044" s="228"/>
      <c r="Q1044" s="228"/>
      <c r="R1044" s="228"/>
      <c r="S1044" s="228"/>
      <c r="T1044" s="123"/>
      <c r="U1044" s="123"/>
      <c r="V1044" s="4029"/>
      <c r="W1044" s="2860"/>
      <c r="X1044" s="2860"/>
      <c r="Y1044" s="3156">
        <v>7.2</v>
      </c>
      <c r="Z1044" s="2860">
        <v>7.2</v>
      </c>
      <c r="AA1044" s="2860">
        <v>7.2</v>
      </c>
      <c r="AB1044" s="2249">
        <v>8.0162959726442171</v>
      </c>
      <c r="AC1044" s="2249">
        <v>8.2960580500029604</v>
      </c>
      <c r="AD1044" s="2860"/>
      <c r="AE1044" s="2860"/>
      <c r="AF1044" s="2860"/>
      <c r="AG1044" s="751"/>
      <c r="AH1044" s="1942"/>
      <c r="AI1044" s="1942"/>
      <c r="AJ1044" s="1942"/>
      <c r="AK1044" s="1942"/>
      <c r="AL1044" s="1942"/>
      <c r="AM1044" s="1942"/>
      <c r="AN1044" s="1942"/>
      <c r="AO1044" s="1942"/>
      <c r="AP1044" s="1942"/>
      <c r="AQ1044" s="1942"/>
      <c r="AR1044" s="1942"/>
      <c r="AS1044" s="1942"/>
      <c r="AT1044" s="1942"/>
      <c r="AU1044" s="1942"/>
      <c r="AV1044" s="1942"/>
      <c r="AW1044" s="1942"/>
      <c r="AX1044" s="1942"/>
      <c r="AY1044" s="1942"/>
      <c r="AZ1044" s="1942"/>
      <c r="BA1044" s="1942"/>
      <c r="BB1044" s="575"/>
      <c r="BC1044" s="576"/>
      <c r="BD1044" s="678"/>
    </row>
    <row r="1045" spans="1:56" s="51" customFormat="1" hidden="1" outlineLevel="1" x14ac:dyDescent="0.25">
      <c r="A1045" s="1267"/>
      <c r="B1045" s="228"/>
      <c r="C1045" s="328"/>
      <c r="D1045" s="4015" t="s">
        <v>1012</v>
      </c>
      <c r="E1045" s="3989" t="s">
        <v>1126</v>
      </c>
      <c r="F1045" s="3013" t="str">
        <f t="shared" si="108"/>
        <v>Mini/MultiSplitAC_ER1_SF</v>
      </c>
      <c r="G1045" s="3401"/>
      <c r="H1045" s="3402"/>
      <c r="I1045" s="3410" t="str">
        <f t="shared" si="109"/>
        <v>351200_2021_12_</v>
      </c>
      <c r="J1045" s="2962">
        <v>19.833333333333332</v>
      </c>
      <c r="K1045" s="745"/>
      <c r="L1045" s="2959" t="s">
        <v>1118</v>
      </c>
      <c r="M1045" s="1570"/>
      <c r="N1045" s="1556"/>
      <c r="O1045" s="228"/>
      <c r="P1045" s="228"/>
      <c r="Q1045" s="228"/>
      <c r="R1045" s="228"/>
      <c r="S1045" s="228"/>
      <c r="T1045" s="123"/>
      <c r="U1045" s="123"/>
      <c r="V1045" s="4015" t="s">
        <v>1012</v>
      </c>
      <c r="W1045" s="2861">
        <v>22.4</v>
      </c>
      <c r="X1045" s="3157">
        <v>23.17</v>
      </c>
      <c r="Y1045" s="2861">
        <v>23.17</v>
      </c>
      <c r="Z1045" s="2861">
        <v>23.17</v>
      </c>
      <c r="AA1045" s="2861">
        <v>23.17</v>
      </c>
      <c r="AB1045" s="2251">
        <v>23.17</v>
      </c>
      <c r="AC1045" s="2962">
        <v>19.833333333333332</v>
      </c>
      <c r="AD1045" s="2861"/>
      <c r="AE1045" s="2861"/>
      <c r="AF1045" s="2861"/>
      <c r="AG1045" s="747"/>
      <c r="AH1045" s="1942"/>
      <c r="AI1045" s="1942"/>
      <c r="AJ1045" s="1942"/>
      <c r="AK1045" s="1942"/>
      <c r="AL1045" s="1942"/>
      <c r="AM1045" s="1942"/>
      <c r="AN1045" s="1942"/>
      <c r="AO1045" s="1942"/>
      <c r="AP1045" s="1942"/>
      <c r="AQ1045" s="1942"/>
      <c r="AR1045" s="1942"/>
      <c r="AS1045" s="1942"/>
      <c r="AT1045" s="1942"/>
      <c r="AU1045" s="1942"/>
      <c r="AV1045" s="1942"/>
      <c r="AW1045" s="1942"/>
      <c r="AX1045" s="1942"/>
      <c r="AY1045" s="1942"/>
      <c r="AZ1045" s="1942"/>
      <c r="BA1045" s="1942"/>
      <c r="BB1045" s="575"/>
      <c r="BC1045" s="576"/>
      <c r="BD1045" s="678"/>
    </row>
    <row r="1046" spans="1:56" s="51" customFormat="1" ht="30" hidden="1" outlineLevel="1" x14ac:dyDescent="0.25">
      <c r="A1046" s="1267"/>
      <c r="B1046" s="228"/>
      <c r="C1046" s="328"/>
      <c r="D1046" s="4016"/>
      <c r="E1046" s="3990"/>
      <c r="F1046" s="3010" t="str">
        <f t="shared" si="108"/>
        <v>Mini/MultiSplitAC_ROF_SF</v>
      </c>
      <c r="G1046" s="3403"/>
      <c r="H1046" s="3404"/>
      <c r="I1046" s="3411" t="str">
        <f t="shared" si="109"/>
        <v>351250_2021_12_</v>
      </c>
      <c r="J1046" s="2245">
        <v>21.705000000000005</v>
      </c>
      <c r="K1046" s="748"/>
      <c r="L1046" s="2723" t="s">
        <v>1005</v>
      </c>
      <c r="M1046" s="1570"/>
      <c r="N1046" s="1556"/>
      <c r="O1046" s="228"/>
      <c r="P1046" s="228"/>
      <c r="Q1046" s="228"/>
      <c r="R1046" s="228"/>
      <c r="S1046" s="228"/>
      <c r="T1046" s="123"/>
      <c r="U1046" s="123"/>
      <c r="V1046" s="4016"/>
      <c r="W1046" s="2857">
        <v>21.6</v>
      </c>
      <c r="X1046" s="3155">
        <v>23.17</v>
      </c>
      <c r="Y1046" s="2857">
        <v>23.17</v>
      </c>
      <c r="Z1046" s="2857">
        <v>23.17</v>
      </c>
      <c r="AA1046" s="2857">
        <v>23.17</v>
      </c>
      <c r="AB1046" s="2245">
        <v>22.918750000000003</v>
      </c>
      <c r="AC1046" s="2245">
        <v>21.705000000000005</v>
      </c>
      <c r="AD1046" s="2857"/>
      <c r="AE1046" s="2857"/>
      <c r="AF1046" s="2857"/>
      <c r="AG1046" s="697"/>
      <c r="AH1046" s="1942"/>
      <c r="AI1046" s="1942"/>
      <c r="AJ1046" s="1942"/>
      <c r="AK1046" s="1942"/>
      <c r="AL1046" s="1942"/>
      <c r="AM1046" s="1942"/>
      <c r="AN1046" s="1942"/>
      <c r="AO1046" s="1942"/>
      <c r="AP1046" s="1942"/>
      <c r="AQ1046" s="1942"/>
      <c r="AR1046" s="1942"/>
      <c r="AS1046" s="1942"/>
      <c r="AT1046" s="1942"/>
      <c r="AU1046" s="1942"/>
      <c r="AV1046" s="1942"/>
      <c r="AW1046" s="1942"/>
      <c r="AX1046" s="1942"/>
      <c r="AY1046" s="1942"/>
      <c r="AZ1046" s="1942"/>
      <c r="BA1046" s="1942"/>
      <c r="BB1046" s="575"/>
      <c r="BC1046" s="576"/>
      <c r="BD1046" s="678"/>
    </row>
    <row r="1047" spans="1:56" s="51" customFormat="1" ht="30" hidden="1" outlineLevel="1" x14ac:dyDescent="0.25">
      <c r="A1047" s="1267"/>
      <c r="B1047" s="228"/>
      <c r="C1047" s="328"/>
      <c r="D1047" s="4016"/>
      <c r="E1047" s="3990"/>
      <c r="F1047" s="3010" t="str">
        <f t="shared" si="108"/>
        <v>Mini/MultiSplitASHP_ROF_SF_NC</v>
      </c>
      <c r="G1047" s="3403"/>
      <c r="H1047" s="3404"/>
      <c r="I1047" s="3411" t="str">
        <f t="shared" si="109"/>
        <v>351300_2021_12_</v>
      </c>
      <c r="J1047" s="2245">
        <v>22.316949152542367</v>
      </c>
      <c r="K1047" s="748"/>
      <c r="L1047" s="2723" t="s">
        <v>1008</v>
      </c>
      <c r="M1047" s="1570"/>
      <c r="N1047" s="1556"/>
      <c r="O1047" s="228"/>
      <c r="P1047" s="228"/>
      <c r="Q1047" s="228"/>
      <c r="R1047" s="228"/>
      <c r="S1047" s="228"/>
      <c r="T1047" s="123"/>
      <c r="U1047" s="123"/>
      <c r="V1047" s="4016"/>
      <c r="W1047" s="2857">
        <v>22.7</v>
      </c>
      <c r="X1047" s="3155">
        <v>23.17</v>
      </c>
      <c r="Y1047" s="3155">
        <v>19</v>
      </c>
      <c r="Z1047" s="2857">
        <v>19</v>
      </c>
      <c r="AA1047" s="2857">
        <v>19</v>
      </c>
      <c r="AB1047" s="2252">
        <v>19</v>
      </c>
      <c r="AC1047" s="2245">
        <v>22.316949152542367</v>
      </c>
      <c r="AD1047" s="2857"/>
      <c r="AE1047" s="2857"/>
      <c r="AF1047" s="2857"/>
      <c r="AG1047" s="697"/>
      <c r="AH1047" s="1942"/>
      <c r="AI1047" s="1942"/>
      <c r="AJ1047" s="1942"/>
      <c r="AK1047" s="1942"/>
      <c r="AL1047" s="1942"/>
      <c r="AM1047" s="1942"/>
      <c r="AN1047" s="1942"/>
      <c r="AO1047" s="1942"/>
      <c r="AP1047" s="1942"/>
      <c r="AQ1047" s="1942"/>
      <c r="AR1047" s="1942"/>
      <c r="AS1047" s="1942"/>
      <c r="AT1047" s="1942"/>
      <c r="AU1047" s="1942"/>
      <c r="AV1047" s="1942"/>
      <c r="AW1047" s="1942"/>
      <c r="AX1047" s="1942"/>
      <c r="AY1047" s="1942"/>
      <c r="AZ1047" s="1942"/>
      <c r="BA1047" s="1942"/>
      <c r="BB1047" s="575"/>
      <c r="BC1047" s="576"/>
      <c r="BD1047" s="678"/>
    </row>
    <row r="1048" spans="1:56" s="51" customFormat="1" ht="30" hidden="1" outlineLevel="1" x14ac:dyDescent="0.25">
      <c r="A1048" s="1267"/>
      <c r="B1048" s="228"/>
      <c r="C1048" s="328"/>
      <c r="D1048" s="4016"/>
      <c r="E1048" s="3990"/>
      <c r="F1048" s="3010" t="str">
        <f t="shared" si="108"/>
        <v>Mini/MultiSplitASHP_ROF_SF</v>
      </c>
      <c r="G1048" s="3403"/>
      <c r="H1048" s="3404"/>
      <c r="I1048" s="3411" t="str">
        <f t="shared" si="109"/>
        <v>351350_2021_12_</v>
      </c>
      <c r="J1048" s="2245">
        <v>23.175000000000001</v>
      </c>
      <c r="K1048" s="748"/>
      <c r="L1048" s="2723" t="s">
        <v>1005</v>
      </c>
      <c r="M1048" s="1550"/>
      <c r="N1048" s="1556"/>
      <c r="O1048" s="228"/>
      <c r="P1048" s="228"/>
      <c r="Q1048" s="228"/>
      <c r="R1048" s="228"/>
      <c r="S1048" s="228"/>
      <c r="T1048" s="123"/>
      <c r="U1048" s="123"/>
      <c r="V1048" s="4016"/>
      <c r="W1048" s="2857">
        <v>22.7</v>
      </c>
      <c r="X1048" s="3155">
        <v>23.17</v>
      </c>
      <c r="Y1048" s="3155">
        <v>19</v>
      </c>
      <c r="Z1048" s="2857">
        <v>19</v>
      </c>
      <c r="AA1048" s="2857">
        <v>19</v>
      </c>
      <c r="AB1048" s="2245">
        <v>22.519480519480521</v>
      </c>
      <c r="AC1048" s="2245">
        <v>23.175000000000001</v>
      </c>
      <c r="AD1048" s="2857"/>
      <c r="AE1048" s="2857"/>
      <c r="AF1048" s="2857"/>
      <c r="AG1048" s="697"/>
      <c r="AH1048" s="1942"/>
      <c r="AI1048" s="1942"/>
      <c r="AJ1048" s="1942"/>
      <c r="AK1048" s="1942"/>
      <c r="AL1048" s="1942"/>
      <c r="AM1048" s="1942"/>
      <c r="AN1048" s="1942"/>
      <c r="AO1048" s="1942"/>
      <c r="AP1048" s="1942"/>
      <c r="AQ1048" s="1942"/>
      <c r="AR1048" s="1942"/>
      <c r="AS1048" s="1942"/>
      <c r="AT1048" s="1942"/>
      <c r="AU1048" s="1942"/>
      <c r="AV1048" s="1942"/>
      <c r="AW1048" s="1942"/>
      <c r="AX1048" s="1942"/>
      <c r="AY1048" s="1942"/>
      <c r="AZ1048" s="1942"/>
      <c r="BA1048" s="1942"/>
      <c r="BB1048" s="575"/>
      <c r="BC1048" s="576"/>
      <c r="BD1048" s="678"/>
    </row>
    <row r="1049" spans="1:56" s="51" customFormat="1" ht="45" hidden="1" outlineLevel="1" x14ac:dyDescent="0.25">
      <c r="A1049" s="1267"/>
      <c r="B1049" s="228"/>
      <c r="C1049" s="328"/>
      <c r="D1049" s="4016"/>
      <c r="E1049" s="3990"/>
      <c r="F1049" s="3010" t="str">
        <f t="shared" si="108"/>
        <v>Mini/MultiSplitASHP-Replace_CAC_ElectricHeat_ER1_SF</v>
      </c>
      <c r="G1049" s="3403"/>
      <c r="H1049" s="3404"/>
      <c r="I1049" s="3411" t="str">
        <f t="shared" si="109"/>
        <v>351400_2021_12_</v>
      </c>
      <c r="J1049" s="2245">
        <v>21.460465116279071</v>
      </c>
      <c r="K1049" s="748"/>
      <c r="L1049" s="2723" t="s">
        <v>1005</v>
      </c>
      <c r="M1049" s="1550"/>
      <c r="N1049" s="1556"/>
      <c r="O1049" s="228"/>
      <c r="P1049" s="228"/>
      <c r="Q1049" s="228"/>
      <c r="R1049" s="228"/>
      <c r="S1049" s="228"/>
      <c r="T1049" s="123"/>
      <c r="U1049" s="123"/>
      <c r="V1049" s="4016"/>
      <c r="W1049" s="2857">
        <v>22.4</v>
      </c>
      <c r="X1049" s="3155">
        <v>23.17</v>
      </c>
      <c r="Y1049" s="3155">
        <v>22.63</v>
      </c>
      <c r="Z1049" s="2857">
        <v>22.63</v>
      </c>
      <c r="AA1049" s="2857">
        <v>22.63</v>
      </c>
      <c r="AB1049" s="2245">
        <v>22.429399999999998</v>
      </c>
      <c r="AC1049" s="2245">
        <v>21.460465116279071</v>
      </c>
      <c r="AD1049" s="2857"/>
      <c r="AE1049" s="2857"/>
      <c r="AF1049" s="2857"/>
      <c r="AG1049" s="697"/>
      <c r="AH1049" s="1942"/>
      <c r="AI1049" s="1942"/>
      <c r="AJ1049" s="1942"/>
      <c r="AK1049" s="1942"/>
      <c r="AL1049" s="1942"/>
      <c r="AM1049" s="1942"/>
      <c r="AN1049" s="1942"/>
      <c r="AO1049" s="1942"/>
      <c r="AP1049" s="1942"/>
      <c r="AQ1049" s="1942"/>
      <c r="AR1049" s="1942"/>
      <c r="AS1049" s="1942"/>
      <c r="AT1049" s="1942"/>
      <c r="AU1049" s="1942"/>
      <c r="AV1049" s="1942"/>
      <c r="AW1049" s="1942"/>
      <c r="AX1049" s="1942"/>
      <c r="AY1049" s="1942"/>
      <c r="AZ1049" s="1942"/>
      <c r="BA1049" s="1942"/>
      <c r="BB1049" s="575"/>
      <c r="BC1049" s="576"/>
      <c r="BD1049" s="678"/>
    </row>
    <row r="1050" spans="1:56" s="51" customFormat="1" ht="45" hidden="1" outlineLevel="1" x14ac:dyDescent="0.25">
      <c r="A1050" s="1267"/>
      <c r="B1050" s="228"/>
      <c r="C1050" s="328"/>
      <c r="D1050" s="4016"/>
      <c r="E1050" s="3990"/>
      <c r="F1050" s="3010" t="str">
        <f t="shared" si="108"/>
        <v>Mini/MultiSplitASHP-Replace_CAC_ElectricHeat_ROF_SF</v>
      </c>
      <c r="G1050" s="3403"/>
      <c r="H1050" s="3404"/>
      <c r="I1050" s="3411" t="str">
        <f t="shared" si="109"/>
        <v>351450_2021_12_</v>
      </c>
      <c r="J1050" s="2245">
        <v>22.146153846153844</v>
      </c>
      <c r="K1050" s="748"/>
      <c r="L1050" s="2723" t="s">
        <v>1005</v>
      </c>
      <c r="M1050" s="1550"/>
      <c r="N1050" s="1556"/>
      <c r="O1050" s="228"/>
      <c r="P1050" s="228"/>
      <c r="Q1050" s="228"/>
      <c r="R1050" s="228"/>
      <c r="S1050" s="228"/>
      <c r="T1050" s="123"/>
      <c r="U1050" s="123"/>
      <c r="V1050" s="4016"/>
      <c r="W1050" s="2857">
        <v>21.6</v>
      </c>
      <c r="X1050" s="3155">
        <v>23.17</v>
      </c>
      <c r="Y1050" s="3155">
        <v>22.77</v>
      </c>
      <c r="Z1050" s="2857">
        <v>22.77</v>
      </c>
      <c r="AA1050" s="2857">
        <v>22.77</v>
      </c>
      <c r="AB1050" s="2245">
        <v>23.193333333333332</v>
      </c>
      <c r="AC1050" s="2245">
        <v>22.146153846153844</v>
      </c>
      <c r="AD1050" s="2857"/>
      <c r="AE1050" s="2857"/>
      <c r="AF1050" s="2857"/>
      <c r="AG1050" s="697"/>
      <c r="AH1050" s="1942"/>
      <c r="AI1050" s="1942"/>
      <c r="AJ1050" s="1942"/>
      <c r="AK1050" s="1942"/>
      <c r="AL1050" s="1942"/>
      <c r="AM1050" s="1942"/>
      <c r="AN1050" s="1942"/>
      <c r="AO1050" s="1942"/>
      <c r="AP1050" s="1942"/>
      <c r="AQ1050" s="1942"/>
      <c r="AR1050" s="1942"/>
      <c r="AS1050" s="1942"/>
      <c r="AT1050" s="1942"/>
      <c r="AU1050" s="1942"/>
      <c r="AV1050" s="1942"/>
      <c r="AW1050" s="1942"/>
      <c r="AX1050" s="1942"/>
      <c r="AY1050" s="1942"/>
      <c r="AZ1050" s="1942"/>
      <c r="BA1050" s="1942"/>
      <c r="BB1050" s="575"/>
      <c r="BC1050" s="576"/>
      <c r="BD1050" s="678"/>
    </row>
    <row r="1051" spans="1:56" s="51" customFormat="1" ht="30" hidden="1" outlineLevel="1" x14ac:dyDescent="0.25">
      <c r="A1051" s="1267"/>
      <c r="B1051" s="228"/>
      <c r="C1051" s="328"/>
      <c r="D1051" s="4016"/>
      <c r="E1051" s="3990"/>
      <c r="F1051" s="3010" t="str">
        <f t="shared" si="108"/>
        <v>Mini/MultiSplitASHP_ER1_SF</v>
      </c>
      <c r="G1051" s="3403"/>
      <c r="H1051" s="3404"/>
      <c r="I1051" s="3411" t="str">
        <f t="shared" si="109"/>
        <v>351500_2021_12_</v>
      </c>
      <c r="J1051" s="2245">
        <v>21.90909090909091</v>
      </c>
      <c r="K1051" s="748"/>
      <c r="L1051" s="2723" t="s">
        <v>1005</v>
      </c>
      <c r="M1051" s="1570"/>
      <c r="N1051" s="1556"/>
      <c r="O1051" s="228"/>
      <c r="P1051" s="228"/>
      <c r="Q1051" s="228"/>
      <c r="R1051" s="228"/>
      <c r="S1051" s="228"/>
      <c r="T1051" s="123"/>
      <c r="U1051" s="123"/>
      <c r="V1051" s="4016"/>
      <c r="W1051" s="2857">
        <v>21.2</v>
      </c>
      <c r="X1051" s="3155">
        <v>23.17</v>
      </c>
      <c r="Y1051" s="3155">
        <v>27.01</v>
      </c>
      <c r="Z1051" s="2857">
        <v>27.01</v>
      </c>
      <c r="AA1051" s="2857">
        <v>27.01</v>
      </c>
      <c r="AB1051" s="2245">
        <v>22.249999999999996</v>
      </c>
      <c r="AC1051" s="2245">
        <v>21.90909090909091</v>
      </c>
      <c r="AD1051" s="2857"/>
      <c r="AE1051" s="2857"/>
      <c r="AF1051" s="2857"/>
      <c r="AG1051" s="697"/>
      <c r="AH1051" s="1942"/>
      <c r="AI1051" s="1942"/>
      <c r="AJ1051" s="1942"/>
      <c r="AK1051" s="1942"/>
      <c r="AL1051" s="1942"/>
      <c r="AM1051" s="1942"/>
      <c r="AN1051" s="1942"/>
      <c r="AO1051" s="1942"/>
      <c r="AP1051" s="1942"/>
      <c r="AQ1051" s="1942"/>
      <c r="AR1051" s="1942"/>
      <c r="AS1051" s="1942"/>
      <c r="AT1051" s="1942"/>
      <c r="AU1051" s="1942"/>
      <c r="AV1051" s="1942"/>
      <c r="AW1051" s="1942"/>
      <c r="AX1051" s="1942"/>
      <c r="AY1051" s="1942"/>
      <c r="AZ1051" s="1942"/>
      <c r="BA1051" s="1942"/>
      <c r="BB1051" s="575"/>
      <c r="BC1051" s="576"/>
      <c r="BD1051" s="678"/>
    </row>
    <row r="1052" spans="1:56" s="51" customFormat="1" ht="30" hidden="1" outlineLevel="1" x14ac:dyDescent="0.25">
      <c r="A1052" s="1267"/>
      <c r="B1052" s="228"/>
      <c r="C1052" s="328"/>
      <c r="D1052" s="4016"/>
      <c r="E1052" s="3990"/>
      <c r="F1052" s="3010" t="str">
        <f t="shared" si="108"/>
        <v>Mini/MultiSplitAC_ER1_MF</v>
      </c>
      <c r="G1052" s="3403"/>
      <c r="H1052" s="3404"/>
      <c r="I1052" s="3411" t="str">
        <f t="shared" si="109"/>
        <v>351550_2021_12_</v>
      </c>
      <c r="J1052" s="2245">
        <f>J1045</f>
        <v>19.833333333333332</v>
      </c>
      <c r="K1052" s="748"/>
      <c r="L1052" s="2731" t="s">
        <v>1125</v>
      </c>
      <c r="M1052" s="1570"/>
      <c r="N1052" s="1556"/>
      <c r="O1052" s="228"/>
      <c r="P1052" s="228"/>
      <c r="Q1052" s="228"/>
      <c r="R1052" s="228"/>
      <c r="S1052" s="228"/>
      <c r="T1052" s="123"/>
      <c r="U1052" s="123"/>
      <c r="V1052" s="4016"/>
      <c r="W1052" s="2857"/>
      <c r="X1052" s="3155"/>
      <c r="Y1052" s="3155">
        <v>23.17</v>
      </c>
      <c r="Z1052" s="2857">
        <v>23.17</v>
      </c>
      <c r="AA1052" s="2857">
        <v>23.17</v>
      </c>
      <c r="AB1052" s="2252">
        <v>23.17</v>
      </c>
      <c r="AC1052" s="2245">
        <v>19.833333333333332</v>
      </c>
      <c r="AD1052" s="2857"/>
      <c r="AE1052" s="2857"/>
      <c r="AF1052" s="2857"/>
      <c r="AG1052" s="697"/>
      <c r="AH1052" s="1942"/>
      <c r="AI1052" s="1942"/>
      <c r="AJ1052" s="1942"/>
      <c r="AK1052" s="1942"/>
      <c r="AL1052" s="1942"/>
      <c r="AM1052" s="1942"/>
      <c r="AN1052" s="1942"/>
      <c r="AO1052" s="1942"/>
      <c r="AP1052" s="1942"/>
      <c r="AQ1052" s="1942"/>
      <c r="AR1052" s="1942"/>
      <c r="AS1052" s="1942"/>
      <c r="AT1052" s="1942"/>
      <c r="AU1052" s="1942"/>
      <c r="AV1052" s="1942"/>
      <c r="AW1052" s="1942"/>
      <c r="AX1052" s="1942"/>
      <c r="AY1052" s="1942"/>
      <c r="AZ1052" s="1942"/>
      <c r="BA1052" s="1942"/>
      <c r="BB1052" s="575"/>
      <c r="BC1052" s="576"/>
      <c r="BD1052" s="678"/>
    </row>
    <row r="1053" spans="1:56" s="51" customFormat="1" ht="30" hidden="1" outlineLevel="1" x14ac:dyDescent="0.25">
      <c r="A1053" s="1267"/>
      <c r="B1053" s="228"/>
      <c r="C1053" s="328"/>
      <c r="D1053" s="4016"/>
      <c r="E1053" s="3990"/>
      <c r="F1053" s="3010" t="str">
        <f t="shared" si="108"/>
        <v>Mini/MultiSplitAC_ROF_MF</v>
      </c>
      <c r="G1053" s="3403"/>
      <c r="H1053" s="3404"/>
      <c r="I1053" s="3411" t="str">
        <f t="shared" si="109"/>
        <v>351600_2021_12_</v>
      </c>
      <c r="J1053" s="2245">
        <f t="shared" ref="J1053:J1058" si="114">J1046</f>
        <v>21.705000000000005</v>
      </c>
      <c r="K1053" s="748"/>
      <c r="L1053" s="2243" t="s">
        <v>1125</v>
      </c>
      <c r="M1053" s="1570"/>
      <c r="N1053" s="1556"/>
      <c r="O1053" s="228"/>
      <c r="P1053" s="228"/>
      <c r="Q1053" s="228"/>
      <c r="R1053" s="228"/>
      <c r="S1053" s="228"/>
      <c r="T1053" s="123"/>
      <c r="U1053" s="123"/>
      <c r="V1053" s="4016"/>
      <c r="W1053" s="2857"/>
      <c r="X1053" s="3155"/>
      <c r="Y1053" s="3155">
        <v>23.17</v>
      </c>
      <c r="Z1053" s="2857">
        <v>23.17</v>
      </c>
      <c r="AA1053" s="2857">
        <v>23.17</v>
      </c>
      <c r="AB1053" s="2245">
        <v>22.918750000000003</v>
      </c>
      <c r="AC1053" s="2245">
        <v>21.705000000000005</v>
      </c>
      <c r="AD1053" s="2857"/>
      <c r="AE1053" s="2857"/>
      <c r="AF1053" s="2857"/>
      <c r="AG1053" s="697"/>
      <c r="AH1053" s="1942"/>
      <c r="AI1053" s="1942"/>
      <c r="AJ1053" s="1942"/>
      <c r="AK1053" s="1942"/>
      <c r="AL1053" s="1942"/>
      <c r="AM1053" s="1942"/>
      <c r="AN1053" s="1942"/>
      <c r="AO1053" s="1942"/>
      <c r="AP1053" s="1942"/>
      <c r="AQ1053" s="1942"/>
      <c r="AR1053" s="1942"/>
      <c r="AS1053" s="1942"/>
      <c r="AT1053" s="1942"/>
      <c r="AU1053" s="1942"/>
      <c r="AV1053" s="1942"/>
      <c r="AW1053" s="1942"/>
      <c r="AX1053" s="1942"/>
      <c r="AY1053" s="1942"/>
      <c r="AZ1053" s="1942"/>
      <c r="BA1053" s="1942"/>
      <c r="BB1053" s="575"/>
      <c r="BC1053" s="576"/>
      <c r="BD1053" s="678"/>
    </row>
    <row r="1054" spans="1:56" s="51" customFormat="1" ht="30" hidden="1" outlineLevel="1" x14ac:dyDescent="0.25">
      <c r="A1054" s="1267"/>
      <c r="B1054" s="228"/>
      <c r="C1054" s="328"/>
      <c r="D1054" s="4016"/>
      <c r="E1054" s="3990"/>
      <c r="F1054" s="3010" t="str">
        <f t="shared" si="108"/>
        <v>Mini/MultiSplitASHP_ROF_MF_NC</v>
      </c>
      <c r="G1054" s="3403"/>
      <c r="H1054" s="3404"/>
      <c r="I1054" s="3411" t="str">
        <f t="shared" si="109"/>
        <v>351650_2021_12_</v>
      </c>
      <c r="J1054" s="2245">
        <f t="shared" si="114"/>
        <v>22.316949152542367</v>
      </c>
      <c r="K1054" s="748"/>
      <c r="L1054" s="2731" t="s">
        <v>1125</v>
      </c>
      <c r="M1054" s="1570"/>
      <c r="N1054" s="1556"/>
      <c r="O1054" s="228"/>
      <c r="P1054" s="228"/>
      <c r="Q1054" s="228"/>
      <c r="R1054" s="228"/>
      <c r="S1054" s="228"/>
      <c r="T1054" s="123"/>
      <c r="U1054" s="123"/>
      <c r="V1054" s="4016"/>
      <c r="W1054" s="2857"/>
      <c r="X1054" s="3155"/>
      <c r="Y1054" s="3155">
        <v>19</v>
      </c>
      <c r="Z1054" s="2857">
        <v>19</v>
      </c>
      <c r="AA1054" s="2857">
        <v>19</v>
      </c>
      <c r="AB1054" s="2252">
        <v>19</v>
      </c>
      <c r="AC1054" s="2245">
        <v>22.316949152542367</v>
      </c>
      <c r="AD1054" s="2857"/>
      <c r="AE1054" s="2857"/>
      <c r="AF1054" s="2857"/>
      <c r="AG1054" s="697"/>
      <c r="AH1054" s="1942"/>
      <c r="AI1054" s="1942"/>
      <c r="AJ1054" s="1942"/>
      <c r="AK1054" s="1942"/>
      <c r="AL1054" s="1942"/>
      <c r="AM1054" s="1942"/>
      <c r="AN1054" s="1942"/>
      <c r="AO1054" s="1942"/>
      <c r="AP1054" s="1942"/>
      <c r="AQ1054" s="1942"/>
      <c r="AR1054" s="1942"/>
      <c r="AS1054" s="1942"/>
      <c r="AT1054" s="1942"/>
      <c r="AU1054" s="1942"/>
      <c r="AV1054" s="1942"/>
      <c r="AW1054" s="1942"/>
      <c r="AX1054" s="1942"/>
      <c r="AY1054" s="1942"/>
      <c r="AZ1054" s="1942"/>
      <c r="BA1054" s="1942"/>
      <c r="BB1054" s="575"/>
      <c r="BC1054" s="576"/>
      <c r="BD1054" s="678"/>
    </row>
    <row r="1055" spans="1:56" s="51" customFormat="1" ht="30" hidden="1" outlineLevel="1" x14ac:dyDescent="0.25">
      <c r="A1055" s="1267"/>
      <c r="B1055" s="228"/>
      <c r="C1055" s="328"/>
      <c r="D1055" s="4016"/>
      <c r="E1055" s="3990"/>
      <c r="F1055" s="3010" t="str">
        <f t="shared" si="108"/>
        <v>Mini/MultiSplitASHP_ROF_MF</v>
      </c>
      <c r="G1055" s="3403"/>
      <c r="H1055" s="3404"/>
      <c r="I1055" s="3411" t="str">
        <f t="shared" si="109"/>
        <v>351700_2021_12_</v>
      </c>
      <c r="J1055" s="2245">
        <f t="shared" si="114"/>
        <v>23.175000000000001</v>
      </c>
      <c r="K1055" s="748"/>
      <c r="L1055" s="2243" t="s">
        <v>1125</v>
      </c>
      <c r="M1055" s="1570"/>
      <c r="N1055" s="1556"/>
      <c r="O1055" s="228"/>
      <c r="P1055" s="228"/>
      <c r="Q1055" s="228"/>
      <c r="R1055" s="228"/>
      <c r="S1055" s="228"/>
      <c r="T1055" s="123"/>
      <c r="U1055" s="123"/>
      <c r="V1055" s="4016"/>
      <c r="W1055" s="2857"/>
      <c r="X1055" s="3155"/>
      <c r="Y1055" s="3155">
        <v>19</v>
      </c>
      <c r="Z1055" s="2857">
        <v>19</v>
      </c>
      <c r="AA1055" s="2857">
        <v>19</v>
      </c>
      <c r="AB1055" s="2245">
        <v>22.519480519480521</v>
      </c>
      <c r="AC1055" s="2245">
        <v>23.175000000000001</v>
      </c>
      <c r="AD1055" s="2857"/>
      <c r="AE1055" s="2857"/>
      <c r="AF1055" s="2857"/>
      <c r="AG1055" s="697"/>
      <c r="AH1055" s="1942"/>
      <c r="AI1055" s="1942"/>
      <c r="AJ1055" s="1942"/>
      <c r="AK1055" s="1942"/>
      <c r="AL1055" s="1942"/>
      <c r="AM1055" s="1942"/>
      <c r="AN1055" s="1942"/>
      <c r="AO1055" s="1942"/>
      <c r="AP1055" s="1942"/>
      <c r="AQ1055" s="1942"/>
      <c r="AR1055" s="1942"/>
      <c r="AS1055" s="1942"/>
      <c r="AT1055" s="1942"/>
      <c r="AU1055" s="1942"/>
      <c r="AV1055" s="1942"/>
      <c r="AW1055" s="1942"/>
      <c r="AX1055" s="1942"/>
      <c r="AY1055" s="1942"/>
      <c r="AZ1055" s="1942"/>
      <c r="BA1055" s="1942"/>
      <c r="BB1055" s="575"/>
      <c r="BC1055" s="576"/>
      <c r="BD1055" s="678"/>
    </row>
    <row r="1056" spans="1:56" s="51" customFormat="1" ht="45" hidden="1" outlineLevel="1" x14ac:dyDescent="0.25">
      <c r="A1056" s="1267"/>
      <c r="B1056" s="228"/>
      <c r="C1056" s="328"/>
      <c r="D1056" s="4016"/>
      <c r="E1056" s="3990"/>
      <c r="F1056" s="3010" t="str">
        <f t="shared" si="108"/>
        <v>Mini/MultiSplitASHP-Replace_CAC_ElectricHeat_ER1_MF</v>
      </c>
      <c r="G1056" s="3403"/>
      <c r="H1056" s="3404"/>
      <c r="I1056" s="3411" t="str">
        <f t="shared" si="109"/>
        <v>351750_2021_12_</v>
      </c>
      <c r="J1056" s="2245">
        <f t="shared" si="114"/>
        <v>21.460465116279071</v>
      </c>
      <c r="K1056" s="748"/>
      <c r="L1056" s="2243" t="s">
        <v>1125</v>
      </c>
      <c r="M1056" s="1570"/>
      <c r="N1056" s="1556"/>
      <c r="O1056" s="228"/>
      <c r="P1056" s="228"/>
      <c r="Q1056" s="228"/>
      <c r="R1056" s="228"/>
      <c r="S1056" s="228"/>
      <c r="T1056" s="123"/>
      <c r="U1056" s="123"/>
      <c r="V1056" s="4016"/>
      <c r="W1056" s="2857"/>
      <c r="X1056" s="3155"/>
      <c r="Y1056" s="3155">
        <v>22.63</v>
      </c>
      <c r="Z1056" s="2857">
        <v>22.63</v>
      </c>
      <c r="AA1056" s="2857">
        <v>22.63</v>
      </c>
      <c r="AB1056" s="2245">
        <v>22.429399999999998</v>
      </c>
      <c r="AC1056" s="2245">
        <v>21.460465116279071</v>
      </c>
      <c r="AD1056" s="2857"/>
      <c r="AE1056" s="2857"/>
      <c r="AF1056" s="2857"/>
      <c r="AG1056" s="697"/>
      <c r="AH1056" s="1942"/>
      <c r="AI1056" s="1942"/>
      <c r="AJ1056" s="1942"/>
      <c r="AK1056" s="1942"/>
      <c r="AL1056" s="1942"/>
      <c r="AM1056" s="1942"/>
      <c r="AN1056" s="1942"/>
      <c r="AO1056" s="1942"/>
      <c r="AP1056" s="1942"/>
      <c r="AQ1056" s="1942"/>
      <c r="AR1056" s="1942"/>
      <c r="AS1056" s="1942"/>
      <c r="AT1056" s="1942"/>
      <c r="AU1056" s="1942"/>
      <c r="AV1056" s="1942"/>
      <c r="AW1056" s="1942"/>
      <c r="AX1056" s="1942"/>
      <c r="AY1056" s="1942"/>
      <c r="AZ1056" s="1942"/>
      <c r="BA1056" s="1942"/>
      <c r="BB1056" s="575"/>
      <c r="BC1056" s="576"/>
      <c r="BD1056" s="678"/>
    </row>
    <row r="1057" spans="1:56" s="51" customFormat="1" ht="45" hidden="1" outlineLevel="1" x14ac:dyDescent="0.25">
      <c r="A1057" s="1267"/>
      <c r="B1057" s="228"/>
      <c r="C1057" s="328"/>
      <c r="D1057" s="4016"/>
      <c r="E1057" s="3990"/>
      <c r="F1057" s="3010" t="str">
        <f t="shared" si="108"/>
        <v>Mini/MultiSplitASHP-Replace_CAC_ElectricHeat_ROF_MF</v>
      </c>
      <c r="G1057" s="3403"/>
      <c r="H1057" s="3404"/>
      <c r="I1057" s="3411" t="str">
        <f t="shared" si="109"/>
        <v>351800_2021_12_</v>
      </c>
      <c r="J1057" s="2245">
        <f t="shared" si="114"/>
        <v>22.146153846153844</v>
      </c>
      <c r="K1057" s="748"/>
      <c r="L1057" s="2243" t="s">
        <v>1125</v>
      </c>
      <c r="M1057" s="1570"/>
      <c r="N1057" s="1556"/>
      <c r="O1057" s="228"/>
      <c r="P1057" s="228"/>
      <c r="Q1057" s="228"/>
      <c r="R1057" s="228"/>
      <c r="S1057" s="228"/>
      <c r="T1057" s="123"/>
      <c r="U1057" s="123"/>
      <c r="V1057" s="4016"/>
      <c r="W1057" s="2857"/>
      <c r="X1057" s="3155"/>
      <c r="Y1057" s="3155">
        <v>22.77</v>
      </c>
      <c r="Z1057" s="2857">
        <v>22.77</v>
      </c>
      <c r="AA1057" s="2857">
        <v>22.77</v>
      </c>
      <c r="AB1057" s="2245">
        <v>23.193333333333332</v>
      </c>
      <c r="AC1057" s="2245">
        <v>22.146153846153844</v>
      </c>
      <c r="AD1057" s="2857"/>
      <c r="AE1057" s="2857"/>
      <c r="AF1057" s="2857"/>
      <c r="AG1057" s="697"/>
      <c r="AH1057" s="1942"/>
      <c r="AI1057" s="1942"/>
      <c r="AJ1057" s="1942"/>
      <c r="AK1057" s="1942"/>
      <c r="AL1057" s="1942"/>
      <c r="AM1057" s="1942"/>
      <c r="AN1057" s="1942"/>
      <c r="AO1057" s="1942"/>
      <c r="AP1057" s="1942"/>
      <c r="AQ1057" s="1942"/>
      <c r="AR1057" s="1942"/>
      <c r="AS1057" s="1942"/>
      <c r="AT1057" s="1942"/>
      <c r="AU1057" s="1942"/>
      <c r="AV1057" s="1942"/>
      <c r="AW1057" s="1942"/>
      <c r="AX1057" s="1942"/>
      <c r="AY1057" s="1942"/>
      <c r="AZ1057" s="1942"/>
      <c r="BA1057" s="1942"/>
      <c r="BB1057" s="575"/>
      <c r="BC1057" s="576"/>
      <c r="BD1057" s="678"/>
    </row>
    <row r="1058" spans="1:56" s="51" customFormat="1" ht="30" hidden="1" outlineLevel="1" x14ac:dyDescent="0.25">
      <c r="A1058" s="1267"/>
      <c r="B1058" s="228"/>
      <c r="C1058" s="328"/>
      <c r="D1058" s="4016"/>
      <c r="E1058" s="3990"/>
      <c r="F1058" s="3010" t="str">
        <f t="shared" si="108"/>
        <v>Mini/MultiSplitASHP_ER1_MF</v>
      </c>
      <c r="G1058" s="3403"/>
      <c r="H1058" s="3404"/>
      <c r="I1058" s="3411" t="str">
        <f t="shared" si="109"/>
        <v>351850_2021_12_</v>
      </c>
      <c r="J1058" s="2245">
        <f t="shared" si="114"/>
        <v>21.90909090909091</v>
      </c>
      <c r="K1058" s="748"/>
      <c r="L1058" s="2243" t="s">
        <v>1125</v>
      </c>
      <c r="M1058" s="1570"/>
      <c r="N1058" s="1556"/>
      <c r="O1058" s="228"/>
      <c r="P1058" s="228"/>
      <c r="Q1058" s="228"/>
      <c r="R1058" s="228"/>
      <c r="S1058" s="228"/>
      <c r="T1058" s="123"/>
      <c r="U1058" s="123"/>
      <c r="V1058" s="4016"/>
      <c r="W1058" s="2857"/>
      <c r="X1058" s="3155"/>
      <c r="Y1058" s="3155">
        <v>27.01</v>
      </c>
      <c r="Z1058" s="2857">
        <v>27.01</v>
      </c>
      <c r="AA1058" s="2857">
        <v>27.01</v>
      </c>
      <c r="AB1058" s="2245">
        <v>22.249999999999996</v>
      </c>
      <c r="AC1058" s="2245">
        <v>21.90909090909091</v>
      </c>
      <c r="AD1058" s="2857"/>
      <c r="AE1058" s="2857"/>
      <c r="AF1058" s="2857"/>
      <c r="AG1058" s="697"/>
      <c r="AH1058" s="1942"/>
      <c r="AI1058" s="1942"/>
      <c r="AJ1058" s="1942"/>
      <c r="AK1058" s="1942"/>
      <c r="AL1058" s="1942"/>
      <c r="AM1058" s="1942"/>
      <c r="AN1058" s="1942"/>
      <c r="AO1058" s="1942"/>
      <c r="AP1058" s="1942"/>
      <c r="AQ1058" s="1942"/>
      <c r="AR1058" s="1942"/>
      <c r="AS1058" s="1942"/>
      <c r="AT1058" s="1942"/>
      <c r="AU1058" s="1942"/>
      <c r="AV1058" s="1942"/>
      <c r="AW1058" s="1942"/>
      <c r="AX1058" s="1942"/>
      <c r="AY1058" s="1942"/>
      <c r="AZ1058" s="1942"/>
      <c r="BA1058" s="1942"/>
      <c r="BB1058" s="575"/>
      <c r="BC1058" s="576"/>
      <c r="BD1058" s="678"/>
    </row>
    <row r="1059" spans="1:56" s="51" customFormat="1" ht="30" hidden="1" outlineLevel="1" x14ac:dyDescent="0.25">
      <c r="A1059" s="1267"/>
      <c r="B1059" s="228"/>
      <c r="C1059" s="328"/>
      <c r="D1059" s="4016"/>
      <c r="E1059" s="3990"/>
      <c r="F1059" s="3010" t="str">
        <f t="shared" si="108"/>
        <v>Mini/MultiSplitAC_ER1_MF_CompE</v>
      </c>
      <c r="G1059" s="3403"/>
      <c r="H1059" s="3404"/>
      <c r="I1059" s="3411" t="str">
        <f t="shared" si="109"/>
        <v>351551_2021_12_</v>
      </c>
      <c r="J1059" s="2245">
        <f>J1045</f>
        <v>19.833333333333332</v>
      </c>
      <c r="K1059" s="748"/>
      <c r="L1059" s="2731" t="s">
        <v>1125</v>
      </c>
      <c r="M1059" s="1570"/>
      <c r="N1059" s="1556"/>
      <c r="O1059" s="228"/>
      <c r="P1059" s="228"/>
      <c r="Q1059" s="228"/>
      <c r="R1059" s="228"/>
      <c r="S1059" s="228"/>
      <c r="T1059" s="123"/>
      <c r="U1059" s="123"/>
      <c r="V1059" s="4016"/>
      <c r="W1059" s="2857"/>
      <c r="X1059" s="2857"/>
      <c r="Y1059" s="3155">
        <v>23.17</v>
      </c>
      <c r="Z1059" s="2857">
        <v>23.17</v>
      </c>
      <c r="AA1059" s="2857">
        <v>23.17</v>
      </c>
      <c r="AB1059" s="2252">
        <v>23.17</v>
      </c>
      <c r="AC1059" s="2245">
        <v>19.833333333333332</v>
      </c>
      <c r="AD1059" s="2857"/>
      <c r="AE1059" s="2857"/>
      <c r="AF1059" s="2857"/>
      <c r="AG1059" s="697"/>
      <c r="AH1059" s="1942"/>
      <c r="AI1059" s="1942"/>
      <c r="AJ1059" s="1942"/>
      <c r="AK1059" s="1942"/>
      <c r="AL1059" s="1942"/>
      <c r="AM1059" s="1942"/>
      <c r="AN1059" s="1942"/>
      <c r="AO1059" s="1942"/>
      <c r="AP1059" s="1942"/>
      <c r="AQ1059" s="1942"/>
      <c r="AR1059" s="1942"/>
      <c r="AS1059" s="1942"/>
      <c r="AT1059" s="1942"/>
      <c r="AU1059" s="1942"/>
      <c r="AV1059" s="1942"/>
      <c r="AW1059" s="1942"/>
      <c r="AX1059" s="1942"/>
      <c r="AY1059" s="1942"/>
      <c r="AZ1059" s="1942"/>
      <c r="BA1059" s="1942"/>
      <c r="BB1059" s="575"/>
      <c r="BC1059" s="576"/>
      <c r="BD1059" s="678"/>
    </row>
    <row r="1060" spans="1:56" s="51" customFormat="1" ht="30" hidden="1" outlineLevel="1" x14ac:dyDescent="0.25">
      <c r="A1060" s="1267"/>
      <c r="B1060" s="228"/>
      <c r="C1060" s="328"/>
      <c r="D1060" s="4016"/>
      <c r="E1060" s="3990"/>
      <c r="F1060" s="3010" t="str">
        <f t="shared" si="108"/>
        <v>Mini/MultiSplitAC_ROF_MF_CompE</v>
      </c>
      <c r="G1060" s="3403"/>
      <c r="H1060" s="3404"/>
      <c r="I1060" s="3411" t="str">
        <f t="shared" si="109"/>
        <v>351601_2021_12_</v>
      </c>
      <c r="J1060" s="2245">
        <f t="shared" ref="J1060:J1065" si="115">J1046</f>
        <v>21.705000000000005</v>
      </c>
      <c r="K1060" s="748"/>
      <c r="L1060" s="2243" t="s">
        <v>1125</v>
      </c>
      <c r="M1060" s="1570"/>
      <c r="N1060" s="1556"/>
      <c r="O1060" s="228"/>
      <c r="P1060" s="228"/>
      <c r="Q1060" s="228"/>
      <c r="R1060" s="228"/>
      <c r="S1060" s="228"/>
      <c r="T1060" s="123"/>
      <c r="U1060" s="123"/>
      <c r="V1060" s="4016"/>
      <c r="W1060" s="2857"/>
      <c r="X1060" s="2857"/>
      <c r="Y1060" s="3155">
        <v>23.17</v>
      </c>
      <c r="Z1060" s="2857">
        <v>23.17</v>
      </c>
      <c r="AA1060" s="2857">
        <v>23.17</v>
      </c>
      <c r="AB1060" s="2245">
        <v>22.918750000000003</v>
      </c>
      <c r="AC1060" s="2245">
        <v>21.705000000000005</v>
      </c>
      <c r="AD1060" s="2857"/>
      <c r="AE1060" s="2857"/>
      <c r="AF1060" s="2857"/>
      <c r="AG1060" s="697"/>
      <c r="AH1060" s="1942"/>
      <c r="AI1060" s="1942"/>
      <c r="AJ1060" s="1942"/>
      <c r="AK1060" s="1942"/>
      <c r="AL1060" s="1942"/>
      <c r="AM1060" s="1942"/>
      <c r="AN1060" s="1942"/>
      <c r="AO1060" s="1942"/>
      <c r="AP1060" s="1942"/>
      <c r="AQ1060" s="1942"/>
      <c r="AR1060" s="1942"/>
      <c r="AS1060" s="1942"/>
      <c r="AT1060" s="1942"/>
      <c r="AU1060" s="1942"/>
      <c r="AV1060" s="1942"/>
      <c r="AW1060" s="1942"/>
      <c r="AX1060" s="1942"/>
      <c r="AY1060" s="1942"/>
      <c r="AZ1060" s="1942"/>
      <c r="BA1060" s="1942"/>
      <c r="BB1060" s="575"/>
      <c r="BC1060" s="576"/>
      <c r="BD1060" s="678"/>
    </row>
    <row r="1061" spans="1:56" s="51" customFormat="1" ht="30" hidden="1" outlineLevel="1" x14ac:dyDescent="0.25">
      <c r="A1061" s="1267"/>
      <c r="B1061" s="228"/>
      <c r="C1061" s="328"/>
      <c r="D1061" s="4016"/>
      <c r="E1061" s="3990"/>
      <c r="F1061" s="3010" t="str">
        <f t="shared" si="108"/>
        <v>Mini/MultiSplitASHP_ROF_MF_NC_CompE</v>
      </c>
      <c r="G1061" s="3403"/>
      <c r="H1061" s="3404"/>
      <c r="I1061" s="3411" t="str">
        <f t="shared" si="109"/>
        <v>351651_2021_12_</v>
      </c>
      <c r="J1061" s="2245">
        <f t="shared" si="115"/>
        <v>22.316949152542367</v>
      </c>
      <c r="K1061" s="748"/>
      <c r="L1061" s="2731" t="s">
        <v>1125</v>
      </c>
      <c r="M1061" s="1570"/>
      <c r="N1061" s="1556"/>
      <c r="O1061" s="228"/>
      <c r="P1061" s="228"/>
      <c r="Q1061" s="228"/>
      <c r="R1061" s="228"/>
      <c r="S1061" s="228"/>
      <c r="T1061" s="123"/>
      <c r="U1061" s="123"/>
      <c r="V1061" s="4016"/>
      <c r="W1061" s="2857"/>
      <c r="X1061" s="2857"/>
      <c r="Y1061" s="3155">
        <v>19</v>
      </c>
      <c r="Z1061" s="2857">
        <v>19</v>
      </c>
      <c r="AA1061" s="2857">
        <v>19</v>
      </c>
      <c r="AB1061" s="2252">
        <v>19</v>
      </c>
      <c r="AC1061" s="2245">
        <v>22.316949152542367</v>
      </c>
      <c r="AD1061" s="2857"/>
      <c r="AE1061" s="2857"/>
      <c r="AF1061" s="2857"/>
      <c r="AG1061" s="697"/>
      <c r="AH1061" s="1942"/>
      <c r="AI1061" s="1942"/>
      <c r="AJ1061" s="1942"/>
      <c r="AK1061" s="1942"/>
      <c r="AL1061" s="1942"/>
      <c r="AM1061" s="1942"/>
      <c r="AN1061" s="1942"/>
      <c r="AO1061" s="1942"/>
      <c r="AP1061" s="1942"/>
      <c r="AQ1061" s="1942"/>
      <c r="AR1061" s="1942"/>
      <c r="AS1061" s="1942"/>
      <c r="AT1061" s="1942"/>
      <c r="AU1061" s="1942"/>
      <c r="AV1061" s="1942"/>
      <c r="AW1061" s="1942"/>
      <c r="AX1061" s="1942"/>
      <c r="AY1061" s="1942"/>
      <c r="AZ1061" s="1942"/>
      <c r="BA1061" s="1942"/>
      <c r="BB1061" s="575"/>
      <c r="BC1061" s="576"/>
      <c r="BD1061" s="678"/>
    </row>
    <row r="1062" spans="1:56" s="51" customFormat="1" ht="30" hidden="1" outlineLevel="1" x14ac:dyDescent="0.25">
      <c r="A1062" s="1267"/>
      <c r="B1062" s="228"/>
      <c r="C1062" s="328"/>
      <c r="D1062" s="4016"/>
      <c r="E1062" s="3990"/>
      <c r="F1062" s="3010" t="str">
        <f t="shared" si="108"/>
        <v>Mini/MultiSplitASHP_ROF_MF_CompE</v>
      </c>
      <c r="G1062" s="3403"/>
      <c r="H1062" s="3404"/>
      <c r="I1062" s="3411" t="str">
        <f t="shared" si="109"/>
        <v>351701_2021_12_</v>
      </c>
      <c r="J1062" s="2245">
        <f t="shared" si="115"/>
        <v>23.175000000000001</v>
      </c>
      <c r="K1062" s="748"/>
      <c r="L1062" s="2243" t="s">
        <v>1125</v>
      </c>
      <c r="M1062" s="1570"/>
      <c r="N1062" s="1556"/>
      <c r="O1062" s="228"/>
      <c r="P1062" s="228"/>
      <c r="Q1062" s="228"/>
      <c r="R1062" s="228"/>
      <c r="S1062" s="228"/>
      <c r="T1062" s="123"/>
      <c r="U1062" s="123"/>
      <c r="V1062" s="4016"/>
      <c r="W1062" s="2857"/>
      <c r="X1062" s="2857"/>
      <c r="Y1062" s="3155">
        <v>19</v>
      </c>
      <c r="Z1062" s="2857">
        <v>19</v>
      </c>
      <c r="AA1062" s="2857">
        <v>19</v>
      </c>
      <c r="AB1062" s="2245">
        <v>22.519480519480521</v>
      </c>
      <c r="AC1062" s="2245">
        <v>23.175000000000001</v>
      </c>
      <c r="AD1062" s="2857"/>
      <c r="AE1062" s="2857"/>
      <c r="AF1062" s="2857"/>
      <c r="AG1062" s="697"/>
      <c r="AH1062" s="1942"/>
      <c r="AI1062" s="1942"/>
      <c r="AJ1062" s="1942"/>
      <c r="AK1062" s="1942"/>
      <c r="AL1062" s="1942"/>
      <c r="AM1062" s="1942"/>
      <c r="AN1062" s="1942"/>
      <c r="AO1062" s="1942"/>
      <c r="AP1062" s="1942"/>
      <c r="AQ1062" s="1942"/>
      <c r="AR1062" s="1942"/>
      <c r="AS1062" s="1942"/>
      <c r="AT1062" s="1942"/>
      <c r="AU1062" s="1942"/>
      <c r="AV1062" s="1942"/>
      <c r="AW1062" s="1942"/>
      <c r="AX1062" s="1942"/>
      <c r="AY1062" s="1942"/>
      <c r="AZ1062" s="1942"/>
      <c r="BA1062" s="1942"/>
      <c r="BB1062" s="575"/>
      <c r="BC1062" s="576"/>
      <c r="BD1062" s="678"/>
    </row>
    <row r="1063" spans="1:56" s="51" customFormat="1" ht="45" hidden="1" outlineLevel="1" x14ac:dyDescent="0.25">
      <c r="A1063" s="1267"/>
      <c r="B1063" s="228"/>
      <c r="C1063" s="328"/>
      <c r="D1063" s="4016"/>
      <c r="E1063" s="3990"/>
      <c r="F1063" s="3010" t="str">
        <f t="shared" si="108"/>
        <v>Mini/MultiSplitASHP-Replace_CAC_ElectricHeat_ER1_MF_CompE</v>
      </c>
      <c r="G1063" s="3403"/>
      <c r="H1063" s="3404"/>
      <c r="I1063" s="3411" t="str">
        <f t="shared" si="109"/>
        <v>351751_2021_12_</v>
      </c>
      <c r="J1063" s="2245">
        <f t="shared" si="115"/>
        <v>21.460465116279071</v>
      </c>
      <c r="K1063" s="748"/>
      <c r="L1063" s="2243" t="s">
        <v>1125</v>
      </c>
      <c r="M1063" s="1570"/>
      <c r="N1063" s="1556"/>
      <c r="O1063" s="228"/>
      <c r="P1063" s="228"/>
      <c r="Q1063" s="228"/>
      <c r="R1063" s="228"/>
      <c r="S1063" s="228"/>
      <c r="T1063" s="123"/>
      <c r="U1063" s="123"/>
      <c r="V1063" s="4016"/>
      <c r="W1063" s="2857"/>
      <c r="X1063" s="2857"/>
      <c r="Y1063" s="3155">
        <v>22.63</v>
      </c>
      <c r="Z1063" s="2857">
        <v>22.63</v>
      </c>
      <c r="AA1063" s="2857">
        <v>22.63</v>
      </c>
      <c r="AB1063" s="2245">
        <v>22.429399999999998</v>
      </c>
      <c r="AC1063" s="2245">
        <v>21.460465116279071</v>
      </c>
      <c r="AD1063" s="2857"/>
      <c r="AE1063" s="2857"/>
      <c r="AF1063" s="2857"/>
      <c r="AG1063" s="697"/>
      <c r="AH1063" s="1942"/>
      <c r="AI1063" s="1942"/>
      <c r="AJ1063" s="1942"/>
      <c r="AK1063" s="1942"/>
      <c r="AL1063" s="1942"/>
      <c r="AM1063" s="1942"/>
      <c r="AN1063" s="1942"/>
      <c r="AO1063" s="1942"/>
      <c r="AP1063" s="1942"/>
      <c r="AQ1063" s="1942"/>
      <c r="AR1063" s="1942"/>
      <c r="AS1063" s="1942"/>
      <c r="AT1063" s="1942"/>
      <c r="AU1063" s="1942"/>
      <c r="AV1063" s="1942"/>
      <c r="AW1063" s="1942"/>
      <c r="AX1063" s="1942"/>
      <c r="AY1063" s="1942"/>
      <c r="AZ1063" s="1942"/>
      <c r="BA1063" s="1942"/>
      <c r="BB1063" s="575"/>
      <c r="BC1063" s="576"/>
      <c r="BD1063" s="678"/>
    </row>
    <row r="1064" spans="1:56" s="51" customFormat="1" ht="45" hidden="1" outlineLevel="1" x14ac:dyDescent="0.25">
      <c r="A1064" s="1267"/>
      <c r="B1064" s="228"/>
      <c r="C1064" s="328"/>
      <c r="D1064" s="4016"/>
      <c r="E1064" s="3990"/>
      <c r="F1064" s="3010" t="str">
        <f t="shared" si="108"/>
        <v>Mini/MultiSplitASHP-Replace_CAC_ElectricHeat_ROF_MF_CompE</v>
      </c>
      <c r="G1064" s="3403"/>
      <c r="H1064" s="3404"/>
      <c r="I1064" s="3411" t="str">
        <f t="shared" si="109"/>
        <v>351801_2021_12_</v>
      </c>
      <c r="J1064" s="2245">
        <f t="shared" si="115"/>
        <v>22.146153846153844</v>
      </c>
      <c r="K1064" s="748"/>
      <c r="L1064" s="749" t="s">
        <v>1125</v>
      </c>
      <c r="M1064" s="1570"/>
      <c r="N1064" s="1556"/>
      <c r="O1064" s="228"/>
      <c r="P1064" s="228"/>
      <c r="Q1064" s="228"/>
      <c r="R1064" s="228"/>
      <c r="S1064" s="228"/>
      <c r="T1064" s="123"/>
      <c r="U1064" s="123"/>
      <c r="V1064" s="4016"/>
      <c r="W1064" s="2857"/>
      <c r="X1064" s="2857"/>
      <c r="Y1064" s="3155">
        <v>22.77</v>
      </c>
      <c r="Z1064" s="2857">
        <v>22.77</v>
      </c>
      <c r="AA1064" s="2857">
        <v>22.77</v>
      </c>
      <c r="AB1064" s="2245">
        <v>23.193333333333332</v>
      </c>
      <c r="AC1064" s="2245">
        <v>22.146153846153844</v>
      </c>
      <c r="AD1064" s="2857"/>
      <c r="AE1064" s="2857"/>
      <c r="AF1064" s="2857"/>
      <c r="AG1064" s="697"/>
      <c r="AH1064" s="1942"/>
      <c r="AI1064" s="1942"/>
      <c r="AJ1064" s="1942"/>
      <c r="AK1064" s="1942"/>
      <c r="AL1064" s="1942"/>
      <c r="AM1064" s="1942"/>
      <c r="AN1064" s="1942"/>
      <c r="AO1064" s="1942"/>
      <c r="AP1064" s="1942"/>
      <c r="AQ1064" s="1942"/>
      <c r="AR1064" s="1942"/>
      <c r="AS1064" s="1942"/>
      <c r="AT1064" s="1942"/>
      <c r="AU1064" s="1942"/>
      <c r="AV1064" s="1942"/>
      <c r="AW1064" s="1942"/>
      <c r="AX1064" s="1942"/>
      <c r="AY1064" s="1942"/>
      <c r="AZ1064" s="1942"/>
      <c r="BA1064" s="1942"/>
      <c r="BB1064" s="575"/>
      <c r="BC1064" s="576"/>
      <c r="BD1064" s="678"/>
    </row>
    <row r="1065" spans="1:56" s="51" customFormat="1" ht="30.75" hidden="1" outlineLevel="1" thickBot="1" x14ac:dyDescent="0.3">
      <c r="A1065" s="1267"/>
      <c r="B1065" s="228"/>
      <c r="C1065" s="328"/>
      <c r="D1065" s="4029"/>
      <c r="E1065" s="3991"/>
      <c r="F1065" s="3014" t="str">
        <f t="shared" si="108"/>
        <v>Mini/MultiSplitASHP_ER1_MF_CompE</v>
      </c>
      <c r="G1065" s="3434"/>
      <c r="H1065" s="3435"/>
      <c r="I1065" s="3412" t="str">
        <f t="shared" si="109"/>
        <v>351851_2021_12_</v>
      </c>
      <c r="J1065" s="2253">
        <f t="shared" si="115"/>
        <v>21.90909090909091</v>
      </c>
      <c r="K1065" s="2396"/>
      <c r="L1065" s="774" t="s">
        <v>1125</v>
      </c>
      <c r="M1065" s="1570"/>
      <c r="N1065" s="1556"/>
      <c r="O1065" s="228"/>
      <c r="P1065" s="228"/>
      <c r="Q1065" s="228"/>
      <c r="R1065" s="228"/>
      <c r="S1065" s="228"/>
      <c r="T1065" s="123"/>
      <c r="U1065" s="123"/>
      <c r="V1065" s="4029"/>
      <c r="W1065" s="2860"/>
      <c r="X1065" s="2860"/>
      <c r="Y1065" s="3156">
        <v>27.01</v>
      </c>
      <c r="Z1065" s="2860">
        <v>27.01</v>
      </c>
      <c r="AA1065" s="2860">
        <v>27.01</v>
      </c>
      <c r="AB1065" s="2253">
        <v>22.249999999999996</v>
      </c>
      <c r="AC1065" s="2253">
        <v>21.90909090909091</v>
      </c>
      <c r="AD1065" s="2860"/>
      <c r="AE1065" s="2860"/>
      <c r="AF1065" s="2860"/>
      <c r="AG1065" s="751"/>
      <c r="AH1065" s="1942"/>
      <c r="AI1065" s="1942"/>
      <c r="AJ1065" s="1942"/>
      <c r="AK1065" s="1942"/>
      <c r="AL1065" s="1942"/>
      <c r="AM1065" s="1942"/>
      <c r="AN1065" s="1942"/>
      <c r="AO1065" s="1942"/>
      <c r="AP1065" s="1942"/>
      <c r="AQ1065" s="1942"/>
      <c r="AR1065" s="1942"/>
      <c r="AS1065" s="1942"/>
      <c r="AT1065" s="1942"/>
      <c r="AU1065" s="1942"/>
      <c r="AV1065" s="1942"/>
      <c r="AW1065" s="1942"/>
      <c r="AX1065" s="1942"/>
      <c r="AY1065" s="1942"/>
      <c r="AZ1065" s="1942"/>
      <c r="BA1065" s="1942"/>
      <c r="BB1065" s="575"/>
      <c r="BC1065" s="576"/>
      <c r="BD1065" s="678"/>
    </row>
    <row r="1066" spans="1:56" s="51" customFormat="1" hidden="1" outlineLevel="1" x14ac:dyDescent="0.25">
      <c r="A1066" s="1267"/>
      <c r="B1066" s="228"/>
      <c r="C1066" s="328"/>
      <c r="D1066" s="3989" t="s">
        <v>294</v>
      </c>
      <c r="E1066" s="4008" t="s">
        <v>1127</v>
      </c>
      <c r="F1066" s="3413" t="str">
        <f t="shared" ref="F1066:F1084" si="116">E786</f>
        <v>Mini/MultiSplitAC_ER1_SF</v>
      </c>
      <c r="G1066" s="3414"/>
      <c r="H1066" s="3415"/>
      <c r="I1066" s="3446" t="str">
        <f t="shared" ref="I1066:I1084" si="117">C786</f>
        <v>351200_2021_12_</v>
      </c>
      <c r="J1066" s="2397">
        <v>1</v>
      </c>
      <c r="K1066" s="758"/>
      <c r="L1066" s="4078"/>
      <c r="M1066" s="1570"/>
      <c r="N1066" s="1556"/>
      <c r="O1066" s="228"/>
      <c r="P1066" s="228"/>
      <c r="Q1066" s="228"/>
      <c r="R1066" s="228"/>
      <c r="S1066" s="228"/>
      <c r="T1066" s="123"/>
      <c r="U1066" s="123"/>
      <c r="V1066" s="3989" t="s">
        <v>294</v>
      </c>
      <c r="W1066" s="759">
        <v>1</v>
      </c>
      <c r="X1066" s="759">
        <v>1</v>
      </c>
      <c r="Y1066" s="759">
        <v>1</v>
      </c>
      <c r="Z1066" s="759">
        <v>1</v>
      </c>
      <c r="AA1066" s="759">
        <v>1</v>
      </c>
      <c r="AB1066" s="2250">
        <v>1</v>
      </c>
      <c r="AC1066" s="2397">
        <v>1</v>
      </c>
      <c r="AD1066" s="759"/>
      <c r="AE1066" s="759"/>
      <c r="AF1066" s="759"/>
      <c r="AG1066" s="760"/>
      <c r="AH1066" s="1942"/>
      <c r="AI1066" s="1942"/>
      <c r="AJ1066" s="1942"/>
      <c r="AK1066" s="1942"/>
      <c r="AL1066" s="1942"/>
      <c r="AM1066" s="1942"/>
      <c r="AN1066" s="1942"/>
      <c r="AO1066" s="1942"/>
      <c r="AP1066" s="1942"/>
      <c r="AQ1066" s="1942"/>
      <c r="AR1066" s="1942"/>
      <c r="AS1066" s="1942"/>
      <c r="AT1066" s="1942"/>
      <c r="AU1066" s="1942"/>
      <c r="AV1066" s="1942"/>
      <c r="AW1066" s="1942"/>
      <c r="AX1066" s="1942"/>
      <c r="AY1066" s="1942"/>
      <c r="AZ1066" s="1942"/>
      <c r="BA1066" s="1942"/>
      <c r="BB1066" s="575"/>
      <c r="BC1066" s="576"/>
      <c r="BD1066" s="678"/>
    </row>
    <row r="1067" spans="1:56" s="51" customFormat="1" hidden="1" outlineLevel="1" x14ac:dyDescent="0.25">
      <c r="A1067" s="1267"/>
      <c r="B1067" s="228"/>
      <c r="C1067" s="328"/>
      <c r="D1067" s="3990"/>
      <c r="E1067" s="4009"/>
      <c r="F1067" s="3419" t="str">
        <f t="shared" si="116"/>
        <v>Mini/MultiSplitAC_ER2_SF</v>
      </c>
      <c r="G1067" s="3420"/>
      <c r="H1067" s="3421"/>
      <c r="I1067" s="3446" t="str">
        <f t="shared" si="117"/>
        <v>351200_2021_12_</v>
      </c>
      <c r="J1067" s="761">
        <v>1</v>
      </c>
      <c r="K1067" s="762"/>
      <c r="L1067" s="4079"/>
      <c r="M1067" s="1570"/>
      <c r="N1067" s="1556"/>
      <c r="O1067" s="228"/>
      <c r="P1067" s="228"/>
      <c r="Q1067" s="228"/>
      <c r="R1067" s="228"/>
      <c r="S1067" s="228"/>
      <c r="T1067" s="123"/>
      <c r="U1067" s="123"/>
      <c r="V1067" s="3990"/>
      <c r="W1067" s="761">
        <v>1</v>
      </c>
      <c r="X1067" s="761">
        <v>1</v>
      </c>
      <c r="Y1067" s="761">
        <v>1</v>
      </c>
      <c r="Z1067" s="761">
        <v>1</v>
      </c>
      <c r="AA1067" s="761">
        <v>1</v>
      </c>
      <c r="AB1067" s="761">
        <v>1</v>
      </c>
      <c r="AC1067" s="761">
        <v>1</v>
      </c>
      <c r="AD1067" s="761"/>
      <c r="AE1067" s="761"/>
      <c r="AF1067" s="761"/>
      <c r="AG1067" s="763"/>
      <c r="AH1067" s="1942"/>
      <c r="AI1067" s="1942"/>
      <c r="AJ1067" s="1942"/>
      <c r="AK1067" s="1942"/>
      <c r="AL1067" s="1942"/>
      <c r="AM1067" s="1942"/>
      <c r="AN1067" s="1942"/>
      <c r="AO1067" s="1942"/>
      <c r="AP1067" s="1942"/>
      <c r="AQ1067" s="1942"/>
      <c r="AR1067" s="1942"/>
      <c r="AS1067" s="1942"/>
      <c r="AT1067" s="1942"/>
      <c r="AU1067" s="1942"/>
      <c r="AV1067" s="1942"/>
      <c r="AW1067" s="1942"/>
      <c r="AX1067" s="1942"/>
      <c r="AY1067" s="1942"/>
      <c r="AZ1067" s="1942"/>
      <c r="BA1067" s="1942"/>
      <c r="BB1067" s="575"/>
      <c r="BC1067" s="576"/>
      <c r="BD1067" s="678"/>
    </row>
    <row r="1068" spans="1:56" s="51" customFormat="1" hidden="1" outlineLevel="1" x14ac:dyDescent="0.25">
      <c r="A1068" s="1267"/>
      <c r="B1068" s="228"/>
      <c r="C1068" s="328"/>
      <c r="D1068" s="3990"/>
      <c r="E1068" s="4009"/>
      <c r="F1068" s="3425" t="str">
        <f t="shared" si="116"/>
        <v>Mini/MultiSplitAC_ROF_SF</v>
      </c>
      <c r="G1068" s="3426"/>
      <c r="H1068" s="3427"/>
      <c r="I1068" s="3446" t="str">
        <f t="shared" si="117"/>
        <v>351250_2021_12_</v>
      </c>
      <c r="J1068" s="761">
        <v>1</v>
      </c>
      <c r="K1068" s="762"/>
      <c r="L1068" s="4079"/>
      <c r="M1068" s="1570"/>
      <c r="N1068" s="1556"/>
      <c r="O1068" s="228"/>
      <c r="P1068" s="228"/>
      <c r="Q1068" s="228"/>
      <c r="R1068" s="228"/>
      <c r="S1068" s="228"/>
      <c r="T1068" s="123"/>
      <c r="U1068" s="123"/>
      <c r="V1068" s="3990"/>
      <c r="W1068" s="761">
        <v>1</v>
      </c>
      <c r="X1068" s="761">
        <v>1</v>
      </c>
      <c r="Y1068" s="761">
        <v>1</v>
      </c>
      <c r="Z1068" s="761">
        <v>1</v>
      </c>
      <c r="AA1068" s="761">
        <v>1</v>
      </c>
      <c r="AB1068" s="761">
        <v>1</v>
      </c>
      <c r="AC1068" s="761">
        <v>1</v>
      </c>
      <c r="AD1068" s="761"/>
      <c r="AE1068" s="761"/>
      <c r="AF1068" s="761"/>
      <c r="AG1068" s="763"/>
      <c r="AH1068" s="1942"/>
      <c r="AI1068" s="1942"/>
      <c r="AJ1068" s="1942"/>
      <c r="AK1068" s="1942"/>
      <c r="AL1068" s="1942"/>
      <c r="AM1068" s="1942"/>
      <c r="AN1068" s="1942"/>
      <c r="AO1068" s="1942"/>
      <c r="AP1068" s="1942"/>
      <c r="AQ1068" s="1942"/>
      <c r="AR1068" s="1942"/>
      <c r="AS1068" s="1942"/>
      <c r="AT1068" s="1942"/>
      <c r="AU1068" s="1942"/>
      <c r="AV1068" s="1942"/>
      <c r="AW1068" s="1942"/>
      <c r="AX1068" s="1942"/>
      <c r="AY1068" s="1942"/>
      <c r="AZ1068" s="1942"/>
      <c r="BA1068" s="1942"/>
      <c r="BB1068" s="575"/>
      <c r="BC1068" s="576"/>
      <c r="BD1068" s="678"/>
    </row>
    <row r="1069" spans="1:56" s="51" customFormat="1" hidden="1" outlineLevel="1" x14ac:dyDescent="0.25">
      <c r="A1069" s="1267"/>
      <c r="B1069" s="228"/>
      <c r="C1069" s="328"/>
      <c r="D1069" s="3990"/>
      <c r="E1069" s="4009"/>
      <c r="F1069" s="3422" t="str">
        <f t="shared" si="116"/>
        <v>Mini/MultiSplitASHP_ROF_SF_NC</v>
      </c>
      <c r="G1069" s="3423"/>
      <c r="H1069" s="3424"/>
      <c r="I1069" s="3446" t="str">
        <f t="shared" si="117"/>
        <v>351300_2021_12_</v>
      </c>
      <c r="J1069" s="761">
        <v>1</v>
      </c>
      <c r="K1069" s="762"/>
      <c r="L1069" s="4079"/>
      <c r="M1069" s="1570"/>
      <c r="N1069" s="1556"/>
      <c r="O1069" s="228"/>
      <c r="P1069" s="228"/>
      <c r="Q1069" s="228"/>
      <c r="R1069" s="228"/>
      <c r="S1069" s="228"/>
      <c r="T1069" s="123"/>
      <c r="U1069" s="123"/>
      <c r="V1069" s="3990"/>
      <c r="W1069" s="761">
        <v>1</v>
      </c>
      <c r="X1069" s="761">
        <v>1</v>
      </c>
      <c r="Y1069" s="761">
        <v>1</v>
      </c>
      <c r="Z1069" s="761">
        <v>1</v>
      </c>
      <c r="AA1069" s="761">
        <v>1</v>
      </c>
      <c r="AB1069" s="761">
        <v>1</v>
      </c>
      <c r="AC1069" s="761">
        <v>1</v>
      </c>
      <c r="AD1069" s="761"/>
      <c r="AE1069" s="761"/>
      <c r="AF1069" s="761"/>
      <c r="AG1069" s="763"/>
      <c r="AH1069" s="1942"/>
      <c r="AI1069" s="1942"/>
      <c r="AJ1069" s="1942"/>
      <c r="AK1069" s="1942"/>
      <c r="AL1069" s="1942"/>
      <c r="AM1069" s="1942"/>
      <c r="AN1069" s="1942"/>
      <c r="AO1069" s="1942"/>
      <c r="AP1069" s="1942"/>
      <c r="AQ1069" s="1942"/>
      <c r="AR1069" s="1942"/>
      <c r="AS1069" s="1942"/>
      <c r="AT1069" s="1942"/>
      <c r="AU1069" s="1942"/>
      <c r="AV1069" s="1942"/>
      <c r="AW1069" s="1942"/>
      <c r="AX1069" s="1942"/>
      <c r="AY1069" s="1942"/>
      <c r="AZ1069" s="1942"/>
      <c r="BA1069" s="1942"/>
      <c r="BB1069" s="575"/>
      <c r="BC1069" s="576"/>
      <c r="BD1069" s="678"/>
    </row>
    <row r="1070" spans="1:56" s="51" customFormat="1" hidden="1" outlineLevel="1" x14ac:dyDescent="0.25">
      <c r="A1070" s="1267"/>
      <c r="B1070" s="228"/>
      <c r="C1070" s="328"/>
      <c r="D1070" s="3990"/>
      <c r="E1070" s="4009"/>
      <c r="F1070" s="3419" t="str">
        <f t="shared" si="116"/>
        <v>Mini/MultiSplitASHP_ROF_SF_NC</v>
      </c>
      <c r="G1070" s="3420"/>
      <c r="H1070" s="3421"/>
      <c r="I1070" s="3446" t="str">
        <f t="shared" si="117"/>
        <v>351300_2021_12_</v>
      </c>
      <c r="J1070" s="761">
        <v>1</v>
      </c>
      <c r="K1070" s="762"/>
      <c r="L1070" s="4079"/>
      <c r="M1070" s="1570"/>
      <c r="N1070" s="1556"/>
      <c r="O1070" s="228"/>
      <c r="P1070" s="228"/>
      <c r="Q1070" s="228"/>
      <c r="R1070" s="228"/>
      <c r="S1070" s="228"/>
      <c r="T1070" s="123"/>
      <c r="U1070" s="123"/>
      <c r="V1070" s="3990"/>
      <c r="W1070" s="761">
        <v>1</v>
      </c>
      <c r="X1070" s="761">
        <v>1</v>
      </c>
      <c r="Y1070" s="761">
        <v>1</v>
      </c>
      <c r="Z1070" s="761">
        <v>1</v>
      </c>
      <c r="AA1070" s="761">
        <v>1</v>
      </c>
      <c r="AB1070" s="761">
        <v>1</v>
      </c>
      <c r="AC1070" s="761">
        <v>1</v>
      </c>
      <c r="AD1070" s="761"/>
      <c r="AE1070" s="761"/>
      <c r="AF1070" s="761"/>
      <c r="AG1070" s="763"/>
      <c r="AH1070" s="1942"/>
      <c r="AI1070" s="1942"/>
      <c r="AJ1070" s="1942"/>
      <c r="AK1070" s="1942"/>
      <c r="AL1070" s="1942"/>
      <c r="AM1070" s="1942"/>
      <c r="AN1070" s="1942"/>
      <c r="AO1070" s="1942"/>
      <c r="AP1070" s="1942"/>
      <c r="AQ1070" s="1942"/>
      <c r="AR1070" s="1942"/>
      <c r="AS1070" s="1942"/>
      <c r="AT1070" s="1942"/>
      <c r="AU1070" s="1942"/>
      <c r="AV1070" s="1942"/>
      <c r="AW1070" s="1942"/>
      <c r="AX1070" s="1942"/>
      <c r="AY1070" s="1942"/>
      <c r="AZ1070" s="1942"/>
      <c r="BA1070" s="1942"/>
      <c r="BB1070" s="575"/>
      <c r="BC1070" s="576"/>
      <c r="BD1070" s="678"/>
    </row>
    <row r="1071" spans="1:56" s="51" customFormat="1" hidden="1" outlineLevel="1" x14ac:dyDescent="0.25">
      <c r="A1071" s="1267"/>
      <c r="B1071" s="228"/>
      <c r="C1071" s="328"/>
      <c r="D1071" s="3990"/>
      <c r="E1071" s="4009"/>
      <c r="F1071" s="3422" t="str">
        <f t="shared" si="116"/>
        <v>Mini/MultiSplitASHP_ROF_SF</v>
      </c>
      <c r="G1071" s="3423"/>
      <c r="H1071" s="3424"/>
      <c r="I1071" s="3446" t="str">
        <f t="shared" si="117"/>
        <v>351350_2021_12_</v>
      </c>
      <c r="J1071" s="761">
        <v>1</v>
      </c>
      <c r="K1071" s="762"/>
      <c r="L1071" s="4079"/>
      <c r="M1071" s="1570"/>
      <c r="N1071" s="1556"/>
      <c r="O1071" s="228"/>
      <c r="P1071" s="228"/>
      <c r="Q1071" s="228"/>
      <c r="R1071" s="228"/>
      <c r="S1071" s="228"/>
      <c r="T1071" s="123"/>
      <c r="U1071" s="123"/>
      <c r="V1071" s="3990"/>
      <c r="W1071" s="761">
        <v>1</v>
      </c>
      <c r="X1071" s="761">
        <v>1</v>
      </c>
      <c r="Y1071" s="761">
        <v>1</v>
      </c>
      <c r="Z1071" s="761">
        <v>1</v>
      </c>
      <c r="AA1071" s="761">
        <v>1</v>
      </c>
      <c r="AB1071" s="761">
        <v>1</v>
      </c>
      <c r="AC1071" s="761">
        <v>1</v>
      </c>
      <c r="AD1071" s="761"/>
      <c r="AE1071" s="761"/>
      <c r="AF1071" s="761"/>
      <c r="AG1071" s="763"/>
      <c r="AH1071" s="1942"/>
      <c r="AI1071" s="1942"/>
      <c r="AJ1071" s="1942"/>
      <c r="AK1071" s="1942"/>
      <c r="AL1071" s="1942"/>
      <c r="AM1071" s="1942"/>
      <c r="AN1071" s="1942"/>
      <c r="AO1071" s="1942"/>
      <c r="AP1071" s="1942"/>
      <c r="AQ1071" s="1942"/>
      <c r="AR1071" s="1942"/>
      <c r="AS1071" s="1942"/>
      <c r="AT1071" s="1942"/>
      <c r="AU1071" s="1942"/>
      <c r="AV1071" s="1942"/>
      <c r="AW1071" s="1942"/>
      <c r="AX1071" s="1942"/>
      <c r="AY1071" s="1942"/>
      <c r="AZ1071" s="1942"/>
      <c r="BA1071" s="1942"/>
      <c r="BB1071" s="575"/>
      <c r="BC1071" s="576"/>
      <c r="BD1071" s="678"/>
    </row>
    <row r="1072" spans="1:56" s="51" customFormat="1" hidden="1" outlineLevel="1" x14ac:dyDescent="0.25">
      <c r="A1072" s="1267"/>
      <c r="B1072" s="228"/>
      <c r="C1072" s="328"/>
      <c r="D1072" s="3990"/>
      <c r="E1072" s="4009"/>
      <c r="F1072" s="3419" t="str">
        <f t="shared" si="116"/>
        <v>Mini/MultiSplitASHP_ROF_SF</v>
      </c>
      <c r="G1072" s="3420"/>
      <c r="H1072" s="3421"/>
      <c r="I1072" s="3446" t="str">
        <f t="shared" si="117"/>
        <v>351350_2021_12_</v>
      </c>
      <c r="J1072" s="761">
        <v>1</v>
      </c>
      <c r="K1072" s="762"/>
      <c r="L1072" s="4079"/>
      <c r="M1072" s="1570"/>
      <c r="N1072" s="1556"/>
      <c r="O1072" s="228"/>
      <c r="P1072" s="228"/>
      <c r="Q1072" s="228"/>
      <c r="R1072" s="228"/>
      <c r="S1072" s="228"/>
      <c r="T1072" s="123"/>
      <c r="U1072" s="123"/>
      <c r="V1072" s="3990"/>
      <c r="W1072" s="761">
        <v>1</v>
      </c>
      <c r="X1072" s="761">
        <v>1</v>
      </c>
      <c r="Y1072" s="761">
        <v>1</v>
      </c>
      <c r="Z1072" s="761">
        <v>1</v>
      </c>
      <c r="AA1072" s="761">
        <v>1</v>
      </c>
      <c r="AB1072" s="761">
        <v>1</v>
      </c>
      <c r="AC1072" s="761">
        <v>1</v>
      </c>
      <c r="AD1072" s="761"/>
      <c r="AE1072" s="761"/>
      <c r="AF1072" s="761"/>
      <c r="AG1072" s="763"/>
      <c r="AH1072" s="1942"/>
      <c r="AI1072" s="1942"/>
      <c r="AJ1072" s="1942"/>
      <c r="AK1072" s="1942"/>
      <c r="AL1072" s="1942"/>
      <c r="AM1072" s="1942"/>
      <c r="AN1072" s="1942"/>
      <c r="AO1072" s="1942"/>
      <c r="AP1072" s="1942"/>
      <c r="AQ1072" s="1942"/>
      <c r="AR1072" s="1942"/>
      <c r="AS1072" s="1942"/>
      <c r="AT1072" s="1942"/>
      <c r="AU1072" s="1942"/>
      <c r="AV1072" s="1942"/>
      <c r="AW1072" s="1942"/>
      <c r="AX1072" s="1942"/>
      <c r="AY1072" s="1942"/>
      <c r="AZ1072" s="1942"/>
      <c r="BA1072" s="1942"/>
      <c r="BB1072" s="575"/>
      <c r="BC1072" s="576"/>
      <c r="BD1072" s="678"/>
    </row>
    <row r="1073" spans="1:56" s="51" customFormat="1" hidden="1" outlineLevel="1" x14ac:dyDescent="0.25">
      <c r="A1073" s="1267"/>
      <c r="B1073" s="228"/>
      <c r="C1073" s="328"/>
      <c r="D1073" s="3990"/>
      <c r="E1073" s="4009"/>
      <c r="F1073" s="3422" t="str">
        <f t="shared" si="116"/>
        <v>Mini/MultiSplitASHP-Replace_CAC_ElectricHeat_ER1_SF</v>
      </c>
      <c r="G1073" s="3423"/>
      <c r="H1073" s="3424"/>
      <c r="I1073" s="3446" t="str">
        <f t="shared" si="117"/>
        <v>351400_2021_12_</v>
      </c>
      <c r="J1073" s="761">
        <v>1</v>
      </c>
      <c r="K1073" s="762"/>
      <c r="L1073" s="4079"/>
      <c r="M1073" s="1570"/>
      <c r="N1073" s="1556"/>
      <c r="O1073" s="228"/>
      <c r="P1073" s="228"/>
      <c r="Q1073" s="228"/>
      <c r="R1073" s="228"/>
      <c r="S1073" s="228"/>
      <c r="T1073" s="123"/>
      <c r="U1073" s="123"/>
      <c r="V1073" s="3990"/>
      <c r="W1073" s="761">
        <v>1</v>
      </c>
      <c r="X1073" s="761">
        <v>1</v>
      </c>
      <c r="Y1073" s="761">
        <v>1</v>
      </c>
      <c r="Z1073" s="761">
        <v>1</v>
      </c>
      <c r="AA1073" s="761">
        <v>1</v>
      </c>
      <c r="AB1073" s="761">
        <v>1</v>
      </c>
      <c r="AC1073" s="761">
        <v>1</v>
      </c>
      <c r="AD1073" s="761"/>
      <c r="AE1073" s="761"/>
      <c r="AF1073" s="761"/>
      <c r="AG1073" s="763"/>
      <c r="AH1073" s="1942"/>
      <c r="AI1073" s="1942"/>
      <c r="AJ1073" s="1942"/>
      <c r="AK1073" s="1942"/>
      <c r="AL1073" s="1942"/>
      <c r="AM1073" s="1942"/>
      <c r="AN1073" s="1942"/>
      <c r="AO1073" s="1942"/>
      <c r="AP1073" s="1942"/>
      <c r="AQ1073" s="1942"/>
      <c r="AR1073" s="1942"/>
      <c r="AS1073" s="1942"/>
      <c r="AT1073" s="1942"/>
      <c r="AU1073" s="1942"/>
      <c r="AV1073" s="1942"/>
      <c r="AW1073" s="1942"/>
      <c r="AX1073" s="1942"/>
      <c r="AY1073" s="1942"/>
      <c r="AZ1073" s="1942"/>
      <c r="BA1073" s="1942"/>
      <c r="BB1073" s="575"/>
      <c r="BC1073" s="576"/>
      <c r="BD1073" s="678"/>
    </row>
    <row r="1074" spans="1:56" s="51" customFormat="1" hidden="1" outlineLevel="1" x14ac:dyDescent="0.25">
      <c r="A1074" s="1267"/>
      <c r="B1074" s="228"/>
      <c r="C1074" s="328"/>
      <c r="D1074" s="3990"/>
      <c r="E1074" s="4009"/>
      <c r="F1074" s="3416" t="str">
        <f t="shared" si="116"/>
        <v>Mini/MultiSplitASHP-Replace_CAC_ElectricHeat_ER1_SF</v>
      </c>
      <c r="G1074" s="3417"/>
      <c r="H1074" s="3418"/>
      <c r="I1074" s="3446" t="str">
        <f t="shared" si="117"/>
        <v>351400_2021_12_</v>
      </c>
      <c r="J1074" s="761">
        <v>1</v>
      </c>
      <c r="K1074" s="762"/>
      <c r="L1074" s="4079"/>
      <c r="M1074" s="1570"/>
      <c r="N1074" s="1556"/>
      <c r="O1074" s="228"/>
      <c r="P1074" s="228"/>
      <c r="Q1074" s="228"/>
      <c r="R1074" s="228"/>
      <c r="S1074" s="228"/>
      <c r="T1074" s="123"/>
      <c r="U1074" s="123"/>
      <c r="V1074" s="3990"/>
      <c r="W1074" s="761">
        <v>1</v>
      </c>
      <c r="X1074" s="761">
        <v>1</v>
      </c>
      <c r="Y1074" s="761">
        <v>1</v>
      </c>
      <c r="Z1074" s="761">
        <v>1</v>
      </c>
      <c r="AA1074" s="761">
        <v>1</v>
      </c>
      <c r="AB1074" s="761">
        <v>1</v>
      </c>
      <c r="AC1074" s="761">
        <v>1</v>
      </c>
      <c r="AD1074" s="761"/>
      <c r="AE1074" s="761"/>
      <c r="AF1074" s="761"/>
      <c r="AG1074" s="763"/>
      <c r="AH1074" s="1942"/>
      <c r="AI1074" s="1942"/>
      <c r="AJ1074" s="1942"/>
      <c r="AK1074" s="1942"/>
      <c r="AL1074" s="1942"/>
      <c r="AM1074" s="1942"/>
      <c r="AN1074" s="1942"/>
      <c r="AO1074" s="1942"/>
      <c r="AP1074" s="1942"/>
      <c r="AQ1074" s="1942"/>
      <c r="AR1074" s="1942"/>
      <c r="AS1074" s="1942"/>
      <c r="AT1074" s="1942"/>
      <c r="AU1074" s="1942"/>
      <c r="AV1074" s="1942"/>
      <c r="AW1074" s="1942"/>
      <c r="AX1074" s="1942"/>
      <c r="AY1074" s="1942"/>
      <c r="AZ1074" s="1942"/>
      <c r="BA1074" s="1942"/>
      <c r="BB1074" s="575"/>
      <c r="BC1074" s="576"/>
      <c r="BD1074" s="678"/>
    </row>
    <row r="1075" spans="1:56" s="51" customFormat="1" hidden="1" outlineLevel="1" x14ac:dyDescent="0.25">
      <c r="A1075" s="1267"/>
      <c r="B1075" s="228"/>
      <c r="C1075" s="328"/>
      <c r="D1075" s="3990"/>
      <c r="E1075" s="4009"/>
      <c r="F1075" s="3416" t="str">
        <f t="shared" si="116"/>
        <v>Mini/MultiSplitASHP-Replace_CAC_ElectricHeat_ER2_SF</v>
      </c>
      <c r="G1075" s="3417"/>
      <c r="H1075" s="3418"/>
      <c r="I1075" s="3446" t="str">
        <f t="shared" si="117"/>
        <v>351400_2021_12_</v>
      </c>
      <c r="J1075" s="761">
        <v>1</v>
      </c>
      <c r="K1075" s="762"/>
      <c r="L1075" s="4079"/>
      <c r="M1075" s="1570"/>
      <c r="N1075" s="1556"/>
      <c r="O1075" s="228"/>
      <c r="P1075" s="228"/>
      <c r="Q1075" s="228"/>
      <c r="R1075" s="228"/>
      <c r="S1075" s="228"/>
      <c r="T1075" s="123"/>
      <c r="U1075" s="123"/>
      <c r="V1075" s="3990"/>
      <c r="W1075" s="761">
        <v>1</v>
      </c>
      <c r="X1075" s="761">
        <v>1</v>
      </c>
      <c r="Y1075" s="761">
        <v>1</v>
      </c>
      <c r="Z1075" s="761">
        <v>1</v>
      </c>
      <c r="AA1075" s="761">
        <v>1</v>
      </c>
      <c r="AB1075" s="761">
        <v>1</v>
      </c>
      <c r="AC1075" s="761">
        <v>1</v>
      </c>
      <c r="AD1075" s="761"/>
      <c r="AE1075" s="761"/>
      <c r="AF1075" s="761"/>
      <c r="AG1075" s="763"/>
      <c r="AH1075" s="1942"/>
      <c r="AI1075" s="1942"/>
      <c r="AJ1075" s="1942"/>
      <c r="AK1075" s="1942"/>
      <c r="AL1075" s="1942"/>
      <c r="AM1075" s="1942"/>
      <c r="AN1075" s="1942"/>
      <c r="AO1075" s="1942"/>
      <c r="AP1075" s="1942"/>
      <c r="AQ1075" s="1942"/>
      <c r="AR1075" s="1942"/>
      <c r="AS1075" s="1942"/>
      <c r="AT1075" s="1942"/>
      <c r="AU1075" s="1942"/>
      <c r="AV1075" s="1942"/>
      <c r="AW1075" s="1942"/>
      <c r="AX1075" s="1942"/>
      <c r="AY1075" s="1942"/>
      <c r="AZ1075" s="1942"/>
      <c r="BA1075" s="1942"/>
      <c r="BB1075" s="575"/>
      <c r="BC1075" s="576"/>
      <c r="BD1075" s="678"/>
    </row>
    <row r="1076" spans="1:56" s="51" customFormat="1" hidden="1" outlineLevel="1" x14ac:dyDescent="0.25">
      <c r="A1076" s="1267"/>
      <c r="B1076" s="228"/>
      <c r="C1076" s="328"/>
      <c r="D1076" s="3990"/>
      <c r="E1076" s="4009"/>
      <c r="F1076" s="3419" t="str">
        <f t="shared" si="116"/>
        <v>Mini/MultiSplitASHP-Replace_CAC_ElectricHeat_ER2_SF</v>
      </c>
      <c r="G1076" s="3420"/>
      <c r="H1076" s="3421"/>
      <c r="I1076" s="3446" t="str">
        <f t="shared" si="117"/>
        <v>351400_2021_12_</v>
      </c>
      <c r="J1076" s="761">
        <v>1</v>
      </c>
      <c r="K1076" s="762"/>
      <c r="L1076" s="4079"/>
      <c r="M1076" s="1570"/>
      <c r="N1076" s="1556"/>
      <c r="O1076" s="228"/>
      <c r="P1076" s="228"/>
      <c r="Q1076" s="228"/>
      <c r="R1076" s="228"/>
      <c r="S1076" s="228"/>
      <c r="T1076" s="123"/>
      <c r="U1076" s="123"/>
      <c r="V1076" s="3990"/>
      <c r="W1076" s="761">
        <v>1</v>
      </c>
      <c r="X1076" s="761">
        <v>1</v>
      </c>
      <c r="Y1076" s="761">
        <v>1</v>
      </c>
      <c r="Z1076" s="761">
        <v>1</v>
      </c>
      <c r="AA1076" s="761">
        <v>1</v>
      </c>
      <c r="AB1076" s="761">
        <v>1</v>
      </c>
      <c r="AC1076" s="761">
        <v>1</v>
      </c>
      <c r="AD1076" s="761"/>
      <c r="AE1076" s="761"/>
      <c r="AF1076" s="761"/>
      <c r="AG1076" s="763"/>
      <c r="AH1076" s="1942"/>
      <c r="AI1076" s="1942"/>
      <c r="AJ1076" s="1942"/>
      <c r="AK1076" s="1942"/>
      <c r="AL1076" s="1942"/>
      <c r="AM1076" s="1942"/>
      <c r="AN1076" s="1942"/>
      <c r="AO1076" s="1942"/>
      <c r="AP1076" s="1942"/>
      <c r="AQ1076" s="1942"/>
      <c r="AR1076" s="1942"/>
      <c r="AS1076" s="1942"/>
      <c r="AT1076" s="1942"/>
      <c r="AU1076" s="1942"/>
      <c r="AV1076" s="1942"/>
      <c r="AW1076" s="1942"/>
      <c r="AX1076" s="1942"/>
      <c r="AY1076" s="1942"/>
      <c r="AZ1076" s="1942"/>
      <c r="BA1076" s="1942"/>
      <c r="BB1076" s="575"/>
      <c r="BC1076" s="576"/>
      <c r="BD1076" s="678"/>
    </row>
    <row r="1077" spans="1:56" s="51" customFormat="1" hidden="1" outlineLevel="1" x14ac:dyDescent="0.25">
      <c r="A1077" s="1267"/>
      <c r="B1077" s="228"/>
      <c r="C1077" s="328"/>
      <c r="D1077" s="3990"/>
      <c r="E1077" s="4009"/>
      <c r="F1077" s="3422" t="str">
        <f t="shared" si="116"/>
        <v>Mini/MultiSplitASHP-Replace_CAC_ElectricHeat_ROF_SF</v>
      </c>
      <c r="G1077" s="3423"/>
      <c r="H1077" s="3424"/>
      <c r="I1077" s="3446" t="str">
        <f t="shared" si="117"/>
        <v>351450_2021_12_</v>
      </c>
      <c r="J1077" s="761">
        <v>1</v>
      </c>
      <c r="K1077" s="762"/>
      <c r="L1077" s="4079"/>
      <c r="M1077" s="1570"/>
      <c r="N1077" s="1556"/>
      <c r="O1077" s="228"/>
      <c r="P1077" s="228"/>
      <c r="Q1077" s="228"/>
      <c r="R1077" s="228"/>
      <c r="S1077" s="228"/>
      <c r="T1077" s="123"/>
      <c r="U1077" s="123"/>
      <c r="V1077" s="3990"/>
      <c r="W1077" s="761">
        <v>1</v>
      </c>
      <c r="X1077" s="761">
        <v>1</v>
      </c>
      <c r="Y1077" s="761">
        <v>1</v>
      </c>
      <c r="Z1077" s="761">
        <v>1</v>
      </c>
      <c r="AA1077" s="761">
        <v>1</v>
      </c>
      <c r="AB1077" s="761">
        <v>1</v>
      </c>
      <c r="AC1077" s="761">
        <v>1</v>
      </c>
      <c r="AD1077" s="761"/>
      <c r="AE1077" s="761"/>
      <c r="AF1077" s="761"/>
      <c r="AG1077" s="763"/>
      <c r="AH1077" s="1942"/>
      <c r="AI1077" s="1942"/>
      <c r="AJ1077" s="1942"/>
      <c r="AK1077" s="1942"/>
      <c r="AL1077" s="1942"/>
      <c r="AM1077" s="1942"/>
      <c r="AN1077" s="1942"/>
      <c r="AO1077" s="1942"/>
      <c r="AP1077" s="1942"/>
      <c r="AQ1077" s="1942"/>
      <c r="AR1077" s="1942"/>
      <c r="AS1077" s="1942"/>
      <c r="AT1077" s="1942"/>
      <c r="AU1077" s="1942"/>
      <c r="AV1077" s="1942"/>
      <c r="AW1077" s="1942"/>
      <c r="AX1077" s="1942"/>
      <c r="AY1077" s="1942"/>
      <c r="AZ1077" s="1942"/>
      <c r="BA1077" s="1942"/>
      <c r="BB1077" s="575"/>
      <c r="BC1077" s="576"/>
      <c r="BD1077" s="678"/>
    </row>
    <row r="1078" spans="1:56" s="51" customFormat="1" hidden="1" outlineLevel="1" x14ac:dyDescent="0.25">
      <c r="A1078" s="1267"/>
      <c r="B1078" s="228"/>
      <c r="C1078" s="328"/>
      <c r="D1078" s="3990"/>
      <c r="E1078" s="4009"/>
      <c r="F1078" s="3419" t="str">
        <f t="shared" si="116"/>
        <v>Mini/MultiSplitASHP-Replace_CAC_ElectricHeat_ROF_SF</v>
      </c>
      <c r="G1078" s="3420"/>
      <c r="H1078" s="3421"/>
      <c r="I1078" s="3446" t="str">
        <f t="shared" si="117"/>
        <v>351450_2021_12_</v>
      </c>
      <c r="J1078" s="761">
        <v>1</v>
      </c>
      <c r="K1078" s="762"/>
      <c r="L1078" s="4079"/>
      <c r="M1078" s="1570"/>
      <c r="N1078" s="1556"/>
      <c r="O1078" s="228"/>
      <c r="P1078" s="228"/>
      <c r="Q1078" s="228"/>
      <c r="R1078" s="228"/>
      <c r="S1078" s="228"/>
      <c r="T1078" s="123"/>
      <c r="U1078" s="123"/>
      <c r="V1078" s="3990"/>
      <c r="W1078" s="761">
        <v>1</v>
      </c>
      <c r="X1078" s="761">
        <v>1</v>
      </c>
      <c r="Y1078" s="761">
        <v>1</v>
      </c>
      <c r="Z1078" s="761">
        <v>1</v>
      </c>
      <c r="AA1078" s="761">
        <v>1</v>
      </c>
      <c r="AB1078" s="761">
        <v>1</v>
      </c>
      <c r="AC1078" s="761">
        <v>1</v>
      </c>
      <c r="AD1078" s="761"/>
      <c r="AE1078" s="761"/>
      <c r="AF1078" s="761"/>
      <c r="AG1078" s="763"/>
      <c r="AH1078" s="1942"/>
      <c r="AI1078" s="1942"/>
      <c r="AJ1078" s="1942"/>
      <c r="AK1078" s="1942"/>
      <c r="AL1078" s="1942"/>
      <c r="AM1078" s="1942"/>
      <c r="AN1078" s="1942"/>
      <c r="AO1078" s="1942"/>
      <c r="AP1078" s="1942"/>
      <c r="AQ1078" s="1942"/>
      <c r="AR1078" s="1942"/>
      <c r="AS1078" s="1942"/>
      <c r="AT1078" s="1942"/>
      <c r="AU1078" s="1942"/>
      <c r="AV1078" s="1942"/>
      <c r="AW1078" s="1942"/>
      <c r="AX1078" s="1942"/>
      <c r="AY1078" s="1942"/>
      <c r="AZ1078" s="1942"/>
      <c r="BA1078" s="1942"/>
      <c r="BB1078" s="575"/>
      <c r="BC1078" s="576"/>
      <c r="BD1078" s="678"/>
    </row>
    <row r="1079" spans="1:56" s="51" customFormat="1" hidden="1" outlineLevel="1" x14ac:dyDescent="0.25">
      <c r="A1079" s="1267"/>
      <c r="B1079" s="228"/>
      <c r="C1079" s="328"/>
      <c r="D1079" s="3990"/>
      <c r="E1079" s="4009"/>
      <c r="F1079" s="3422" t="str">
        <f t="shared" si="116"/>
        <v>Mini/MultiSplitASHP_ER1_SF</v>
      </c>
      <c r="G1079" s="3423"/>
      <c r="H1079" s="3424"/>
      <c r="I1079" s="3446" t="str">
        <f t="shared" si="117"/>
        <v>351500_2021_12_</v>
      </c>
      <c r="J1079" s="761">
        <v>1</v>
      </c>
      <c r="K1079" s="762"/>
      <c r="L1079" s="4079"/>
      <c r="M1079" s="1570"/>
      <c r="N1079" s="1556"/>
      <c r="O1079" s="228"/>
      <c r="P1079" s="228"/>
      <c r="Q1079" s="228"/>
      <c r="R1079" s="228"/>
      <c r="S1079" s="228"/>
      <c r="T1079" s="123"/>
      <c r="U1079" s="123"/>
      <c r="V1079" s="3990"/>
      <c r="W1079" s="761">
        <v>1</v>
      </c>
      <c r="X1079" s="761">
        <v>1</v>
      </c>
      <c r="Y1079" s="761">
        <v>1</v>
      </c>
      <c r="Z1079" s="761">
        <v>1</v>
      </c>
      <c r="AA1079" s="761">
        <v>1</v>
      </c>
      <c r="AB1079" s="761">
        <v>1</v>
      </c>
      <c r="AC1079" s="761">
        <v>1</v>
      </c>
      <c r="AD1079" s="761"/>
      <c r="AE1079" s="761"/>
      <c r="AF1079" s="761"/>
      <c r="AG1079" s="763"/>
      <c r="AH1079" s="1942"/>
      <c r="AI1079" s="1942"/>
      <c r="AJ1079" s="1942"/>
      <c r="AK1079" s="1942"/>
      <c r="AL1079" s="1942"/>
      <c r="AM1079" s="1942"/>
      <c r="AN1079" s="1942"/>
      <c r="AO1079" s="1942"/>
      <c r="AP1079" s="1942"/>
      <c r="AQ1079" s="1942"/>
      <c r="AR1079" s="1942"/>
      <c r="AS1079" s="1942"/>
      <c r="AT1079" s="1942"/>
      <c r="AU1079" s="1942"/>
      <c r="AV1079" s="1942"/>
      <c r="AW1079" s="1942"/>
      <c r="AX1079" s="1942"/>
      <c r="AY1079" s="1942"/>
      <c r="AZ1079" s="1942"/>
      <c r="BA1079" s="1942"/>
      <c r="BB1079" s="575"/>
      <c r="BC1079" s="576"/>
      <c r="BD1079" s="678"/>
    </row>
    <row r="1080" spans="1:56" s="51" customFormat="1" hidden="1" outlineLevel="1" x14ac:dyDescent="0.25">
      <c r="A1080" s="1267"/>
      <c r="B1080" s="228"/>
      <c r="C1080" s="328"/>
      <c r="D1080" s="3990"/>
      <c r="E1080" s="4009"/>
      <c r="F1080" s="3416" t="str">
        <f t="shared" si="116"/>
        <v>Mini/MultiSplitASHP_ER1_SF</v>
      </c>
      <c r="G1080" s="3417"/>
      <c r="H1080" s="3418"/>
      <c r="I1080" s="3446" t="str">
        <f t="shared" si="117"/>
        <v>351500_2021_12_</v>
      </c>
      <c r="J1080" s="761">
        <v>1</v>
      </c>
      <c r="K1080" s="762"/>
      <c r="L1080" s="4079"/>
      <c r="M1080" s="1570"/>
      <c r="N1080" s="1556"/>
      <c r="O1080" s="228"/>
      <c r="P1080" s="228"/>
      <c r="Q1080" s="228"/>
      <c r="R1080" s="228"/>
      <c r="S1080" s="228"/>
      <c r="T1080" s="123"/>
      <c r="U1080" s="123"/>
      <c r="V1080" s="3990"/>
      <c r="W1080" s="761">
        <v>1</v>
      </c>
      <c r="X1080" s="761">
        <v>1</v>
      </c>
      <c r="Y1080" s="761">
        <v>1</v>
      </c>
      <c r="Z1080" s="761">
        <v>1</v>
      </c>
      <c r="AA1080" s="761">
        <v>1</v>
      </c>
      <c r="AB1080" s="761">
        <v>1</v>
      </c>
      <c r="AC1080" s="761">
        <v>1</v>
      </c>
      <c r="AD1080" s="761"/>
      <c r="AE1080" s="761"/>
      <c r="AF1080" s="761"/>
      <c r="AG1080" s="763"/>
      <c r="AH1080" s="1942"/>
      <c r="AI1080" s="1942"/>
      <c r="AJ1080" s="1942"/>
      <c r="AK1080" s="1942"/>
      <c r="AL1080" s="1942"/>
      <c r="AM1080" s="1942"/>
      <c r="AN1080" s="1942"/>
      <c r="AO1080" s="1942"/>
      <c r="AP1080" s="1942"/>
      <c r="AQ1080" s="1942"/>
      <c r="AR1080" s="1942"/>
      <c r="AS1080" s="1942"/>
      <c r="AT1080" s="1942"/>
      <c r="AU1080" s="1942"/>
      <c r="AV1080" s="1942"/>
      <c r="AW1080" s="1942"/>
      <c r="AX1080" s="1942"/>
      <c r="AY1080" s="1942"/>
      <c r="AZ1080" s="1942"/>
      <c r="BA1080" s="1942"/>
      <c r="BB1080" s="575"/>
      <c r="BC1080" s="576"/>
      <c r="BD1080" s="678"/>
    </row>
    <row r="1081" spans="1:56" s="51" customFormat="1" hidden="1" outlineLevel="1" x14ac:dyDescent="0.25">
      <c r="A1081" s="1267"/>
      <c r="B1081" s="228"/>
      <c r="C1081" s="328"/>
      <c r="D1081" s="3990"/>
      <c r="E1081" s="4009"/>
      <c r="F1081" s="3416" t="str">
        <f t="shared" si="116"/>
        <v>Mini/MultiSplitASHP_ER2_SF</v>
      </c>
      <c r="G1081" s="3417"/>
      <c r="H1081" s="3418"/>
      <c r="I1081" s="3446" t="str">
        <f t="shared" si="117"/>
        <v>351500_2021_12_</v>
      </c>
      <c r="J1081" s="761">
        <v>1</v>
      </c>
      <c r="K1081" s="762"/>
      <c r="L1081" s="4079"/>
      <c r="M1081" s="1570"/>
      <c r="N1081" s="1556"/>
      <c r="O1081" s="228"/>
      <c r="P1081" s="228"/>
      <c r="Q1081" s="228"/>
      <c r="R1081" s="228"/>
      <c r="S1081" s="228"/>
      <c r="T1081" s="123"/>
      <c r="U1081" s="123"/>
      <c r="V1081" s="3990"/>
      <c r="W1081" s="761">
        <v>1</v>
      </c>
      <c r="X1081" s="761">
        <v>1</v>
      </c>
      <c r="Y1081" s="761">
        <v>1</v>
      </c>
      <c r="Z1081" s="761">
        <v>1</v>
      </c>
      <c r="AA1081" s="761">
        <v>1</v>
      </c>
      <c r="AB1081" s="761">
        <v>1</v>
      </c>
      <c r="AC1081" s="761">
        <v>1</v>
      </c>
      <c r="AD1081" s="761"/>
      <c r="AE1081" s="761"/>
      <c r="AF1081" s="761"/>
      <c r="AG1081" s="763"/>
      <c r="AH1081" s="1942"/>
      <c r="AI1081" s="1942"/>
      <c r="AJ1081" s="1942"/>
      <c r="AK1081" s="1942"/>
      <c r="AL1081" s="1942"/>
      <c r="AM1081" s="1942"/>
      <c r="AN1081" s="1942"/>
      <c r="AO1081" s="1942"/>
      <c r="AP1081" s="1942"/>
      <c r="AQ1081" s="1942"/>
      <c r="AR1081" s="1942"/>
      <c r="AS1081" s="1942"/>
      <c r="AT1081" s="1942"/>
      <c r="AU1081" s="1942"/>
      <c r="AV1081" s="1942"/>
      <c r="AW1081" s="1942"/>
      <c r="AX1081" s="1942"/>
      <c r="AY1081" s="1942"/>
      <c r="AZ1081" s="1942"/>
      <c r="BA1081" s="1942"/>
      <c r="BB1081" s="575"/>
      <c r="BC1081" s="576"/>
      <c r="BD1081" s="678"/>
    </row>
    <row r="1082" spans="1:56" s="51" customFormat="1" hidden="1" outlineLevel="1" x14ac:dyDescent="0.25">
      <c r="A1082" s="1267"/>
      <c r="B1082" s="228"/>
      <c r="C1082" s="328"/>
      <c r="D1082" s="3990"/>
      <c r="E1082" s="4009"/>
      <c r="F1082" s="3419" t="str">
        <f t="shared" si="116"/>
        <v>Mini/MultiSplitASHP_ER2_SF</v>
      </c>
      <c r="G1082" s="3420"/>
      <c r="H1082" s="3421"/>
      <c r="I1082" s="3446" t="str">
        <f t="shared" si="117"/>
        <v>351500_2021_12_</v>
      </c>
      <c r="J1082" s="761">
        <v>1</v>
      </c>
      <c r="K1082" s="762"/>
      <c r="L1082" s="4080"/>
      <c r="M1082" s="1570"/>
      <c r="N1082" s="1556"/>
      <c r="O1082" s="228"/>
      <c r="P1082" s="228"/>
      <c r="Q1082" s="228"/>
      <c r="R1082" s="228"/>
      <c r="S1082" s="228"/>
      <c r="T1082" s="123"/>
      <c r="U1082" s="123"/>
      <c r="V1082" s="3990"/>
      <c r="W1082" s="761">
        <v>1</v>
      </c>
      <c r="X1082" s="761">
        <v>1</v>
      </c>
      <c r="Y1082" s="761">
        <v>1</v>
      </c>
      <c r="Z1082" s="761">
        <v>1</v>
      </c>
      <c r="AA1082" s="761">
        <v>1</v>
      </c>
      <c r="AB1082" s="761">
        <v>1</v>
      </c>
      <c r="AC1082" s="761">
        <v>1</v>
      </c>
      <c r="AD1082" s="761"/>
      <c r="AE1082" s="761"/>
      <c r="AF1082" s="761"/>
      <c r="AG1082" s="763"/>
      <c r="AH1082" s="1942"/>
      <c r="AI1082" s="1942"/>
      <c r="AJ1082" s="1942"/>
      <c r="AK1082" s="1942"/>
      <c r="AL1082" s="1942"/>
      <c r="AM1082" s="1942"/>
      <c r="AN1082" s="1942"/>
      <c r="AO1082" s="1942"/>
      <c r="AP1082" s="1942"/>
      <c r="AQ1082" s="1942"/>
      <c r="AR1082" s="1942"/>
      <c r="AS1082" s="1942"/>
      <c r="AT1082" s="1942"/>
      <c r="AU1082" s="1942"/>
      <c r="AV1082" s="1942"/>
      <c r="AW1082" s="1942"/>
      <c r="AX1082" s="1942"/>
      <c r="AY1082" s="1942"/>
      <c r="AZ1082" s="1942"/>
      <c r="BA1082" s="1942"/>
      <c r="BB1082" s="575"/>
      <c r="BC1082" s="576"/>
      <c r="BD1082" s="678"/>
    </row>
    <row r="1083" spans="1:56" s="51" customFormat="1" hidden="1" outlineLevel="1" x14ac:dyDescent="0.25">
      <c r="A1083" s="1267"/>
      <c r="B1083" s="228"/>
      <c r="C1083" s="328"/>
      <c r="D1083" s="3990"/>
      <c r="E1083" s="4009"/>
      <c r="F1083" s="3422" t="str">
        <f t="shared" si="116"/>
        <v>Mini/MultiSplitAC_ER1_MF</v>
      </c>
      <c r="G1083" s="3423"/>
      <c r="H1083" s="3424"/>
      <c r="I1083" s="3446" t="str">
        <f t="shared" si="117"/>
        <v>351550_2021_12_</v>
      </c>
      <c r="J1083" s="761">
        <v>1</v>
      </c>
      <c r="K1083" s="762"/>
      <c r="L1083" s="4081" t="s">
        <v>1128</v>
      </c>
      <c r="M1083" s="1570"/>
      <c r="N1083" s="1556"/>
      <c r="O1083" s="228"/>
      <c r="P1083" s="228"/>
      <c r="Q1083" s="228"/>
      <c r="R1083" s="228"/>
      <c r="S1083" s="228"/>
      <c r="T1083" s="123"/>
      <c r="U1083" s="123"/>
      <c r="V1083" s="3990"/>
      <c r="W1083" s="761">
        <v>0.65</v>
      </c>
      <c r="X1083" s="761">
        <v>0.65</v>
      </c>
      <c r="Y1083" s="764">
        <v>1</v>
      </c>
      <c r="Z1083" s="761">
        <v>1</v>
      </c>
      <c r="AA1083" s="761">
        <v>1</v>
      </c>
      <c r="AB1083" s="761">
        <v>1</v>
      </c>
      <c r="AC1083" s="761">
        <v>1</v>
      </c>
      <c r="AD1083" s="761"/>
      <c r="AE1083" s="761"/>
      <c r="AF1083" s="761"/>
      <c r="AG1083" s="763"/>
      <c r="AH1083" s="1942"/>
      <c r="AI1083" s="1942"/>
      <c r="AJ1083" s="1942"/>
      <c r="AK1083" s="1942"/>
      <c r="AL1083" s="1942"/>
      <c r="AM1083" s="1942"/>
      <c r="AN1083" s="1942"/>
      <c r="AO1083" s="1942"/>
      <c r="AP1083" s="1942"/>
      <c r="AQ1083" s="1942"/>
      <c r="AR1083" s="1942"/>
      <c r="AS1083" s="1942"/>
      <c r="AT1083" s="1942"/>
      <c r="AU1083" s="1942"/>
      <c r="AV1083" s="1942"/>
      <c r="AW1083" s="1942"/>
      <c r="AX1083" s="1942"/>
      <c r="AY1083" s="1942"/>
      <c r="AZ1083" s="1942"/>
      <c r="BA1083" s="1942"/>
      <c r="BB1083" s="575"/>
      <c r="BC1083" s="576"/>
      <c r="BD1083" s="678"/>
    </row>
    <row r="1084" spans="1:56" s="51" customFormat="1" hidden="1" outlineLevel="1" x14ac:dyDescent="0.25">
      <c r="A1084" s="1267"/>
      <c r="B1084" s="228"/>
      <c r="C1084" s="328"/>
      <c r="D1084" s="3990"/>
      <c r="E1084" s="4009"/>
      <c r="F1084" s="3419" t="str">
        <f t="shared" si="116"/>
        <v>Mini/MultiSplitAC_ER2_MF</v>
      </c>
      <c r="G1084" s="3420"/>
      <c r="H1084" s="3421"/>
      <c r="I1084" s="3446" t="str">
        <f t="shared" si="117"/>
        <v>351550_2021_12_</v>
      </c>
      <c r="J1084" s="761">
        <f>J1083</f>
        <v>1</v>
      </c>
      <c r="K1084" s="762"/>
      <c r="L1084" s="4082"/>
      <c r="M1084" s="1570"/>
      <c r="N1084" s="1556"/>
      <c r="O1084" s="228"/>
      <c r="P1084" s="228"/>
      <c r="Q1084" s="228"/>
      <c r="R1084" s="228"/>
      <c r="S1084" s="228"/>
      <c r="T1084" s="123"/>
      <c r="U1084" s="123"/>
      <c r="V1084" s="3990"/>
      <c r="W1084" s="761">
        <v>0.65</v>
      </c>
      <c r="X1084" s="761">
        <v>0.65</v>
      </c>
      <c r="Y1084" s="764">
        <f>Y1083</f>
        <v>1</v>
      </c>
      <c r="Z1084" s="761">
        <v>1</v>
      </c>
      <c r="AA1084" s="761">
        <v>1</v>
      </c>
      <c r="AB1084" s="761">
        <v>1</v>
      </c>
      <c r="AC1084" s="761">
        <v>1</v>
      </c>
      <c r="AD1084" s="761"/>
      <c r="AE1084" s="761"/>
      <c r="AF1084" s="761"/>
      <c r="AG1084" s="763"/>
      <c r="AH1084" s="1942"/>
      <c r="AI1084" s="1942"/>
      <c r="AJ1084" s="1942"/>
      <c r="AK1084" s="1942"/>
      <c r="AL1084" s="1942"/>
      <c r="AM1084" s="1942"/>
      <c r="AN1084" s="1942"/>
      <c r="AO1084" s="1942"/>
      <c r="AP1084" s="1942"/>
      <c r="AQ1084" s="1942"/>
      <c r="AR1084" s="1942"/>
      <c r="AS1084" s="1942"/>
      <c r="AT1084" s="1942"/>
      <c r="AU1084" s="1942"/>
      <c r="AV1084" s="1942"/>
      <c r="AW1084" s="1942"/>
      <c r="AX1084" s="1942"/>
      <c r="AY1084" s="1942"/>
      <c r="AZ1084" s="1942"/>
      <c r="BA1084" s="1942"/>
      <c r="BB1084" s="575"/>
      <c r="BC1084" s="576"/>
      <c r="BD1084" s="678"/>
    </row>
    <row r="1085" spans="1:56" s="51" customFormat="1" hidden="1" outlineLevel="1" x14ac:dyDescent="0.25">
      <c r="A1085" s="1267"/>
      <c r="B1085" s="228"/>
      <c r="C1085" s="328"/>
      <c r="D1085" s="3990"/>
      <c r="E1085" s="4009"/>
      <c r="F1085" s="3425" t="str">
        <f>E807</f>
        <v>Mini/MultiSplitAC_ROF_MF</v>
      </c>
      <c r="G1085" s="3426"/>
      <c r="H1085" s="3427"/>
      <c r="I1085" s="3446" t="str">
        <f>C807</f>
        <v>351600_2021_12_</v>
      </c>
      <c r="J1085" s="761">
        <f t="shared" ref="J1085:J1116" si="118">J1084</f>
        <v>1</v>
      </c>
      <c r="K1085" s="762"/>
      <c r="L1085" s="4082"/>
      <c r="M1085" s="1570"/>
      <c r="N1085" s="1556"/>
      <c r="O1085" s="228"/>
      <c r="P1085" s="228"/>
      <c r="Q1085" s="228"/>
      <c r="R1085" s="228"/>
      <c r="S1085" s="228"/>
      <c r="T1085" s="123"/>
      <c r="U1085" s="123"/>
      <c r="V1085" s="3990"/>
      <c r="W1085" s="761">
        <v>0.65</v>
      </c>
      <c r="X1085" s="761">
        <v>0.65</v>
      </c>
      <c r="Y1085" s="764">
        <f t="shared" ref="Y1085:Y1116" si="119">Y1084</f>
        <v>1</v>
      </c>
      <c r="Z1085" s="761">
        <v>1</v>
      </c>
      <c r="AA1085" s="761">
        <v>1</v>
      </c>
      <c r="AB1085" s="761">
        <v>1</v>
      </c>
      <c r="AC1085" s="761">
        <v>1</v>
      </c>
      <c r="AD1085" s="761"/>
      <c r="AE1085" s="761"/>
      <c r="AF1085" s="761"/>
      <c r="AG1085" s="763"/>
      <c r="AH1085" s="1942"/>
      <c r="AI1085" s="1942"/>
      <c r="AJ1085" s="1942"/>
      <c r="AK1085" s="1942"/>
      <c r="AL1085" s="1942"/>
      <c r="AM1085" s="1942"/>
      <c r="AN1085" s="1942"/>
      <c r="AO1085" s="1942"/>
      <c r="AP1085" s="1942"/>
      <c r="AQ1085" s="1942"/>
      <c r="AR1085" s="1942"/>
      <c r="AS1085" s="1942"/>
      <c r="AT1085" s="1942"/>
      <c r="AU1085" s="1942"/>
      <c r="AV1085" s="1942"/>
      <c r="AW1085" s="1942"/>
      <c r="AX1085" s="1942"/>
      <c r="AY1085" s="1942"/>
      <c r="AZ1085" s="1942"/>
      <c r="BA1085" s="1942"/>
      <c r="BB1085" s="575"/>
      <c r="BC1085" s="576"/>
      <c r="BD1085" s="678"/>
    </row>
    <row r="1086" spans="1:56" s="51" customFormat="1" hidden="1" outlineLevel="1" x14ac:dyDescent="0.25">
      <c r="A1086" s="1267"/>
      <c r="B1086" s="228"/>
      <c r="C1086" s="328"/>
      <c r="D1086" s="3990"/>
      <c r="E1086" s="4009"/>
      <c r="F1086" s="3422" t="str">
        <f>E809</f>
        <v>Mini/MultiSplitASHP_ROF_MF_NC</v>
      </c>
      <c r="G1086" s="3423"/>
      <c r="H1086" s="3424"/>
      <c r="I1086" s="3446" t="str">
        <f>C809</f>
        <v>351650_2021_12_</v>
      </c>
      <c r="J1086" s="761">
        <f t="shared" si="118"/>
        <v>1</v>
      </c>
      <c r="K1086" s="762"/>
      <c r="L1086" s="4082"/>
      <c r="M1086" s="1570"/>
      <c r="N1086" s="1556"/>
      <c r="O1086" s="228"/>
      <c r="P1086" s="228"/>
      <c r="Q1086" s="228"/>
      <c r="R1086" s="228"/>
      <c r="S1086" s="228"/>
      <c r="T1086" s="123"/>
      <c r="U1086" s="123"/>
      <c r="V1086" s="3990"/>
      <c r="W1086" s="761">
        <v>0.65</v>
      </c>
      <c r="X1086" s="761">
        <v>0.65</v>
      </c>
      <c r="Y1086" s="764">
        <f t="shared" si="119"/>
        <v>1</v>
      </c>
      <c r="Z1086" s="761">
        <v>1</v>
      </c>
      <c r="AA1086" s="761">
        <v>1</v>
      </c>
      <c r="AB1086" s="761">
        <v>1</v>
      </c>
      <c r="AC1086" s="761">
        <v>1</v>
      </c>
      <c r="AD1086" s="761"/>
      <c r="AE1086" s="761"/>
      <c r="AF1086" s="761"/>
      <c r="AG1086" s="763"/>
      <c r="AH1086" s="1942"/>
      <c r="AI1086" s="1942"/>
      <c r="AJ1086" s="1942"/>
      <c r="AK1086" s="1942"/>
      <c r="AL1086" s="1942"/>
      <c r="AM1086" s="1942"/>
      <c r="AN1086" s="1942"/>
      <c r="AO1086" s="1942"/>
      <c r="AP1086" s="1942"/>
      <c r="AQ1086" s="1942"/>
      <c r="AR1086" s="1942"/>
      <c r="AS1086" s="1942"/>
      <c r="AT1086" s="1942"/>
      <c r="AU1086" s="1942"/>
      <c r="AV1086" s="1942"/>
      <c r="AW1086" s="1942"/>
      <c r="AX1086" s="1942"/>
      <c r="AY1086" s="1942"/>
      <c r="AZ1086" s="1942"/>
      <c r="BA1086" s="1942"/>
      <c r="BB1086" s="575"/>
      <c r="BC1086" s="576"/>
      <c r="BD1086" s="678"/>
    </row>
    <row r="1087" spans="1:56" s="51" customFormat="1" hidden="1" outlineLevel="1" x14ac:dyDescent="0.25">
      <c r="A1087" s="1267"/>
      <c r="B1087" s="228"/>
      <c r="C1087" s="328"/>
      <c r="D1087" s="3990"/>
      <c r="E1087" s="4009"/>
      <c r="F1087" s="3419" t="str">
        <f>E810</f>
        <v>Mini/MultiSplitASHP_ROF_MF_NC</v>
      </c>
      <c r="G1087" s="3420"/>
      <c r="H1087" s="3421"/>
      <c r="I1087" s="3446" t="str">
        <f>C810</f>
        <v>351650_2021_12_</v>
      </c>
      <c r="J1087" s="761">
        <f t="shared" si="118"/>
        <v>1</v>
      </c>
      <c r="K1087" s="762"/>
      <c r="L1087" s="4082"/>
      <c r="M1087" s="1570"/>
      <c r="N1087" s="1556"/>
      <c r="O1087" s="228"/>
      <c r="P1087" s="228"/>
      <c r="Q1087" s="228"/>
      <c r="R1087" s="228"/>
      <c r="S1087" s="228"/>
      <c r="T1087" s="123"/>
      <c r="U1087" s="123"/>
      <c r="V1087" s="3990"/>
      <c r="W1087" s="761">
        <v>0.65</v>
      </c>
      <c r="X1087" s="761">
        <v>0.65</v>
      </c>
      <c r="Y1087" s="764">
        <f t="shared" si="119"/>
        <v>1</v>
      </c>
      <c r="Z1087" s="761">
        <v>1</v>
      </c>
      <c r="AA1087" s="761">
        <v>1</v>
      </c>
      <c r="AB1087" s="761">
        <v>1</v>
      </c>
      <c r="AC1087" s="761">
        <v>1</v>
      </c>
      <c r="AD1087" s="761"/>
      <c r="AE1087" s="761"/>
      <c r="AF1087" s="761"/>
      <c r="AG1087" s="763"/>
      <c r="AH1087" s="1942"/>
      <c r="AI1087" s="1942"/>
      <c r="AJ1087" s="1942"/>
      <c r="AK1087" s="1942"/>
      <c r="AL1087" s="1942"/>
      <c r="AM1087" s="1942"/>
      <c r="AN1087" s="1942"/>
      <c r="AO1087" s="1942"/>
      <c r="AP1087" s="1942"/>
      <c r="AQ1087" s="1942"/>
      <c r="AR1087" s="1942"/>
      <c r="AS1087" s="1942"/>
      <c r="AT1087" s="1942"/>
      <c r="AU1087" s="1942"/>
      <c r="AV1087" s="1942"/>
      <c r="AW1087" s="1942"/>
      <c r="AX1087" s="1942"/>
      <c r="AY1087" s="1942"/>
      <c r="AZ1087" s="1942"/>
      <c r="BA1087" s="1942"/>
      <c r="BB1087" s="575"/>
      <c r="BC1087" s="576"/>
      <c r="BD1087" s="678"/>
    </row>
    <row r="1088" spans="1:56" s="51" customFormat="1" hidden="1" outlineLevel="1" x14ac:dyDescent="0.25">
      <c r="A1088" s="1267"/>
      <c r="B1088" s="228"/>
      <c r="C1088" s="328"/>
      <c r="D1088" s="3990"/>
      <c r="E1088" s="4009"/>
      <c r="F1088" s="3422" t="str">
        <f>E813</f>
        <v>Mini/MultiSplitASHP_ROF_MF</v>
      </c>
      <c r="G1088" s="3423"/>
      <c r="H1088" s="3424"/>
      <c r="I1088" s="3446" t="str">
        <f>C813</f>
        <v>351700_2021_12_</v>
      </c>
      <c r="J1088" s="761">
        <f t="shared" si="118"/>
        <v>1</v>
      </c>
      <c r="K1088" s="762"/>
      <c r="L1088" s="4082"/>
      <c r="M1088" s="1570"/>
      <c r="N1088" s="1556"/>
      <c r="O1088" s="228"/>
      <c r="P1088" s="228"/>
      <c r="Q1088" s="228"/>
      <c r="R1088" s="228"/>
      <c r="S1088" s="228"/>
      <c r="T1088" s="123"/>
      <c r="U1088" s="123"/>
      <c r="V1088" s="3990"/>
      <c r="W1088" s="761">
        <v>0.65</v>
      </c>
      <c r="X1088" s="761">
        <v>0.65</v>
      </c>
      <c r="Y1088" s="764">
        <f t="shared" si="119"/>
        <v>1</v>
      </c>
      <c r="Z1088" s="761">
        <v>1</v>
      </c>
      <c r="AA1088" s="761">
        <v>1</v>
      </c>
      <c r="AB1088" s="761">
        <v>1</v>
      </c>
      <c r="AC1088" s="761">
        <v>1</v>
      </c>
      <c r="AD1088" s="761"/>
      <c r="AE1088" s="761"/>
      <c r="AF1088" s="761"/>
      <c r="AG1088" s="763"/>
      <c r="AH1088" s="1942"/>
      <c r="AI1088" s="1942"/>
      <c r="AJ1088" s="1942"/>
      <c r="AK1088" s="1942"/>
      <c r="AL1088" s="1942"/>
      <c r="AM1088" s="1942"/>
      <c r="AN1088" s="1942"/>
      <c r="AO1088" s="1942"/>
      <c r="AP1088" s="1942"/>
      <c r="AQ1088" s="1942"/>
      <c r="AR1088" s="1942"/>
      <c r="AS1088" s="1942"/>
      <c r="AT1088" s="1942"/>
      <c r="AU1088" s="1942"/>
      <c r="AV1088" s="1942"/>
      <c r="AW1088" s="1942"/>
      <c r="AX1088" s="1942"/>
      <c r="AY1088" s="1942"/>
      <c r="AZ1088" s="1942"/>
      <c r="BA1088" s="1942"/>
      <c r="BB1088" s="575"/>
      <c r="BC1088" s="576"/>
      <c r="BD1088" s="678"/>
    </row>
    <row r="1089" spans="1:56" s="51" customFormat="1" hidden="1" outlineLevel="1" x14ac:dyDescent="0.25">
      <c r="A1089" s="1267"/>
      <c r="B1089" s="228"/>
      <c r="C1089" s="328"/>
      <c r="D1089" s="3990"/>
      <c r="E1089" s="4009"/>
      <c r="F1089" s="3419" t="str">
        <f>E814</f>
        <v>Mini/MultiSplitASHP_ROF_MF</v>
      </c>
      <c r="G1089" s="3420"/>
      <c r="H1089" s="3421"/>
      <c r="I1089" s="3446" t="str">
        <f>C814</f>
        <v>351700_2021_12_</v>
      </c>
      <c r="J1089" s="761">
        <f t="shared" si="118"/>
        <v>1</v>
      </c>
      <c r="K1089" s="762"/>
      <c r="L1089" s="4082"/>
      <c r="M1089" s="1570"/>
      <c r="N1089" s="1556"/>
      <c r="O1089" s="228"/>
      <c r="P1089" s="228"/>
      <c r="Q1089" s="228"/>
      <c r="R1089" s="228"/>
      <c r="S1089" s="228"/>
      <c r="T1089" s="123"/>
      <c r="U1089" s="123"/>
      <c r="V1089" s="3990"/>
      <c r="W1089" s="761">
        <v>0.65</v>
      </c>
      <c r="X1089" s="761">
        <v>0.65</v>
      </c>
      <c r="Y1089" s="764">
        <f t="shared" si="119"/>
        <v>1</v>
      </c>
      <c r="Z1089" s="761">
        <v>1</v>
      </c>
      <c r="AA1089" s="761">
        <v>1</v>
      </c>
      <c r="AB1089" s="761">
        <v>1</v>
      </c>
      <c r="AC1089" s="761">
        <v>1</v>
      </c>
      <c r="AD1089" s="761"/>
      <c r="AE1089" s="761"/>
      <c r="AF1089" s="761"/>
      <c r="AG1089" s="763"/>
      <c r="AH1089" s="1942"/>
      <c r="AI1089" s="1942"/>
      <c r="AJ1089" s="1942"/>
      <c r="AK1089" s="1942"/>
      <c r="AL1089" s="1942"/>
      <c r="AM1089" s="1942"/>
      <c r="AN1089" s="1942"/>
      <c r="AO1089" s="1942"/>
      <c r="AP1089" s="1942"/>
      <c r="AQ1089" s="1942"/>
      <c r="AR1089" s="1942"/>
      <c r="AS1089" s="1942"/>
      <c r="AT1089" s="1942"/>
      <c r="AU1089" s="1942"/>
      <c r="AV1089" s="1942"/>
      <c r="AW1089" s="1942"/>
      <c r="AX1089" s="1942"/>
      <c r="AY1089" s="1942"/>
      <c r="AZ1089" s="1942"/>
      <c r="BA1089" s="1942"/>
      <c r="BB1089" s="575"/>
      <c r="BC1089" s="576"/>
      <c r="BD1089" s="678"/>
    </row>
    <row r="1090" spans="1:56" s="51" customFormat="1" hidden="1" outlineLevel="1" x14ac:dyDescent="0.25">
      <c r="A1090" s="1267"/>
      <c r="B1090" s="228"/>
      <c r="C1090" s="328"/>
      <c r="D1090" s="3990"/>
      <c r="E1090" s="4009"/>
      <c r="F1090" s="3422" t="str">
        <f>E817</f>
        <v>Mini/MultiSplitASHP-Replace_CAC_ElectricHeat_ER1_MF</v>
      </c>
      <c r="G1090" s="3423"/>
      <c r="H1090" s="3424"/>
      <c r="I1090" s="3446" t="str">
        <f>C817</f>
        <v>351750_2021_12_</v>
      </c>
      <c r="J1090" s="761">
        <f t="shared" si="118"/>
        <v>1</v>
      </c>
      <c r="K1090" s="762"/>
      <c r="L1090" s="4082"/>
      <c r="M1090" s="1570"/>
      <c r="N1090" s="1556"/>
      <c r="O1090" s="228"/>
      <c r="P1090" s="228"/>
      <c r="Q1090" s="228"/>
      <c r="R1090" s="228"/>
      <c r="S1090" s="228"/>
      <c r="T1090" s="123"/>
      <c r="U1090" s="123"/>
      <c r="V1090" s="3990"/>
      <c r="W1090" s="761">
        <v>0.65</v>
      </c>
      <c r="X1090" s="761">
        <v>0.65</v>
      </c>
      <c r="Y1090" s="764">
        <f t="shared" si="119"/>
        <v>1</v>
      </c>
      <c r="Z1090" s="761">
        <v>1</v>
      </c>
      <c r="AA1090" s="761">
        <v>1</v>
      </c>
      <c r="AB1090" s="761">
        <v>1</v>
      </c>
      <c r="AC1090" s="761">
        <v>1</v>
      </c>
      <c r="AD1090" s="761"/>
      <c r="AE1090" s="761"/>
      <c r="AF1090" s="761"/>
      <c r="AG1090" s="763"/>
      <c r="AH1090" s="1942"/>
      <c r="AI1090" s="1942"/>
      <c r="AJ1090" s="1942"/>
      <c r="AK1090" s="1942"/>
      <c r="AL1090" s="1942"/>
      <c r="AM1090" s="1942"/>
      <c r="AN1090" s="1942"/>
      <c r="AO1090" s="1942"/>
      <c r="AP1090" s="1942"/>
      <c r="AQ1090" s="1942"/>
      <c r="AR1090" s="1942"/>
      <c r="AS1090" s="1942"/>
      <c r="AT1090" s="1942"/>
      <c r="AU1090" s="1942"/>
      <c r="AV1090" s="1942"/>
      <c r="AW1090" s="1942"/>
      <c r="AX1090" s="1942"/>
      <c r="AY1090" s="1942"/>
      <c r="AZ1090" s="1942"/>
      <c r="BA1090" s="1942"/>
      <c r="BB1090" s="575"/>
      <c r="BC1090" s="576"/>
      <c r="BD1090" s="678"/>
    </row>
    <row r="1091" spans="1:56" s="51" customFormat="1" hidden="1" outlineLevel="1" x14ac:dyDescent="0.25">
      <c r="A1091" s="1267"/>
      <c r="B1091" s="228"/>
      <c r="C1091" s="328"/>
      <c r="D1091" s="3990"/>
      <c r="E1091" s="4009"/>
      <c r="F1091" s="3416" t="str">
        <f>E818</f>
        <v>Mini/MultiSplitASHP-Replace_CAC_ElectricHeat_ER1_MF</v>
      </c>
      <c r="G1091" s="3417"/>
      <c r="H1091" s="3418"/>
      <c r="I1091" s="3446" t="str">
        <f>C818</f>
        <v>351750_2021_12_</v>
      </c>
      <c r="J1091" s="761">
        <f t="shared" si="118"/>
        <v>1</v>
      </c>
      <c r="K1091" s="762"/>
      <c r="L1091" s="4082"/>
      <c r="M1091" s="1570"/>
      <c r="N1091" s="1556"/>
      <c r="O1091" s="228"/>
      <c r="P1091" s="228"/>
      <c r="Q1091" s="228"/>
      <c r="R1091" s="228"/>
      <c r="S1091" s="228"/>
      <c r="T1091" s="123"/>
      <c r="U1091" s="123"/>
      <c r="V1091" s="3990"/>
      <c r="W1091" s="761">
        <v>0.65</v>
      </c>
      <c r="X1091" s="761">
        <v>0.65</v>
      </c>
      <c r="Y1091" s="764">
        <f t="shared" si="119"/>
        <v>1</v>
      </c>
      <c r="Z1091" s="761">
        <v>1</v>
      </c>
      <c r="AA1091" s="761">
        <v>1</v>
      </c>
      <c r="AB1091" s="761">
        <v>1</v>
      </c>
      <c r="AC1091" s="761">
        <v>1</v>
      </c>
      <c r="AD1091" s="761"/>
      <c r="AE1091" s="761"/>
      <c r="AF1091" s="761"/>
      <c r="AG1091" s="763"/>
      <c r="AH1091" s="1942"/>
      <c r="AI1091" s="1942"/>
      <c r="AJ1091" s="1942"/>
      <c r="AK1091" s="1942"/>
      <c r="AL1091" s="1942"/>
      <c r="AM1091" s="1942"/>
      <c r="AN1091" s="1942"/>
      <c r="AO1091" s="1942"/>
      <c r="AP1091" s="1942"/>
      <c r="AQ1091" s="1942"/>
      <c r="AR1091" s="1942"/>
      <c r="AS1091" s="1942"/>
      <c r="AT1091" s="1942"/>
      <c r="AU1091" s="1942"/>
      <c r="AV1091" s="1942"/>
      <c r="AW1091" s="1942"/>
      <c r="AX1091" s="1942"/>
      <c r="AY1091" s="1942"/>
      <c r="AZ1091" s="1942"/>
      <c r="BA1091" s="1942"/>
      <c r="BB1091" s="575"/>
      <c r="BC1091" s="576"/>
      <c r="BD1091" s="678"/>
    </row>
    <row r="1092" spans="1:56" s="51" customFormat="1" hidden="1" outlineLevel="1" x14ac:dyDescent="0.25">
      <c r="A1092" s="1267"/>
      <c r="B1092" s="228"/>
      <c r="C1092" s="328"/>
      <c r="D1092" s="3990"/>
      <c r="E1092" s="4009"/>
      <c r="F1092" s="3416" t="str">
        <f>E819</f>
        <v>Mini/MultiSplitASHP-Replace_CAC_ElectricHeat_ER2_MF</v>
      </c>
      <c r="G1092" s="3417"/>
      <c r="H1092" s="3418"/>
      <c r="I1092" s="3446" t="str">
        <f>C819</f>
        <v>351750_2021_12_</v>
      </c>
      <c r="J1092" s="761">
        <f t="shared" si="118"/>
        <v>1</v>
      </c>
      <c r="K1092" s="762"/>
      <c r="L1092" s="4082"/>
      <c r="M1092" s="1570"/>
      <c r="N1092" s="1556"/>
      <c r="O1092" s="228"/>
      <c r="P1092" s="228"/>
      <c r="Q1092" s="228"/>
      <c r="R1092" s="228"/>
      <c r="S1092" s="228"/>
      <c r="T1092" s="123"/>
      <c r="U1092" s="123"/>
      <c r="V1092" s="3990"/>
      <c r="W1092" s="761">
        <v>0.65</v>
      </c>
      <c r="X1092" s="761">
        <v>0.65</v>
      </c>
      <c r="Y1092" s="764">
        <f t="shared" si="119"/>
        <v>1</v>
      </c>
      <c r="Z1092" s="761">
        <v>1</v>
      </c>
      <c r="AA1092" s="761">
        <v>1</v>
      </c>
      <c r="AB1092" s="761">
        <v>1</v>
      </c>
      <c r="AC1092" s="761">
        <v>1</v>
      </c>
      <c r="AD1092" s="761"/>
      <c r="AE1092" s="761"/>
      <c r="AF1092" s="761"/>
      <c r="AG1092" s="763"/>
      <c r="AH1092" s="1942"/>
      <c r="AI1092" s="1942"/>
      <c r="AJ1092" s="1942"/>
      <c r="AK1092" s="1942"/>
      <c r="AL1092" s="1942"/>
      <c r="AM1092" s="1942"/>
      <c r="AN1092" s="1942"/>
      <c r="AO1092" s="1942"/>
      <c r="AP1092" s="1942"/>
      <c r="AQ1092" s="1942"/>
      <c r="AR1092" s="1942"/>
      <c r="AS1092" s="1942"/>
      <c r="AT1092" s="1942"/>
      <c r="AU1092" s="1942"/>
      <c r="AV1092" s="1942"/>
      <c r="AW1092" s="1942"/>
      <c r="AX1092" s="1942"/>
      <c r="AY1092" s="1942"/>
      <c r="AZ1092" s="1942"/>
      <c r="BA1092" s="1942"/>
      <c r="BB1092" s="575"/>
      <c r="BC1092" s="576"/>
      <c r="BD1092" s="678"/>
    </row>
    <row r="1093" spans="1:56" s="51" customFormat="1" hidden="1" outlineLevel="1" x14ac:dyDescent="0.25">
      <c r="A1093" s="1267"/>
      <c r="B1093" s="228"/>
      <c r="C1093" s="328"/>
      <c r="D1093" s="3990"/>
      <c r="E1093" s="4009"/>
      <c r="F1093" s="3419" t="str">
        <f>E820</f>
        <v>Mini/MultiSplitASHP-Replace_CAC_ElectricHeat_ER2_MF</v>
      </c>
      <c r="G1093" s="3420"/>
      <c r="H1093" s="3421"/>
      <c r="I1093" s="3446" t="str">
        <f>C820</f>
        <v>351750_2021_12_</v>
      </c>
      <c r="J1093" s="761">
        <f t="shared" si="118"/>
        <v>1</v>
      </c>
      <c r="K1093" s="762"/>
      <c r="L1093" s="4082"/>
      <c r="M1093" s="1570"/>
      <c r="N1093" s="1556"/>
      <c r="O1093" s="228"/>
      <c r="P1093" s="228"/>
      <c r="Q1093" s="228"/>
      <c r="R1093" s="228"/>
      <c r="S1093" s="228"/>
      <c r="T1093" s="123"/>
      <c r="U1093" s="123"/>
      <c r="V1093" s="3990"/>
      <c r="W1093" s="761">
        <v>0.65</v>
      </c>
      <c r="X1093" s="761">
        <v>0.65</v>
      </c>
      <c r="Y1093" s="764">
        <f t="shared" si="119"/>
        <v>1</v>
      </c>
      <c r="Z1093" s="761">
        <v>1</v>
      </c>
      <c r="AA1093" s="761">
        <v>1</v>
      </c>
      <c r="AB1093" s="761">
        <v>1</v>
      </c>
      <c r="AC1093" s="761">
        <v>1</v>
      </c>
      <c r="AD1093" s="761"/>
      <c r="AE1093" s="761"/>
      <c r="AF1093" s="761"/>
      <c r="AG1093" s="763"/>
      <c r="AH1093" s="1942"/>
      <c r="AI1093" s="1942"/>
      <c r="AJ1093" s="1942"/>
      <c r="AK1093" s="1942"/>
      <c r="AL1093" s="1942"/>
      <c r="AM1093" s="1942"/>
      <c r="AN1093" s="1942"/>
      <c r="AO1093" s="1942"/>
      <c r="AP1093" s="1942"/>
      <c r="AQ1093" s="1942"/>
      <c r="AR1093" s="1942"/>
      <c r="AS1093" s="1942"/>
      <c r="AT1093" s="1942"/>
      <c r="AU1093" s="1942"/>
      <c r="AV1093" s="1942"/>
      <c r="AW1093" s="1942"/>
      <c r="AX1093" s="1942"/>
      <c r="AY1093" s="1942"/>
      <c r="AZ1093" s="1942"/>
      <c r="BA1093" s="1942"/>
      <c r="BB1093" s="575"/>
      <c r="BC1093" s="576"/>
      <c r="BD1093" s="678"/>
    </row>
    <row r="1094" spans="1:56" s="51" customFormat="1" hidden="1" outlineLevel="1" x14ac:dyDescent="0.25">
      <c r="A1094" s="1267"/>
      <c r="B1094" s="228"/>
      <c r="C1094" s="328"/>
      <c r="D1094" s="3990"/>
      <c r="E1094" s="4009"/>
      <c r="F1094" s="3422" t="str">
        <f>E825</f>
        <v>Mini/MultiSplitASHP-Replace_CAC_ElectricHeat_ROF_MF</v>
      </c>
      <c r="G1094" s="3423"/>
      <c r="H1094" s="3424"/>
      <c r="I1094" s="3446" t="str">
        <f>C825</f>
        <v>351800_2021_12_</v>
      </c>
      <c r="J1094" s="761">
        <f t="shared" si="118"/>
        <v>1</v>
      </c>
      <c r="K1094" s="762"/>
      <c r="L1094" s="4082"/>
      <c r="M1094" s="1570"/>
      <c r="N1094" s="1556"/>
      <c r="O1094" s="228"/>
      <c r="P1094" s="228"/>
      <c r="Q1094" s="228"/>
      <c r="R1094" s="228"/>
      <c r="S1094" s="228"/>
      <c r="T1094" s="123"/>
      <c r="U1094" s="123"/>
      <c r="V1094" s="3990"/>
      <c r="W1094" s="761">
        <v>0.65</v>
      </c>
      <c r="X1094" s="761">
        <v>0.65</v>
      </c>
      <c r="Y1094" s="764">
        <f t="shared" si="119"/>
        <v>1</v>
      </c>
      <c r="Z1094" s="761">
        <v>1</v>
      </c>
      <c r="AA1094" s="761">
        <v>1</v>
      </c>
      <c r="AB1094" s="761">
        <v>1</v>
      </c>
      <c r="AC1094" s="761">
        <v>1</v>
      </c>
      <c r="AD1094" s="761"/>
      <c r="AE1094" s="761"/>
      <c r="AF1094" s="761"/>
      <c r="AG1094" s="763"/>
      <c r="AH1094" s="1942"/>
      <c r="AI1094" s="1942"/>
      <c r="AJ1094" s="1942"/>
      <c r="AK1094" s="1942"/>
      <c r="AL1094" s="1942"/>
      <c r="AM1094" s="1942"/>
      <c r="AN1094" s="1942"/>
      <c r="AO1094" s="1942"/>
      <c r="AP1094" s="1942"/>
      <c r="AQ1094" s="1942"/>
      <c r="AR1094" s="1942"/>
      <c r="AS1094" s="1942"/>
      <c r="AT1094" s="1942"/>
      <c r="AU1094" s="1942"/>
      <c r="AV1094" s="1942"/>
      <c r="AW1094" s="1942"/>
      <c r="AX1094" s="1942"/>
      <c r="AY1094" s="1942"/>
      <c r="AZ1094" s="1942"/>
      <c r="BA1094" s="1942"/>
      <c r="BB1094" s="575"/>
      <c r="BC1094" s="576"/>
      <c r="BD1094" s="678"/>
    </row>
    <row r="1095" spans="1:56" s="51" customFormat="1" hidden="1" outlineLevel="1" x14ac:dyDescent="0.25">
      <c r="A1095" s="1267"/>
      <c r="B1095" s="228"/>
      <c r="C1095" s="328"/>
      <c r="D1095" s="3990"/>
      <c r="E1095" s="4009"/>
      <c r="F1095" s="3419" t="str">
        <f>E826</f>
        <v>Mini/MultiSplitASHP-Replace_CAC_ElectricHeat_ROF_MF</v>
      </c>
      <c r="G1095" s="3420"/>
      <c r="H1095" s="3421"/>
      <c r="I1095" s="3446" t="str">
        <f>C826</f>
        <v>351800_2021_12_</v>
      </c>
      <c r="J1095" s="761">
        <f t="shared" si="118"/>
        <v>1</v>
      </c>
      <c r="K1095" s="762"/>
      <c r="L1095" s="4082"/>
      <c r="M1095" s="1570"/>
      <c r="N1095" s="1556"/>
      <c r="O1095" s="228"/>
      <c r="P1095" s="228"/>
      <c r="Q1095" s="228"/>
      <c r="R1095" s="228"/>
      <c r="S1095" s="228"/>
      <c r="T1095" s="123"/>
      <c r="U1095" s="123"/>
      <c r="V1095" s="3990"/>
      <c r="W1095" s="761">
        <v>0.65</v>
      </c>
      <c r="X1095" s="761">
        <v>0.65</v>
      </c>
      <c r="Y1095" s="764">
        <f t="shared" si="119"/>
        <v>1</v>
      </c>
      <c r="Z1095" s="761">
        <v>1</v>
      </c>
      <c r="AA1095" s="761">
        <v>1</v>
      </c>
      <c r="AB1095" s="761">
        <v>1</v>
      </c>
      <c r="AC1095" s="761">
        <v>1</v>
      </c>
      <c r="AD1095" s="761"/>
      <c r="AE1095" s="761"/>
      <c r="AF1095" s="761"/>
      <c r="AG1095" s="763"/>
      <c r="AH1095" s="1942"/>
      <c r="AI1095" s="1942"/>
      <c r="AJ1095" s="1942"/>
      <c r="AK1095" s="1942"/>
      <c r="AL1095" s="1942"/>
      <c r="AM1095" s="1942"/>
      <c r="AN1095" s="1942"/>
      <c r="AO1095" s="1942"/>
      <c r="AP1095" s="1942"/>
      <c r="AQ1095" s="1942"/>
      <c r="AR1095" s="1942"/>
      <c r="AS1095" s="1942"/>
      <c r="AT1095" s="1942"/>
      <c r="AU1095" s="1942"/>
      <c r="AV1095" s="1942"/>
      <c r="AW1095" s="1942"/>
      <c r="AX1095" s="1942"/>
      <c r="AY1095" s="1942"/>
      <c r="AZ1095" s="1942"/>
      <c r="BA1095" s="1942"/>
      <c r="BB1095" s="575"/>
      <c r="BC1095" s="576"/>
      <c r="BD1095" s="678"/>
    </row>
    <row r="1096" spans="1:56" s="51" customFormat="1" hidden="1" outlineLevel="1" x14ac:dyDescent="0.25">
      <c r="A1096" s="1267"/>
      <c r="B1096" s="228"/>
      <c r="C1096" s="328"/>
      <c r="D1096" s="3990"/>
      <c r="E1096" s="4009"/>
      <c r="F1096" s="3422" t="str">
        <f>E829</f>
        <v>Mini/MultiSplitASHP_ER1_MF</v>
      </c>
      <c r="G1096" s="3423"/>
      <c r="H1096" s="3424"/>
      <c r="I1096" s="3446" t="str">
        <f>C829</f>
        <v>351850_2021_12_</v>
      </c>
      <c r="J1096" s="761">
        <f t="shared" si="118"/>
        <v>1</v>
      </c>
      <c r="K1096" s="762"/>
      <c r="L1096" s="4082"/>
      <c r="M1096" s="1570"/>
      <c r="N1096" s="1556"/>
      <c r="O1096" s="228"/>
      <c r="P1096" s="228"/>
      <c r="Q1096" s="228"/>
      <c r="R1096" s="228"/>
      <c r="S1096" s="228"/>
      <c r="T1096" s="123"/>
      <c r="U1096" s="123"/>
      <c r="V1096" s="3990"/>
      <c r="W1096" s="761">
        <v>0.65</v>
      </c>
      <c r="X1096" s="761">
        <v>0.65</v>
      </c>
      <c r="Y1096" s="764">
        <f t="shared" si="119"/>
        <v>1</v>
      </c>
      <c r="Z1096" s="761">
        <v>1</v>
      </c>
      <c r="AA1096" s="761">
        <v>1</v>
      </c>
      <c r="AB1096" s="761">
        <v>1</v>
      </c>
      <c r="AC1096" s="761">
        <v>1</v>
      </c>
      <c r="AD1096" s="761"/>
      <c r="AE1096" s="761"/>
      <c r="AF1096" s="761"/>
      <c r="AG1096" s="763"/>
      <c r="AH1096" s="1942"/>
      <c r="AI1096" s="1942"/>
      <c r="AJ1096" s="1942"/>
      <c r="AK1096" s="1942"/>
      <c r="AL1096" s="1942"/>
      <c r="AM1096" s="1942"/>
      <c r="AN1096" s="1942"/>
      <c r="AO1096" s="1942"/>
      <c r="AP1096" s="1942"/>
      <c r="AQ1096" s="1942"/>
      <c r="AR1096" s="1942"/>
      <c r="AS1096" s="1942"/>
      <c r="AT1096" s="1942"/>
      <c r="AU1096" s="1942"/>
      <c r="AV1096" s="1942"/>
      <c r="AW1096" s="1942"/>
      <c r="AX1096" s="1942"/>
      <c r="AY1096" s="1942"/>
      <c r="AZ1096" s="1942"/>
      <c r="BA1096" s="1942"/>
      <c r="BB1096" s="575"/>
      <c r="BC1096" s="576"/>
      <c r="BD1096" s="678"/>
    </row>
    <row r="1097" spans="1:56" s="51" customFormat="1" hidden="1" outlineLevel="1" x14ac:dyDescent="0.25">
      <c r="A1097" s="1267"/>
      <c r="B1097" s="228"/>
      <c r="C1097" s="328"/>
      <c r="D1097" s="3990"/>
      <c r="E1097" s="4009"/>
      <c r="F1097" s="3416" t="str">
        <f>E830</f>
        <v>Mini/MultiSplitASHP_ER1_MF</v>
      </c>
      <c r="G1097" s="3417"/>
      <c r="H1097" s="3418"/>
      <c r="I1097" s="3446" t="str">
        <f>C830</f>
        <v>351850_2021_12_</v>
      </c>
      <c r="J1097" s="761">
        <f t="shared" si="118"/>
        <v>1</v>
      </c>
      <c r="K1097" s="762"/>
      <c r="L1097" s="4082"/>
      <c r="M1097" s="1570"/>
      <c r="N1097" s="1556"/>
      <c r="O1097" s="228"/>
      <c r="P1097" s="228"/>
      <c r="Q1097" s="228"/>
      <c r="R1097" s="228"/>
      <c r="S1097" s="228"/>
      <c r="T1097" s="123"/>
      <c r="U1097" s="123"/>
      <c r="V1097" s="3990"/>
      <c r="W1097" s="761">
        <v>0.65</v>
      </c>
      <c r="X1097" s="761">
        <v>0.65</v>
      </c>
      <c r="Y1097" s="764">
        <f t="shared" si="119"/>
        <v>1</v>
      </c>
      <c r="Z1097" s="761">
        <v>1</v>
      </c>
      <c r="AA1097" s="761">
        <v>1</v>
      </c>
      <c r="AB1097" s="761">
        <v>1</v>
      </c>
      <c r="AC1097" s="761">
        <v>1</v>
      </c>
      <c r="AD1097" s="761"/>
      <c r="AE1097" s="761"/>
      <c r="AF1097" s="761"/>
      <c r="AG1097" s="763"/>
      <c r="AH1097" s="1942"/>
      <c r="AI1097" s="1942"/>
      <c r="AJ1097" s="1942"/>
      <c r="AK1097" s="1942"/>
      <c r="AL1097" s="1942"/>
      <c r="AM1097" s="1942"/>
      <c r="AN1097" s="1942"/>
      <c r="AO1097" s="1942"/>
      <c r="AP1097" s="1942"/>
      <c r="AQ1097" s="1942"/>
      <c r="AR1097" s="1942"/>
      <c r="AS1097" s="1942"/>
      <c r="AT1097" s="1942"/>
      <c r="AU1097" s="1942"/>
      <c r="AV1097" s="1942"/>
      <c r="AW1097" s="1942"/>
      <c r="AX1097" s="1942"/>
      <c r="AY1097" s="1942"/>
      <c r="AZ1097" s="1942"/>
      <c r="BA1097" s="1942"/>
      <c r="BB1097" s="575"/>
      <c r="BC1097" s="576"/>
      <c r="BD1097" s="678"/>
    </row>
    <row r="1098" spans="1:56" s="51" customFormat="1" hidden="1" outlineLevel="1" x14ac:dyDescent="0.25">
      <c r="A1098" s="1267"/>
      <c r="B1098" s="228"/>
      <c r="C1098" s="328"/>
      <c r="D1098" s="3990"/>
      <c r="E1098" s="4009"/>
      <c r="F1098" s="3416" t="str">
        <f>E831</f>
        <v>Mini/MultiSplitASHP_ER2_MF</v>
      </c>
      <c r="G1098" s="3417"/>
      <c r="H1098" s="3418"/>
      <c r="I1098" s="3446" t="str">
        <f>C831</f>
        <v>351850_2021_12_</v>
      </c>
      <c r="J1098" s="761">
        <f t="shared" si="118"/>
        <v>1</v>
      </c>
      <c r="K1098" s="762"/>
      <c r="L1098" s="4082"/>
      <c r="M1098" s="1570"/>
      <c r="N1098" s="1556"/>
      <c r="O1098" s="228"/>
      <c r="P1098" s="228"/>
      <c r="Q1098" s="228"/>
      <c r="R1098" s="228"/>
      <c r="S1098" s="228"/>
      <c r="T1098" s="123"/>
      <c r="U1098" s="123"/>
      <c r="V1098" s="3990"/>
      <c r="W1098" s="761">
        <v>0.65</v>
      </c>
      <c r="X1098" s="761">
        <v>0.65</v>
      </c>
      <c r="Y1098" s="764">
        <f t="shared" si="119"/>
        <v>1</v>
      </c>
      <c r="Z1098" s="761">
        <v>1</v>
      </c>
      <c r="AA1098" s="761">
        <v>1</v>
      </c>
      <c r="AB1098" s="761">
        <v>1</v>
      </c>
      <c r="AC1098" s="761">
        <v>1</v>
      </c>
      <c r="AD1098" s="761"/>
      <c r="AE1098" s="761"/>
      <c r="AF1098" s="761"/>
      <c r="AG1098" s="763"/>
      <c r="AH1098" s="1942"/>
      <c r="AI1098" s="1942"/>
      <c r="AJ1098" s="1942"/>
      <c r="AK1098" s="1942"/>
      <c r="AL1098" s="1942"/>
      <c r="AM1098" s="1942"/>
      <c r="AN1098" s="1942"/>
      <c r="AO1098" s="1942"/>
      <c r="AP1098" s="1942"/>
      <c r="AQ1098" s="1942"/>
      <c r="AR1098" s="1942"/>
      <c r="AS1098" s="1942"/>
      <c r="AT1098" s="1942"/>
      <c r="AU1098" s="1942"/>
      <c r="AV1098" s="1942"/>
      <c r="AW1098" s="1942"/>
      <c r="AX1098" s="1942"/>
      <c r="AY1098" s="1942"/>
      <c r="AZ1098" s="1942"/>
      <c r="BA1098" s="1942"/>
      <c r="BB1098" s="575"/>
      <c r="BC1098" s="576"/>
      <c r="BD1098" s="678"/>
    </row>
    <row r="1099" spans="1:56" s="51" customFormat="1" hidden="1" outlineLevel="1" x14ac:dyDescent="0.25">
      <c r="A1099" s="1267"/>
      <c r="B1099" s="228"/>
      <c r="C1099" s="328"/>
      <c r="D1099" s="3990"/>
      <c r="E1099" s="4009"/>
      <c r="F1099" s="3419" t="str">
        <f>E832</f>
        <v>Mini/MultiSplitASHP_ER2_MF</v>
      </c>
      <c r="G1099" s="3420"/>
      <c r="H1099" s="3421"/>
      <c r="I1099" s="3446" t="str">
        <f>C832</f>
        <v>351850_2021_12_</v>
      </c>
      <c r="J1099" s="761">
        <f t="shared" si="118"/>
        <v>1</v>
      </c>
      <c r="K1099" s="762"/>
      <c r="L1099" s="4082"/>
      <c r="M1099" s="1570"/>
      <c r="N1099" s="1556"/>
      <c r="O1099" s="228"/>
      <c r="P1099" s="228"/>
      <c r="Q1099" s="228"/>
      <c r="R1099" s="228"/>
      <c r="S1099" s="228"/>
      <c r="T1099" s="123"/>
      <c r="U1099" s="123"/>
      <c r="V1099" s="3990"/>
      <c r="W1099" s="761">
        <v>0.65</v>
      </c>
      <c r="X1099" s="761">
        <v>0.65</v>
      </c>
      <c r="Y1099" s="764">
        <f t="shared" si="119"/>
        <v>1</v>
      </c>
      <c r="Z1099" s="761">
        <v>1</v>
      </c>
      <c r="AA1099" s="761">
        <v>1</v>
      </c>
      <c r="AB1099" s="761">
        <v>1</v>
      </c>
      <c r="AC1099" s="761">
        <v>1</v>
      </c>
      <c r="AD1099" s="761"/>
      <c r="AE1099" s="761"/>
      <c r="AF1099" s="761"/>
      <c r="AG1099" s="763"/>
      <c r="AH1099" s="1942"/>
      <c r="AI1099" s="1942"/>
      <c r="AJ1099" s="1942"/>
      <c r="AK1099" s="1942"/>
      <c r="AL1099" s="1942"/>
      <c r="AM1099" s="1942"/>
      <c r="AN1099" s="1942"/>
      <c r="AO1099" s="1942"/>
      <c r="AP1099" s="1942"/>
      <c r="AQ1099" s="1942"/>
      <c r="AR1099" s="1942"/>
      <c r="AS1099" s="1942"/>
      <c r="AT1099" s="1942"/>
      <c r="AU1099" s="1942"/>
      <c r="AV1099" s="1942"/>
      <c r="AW1099" s="1942"/>
      <c r="AX1099" s="1942"/>
      <c r="AY1099" s="1942"/>
      <c r="AZ1099" s="1942"/>
      <c r="BA1099" s="1942"/>
      <c r="BB1099" s="575"/>
      <c r="BC1099" s="576"/>
      <c r="BD1099" s="678"/>
    </row>
    <row r="1100" spans="1:56" s="51" customFormat="1" hidden="1" outlineLevel="1" x14ac:dyDescent="0.25">
      <c r="A1100" s="1267"/>
      <c r="B1100" s="228"/>
      <c r="C1100" s="328"/>
      <c r="D1100" s="4005"/>
      <c r="E1100" s="3890"/>
      <c r="F1100" s="3422" t="str">
        <f>E805</f>
        <v>Mini/MultiSplitAC_ER1_MF_CompE</v>
      </c>
      <c r="G1100" s="3423"/>
      <c r="H1100" s="3424"/>
      <c r="I1100" s="3446" t="str">
        <f>C805</f>
        <v>351551_2021_12_</v>
      </c>
      <c r="J1100" s="761">
        <f t="shared" si="118"/>
        <v>1</v>
      </c>
      <c r="K1100" s="762"/>
      <c r="L1100" s="4082"/>
      <c r="M1100" s="1570"/>
      <c r="N1100" s="1556"/>
      <c r="O1100" s="228"/>
      <c r="P1100" s="228"/>
      <c r="Q1100" s="228"/>
      <c r="R1100" s="228"/>
      <c r="S1100" s="228"/>
      <c r="T1100" s="123"/>
      <c r="U1100" s="123"/>
      <c r="V1100" s="4005"/>
      <c r="W1100" s="757"/>
      <c r="X1100" s="757"/>
      <c r="Y1100" s="764">
        <f t="shared" si="119"/>
        <v>1</v>
      </c>
      <c r="Z1100" s="761">
        <v>1</v>
      </c>
      <c r="AA1100" s="761">
        <v>1</v>
      </c>
      <c r="AB1100" s="761">
        <v>1</v>
      </c>
      <c r="AC1100" s="761">
        <v>1</v>
      </c>
      <c r="AD1100" s="757"/>
      <c r="AE1100" s="757"/>
      <c r="AF1100" s="757"/>
      <c r="AG1100" s="765"/>
      <c r="AH1100" s="1942"/>
      <c r="AI1100" s="1942"/>
      <c r="AJ1100" s="1942"/>
      <c r="AK1100" s="1942"/>
      <c r="AL1100" s="1942"/>
      <c r="AM1100" s="1942"/>
      <c r="AN1100" s="1942"/>
      <c r="AO1100" s="1942"/>
      <c r="AP1100" s="1942"/>
      <c r="AQ1100" s="1942"/>
      <c r="AR1100" s="1942"/>
      <c r="AS1100" s="1942"/>
      <c r="AT1100" s="1942"/>
      <c r="AU1100" s="1942"/>
      <c r="AV1100" s="1942"/>
      <c r="AW1100" s="1942"/>
      <c r="AX1100" s="1942"/>
      <c r="AY1100" s="1942"/>
      <c r="AZ1100" s="1942"/>
      <c r="BA1100" s="1942"/>
      <c r="BB1100" s="575"/>
      <c r="BC1100" s="576"/>
      <c r="BD1100" s="678"/>
    </row>
    <row r="1101" spans="1:56" s="51" customFormat="1" hidden="1" outlineLevel="1" x14ac:dyDescent="0.25">
      <c r="A1101" s="1267"/>
      <c r="B1101" s="228"/>
      <c r="C1101" s="328"/>
      <c r="D1101" s="4005"/>
      <c r="E1101" s="3890"/>
      <c r="F1101" s="3419" t="str">
        <f>E806</f>
        <v>Mini/MultiSplitAC_ER2_MF_CompE</v>
      </c>
      <c r="G1101" s="3420"/>
      <c r="H1101" s="3421"/>
      <c r="I1101" s="3446" t="str">
        <f>C806</f>
        <v>351551_2021_12_</v>
      </c>
      <c r="J1101" s="761">
        <f t="shared" si="118"/>
        <v>1</v>
      </c>
      <c r="K1101" s="762"/>
      <c r="L1101" s="4082"/>
      <c r="M1101" s="1570"/>
      <c r="N1101" s="1556"/>
      <c r="O1101" s="228"/>
      <c r="P1101" s="228"/>
      <c r="Q1101" s="228"/>
      <c r="R1101" s="228"/>
      <c r="S1101" s="228"/>
      <c r="T1101" s="123"/>
      <c r="U1101" s="123"/>
      <c r="V1101" s="4005"/>
      <c r="W1101" s="761"/>
      <c r="X1101" s="761"/>
      <c r="Y1101" s="764">
        <f t="shared" si="119"/>
        <v>1</v>
      </c>
      <c r="Z1101" s="761">
        <v>1</v>
      </c>
      <c r="AA1101" s="761">
        <v>1</v>
      </c>
      <c r="AB1101" s="761">
        <v>1</v>
      </c>
      <c r="AC1101" s="761">
        <v>1</v>
      </c>
      <c r="AD1101" s="761"/>
      <c r="AE1101" s="761"/>
      <c r="AF1101" s="761"/>
      <c r="AG1101" s="763"/>
      <c r="AH1101" s="1942"/>
      <c r="AI1101" s="1942"/>
      <c r="AJ1101" s="1942"/>
      <c r="AK1101" s="1942"/>
      <c r="AL1101" s="1942"/>
      <c r="AM1101" s="1942"/>
      <c r="AN1101" s="1942"/>
      <c r="AO1101" s="1942"/>
      <c r="AP1101" s="1942"/>
      <c r="AQ1101" s="1942"/>
      <c r="AR1101" s="1942"/>
      <c r="AS1101" s="1942"/>
      <c r="AT1101" s="1942"/>
      <c r="AU1101" s="1942"/>
      <c r="AV1101" s="1942"/>
      <c r="AW1101" s="1942"/>
      <c r="AX1101" s="1942"/>
      <c r="AY1101" s="1942"/>
      <c r="AZ1101" s="1942"/>
      <c r="BA1101" s="1942"/>
      <c r="BB1101" s="575"/>
      <c r="BC1101" s="576"/>
      <c r="BD1101" s="678"/>
    </row>
    <row r="1102" spans="1:56" s="51" customFormat="1" hidden="1" outlineLevel="1" x14ac:dyDescent="0.25">
      <c r="A1102" s="1267"/>
      <c r="B1102" s="228"/>
      <c r="C1102" s="328"/>
      <c r="D1102" s="4005"/>
      <c r="E1102" s="3890"/>
      <c r="F1102" s="3425" t="str">
        <f>E808</f>
        <v>Mini/MultiSplitAC_ROF_MF_CompE</v>
      </c>
      <c r="G1102" s="3426"/>
      <c r="H1102" s="3427"/>
      <c r="I1102" s="3446" t="str">
        <f>C808</f>
        <v>351601_2021_12_</v>
      </c>
      <c r="J1102" s="761">
        <f t="shared" si="118"/>
        <v>1</v>
      </c>
      <c r="K1102" s="762"/>
      <c r="L1102" s="4082"/>
      <c r="M1102" s="1570"/>
      <c r="N1102" s="1556"/>
      <c r="O1102" s="228"/>
      <c r="P1102" s="228"/>
      <c r="Q1102" s="228"/>
      <c r="R1102" s="228"/>
      <c r="S1102" s="228"/>
      <c r="T1102" s="123"/>
      <c r="U1102" s="123"/>
      <c r="V1102" s="4005"/>
      <c r="W1102" s="761"/>
      <c r="X1102" s="761"/>
      <c r="Y1102" s="764">
        <f t="shared" si="119"/>
        <v>1</v>
      </c>
      <c r="Z1102" s="761">
        <v>1</v>
      </c>
      <c r="AA1102" s="761">
        <v>1</v>
      </c>
      <c r="AB1102" s="761">
        <v>1</v>
      </c>
      <c r="AC1102" s="761">
        <v>1</v>
      </c>
      <c r="AD1102" s="761"/>
      <c r="AE1102" s="761"/>
      <c r="AF1102" s="761"/>
      <c r="AG1102" s="763"/>
      <c r="AH1102" s="1942"/>
      <c r="AI1102" s="1942"/>
      <c r="AJ1102" s="1942"/>
      <c r="AK1102" s="1942"/>
      <c r="AL1102" s="1942"/>
      <c r="AM1102" s="1942"/>
      <c r="AN1102" s="1942"/>
      <c r="AO1102" s="1942"/>
      <c r="AP1102" s="1942"/>
      <c r="AQ1102" s="1942"/>
      <c r="AR1102" s="1942"/>
      <c r="AS1102" s="1942"/>
      <c r="AT1102" s="1942"/>
      <c r="AU1102" s="1942"/>
      <c r="AV1102" s="1942"/>
      <c r="AW1102" s="1942"/>
      <c r="AX1102" s="1942"/>
      <c r="AY1102" s="1942"/>
      <c r="AZ1102" s="1942"/>
      <c r="BA1102" s="1942"/>
      <c r="BB1102" s="575"/>
      <c r="BC1102" s="576"/>
      <c r="BD1102" s="678"/>
    </row>
    <row r="1103" spans="1:56" s="51" customFormat="1" hidden="1" outlineLevel="1" x14ac:dyDescent="0.25">
      <c r="A1103" s="1267"/>
      <c r="B1103" s="228"/>
      <c r="C1103" s="328"/>
      <c r="D1103" s="4005"/>
      <c r="E1103" s="3890"/>
      <c r="F1103" s="3422" t="str">
        <f>E811</f>
        <v>Mini/MultiSplitASHP_ROF_MF_NC_CompE</v>
      </c>
      <c r="G1103" s="3423"/>
      <c r="H1103" s="3424"/>
      <c r="I1103" s="3446" t="str">
        <f>C811</f>
        <v>351651_2021_12_</v>
      </c>
      <c r="J1103" s="761">
        <f t="shared" si="118"/>
        <v>1</v>
      </c>
      <c r="K1103" s="762"/>
      <c r="L1103" s="4082"/>
      <c r="M1103" s="1570"/>
      <c r="N1103" s="1556"/>
      <c r="O1103" s="228"/>
      <c r="P1103" s="228"/>
      <c r="Q1103" s="228"/>
      <c r="R1103" s="228"/>
      <c r="S1103" s="228"/>
      <c r="T1103" s="123"/>
      <c r="U1103" s="123"/>
      <c r="V1103" s="4005"/>
      <c r="W1103" s="761"/>
      <c r="X1103" s="761"/>
      <c r="Y1103" s="764">
        <f t="shared" si="119"/>
        <v>1</v>
      </c>
      <c r="Z1103" s="761">
        <v>1</v>
      </c>
      <c r="AA1103" s="761">
        <v>1</v>
      </c>
      <c r="AB1103" s="761">
        <v>1</v>
      </c>
      <c r="AC1103" s="761">
        <v>1</v>
      </c>
      <c r="AD1103" s="761"/>
      <c r="AE1103" s="761"/>
      <c r="AF1103" s="761"/>
      <c r="AG1103" s="763"/>
      <c r="AH1103" s="1942"/>
      <c r="AI1103" s="1942"/>
      <c r="AJ1103" s="1942"/>
      <c r="AK1103" s="1942"/>
      <c r="AL1103" s="1942"/>
      <c r="AM1103" s="1942"/>
      <c r="AN1103" s="1942"/>
      <c r="AO1103" s="1942"/>
      <c r="AP1103" s="1942"/>
      <c r="AQ1103" s="1942"/>
      <c r="AR1103" s="1942"/>
      <c r="AS1103" s="1942"/>
      <c r="AT1103" s="1942"/>
      <c r="AU1103" s="1942"/>
      <c r="AV1103" s="1942"/>
      <c r="AW1103" s="1942"/>
      <c r="AX1103" s="1942"/>
      <c r="AY1103" s="1942"/>
      <c r="AZ1103" s="1942"/>
      <c r="BA1103" s="1942"/>
      <c r="BB1103" s="575"/>
      <c r="BC1103" s="576"/>
      <c r="BD1103" s="678"/>
    </row>
    <row r="1104" spans="1:56" s="51" customFormat="1" hidden="1" outlineLevel="1" x14ac:dyDescent="0.25">
      <c r="A1104" s="1267"/>
      <c r="B1104" s="228"/>
      <c r="C1104" s="328"/>
      <c r="D1104" s="4005"/>
      <c r="E1104" s="3890"/>
      <c r="F1104" s="3419" t="str">
        <f>E812</f>
        <v>Mini/MultiSplitASHP_ROF_MF_NC_CompE</v>
      </c>
      <c r="G1104" s="3420"/>
      <c r="H1104" s="3421"/>
      <c r="I1104" s="3446" t="str">
        <f>C812</f>
        <v>351651_2021_12_</v>
      </c>
      <c r="J1104" s="761">
        <f t="shared" si="118"/>
        <v>1</v>
      </c>
      <c r="K1104" s="762"/>
      <c r="L1104" s="4082"/>
      <c r="M1104" s="1570"/>
      <c r="N1104" s="1556"/>
      <c r="O1104" s="228"/>
      <c r="P1104" s="228"/>
      <c r="Q1104" s="228"/>
      <c r="R1104" s="228"/>
      <c r="S1104" s="228"/>
      <c r="T1104" s="123"/>
      <c r="U1104" s="123"/>
      <c r="V1104" s="4005"/>
      <c r="W1104" s="761"/>
      <c r="X1104" s="761"/>
      <c r="Y1104" s="764">
        <f t="shared" si="119"/>
        <v>1</v>
      </c>
      <c r="Z1104" s="761">
        <v>1</v>
      </c>
      <c r="AA1104" s="761">
        <v>1</v>
      </c>
      <c r="AB1104" s="761">
        <v>1</v>
      </c>
      <c r="AC1104" s="761">
        <v>1</v>
      </c>
      <c r="AD1104" s="761"/>
      <c r="AE1104" s="761"/>
      <c r="AF1104" s="761"/>
      <c r="AG1104" s="763"/>
      <c r="AH1104" s="1942"/>
      <c r="AI1104" s="1942"/>
      <c r="AJ1104" s="1942"/>
      <c r="AK1104" s="1942"/>
      <c r="AL1104" s="1942"/>
      <c r="AM1104" s="1942"/>
      <c r="AN1104" s="1942"/>
      <c r="AO1104" s="1942"/>
      <c r="AP1104" s="1942"/>
      <c r="AQ1104" s="1942"/>
      <c r="AR1104" s="1942"/>
      <c r="AS1104" s="1942"/>
      <c r="AT1104" s="1942"/>
      <c r="AU1104" s="1942"/>
      <c r="AV1104" s="1942"/>
      <c r="AW1104" s="1942"/>
      <c r="AX1104" s="1942"/>
      <c r="AY1104" s="1942"/>
      <c r="AZ1104" s="1942"/>
      <c r="BA1104" s="1942"/>
      <c r="BB1104" s="575"/>
      <c r="BC1104" s="576"/>
      <c r="BD1104" s="678"/>
    </row>
    <row r="1105" spans="1:56" s="51" customFormat="1" hidden="1" outlineLevel="1" x14ac:dyDescent="0.25">
      <c r="A1105" s="1267"/>
      <c r="B1105" s="228"/>
      <c r="C1105" s="328"/>
      <c r="D1105" s="4005"/>
      <c r="E1105" s="3890"/>
      <c r="F1105" s="3422" t="str">
        <f>E815</f>
        <v>Mini/MultiSplitASHP_ROF_MF_CompE</v>
      </c>
      <c r="G1105" s="3423"/>
      <c r="H1105" s="3424"/>
      <c r="I1105" s="3446" t="str">
        <f>C815</f>
        <v>351701_2021_12_</v>
      </c>
      <c r="J1105" s="761">
        <f t="shared" si="118"/>
        <v>1</v>
      </c>
      <c r="K1105" s="762"/>
      <c r="L1105" s="4082"/>
      <c r="M1105" s="1570"/>
      <c r="N1105" s="1556"/>
      <c r="O1105" s="228"/>
      <c r="P1105" s="228"/>
      <c r="Q1105" s="228"/>
      <c r="R1105" s="228"/>
      <c r="S1105" s="228"/>
      <c r="T1105" s="123"/>
      <c r="U1105" s="123"/>
      <c r="V1105" s="4005"/>
      <c r="W1105" s="761"/>
      <c r="X1105" s="761"/>
      <c r="Y1105" s="764">
        <f t="shared" si="119"/>
        <v>1</v>
      </c>
      <c r="Z1105" s="761">
        <v>1</v>
      </c>
      <c r="AA1105" s="761">
        <v>1</v>
      </c>
      <c r="AB1105" s="761">
        <v>1</v>
      </c>
      <c r="AC1105" s="761">
        <v>1</v>
      </c>
      <c r="AD1105" s="761"/>
      <c r="AE1105" s="761"/>
      <c r="AF1105" s="761"/>
      <c r="AG1105" s="763"/>
      <c r="AH1105" s="1942"/>
      <c r="AI1105" s="1942"/>
      <c r="AJ1105" s="1942"/>
      <c r="AK1105" s="1942"/>
      <c r="AL1105" s="1942"/>
      <c r="AM1105" s="1942"/>
      <c r="AN1105" s="1942"/>
      <c r="AO1105" s="1942"/>
      <c r="AP1105" s="1942"/>
      <c r="AQ1105" s="1942"/>
      <c r="AR1105" s="1942"/>
      <c r="AS1105" s="1942"/>
      <c r="AT1105" s="1942"/>
      <c r="AU1105" s="1942"/>
      <c r="AV1105" s="1942"/>
      <c r="AW1105" s="1942"/>
      <c r="AX1105" s="1942"/>
      <c r="AY1105" s="1942"/>
      <c r="AZ1105" s="1942"/>
      <c r="BA1105" s="1942"/>
      <c r="BB1105" s="575"/>
      <c r="BC1105" s="576"/>
      <c r="BD1105" s="678"/>
    </row>
    <row r="1106" spans="1:56" s="51" customFormat="1" hidden="1" outlineLevel="1" x14ac:dyDescent="0.25">
      <c r="A1106" s="1267"/>
      <c r="B1106" s="228"/>
      <c r="C1106" s="328"/>
      <c r="D1106" s="4005"/>
      <c r="E1106" s="3890"/>
      <c r="F1106" s="3419" t="str">
        <f>E816</f>
        <v>Mini/MultiSplitASHP_ROF_MF_CompE</v>
      </c>
      <c r="G1106" s="3420"/>
      <c r="H1106" s="3421"/>
      <c r="I1106" s="3446" t="str">
        <f>C816</f>
        <v>351701_2021_12_</v>
      </c>
      <c r="J1106" s="761">
        <f t="shared" si="118"/>
        <v>1</v>
      </c>
      <c r="K1106" s="762"/>
      <c r="L1106" s="4082"/>
      <c r="M1106" s="1570"/>
      <c r="N1106" s="1556"/>
      <c r="O1106" s="228"/>
      <c r="P1106" s="228"/>
      <c r="Q1106" s="228"/>
      <c r="R1106" s="228"/>
      <c r="S1106" s="228"/>
      <c r="T1106" s="123"/>
      <c r="U1106" s="123"/>
      <c r="V1106" s="4005"/>
      <c r="W1106" s="761"/>
      <c r="X1106" s="761"/>
      <c r="Y1106" s="764">
        <f t="shared" si="119"/>
        <v>1</v>
      </c>
      <c r="Z1106" s="761">
        <v>1</v>
      </c>
      <c r="AA1106" s="761">
        <v>1</v>
      </c>
      <c r="AB1106" s="761">
        <v>1</v>
      </c>
      <c r="AC1106" s="761">
        <v>1</v>
      </c>
      <c r="AD1106" s="761"/>
      <c r="AE1106" s="761"/>
      <c r="AF1106" s="761"/>
      <c r="AG1106" s="763"/>
      <c r="AH1106" s="1942"/>
      <c r="AI1106" s="1942"/>
      <c r="AJ1106" s="1942"/>
      <c r="AK1106" s="1942"/>
      <c r="AL1106" s="1942"/>
      <c r="AM1106" s="1942"/>
      <c r="AN1106" s="1942"/>
      <c r="AO1106" s="1942"/>
      <c r="AP1106" s="1942"/>
      <c r="AQ1106" s="1942"/>
      <c r="AR1106" s="1942"/>
      <c r="AS1106" s="1942"/>
      <c r="AT1106" s="1942"/>
      <c r="AU1106" s="1942"/>
      <c r="AV1106" s="1942"/>
      <c r="AW1106" s="1942"/>
      <c r="AX1106" s="1942"/>
      <c r="AY1106" s="1942"/>
      <c r="AZ1106" s="1942"/>
      <c r="BA1106" s="1942"/>
      <c r="BB1106" s="575"/>
      <c r="BC1106" s="576"/>
      <c r="BD1106" s="678"/>
    </row>
    <row r="1107" spans="1:56" s="51" customFormat="1" hidden="1" outlineLevel="1" x14ac:dyDescent="0.25">
      <c r="A1107" s="1267"/>
      <c r="B1107" s="228"/>
      <c r="C1107" s="328"/>
      <c r="D1107" s="4005"/>
      <c r="E1107" s="3890"/>
      <c r="F1107" s="3422" t="str">
        <f>E821</f>
        <v>Mini/MultiSplitASHP-Replace_CAC_ElectricHeat_ER1_MF_CompE</v>
      </c>
      <c r="G1107" s="3423"/>
      <c r="H1107" s="3424"/>
      <c r="I1107" s="3446" t="str">
        <f>C821</f>
        <v>351751_2021_12_</v>
      </c>
      <c r="J1107" s="761">
        <f t="shared" si="118"/>
        <v>1</v>
      </c>
      <c r="K1107" s="762"/>
      <c r="L1107" s="4082"/>
      <c r="M1107" s="1570"/>
      <c r="N1107" s="1556"/>
      <c r="O1107" s="228"/>
      <c r="P1107" s="228"/>
      <c r="Q1107" s="228"/>
      <c r="R1107" s="228"/>
      <c r="S1107" s="228"/>
      <c r="T1107" s="123"/>
      <c r="U1107" s="123"/>
      <c r="V1107" s="4005"/>
      <c r="W1107" s="761"/>
      <c r="X1107" s="761"/>
      <c r="Y1107" s="764">
        <f t="shared" si="119"/>
        <v>1</v>
      </c>
      <c r="Z1107" s="761">
        <v>1</v>
      </c>
      <c r="AA1107" s="761">
        <v>1</v>
      </c>
      <c r="AB1107" s="761">
        <v>1</v>
      </c>
      <c r="AC1107" s="761">
        <v>1</v>
      </c>
      <c r="AD1107" s="761"/>
      <c r="AE1107" s="761"/>
      <c r="AF1107" s="761"/>
      <c r="AG1107" s="763"/>
      <c r="AH1107" s="1942"/>
      <c r="AI1107" s="1942"/>
      <c r="AJ1107" s="1942"/>
      <c r="AK1107" s="1942"/>
      <c r="AL1107" s="1942"/>
      <c r="AM1107" s="1942"/>
      <c r="AN1107" s="1942"/>
      <c r="AO1107" s="1942"/>
      <c r="AP1107" s="1942"/>
      <c r="AQ1107" s="1942"/>
      <c r="AR1107" s="1942"/>
      <c r="AS1107" s="1942"/>
      <c r="AT1107" s="1942"/>
      <c r="AU1107" s="1942"/>
      <c r="AV1107" s="1942"/>
      <c r="AW1107" s="1942"/>
      <c r="AX1107" s="1942"/>
      <c r="AY1107" s="1942"/>
      <c r="AZ1107" s="1942"/>
      <c r="BA1107" s="1942"/>
      <c r="BB1107" s="575"/>
      <c r="BC1107" s="576"/>
      <c r="BD1107" s="678"/>
    </row>
    <row r="1108" spans="1:56" s="51" customFormat="1" hidden="1" outlineLevel="1" x14ac:dyDescent="0.25">
      <c r="A1108" s="1267"/>
      <c r="B1108" s="228"/>
      <c r="C1108" s="328"/>
      <c r="D1108" s="4005"/>
      <c r="E1108" s="3890"/>
      <c r="F1108" s="3416" t="str">
        <f>E822</f>
        <v>Mini/MultiSplitASHP-Replace_CAC_ElectricHeat_ER1_MF_CompE</v>
      </c>
      <c r="G1108" s="3417"/>
      <c r="H1108" s="3418"/>
      <c r="I1108" s="3446" t="str">
        <f>C822</f>
        <v>351751_2021_12_</v>
      </c>
      <c r="J1108" s="761">
        <f t="shared" si="118"/>
        <v>1</v>
      </c>
      <c r="K1108" s="762"/>
      <c r="L1108" s="4082"/>
      <c r="M1108" s="1570"/>
      <c r="N1108" s="1556"/>
      <c r="O1108" s="228"/>
      <c r="P1108" s="228"/>
      <c r="Q1108" s="228"/>
      <c r="R1108" s="228"/>
      <c r="S1108" s="228"/>
      <c r="T1108" s="123"/>
      <c r="U1108" s="123"/>
      <c r="V1108" s="4005"/>
      <c r="W1108" s="761"/>
      <c r="X1108" s="761"/>
      <c r="Y1108" s="764">
        <f t="shared" si="119"/>
        <v>1</v>
      </c>
      <c r="Z1108" s="761">
        <v>1</v>
      </c>
      <c r="AA1108" s="761">
        <v>1</v>
      </c>
      <c r="AB1108" s="761">
        <v>1</v>
      </c>
      <c r="AC1108" s="761">
        <v>1</v>
      </c>
      <c r="AD1108" s="761"/>
      <c r="AE1108" s="761"/>
      <c r="AF1108" s="761"/>
      <c r="AG1108" s="763"/>
      <c r="AH1108" s="1942"/>
      <c r="AI1108" s="1942"/>
      <c r="AJ1108" s="1942"/>
      <c r="AK1108" s="1942"/>
      <c r="AL1108" s="1942"/>
      <c r="AM1108" s="1942"/>
      <c r="AN1108" s="1942"/>
      <c r="AO1108" s="1942"/>
      <c r="AP1108" s="1942"/>
      <c r="AQ1108" s="1942"/>
      <c r="AR1108" s="1942"/>
      <c r="AS1108" s="1942"/>
      <c r="AT1108" s="1942"/>
      <c r="AU1108" s="1942"/>
      <c r="AV1108" s="1942"/>
      <c r="AW1108" s="1942"/>
      <c r="AX1108" s="1942"/>
      <c r="AY1108" s="1942"/>
      <c r="AZ1108" s="1942"/>
      <c r="BA1108" s="1942"/>
      <c r="BB1108" s="575"/>
      <c r="BC1108" s="576"/>
      <c r="BD1108" s="678"/>
    </row>
    <row r="1109" spans="1:56" s="51" customFormat="1" hidden="1" outlineLevel="1" x14ac:dyDescent="0.25">
      <c r="A1109" s="1267"/>
      <c r="B1109" s="228"/>
      <c r="C1109" s="328"/>
      <c r="D1109" s="4005"/>
      <c r="E1109" s="3890"/>
      <c r="F1109" s="3416" t="str">
        <f>E823</f>
        <v>Mini/MultiSplitASHP-Replace_CAC_ElectricHeat_ER2_MF_CompE</v>
      </c>
      <c r="G1109" s="3417"/>
      <c r="H1109" s="3418"/>
      <c r="I1109" s="3446" t="str">
        <f>C823</f>
        <v>351751_2021_12_</v>
      </c>
      <c r="J1109" s="761">
        <f t="shared" si="118"/>
        <v>1</v>
      </c>
      <c r="K1109" s="762"/>
      <c r="L1109" s="4082"/>
      <c r="M1109" s="1570"/>
      <c r="N1109" s="1556"/>
      <c r="O1109" s="228"/>
      <c r="P1109" s="228"/>
      <c r="Q1109" s="228"/>
      <c r="R1109" s="228"/>
      <c r="S1109" s="228"/>
      <c r="T1109" s="123"/>
      <c r="U1109" s="123"/>
      <c r="V1109" s="4005"/>
      <c r="W1109" s="761"/>
      <c r="X1109" s="761"/>
      <c r="Y1109" s="764">
        <f t="shared" si="119"/>
        <v>1</v>
      </c>
      <c r="Z1109" s="761">
        <v>1</v>
      </c>
      <c r="AA1109" s="761">
        <v>1</v>
      </c>
      <c r="AB1109" s="761">
        <v>1</v>
      </c>
      <c r="AC1109" s="761">
        <v>1</v>
      </c>
      <c r="AD1109" s="761"/>
      <c r="AE1109" s="761"/>
      <c r="AF1109" s="761"/>
      <c r="AG1109" s="763"/>
      <c r="AH1109" s="1942"/>
      <c r="AI1109" s="1942"/>
      <c r="AJ1109" s="1942"/>
      <c r="AK1109" s="1942"/>
      <c r="AL1109" s="1942"/>
      <c r="AM1109" s="1942"/>
      <c r="AN1109" s="1942"/>
      <c r="AO1109" s="1942"/>
      <c r="AP1109" s="1942"/>
      <c r="AQ1109" s="1942"/>
      <c r="AR1109" s="1942"/>
      <c r="AS1109" s="1942"/>
      <c r="AT1109" s="1942"/>
      <c r="AU1109" s="1942"/>
      <c r="AV1109" s="1942"/>
      <c r="AW1109" s="1942"/>
      <c r="AX1109" s="1942"/>
      <c r="AY1109" s="1942"/>
      <c r="AZ1109" s="1942"/>
      <c r="BA1109" s="1942"/>
      <c r="BB1109" s="575"/>
      <c r="BC1109" s="576"/>
      <c r="BD1109" s="678"/>
    </row>
    <row r="1110" spans="1:56" s="51" customFormat="1" hidden="1" outlineLevel="1" x14ac:dyDescent="0.25">
      <c r="A1110" s="1267"/>
      <c r="B1110" s="228"/>
      <c r="C1110" s="328"/>
      <c r="D1110" s="4005"/>
      <c r="E1110" s="3890"/>
      <c r="F1110" s="3419" t="str">
        <f>E824</f>
        <v>Mini/MultiSplitASHP-Replace_CAC_ElectricHeat_ER2_MF_CompE</v>
      </c>
      <c r="G1110" s="3420"/>
      <c r="H1110" s="3421"/>
      <c r="I1110" s="3446" t="str">
        <f>C824</f>
        <v>351751_2021_12_</v>
      </c>
      <c r="J1110" s="761">
        <f t="shared" si="118"/>
        <v>1</v>
      </c>
      <c r="K1110" s="762"/>
      <c r="L1110" s="4082"/>
      <c r="M1110" s="1570"/>
      <c r="N1110" s="1556"/>
      <c r="O1110" s="228"/>
      <c r="P1110" s="228"/>
      <c r="Q1110" s="228"/>
      <c r="R1110" s="228"/>
      <c r="S1110" s="228"/>
      <c r="T1110" s="123"/>
      <c r="U1110" s="123"/>
      <c r="V1110" s="4005"/>
      <c r="W1110" s="761"/>
      <c r="X1110" s="761"/>
      <c r="Y1110" s="764">
        <f t="shared" si="119"/>
        <v>1</v>
      </c>
      <c r="Z1110" s="761">
        <v>1</v>
      </c>
      <c r="AA1110" s="761">
        <v>1</v>
      </c>
      <c r="AB1110" s="761">
        <v>1</v>
      </c>
      <c r="AC1110" s="761">
        <v>1</v>
      </c>
      <c r="AD1110" s="761"/>
      <c r="AE1110" s="761"/>
      <c r="AF1110" s="761"/>
      <c r="AG1110" s="763"/>
      <c r="AH1110" s="1942"/>
      <c r="AI1110" s="1942"/>
      <c r="AJ1110" s="1942"/>
      <c r="AK1110" s="1942"/>
      <c r="AL1110" s="1942"/>
      <c r="AM1110" s="1942"/>
      <c r="AN1110" s="1942"/>
      <c r="AO1110" s="1942"/>
      <c r="AP1110" s="1942"/>
      <c r="AQ1110" s="1942"/>
      <c r="AR1110" s="1942"/>
      <c r="AS1110" s="1942"/>
      <c r="AT1110" s="1942"/>
      <c r="AU1110" s="1942"/>
      <c r="AV1110" s="1942"/>
      <c r="AW1110" s="1942"/>
      <c r="AX1110" s="1942"/>
      <c r="AY1110" s="1942"/>
      <c r="AZ1110" s="1942"/>
      <c r="BA1110" s="1942"/>
      <c r="BB1110" s="575"/>
      <c r="BC1110" s="576"/>
      <c r="BD1110" s="678"/>
    </row>
    <row r="1111" spans="1:56" s="51" customFormat="1" hidden="1" outlineLevel="1" x14ac:dyDescent="0.25">
      <c r="A1111" s="1267"/>
      <c r="B1111" s="228"/>
      <c r="C1111" s="328"/>
      <c r="D1111" s="4005"/>
      <c r="E1111" s="3890"/>
      <c r="F1111" s="3422" t="str">
        <f>E827</f>
        <v>Mini/MultiSplitASHP-Replace_CAC_ElectricHeat_ROF_MF_CompE</v>
      </c>
      <c r="G1111" s="3423"/>
      <c r="H1111" s="3424"/>
      <c r="I1111" s="3446" t="str">
        <f>C827</f>
        <v>351801_2021_12_</v>
      </c>
      <c r="J1111" s="761">
        <f t="shared" si="118"/>
        <v>1</v>
      </c>
      <c r="K1111" s="762"/>
      <c r="L1111" s="4082"/>
      <c r="M1111" s="1570"/>
      <c r="N1111" s="1556"/>
      <c r="O1111" s="228"/>
      <c r="P1111" s="228"/>
      <c r="Q1111" s="228"/>
      <c r="R1111" s="228"/>
      <c r="S1111" s="228"/>
      <c r="T1111" s="123"/>
      <c r="U1111" s="123"/>
      <c r="V1111" s="4005"/>
      <c r="W1111" s="761"/>
      <c r="X1111" s="761"/>
      <c r="Y1111" s="764">
        <f t="shared" si="119"/>
        <v>1</v>
      </c>
      <c r="Z1111" s="761">
        <v>1</v>
      </c>
      <c r="AA1111" s="761">
        <v>1</v>
      </c>
      <c r="AB1111" s="761">
        <v>1</v>
      </c>
      <c r="AC1111" s="761">
        <v>1</v>
      </c>
      <c r="AD1111" s="761"/>
      <c r="AE1111" s="761"/>
      <c r="AF1111" s="761"/>
      <c r="AG1111" s="763"/>
      <c r="AH1111" s="1942"/>
      <c r="AI1111" s="1942"/>
      <c r="AJ1111" s="1942"/>
      <c r="AK1111" s="1942"/>
      <c r="AL1111" s="1942"/>
      <c r="AM1111" s="1942"/>
      <c r="AN1111" s="1942"/>
      <c r="AO1111" s="1942"/>
      <c r="AP1111" s="1942"/>
      <c r="AQ1111" s="1942"/>
      <c r="AR1111" s="1942"/>
      <c r="AS1111" s="1942"/>
      <c r="AT1111" s="1942"/>
      <c r="AU1111" s="1942"/>
      <c r="AV1111" s="1942"/>
      <c r="AW1111" s="1942"/>
      <c r="AX1111" s="1942"/>
      <c r="AY1111" s="1942"/>
      <c r="AZ1111" s="1942"/>
      <c r="BA1111" s="1942"/>
      <c r="BB1111" s="575"/>
      <c r="BC1111" s="576"/>
      <c r="BD1111" s="678"/>
    </row>
    <row r="1112" spans="1:56" s="51" customFormat="1" hidden="1" outlineLevel="1" x14ac:dyDescent="0.25">
      <c r="A1112" s="1267"/>
      <c r="B1112" s="228"/>
      <c r="C1112" s="328"/>
      <c r="D1112" s="4005"/>
      <c r="E1112" s="3890"/>
      <c r="F1112" s="3419" t="str">
        <f>E828</f>
        <v>Mini/MultiSplitASHP-Replace_CAC_ElectricHeat_ROF_MF_CompE</v>
      </c>
      <c r="G1112" s="3420"/>
      <c r="H1112" s="3421"/>
      <c r="I1112" s="3446" t="str">
        <f>C828</f>
        <v>351801_2021_12_</v>
      </c>
      <c r="J1112" s="761">
        <f t="shared" si="118"/>
        <v>1</v>
      </c>
      <c r="K1112" s="762"/>
      <c r="L1112" s="4082"/>
      <c r="M1112" s="1570"/>
      <c r="N1112" s="1556"/>
      <c r="O1112" s="228"/>
      <c r="P1112" s="228"/>
      <c r="Q1112" s="228"/>
      <c r="R1112" s="228"/>
      <c r="S1112" s="228"/>
      <c r="T1112" s="123"/>
      <c r="U1112" s="123"/>
      <c r="V1112" s="4005"/>
      <c r="W1112" s="761"/>
      <c r="X1112" s="761"/>
      <c r="Y1112" s="764">
        <f t="shared" si="119"/>
        <v>1</v>
      </c>
      <c r="Z1112" s="761">
        <v>1</v>
      </c>
      <c r="AA1112" s="761">
        <v>1</v>
      </c>
      <c r="AB1112" s="761">
        <v>1</v>
      </c>
      <c r="AC1112" s="761">
        <v>1</v>
      </c>
      <c r="AD1112" s="761"/>
      <c r="AE1112" s="761"/>
      <c r="AF1112" s="761"/>
      <c r="AG1112" s="763"/>
      <c r="AH1112" s="1942"/>
      <c r="AI1112" s="1942"/>
      <c r="AJ1112" s="1942"/>
      <c r="AK1112" s="1942"/>
      <c r="AL1112" s="1942"/>
      <c r="AM1112" s="1942"/>
      <c r="AN1112" s="1942"/>
      <c r="AO1112" s="1942"/>
      <c r="AP1112" s="1942"/>
      <c r="AQ1112" s="1942"/>
      <c r="AR1112" s="1942"/>
      <c r="AS1112" s="1942"/>
      <c r="AT1112" s="1942"/>
      <c r="AU1112" s="1942"/>
      <c r="AV1112" s="1942"/>
      <c r="AW1112" s="1942"/>
      <c r="AX1112" s="1942"/>
      <c r="AY1112" s="1942"/>
      <c r="AZ1112" s="1942"/>
      <c r="BA1112" s="1942"/>
      <c r="BB1112" s="575"/>
      <c r="BC1112" s="576"/>
      <c r="BD1112" s="678"/>
    </row>
    <row r="1113" spans="1:56" s="51" customFormat="1" hidden="1" outlineLevel="1" x14ac:dyDescent="0.25">
      <c r="A1113" s="1267"/>
      <c r="B1113" s="228"/>
      <c r="C1113" s="328"/>
      <c r="D1113" s="4005"/>
      <c r="E1113" s="3890"/>
      <c r="F1113" s="3422" t="str">
        <f>E833</f>
        <v>Mini/MultiSplitASHP_ER1_MF_CompE</v>
      </c>
      <c r="G1113" s="3423"/>
      <c r="H1113" s="3424"/>
      <c r="I1113" s="3446" t="str">
        <f>C833</f>
        <v>351851_2021_12_</v>
      </c>
      <c r="J1113" s="761">
        <f t="shared" si="118"/>
        <v>1</v>
      </c>
      <c r="K1113" s="762"/>
      <c r="L1113" s="4082"/>
      <c r="M1113" s="1570"/>
      <c r="N1113" s="1556"/>
      <c r="O1113" s="228"/>
      <c r="P1113" s="228"/>
      <c r="Q1113" s="228"/>
      <c r="R1113" s="228"/>
      <c r="S1113" s="228"/>
      <c r="T1113" s="123"/>
      <c r="U1113" s="123"/>
      <c r="V1113" s="4005"/>
      <c r="W1113" s="761"/>
      <c r="X1113" s="761"/>
      <c r="Y1113" s="764">
        <f t="shared" si="119"/>
        <v>1</v>
      </c>
      <c r="Z1113" s="761">
        <v>1</v>
      </c>
      <c r="AA1113" s="761">
        <v>1</v>
      </c>
      <c r="AB1113" s="761">
        <v>1</v>
      </c>
      <c r="AC1113" s="761">
        <v>1</v>
      </c>
      <c r="AD1113" s="761"/>
      <c r="AE1113" s="761"/>
      <c r="AF1113" s="761"/>
      <c r="AG1113" s="763"/>
      <c r="AH1113" s="1942"/>
      <c r="AI1113" s="1942"/>
      <c r="AJ1113" s="1942"/>
      <c r="AK1113" s="1942"/>
      <c r="AL1113" s="1942"/>
      <c r="AM1113" s="1942"/>
      <c r="AN1113" s="1942"/>
      <c r="AO1113" s="1942"/>
      <c r="AP1113" s="1942"/>
      <c r="AQ1113" s="1942"/>
      <c r="AR1113" s="1942"/>
      <c r="AS1113" s="1942"/>
      <c r="AT1113" s="1942"/>
      <c r="AU1113" s="1942"/>
      <c r="AV1113" s="1942"/>
      <c r="AW1113" s="1942"/>
      <c r="AX1113" s="1942"/>
      <c r="AY1113" s="1942"/>
      <c r="AZ1113" s="1942"/>
      <c r="BA1113" s="1942"/>
      <c r="BB1113" s="575"/>
      <c r="BC1113" s="576"/>
      <c r="BD1113" s="678"/>
    </row>
    <row r="1114" spans="1:56" s="51" customFormat="1" hidden="1" outlineLevel="1" x14ac:dyDescent="0.25">
      <c r="A1114" s="1267"/>
      <c r="B1114" s="228"/>
      <c r="C1114" s="328"/>
      <c r="D1114" s="4005"/>
      <c r="E1114" s="3890"/>
      <c r="F1114" s="3416" t="str">
        <f>E834</f>
        <v>Mini/MultiSplitASHP_ER1_MF_CompE</v>
      </c>
      <c r="G1114" s="3417"/>
      <c r="H1114" s="3418"/>
      <c r="I1114" s="3446" t="str">
        <f>C834</f>
        <v>351851_2021_12_</v>
      </c>
      <c r="J1114" s="761">
        <f t="shared" si="118"/>
        <v>1</v>
      </c>
      <c r="K1114" s="762"/>
      <c r="L1114" s="4082"/>
      <c r="M1114" s="1570"/>
      <c r="N1114" s="1556"/>
      <c r="O1114" s="228"/>
      <c r="P1114" s="228"/>
      <c r="Q1114" s="228"/>
      <c r="R1114" s="228"/>
      <c r="S1114" s="228"/>
      <c r="T1114" s="123"/>
      <c r="U1114" s="123"/>
      <c r="V1114" s="4005"/>
      <c r="W1114" s="761"/>
      <c r="X1114" s="761"/>
      <c r="Y1114" s="764">
        <f t="shared" si="119"/>
        <v>1</v>
      </c>
      <c r="Z1114" s="761">
        <v>1</v>
      </c>
      <c r="AA1114" s="761">
        <v>1</v>
      </c>
      <c r="AB1114" s="761">
        <v>1</v>
      </c>
      <c r="AC1114" s="761">
        <v>1</v>
      </c>
      <c r="AD1114" s="761"/>
      <c r="AE1114" s="761"/>
      <c r="AF1114" s="761"/>
      <c r="AG1114" s="763"/>
      <c r="AH1114" s="1942"/>
      <c r="AI1114" s="1942"/>
      <c r="AJ1114" s="1942"/>
      <c r="AK1114" s="1942"/>
      <c r="AL1114" s="1942"/>
      <c r="AM1114" s="1942"/>
      <c r="AN1114" s="1942"/>
      <c r="AO1114" s="1942"/>
      <c r="AP1114" s="1942"/>
      <c r="AQ1114" s="1942"/>
      <c r="AR1114" s="1942"/>
      <c r="AS1114" s="1942"/>
      <c r="AT1114" s="1942"/>
      <c r="AU1114" s="1942"/>
      <c r="AV1114" s="1942"/>
      <c r="AW1114" s="1942"/>
      <c r="AX1114" s="1942"/>
      <c r="AY1114" s="1942"/>
      <c r="AZ1114" s="1942"/>
      <c r="BA1114" s="1942"/>
      <c r="BB1114" s="575"/>
      <c r="BC1114" s="576"/>
      <c r="BD1114" s="678"/>
    </row>
    <row r="1115" spans="1:56" s="51" customFormat="1" hidden="1" outlineLevel="1" x14ac:dyDescent="0.25">
      <c r="A1115" s="1267"/>
      <c r="B1115" s="228"/>
      <c r="C1115" s="328"/>
      <c r="D1115" s="4005"/>
      <c r="E1115" s="3890"/>
      <c r="F1115" s="3416" t="str">
        <f>E835</f>
        <v>Mini/MultiSplitASHP_ER2_MF_CompE</v>
      </c>
      <c r="G1115" s="3417"/>
      <c r="H1115" s="3418"/>
      <c r="I1115" s="3446" t="str">
        <f>C835</f>
        <v>351851_2021_12_</v>
      </c>
      <c r="J1115" s="761">
        <f t="shared" si="118"/>
        <v>1</v>
      </c>
      <c r="K1115" s="762"/>
      <c r="L1115" s="4082"/>
      <c r="M1115" s="1570"/>
      <c r="N1115" s="1556"/>
      <c r="O1115" s="228"/>
      <c r="P1115" s="228"/>
      <c r="Q1115" s="228"/>
      <c r="R1115" s="228"/>
      <c r="S1115" s="228"/>
      <c r="T1115" s="123"/>
      <c r="U1115" s="123"/>
      <c r="V1115" s="4005"/>
      <c r="W1115" s="761"/>
      <c r="X1115" s="761"/>
      <c r="Y1115" s="764">
        <f t="shared" si="119"/>
        <v>1</v>
      </c>
      <c r="Z1115" s="761">
        <v>1</v>
      </c>
      <c r="AA1115" s="761">
        <v>1</v>
      </c>
      <c r="AB1115" s="761">
        <v>1</v>
      </c>
      <c r="AC1115" s="761">
        <v>1</v>
      </c>
      <c r="AD1115" s="761"/>
      <c r="AE1115" s="761"/>
      <c r="AF1115" s="761"/>
      <c r="AG1115" s="763"/>
      <c r="AH1115" s="1942"/>
      <c r="AI1115" s="1942"/>
      <c r="AJ1115" s="1942"/>
      <c r="AK1115" s="1942"/>
      <c r="AL1115" s="1942"/>
      <c r="AM1115" s="1942"/>
      <c r="AN1115" s="1942"/>
      <c r="AO1115" s="1942"/>
      <c r="AP1115" s="1942"/>
      <c r="AQ1115" s="1942"/>
      <c r="AR1115" s="1942"/>
      <c r="AS1115" s="1942"/>
      <c r="AT1115" s="1942"/>
      <c r="AU1115" s="1942"/>
      <c r="AV1115" s="1942"/>
      <c r="AW1115" s="1942"/>
      <c r="AX1115" s="1942"/>
      <c r="AY1115" s="1942"/>
      <c r="AZ1115" s="1942"/>
      <c r="BA1115" s="1942"/>
      <c r="BB1115" s="575"/>
      <c r="BC1115" s="576"/>
      <c r="BD1115" s="678"/>
    </row>
    <row r="1116" spans="1:56" s="51" customFormat="1" ht="15.75" hidden="1" outlineLevel="1" thickBot="1" x14ac:dyDescent="0.3">
      <c r="A1116" s="1267"/>
      <c r="B1116" s="228"/>
      <c r="C1116" s="328"/>
      <c r="D1116" s="4035"/>
      <c r="E1116" s="4036"/>
      <c r="F1116" s="3431" t="str">
        <f>E836</f>
        <v>Mini/MultiSplitASHP_ER2_MF_CompE</v>
      </c>
      <c r="G1116" s="3432"/>
      <c r="H1116" s="3433"/>
      <c r="I1116" s="3447" t="str">
        <f>C836</f>
        <v>351851_2021_12_</v>
      </c>
      <c r="J1116" s="768">
        <f t="shared" si="118"/>
        <v>1</v>
      </c>
      <c r="K1116" s="767"/>
      <c r="L1116" s="4083"/>
      <c r="M1116" s="1570"/>
      <c r="N1116" s="1556"/>
      <c r="O1116" s="228"/>
      <c r="P1116" s="228"/>
      <c r="Q1116" s="228"/>
      <c r="R1116" s="228"/>
      <c r="S1116" s="228"/>
      <c r="T1116" s="123"/>
      <c r="U1116" s="123"/>
      <c r="V1116" s="4035"/>
      <c r="W1116" s="768"/>
      <c r="X1116" s="768"/>
      <c r="Y1116" s="766">
        <f t="shared" si="119"/>
        <v>1</v>
      </c>
      <c r="Z1116" s="768">
        <v>1</v>
      </c>
      <c r="AA1116" s="768">
        <v>1</v>
      </c>
      <c r="AB1116" s="768">
        <v>1</v>
      </c>
      <c r="AC1116" s="768">
        <v>1</v>
      </c>
      <c r="AD1116" s="768"/>
      <c r="AE1116" s="768"/>
      <c r="AF1116" s="768"/>
      <c r="AG1116" s="769"/>
      <c r="AH1116" s="1942"/>
      <c r="AI1116" s="1942"/>
      <c r="AJ1116" s="1942"/>
      <c r="AK1116" s="1942"/>
      <c r="AL1116" s="1942"/>
      <c r="AM1116" s="1942"/>
      <c r="AN1116" s="1942"/>
      <c r="AO1116" s="1942"/>
      <c r="AP1116" s="1942"/>
      <c r="AQ1116" s="1942"/>
      <c r="AR1116" s="1942"/>
      <c r="AS1116" s="1942"/>
      <c r="AT1116" s="1942"/>
      <c r="AU1116" s="1942"/>
      <c r="AV1116" s="1942"/>
      <c r="AW1116" s="1942"/>
      <c r="AX1116" s="1942"/>
      <c r="AY1116" s="1942"/>
      <c r="AZ1116" s="1942"/>
      <c r="BA1116" s="1942"/>
      <c r="BB1116" s="575"/>
      <c r="BC1116" s="576"/>
      <c r="BD1116" s="678"/>
    </row>
    <row r="1117" spans="1:56" s="1942" customFormat="1" ht="105.75" hidden="1" outlineLevel="1" thickBot="1" x14ac:dyDescent="0.3">
      <c r="A1117" s="1267"/>
      <c r="B1117" s="228"/>
      <c r="C1117" s="328"/>
      <c r="D1117" s="2586" t="s">
        <v>133</v>
      </c>
      <c r="E1117" s="2587" t="s">
        <v>860</v>
      </c>
      <c r="F1117" s="3428" t="s">
        <v>135</v>
      </c>
      <c r="G1117" s="3429"/>
      <c r="H1117" s="3430"/>
      <c r="I1117" s="3436" t="s">
        <v>135</v>
      </c>
      <c r="J1117" s="2588">
        <v>1</v>
      </c>
      <c r="K1117" s="2589"/>
      <c r="L1117" s="2700" t="s">
        <v>1129</v>
      </c>
      <c r="M1117" s="2235"/>
      <c r="N1117" s="2236"/>
      <c r="O1117" s="1831"/>
      <c r="P1117" s="1831"/>
      <c r="Q1117" s="1831"/>
      <c r="R1117" s="1831"/>
      <c r="S1117" s="1831"/>
      <c r="T1117" s="1831"/>
      <c r="U1117" s="1831"/>
      <c r="V1117" s="2606" t="s">
        <v>133</v>
      </c>
      <c r="W1117" s="2233"/>
      <c r="X1117" s="2233"/>
      <c r="Y1117" s="2233"/>
      <c r="Z1117" s="2233"/>
      <c r="AA1117" s="2233">
        <v>1</v>
      </c>
      <c r="AB1117" s="2234">
        <v>1</v>
      </c>
      <c r="AC1117" s="2588">
        <v>1</v>
      </c>
      <c r="AD1117" s="2233"/>
      <c r="AE1117" s="2233"/>
      <c r="AF1117" s="2233"/>
      <c r="AG1117" s="2237"/>
      <c r="AH1117" s="1831"/>
      <c r="AI1117" s="1831"/>
      <c r="AJ1117" s="1831"/>
      <c r="AK1117" s="1831"/>
      <c r="AL1117" s="1831"/>
      <c r="AM1117" s="1831"/>
      <c r="AN1117" s="1831"/>
      <c r="AO1117" s="1831"/>
      <c r="AP1117" s="1831"/>
      <c r="AQ1117" s="1831"/>
      <c r="AR1117" s="1831"/>
      <c r="AS1117" s="1831"/>
      <c r="AT1117" s="1831"/>
      <c r="AU1117" s="1831"/>
      <c r="AV1117" s="1831"/>
      <c r="AW1117" s="1831"/>
      <c r="AX1117" s="1831"/>
      <c r="AY1117" s="1831"/>
      <c r="AZ1117" s="1831"/>
      <c r="BA1117" s="1831"/>
      <c r="BB1117" s="2238"/>
      <c r="BC1117" s="576"/>
      <c r="BD1117" s="678"/>
    </row>
    <row r="1118" spans="1:56" s="51" customFormat="1" hidden="1" outlineLevel="1" x14ac:dyDescent="0.25">
      <c r="A1118" s="1267"/>
      <c r="B1118" s="228"/>
      <c r="C1118" s="328"/>
      <c r="D1118" s="3989" t="str">
        <f>D636</f>
        <v>EUL</v>
      </c>
      <c r="E1118" s="3989" t="str">
        <f>E636</f>
        <v>End of Useful Life</v>
      </c>
      <c r="F1118" s="3413" t="str">
        <f t="shared" ref="F1118:F1151" si="120">F1066</f>
        <v>Mini/MultiSplitAC_ER1_SF</v>
      </c>
      <c r="G1118" s="3414"/>
      <c r="H1118" s="3415"/>
      <c r="I1118" s="3410" t="str">
        <f t="shared" ref="I1118:I1151" si="121">I1066</f>
        <v>351200_2021_12_</v>
      </c>
      <c r="J1118" s="770">
        <v>6</v>
      </c>
      <c r="K1118" s="758"/>
      <c r="L1118" s="746"/>
      <c r="M1118" s="1570"/>
      <c r="N1118" s="1556"/>
      <c r="O1118" s="228"/>
      <c r="P1118" s="228"/>
      <c r="Q1118" s="228"/>
      <c r="R1118" s="228"/>
      <c r="S1118" s="228"/>
      <c r="T1118" s="123"/>
      <c r="U1118" s="123"/>
      <c r="V1118" s="3989" t="str">
        <f>D1118</f>
        <v>EUL</v>
      </c>
      <c r="W1118" s="771">
        <v>6</v>
      </c>
      <c r="X1118" s="771">
        <v>6</v>
      </c>
      <c r="Y1118" s="771">
        <v>6</v>
      </c>
      <c r="Z1118" s="771">
        <v>6</v>
      </c>
      <c r="AA1118" s="771">
        <v>6</v>
      </c>
      <c r="AB1118" s="770">
        <v>6</v>
      </c>
      <c r="AC1118" s="770">
        <v>6</v>
      </c>
      <c r="AD1118" s="759"/>
      <c r="AE1118" s="759"/>
      <c r="AF1118" s="759"/>
      <c r="AG1118" s="760"/>
      <c r="AH1118" s="1942"/>
      <c r="AI1118" s="1942"/>
      <c r="AJ1118" s="1942"/>
      <c r="AK1118" s="1942"/>
      <c r="AL1118" s="1942"/>
      <c r="AM1118" s="1942"/>
      <c r="AN1118" s="1942"/>
      <c r="AO1118" s="1942"/>
      <c r="AP1118" s="1942"/>
      <c r="AQ1118" s="1942"/>
      <c r="AR1118" s="1942"/>
      <c r="AS1118" s="1942"/>
      <c r="AT1118" s="1942"/>
      <c r="AU1118" s="1942"/>
      <c r="AV1118" s="1942"/>
      <c r="AW1118" s="1942"/>
      <c r="AX1118" s="1942"/>
      <c r="AY1118" s="1942"/>
      <c r="AZ1118" s="1942"/>
      <c r="BA1118" s="1942"/>
      <c r="BB1118" s="575"/>
      <c r="BC1118" s="576"/>
      <c r="BD1118" s="678"/>
    </row>
    <row r="1119" spans="1:56" s="51" customFormat="1" hidden="1" outlineLevel="1" x14ac:dyDescent="0.25">
      <c r="A1119" s="1267"/>
      <c r="B1119" s="228"/>
      <c r="C1119" s="328"/>
      <c r="D1119" s="3990"/>
      <c r="E1119" s="3990"/>
      <c r="F1119" s="3419" t="str">
        <f t="shared" si="120"/>
        <v>Mini/MultiSplitAC_ER2_SF</v>
      </c>
      <c r="G1119" s="3420"/>
      <c r="H1119" s="3421"/>
      <c r="I1119" s="3411" t="str">
        <f t="shared" si="121"/>
        <v>351200_2021_12_</v>
      </c>
      <c r="J1119" s="772">
        <v>12</v>
      </c>
      <c r="K1119" s="762"/>
      <c r="L1119" s="749"/>
      <c r="M1119" s="1570"/>
      <c r="N1119" s="1556"/>
      <c r="O1119" s="228"/>
      <c r="P1119" s="228"/>
      <c r="Q1119" s="228"/>
      <c r="R1119" s="228"/>
      <c r="S1119" s="228"/>
      <c r="T1119" s="123"/>
      <c r="U1119" s="123"/>
      <c r="V1119" s="3990"/>
      <c r="W1119" s="772">
        <v>12</v>
      </c>
      <c r="X1119" s="772">
        <v>12</v>
      </c>
      <c r="Y1119" s="772">
        <v>12</v>
      </c>
      <c r="Z1119" s="772">
        <v>12</v>
      </c>
      <c r="AA1119" s="772">
        <v>12</v>
      </c>
      <c r="AB1119" s="772">
        <v>12</v>
      </c>
      <c r="AC1119" s="772">
        <v>12</v>
      </c>
      <c r="AD1119" s="761"/>
      <c r="AE1119" s="761"/>
      <c r="AF1119" s="761"/>
      <c r="AG1119" s="763"/>
      <c r="AH1119" s="1942"/>
      <c r="AI1119" s="1942"/>
      <c r="AJ1119" s="1942"/>
      <c r="AK1119" s="1942"/>
      <c r="AL1119" s="1942"/>
      <c r="AM1119" s="1942"/>
      <c r="AN1119" s="1942"/>
      <c r="AO1119" s="1942"/>
      <c r="AP1119" s="1942"/>
      <c r="AQ1119" s="1942"/>
      <c r="AR1119" s="1942"/>
      <c r="AS1119" s="1942"/>
      <c r="AT1119" s="1942"/>
      <c r="AU1119" s="1942"/>
      <c r="AV1119" s="1942"/>
      <c r="AW1119" s="1942"/>
      <c r="AX1119" s="1942"/>
      <c r="AY1119" s="1942"/>
      <c r="AZ1119" s="1942"/>
      <c r="BA1119" s="1942"/>
      <c r="BB1119" s="575"/>
      <c r="BC1119" s="576"/>
      <c r="BD1119" s="678"/>
    </row>
    <row r="1120" spans="1:56" s="51" customFormat="1" hidden="1" outlineLevel="1" x14ac:dyDescent="0.25">
      <c r="A1120" s="1267"/>
      <c r="B1120" s="228"/>
      <c r="C1120" s="328"/>
      <c r="D1120" s="3990"/>
      <c r="E1120" s="3990"/>
      <c r="F1120" s="3425" t="str">
        <f t="shared" si="120"/>
        <v>Mini/MultiSplitAC_ROF_SF</v>
      </c>
      <c r="G1120" s="3426"/>
      <c r="H1120" s="3427"/>
      <c r="I1120" s="3411" t="str">
        <f t="shared" si="121"/>
        <v>351250_2021_12_</v>
      </c>
      <c r="J1120" s="772">
        <v>18</v>
      </c>
      <c r="K1120" s="762"/>
      <c r="L1120" s="749"/>
      <c r="M1120" s="1570"/>
      <c r="N1120" s="1556"/>
      <c r="O1120" s="228"/>
      <c r="P1120" s="228"/>
      <c r="Q1120" s="228"/>
      <c r="R1120" s="228"/>
      <c r="S1120" s="228"/>
      <c r="T1120" s="123"/>
      <c r="U1120" s="123"/>
      <c r="V1120" s="3990"/>
      <c r="W1120" s="772">
        <v>18</v>
      </c>
      <c r="X1120" s="772">
        <v>18</v>
      </c>
      <c r="Y1120" s="772">
        <v>18</v>
      </c>
      <c r="Z1120" s="772">
        <v>18</v>
      </c>
      <c r="AA1120" s="772">
        <v>18</v>
      </c>
      <c r="AB1120" s="772">
        <v>18</v>
      </c>
      <c r="AC1120" s="772">
        <v>18</v>
      </c>
      <c r="AD1120" s="761"/>
      <c r="AE1120" s="761"/>
      <c r="AF1120" s="761"/>
      <c r="AG1120" s="763"/>
      <c r="AH1120" s="1942"/>
      <c r="AI1120" s="1942"/>
      <c r="AJ1120" s="1942"/>
      <c r="AK1120" s="1942"/>
      <c r="AL1120" s="1942"/>
      <c r="AM1120" s="1942"/>
      <c r="AN1120" s="1942"/>
      <c r="AO1120" s="1942"/>
      <c r="AP1120" s="1942"/>
      <c r="AQ1120" s="1942"/>
      <c r="AR1120" s="1942"/>
      <c r="AS1120" s="1942"/>
      <c r="AT1120" s="1942"/>
      <c r="AU1120" s="1942"/>
      <c r="AV1120" s="1942"/>
      <c r="AW1120" s="1942"/>
      <c r="AX1120" s="1942"/>
      <c r="AY1120" s="1942"/>
      <c r="AZ1120" s="1942"/>
      <c r="BA1120" s="1942"/>
      <c r="BB1120" s="575"/>
      <c r="BC1120" s="576"/>
      <c r="BD1120" s="678"/>
    </row>
    <row r="1121" spans="1:56" s="51" customFormat="1" hidden="1" outlineLevel="1" x14ac:dyDescent="0.25">
      <c r="A1121" s="1267"/>
      <c r="B1121" s="228"/>
      <c r="C1121" s="328"/>
      <c r="D1121" s="3990"/>
      <c r="E1121" s="3990"/>
      <c r="F1121" s="3422" t="str">
        <f t="shared" si="120"/>
        <v>Mini/MultiSplitASHP_ROF_SF_NC</v>
      </c>
      <c r="G1121" s="3423"/>
      <c r="H1121" s="3424"/>
      <c r="I1121" s="3411" t="str">
        <f t="shared" si="121"/>
        <v>351300_2021_12_</v>
      </c>
      <c r="J1121" s="772">
        <v>18</v>
      </c>
      <c r="K1121" s="762"/>
      <c r="L1121" s="749"/>
      <c r="M1121" s="1570"/>
      <c r="N1121" s="1556"/>
      <c r="O1121" s="228"/>
      <c r="P1121" s="228"/>
      <c r="Q1121" s="228"/>
      <c r="R1121" s="228"/>
      <c r="S1121" s="228"/>
      <c r="T1121" s="123"/>
      <c r="U1121" s="123"/>
      <c r="V1121" s="3990"/>
      <c r="W1121" s="772">
        <v>18</v>
      </c>
      <c r="X1121" s="772">
        <v>18</v>
      </c>
      <c r="Y1121" s="772">
        <v>18</v>
      </c>
      <c r="Z1121" s="772">
        <v>18</v>
      </c>
      <c r="AA1121" s="772">
        <v>18</v>
      </c>
      <c r="AB1121" s="772">
        <v>18</v>
      </c>
      <c r="AC1121" s="772">
        <v>18</v>
      </c>
      <c r="AD1121" s="761"/>
      <c r="AE1121" s="761"/>
      <c r="AF1121" s="761"/>
      <c r="AG1121" s="763"/>
      <c r="AH1121" s="1942"/>
      <c r="AI1121" s="1942"/>
      <c r="AJ1121" s="1942"/>
      <c r="AK1121" s="1942"/>
      <c r="AL1121" s="1942"/>
      <c r="AM1121" s="1942"/>
      <c r="AN1121" s="1942"/>
      <c r="AO1121" s="1942"/>
      <c r="AP1121" s="1942"/>
      <c r="AQ1121" s="1942"/>
      <c r="AR1121" s="1942"/>
      <c r="AS1121" s="1942"/>
      <c r="AT1121" s="1942"/>
      <c r="AU1121" s="1942"/>
      <c r="AV1121" s="1942"/>
      <c r="AW1121" s="1942"/>
      <c r="AX1121" s="1942"/>
      <c r="AY1121" s="1942"/>
      <c r="AZ1121" s="1942"/>
      <c r="BA1121" s="1942"/>
      <c r="BB1121" s="575"/>
      <c r="BC1121" s="576"/>
      <c r="BD1121" s="678"/>
    </row>
    <row r="1122" spans="1:56" s="51" customFormat="1" hidden="1" outlineLevel="1" x14ac:dyDescent="0.25">
      <c r="A1122" s="1267"/>
      <c r="B1122" s="228"/>
      <c r="C1122" s="328"/>
      <c r="D1122" s="3990"/>
      <c r="E1122" s="3990"/>
      <c r="F1122" s="3419" t="str">
        <f t="shared" si="120"/>
        <v>Mini/MultiSplitASHP_ROF_SF_NC</v>
      </c>
      <c r="G1122" s="3420"/>
      <c r="H1122" s="3421"/>
      <c r="I1122" s="3411" t="str">
        <f t="shared" si="121"/>
        <v>351300_2021_12_</v>
      </c>
      <c r="J1122" s="772">
        <v>18</v>
      </c>
      <c r="K1122" s="762"/>
      <c r="L1122" s="749"/>
      <c r="M1122" s="1570"/>
      <c r="N1122" s="1556"/>
      <c r="O1122" s="228"/>
      <c r="P1122" s="228"/>
      <c r="Q1122" s="228"/>
      <c r="R1122" s="228"/>
      <c r="S1122" s="228"/>
      <c r="T1122" s="123"/>
      <c r="U1122" s="123"/>
      <c r="V1122" s="3990"/>
      <c r="W1122" s="772">
        <v>18</v>
      </c>
      <c r="X1122" s="772">
        <v>18</v>
      </c>
      <c r="Y1122" s="772">
        <v>18</v>
      </c>
      <c r="Z1122" s="772">
        <v>18</v>
      </c>
      <c r="AA1122" s="772">
        <v>18</v>
      </c>
      <c r="AB1122" s="772">
        <v>18</v>
      </c>
      <c r="AC1122" s="772">
        <v>18</v>
      </c>
      <c r="AD1122" s="761"/>
      <c r="AE1122" s="761"/>
      <c r="AF1122" s="761"/>
      <c r="AG1122" s="763"/>
      <c r="AH1122" s="1942"/>
      <c r="AI1122" s="1942"/>
      <c r="AJ1122" s="1942"/>
      <c r="AK1122" s="1942"/>
      <c r="AL1122" s="1942"/>
      <c r="AM1122" s="1942"/>
      <c r="AN1122" s="1942"/>
      <c r="AO1122" s="1942"/>
      <c r="AP1122" s="1942"/>
      <c r="AQ1122" s="1942"/>
      <c r="AR1122" s="1942"/>
      <c r="AS1122" s="1942"/>
      <c r="AT1122" s="1942"/>
      <c r="AU1122" s="1942"/>
      <c r="AV1122" s="1942"/>
      <c r="AW1122" s="1942"/>
      <c r="AX1122" s="1942"/>
      <c r="AY1122" s="1942"/>
      <c r="AZ1122" s="1942"/>
      <c r="BA1122" s="1942"/>
      <c r="BB1122" s="575"/>
      <c r="BC1122" s="576"/>
      <c r="BD1122" s="678"/>
    </row>
    <row r="1123" spans="1:56" s="51" customFormat="1" hidden="1" outlineLevel="1" x14ac:dyDescent="0.25">
      <c r="A1123" s="1267"/>
      <c r="B1123" s="228"/>
      <c r="C1123" s="328"/>
      <c r="D1123" s="3990"/>
      <c r="E1123" s="3990"/>
      <c r="F1123" s="3422" t="str">
        <f t="shared" si="120"/>
        <v>Mini/MultiSplitASHP_ROF_SF</v>
      </c>
      <c r="G1123" s="3423"/>
      <c r="H1123" s="3424"/>
      <c r="I1123" s="3411" t="str">
        <f t="shared" si="121"/>
        <v>351350_2021_12_</v>
      </c>
      <c r="J1123" s="772">
        <v>18</v>
      </c>
      <c r="K1123" s="762"/>
      <c r="L1123" s="749"/>
      <c r="M1123" s="1570"/>
      <c r="N1123" s="1556"/>
      <c r="O1123" s="228"/>
      <c r="P1123" s="228"/>
      <c r="Q1123" s="228"/>
      <c r="R1123" s="228"/>
      <c r="S1123" s="228"/>
      <c r="T1123" s="123"/>
      <c r="U1123" s="123"/>
      <c r="V1123" s="3990"/>
      <c r="W1123" s="772">
        <v>18</v>
      </c>
      <c r="X1123" s="772">
        <v>18</v>
      </c>
      <c r="Y1123" s="772">
        <v>18</v>
      </c>
      <c r="Z1123" s="772">
        <v>18</v>
      </c>
      <c r="AA1123" s="772">
        <v>18</v>
      </c>
      <c r="AB1123" s="772">
        <v>18</v>
      </c>
      <c r="AC1123" s="772">
        <v>18</v>
      </c>
      <c r="AD1123" s="761"/>
      <c r="AE1123" s="761"/>
      <c r="AF1123" s="761"/>
      <c r="AG1123" s="763"/>
      <c r="AH1123" s="1942"/>
      <c r="AI1123" s="1942"/>
      <c r="AJ1123" s="1942"/>
      <c r="AK1123" s="1942"/>
      <c r="AL1123" s="1942"/>
      <c r="AM1123" s="1942"/>
      <c r="AN1123" s="1942"/>
      <c r="AO1123" s="1942"/>
      <c r="AP1123" s="1942"/>
      <c r="AQ1123" s="1942"/>
      <c r="AR1123" s="1942"/>
      <c r="AS1123" s="1942"/>
      <c r="AT1123" s="1942"/>
      <c r="AU1123" s="1942"/>
      <c r="AV1123" s="1942"/>
      <c r="AW1123" s="1942"/>
      <c r="AX1123" s="1942"/>
      <c r="AY1123" s="1942"/>
      <c r="AZ1123" s="1942"/>
      <c r="BA1123" s="1942"/>
      <c r="BB1123" s="575"/>
      <c r="BC1123" s="576"/>
      <c r="BD1123" s="678"/>
    </row>
    <row r="1124" spans="1:56" s="51" customFormat="1" hidden="1" outlineLevel="1" x14ac:dyDescent="0.25">
      <c r="A1124" s="1267"/>
      <c r="B1124" s="228"/>
      <c r="C1124" s="328"/>
      <c r="D1124" s="3990"/>
      <c r="E1124" s="3990"/>
      <c r="F1124" s="3419" t="str">
        <f t="shared" si="120"/>
        <v>Mini/MultiSplitASHP_ROF_SF</v>
      </c>
      <c r="G1124" s="3420"/>
      <c r="H1124" s="3421"/>
      <c r="I1124" s="3411" t="str">
        <f t="shared" si="121"/>
        <v>351350_2021_12_</v>
      </c>
      <c r="J1124" s="772">
        <v>18</v>
      </c>
      <c r="K1124" s="762"/>
      <c r="L1124" s="749"/>
      <c r="M1124" s="1570"/>
      <c r="N1124" s="1556"/>
      <c r="O1124" s="228"/>
      <c r="P1124" s="228"/>
      <c r="Q1124" s="228"/>
      <c r="R1124" s="228"/>
      <c r="S1124" s="228"/>
      <c r="T1124" s="123"/>
      <c r="U1124" s="123"/>
      <c r="V1124" s="3990"/>
      <c r="W1124" s="772">
        <v>18</v>
      </c>
      <c r="X1124" s="772">
        <v>18</v>
      </c>
      <c r="Y1124" s="772">
        <v>18</v>
      </c>
      <c r="Z1124" s="772">
        <v>18</v>
      </c>
      <c r="AA1124" s="772">
        <v>18</v>
      </c>
      <c r="AB1124" s="772">
        <v>18</v>
      </c>
      <c r="AC1124" s="772">
        <v>18</v>
      </c>
      <c r="AD1124" s="761"/>
      <c r="AE1124" s="761"/>
      <c r="AF1124" s="761"/>
      <c r="AG1124" s="763"/>
      <c r="AH1124" s="1942"/>
      <c r="AI1124" s="1942"/>
      <c r="AJ1124" s="1942"/>
      <c r="AK1124" s="1942"/>
      <c r="AL1124" s="1942"/>
      <c r="AM1124" s="1942"/>
      <c r="AN1124" s="1942"/>
      <c r="AO1124" s="1942"/>
      <c r="AP1124" s="1942"/>
      <c r="AQ1124" s="1942"/>
      <c r="AR1124" s="1942"/>
      <c r="AS1124" s="1942"/>
      <c r="AT1124" s="1942"/>
      <c r="AU1124" s="1942"/>
      <c r="AV1124" s="1942"/>
      <c r="AW1124" s="1942"/>
      <c r="AX1124" s="1942"/>
      <c r="AY1124" s="1942"/>
      <c r="AZ1124" s="1942"/>
      <c r="BA1124" s="1942"/>
      <c r="BB1124" s="575"/>
      <c r="BC1124" s="576"/>
      <c r="BD1124" s="678"/>
    </row>
    <row r="1125" spans="1:56" s="51" customFormat="1" hidden="1" outlineLevel="1" x14ac:dyDescent="0.25">
      <c r="A1125" s="1267"/>
      <c r="B1125" s="228"/>
      <c r="C1125" s="328"/>
      <c r="D1125" s="3990"/>
      <c r="E1125" s="3990"/>
      <c r="F1125" s="3422" t="str">
        <f t="shared" si="120"/>
        <v>Mini/MultiSplitASHP-Replace_CAC_ElectricHeat_ER1_SF</v>
      </c>
      <c r="G1125" s="3423"/>
      <c r="H1125" s="3424"/>
      <c r="I1125" s="3411" t="str">
        <f t="shared" si="121"/>
        <v>351400_2021_12_</v>
      </c>
      <c r="J1125" s="772">
        <v>6</v>
      </c>
      <c r="K1125" s="762"/>
      <c r="L1125" s="749"/>
      <c r="M1125" s="1570"/>
      <c r="N1125" s="1556"/>
      <c r="O1125" s="228"/>
      <c r="P1125" s="228"/>
      <c r="Q1125" s="228"/>
      <c r="R1125" s="228"/>
      <c r="S1125" s="228"/>
      <c r="T1125" s="123"/>
      <c r="U1125" s="123"/>
      <c r="V1125" s="3990"/>
      <c r="W1125" s="772">
        <v>6</v>
      </c>
      <c r="X1125" s="772">
        <v>6</v>
      </c>
      <c r="Y1125" s="772">
        <v>6</v>
      </c>
      <c r="Z1125" s="772">
        <v>6</v>
      </c>
      <c r="AA1125" s="772">
        <v>6</v>
      </c>
      <c r="AB1125" s="772">
        <v>6</v>
      </c>
      <c r="AC1125" s="772">
        <v>6</v>
      </c>
      <c r="AD1125" s="761"/>
      <c r="AE1125" s="761"/>
      <c r="AF1125" s="761"/>
      <c r="AG1125" s="763"/>
      <c r="AH1125" s="1942"/>
      <c r="AI1125" s="1942"/>
      <c r="AJ1125" s="1942"/>
      <c r="AK1125" s="1942"/>
      <c r="AL1125" s="1942"/>
      <c r="AM1125" s="1942"/>
      <c r="AN1125" s="1942"/>
      <c r="AO1125" s="1942"/>
      <c r="AP1125" s="1942"/>
      <c r="AQ1125" s="1942"/>
      <c r="AR1125" s="1942"/>
      <c r="AS1125" s="1942"/>
      <c r="AT1125" s="1942"/>
      <c r="AU1125" s="1942"/>
      <c r="AV1125" s="1942"/>
      <c r="AW1125" s="1942"/>
      <c r="AX1125" s="1942"/>
      <c r="AY1125" s="1942"/>
      <c r="AZ1125" s="1942"/>
      <c r="BA1125" s="1942"/>
      <c r="BB1125" s="575"/>
      <c r="BC1125" s="576"/>
      <c r="BD1125" s="678"/>
    </row>
    <row r="1126" spans="1:56" s="51" customFormat="1" hidden="1" outlineLevel="1" x14ac:dyDescent="0.25">
      <c r="A1126" s="1267"/>
      <c r="B1126" s="228"/>
      <c r="C1126" s="328"/>
      <c r="D1126" s="3990"/>
      <c r="E1126" s="3990"/>
      <c r="F1126" s="3416" t="str">
        <f t="shared" si="120"/>
        <v>Mini/MultiSplitASHP-Replace_CAC_ElectricHeat_ER1_SF</v>
      </c>
      <c r="G1126" s="3417"/>
      <c r="H1126" s="3418"/>
      <c r="I1126" s="3411" t="str">
        <f t="shared" si="121"/>
        <v>351400_2021_12_</v>
      </c>
      <c r="J1126" s="772">
        <v>6</v>
      </c>
      <c r="K1126" s="762"/>
      <c r="L1126" s="749"/>
      <c r="M1126" s="1570"/>
      <c r="N1126" s="1556"/>
      <c r="O1126" s="228"/>
      <c r="P1126" s="228"/>
      <c r="Q1126" s="228"/>
      <c r="R1126" s="228"/>
      <c r="S1126" s="228"/>
      <c r="T1126" s="123"/>
      <c r="U1126" s="123"/>
      <c r="V1126" s="3990"/>
      <c r="W1126" s="772">
        <v>6</v>
      </c>
      <c r="X1126" s="772">
        <v>6</v>
      </c>
      <c r="Y1126" s="772">
        <v>6</v>
      </c>
      <c r="Z1126" s="772">
        <v>6</v>
      </c>
      <c r="AA1126" s="772">
        <v>6</v>
      </c>
      <c r="AB1126" s="772">
        <v>6</v>
      </c>
      <c r="AC1126" s="772">
        <v>6</v>
      </c>
      <c r="AD1126" s="761"/>
      <c r="AE1126" s="761"/>
      <c r="AF1126" s="761"/>
      <c r="AG1126" s="763"/>
      <c r="AH1126" s="1942"/>
      <c r="AI1126" s="1942"/>
      <c r="AJ1126" s="1942"/>
      <c r="AK1126" s="1942"/>
      <c r="AL1126" s="1942"/>
      <c r="AM1126" s="1942"/>
      <c r="AN1126" s="1942"/>
      <c r="AO1126" s="1942"/>
      <c r="AP1126" s="1942"/>
      <c r="AQ1126" s="1942"/>
      <c r="AR1126" s="1942"/>
      <c r="AS1126" s="1942"/>
      <c r="AT1126" s="1942"/>
      <c r="AU1126" s="1942"/>
      <c r="AV1126" s="1942"/>
      <c r="AW1126" s="1942"/>
      <c r="AX1126" s="1942"/>
      <c r="AY1126" s="1942"/>
      <c r="AZ1126" s="1942"/>
      <c r="BA1126" s="1942"/>
      <c r="BB1126" s="575"/>
      <c r="BC1126" s="576"/>
      <c r="BD1126" s="678"/>
    </row>
    <row r="1127" spans="1:56" s="51" customFormat="1" hidden="1" outlineLevel="1" x14ac:dyDescent="0.25">
      <c r="A1127" s="1267"/>
      <c r="B1127" s="228"/>
      <c r="C1127" s="328"/>
      <c r="D1127" s="3990"/>
      <c r="E1127" s="3990"/>
      <c r="F1127" s="3416" t="str">
        <f t="shared" si="120"/>
        <v>Mini/MultiSplitASHP-Replace_CAC_ElectricHeat_ER2_SF</v>
      </c>
      <c r="G1127" s="3417"/>
      <c r="H1127" s="3418"/>
      <c r="I1127" s="3411" t="str">
        <f t="shared" si="121"/>
        <v>351400_2021_12_</v>
      </c>
      <c r="J1127" s="772">
        <v>12</v>
      </c>
      <c r="K1127" s="762"/>
      <c r="L1127" s="749"/>
      <c r="M1127" s="1570"/>
      <c r="N1127" s="1556"/>
      <c r="O1127" s="228"/>
      <c r="P1127" s="228"/>
      <c r="Q1127" s="228"/>
      <c r="R1127" s="228"/>
      <c r="S1127" s="228"/>
      <c r="T1127" s="123"/>
      <c r="U1127" s="123"/>
      <c r="V1127" s="3990"/>
      <c r="W1127" s="772">
        <v>12</v>
      </c>
      <c r="X1127" s="772">
        <v>12</v>
      </c>
      <c r="Y1127" s="772">
        <v>12</v>
      </c>
      <c r="Z1127" s="772">
        <v>12</v>
      </c>
      <c r="AA1127" s="772">
        <v>12</v>
      </c>
      <c r="AB1127" s="772">
        <v>12</v>
      </c>
      <c r="AC1127" s="772">
        <v>12</v>
      </c>
      <c r="AD1127" s="761"/>
      <c r="AE1127" s="761"/>
      <c r="AF1127" s="761"/>
      <c r="AG1127" s="763"/>
      <c r="AH1127" s="1942"/>
      <c r="AI1127" s="1942"/>
      <c r="AJ1127" s="1942"/>
      <c r="AK1127" s="1942"/>
      <c r="AL1127" s="1942"/>
      <c r="AM1127" s="1942"/>
      <c r="AN1127" s="1942"/>
      <c r="AO1127" s="1942"/>
      <c r="AP1127" s="1942"/>
      <c r="AQ1127" s="1942"/>
      <c r="AR1127" s="1942"/>
      <c r="AS1127" s="1942"/>
      <c r="AT1127" s="1942"/>
      <c r="AU1127" s="1942"/>
      <c r="AV1127" s="1942"/>
      <c r="AW1127" s="1942"/>
      <c r="AX1127" s="1942"/>
      <c r="AY1127" s="1942"/>
      <c r="AZ1127" s="1942"/>
      <c r="BA1127" s="1942"/>
      <c r="BB1127" s="575"/>
      <c r="BC1127" s="576"/>
      <c r="BD1127" s="678"/>
    </row>
    <row r="1128" spans="1:56" s="51" customFormat="1" hidden="1" outlineLevel="1" x14ac:dyDescent="0.25">
      <c r="A1128" s="1267"/>
      <c r="B1128" s="228"/>
      <c r="C1128" s="328"/>
      <c r="D1128" s="3990"/>
      <c r="E1128" s="3990"/>
      <c r="F1128" s="3419" t="str">
        <f t="shared" si="120"/>
        <v>Mini/MultiSplitASHP-Replace_CAC_ElectricHeat_ER2_SF</v>
      </c>
      <c r="G1128" s="3420"/>
      <c r="H1128" s="3421"/>
      <c r="I1128" s="3411" t="str">
        <f t="shared" si="121"/>
        <v>351400_2021_12_</v>
      </c>
      <c r="J1128" s="772">
        <v>12</v>
      </c>
      <c r="K1128" s="762"/>
      <c r="L1128" s="749"/>
      <c r="M1128" s="1570"/>
      <c r="N1128" s="1556"/>
      <c r="O1128" s="228"/>
      <c r="P1128" s="228"/>
      <c r="Q1128" s="228"/>
      <c r="R1128" s="228"/>
      <c r="S1128" s="228"/>
      <c r="T1128" s="123"/>
      <c r="U1128" s="123"/>
      <c r="V1128" s="3990"/>
      <c r="W1128" s="772">
        <v>12</v>
      </c>
      <c r="X1128" s="772">
        <v>12</v>
      </c>
      <c r="Y1128" s="772">
        <v>12</v>
      </c>
      <c r="Z1128" s="772">
        <v>12</v>
      </c>
      <c r="AA1128" s="772">
        <v>12</v>
      </c>
      <c r="AB1128" s="772">
        <v>12</v>
      </c>
      <c r="AC1128" s="772">
        <v>12</v>
      </c>
      <c r="AD1128" s="761"/>
      <c r="AE1128" s="761"/>
      <c r="AF1128" s="761"/>
      <c r="AG1128" s="763"/>
      <c r="AH1128" s="1942"/>
      <c r="AI1128" s="1942"/>
      <c r="AJ1128" s="1942"/>
      <c r="AK1128" s="1942"/>
      <c r="AL1128" s="1942"/>
      <c r="AM1128" s="1942"/>
      <c r="AN1128" s="1942"/>
      <c r="AO1128" s="1942"/>
      <c r="AP1128" s="1942"/>
      <c r="AQ1128" s="1942"/>
      <c r="AR1128" s="1942"/>
      <c r="AS1128" s="1942"/>
      <c r="AT1128" s="1942"/>
      <c r="AU1128" s="1942"/>
      <c r="AV1128" s="1942"/>
      <c r="AW1128" s="1942"/>
      <c r="AX1128" s="1942"/>
      <c r="AY1128" s="1942"/>
      <c r="AZ1128" s="1942"/>
      <c r="BA1128" s="1942"/>
      <c r="BB1128" s="575"/>
      <c r="BC1128" s="576"/>
      <c r="BD1128" s="678"/>
    </row>
    <row r="1129" spans="1:56" s="51" customFormat="1" hidden="1" outlineLevel="1" x14ac:dyDescent="0.25">
      <c r="A1129" s="1267"/>
      <c r="B1129" s="228"/>
      <c r="C1129" s="328"/>
      <c r="D1129" s="3990"/>
      <c r="E1129" s="3990"/>
      <c r="F1129" s="3422" t="str">
        <f t="shared" si="120"/>
        <v>Mini/MultiSplitASHP-Replace_CAC_ElectricHeat_ROF_SF</v>
      </c>
      <c r="G1129" s="3423"/>
      <c r="H1129" s="3424"/>
      <c r="I1129" s="3411" t="str">
        <f t="shared" si="121"/>
        <v>351450_2021_12_</v>
      </c>
      <c r="J1129" s="772">
        <v>18</v>
      </c>
      <c r="K1129" s="762"/>
      <c r="L1129" s="749"/>
      <c r="M1129" s="1570"/>
      <c r="N1129" s="1556"/>
      <c r="O1129" s="228"/>
      <c r="P1129" s="228"/>
      <c r="Q1129" s="228"/>
      <c r="R1129" s="228"/>
      <c r="S1129" s="228"/>
      <c r="T1129" s="123"/>
      <c r="U1129" s="123"/>
      <c r="V1129" s="3990"/>
      <c r="W1129" s="772">
        <v>18</v>
      </c>
      <c r="X1129" s="772">
        <v>18</v>
      </c>
      <c r="Y1129" s="772">
        <v>18</v>
      </c>
      <c r="Z1129" s="772">
        <v>18</v>
      </c>
      <c r="AA1129" s="772">
        <v>18</v>
      </c>
      <c r="AB1129" s="772">
        <v>18</v>
      </c>
      <c r="AC1129" s="772">
        <v>18</v>
      </c>
      <c r="AD1129" s="761"/>
      <c r="AE1129" s="761"/>
      <c r="AF1129" s="761"/>
      <c r="AG1129" s="763"/>
      <c r="AH1129" s="1942"/>
      <c r="AI1129" s="1942"/>
      <c r="AJ1129" s="1942"/>
      <c r="AK1129" s="1942"/>
      <c r="AL1129" s="1942"/>
      <c r="AM1129" s="1942"/>
      <c r="AN1129" s="1942"/>
      <c r="AO1129" s="1942"/>
      <c r="AP1129" s="1942"/>
      <c r="AQ1129" s="1942"/>
      <c r="AR1129" s="1942"/>
      <c r="AS1129" s="1942"/>
      <c r="AT1129" s="1942"/>
      <c r="AU1129" s="1942"/>
      <c r="AV1129" s="1942"/>
      <c r="AW1129" s="1942"/>
      <c r="AX1129" s="1942"/>
      <c r="AY1129" s="1942"/>
      <c r="AZ1129" s="1942"/>
      <c r="BA1129" s="1942"/>
      <c r="BB1129" s="575"/>
      <c r="BC1129" s="576"/>
      <c r="BD1129" s="678"/>
    </row>
    <row r="1130" spans="1:56" s="51" customFormat="1" hidden="1" outlineLevel="1" x14ac:dyDescent="0.25">
      <c r="A1130" s="1267"/>
      <c r="B1130" s="228"/>
      <c r="C1130" s="328"/>
      <c r="D1130" s="3990"/>
      <c r="E1130" s="3990"/>
      <c r="F1130" s="3419" t="str">
        <f t="shared" si="120"/>
        <v>Mini/MultiSplitASHP-Replace_CAC_ElectricHeat_ROF_SF</v>
      </c>
      <c r="G1130" s="3420"/>
      <c r="H1130" s="3421"/>
      <c r="I1130" s="3411" t="str">
        <f t="shared" si="121"/>
        <v>351450_2021_12_</v>
      </c>
      <c r="J1130" s="772">
        <v>18</v>
      </c>
      <c r="K1130" s="762"/>
      <c r="L1130" s="749"/>
      <c r="M1130" s="1570"/>
      <c r="N1130" s="1556"/>
      <c r="O1130" s="228"/>
      <c r="P1130" s="228"/>
      <c r="Q1130" s="228"/>
      <c r="R1130" s="228"/>
      <c r="S1130" s="228"/>
      <c r="T1130" s="123"/>
      <c r="U1130" s="123"/>
      <c r="V1130" s="3990"/>
      <c r="W1130" s="772">
        <v>18</v>
      </c>
      <c r="X1130" s="772">
        <v>18</v>
      </c>
      <c r="Y1130" s="772">
        <v>18</v>
      </c>
      <c r="Z1130" s="772">
        <v>18</v>
      </c>
      <c r="AA1130" s="772">
        <v>18</v>
      </c>
      <c r="AB1130" s="772">
        <v>18</v>
      </c>
      <c r="AC1130" s="772">
        <v>18</v>
      </c>
      <c r="AD1130" s="761"/>
      <c r="AE1130" s="761"/>
      <c r="AF1130" s="761"/>
      <c r="AG1130" s="763"/>
      <c r="AH1130" s="1942"/>
      <c r="AI1130" s="1942"/>
      <c r="AJ1130" s="1942"/>
      <c r="AK1130" s="1942"/>
      <c r="AL1130" s="1942"/>
      <c r="AM1130" s="1942"/>
      <c r="AN1130" s="1942"/>
      <c r="AO1130" s="1942"/>
      <c r="AP1130" s="1942"/>
      <c r="AQ1130" s="1942"/>
      <c r="AR1130" s="1942"/>
      <c r="AS1130" s="1942"/>
      <c r="AT1130" s="1942"/>
      <c r="AU1130" s="1942"/>
      <c r="AV1130" s="1942"/>
      <c r="AW1130" s="1942"/>
      <c r="AX1130" s="1942"/>
      <c r="AY1130" s="1942"/>
      <c r="AZ1130" s="1942"/>
      <c r="BA1130" s="1942"/>
      <c r="BB1130" s="575"/>
      <c r="BC1130" s="576"/>
      <c r="BD1130" s="678"/>
    </row>
    <row r="1131" spans="1:56" s="51" customFormat="1" hidden="1" outlineLevel="1" x14ac:dyDescent="0.25">
      <c r="A1131" s="1267"/>
      <c r="B1131" s="228"/>
      <c r="C1131" s="328"/>
      <c r="D1131" s="3990"/>
      <c r="E1131" s="3990"/>
      <c r="F1131" s="3422" t="str">
        <f t="shared" si="120"/>
        <v>Mini/MultiSplitASHP_ER1_SF</v>
      </c>
      <c r="G1131" s="3423"/>
      <c r="H1131" s="3424"/>
      <c r="I1131" s="3411" t="str">
        <f t="shared" si="121"/>
        <v>351500_2021_12_</v>
      </c>
      <c r="J1131" s="772">
        <v>6</v>
      </c>
      <c r="K1131" s="762"/>
      <c r="L1131" s="749"/>
      <c r="M1131" s="1570"/>
      <c r="N1131" s="1556"/>
      <c r="O1131" s="228"/>
      <c r="P1131" s="228"/>
      <c r="Q1131" s="228"/>
      <c r="R1131" s="228"/>
      <c r="S1131" s="228"/>
      <c r="T1131" s="123"/>
      <c r="U1131" s="123"/>
      <c r="V1131" s="3990"/>
      <c r="W1131" s="772">
        <v>6</v>
      </c>
      <c r="X1131" s="772">
        <v>6</v>
      </c>
      <c r="Y1131" s="772">
        <v>6</v>
      </c>
      <c r="Z1131" s="772">
        <v>6</v>
      </c>
      <c r="AA1131" s="772">
        <v>6</v>
      </c>
      <c r="AB1131" s="772">
        <v>6</v>
      </c>
      <c r="AC1131" s="772">
        <v>6</v>
      </c>
      <c r="AD1131" s="761"/>
      <c r="AE1131" s="761"/>
      <c r="AF1131" s="761"/>
      <c r="AG1131" s="763"/>
      <c r="AH1131" s="1942"/>
      <c r="AI1131" s="1942"/>
      <c r="AJ1131" s="1942"/>
      <c r="AK1131" s="1942"/>
      <c r="AL1131" s="1942"/>
      <c r="AM1131" s="1942"/>
      <c r="AN1131" s="1942"/>
      <c r="AO1131" s="1942"/>
      <c r="AP1131" s="1942"/>
      <c r="AQ1131" s="1942"/>
      <c r="AR1131" s="1942"/>
      <c r="AS1131" s="1942"/>
      <c r="AT1131" s="1942"/>
      <c r="AU1131" s="1942"/>
      <c r="AV1131" s="1942"/>
      <c r="AW1131" s="1942"/>
      <c r="AX1131" s="1942"/>
      <c r="AY1131" s="1942"/>
      <c r="AZ1131" s="1942"/>
      <c r="BA1131" s="1942"/>
      <c r="BB1131" s="575"/>
      <c r="BC1131" s="576"/>
      <c r="BD1131" s="678"/>
    </row>
    <row r="1132" spans="1:56" s="51" customFormat="1" hidden="1" outlineLevel="1" x14ac:dyDescent="0.25">
      <c r="A1132" s="1267"/>
      <c r="B1132" s="228"/>
      <c r="C1132" s="328"/>
      <c r="D1132" s="3990"/>
      <c r="E1132" s="3990"/>
      <c r="F1132" s="3416" t="str">
        <f t="shared" si="120"/>
        <v>Mini/MultiSplitASHP_ER1_SF</v>
      </c>
      <c r="G1132" s="3417"/>
      <c r="H1132" s="3418"/>
      <c r="I1132" s="3411" t="str">
        <f t="shared" si="121"/>
        <v>351500_2021_12_</v>
      </c>
      <c r="J1132" s="772">
        <v>6</v>
      </c>
      <c r="K1132" s="762"/>
      <c r="L1132" s="749"/>
      <c r="M1132" s="1570"/>
      <c r="N1132" s="1556"/>
      <c r="O1132" s="228"/>
      <c r="P1132" s="228"/>
      <c r="Q1132" s="228"/>
      <c r="R1132" s="228"/>
      <c r="S1132" s="228"/>
      <c r="T1132" s="123"/>
      <c r="U1132" s="123"/>
      <c r="V1132" s="3990"/>
      <c r="W1132" s="772">
        <v>6</v>
      </c>
      <c r="X1132" s="772">
        <v>6</v>
      </c>
      <c r="Y1132" s="772">
        <v>6</v>
      </c>
      <c r="Z1132" s="772">
        <v>6</v>
      </c>
      <c r="AA1132" s="772">
        <v>6</v>
      </c>
      <c r="AB1132" s="772">
        <v>6</v>
      </c>
      <c r="AC1132" s="772">
        <v>6</v>
      </c>
      <c r="AD1132" s="761"/>
      <c r="AE1132" s="761"/>
      <c r="AF1132" s="761"/>
      <c r="AG1132" s="763"/>
      <c r="AH1132" s="1942"/>
      <c r="AI1132" s="1942"/>
      <c r="AJ1132" s="1942"/>
      <c r="AK1132" s="1942"/>
      <c r="AL1132" s="1942"/>
      <c r="AM1132" s="1942"/>
      <c r="AN1132" s="1942"/>
      <c r="AO1132" s="1942"/>
      <c r="AP1132" s="1942"/>
      <c r="AQ1132" s="1942"/>
      <c r="AR1132" s="1942"/>
      <c r="AS1132" s="1942"/>
      <c r="AT1132" s="1942"/>
      <c r="AU1132" s="1942"/>
      <c r="AV1132" s="1942"/>
      <c r="AW1132" s="1942"/>
      <c r="AX1132" s="1942"/>
      <c r="AY1132" s="1942"/>
      <c r="AZ1132" s="1942"/>
      <c r="BA1132" s="1942"/>
      <c r="BB1132" s="575"/>
      <c r="BC1132" s="576"/>
      <c r="BD1132" s="678"/>
    </row>
    <row r="1133" spans="1:56" s="51" customFormat="1" hidden="1" outlineLevel="1" x14ac:dyDescent="0.25">
      <c r="A1133" s="1267"/>
      <c r="B1133" s="228"/>
      <c r="C1133" s="328"/>
      <c r="D1133" s="3990"/>
      <c r="E1133" s="3990"/>
      <c r="F1133" s="3416" t="str">
        <f t="shared" si="120"/>
        <v>Mini/MultiSplitASHP_ER2_SF</v>
      </c>
      <c r="G1133" s="3417"/>
      <c r="H1133" s="3418"/>
      <c r="I1133" s="3411" t="str">
        <f t="shared" si="121"/>
        <v>351500_2021_12_</v>
      </c>
      <c r="J1133" s="772">
        <v>12</v>
      </c>
      <c r="K1133" s="762"/>
      <c r="L1133" s="749"/>
      <c r="M1133" s="1570"/>
      <c r="N1133" s="1556"/>
      <c r="O1133" s="228"/>
      <c r="P1133" s="228"/>
      <c r="Q1133" s="228"/>
      <c r="R1133" s="228"/>
      <c r="S1133" s="228"/>
      <c r="T1133" s="123"/>
      <c r="U1133" s="123"/>
      <c r="V1133" s="3990"/>
      <c r="W1133" s="772">
        <v>12</v>
      </c>
      <c r="X1133" s="772">
        <v>12</v>
      </c>
      <c r="Y1133" s="772">
        <v>12</v>
      </c>
      <c r="Z1133" s="772">
        <v>12</v>
      </c>
      <c r="AA1133" s="772">
        <v>12</v>
      </c>
      <c r="AB1133" s="772">
        <v>12</v>
      </c>
      <c r="AC1133" s="772">
        <v>12</v>
      </c>
      <c r="AD1133" s="761"/>
      <c r="AE1133" s="761"/>
      <c r="AF1133" s="761"/>
      <c r="AG1133" s="763"/>
      <c r="AH1133" s="1942"/>
      <c r="AI1133" s="1942"/>
      <c r="AJ1133" s="1942"/>
      <c r="AK1133" s="1942"/>
      <c r="AL1133" s="1942"/>
      <c r="AM1133" s="1942"/>
      <c r="AN1133" s="1942"/>
      <c r="AO1133" s="1942"/>
      <c r="AP1133" s="1942"/>
      <c r="AQ1133" s="1942"/>
      <c r="AR1133" s="1942"/>
      <c r="AS1133" s="1942"/>
      <c r="AT1133" s="1942"/>
      <c r="AU1133" s="1942"/>
      <c r="AV1133" s="1942"/>
      <c r="AW1133" s="1942"/>
      <c r="AX1133" s="1942"/>
      <c r="AY1133" s="1942"/>
      <c r="AZ1133" s="1942"/>
      <c r="BA1133" s="1942"/>
      <c r="BB1133" s="575"/>
      <c r="BC1133" s="576"/>
      <c r="BD1133" s="678"/>
    </row>
    <row r="1134" spans="1:56" s="51" customFormat="1" hidden="1" outlineLevel="1" x14ac:dyDescent="0.25">
      <c r="A1134" s="1267"/>
      <c r="B1134" s="228"/>
      <c r="C1134" s="328"/>
      <c r="D1134" s="3990"/>
      <c r="E1134" s="3990"/>
      <c r="F1134" s="3419" t="str">
        <f t="shared" si="120"/>
        <v>Mini/MultiSplitASHP_ER2_SF</v>
      </c>
      <c r="G1134" s="3420"/>
      <c r="H1134" s="3421"/>
      <c r="I1134" s="3411" t="str">
        <f t="shared" si="121"/>
        <v>351500_2021_12_</v>
      </c>
      <c r="J1134" s="772">
        <v>12</v>
      </c>
      <c r="K1134" s="762"/>
      <c r="L1134" s="749"/>
      <c r="M1134" s="1570"/>
      <c r="N1134" s="1556"/>
      <c r="O1134" s="228"/>
      <c r="P1134" s="228"/>
      <c r="Q1134" s="228"/>
      <c r="R1134" s="228"/>
      <c r="S1134" s="228"/>
      <c r="T1134" s="123"/>
      <c r="U1134" s="123"/>
      <c r="V1134" s="3990"/>
      <c r="W1134" s="772">
        <v>12</v>
      </c>
      <c r="X1134" s="772">
        <v>12</v>
      </c>
      <c r="Y1134" s="772">
        <v>12</v>
      </c>
      <c r="Z1134" s="772">
        <v>12</v>
      </c>
      <c r="AA1134" s="772">
        <v>12</v>
      </c>
      <c r="AB1134" s="772">
        <v>12</v>
      </c>
      <c r="AC1134" s="772">
        <v>12</v>
      </c>
      <c r="AD1134" s="761"/>
      <c r="AE1134" s="761"/>
      <c r="AF1134" s="761"/>
      <c r="AG1134" s="763"/>
      <c r="AH1134" s="1942"/>
      <c r="AI1134" s="1942"/>
      <c r="AJ1134" s="1942"/>
      <c r="AK1134" s="1942"/>
      <c r="AL1134" s="1942"/>
      <c r="AM1134" s="1942"/>
      <c r="AN1134" s="1942"/>
      <c r="AO1134" s="1942"/>
      <c r="AP1134" s="1942"/>
      <c r="AQ1134" s="1942"/>
      <c r="AR1134" s="1942"/>
      <c r="AS1134" s="1942"/>
      <c r="AT1134" s="1942"/>
      <c r="AU1134" s="1942"/>
      <c r="AV1134" s="1942"/>
      <c r="AW1134" s="1942"/>
      <c r="AX1134" s="1942"/>
      <c r="AY1134" s="1942"/>
      <c r="AZ1134" s="1942"/>
      <c r="BA1134" s="1942"/>
      <c r="BB1134" s="575"/>
      <c r="BC1134" s="576"/>
      <c r="BD1134" s="678"/>
    </row>
    <row r="1135" spans="1:56" s="51" customFormat="1" hidden="1" outlineLevel="1" x14ac:dyDescent="0.25">
      <c r="A1135" s="1267"/>
      <c r="B1135" s="228"/>
      <c r="C1135" s="328"/>
      <c r="D1135" s="3990"/>
      <c r="E1135" s="3990"/>
      <c r="F1135" s="3422" t="str">
        <f t="shared" si="120"/>
        <v>Mini/MultiSplitAC_ER1_MF</v>
      </c>
      <c r="G1135" s="3423"/>
      <c r="H1135" s="3424"/>
      <c r="I1135" s="3411" t="str">
        <f t="shared" si="121"/>
        <v>351550_2021_12_</v>
      </c>
      <c r="J1135" s="772">
        <v>6</v>
      </c>
      <c r="K1135" s="762"/>
      <c r="L1135" s="749"/>
      <c r="M1135" s="1570"/>
      <c r="N1135" s="1556"/>
      <c r="O1135" s="228"/>
      <c r="P1135" s="228"/>
      <c r="Q1135" s="228"/>
      <c r="R1135" s="228"/>
      <c r="S1135" s="228"/>
      <c r="T1135" s="123"/>
      <c r="U1135" s="123"/>
      <c r="V1135" s="3990"/>
      <c r="W1135" s="772">
        <v>6</v>
      </c>
      <c r="X1135" s="772">
        <v>6</v>
      </c>
      <c r="Y1135" s="772">
        <v>6</v>
      </c>
      <c r="Z1135" s="772">
        <v>6</v>
      </c>
      <c r="AA1135" s="772">
        <v>6</v>
      </c>
      <c r="AB1135" s="772">
        <v>6</v>
      </c>
      <c r="AC1135" s="772">
        <v>6</v>
      </c>
      <c r="AD1135" s="761"/>
      <c r="AE1135" s="761"/>
      <c r="AF1135" s="761"/>
      <c r="AG1135" s="763"/>
      <c r="AH1135" s="1942"/>
      <c r="AI1135" s="1942"/>
      <c r="AJ1135" s="1942"/>
      <c r="AK1135" s="1942"/>
      <c r="AL1135" s="1942"/>
      <c r="AM1135" s="1942"/>
      <c r="AN1135" s="1942"/>
      <c r="AO1135" s="1942"/>
      <c r="AP1135" s="1942"/>
      <c r="AQ1135" s="1942"/>
      <c r="AR1135" s="1942"/>
      <c r="AS1135" s="1942"/>
      <c r="AT1135" s="1942"/>
      <c r="AU1135" s="1942"/>
      <c r="AV1135" s="1942"/>
      <c r="AW1135" s="1942"/>
      <c r="AX1135" s="1942"/>
      <c r="AY1135" s="1942"/>
      <c r="AZ1135" s="1942"/>
      <c r="BA1135" s="1942"/>
      <c r="BB1135" s="575"/>
      <c r="BC1135" s="576"/>
      <c r="BD1135" s="678"/>
    </row>
    <row r="1136" spans="1:56" s="51" customFormat="1" hidden="1" outlineLevel="1" x14ac:dyDescent="0.25">
      <c r="A1136" s="1267"/>
      <c r="B1136" s="228"/>
      <c r="C1136" s="328"/>
      <c r="D1136" s="3990"/>
      <c r="E1136" s="3990"/>
      <c r="F1136" s="3419" t="str">
        <f t="shared" si="120"/>
        <v>Mini/MultiSplitAC_ER2_MF</v>
      </c>
      <c r="G1136" s="3420"/>
      <c r="H1136" s="3421"/>
      <c r="I1136" s="3411" t="str">
        <f t="shared" si="121"/>
        <v>351550_2021_12_</v>
      </c>
      <c r="J1136" s="772">
        <v>12</v>
      </c>
      <c r="K1136" s="762"/>
      <c r="L1136" s="749"/>
      <c r="M1136" s="1570"/>
      <c r="N1136" s="1556"/>
      <c r="O1136" s="228"/>
      <c r="P1136" s="228"/>
      <c r="Q1136" s="228"/>
      <c r="R1136" s="228"/>
      <c r="S1136" s="228"/>
      <c r="T1136" s="123"/>
      <c r="U1136" s="123"/>
      <c r="V1136" s="3990"/>
      <c r="W1136" s="772">
        <v>12</v>
      </c>
      <c r="X1136" s="772">
        <v>12</v>
      </c>
      <c r="Y1136" s="772">
        <v>12</v>
      </c>
      <c r="Z1136" s="772">
        <v>12</v>
      </c>
      <c r="AA1136" s="772">
        <v>12</v>
      </c>
      <c r="AB1136" s="772">
        <v>12</v>
      </c>
      <c r="AC1136" s="772">
        <v>12</v>
      </c>
      <c r="AD1136" s="761"/>
      <c r="AE1136" s="761"/>
      <c r="AF1136" s="761"/>
      <c r="AG1136" s="763"/>
      <c r="AH1136" s="1942"/>
      <c r="AI1136" s="1942"/>
      <c r="AJ1136" s="1942"/>
      <c r="AK1136" s="1942"/>
      <c r="AL1136" s="1942"/>
      <c r="AM1136" s="1942"/>
      <c r="AN1136" s="1942"/>
      <c r="AO1136" s="1942"/>
      <c r="AP1136" s="1942"/>
      <c r="AQ1136" s="1942"/>
      <c r="AR1136" s="1942"/>
      <c r="AS1136" s="1942"/>
      <c r="AT1136" s="1942"/>
      <c r="AU1136" s="1942"/>
      <c r="AV1136" s="1942"/>
      <c r="AW1136" s="1942"/>
      <c r="AX1136" s="1942"/>
      <c r="AY1136" s="1942"/>
      <c r="AZ1136" s="1942"/>
      <c r="BA1136" s="1942"/>
      <c r="BB1136" s="575"/>
      <c r="BC1136" s="576"/>
      <c r="BD1136" s="678"/>
    </row>
    <row r="1137" spans="1:56" s="51" customFormat="1" hidden="1" outlineLevel="1" x14ac:dyDescent="0.25">
      <c r="A1137" s="1267"/>
      <c r="B1137" s="228"/>
      <c r="C1137" s="328"/>
      <c r="D1137" s="3990"/>
      <c r="E1137" s="3990"/>
      <c r="F1137" s="3425" t="str">
        <f t="shared" si="120"/>
        <v>Mini/MultiSplitAC_ROF_MF</v>
      </c>
      <c r="G1137" s="3426"/>
      <c r="H1137" s="3427"/>
      <c r="I1137" s="3411" t="str">
        <f t="shared" si="121"/>
        <v>351600_2021_12_</v>
      </c>
      <c r="J1137" s="772">
        <v>18</v>
      </c>
      <c r="K1137" s="762"/>
      <c r="L1137" s="749"/>
      <c r="M1137" s="1570"/>
      <c r="N1137" s="1556"/>
      <c r="O1137" s="228"/>
      <c r="P1137" s="228"/>
      <c r="Q1137" s="228"/>
      <c r="R1137" s="228"/>
      <c r="S1137" s="228"/>
      <c r="T1137" s="123"/>
      <c r="U1137" s="123"/>
      <c r="V1137" s="3990"/>
      <c r="W1137" s="772">
        <v>18</v>
      </c>
      <c r="X1137" s="772">
        <v>18</v>
      </c>
      <c r="Y1137" s="772">
        <v>18</v>
      </c>
      <c r="Z1137" s="772">
        <v>18</v>
      </c>
      <c r="AA1137" s="772">
        <v>18</v>
      </c>
      <c r="AB1137" s="772">
        <v>18</v>
      </c>
      <c r="AC1137" s="772">
        <v>18</v>
      </c>
      <c r="AD1137" s="761"/>
      <c r="AE1137" s="761"/>
      <c r="AF1137" s="761"/>
      <c r="AG1137" s="763"/>
      <c r="AH1137" s="1942"/>
      <c r="AI1137" s="1942"/>
      <c r="AJ1137" s="1942"/>
      <c r="AK1137" s="1942"/>
      <c r="AL1137" s="1942"/>
      <c r="AM1137" s="1942"/>
      <c r="AN1137" s="1942"/>
      <c r="AO1137" s="1942"/>
      <c r="AP1137" s="1942"/>
      <c r="AQ1137" s="1942"/>
      <c r="AR1137" s="1942"/>
      <c r="AS1137" s="1942"/>
      <c r="AT1137" s="1942"/>
      <c r="AU1137" s="1942"/>
      <c r="AV1137" s="1942"/>
      <c r="AW1137" s="1942"/>
      <c r="AX1137" s="1942"/>
      <c r="AY1137" s="1942"/>
      <c r="AZ1137" s="1942"/>
      <c r="BA1137" s="1942"/>
      <c r="BB1137" s="575"/>
      <c r="BC1137" s="576"/>
      <c r="BD1137" s="678"/>
    </row>
    <row r="1138" spans="1:56" s="51" customFormat="1" hidden="1" outlineLevel="1" x14ac:dyDescent="0.25">
      <c r="A1138" s="1267"/>
      <c r="B1138" s="228"/>
      <c r="C1138" s="328"/>
      <c r="D1138" s="3990"/>
      <c r="E1138" s="3990"/>
      <c r="F1138" s="3422" t="str">
        <f t="shared" si="120"/>
        <v>Mini/MultiSplitASHP_ROF_MF_NC</v>
      </c>
      <c r="G1138" s="3423"/>
      <c r="H1138" s="3424"/>
      <c r="I1138" s="3411" t="str">
        <f t="shared" si="121"/>
        <v>351650_2021_12_</v>
      </c>
      <c r="J1138" s="772">
        <v>18</v>
      </c>
      <c r="K1138" s="762"/>
      <c r="L1138" s="749"/>
      <c r="M1138" s="1570"/>
      <c r="N1138" s="1556"/>
      <c r="O1138" s="228"/>
      <c r="P1138" s="228"/>
      <c r="Q1138" s="228"/>
      <c r="R1138" s="228"/>
      <c r="S1138" s="228"/>
      <c r="T1138" s="123"/>
      <c r="U1138" s="123"/>
      <c r="V1138" s="3990"/>
      <c r="W1138" s="772">
        <v>18</v>
      </c>
      <c r="X1138" s="772">
        <v>18</v>
      </c>
      <c r="Y1138" s="772">
        <v>18</v>
      </c>
      <c r="Z1138" s="772">
        <v>18</v>
      </c>
      <c r="AA1138" s="772">
        <v>18</v>
      </c>
      <c r="AB1138" s="772">
        <v>18</v>
      </c>
      <c r="AC1138" s="772">
        <v>18</v>
      </c>
      <c r="AD1138" s="761"/>
      <c r="AE1138" s="761"/>
      <c r="AF1138" s="761"/>
      <c r="AG1138" s="763"/>
      <c r="AH1138" s="1942"/>
      <c r="AI1138" s="1942"/>
      <c r="AJ1138" s="1942"/>
      <c r="AK1138" s="1942"/>
      <c r="AL1138" s="1942"/>
      <c r="AM1138" s="1942"/>
      <c r="AN1138" s="1942"/>
      <c r="AO1138" s="1942"/>
      <c r="AP1138" s="1942"/>
      <c r="AQ1138" s="1942"/>
      <c r="AR1138" s="1942"/>
      <c r="AS1138" s="1942"/>
      <c r="AT1138" s="1942"/>
      <c r="AU1138" s="1942"/>
      <c r="AV1138" s="1942"/>
      <c r="AW1138" s="1942"/>
      <c r="AX1138" s="1942"/>
      <c r="AY1138" s="1942"/>
      <c r="AZ1138" s="1942"/>
      <c r="BA1138" s="1942"/>
      <c r="BB1138" s="575"/>
      <c r="BC1138" s="576"/>
      <c r="BD1138" s="678"/>
    </row>
    <row r="1139" spans="1:56" s="51" customFormat="1" hidden="1" outlineLevel="1" x14ac:dyDescent="0.25">
      <c r="A1139" s="1267"/>
      <c r="B1139" s="228"/>
      <c r="C1139" s="328"/>
      <c r="D1139" s="3990"/>
      <c r="E1139" s="3990"/>
      <c r="F1139" s="3419" t="str">
        <f t="shared" si="120"/>
        <v>Mini/MultiSplitASHP_ROF_MF_NC</v>
      </c>
      <c r="G1139" s="3420"/>
      <c r="H1139" s="3421"/>
      <c r="I1139" s="3411" t="str">
        <f t="shared" si="121"/>
        <v>351650_2021_12_</v>
      </c>
      <c r="J1139" s="772">
        <v>18</v>
      </c>
      <c r="K1139" s="762"/>
      <c r="L1139" s="749"/>
      <c r="M1139" s="1570"/>
      <c r="N1139" s="1556"/>
      <c r="O1139" s="228"/>
      <c r="P1139" s="228"/>
      <c r="Q1139" s="228"/>
      <c r="R1139" s="228"/>
      <c r="S1139" s="228"/>
      <c r="T1139" s="123"/>
      <c r="U1139" s="123"/>
      <c r="V1139" s="3990"/>
      <c r="W1139" s="772">
        <v>18</v>
      </c>
      <c r="X1139" s="772">
        <v>18</v>
      </c>
      <c r="Y1139" s="772">
        <v>18</v>
      </c>
      <c r="Z1139" s="772">
        <v>18</v>
      </c>
      <c r="AA1139" s="772">
        <v>18</v>
      </c>
      <c r="AB1139" s="772">
        <v>18</v>
      </c>
      <c r="AC1139" s="772">
        <v>18</v>
      </c>
      <c r="AD1139" s="761"/>
      <c r="AE1139" s="761"/>
      <c r="AF1139" s="761"/>
      <c r="AG1139" s="763"/>
      <c r="AH1139" s="1942"/>
      <c r="AI1139" s="1942"/>
      <c r="AJ1139" s="1942"/>
      <c r="AK1139" s="1942"/>
      <c r="AL1139" s="1942"/>
      <c r="AM1139" s="1942"/>
      <c r="AN1139" s="1942"/>
      <c r="AO1139" s="1942"/>
      <c r="AP1139" s="1942"/>
      <c r="AQ1139" s="1942"/>
      <c r="AR1139" s="1942"/>
      <c r="AS1139" s="1942"/>
      <c r="AT1139" s="1942"/>
      <c r="AU1139" s="1942"/>
      <c r="AV1139" s="1942"/>
      <c r="AW1139" s="1942"/>
      <c r="AX1139" s="1942"/>
      <c r="AY1139" s="1942"/>
      <c r="AZ1139" s="1942"/>
      <c r="BA1139" s="1942"/>
      <c r="BB1139" s="575"/>
      <c r="BC1139" s="576"/>
      <c r="BD1139" s="678"/>
    </row>
    <row r="1140" spans="1:56" s="51" customFormat="1" hidden="1" outlineLevel="1" x14ac:dyDescent="0.25">
      <c r="A1140" s="1267"/>
      <c r="B1140" s="228"/>
      <c r="C1140" s="328"/>
      <c r="D1140" s="3990"/>
      <c r="E1140" s="3990"/>
      <c r="F1140" s="3422" t="str">
        <f t="shared" si="120"/>
        <v>Mini/MultiSplitASHP_ROF_MF</v>
      </c>
      <c r="G1140" s="3423"/>
      <c r="H1140" s="3424"/>
      <c r="I1140" s="3411" t="str">
        <f t="shared" si="121"/>
        <v>351700_2021_12_</v>
      </c>
      <c r="J1140" s="772">
        <v>18</v>
      </c>
      <c r="K1140" s="762"/>
      <c r="L1140" s="749"/>
      <c r="M1140" s="1570"/>
      <c r="N1140" s="1556"/>
      <c r="O1140" s="228"/>
      <c r="P1140" s="228"/>
      <c r="Q1140" s="228"/>
      <c r="R1140" s="228"/>
      <c r="S1140" s="228"/>
      <c r="T1140" s="123"/>
      <c r="U1140" s="123"/>
      <c r="V1140" s="3990"/>
      <c r="W1140" s="772">
        <v>18</v>
      </c>
      <c r="X1140" s="772">
        <v>18</v>
      </c>
      <c r="Y1140" s="772">
        <v>18</v>
      </c>
      <c r="Z1140" s="772">
        <v>18</v>
      </c>
      <c r="AA1140" s="772">
        <v>18</v>
      </c>
      <c r="AB1140" s="772">
        <v>18</v>
      </c>
      <c r="AC1140" s="772">
        <v>18</v>
      </c>
      <c r="AD1140" s="761"/>
      <c r="AE1140" s="761"/>
      <c r="AF1140" s="761"/>
      <c r="AG1140" s="763"/>
      <c r="AH1140" s="1942"/>
      <c r="AI1140" s="1942"/>
      <c r="AJ1140" s="1942"/>
      <c r="AK1140" s="1942"/>
      <c r="AL1140" s="1942"/>
      <c r="AM1140" s="1942"/>
      <c r="AN1140" s="1942"/>
      <c r="AO1140" s="1942"/>
      <c r="AP1140" s="1942"/>
      <c r="AQ1140" s="1942"/>
      <c r="AR1140" s="1942"/>
      <c r="AS1140" s="1942"/>
      <c r="AT1140" s="1942"/>
      <c r="AU1140" s="1942"/>
      <c r="AV1140" s="1942"/>
      <c r="AW1140" s="1942"/>
      <c r="AX1140" s="1942"/>
      <c r="AY1140" s="1942"/>
      <c r="AZ1140" s="1942"/>
      <c r="BA1140" s="1942"/>
      <c r="BB1140" s="575"/>
      <c r="BC1140" s="576"/>
      <c r="BD1140" s="678"/>
    </row>
    <row r="1141" spans="1:56" s="51" customFormat="1" hidden="1" outlineLevel="1" x14ac:dyDescent="0.25">
      <c r="A1141" s="1267"/>
      <c r="B1141" s="228"/>
      <c r="C1141" s="328"/>
      <c r="D1141" s="3990"/>
      <c r="E1141" s="3990"/>
      <c r="F1141" s="3419" t="str">
        <f t="shared" si="120"/>
        <v>Mini/MultiSplitASHP_ROF_MF</v>
      </c>
      <c r="G1141" s="3420"/>
      <c r="H1141" s="3421"/>
      <c r="I1141" s="3411" t="str">
        <f t="shared" si="121"/>
        <v>351700_2021_12_</v>
      </c>
      <c r="J1141" s="772">
        <v>18</v>
      </c>
      <c r="K1141" s="762"/>
      <c r="L1141" s="749"/>
      <c r="M1141" s="1570"/>
      <c r="N1141" s="1556"/>
      <c r="O1141" s="228"/>
      <c r="P1141" s="228"/>
      <c r="Q1141" s="228"/>
      <c r="R1141" s="228"/>
      <c r="S1141" s="228"/>
      <c r="T1141" s="123"/>
      <c r="U1141" s="123"/>
      <c r="V1141" s="3990"/>
      <c r="W1141" s="772">
        <v>18</v>
      </c>
      <c r="X1141" s="772">
        <v>18</v>
      </c>
      <c r="Y1141" s="772">
        <v>18</v>
      </c>
      <c r="Z1141" s="772">
        <v>18</v>
      </c>
      <c r="AA1141" s="772">
        <v>18</v>
      </c>
      <c r="AB1141" s="772">
        <v>18</v>
      </c>
      <c r="AC1141" s="772">
        <v>18</v>
      </c>
      <c r="AD1141" s="761"/>
      <c r="AE1141" s="761"/>
      <c r="AF1141" s="761"/>
      <c r="AG1141" s="763"/>
      <c r="AH1141" s="1942"/>
      <c r="AI1141" s="1942"/>
      <c r="AJ1141" s="1942"/>
      <c r="AK1141" s="1942"/>
      <c r="AL1141" s="1942"/>
      <c r="AM1141" s="1942"/>
      <c r="AN1141" s="1942"/>
      <c r="AO1141" s="1942"/>
      <c r="AP1141" s="1942"/>
      <c r="AQ1141" s="1942"/>
      <c r="AR1141" s="1942"/>
      <c r="AS1141" s="1942"/>
      <c r="AT1141" s="1942"/>
      <c r="AU1141" s="1942"/>
      <c r="AV1141" s="1942"/>
      <c r="AW1141" s="1942"/>
      <c r="AX1141" s="1942"/>
      <c r="AY1141" s="1942"/>
      <c r="AZ1141" s="1942"/>
      <c r="BA1141" s="1942"/>
      <c r="BB1141" s="575"/>
      <c r="BC1141" s="576"/>
      <c r="BD1141" s="678"/>
    </row>
    <row r="1142" spans="1:56" s="51" customFormat="1" hidden="1" outlineLevel="1" x14ac:dyDescent="0.25">
      <c r="A1142" s="1267"/>
      <c r="B1142" s="228"/>
      <c r="C1142" s="328"/>
      <c r="D1142" s="3990"/>
      <c r="E1142" s="3990"/>
      <c r="F1142" s="3422" t="str">
        <f t="shared" si="120"/>
        <v>Mini/MultiSplitASHP-Replace_CAC_ElectricHeat_ER1_MF</v>
      </c>
      <c r="G1142" s="3423"/>
      <c r="H1142" s="3424"/>
      <c r="I1142" s="3411" t="str">
        <f t="shared" si="121"/>
        <v>351750_2021_12_</v>
      </c>
      <c r="J1142" s="772">
        <v>6</v>
      </c>
      <c r="K1142" s="762"/>
      <c r="L1142" s="749"/>
      <c r="M1142" s="1570"/>
      <c r="N1142" s="1556"/>
      <c r="O1142" s="228"/>
      <c r="P1142" s="228"/>
      <c r="Q1142" s="228"/>
      <c r="R1142" s="228"/>
      <c r="S1142" s="228"/>
      <c r="T1142" s="123"/>
      <c r="U1142" s="123"/>
      <c r="V1142" s="3990"/>
      <c r="W1142" s="772">
        <v>6</v>
      </c>
      <c r="X1142" s="772">
        <v>6</v>
      </c>
      <c r="Y1142" s="772">
        <v>6</v>
      </c>
      <c r="Z1142" s="772">
        <v>6</v>
      </c>
      <c r="AA1142" s="772">
        <v>6</v>
      </c>
      <c r="AB1142" s="772">
        <v>6</v>
      </c>
      <c r="AC1142" s="772">
        <v>6</v>
      </c>
      <c r="AD1142" s="761"/>
      <c r="AE1142" s="761"/>
      <c r="AF1142" s="761"/>
      <c r="AG1142" s="763"/>
      <c r="AH1142" s="1942"/>
      <c r="AI1142" s="1942"/>
      <c r="AJ1142" s="1942"/>
      <c r="AK1142" s="1942"/>
      <c r="AL1142" s="1942"/>
      <c r="AM1142" s="1942"/>
      <c r="AN1142" s="1942"/>
      <c r="AO1142" s="1942"/>
      <c r="AP1142" s="1942"/>
      <c r="AQ1142" s="1942"/>
      <c r="AR1142" s="1942"/>
      <c r="AS1142" s="1942"/>
      <c r="AT1142" s="1942"/>
      <c r="AU1142" s="1942"/>
      <c r="AV1142" s="1942"/>
      <c r="AW1142" s="1942"/>
      <c r="AX1142" s="1942"/>
      <c r="AY1142" s="1942"/>
      <c r="AZ1142" s="1942"/>
      <c r="BA1142" s="1942"/>
      <c r="BB1142" s="575"/>
      <c r="BC1142" s="576"/>
      <c r="BD1142" s="678"/>
    </row>
    <row r="1143" spans="1:56" s="51" customFormat="1" hidden="1" outlineLevel="1" x14ac:dyDescent="0.25">
      <c r="A1143" s="1267"/>
      <c r="B1143" s="228"/>
      <c r="C1143" s="328"/>
      <c r="D1143" s="3990"/>
      <c r="E1143" s="3990"/>
      <c r="F1143" s="3416" t="str">
        <f t="shared" si="120"/>
        <v>Mini/MultiSplitASHP-Replace_CAC_ElectricHeat_ER1_MF</v>
      </c>
      <c r="G1143" s="3417"/>
      <c r="H1143" s="3418"/>
      <c r="I1143" s="3411" t="str">
        <f t="shared" si="121"/>
        <v>351750_2021_12_</v>
      </c>
      <c r="J1143" s="772">
        <v>6</v>
      </c>
      <c r="K1143" s="762"/>
      <c r="L1143" s="749"/>
      <c r="M1143" s="1570"/>
      <c r="N1143" s="1556"/>
      <c r="O1143" s="228"/>
      <c r="P1143" s="228"/>
      <c r="Q1143" s="228"/>
      <c r="R1143" s="228"/>
      <c r="S1143" s="228"/>
      <c r="T1143" s="123"/>
      <c r="U1143" s="123"/>
      <c r="V1143" s="3990"/>
      <c r="W1143" s="772">
        <v>6</v>
      </c>
      <c r="X1143" s="772">
        <v>6</v>
      </c>
      <c r="Y1143" s="772">
        <v>6</v>
      </c>
      <c r="Z1143" s="772">
        <v>6</v>
      </c>
      <c r="AA1143" s="772">
        <v>6</v>
      </c>
      <c r="AB1143" s="772">
        <v>6</v>
      </c>
      <c r="AC1143" s="772">
        <v>6</v>
      </c>
      <c r="AD1143" s="761"/>
      <c r="AE1143" s="761"/>
      <c r="AF1143" s="761"/>
      <c r="AG1143" s="763"/>
      <c r="AH1143" s="1942"/>
      <c r="AI1143" s="1942"/>
      <c r="AJ1143" s="1942"/>
      <c r="AK1143" s="1942"/>
      <c r="AL1143" s="1942"/>
      <c r="AM1143" s="1942"/>
      <c r="AN1143" s="1942"/>
      <c r="AO1143" s="1942"/>
      <c r="AP1143" s="1942"/>
      <c r="AQ1143" s="1942"/>
      <c r="AR1143" s="1942"/>
      <c r="AS1143" s="1942"/>
      <c r="AT1143" s="1942"/>
      <c r="AU1143" s="1942"/>
      <c r="AV1143" s="1942"/>
      <c r="AW1143" s="1942"/>
      <c r="AX1143" s="1942"/>
      <c r="AY1143" s="1942"/>
      <c r="AZ1143" s="1942"/>
      <c r="BA1143" s="1942"/>
      <c r="BB1143" s="575"/>
      <c r="BC1143" s="576"/>
      <c r="BD1143" s="678"/>
    </row>
    <row r="1144" spans="1:56" s="51" customFormat="1" hidden="1" outlineLevel="1" x14ac:dyDescent="0.25">
      <c r="A1144" s="1267"/>
      <c r="B1144" s="228"/>
      <c r="C1144" s="328"/>
      <c r="D1144" s="3990"/>
      <c r="E1144" s="3990"/>
      <c r="F1144" s="3416" t="str">
        <f t="shared" si="120"/>
        <v>Mini/MultiSplitASHP-Replace_CAC_ElectricHeat_ER2_MF</v>
      </c>
      <c r="G1144" s="3417"/>
      <c r="H1144" s="3418"/>
      <c r="I1144" s="3411" t="str">
        <f t="shared" si="121"/>
        <v>351750_2021_12_</v>
      </c>
      <c r="J1144" s="772">
        <v>12</v>
      </c>
      <c r="K1144" s="762"/>
      <c r="L1144" s="749"/>
      <c r="M1144" s="1570"/>
      <c r="N1144" s="1556"/>
      <c r="O1144" s="228"/>
      <c r="P1144" s="228"/>
      <c r="Q1144" s="228"/>
      <c r="R1144" s="228"/>
      <c r="S1144" s="228"/>
      <c r="T1144" s="123"/>
      <c r="U1144" s="123"/>
      <c r="V1144" s="3990"/>
      <c r="W1144" s="772">
        <v>12</v>
      </c>
      <c r="X1144" s="772">
        <v>12</v>
      </c>
      <c r="Y1144" s="772">
        <v>12</v>
      </c>
      <c r="Z1144" s="772">
        <v>12</v>
      </c>
      <c r="AA1144" s="772">
        <v>12</v>
      </c>
      <c r="AB1144" s="772">
        <v>12</v>
      </c>
      <c r="AC1144" s="772">
        <v>12</v>
      </c>
      <c r="AD1144" s="761"/>
      <c r="AE1144" s="761"/>
      <c r="AF1144" s="761"/>
      <c r="AG1144" s="763"/>
      <c r="AH1144" s="1942"/>
      <c r="AI1144" s="1942"/>
      <c r="AJ1144" s="1942"/>
      <c r="AK1144" s="1942"/>
      <c r="AL1144" s="1942"/>
      <c r="AM1144" s="1942"/>
      <c r="AN1144" s="1942"/>
      <c r="AO1144" s="1942"/>
      <c r="AP1144" s="1942"/>
      <c r="AQ1144" s="1942"/>
      <c r="AR1144" s="1942"/>
      <c r="AS1144" s="1942"/>
      <c r="AT1144" s="1942"/>
      <c r="AU1144" s="1942"/>
      <c r="AV1144" s="1942"/>
      <c r="AW1144" s="1942"/>
      <c r="AX1144" s="1942"/>
      <c r="AY1144" s="1942"/>
      <c r="AZ1144" s="1942"/>
      <c r="BA1144" s="1942"/>
      <c r="BB1144" s="575"/>
      <c r="BC1144" s="576"/>
      <c r="BD1144" s="678"/>
    </row>
    <row r="1145" spans="1:56" s="51" customFormat="1" hidden="1" outlineLevel="1" x14ac:dyDescent="0.25">
      <c r="A1145" s="1267"/>
      <c r="B1145" s="228"/>
      <c r="C1145" s="328"/>
      <c r="D1145" s="3990"/>
      <c r="E1145" s="3990"/>
      <c r="F1145" s="3419" t="str">
        <f t="shared" si="120"/>
        <v>Mini/MultiSplitASHP-Replace_CAC_ElectricHeat_ER2_MF</v>
      </c>
      <c r="G1145" s="3420"/>
      <c r="H1145" s="3421"/>
      <c r="I1145" s="3411" t="str">
        <f t="shared" si="121"/>
        <v>351750_2021_12_</v>
      </c>
      <c r="J1145" s="772">
        <v>12</v>
      </c>
      <c r="K1145" s="762"/>
      <c r="L1145" s="749"/>
      <c r="M1145" s="1570"/>
      <c r="N1145" s="1556"/>
      <c r="O1145" s="228"/>
      <c r="P1145" s="228"/>
      <c r="Q1145" s="228"/>
      <c r="R1145" s="228"/>
      <c r="S1145" s="228"/>
      <c r="T1145" s="123"/>
      <c r="U1145" s="123"/>
      <c r="V1145" s="3990"/>
      <c r="W1145" s="772">
        <v>12</v>
      </c>
      <c r="X1145" s="772">
        <v>12</v>
      </c>
      <c r="Y1145" s="772">
        <v>12</v>
      </c>
      <c r="Z1145" s="772">
        <v>12</v>
      </c>
      <c r="AA1145" s="772">
        <v>12</v>
      </c>
      <c r="AB1145" s="772">
        <v>12</v>
      </c>
      <c r="AC1145" s="772">
        <v>12</v>
      </c>
      <c r="AD1145" s="761"/>
      <c r="AE1145" s="761"/>
      <c r="AF1145" s="761"/>
      <c r="AG1145" s="763"/>
      <c r="AH1145" s="1942"/>
      <c r="AI1145" s="1942"/>
      <c r="AJ1145" s="1942"/>
      <c r="AK1145" s="1942"/>
      <c r="AL1145" s="1942"/>
      <c r="AM1145" s="1942"/>
      <c r="AN1145" s="1942"/>
      <c r="AO1145" s="1942"/>
      <c r="AP1145" s="1942"/>
      <c r="AQ1145" s="1942"/>
      <c r="AR1145" s="1942"/>
      <c r="AS1145" s="1942"/>
      <c r="AT1145" s="1942"/>
      <c r="AU1145" s="1942"/>
      <c r="AV1145" s="1942"/>
      <c r="AW1145" s="1942"/>
      <c r="AX1145" s="1942"/>
      <c r="AY1145" s="1942"/>
      <c r="AZ1145" s="1942"/>
      <c r="BA1145" s="1942"/>
      <c r="BB1145" s="575"/>
      <c r="BC1145" s="576"/>
      <c r="BD1145" s="678"/>
    </row>
    <row r="1146" spans="1:56" s="51" customFormat="1" hidden="1" outlineLevel="1" x14ac:dyDescent="0.25">
      <c r="A1146" s="1267"/>
      <c r="B1146" s="228"/>
      <c r="C1146" s="328"/>
      <c r="D1146" s="3990"/>
      <c r="E1146" s="3990"/>
      <c r="F1146" s="3422" t="str">
        <f t="shared" si="120"/>
        <v>Mini/MultiSplitASHP-Replace_CAC_ElectricHeat_ROF_MF</v>
      </c>
      <c r="G1146" s="3423"/>
      <c r="H1146" s="3424"/>
      <c r="I1146" s="3411" t="str">
        <f t="shared" si="121"/>
        <v>351800_2021_12_</v>
      </c>
      <c r="J1146" s="772">
        <v>18</v>
      </c>
      <c r="K1146" s="762"/>
      <c r="L1146" s="749"/>
      <c r="M1146" s="1570"/>
      <c r="N1146" s="1556"/>
      <c r="O1146" s="228"/>
      <c r="P1146" s="228"/>
      <c r="Q1146" s="228"/>
      <c r="R1146" s="228"/>
      <c r="S1146" s="228"/>
      <c r="T1146" s="123"/>
      <c r="U1146" s="123"/>
      <c r="V1146" s="3990"/>
      <c r="W1146" s="772">
        <v>18</v>
      </c>
      <c r="X1146" s="772">
        <v>18</v>
      </c>
      <c r="Y1146" s="772">
        <v>18</v>
      </c>
      <c r="Z1146" s="772">
        <v>18</v>
      </c>
      <c r="AA1146" s="772">
        <v>18</v>
      </c>
      <c r="AB1146" s="772">
        <v>18</v>
      </c>
      <c r="AC1146" s="772">
        <v>18</v>
      </c>
      <c r="AD1146" s="761"/>
      <c r="AE1146" s="761"/>
      <c r="AF1146" s="761"/>
      <c r="AG1146" s="763"/>
      <c r="AH1146" s="1942"/>
      <c r="AI1146" s="1942"/>
      <c r="AJ1146" s="1942"/>
      <c r="AK1146" s="1942"/>
      <c r="AL1146" s="1942"/>
      <c r="AM1146" s="1942"/>
      <c r="AN1146" s="1942"/>
      <c r="AO1146" s="1942"/>
      <c r="AP1146" s="1942"/>
      <c r="AQ1146" s="1942"/>
      <c r="AR1146" s="1942"/>
      <c r="AS1146" s="1942"/>
      <c r="AT1146" s="1942"/>
      <c r="AU1146" s="1942"/>
      <c r="AV1146" s="1942"/>
      <c r="AW1146" s="1942"/>
      <c r="AX1146" s="1942"/>
      <c r="AY1146" s="1942"/>
      <c r="AZ1146" s="1942"/>
      <c r="BA1146" s="1942"/>
      <c r="BB1146" s="575"/>
      <c r="BC1146" s="576"/>
      <c r="BD1146" s="678"/>
    </row>
    <row r="1147" spans="1:56" s="51" customFormat="1" hidden="1" outlineLevel="1" x14ac:dyDescent="0.25">
      <c r="A1147" s="1267"/>
      <c r="B1147" s="228"/>
      <c r="C1147" s="328"/>
      <c r="D1147" s="3990"/>
      <c r="E1147" s="3990"/>
      <c r="F1147" s="3419" t="str">
        <f t="shared" si="120"/>
        <v>Mini/MultiSplitASHP-Replace_CAC_ElectricHeat_ROF_MF</v>
      </c>
      <c r="G1147" s="3420"/>
      <c r="H1147" s="3421"/>
      <c r="I1147" s="3411" t="str">
        <f t="shared" si="121"/>
        <v>351800_2021_12_</v>
      </c>
      <c r="J1147" s="772">
        <v>18</v>
      </c>
      <c r="K1147" s="762"/>
      <c r="L1147" s="749"/>
      <c r="M1147" s="1570"/>
      <c r="N1147" s="1556"/>
      <c r="O1147" s="228"/>
      <c r="P1147" s="228"/>
      <c r="Q1147" s="228"/>
      <c r="R1147" s="228"/>
      <c r="S1147" s="228"/>
      <c r="T1147" s="123"/>
      <c r="U1147" s="123"/>
      <c r="V1147" s="3990"/>
      <c r="W1147" s="772">
        <v>18</v>
      </c>
      <c r="X1147" s="772">
        <v>18</v>
      </c>
      <c r="Y1147" s="772">
        <v>18</v>
      </c>
      <c r="Z1147" s="772">
        <v>18</v>
      </c>
      <c r="AA1147" s="772">
        <v>18</v>
      </c>
      <c r="AB1147" s="772">
        <v>18</v>
      </c>
      <c r="AC1147" s="772">
        <v>18</v>
      </c>
      <c r="AD1147" s="761"/>
      <c r="AE1147" s="761"/>
      <c r="AF1147" s="761"/>
      <c r="AG1147" s="763"/>
      <c r="AH1147" s="1942"/>
      <c r="AI1147" s="1942"/>
      <c r="AJ1147" s="1942"/>
      <c r="AK1147" s="1942"/>
      <c r="AL1147" s="1942"/>
      <c r="AM1147" s="1942"/>
      <c r="AN1147" s="1942"/>
      <c r="AO1147" s="1942"/>
      <c r="AP1147" s="1942"/>
      <c r="AQ1147" s="1942"/>
      <c r="AR1147" s="1942"/>
      <c r="AS1147" s="1942"/>
      <c r="AT1147" s="1942"/>
      <c r="AU1147" s="1942"/>
      <c r="AV1147" s="1942"/>
      <c r="AW1147" s="1942"/>
      <c r="AX1147" s="1942"/>
      <c r="AY1147" s="1942"/>
      <c r="AZ1147" s="1942"/>
      <c r="BA1147" s="1942"/>
      <c r="BB1147" s="575"/>
      <c r="BC1147" s="576"/>
      <c r="BD1147" s="678"/>
    </row>
    <row r="1148" spans="1:56" s="51" customFormat="1" hidden="1" outlineLevel="1" x14ac:dyDescent="0.25">
      <c r="A1148" s="1267"/>
      <c r="B1148" s="228"/>
      <c r="C1148" s="328"/>
      <c r="D1148" s="3990"/>
      <c r="E1148" s="3990"/>
      <c r="F1148" s="3422" t="str">
        <f t="shared" si="120"/>
        <v>Mini/MultiSplitASHP_ER1_MF</v>
      </c>
      <c r="G1148" s="3423"/>
      <c r="H1148" s="3424"/>
      <c r="I1148" s="3411" t="str">
        <f t="shared" si="121"/>
        <v>351850_2021_12_</v>
      </c>
      <c r="J1148" s="772">
        <v>6</v>
      </c>
      <c r="K1148" s="762"/>
      <c r="L1148" s="749"/>
      <c r="M1148" s="1570"/>
      <c r="N1148" s="1556"/>
      <c r="O1148" s="228"/>
      <c r="P1148" s="228"/>
      <c r="Q1148" s="228"/>
      <c r="R1148" s="228"/>
      <c r="S1148" s="228"/>
      <c r="T1148" s="123"/>
      <c r="U1148" s="123"/>
      <c r="V1148" s="3990"/>
      <c r="W1148" s="772">
        <v>6</v>
      </c>
      <c r="X1148" s="772">
        <v>6</v>
      </c>
      <c r="Y1148" s="772">
        <v>6</v>
      </c>
      <c r="Z1148" s="772">
        <v>6</v>
      </c>
      <c r="AA1148" s="772">
        <v>6</v>
      </c>
      <c r="AB1148" s="772">
        <v>6</v>
      </c>
      <c r="AC1148" s="772">
        <v>6</v>
      </c>
      <c r="AD1148" s="761"/>
      <c r="AE1148" s="761"/>
      <c r="AF1148" s="761"/>
      <c r="AG1148" s="763"/>
      <c r="AH1148" s="1942"/>
      <c r="AI1148" s="1942"/>
      <c r="AJ1148" s="1942"/>
      <c r="AK1148" s="1942"/>
      <c r="AL1148" s="1942"/>
      <c r="AM1148" s="1942"/>
      <c r="AN1148" s="1942"/>
      <c r="AO1148" s="1942"/>
      <c r="AP1148" s="1942"/>
      <c r="AQ1148" s="1942"/>
      <c r="AR1148" s="1942"/>
      <c r="AS1148" s="1942"/>
      <c r="AT1148" s="1942"/>
      <c r="AU1148" s="1942"/>
      <c r="AV1148" s="1942"/>
      <c r="AW1148" s="1942"/>
      <c r="AX1148" s="1942"/>
      <c r="AY1148" s="1942"/>
      <c r="AZ1148" s="1942"/>
      <c r="BA1148" s="1942"/>
      <c r="BB1148" s="575"/>
      <c r="BC1148" s="576"/>
      <c r="BD1148" s="678"/>
    </row>
    <row r="1149" spans="1:56" s="51" customFormat="1" hidden="1" outlineLevel="1" x14ac:dyDescent="0.25">
      <c r="A1149" s="1267"/>
      <c r="B1149" s="228"/>
      <c r="C1149" s="328"/>
      <c r="D1149" s="3990"/>
      <c r="E1149" s="3990"/>
      <c r="F1149" s="3416" t="str">
        <f t="shared" si="120"/>
        <v>Mini/MultiSplitASHP_ER1_MF</v>
      </c>
      <c r="G1149" s="3417"/>
      <c r="H1149" s="3418"/>
      <c r="I1149" s="3411" t="str">
        <f t="shared" si="121"/>
        <v>351850_2021_12_</v>
      </c>
      <c r="J1149" s="772">
        <v>6</v>
      </c>
      <c r="K1149" s="762"/>
      <c r="L1149" s="749"/>
      <c r="M1149" s="1570"/>
      <c r="N1149" s="1556"/>
      <c r="O1149" s="228"/>
      <c r="P1149" s="228"/>
      <c r="Q1149" s="228"/>
      <c r="R1149" s="228"/>
      <c r="S1149" s="228"/>
      <c r="T1149" s="123"/>
      <c r="U1149" s="123"/>
      <c r="V1149" s="3990"/>
      <c r="W1149" s="772">
        <v>6</v>
      </c>
      <c r="X1149" s="772">
        <v>6</v>
      </c>
      <c r="Y1149" s="772">
        <v>6</v>
      </c>
      <c r="Z1149" s="772">
        <v>6</v>
      </c>
      <c r="AA1149" s="772">
        <v>6</v>
      </c>
      <c r="AB1149" s="772">
        <v>6</v>
      </c>
      <c r="AC1149" s="772">
        <v>6</v>
      </c>
      <c r="AD1149" s="761"/>
      <c r="AE1149" s="761"/>
      <c r="AF1149" s="761"/>
      <c r="AG1149" s="763"/>
      <c r="AH1149" s="1942"/>
      <c r="AI1149" s="1942"/>
      <c r="AJ1149" s="1942"/>
      <c r="AK1149" s="1942"/>
      <c r="AL1149" s="1942"/>
      <c r="AM1149" s="1942"/>
      <c r="AN1149" s="1942"/>
      <c r="AO1149" s="1942"/>
      <c r="AP1149" s="1942"/>
      <c r="AQ1149" s="1942"/>
      <c r="AR1149" s="1942"/>
      <c r="AS1149" s="1942"/>
      <c r="AT1149" s="1942"/>
      <c r="AU1149" s="1942"/>
      <c r="AV1149" s="1942"/>
      <c r="AW1149" s="1942"/>
      <c r="AX1149" s="1942"/>
      <c r="AY1149" s="1942"/>
      <c r="AZ1149" s="1942"/>
      <c r="BA1149" s="1942"/>
      <c r="BB1149" s="575"/>
      <c r="BC1149" s="576"/>
      <c r="BD1149" s="678"/>
    </row>
    <row r="1150" spans="1:56" s="51" customFormat="1" hidden="1" outlineLevel="1" x14ac:dyDescent="0.25">
      <c r="A1150" s="1267"/>
      <c r="B1150" s="228"/>
      <c r="C1150" s="328"/>
      <c r="D1150" s="3990"/>
      <c r="E1150" s="3990"/>
      <c r="F1150" s="3416" t="str">
        <f t="shared" si="120"/>
        <v>Mini/MultiSplitASHP_ER2_MF</v>
      </c>
      <c r="G1150" s="3417"/>
      <c r="H1150" s="3418"/>
      <c r="I1150" s="3411" t="str">
        <f t="shared" si="121"/>
        <v>351850_2021_12_</v>
      </c>
      <c r="J1150" s="772">
        <v>12</v>
      </c>
      <c r="K1150" s="762"/>
      <c r="L1150" s="2239"/>
      <c r="M1150" s="1570"/>
      <c r="N1150" s="1556"/>
      <c r="O1150" s="228"/>
      <c r="P1150" s="228"/>
      <c r="Q1150" s="228"/>
      <c r="R1150" s="228"/>
      <c r="S1150" s="228"/>
      <c r="T1150" s="123"/>
      <c r="U1150" s="123"/>
      <c r="V1150" s="3990"/>
      <c r="W1150" s="772">
        <v>12</v>
      </c>
      <c r="X1150" s="772">
        <v>12</v>
      </c>
      <c r="Y1150" s="772">
        <v>12</v>
      </c>
      <c r="Z1150" s="772">
        <v>12</v>
      </c>
      <c r="AA1150" s="772">
        <v>12</v>
      </c>
      <c r="AB1150" s="772">
        <v>12</v>
      </c>
      <c r="AC1150" s="772">
        <v>12</v>
      </c>
      <c r="AD1150" s="761"/>
      <c r="AE1150" s="761"/>
      <c r="AF1150" s="761"/>
      <c r="AG1150" s="763"/>
      <c r="AH1150" s="1942"/>
      <c r="AI1150" s="1942"/>
      <c r="AJ1150" s="1942"/>
      <c r="AK1150" s="1942"/>
      <c r="AL1150" s="1942"/>
      <c r="AM1150" s="1942"/>
      <c r="AN1150" s="1942"/>
      <c r="AO1150" s="1942"/>
      <c r="AP1150" s="1942"/>
      <c r="AQ1150" s="1942"/>
      <c r="AR1150" s="1942"/>
      <c r="AS1150" s="1942"/>
      <c r="AT1150" s="1942"/>
      <c r="AU1150" s="1942"/>
      <c r="AV1150" s="1942"/>
      <c r="AW1150" s="1942"/>
      <c r="AX1150" s="1942"/>
      <c r="AY1150" s="1942"/>
      <c r="AZ1150" s="1942"/>
      <c r="BA1150" s="1942"/>
      <c r="BB1150" s="575"/>
      <c r="BC1150" s="576"/>
      <c r="BD1150" s="678"/>
    </row>
    <row r="1151" spans="1:56" s="51" customFormat="1" ht="15.75" hidden="1" outlineLevel="1" thickBot="1" x14ac:dyDescent="0.3">
      <c r="A1151" s="1267"/>
      <c r="B1151" s="228"/>
      <c r="C1151" s="328"/>
      <c r="D1151" s="3991"/>
      <c r="E1151" s="3991"/>
      <c r="F1151" s="3419" t="str">
        <f t="shared" si="120"/>
        <v>Mini/MultiSplitASHP_ER2_MF</v>
      </c>
      <c r="G1151" s="3420"/>
      <c r="H1151" s="3421"/>
      <c r="I1151" s="3412" t="str">
        <f t="shared" si="121"/>
        <v>351850_2021_12_</v>
      </c>
      <c r="J1151" s="773">
        <v>12</v>
      </c>
      <c r="K1151" s="767"/>
      <c r="L1151" s="2395"/>
      <c r="M1151" s="1570"/>
      <c r="N1151" s="1556"/>
      <c r="O1151" s="228"/>
      <c r="P1151" s="228"/>
      <c r="Q1151" s="228"/>
      <c r="R1151" s="228"/>
      <c r="S1151" s="228"/>
      <c r="T1151" s="123"/>
      <c r="U1151" s="123"/>
      <c r="V1151" s="3991"/>
      <c r="W1151" s="773">
        <v>12</v>
      </c>
      <c r="X1151" s="773">
        <v>12</v>
      </c>
      <c r="Y1151" s="773">
        <v>12</v>
      </c>
      <c r="Z1151" s="773">
        <v>12</v>
      </c>
      <c r="AA1151" s="773">
        <v>12</v>
      </c>
      <c r="AB1151" s="773">
        <v>12</v>
      </c>
      <c r="AC1151" s="773">
        <v>12</v>
      </c>
      <c r="AD1151" s="768"/>
      <c r="AE1151" s="768"/>
      <c r="AF1151" s="768"/>
      <c r="AG1151" s="769"/>
      <c r="AH1151" s="1942"/>
      <c r="AI1151" s="1942"/>
      <c r="AJ1151" s="1942"/>
      <c r="AK1151" s="1942"/>
      <c r="AL1151" s="1942"/>
      <c r="AM1151" s="1942"/>
      <c r="AN1151" s="1942"/>
      <c r="AO1151" s="1942"/>
      <c r="AP1151" s="1942"/>
      <c r="AQ1151" s="1942"/>
      <c r="AR1151" s="1942"/>
      <c r="AS1151" s="1942"/>
      <c r="AT1151" s="1942"/>
      <c r="AU1151" s="1942"/>
      <c r="AV1151" s="1942"/>
      <c r="AW1151" s="1942"/>
      <c r="AX1151" s="1942"/>
      <c r="AY1151" s="1942"/>
      <c r="AZ1151" s="1942"/>
      <c r="BA1151" s="1942"/>
      <c r="BB1151" s="575"/>
      <c r="BC1151" s="576"/>
      <c r="BD1151" s="678"/>
    </row>
    <row r="1152" spans="1:56" s="51" customFormat="1" hidden="1" outlineLevel="1" x14ac:dyDescent="0.25">
      <c r="A1152" s="1267"/>
      <c r="B1152" s="228"/>
      <c r="C1152" s="328"/>
      <c r="D1152" s="4012" t="str">
        <f>D708</f>
        <v>Inc. Cost</v>
      </c>
      <c r="E1152" s="4012" t="str">
        <f>E708</f>
        <v>Incremental Cost ($)</v>
      </c>
      <c r="F1152" s="3413" t="str">
        <f>F1118</f>
        <v>Mini/MultiSplitAC_ER1_SF</v>
      </c>
      <c r="G1152" s="3414"/>
      <c r="H1152" s="3415"/>
      <c r="I1152" s="3448" t="str">
        <f>I1118</f>
        <v>351200_2021_12_</v>
      </c>
      <c r="J1152" s="3042">
        <f>((P$874*K1152)+P$860)-((O$875*K1152)/((1+P$878)^(P$879-1)))</f>
        <v>1133.5954314013989</v>
      </c>
      <c r="K1152" s="3043">
        <f>K961</f>
        <v>1.3333333333333333</v>
      </c>
      <c r="L1152" s="788" t="s">
        <v>1130</v>
      </c>
      <c r="M1152" s="1570"/>
      <c r="N1152" s="1556"/>
      <c r="O1152" s="228"/>
      <c r="P1152" s="228"/>
      <c r="Q1152" s="228"/>
      <c r="R1152" s="228"/>
      <c r="S1152" s="228"/>
      <c r="T1152" s="123"/>
      <c r="U1152" s="123"/>
      <c r="V1152" s="3989" t="str">
        <f>D1152</f>
        <v>Inc. Cost</v>
      </c>
      <c r="W1152" s="776">
        <v>2389.0666666666666</v>
      </c>
      <c r="X1152" s="777">
        <f>(2108*(X$961/12000)/1.5)*X$1066</f>
        <v>2108</v>
      </c>
      <c r="Y1152" s="777">
        <f>(2108*(Y$961/12000)/1.5)*Y$1066</f>
        <v>2108</v>
      </c>
      <c r="Z1152" s="776">
        <v>2108</v>
      </c>
      <c r="AA1152" s="776">
        <v>2108</v>
      </c>
      <c r="AB1152" s="2258">
        <v>1231.1592671062349</v>
      </c>
      <c r="AC1152" s="3042">
        <v>1133.5954314013989</v>
      </c>
      <c r="AD1152" s="759"/>
      <c r="AE1152" s="759"/>
      <c r="AF1152" s="759"/>
      <c r="AG1152" s="760"/>
      <c r="AH1152" s="1942"/>
      <c r="AI1152" s="1942"/>
      <c r="AJ1152" s="1942"/>
      <c r="AK1152" s="1942"/>
      <c r="AL1152" s="1942"/>
      <c r="AM1152" s="1942"/>
      <c r="AN1152" s="1942"/>
      <c r="AO1152" s="1942"/>
      <c r="AP1152" s="1942"/>
      <c r="AQ1152" s="1942"/>
      <c r="AR1152" s="1942"/>
      <c r="AS1152" s="1942"/>
      <c r="AT1152" s="1942"/>
      <c r="AU1152" s="1942"/>
      <c r="AV1152" s="1942"/>
      <c r="AW1152" s="1942"/>
      <c r="AX1152" s="1942"/>
      <c r="AY1152" s="1942"/>
      <c r="AZ1152" s="1942"/>
      <c r="BA1152" s="1942"/>
      <c r="BB1152" s="575"/>
      <c r="BC1152" s="576"/>
      <c r="BD1152" s="678"/>
    </row>
    <row r="1153" spans="1:56" s="51" customFormat="1" hidden="1" outlineLevel="1" x14ac:dyDescent="0.25">
      <c r="A1153" s="1267"/>
      <c r="B1153" s="228"/>
      <c r="C1153" s="328"/>
      <c r="D1153" s="4013"/>
      <c r="E1153" s="4013"/>
      <c r="F1153" s="3419" t="str">
        <f t="shared" ref="F1153:F1185" si="122">F1119</f>
        <v>Mini/MultiSplitAC_ER2_SF</v>
      </c>
      <c r="G1153" s="3420"/>
      <c r="H1153" s="3421"/>
      <c r="I1153" s="3411" t="str">
        <f t="shared" ref="I1153:I1185" si="123">I1119</f>
        <v>351200_2021_12_</v>
      </c>
      <c r="J1153" s="775"/>
      <c r="K1153" s="3044"/>
      <c r="L1153" s="749"/>
      <c r="M1153" s="1570"/>
      <c r="N1153" s="1556"/>
      <c r="O1153" s="228"/>
      <c r="P1153" s="228"/>
      <c r="Q1153" s="228"/>
      <c r="R1153" s="228"/>
      <c r="S1153" s="228"/>
      <c r="T1153" s="123"/>
      <c r="U1153" s="123"/>
      <c r="V1153" s="3990"/>
      <c r="W1153" s="778"/>
      <c r="X1153" s="775"/>
      <c r="Y1153" s="775"/>
      <c r="Z1153" s="778"/>
      <c r="AA1153" s="778"/>
      <c r="AB1153" s="2259"/>
      <c r="AC1153" s="775"/>
      <c r="AD1153" s="761"/>
      <c r="AE1153" s="761"/>
      <c r="AF1153" s="761"/>
      <c r="AG1153" s="763"/>
      <c r="AH1153" s="1942"/>
      <c r="AI1153" s="1942"/>
      <c r="AJ1153" s="1942"/>
      <c r="AK1153" s="1942"/>
      <c r="AL1153" s="1942"/>
      <c r="AM1153" s="1942"/>
      <c r="AN1153" s="1942"/>
      <c r="AO1153" s="1942"/>
      <c r="AP1153" s="1942"/>
      <c r="AQ1153" s="1942"/>
      <c r="AR1153" s="1942"/>
      <c r="AS1153" s="1942"/>
      <c r="AT1153" s="1942"/>
      <c r="AU1153" s="1942"/>
      <c r="AV1153" s="1942"/>
      <c r="AW1153" s="1942"/>
      <c r="AX1153" s="1942"/>
      <c r="AY1153" s="1942"/>
      <c r="AZ1153" s="1942"/>
      <c r="BA1153" s="1942"/>
      <c r="BB1153" s="575"/>
      <c r="BC1153" s="576"/>
      <c r="BD1153" s="678"/>
    </row>
    <row r="1154" spans="1:56" s="51" customFormat="1" hidden="1" outlineLevel="1" x14ac:dyDescent="0.25">
      <c r="A1154" s="1267"/>
      <c r="B1154" s="228"/>
      <c r="C1154" s="328"/>
      <c r="D1154" s="4013"/>
      <c r="E1154" s="4013"/>
      <c r="F1154" s="3425" t="str">
        <f t="shared" si="122"/>
        <v>Mini/MultiSplitAC_ROF_SF</v>
      </c>
      <c r="G1154" s="3426"/>
      <c r="H1154" s="3427"/>
      <c r="I1154" s="3411" t="str">
        <f t="shared" si="123"/>
        <v>351250_2021_12_</v>
      </c>
      <c r="J1154" s="775">
        <f>(MIN(2000,P$869)-P$874)*K$858</f>
        <v>337.89830508474574</v>
      </c>
      <c r="K1154" s="3044">
        <f>K962</f>
        <v>1.4</v>
      </c>
      <c r="L1154" s="749" t="s">
        <v>1130</v>
      </c>
      <c r="M1154" s="1570"/>
      <c r="N1154" s="1556"/>
      <c r="O1154" s="228"/>
      <c r="P1154" s="228"/>
      <c r="Q1154" s="228"/>
      <c r="R1154" s="228"/>
      <c r="S1154" s="228"/>
      <c r="T1154" s="123"/>
      <c r="U1154" s="123"/>
      <c r="V1154" s="3990"/>
      <c r="W1154" s="778">
        <v>1648</v>
      </c>
      <c r="X1154" s="775">
        <f>(1545*(X$962/12000)/1.5)*X$1068</f>
        <v>1545</v>
      </c>
      <c r="Y1154" s="775">
        <f>(1545*(Y$962/12000)/1.5)*Y$1068</f>
        <v>1545</v>
      </c>
      <c r="Z1154" s="778">
        <v>1545</v>
      </c>
      <c r="AA1154" s="778">
        <v>1545</v>
      </c>
      <c r="AB1154" s="2259">
        <v>336</v>
      </c>
      <c r="AC1154" s="775">
        <v>337.89830508474574</v>
      </c>
      <c r="AD1154" s="761"/>
      <c r="AE1154" s="761"/>
      <c r="AF1154" s="761"/>
      <c r="AG1154" s="763"/>
      <c r="AH1154" s="1942"/>
      <c r="AI1154" s="1942"/>
      <c r="AJ1154" s="1942"/>
      <c r="AK1154" s="1942"/>
      <c r="AL1154" s="1942"/>
      <c r="AM1154" s="1942"/>
      <c r="AN1154" s="1942"/>
      <c r="AO1154" s="1942"/>
      <c r="AP1154" s="1942"/>
      <c r="AQ1154" s="1942"/>
      <c r="AR1154" s="1942"/>
      <c r="AS1154" s="1942"/>
      <c r="AT1154" s="1942"/>
      <c r="AU1154" s="1942"/>
      <c r="AV1154" s="1942"/>
      <c r="AW1154" s="1942"/>
      <c r="AX1154" s="1942"/>
      <c r="AY1154" s="1942"/>
      <c r="AZ1154" s="1942"/>
      <c r="BA1154" s="1942"/>
      <c r="BB1154" s="575"/>
      <c r="BC1154" s="576"/>
      <c r="BD1154" s="678"/>
    </row>
    <row r="1155" spans="1:56" s="51" customFormat="1" hidden="1" outlineLevel="1" x14ac:dyDescent="0.25">
      <c r="A1155" s="1267"/>
      <c r="B1155" s="228"/>
      <c r="C1155" s="328"/>
      <c r="D1155" s="4013"/>
      <c r="E1155" s="4013"/>
      <c r="F1155" s="3422" t="str">
        <f t="shared" si="122"/>
        <v>Mini/MultiSplitASHP_ROF_SF_NC</v>
      </c>
      <c r="G1155" s="3423"/>
      <c r="H1155" s="3424"/>
      <c r="I1155" s="3411" t="str">
        <f t="shared" si="123"/>
        <v>351300_2021_12_</v>
      </c>
      <c r="J1155" s="775">
        <f>(MIN(2000,P$869)-P$874)*K$858</f>
        <v>337.89830508474574</v>
      </c>
      <c r="K1155" s="3044">
        <f t="shared" ref="K1155" si="124">K963</f>
        <v>1.5084745762711864</v>
      </c>
      <c r="L1155" s="749" t="s">
        <v>1130</v>
      </c>
      <c r="M1155" s="1570"/>
      <c r="N1155" s="1556"/>
      <c r="O1155" s="228"/>
      <c r="P1155" s="228"/>
      <c r="Q1155" s="228"/>
      <c r="R1155" s="228"/>
      <c r="S1155" s="228"/>
      <c r="T1155" s="123"/>
      <c r="U1155" s="123"/>
      <c r="V1155" s="3990"/>
      <c r="W1155" s="778">
        <v>828.79999999999984</v>
      </c>
      <c r="X1155" s="775">
        <f>(888*(X$963/12000)/1.5)*X$1069</f>
        <v>888</v>
      </c>
      <c r="Y1155" s="775">
        <f>(888*(Y$963/12000)/1.5)*Y$1069</f>
        <v>888</v>
      </c>
      <c r="Z1155" s="778">
        <v>888</v>
      </c>
      <c r="AA1155" s="778">
        <v>888</v>
      </c>
      <c r="AB1155" s="2259">
        <v>336</v>
      </c>
      <c r="AC1155" s="775">
        <v>337.89830508474574</v>
      </c>
      <c r="AD1155" s="761"/>
      <c r="AE1155" s="761"/>
      <c r="AF1155" s="761"/>
      <c r="AG1155" s="763"/>
      <c r="AH1155" s="1942"/>
      <c r="AI1155" s="1942"/>
      <c r="AJ1155" s="1942"/>
      <c r="AK1155" s="1942"/>
      <c r="AL1155" s="1942"/>
      <c r="AM1155" s="1942"/>
      <c r="AN1155" s="1942"/>
      <c r="AO1155" s="1942"/>
      <c r="AP1155" s="1942"/>
      <c r="AQ1155" s="1942"/>
      <c r="AR1155" s="1942"/>
      <c r="AS1155" s="1942"/>
      <c r="AT1155" s="1942"/>
      <c r="AU1155" s="1942"/>
      <c r="AV1155" s="1942"/>
      <c r="AW1155" s="1942"/>
      <c r="AX1155" s="1942"/>
      <c r="AY1155" s="1942"/>
      <c r="AZ1155" s="1942"/>
      <c r="BA1155" s="1942"/>
      <c r="BB1155" s="575"/>
      <c r="BC1155" s="576"/>
      <c r="BD1155" s="678"/>
    </row>
    <row r="1156" spans="1:56" s="51" customFormat="1" hidden="1" outlineLevel="1" x14ac:dyDescent="0.25">
      <c r="A1156" s="1267"/>
      <c r="B1156" s="228"/>
      <c r="C1156" s="328"/>
      <c r="D1156" s="4013"/>
      <c r="E1156" s="4013"/>
      <c r="F1156" s="3419" t="str">
        <f t="shared" si="122"/>
        <v>Mini/MultiSplitASHP_ROF_SF_NC</v>
      </c>
      <c r="G1156" s="3420"/>
      <c r="H1156" s="3421"/>
      <c r="I1156" s="3411" t="str">
        <f t="shared" si="123"/>
        <v>351300_2021_12_</v>
      </c>
      <c r="J1156" s="775"/>
      <c r="K1156" s="3044"/>
      <c r="L1156" s="749"/>
      <c r="M1156" s="1570"/>
      <c r="N1156" s="1556"/>
      <c r="O1156" s="228"/>
      <c r="P1156" s="228"/>
      <c r="Q1156" s="228"/>
      <c r="R1156" s="228"/>
      <c r="S1156" s="228"/>
      <c r="T1156" s="123"/>
      <c r="U1156" s="123"/>
      <c r="V1156" s="3990"/>
      <c r="W1156" s="778"/>
      <c r="X1156" s="775"/>
      <c r="Y1156" s="775"/>
      <c r="Z1156" s="778"/>
      <c r="AA1156" s="778"/>
      <c r="AB1156" s="2259"/>
      <c r="AC1156" s="775"/>
      <c r="AD1156" s="761"/>
      <c r="AE1156" s="761"/>
      <c r="AF1156" s="761"/>
      <c r="AG1156" s="763"/>
      <c r="AH1156" s="1942"/>
      <c r="AI1156" s="1942"/>
      <c r="AJ1156" s="1942"/>
      <c r="AK1156" s="1942"/>
      <c r="AL1156" s="1942"/>
      <c r="AM1156" s="1942"/>
      <c r="AN1156" s="1942"/>
      <c r="AO1156" s="1942"/>
      <c r="AP1156" s="1942"/>
      <c r="AQ1156" s="1942"/>
      <c r="AR1156" s="1942"/>
      <c r="AS1156" s="1942"/>
      <c r="AT1156" s="1942"/>
      <c r="AU1156" s="1942"/>
      <c r="AV1156" s="1942"/>
      <c r="AW1156" s="1942"/>
      <c r="AX1156" s="1942"/>
      <c r="AY1156" s="1942"/>
      <c r="AZ1156" s="1942"/>
      <c r="BA1156" s="1942"/>
      <c r="BB1156" s="575"/>
      <c r="BC1156" s="576"/>
      <c r="BD1156" s="678"/>
    </row>
    <row r="1157" spans="1:56" s="51" customFormat="1" hidden="1" outlineLevel="1" x14ac:dyDescent="0.25">
      <c r="A1157" s="1267"/>
      <c r="B1157" s="228"/>
      <c r="C1157" s="328"/>
      <c r="D1157" s="4013"/>
      <c r="E1157" s="4013"/>
      <c r="F1157" s="3422" t="str">
        <f t="shared" si="122"/>
        <v>Mini/MultiSplitASHP_ROF_SF</v>
      </c>
      <c r="G1157" s="3423"/>
      <c r="H1157" s="3424"/>
      <c r="I1157" s="3411" t="str">
        <f t="shared" si="123"/>
        <v>351350_2021_12_</v>
      </c>
      <c r="J1157" s="775">
        <f>(MIN(2000,P$869)-P$874)*K$858</f>
        <v>337.89830508474574</v>
      </c>
      <c r="K1157" s="3044">
        <f>K964</f>
        <v>1.375</v>
      </c>
      <c r="L1157" s="749" t="s">
        <v>1130</v>
      </c>
      <c r="M1157" s="1570"/>
      <c r="N1157" s="1556"/>
      <c r="O1157" s="228"/>
      <c r="P1157" s="228"/>
      <c r="Q1157" s="228"/>
      <c r="R1157" s="228"/>
      <c r="S1157" s="228"/>
      <c r="T1157" s="123"/>
      <c r="U1157" s="123"/>
      <c r="V1157" s="3990"/>
      <c r="W1157" s="778">
        <v>1006.4</v>
      </c>
      <c r="X1157" s="775">
        <f>(888*(X$961/12000)/1.5)*X$1071</f>
        <v>888</v>
      </c>
      <c r="Y1157" s="775">
        <f>(888*(Y$961/12000)/1.5)*Y$1071</f>
        <v>888</v>
      </c>
      <c r="Z1157" s="778">
        <v>888</v>
      </c>
      <c r="AA1157" s="778">
        <v>888</v>
      </c>
      <c r="AB1157" s="2259">
        <v>336</v>
      </c>
      <c r="AC1157" s="775">
        <v>337.89830508474574</v>
      </c>
      <c r="AD1157" s="761"/>
      <c r="AE1157" s="761"/>
      <c r="AF1157" s="761"/>
      <c r="AG1157" s="763"/>
      <c r="AH1157" s="1942"/>
      <c r="AI1157" s="1942"/>
      <c r="AJ1157" s="1942"/>
      <c r="AK1157" s="1942"/>
      <c r="AL1157" s="1942"/>
      <c r="AM1157" s="1942"/>
      <c r="AN1157" s="1942"/>
      <c r="AO1157" s="1942"/>
      <c r="AP1157" s="1942"/>
      <c r="AQ1157" s="1942"/>
      <c r="AR1157" s="1942"/>
      <c r="AS1157" s="1942"/>
      <c r="AT1157" s="1942"/>
      <c r="AU1157" s="1942"/>
      <c r="AV1157" s="1942"/>
      <c r="AW1157" s="1942"/>
      <c r="AX1157" s="1942"/>
      <c r="AY1157" s="1942"/>
      <c r="AZ1157" s="1942"/>
      <c r="BA1157" s="1942"/>
      <c r="BB1157" s="575"/>
      <c r="BC1157" s="576"/>
      <c r="BD1157" s="678"/>
    </row>
    <row r="1158" spans="1:56" s="51" customFormat="1" hidden="1" outlineLevel="1" x14ac:dyDescent="0.25">
      <c r="A1158" s="1267"/>
      <c r="B1158" s="228"/>
      <c r="C1158" s="328"/>
      <c r="D1158" s="4013"/>
      <c r="E1158" s="4013"/>
      <c r="F1158" s="3419" t="str">
        <f t="shared" si="122"/>
        <v>Mini/MultiSplitASHP_ROF_SF</v>
      </c>
      <c r="G1158" s="3420"/>
      <c r="H1158" s="3421"/>
      <c r="I1158" s="3411" t="str">
        <f t="shared" si="123"/>
        <v>351350_2021_12_</v>
      </c>
      <c r="J1158" s="775"/>
      <c r="K1158" s="3044"/>
      <c r="L1158" s="749"/>
      <c r="M1158" s="1570"/>
      <c r="N1158" s="1556"/>
      <c r="O1158" s="228"/>
      <c r="P1158" s="228"/>
      <c r="Q1158" s="228"/>
      <c r="R1158" s="228"/>
      <c r="S1158" s="228"/>
      <c r="T1158" s="123"/>
      <c r="U1158" s="123"/>
      <c r="V1158" s="3990"/>
      <c r="W1158" s="778"/>
      <c r="X1158" s="775"/>
      <c r="Y1158" s="775"/>
      <c r="Z1158" s="778"/>
      <c r="AA1158" s="778"/>
      <c r="AB1158" s="2259"/>
      <c r="AC1158" s="775"/>
      <c r="AD1158" s="761"/>
      <c r="AE1158" s="761"/>
      <c r="AF1158" s="761"/>
      <c r="AG1158" s="763"/>
      <c r="AH1158" s="1942"/>
      <c r="AI1158" s="1942"/>
      <c r="AJ1158" s="1942"/>
      <c r="AK1158" s="1942"/>
      <c r="AL1158" s="1942"/>
      <c r="AM1158" s="1942"/>
      <c r="AN1158" s="1942"/>
      <c r="AO1158" s="1942"/>
      <c r="AP1158" s="1942"/>
      <c r="AQ1158" s="1942"/>
      <c r="AR1158" s="1942"/>
      <c r="AS1158" s="1942"/>
      <c r="AT1158" s="1942"/>
      <c r="AU1158" s="1942"/>
      <c r="AV1158" s="1942"/>
      <c r="AW1158" s="1942"/>
      <c r="AX1158" s="1942"/>
      <c r="AY1158" s="1942"/>
      <c r="AZ1158" s="1942"/>
      <c r="BA1158" s="1942"/>
      <c r="BB1158" s="575"/>
      <c r="BC1158" s="576"/>
      <c r="BD1158" s="678"/>
    </row>
    <row r="1159" spans="1:56" s="51" customFormat="1" hidden="1" outlineLevel="1" x14ac:dyDescent="0.25">
      <c r="A1159" s="1267"/>
      <c r="B1159" s="228"/>
      <c r="C1159" s="328"/>
      <c r="D1159" s="4013"/>
      <c r="E1159" s="4013"/>
      <c r="F1159" s="3422" t="str">
        <f t="shared" si="122"/>
        <v>Mini/MultiSplitASHP-Replace_CAC_ElectricHeat_ER1_SF</v>
      </c>
      <c r="G1159" s="3423"/>
      <c r="H1159" s="3424"/>
      <c r="I1159" s="3411" t="str">
        <f t="shared" si="123"/>
        <v>351400_2021_12_</v>
      </c>
      <c r="J1159" s="775">
        <f>((P$874*K1159)+P$860)-((O$876*K1159)/((1+P$878)^(P$879-1)))</f>
        <v>2505.747142294048</v>
      </c>
      <c r="K1159" s="3044">
        <f>K965</f>
        <v>1.569767441860465</v>
      </c>
      <c r="L1159" s="749" t="s">
        <v>1130</v>
      </c>
      <c r="M1159" s="1570"/>
      <c r="N1159" s="1556"/>
      <c r="O1159" s="228"/>
      <c r="P1159" s="228"/>
      <c r="Q1159" s="228"/>
      <c r="R1159" s="228"/>
      <c r="S1159" s="228"/>
      <c r="T1159" s="123"/>
      <c r="U1159" s="123"/>
      <c r="V1159" s="3990"/>
      <c r="W1159" s="778">
        <v>1967.4666666666665</v>
      </c>
      <c r="X1159" s="775">
        <f>(2108*(X$965/12000)/1.5)*X$1073</f>
        <v>2108</v>
      </c>
      <c r="Y1159" s="775">
        <f>(2108*(Y$965/12000)/1.5)*Y$1073</f>
        <v>2108</v>
      </c>
      <c r="Z1159" s="778">
        <v>2108</v>
      </c>
      <c r="AA1159" s="778">
        <v>2108</v>
      </c>
      <c r="AB1159" s="2259">
        <v>2504.17</v>
      </c>
      <c r="AC1159" s="775">
        <v>2505.747142294048</v>
      </c>
      <c r="AD1159" s="761"/>
      <c r="AE1159" s="761"/>
      <c r="AF1159" s="761"/>
      <c r="AG1159" s="763"/>
      <c r="AH1159" s="1942"/>
      <c r="AI1159" s="1942"/>
      <c r="AJ1159" s="1942"/>
      <c r="AK1159" s="1942"/>
      <c r="AL1159" s="1942"/>
      <c r="AM1159" s="1942"/>
      <c r="AN1159" s="1942"/>
      <c r="AO1159" s="1942"/>
      <c r="AP1159" s="1942"/>
      <c r="AQ1159" s="1942"/>
      <c r="AR1159" s="1942"/>
      <c r="AS1159" s="1942"/>
      <c r="AT1159" s="1942"/>
      <c r="AU1159" s="1942"/>
      <c r="AV1159" s="1942"/>
      <c r="AW1159" s="1942"/>
      <c r="AX1159" s="1942"/>
      <c r="AY1159" s="1942"/>
      <c r="AZ1159" s="1942"/>
      <c r="BA1159" s="1942"/>
      <c r="BB1159" s="575"/>
      <c r="BC1159" s="576"/>
      <c r="BD1159" s="678"/>
    </row>
    <row r="1160" spans="1:56" s="51" customFormat="1" hidden="1" outlineLevel="1" x14ac:dyDescent="0.25">
      <c r="A1160" s="1267"/>
      <c r="B1160" s="228"/>
      <c r="C1160" s="328"/>
      <c r="D1160" s="4013"/>
      <c r="E1160" s="4013"/>
      <c r="F1160" s="3416" t="str">
        <f t="shared" si="122"/>
        <v>Mini/MultiSplitASHP-Replace_CAC_ElectricHeat_ER1_SF</v>
      </c>
      <c r="G1160" s="3417"/>
      <c r="H1160" s="3418"/>
      <c r="I1160" s="3411" t="str">
        <f t="shared" si="123"/>
        <v>351400_2021_12_</v>
      </c>
      <c r="J1160" s="775"/>
      <c r="K1160" s="3044"/>
      <c r="L1160" s="749"/>
      <c r="M1160" s="1570"/>
      <c r="N1160" s="1556"/>
      <c r="O1160" s="228"/>
      <c r="P1160" s="228"/>
      <c r="Q1160" s="228"/>
      <c r="R1160" s="228"/>
      <c r="S1160" s="228"/>
      <c r="T1160" s="123"/>
      <c r="U1160" s="123"/>
      <c r="V1160" s="3990"/>
      <c r="W1160" s="778"/>
      <c r="X1160" s="775"/>
      <c r="Y1160" s="775"/>
      <c r="Z1160" s="778"/>
      <c r="AA1160" s="778"/>
      <c r="AB1160" s="2259"/>
      <c r="AC1160" s="775"/>
      <c r="AD1160" s="761"/>
      <c r="AE1160" s="761"/>
      <c r="AF1160" s="761"/>
      <c r="AG1160" s="763"/>
      <c r="AH1160" s="1942"/>
      <c r="AI1160" s="1942"/>
      <c r="AJ1160" s="1942"/>
      <c r="AK1160" s="1942"/>
      <c r="AL1160" s="1942"/>
      <c r="AM1160" s="1942"/>
      <c r="AN1160" s="1942"/>
      <c r="AO1160" s="1942"/>
      <c r="AP1160" s="1942"/>
      <c r="AQ1160" s="1942"/>
      <c r="AR1160" s="1942"/>
      <c r="AS1160" s="1942"/>
      <c r="AT1160" s="1942"/>
      <c r="AU1160" s="1942"/>
      <c r="AV1160" s="1942"/>
      <c r="AW1160" s="1942"/>
      <c r="AX1160" s="1942"/>
      <c r="AY1160" s="1942"/>
      <c r="AZ1160" s="1942"/>
      <c r="BA1160" s="1942"/>
      <c r="BB1160" s="575"/>
      <c r="BC1160" s="576"/>
      <c r="BD1160" s="678"/>
    </row>
    <row r="1161" spans="1:56" s="51" customFormat="1" hidden="1" outlineLevel="1" x14ac:dyDescent="0.25">
      <c r="A1161" s="1267"/>
      <c r="B1161" s="228"/>
      <c r="C1161" s="328"/>
      <c r="D1161" s="4013"/>
      <c r="E1161" s="4013"/>
      <c r="F1161" s="3416" t="str">
        <f t="shared" si="122"/>
        <v>Mini/MultiSplitASHP-Replace_CAC_ElectricHeat_ER2_SF</v>
      </c>
      <c r="G1161" s="3417"/>
      <c r="H1161" s="3418"/>
      <c r="I1161" s="3411" t="str">
        <f t="shared" si="123"/>
        <v>351400_2021_12_</v>
      </c>
      <c r="J1161" s="775"/>
      <c r="K1161" s="3044"/>
      <c r="L1161" s="749"/>
      <c r="M1161" s="1570"/>
      <c r="N1161" s="1556"/>
      <c r="O1161" s="228"/>
      <c r="P1161" s="228"/>
      <c r="Q1161" s="228"/>
      <c r="R1161" s="228"/>
      <c r="S1161" s="228"/>
      <c r="T1161" s="123"/>
      <c r="U1161" s="123"/>
      <c r="V1161" s="3990"/>
      <c r="W1161" s="778"/>
      <c r="X1161" s="775"/>
      <c r="Y1161" s="775"/>
      <c r="Z1161" s="778"/>
      <c r="AA1161" s="778"/>
      <c r="AB1161" s="2259"/>
      <c r="AC1161" s="775"/>
      <c r="AD1161" s="761"/>
      <c r="AE1161" s="761"/>
      <c r="AF1161" s="761"/>
      <c r="AG1161" s="763"/>
      <c r="AH1161" s="1942"/>
      <c r="AI1161" s="1942"/>
      <c r="AJ1161" s="1942"/>
      <c r="AK1161" s="1942"/>
      <c r="AL1161" s="1942"/>
      <c r="AM1161" s="1942"/>
      <c r="AN1161" s="1942"/>
      <c r="AO1161" s="1942"/>
      <c r="AP1161" s="1942"/>
      <c r="AQ1161" s="1942"/>
      <c r="AR1161" s="1942"/>
      <c r="AS1161" s="1942"/>
      <c r="AT1161" s="1942"/>
      <c r="AU1161" s="1942"/>
      <c r="AV1161" s="1942"/>
      <c r="AW1161" s="1942"/>
      <c r="AX1161" s="1942"/>
      <c r="AY1161" s="1942"/>
      <c r="AZ1161" s="1942"/>
      <c r="BA1161" s="1942"/>
      <c r="BB1161" s="575"/>
      <c r="BC1161" s="576"/>
      <c r="BD1161" s="678"/>
    </row>
    <row r="1162" spans="1:56" s="51" customFormat="1" hidden="1" outlineLevel="1" x14ac:dyDescent="0.25">
      <c r="A1162" s="1267"/>
      <c r="B1162" s="228"/>
      <c r="C1162" s="328"/>
      <c r="D1162" s="4013"/>
      <c r="E1162" s="4013"/>
      <c r="F1162" s="3419" t="str">
        <f t="shared" si="122"/>
        <v>Mini/MultiSplitASHP-Replace_CAC_ElectricHeat_ER2_SF</v>
      </c>
      <c r="G1162" s="3420"/>
      <c r="H1162" s="3421"/>
      <c r="I1162" s="3411" t="str">
        <f t="shared" si="123"/>
        <v>351400_2021_12_</v>
      </c>
      <c r="J1162" s="775"/>
      <c r="K1162" s="3044"/>
      <c r="L1162" s="749"/>
      <c r="M1162" s="1570"/>
      <c r="N1162" s="1556"/>
      <c r="O1162" s="228"/>
      <c r="P1162" s="228"/>
      <c r="Q1162" s="228"/>
      <c r="R1162" s="228"/>
      <c r="S1162" s="228"/>
      <c r="T1162" s="123"/>
      <c r="U1162" s="123"/>
      <c r="V1162" s="3990"/>
      <c r="W1162" s="778"/>
      <c r="X1162" s="775"/>
      <c r="Y1162" s="775"/>
      <c r="Z1162" s="778"/>
      <c r="AA1162" s="778"/>
      <c r="AB1162" s="2259"/>
      <c r="AC1162" s="775"/>
      <c r="AD1162" s="761"/>
      <c r="AE1162" s="761"/>
      <c r="AF1162" s="761"/>
      <c r="AG1162" s="763"/>
      <c r="AH1162" s="1942"/>
      <c r="AI1162" s="1942"/>
      <c r="AJ1162" s="1942"/>
      <c r="AK1162" s="1942"/>
      <c r="AL1162" s="1942"/>
      <c r="AM1162" s="1942"/>
      <c r="AN1162" s="1942"/>
      <c r="AO1162" s="1942"/>
      <c r="AP1162" s="1942"/>
      <c r="AQ1162" s="1942"/>
      <c r="AR1162" s="1942"/>
      <c r="AS1162" s="1942"/>
      <c r="AT1162" s="1942"/>
      <c r="AU1162" s="1942"/>
      <c r="AV1162" s="1942"/>
      <c r="AW1162" s="1942"/>
      <c r="AX1162" s="1942"/>
      <c r="AY1162" s="1942"/>
      <c r="AZ1162" s="1942"/>
      <c r="BA1162" s="1942"/>
      <c r="BB1162" s="575"/>
      <c r="BC1162" s="576"/>
      <c r="BD1162" s="678"/>
    </row>
    <row r="1163" spans="1:56" s="51" customFormat="1" hidden="1" outlineLevel="1" x14ac:dyDescent="0.25">
      <c r="A1163" s="1267"/>
      <c r="B1163" s="228"/>
      <c r="C1163" s="328"/>
      <c r="D1163" s="4013"/>
      <c r="E1163" s="4013"/>
      <c r="F1163" s="3422" t="str">
        <f t="shared" si="122"/>
        <v>Mini/MultiSplitASHP-Replace_CAC_ElectricHeat_ROF_SF</v>
      </c>
      <c r="G1163" s="3423"/>
      <c r="H1163" s="3424"/>
      <c r="I1163" s="3411" t="str">
        <f t="shared" si="123"/>
        <v>351450_2021_12_</v>
      </c>
      <c r="J1163" s="775">
        <f>(MIN(2000,P$869)-P$874)*K$858</f>
        <v>337.89830508474574</v>
      </c>
      <c r="K1163" s="3044">
        <f>K966</f>
        <v>1.7307692307692308</v>
      </c>
      <c r="L1163" s="749" t="s">
        <v>1130</v>
      </c>
      <c r="M1163" s="1570"/>
      <c r="N1163" s="1556"/>
      <c r="O1163" s="228"/>
      <c r="P1163" s="228"/>
      <c r="Q1163" s="228"/>
      <c r="R1163" s="228"/>
      <c r="S1163" s="228"/>
      <c r="T1163" s="123"/>
      <c r="U1163" s="123"/>
      <c r="V1163" s="3990"/>
      <c r="W1163" s="778">
        <v>1121.0666666666668</v>
      </c>
      <c r="X1163" s="775">
        <f>(1051*(X$966/12000)/1.5)*X$1077</f>
        <v>1051</v>
      </c>
      <c r="Y1163" s="775">
        <f>(1051*(Y$966/12000)/1.5)*Y$1077</f>
        <v>1121.0666666666668</v>
      </c>
      <c r="Z1163" s="778">
        <v>1121.0666666666668</v>
      </c>
      <c r="AA1163" s="778">
        <v>1121.0666666666668</v>
      </c>
      <c r="AB1163" s="2259">
        <v>336</v>
      </c>
      <c r="AC1163" s="775">
        <v>337.89830508474574</v>
      </c>
      <c r="AD1163" s="761"/>
      <c r="AE1163" s="761"/>
      <c r="AF1163" s="761"/>
      <c r="AG1163" s="763"/>
      <c r="AH1163" s="1942"/>
      <c r="AI1163" s="1942"/>
      <c r="AJ1163" s="1942"/>
      <c r="AK1163" s="1942"/>
      <c r="AL1163" s="1942"/>
      <c r="AM1163" s="1942"/>
      <c r="AN1163" s="1942"/>
      <c r="AO1163" s="1942"/>
      <c r="AP1163" s="1942"/>
      <c r="AQ1163" s="1942"/>
      <c r="AR1163" s="1942"/>
      <c r="AS1163" s="1942"/>
      <c r="AT1163" s="1942"/>
      <c r="AU1163" s="1942"/>
      <c r="AV1163" s="1942"/>
      <c r="AW1163" s="1942"/>
      <c r="AX1163" s="1942"/>
      <c r="AY1163" s="1942"/>
      <c r="AZ1163" s="1942"/>
      <c r="BA1163" s="1942"/>
      <c r="BB1163" s="575"/>
      <c r="BC1163" s="576"/>
      <c r="BD1163" s="678"/>
    </row>
    <row r="1164" spans="1:56" s="51" customFormat="1" hidden="1" outlineLevel="1" x14ac:dyDescent="0.25">
      <c r="A1164" s="1267"/>
      <c r="B1164" s="228"/>
      <c r="C1164" s="328"/>
      <c r="D1164" s="4013"/>
      <c r="E1164" s="4013"/>
      <c r="F1164" s="3419" t="str">
        <f t="shared" si="122"/>
        <v>Mini/MultiSplitASHP-Replace_CAC_ElectricHeat_ROF_SF</v>
      </c>
      <c r="G1164" s="3420"/>
      <c r="H1164" s="3421"/>
      <c r="I1164" s="3411" t="str">
        <f t="shared" si="123"/>
        <v>351450_2021_12_</v>
      </c>
      <c r="J1164" s="775"/>
      <c r="K1164" s="3044"/>
      <c r="L1164" s="749"/>
      <c r="M1164" s="1570"/>
      <c r="N1164" s="1556"/>
      <c r="O1164" s="228"/>
      <c r="P1164" s="228"/>
      <c r="Q1164" s="228"/>
      <c r="R1164" s="228"/>
      <c r="S1164" s="228"/>
      <c r="T1164" s="123"/>
      <c r="U1164" s="123"/>
      <c r="V1164" s="3990"/>
      <c r="W1164" s="778"/>
      <c r="X1164" s="775"/>
      <c r="Y1164" s="775"/>
      <c r="Z1164" s="778"/>
      <c r="AA1164" s="778"/>
      <c r="AB1164" s="2259"/>
      <c r="AC1164" s="775"/>
      <c r="AD1164" s="761"/>
      <c r="AE1164" s="761"/>
      <c r="AF1164" s="761"/>
      <c r="AG1164" s="763"/>
      <c r="AH1164" s="1942"/>
      <c r="AI1164" s="1942"/>
      <c r="AJ1164" s="1942"/>
      <c r="AK1164" s="1942"/>
      <c r="AL1164" s="1942"/>
      <c r="AM1164" s="1942"/>
      <c r="AN1164" s="1942"/>
      <c r="AO1164" s="1942"/>
      <c r="AP1164" s="1942"/>
      <c r="AQ1164" s="1942"/>
      <c r="AR1164" s="1942"/>
      <c r="AS1164" s="1942"/>
      <c r="AT1164" s="1942"/>
      <c r="AU1164" s="1942"/>
      <c r="AV1164" s="1942"/>
      <c r="AW1164" s="1942"/>
      <c r="AX1164" s="1942"/>
      <c r="AY1164" s="1942"/>
      <c r="AZ1164" s="1942"/>
      <c r="BA1164" s="1942"/>
      <c r="BB1164" s="575"/>
      <c r="BC1164" s="576"/>
      <c r="BD1164" s="678"/>
    </row>
    <row r="1165" spans="1:56" s="51" customFormat="1" hidden="1" outlineLevel="1" x14ac:dyDescent="0.25">
      <c r="A1165" s="1267"/>
      <c r="B1165" s="228"/>
      <c r="C1165" s="328"/>
      <c r="D1165" s="4013"/>
      <c r="E1165" s="4013"/>
      <c r="F1165" s="3422" t="str">
        <f t="shared" si="122"/>
        <v>Mini/MultiSplitASHP_ER1_SF</v>
      </c>
      <c r="G1165" s="3423"/>
      <c r="H1165" s="3424"/>
      <c r="I1165" s="3411" t="str">
        <f t="shared" si="123"/>
        <v>351500_2021_12_</v>
      </c>
      <c r="J1165" s="775">
        <f>((P$874*K1165)+P$860)-((O$874*K1165)/((1+P$878)^(P$879-1)))</f>
        <v>698.32770489042764</v>
      </c>
      <c r="K1165" s="3044">
        <f>K967</f>
        <v>1.4772727272727273</v>
      </c>
      <c r="L1165" s="749" t="s">
        <v>1130</v>
      </c>
      <c r="M1165" s="1570"/>
      <c r="N1165" s="1556"/>
      <c r="O1165" s="228"/>
      <c r="P1165" s="228"/>
      <c r="Q1165" s="228"/>
      <c r="R1165" s="228"/>
      <c r="S1165" s="228"/>
      <c r="T1165" s="123"/>
      <c r="U1165" s="123"/>
      <c r="V1165" s="3990"/>
      <c r="W1165" s="778">
        <v>2246.2666666666669</v>
      </c>
      <c r="X1165" s="775">
        <f>(1982*(X$967/12000)/1.5)*X$1079</f>
        <v>1982</v>
      </c>
      <c r="Y1165" s="775">
        <f>(1982*(Y$967/12000)/1.5)*Y$1079</f>
        <v>1982</v>
      </c>
      <c r="Z1165" s="778">
        <v>1982</v>
      </c>
      <c r="AA1165" s="778">
        <v>1982</v>
      </c>
      <c r="AB1165" s="2259">
        <v>648.60319098531227</v>
      </c>
      <c r="AC1165" s="775">
        <v>698.32770489042764</v>
      </c>
      <c r="AD1165" s="761"/>
      <c r="AE1165" s="761"/>
      <c r="AF1165" s="761"/>
      <c r="AG1165" s="763"/>
      <c r="AH1165" s="1942"/>
      <c r="AI1165" s="1942"/>
      <c r="AJ1165" s="1942"/>
      <c r="AK1165" s="1942"/>
      <c r="AL1165" s="1942"/>
      <c r="AM1165" s="1942"/>
      <c r="AN1165" s="1942"/>
      <c r="AO1165" s="1942"/>
      <c r="AP1165" s="1942"/>
      <c r="AQ1165" s="1942"/>
      <c r="AR1165" s="1942"/>
      <c r="AS1165" s="1942"/>
      <c r="AT1165" s="1942"/>
      <c r="AU1165" s="1942"/>
      <c r="AV1165" s="1942"/>
      <c r="AW1165" s="1942"/>
      <c r="AX1165" s="1942"/>
      <c r="AY1165" s="1942"/>
      <c r="AZ1165" s="1942"/>
      <c r="BA1165" s="1942"/>
      <c r="BB1165" s="575"/>
      <c r="BC1165" s="576"/>
      <c r="BD1165" s="678"/>
    </row>
    <row r="1166" spans="1:56" s="51" customFormat="1" hidden="1" outlineLevel="1" x14ac:dyDescent="0.25">
      <c r="A1166" s="1267"/>
      <c r="B1166" s="228"/>
      <c r="C1166" s="328"/>
      <c r="D1166" s="4013"/>
      <c r="E1166" s="4013"/>
      <c r="F1166" s="3416" t="str">
        <f t="shared" si="122"/>
        <v>Mini/MultiSplitASHP_ER1_SF</v>
      </c>
      <c r="G1166" s="3417"/>
      <c r="H1166" s="3418"/>
      <c r="I1166" s="3411" t="str">
        <f t="shared" si="123"/>
        <v>351500_2021_12_</v>
      </c>
      <c r="J1166" s="779"/>
      <c r="K1166" s="3044"/>
      <c r="L1166" s="749"/>
      <c r="M1166" s="1570"/>
      <c r="N1166" s="1556"/>
      <c r="O1166" s="228"/>
      <c r="P1166" s="228"/>
      <c r="Q1166" s="228"/>
      <c r="R1166" s="228"/>
      <c r="S1166" s="228"/>
      <c r="T1166" s="123"/>
      <c r="U1166" s="123"/>
      <c r="V1166" s="3990"/>
      <c r="W1166" s="780"/>
      <c r="X1166" s="779"/>
      <c r="Y1166" s="779"/>
      <c r="Z1166" s="780"/>
      <c r="AA1166" s="780"/>
      <c r="AB1166" s="2259"/>
      <c r="AC1166" s="779"/>
      <c r="AD1166" s="761"/>
      <c r="AE1166" s="761"/>
      <c r="AF1166" s="761"/>
      <c r="AG1166" s="763"/>
      <c r="AH1166" s="1942"/>
      <c r="AI1166" s="1942"/>
      <c r="AJ1166" s="1942"/>
      <c r="AK1166" s="1942"/>
      <c r="AL1166" s="1942"/>
      <c r="AM1166" s="1942"/>
      <c r="AN1166" s="1942"/>
      <c r="AO1166" s="1942"/>
      <c r="AP1166" s="1942"/>
      <c r="AQ1166" s="1942"/>
      <c r="AR1166" s="1942"/>
      <c r="AS1166" s="1942"/>
      <c r="AT1166" s="1942"/>
      <c r="AU1166" s="1942"/>
      <c r="AV1166" s="1942"/>
      <c r="AW1166" s="1942"/>
      <c r="AX1166" s="1942"/>
      <c r="AY1166" s="1942"/>
      <c r="AZ1166" s="1942"/>
      <c r="BA1166" s="1942"/>
      <c r="BB1166" s="575"/>
      <c r="BC1166" s="576"/>
      <c r="BD1166" s="678"/>
    </row>
    <row r="1167" spans="1:56" s="51" customFormat="1" hidden="1" outlineLevel="1" x14ac:dyDescent="0.25">
      <c r="A1167" s="1267"/>
      <c r="B1167" s="228"/>
      <c r="C1167" s="328"/>
      <c r="D1167" s="4013"/>
      <c r="E1167" s="4013"/>
      <c r="F1167" s="3416" t="str">
        <f t="shared" si="122"/>
        <v>Mini/MultiSplitASHP_ER2_SF</v>
      </c>
      <c r="G1167" s="3417"/>
      <c r="H1167" s="3418"/>
      <c r="I1167" s="3411" t="str">
        <f t="shared" si="123"/>
        <v>351500_2021_12_</v>
      </c>
      <c r="J1167" s="779"/>
      <c r="K1167" s="3044"/>
      <c r="L1167" s="749"/>
      <c r="M1167" s="1570"/>
      <c r="N1167" s="1556"/>
      <c r="O1167" s="228"/>
      <c r="P1167" s="228"/>
      <c r="Q1167" s="228"/>
      <c r="R1167" s="228"/>
      <c r="S1167" s="228"/>
      <c r="T1167" s="123"/>
      <c r="U1167" s="123"/>
      <c r="V1167" s="3990"/>
      <c r="W1167" s="780"/>
      <c r="X1167" s="779"/>
      <c r="Y1167" s="779"/>
      <c r="Z1167" s="780"/>
      <c r="AA1167" s="780"/>
      <c r="AB1167" s="2259"/>
      <c r="AC1167" s="779"/>
      <c r="AD1167" s="761"/>
      <c r="AE1167" s="761"/>
      <c r="AF1167" s="761"/>
      <c r="AG1167" s="763"/>
      <c r="AH1167" s="1942"/>
      <c r="AI1167" s="1942"/>
      <c r="AJ1167" s="1942"/>
      <c r="AK1167" s="1942"/>
      <c r="AL1167" s="1942"/>
      <c r="AM1167" s="1942"/>
      <c r="AN1167" s="1942"/>
      <c r="AO1167" s="1942"/>
      <c r="AP1167" s="1942"/>
      <c r="AQ1167" s="1942"/>
      <c r="AR1167" s="1942"/>
      <c r="AS1167" s="1942"/>
      <c r="AT1167" s="1942"/>
      <c r="AU1167" s="1942"/>
      <c r="AV1167" s="1942"/>
      <c r="AW1167" s="1942"/>
      <c r="AX1167" s="1942"/>
      <c r="AY1167" s="1942"/>
      <c r="AZ1167" s="1942"/>
      <c r="BA1167" s="1942"/>
      <c r="BB1167" s="575"/>
      <c r="BC1167" s="576"/>
      <c r="BD1167" s="678"/>
    </row>
    <row r="1168" spans="1:56" s="51" customFormat="1" hidden="1" outlineLevel="1" x14ac:dyDescent="0.25">
      <c r="A1168" s="1267"/>
      <c r="B1168" s="228"/>
      <c r="C1168" s="328"/>
      <c r="D1168" s="4013"/>
      <c r="E1168" s="4013"/>
      <c r="F1168" s="3419" t="str">
        <f t="shared" si="122"/>
        <v>Mini/MultiSplitASHP_ER2_SF</v>
      </c>
      <c r="G1168" s="3420"/>
      <c r="H1168" s="3421"/>
      <c r="I1168" s="3411" t="str">
        <f t="shared" si="123"/>
        <v>351500_2021_12_</v>
      </c>
      <c r="J1168" s="779"/>
      <c r="K1168" s="3044"/>
      <c r="L1168" s="749"/>
      <c r="M1168" s="1570"/>
      <c r="N1168" s="1556"/>
      <c r="O1168" s="228"/>
      <c r="P1168" s="228"/>
      <c r="Q1168" s="228"/>
      <c r="R1168" s="228"/>
      <c r="S1168" s="228"/>
      <c r="T1168" s="123"/>
      <c r="U1168" s="123"/>
      <c r="V1168" s="3990"/>
      <c r="W1168" s="780"/>
      <c r="X1168" s="779"/>
      <c r="Y1168" s="779"/>
      <c r="Z1168" s="780"/>
      <c r="AA1168" s="780"/>
      <c r="AB1168" s="2259"/>
      <c r="AC1168" s="779"/>
      <c r="AD1168" s="761"/>
      <c r="AE1168" s="761"/>
      <c r="AF1168" s="761"/>
      <c r="AG1168" s="763"/>
      <c r="AH1168" s="1942"/>
      <c r="AI1168" s="1942"/>
      <c r="AJ1168" s="1942"/>
      <c r="AK1168" s="1942"/>
      <c r="AL1168" s="1942"/>
      <c r="AM1168" s="1942"/>
      <c r="AN1168" s="1942"/>
      <c r="AO1168" s="1942"/>
      <c r="AP1168" s="1942"/>
      <c r="AQ1168" s="1942"/>
      <c r="AR1168" s="1942"/>
      <c r="AS1168" s="1942"/>
      <c r="AT1168" s="1942"/>
      <c r="AU1168" s="1942"/>
      <c r="AV1168" s="1942"/>
      <c r="AW1168" s="1942"/>
      <c r="AX1168" s="1942"/>
      <c r="AY1168" s="1942"/>
      <c r="AZ1168" s="1942"/>
      <c r="BA1168" s="1942"/>
      <c r="BB1168" s="575"/>
      <c r="BC1168" s="576"/>
      <c r="BD1168" s="678"/>
    </row>
    <row r="1169" spans="1:56" s="51" customFormat="1" hidden="1" outlineLevel="1" x14ac:dyDescent="0.25">
      <c r="A1169" s="1267"/>
      <c r="B1169" s="228"/>
      <c r="C1169" s="328"/>
      <c r="D1169" s="4013"/>
      <c r="E1169" s="4013"/>
      <c r="F1169" s="3422" t="str">
        <f t="shared" si="122"/>
        <v>Mini/MultiSplitAC_ER1_MF</v>
      </c>
      <c r="G1169" s="3423"/>
      <c r="H1169" s="3424"/>
      <c r="I1169" s="3411" t="str">
        <f t="shared" si="123"/>
        <v>351550_2021_12_</v>
      </c>
      <c r="J1169" s="775">
        <f>((P$874*K1169)+P$860)-((O$875*K1169)/((1+P$878)^(P$879-1)))</f>
        <v>1133.5954314013989</v>
      </c>
      <c r="K1169" s="3044">
        <f>K968</f>
        <v>1.3333333333333333</v>
      </c>
      <c r="L1169" s="749" t="s">
        <v>1130</v>
      </c>
      <c r="M1169" s="1570"/>
      <c r="N1169" s="1556"/>
      <c r="O1169" s="228"/>
      <c r="P1169" s="228"/>
      <c r="Q1169" s="228"/>
      <c r="R1169" s="228"/>
      <c r="S1169" s="228"/>
      <c r="T1169" s="123"/>
      <c r="U1169" s="123"/>
      <c r="V1169" s="3990"/>
      <c r="W1169" s="780">
        <v>1601.3999999999999</v>
      </c>
      <c r="X1169" s="779">
        <f>(1413*(X$961/12000)/1.5*X$1083)</f>
        <v>918.45</v>
      </c>
      <c r="Y1169" s="779">
        <f>(1413*(Y$961/12000)/1.5*Y$1083)</f>
        <v>1413</v>
      </c>
      <c r="Z1169" s="780">
        <v>1413</v>
      </c>
      <c r="AA1169" s="780">
        <v>1413</v>
      </c>
      <c r="AB1169" s="2259">
        <v>1231.1592671062349</v>
      </c>
      <c r="AC1169" s="775">
        <v>1133.5954314013989</v>
      </c>
      <c r="AD1169" s="761"/>
      <c r="AE1169" s="761"/>
      <c r="AF1169" s="761"/>
      <c r="AG1169" s="763"/>
      <c r="AH1169" s="1942"/>
      <c r="AI1169" s="1942"/>
      <c r="AJ1169" s="1942"/>
      <c r="AK1169" s="1942"/>
      <c r="AL1169" s="1942"/>
      <c r="AM1169" s="1942"/>
      <c r="AN1169" s="1942"/>
      <c r="AO1169" s="1942"/>
      <c r="AP1169" s="1942"/>
      <c r="AQ1169" s="1942"/>
      <c r="AR1169" s="1942"/>
      <c r="AS1169" s="1942"/>
      <c r="AT1169" s="1942"/>
      <c r="AU1169" s="1942"/>
      <c r="AV1169" s="1942"/>
      <c r="AW1169" s="1942"/>
      <c r="AX1169" s="1942"/>
      <c r="AY1169" s="1942"/>
      <c r="AZ1169" s="1942"/>
      <c r="BA1169" s="1942"/>
      <c r="BB1169" s="575"/>
      <c r="BC1169" s="576"/>
      <c r="BD1169" s="678"/>
    </row>
    <row r="1170" spans="1:56" s="51" customFormat="1" hidden="1" outlineLevel="1" x14ac:dyDescent="0.25">
      <c r="A1170" s="1267"/>
      <c r="B1170" s="228"/>
      <c r="C1170" s="328"/>
      <c r="D1170" s="4013"/>
      <c r="E1170" s="4013"/>
      <c r="F1170" s="3419" t="str">
        <f t="shared" si="122"/>
        <v>Mini/MultiSplitAC_ER2_MF</v>
      </c>
      <c r="G1170" s="3420"/>
      <c r="H1170" s="3421"/>
      <c r="I1170" s="3411" t="str">
        <f t="shared" si="123"/>
        <v>351550_2021_12_</v>
      </c>
      <c r="J1170" s="779"/>
      <c r="K1170" s="3044"/>
      <c r="L1170" s="749"/>
      <c r="M1170" s="1570"/>
      <c r="N1170" s="1556"/>
      <c r="O1170" s="228"/>
      <c r="P1170" s="228"/>
      <c r="Q1170" s="228"/>
      <c r="R1170" s="228"/>
      <c r="S1170" s="228"/>
      <c r="T1170" s="123"/>
      <c r="U1170" s="123"/>
      <c r="V1170" s="3990"/>
      <c r="W1170" s="780"/>
      <c r="X1170" s="779"/>
      <c r="Y1170" s="779"/>
      <c r="Z1170" s="780"/>
      <c r="AA1170" s="780"/>
      <c r="AB1170" s="2259"/>
      <c r="AC1170" s="779"/>
      <c r="AD1170" s="761"/>
      <c r="AE1170" s="761"/>
      <c r="AF1170" s="761"/>
      <c r="AG1170" s="763"/>
      <c r="AH1170" s="1942"/>
      <c r="AI1170" s="1942"/>
      <c r="AJ1170" s="1942"/>
      <c r="AK1170" s="1942"/>
      <c r="AL1170" s="1942"/>
      <c r="AM1170" s="1942"/>
      <c r="AN1170" s="1942"/>
      <c r="AO1170" s="1942"/>
      <c r="AP1170" s="1942"/>
      <c r="AQ1170" s="1942"/>
      <c r="AR1170" s="1942"/>
      <c r="AS1170" s="1942"/>
      <c r="AT1170" s="1942"/>
      <c r="AU1170" s="1942"/>
      <c r="AV1170" s="1942"/>
      <c r="AW1170" s="1942"/>
      <c r="AX1170" s="1942"/>
      <c r="AY1170" s="1942"/>
      <c r="AZ1170" s="1942"/>
      <c r="BA1170" s="1942"/>
      <c r="BB1170" s="575"/>
      <c r="BC1170" s="576"/>
      <c r="BD1170" s="678"/>
    </row>
    <row r="1171" spans="1:56" s="51" customFormat="1" hidden="1" outlineLevel="1" x14ac:dyDescent="0.25">
      <c r="A1171" s="1267"/>
      <c r="B1171" s="228"/>
      <c r="C1171" s="328"/>
      <c r="D1171" s="4013"/>
      <c r="E1171" s="4013"/>
      <c r="F1171" s="3425" t="str">
        <f t="shared" si="122"/>
        <v>Mini/MultiSplitAC_ROF_MF</v>
      </c>
      <c r="G1171" s="3426"/>
      <c r="H1171" s="3427"/>
      <c r="I1171" s="3411" t="str">
        <f t="shared" si="123"/>
        <v>351600_2021_12_</v>
      </c>
      <c r="J1171" s="775">
        <f t="shared" ref="J1171:J1172" si="125">(MIN(2000,P$869)-P$874)*K$858</f>
        <v>337.89830508474574</v>
      </c>
      <c r="K1171" s="3044">
        <f>K969</f>
        <v>1.4</v>
      </c>
      <c r="L1171" s="749" t="s">
        <v>1130</v>
      </c>
      <c r="M1171" s="1570"/>
      <c r="N1171" s="1556"/>
      <c r="O1171" s="228"/>
      <c r="P1171" s="228"/>
      <c r="Q1171" s="228"/>
      <c r="R1171" s="228"/>
      <c r="S1171" s="228"/>
      <c r="T1171" s="123"/>
      <c r="U1171" s="123"/>
      <c r="V1171" s="3990"/>
      <c r="W1171" s="780">
        <v>1043.7333333333333</v>
      </c>
      <c r="X1171" s="779">
        <f>(978.5/1.5*(X$962/12000))*X$1085</f>
        <v>636.02499999999998</v>
      </c>
      <c r="Y1171" s="779">
        <f>(978.5/1.5*(Y$962/12000))*Y$1085</f>
        <v>978.5</v>
      </c>
      <c r="Z1171" s="780">
        <v>978.5</v>
      </c>
      <c r="AA1171" s="780">
        <v>978.5</v>
      </c>
      <c r="AB1171" s="2259">
        <v>336</v>
      </c>
      <c r="AC1171" s="775">
        <v>337.89830508474574</v>
      </c>
      <c r="AD1171" s="761"/>
      <c r="AE1171" s="761"/>
      <c r="AF1171" s="761"/>
      <c r="AG1171" s="763"/>
      <c r="AH1171" s="1942"/>
      <c r="AI1171" s="1942"/>
      <c r="AJ1171" s="1942"/>
      <c r="AK1171" s="1942"/>
      <c r="AL1171" s="1942"/>
      <c r="AM1171" s="1942"/>
      <c r="AN1171" s="1942"/>
      <c r="AO1171" s="1942"/>
      <c r="AP1171" s="1942"/>
      <c r="AQ1171" s="1942"/>
      <c r="AR1171" s="1942"/>
      <c r="AS1171" s="1942"/>
      <c r="AT1171" s="1942"/>
      <c r="AU1171" s="1942"/>
      <c r="AV1171" s="1942"/>
      <c r="AW1171" s="1942"/>
      <c r="AX1171" s="1942"/>
      <c r="AY1171" s="1942"/>
      <c r="AZ1171" s="1942"/>
      <c r="BA1171" s="1942"/>
      <c r="BB1171" s="575"/>
      <c r="BC1171" s="576"/>
      <c r="BD1171" s="678"/>
    </row>
    <row r="1172" spans="1:56" s="51" customFormat="1" hidden="1" outlineLevel="1" x14ac:dyDescent="0.25">
      <c r="A1172" s="1267"/>
      <c r="B1172" s="228"/>
      <c r="C1172" s="328"/>
      <c r="D1172" s="4013"/>
      <c r="E1172" s="4013"/>
      <c r="F1172" s="3422" t="str">
        <f t="shared" si="122"/>
        <v>Mini/MultiSplitASHP_ROF_MF_NC</v>
      </c>
      <c r="G1172" s="3423"/>
      <c r="H1172" s="3424"/>
      <c r="I1172" s="3411" t="str">
        <f t="shared" si="123"/>
        <v>351650_2021_12_</v>
      </c>
      <c r="J1172" s="775">
        <f t="shared" si="125"/>
        <v>337.89830508474574</v>
      </c>
      <c r="K1172" s="3044">
        <f>K970</f>
        <v>1.5084745762711864</v>
      </c>
      <c r="L1172" s="749" t="s">
        <v>1130</v>
      </c>
      <c r="M1172" s="1570"/>
      <c r="N1172" s="1556"/>
      <c r="O1172" s="228"/>
      <c r="P1172" s="228"/>
      <c r="Q1172" s="228"/>
      <c r="R1172" s="228"/>
      <c r="S1172" s="228"/>
      <c r="T1172" s="123"/>
      <c r="U1172" s="123"/>
      <c r="V1172" s="3990"/>
      <c r="W1172" s="780">
        <v>658</v>
      </c>
      <c r="X1172" s="779">
        <f>(705/1.5*(X$963/12000)*X$1086)</f>
        <v>458.25</v>
      </c>
      <c r="Y1172" s="779">
        <f>(705/1.5*(Y$963/12000)*Y$1086)</f>
        <v>705</v>
      </c>
      <c r="Z1172" s="780">
        <v>705</v>
      </c>
      <c r="AA1172" s="780">
        <v>705</v>
      </c>
      <c r="AB1172" s="2259">
        <v>336</v>
      </c>
      <c r="AC1172" s="775">
        <v>337.89830508474574</v>
      </c>
      <c r="AD1172" s="761"/>
      <c r="AE1172" s="761"/>
      <c r="AF1172" s="761"/>
      <c r="AG1172" s="763"/>
      <c r="AH1172" s="1942"/>
      <c r="AI1172" s="1942"/>
      <c r="AJ1172" s="1942"/>
      <c r="AK1172" s="1942"/>
      <c r="AL1172" s="1942"/>
      <c r="AM1172" s="1942"/>
      <c r="AN1172" s="1942"/>
      <c r="AO1172" s="1942"/>
      <c r="AP1172" s="1942"/>
      <c r="AQ1172" s="1942"/>
      <c r="AR1172" s="1942"/>
      <c r="AS1172" s="1942"/>
      <c r="AT1172" s="1942"/>
      <c r="AU1172" s="1942"/>
      <c r="AV1172" s="1942"/>
      <c r="AW1172" s="1942"/>
      <c r="AX1172" s="1942"/>
      <c r="AY1172" s="1942"/>
      <c r="AZ1172" s="1942"/>
      <c r="BA1172" s="1942"/>
      <c r="BB1172" s="575"/>
      <c r="BC1172" s="576"/>
      <c r="BD1172" s="678"/>
    </row>
    <row r="1173" spans="1:56" s="51" customFormat="1" hidden="1" outlineLevel="1" x14ac:dyDescent="0.25">
      <c r="A1173" s="1267"/>
      <c r="B1173" s="228"/>
      <c r="C1173" s="328"/>
      <c r="D1173" s="4013"/>
      <c r="E1173" s="4013"/>
      <c r="F1173" s="3419" t="str">
        <f t="shared" si="122"/>
        <v>Mini/MultiSplitASHP_ROF_MF_NC</v>
      </c>
      <c r="G1173" s="3420"/>
      <c r="H1173" s="3421"/>
      <c r="I1173" s="3411" t="str">
        <f t="shared" si="123"/>
        <v>351650_2021_12_</v>
      </c>
      <c r="J1173" s="775"/>
      <c r="K1173" s="3044"/>
      <c r="L1173" s="749"/>
      <c r="M1173" s="1570"/>
      <c r="N1173" s="1556"/>
      <c r="O1173" s="228"/>
      <c r="P1173" s="228"/>
      <c r="Q1173" s="228"/>
      <c r="R1173" s="228"/>
      <c r="S1173" s="228"/>
      <c r="T1173" s="123"/>
      <c r="U1173" s="123"/>
      <c r="V1173" s="3990"/>
      <c r="W1173" s="778"/>
      <c r="X1173" s="775"/>
      <c r="Y1173" s="775"/>
      <c r="Z1173" s="778"/>
      <c r="AA1173" s="778"/>
      <c r="AB1173" s="2259"/>
      <c r="AC1173" s="775"/>
      <c r="AD1173" s="761"/>
      <c r="AE1173" s="761"/>
      <c r="AF1173" s="761"/>
      <c r="AG1173" s="763"/>
      <c r="AH1173" s="1942"/>
      <c r="AI1173" s="1942"/>
      <c r="AJ1173" s="1942"/>
      <c r="AK1173" s="1942"/>
      <c r="AL1173" s="1942"/>
      <c r="AM1173" s="1942"/>
      <c r="AN1173" s="1942"/>
      <c r="AO1173" s="1942"/>
      <c r="AP1173" s="1942"/>
      <c r="AQ1173" s="1942"/>
      <c r="AR1173" s="1942"/>
      <c r="AS1173" s="1942"/>
      <c r="AT1173" s="1942"/>
      <c r="AU1173" s="1942"/>
      <c r="AV1173" s="1942"/>
      <c r="AW1173" s="1942"/>
      <c r="AX1173" s="1942"/>
      <c r="AY1173" s="1942"/>
      <c r="AZ1173" s="1942"/>
      <c r="BA1173" s="1942"/>
      <c r="BB1173" s="575"/>
      <c r="BC1173" s="576"/>
      <c r="BD1173" s="678"/>
    </row>
    <row r="1174" spans="1:56" s="51" customFormat="1" hidden="1" outlineLevel="1" x14ac:dyDescent="0.25">
      <c r="A1174" s="1267"/>
      <c r="B1174" s="228"/>
      <c r="C1174" s="328"/>
      <c r="D1174" s="4013"/>
      <c r="E1174" s="4013"/>
      <c r="F1174" s="3422" t="str">
        <f t="shared" si="122"/>
        <v>Mini/MultiSplitASHP_ROF_MF</v>
      </c>
      <c r="G1174" s="3423"/>
      <c r="H1174" s="3424"/>
      <c r="I1174" s="3411" t="str">
        <f t="shared" si="123"/>
        <v>351700_2021_12_</v>
      </c>
      <c r="J1174" s="775">
        <f>(MIN(2000,P$869)-P$874)*K$858</f>
        <v>337.89830508474574</v>
      </c>
      <c r="K1174" s="3044">
        <f>K971</f>
        <v>1.375</v>
      </c>
      <c r="L1174" s="749" t="s">
        <v>1130</v>
      </c>
      <c r="M1174" s="1570"/>
      <c r="N1174" s="1556"/>
      <c r="O1174" s="228"/>
      <c r="P1174" s="228"/>
      <c r="Q1174" s="228"/>
      <c r="R1174" s="228"/>
      <c r="S1174" s="228"/>
      <c r="T1174" s="123"/>
      <c r="U1174" s="123"/>
      <c r="V1174" s="3990"/>
      <c r="W1174" s="780">
        <v>658</v>
      </c>
      <c r="X1174" s="779">
        <f>(705*(X$964/12000)/1.5*X$1088)</f>
        <v>458.25</v>
      </c>
      <c r="Y1174" s="779">
        <f>(705*(Y$964/12000)/1.5*Y$1088)</f>
        <v>705</v>
      </c>
      <c r="Z1174" s="780">
        <v>705</v>
      </c>
      <c r="AA1174" s="780">
        <v>705</v>
      </c>
      <c r="AB1174" s="2259">
        <v>336</v>
      </c>
      <c r="AC1174" s="775">
        <v>337.89830508474574</v>
      </c>
      <c r="AD1174" s="761"/>
      <c r="AE1174" s="761"/>
      <c r="AF1174" s="761"/>
      <c r="AG1174" s="763"/>
      <c r="AH1174" s="1942"/>
      <c r="AI1174" s="1942"/>
      <c r="AJ1174" s="1942"/>
      <c r="AK1174" s="1942"/>
      <c r="AL1174" s="1942"/>
      <c r="AM1174" s="1942"/>
      <c r="AN1174" s="1942"/>
      <c r="AO1174" s="1942"/>
      <c r="AP1174" s="1942"/>
      <c r="AQ1174" s="1942"/>
      <c r="AR1174" s="1942"/>
      <c r="AS1174" s="1942"/>
      <c r="AT1174" s="1942"/>
      <c r="AU1174" s="1942"/>
      <c r="AV1174" s="1942"/>
      <c r="AW1174" s="1942"/>
      <c r="AX1174" s="1942"/>
      <c r="AY1174" s="1942"/>
      <c r="AZ1174" s="1942"/>
      <c r="BA1174" s="1942"/>
      <c r="BB1174" s="575"/>
      <c r="BC1174" s="576"/>
      <c r="BD1174" s="678"/>
    </row>
    <row r="1175" spans="1:56" s="51" customFormat="1" hidden="1" outlineLevel="1" x14ac:dyDescent="0.25">
      <c r="A1175" s="1267"/>
      <c r="B1175" s="228"/>
      <c r="C1175" s="328"/>
      <c r="D1175" s="4013"/>
      <c r="E1175" s="4013"/>
      <c r="F1175" s="3419" t="str">
        <f t="shared" si="122"/>
        <v>Mini/MultiSplitASHP_ROF_MF</v>
      </c>
      <c r="G1175" s="3420"/>
      <c r="H1175" s="3421"/>
      <c r="I1175" s="3411" t="str">
        <f t="shared" si="123"/>
        <v>351700_2021_12_</v>
      </c>
      <c r="J1175" s="775"/>
      <c r="K1175" s="3044"/>
      <c r="L1175" s="749"/>
      <c r="M1175" s="1570"/>
      <c r="N1175" s="1556"/>
      <c r="O1175" s="228"/>
      <c r="P1175" s="228"/>
      <c r="Q1175" s="228"/>
      <c r="R1175" s="228"/>
      <c r="S1175" s="228"/>
      <c r="T1175" s="123"/>
      <c r="U1175" s="123"/>
      <c r="V1175" s="3990"/>
      <c r="W1175" s="778"/>
      <c r="X1175" s="775"/>
      <c r="Y1175" s="775"/>
      <c r="Z1175" s="778"/>
      <c r="AA1175" s="778"/>
      <c r="AB1175" s="2259"/>
      <c r="AC1175" s="775"/>
      <c r="AD1175" s="761"/>
      <c r="AE1175" s="761"/>
      <c r="AF1175" s="761"/>
      <c r="AG1175" s="763"/>
      <c r="AH1175" s="1942"/>
      <c r="AI1175" s="1942"/>
      <c r="AJ1175" s="1942"/>
      <c r="AK1175" s="1942"/>
      <c r="AL1175" s="1942"/>
      <c r="AM1175" s="1942"/>
      <c r="AN1175" s="1942"/>
      <c r="AO1175" s="1942"/>
      <c r="AP1175" s="1942"/>
      <c r="AQ1175" s="1942"/>
      <c r="AR1175" s="1942"/>
      <c r="AS1175" s="1942"/>
      <c r="AT1175" s="1942"/>
      <c r="AU1175" s="1942"/>
      <c r="AV1175" s="1942"/>
      <c r="AW1175" s="1942"/>
      <c r="AX1175" s="1942"/>
      <c r="AY1175" s="1942"/>
      <c r="AZ1175" s="1942"/>
      <c r="BA1175" s="1942"/>
      <c r="BB1175" s="575"/>
      <c r="BC1175" s="576"/>
      <c r="BD1175" s="678"/>
    </row>
    <row r="1176" spans="1:56" s="51" customFormat="1" hidden="1" outlineLevel="1" x14ac:dyDescent="0.25">
      <c r="A1176" s="1267"/>
      <c r="B1176" s="228"/>
      <c r="C1176" s="328"/>
      <c r="D1176" s="4013"/>
      <c r="E1176" s="4013"/>
      <c r="F1176" s="3422" t="str">
        <f t="shared" si="122"/>
        <v>Mini/MultiSplitASHP-Replace_CAC_ElectricHeat_ER1_MF</v>
      </c>
      <c r="G1176" s="3423"/>
      <c r="H1176" s="3424"/>
      <c r="I1176" s="3411" t="str">
        <f t="shared" si="123"/>
        <v>351750_2021_12_</v>
      </c>
      <c r="J1176" s="775">
        <f>((P$874*K1176)+P$860)-((O$876*K1176)/((1+P$878)^(P$879-1)))</f>
        <v>2505.747142294048</v>
      </c>
      <c r="K1176" s="3044">
        <f>K972</f>
        <v>1.569767441860465</v>
      </c>
      <c r="L1176" s="749" t="s">
        <v>1130</v>
      </c>
      <c r="M1176" s="1570"/>
      <c r="N1176" s="1556"/>
      <c r="O1176" s="228"/>
      <c r="P1176" s="228"/>
      <c r="Q1176" s="228"/>
      <c r="R1176" s="228"/>
      <c r="S1176" s="228"/>
      <c r="T1176" s="123"/>
      <c r="U1176" s="123"/>
      <c r="V1176" s="3990"/>
      <c r="W1176" s="780">
        <v>1484</v>
      </c>
      <c r="X1176" s="779">
        <f>(1590*(X$965/12000)/1.5*$J$1090)</f>
        <v>1590</v>
      </c>
      <c r="Y1176" s="779">
        <f>(1590*(Y$965/12000)/1.5*$J$1090)</f>
        <v>1590</v>
      </c>
      <c r="Z1176" s="780">
        <v>1590</v>
      </c>
      <c r="AA1176" s="780">
        <v>1590</v>
      </c>
      <c r="AB1176" s="2259">
        <v>2504.17</v>
      </c>
      <c r="AC1176" s="775">
        <v>2505.747142294048</v>
      </c>
      <c r="AD1176" s="761"/>
      <c r="AE1176" s="761"/>
      <c r="AF1176" s="761"/>
      <c r="AG1176" s="763"/>
      <c r="AH1176" s="1942"/>
      <c r="AI1176" s="1942"/>
      <c r="AJ1176" s="1942"/>
      <c r="AK1176" s="1942"/>
      <c r="AL1176" s="1942"/>
      <c r="AM1176" s="1942"/>
      <c r="AN1176" s="1942"/>
      <c r="AO1176" s="1942"/>
      <c r="AP1176" s="1942"/>
      <c r="AQ1176" s="1942"/>
      <c r="AR1176" s="1942"/>
      <c r="AS1176" s="1942"/>
      <c r="AT1176" s="1942"/>
      <c r="AU1176" s="1942"/>
      <c r="AV1176" s="1942"/>
      <c r="AW1176" s="1942"/>
      <c r="AX1176" s="1942"/>
      <c r="AY1176" s="1942"/>
      <c r="AZ1176" s="1942"/>
      <c r="BA1176" s="1942"/>
      <c r="BB1176" s="575"/>
      <c r="BC1176" s="576"/>
      <c r="BD1176" s="678"/>
    </row>
    <row r="1177" spans="1:56" s="51" customFormat="1" hidden="1" outlineLevel="1" x14ac:dyDescent="0.25">
      <c r="A1177" s="1267"/>
      <c r="B1177" s="228"/>
      <c r="C1177" s="328"/>
      <c r="D1177" s="4013"/>
      <c r="E1177" s="4013"/>
      <c r="F1177" s="3416" t="str">
        <f t="shared" si="122"/>
        <v>Mini/MultiSplitASHP-Replace_CAC_ElectricHeat_ER1_MF</v>
      </c>
      <c r="G1177" s="3417"/>
      <c r="H1177" s="3418"/>
      <c r="I1177" s="3411" t="str">
        <f t="shared" si="123"/>
        <v>351750_2021_12_</v>
      </c>
      <c r="J1177" s="779"/>
      <c r="K1177" s="3044"/>
      <c r="L1177" s="749"/>
      <c r="M1177" s="1570"/>
      <c r="N1177" s="1556"/>
      <c r="O1177" s="228"/>
      <c r="P1177" s="228"/>
      <c r="Q1177" s="228"/>
      <c r="R1177" s="228"/>
      <c r="S1177" s="228"/>
      <c r="T1177" s="123"/>
      <c r="U1177" s="123"/>
      <c r="V1177" s="3990"/>
      <c r="W1177" s="780"/>
      <c r="X1177" s="779"/>
      <c r="Y1177" s="779"/>
      <c r="Z1177" s="780"/>
      <c r="AA1177" s="780"/>
      <c r="AB1177" s="2259"/>
      <c r="AC1177" s="779"/>
      <c r="AD1177" s="761"/>
      <c r="AE1177" s="761"/>
      <c r="AF1177" s="761"/>
      <c r="AG1177" s="763"/>
      <c r="AH1177" s="1942"/>
      <c r="AI1177" s="1942"/>
      <c r="AJ1177" s="1942"/>
      <c r="AK1177" s="1942"/>
      <c r="AL1177" s="1942"/>
      <c r="AM1177" s="1942"/>
      <c r="AN1177" s="1942"/>
      <c r="AO1177" s="1942"/>
      <c r="AP1177" s="1942"/>
      <c r="AQ1177" s="1942"/>
      <c r="AR1177" s="1942"/>
      <c r="AS1177" s="1942"/>
      <c r="AT1177" s="1942"/>
      <c r="AU1177" s="1942"/>
      <c r="AV1177" s="1942"/>
      <c r="AW1177" s="1942"/>
      <c r="AX1177" s="1942"/>
      <c r="AY1177" s="1942"/>
      <c r="AZ1177" s="1942"/>
      <c r="BA1177" s="1942"/>
      <c r="BB1177" s="575"/>
      <c r="BC1177" s="576"/>
      <c r="BD1177" s="678"/>
    </row>
    <row r="1178" spans="1:56" s="51" customFormat="1" hidden="1" outlineLevel="1" x14ac:dyDescent="0.25">
      <c r="A1178" s="1267"/>
      <c r="B1178" s="228"/>
      <c r="C1178" s="328"/>
      <c r="D1178" s="4013"/>
      <c r="E1178" s="4013"/>
      <c r="F1178" s="3416" t="str">
        <f t="shared" si="122"/>
        <v>Mini/MultiSplitASHP-Replace_CAC_ElectricHeat_ER2_MF</v>
      </c>
      <c r="G1178" s="3417"/>
      <c r="H1178" s="3418"/>
      <c r="I1178" s="3411" t="str">
        <f t="shared" si="123"/>
        <v>351750_2021_12_</v>
      </c>
      <c r="J1178" s="779"/>
      <c r="K1178" s="3044"/>
      <c r="L1178" s="749"/>
      <c r="M1178" s="1570"/>
      <c r="N1178" s="1556"/>
      <c r="O1178" s="228"/>
      <c r="P1178" s="228"/>
      <c r="Q1178" s="228"/>
      <c r="R1178" s="228"/>
      <c r="S1178" s="228"/>
      <c r="T1178" s="123"/>
      <c r="U1178" s="123"/>
      <c r="V1178" s="3990"/>
      <c r="W1178" s="780"/>
      <c r="X1178" s="779"/>
      <c r="Y1178" s="779"/>
      <c r="Z1178" s="780"/>
      <c r="AA1178" s="780"/>
      <c r="AB1178" s="2259"/>
      <c r="AC1178" s="779"/>
      <c r="AD1178" s="761"/>
      <c r="AE1178" s="761"/>
      <c r="AF1178" s="761"/>
      <c r="AG1178" s="763"/>
      <c r="AH1178" s="1942"/>
      <c r="AI1178" s="1942"/>
      <c r="AJ1178" s="1942"/>
      <c r="AK1178" s="1942"/>
      <c r="AL1178" s="1942"/>
      <c r="AM1178" s="1942"/>
      <c r="AN1178" s="1942"/>
      <c r="AO1178" s="1942"/>
      <c r="AP1178" s="1942"/>
      <c r="AQ1178" s="1942"/>
      <c r="AR1178" s="1942"/>
      <c r="AS1178" s="1942"/>
      <c r="AT1178" s="1942"/>
      <c r="AU1178" s="1942"/>
      <c r="AV1178" s="1942"/>
      <c r="AW1178" s="1942"/>
      <c r="AX1178" s="1942"/>
      <c r="AY1178" s="1942"/>
      <c r="AZ1178" s="1942"/>
      <c r="BA1178" s="1942"/>
      <c r="BB1178" s="575"/>
      <c r="BC1178" s="576"/>
      <c r="BD1178" s="678"/>
    </row>
    <row r="1179" spans="1:56" s="51" customFormat="1" hidden="1" outlineLevel="1" x14ac:dyDescent="0.25">
      <c r="A1179" s="1267"/>
      <c r="B1179" s="228"/>
      <c r="C1179" s="328"/>
      <c r="D1179" s="4013"/>
      <c r="E1179" s="4013"/>
      <c r="F1179" s="3419" t="str">
        <f t="shared" si="122"/>
        <v>Mini/MultiSplitASHP-Replace_CAC_ElectricHeat_ER2_MF</v>
      </c>
      <c r="G1179" s="3420"/>
      <c r="H1179" s="3421"/>
      <c r="I1179" s="3411" t="str">
        <f t="shared" si="123"/>
        <v>351750_2021_12_</v>
      </c>
      <c r="J1179" s="779"/>
      <c r="K1179" s="3044"/>
      <c r="L1179" s="749"/>
      <c r="M1179" s="1570"/>
      <c r="N1179" s="1556"/>
      <c r="O1179" s="228"/>
      <c r="P1179" s="228"/>
      <c r="Q1179" s="228"/>
      <c r="R1179" s="228"/>
      <c r="S1179" s="228"/>
      <c r="T1179" s="123"/>
      <c r="U1179" s="123"/>
      <c r="V1179" s="3990"/>
      <c r="W1179" s="780"/>
      <c r="X1179" s="779"/>
      <c r="Y1179" s="779"/>
      <c r="Z1179" s="780"/>
      <c r="AA1179" s="780"/>
      <c r="AB1179" s="2259"/>
      <c r="AC1179" s="779"/>
      <c r="AD1179" s="761"/>
      <c r="AE1179" s="761"/>
      <c r="AF1179" s="761"/>
      <c r="AG1179" s="763"/>
      <c r="AH1179" s="1942"/>
      <c r="AI1179" s="1942"/>
      <c r="AJ1179" s="1942"/>
      <c r="AK1179" s="1942"/>
      <c r="AL1179" s="1942"/>
      <c r="AM1179" s="1942"/>
      <c r="AN1179" s="1942"/>
      <c r="AO1179" s="1942"/>
      <c r="AP1179" s="1942"/>
      <c r="AQ1179" s="1942"/>
      <c r="AR1179" s="1942"/>
      <c r="AS1179" s="1942"/>
      <c r="AT1179" s="1942"/>
      <c r="AU1179" s="1942"/>
      <c r="AV1179" s="1942"/>
      <c r="AW1179" s="1942"/>
      <c r="AX1179" s="1942"/>
      <c r="AY1179" s="1942"/>
      <c r="AZ1179" s="1942"/>
      <c r="BA1179" s="1942"/>
      <c r="BB1179" s="575"/>
      <c r="BC1179" s="576"/>
      <c r="BD1179" s="678"/>
    </row>
    <row r="1180" spans="1:56" s="51" customFormat="1" hidden="1" outlineLevel="1" x14ac:dyDescent="0.25">
      <c r="A1180" s="1267"/>
      <c r="B1180" s="228"/>
      <c r="C1180" s="328"/>
      <c r="D1180" s="4013"/>
      <c r="E1180" s="4013"/>
      <c r="F1180" s="3422" t="str">
        <f t="shared" si="122"/>
        <v>Mini/MultiSplitASHP-Replace_CAC_ElectricHeat_ROF_MF</v>
      </c>
      <c r="G1180" s="3423"/>
      <c r="H1180" s="3424"/>
      <c r="I1180" s="3411" t="str">
        <f t="shared" si="123"/>
        <v>351800_2021_12_</v>
      </c>
      <c r="J1180" s="775">
        <f>(MIN(2000,P$869)-P$874)*K$858</f>
        <v>337.89830508474574</v>
      </c>
      <c r="K1180" s="3044">
        <f>K973</f>
        <v>1.7307692307692308</v>
      </c>
      <c r="L1180" s="749" t="s">
        <v>1130</v>
      </c>
      <c r="M1180" s="1570"/>
      <c r="N1180" s="1556"/>
      <c r="O1180" s="228"/>
      <c r="P1180" s="228"/>
      <c r="Q1180" s="228"/>
      <c r="R1180" s="228"/>
      <c r="S1180" s="228"/>
      <c r="T1180" s="123"/>
      <c r="U1180" s="123"/>
      <c r="V1180" s="3990"/>
      <c r="W1180" s="780">
        <v>752</v>
      </c>
      <c r="X1180" s="779">
        <f>(705*(X$966/12000))/1.5*$J$1094</f>
        <v>705</v>
      </c>
      <c r="Y1180" s="779">
        <f>(705*(Y$966/12000))/1.5*$J$1094</f>
        <v>752</v>
      </c>
      <c r="Z1180" s="780">
        <v>752</v>
      </c>
      <c r="AA1180" s="780">
        <v>752</v>
      </c>
      <c r="AB1180" s="2259">
        <v>336</v>
      </c>
      <c r="AC1180" s="775">
        <v>337.89830508474574</v>
      </c>
      <c r="AD1180" s="761"/>
      <c r="AE1180" s="761"/>
      <c r="AF1180" s="761"/>
      <c r="AG1180" s="763"/>
      <c r="AH1180" s="1942"/>
      <c r="AI1180" s="1942"/>
      <c r="AJ1180" s="1942"/>
      <c r="AK1180" s="1942"/>
      <c r="AL1180" s="1942"/>
      <c r="AM1180" s="1942"/>
      <c r="AN1180" s="1942"/>
      <c r="AO1180" s="1942"/>
      <c r="AP1180" s="1942"/>
      <c r="AQ1180" s="1942"/>
      <c r="AR1180" s="1942"/>
      <c r="AS1180" s="1942"/>
      <c r="AT1180" s="1942"/>
      <c r="AU1180" s="1942"/>
      <c r="AV1180" s="1942"/>
      <c r="AW1180" s="1942"/>
      <c r="AX1180" s="1942"/>
      <c r="AY1180" s="1942"/>
      <c r="AZ1180" s="1942"/>
      <c r="BA1180" s="1942"/>
      <c r="BB1180" s="575"/>
      <c r="BC1180" s="576"/>
      <c r="BD1180" s="678"/>
    </row>
    <row r="1181" spans="1:56" s="51" customFormat="1" hidden="1" outlineLevel="1" x14ac:dyDescent="0.25">
      <c r="A1181" s="1267"/>
      <c r="B1181" s="228"/>
      <c r="C1181" s="328"/>
      <c r="D1181" s="4013"/>
      <c r="E1181" s="4013"/>
      <c r="F1181" s="3419" t="str">
        <f t="shared" si="122"/>
        <v>Mini/MultiSplitASHP-Replace_CAC_ElectricHeat_ROF_MF</v>
      </c>
      <c r="G1181" s="3420"/>
      <c r="H1181" s="3421"/>
      <c r="I1181" s="3411" t="str">
        <f t="shared" si="123"/>
        <v>351800_2021_12_</v>
      </c>
      <c r="J1181" s="779"/>
      <c r="K1181" s="3044"/>
      <c r="L1181" s="749"/>
      <c r="M1181" s="1570"/>
      <c r="N1181" s="1556"/>
      <c r="O1181" s="228"/>
      <c r="P1181" s="228"/>
      <c r="Q1181" s="228"/>
      <c r="R1181" s="228"/>
      <c r="S1181" s="228"/>
      <c r="T1181" s="123"/>
      <c r="U1181" s="123"/>
      <c r="V1181" s="3990"/>
      <c r="W1181" s="780"/>
      <c r="X1181" s="779"/>
      <c r="Y1181" s="779"/>
      <c r="Z1181" s="780"/>
      <c r="AA1181" s="780"/>
      <c r="AB1181" s="2259"/>
      <c r="AC1181" s="779"/>
      <c r="AD1181" s="761"/>
      <c r="AE1181" s="761"/>
      <c r="AF1181" s="761"/>
      <c r="AG1181" s="763"/>
      <c r="AH1181" s="1942"/>
      <c r="AI1181" s="1942"/>
      <c r="AJ1181" s="1942"/>
      <c r="AK1181" s="1942"/>
      <c r="AL1181" s="1942"/>
      <c r="AM1181" s="1942"/>
      <c r="AN1181" s="1942"/>
      <c r="AO1181" s="1942"/>
      <c r="AP1181" s="1942"/>
      <c r="AQ1181" s="1942"/>
      <c r="AR1181" s="1942"/>
      <c r="AS1181" s="1942"/>
      <c r="AT1181" s="1942"/>
      <c r="AU1181" s="1942"/>
      <c r="AV1181" s="1942"/>
      <c r="AW1181" s="1942"/>
      <c r="AX1181" s="1942"/>
      <c r="AY1181" s="1942"/>
      <c r="AZ1181" s="1942"/>
      <c r="BA1181" s="1942"/>
      <c r="BB1181" s="575"/>
      <c r="BC1181" s="576"/>
      <c r="BD1181" s="678"/>
    </row>
    <row r="1182" spans="1:56" s="51" customFormat="1" hidden="1" outlineLevel="1" x14ac:dyDescent="0.25">
      <c r="A1182" s="1267"/>
      <c r="B1182" s="228"/>
      <c r="C1182" s="328"/>
      <c r="D1182" s="4013"/>
      <c r="E1182" s="4013"/>
      <c r="F1182" s="3422" t="str">
        <f t="shared" si="122"/>
        <v>Mini/MultiSplitASHP_ER1_MF</v>
      </c>
      <c r="G1182" s="3423"/>
      <c r="H1182" s="3424"/>
      <c r="I1182" s="3411" t="str">
        <f t="shared" si="123"/>
        <v>351850_2021_12_</v>
      </c>
      <c r="J1182" s="775">
        <f>((P$874*K1182)+P$860)-((O$874*K1182)/((1+P$878)^(P$879-1)))</f>
        <v>698.32770489042764</v>
      </c>
      <c r="K1182" s="3044">
        <f>K974</f>
        <v>1.4772727272727273</v>
      </c>
      <c r="L1182" s="749" t="s">
        <v>1130</v>
      </c>
      <c r="M1182" s="1570"/>
      <c r="N1182" s="1556"/>
      <c r="O1182" s="228"/>
      <c r="P1182" s="228"/>
      <c r="Q1182" s="228"/>
      <c r="R1182" s="228"/>
      <c r="S1182" s="228"/>
      <c r="T1182" s="123"/>
      <c r="U1182" s="123"/>
      <c r="V1182" s="3990"/>
      <c r="W1182" s="780">
        <v>1632</v>
      </c>
      <c r="X1182" s="779">
        <f>(1440*(X$967/12000)/1.5)*$J$1096</f>
        <v>1440</v>
      </c>
      <c r="Y1182" s="779">
        <f>(1440*(Y$967/12000)/1.5)*$J$1096</f>
        <v>1440</v>
      </c>
      <c r="Z1182" s="780">
        <v>1440</v>
      </c>
      <c r="AA1182" s="780">
        <v>1440</v>
      </c>
      <c r="AB1182" s="2259">
        <v>648.60319098531227</v>
      </c>
      <c r="AC1182" s="775">
        <v>698.32770489042764</v>
      </c>
      <c r="AD1182" s="761"/>
      <c r="AE1182" s="761"/>
      <c r="AF1182" s="761"/>
      <c r="AG1182" s="763"/>
      <c r="AH1182" s="1942"/>
      <c r="AI1182" s="1942"/>
      <c r="AJ1182" s="1942"/>
      <c r="AK1182" s="1942"/>
      <c r="AL1182" s="1942"/>
      <c r="AM1182" s="1942"/>
      <c r="AN1182" s="1942"/>
      <c r="AO1182" s="1942"/>
      <c r="AP1182" s="1942"/>
      <c r="AQ1182" s="1942"/>
      <c r="AR1182" s="1942"/>
      <c r="AS1182" s="1942"/>
      <c r="AT1182" s="1942"/>
      <c r="AU1182" s="1942"/>
      <c r="AV1182" s="1942"/>
      <c r="AW1182" s="1942"/>
      <c r="AX1182" s="1942"/>
      <c r="AY1182" s="1942"/>
      <c r="AZ1182" s="1942"/>
      <c r="BA1182" s="1942"/>
      <c r="BB1182" s="575"/>
      <c r="BC1182" s="576"/>
      <c r="BD1182" s="678"/>
    </row>
    <row r="1183" spans="1:56" s="51" customFormat="1" hidden="1" outlineLevel="1" x14ac:dyDescent="0.25">
      <c r="A1183" s="1267"/>
      <c r="B1183" s="228"/>
      <c r="C1183" s="328"/>
      <c r="D1183" s="4013"/>
      <c r="E1183" s="4013"/>
      <c r="F1183" s="3416" t="str">
        <f t="shared" si="122"/>
        <v>Mini/MultiSplitASHP_ER1_MF</v>
      </c>
      <c r="G1183" s="3417"/>
      <c r="H1183" s="3418"/>
      <c r="I1183" s="3411" t="str">
        <f t="shared" si="123"/>
        <v>351850_2021_12_</v>
      </c>
      <c r="J1183" s="780"/>
      <c r="K1183" s="2256"/>
      <c r="L1183" s="749"/>
      <c r="M1183" s="1570"/>
      <c r="N1183" s="1556"/>
      <c r="O1183" s="228"/>
      <c r="P1183" s="228"/>
      <c r="Q1183" s="228"/>
      <c r="R1183" s="228"/>
      <c r="S1183" s="228"/>
      <c r="T1183" s="123"/>
      <c r="U1183" s="123"/>
      <c r="V1183" s="3990"/>
      <c r="W1183" s="781"/>
      <c r="X1183" s="781"/>
      <c r="Y1183" s="780"/>
      <c r="Z1183" s="780"/>
      <c r="AA1183" s="780"/>
      <c r="AB1183" s="2259"/>
      <c r="AC1183" s="779"/>
      <c r="AD1183" s="761"/>
      <c r="AE1183" s="761"/>
      <c r="AF1183" s="761"/>
      <c r="AG1183" s="763"/>
      <c r="AH1183" s="1942"/>
      <c r="AI1183" s="1942"/>
      <c r="AJ1183" s="1942"/>
      <c r="AK1183" s="1942"/>
      <c r="AL1183" s="1942"/>
      <c r="AM1183" s="1942"/>
      <c r="AN1183" s="1942"/>
      <c r="AO1183" s="1942"/>
      <c r="AP1183" s="1942"/>
      <c r="AQ1183" s="1942"/>
      <c r="AR1183" s="1942"/>
      <c r="AS1183" s="1942"/>
      <c r="AT1183" s="1942"/>
      <c r="AU1183" s="1942"/>
      <c r="AV1183" s="1942"/>
      <c r="AW1183" s="1942"/>
      <c r="AX1183" s="1942"/>
      <c r="AY1183" s="1942"/>
      <c r="AZ1183" s="1942"/>
      <c r="BA1183" s="1942"/>
      <c r="BB1183" s="575"/>
      <c r="BC1183" s="576"/>
      <c r="BD1183" s="678"/>
    </row>
    <row r="1184" spans="1:56" s="51" customFormat="1" hidden="1" outlineLevel="1" x14ac:dyDescent="0.25">
      <c r="A1184" s="1267"/>
      <c r="B1184" s="228"/>
      <c r="C1184" s="328"/>
      <c r="D1184" s="4013"/>
      <c r="E1184" s="4013"/>
      <c r="F1184" s="3416" t="str">
        <f t="shared" si="122"/>
        <v>Mini/MultiSplitASHP_ER2_MF</v>
      </c>
      <c r="G1184" s="3417"/>
      <c r="H1184" s="3418"/>
      <c r="I1184" s="3411" t="str">
        <f t="shared" si="123"/>
        <v>351850_2021_12_</v>
      </c>
      <c r="J1184" s="780"/>
      <c r="K1184" s="2256"/>
      <c r="L1184" s="749"/>
      <c r="M1184" s="1570"/>
      <c r="N1184" s="1556"/>
      <c r="O1184" s="228"/>
      <c r="P1184" s="228"/>
      <c r="Q1184" s="228"/>
      <c r="R1184" s="228"/>
      <c r="S1184" s="228"/>
      <c r="T1184" s="123"/>
      <c r="U1184" s="123"/>
      <c r="V1184" s="3990"/>
      <c r="W1184" s="781"/>
      <c r="X1184" s="781"/>
      <c r="Y1184" s="780"/>
      <c r="Z1184" s="780"/>
      <c r="AA1184" s="780"/>
      <c r="AB1184" s="2259"/>
      <c r="AC1184" s="779"/>
      <c r="AD1184" s="761"/>
      <c r="AE1184" s="761"/>
      <c r="AF1184" s="761"/>
      <c r="AG1184" s="763"/>
      <c r="AH1184" s="1942"/>
      <c r="AI1184" s="1942"/>
      <c r="AJ1184" s="1942"/>
      <c r="AK1184" s="1942"/>
      <c r="AL1184" s="1942"/>
      <c r="AM1184" s="1942"/>
      <c r="AN1184" s="1942"/>
      <c r="AO1184" s="1942"/>
      <c r="AP1184" s="1942"/>
      <c r="AQ1184" s="1942"/>
      <c r="AR1184" s="1942"/>
      <c r="AS1184" s="1942"/>
      <c r="AT1184" s="1942"/>
      <c r="AU1184" s="1942"/>
      <c r="AV1184" s="1942"/>
      <c r="AW1184" s="1942"/>
      <c r="AX1184" s="1942"/>
      <c r="AY1184" s="1942"/>
      <c r="AZ1184" s="1942"/>
      <c r="BA1184" s="1942"/>
      <c r="BB1184" s="575"/>
      <c r="BC1184" s="576"/>
      <c r="BD1184" s="678"/>
    </row>
    <row r="1185" spans="1:57" s="51" customFormat="1" ht="15.75" hidden="1" outlineLevel="1" thickBot="1" x14ac:dyDescent="0.3">
      <c r="A1185" s="1267"/>
      <c r="B1185" s="228"/>
      <c r="C1185" s="328"/>
      <c r="D1185" s="4014"/>
      <c r="E1185" s="4014"/>
      <c r="F1185" s="3431" t="str">
        <f t="shared" si="122"/>
        <v>Mini/MultiSplitASHP_ER2_MF</v>
      </c>
      <c r="G1185" s="3432"/>
      <c r="H1185" s="3433"/>
      <c r="I1185" s="3412" t="str">
        <f t="shared" si="123"/>
        <v>351850_2021_12_</v>
      </c>
      <c r="J1185" s="768"/>
      <c r="K1185" s="2257"/>
      <c r="L1185" s="774"/>
      <c r="M1185" s="1570"/>
      <c r="N1185" s="1556"/>
      <c r="O1185" s="228"/>
      <c r="P1185" s="228"/>
      <c r="Q1185" s="228"/>
      <c r="R1185" s="228"/>
      <c r="S1185" s="228"/>
      <c r="T1185" s="123"/>
      <c r="U1185" s="123"/>
      <c r="V1185" s="3991"/>
      <c r="W1185" s="768"/>
      <c r="X1185" s="768"/>
      <c r="Y1185" s="768"/>
      <c r="Z1185" s="768"/>
      <c r="AA1185" s="768"/>
      <c r="AB1185" s="768"/>
      <c r="AC1185" s="766"/>
      <c r="AD1185" s="768"/>
      <c r="AE1185" s="768"/>
      <c r="AF1185" s="768"/>
      <c r="AG1185" s="769"/>
      <c r="AH1185" s="1942"/>
      <c r="AI1185" s="1942"/>
      <c r="AJ1185" s="1942"/>
      <c r="AK1185" s="1942"/>
      <c r="AL1185" s="1942"/>
      <c r="AM1185" s="1942"/>
      <c r="AN1185" s="1942"/>
      <c r="AO1185" s="1942"/>
      <c r="AP1185" s="1942"/>
      <c r="AQ1185" s="1942"/>
      <c r="AR1185" s="1942"/>
      <c r="AS1185" s="1942"/>
      <c r="AT1185" s="1942"/>
      <c r="AU1185" s="1942"/>
      <c r="AV1185" s="1942"/>
      <c r="AW1185" s="1942"/>
      <c r="AX1185" s="1942"/>
      <c r="AY1185" s="1942"/>
      <c r="AZ1185" s="1942"/>
      <c r="BA1185" s="1942"/>
      <c r="BB1185" s="575"/>
      <c r="BC1185" s="576"/>
      <c r="BD1185" s="678"/>
    </row>
    <row r="1186" spans="1:57" collapsed="1" x14ac:dyDescent="0.25">
      <c r="B1186" s="228"/>
      <c r="N1186" s="1556"/>
      <c r="W1186" s="1930"/>
      <c r="X1186" s="1930"/>
      <c r="Y1186" s="1930"/>
      <c r="Z1186" s="1930"/>
      <c r="AA1186" s="1930"/>
      <c r="AB1186" s="1930"/>
      <c r="AC1186" s="1930"/>
      <c r="AD1186" s="1930"/>
      <c r="AE1186" s="1930"/>
      <c r="AF1186" s="1930"/>
      <c r="AG1186" s="1930"/>
      <c r="AH1186" s="1930"/>
      <c r="AI1186" s="1930"/>
      <c r="AJ1186" s="1930"/>
      <c r="AK1186" s="1930"/>
      <c r="AL1186" s="1930"/>
      <c r="AM1186" s="1930"/>
      <c r="AN1186" s="1930"/>
      <c r="AO1186" s="1930"/>
      <c r="AP1186" s="1930"/>
      <c r="AQ1186" s="1930"/>
      <c r="AR1186" s="1930"/>
      <c r="AS1186" s="1930"/>
      <c r="AT1186" s="1930"/>
      <c r="AU1186" s="1930"/>
      <c r="AV1186" s="1930"/>
      <c r="AW1186" s="1930"/>
      <c r="AX1186" s="1930"/>
      <c r="AY1186" s="1930"/>
      <c r="AZ1186" s="1930"/>
      <c r="BA1186" s="1930"/>
    </row>
    <row r="1187" spans="1:57" x14ac:dyDescent="0.25">
      <c r="W1187" s="1930"/>
      <c r="X1187" s="1930"/>
      <c r="Y1187" s="1930"/>
      <c r="Z1187" s="1930"/>
      <c r="AA1187" s="1930"/>
      <c r="AB1187" s="1930"/>
      <c r="AC1187" s="1930"/>
      <c r="AD1187" s="1930"/>
      <c r="AE1187" s="1930"/>
      <c r="AF1187" s="1930"/>
      <c r="AG1187" s="1930"/>
      <c r="AH1187" s="1930"/>
      <c r="AI1187" s="1930"/>
      <c r="AJ1187" s="1930"/>
      <c r="AK1187" s="1930"/>
      <c r="AL1187" s="1930"/>
      <c r="AM1187" s="1930"/>
      <c r="AN1187" s="1930"/>
      <c r="AO1187" s="1930"/>
      <c r="AP1187" s="1930"/>
      <c r="AQ1187" s="1930"/>
      <c r="AR1187" s="1930"/>
      <c r="AS1187" s="1930"/>
      <c r="AT1187" s="1930"/>
      <c r="AU1187" s="1930"/>
      <c r="AV1187" s="1930"/>
      <c r="AW1187" s="1930"/>
      <c r="AX1187" s="1930"/>
      <c r="AY1187" s="1930"/>
      <c r="AZ1187" s="1930"/>
      <c r="BA1187" s="1930"/>
      <c r="BE1187" s="1930"/>
    </row>
    <row r="1188" spans="1:57" s="51" customFormat="1" x14ac:dyDescent="0.25">
      <c r="A1188" s="1267"/>
      <c r="B1188" s="3077" t="s">
        <v>1131</v>
      </c>
      <c r="C1188" s="729"/>
      <c r="D1188" s="3078"/>
      <c r="E1188" s="3078"/>
      <c r="F1188" s="3078"/>
      <c r="G1188" s="3078"/>
      <c r="H1188" s="3078"/>
      <c r="I1188" s="3078"/>
      <c r="J1188" s="3078"/>
      <c r="K1188" s="3078"/>
      <c r="L1188" s="3078"/>
      <c r="M1188" s="3078"/>
      <c r="N1188" s="3078"/>
      <c r="O1188" s="3078"/>
      <c r="P1188" s="3078"/>
      <c r="Q1188" s="3170"/>
      <c r="R1188" s="123"/>
      <c r="S1188" s="123"/>
      <c r="T1188" s="123"/>
      <c r="U1188" s="123"/>
      <c r="V1188" s="3750" t="str">
        <f>B1188</f>
        <v>Dual Fuel Heat Pumps</v>
      </c>
      <c r="W1188" s="3751"/>
      <c r="X1188" s="3751"/>
      <c r="Y1188" s="3751"/>
      <c r="Z1188" s="3751"/>
      <c r="AA1188" s="3751"/>
      <c r="AB1188" s="3751"/>
      <c r="AC1188" s="3752"/>
      <c r="AD1188" s="3752"/>
      <c r="AE1188" s="3752"/>
      <c r="AF1188" s="3752"/>
      <c r="AG1188" s="3752"/>
      <c r="AH1188" s="3753"/>
      <c r="AI1188" s="1942"/>
      <c r="AJ1188" s="1942"/>
      <c r="AK1188" s="1942"/>
      <c r="AL1188" s="1942"/>
      <c r="AM1188" s="1942"/>
      <c r="AN1188" s="1942"/>
      <c r="AO1188" s="1942"/>
      <c r="AP1188" s="1942"/>
      <c r="AQ1188" s="1942"/>
      <c r="AR1188" s="1942"/>
      <c r="AS1188" s="1942"/>
      <c r="AT1188" s="1942"/>
      <c r="AU1188" s="1942"/>
      <c r="AV1188" s="1942"/>
      <c r="AW1188" s="1942"/>
      <c r="AX1188" s="1942"/>
      <c r="AY1188" s="1942"/>
      <c r="AZ1188" s="1942"/>
      <c r="BA1188" s="1942"/>
      <c r="BB1188" s="575"/>
      <c r="BC1188" s="576"/>
      <c r="BD1188" s="678"/>
      <c r="BE1188" s="1942"/>
    </row>
    <row r="1189" spans="1:57" x14ac:dyDescent="0.25">
      <c r="H1189" s="328"/>
      <c r="I1189" s="328"/>
      <c r="J1189" s="328"/>
      <c r="K1189" s="328"/>
      <c r="L1189" s="328"/>
      <c r="M1189" s="328"/>
      <c r="Q1189" s="329"/>
      <c r="W1189" s="1930"/>
      <c r="X1189" s="1930"/>
      <c r="Y1189" s="1930"/>
      <c r="Z1189" s="1930"/>
      <c r="AA1189" s="1930"/>
      <c r="AB1189" s="1930"/>
      <c r="AC1189" s="1930"/>
      <c r="AD1189" s="1930"/>
      <c r="AE1189" s="1930"/>
      <c r="AF1189" s="1930"/>
      <c r="AG1189" s="1930"/>
      <c r="AH1189" s="1930"/>
      <c r="AI1189" s="1930"/>
      <c r="AJ1189" s="1930"/>
      <c r="AK1189" s="1930"/>
      <c r="AL1189" s="1930"/>
      <c r="AM1189" s="1930"/>
      <c r="AN1189" s="1930"/>
      <c r="AO1189" s="1930"/>
      <c r="AP1189" s="1930"/>
      <c r="AQ1189" s="1930"/>
      <c r="AR1189" s="1930"/>
      <c r="AS1189" s="1930"/>
      <c r="AT1189" s="1930"/>
      <c r="AU1189" s="1930"/>
      <c r="AV1189" s="1930"/>
      <c r="AW1189" s="1930"/>
      <c r="AX1189" s="1930"/>
      <c r="AY1189" s="1930"/>
      <c r="AZ1189" s="1930"/>
      <c r="BA1189" s="1930"/>
      <c r="BE1189" s="1930"/>
    </row>
    <row r="1190" spans="1:57" x14ac:dyDescent="0.25">
      <c r="D1190" s="329" t="s">
        <v>874</v>
      </c>
      <c r="I1190" s="328"/>
      <c r="J1190" s="328"/>
      <c r="K1190" s="328"/>
      <c r="L1190" s="328"/>
      <c r="M1190" s="328"/>
      <c r="Q1190" s="329"/>
      <c r="W1190" s="1930"/>
      <c r="X1190" s="1930"/>
      <c r="Y1190" s="1930"/>
      <c r="Z1190" s="1930"/>
      <c r="AA1190" s="1930"/>
      <c r="AB1190" s="1930"/>
      <c r="AC1190" s="1930"/>
      <c r="AD1190" s="1930"/>
      <c r="AE1190" s="1930"/>
      <c r="AF1190" s="1930"/>
      <c r="AG1190" s="1930"/>
      <c r="AH1190" s="1930"/>
      <c r="AI1190" s="1930"/>
      <c r="AJ1190" s="1930"/>
      <c r="AK1190" s="1930"/>
      <c r="AL1190" s="1930"/>
      <c r="AM1190" s="1930"/>
      <c r="AN1190" s="1930"/>
      <c r="AO1190" s="1930"/>
      <c r="AP1190" s="1930"/>
      <c r="AQ1190" s="1930"/>
      <c r="AR1190" s="1930"/>
      <c r="AS1190" s="1930"/>
      <c r="AT1190" s="1930"/>
      <c r="AU1190" s="1930"/>
      <c r="AV1190" s="1930"/>
      <c r="AW1190" s="1930"/>
      <c r="AX1190" s="1930"/>
      <c r="AY1190" s="1930"/>
      <c r="AZ1190" s="1930"/>
      <c r="BA1190" s="1930"/>
      <c r="BE1190" s="1930"/>
    </row>
    <row r="1191" spans="1:57" s="51" customFormat="1" ht="30" x14ac:dyDescent="0.25">
      <c r="A1191" s="1267"/>
      <c r="B1191" s="123"/>
      <c r="C1191" s="3086" t="s">
        <v>28</v>
      </c>
      <c r="D1191" s="3161" t="s">
        <v>175</v>
      </c>
      <c r="E1191" s="3086" t="s">
        <v>30</v>
      </c>
      <c r="F1191" s="3086" t="s">
        <v>31</v>
      </c>
      <c r="G1191" s="3086" t="s">
        <v>176</v>
      </c>
      <c r="H1191" s="3086" t="s">
        <v>177</v>
      </c>
      <c r="I1191" s="3086" t="s">
        <v>32</v>
      </c>
      <c r="J1191" s="3140" t="s">
        <v>181</v>
      </c>
      <c r="K1191" s="3086" t="s">
        <v>170</v>
      </c>
      <c r="L1191" s="3086" t="s">
        <v>875</v>
      </c>
      <c r="M1191" s="123"/>
      <c r="N1191" s="123"/>
      <c r="O1191" s="123"/>
      <c r="P1191" s="123"/>
      <c r="Q1191" s="123"/>
      <c r="R1191" s="123"/>
      <c r="S1191" s="123"/>
      <c r="T1191" s="123"/>
      <c r="U1191" s="123"/>
      <c r="V1191" s="551" t="s">
        <v>45</v>
      </c>
      <c r="W1191" s="1937">
        <f>W$6</f>
        <v>43252</v>
      </c>
      <c r="X1191" s="1937">
        <f t="shared" ref="X1191:AG1191" si="126">X$6</f>
        <v>43465</v>
      </c>
      <c r="Y1191" s="1937">
        <f t="shared" si="126"/>
        <v>43800</v>
      </c>
      <c r="Z1191" s="1937">
        <f t="shared" si="126"/>
        <v>43862</v>
      </c>
      <c r="AA1191" s="1937">
        <f t="shared" si="126"/>
        <v>44013</v>
      </c>
      <c r="AB1191" s="1937">
        <f t="shared" si="126"/>
        <v>44166</v>
      </c>
      <c r="AC1191" s="1937">
        <f t="shared" si="126"/>
        <v>44531</v>
      </c>
      <c r="AD1191" s="1937" t="str">
        <f t="shared" si="126"/>
        <v>-</v>
      </c>
      <c r="AE1191" s="1937" t="str">
        <f t="shared" si="126"/>
        <v>-</v>
      </c>
      <c r="AF1191" s="1937" t="str">
        <f t="shared" si="126"/>
        <v>-</v>
      </c>
      <c r="AG1191" s="1937" t="str">
        <f t="shared" si="126"/>
        <v>-</v>
      </c>
      <c r="AH1191" s="1942"/>
      <c r="AI1191" s="1942"/>
      <c r="AJ1191" s="1942"/>
      <c r="AK1191" s="1942"/>
      <c r="AL1191" s="1942"/>
      <c r="AM1191" s="1942"/>
      <c r="AN1191" s="1942"/>
      <c r="AO1191" s="1942"/>
      <c r="AP1191" s="1942"/>
      <c r="AQ1191" s="1942"/>
      <c r="AR1191" s="1942"/>
      <c r="AS1191" s="1942"/>
      <c r="AT1191" s="1942"/>
      <c r="AU1191" s="1942"/>
      <c r="AV1191" s="1942"/>
      <c r="AW1191" s="1942"/>
      <c r="AX1191" s="1942"/>
      <c r="AY1191" s="1942"/>
      <c r="AZ1191" s="1942"/>
      <c r="BA1191" s="1942"/>
      <c r="BB1191" s="1953" t="str">
        <f>$BB$6</f>
        <v>TRC (2020)</v>
      </c>
      <c r="BC1191" s="1953" t="str">
        <f>$BC$6</f>
        <v>Benefit Lookup</v>
      </c>
      <c r="BD1191" s="665" t="str">
        <f>$BD$6</f>
        <v>Benefits (2019 $)</v>
      </c>
      <c r="BE1191" s="230" t="str">
        <f>$BE$6</f>
        <v>Incremental Cost (2019 $)</v>
      </c>
    </row>
    <row r="1192" spans="1:57" s="51" customFormat="1" x14ac:dyDescent="0.25">
      <c r="A1192" s="1267" t="str">
        <f t="shared" ref="A1192:A1203" si="127">C1192&amp;G1192</f>
        <v>351900_2019_12_Cooling Res</v>
      </c>
      <c r="B1192" s="123"/>
      <c r="C1192" s="1230" t="s">
        <v>1132</v>
      </c>
      <c r="D1192" s="2667" t="s">
        <v>322</v>
      </c>
      <c r="E1192" s="2878" t="s">
        <v>1133</v>
      </c>
      <c r="F1192" s="737">
        <f>ROUND(((J1249*J1255*(1/J1261-1/J1267))/1000)*J1273,2)</f>
        <v>433.19</v>
      </c>
      <c r="G1192" s="214" t="s">
        <v>1134</v>
      </c>
      <c r="H1192" s="155">
        <f>VLOOKUP(G1192,'CP FACTORS'!$A$3:$B$38, 2, FALSE)</f>
        <v>9.4741810000000004E-4</v>
      </c>
      <c r="I1192" s="1554">
        <f t="shared" ref="I1192:I1203" si="128">ROUND(F1192*H1192,6)</f>
        <v>0.410412</v>
      </c>
      <c r="J1192" s="108">
        <f>J1279</f>
        <v>18</v>
      </c>
      <c r="K1192" s="519">
        <f>J1285</f>
        <v>2936.6</v>
      </c>
      <c r="L1192" s="1575">
        <f>K1249</f>
        <v>3.4</v>
      </c>
      <c r="M1192" s="783"/>
      <c r="N1192" s="123"/>
      <c r="O1192" s="123"/>
      <c r="P1192" s="123"/>
      <c r="Q1192" s="123"/>
      <c r="R1192" s="1431"/>
      <c r="S1192" s="123"/>
      <c r="T1192" s="123"/>
      <c r="U1192" s="123"/>
      <c r="V1192" s="1962" t="s">
        <v>31</v>
      </c>
      <c r="W1192" s="784">
        <v>433.19323308270674</v>
      </c>
      <c r="X1192" s="784">
        <v>433.19323308270674</v>
      </c>
      <c r="Y1192" s="782">
        <v>433.19</v>
      </c>
      <c r="Z1192" s="737">
        <v>433.19</v>
      </c>
      <c r="AA1192" s="737">
        <v>433.19</v>
      </c>
      <c r="AB1192" s="2231">
        <v>433.19</v>
      </c>
      <c r="AC1192" s="2231">
        <v>433.19</v>
      </c>
      <c r="AD1192" s="1941"/>
      <c r="AE1192" s="1941"/>
      <c r="AF1192" s="1941"/>
      <c r="AG1192" s="1941"/>
      <c r="AH1192" s="1942"/>
      <c r="AI1192" s="1942"/>
      <c r="AJ1192" s="1942"/>
      <c r="AK1192" s="1942"/>
      <c r="AL1192" s="1942"/>
      <c r="AM1192" s="1942"/>
      <c r="AN1192" s="1942"/>
      <c r="AO1192" s="1942"/>
      <c r="AP1192" s="1942"/>
      <c r="AQ1192" s="1942"/>
      <c r="AR1192" s="1942"/>
      <c r="AS1192" s="1942"/>
      <c r="AT1192" s="1942"/>
      <c r="AU1192" s="1942"/>
      <c r="AV1192" s="1942"/>
      <c r="AW1192" s="1942"/>
      <c r="AX1192" s="1942"/>
      <c r="AY1192" s="1942"/>
      <c r="AZ1192" s="1942"/>
      <c r="BA1192" s="1942"/>
      <c r="BB1192" s="239">
        <f>(BD1192+BD1193)/(BE1192+BE1193)</f>
        <v>0.38425379181416769</v>
      </c>
      <c r="BC1192" s="3115" t="str">
        <f t="shared" ref="BC1192:BC1203" si="129">CONCATENATE(G1192," ",J1192," Year EUL")</f>
        <v>Cooling Res 18 Year EUL</v>
      </c>
      <c r="BD1192" s="671">
        <f>(INDEX('Avoided Cost Benefits'!$C$4:$C$857,MATCH(BC1192,'Avoided Cost Benefits'!$A$4:$A$857,0)))*F1192</f>
        <v>764.06384728832995</v>
      </c>
      <c r="BE1192" s="1946">
        <f t="shared" ref="BE1192:BE1203" si="130">K1192/(1.0595^(2020-2019))</f>
        <v>2771.6847569608303</v>
      </c>
    </row>
    <row r="1193" spans="1:57" s="51" customFormat="1" x14ac:dyDescent="0.25">
      <c r="A1193" s="1267" t="str">
        <f t="shared" si="127"/>
        <v>351900_2019_12_Heating Res</v>
      </c>
      <c r="B1193" s="123"/>
      <c r="C1193" s="1230" t="s">
        <v>1132</v>
      </c>
      <c r="D1193" s="1553" t="s">
        <v>322</v>
      </c>
      <c r="E1193" s="3005" t="s">
        <v>1133</v>
      </c>
      <c r="F1193" s="737">
        <f>ROUND(((J1225*J1231*(1/J1237-1/J1243))/1000)*J1273,2)</f>
        <v>651.41999999999996</v>
      </c>
      <c r="G1193" s="214" t="s">
        <v>1135</v>
      </c>
      <c r="H1193" s="155">
        <f>VLOOKUP(G1193,'CP FACTORS'!$A$3:$B$38, 2, FALSE)</f>
        <v>0</v>
      </c>
      <c r="I1193" s="1554">
        <f t="shared" si="128"/>
        <v>0</v>
      </c>
      <c r="J1193" s="108">
        <f>J1192</f>
        <v>18</v>
      </c>
      <c r="K1193" s="519"/>
      <c r="L1193" s="1575"/>
      <c r="M1193" s="783"/>
      <c r="N1193" s="123"/>
      <c r="O1193" s="123"/>
      <c r="P1193" s="123"/>
      <c r="Q1193" s="123"/>
      <c r="R1193" s="1431"/>
      <c r="S1193" s="123"/>
      <c r="T1193" s="123"/>
      <c r="U1193" s="123"/>
      <c r="V1193" s="1962" t="s">
        <v>31</v>
      </c>
      <c r="W1193" s="784">
        <v>651.42175609756123</v>
      </c>
      <c r="X1193" s="784">
        <v>651.42175609756123</v>
      </c>
      <c r="Y1193" s="782">
        <v>651.41999999999996</v>
      </c>
      <c r="Z1193" s="737">
        <v>651.41999999999996</v>
      </c>
      <c r="AA1193" s="737">
        <v>651.41999999999996</v>
      </c>
      <c r="AB1193" s="2231">
        <v>651.41999999999996</v>
      </c>
      <c r="AC1193" s="2231">
        <v>651.41999999999996</v>
      </c>
      <c r="AD1193" s="1941"/>
      <c r="AE1193" s="1941"/>
      <c r="AF1193" s="1941"/>
      <c r="AG1193" s="1941"/>
      <c r="AH1193" s="1942"/>
      <c r="AI1193" s="1942"/>
      <c r="AJ1193" s="1942"/>
      <c r="AK1193" s="1942"/>
      <c r="AL1193" s="1942"/>
      <c r="AM1193" s="1942"/>
      <c r="AN1193" s="1942"/>
      <c r="AO1193" s="1942"/>
      <c r="AP1193" s="1942"/>
      <c r="AQ1193" s="1942"/>
      <c r="AR1193" s="1942"/>
      <c r="AS1193" s="1942"/>
      <c r="AT1193" s="1942"/>
      <c r="AU1193" s="1942"/>
      <c r="AV1193" s="1942"/>
      <c r="AW1193" s="1942"/>
      <c r="AX1193" s="1942"/>
      <c r="AY1193" s="1942"/>
      <c r="AZ1193" s="1942"/>
      <c r="BA1193" s="1942"/>
      <c r="BB1193" s="242"/>
      <c r="BC1193" s="3116" t="str">
        <f t="shared" si="129"/>
        <v>Heating Res 18 Year EUL</v>
      </c>
      <c r="BD1193" s="673">
        <f>(INDEX('Avoided Cost Benefits'!$C$4:$C$857,MATCH(BC1193,'Avoided Cost Benefits'!$A$4:$A$857,0)))*F1193</f>
        <v>300.96653028739888</v>
      </c>
      <c r="BE1193" s="1949">
        <f t="shared" si="130"/>
        <v>0</v>
      </c>
    </row>
    <row r="1194" spans="1:57" s="51" customFormat="1" x14ac:dyDescent="0.25">
      <c r="A1194" s="1267" t="str">
        <f t="shared" si="127"/>
        <v>351901_2019_12_Cooling Res</v>
      </c>
      <c r="B1194" s="123"/>
      <c r="C1194" s="1230" t="s">
        <v>1136</v>
      </c>
      <c r="D1194" s="1532" t="s">
        <v>317</v>
      </c>
      <c r="E1194" s="2878" t="s">
        <v>1137</v>
      </c>
      <c r="F1194" s="737">
        <f>ROUND((($J$1250*$J$1256*(1/$J$1262-1/$J$1268))/1000)*$J$1274,2)</f>
        <v>315.05</v>
      </c>
      <c r="G1194" s="214" t="s">
        <v>1134</v>
      </c>
      <c r="H1194" s="155">
        <f>VLOOKUP(G1194,'CP FACTORS'!$A$3:$B$38, 2, FALSE)</f>
        <v>9.4741810000000004E-4</v>
      </c>
      <c r="I1194" s="1554">
        <f t="shared" si="128"/>
        <v>0.29848400000000003</v>
      </c>
      <c r="J1194" s="108">
        <f>J1280</f>
        <v>18</v>
      </c>
      <c r="K1194" s="519">
        <f>J1286</f>
        <v>2936.6</v>
      </c>
      <c r="L1194" s="1575">
        <f>K1250</f>
        <v>3.4</v>
      </c>
      <c r="M1194" s="783"/>
      <c r="N1194" s="123"/>
      <c r="O1194" s="123"/>
      <c r="P1194" s="123"/>
      <c r="Q1194" s="123"/>
      <c r="R1194" s="1431"/>
      <c r="S1194" s="123"/>
      <c r="T1194" s="123"/>
      <c r="U1194" s="123"/>
      <c r="V1194" s="1962" t="s">
        <v>31</v>
      </c>
      <c r="W1194" s="784"/>
      <c r="X1194" s="784"/>
      <c r="Y1194" s="742">
        <v>315.05</v>
      </c>
      <c r="Z1194" s="737">
        <v>315.05</v>
      </c>
      <c r="AA1194" s="737">
        <v>315.05</v>
      </c>
      <c r="AB1194" s="2231">
        <v>315.05</v>
      </c>
      <c r="AC1194" s="2231">
        <v>315.05</v>
      </c>
      <c r="AD1194" s="1941"/>
      <c r="AE1194" s="1941"/>
      <c r="AF1194" s="1941"/>
      <c r="AG1194" s="1941"/>
      <c r="AH1194" s="1942"/>
      <c r="AI1194" s="1942"/>
      <c r="AJ1194" s="1942"/>
      <c r="AK1194" s="1942"/>
      <c r="AL1194" s="1942"/>
      <c r="AM1194" s="1942"/>
      <c r="AN1194" s="1942"/>
      <c r="AO1194" s="1942"/>
      <c r="AP1194" s="1942"/>
      <c r="AQ1194" s="1942"/>
      <c r="AR1194" s="1942"/>
      <c r="AS1194" s="1942"/>
      <c r="AT1194" s="1942"/>
      <c r="AU1194" s="1942"/>
      <c r="AV1194" s="1942"/>
      <c r="AW1194" s="1942"/>
      <c r="AX1194" s="1942"/>
      <c r="AY1194" s="1942"/>
      <c r="AZ1194" s="1942"/>
      <c r="BA1194" s="1942"/>
      <c r="BB1194" s="244">
        <f>(BD1194+BD1195)/(BE1194+BE1195)</f>
        <v>0.2499763249434484</v>
      </c>
      <c r="BC1194" s="3115" t="str">
        <f t="shared" si="129"/>
        <v>Cooling Res 18 Year EUL</v>
      </c>
      <c r="BD1194" s="673">
        <f>(INDEX('Avoided Cost Benefits'!$C$4:$C$857,MATCH(BC1194,'Avoided Cost Benefits'!$A$4:$A$857,0)))*F1194</f>
        <v>555.68760841244796</v>
      </c>
      <c r="BE1194" s="1949">
        <f t="shared" si="130"/>
        <v>2771.6847569608303</v>
      </c>
    </row>
    <row r="1195" spans="1:57" s="51" customFormat="1" x14ac:dyDescent="0.25">
      <c r="A1195" s="1267" t="str">
        <f t="shared" si="127"/>
        <v>351901_2019_12_Heating Res</v>
      </c>
      <c r="B1195" s="123"/>
      <c r="C1195" s="1230" t="s">
        <v>1136</v>
      </c>
      <c r="D1195" s="1532" t="s">
        <v>317</v>
      </c>
      <c r="E1195" s="3005" t="s">
        <v>1137</v>
      </c>
      <c r="F1195" s="737">
        <f>ROUND((($J$1226*$J$1232*(1/$J$1238-1/$J$1244))/1000)*$J$1274,2)</f>
        <v>296.89</v>
      </c>
      <c r="G1195" s="214" t="s">
        <v>1135</v>
      </c>
      <c r="H1195" s="155">
        <f>VLOOKUP(G1195,'CP FACTORS'!$A$3:$B$38, 2, FALSE)</f>
        <v>0</v>
      </c>
      <c r="I1195" s="1554">
        <f t="shared" si="128"/>
        <v>0</v>
      </c>
      <c r="J1195" s="108">
        <f>J1194</f>
        <v>18</v>
      </c>
      <c r="K1195" s="519"/>
      <c r="L1195" s="1575"/>
      <c r="M1195" s="783"/>
      <c r="N1195" s="123"/>
      <c r="O1195" s="123"/>
      <c r="P1195" s="123"/>
      <c r="Q1195" s="123"/>
      <c r="R1195" s="1431"/>
      <c r="S1195" s="123"/>
      <c r="T1195" s="123"/>
      <c r="U1195" s="123"/>
      <c r="V1195" s="1962" t="s">
        <v>31</v>
      </c>
      <c r="W1195" s="784"/>
      <c r="X1195" s="784"/>
      <c r="Y1195" s="742">
        <v>296.89</v>
      </c>
      <c r="Z1195" s="737">
        <v>296.89</v>
      </c>
      <c r="AA1195" s="737">
        <v>296.89</v>
      </c>
      <c r="AB1195" s="2231">
        <v>296.89</v>
      </c>
      <c r="AC1195" s="2231">
        <v>296.89</v>
      </c>
      <c r="AD1195" s="1941"/>
      <c r="AE1195" s="1941"/>
      <c r="AF1195" s="1941"/>
      <c r="AG1195" s="1941"/>
      <c r="AH1195" s="1942"/>
      <c r="AI1195" s="1942"/>
      <c r="AJ1195" s="1942"/>
      <c r="AK1195" s="1942"/>
      <c r="AL1195" s="1942"/>
      <c r="AM1195" s="1942"/>
      <c r="AN1195" s="1942"/>
      <c r="AO1195" s="1942"/>
      <c r="AP1195" s="1942"/>
      <c r="AQ1195" s="1942"/>
      <c r="AR1195" s="1942"/>
      <c r="AS1195" s="1942"/>
      <c r="AT1195" s="1942"/>
      <c r="AU1195" s="1942"/>
      <c r="AV1195" s="1942"/>
      <c r="AW1195" s="1942"/>
      <c r="AX1195" s="1942"/>
      <c r="AY1195" s="1942"/>
      <c r="AZ1195" s="1942"/>
      <c r="BA1195" s="1942"/>
      <c r="BB1195" s="242"/>
      <c r="BC1195" s="3116" t="str">
        <f t="shared" si="129"/>
        <v>Heating Res 18 Year EUL</v>
      </c>
      <c r="BD1195" s="673">
        <f>(INDEX('Avoided Cost Benefits'!$C$4:$C$857,MATCH(BC1195,'Avoided Cost Benefits'!$A$4:$A$857,0)))*F1195</f>
        <v>137.1679610343954</v>
      </c>
      <c r="BE1195" s="1949">
        <f t="shared" si="130"/>
        <v>0</v>
      </c>
    </row>
    <row r="1196" spans="1:57" s="51" customFormat="1" x14ac:dyDescent="0.25">
      <c r="A1196" s="1267" t="str">
        <f t="shared" si="127"/>
        <v>351950_2019_12_Cooling Res</v>
      </c>
      <c r="B1196" s="123"/>
      <c r="C1196" s="1230" t="s">
        <v>1138</v>
      </c>
      <c r="D1196" s="1553" t="s">
        <v>322</v>
      </c>
      <c r="E1196" s="2878" t="s">
        <v>1139</v>
      </c>
      <c r="F1196" s="737">
        <f>ROUND(((J1251*J1257*(1/J1263-1/J1269))/1000)*J1275,2)</f>
        <v>639.09</v>
      </c>
      <c r="G1196" s="214" t="s">
        <v>1134</v>
      </c>
      <c r="H1196" s="155">
        <f>VLOOKUP(G1196,'CP FACTORS'!$A$3:$B$38, 2, FALSE)</f>
        <v>9.4741810000000004E-4</v>
      </c>
      <c r="I1196" s="1554">
        <f t="shared" si="128"/>
        <v>0.60548500000000005</v>
      </c>
      <c r="J1196" s="108">
        <f>J1281</f>
        <v>18</v>
      </c>
      <c r="K1196" s="519">
        <f>J1287</f>
        <v>3176.6</v>
      </c>
      <c r="L1196" s="1575">
        <f>K1251</f>
        <v>4.4000000000000004</v>
      </c>
      <c r="M1196" s="783"/>
      <c r="N1196" s="123"/>
      <c r="O1196" s="123"/>
      <c r="P1196" s="123"/>
      <c r="Q1196" s="123"/>
      <c r="R1196" s="1431"/>
      <c r="S1196" s="123"/>
      <c r="T1196" s="123"/>
      <c r="U1196" s="123"/>
      <c r="V1196" s="1962" t="s">
        <v>31</v>
      </c>
      <c r="W1196" s="784">
        <v>639.08742857142852</v>
      </c>
      <c r="X1196" s="784">
        <v>639.08742857142852</v>
      </c>
      <c r="Y1196" s="782">
        <v>639.09</v>
      </c>
      <c r="Z1196" s="737">
        <v>639.09</v>
      </c>
      <c r="AA1196" s="737">
        <v>639.09</v>
      </c>
      <c r="AB1196" s="2231">
        <v>639.09</v>
      </c>
      <c r="AC1196" s="2231">
        <v>639.09</v>
      </c>
      <c r="AD1196" s="1941"/>
      <c r="AE1196" s="1941"/>
      <c r="AF1196" s="1941"/>
      <c r="AG1196" s="1941"/>
      <c r="AH1196" s="1942"/>
      <c r="AI1196" s="1942"/>
      <c r="AJ1196" s="1942"/>
      <c r="AK1196" s="1942"/>
      <c r="AL1196" s="1942"/>
      <c r="AM1196" s="1942"/>
      <c r="AN1196" s="1942"/>
      <c r="AO1196" s="1942"/>
      <c r="AP1196" s="1942"/>
      <c r="AQ1196" s="1942"/>
      <c r="AR1196" s="1942"/>
      <c r="AS1196" s="1942"/>
      <c r="AT1196" s="1942"/>
      <c r="AU1196" s="1942"/>
      <c r="AV1196" s="1942"/>
      <c r="AW1196" s="1942"/>
      <c r="AX1196" s="1942"/>
      <c r="AY1196" s="1942"/>
      <c r="AZ1196" s="1942"/>
      <c r="BA1196" s="1942"/>
      <c r="BB1196" s="244">
        <f>(BD1196+BD1197)/(BE1196+BE1197)</f>
        <v>0.52863614821545901</v>
      </c>
      <c r="BC1196" s="3115" t="str">
        <f t="shared" si="129"/>
        <v>Cooling Res 18 Year EUL</v>
      </c>
      <c r="BD1196" s="673">
        <f>(INDEX('Avoided Cost Benefits'!$C$4:$C$857,MATCH(BC1196,'Avoided Cost Benefits'!$A$4:$A$857,0)))*F1196</f>
        <v>1127.2318478346656</v>
      </c>
      <c r="BE1196" s="1949">
        <f t="shared" si="130"/>
        <v>2998.2067012741854</v>
      </c>
    </row>
    <row r="1197" spans="1:57" s="51" customFormat="1" x14ac:dyDescent="0.25">
      <c r="A1197" s="1267" t="str">
        <f t="shared" si="127"/>
        <v>351950_2019_12_Heating Res</v>
      </c>
      <c r="B1197" s="123"/>
      <c r="C1197" s="1230" t="s">
        <v>1138</v>
      </c>
      <c r="D1197" s="1553" t="s">
        <v>322</v>
      </c>
      <c r="E1197" s="3005" t="s">
        <v>1139</v>
      </c>
      <c r="F1197" s="737">
        <f>ROUND(((J1227*J1233*(1/J1239-1/J1245))/1000)*J1275,2)</f>
        <v>990.72</v>
      </c>
      <c r="G1197" s="214" t="s">
        <v>1135</v>
      </c>
      <c r="H1197" s="155">
        <f>VLOOKUP(G1197,'CP FACTORS'!$A$3:$B$38, 2, FALSE)</f>
        <v>0</v>
      </c>
      <c r="I1197" s="1554">
        <f t="shared" si="128"/>
        <v>0</v>
      </c>
      <c r="J1197" s="108">
        <f>J1196</f>
        <v>18</v>
      </c>
      <c r="K1197" s="519"/>
      <c r="L1197" s="1575"/>
      <c r="M1197" s="783"/>
      <c r="N1197" s="123"/>
      <c r="O1197" s="123"/>
      <c r="P1197" s="123"/>
      <c r="Q1197" s="123"/>
      <c r="R1197" s="1431"/>
      <c r="S1197" s="123"/>
      <c r="T1197" s="123"/>
      <c r="U1197" s="123"/>
      <c r="V1197" s="1962" t="s">
        <v>31</v>
      </c>
      <c r="W1197" s="784">
        <v>990.72439024390337</v>
      </c>
      <c r="X1197" s="784">
        <v>990.72439024390337</v>
      </c>
      <c r="Y1197" s="782">
        <v>990.72</v>
      </c>
      <c r="Z1197" s="737">
        <v>990.72</v>
      </c>
      <c r="AA1197" s="737">
        <v>990.72</v>
      </c>
      <c r="AB1197" s="2231">
        <v>990.72</v>
      </c>
      <c r="AC1197" s="2231">
        <v>990.72</v>
      </c>
      <c r="AD1197" s="1941"/>
      <c r="AE1197" s="1941"/>
      <c r="AF1197" s="1941"/>
      <c r="AG1197" s="1941"/>
      <c r="AH1197" s="1942"/>
      <c r="AI1197" s="1942"/>
      <c r="AJ1197" s="1942"/>
      <c r="AK1197" s="1942"/>
      <c r="AL1197" s="1942"/>
      <c r="AM1197" s="1942"/>
      <c r="AN1197" s="1942"/>
      <c r="AO1197" s="1942"/>
      <c r="AP1197" s="1942"/>
      <c r="AQ1197" s="1942"/>
      <c r="AR1197" s="1942"/>
      <c r="AS1197" s="1942"/>
      <c r="AT1197" s="1942"/>
      <c r="AU1197" s="1942"/>
      <c r="AV1197" s="1942"/>
      <c r="AW1197" s="1942"/>
      <c r="AX1197" s="1942"/>
      <c r="AY1197" s="1942"/>
      <c r="AZ1197" s="1942"/>
      <c r="BA1197" s="1942"/>
      <c r="BB1197" s="242"/>
      <c r="BC1197" s="3116" t="str">
        <f t="shared" si="129"/>
        <v>Heating Res 18 Year EUL</v>
      </c>
      <c r="BD1197" s="673">
        <f>(INDEX('Avoided Cost Benefits'!$C$4:$C$857,MATCH(BC1197,'Avoided Cost Benefits'!$A$4:$A$857,0)))*F1197</f>
        <v>457.72859428069728</v>
      </c>
      <c r="BE1197" s="1949">
        <f t="shared" si="130"/>
        <v>0</v>
      </c>
    </row>
    <row r="1198" spans="1:57" s="51" customFormat="1" x14ac:dyDescent="0.25">
      <c r="A1198" s="1267" t="str">
        <f t="shared" si="127"/>
        <v>351951_2019_12_Cooling Res</v>
      </c>
      <c r="B1198" s="123"/>
      <c r="C1198" s="1230" t="s">
        <v>1140</v>
      </c>
      <c r="D1198" s="1532" t="s">
        <v>317</v>
      </c>
      <c r="E1198" s="2878" t="s">
        <v>1141</v>
      </c>
      <c r="F1198" s="737">
        <f>ROUND((($J$1252*$J$1258*(1/$J$1264-1/$J$1270))/1000)*$J$1276,2)</f>
        <v>464.79</v>
      </c>
      <c r="G1198" s="214" t="s">
        <v>1134</v>
      </c>
      <c r="H1198" s="155">
        <f>VLOOKUP(G1198,'CP FACTORS'!$A$3:$B$38, 2, FALSE)</f>
        <v>9.4741810000000004E-4</v>
      </c>
      <c r="I1198" s="1554">
        <f t="shared" si="128"/>
        <v>0.44035000000000002</v>
      </c>
      <c r="J1198" s="108">
        <f>J1282</f>
        <v>18</v>
      </c>
      <c r="K1198" s="519">
        <f>J1288</f>
        <v>3176.6</v>
      </c>
      <c r="L1198" s="1575">
        <f>K1252</f>
        <v>4.4000000000000004</v>
      </c>
      <c r="M1198" s="783"/>
      <c r="N1198" s="123"/>
      <c r="O1198" s="123"/>
      <c r="P1198" s="123"/>
      <c r="Q1198" s="123"/>
      <c r="R1198" s="1431"/>
      <c r="S1198" s="123"/>
      <c r="T1198" s="123"/>
      <c r="U1198" s="123"/>
      <c r="V1198" s="1962" t="s">
        <v>31</v>
      </c>
      <c r="W1198" s="784"/>
      <c r="X1198" s="784"/>
      <c r="Y1198" s="742">
        <v>464.79</v>
      </c>
      <c r="Z1198" s="737">
        <v>464.79</v>
      </c>
      <c r="AA1198" s="737">
        <v>464.79</v>
      </c>
      <c r="AB1198" s="2231">
        <v>464.79</v>
      </c>
      <c r="AC1198" s="2231">
        <v>464.79</v>
      </c>
      <c r="AD1198" s="1941"/>
      <c r="AE1198" s="1941"/>
      <c r="AF1198" s="1941"/>
      <c r="AG1198" s="1941"/>
      <c r="AH1198" s="1942"/>
      <c r="AI1198" s="1942"/>
      <c r="AJ1198" s="1942"/>
      <c r="AK1198" s="1942"/>
      <c r="AL1198" s="1942"/>
      <c r="AM1198" s="1942"/>
      <c r="AN1198" s="1942"/>
      <c r="AO1198" s="1942"/>
      <c r="AP1198" s="1942"/>
      <c r="AQ1198" s="1942"/>
      <c r="AR1198" s="1942"/>
      <c r="AS1198" s="1942"/>
      <c r="AT1198" s="1942"/>
      <c r="AU1198" s="1942"/>
      <c r="AV1198" s="1942"/>
      <c r="AW1198" s="1942"/>
      <c r="AX1198" s="1942"/>
      <c r="AY1198" s="1942"/>
      <c r="AZ1198" s="1942"/>
      <c r="BA1198" s="1942"/>
      <c r="BB1198" s="244">
        <f>(BD1198+BD1199)/(BE1198+BE1199)</f>
        <v>0.34301134771560521</v>
      </c>
      <c r="BC1198" s="3115" t="str">
        <f t="shared" si="129"/>
        <v>Cooling Res 18 Year EUL</v>
      </c>
      <c r="BD1198" s="673">
        <f>(INDEX('Avoided Cost Benefits'!$C$4:$C$857,MATCH(BC1198,'Avoided Cost Benefits'!$A$4:$A$857,0)))*F1198</f>
        <v>819.8001698588215</v>
      </c>
      <c r="BE1198" s="1949">
        <f t="shared" si="130"/>
        <v>2998.2067012741854</v>
      </c>
    </row>
    <row r="1199" spans="1:57" s="51" customFormat="1" x14ac:dyDescent="0.25">
      <c r="A1199" s="1267" t="str">
        <f t="shared" si="127"/>
        <v>351951_2019_12_Heating Res</v>
      </c>
      <c r="B1199" s="123"/>
      <c r="C1199" s="1230" t="s">
        <v>1140</v>
      </c>
      <c r="D1199" s="1532" t="s">
        <v>317</v>
      </c>
      <c r="E1199" s="3005" t="s">
        <v>1141</v>
      </c>
      <c r="F1199" s="737">
        <f>ROUND((($J$1228*$J$1234*(1/$J$1240-1/$J$1246))/1000)*$J$1276,2)</f>
        <v>451.54</v>
      </c>
      <c r="G1199" s="214" t="s">
        <v>1135</v>
      </c>
      <c r="H1199" s="155">
        <f>VLOOKUP(G1199,'CP FACTORS'!$A$3:$B$38, 2, FALSE)</f>
        <v>0</v>
      </c>
      <c r="I1199" s="1554">
        <f t="shared" si="128"/>
        <v>0</v>
      </c>
      <c r="J1199" s="108">
        <f>J1198</f>
        <v>18</v>
      </c>
      <c r="K1199" s="519"/>
      <c r="L1199" s="1575"/>
      <c r="M1199" s="783"/>
      <c r="N1199" s="123"/>
      <c r="O1199" s="123"/>
      <c r="P1199" s="123"/>
      <c r="Q1199" s="123"/>
      <c r="R1199" s="1431"/>
      <c r="S1199" s="123"/>
      <c r="T1199" s="123"/>
      <c r="U1199" s="123"/>
      <c r="V1199" s="1962" t="s">
        <v>31</v>
      </c>
      <c r="W1199" s="784"/>
      <c r="X1199" s="784"/>
      <c r="Y1199" s="742">
        <v>451.54</v>
      </c>
      <c r="Z1199" s="737">
        <v>451.54</v>
      </c>
      <c r="AA1199" s="737">
        <v>451.54</v>
      </c>
      <c r="AB1199" s="2231">
        <v>451.54</v>
      </c>
      <c r="AC1199" s="2231">
        <v>451.54</v>
      </c>
      <c r="AD1199" s="1941"/>
      <c r="AE1199" s="1941"/>
      <c r="AF1199" s="1941"/>
      <c r="AG1199" s="1941"/>
      <c r="AH1199" s="1942"/>
      <c r="AI1199" s="1942"/>
      <c r="AJ1199" s="1942"/>
      <c r="AK1199" s="1942"/>
      <c r="AL1199" s="1942"/>
      <c r="AM1199" s="1942"/>
      <c r="AN1199" s="1942"/>
      <c r="AO1199" s="1942"/>
      <c r="AP1199" s="1942"/>
      <c r="AQ1199" s="1942"/>
      <c r="AR1199" s="1942"/>
      <c r="AS1199" s="1942"/>
      <c r="AT1199" s="1942"/>
      <c r="AU1199" s="1942"/>
      <c r="AV1199" s="1942"/>
      <c r="AW1199" s="1942"/>
      <c r="AX1199" s="1942"/>
      <c r="AY1199" s="1942"/>
      <c r="AZ1199" s="1942"/>
      <c r="BA1199" s="1942"/>
      <c r="BB1199" s="242"/>
      <c r="BC1199" s="3116" t="str">
        <f t="shared" si="129"/>
        <v>Heating Res 18 Year EUL</v>
      </c>
      <c r="BD1199" s="673">
        <f>(INDEX('Avoided Cost Benefits'!$C$4:$C$857,MATCH(BC1199,'Avoided Cost Benefits'!$A$4:$A$857,0)))*F1199</f>
        <v>208.61875147519586</v>
      </c>
      <c r="BE1199" s="1949">
        <f t="shared" si="130"/>
        <v>0</v>
      </c>
    </row>
    <row r="1200" spans="1:57" s="51" customFormat="1" x14ac:dyDescent="0.25">
      <c r="A1200" s="1267" t="str">
        <f t="shared" si="127"/>
        <v>352000_2019_12_Cooling Res</v>
      </c>
      <c r="B1200" s="123"/>
      <c r="C1200" s="1230" t="s">
        <v>1142</v>
      </c>
      <c r="D1200" s="1553" t="s">
        <v>322</v>
      </c>
      <c r="E1200" s="2878" t="s">
        <v>1143</v>
      </c>
      <c r="F1200" s="737">
        <f>ROUND(((J1253*J1259*(1/J1265-1/J1271))/1000)*J1277,2)</f>
        <v>871.48</v>
      </c>
      <c r="G1200" s="214" t="s">
        <v>1134</v>
      </c>
      <c r="H1200" s="155">
        <f>VLOOKUP(G1200,'CP FACTORS'!$A$3:$B$38, 2, FALSE)</f>
        <v>9.4741810000000004E-4</v>
      </c>
      <c r="I1200" s="1554">
        <f t="shared" si="128"/>
        <v>0.82565599999999995</v>
      </c>
      <c r="J1200" s="108">
        <f>J1283</f>
        <v>18</v>
      </c>
      <c r="K1200" s="519">
        <f>J1289</f>
        <v>3626.6</v>
      </c>
      <c r="L1200" s="1575">
        <f>K1253</f>
        <v>5.4</v>
      </c>
      <c r="M1200" s="783"/>
      <c r="N1200" s="123"/>
      <c r="O1200" s="123"/>
      <c r="P1200" s="123"/>
      <c r="Q1200" s="123"/>
      <c r="R1200" s="1431"/>
      <c r="S1200" s="123"/>
      <c r="T1200" s="123"/>
      <c r="U1200" s="123"/>
      <c r="V1200" s="1962" t="s">
        <v>31</v>
      </c>
      <c r="W1200" s="784">
        <v>871.48285714285726</v>
      </c>
      <c r="X1200" s="784">
        <v>871.48285714285726</v>
      </c>
      <c r="Y1200" s="782">
        <v>871.48</v>
      </c>
      <c r="Z1200" s="737">
        <v>871.48</v>
      </c>
      <c r="AA1200" s="737">
        <v>871.48</v>
      </c>
      <c r="AB1200" s="2231">
        <v>871.48</v>
      </c>
      <c r="AC1200" s="2231">
        <v>871.48</v>
      </c>
      <c r="AD1200" s="1941"/>
      <c r="AE1200" s="1941"/>
      <c r="AF1200" s="1941"/>
      <c r="AG1200" s="1941"/>
      <c r="AH1200" s="1942"/>
      <c r="AI1200" s="1942"/>
      <c r="AJ1200" s="1942"/>
      <c r="AK1200" s="1942"/>
      <c r="AL1200" s="1942"/>
      <c r="AM1200" s="1942"/>
      <c r="AN1200" s="1942"/>
      <c r="AO1200" s="1942"/>
      <c r="AP1200" s="1942"/>
      <c r="AQ1200" s="1942"/>
      <c r="AR1200" s="1942"/>
      <c r="AS1200" s="1942"/>
      <c r="AT1200" s="1942"/>
      <c r="AU1200" s="1942"/>
      <c r="AV1200" s="1942"/>
      <c r="AW1200" s="1942"/>
      <c r="AX1200" s="1942"/>
      <c r="AY1200" s="1942"/>
      <c r="AZ1200" s="1942"/>
      <c r="BA1200" s="1942"/>
      <c r="BB1200" s="244">
        <f>(BD1200+BD1201)/(BE1200+BE1201)</f>
        <v>0.63583826644202834</v>
      </c>
      <c r="BC1200" s="3115" t="str">
        <f t="shared" si="129"/>
        <v>Cooling Res 18 Year EUL</v>
      </c>
      <c r="BD1200" s="673">
        <f>(INDEX('Avoided Cost Benefits'!$C$4:$C$857,MATCH(BC1200,'Avoided Cost Benefits'!$A$4:$A$857,0)))*F1200</f>
        <v>1537.1231137256948</v>
      </c>
      <c r="BE1200" s="1949">
        <f t="shared" si="130"/>
        <v>3422.9353468617269</v>
      </c>
    </row>
    <row r="1201" spans="1:57" s="51" customFormat="1" x14ac:dyDescent="0.25">
      <c r="A1201" s="1267" t="str">
        <f t="shared" si="127"/>
        <v>352000_2019_12_Heating Res</v>
      </c>
      <c r="B1201" s="123"/>
      <c r="C1201" s="1230" t="s">
        <v>1142</v>
      </c>
      <c r="D1201" s="1553" t="s">
        <v>322</v>
      </c>
      <c r="E1201" s="3005" t="s">
        <v>1143</v>
      </c>
      <c r="F1201" s="737">
        <f>ROUND(((J1229*J1235*(1/J1241-1/J1247))/1000)*J1277,2)</f>
        <v>1383.74</v>
      </c>
      <c r="G1201" s="214" t="s">
        <v>1135</v>
      </c>
      <c r="H1201" s="155">
        <f>VLOOKUP(G1201,'CP FACTORS'!$A$3:$B$38, 2, FALSE)</f>
        <v>0</v>
      </c>
      <c r="I1201" s="1554">
        <f t="shared" si="128"/>
        <v>0</v>
      </c>
      <c r="J1201" s="108">
        <f>J1200</f>
        <v>18</v>
      </c>
      <c r="K1201" s="519"/>
      <c r="L1201" s="1575"/>
      <c r="M1201" s="783"/>
      <c r="N1201" s="123"/>
      <c r="O1201" s="123"/>
      <c r="P1201" s="123"/>
      <c r="Q1201" s="123"/>
      <c r="R1201" s="1431"/>
      <c r="S1201" s="123"/>
      <c r="T1201" s="123"/>
      <c r="U1201" s="123"/>
      <c r="V1201" s="1962" t="s">
        <v>31</v>
      </c>
      <c r="W1201" s="784">
        <v>1383.739024390245</v>
      </c>
      <c r="X1201" s="784">
        <v>1383.739024390245</v>
      </c>
      <c r="Y1201" s="782">
        <v>1383.74</v>
      </c>
      <c r="Z1201" s="737">
        <v>1383.74</v>
      </c>
      <c r="AA1201" s="737">
        <v>1383.74</v>
      </c>
      <c r="AB1201" s="2231">
        <v>1383.74</v>
      </c>
      <c r="AC1201" s="2231">
        <v>1383.74</v>
      </c>
      <c r="AD1201" s="1941"/>
      <c r="AE1201" s="1941"/>
      <c r="AF1201" s="1941"/>
      <c r="AG1201" s="1941"/>
      <c r="AH1201" s="1942"/>
      <c r="AI1201" s="1942"/>
      <c r="AJ1201" s="1942"/>
      <c r="AK1201" s="1942"/>
      <c r="AL1201" s="1942"/>
      <c r="AM1201" s="1942"/>
      <c r="AN1201" s="1942"/>
      <c r="AO1201" s="1942"/>
      <c r="AP1201" s="1942"/>
      <c r="AQ1201" s="1942"/>
      <c r="AR1201" s="1942"/>
      <c r="AS1201" s="1942"/>
      <c r="AT1201" s="1942"/>
      <c r="AU1201" s="1942"/>
      <c r="AV1201" s="1942"/>
      <c r="AW1201" s="1942"/>
      <c r="AX1201" s="1942"/>
      <c r="AY1201" s="1942"/>
      <c r="AZ1201" s="1942"/>
      <c r="BA1201" s="1942"/>
      <c r="BB1201" s="242"/>
      <c r="BC1201" s="3116" t="str">
        <f t="shared" si="129"/>
        <v>Heating Res 18 Year EUL</v>
      </c>
      <c r="BD1201" s="673">
        <f>(INDEX('Avoided Cost Benefits'!$C$4:$C$857,MATCH(BC1201,'Avoided Cost Benefits'!$A$4:$A$857,0)))*F1201</f>
        <v>639.31016336600862</v>
      </c>
      <c r="BE1201" s="1949">
        <f t="shared" si="130"/>
        <v>0</v>
      </c>
    </row>
    <row r="1202" spans="1:57" s="51" customFormat="1" x14ac:dyDescent="0.25">
      <c r="A1202" s="1267" t="str">
        <f t="shared" si="127"/>
        <v>352001_2019_12_Cooling Res</v>
      </c>
      <c r="B1202" s="123"/>
      <c r="C1202" s="1230" t="s">
        <v>1144</v>
      </c>
      <c r="D1202" s="1532" t="s">
        <v>317</v>
      </c>
      <c r="E1202" s="2878" t="s">
        <v>1145</v>
      </c>
      <c r="F1202" s="737">
        <f>ROUND((($J$1254*$J$1260*(1/$J$1266-1/$J$1272))/1000)*$J$1278,2)</f>
        <v>633.80999999999995</v>
      </c>
      <c r="G1202" s="214" t="s">
        <v>1134</v>
      </c>
      <c r="H1202" s="155">
        <f>VLOOKUP(G1202,'CP FACTORS'!$A$3:$B$38, 2, FALSE)</f>
        <v>9.4741810000000004E-4</v>
      </c>
      <c r="I1202" s="1554">
        <f t="shared" si="128"/>
        <v>0.60048299999999999</v>
      </c>
      <c r="J1202" s="108">
        <f>J1284</f>
        <v>18</v>
      </c>
      <c r="K1202" s="519">
        <f>J1290</f>
        <v>3626.6</v>
      </c>
      <c r="L1202" s="1575">
        <f>K1254</f>
        <v>5.4</v>
      </c>
      <c r="M1202" s="783"/>
      <c r="N1202" s="123"/>
      <c r="O1202" s="123"/>
      <c r="P1202" s="123"/>
      <c r="Q1202" s="123"/>
      <c r="R1202" s="1431"/>
      <c r="S1202" s="123"/>
      <c r="T1202" s="123"/>
      <c r="U1202" s="123"/>
      <c r="V1202" s="1962" t="s">
        <v>31</v>
      </c>
      <c r="W1202" s="784"/>
      <c r="X1202" s="784"/>
      <c r="Y1202" s="742">
        <v>633.80999999999995</v>
      </c>
      <c r="Z1202" s="737">
        <v>633.80999999999995</v>
      </c>
      <c r="AA1202" s="737">
        <v>633.80999999999995</v>
      </c>
      <c r="AB1202" s="2231">
        <v>633.80999999999995</v>
      </c>
      <c r="AC1202" s="2231">
        <v>633.80999999999995</v>
      </c>
      <c r="AD1202" s="1941"/>
      <c r="AE1202" s="1941"/>
      <c r="AF1202" s="1941"/>
      <c r="AG1202" s="1941"/>
      <c r="AH1202" s="1942"/>
      <c r="AI1202" s="1942"/>
      <c r="AJ1202" s="1942"/>
      <c r="AK1202" s="1942"/>
      <c r="AL1202" s="1942"/>
      <c r="AM1202" s="1942"/>
      <c r="AN1202" s="1942"/>
      <c r="AO1202" s="1942"/>
      <c r="AP1202" s="1942"/>
      <c r="AQ1202" s="1942"/>
      <c r="AR1202" s="1942"/>
      <c r="AS1202" s="1942"/>
      <c r="AT1202" s="1942"/>
      <c r="AU1202" s="1942"/>
      <c r="AV1202" s="1942"/>
      <c r="AW1202" s="1942"/>
      <c r="AX1202" s="1942"/>
      <c r="AY1202" s="1942"/>
      <c r="AZ1202" s="1942"/>
      <c r="BA1202" s="1942"/>
      <c r="BB1202" s="244">
        <f>(BD1202+BD1203)/(BE1202+BE1203)</f>
        <v>0.4117208993065255</v>
      </c>
      <c r="BC1202" s="3115" t="str">
        <f t="shared" si="129"/>
        <v>Cooling Res 18 Year EUL</v>
      </c>
      <c r="BD1202" s="673">
        <f>(INDEX('Avoided Cost Benefits'!$C$4:$C$857,MATCH(BC1202,'Avoided Cost Benefits'!$A$4:$A$857,0)))*F1202</f>
        <v>1117.9189433038998</v>
      </c>
      <c r="BE1202" s="1949">
        <f t="shared" si="130"/>
        <v>3422.9353468617269</v>
      </c>
    </row>
    <row r="1203" spans="1:57" s="51" customFormat="1" x14ac:dyDescent="0.25">
      <c r="A1203" s="1267" t="str">
        <f t="shared" si="127"/>
        <v>352001_2019_12_Heating Res</v>
      </c>
      <c r="B1203" s="123"/>
      <c r="C1203" s="1230" t="s">
        <v>1144</v>
      </c>
      <c r="D1203" s="1532" t="s">
        <v>317</v>
      </c>
      <c r="E1203" s="3005" t="s">
        <v>1145</v>
      </c>
      <c r="F1203" s="737">
        <f>ROUND((($J$1230*$J$1236*(1/$J$1242-1/$J$1248))/1000)*$J$1278,2)</f>
        <v>630.66</v>
      </c>
      <c r="G1203" s="214" t="s">
        <v>1135</v>
      </c>
      <c r="H1203" s="155">
        <f>VLOOKUP(G1203,'CP FACTORS'!$A$3:$B$38, 2, FALSE)</f>
        <v>0</v>
      </c>
      <c r="I1203" s="1554">
        <f t="shared" si="128"/>
        <v>0</v>
      </c>
      <c r="J1203" s="108">
        <f>J1202</f>
        <v>18</v>
      </c>
      <c r="K1203" s="519"/>
      <c r="L1203" s="1575"/>
      <c r="M1203" s="228"/>
      <c r="N1203" s="123"/>
      <c r="O1203" s="123"/>
      <c r="P1203" s="123"/>
      <c r="Q1203" s="123"/>
      <c r="R1203" s="1431"/>
      <c r="S1203" s="123"/>
      <c r="T1203" s="123"/>
      <c r="U1203" s="123"/>
      <c r="V1203" s="1962" t="s">
        <v>31</v>
      </c>
      <c r="W1203" s="784"/>
      <c r="X1203" s="784"/>
      <c r="Y1203" s="742">
        <v>630.66</v>
      </c>
      <c r="Z1203" s="737">
        <v>630.66</v>
      </c>
      <c r="AA1203" s="737">
        <v>630.66</v>
      </c>
      <c r="AB1203" s="2231">
        <v>630.66</v>
      </c>
      <c r="AC1203" s="2231">
        <v>630.66</v>
      </c>
      <c r="AD1203" s="1941"/>
      <c r="AE1203" s="1941"/>
      <c r="AF1203" s="1941"/>
      <c r="AG1203" s="1941"/>
      <c r="AH1203" s="1942"/>
      <c r="AI1203" s="1942"/>
      <c r="AJ1203" s="1942"/>
      <c r="AK1203" s="1942"/>
      <c r="AL1203" s="1942"/>
      <c r="AM1203" s="1942"/>
      <c r="AN1203" s="1942"/>
      <c r="AO1203" s="1942"/>
      <c r="AP1203" s="1942"/>
      <c r="AQ1203" s="1942"/>
      <c r="AR1203" s="1942"/>
      <c r="AS1203" s="1942"/>
      <c r="AT1203" s="1942"/>
      <c r="AU1203" s="1942"/>
      <c r="AV1203" s="1942"/>
      <c r="AW1203" s="1942"/>
      <c r="AX1203" s="1942"/>
      <c r="AY1203" s="1942"/>
      <c r="AZ1203" s="1942"/>
      <c r="BA1203" s="1942"/>
      <c r="BB1203" s="246"/>
      <c r="BC1203" s="3116" t="str">
        <f t="shared" si="129"/>
        <v>Heating Res 18 Year EUL</v>
      </c>
      <c r="BD1203" s="677">
        <f>(INDEX('Avoided Cost Benefits'!$C$4:$C$857,MATCH(BC1203,'Avoided Cost Benefits'!$A$4:$A$857,0)))*F1203</f>
        <v>291.37507597410422</v>
      </c>
      <c r="BE1203" s="1950">
        <f t="shared" si="130"/>
        <v>0</v>
      </c>
    </row>
    <row r="1204" spans="1:57" s="51" customFormat="1" hidden="1" outlineLevel="1" x14ac:dyDescent="0.25">
      <c r="A1204" s="1267"/>
      <c r="B1204" s="123"/>
      <c r="C1204" s="328"/>
      <c r="D1204" s="329"/>
      <c r="E1204" s="123"/>
      <c r="F1204" s="1492"/>
      <c r="G1204" s="1576"/>
      <c r="H1204" s="328"/>
      <c r="I1204" s="328"/>
      <c r="J1204" s="328"/>
      <c r="K1204" s="329" t="s">
        <v>1146</v>
      </c>
      <c r="L1204" s="328"/>
      <c r="M1204" s="328"/>
      <c r="N1204" s="123"/>
      <c r="O1204" s="123"/>
      <c r="P1204" s="123"/>
      <c r="Q1204" s="329"/>
      <c r="R1204" s="123"/>
      <c r="S1204" s="123"/>
      <c r="T1204" s="123"/>
      <c r="U1204" s="123"/>
      <c r="V1204" s="123"/>
      <c r="W1204" s="1942"/>
      <c r="X1204" s="1942"/>
      <c r="Y1204" s="1942"/>
      <c r="Z1204" s="1942"/>
      <c r="AA1204" s="1942"/>
      <c r="AB1204" s="1942"/>
      <c r="AC1204" s="1942"/>
      <c r="AD1204" s="1942"/>
      <c r="AE1204" s="1942"/>
      <c r="AF1204" s="1942"/>
      <c r="AG1204" s="1942"/>
      <c r="AH1204" s="1942"/>
      <c r="AI1204" s="1942"/>
      <c r="AJ1204" s="1942"/>
      <c r="AK1204" s="1942"/>
      <c r="AL1204" s="1942"/>
      <c r="AM1204" s="1942"/>
      <c r="AN1204" s="1942"/>
      <c r="AO1204" s="1942"/>
      <c r="AP1204" s="1942"/>
      <c r="AQ1204" s="1942"/>
      <c r="AR1204" s="1942"/>
      <c r="AS1204" s="1942"/>
      <c r="AT1204" s="1942"/>
      <c r="AU1204" s="1942"/>
      <c r="AV1204" s="1942"/>
      <c r="AW1204" s="1942"/>
      <c r="AX1204" s="1942"/>
      <c r="AY1204" s="1942"/>
      <c r="AZ1204" s="1942"/>
      <c r="BA1204" s="1942"/>
      <c r="BB1204" s="575"/>
      <c r="BC1204" s="576"/>
      <c r="BD1204" s="678"/>
      <c r="BE1204" s="1942"/>
    </row>
    <row r="1205" spans="1:57" s="51" customFormat="1" hidden="1" outlineLevel="1" x14ac:dyDescent="0.25">
      <c r="A1205" s="1267"/>
      <c r="B1205" s="123"/>
      <c r="C1205" s="328"/>
      <c r="D1205" s="329"/>
      <c r="E1205" s="329"/>
      <c r="F1205" s="1492"/>
      <c r="G1205" s="1576"/>
      <c r="H1205" s="328"/>
      <c r="I1205" s="328"/>
      <c r="J1205" s="328"/>
      <c r="K1205" s="328"/>
      <c r="L1205" s="328"/>
      <c r="M1205" s="328"/>
      <c r="N1205" s="123"/>
      <c r="O1205" s="123"/>
      <c r="P1205" s="123"/>
      <c r="Q1205" s="329"/>
      <c r="R1205" s="123"/>
      <c r="S1205" s="123"/>
      <c r="T1205" s="123"/>
      <c r="U1205" s="123"/>
      <c r="V1205" s="123"/>
      <c r="W1205" s="1942"/>
      <c r="X1205" s="1942"/>
      <c r="Y1205" s="1942"/>
      <c r="Z1205" s="1942"/>
      <c r="AA1205" s="1942"/>
      <c r="AB1205" s="1942"/>
      <c r="AC1205" s="1942"/>
      <c r="AD1205" s="1942"/>
      <c r="AE1205" s="1942"/>
      <c r="AF1205" s="1942"/>
      <c r="AG1205" s="1942"/>
      <c r="AH1205" s="1942"/>
      <c r="AI1205" s="1942"/>
      <c r="AJ1205" s="1942"/>
      <c r="AK1205" s="1942"/>
      <c r="AL1205" s="1942"/>
      <c r="AM1205" s="1942"/>
      <c r="AN1205" s="1942"/>
      <c r="AO1205" s="1942"/>
      <c r="AP1205" s="1942"/>
      <c r="AQ1205" s="1942"/>
      <c r="AR1205" s="1942"/>
      <c r="AS1205" s="1942"/>
      <c r="AT1205" s="1942"/>
      <c r="AU1205" s="1942"/>
      <c r="AV1205" s="1942"/>
      <c r="AW1205" s="1942"/>
      <c r="AX1205" s="1942"/>
      <c r="AY1205" s="1942"/>
      <c r="AZ1205" s="1942"/>
      <c r="BA1205" s="1942"/>
      <c r="BB1205" s="575"/>
      <c r="BC1205" s="576"/>
      <c r="BD1205" s="678"/>
      <c r="BE1205" s="1942"/>
    </row>
    <row r="1206" spans="1:57" s="51" customFormat="1" hidden="1" outlineLevel="1" x14ac:dyDescent="0.25">
      <c r="A1206" s="1267"/>
      <c r="B1206" s="123"/>
      <c r="C1206" s="328"/>
      <c r="D1206" s="174" t="s">
        <v>108</v>
      </c>
      <c r="E1206" s="679"/>
      <c r="F1206" s="123"/>
      <c r="G1206" s="329"/>
      <c r="H1206" s="123"/>
      <c r="I1206" s="353"/>
      <c r="J1206" s="123"/>
      <c r="K1206" s="123"/>
      <c r="L1206" s="123"/>
      <c r="M1206" s="123"/>
      <c r="N1206" s="123"/>
      <c r="O1206" s="123"/>
      <c r="P1206" s="123"/>
      <c r="Q1206" s="123"/>
      <c r="R1206" s="123"/>
      <c r="S1206" s="123"/>
      <c r="T1206" s="123"/>
      <c r="U1206" s="123"/>
      <c r="V1206" s="123"/>
      <c r="W1206" s="1942"/>
      <c r="X1206" s="1942"/>
      <c r="Y1206" s="1942"/>
      <c r="Z1206" s="1942"/>
      <c r="AA1206" s="1942"/>
      <c r="AB1206" s="1942"/>
      <c r="AC1206" s="1942"/>
      <c r="AD1206" s="1942"/>
      <c r="AE1206" s="1942"/>
      <c r="AF1206" s="1942"/>
      <c r="AG1206" s="1942"/>
      <c r="AH1206" s="1942"/>
      <c r="AI1206" s="1942"/>
      <c r="AJ1206" s="1942"/>
      <c r="AK1206" s="1942"/>
      <c r="AL1206" s="1942"/>
      <c r="AM1206" s="1942"/>
      <c r="AN1206" s="1942"/>
      <c r="AO1206" s="1942"/>
      <c r="AP1206" s="1942"/>
      <c r="AQ1206" s="1942"/>
      <c r="AR1206" s="1942"/>
      <c r="AS1206" s="1942"/>
      <c r="AT1206" s="1942"/>
      <c r="AU1206" s="1942"/>
      <c r="AV1206" s="1942"/>
      <c r="AW1206" s="1942"/>
      <c r="AX1206" s="1942"/>
      <c r="AY1206" s="1942"/>
      <c r="AZ1206" s="1942"/>
      <c r="BA1206" s="1942"/>
      <c r="BB1206" s="575"/>
      <c r="BC1206" s="576"/>
      <c r="BD1206" s="678"/>
      <c r="BE1206" s="1942"/>
    </row>
    <row r="1207" spans="1:57" s="51" customFormat="1" hidden="1" outlineLevel="1" x14ac:dyDescent="0.25">
      <c r="A1207" s="1267"/>
      <c r="B1207" s="123"/>
      <c r="C1207" s="328"/>
      <c r="D1207" s="329"/>
      <c r="E1207" s="329"/>
      <c r="F1207" s="123"/>
      <c r="G1207" s="530"/>
      <c r="H1207" s="328"/>
      <c r="I1207" s="353"/>
      <c r="J1207" s="123"/>
      <c r="K1207" s="123"/>
      <c r="L1207" s="123"/>
      <c r="M1207" s="123"/>
      <c r="N1207" s="123"/>
      <c r="O1207" s="123"/>
      <c r="P1207" s="123"/>
      <c r="Q1207" s="123"/>
      <c r="R1207" s="123"/>
      <c r="S1207" s="123"/>
      <c r="T1207" s="123"/>
      <c r="U1207" s="123"/>
      <c r="V1207" s="123"/>
      <c r="W1207" s="1942"/>
      <c r="X1207" s="1942"/>
      <c r="Y1207" s="1942"/>
      <c r="Z1207" s="1942"/>
      <c r="AA1207" s="1942"/>
      <c r="AB1207" s="1942"/>
      <c r="AC1207" s="1942"/>
      <c r="AD1207" s="1942"/>
      <c r="AE1207" s="1942"/>
      <c r="AF1207" s="1942"/>
      <c r="AG1207" s="1942"/>
      <c r="AH1207" s="1942"/>
      <c r="AI1207" s="1942"/>
      <c r="AJ1207" s="1942"/>
      <c r="AK1207" s="1942"/>
      <c r="AL1207" s="1942"/>
      <c r="AM1207" s="1942"/>
      <c r="AN1207" s="1942"/>
      <c r="AO1207" s="1942"/>
      <c r="AP1207" s="1942"/>
      <c r="AQ1207" s="1942"/>
      <c r="AR1207" s="1942"/>
      <c r="AS1207" s="1942"/>
      <c r="AT1207" s="1942"/>
      <c r="AU1207" s="1942"/>
      <c r="AV1207" s="1942"/>
      <c r="AW1207" s="1942"/>
      <c r="AX1207" s="1942"/>
      <c r="AY1207" s="1942"/>
      <c r="AZ1207" s="1942"/>
      <c r="BA1207" s="1942"/>
      <c r="BB1207" s="575"/>
      <c r="BC1207" s="576"/>
      <c r="BD1207" s="678"/>
      <c r="BE1207" s="1942"/>
    </row>
    <row r="1208" spans="1:57" s="51" customFormat="1" hidden="1" outlineLevel="1" x14ac:dyDescent="0.25">
      <c r="A1208" s="1267"/>
      <c r="B1208" s="123"/>
      <c r="C1208" s="328"/>
      <c r="D1208" s="329"/>
      <c r="E1208" s="679"/>
      <c r="F1208" s="685"/>
      <c r="G1208" s="530"/>
      <c r="H1208" s="328"/>
      <c r="I1208" s="353"/>
      <c r="J1208" s="123"/>
      <c r="K1208" s="123"/>
      <c r="L1208" s="123"/>
      <c r="M1208" s="123"/>
      <c r="N1208" s="123"/>
      <c r="O1208" s="123"/>
      <c r="P1208" s="123"/>
      <c r="Q1208" s="123"/>
      <c r="R1208" s="123"/>
      <c r="S1208" s="123"/>
      <c r="T1208" s="123"/>
      <c r="U1208" s="123"/>
      <c r="V1208" s="123"/>
      <c r="W1208" s="1942"/>
      <c r="X1208" s="1942"/>
      <c r="Y1208" s="1942"/>
      <c r="Z1208" s="1942"/>
      <c r="AA1208" s="1942"/>
      <c r="AB1208" s="1942"/>
      <c r="AC1208" s="1942"/>
      <c r="AD1208" s="1942"/>
      <c r="AE1208" s="1942"/>
      <c r="AF1208" s="1942"/>
      <c r="AG1208" s="1942"/>
      <c r="AH1208" s="1942"/>
      <c r="AI1208" s="1942"/>
      <c r="AJ1208" s="1942"/>
      <c r="AK1208" s="1942"/>
      <c r="AL1208" s="1942"/>
      <c r="AM1208" s="1942"/>
      <c r="AN1208" s="1942"/>
      <c r="AO1208" s="1942"/>
      <c r="AP1208" s="1942"/>
      <c r="AQ1208" s="1942"/>
      <c r="AR1208" s="1942"/>
      <c r="AS1208" s="1942"/>
      <c r="AT1208" s="1942"/>
      <c r="AU1208" s="1942"/>
      <c r="AV1208" s="1942"/>
      <c r="AW1208" s="1942"/>
      <c r="AX1208" s="1942"/>
      <c r="AY1208" s="1942"/>
      <c r="AZ1208" s="1942"/>
      <c r="BA1208" s="1942"/>
      <c r="BB1208" s="575"/>
      <c r="BC1208" s="576"/>
      <c r="BD1208" s="678"/>
      <c r="BE1208" s="1942"/>
    </row>
    <row r="1209" spans="1:57" s="51" customFormat="1" hidden="1" outlineLevel="1" x14ac:dyDescent="0.25">
      <c r="A1209" s="1267"/>
      <c r="B1209" s="123"/>
      <c r="C1209" s="328"/>
      <c r="D1209" s="329"/>
      <c r="E1209" s="679"/>
      <c r="F1209" s="685"/>
      <c r="G1209" s="530"/>
      <c r="H1209" s="328"/>
      <c r="I1209" s="353"/>
      <c r="J1209" s="123"/>
      <c r="K1209" s="123"/>
      <c r="L1209" s="123"/>
      <c r="M1209" s="123"/>
      <c r="N1209" s="123"/>
      <c r="O1209" s="123"/>
      <c r="P1209" s="123"/>
      <c r="Q1209" s="123"/>
      <c r="R1209" s="123"/>
      <c r="S1209" s="123"/>
      <c r="T1209" s="123"/>
      <c r="U1209" s="123"/>
      <c r="V1209" s="123"/>
      <c r="W1209" s="1942"/>
      <c r="X1209" s="1942"/>
      <c r="Y1209" s="1942"/>
      <c r="Z1209" s="1942"/>
      <c r="AA1209" s="1942"/>
      <c r="AB1209" s="1942"/>
      <c r="AC1209" s="1942"/>
      <c r="AD1209" s="1942"/>
      <c r="AE1209" s="1942"/>
      <c r="AF1209" s="1942"/>
      <c r="AG1209" s="1942"/>
      <c r="AH1209" s="1942"/>
      <c r="AI1209" s="1942"/>
      <c r="AJ1209" s="1942"/>
      <c r="AK1209" s="1942"/>
      <c r="AL1209" s="1942"/>
      <c r="AM1209" s="1942"/>
      <c r="AN1209" s="1942"/>
      <c r="AO1209" s="1942"/>
      <c r="AP1209" s="1942"/>
      <c r="AQ1209" s="1942"/>
      <c r="AR1209" s="1942"/>
      <c r="AS1209" s="1942"/>
      <c r="AT1209" s="1942"/>
      <c r="AU1209" s="1942"/>
      <c r="AV1209" s="1942"/>
      <c r="AW1209" s="1942"/>
      <c r="AX1209" s="1942"/>
      <c r="AY1209" s="1942"/>
      <c r="AZ1209" s="1942"/>
      <c r="BA1209" s="1942"/>
      <c r="BB1209" s="575"/>
      <c r="BC1209" s="576"/>
      <c r="BD1209" s="678"/>
      <c r="BE1209" s="1942"/>
    </row>
    <row r="1210" spans="1:57" s="51" customFormat="1" hidden="1" outlineLevel="1" x14ac:dyDescent="0.25">
      <c r="A1210" s="1267"/>
      <c r="B1210" s="123"/>
      <c r="C1210" s="328"/>
      <c r="D1210" s="329"/>
      <c r="E1210" s="679"/>
      <c r="F1210" s="685"/>
      <c r="G1210" s="530"/>
      <c r="H1210" s="328"/>
      <c r="I1210" s="353"/>
      <c r="J1210" s="123"/>
      <c r="K1210" s="123"/>
      <c r="L1210" s="123"/>
      <c r="M1210" s="123"/>
      <c r="N1210" s="123"/>
      <c r="O1210" s="123"/>
      <c r="P1210" s="123"/>
      <c r="Q1210" s="123"/>
      <c r="R1210" s="123"/>
      <c r="S1210" s="123"/>
      <c r="T1210" s="123"/>
      <c r="U1210" s="123"/>
      <c r="V1210" s="123"/>
      <c r="W1210" s="1942"/>
      <c r="X1210" s="1942"/>
      <c r="Y1210" s="1942"/>
      <c r="Z1210" s="1942"/>
      <c r="AA1210" s="1942"/>
      <c r="AB1210" s="1942"/>
      <c r="AC1210" s="1942"/>
      <c r="AD1210" s="1942"/>
      <c r="AE1210" s="1942"/>
      <c r="AF1210" s="1942"/>
      <c r="AG1210" s="1942"/>
      <c r="AH1210" s="1942"/>
      <c r="AI1210" s="1942"/>
      <c r="AJ1210" s="1942"/>
      <c r="AK1210" s="1942"/>
      <c r="AL1210" s="1942"/>
      <c r="AM1210" s="1942"/>
      <c r="AN1210" s="1942"/>
      <c r="AO1210" s="1942"/>
      <c r="AP1210" s="1942"/>
      <c r="AQ1210" s="1942"/>
      <c r="AR1210" s="1942"/>
      <c r="AS1210" s="1942"/>
      <c r="AT1210" s="1942"/>
      <c r="AU1210" s="1942"/>
      <c r="AV1210" s="1942"/>
      <c r="AW1210" s="1942"/>
      <c r="AX1210" s="1942"/>
      <c r="AY1210" s="1942"/>
      <c r="AZ1210" s="1942"/>
      <c r="BA1210" s="1942"/>
      <c r="BB1210" s="575"/>
      <c r="BC1210" s="576"/>
      <c r="BD1210" s="678"/>
      <c r="BE1210" s="1942"/>
    </row>
    <row r="1211" spans="1:57" s="51" customFormat="1" hidden="1" outlineLevel="1" x14ac:dyDescent="0.25">
      <c r="A1211" s="1267"/>
      <c r="B1211" s="123"/>
      <c r="C1211" s="328"/>
      <c r="D1211" s="329"/>
      <c r="E1211" s="679"/>
      <c r="F1211" s="685"/>
      <c r="G1211" s="530"/>
      <c r="H1211" s="328"/>
      <c r="I1211" s="353"/>
      <c r="J1211" s="123"/>
      <c r="K1211" s="123"/>
      <c r="L1211" s="123"/>
      <c r="M1211" s="123"/>
      <c r="N1211" s="123"/>
      <c r="O1211" s="123"/>
      <c r="P1211" s="123"/>
      <c r="Q1211" s="123"/>
      <c r="R1211" s="123"/>
      <c r="S1211" s="123"/>
      <c r="T1211" s="123"/>
      <c r="U1211" s="123"/>
      <c r="V1211" s="123"/>
      <c r="W1211" s="1942"/>
      <c r="X1211" s="1942"/>
      <c r="Y1211" s="1942"/>
      <c r="Z1211" s="1942"/>
      <c r="AA1211" s="1942"/>
      <c r="AB1211" s="1942"/>
      <c r="AC1211" s="1942"/>
      <c r="AD1211" s="1942"/>
      <c r="AE1211" s="1942"/>
      <c r="AF1211" s="1942"/>
      <c r="AG1211" s="1942"/>
      <c r="AH1211" s="1942"/>
      <c r="AI1211" s="1942"/>
      <c r="AJ1211" s="1942"/>
      <c r="AK1211" s="1942"/>
      <c r="AL1211" s="1942"/>
      <c r="AM1211" s="1942"/>
      <c r="AN1211" s="1942"/>
      <c r="AO1211" s="1942"/>
      <c r="AP1211" s="1942"/>
      <c r="AQ1211" s="1942"/>
      <c r="AR1211" s="1942"/>
      <c r="AS1211" s="1942"/>
      <c r="AT1211" s="1942"/>
      <c r="AU1211" s="1942"/>
      <c r="AV1211" s="1942"/>
      <c r="AW1211" s="1942"/>
      <c r="AX1211" s="1942"/>
      <c r="AY1211" s="1942"/>
      <c r="AZ1211" s="1942"/>
      <c r="BA1211" s="1942"/>
      <c r="BB1211" s="575"/>
      <c r="BC1211" s="576"/>
      <c r="BD1211" s="678"/>
      <c r="BE1211" s="1942"/>
    </row>
    <row r="1212" spans="1:57" s="51" customFormat="1" hidden="1" outlineLevel="1" x14ac:dyDescent="0.25">
      <c r="A1212" s="1267"/>
      <c r="B1212" s="123"/>
      <c r="C1212" s="328"/>
      <c r="D1212" s="329" t="s">
        <v>973</v>
      </c>
      <c r="E1212" s="679"/>
      <c r="F1212" s="685"/>
      <c r="G1212" s="530"/>
      <c r="H1212" s="328"/>
      <c r="I1212" s="353"/>
      <c r="J1212" s="123"/>
      <c r="K1212" s="123"/>
      <c r="L1212" s="123"/>
      <c r="M1212" s="123"/>
      <c r="N1212" s="123"/>
      <c r="O1212" s="123"/>
      <c r="P1212" s="123"/>
      <c r="Q1212" s="123"/>
      <c r="R1212" s="123"/>
      <c r="S1212" s="123"/>
      <c r="T1212" s="123"/>
      <c r="U1212" s="123"/>
      <c r="V1212" s="123"/>
      <c r="W1212" s="1942"/>
      <c r="X1212" s="1942"/>
      <c r="Y1212" s="1942"/>
      <c r="Z1212" s="1942"/>
      <c r="AA1212" s="1942"/>
      <c r="AB1212" s="1942"/>
      <c r="AC1212" s="1942"/>
      <c r="AD1212" s="1942"/>
      <c r="AE1212" s="1942"/>
      <c r="AF1212" s="1942"/>
      <c r="AG1212" s="1942"/>
      <c r="AH1212" s="1942"/>
      <c r="AI1212" s="1942"/>
      <c r="AJ1212" s="1942"/>
      <c r="AK1212" s="1942"/>
      <c r="AL1212" s="1942"/>
      <c r="AM1212" s="1942"/>
      <c r="AN1212" s="1942"/>
      <c r="AO1212" s="1942"/>
      <c r="AP1212" s="1942"/>
      <c r="AQ1212" s="1942"/>
      <c r="AR1212" s="1942"/>
      <c r="AS1212" s="1942"/>
      <c r="AT1212" s="1942"/>
      <c r="AU1212" s="1942"/>
      <c r="AV1212" s="1942"/>
      <c r="AW1212" s="1942"/>
      <c r="AX1212" s="1942"/>
      <c r="AY1212" s="1942"/>
      <c r="AZ1212" s="1942"/>
      <c r="BA1212" s="1942"/>
      <c r="BB1212" s="575"/>
      <c r="BC1212" s="576"/>
      <c r="BD1212" s="678"/>
      <c r="BE1212" s="1942"/>
    </row>
    <row r="1213" spans="1:57" s="51" customFormat="1" hidden="1" outlineLevel="1" x14ac:dyDescent="0.25">
      <c r="A1213" s="1267"/>
      <c r="B1213" s="123"/>
      <c r="C1213" s="328"/>
      <c r="D1213" s="329"/>
      <c r="E1213" s="679"/>
      <c r="F1213" s="685"/>
      <c r="G1213" s="530"/>
      <c r="H1213" s="328"/>
      <c r="I1213" s="353"/>
      <c r="J1213" s="123"/>
      <c r="K1213" s="123"/>
      <c r="L1213" s="123"/>
      <c r="M1213" s="123"/>
      <c r="N1213" s="123"/>
      <c r="O1213" s="123"/>
      <c r="P1213" s="123"/>
      <c r="Q1213" s="123"/>
      <c r="R1213" s="123"/>
      <c r="S1213" s="123"/>
      <c r="T1213" s="123"/>
      <c r="U1213" s="123"/>
      <c r="V1213" s="123"/>
      <c r="W1213" s="1942"/>
      <c r="X1213" s="1942"/>
      <c r="Y1213" s="1942"/>
      <c r="Z1213" s="1942"/>
      <c r="AA1213" s="1942"/>
      <c r="AB1213" s="1942"/>
      <c r="AC1213" s="1942"/>
      <c r="AD1213" s="1942"/>
      <c r="AE1213" s="1942"/>
      <c r="AF1213" s="1942"/>
      <c r="AG1213" s="1942"/>
      <c r="AH1213" s="1942"/>
      <c r="AI1213" s="1942"/>
      <c r="AJ1213" s="1942"/>
      <c r="AK1213" s="1942"/>
      <c r="AL1213" s="1942"/>
      <c r="AM1213" s="1942"/>
      <c r="AN1213" s="1942"/>
      <c r="AO1213" s="1942"/>
      <c r="AP1213" s="1942"/>
      <c r="AQ1213" s="1942"/>
      <c r="AR1213" s="1942"/>
      <c r="AS1213" s="1942"/>
      <c r="AT1213" s="1942"/>
      <c r="AU1213" s="1942"/>
      <c r="AV1213" s="1942"/>
      <c r="AW1213" s="1942"/>
      <c r="AX1213" s="1942"/>
      <c r="AY1213" s="1942"/>
      <c r="AZ1213" s="1942"/>
      <c r="BA1213" s="1942"/>
      <c r="BB1213" s="575"/>
      <c r="BC1213" s="576"/>
      <c r="BD1213" s="678"/>
      <c r="BE1213" s="1942"/>
    </row>
    <row r="1214" spans="1:57" s="51" customFormat="1" hidden="1" outlineLevel="1" x14ac:dyDescent="0.25">
      <c r="A1214" s="1267"/>
      <c r="B1214" s="123"/>
      <c r="C1214" s="328"/>
      <c r="D1214" s="329"/>
      <c r="E1214" s="679"/>
      <c r="F1214" s="685"/>
      <c r="G1214" s="530"/>
      <c r="H1214" s="328"/>
      <c r="I1214" s="353"/>
      <c r="J1214" s="123"/>
      <c r="K1214" s="123"/>
      <c r="L1214" s="123"/>
      <c r="M1214" s="123"/>
      <c r="N1214" s="123"/>
      <c r="O1214" s="123"/>
      <c r="P1214" s="123"/>
      <c r="Q1214" s="123"/>
      <c r="R1214" s="123"/>
      <c r="S1214" s="123"/>
      <c r="T1214" s="123"/>
      <c r="U1214" s="123"/>
      <c r="V1214" s="123"/>
      <c r="W1214" s="1942"/>
      <c r="X1214" s="1942"/>
      <c r="Y1214" s="1942"/>
      <c r="Z1214" s="1942"/>
      <c r="AA1214" s="1942"/>
      <c r="AB1214" s="1942"/>
      <c r="AC1214" s="1942"/>
      <c r="AD1214" s="1942"/>
      <c r="AE1214" s="1942"/>
      <c r="AF1214" s="1942"/>
      <c r="AG1214" s="1942"/>
      <c r="AH1214" s="1942"/>
      <c r="AI1214" s="1942"/>
      <c r="AJ1214" s="1942"/>
      <c r="AK1214" s="1942"/>
      <c r="AL1214" s="1942"/>
      <c r="AM1214" s="1942"/>
      <c r="AN1214" s="1942"/>
      <c r="AO1214" s="1942"/>
      <c r="AP1214" s="1942"/>
      <c r="AQ1214" s="1942"/>
      <c r="AR1214" s="1942"/>
      <c r="AS1214" s="1942"/>
      <c r="AT1214" s="1942"/>
      <c r="AU1214" s="1942"/>
      <c r="AV1214" s="1942"/>
      <c r="AW1214" s="1942"/>
      <c r="AX1214" s="1942"/>
      <c r="AY1214" s="1942"/>
      <c r="AZ1214" s="1942"/>
      <c r="BA1214" s="1942"/>
      <c r="BB1214" s="575"/>
      <c r="BC1214" s="576"/>
      <c r="BD1214" s="678"/>
      <c r="BE1214" s="1942"/>
    </row>
    <row r="1215" spans="1:57" s="51" customFormat="1" hidden="1" outlineLevel="1" x14ac:dyDescent="0.25">
      <c r="A1215" s="1267"/>
      <c r="B1215" s="123"/>
      <c r="C1215" s="328"/>
      <c r="D1215" s="329"/>
      <c r="E1215" s="679"/>
      <c r="F1215" s="685"/>
      <c r="G1215" s="530"/>
      <c r="H1215" s="328"/>
      <c r="I1215" s="353"/>
      <c r="J1215" s="123"/>
      <c r="K1215" s="123"/>
      <c r="L1215" s="123"/>
      <c r="M1215" s="123"/>
      <c r="N1215" s="123"/>
      <c r="O1215" s="123"/>
      <c r="P1215" s="123"/>
      <c r="Q1215" s="123"/>
      <c r="R1215" s="123"/>
      <c r="S1215" s="123"/>
      <c r="T1215" s="123"/>
      <c r="U1215" s="123"/>
      <c r="V1215" s="123"/>
      <c r="W1215" s="1942"/>
      <c r="X1215" s="1942"/>
      <c r="Y1215" s="1942"/>
      <c r="Z1215" s="1942"/>
      <c r="AA1215" s="1942"/>
      <c r="AB1215" s="1942"/>
      <c r="AC1215" s="1942"/>
      <c r="AD1215" s="1942"/>
      <c r="AE1215" s="1942"/>
      <c r="AF1215" s="1942"/>
      <c r="AG1215" s="1942"/>
      <c r="AH1215" s="1942"/>
      <c r="AI1215" s="1942"/>
      <c r="AJ1215" s="1942"/>
      <c r="AK1215" s="1942"/>
      <c r="AL1215" s="1942"/>
      <c r="AM1215" s="1942"/>
      <c r="AN1215" s="1942"/>
      <c r="AO1215" s="1942"/>
      <c r="AP1215" s="1942"/>
      <c r="AQ1215" s="1942"/>
      <c r="AR1215" s="1942"/>
      <c r="AS1215" s="1942"/>
      <c r="AT1215" s="1942"/>
      <c r="AU1215" s="1942"/>
      <c r="AV1215" s="1942"/>
      <c r="AW1215" s="1942"/>
      <c r="AX1215" s="1942"/>
      <c r="AY1215" s="1942"/>
      <c r="AZ1215" s="1942"/>
      <c r="BA1215" s="1942"/>
      <c r="BB1215" s="575"/>
      <c r="BC1215" s="576"/>
      <c r="BD1215" s="678"/>
      <c r="BE1215" s="1942"/>
    </row>
    <row r="1216" spans="1:57" s="51" customFormat="1" hidden="1" outlineLevel="1" x14ac:dyDescent="0.25">
      <c r="A1216" s="1267"/>
      <c r="B1216" s="123"/>
      <c r="C1216" s="328"/>
      <c r="D1216" s="329"/>
      <c r="E1216" s="679"/>
      <c r="F1216" s="685"/>
      <c r="G1216" s="530"/>
      <c r="H1216" s="328"/>
      <c r="I1216" s="353"/>
      <c r="J1216" s="123"/>
      <c r="K1216" s="123"/>
      <c r="L1216" s="123"/>
      <c r="M1216" s="123"/>
      <c r="N1216" s="123"/>
      <c r="O1216" s="123"/>
      <c r="P1216" s="123"/>
      <c r="Q1216" s="123"/>
      <c r="R1216" s="123"/>
      <c r="S1216" s="123"/>
      <c r="T1216" s="123"/>
      <c r="U1216" s="123"/>
      <c r="V1216" s="123"/>
      <c r="W1216" s="1942"/>
      <c r="X1216" s="1942"/>
      <c r="Y1216" s="1942"/>
      <c r="Z1216" s="1942"/>
      <c r="AA1216" s="1942"/>
      <c r="AB1216" s="1942"/>
      <c r="AC1216" s="1942"/>
      <c r="AD1216" s="1942"/>
      <c r="AE1216" s="1942"/>
      <c r="AF1216" s="1942"/>
      <c r="AG1216" s="1942"/>
      <c r="AH1216" s="1942"/>
      <c r="AI1216" s="1942"/>
      <c r="AJ1216" s="1942"/>
      <c r="AK1216" s="1942"/>
      <c r="AL1216" s="1942"/>
      <c r="AM1216" s="1942"/>
      <c r="AN1216" s="1942"/>
      <c r="AO1216" s="1942"/>
      <c r="AP1216" s="1942"/>
      <c r="AQ1216" s="1942"/>
      <c r="AR1216" s="1942"/>
      <c r="AS1216" s="1942"/>
      <c r="AT1216" s="1942"/>
      <c r="AU1216" s="1942"/>
      <c r="AV1216" s="1942"/>
      <c r="AW1216" s="1942"/>
      <c r="AX1216" s="1942"/>
      <c r="AY1216" s="1942"/>
      <c r="AZ1216" s="1942"/>
      <c r="BA1216" s="1942"/>
      <c r="BB1216" s="575"/>
      <c r="BC1216" s="576"/>
      <c r="BD1216" s="678"/>
      <c r="BE1216" s="1942"/>
    </row>
    <row r="1217" spans="1:57" s="51" customFormat="1" hidden="1" outlineLevel="1" x14ac:dyDescent="0.25">
      <c r="A1217" s="1267"/>
      <c r="B1217" s="123"/>
      <c r="C1217" s="328"/>
      <c r="D1217" s="329"/>
      <c r="E1217" s="329"/>
      <c r="F1217" s="685"/>
      <c r="G1217" s="530"/>
      <c r="H1217" s="328"/>
      <c r="I1217" s="353"/>
      <c r="J1217" s="123"/>
      <c r="K1217" s="123"/>
      <c r="L1217" s="123"/>
      <c r="M1217" s="123"/>
      <c r="N1217" s="123"/>
      <c r="O1217" s="123"/>
      <c r="P1217" s="123"/>
      <c r="Q1217" s="123"/>
      <c r="R1217" s="123"/>
      <c r="S1217" s="123"/>
      <c r="T1217" s="123"/>
      <c r="U1217" s="123"/>
      <c r="V1217" s="123"/>
      <c r="W1217" s="1942"/>
      <c r="X1217" s="1942"/>
      <c r="Y1217" s="1942"/>
      <c r="Z1217" s="1942"/>
      <c r="AA1217" s="1942"/>
      <c r="AB1217" s="1942"/>
      <c r="AC1217" s="1942"/>
      <c r="AD1217" s="1942"/>
      <c r="AE1217" s="1942"/>
      <c r="AF1217" s="1942"/>
      <c r="AG1217" s="1942"/>
      <c r="AH1217" s="1942"/>
      <c r="AI1217" s="1942"/>
      <c r="AJ1217" s="1942"/>
      <c r="AK1217" s="1942"/>
      <c r="AL1217" s="1942"/>
      <c r="AM1217" s="1942"/>
      <c r="AN1217" s="1942"/>
      <c r="AO1217" s="1942"/>
      <c r="AP1217" s="1942"/>
      <c r="AQ1217" s="1942"/>
      <c r="AR1217" s="1942"/>
      <c r="AS1217" s="1942"/>
      <c r="AT1217" s="1942"/>
      <c r="AU1217" s="1942"/>
      <c r="AV1217" s="1942"/>
      <c r="AW1217" s="1942"/>
      <c r="AX1217" s="1942"/>
      <c r="AY1217" s="1942"/>
      <c r="AZ1217" s="1942"/>
      <c r="BA1217" s="1942"/>
      <c r="BB1217" s="575"/>
      <c r="BC1217" s="576"/>
      <c r="BD1217" s="678"/>
      <c r="BE1217" s="1942"/>
    </row>
    <row r="1218" spans="1:57" s="51" customFormat="1" hidden="1" outlineLevel="1" x14ac:dyDescent="0.25">
      <c r="A1218" s="1267"/>
      <c r="B1218" s="123"/>
      <c r="C1218" s="328"/>
      <c r="D1218" s="329" t="s">
        <v>1077</v>
      </c>
      <c r="E1218" s="329"/>
      <c r="F1218" s="685"/>
      <c r="G1218" s="530"/>
      <c r="H1218" s="328"/>
      <c r="I1218" s="353"/>
      <c r="J1218" s="123"/>
      <c r="K1218" s="123"/>
      <c r="L1218" s="123"/>
      <c r="M1218" s="123"/>
      <c r="N1218" s="123"/>
      <c r="O1218" s="123"/>
      <c r="P1218" s="123"/>
      <c r="Q1218" s="123"/>
      <c r="R1218" s="123"/>
      <c r="S1218" s="123"/>
      <c r="T1218" s="123"/>
      <c r="U1218" s="123"/>
      <c r="V1218" s="123"/>
      <c r="W1218" s="1942"/>
      <c r="X1218" s="1942"/>
      <c r="Y1218" s="1942"/>
      <c r="Z1218" s="1942"/>
      <c r="AA1218" s="1942"/>
      <c r="AB1218" s="1942"/>
      <c r="AC1218" s="1942"/>
      <c r="AD1218" s="1942"/>
      <c r="AE1218" s="1942"/>
      <c r="AF1218" s="1942"/>
      <c r="AG1218" s="1942"/>
      <c r="AH1218" s="1942"/>
      <c r="AI1218" s="1942"/>
      <c r="AJ1218" s="1942"/>
      <c r="AK1218" s="1942"/>
      <c r="AL1218" s="1942"/>
      <c r="AM1218" s="1942"/>
      <c r="AN1218" s="1942"/>
      <c r="AO1218" s="1942"/>
      <c r="AP1218" s="1942"/>
      <c r="AQ1218" s="1942"/>
      <c r="AR1218" s="1942"/>
      <c r="AS1218" s="1942"/>
      <c r="AT1218" s="1942"/>
      <c r="AU1218" s="1942"/>
      <c r="AV1218" s="1942"/>
      <c r="AW1218" s="1942"/>
      <c r="AX1218" s="1942"/>
      <c r="AY1218" s="1942"/>
      <c r="AZ1218" s="1942"/>
      <c r="BA1218" s="1942"/>
      <c r="BB1218" s="575"/>
      <c r="BC1218" s="576"/>
      <c r="BD1218" s="678"/>
      <c r="BE1218" s="1942"/>
    </row>
    <row r="1219" spans="1:57" s="51" customFormat="1" hidden="1" outlineLevel="1" x14ac:dyDescent="0.25">
      <c r="A1219" s="1267"/>
      <c r="B1219" s="123"/>
      <c r="C1219" s="328"/>
      <c r="D1219" s="329"/>
      <c r="E1219" s="329"/>
      <c r="F1219" s="685"/>
      <c r="G1219" s="530"/>
      <c r="H1219" s="328"/>
      <c r="I1219" s="353"/>
      <c r="J1219" s="123"/>
      <c r="K1219" s="123"/>
      <c r="L1219" s="123"/>
      <c r="M1219" s="123"/>
      <c r="N1219" s="123"/>
      <c r="O1219" s="123"/>
      <c r="P1219" s="123"/>
      <c r="Q1219" s="123"/>
      <c r="R1219" s="123"/>
      <c r="S1219" s="123"/>
      <c r="T1219" s="123"/>
      <c r="U1219" s="123"/>
      <c r="V1219" s="123"/>
      <c r="W1219" s="1942"/>
      <c r="X1219" s="1942"/>
      <c r="Y1219" s="1942"/>
      <c r="Z1219" s="1942"/>
      <c r="AA1219" s="1942"/>
      <c r="AB1219" s="1942"/>
      <c r="AC1219" s="1942"/>
      <c r="AD1219" s="1942"/>
      <c r="AE1219" s="1942"/>
      <c r="AF1219" s="1942"/>
      <c r="AG1219" s="1942"/>
      <c r="AH1219" s="1942"/>
      <c r="AI1219" s="1942"/>
      <c r="AJ1219" s="1942"/>
      <c r="AK1219" s="1942"/>
      <c r="AL1219" s="1942"/>
      <c r="AM1219" s="1942"/>
      <c r="AN1219" s="1942"/>
      <c r="AO1219" s="1942"/>
      <c r="AP1219" s="1942"/>
      <c r="AQ1219" s="1942"/>
      <c r="AR1219" s="1942"/>
      <c r="AS1219" s="1942"/>
      <c r="AT1219" s="1942"/>
      <c r="AU1219" s="1942"/>
      <c r="AV1219" s="1942"/>
      <c r="AW1219" s="1942"/>
      <c r="AX1219" s="1942"/>
      <c r="AY1219" s="1942"/>
      <c r="AZ1219" s="1942"/>
      <c r="BA1219" s="1942"/>
      <c r="BB1219" s="575"/>
      <c r="BC1219" s="576"/>
      <c r="BD1219" s="678"/>
    </row>
    <row r="1220" spans="1:57" s="51" customFormat="1" hidden="1" outlineLevel="1" x14ac:dyDescent="0.25">
      <c r="A1220" s="1267"/>
      <c r="B1220" s="123"/>
      <c r="C1220" s="328"/>
      <c r="D1220" s="329"/>
      <c r="E1220" s="329"/>
      <c r="F1220" s="685"/>
      <c r="G1220" s="530"/>
      <c r="H1220" s="328"/>
      <c r="I1220" s="123"/>
      <c r="J1220" s="123"/>
      <c r="K1220" s="123"/>
      <c r="L1220" s="123"/>
      <c r="M1220" s="123"/>
      <c r="N1220" s="123"/>
      <c r="O1220" s="123"/>
      <c r="P1220" s="123"/>
      <c r="Q1220" s="123"/>
      <c r="R1220" s="123"/>
      <c r="S1220" s="123"/>
      <c r="T1220" s="123"/>
      <c r="U1220" s="123"/>
      <c r="V1220" s="123"/>
      <c r="W1220" s="1942"/>
      <c r="X1220" s="1942"/>
      <c r="Y1220" s="1942"/>
      <c r="Z1220" s="1942"/>
      <c r="AA1220" s="1942"/>
      <c r="AB1220" s="1942"/>
      <c r="AC1220" s="1942"/>
      <c r="AD1220" s="1942"/>
      <c r="AE1220" s="1942"/>
      <c r="AF1220" s="1942"/>
      <c r="AG1220" s="1942"/>
      <c r="AH1220" s="1942"/>
      <c r="AI1220" s="1942"/>
      <c r="AJ1220" s="1942"/>
      <c r="AK1220" s="1942"/>
      <c r="AL1220" s="1942"/>
      <c r="AM1220" s="1942"/>
      <c r="AN1220" s="1942"/>
      <c r="AO1220" s="1942"/>
      <c r="AP1220" s="1942"/>
      <c r="AQ1220" s="1942"/>
      <c r="AR1220" s="1942"/>
      <c r="AS1220" s="1942"/>
      <c r="AT1220" s="1942"/>
      <c r="AU1220" s="1942"/>
      <c r="AV1220" s="1942"/>
      <c r="AW1220" s="1942"/>
      <c r="AX1220" s="1942"/>
      <c r="AY1220" s="1942"/>
      <c r="AZ1220" s="1942"/>
      <c r="BA1220" s="1942"/>
      <c r="BB1220" s="575"/>
      <c r="BC1220" s="576"/>
      <c r="BD1220" s="678"/>
    </row>
    <row r="1221" spans="1:57" s="51" customFormat="1" hidden="1" outlineLevel="1" x14ac:dyDescent="0.25">
      <c r="A1221" s="1267"/>
      <c r="B1221" s="123"/>
      <c r="C1221" s="328"/>
      <c r="D1221" s="329"/>
      <c r="E1221" s="329"/>
      <c r="F1221" s="123"/>
      <c r="G1221" s="329"/>
      <c r="H1221" s="328"/>
      <c r="I1221" s="123"/>
      <c r="J1221" s="123"/>
      <c r="K1221" s="123"/>
      <c r="L1221" s="123"/>
      <c r="M1221" s="123"/>
      <c r="N1221" s="123"/>
      <c r="O1221" s="123"/>
      <c r="P1221" s="123"/>
      <c r="Q1221" s="123"/>
      <c r="R1221" s="123"/>
      <c r="S1221" s="123"/>
      <c r="T1221" s="123"/>
      <c r="U1221" s="123"/>
      <c r="V1221" s="123"/>
      <c r="W1221" s="1942"/>
      <c r="X1221" s="1942"/>
      <c r="Y1221" s="1942"/>
      <c r="Z1221" s="1942"/>
      <c r="AA1221" s="1942"/>
      <c r="AB1221" s="1942"/>
      <c r="AC1221" s="1942"/>
      <c r="AD1221" s="1942"/>
      <c r="AE1221" s="1942"/>
      <c r="AF1221" s="1942"/>
      <c r="AG1221" s="1942"/>
      <c r="AH1221" s="1942"/>
      <c r="AI1221" s="1942"/>
      <c r="AJ1221" s="1942"/>
      <c r="AK1221" s="1942"/>
      <c r="AL1221" s="1942"/>
      <c r="AM1221" s="1942"/>
      <c r="AN1221" s="1942"/>
      <c r="AO1221" s="1942"/>
      <c r="AP1221" s="1942"/>
      <c r="AQ1221" s="1942"/>
      <c r="AR1221" s="1942"/>
      <c r="AS1221" s="1942"/>
      <c r="AT1221" s="1942"/>
      <c r="AU1221" s="1942"/>
      <c r="AV1221" s="1942"/>
      <c r="AW1221" s="1942"/>
      <c r="AX1221" s="1942"/>
      <c r="AY1221" s="1942"/>
      <c r="AZ1221" s="1942"/>
      <c r="BA1221" s="1942"/>
      <c r="BB1221" s="575"/>
      <c r="BC1221" s="576"/>
      <c r="BD1221" s="678"/>
    </row>
    <row r="1222" spans="1:57" s="51" customFormat="1" hidden="1" outlineLevel="1" x14ac:dyDescent="0.25">
      <c r="A1222" s="1267"/>
      <c r="B1222" s="123"/>
      <c r="C1222" s="328"/>
      <c r="D1222" s="329"/>
      <c r="E1222" s="329"/>
      <c r="F1222" s="123"/>
      <c r="G1222" s="329"/>
      <c r="H1222" s="328"/>
      <c r="I1222" s="328"/>
      <c r="J1222" s="328"/>
      <c r="K1222" s="328"/>
      <c r="L1222" s="328"/>
      <c r="M1222" s="328"/>
      <c r="N1222" s="123"/>
      <c r="O1222" s="123"/>
      <c r="P1222" s="123"/>
      <c r="Q1222" s="123"/>
      <c r="R1222" s="123"/>
      <c r="S1222" s="123"/>
      <c r="T1222" s="123"/>
      <c r="U1222" s="123"/>
      <c r="V1222" s="123"/>
      <c r="W1222" s="1942"/>
      <c r="X1222" s="1942"/>
      <c r="Y1222" s="1942"/>
      <c r="Z1222" s="1942"/>
      <c r="AA1222" s="1942"/>
      <c r="AB1222" s="1942"/>
      <c r="AC1222" s="1942"/>
      <c r="AD1222" s="1942"/>
      <c r="AE1222" s="1942"/>
      <c r="AF1222" s="1942"/>
      <c r="AG1222" s="1942"/>
      <c r="AH1222" s="1942"/>
      <c r="AI1222" s="1942"/>
      <c r="AJ1222" s="1942"/>
      <c r="AK1222" s="1942"/>
      <c r="AL1222" s="1942"/>
      <c r="AM1222" s="1942"/>
      <c r="AN1222" s="1942"/>
      <c r="AO1222" s="1942"/>
      <c r="AP1222" s="1942"/>
      <c r="AQ1222" s="1942"/>
      <c r="AR1222" s="1942"/>
      <c r="AS1222" s="1942"/>
      <c r="AT1222" s="1942"/>
      <c r="AU1222" s="1942"/>
      <c r="AV1222" s="1942"/>
      <c r="AW1222" s="1942"/>
      <c r="AX1222" s="1942"/>
      <c r="AY1222" s="1942"/>
      <c r="AZ1222" s="1942"/>
      <c r="BA1222" s="1942"/>
      <c r="BB1222" s="575"/>
      <c r="BC1222" s="576"/>
      <c r="BD1222" s="678"/>
    </row>
    <row r="1223" spans="1:57" s="51" customFormat="1" ht="30" hidden="1" outlineLevel="1" x14ac:dyDescent="0.25">
      <c r="A1223" s="1267"/>
      <c r="B1223" s="123"/>
      <c r="C1223" s="328"/>
      <c r="D1223" s="380" t="s">
        <v>109</v>
      </c>
      <c r="E1223" s="380" t="s">
        <v>110</v>
      </c>
      <c r="F1223" s="4068" t="s">
        <v>186</v>
      </c>
      <c r="G1223" s="4068"/>
      <c r="H1223" s="4068"/>
      <c r="I1223" s="3161" t="s">
        <v>28</v>
      </c>
      <c r="J1223" s="3161" t="s">
        <v>112</v>
      </c>
      <c r="K1223" s="3161" t="s">
        <v>977</v>
      </c>
      <c r="L1223" s="3161" t="s">
        <v>410</v>
      </c>
      <c r="M1223" s="123"/>
      <c r="N1223" s="123"/>
      <c r="O1223" s="123"/>
      <c r="P1223" s="123"/>
      <c r="Q1223" s="123"/>
      <c r="R1223" s="123"/>
      <c r="S1223" s="123"/>
      <c r="T1223" s="123"/>
      <c r="U1223" s="123"/>
      <c r="V1223" s="551" t="s">
        <v>45</v>
      </c>
      <c r="W1223" s="1937">
        <v>43252</v>
      </c>
      <c r="X1223" s="1937">
        <f>$X$6</f>
        <v>43465</v>
      </c>
      <c r="Y1223" s="1937">
        <f>$Y$6</f>
        <v>43800</v>
      </c>
      <c r="Z1223" s="1937">
        <f>$Z$6</f>
        <v>43862</v>
      </c>
      <c r="AA1223" s="1937">
        <f>$AA$6</f>
        <v>44013</v>
      </c>
      <c r="AB1223" s="1937">
        <f>$AB$6</f>
        <v>44166</v>
      </c>
      <c r="AC1223" s="1937">
        <f>$AC$6</f>
        <v>44531</v>
      </c>
      <c r="AD1223" s="1937" t="str">
        <f>$AD$6</f>
        <v>-</v>
      </c>
      <c r="AE1223" s="1937" t="str">
        <f>$AE$6</f>
        <v>-</v>
      </c>
      <c r="AF1223" s="1937" t="str">
        <f>$AF$6</f>
        <v>-</v>
      </c>
      <c r="AG1223" s="1937" t="str">
        <f>$AG$6</f>
        <v>-</v>
      </c>
      <c r="AH1223" s="1942"/>
      <c r="AI1223" s="1942"/>
      <c r="AJ1223" s="1942"/>
      <c r="AK1223" s="1942"/>
      <c r="AL1223" s="1942"/>
      <c r="AM1223" s="1942"/>
      <c r="AN1223" s="1942"/>
      <c r="AO1223" s="1942"/>
      <c r="AP1223" s="1942"/>
      <c r="AQ1223" s="1942"/>
      <c r="AR1223" s="1942"/>
      <c r="AS1223" s="1942"/>
      <c r="AT1223" s="1942"/>
      <c r="AU1223" s="1942"/>
      <c r="AV1223" s="1942"/>
      <c r="AW1223" s="1942"/>
      <c r="AX1223" s="1942"/>
      <c r="AY1223" s="1942"/>
      <c r="AZ1223" s="1942"/>
      <c r="BA1223" s="1942"/>
      <c r="BB1223" s="575"/>
      <c r="BC1223" s="576"/>
      <c r="BD1223" s="678"/>
    </row>
    <row r="1224" spans="1:57" s="51" customFormat="1" ht="15.75" hidden="1" outlineLevel="1" thickBot="1" x14ac:dyDescent="0.3">
      <c r="A1224" s="1267"/>
      <c r="B1224" s="123"/>
      <c r="C1224" s="328"/>
      <c r="D1224" s="1832"/>
      <c r="E1224" s="1833"/>
      <c r="F1224" s="1834"/>
      <c r="G1224" s="1835"/>
      <c r="H1224" s="1836"/>
      <c r="I1224" s="1837"/>
      <c r="J1224" s="1837"/>
      <c r="K1224" s="1834"/>
      <c r="L1224" s="1834"/>
      <c r="M1224" s="123"/>
      <c r="N1224" s="123"/>
      <c r="O1224" s="123"/>
      <c r="P1224" s="123"/>
      <c r="Q1224" s="123"/>
      <c r="R1224" s="123"/>
      <c r="S1224" s="123"/>
      <c r="T1224" s="123"/>
      <c r="U1224" s="123"/>
      <c r="V1224" s="551"/>
      <c r="W1224" s="1937"/>
      <c r="X1224" s="1937"/>
      <c r="Y1224" s="1937"/>
      <c r="Z1224" s="1937"/>
      <c r="AA1224" s="1937"/>
      <c r="AB1224" s="1937"/>
      <c r="AC1224" s="1937"/>
      <c r="AD1224" s="1937"/>
      <c r="AE1224" s="1937"/>
      <c r="AF1224" s="1937"/>
      <c r="AG1224" s="1937"/>
      <c r="AH1224" s="1942"/>
      <c r="AI1224" s="1942"/>
      <c r="AJ1224" s="1942"/>
      <c r="AK1224" s="1942"/>
      <c r="AL1224" s="1942"/>
      <c r="AM1224" s="1942"/>
      <c r="AN1224" s="1942"/>
      <c r="AO1224" s="1942"/>
      <c r="AP1224" s="1942"/>
      <c r="AQ1224" s="1942"/>
      <c r="AR1224" s="1942"/>
      <c r="AS1224" s="1942"/>
      <c r="AT1224" s="1942"/>
      <c r="AU1224" s="1942"/>
      <c r="AV1224" s="1942"/>
      <c r="AW1224" s="1942"/>
      <c r="AX1224" s="1942"/>
      <c r="AY1224" s="1942"/>
      <c r="AZ1224" s="1942"/>
      <c r="BA1224" s="1942"/>
      <c r="BB1224" s="575"/>
      <c r="BC1224" s="576"/>
      <c r="BD1224" s="678"/>
    </row>
    <row r="1225" spans="1:57" s="51" customFormat="1" hidden="1" outlineLevel="1" x14ac:dyDescent="0.25">
      <c r="A1225" s="1267"/>
      <c r="B1225" s="123"/>
      <c r="C1225" s="328"/>
      <c r="D1225" s="3989" t="s">
        <v>1147</v>
      </c>
      <c r="E1225" s="3986" t="s">
        <v>1148</v>
      </c>
      <c r="F1225" s="3998" t="str">
        <f>E1192</f>
        <v>DFHP-SEER19-ROF_MF</v>
      </c>
      <c r="G1225" s="3998"/>
      <c r="H1225" s="3999"/>
      <c r="I1225" s="790"/>
      <c r="J1225" s="2857">
        <v>40800</v>
      </c>
      <c r="K1225" s="806">
        <f t="shared" ref="K1225:K1230" si="131">J1225/12000</f>
        <v>3.4</v>
      </c>
      <c r="L1225" s="786" t="s">
        <v>1149</v>
      </c>
      <c r="M1225" s="123"/>
      <c r="N1225" s="123"/>
      <c r="O1225" s="123"/>
      <c r="P1225" s="123"/>
      <c r="Q1225" s="123"/>
      <c r="R1225" s="123"/>
      <c r="S1225" s="123"/>
      <c r="T1225" s="123"/>
      <c r="U1225" s="123"/>
      <c r="V1225" s="3990"/>
      <c r="W1225" s="696">
        <f>$K1232*12000</f>
        <v>0</v>
      </c>
      <c r="X1225" s="696">
        <v>40800</v>
      </c>
      <c r="Y1225" s="696">
        <v>40800</v>
      </c>
      <c r="Z1225" s="696">
        <v>40800</v>
      </c>
      <c r="AA1225" s="696">
        <v>40800</v>
      </c>
      <c r="AB1225" s="696">
        <v>40800</v>
      </c>
      <c r="AC1225" s="2857">
        <v>40800</v>
      </c>
      <c r="AD1225" s="696"/>
      <c r="AE1225" s="696"/>
      <c r="AF1225" s="696"/>
      <c r="AG1225" s="696"/>
      <c r="AH1225" s="1942"/>
      <c r="AI1225" s="1942"/>
      <c r="AJ1225" s="1942"/>
      <c r="AK1225" s="1942"/>
      <c r="AL1225" s="1942"/>
      <c r="AM1225" s="1942"/>
      <c r="AN1225" s="1942"/>
      <c r="AO1225" s="1942"/>
      <c r="AP1225" s="1942"/>
      <c r="AQ1225" s="1942"/>
      <c r="AR1225" s="1942"/>
      <c r="AS1225" s="1942"/>
      <c r="AT1225" s="1942"/>
      <c r="AU1225" s="1942"/>
      <c r="AV1225" s="1942"/>
      <c r="AW1225" s="1942"/>
      <c r="AX1225" s="1942"/>
      <c r="AY1225" s="1942"/>
      <c r="AZ1225" s="1942"/>
      <c r="BA1225" s="1942"/>
      <c r="BB1225" s="575"/>
      <c r="BC1225" s="576"/>
      <c r="BD1225" s="678"/>
    </row>
    <row r="1226" spans="1:57" s="51" customFormat="1" hidden="1" outlineLevel="1" x14ac:dyDescent="0.25">
      <c r="A1226" s="1267"/>
      <c r="B1226" s="123"/>
      <c r="C1226" s="328"/>
      <c r="D1226" s="3990"/>
      <c r="E1226" s="3987"/>
      <c r="F1226" s="3998" t="str">
        <f>E1194</f>
        <v>DFHP-SEER19-ROF_MF_CompE</v>
      </c>
      <c r="G1226" s="3998"/>
      <c r="H1226" s="3999"/>
      <c r="I1226" s="790"/>
      <c r="J1226" s="2857">
        <v>40800</v>
      </c>
      <c r="K1226" s="806">
        <f t="shared" si="131"/>
        <v>3.4</v>
      </c>
      <c r="L1226" s="786"/>
      <c r="M1226" s="123"/>
      <c r="N1226" s="123"/>
      <c r="O1226" s="123"/>
      <c r="P1226" s="123"/>
      <c r="Q1226" s="123"/>
      <c r="R1226" s="123"/>
      <c r="S1226" s="123"/>
      <c r="T1226" s="123"/>
      <c r="U1226" s="123"/>
      <c r="V1226" s="3990"/>
      <c r="W1226" s="696"/>
      <c r="X1226" s="696"/>
      <c r="Y1226" s="2857">
        <v>40800</v>
      </c>
      <c r="Z1226" s="2857">
        <v>40800</v>
      </c>
      <c r="AA1226" s="2857">
        <v>40800</v>
      </c>
      <c r="AB1226" s="2857">
        <v>40800</v>
      </c>
      <c r="AC1226" s="2857">
        <v>40800</v>
      </c>
      <c r="AD1226" s="696"/>
      <c r="AE1226" s="696"/>
      <c r="AF1226" s="696"/>
      <c r="AG1226" s="696"/>
      <c r="AH1226" s="1942"/>
      <c r="AI1226" s="1942"/>
      <c r="AJ1226" s="1942"/>
      <c r="AK1226" s="1942"/>
      <c r="AL1226" s="1942"/>
      <c r="AM1226" s="1942"/>
      <c r="AN1226" s="1942"/>
      <c r="AO1226" s="1942"/>
      <c r="AP1226" s="1942"/>
      <c r="AQ1226" s="1942"/>
      <c r="AR1226" s="1942"/>
      <c r="AS1226" s="1942"/>
      <c r="AT1226" s="1942"/>
      <c r="AU1226" s="1942"/>
      <c r="AV1226" s="1942"/>
      <c r="AW1226" s="1942"/>
      <c r="AX1226" s="1942"/>
      <c r="AY1226" s="1942"/>
      <c r="AZ1226" s="1942"/>
      <c r="BA1226" s="1942"/>
      <c r="BB1226" s="575"/>
      <c r="BC1226" s="576"/>
      <c r="BD1226" s="678"/>
    </row>
    <row r="1227" spans="1:57" s="51" customFormat="1" hidden="1" outlineLevel="1" x14ac:dyDescent="0.25">
      <c r="A1227" s="1267"/>
      <c r="B1227" s="123"/>
      <c r="C1227" s="328"/>
      <c r="D1227" s="3990"/>
      <c r="E1227" s="3987"/>
      <c r="F1227" s="3998" t="str">
        <f>E1196</f>
        <v>DFHP-SEER20-ROF_MF</v>
      </c>
      <c r="G1227" s="3998"/>
      <c r="H1227" s="3999"/>
      <c r="I1227" s="2862"/>
      <c r="J1227" s="2857">
        <v>52800.000000000007</v>
      </c>
      <c r="K1227" s="806">
        <f t="shared" si="131"/>
        <v>4.4000000000000004</v>
      </c>
      <c r="L1227" s="787" t="s">
        <v>1149</v>
      </c>
      <c r="M1227" s="123"/>
      <c r="N1227" s="123"/>
      <c r="O1227" s="123"/>
      <c r="P1227" s="123"/>
      <c r="Q1227" s="123"/>
      <c r="R1227" s="123"/>
      <c r="S1227" s="123"/>
      <c r="T1227" s="123"/>
      <c r="U1227" s="123"/>
      <c r="V1227" s="3990"/>
      <c r="W1227" s="2857">
        <f>$K1227*12000</f>
        <v>52800.000000000007</v>
      </c>
      <c r="X1227" s="2857">
        <v>52800.000000000007</v>
      </c>
      <c r="Y1227" s="2857">
        <v>52800.000000000007</v>
      </c>
      <c r="Z1227" s="2857">
        <v>52800.000000000007</v>
      </c>
      <c r="AA1227" s="2857">
        <v>52800.000000000007</v>
      </c>
      <c r="AB1227" s="2857">
        <v>52800.000000000007</v>
      </c>
      <c r="AC1227" s="2857">
        <v>52800.000000000007</v>
      </c>
      <c r="AD1227" s="2857"/>
      <c r="AE1227" s="2857"/>
      <c r="AF1227" s="2857"/>
      <c r="AG1227" s="2857"/>
      <c r="AH1227" s="1942"/>
      <c r="AI1227" s="1942"/>
      <c r="AJ1227" s="1942"/>
      <c r="AK1227" s="1942"/>
      <c r="AL1227" s="1942"/>
      <c r="AM1227" s="1942"/>
      <c r="AN1227" s="1942"/>
      <c r="AO1227" s="1942"/>
      <c r="AP1227" s="1942"/>
      <c r="AQ1227" s="1942"/>
      <c r="AR1227" s="1942"/>
      <c r="AS1227" s="1942"/>
      <c r="AT1227" s="1942"/>
      <c r="AU1227" s="1942"/>
      <c r="AV1227" s="1942"/>
      <c r="AW1227" s="1942"/>
      <c r="AX1227" s="1942"/>
      <c r="AY1227" s="1942"/>
      <c r="AZ1227" s="1942"/>
      <c r="BA1227" s="1942"/>
      <c r="BB1227" s="575"/>
      <c r="BC1227" s="576"/>
      <c r="BD1227" s="678"/>
    </row>
    <row r="1228" spans="1:57" s="51" customFormat="1" hidden="1" outlineLevel="1" x14ac:dyDescent="0.25">
      <c r="A1228" s="1267"/>
      <c r="B1228" s="123"/>
      <c r="C1228" s="328"/>
      <c r="D1228" s="3990"/>
      <c r="E1228" s="3987"/>
      <c r="F1228" s="3998" t="str">
        <f>E1198</f>
        <v>DFHP-SEER20-ROF_MF_CompE</v>
      </c>
      <c r="G1228" s="3998"/>
      <c r="H1228" s="3999"/>
      <c r="I1228" s="2862"/>
      <c r="J1228" s="2857">
        <v>52800.000000000007</v>
      </c>
      <c r="K1228" s="806">
        <f t="shared" si="131"/>
        <v>4.4000000000000004</v>
      </c>
      <c r="L1228" s="787"/>
      <c r="M1228" s="123"/>
      <c r="N1228" s="123"/>
      <c r="O1228" s="123"/>
      <c r="P1228" s="123"/>
      <c r="Q1228" s="123"/>
      <c r="R1228" s="123"/>
      <c r="S1228" s="123"/>
      <c r="T1228" s="123"/>
      <c r="U1228" s="123"/>
      <c r="V1228" s="3990"/>
      <c r="W1228" s="2857"/>
      <c r="X1228" s="2857"/>
      <c r="Y1228" s="2857">
        <v>52800.000000000007</v>
      </c>
      <c r="Z1228" s="2857">
        <v>52800.000000000007</v>
      </c>
      <c r="AA1228" s="2857">
        <v>52800.000000000007</v>
      </c>
      <c r="AB1228" s="2857">
        <v>52800.000000000007</v>
      </c>
      <c r="AC1228" s="2857">
        <v>52800.000000000007</v>
      </c>
      <c r="AD1228" s="2857"/>
      <c r="AE1228" s="2857"/>
      <c r="AF1228" s="2857"/>
      <c r="AG1228" s="2857"/>
      <c r="AH1228" s="1942"/>
      <c r="AI1228" s="1942"/>
      <c r="AJ1228" s="1942"/>
      <c r="AK1228" s="1942"/>
      <c r="AL1228" s="1942"/>
      <c r="AM1228" s="1942"/>
      <c r="AN1228" s="1942"/>
      <c r="AO1228" s="1942"/>
      <c r="AP1228" s="1942"/>
      <c r="AQ1228" s="1942"/>
      <c r="AR1228" s="1942"/>
      <c r="AS1228" s="1942"/>
      <c r="AT1228" s="1942"/>
      <c r="AU1228" s="1942"/>
      <c r="AV1228" s="1942"/>
      <c r="AW1228" s="1942"/>
      <c r="AX1228" s="1942"/>
      <c r="AY1228" s="1942"/>
      <c r="AZ1228" s="1942"/>
      <c r="BA1228" s="1942"/>
      <c r="BB1228" s="575"/>
      <c r="BC1228" s="576"/>
      <c r="BD1228" s="678"/>
    </row>
    <row r="1229" spans="1:57" s="51" customFormat="1" hidden="1" outlineLevel="1" x14ac:dyDescent="0.25">
      <c r="A1229" s="1267"/>
      <c r="B1229" s="123"/>
      <c r="C1229" s="328"/>
      <c r="D1229" s="3990"/>
      <c r="E1229" s="3987"/>
      <c r="F1229" s="3998" t="str">
        <f>E1200</f>
        <v>DFHP-SEER21-ROF_MF</v>
      </c>
      <c r="G1229" s="3998"/>
      <c r="H1229" s="3999"/>
      <c r="I1229" s="2862"/>
      <c r="J1229" s="2857">
        <v>64800.000000000007</v>
      </c>
      <c r="K1229" s="806">
        <f t="shared" si="131"/>
        <v>5.4</v>
      </c>
      <c r="L1229" s="787" t="s">
        <v>1149</v>
      </c>
      <c r="M1229" s="123"/>
      <c r="N1229" s="123"/>
      <c r="O1229" s="123"/>
      <c r="P1229" s="123"/>
      <c r="Q1229" s="123"/>
      <c r="R1229" s="123"/>
      <c r="S1229" s="123"/>
      <c r="T1229" s="123"/>
      <c r="U1229" s="123"/>
      <c r="V1229" s="3990"/>
      <c r="W1229" s="2857">
        <f>$K1229*12000</f>
        <v>64800.000000000007</v>
      </c>
      <c r="X1229" s="2857">
        <v>64800.000000000007</v>
      </c>
      <c r="Y1229" s="2857">
        <v>64800.000000000007</v>
      </c>
      <c r="Z1229" s="2857">
        <v>64800.000000000007</v>
      </c>
      <c r="AA1229" s="2857">
        <v>64800.000000000007</v>
      </c>
      <c r="AB1229" s="2857">
        <v>64800.000000000007</v>
      </c>
      <c r="AC1229" s="2857">
        <v>64800.000000000007</v>
      </c>
      <c r="AD1229" s="2857"/>
      <c r="AE1229" s="2857"/>
      <c r="AF1229" s="2857"/>
      <c r="AG1229" s="2857"/>
      <c r="AH1229" s="1942"/>
      <c r="AI1229" s="1942"/>
      <c r="AJ1229" s="1942"/>
      <c r="AK1229" s="1942"/>
      <c r="AL1229" s="1942"/>
      <c r="AM1229" s="1942"/>
      <c r="AN1229" s="1942"/>
      <c r="AO1229" s="1942"/>
      <c r="AP1229" s="1942"/>
      <c r="AQ1229" s="1942"/>
      <c r="AR1229" s="1942"/>
      <c r="AS1229" s="1942"/>
      <c r="AT1229" s="1942"/>
      <c r="AU1229" s="1942"/>
      <c r="AV1229" s="1942"/>
      <c r="AW1229" s="1942"/>
      <c r="AX1229" s="1942"/>
      <c r="AY1229" s="1942"/>
      <c r="AZ1229" s="1942"/>
      <c r="BA1229" s="1942"/>
      <c r="BB1229" s="575"/>
      <c r="BC1229" s="576"/>
      <c r="BD1229" s="678"/>
    </row>
    <row r="1230" spans="1:57" s="51" customFormat="1" ht="15.75" hidden="1" outlineLevel="1" thickBot="1" x14ac:dyDescent="0.3">
      <c r="A1230" s="1267"/>
      <c r="B1230" s="123"/>
      <c r="C1230" s="328"/>
      <c r="D1230" s="3991"/>
      <c r="E1230" s="3988"/>
      <c r="F1230" s="4000" t="str">
        <f>E1202</f>
        <v>DFHP-SEER21-ROF_MF_CompE</v>
      </c>
      <c r="G1230" s="4000"/>
      <c r="H1230" s="4001"/>
      <c r="I1230" s="2863"/>
      <c r="J1230" s="2860">
        <v>64800.000000000007</v>
      </c>
      <c r="K1230" s="1582">
        <f t="shared" si="131"/>
        <v>5.4</v>
      </c>
      <c r="L1230" s="799"/>
      <c r="M1230" s="123"/>
      <c r="N1230" s="123"/>
      <c r="O1230" s="123"/>
      <c r="P1230" s="123"/>
      <c r="Q1230" s="123"/>
      <c r="R1230" s="123"/>
      <c r="S1230" s="123"/>
      <c r="T1230" s="123"/>
      <c r="U1230" s="123"/>
      <c r="V1230" s="3990"/>
      <c r="W1230" s="2857"/>
      <c r="X1230" s="2857"/>
      <c r="Y1230" s="2857">
        <v>64800.000000000007</v>
      </c>
      <c r="Z1230" s="2857">
        <v>64800.000000000007</v>
      </c>
      <c r="AA1230" s="2857">
        <v>64800.000000000007</v>
      </c>
      <c r="AB1230" s="2857">
        <v>64800.000000000007</v>
      </c>
      <c r="AC1230" s="2860">
        <v>64800.000000000007</v>
      </c>
      <c r="AD1230" s="2857"/>
      <c r="AE1230" s="2857"/>
      <c r="AF1230" s="2857"/>
      <c r="AG1230" s="2857"/>
      <c r="AH1230" s="1942"/>
      <c r="AI1230" s="1942"/>
      <c r="AJ1230" s="1942"/>
      <c r="AK1230" s="1942"/>
      <c r="AL1230" s="1942"/>
      <c r="AM1230" s="1942"/>
      <c r="AN1230" s="1942"/>
      <c r="AO1230" s="1942"/>
      <c r="AP1230" s="1942"/>
      <c r="AQ1230" s="1942"/>
      <c r="AR1230" s="1942"/>
      <c r="AS1230" s="1942"/>
      <c r="AT1230" s="1942"/>
      <c r="AU1230" s="1942"/>
      <c r="AV1230" s="1942"/>
      <c r="AW1230" s="1942"/>
      <c r="AX1230" s="1942"/>
      <c r="AY1230" s="1942"/>
      <c r="AZ1230" s="1942"/>
      <c r="BA1230" s="1942"/>
      <c r="BB1230" s="575"/>
      <c r="BC1230" s="576"/>
      <c r="BD1230" s="678"/>
    </row>
    <row r="1231" spans="1:57" s="51" customFormat="1" ht="45" hidden="1" outlineLevel="1" x14ac:dyDescent="0.25">
      <c r="A1231" s="1267"/>
      <c r="B1231" s="123"/>
      <c r="C1231" s="328"/>
      <c r="D1231" s="3989" t="s">
        <v>1150</v>
      </c>
      <c r="E1231" s="3986" t="s">
        <v>1151</v>
      </c>
      <c r="F1231" s="4002" t="str">
        <f>$F$1225</f>
        <v>DFHP-SEER19-ROF_MF</v>
      </c>
      <c r="G1231" s="3998"/>
      <c r="H1231" s="3999"/>
      <c r="I1231" s="2862"/>
      <c r="J1231" s="2857">
        <v>1119</v>
      </c>
      <c r="K1231" s="806"/>
      <c r="L1231" s="787" t="s">
        <v>1152</v>
      </c>
      <c r="M1231" s="123"/>
      <c r="N1231" s="123"/>
      <c r="O1231" s="123"/>
      <c r="P1231" s="123"/>
      <c r="Q1231" s="123"/>
      <c r="R1231" s="123"/>
      <c r="S1231" s="123"/>
      <c r="T1231" s="123"/>
      <c r="U1231" s="123"/>
      <c r="V1231" s="3989" t="s">
        <v>1150</v>
      </c>
      <c r="W1231" s="2861">
        <v>1119</v>
      </c>
      <c r="X1231" s="2861">
        <v>1119</v>
      </c>
      <c r="Y1231" s="2861">
        <v>1119</v>
      </c>
      <c r="Z1231" s="2861">
        <v>1119</v>
      </c>
      <c r="AA1231" s="2861">
        <v>1119</v>
      </c>
      <c r="AB1231" s="2861">
        <v>1119</v>
      </c>
      <c r="AC1231" s="2857">
        <v>1119</v>
      </c>
      <c r="AD1231" s="2861"/>
      <c r="AE1231" s="2861"/>
      <c r="AF1231" s="2861"/>
      <c r="AG1231" s="2861"/>
      <c r="AH1231" s="1942"/>
      <c r="AI1231" s="1942"/>
      <c r="AJ1231" s="1942"/>
      <c r="AK1231" s="1942"/>
      <c r="AL1231" s="1942"/>
      <c r="AM1231" s="1942"/>
      <c r="AN1231" s="1942"/>
      <c r="AO1231" s="1942"/>
      <c r="AP1231" s="1942"/>
      <c r="AQ1231" s="1942"/>
      <c r="AR1231" s="1942"/>
      <c r="AS1231" s="1942"/>
      <c r="AT1231" s="1942"/>
      <c r="AU1231" s="1942"/>
      <c r="AV1231" s="1942"/>
      <c r="AW1231" s="1942"/>
      <c r="AX1231" s="1942"/>
      <c r="AY1231" s="1942"/>
      <c r="AZ1231" s="1942"/>
      <c r="BA1231" s="1942"/>
      <c r="BB1231" s="575"/>
      <c r="BC1231" s="576"/>
      <c r="BD1231" s="678"/>
    </row>
    <row r="1232" spans="1:57" s="51" customFormat="1" ht="45" hidden="1" outlineLevel="1" x14ac:dyDescent="0.25">
      <c r="A1232" s="1267"/>
      <c r="B1232" s="123"/>
      <c r="C1232" s="328"/>
      <c r="D1232" s="3990"/>
      <c r="E1232" s="3987"/>
      <c r="F1232" s="4002" t="str">
        <f>$F$1226</f>
        <v>DFHP-SEER19-ROF_MF_CompE</v>
      </c>
      <c r="G1232" s="3998"/>
      <c r="H1232" s="3999"/>
      <c r="I1232" s="2862"/>
      <c r="J1232" s="2857">
        <v>510</v>
      </c>
      <c r="K1232" s="806"/>
      <c r="L1232" s="787" t="s">
        <v>1153</v>
      </c>
      <c r="M1232" s="123"/>
      <c r="N1232" s="123"/>
      <c r="O1232" s="123"/>
      <c r="P1232" s="123"/>
      <c r="Q1232" s="123"/>
      <c r="R1232" s="123"/>
      <c r="S1232" s="123"/>
      <c r="T1232" s="123"/>
      <c r="U1232" s="123"/>
      <c r="V1232" s="3990"/>
      <c r="W1232" s="696"/>
      <c r="X1232" s="696"/>
      <c r="Y1232" s="3158">
        <v>510</v>
      </c>
      <c r="Z1232" s="696">
        <v>510</v>
      </c>
      <c r="AA1232" s="696">
        <v>510</v>
      </c>
      <c r="AB1232" s="696">
        <v>510</v>
      </c>
      <c r="AC1232" s="2857">
        <v>510</v>
      </c>
      <c r="AD1232" s="696"/>
      <c r="AE1232" s="696"/>
      <c r="AF1232" s="696"/>
      <c r="AG1232" s="696"/>
      <c r="AH1232" s="1942"/>
      <c r="AI1232" s="1942"/>
      <c r="AJ1232" s="1942"/>
      <c r="AK1232" s="1942"/>
      <c r="AL1232" s="1942"/>
      <c r="AM1232" s="1942"/>
      <c r="AN1232" s="1942"/>
      <c r="AO1232" s="1942"/>
      <c r="AP1232" s="1942"/>
      <c r="AQ1232" s="1942"/>
      <c r="AR1232" s="1942"/>
      <c r="AS1232" s="1942"/>
      <c r="AT1232" s="1942"/>
      <c r="AU1232" s="1942"/>
      <c r="AV1232" s="1942"/>
      <c r="AW1232" s="1942"/>
      <c r="AX1232" s="1942"/>
      <c r="AY1232" s="1942"/>
      <c r="AZ1232" s="1942"/>
      <c r="BA1232" s="1942"/>
      <c r="BB1232" s="575"/>
      <c r="BC1232" s="576"/>
      <c r="BD1232" s="678"/>
    </row>
    <row r="1233" spans="1:56" s="51" customFormat="1" hidden="1" outlineLevel="1" x14ac:dyDescent="0.25">
      <c r="A1233" s="1267"/>
      <c r="B1233" s="123"/>
      <c r="C1233" s="328"/>
      <c r="D1233" s="3990"/>
      <c r="E1233" s="3987"/>
      <c r="F1233" s="4002" t="str">
        <f>$F$1227</f>
        <v>DFHP-SEER20-ROF_MF</v>
      </c>
      <c r="G1233" s="3998"/>
      <c r="H1233" s="3999"/>
      <c r="I1233" s="2862"/>
      <c r="J1233" s="2857">
        <v>1119</v>
      </c>
      <c r="K1233" s="806"/>
      <c r="L1233" s="787"/>
      <c r="M1233" s="123"/>
      <c r="N1233" s="123"/>
      <c r="O1233" s="123"/>
      <c r="P1233" s="123"/>
      <c r="Q1233" s="123"/>
      <c r="R1233" s="123"/>
      <c r="S1233" s="123"/>
      <c r="T1233" s="123"/>
      <c r="U1233" s="123"/>
      <c r="V1233" s="3990"/>
      <c r="W1233" s="2857">
        <v>1119</v>
      </c>
      <c r="X1233" s="2857">
        <v>1119</v>
      </c>
      <c r="Y1233" s="2857">
        <v>1119</v>
      </c>
      <c r="Z1233" s="2857">
        <v>1119</v>
      </c>
      <c r="AA1233" s="2857">
        <v>1119</v>
      </c>
      <c r="AB1233" s="2857">
        <v>1119</v>
      </c>
      <c r="AC1233" s="2857">
        <v>1119</v>
      </c>
      <c r="AD1233" s="2857"/>
      <c r="AE1233" s="2857"/>
      <c r="AF1233" s="2857"/>
      <c r="AG1233" s="2857"/>
      <c r="AH1233" s="1942"/>
      <c r="AI1233" s="1942"/>
      <c r="AJ1233" s="1942"/>
      <c r="AK1233" s="1942"/>
      <c r="AL1233" s="1942"/>
      <c r="AM1233" s="1942"/>
      <c r="AN1233" s="1942"/>
      <c r="AO1233" s="1942"/>
      <c r="AP1233" s="1942"/>
      <c r="AQ1233" s="1942"/>
      <c r="AR1233" s="1942"/>
      <c r="AS1233" s="1942"/>
      <c r="AT1233" s="1942"/>
      <c r="AU1233" s="1942"/>
      <c r="AV1233" s="1942"/>
      <c r="AW1233" s="1942"/>
      <c r="AX1233" s="1942"/>
      <c r="AY1233" s="1942"/>
      <c r="AZ1233" s="1942"/>
      <c r="BA1233" s="1942"/>
      <c r="BB1233" s="575"/>
      <c r="BC1233" s="576"/>
      <c r="BD1233" s="678"/>
    </row>
    <row r="1234" spans="1:56" s="51" customFormat="1" ht="45" hidden="1" outlineLevel="1" x14ac:dyDescent="0.25">
      <c r="A1234" s="1267"/>
      <c r="B1234" s="123"/>
      <c r="C1234" s="328"/>
      <c r="D1234" s="3990"/>
      <c r="E1234" s="3987"/>
      <c r="F1234" s="4002" t="str">
        <f>$F$1228</f>
        <v>DFHP-SEER20-ROF_MF_CompE</v>
      </c>
      <c r="G1234" s="3998"/>
      <c r="H1234" s="3999"/>
      <c r="I1234" s="2862"/>
      <c r="J1234" s="2857">
        <v>510</v>
      </c>
      <c r="K1234" s="806"/>
      <c r="L1234" s="787" t="s">
        <v>1153</v>
      </c>
      <c r="M1234" s="123"/>
      <c r="N1234" s="123"/>
      <c r="O1234" s="123"/>
      <c r="P1234" s="123"/>
      <c r="Q1234" s="123"/>
      <c r="R1234" s="123"/>
      <c r="S1234" s="123"/>
      <c r="T1234" s="123"/>
      <c r="U1234" s="123"/>
      <c r="V1234" s="3990"/>
      <c r="W1234" s="2857"/>
      <c r="X1234" s="2857"/>
      <c r="Y1234" s="3158">
        <v>510</v>
      </c>
      <c r="Z1234" s="696">
        <v>510</v>
      </c>
      <c r="AA1234" s="696">
        <v>510</v>
      </c>
      <c r="AB1234" s="696">
        <v>510</v>
      </c>
      <c r="AC1234" s="2857">
        <v>510</v>
      </c>
      <c r="AD1234" s="2857"/>
      <c r="AE1234" s="2857"/>
      <c r="AF1234" s="2857"/>
      <c r="AG1234" s="2857"/>
      <c r="AH1234" s="1942"/>
      <c r="AI1234" s="1942"/>
      <c r="AJ1234" s="1942"/>
      <c r="AK1234" s="1942"/>
      <c r="AL1234" s="1942"/>
      <c r="AM1234" s="1942"/>
      <c r="AN1234" s="1942"/>
      <c r="AO1234" s="1942"/>
      <c r="AP1234" s="1942"/>
      <c r="AQ1234" s="1942"/>
      <c r="AR1234" s="1942"/>
      <c r="AS1234" s="1942"/>
      <c r="AT1234" s="1942"/>
      <c r="AU1234" s="1942"/>
      <c r="AV1234" s="1942"/>
      <c r="AW1234" s="1942"/>
      <c r="AX1234" s="1942"/>
      <c r="AY1234" s="1942"/>
      <c r="AZ1234" s="1942"/>
      <c r="BA1234" s="1942"/>
      <c r="BB1234" s="575"/>
      <c r="BC1234" s="576"/>
      <c r="BD1234" s="678"/>
    </row>
    <row r="1235" spans="1:56" s="51" customFormat="1" hidden="1" outlineLevel="1" x14ac:dyDescent="0.25">
      <c r="A1235" s="1267"/>
      <c r="B1235" s="123"/>
      <c r="C1235" s="328"/>
      <c r="D1235" s="3990"/>
      <c r="E1235" s="3987"/>
      <c r="F1235" s="4002" t="str">
        <f>$F$1229</f>
        <v>DFHP-SEER21-ROF_MF</v>
      </c>
      <c r="G1235" s="3998"/>
      <c r="H1235" s="3999"/>
      <c r="I1235" s="2862"/>
      <c r="J1235" s="2857">
        <v>1119</v>
      </c>
      <c r="K1235" s="806"/>
      <c r="L1235" s="787"/>
      <c r="M1235" s="123"/>
      <c r="N1235" s="123"/>
      <c r="O1235" s="123"/>
      <c r="P1235" s="123"/>
      <c r="Q1235" s="123"/>
      <c r="R1235" s="123"/>
      <c r="S1235" s="123"/>
      <c r="T1235" s="123"/>
      <c r="U1235" s="123"/>
      <c r="V1235" s="3990"/>
      <c r="W1235" s="2857">
        <v>1119</v>
      </c>
      <c r="X1235" s="2857">
        <v>1119</v>
      </c>
      <c r="Y1235" s="2857">
        <v>1119</v>
      </c>
      <c r="Z1235" s="2857">
        <v>1119</v>
      </c>
      <c r="AA1235" s="2857">
        <v>1119</v>
      </c>
      <c r="AB1235" s="2857">
        <v>1119</v>
      </c>
      <c r="AC1235" s="2857">
        <v>1119</v>
      </c>
      <c r="AD1235" s="2857"/>
      <c r="AE1235" s="2857"/>
      <c r="AF1235" s="2857"/>
      <c r="AG1235" s="2857"/>
      <c r="AH1235" s="1942"/>
      <c r="AI1235" s="1942"/>
      <c r="AJ1235" s="1942"/>
      <c r="AK1235" s="1942"/>
      <c r="AL1235" s="1942"/>
      <c r="AM1235" s="1942"/>
      <c r="AN1235" s="1942"/>
      <c r="AO1235" s="1942"/>
      <c r="AP1235" s="1942"/>
      <c r="AQ1235" s="1942"/>
      <c r="AR1235" s="1942"/>
      <c r="AS1235" s="1942"/>
      <c r="AT1235" s="1942"/>
      <c r="AU1235" s="1942"/>
      <c r="AV1235" s="1942"/>
      <c r="AW1235" s="1942"/>
      <c r="AX1235" s="1942"/>
      <c r="AY1235" s="1942"/>
      <c r="AZ1235" s="1942"/>
      <c r="BA1235" s="1942"/>
      <c r="BB1235" s="575"/>
      <c r="BC1235" s="576"/>
      <c r="BD1235" s="678"/>
    </row>
    <row r="1236" spans="1:56" s="51" customFormat="1" ht="45.75" hidden="1" outlineLevel="1" thickBot="1" x14ac:dyDescent="0.3">
      <c r="A1236" s="1267"/>
      <c r="B1236" s="123"/>
      <c r="C1236" s="328"/>
      <c r="D1236" s="3991"/>
      <c r="E1236" s="3988"/>
      <c r="F1236" s="4071" t="str">
        <f>$F$1230</f>
        <v>DFHP-SEER21-ROF_MF_CompE</v>
      </c>
      <c r="G1236" s="4000"/>
      <c r="H1236" s="4001"/>
      <c r="I1236" s="2863"/>
      <c r="J1236" s="2860">
        <v>510</v>
      </c>
      <c r="K1236" s="1582"/>
      <c r="L1236" s="799" t="s">
        <v>1153</v>
      </c>
      <c r="M1236" s="123"/>
      <c r="N1236" s="123"/>
      <c r="O1236" s="123"/>
      <c r="P1236" s="123"/>
      <c r="Q1236" s="123"/>
      <c r="R1236" s="123"/>
      <c r="S1236" s="123"/>
      <c r="T1236" s="123"/>
      <c r="U1236" s="123"/>
      <c r="V1236" s="3990"/>
      <c r="W1236" s="2857">
        <v>1119</v>
      </c>
      <c r="X1236" s="2857">
        <v>1119</v>
      </c>
      <c r="Y1236" s="3158">
        <v>510</v>
      </c>
      <c r="Z1236" s="696">
        <v>510</v>
      </c>
      <c r="AA1236" s="696">
        <v>510</v>
      </c>
      <c r="AB1236" s="696">
        <v>510</v>
      </c>
      <c r="AC1236" s="2860">
        <v>510</v>
      </c>
      <c r="AD1236" s="2857"/>
      <c r="AE1236" s="2857"/>
      <c r="AF1236" s="2857"/>
      <c r="AG1236" s="2857"/>
      <c r="AH1236" s="1942"/>
      <c r="AI1236" s="1942"/>
      <c r="AJ1236" s="1942"/>
      <c r="AK1236" s="1942"/>
      <c r="AL1236" s="1942"/>
      <c r="AM1236" s="1942"/>
      <c r="AN1236" s="1942"/>
      <c r="AO1236" s="1942"/>
      <c r="AP1236" s="1942"/>
      <c r="AQ1236" s="1942"/>
      <c r="AR1236" s="1942"/>
      <c r="AS1236" s="1942"/>
      <c r="AT1236" s="1942"/>
      <c r="AU1236" s="1942"/>
      <c r="AV1236" s="1942"/>
      <c r="AW1236" s="1942"/>
      <c r="AX1236" s="1942"/>
      <c r="AY1236" s="1942"/>
      <c r="AZ1236" s="1942"/>
      <c r="BA1236" s="1942"/>
      <c r="BB1236" s="575"/>
      <c r="BC1236" s="576"/>
      <c r="BD1236" s="678"/>
    </row>
    <row r="1237" spans="1:56" s="51" customFormat="1" hidden="1" outlineLevel="1" x14ac:dyDescent="0.25">
      <c r="A1237" s="1267"/>
      <c r="B1237" s="123"/>
      <c r="C1237" s="328"/>
      <c r="D1237" s="3989" t="s">
        <v>1154</v>
      </c>
      <c r="E1237" s="3986" t="s">
        <v>1155</v>
      </c>
      <c r="F1237" s="4002" t="str">
        <f>$F$1225</f>
        <v>DFHP-SEER19-ROF_MF</v>
      </c>
      <c r="G1237" s="3998"/>
      <c r="H1237" s="3999"/>
      <c r="I1237" s="2862"/>
      <c r="J1237" s="2857">
        <v>8.1999999999999993</v>
      </c>
      <c r="K1237" s="806"/>
      <c r="L1237" s="787" t="s">
        <v>1011</v>
      </c>
      <c r="M1237" s="123"/>
      <c r="N1237" s="123"/>
      <c r="O1237" s="123"/>
      <c r="P1237" s="123"/>
      <c r="Q1237" s="123"/>
      <c r="R1237" s="123"/>
      <c r="S1237" s="123"/>
      <c r="T1237" s="123"/>
      <c r="U1237" s="123"/>
      <c r="V1237" s="3989" t="s">
        <v>1154</v>
      </c>
      <c r="W1237" s="2861">
        <v>8.1999999999999993</v>
      </c>
      <c r="X1237" s="2861">
        <v>8.1999999999999993</v>
      </c>
      <c r="Y1237" s="2861">
        <v>8.1999999999999993</v>
      </c>
      <c r="Z1237" s="2861">
        <v>8.1999999999999993</v>
      </c>
      <c r="AA1237" s="2861">
        <v>8.1999999999999993</v>
      </c>
      <c r="AB1237" s="2861">
        <v>8.1999999999999993</v>
      </c>
      <c r="AC1237" s="2857">
        <v>8.1999999999999993</v>
      </c>
      <c r="AD1237" s="2861"/>
      <c r="AE1237" s="2861"/>
      <c r="AF1237" s="2861"/>
      <c r="AG1237" s="2861"/>
      <c r="AH1237" s="1942"/>
      <c r="AI1237" s="1942"/>
      <c r="AJ1237" s="1942"/>
      <c r="AK1237" s="1942"/>
      <c r="AL1237" s="1942"/>
      <c r="AM1237" s="1942"/>
      <c r="AN1237" s="1942"/>
      <c r="AO1237" s="1942"/>
      <c r="AP1237" s="1942"/>
      <c r="AQ1237" s="1942"/>
      <c r="AR1237" s="1942"/>
      <c r="AS1237" s="1942"/>
      <c r="AT1237" s="1942"/>
      <c r="AU1237" s="1942"/>
      <c r="AV1237" s="1942"/>
      <c r="AW1237" s="1942"/>
      <c r="AX1237" s="1942"/>
      <c r="AY1237" s="1942"/>
      <c r="AZ1237" s="1942"/>
      <c r="BA1237" s="1942"/>
      <c r="BB1237" s="575"/>
      <c r="BC1237" s="576"/>
      <c r="BD1237" s="678"/>
    </row>
    <row r="1238" spans="1:56" s="51" customFormat="1" hidden="1" outlineLevel="1" x14ac:dyDescent="0.25">
      <c r="A1238" s="1267"/>
      <c r="B1238" s="123"/>
      <c r="C1238" s="328"/>
      <c r="D1238" s="3990"/>
      <c r="E1238" s="3987"/>
      <c r="F1238" s="3998" t="str">
        <f>$F$1226</f>
        <v>DFHP-SEER19-ROF_MF_CompE</v>
      </c>
      <c r="G1238" s="3998"/>
      <c r="H1238" s="3999"/>
      <c r="I1238" s="790"/>
      <c r="J1238" s="2857">
        <v>8.1999999999999993</v>
      </c>
      <c r="K1238" s="806"/>
      <c r="L1238" s="786"/>
      <c r="M1238" s="123"/>
      <c r="N1238" s="123"/>
      <c r="O1238" s="123"/>
      <c r="P1238" s="123"/>
      <c r="Q1238" s="123"/>
      <c r="R1238" s="123"/>
      <c r="S1238" s="123"/>
      <c r="T1238" s="123"/>
      <c r="U1238" s="123"/>
      <c r="V1238" s="3990"/>
      <c r="W1238" s="696"/>
      <c r="X1238" s="696"/>
      <c r="Y1238" s="3158">
        <v>8.1999999999999993</v>
      </c>
      <c r="Z1238" s="696">
        <v>8.1999999999999993</v>
      </c>
      <c r="AA1238" s="696">
        <v>8.1999999999999993</v>
      </c>
      <c r="AB1238" s="696">
        <v>8.1999999999999993</v>
      </c>
      <c r="AC1238" s="2857">
        <v>8.1999999999999993</v>
      </c>
      <c r="AD1238" s="696"/>
      <c r="AE1238" s="696"/>
      <c r="AF1238" s="696"/>
      <c r="AG1238" s="696"/>
      <c r="AH1238" s="1942"/>
      <c r="AI1238" s="1942"/>
      <c r="AJ1238" s="1942"/>
      <c r="AK1238" s="1942"/>
      <c r="AL1238" s="1942"/>
      <c r="AM1238" s="1942"/>
      <c r="AN1238" s="1942"/>
      <c r="AO1238" s="1942"/>
      <c r="AP1238" s="1942"/>
      <c r="AQ1238" s="1942"/>
      <c r="AR1238" s="1942"/>
      <c r="AS1238" s="1942"/>
      <c r="AT1238" s="1942"/>
      <c r="AU1238" s="1942"/>
      <c r="AV1238" s="1942"/>
      <c r="AW1238" s="1942"/>
      <c r="AX1238" s="1942"/>
      <c r="AY1238" s="1942"/>
      <c r="AZ1238" s="1942"/>
      <c r="BA1238" s="1942"/>
      <c r="BB1238" s="575"/>
      <c r="BC1238" s="576"/>
      <c r="BD1238" s="678"/>
    </row>
    <row r="1239" spans="1:56" s="51" customFormat="1" hidden="1" outlineLevel="1" x14ac:dyDescent="0.25">
      <c r="A1239" s="1267"/>
      <c r="B1239" s="123"/>
      <c r="C1239" s="328"/>
      <c r="D1239" s="3990"/>
      <c r="E1239" s="3987"/>
      <c r="F1239" s="3998" t="str">
        <f>$F$1227</f>
        <v>DFHP-SEER20-ROF_MF</v>
      </c>
      <c r="G1239" s="3998"/>
      <c r="H1239" s="3999"/>
      <c r="I1239" s="2862"/>
      <c r="J1239" s="2857">
        <v>8.1999999999999993</v>
      </c>
      <c r="K1239" s="806"/>
      <c r="L1239" s="787" t="s">
        <v>1011</v>
      </c>
      <c r="M1239" s="123"/>
      <c r="N1239" s="123"/>
      <c r="O1239" s="123"/>
      <c r="P1239" s="123"/>
      <c r="Q1239" s="123"/>
      <c r="R1239" s="123"/>
      <c r="S1239" s="123"/>
      <c r="T1239" s="123"/>
      <c r="U1239" s="123"/>
      <c r="V1239" s="3990"/>
      <c r="W1239" s="2857">
        <v>8.1999999999999993</v>
      </c>
      <c r="X1239" s="2857">
        <v>8.1999999999999993</v>
      </c>
      <c r="Y1239" s="2857">
        <v>8.1999999999999993</v>
      </c>
      <c r="Z1239" s="2857">
        <v>8.1999999999999993</v>
      </c>
      <c r="AA1239" s="2857">
        <v>8.1999999999999993</v>
      </c>
      <c r="AB1239" s="2857">
        <v>8.1999999999999993</v>
      </c>
      <c r="AC1239" s="2857">
        <v>8.1999999999999993</v>
      </c>
      <c r="AD1239" s="2857"/>
      <c r="AE1239" s="2857"/>
      <c r="AF1239" s="2857"/>
      <c r="AG1239" s="2857"/>
      <c r="AH1239" s="1942"/>
      <c r="AI1239" s="1942"/>
      <c r="AJ1239" s="1942"/>
      <c r="AK1239" s="1942"/>
      <c r="AL1239" s="1942"/>
      <c r="AM1239" s="1942"/>
      <c r="AN1239" s="1942"/>
      <c r="AO1239" s="1942"/>
      <c r="AP1239" s="1942"/>
      <c r="AQ1239" s="1942"/>
      <c r="AR1239" s="1942"/>
      <c r="AS1239" s="1942"/>
      <c r="AT1239" s="1942"/>
      <c r="AU1239" s="1942"/>
      <c r="AV1239" s="1942"/>
      <c r="AW1239" s="1942"/>
      <c r="AX1239" s="1942"/>
      <c r="AY1239" s="1942"/>
      <c r="AZ1239" s="1942"/>
      <c r="BA1239" s="1942"/>
      <c r="BB1239" s="575"/>
      <c r="BC1239" s="576"/>
      <c r="BD1239" s="678"/>
    </row>
    <row r="1240" spans="1:56" s="51" customFormat="1" hidden="1" outlineLevel="1" x14ac:dyDescent="0.25">
      <c r="A1240" s="1267"/>
      <c r="B1240" s="123"/>
      <c r="C1240" s="328"/>
      <c r="D1240" s="3990"/>
      <c r="E1240" s="3987"/>
      <c r="F1240" s="3998" t="str">
        <f>$F$1228</f>
        <v>DFHP-SEER20-ROF_MF_CompE</v>
      </c>
      <c r="G1240" s="3998"/>
      <c r="H1240" s="3999"/>
      <c r="I1240" s="2862"/>
      <c r="J1240" s="2857">
        <v>8.1999999999999993</v>
      </c>
      <c r="K1240" s="806"/>
      <c r="L1240" s="787"/>
      <c r="M1240" s="123"/>
      <c r="N1240" s="123"/>
      <c r="O1240" s="123"/>
      <c r="P1240" s="123"/>
      <c r="Q1240" s="123"/>
      <c r="R1240" s="123"/>
      <c r="S1240" s="123"/>
      <c r="T1240" s="123"/>
      <c r="U1240" s="123"/>
      <c r="V1240" s="3990"/>
      <c r="W1240" s="2857"/>
      <c r="X1240" s="2857"/>
      <c r="Y1240" s="3155">
        <v>8.1999999999999993</v>
      </c>
      <c r="Z1240" s="2857">
        <v>8.1999999999999993</v>
      </c>
      <c r="AA1240" s="2857">
        <v>8.1999999999999993</v>
      </c>
      <c r="AB1240" s="2857">
        <v>8.1999999999999993</v>
      </c>
      <c r="AC1240" s="2857">
        <v>8.1999999999999993</v>
      </c>
      <c r="AD1240" s="2857"/>
      <c r="AE1240" s="2857"/>
      <c r="AF1240" s="2857"/>
      <c r="AG1240" s="2857"/>
      <c r="AH1240" s="1942"/>
      <c r="AI1240" s="1942"/>
      <c r="AJ1240" s="1942"/>
      <c r="AK1240" s="1942"/>
      <c r="AL1240" s="1942"/>
      <c r="AM1240" s="1942"/>
      <c r="AN1240" s="1942"/>
      <c r="AO1240" s="1942"/>
      <c r="AP1240" s="1942"/>
      <c r="AQ1240" s="1942"/>
      <c r="AR1240" s="1942"/>
      <c r="AS1240" s="1942"/>
      <c r="AT1240" s="1942"/>
      <c r="AU1240" s="1942"/>
      <c r="AV1240" s="1942"/>
      <c r="AW1240" s="1942"/>
      <c r="AX1240" s="1942"/>
      <c r="AY1240" s="1942"/>
      <c r="AZ1240" s="1942"/>
      <c r="BA1240" s="1942"/>
      <c r="BB1240" s="575"/>
      <c r="BC1240" s="576"/>
      <c r="BD1240" s="678"/>
    </row>
    <row r="1241" spans="1:56" s="51" customFormat="1" hidden="1" outlineLevel="1" x14ac:dyDescent="0.25">
      <c r="A1241" s="1267"/>
      <c r="B1241" s="123"/>
      <c r="C1241" s="328"/>
      <c r="D1241" s="3990"/>
      <c r="E1241" s="3987"/>
      <c r="F1241" s="3998" t="str">
        <f>$F$1229</f>
        <v>DFHP-SEER21-ROF_MF</v>
      </c>
      <c r="G1241" s="3998"/>
      <c r="H1241" s="3999"/>
      <c r="I1241" s="2862"/>
      <c r="J1241" s="2857">
        <v>8.1999999999999993</v>
      </c>
      <c r="K1241" s="806"/>
      <c r="L1241" s="787" t="s">
        <v>1011</v>
      </c>
      <c r="M1241" s="123"/>
      <c r="N1241" s="123"/>
      <c r="O1241" s="123"/>
      <c r="P1241" s="123"/>
      <c r="Q1241" s="832"/>
      <c r="R1241" s="3082"/>
      <c r="S1241" s="123"/>
      <c r="T1241" s="123"/>
      <c r="U1241" s="123"/>
      <c r="V1241" s="3990"/>
      <c r="W1241" s="2857">
        <v>8.1999999999999993</v>
      </c>
      <c r="X1241" s="2857">
        <v>8.1999999999999993</v>
      </c>
      <c r="Y1241" s="2857">
        <v>8.1999999999999993</v>
      </c>
      <c r="Z1241" s="2857">
        <v>8.1999999999999993</v>
      </c>
      <c r="AA1241" s="2857">
        <v>8.1999999999999993</v>
      </c>
      <c r="AB1241" s="2857">
        <v>8.1999999999999993</v>
      </c>
      <c r="AC1241" s="2857">
        <v>8.1999999999999993</v>
      </c>
      <c r="AD1241" s="2857"/>
      <c r="AE1241" s="2857"/>
      <c r="AF1241" s="2857"/>
      <c r="AG1241" s="2857"/>
      <c r="AH1241" s="1942"/>
      <c r="AI1241" s="1942"/>
      <c r="AJ1241" s="1942"/>
      <c r="AK1241" s="1942"/>
      <c r="AL1241" s="1942"/>
      <c r="AM1241" s="1942"/>
      <c r="AN1241" s="1942"/>
      <c r="AO1241" s="1942"/>
      <c r="AP1241" s="1942"/>
      <c r="AQ1241" s="1942"/>
      <c r="AR1241" s="1942"/>
      <c r="AS1241" s="1942"/>
      <c r="AT1241" s="1942"/>
      <c r="AU1241" s="1942"/>
      <c r="AV1241" s="1942"/>
      <c r="AW1241" s="1942"/>
      <c r="AX1241" s="1942"/>
      <c r="AY1241" s="1942"/>
      <c r="AZ1241" s="1942"/>
      <c r="BA1241" s="1942"/>
      <c r="BB1241" s="575"/>
      <c r="BC1241" s="576"/>
      <c r="BD1241" s="678"/>
    </row>
    <row r="1242" spans="1:56" s="51" customFormat="1" ht="15.75" hidden="1" outlineLevel="1" thickBot="1" x14ac:dyDescent="0.3">
      <c r="A1242" s="1267"/>
      <c r="B1242" s="123"/>
      <c r="C1242" s="328"/>
      <c r="D1242" s="3991"/>
      <c r="E1242" s="3988"/>
      <c r="F1242" s="4003" t="str">
        <f>$F$1230</f>
        <v>DFHP-SEER21-ROF_MF_CompE</v>
      </c>
      <c r="G1242" s="4003"/>
      <c r="H1242" s="4004"/>
      <c r="I1242" s="1855"/>
      <c r="J1242" s="693">
        <v>8.1999999999999993</v>
      </c>
      <c r="K1242" s="1856"/>
      <c r="L1242" s="3164"/>
      <c r="M1242" s="123"/>
      <c r="N1242" s="123"/>
      <c r="O1242" s="123"/>
      <c r="P1242" s="123"/>
      <c r="Q1242" s="832"/>
      <c r="R1242" s="3082"/>
      <c r="S1242" s="123"/>
      <c r="T1242" s="123"/>
      <c r="U1242" s="123"/>
      <c r="V1242" s="3990"/>
      <c r="W1242" s="2857"/>
      <c r="X1242" s="2857"/>
      <c r="Y1242" s="3155">
        <v>8.1999999999999993</v>
      </c>
      <c r="Z1242" s="2857">
        <v>8.1999999999999993</v>
      </c>
      <c r="AA1242" s="2857">
        <v>8.1999999999999993</v>
      </c>
      <c r="AB1242" s="2857">
        <v>8.1999999999999993</v>
      </c>
      <c r="AC1242" s="693">
        <v>8.1999999999999993</v>
      </c>
      <c r="AD1242" s="2857"/>
      <c r="AE1242" s="2857"/>
      <c r="AF1242" s="2857"/>
      <c r="AG1242" s="2857"/>
      <c r="AH1242" s="1942"/>
      <c r="AI1242" s="1942"/>
      <c r="AJ1242" s="1942"/>
      <c r="AK1242" s="1942"/>
      <c r="AL1242" s="1942"/>
      <c r="AM1242" s="1942"/>
      <c r="AN1242" s="1942"/>
      <c r="AO1242" s="1942"/>
      <c r="AP1242" s="1942"/>
      <c r="AQ1242" s="1942"/>
      <c r="AR1242" s="1942"/>
      <c r="AS1242" s="1942"/>
      <c r="AT1242" s="1942"/>
      <c r="AU1242" s="1942"/>
      <c r="AV1242" s="1942"/>
      <c r="AW1242" s="1942"/>
      <c r="AX1242" s="1942"/>
      <c r="AY1242" s="1942"/>
      <c r="AZ1242" s="1942"/>
      <c r="BA1242" s="1942"/>
      <c r="BB1242" s="575"/>
      <c r="BC1242" s="576"/>
      <c r="BD1242" s="678"/>
    </row>
    <row r="1243" spans="1:56" s="51" customFormat="1" hidden="1" outlineLevel="1" x14ac:dyDescent="0.25">
      <c r="A1243" s="1267"/>
      <c r="B1243" s="123"/>
      <c r="C1243" s="328"/>
      <c r="D1243" s="3989" t="s">
        <v>1156</v>
      </c>
      <c r="E1243" s="3986" t="s">
        <v>1157</v>
      </c>
      <c r="F1243" s="4072" t="str">
        <f>$F$1225</f>
        <v>DFHP-SEER19-ROF_MF</v>
      </c>
      <c r="G1243" s="4073"/>
      <c r="H1243" s="4074"/>
      <c r="I1243" s="2864"/>
      <c r="J1243" s="2861">
        <v>10</v>
      </c>
      <c r="K1243" s="811"/>
      <c r="L1243" s="746" t="s">
        <v>1158</v>
      </c>
      <c r="M1243" s="123"/>
      <c r="N1243" s="123"/>
      <c r="O1243" s="123"/>
      <c r="P1243" s="123"/>
      <c r="Q1243" s="832"/>
      <c r="R1243" s="3082"/>
      <c r="S1243" s="123"/>
      <c r="T1243" s="123"/>
      <c r="U1243" s="123"/>
      <c r="V1243" s="3989" t="s">
        <v>1156</v>
      </c>
      <c r="W1243" s="2861">
        <v>10</v>
      </c>
      <c r="X1243" s="2861">
        <v>10</v>
      </c>
      <c r="Y1243" s="2861">
        <v>10</v>
      </c>
      <c r="Z1243" s="2861">
        <v>10</v>
      </c>
      <c r="AA1243" s="2861">
        <v>10</v>
      </c>
      <c r="AB1243" s="2861">
        <v>10</v>
      </c>
      <c r="AC1243" s="2861">
        <v>10</v>
      </c>
      <c r="AD1243" s="2861"/>
      <c r="AE1243" s="2861"/>
      <c r="AF1243" s="2861"/>
      <c r="AG1243" s="2861"/>
      <c r="AH1243" s="1942"/>
      <c r="AI1243" s="1942"/>
      <c r="AJ1243" s="1942"/>
      <c r="AK1243" s="1942"/>
      <c r="AL1243" s="1942"/>
      <c r="AM1243" s="1942"/>
      <c r="AN1243" s="1942"/>
      <c r="AO1243" s="1942"/>
      <c r="AP1243" s="1942"/>
      <c r="AQ1243" s="1942"/>
      <c r="AR1243" s="1942"/>
      <c r="AS1243" s="1942"/>
      <c r="AT1243" s="1942"/>
      <c r="AU1243" s="1942"/>
      <c r="AV1243" s="1942"/>
      <c r="AW1243" s="1942"/>
      <c r="AX1243" s="1942"/>
      <c r="AY1243" s="1942"/>
      <c r="AZ1243" s="1942"/>
      <c r="BA1243" s="1942"/>
      <c r="BB1243" s="575"/>
      <c r="BC1243" s="576"/>
      <c r="BD1243" s="678"/>
    </row>
    <row r="1244" spans="1:56" s="51" customFormat="1" hidden="1" outlineLevel="1" x14ac:dyDescent="0.25">
      <c r="A1244" s="1267"/>
      <c r="B1244" s="123"/>
      <c r="C1244" s="328"/>
      <c r="D1244" s="3990"/>
      <c r="E1244" s="3987"/>
      <c r="F1244" s="4002" t="str">
        <f>$F$1226</f>
        <v>DFHP-SEER19-ROF_MF_CompE</v>
      </c>
      <c r="G1244" s="3998"/>
      <c r="H1244" s="3999"/>
      <c r="I1244" s="790"/>
      <c r="J1244" s="2857">
        <v>10</v>
      </c>
      <c r="K1244" s="806"/>
      <c r="L1244" s="788"/>
      <c r="M1244" s="123"/>
      <c r="N1244" s="123"/>
      <c r="O1244" s="123"/>
      <c r="P1244" s="123"/>
      <c r="Q1244" s="832"/>
      <c r="R1244" s="3082"/>
      <c r="S1244" s="123"/>
      <c r="T1244" s="123"/>
      <c r="U1244" s="123"/>
      <c r="V1244" s="3990"/>
      <c r="W1244" s="696"/>
      <c r="X1244" s="696"/>
      <c r="Y1244" s="3155">
        <v>10</v>
      </c>
      <c r="Z1244" s="2857">
        <v>10</v>
      </c>
      <c r="AA1244" s="2857">
        <v>10</v>
      </c>
      <c r="AB1244" s="2857">
        <v>10</v>
      </c>
      <c r="AC1244" s="2857">
        <v>10</v>
      </c>
      <c r="AD1244" s="696"/>
      <c r="AE1244" s="696"/>
      <c r="AF1244" s="696"/>
      <c r="AG1244" s="696"/>
      <c r="AH1244" s="1942"/>
      <c r="AI1244" s="1942"/>
      <c r="AJ1244" s="1942"/>
      <c r="AK1244" s="1942"/>
      <c r="AL1244" s="1942"/>
      <c r="AM1244" s="1942"/>
      <c r="AN1244" s="1942"/>
      <c r="AO1244" s="1942"/>
      <c r="AP1244" s="1942"/>
      <c r="AQ1244" s="1942"/>
      <c r="AR1244" s="1942"/>
      <c r="AS1244" s="1942"/>
      <c r="AT1244" s="1942"/>
      <c r="AU1244" s="1942"/>
      <c r="AV1244" s="1942"/>
      <c r="AW1244" s="1942"/>
      <c r="AX1244" s="1942"/>
      <c r="AY1244" s="1942"/>
      <c r="AZ1244" s="1942"/>
      <c r="BA1244" s="1942"/>
      <c r="BB1244" s="575"/>
      <c r="BC1244" s="576"/>
      <c r="BD1244" s="678"/>
    </row>
    <row r="1245" spans="1:56" s="51" customFormat="1" hidden="1" outlineLevel="1" x14ac:dyDescent="0.25">
      <c r="A1245" s="1267"/>
      <c r="B1245" s="123"/>
      <c r="C1245" s="328"/>
      <c r="D1245" s="3990"/>
      <c r="E1245" s="3987"/>
      <c r="F1245" s="4002" t="str">
        <f>$F$1227</f>
        <v>DFHP-SEER20-ROF_MF</v>
      </c>
      <c r="G1245" s="3998"/>
      <c r="H1245" s="3999"/>
      <c r="I1245" s="2862"/>
      <c r="J1245" s="2857">
        <v>10.4</v>
      </c>
      <c r="K1245" s="806"/>
      <c r="L1245" s="749" t="s">
        <v>1158</v>
      </c>
      <c r="M1245" s="123"/>
      <c r="N1245" s="123"/>
      <c r="O1245" s="123"/>
      <c r="P1245" s="123"/>
      <c r="Q1245" s="832"/>
      <c r="R1245" s="3082"/>
      <c r="S1245" s="123"/>
      <c r="T1245" s="123"/>
      <c r="U1245" s="123"/>
      <c r="V1245" s="3990"/>
      <c r="W1245" s="2857">
        <v>10.4</v>
      </c>
      <c r="X1245" s="2857">
        <v>10.4</v>
      </c>
      <c r="Y1245" s="2857">
        <v>10.4</v>
      </c>
      <c r="Z1245" s="2857">
        <v>10.4</v>
      </c>
      <c r="AA1245" s="2857">
        <v>10.4</v>
      </c>
      <c r="AB1245" s="2857">
        <v>10.4</v>
      </c>
      <c r="AC1245" s="2857">
        <v>10.4</v>
      </c>
      <c r="AD1245" s="2857"/>
      <c r="AE1245" s="2857"/>
      <c r="AF1245" s="2857"/>
      <c r="AG1245" s="2857"/>
      <c r="AH1245" s="1942"/>
      <c r="AI1245" s="1942"/>
      <c r="AJ1245" s="1942"/>
      <c r="AK1245" s="1942"/>
      <c r="AL1245" s="1942"/>
      <c r="AM1245" s="1942"/>
      <c r="AN1245" s="1942"/>
      <c r="AO1245" s="1942"/>
      <c r="AP1245" s="1942"/>
      <c r="AQ1245" s="1942"/>
      <c r="AR1245" s="1942"/>
      <c r="AS1245" s="1942"/>
      <c r="AT1245" s="1942"/>
      <c r="AU1245" s="1942"/>
      <c r="AV1245" s="1942"/>
      <c r="AW1245" s="1942"/>
      <c r="AX1245" s="1942"/>
      <c r="AY1245" s="1942"/>
      <c r="AZ1245" s="1942"/>
      <c r="BA1245" s="1942"/>
      <c r="BB1245" s="575"/>
      <c r="BC1245" s="576"/>
      <c r="BD1245" s="678"/>
    </row>
    <row r="1246" spans="1:56" s="51" customFormat="1" hidden="1" outlineLevel="1" x14ac:dyDescent="0.25">
      <c r="A1246" s="1267"/>
      <c r="B1246" s="123"/>
      <c r="C1246" s="328"/>
      <c r="D1246" s="3990"/>
      <c r="E1246" s="3987"/>
      <c r="F1246" s="4002" t="str">
        <f>$F$1228</f>
        <v>DFHP-SEER20-ROF_MF_CompE</v>
      </c>
      <c r="G1246" s="3998"/>
      <c r="H1246" s="3999"/>
      <c r="I1246" s="2862"/>
      <c r="J1246" s="2857">
        <v>10.4</v>
      </c>
      <c r="K1246" s="806"/>
      <c r="L1246" s="749"/>
      <c r="M1246" s="123"/>
      <c r="N1246" s="123"/>
      <c r="O1246" s="123"/>
      <c r="P1246" s="123"/>
      <c r="Q1246" s="832"/>
      <c r="R1246" s="3082"/>
      <c r="S1246" s="123"/>
      <c r="T1246" s="123"/>
      <c r="U1246" s="123"/>
      <c r="V1246" s="3990"/>
      <c r="W1246" s="2857"/>
      <c r="X1246" s="2857"/>
      <c r="Y1246" s="3155">
        <v>10.4</v>
      </c>
      <c r="Z1246" s="2857">
        <v>10.4</v>
      </c>
      <c r="AA1246" s="2857">
        <v>10.4</v>
      </c>
      <c r="AB1246" s="2857">
        <v>10.4</v>
      </c>
      <c r="AC1246" s="2857">
        <v>10.4</v>
      </c>
      <c r="AD1246" s="2857"/>
      <c r="AE1246" s="2857"/>
      <c r="AF1246" s="2857"/>
      <c r="AG1246" s="2857"/>
      <c r="AH1246" s="1942"/>
      <c r="AI1246" s="1942"/>
      <c r="AJ1246" s="1942"/>
      <c r="AK1246" s="1942"/>
      <c r="AL1246" s="1942"/>
      <c r="AM1246" s="1942"/>
      <c r="AN1246" s="1942"/>
      <c r="AO1246" s="1942"/>
      <c r="AP1246" s="1942"/>
      <c r="AQ1246" s="1942"/>
      <c r="AR1246" s="1942"/>
      <c r="AS1246" s="1942"/>
      <c r="AT1246" s="1942"/>
      <c r="AU1246" s="1942"/>
      <c r="AV1246" s="1942"/>
      <c r="AW1246" s="1942"/>
      <c r="AX1246" s="1942"/>
      <c r="AY1246" s="1942"/>
      <c r="AZ1246" s="1942"/>
      <c r="BA1246" s="1942"/>
      <c r="BB1246" s="575"/>
      <c r="BC1246" s="576"/>
      <c r="BD1246" s="678"/>
    </row>
    <row r="1247" spans="1:56" s="51" customFormat="1" hidden="1" outlineLevel="1" x14ac:dyDescent="0.25">
      <c r="A1247" s="1267"/>
      <c r="B1247" s="123"/>
      <c r="C1247" s="328"/>
      <c r="D1247" s="3990"/>
      <c r="E1247" s="3987"/>
      <c r="F1247" s="4002" t="str">
        <f>$F$1229</f>
        <v>DFHP-SEER21-ROF_MF</v>
      </c>
      <c r="G1247" s="3998"/>
      <c r="H1247" s="3999"/>
      <c r="I1247" s="2862"/>
      <c r="J1247" s="2857">
        <v>10.8</v>
      </c>
      <c r="K1247" s="806"/>
      <c r="L1247" s="749" t="s">
        <v>1158</v>
      </c>
      <c r="M1247" s="123"/>
      <c r="N1247" s="123"/>
      <c r="O1247" s="123"/>
      <c r="P1247" s="123"/>
      <c r="Q1247" s="832"/>
      <c r="R1247" s="3082"/>
      <c r="S1247" s="123"/>
      <c r="T1247" s="123"/>
      <c r="U1247" s="123"/>
      <c r="V1247" s="3990"/>
      <c r="W1247" s="2857">
        <v>10.8</v>
      </c>
      <c r="X1247" s="2857">
        <v>10.8</v>
      </c>
      <c r="Y1247" s="2857">
        <v>10.8</v>
      </c>
      <c r="Z1247" s="2857">
        <v>10.8</v>
      </c>
      <c r="AA1247" s="2857">
        <v>10.8</v>
      </c>
      <c r="AB1247" s="2857">
        <v>10.8</v>
      </c>
      <c r="AC1247" s="2857">
        <v>10.8</v>
      </c>
      <c r="AD1247" s="2857"/>
      <c r="AE1247" s="2857"/>
      <c r="AF1247" s="2857"/>
      <c r="AG1247" s="2857"/>
      <c r="AH1247" s="1942"/>
      <c r="AI1247" s="1942"/>
      <c r="AJ1247" s="1942"/>
      <c r="AK1247" s="1942"/>
      <c r="AL1247" s="1942"/>
      <c r="AM1247" s="1942"/>
      <c r="AN1247" s="1942"/>
      <c r="AO1247" s="1942"/>
      <c r="AP1247" s="1942"/>
      <c r="AQ1247" s="1942"/>
      <c r="AR1247" s="1942"/>
      <c r="AS1247" s="1942"/>
      <c r="AT1247" s="1942"/>
      <c r="AU1247" s="1942"/>
      <c r="AV1247" s="1942"/>
      <c r="AW1247" s="1942"/>
      <c r="AX1247" s="1942"/>
      <c r="AY1247" s="1942"/>
      <c r="AZ1247" s="1942"/>
      <c r="BA1247" s="1942"/>
      <c r="BB1247" s="575"/>
      <c r="BC1247" s="576"/>
      <c r="BD1247" s="678"/>
    </row>
    <row r="1248" spans="1:56" s="51" customFormat="1" ht="15.75" hidden="1" outlineLevel="1" thickBot="1" x14ac:dyDescent="0.3">
      <c r="A1248" s="1267"/>
      <c r="B1248" s="123"/>
      <c r="C1248" s="328"/>
      <c r="D1248" s="3991"/>
      <c r="E1248" s="3988"/>
      <c r="F1248" s="4071" t="str">
        <f>$F$1230</f>
        <v>DFHP-SEER21-ROF_MF_CompE</v>
      </c>
      <c r="G1248" s="4000"/>
      <c r="H1248" s="4001"/>
      <c r="I1248" s="2863"/>
      <c r="J1248" s="2860">
        <v>10.8</v>
      </c>
      <c r="K1248" s="1582"/>
      <c r="L1248" s="774"/>
      <c r="M1248" s="123"/>
      <c r="N1248" s="123"/>
      <c r="O1248" s="123"/>
      <c r="P1248" s="123"/>
      <c r="Q1248" s="832"/>
      <c r="R1248" s="3082"/>
      <c r="S1248" s="123"/>
      <c r="T1248" s="123"/>
      <c r="U1248" s="123"/>
      <c r="V1248" s="3990"/>
      <c r="W1248" s="2857"/>
      <c r="X1248" s="2857"/>
      <c r="Y1248" s="3155">
        <v>10.8</v>
      </c>
      <c r="Z1248" s="2857">
        <v>10.8</v>
      </c>
      <c r="AA1248" s="2857">
        <v>10.8</v>
      </c>
      <c r="AB1248" s="2857">
        <v>10.8</v>
      </c>
      <c r="AC1248" s="2860">
        <v>10.8</v>
      </c>
      <c r="AD1248" s="2857"/>
      <c r="AE1248" s="2857"/>
      <c r="AF1248" s="2857"/>
      <c r="AG1248" s="2857"/>
      <c r="AH1248" s="1942"/>
      <c r="AI1248" s="1942"/>
      <c r="AJ1248" s="1942"/>
      <c r="AK1248" s="1942"/>
      <c r="AL1248" s="1942"/>
      <c r="AM1248" s="1942"/>
      <c r="AN1248" s="1942"/>
      <c r="AO1248" s="1942"/>
      <c r="AP1248" s="1942"/>
      <c r="AQ1248" s="1942"/>
      <c r="AR1248" s="1942"/>
      <c r="AS1248" s="1942"/>
      <c r="AT1248" s="1942"/>
      <c r="AU1248" s="1942"/>
      <c r="AV1248" s="1942"/>
      <c r="AW1248" s="1942"/>
      <c r="AX1248" s="1942"/>
      <c r="AY1248" s="1942"/>
      <c r="AZ1248" s="1942"/>
      <c r="BA1248" s="1942"/>
      <c r="BB1248" s="575"/>
      <c r="BC1248" s="576"/>
      <c r="BD1248" s="678"/>
    </row>
    <row r="1249" spans="1:56" s="51" customFormat="1" hidden="1" outlineLevel="1" x14ac:dyDescent="0.25">
      <c r="A1249" s="1267"/>
      <c r="B1249" s="123"/>
      <c r="C1249" s="328"/>
      <c r="D1249" s="3989" t="s">
        <v>1159</v>
      </c>
      <c r="E1249" s="3986" t="s">
        <v>1160</v>
      </c>
      <c r="F1249" s="4002" t="str">
        <f>$F$1225</f>
        <v>DFHP-SEER19-ROF_MF</v>
      </c>
      <c r="G1249" s="3998"/>
      <c r="H1249" s="3999"/>
      <c r="I1249" s="2862"/>
      <c r="J1249" s="2857">
        <v>40800</v>
      </c>
      <c r="K1249" s="806">
        <f t="shared" ref="K1249:K1254" si="132">J1249/12000</f>
        <v>3.4</v>
      </c>
      <c r="L1249" s="787" t="s">
        <v>1149</v>
      </c>
      <c r="M1249" s="123"/>
      <c r="N1249" s="123"/>
      <c r="O1249" s="123"/>
      <c r="P1249" s="123"/>
      <c r="Q1249" s="832"/>
      <c r="R1249" s="3082"/>
      <c r="S1249" s="123"/>
      <c r="T1249" s="123"/>
      <c r="U1249" s="123"/>
      <c r="V1249" s="3989" t="s">
        <v>1159</v>
      </c>
      <c r="W1249" s="2861">
        <f>$K1249*12000</f>
        <v>40800</v>
      </c>
      <c r="X1249" s="2861">
        <f>$K1249*12000</f>
        <v>40800</v>
      </c>
      <c r="Y1249" s="2861">
        <v>40800</v>
      </c>
      <c r="Z1249" s="2861">
        <v>40800</v>
      </c>
      <c r="AA1249" s="2861">
        <v>40800</v>
      </c>
      <c r="AB1249" s="2861">
        <v>40800</v>
      </c>
      <c r="AC1249" s="2857">
        <v>40800</v>
      </c>
      <c r="AD1249" s="2861"/>
      <c r="AE1249" s="2861"/>
      <c r="AF1249" s="2861"/>
      <c r="AG1249" s="2861"/>
      <c r="AH1249" s="1942"/>
      <c r="AI1249" s="1942"/>
      <c r="AJ1249" s="1942"/>
      <c r="AK1249" s="1942"/>
      <c r="AL1249" s="1942"/>
      <c r="AM1249" s="1942"/>
      <c r="AN1249" s="1942"/>
      <c r="AO1249" s="1942"/>
      <c r="AP1249" s="1942"/>
      <c r="AQ1249" s="1942"/>
      <c r="AR1249" s="1942"/>
      <c r="AS1249" s="1942"/>
      <c r="AT1249" s="1942"/>
      <c r="AU1249" s="1942"/>
      <c r="AV1249" s="1942"/>
      <c r="AW1249" s="1942"/>
      <c r="AX1249" s="1942"/>
      <c r="AY1249" s="1942"/>
      <c r="AZ1249" s="1942"/>
      <c r="BA1249" s="1942"/>
      <c r="BB1249" s="575"/>
      <c r="BC1249" s="576"/>
      <c r="BD1249" s="678"/>
    </row>
    <row r="1250" spans="1:56" s="51" customFormat="1" hidden="1" outlineLevel="1" x14ac:dyDescent="0.25">
      <c r="A1250" s="1267"/>
      <c r="B1250" s="123"/>
      <c r="C1250" s="328"/>
      <c r="D1250" s="3990"/>
      <c r="E1250" s="3987"/>
      <c r="F1250" s="4002" t="str">
        <f>$F$1226</f>
        <v>DFHP-SEER19-ROF_MF_CompE</v>
      </c>
      <c r="G1250" s="3998"/>
      <c r="H1250" s="3999"/>
      <c r="I1250" s="790"/>
      <c r="J1250" s="2857">
        <v>40800</v>
      </c>
      <c r="K1250" s="806">
        <f t="shared" si="132"/>
        <v>3.4</v>
      </c>
      <c r="L1250" s="786"/>
      <c r="M1250" s="123"/>
      <c r="N1250" s="123"/>
      <c r="O1250" s="123"/>
      <c r="P1250" s="123"/>
      <c r="Q1250" s="832"/>
      <c r="R1250" s="3082"/>
      <c r="S1250" s="123"/>
      <c r="T1250" s="123"/>
      <c r="U1250" s="123"/>
      <c r="V1250" s="3990"/>
      <c r="W1250" s="696"/>
      <c r="X1250" s="696"/>
      <c r="Y1250" s="2857">
        <v>40800</v>
      </c>
      <c r="Z1250" s="2857">
        <v>40800</v>
      </c>
      <c r="AA1250" s="2857">
        <v>40800</v>
      </c>
      <c r="AB1250" s="2857">
        <v>40800</v>
      </c>
      <c r="AC1250" s="2857">
        <v>40800</v>
      </c>
      <c r="AD1250" s="696"/>
      <c r="AE1250" s="696"/>
      <c r="AF1250" s="696"/>
      <c r="AG1250" s="696"/>
      <c r="AH1250" s="1942"/>
      <c r="AI1250" s="1942"/>
      <c r="AJ1250" s="1942"/>
      <c r="AK1250" s="1942"/>
      <c r="AL1250" s="1942"/>
      <c r="AM1250" s="1942"/>
      <c r="AN1250" s="1942"/>
      <c r="AO1250" s="1942"/>
      <c r="AP1250" s="1942"/>
      <c r="AQ1250" s="1942"/>
      <c r="AR1250" s="1942"/>
      <c r="AS1250" s="1942"/>
      <c r="AT1250" s="1942"/>
      <c r="AU1250" s="1942"/>
      <c r="AV1250" s="1942"/>
      <c r="AW1250" s="1942"/>
      <c r="AX1250" s="1942"/>
      <c r="AY1250" s="1942"/>
      <c r="AZ1250" s="1942"/>
      <c r="BA1250" s="1942"/>
      <c r="BB1250" s="575"/>
      <c r="BC1250" s="576"/>
      <c r="BD1250" s="678"/>
    </row>
    <row r="1251" spans="1:56" s="51" customFormat="1" hidden="1" outlineLevel="1" x14ac:dyDescent="0.25">
      <c r="A1251" s="1267"/>
      <c r="B1251" s="123"/>
      <c r="C1251" s="328"/>
      <c r="D1251" s="3990"/>
      <c r="E1251" s="3987"/>
      <c r="F1251" s="4002" t="str">
        <f>$F$1227</f>
        <v>DFHP-SEER20-ROF_MF</v>
      </c>
      <c r="G1251" s="3998"/>
      <c r="H1251" s="3999"/>
      <c r="I1251" s="2862"/>
      <c r="J1251" s="2857">
        <v>52800.000000000007</v>
      </c>
      <c r="K1251" s="806">
        <f t="shared" si="132"/>
        <v>4.4000000000000004</v>
      </c>
      <c r="L1251" s="787" t="s">
        <v>1149</v>
      </c>
      <c r="M1251" s="123"/>
      <c r="N1251" s="123"/>
      <c r="O1251" s="123"/>
      <c r="P1251" s="123"/>
      <c r="Q1251" s="832"/>
      <c r="R1251" s="3082"/>
      <c r="S1251" s="123"/>
      <c r="T1251" s="123"/>
      <c r="U1251" s="123"/>
      <c r="V1251" s="3990"/>
      <c r="W1251" s="2857">
        <f t="shared" ref="W1251:X1253" si="133">$K1251*12000</f>
        <v>52800.000000000007</v>
      </c>
      <c r="X1251" s="2857">
        <f t="shared" si="133"/>
        <v>52800.000000000007</v>
      </c>
      <c r="Y1251" s="2857">
        <v>52800.000000000007</v>
      </c>
      <c r="Z1251" s="2857">
        <v>52800.000000000007</v>
      </c>
      <c r="AA1251" s="2857">
        <v>52800.000000000007</v>
      </c>
      <c r="AB1251" s="2857">
        <v>52800.000000000007</v>
      </c>
      <c r="AC1251" s="2857">
        <v>52800.000000000007</v>
      </c>
      <c r="AD1251" s="2857"/>
      <c r="AE1251" s="2857"/>
      <c r="AF1251" s="2857"/>
      <c r="AG1251" s="2857"/>
      <c r="AH1251" s="1942"/>
      <c r="AI1251" s="1942"/>
      <c r="AJ1251" s="1942"/>
      <c r="AK1251" s="1942"/>
      <c r="AL1251" s="1942"/>
      <c r="AM1251" s="1942"/>
      <c r="AN1251" s="1942"/>
      <c r="AO1251" s="1942"/>
      <c r="AP1251" s="1942"/>
      <c r="AQ1251" s="1942"/>
      <c r="AR1251" s="1942"/>
      <c r="AS1251" s="1942"/>
      <c r="AT1251" s="1942"/>
      <c r="AU1251" s="1942"/>
      <c r="AV1251" s="1942"/>
      <c r="AW1251" s="1942"/>
      <c r="AX1251" s="1942"/>
      <c r="AY1251" s="1942"/>
      <c r="AZ1251" s="1942"/>
      <c r="BA1251" s="1942"/>
      <c r="BB1251" s="575"/>
      <c r="BC1251" s="576"/>
      <c r="BD1251" s="678"/>
    </row>
    <row r="1252" spans="1:56" s="51" customFormat="1" hidden="1" outlineLevel="1" x14ac:dyDescent="0.25">
      <c r="A1252" s="1267"/>
      <c r="B1252" s="123"/>
      <c r="C1252" s="328"/>
      <c r="D1252" s="3990"/>
      <c r="E1252" s="3987"/>
      <c r="F1252" s="4002" t="str">
        <f>$F$1228</f>
        <v>DFHP-SEER20-ROF_MF_CompE</v>
      </c>
      <c r="G1252" s="3998"/>
      <c r="H1252" s="3999"/>
      <c r="I1252" s="2862"/>
      <c r="J1252" s="2857">
        <v>52800.000000000007</v>
      </c>
      <c r="K1252" s="806">
        <f t="shared" si="132"/>
        <v>4.4000000000000004</v>
      </c>
      <c r="L1252" s="787"/>
      <c r="M1252" s="123"/>
      <c r="N1252" s="123"/>
      <c r="O1252" s="123"/>
      <c r="P1252" s="123"/>
      <c r="Q1252" s="832"/>
      <c r="R1252" s="3082"/>
      <c r="S1252" s="123"/>
      <c r="T1252" s="123"/>
      <c r="U1252" s="123"/>
      <c r="V1252" s="3990"/>
      <c r="W1252" s="2857"/>
      <c r="X1252" s="2857"/>
      <c r="Y1252" s="2857">
        <v>52800.000000000007</v>
      </c>
      <c r="Z1252" s="2857">
        <v>52800.000000000007</v>
      </c>
      <c r="AA1252" s="2857">
        <v>52800.000000000007</v>
      </c>
      <c r="AB1252" s="2857">
        <v>52800.000000000007</v>
      </c>
      <c r="AC1252" s="2857">
        <v>52800.000000000007</v>
      </c>
      <c r="AD1252" s="2857"/>
      <c r="AE1252" s="2857"/>
      <c r="AF1252" s="2857"/>
      <c r="AG1252" s="2857"/>
      <c r="AH1252" s="1942"/>
      <c r="AI1252" s="1942"/>
      <c r="AJ1252" s="1942"/>
      <c r="AK1252" s="1942"/>
      <c r="AL1252" s="1942"/>
      <c r="AM1252" s="1942"/>
      <c r="AN1252" s="1942"/>
      <c r="AO1252" s="1942"/>
      <c r="AP1252" s="1942"/>
      <c r="AQ1252" s="1942"/>
      <c r="AR1252" s="1942"/>
      <c r="AS1252" s="1942"/>
      <c r="AT1252" s="1942"/>
      <c r="AU1252" s="1942"/>
      <c r="AV1252" s="1942"/>
      <c r="AW1252" s="1942"/>
      <c r="AX1252" s="1942"/>
      <c r="AY1252" s="1942"/>
      <c r="AZ1252" s="1942"/>
      <c r="BA1252" s="1942"/>
      <c r="BB1252" s="575"/>
      <c r="BC1252" s="576"/>
      <c r="BD1252" s="678"/>
    </row>
    <row r="1253" spans="1:56" s="51" customFormat="1" hidden="1" outlineLevel="1" x14ac:dyDescent="0.25">
      <c r="A1253" s="1267"/>
      <c r="B1253" s="123"/>
      <c r="C1253" s="328"/>
      <c r="D1253" s="3990"/>
      <c r="E1253" s="3987"/>
      <c r="F1253" s="4002" t="str">
        <f>$F$1229</f>
        <v>DFHP-SEER21-ROF_MF</v>
      </c>
      <c r="G1253" s="3998"/>
      <c r="H1253" s="3999"/>
      <c r="I1253" s="2862"/>
      <c r="J1253" s="2857">
        <v>64800.000000000007</v>
      </c>
      <c r="K1253" s="806">
        <f t="shared" si="132"/>
        <v>5.4</v>
      </c>
      <c r="L1253" s="787" t="s">
        <v>1149</v>
      </c>
      <c r="M1253" s="123"/>
      <c r="N1253" s="123"/>
      <c r="O1253" s="123"/>
      <c r="P1253" s="123"/>
      <c r="Q1253" s="832"/>
      <c r="R1253" s="3082"/>
      <c r="S1253" s="123"/>
      <c r="T1253" s="123"/>
      <c r="U1253" s="123"/>
      <c r="V1253" s="3990"/>
      <c r="W1253" s="2857">
        <f t="shared" si="133"/>
        <v>64800.000000000007</v>
      </c>
      <c r="X1253" s="2857">
        <f t="shared" si="133"/>
        <v>64800.000000000007</v>
      </c>
      <c r="Y1253" s="2857">
        <v>64800.000000000007</v>
      </c>
      <c r="Z1253" s="2857">
        <v>64800.000000000007</v>
      </c>
      <c r="AA1253" s="2857">
        <v>64800.000000000007</v>
      </c>
      <c r="AB1253" s="2857">
        <v>64800.000000000007</v>
      </c>
      <c r="AC1253" s="2857">
        <v>64800.000000000007</v>
      </c>
      <c r="AD1253" s="2857"/>
      <c r="AE1253" s="2857"/>
      <c r="AF1253" s="2857"/>
      <c r="AG1253" s="2857"/>
      <c r="AH1253" s="1942"/>
      <c r="AI1253" s="1942"/>
      <c r="AJ1253" s="1942"/>
      <c r="AK1253" s="1942"/>
      <c r="AL1253" s="1942"/>
      <c r="AM1253" s="1942"/>
      <c r="AN1253" s="1942"/>
      <c r="AO1253" s="1942"/>
      <c r="AP1253" s="1942"/>
      <c r="AQ1253" s="1942"/>
      <c r="AR1253" s="1942"/>
      <c r="AS1253" s="1942"/>
      <c r="AT1253" s="1942"/>
      <c r="AU1253" s="1942"/>
      <c r="AV1253" s="1942"/>
      <c r="AW1253" s="1942"/>
      <c r="AX1253" s="1942"/>
      <c r="AY1253" s="1942"/>
      <c r="AZ1253" s="1942"/>
      <c r="BA1253" s="1942"/>
      <c r="BB1253" s="575"/>
      <c r="BC1253" s="576"/>
      <c r="BD1253" s="678"/>
    </row>
    <row r="1254" spans="1:56" s="51" customFormat="1" ht="15.75" hidden="1" outlineLevel="1" thickBot="1" x14ac:dyDescent="0.3">
      <c r="A1254" s="1267"/>
      <c r="B1254" s="123"/>
      <c r="C1254" s="328"/>
      <c r="D1254" s="3991"/>
      <c r="E1254" s="3988"/>
      <c r="F1254" s="4071" t="str">
        <f>$F$1230</f>
        <v>DFHP-SEER21-ROF_MF_CompE</v>
      </c>
      <c r="G1254" s="4000"/>
      <c r="H1254" s="4001"/>
      <c r="I1254" s="2863"/>
      <c r="J1254" s="2860">
        <v>64800.000000000007</v>
      </c>
      <c r="K1254" s="1582">
        <f t="shared" si="132"/>
        <v>5.4</v>
      </c>
      <c r="L1254" s="799"/>
      <c r="M1254" s="123"/>
      <c r="N1254" s="123"/>
      <c r="O1254" s="123"/>
      <c r="P1254" s="123"/>
      <c r="Q1254" s="832"/>
      <c r="R1254" s="3082"/>
      <c r="S1254" s="123"/>
      <c r="T1254" s="123"/>
      <c r="U1254" s="123"/>
      <c r="V1254" s="3990"/>
      <c r="W1254" s="2857"/>
      <c r="X1254" s="2857"/>
      <c r="Y1254" s="2857">
        <v>64800.000000000007</v>
      </c>
      <c r="Z1254" s="2857">
        <v>64800.000000000007</v>
      </c>
      <c r="AA1254" s="2857">
        <v>64800.000000000007</v>
      </c>
      <c r="AB1254" s="2857">
        <v>64800.000000000007</v>
      </c>
      <c r="AC1254" s="2860">
        <v>64800.000000000007</v>
      </c>
      <c r="AD1254" s="2857"/>
      <c r="AE1254" s="2857"/>
      <c r="AF1254" s="2857"/>
      <c r="AG1254" s="2857"/>
      <c r="AH1254" s="1942"/>
      <c r="AI1254" s="1942"/>
      <c r="AJ1254" s="1942"/>
      <c r="AK1254" s="1942"/>
      <c r="AL1254" s="1942"/>
      <c r="AM1254" s="1942"/>
      <c r="AN1254" s="1942"/>
      <c r="AO1254" s="1942"/>
      <c r="AP1254" s="1942"/>
      <c r="AQ1254" s="1942"/>
      <c r="AR1254" s="1942"/>
      <c r="AS1254" s="1942"/>
      <c r="AT1254" s="1942"/>
      <c r="AU1254" s="1942"/>
      <c r="AV1254" s="1942"/>
      <c r="AW1254" s="1942"/>
      <c r="AX1254" s="1942"/>
      <c r="AY1254" s="1942"/>
      <c r="AZ1254" s="1942"/>
      <c r="BA1254" s="1942"/>
      <c r="BB1254" s="575"/>
      <c r="BC1254" s="576"/>
      <c r="BD1254" s="678"/>
    </row>
    <row r="1255" spans="1:56" s="51" customFormat="1" hidden="1" outlineLevel="1" x14ac:dyDescent="0.25">
      <c r="A1255" s="1267"/>
      <c r="B1255" s="123"/>
      <c r="C1255" s="328"/>
      <c r="D1255" s="3989" t="s">
        <v>1161</v>
      </c>
      <c r="E1255" s="3986" t="s">
        <v>1162</v>
      </c>
      <c r="F1255" s="4072" t="str">
        <f>$F$1225</f>
        <v>DFHP-SEER19-ROF_MF</v>
      </c>
      <c r="G1255" s="4073"/>
      <c r="H1255" s="4074"/>
      <c r="I1255" s="2864"/>
      <c r="J1255" s="2861">
        <v>869</v>
      </c>
      <c r="K1255" s="811"/>
      <c r="L1255" s="785" t="s">
        <v>1011</v>
      </c>
      <c r="M1255" s="123"/>
      <c r="N1255" s="123"/>
      <c r="O1255" s="123"/>
      <c r="P1255" s="123"/>
      <c r="Q1255" s="832"/>
      <c r="R1255" s="3082"/>
      <c r="S1255" s="123"/>
      <c r="T1255" s="123"/>
      <c r="U1255" s="123"/>
      <c r="V1255" s="3989" t="s">
        <v>1161</v>
      </c>
      <c r="W1255" s="2861">
        <v>869</v>
      </c>
      <c r="X1255" s="2861">
        <v>869</v>
      </c>
      <c r="Y1255" s="2861">
        <v>869</v>
      </c>
      <c r="Z1255" s="2861">
        <v>869</v>
      </c>
      <c r="AA1255" s="2861">
        <v>869</v>
      </c>
      <c r="AB1255" s="2861">
        <v>869</v>
      </c>
      <c r="AC1255" s="2861">
        <v>869</v>
      </c>
      <c r="AD1255" s="2861"/>
      <c r="AE1255" s="2861"/>
      <c r="AF1255" s="2861"/>
      <c r="AG1255" s="2861"/>
      <c r="AH1255" s="1942"/>
      <c r="AI1255" s="1942"/>
      <c r="AJ1255" s="1942"/>
      <c r="AK1255" s="1942"/>
      <c r="AL1255" s="1942"/>
      <c r="AM1255" s="1942"/>
      <c r="AN1255" s="1942"/>
      <c r="AO1255" s="1942"/>
      <c r="AP1255" s="1942"/>
      <c r="AQ1255" s="1942"/>
      <c r="AR1255" s="1942"/>
      <c r="AS1255" s="1942"/>
      <c r="AT1255" s="1942"/>
      <c r="AU1255" s="1942"/>
      <c r="AV1255" s="1942"/>
      <c r="AW1255" s="1942"/>
      <c r="AX1255" s="1942"/>
      <c r="AY1255" s="1942"/>
      <c r="AZ1255" s="1942"/>
      <c r="BA1255" s="1942"/>
      <c r="BB1255" s="575"/>
      <c r="BC1255" s="576"/>
      <c r="BD1255" s="678"/>
    </row>
    <row r="1256" spans="1:56" s="51" customFormat="1" ht="45" hidden="1" outlineLevel="1" x14ac:dyDescent="0.25">
      <c r="A1256" s="1267"/>
      <c r="B1256" s="123"/>
      <c r="C1256" s="328"/>
      <c r="D1256" s="3990"/>
      <c r="E1256" s="3987"/>
      <c r="F1256" s="4002" t="str">
        <f>$F$1226</f>
        <v>DFHP-SEER19-ROF_MF_CompE</v>
      </c>
      <c r="G1256" s="3998"/>
      <c r="H1256" s="3999"/>
      <c r="I1256" s="790"/>
      <c r="J1256" s="2857">
        <v>632</v>
      </c>
      <c r="K1256" s="806"/>
      <c r="L1256" s="786" t="s">
        <v>1153</v>
      </c>
      <c r="M1256" s="123"/>
      <c r="N1256" s="123"/>
      <c r="O1256" s="123"/>
      <c r="P1256" s="123"/>
      <c r="Q1256" s="832"/>
      <c r="R1256" s="3082"/>
      <c r="S1256" s="123"/>
      <c r="T1256" s="123"/>
      <c r="U1256" s="123"/>
      <c r="V1256" s="3990"/>
      <c r="W1256" s="696"/>
      <c r="X1256" s="696"/>
      <c r="Y1256" s="3158">
        <v>632</v>
      </c>
      <c r="Z1256" s="696">
        <v>632</v>
      </c>
      <c r="AA1256" s="696">
        <v>632</v>
      </c>
      <c r="AB1256" s="696">
        <v>632</v>
      </c>
      <c r="AC1256" s="2857">
        <v>632</v>
      </c>
      <c r="AD1256" s="696"/>
      <c r="AE1256" s="696"/>
      <c r="AF1256" s="696"/>
      <c r="AG1256" s="696"/>
      <c r="AH1256" s="1942"/>
      <c r="AI1256" s="1942"/>
      <c r="AJ1256" s="1942"/>
      <c r="AK1256" s="1942"/>
      <c r="AL1256" s="1942"/>
      <c r="AM1256" s="1942"/>
      <c r="AN1256" s="1942"/>
      <c r="AO1256" s="1942"/>
      <c r="AP1256" s="1942"/>
      <c r="AQ1256" s="1942"/>
      <c r="AR1256" s="1942"/>
      <c r="AS1256" s="1942"/>
      <c r="AT1256" s="1942"/>
      <c r="AU1256" s="1942"/>
      <c r="AV1256" s="1942"/>
      <c r="AW1256" s="1942"/>
      <c r="AX1256" s="1942"/>
      <c r="AY1256" s="1942"/>
      <c r="AZ1256" s="1942"/>
      <c r="BA1256" s="1942"/>
      <c r="BB1256" s="575"/>
      <c r="BC1256" s="576"/>
      <c r="BD1256" s="678"/>
    </row>
    <row r="1257" spans="1:56" s="51" customFormat="1" hidden="1" outlineLevel="1" x14ac:dyDescent="0.25">
      <c r="A1257" s="1267"/>
      <c r="B1257" s="123"/>
      <c r="C1257" s="328"/>
      <c r="D1257" s="3990"/>
      <c r="E1257" s="3987"/>
      <c r="F1257" s="4002" t="str">
        <f>$F$1227</f>
        <v>DFHP-SEER20-ROF_MF</v>
      </c>
      <c r="G1257" s="3998"/>
      <c r="H1257" s="3999"/>
      <c r="I1257" s="2862"/>
      <c r="J1257" s="2857">
        <v>869</v>
      </c>
      <c r="K1257" s="806"/>
      <c r="L1257" s="787" t="s">
        <v>1011</v>
      </c>
      <c r="M1257" s="123"/>
      <c r="N1257" s="123"/>
      <c r="O1257" s="123"/>
      <c r="P1257" s="123"/>
      <c r="Q1257" s="832"/>
      <c r="R1257" s="3082"/>
      <c r="S1257" s="123"/>
      <c r="T1257" s="123"/>
      <c r="U1257" s="123"/>
      <c r="V1257" s="3990"/>
      <c r="W1257" s="2857">
        <v>869</v>
      </c>
      <c r="X1257" s="2857">
        <v>869</v>
      </c>
      <c r="Y1257" s="2857">
        <v>869</v>
      </c>
      <c r="Z1257" s="2857">
        <v>869</v>
      </c>
      <c r="AA1257" s="2857">
        <v>869</v>
      </c>
      <c r="AB1257" s="2857">
        <v>869</v>
      </c>
      <c r="AC1257" s="2857">
        <v>869</v>
      </c>
      <c r="AD1257" s="2857"/>
      <c r="AE1257" s="2857"/>
      <c r="AF1257" s="2857"/>
      <c r="AG1257" s="2857"/>
      <c r="AH1257" s="1942"/>
      <c r="AI1257" s="1942"/>
      <c r="AJ1257" s="1942"/>
      <c r="AK1257" s="1942"/>
      <c r="AL1257" s="1942"/>
      <c r="AM1257" s="1942"/>
      <c r="AN1257" s="1942"/>
      <c r="AO1257" s="1942"/>
      <c r="AP1257" s="1942"/>
      <c r="AQ1257" s="1942"/>
      <c r="AR1257" s="1942"/>
      <c r="AS1257" s="1942"/>
      <c r="AT1257" s="1942"/>
      <c r="AU1257" s="1942"/>
      <c r="AV1257" s="1942"/>
      <c r="AW1257" s="1942"/>
      <c r="AX1257" s="1942"/>
      <c r="AY1257" s="1942"/>
      <c r="AZ1257" s="1942"/>
      <c r="BA1257" s="1942"/>
      <c r="BB1257" s="575"/>
      <c r="BC1257" s="576"/>
      <c r="BD1257" s="678"/>
    </row>
    <row r="1258" spans="1:56" s="51" customFormat="1" ht="45" hidden="1" outlineLevel="1" x14ac:dyDescent="0.25">
      <c r="A1258" s="1267"/>
      <c r="B1258" s="123"/>
      <c r="C1258" s="328"/>
      <c r="D1258" s="3990"/>
      <c r="E1258" s="3987"/>
      <c r="F1258" s="4002" t="str">
        <f>$F$1228</f>
        <v>DFHP-SEER20-ROF_MF_CompE</v>
      </c>
      <c r="G1258" s="3998"/>
      <c r="H1258" s="3999"/>
      <c r="I1258" s="2862"/>
      <c r="J1258" s="2857">
        <v>632</v>
      </c>
      <c r="K1258" s="806"/>
      <c r="L1258" s="787" t="s">
        <v>1153</v>
      </c>
      <c r="M1258" s="123"/>
      <c r="N1258" s="123"/>
      <c r="O1258" s="123"/>
      <c r="P1258" s="123"/>
      <c r="Q1258" s="832"/>
      <c r="R1258" s="3082"/>
      <c r="S1258" s="123"/>
      <c r="T1258" s="123"/>
      <c r="U1258" s="123"/>
      <c r="V1258" s="3990"/>
      <c r="W1258" s="2857"/>
      <c r="X1258" s="2857"/>
      <c r="Y1258" s="3158">
        <v>632</v>
      </c>
      <c r="Z1258" s="696">
        <v>632</v>
      </c>
      <c r="AA1258" s="696">
        <v>632</v>
      </c>
      <c r="AB1258" s="696">
        <v>632</v>
      </c>
      <c r="AC1258" s="2857">
        <v>632</v>
      </c>
      <c r="AD1258" s="2857"/>
      <c r="AE1258" s="2857"/>
      <c r="AF1258" s="2857"/>
      <c r="AG1258" s="2857"/>
      <c r="AH1258" s="1942"/>
      <c r="AI1258" s="1942"/>
      <c r="AJ1258" s="1942"/>
      <c r="AK1258" s="1942"/>
      <c r="AL1258" s="1942"/>
      <c r="AM1258" s="1942"/>
      <c r="AN1258" s="1942"/>
      <c r="AO1258" s="1942"/>
      <c r="AP1258" s="1942"/>
      <c r="AQ1258" s="1942"/>
      <c r="AR1258" s="1942"/>
      <c r="AS1258" s="1942"/>
      <c r="AT1258" s="1942"/>
      <c r="AU1258" s="1942"/>
      <c r="AV1258" s="1942"/>
      <c r="AW1258" s="1942"/>
      <c r="AX1258" s="1942"/>
      <c r="AY1258" s="1942"/>
      <c r="AZ1258" s="1942"/>
      <c r="BA1258" s="1942"/>
      <c r="BB1258" s="575"/>
      <c r="BC1258" s="576"/>
      <c r="BD1258" s="678"/>
    </row>
    <row r="1259" spans="1:56" s="51" customFormat="1" hidden="1" outlineLevel="1" x14ac:dyDescent="0.25">
      <c r="A1259" s="1267"/>
      <c r="B1259" s="123"/>
      <c r="C1259" s="328"/>
      <c r="D1259" s="3990"/>
      <c r="E1259" s="3987"/>
      <c r="F1259" s="4002" t="str">
        <f>$F$1229</f>
        <v>DFHP-SEER21-ROF_MF</v>
      </c>
      <c r="G1259" s="3998"/>
      <c r="H1259" s="3999"/>
      <c r="I1259" s="2862"/>
      <c r="J1259" s="2857">
        <v>869</v>
      </c>
      <c r="K1259" s="806"/>
      <c r="L1259" s="787" t="s">
        <v>1011</v>
      </c>
      <c r="M1259" s="123"/>
      <c r="N1259" s="123"/>
      <c r="O1259" s="123"/>
      <c r="P1259" s="123"/>
      <c r="Q1259" s="832"/>
      <c r="R1259" s="3082"/>
      <c r="S1259" s="123"/>
      <c r="T1259" s="123"/>
      <c r="U1259" s="123"/>
      <c r="V1259" s="3990"/>
      <c r="W1259" s="2857">
        <v>869</v>
      </c>
      <c r="X1259" s="2857">
        <v>869</v>
      </c>
      <c r="Y1259" s="2857">
        <v>869</v>
      </c>
      <c r="Z1259" s="2857">
        <v>869</v>
      </c>
      <c r="AA1259" s="2857">
        <v>869</v>
      </c>
      <c r="AB1259" s="2857">
        <v>869</v>
      </c>
      <c r="AC1259" s="2857">
        <v>869</v>
      </c>
      <c r="AD1259" s="2857"/>
      <c r="AE1259" s="2857"/>
      <c r="AF1259" s="2857"/>
      <c r="AG1259" s="2857"/>
      <c r="AH1259" s="1942"/>
      <c r="AI1259" s="1942"/>
      <c r="AJ1259" s="1942"/>
      <c r="AK1259" s="1942"/>
      <c r="AL1259" s="1942"/>
      <c r="AM1259" s="1942"/>
      <c r="AN1259" s="1942"/>
      <c r="AO1259" s="1942"/>
      <c r="AP1259" s="1942"/>
      <c r="AQ1259" s="1942"/>
      <c r="AR1259" s="1942"/>
      <c r="AS1259" s="1942"/>
      <c r="AT1259" s="1942"/>
      <c r="AU1259" s="1942"/>
      <c r="AV1259" s="1942"/>
      <c r="AW1259" s="1942"/>
      <c r="AX1259" s="1942"/>
      <c r="AY1259" s="1942"/>
      <c r="AZ1259" s="1942"/>
      <c r="BA1259" s="1942"/>
      <c r="BB1259" s="575"/>
      <c r="BC1259" s="576"/>
      <c r="BD1259" s="678"/>
    </row>
    <row r="1260" spans="1:56" s="51" customFormat="1" ht="45.75" hidden="1" outlineLevel="1" thickBot="1" x14ac:dyDescent="0.3">
      <c r="A1260" s="1267"/>
      <c r="B1260" s="123"/>
      <c r="C1260" s="328"/>
      <c r="D1260" s="3991"/>
      <c r="E1260" s="3988"/>
      <c r="F1260" s="4071" t="str">
        <f>$F$1230</f>
        <v>DFHP-SEER21-ROF_MF_CompE</v>
      </c>
      <c r="G1260" s="4000"/>
      <c r="H1260" s="4001"/>
      <c r="I1260" s="2863"/>
      <c r="J1260" s="2860">
        <v>632</v>
      </c>
      <c r="K1260" s="1582"/>
      <c r="L1260" s="799" t="s">
        <v>1153</v>
      </c>
      <c r="M1260" s="123"/>
      <c r="N1260" s="123"/>
      <c r="O1260" s="123"/>
      <c r="P1260" s="123"/>
      <c r="Q1260" s="832"/>
      <c r="R1260" s="3082"/>
      <c r="S1260" s="123"/>
      <c r="T1260" s="123"/>
      <c r="U1260" s="123"/>
      <c r="V1260" s="3990"/>
      <c r="W1260" s="2857"/>
      <c r="X1260" s="2857"/>
      <c r="Y1260" s="3158">
        <v>632</v>
      </c>
      <c r="Z1260" s="696">
        <v>632</v>
      </c>
      <c r="AA1260" s="696">
        <v>632</v>
      </c>
      <c r="AB1260" s="696">
        <v>632</v>
      </c>
      <c r="AC1260" s="2860">
        <v>632</v>
      </c>
      <c r="AD1260" s="2857"/>
      <c r="AE1260" s="2857"/>
      <c r="AF1260" s="2857"/>
      <c r="AG1260" s="2857"/>
      <c r="AH1260" s="1942"/>
      <c r="AI1260" s="1942"/>
      <c r="AJ1260" s="1942"/>
      <c r="AK1260" s="1942"/>
      <c r="AL1260" s="1942"/>
      <c r="AM1260" s="1942"/>
      <c r="AN1260" s="1942"/>
      <c r="AO1260" s="1942"/>
      <c r="AP1260" s="1942"/>
      <c r="AQ1260" s="1942"/>
      <c r="AR1260" s="1942"/>
      <c r="AS1260" s="1942"/>
      <c r="AT1260" s="1942"/>
      <c r="AU1260" s="1942"/>
      <c r="AV1260" s="1942"/>
      <c r="AW1260" s="1942"/>
      <c r="AX1260" s="1942"/>
      <c r="AY1260" s="1942"/>
      <c r="AZ1260" s="1942"/>
      <c r="BA1260" s="1942"/>
      <c r="BB1260" s="575"/>
      <c r="BC1260" s="576"/>
      <c r="BD1260" s="678"/>
    </row>
    <row r="1261" spans="1:56" s="51" customFormat="1" hidden="1" outlineLevel="1" x14ac:dyDescent="0.25">
      <c r="A1261" s="1267"/>
      <c r="B1261" s="123"/>
      <c r="C1261" s="328"/>
      <c r="D1261" s="3989" t="s">
        <v>1163</v>
      </c>
      <c r="E1261" s="3986" t="s">
        <v>1164</v>
      </c>
      <c r="F1261" s="4075" t="str">
        <f>$F$1225</f>
        <v>DFHP-SEER19-ROF_MF</v>
      </c>
      <c r="G1261" s="4076"/>
      <c r="H1261" s="4077"/>
      <c r="I1261" s="790"/>
      <c r="J1261" s="696">
        <v>14</v>
      </c>
      <c r="K1261" s="1584"/>
      <c r="L1261" s="786" t="s">
        <v>1011</v>
      </c>
      <c r="M1261" s="123"/>
      <c r="N1261" s="123"/>
      <c r="O1261" s="123"/>
      <c r="P1261" s="123"/>
      <c r="Q1261" s="832"/>
      <c r="R1261" s="3082"/>
      <c r="S1261" s="123"/>
      <c r="T1261" s="123"/>
      <c r="U1261" s="123"/>
      <c r="V1261" s="3989" t="s">
        <v>1163</v>
      </c>
      <c r="W1261" s="2861">
        <v>14</v>
      </c>
      <c r="X1261" s="2861">
        <v>14</v>
      </c>
      <c r="Y1261" s="2861">
        <v>14</v>
      </c>
      <c r="Z1261" s="2861">
        <v>14</v>
      </c>
      <c r="AA1261" s="2861">
        <v>14</v>
      </c>
      <c r="AB1261" s="2861">
        <v>14</v>
      </c>
      <c r="AC1261" s="696">
        <v>14</v>
      </c>
      <c r="AD1261" s="2861"/>
      <c r="AE1261" s="2861"/>
      <c r="AF1261" s="2861"/>
      <c r="AG1261" s="2861"/>
      <c r="AH1261" s="1942"/>
      <c r="AI1261" s="1942"/>
      <c r="AJ1261" s="1942"/>
      <c r="AK1261" s="1942"/>
      <c r="AL1261" s="1942"/>
      <c r="AM1261" s="1942"/>
      <c r="AN1261" s="1942"/>
      <c r="AO1261" s="1942"/>
      <c r="AP1261" s="1942"/>
      <c r="AQ1261" s="1942"/>
      <c r="AR1261" s="1942"/>
      <c r="AS1261" s="1942"/>
      <c r="AT1261" s="1942"/>
      <c r="AU1261" s="1942"/>
      <c r="AV1261" s="1942"/>
      <c r="AW1261" s="1942"/>
      <c r="AX1261" s="1942"/>
      <c r="AY1261" s="1942"/>
      <c r="AZ1261" s="1942"/>
      <c r="BA1261" s="1942"/>
      <c r="BB1261" s="575"/>
      <c r="BC1261" s="576"/>
      <c r="BD1261" s="678"/>
    </row>
    <row r="1262" spans="1:56" s="51" customFormat="1" hidden="1" outlineLevel="1" x14ac:dyDescent="0.25">
      <c r="A1262" s="1267"/>
      <c r="B1262" s="123"/>
      <c r="C1262" s="328"/>
      <c r="D1262" s="3990"/>
      <c r="E1262" s="3987"/>
      <c r="F1262" s="3998" t="str">
        <f>$F$1226</f>
        <v>DFHP-SEER19-ROF_MF_CompE</v>
      </c>
      <c r="G1262" s="3998"/>
      <c r="H1262" s="3999"/>
      <c r="I1262" s="790"/>
      <c r="J1262" s="2857">
        <v>14</v>
      </c>
      <c r="K1262" s="806"/>
      <c r="L1262" s="786"/>
      <c r="M1262" s="123"/>
      <c r="N1262" s="123"/>
      <c r="O1262" s="123"/>
      <c r="P1262" s="123"/>
      <c r="Q1262" s="832"/>
      <c r="R1262" s="3082"/>
      <c r="S1262" s="123"/>
      <c r="T1262" s="123"/>
      <c r="U1262" s="123"/>
      <c r="V1262" s="3990"/>
      <c r="W1262" s="696"/>
      <c r="X1262" s="696"/>
      <c r="Y1262" s="3155">
        <v>14</v>
      </c>
      <c r="Z1262" s="2857">
        <v>14</v>
      </c>
      <c r="AA1262" s="2857">
        <v>14</v>
      </c>
      <c r="AB1262" s="2857">
        <v>14</v>
      </c>
      <c r="AC1262" s="2857">
        <v>14</v>
      </c>
      <c r="AD1262" s="696"/>
      <c r="AE1262" s="696"/>
      <c r="AF1262" s="696"/>
      <c r="AG1262" s="696"/>
      <c r="AH1262" s="1942"/>
      <c r="AI1262" s="1942"/>
      <c r="AJ1262" s="1942"/>
      <c r="AK1262" s="1942"/>
      <c r="AL1262" s="1942"/>
      <c r="AM1262" s="1942"/>
      <c r="AN1262" s="1942"/>
      <c r="AO1262" s="1942"/>
      <c r="AP1262" s="1942"/>
      <c r="AQ1262" s="1942"/>
      <c r="AR1262" s="1942"/>
      <c r="AS1262" s="1942"/>
      <c r="AT1262" s="1942"/>
      <c r="AU1262" s="1942"/>
      <c r="AV1262" s="1942"/>
      <c r="AW1262" s="1942"/>
      <c r="AX1262" s="1942"/>
      <c r="AY1262" s="1942"/>
      <c r="AZ1262" s="1942"/>
      <c r="BA1262" s="1942"/>
      <c r="BB1262" s="575"/>
      <c r="BC1262" s="576"/>
      <c r="BD1262" s="678"/>
    </row>
    <row r="1263" spans="1:56" s="51" customFormat="1" hidden="1" outlineLevel="1" x14ac:dyDescent="0.25">
      <c r="A1263" s="1267"/>
      <c r="B1263" s="123"/>
      <c r="C1263" s="328"/>
      <c r="D1263" s="3990"/>
      <c r="E1263" s="3987"/>
      <c r="F1263" s="3998" t="str">
        <f>$F$1227</f>
        <v>DFHP-SEER20-ROF_MF</v>
      </c>
      <c r="G1263" s="3998"/>
      <c r="H1263" s="3999"/>
      <c r="I1263" s="2862"/>
      <c r="J1263" s="2857">
        <v>14</v>
      </c>
      <c r="K1263" s="806"/>
      <c r="L1263" s="787" t="s">
        <v>1011</v>
      </c>
      <c r="M1263" s="123"/>
      <c r="N1263" s="123"/>
      <c r="O1263" s="123"/>
      <c r="P1263" s="123"/>
      <c r="Q1263" s="832"/>
      <c r="R1263" s="3082"/>
      <c r="S1263" s="123"/>
      <c r="T1263" s="123"/>
      <c r="U1263" s="123"/>
      <c r="V1263" s="3990"/>
      <c r="W1263" s="2857">
        <v>14</v>
      </c>
      <c r="X1263" s="2857">
        <v>14</v>
      </c>
      <c r="Y1263" s="2857">
        <v>14</v>
      </c>
      <c r="Z1263" s="2857">
        <v>14</v>
      </c>
      <c r="AA1263" s="2857">
        <v>14</v>
      </c>
      <c r="AB1263" s="2857">
        <v>14</v>
      </c>
      <c r="AC1263" s="2857">
        <v>14</v>
      </c>
      <c r="AD1263" s="2857"/>
      <c r="AE1263" s="2857"/>
      <c r="AF1263" s="2857"/>
      <c r="AG1263" s="2857"/>
      <c r="AH1263" s="1942"/>
      <c r="AI1263" s="1942"/>
      <c r="AJ1263" s="1942"/>
      <c r="AK1263" s="1942"/>
      <c r="AL1263" s="1942"/>
      <c r="AM1263" s="1942"/>
      <c r="AN1263" s="1942"/>
      <c r="AO1263" s="1942"/>
      <c r="AP1263" s="1942"/>
      <c r="AQ1263" s="1942"/>
      <c r="AR1263" s="1942"/>
      <c r="AS1263" s="1942"/>
      <c r="AT1263" s="1942"/>
      <c r="AU1263" s="1942"/>
      <c r="AV1263" s="1942"/>
      <c r="AW1263" s="1942"/>
      <c r="AX1263" s="1942"/>
      <c r="AY1263" s="1942"/>
      <c r="AZ1263" s="1942"/>
      <c r="BA1263" s="1942"/>
      <c r="BB1263" s="575"/>
      <c r="BC1263" s="576"/>
      <c r="BD1263" s="678"/>
    </row>
    <row r="1264" spans="1:56" s="51" customFormat="1" hidden="1" outlineLevel="1" x14ac:dyDescent="0.25">
      <c r="A1264" s="1267"/>
      <c r="B1264" s="123"/>
      <c r="C1264" s="328"/>
      <c r="D1264" s="3990"/>
      <c r="E1264" s="3987"/>
      <c r="F1264" s="3998" t="str">
        <f>$F$1228</f>
        <v>DFHP-SEER20-ROF_MF_CompE</v>
      </c>
      <c r="G1264" s="3998"/>
      <c r="H1264" s="3999"/>
      <c r="I1264" s="2862"/>
      <c r="J1264" s="2857">
        <v>14</v>
      </c>
      <c r="K1264" s="806"/>
      <c r="L1264" s="787"/>
      <c r="M1264" s="123"/>
      <c r="N1264" s="123"/>
      <c r="O1264" s="123"/>
      <c r="P1264" s="123"/>
      <c r="Q1264" s="832"/>
      <c r="R1264" s="3082"/>
      <c r="S1264" s="123"/>
      <c r="T1264" s="123"/>
      <c r="U1264" s="123"/>
      <c r="V1264" s="3990"/>
      <c r="W1264" s="2857"/>
      <c r="X1264" s="2857"/>
      <c r="Y1264" s="3155">
        <v>14</v>
      </c>
      <c r="Z1264" s="2857">
        <v>14</v>
      </c>
      <c r="AA1264" s="2857">
        <v>14</v>
      </c>
      <c r="AB1264" s="2857">
        <v>14</v>
      </c>
      <c r="AC1264" s="2857">
        <v>14</v>
      </c>
      <c r="AD1264" s="2857"/>
      <c r="AE1264" s="2857"/>
      <c r="AF1264" s="2857"/>
      <c r="AG1264" s="2857"/>
      <c r="AH1264" s="1942"/>
      <c r="AI1264" s="1942"/>
      <c r="AJ1264" s="1942"/>
      <c r="AK1264" s="1942"/>
      <c r="AL1264" s="1942"/>
      <c r="AM1264" s="1942"/>
      <c r="AN1264" s="1942"/>
      <c r="AO1264" s="1942"/>
      <c r="AP1264" s="1942"/>
      <c r="AQ1264" s="1942"/>
      <c r="AR1264" s="1942"/>
      <c r="AS1264" s="1942"/>
      <c r="AT1264" s="1942"/>
      <c r="AU1264" s="1942"/>
      <c r="AV1264" s="1942"/>
      <c r="AW1264" s="1942"/>
      <c r="AX1264" s="1942"/>
      <c r="AY1264" s="1942"/>
      <c r="AZ1264" s="1942"/>
      <c r="BA1264" s="1942"/>
      <c r="BB1264" s="575"/>
      <c r="BC1264" s="576"/>
      <c r="BD1264" s="678"/>
    </row>
    <row r="1265" spans="1:56" s="51" customFormat="1" hidden="1" outlineLevel="1" x14ac:dyDescent="0.25">
      <c r="A1265" s="1267"/>
      <c r="B1265" s="123"/>
      <c r="C1265" s="328"/>
      <c r="D1265" s="3990"/>
      <c r="E1265" s="3987"/>
      <c r="F1265" s="3998" t="str">
        <f>$F$1229</f>
        <v>DFHP-SEER21-ROF_MF</v>
      </c>
      <c r="G1265" s="3998"/>
      <c r="H1265" s="3999"/>
      <c r="I1265" s="2862"/>
      <c r="J1265" s="2857">
        <v>14</v>
      </c>
      <c r="K1265" s="806"/>
      <c r="L1265" s="787" t="s">
        <v>1011</v>
      </c>
      <c r="M1265" s="123"/>
      <c r="N1265" s="123"/>
      <c r="O1265" s="123"/>
      <c r="P1265" s="123"/>
      <c r="Q1265" s="832"/>
      <c r="R1265" s="3082"/>
      <c r="S1265" s="123"/>
      <c r="T1265" s="123"/>
      <c r="U1265" s="123"/>
      <c r="V1265" s="3990"/>
      <c r="W1265" s="2857">
        <v>14</v>
      </c>
      <c r="X1265" s="2857">
        <v>14</v>
      </c>
      <c r="Y1265" s="2857">
        <v>14</v>
      </c>
      <c r="Z1265" s="2857">
        <v>14</v>
      </c>
      <c r="AA1265" s="2857">
        <v>14</v>
      </c>
      <c r="AB1265" s="2857">
        <v>14</v>
      </c>
      <c r="AC1265" s="2857">
        <v>14</v>
      </c>
      <c r="AD1265" s="2857"/>
      <c r="AE1265" s="2857"/>
      <c r="AF1265" s="2857"/>
      <c r="AG1265" s="2857"/>
      <c r="AH1265" s="1942"/>
      <c r="AI1265" s="1942"/>
      <c r="AJ1265" s="1942"/>
      <c r="AK1265" s="1942"/>
      <c r="AL1265" s="1942"/>
      <c r="AM1265" s="1942"/>
      <c r="AN1265" s="1942"/>
      <c r="AO1265" s="1942"/>
      <c r="AP1265" s="1942"/>
      <c r="AQ1265" s="1942"/>
      <c r="AR1265" s="1942"/>
      <c r="AS1265" s="1942"/>
      <c r="AT1265" s="1942"/>
      <c r="AU1265" s="1942"/>
      <c r="AV1265" s="1942"/>
      <c r="AW1265" s="1942"/>
      <c r="AX1265" s="1942"/>
      <c r="AY1265" s="1942"/>
      <c r="AZ1265" s="1942"/>
      <c r="BA1265" s="1942"/>
      <c r="BB1265" s="575"/>
      <c r="BC1265" s="576"/>
      <c r="BD1265" s="678"/>
    </row>
    <row r="1266" spans="1:56" s="51" customFormat="1" ht="15.75" hidden="1" outlineLevel="1" thickBot="1" x14ac:dyDescent="0.3">
      <c r="A1266" s="1267"/>
      <c r="B1266" s="123"/>
      <c r="C1266" s="328"/>
      <c r="D1266" s="3991"/>
      <c r="E1266" s="3988"/>
      <c r="F1266" s="4003" t="str">
        <f>$F$1230</f>
        <v>DFHP-SEER21-ROF_MF_CompE</v>
      </c>
      <c r="G1266" s="4003"/>
      <c r="H1266" s="4004"/>
      <c r="I1266" s="1855"/>
      <c r="J1266" s="693">
        <v>14</v>
      </c>
      <c r="K1266" s="1856"/>
      <c r="L1266" s="3164"/>
      <c r="M1266" s="123"/>
      <c r="N1266" s="123"/>
      <c r="O1266" s="123"/>
      <c r="P1266" s="123"/>
      <c r="Q1266" s="832"/>
      <c r="R1266" s="3082"/>
      <c r="S1266" s="123"/>
      <c r="T1266" s="123"/>
      <c r="U1266" s="123"/>
      <c r="V1266" s="3990"/>
      <c r="W1266" s="2857"/>
      <c r="X1266" s="2857"/>
      <c r="Y1266" s="3155">
        <v>14</v>
      </c>
      <c r="Z1266" s="2857">
        <v>14</v>
      </c>
      <c r="AA1266" s="2857">
        <v>14</v>
      </c>
      <c r="AB1266" s="2857">
        <v>14</v>
      </c>
      <c r="AC1266" s="693">
        <v>14</v>
      </c>
      <c r="AD1266" s="2857"/>
      <c r="AE1266" s="2857"/>
      <c r="AF1266" s="2857"/>
      <c r="AG1266" s="2857"/>
      <c r="AH1266" s="1942"/>
      <c r="AI1266" s="1942"/>
      <c r="AJ1266" s="1942"/>
      <c r="AK1266" s="1942"/>
      <c r="AL1266" s="1942"/>
      <c r="AM1266" s="1942"/>
      <c r="AN1266" s="1942"/>
      <c r="AO1266" s="1942"/>
      <c r="AP1266" s="1942"/>
      <c r="AQ1266" s="1942"/>
      <c r="AR1266" s="1942"/>
      <c r="AS1266" s="1942"/>
      <c r="AT1266" s="1942"/>
      <c r="AU1266" s="1942"/>
      <c r="AV1266" s="1942"/>
      <c r="AW1266" s="1942"/>
      <c r="AX1266" s="1942"/>
      <c r="AY1266" s="1942"/>
      <c r="AZ1266" s="1942"/>
      <c r="BA1266" s="1942"/>
      <c r="BB1266" s="575"/>
      <c r="BC1266" s="576"/>
      <c r="BD1266" s="678"/>
    </row>
    <row r="1267" spans="1:56" s="51" customFormat="1" ht="30" hidden="1" outlineLevel="1" x14ac:dyDescent="0.25">
      <c r="A1267" s="1267"/>
      <c r="B1267" s="123"/>
      <c r="C1267" s="328"/>
      <c r="D1267" s="3989" t="s">
        <v>1165</v>
      </c>
      <c r="E1267" s="3986" t="s">
        <v>1166</v>
      </c>
      <c r="F1267" s="4072" t="str">
        <f>$F$1225</f>
        <v>DFHP-SEER19-ROF_MF</v>
      </c>
      <c r="G1267" s="4073"/>
      <c r="H1267" s="4074"/>
      <c r="I1267" s="2864"/>
      <c r="J1267" s="2861">
        <v>19</v>
      </c>
      <c r="K1267" s="811"/>
      <c r="L1267" s="785" t="s">
        <v>1167</v>
      </c>
      <c r="M1267" s="123"/>
      <c r="N1267" s="123"/>
      <c r="O1267" s="123"/>
      <c r="P1267" s="123"/>
      <c r="Q1267" s="832"/>
      <c r="R1267" s="3082"/>
      <c r="S1267" s="123"/>
      <c r="T1267" s="123"/>
      <c r="U1267" s="123"/>
      <c r="V1267" s="3989" t="s">
        <v>1165</v>
      </c>
      <c r="W1267" s="2861">
        <v>19</v>
      </c>
      <c r="X1267" s="2861">
        <v>19</v>
      </c>
      <c r="Y1267" s="2861">
        <v>19</v>
      </c>
      <c r="Z1267" s="2861">
        <v>19</v>
      </c>
      <c r="AA1267" s="2861">
        <v>19</v>
      </c>
      <c r="AB1267" s="2861">
        <v>19</v>
      </c>
      <c r="AC1267" s="2861">
        <v>19</v>
      </c>
      <c r="AD1267" s="2861"/>
      <c r="AE1267" s="2861"/>
      <c r="AF1267" s="2861"/>
      <c r="AG1267" s="2861"/>
      <c r="AH1267" s="1942"/>
      <c r="AI1267" s="1942"/>
      <c r="AJ1267" s="1942"/>
      <c r="AK1267" s="1942"/>
      <c r="AL1267" s="1942"/>
      <c r="AM1267" s="1942"/>
      <c r="AN1267" s="1942"/>
      <c r="AO1267" s="1942"/>
      <c r="AP1267" s="1942"/>
      <c r="AQ1267" s="1942"/>
      <c r="AR1267" s="1942"/>
      <c r="AS1267" s="1942"/>
      <c r="AT1267" s="1942"/>
      <c r="AU1267" s="1942"/>
      <c r="AV1267" s="1942"/>
      <c r="AW1267" s="1942"/>
      <c r="AX1267" s="1942"/>
      <c r="AY1267" s="1942"/>
      <c r="AZ1267" s="1942"/>
      <c r="BA1267" s="1942"/>
      <c r="BB1267" s="575"/>
      <c r="BC1267" s="576"/>
      <c r="BD1267" s="678"/>
    </row>
    <row r="1268" spans="1:56" s="51" customFormat="1" hidden="1" outlineLevel="1" x14ac:dyDescent="0.25">
      <c r="A1268" s="1267"/>
      <c r="B1268" s="123"/>
      <c r="C1268" s="328"/>
      <c r="D1268" s="3990"/>
      <c r="E1268" s="3987"/>
      <c r="F1268" s="4002" t="str">
        <f>$F$1226</f>
        <v>DFHP-SEER19-ROF_MF_CompE</v>
      </c>
      <c r="G1268" s="3998"/>
      <c r="H1268" s="3999"/>
      <c r="I1268" s="790"/>
      <c r="J1268" s="2857">
        <v>19</v>
      </c>
      <c r="K1268" s="806"/>
      <c r="L1268" s="788"/>
      <c r="M1268" s="123"/>
      <c r="N1268" s="123"/>
      <c r="O1268" s="123"/>
      <c r="P1268" s="123"/>
      <c r="Q1268" s="832"/>
      <c r="R1268" s="3082"/>
      <c r="S1268" s="123"/>
      <c r="T1268" s="123"/>
      <c r="U1268" s="123"/>
      <c r="V1268" s="3990"/>
      <c r="W1268" s="696"/>
      <c r="X1268" s="696"/>
      <c r="Y1268" s="3158">
        <v>19</v>
      </c>
      <c r="Z1268" s="696">
        <v>19</v>
      </c>
      <c r="AA1268" s="696">
        <v>19</v>
      </c>
      <c r="AB1268" s="696">
        <v>19</v>
      </c>
      <c r="AC1268" s="2857">
        <v>19</v>
      </c>
      <c r="AD1268" s="696"/>
      <c r="AE1268" s="696"/>
      <c r="AF1268" s="696"/>
      <c r="AG1268" s="696"/>
      <c r="AH1268" s="1942"/>
      <c r="AI1268" s="1942"/>
      <c r="AJ1268" s="1942"/>
      <c r="AK1268" s="1942"/>
      <c r="AL1268" s="1942"/>
      <c r="AM1268" s="1942"/>
      <c r="AN1268" s="1942"/>
      <c r="AO1268" s="1942"/>
      <c r="AP1268" s="1942"/>
      <c r="AQ1268" s="1942"/>
      <c r="AR1268" s="1942"/>
      <c r="AS1268" s="1942"/>
      <c r="AT1268" s="1942"/>
      <c r="AU1268" s="1942"/>
      <c r="AV1268" s="1942"/>
      <c r="AW1268" s="1942"/>
      <c r="AX1268" s="1942"/>
      <c r="AY1268" s="1942"/>
      <c r="AZ1268" s="1942"/>
      <c r="BA1268" s="1942"/>
      <c r="BB1268" s="575"/>
      <c r="BC1268" s="576"/>
      <c r="BD1268" s="678"/>
    </row>
    <row r="1269" spans="1:56" s="51" customFormat="1" hidden="1" outlineLevel="1" x14ac:dyDescent="0.25">
      <c r="A1269" s="1267"/>
      <c r="B1269" s="123"/>
      <c r="C1269" s="328"/>
      <c r="D1269" s="3990"/>
      <c r="E1269" s="3987"/>
      <c r="F1269" s="4002" t="str">
        <f>$F$1227</f>
        <v>DFHP-SEER20-ROF_MF</v>
      </c>
      <c r="G1269" s="3998"/>
      <c r="H1269" s="3999"/>
      <c r="I1269" s="2862"/>
      <c r="J1269" s="2857">
        <v>20</v>
      </c>
      <c r="K1269" s="806"/>
      <c r="L1269" s="749" t="s">
        <v>1167</v>
      </c>
      <c r="M1269" s="123"/>
      <c r="N1269" s="123"/>
      <c r="O1269" s="123"/>
      <c r="P1269" s="123"/>
      <c r="Q1269" s="832"/>
      <c r="R1269" s="3082"/>
      <c r="S1269" s="123"/>
      <c r="T1269" s="123"/>
      <c r="U1269" s="123"/>
      <c r="V1269" s="3990"/>
      <c r="W1269" s="2857">
        <v>20</v>
      </c>
      <c r="X1269" s="2857">
        <v>20</v>
      </c>
      <c r="Y1269" s="2857">
        <v>20</v>
      </c>
      <c r="Z1269" s="2857">
        <v>20</v>
      </c>
      <c r="AA1269" s="2857">
        <v>20</v>
      </c>
      <c r="AB1269" s="2857">
        <v>20</v>
      </c>
      <c r="AC1269" s="2857">
        <v>20</v>
      </c>
      <c r="AD1269" s="2857"/>
      <c r="AE1269" s="2857"/>
      <c r="AF1269" s="2857"/>
      <c r="AG1269" s="2857"/>
      <c r="AH1269" s="1942"/>
      <c r="AI1269" s="1942"/>
      <c r="AJ1269" s="1942"/>
      <c r="AK1269" s="1942"/>
      <c r="AL1269" s="1942"/>
      <c r="AM1269" s="1942"/>
      <c r="AN1269" s="1942"/>
      <c r="AO1269" s="1942"/>
      <c r="AP1269" s="1942"/>
      <c r="AQ1269" s="1942"/>
      <c r="AR1269" s="1942"/>
      <c r="AS1269" s="1942"/>
      <c r="AT1269" s="1942"/>
      <c r="AU1269" s="1942"/>
      <c r="AV1269" s="1942"/>
      <c r="AW1269" s="1942"/>
      <c r="AX1269" s="1942"/>
      <c r="AY1269" s="1942"/>
      <c r="AZ1269" s="1942"/>
      <c r="BA1269" s="1942"/>
      <c r="BB1269" s="575"/>
      <c r="BC1269" s="576"/>
      <c r="BD1269" s="678"/>
    </row>
    <row r="1270" spans="1:56" s="51" customFormat="1" hidden="1" outlineLevel="1" x14ac:dyDescent="0.25">
      <c r="A1270" s="1267"/>
      <c r="B1270" s="123"/>
      <c r="C1270" s="328"/>
      <c r="D1270" s="3990"/>
      <c r="E1270" s="3987"/>
      <c r="F1270" s="4002" t="str">
        <f>$F$1228</f>
        <v>DFHP-SEER20-ROF_MF_CompE</v>
      </c>
      <c r="G1270" s="3998"/>
      <c r="H1270" s="3999"/>
      <c r="I1270" s="2862"/>
      <c r="J1270" s="2857">
        <v>20</v>
      </c>
      <c r="K1270" s="806"/>
      <c r="L1270" s="749"/>
      <c r="M1270" s="123"/>
      <c r="N1270" s="123"/>
      <c r="O1270" s="123"/>
      <c r="P1270" s="123"/>
      <c r="Q1270" s="832"/>
      <c r="R1270" s="3082"/>
      <c r="S1270" s="123"/>
      <c r="T1270" s="123"/>
      <c r="U1270" s="123"/>
      <c r="V1270" s="3990"/>
      <c r="W1270" s="2857"/>
      <c r="X1270" s="2857"/>
      <c r="Y1270" s="3155">
        <v>20</v>
      </c>
      <c r="Z1270" s="2857">
        <v>20</v>
      </c>
      <c r="AA1270" s="2857">
        <v>20</v>
      </c>
      <c r="AB1270" s="2857">
        <v>20</v>
      </c>
      <c r="AC1270" s="2857">
        <v>20</v>
      </c>
      <c r="AD1270" s="2857"/>
      <c r="AE1270" s="2857"/>
      <c r="AF1270" s="2857"/>
      <c r="AG1270" s="2857"/>
      <c r="AH1270" s="1942"/>
      <c r="AI1270" s="1942"/>
      <c r="AJ1270" s="1942"/>
      <c r="AK1270" s="1942"/>
      <c r="AL1270" s="1942"/>
      <c r="AM1270" s="1942"/>
      <c r="AN1270" s="1942"/>
      <c r="AO1270" s="1942"/>
      <c r="AP1270" s="1942"/>
      <c r="AQ1270" s="1942"/>
      <c r="AR1270" s="1942"/>
      <c r="AS1270" s="1942"/>
      <c r="AT1270" s="1942"/>
      <c r="AU1270" s="1942"/>
      <c r="AV1270" s="1942"/>
      <c r="AW1270" s="1942"/>
      <c r="AX1270" s="1942"/>
      <c r="AY1270" s="1942"/>
      <c r="AZ1270" s="1942"/>
      <c r="BA1270" s="1942"/>
      <c r="BB1270" s="575"/>
      <c r="BC1270" s="576"/>
      <c r="BD1270" s="678"/>
    </row>
    <row r="1271" spans="1:56" s="51" customFormat="1" hidden="1" outlineLevel="1" x14ac:dyDescent="0.25">
      <c r="A1271" s="1267"/>
      <c r="B1271" s="123"/>
      <c r="C1271" s="328"/>
      <c r="D1271" s="3990"/>
      <c r="E1271" s="3987"/>
      <c r="F1271" s="4002" t="str">
        <f>$F$1229</f>
        <v>DFHP-SEER21-ROF_MF</v>
      </c>
      <c r="G1271" s="3998"/>
      <c r="H1271" s="3999"/>
      <c r="I1271" s="2862"/>
      <c r="J1271" s="2857">
        <v>21</v>
      </c>
      <c r="K1271" s="806"/>
      <c r="L1271" s="749" t="s">
        <v>1167</v>
      </c>
      <c r="M1271" s="123"/>
      <c r="N1271" s="123"/>
      <c r="O1271" s="123"/>
      <c r="P1271" s="123"/>
      <c r="Q1271" s="832"/>
      <c r="R1271" s="3082"/>
      <c r="S1271" s="123"/>
      <c r="T1271" s="123"/>
      <c r="U1271" s="123"/>
      <c r="V1271" s="3990"/>
      <c r="W1271" s="2857">
        <v>21</v>
      </c>
      <c r="X1271" s="2857">
        <v>21</v>
      </c>
      <c r="Y1271" s="2857">
        <v>21</v>
      </c>
      <c r="Z1271" s="2857">
        <v>21</v>
      </c>
      <c r="AA1271" s="2857">
        <v>21</v>
      </c>
      <c r="AB1271" s="2857">
        <v>21</v>
      </c>
      <c r="AC1271" s="2857">
        <v>21</v>
      </c>
      <c r="AD1271" s="2857"/>
      <c r="AE1271" s="2857"/>
      <c r="AF1271" s="2857"/>
      <c r="AG1271" s="2857"/>
      <c r="AH1271" s="1942"/>
      <c r="AI1271" s="1942"/>
      <c r="AJ1271" s="1942"/>
      <c r="AK1271" s="1942"/>
      <c r="AL1271" s="1942"/>
      <c r="AM1271" s="1942"/>
      <c r="AN1271" s="1942"/>
      <c r="AO1271" s="1942"/>
      <c r="AP1271" s="1942"/>
      <c r="AQ1271" s="1942"/>
      <c r="AR1271" s="1942"/>
      <c r="AS1271" s="1942"/>
      <c r="AT1271" s="1942"/>
      <c r="AU1271" s="1942"/>
      <c r="AV1271" s="1942"/>
      <c r="AW1271" s="1942"/>
      <c r="AX1271" s="1942"/>
      <c r="AY1271" s="1942"/>
      <c r="AZ1271" s="1942"/>
      <c r="BA1271" s="1942"/>
      <c r="BB1271" s="575"/>
      <c r="BC1271" s="576"/>
      <c r="BD1271" s="678"/>
    </row>
    <row r="1272" spans="1:56" s="51" customFormat="1" ht="15.75" hidden="1" outlineLevel="1" thickBot="1" x14ac:dyDescent="0.3">
      <c r="A1272" s="1267"/>
      <c r="B1272" s="123"/>
      <c r="C1272" s="328"/>
      <c r="D1272" s="3991"/>
      <c r="E1272" s="3988"/>
      <c r="F1272" s="4071" t="str">
        <f>$F$1230</f>
        <v>DFHP-SEER21-ROF_MF_CompE</v>
      </c>
      <c r="G1272" s="4000"/>
      <c r="H1272" s="4001"/>
      <c r="I1272" s="2863"/>
      <c r="J1272" s="2860">
        <v>21</v>
      </c>
      <c r="K1272" s="1582"/>
      <c r="L1272" s="774"/>
      <c r="M1272" s="123"/>
      <c r="N1272" s="123"/>
      <c r="O1272" s="123"/>
      <c r="P1272" s="123"/>
      <c r="Q1272" s="832"/>
      <c r="R1272" s="3082"/>
      <c r="S1272" s="123"/>
      <c r="T1272" s="123"/>
      <c r="U1272" s="123"/>
      <c r="V1272" s="3990"/>
      <c r="W1272" s="2857"/>
      <c r="X1272" s="2857"/>
      <c r="Y1272" s="3155">
        <v>21</v>
      </c>
      <c r="Z1272" s="2857">
        <v>21</v>
      </c>
      <c r="AA1272" s="2857">
        <v>21</v>
      </c>
      <c r="AB1272" s="2857">
        <v>21</v>
      </c>
      <c r="AC1272" s="2860">
        <v>21</v>
      </c>
      <c r="AD1272" s="2857"/>
      <c r="AE1272" s="2857"/>
      <c r="AF1272" s="2857"/>
      <c r="AG1272" s="2857"/>
      <c r="AH1272" s="1942"/>
      <c r="AI1272" s="1942"/>
      <c r="AJ1272" s="1942"/>
      <c r="AK1272" s="1942"/>
      <c r="AL1272" s="1942"/>
      <c r="AM1272" s="1942"/>
      <c r="AN1272" s="1942"/>
      <c r="AO1272" s="1942"/>
      <c r="AP1272" s="1942"/>
      <c r="AQ1272" s="1942"/>
      <c r="AR1272" s="1942"/>
      <c r="AS1272" s="1942"/>
      <c r="AT1272" s="1942"/>
      <c r="AU1272" s="1942"/>
      <c r="AV1272" s="1942"/>
      <c r="AW1272" s="1942"/>
      <c r="AX1272" s="1942"/>
      <c r="AY1272" s="1942"/>
      <c r="AZ1272" s="1942"/>
      <c r="BA1272" s="1942"/>
      <c r="BB1272" s="575"/>
      <c r="BC1272" s="576"/>
      <c r="BD1272" s="678"/>
    </row>
    <row r="1273" spans="1:56" s="51" customFormat="1" hidden="1" outlineLevel="1" x14ac:dyDescent="0.25">
      <c r="A1273" s="1267"/>
      <c r="B1273" s="123"/>
      <c r="C1273" s="328"/>
      <c r="D1273" s="3989" t="s">
        <v>294</v>
      </c>
      <c r="E1273" s="3986" t="s">
        <v>1168</v>
      </c>
      <c r="F1273" s="4075" t="str">
        <f>$F$1225</f>
        <v>DFHP-SEER19-ROF_MF</v>
      </c>
      <c r="G1273" s="4076"/>
      <c r="H1273" s="4077"/>
      <c r="I1273" s="790"/>
      <c r="J1273" s="792">
        <v>0.65</v>
      </c>
      <c r="K1273" s="1584"/>
      <c r="L1273" s="786" t="s">
        <v>1011</v>
      </c>
      <c r="M1273" s="123"/>
      <c r="N1273" s="123"/>
      <c r="O1273" s="123"/>
      <c r="P1273" s="123"/>
      <c r="Q1273" s="832"/>
      <c r="R1273" s="3082"/>
      <c r="S1273" s="123"/>
      <c r="T1273" s="123"/>
      <c r="U1273" s="123"/>
      <c r="V1273" s="3989" t="s">
        <v>294</v>
      </c>
      <c r="W1273" s="789">
        <v>0.65</v>
      </c>
      <c r="X1273" s="789">
        <v>0.65</v>
      </c>
      <c r="Y1273" s="789">
        <v>0.65</v>
      </c>
      <c r="Z1273" s="789">
        <v>0.65</v>
      </c>
      <c r="AA1273" s="789">
        <v>0.65</v>
      </c>
      <c r="AB1273" s="789">
        <v>0.65</v>
      </c>
      <c r="AC1273" s="792">
        <v>0.65</v>
      </c>
      <c r="AD1273" s="789"/>
      <c r="AE1273" s="789"/>
      <c r="AF1273" s="789"/>
      <c r="AG1273" s="789"/>
      <c r="AH1273" s="1942"/>
      <c r="AI1273" s="1942"/>
      <c r="AJ1273" s="1942"/>
      <c r="AK1273" s="1942"/>
      <c r="AL1273" s="1942"/>
      <c r="AM1273" s="1942"/>
      <c r="AN1273" s="1942"/>
      <c r="AO1273" s="1942"/>
      <c r="AP1273" s="1942"/>
      <c r="AQ1273" s="1942"/>
      <c r="AR1273" s="1942"/>
      <c r="AS1273" s="1942"/>
      <c r="AT1273" s="1942"/>
      <c r="AU1273" s="1942"/>
      <c r="AV1273" s="1942"/>
      <c r="AW1273" s="1942"/>
      <c r="AX1273" s="1942"/>
      <c r="AY1273" s="1942"/>
      <c r="AZ1273" s="1942"/>
      <c r="BA1273" s="1942"/>
      <c r="BB1273" s="575"/>
      <c r="BC1273" s="576"/>
      <c r="BD1273" s="678"/>
    </row>
    <row r="1274" spans="1:56" s="51" customFormat="1" hidden="1" outlineLevel="1" x14ac:dyDescent="0.25">
      <c r="A1274" s="1267"/>
      <c r="B1274" s="123"/>
      <c r="C1274" s="328"/>
      <c r="D1274" s="3990"/>
      <c r="E1274" s="3987"/>
      <c r="F1274" s="3998" t="str">
        <f>$F$1226</f>
        <v>DFHP-SEER19-ROF_MF_CompE</v>
      </c>
      <c r="G1274" s="3998"/>
      <c r="H1274" s="3999"/>
      <c r="I1274" s="790"/>
      <c r="J1274" s="793">
        <v>0.65</v>
      </c>
      <c r="K1274" s="806"/>
      <c r="L1274" s="787"/>
      <c r="M1274" s="123"/>
      <c r="N1274" s="123"/>
      <c r="O1274" s="123"/>
      <c r="P1274" s="123"/>
      <c r="Q1274" s="832"/>
      <c r="R1274" s="3082"/>
      <c r="S1274" s="123"/>
      <c r="T1274" s="123"/>
      <c r="U1274" s="123"/>
      <c r="V1274" s="3990"/>
      <c r="W1274" s="792"/>
      <c r="X1274" s="792"/>
      <c r="Y1274" s="791">
        <v>0.65</v>
      </c>
      <c r="Z1274" s="793">
        <v>0.65</v>
      </c>
      <c r="AA1274" s="793">
        <v>0.65</v>
      </c>
      <c r="AB1274" s="793">
        <v>0.65</v>
      </c>
      <c r="AC1274" s="793">
        <v>0.65</v>
      </c>
      <c r="AD1274" s="792"/>
      <c r="AE1274" s="792"/>
      <c r="AF1274" s="792"/>
      <c r="AG1274" s="792"/>
      <c r="AH1274" s="1942"/>
      <c r="AI1274" s="1942"/>
      <c r="AJ1274" s="1942"/>
      <c r="AK1274" s="1942"/>
      <c r="AL1274" s="1942"/>
      <c r="AM1274" s="1942"/>
      <c r="AN1274" s="1942"/>
      <c r="AO1274" s="1942"/>
      <c r="AP1274" s="1942"/>
      <c r="AQ1274" s="1942"/>
      <c r="AR1274" s="1942"/>
      <c r="AS1274" s="1942"/>
      <c r="AT1274" s="1942"/>
      <c r="AU1274" s="1942"/>
      <c r="AV1274" s="1942"/>
      <c r="AW1274" s="1942"/>
      <c r="AX1274" s="1942"/>
      <c r="AY1274" s="1942"/>
      <c r="AZ1274" s="1942"/>
      <c r="BA1274" s="1942"/>
      <c r="BB1274" s="575"/>
      <c r="BC1274" s="576"/>
      <c r="BD1274" s="678"/>
    </row>
    <row r="1275" spans="1:56" s="51" customFormat="1" hidden="1" outlineLevel="1" x14ac:dyDescent="0.25">
      <c r="A1275" s="1267"/>
      <c r="B1275" s="123"/>
      <c r="C1275" s="328"/>
      <c r="D1275" s="3990"/>
      <c r="E1275" s="3987"/>
      <c r="F1275" s="3998" t="str">
        <f>$F$1227</f>
        <v>DFHP-SEER20-ROF_MF</v>
      </c>
      <c r="G1275" s="3998"/>
      <c r="H1275" s="3999"/>
      <c r="I1275" s="2862"/>
      <c r="J1275" s="793">
        <v>0.65</v>
      </c>
      <c r="K1275" s="806"/>
      <c r="L1275" s="787" t="s">
        <v>1011</v>
      </c>
      <c r="M1275" s="123"/>
      <c r="N1275" s="123"/>
      <c r="O1275" s="123"/>
      <c r="P1275" s="123"/>
      <c r="Q1275" s="832"/>
      <c r="R1275" s="3082"/>
      <c r="S1275" s="123"/>
      <c r="T1275" s="123"/>
      <c r="U1275" s="123"/>
      <c r="V1275" s="3990"/>
      <c r="W1275" s="793">
        <v>0.65</v>
      </c>
      <c r="X1275" s="793">
        <v>0.65</v>
      </c>
      <c r="Y1275" s="793">
        <v>0.65</v>
      </c>
      <c r="Z1275" s="793">
        <v>0.65</v>
      </c>
      <c r="AA1275" s="793">
        <v>0.65</v>
      </c>
      <c r="AB1275" s="793">
        <v>0.65</v>
      </c>
      <c r="AC1275" s="793">
        <v>0.65</v>
      </c>
      <c r="AD1275" s="793"/>
      <c r="AE1275" s="793"/>
      <c r="AF1275" s="793"/>
      <c r="AG1275" s="793"/>
      <c r="AH1275" s="1942"/>
      <c r="AI1275" s="1942"/>
      <c r="AJ1275" s="1942"/>
      <c r="AK1275" s="1942"/>
      <c r="AL1275" s="1942"/>
      <c r="AM1275" s="1942"/>
      <c r="AN1275" s="1942"/>
      <c r="AO1275" s="1942"/>
      <c r="AP1275" s="1942"/>
      <c r="AQ1275" s="1942"/>
      <c r="AR1275" s="1942"/>
      <c r="AS1275" s="1942"/>
      <c r="AT1275" s="1942"/>
      <c r="AU1275" s="1942"/>
      <c r="AV1275" s="1942"/>
      <c r="AW1275" s="1942"/>
      <c r="AX1275" s="1942"/>
      <c r="AY1275" s="1942"/>
      <c r="AZ1275" s="1942"/>
      <c r="BA1275" s="1942"/>
      <c r="BB1275" s="575"/>
      <c r="BC1275" s="576"/>
      <c r="BD1275" s="678"/>
    </row>
    <row r="1276" spans="1:56" s="51" customFormat="1" hidden="1" outlineLevel="1" x14ac:dyDescent="0.25">
      <c r="A1276" s="1267"/>
      <c r="B1276" s="123"/>
      <c r="C1276" s="328"/>
      <c r="D1276" s="3990"/>
      <c r="E1276" s="3987"/>
      <c r="F1276" s="3998" t="str">
        <f>$F$1228</f>
        <v>DFHP-SEER20-ROF_MF_CompE</v>
      </c>
      <c r="G1276" s="3998"/>
      <c r="H1276" s="3999"/>
      <c r="I1276" s="2862"/>
      <c r="J1276" s="793">
        <v>0.65</v>
      </c>
      <c r="K1276" s="806"/>
      <c r="L1276" s="787"/>
      <c r="M1276" s="123"/>
      <c r="N1276" s="123"/>
      <c r="O1276" s="123"/>
      <c r="P1276" s="123"/>
      <c r="Q1276" s="832"/>
      <c r="R1276" s="3082"/>
      <c r="S1276" s="123"/>
      <c r="T1276" s="123"/>
      <c r="U1276" s="123"/>
      <c r="V1276" s="3990"/>
      <c r="W1276" s="793"/>
      <c r="X1276" s="793"/>
      <c r="Y1276" s="791">
        <v>0.65</v>
      </c>
      <c r="Z1276" s="793">
        <v>0.65</v>
      </c>
      <c r="AA1276" s="793">
        <v>0.65</v>
      </c>
      <c r="AB1276" s="793">
        <v>0.65</v>
      </c>
      <c r="AC1276" s="793">
        <v>0.65</v>
      </c>
      <c r="AD1276" s="793"/>
      <c r="AE1276" s="793"/>
      <c r="AF1276" s="793"/>
      <c r="AG1276" s="793"/>
      <c r="AH1276" s="1942"/>
      <c r="AI1276" s="1942"/>
      <c r="AJ1276" s="1942"/>
      <c r="AK1276" s="1942"/>
      <c r="AL1276" s="1942"/>
      <c r="AM1276" s="1942"/>
      <c r="AN1276" s="1942"/>
      <c r="AO1276" s="1942"/>
      <c r="AP1276" s="1942"/>
      <c r="AQ1276" s="1942"/>
      <c r="AR1276" s="1942"/>
      <c r="AS1276" s="1942"/>
      <c r="AT1276" s="1942"/>
      <c r="AU1276" s="1942"/>
      <c r="AV1276" s="1942"/>
      <c r="AW1276" s="1942"/>
      <c r="AX1276" s="1942"/>
      <c r="AY1276" s="1942"/>
      <c r="AZ1276" s="1942"/>
      <c r="BA1276" s="1942"/>
      <c r="BB1276" s="575"/>
      <c r="BC1276" s="576"/>
      <c r="BD1276" s="678"/>
    </row>
    <row r="1277" spans="1:56" s="51" customFormat="1" hidden="1" outlineLevel="1" x14ac:dyDescent="0.25">
      <c r="A1277" s="1267"/>
      <c r="B1277" s="123"/>
      <c r="C1277" s="328"/>
      <c r="D1277" s="3990"/>
      <c r="E1277" s="3987"/>
      <c r="F1277" s="3998" t="str">
        <f>$F$1229</f>
        <v>DFHP-SEER21-ROF_MF</v>
      </c>
      <c r="G1277" s="3998"/>
      <c r="H1277" s="3999"/>
      <c r="I1277" s="2862"/>
      <c r="J1277" s="793">
        <v>0.65</v>
      </c>
      <c r="K1277" s="806"/>
      <c r="L1277" s="787" t="s">
        <v>1011</v>
      </c>
      <c r="M1277" s="123"/>
      <c r="N1277" s="123"/>
      <c r="O1277" s="123"/>
      <c r="P1277" s="123"/>
      <c r="Q1277" s="832"/>
      <c r="R1277" s="3082"/>
      <c r="S1277" s="123"/>
      <c r="T1277" s="123"/>
      <c r="U1277" s="123"/>
      <c r="V1277" s="3990"/>
      <c r="W1277" s="793">
        <v>0.65</v>
      </c>
      <c r="X1277" s="793">
        <v>0.65</v>
      </c>
      <c r="Y1277" s="793">
        <v>0.65</v>
      </c>
      <c r="Z1277" s="793">
        <v>0.65</v>
      </c>
      <c r="AA1277" s="793">
        <v>0.65</v>
      </c>
      <c r="AB1277" s="793">
        <v>0.65</v>
      </c>
      <c r="AC1277" s="793">
        <v>0.65</v>
      </c>
      <c r="AD1277" s="793"/>
      <c r="AE1277" s="793"/>
      <c r="AF1277" s="793"/>
      <c r="AG1277" s="793"/>
      <c r="AH1277" s="1942"/>
      <c r="AI1277" s="1942"/>
      <c r="AJ1277" s="1942"/>
      <c r="AK1277" s="1942"/>
      <c r="AL1277" s="1942"/>
      <c r="AM1277" s="1942"/>
      <c r="AN1277" s="1942"/>
      <c r="AO1277" s="1942"/>
      <c r="AP1277" s="1942"/>
      <c r="AQ1277" s="1942"/>
      <c r="AR1277" s="1942"/>
      <c r="AS1277" s="1942"/>
      <c r="AT1277" s="1942"/>
      <c r="AU1277" s="1942"/>
      <c r="AV1277" s="1942"/>
      <c r="AW1277" s="1942"/>
      <c r="AX1277" s="1942"/>
      <c r="AY1277" s="1942"/>
      <c r="AZ1277" s="1942"/>
      <c r="BA1277" s="1942"/>
      <c r="BB1277" s="575"/>
      <c r="BC1277" s="576"/>
      <c r="BD1277" s="678"/>
    </row>
    <row r="1278" spans="1:56" s="51" customFormat="1" ht="15.75" hidden="1" outlineLevel="1" thickBot="1" x14ac:dyDescent="0.3">
      <c r="A1278" s="1267"/>
      <c r="B1278" s="123"/>
      <c r="C1278" s="328"/>
      <c r="D1278" s="3991"/>
      <c r="E1278" s="3988"/>
      <c r="F1278" s="4003" t="str">
        <f>$F$1230</f>
        <v>DFHP-SEER21-ROF_MF_CompE</v>
      </c>
      <c r="G1278" s="4003"/>
      <c r="H1278" s="4004"/>
      <c r="I1278" s="1855"/>
      <c r="J1278" s="863">
        <v>0.65</v>
      </c>
      <c r="K1278" s="1856"/>
      <c r="L1278" s="3164"/>
      <c r="M1278" s="123"/>
      <c r="N1278" s="123"/>
      <c r="O1278" s="123"/>
      <c r="P1278" s="123"/>
      <c r="Q1278" s="832"/>
      <c r="R1278" s="3082"/>
      <c r="S1278" s="123"/>
      <c r="T1278" s="123"/>
      <c r="U1278" s="123"/>
      <c r="V1278" s="3990"/>
      <c r="W1278" s="793"/>
      <c r="X1278" s="793"/>
      <c r="Y1278" s="791">
        <v>0.65</v>
      </c>
      <c r="Z1278" s="793">
        <v>0.65</v>
      </c>
      <c r="AA1278" s="793">
        <v>0.65</v>
      </c>
      <c r="AB1278" s="793">
        <v>0.65</v>
      </c>
      <c r="AC1278" s="863">
        <v>0.65</v>
      </c>
      <c r="AD1278" s="793"/>
      <c r="AE1278" s="793"/>
      <c r="AF1278" s="793"/>
      <c r="AG1278" s="793"/>
      <c r="AH1278" s="1942"/>
      <c r="AI1278" s="1942"/>
      <c r="AJ1278" s="1942"/>
      <c r="AK1278" s="1942"/>
      <c r="AL1278" s="1942"/>
      <c r="AM1278" s="1942"/>
      <c r="AN1278" s="1942"/>
      <c r="AO1278" s="1942"/>
      <c r="AP1278" s="1942"/>
      <c r="AQ1278" s="1942"/>
      <c r="AR1278" s="1942"/>
      <c r="AS1278" s="1942"/>
      <c r="AT1278" s="1942"/>
      <c r="AU1278" s="1942"/>
      <c r="AV1278" s="1942"/>
      <c r="AW1278" s="1942"/>
      <c r="AX1278" s="1942"/>
      <c r="AY1278" s="1942"/>
      <c r="AZ1278" s="1942"/>
      <c r="BA1278" s="1942"/>
      <c r="BB1278" s="575"/>
      <c r="BC1278" s="576"/>
      <c r="BD1278" s="678"/>
    </row>
    <row r="1279" spans="1:56" s="51" customFormat="1" hidden="1" outlineLevel="1" x14ac:dyDescent="0.25">
      <c r="A1279" s="1267"/>
      <c r="B1279" s="123"/>
      <c r="C1279" s="328"/>
      <c r="D1279" s="3989" t="s">
        <v>181</v>
      </c>
      <c r="E1279" s="3986" t="s">
        <v>1169</v>
      </c>
      <c r="F1279" s="4072" t="str">
        <f>$F$1225</f>
        <v>DFHP-SEER19-ROF_MF</v>
      </c>
      <c r="G1279" s="4073"/>
      <c r="H1279" s="4074"/>
      <c r="I1279" s="2864"/>
      <c r="J1279" s="2861">
        <v>18</v>
      </c>
      <c r="K1279" s="811"/>
      <c r="L1279" s="785"/>
      <c r="M1279" s="123"/>
      <c r="N1279" s="123"/>
      <c r="O1279" s="123"/>
      <c r="P1279" s="123"/>
      <c r="Q1279" s="832"/>
      <c r="R1279" s="3082"/>
      <c r="S1279" s="123"/>
      <c r="T1279" s="123"/>
      <c r="U1279" s="123"/>
      <c r="V1279" s="3989" t="str">
        <f>D1279</f>
        <v>EUL</v>
      </c>
      <c r="W1279" s="771">
        <v>18</v>
      </c>
      <c r="X1279" s="771">
        <v>18</v>
      </c>
      <c r="Y1279" s="771">
        <v>18</v>
      </c>
      <c r="Z1279" s="771">
        <v>18</v>
      </c>
      <c r="AA1279" s="771">
        <v>18</v>
      </c>
      <c r="AB1279" s="771">
        <v>18</v>
      </c>
      <c r="AC1279" s="2861">
        <v>18</v>
      </c>
      <c r="AD1279" s="771"/>
      <c r="AE1279" s="771"/>
      <c r="AF1279" s="771"/>
      <c r="AG1279" s="771"/>
      <c r="AH1279" s="1942"/>
      <c r="AI1279" s="1942"/>
      <c r="AJ1279" s="1942"/>
      <c r="AK1279" s="1942"/>
      <c r="AL1279" s="1942"/>
      <c r="AM1279" s="1942"/>
      <c r="AN1279" s="1942"/>
      <c r="AO1279" s="1942"/>
      <c r="AP1279" s="1942"/>
      <c r="AQ1279" s="1942"/>
      <c r="AR1279" s="1942"/>
      <c r="AS1279" s="1942"/>
      <c r="AT1279" s="1942"/>
      <c r="AU1279" s="1942"/>
      <c r="AV1279" s="1942"/>
      <c r="AW1279" s="1942"/>
      <c r="AX1279" s="1942"/>
      <c r="AY1279" s="1942"/>
      <c r="AZ1279" s="1942"/>
      <c r="BA1279" s="1942"/>
      <c r="BB1279" s="575"/>
      <c r="BC1279" s="576"/>
      <c r="BD1279" s="678"/>
    </row>
    <row r="1280" spans="1:56" s="51" customFormat="1" hidden="1" outlineLevel="1" x14ac:dyDescent="0.25">
      <c r="A1280" s="1267"/>
      <c r="B1280" s="123"/>
      <c r="C1280" s="328"/>
      <c r="D1280" s="3990"/>
      <c r="E1280" s="3987"/>
      <c r="F1280" s="4002" t="str">
        <f>$F$1226</f>
        <v>DFHP-SEER19-ROF_MF_CompE</v>
      </c>
      <c r="G1280" s="3998"/>
      <c r="H1280" s="3999"/>
      <c r="I1280" s="790"/>
      <c r="J1280" s="2857">
        <v>18</v>
      </c>
      <c r="K1280" s="806"/>
      <c r="L1280" s="787"/>
      <c r="M1280" s="123"/>
      <c r="N1280" s="123"/>
      <c r="O1280" s="123"/>
      <c r="P1280" s="123"/>
      <c r="Q1280" s="832"/>
      <c r="R1280" s="3082"/>
      <c r="S1280" s="123"/>
      <c r="T1280" s="123"/>
      <c r="U1280" s="123"/>
      <c r="V1280" s="3990"/>
      <c r="W1280" s="770"/>
      <c r="X1280" s="770"/>
      <c r="Y1280" s="794">
        <v>18</v>
      </c>
      <c r="Z1280" s="772">
        <v>18</v>
      </c>
      <c r="AA1280" s="772">
        <v>18</v>
      </c>
      <c r="AB1280" s="772">
        <v>18</v>
      </c>
      <c r="AC1280" s="2857">
        <v>18</v>
      </c>
      <c r="AD1280" s="770"/>
      <c r="AE1280" s="770"/>
      <c r="AF1280" s="770"/>
      <c r="AG1280" s="770"/>
      <c r="AH1280" s="1942"/>
      <c r="AI1280" s="1942"/>
      <c r="AJ1280" s="1942"/>
      <c r="AK1280" s="1942"/>
      <c r="AL1280" s="1942"/>
      <c r="AM1280" s="1942"/>
      <c r="AN1280" s="1942"/>
      <c r="AO1280" s="1942"/>
      <c r="AP1280" s="1942"/>
      <c r="AQ1280" s="1942"/>
      <c r="AR1280" s="1942"/>
      <c r="AS1280" s="1942"/>
      <c r="AT1280" s="1942"/>
      <c r="AU1280" s="1942"/>
      <c r="AV1280" s="1942"/>
      <c r="AW1280" s="1942"/>
      <c r="AX1280" s="1942"/>
      <c r="AY1280" s="1942"/>
      <c r="AZ1280" s="1942"/>
      <c r="BA1280" s="1942"/>
      <c r="BB1280" s="575"/>
      <c r="BC1280" s="576"/>
      <c r="BD1280" s="678"/>
    </row>
    <row r="1281" spans="1:57" s="51" customFormat="1" hidden="1" outlineLevel="1" x14ac:dyDescent="0.25">
      <c r="A1281" s="1267"/>
      <c r="B1281" s="123"/>
      <c r="C1281" s="328"/>
      <c r="D1281" s="3990"/>
      <c r="E1281" s="3987"/>
      <c r="F1281" s="4002" t="str">
        <f>$F$1227</f>
        <v>DFHP-SEER20-ROF_MF</v>
      </c>
      <c r="G1281" s="3998"/>
      <c r="H1281" s="3999"/>
      <c r="I1281" s="2862"/>
      <c r="J1281" s="2857">
        <v>18</v>
      </c>
      <c r="K1281" s="806"/>
      <c r="L1281" s="787"/>
      <c r="M1281" s="123"/>
      <c r="N1281" s="123"/>
      <c r="O1281" s="123"/>
      <c r="P1281" s="123"/>
      <c r="Q1281" s="832"/>
      <c r="R1281" s="3082"/>
      <c r="S1281" s="123"/>
      <c r="T1281" s="123"/>
      <c r="U1281" s="123"/>
      <c r="V1281" s="3990"/>
      <c r="W1281" s="772">
        <v>18</v>
      </c>
      <c r="X1281" s="772">
        <v>18</v>
      </c>
      <c r="Y1281" s="772">
        <v>18</v>
      </c>
      <c r="Z1281" s="772">
        <v>18</v>
      </c>
      <c r="AA1281" s="772">
        <v>18</v>
      </c>
      <c r="AB1281" s="772">
        <v>18</v>
      </c>
      <c r="AC1281" s="2857">
        <v>18</v>
      </c>
      <c r="AD1281" s="772"/>
      <c r="AE1281" s="772"/>
      <c r="AF1281" s="772"/>
      <c r="AG1281" s="772"/>
      <c r="AH1281" s="1942"/>
      <c r="AI1281" s="1942"/>
      <c r="AJ1281" s="1942"/>
      <c r="AK1281" s="1942"/>
      <c r="AL1281" s="1942"/>
      <c r="AM1281" s="1942"/>
      <c r="AN1281" s="1942"/>
      <c r="AO1281" s="1942"/>
      <c r="AP1281" s="1942"/>
      <c r="AQ1281" s="1942"/>
      <c r="AR1281" s="1942"/>
      <c r="AS1281" s="1942"/>
      <c r="AT1281" s="1942"/>
      <c r="AU1281" s="1942"/>
      <c r="AV1281" s="1942"/>
      <c r="AW1281" s="1942"/>
      <c r="AX1281" s="1942"/>
      <c r="AY1281" s="1942"/>
      <c r="AZ1281" s="1942"/>
      <c r="BA1281" s="1942"/>
      <c r="BB1281" s="575"/>
      <c r="BC1281" s="576"/>
      <c r="BD1281" s="678"/>
    </row>
    <row r="1282" spans="1:57" s="51" customFormat="1" hidden="1" outlineLevel="1" x14ac:dyDescent="0.25">
      <c r="A1282" s="1267"/>
      <c r="B1282" s="123"/>
      <c r="C1282" s="328"/>
      <c r="D1282" s="3990"/>
      <c r="E1282" s="3987"/>
      <c r="F1282" s="4002" t="str">
        <f>$F$1228</f>
        <v>DFHP-SEER20-ROF_MF_CompE</v>
      </c>
      <c r="G1282" s="3998"/>
      <c r="H1282" s="3999"/>
      <c r="I1282" s="2862"/>
      <c r="J1282" s="2857">
        <v>18</v>
      </c>
      <c r="K1282" s="806"/>
      <c r="L1282" s="787"/>
      <c r="M1282" s="123"/>
      <c r="N1282" s="123"/>
      <c r="O1282" s="123"/>
      <c r="P1282" s="123"/>
      <c r="Q1282" s="832"/>
      <c r="R1282" s="3082"/>
      <c r="S1282" s="123"/>
      <c r="T1282" s="123"/>
      <c r="U1282" s="123"/>
      <c r="V1282" s="3990"/>
      <c r="W1282" s="772"/>
      <c r="X1282" s="772"/>
      <c r="Y1282" s="794">
        <v>18</v>
      </c>
      <c r="Z1282" s="772">
        <v>18</v>
      </c>
      <c r="AA1282" s="772">
        <v>18</v>
      </c>
      <c r="AB1282" s="772">
        <v>18</v>
      </c>
      <c r="AC1282" s="2857">
        <v>18</v>
      </c>
      <c r="AD1282" s="772"/>
      <c r="AE1282" s="772"/>
      <c r="AF1282" s="772"/>
      <c r="AG1282" s="772"/>
      <c r="AH1282" s="1942"/>
      <c r="AI1282" s="1942"/>
      <c r="AJ1282" s="1942"/>
      <c r="AK1282" s="1942"/>
      <c r="AL1282" s="1942"/>
      <c r="AM1282" s="1942"/>
      <c r="AN1282" s="1942"/>
      <c r="AO1282" s="1942"/>
      <c r="AP1282" s="1942"/>
      <c r="AQ1282" s="1942"/>
      <c r="AR1282" s="1942"/>
      <c r="AS1282" s="1942"/>
      <c r="AT1282" s="1942"/>
      <c r="AU1282" s="1942"/>
      <c r="AV1282" s="1942"/>
      <c r="AW1282" s="1942"/>
      <c r="AX1282" s="1942"/>
      <c r="AY1282" s="1942"/>
      <c r="AZ1282" s="1942"/>
      <c r="BA1282" s="1942"/>
      <c r="BB1282" s="575"/>
      <c r="BC1282" s="576"/>
      <c r="BD1282" s="678"/>
    </row>
    <row r="1283" spans="1:57" s="51" customFormat="1" hidden="1" outlineLevel="1" x14ac:dyDescent="0.25">
      <c r="A1283" s="1267"/>
      <c r="B1283" s="123"/>
      <c r="C1283" s="328"/>
      <c r="D1283" s="3990"/>
      <c r="E1283" s="3987"/>
      <c r="F1283" s="4002" t="str">
        <f>$F$1229</f>
        <v>DFHP-SEER21-ROF_MF</v>
      </c>
      <c r="G1283" s="3998"/>
      <c r="H1283" s="3999"/>
      <c r="I1283" s="2862"/>
      <c r="J1283" s="2857">
        <v>18</v>
      </c>
      <c r="K1283" s="806"/>
      <c r="L1283" s="787"/>
      <c r="M1283" s="123"/>
      <c r="N1283" s="123"/>
      <c r="O1283" s="123"/>
      <c r="P1283" s="123"/>
      <c r="Q1283" s="832"/>
      <c r="R1283" s="3082"/>
      <c r="S1283" s="123"/>
      <c r="T1283" s="123"/>
      <c r="U1283" s="123"/>
      <c r="V1283" s="3990"/>
      <c r="W1283" s="772">
        <v>18</v>
      </c>
      <c r="X1283" s="772">
        <v>18</v>
      </c>
      <c r="Y1283" s="772">
        <v>18</v>
      </c>
      <c r="Z1283" s="772">
        <v>18</v>
      </c>
      <c r="AA1283" s="772">
        <v>18</v>
      </c>
      <c r="AB1283" s="772">
        <v>18</v>
      </c>
      <c r="AC1283" s="2857">
        <v>18</v>
      </c>
      <c r="AD1283" s="772"/>
      <c r="AE1283" s="772"/>
      <c r="AF1283" s="772"/>
      <c r="AG1283" s="772"/>
      <c r="AH1283" s="1942"/>
      <c r="AI1283" s="1942"/>
      <c r="AJ1283" s="1942"/>
      <c r="AK1283" s="1942"/>
      <c r="AL1283" s="1942"/>
      <c r="AM1283" s="1942"/>
      <c r="AN1283" s="1942"/>
      <c r="AO1283" s="1942"/>
      <c r="AP1283" s="1942"/>
      <c r="AQ1283" s="1942"/>
      <c r="AR1283" s="1942"/>
      <c r="AS1283" s="1942"/>
      <c r="AT1283" s="1942"/>
      <c r="AU1283" s="1942"/>
      <c r="AV1283" s="1942"/>
      <c r="AW1283" s="1942"/>
      <c r="AX1283" s="1942"/>
      <c r="AY1283" s="1942"/>
      <c r="AZ1283" s="1942"/>
      <c r="BA1283" s="1942"/>
      <c r="BB1283" s="575"/>
      <c r="BC1283" s="576"/>
      <c r="BD1283" s="678"/>
      <c r="BE1283" s="1942"/>
    </row>
    <row r="1284" spans="1:57" s="51" customFormat="1" ht="15.75" hidden="1" outlineLevel="1" thickBot="1" x14ac:dyDescent="0.3">
      <c r="A1284" s="1267"/>
      <c r="B1284" s="123"/>
      <c r="C1284" s="328"/>
      <c r="D1284" s="3991"/>
      <c r="E1284" s="3988"/>
      <c r="F1284" s="4071" t="str">
        <f>$F$1230</f>
        <v>DFHP-SEER21-ROF_MF_CompE</v>
      </c>
      <c r="G1284" s="4000"/>
      <c r="H1284" s="4001"/>
      <c r="I1284" s="2863"/>
      <c r="J1284" s="2860">
        <v>18</v>
      </c>
      <c r="K1284" s="1582"/>
      <c r="L1284" s="799"/>
      <c r="M1284" s="123"/>
      <c r="N1284" s="123"/>
      <c r="O1284" s="123"/>
      <c r="P1284" s="123"/>
      <c r="Q1284" s="832"/>
      <c r="R1284" s="3082"/>
      <c r="S1284" s="123"/>
      <c r="T1284" s="123"/>
      <c r="U1284" s="123"/>
      <c r="V1284" s="3990"/>
      <c r="W1284" s="772"/>
      <c r="X1284" s="772"/>
      <c r="Y1284" s="794">
        <v>18</v>
      </c>
      <c r="Z1284" s="772">
        <v>18</v>
      </c>
      <c r="AA1284" s="772">
        <v>18</v>
      </c>
      <c r="AB1284" s="772">
        <v>18</v>
      </c>
      <c r="AC1284" s="2860">
        <v>18</v>
      </c>
      <c r="AD1284" s="772"/>
      <c r="AE1284" s="772"/>
      <c r="AF1284" s="772"/>
      <c r="AG1284" s="772"/>
      <c r="AH1284" s="1942"/>
      <c r="AI1284" s="1942"/>
      <c r="AJ1284" s="1942"/>
      <c r="AK1284" s="1942"/>
      <c r="AL1284" s="1942"/>
      <c r="AM1284" s="1942"/>
      <c r="AN1284" s="1942"/>
      <c r="AO1284" s="1942"/>
      <c r="AP1284" s="1942"/>
      <c r="AQ1284" s="1942"/>
      <c r="AR1284" s="1942"/>
      <c r="AS1284" s="1942"/>
      <c r="AT1284" s="1942"/>
      <c r="AU1284" s="1942"/>
      <c r="AV1284" s="1942"/>
      <c r="AW1284" s="1942"/>
      <c r="AX1284" s="1942"/>
      <c r="AY1284" s="1942"/>
      <c r="AZ1284" s="1942"/>
      <c r="BA1284" s="1942"/>
      <c r="BB1284" s="575"/>
      <c r="BC1284" s="576"/>
      <c r="BD1284" s="678"/>
      <c r="BE1284" s="1942"/>
    </row>
    <row r="1285" spans="1:57" s="51" customFormat="1" hidden="1" outlineLevel="1" x14ac:dyDescent="0.25">
      <c r="A1285" s="1267"/>
      <c r="B1285" s="123"/>
      <c r="C1285" s="328"/>
      <c r="D1285" s="3989" t="s">
        <v>170</v>
      </c>
      <c r="E1285" s="3986" t="s">
        <v>543</v>
      </c>
      <c r="F1285" s="4072" t="str">
        <f>$F$1225</f>
        <v>DFHP-SEER19-ROF_MF</v>
      </c>
      <c r="G1285" s="4073"/>
      <c r="H1285" s="4074"/>
      <c r="I1285" s="2864"/>
      <c r="J1285" s="795">
        <v>2936.6</v>
      </c>
      <c r="K1285" s="811"/>
      <c r="L1285" s="785"/>
      <c r="M1285" s="123"/>
      <c r="N1285" s="123"/>
      <c r="O1285" s="123"/>
      <c r="P1285" s="123"/>
      <c r="Q1285" s="832"/>
      <c r="R1285" s="3082"/>
      <c r="S1285" s="123"/>
      <c r="T1285" s="123"/>
      <c r="U1285" s="123"/>
      <c r="V1285" s="3989" t="str">
        <f>D1285</f>
        <v>Inc. Cost</v>
      </c>
      <c r="W1285" s="795">
        <v>2936.6</v>
      </c>
      <c r="X1285" s="795">
        <v>2936.6</v>
      </c>
      <c r="Y1285" s="795">
        <v>2936.6</v>
      </c>
      <c r="Z1285" s="795">
        <v>2936.6</v>
      </c>
      <c r="AA1285" s="795">
        <v>2936.6</v>
      </c>
      <c r="AB1285" s="795">
        <v>2936.6</v>
      </c>
      <c r="AC1285" s="795">
        <v>2936.6</v>
      </c>
      <c r="AD1285" s="795"/>
      <c r="AE1285" s="795"/>
      <c r="AF1285" s="795"/>
      <c r="AG1285" s="795"/>
      <c r="AH1285" s="1942"/>
      <c r="AI1285" s="1942"/>
      <c r="AJ1285" s="1942"/>
      <c r="AK1285" s="1942"/>
      <c r="AL1285" s="1942"/>
      <c r="AM1285" s="1942"/>
      <c r="AN1285" s="1942"/>
      <c r="AO1285" s="1942"/>
      <c r="AP1285" s="1942"/>
      <c r="AQ1285" s="1942"/>
      <c r="AR1285" s="1942"/>
      <c r="AS1285" s="1942"/>
      <c r="AT1285" s="1942"/>
      <c r="AU1285" s="1942"/>
      <c r="AV1285" s="1942"/>
      <c r="AW1285" s="1942"/>
      <c r="AX1285" s="1942"/>
      <c r="AY1285" s="1942"/>
      <c r="AZ1285" s="1942"/>
      <c r="BA1285" s="1942"/>
      <c r="BB1285" s="575"/>
      <c r="BC1285" s="576"/>
      <c r="BD1285" s="678"/>
      <c r="BE1285" s="1942"/>
    </row>
    <row r="1286" spans="1:57" s="51" customFormat="1" hidden="1" outlineLevel="1" x14ac:dyDescent="0.25">
      <c r="A1286" s="1267"/>
      <c r="B1286" s="123"/>
      <c r="C1286" s="328"/>
      <c r="D1286" s="3990"/>
      <c r="E1286" s="3987"/>
      <c r="F1286" s="4002" t="str">
        <f>$F$1226</f>
        <v>DFHP-SEER19-ROF_MF_CompE</v>
      </c>
      <c r="G1286" s="3998"/>
      <c r="H1286" s="3999"/>
      <c r="I1286" s="790"/>
      <c r="J1286" s="798">
        <v>2936.6</v>
      </c>
      <c r="K1286" s="806"/>
      <c r="L1286" s="786"/>
      <c r="M1286" s="123"/>
      <c r="N1286" s="123"/>
      <c r="O1286" s="123"/>
      <c r="P1286" s="123"/>
      <c r="Q1286" s="832"/>
      <c r="R1286" s="3082"/>
      <c r="S1286" s="123"/>
      <c r="T1286" s="123"/>
      <c r="U1286" s="123"/>
      <c r="V1286" s="3990"/>
      <c r="W1286" s="797"/>
      <c r="X1286" s="797"/>
      <c r="Y1286" s="796">
        <v>2936.6</v>
      </c>
      <c r="Z1286" s="798">
        <v>2936.6</v>
      </c>
      <c r="AA1286" s="798">
        <v>2936.6</v>
      </c>
      <c r="AB1286" s="798">
        <v>2936.6</v>
      </c>
      <c r="AC1286" s="798">
        <v>2936.6</v>
      </c>
      <c r="AD1286" s="797"/>
      <c r="AE1286" s="797"/>
      <c r="AF1286" s="797"/>
      <c r="AG1286" s="797"/>
      <c r="AH1286" s="1942"/>
      <c r="AI1286" s="1942"/>
      <c r="AJ1286" s="1942"/>
      <c r="AK1286" s="1942"/>
      <c r="AL1286" s="1942"/>
      <c r="AM1286" s="1942"/>
      <c r="AN1286" s="1942"/>
      <c r="AO1286" s="1942"/>
      <c r="AP1286" s="1942"/>
      <c r="AQ1286" s="1942"/>
      <c r="AR1286" s="1942"/>
      <c r="AS1286" s="1942"/>
      <c r="AT1286" s="1942"/>
      <c r="AU1286" s="1942"/>
      <c r="AV1286" s="1942"/>
      <c r="AW1286" s="1942"/>
      <c r="AX1286" s="1942"/>
      <c r="AY1286" s="1942"/>
      <c r="AZ1286" s="1942"/>
      <c r="BA1286" s="1942"/>
      <c r="BB1286" s="575"/>
      <c r="BC1286" s="576"/>
      <c r="BD1286" s="678"/>
      <c r="BE1286" s="1942"/>
    </row>
    <row r="1287" spans="1:57" s="51" customFormat="1" hidden="1" outlineLevel="1" x14ac:dyDescent="0.25">
      <c r="A1287" s="1267"/>
      <c r="B1287" s="123"/>
      <c r="C1287" s="328"/>
      <c r="D1287" s="3990"/>
      <c r="E1287" s="3987"/>
      <c r="F1287" s="4002" t="str">
        <f>$F$1227</f>
        <v>DFHP-SEER20-ROF_MF</v>
      </c>
      <c r="G1287" s="3998"/>
      <c r="H1287" s="3999"/>
      <c r="I1287" s="2862"/>
      <c r="J1287" s="798">
        <v>3176.6</v>
      </c>
      <c r="K1287" s="806"/>
      <c r="L1287" s="786"/>
      <c r="M1287" s="123"/>
      <c r="N1287" s="123"/>
      <c r="O1287" s="123"/>
      <c r="P1287" s="123"/>
      <c r="Q1287" s="832"/>
      <c r="R1287" s="3082"/>
      <c r="S1287" s="123"/>
      <c r="T1287" s="123"/>
      <c r="U1287" s="123"/>
      <c r="V1287" s="3990"/>
      <c r="W1287" s="798">
        <v>3176.6</v>
      </c>
      <c r="X1287" s="798">
        <v>3176.6</v>
      </c>
      <c r="Y1287" s="798">
        <v>3176.6</v>
      </c>
      <c r="Z1287" s="798">
        <v>3176.6</v>
      </c>
      <c r="AA1287" s="798">
        <v>3176.6</v>
      </c>
      <c r="AB1287" s="798">
        <v>3176.6</v>
      </c>
      <c r="AC1287" s="798">
        <v>3176.6</v>
      </c>
      <c r="AD1287" s="798"/>
      <c r="AE1287" s="798"/>
      <c r="AF1287" s="798"/>
      <c r="AG1287" s="798"/>
      <c r="AH1287" s="1942"/>
      <c r="AI1287" s="1942"/>
      <c r="AJ1287" s="1942"/>
      <c r="AK1287" s="1942"/>
      <c r="AL1287" s="1942"/>
      <c r="AM1287" s="1942"/>
      <c r="AN1287" s="1942"/>
      <c r="AO1287" s="1942"/>
      <c r="AP1287" s="1942"/>
      <c r="AQ1287" s="1942"/>
      <c r="AR1287" s="1942"/>
      <c r="AS1287" s="1942"/>
      <c r="AT1287" s="1942"/>
      <c r="AU1287" s="1942"/>
      <c r="AV1287" s="1942"/>
      <c r="AW1287" s="1942"/>
      <c r="AX1287" s="1942"/>
      <c r="AY1287" s="1942"/>
      <c r="AZ1287" s="1942"/>
      <c r="BA1287" s="1942"/>
      <c r="BB1287" s="575"/>
      <c r="BC1287" s="576"/>
      <c r="BD1287" s="678"/>
      <c r="BE1287" s="1942"/>
    </row>
    <row r="1288" spans="1:57" s="51" customFormat="1" hidden="1" outlineLevel="1" x14ac:dyDescent="0.25">
      <c r="A1288" s="1267"/>
      <c r="B1288" s="123"/>
      <c r="C1288" s="328"/>
      <c r="D1288" s="3990"/>
      <c r="E1288" s="3987"/>
      <c r="F1288" s="4002" t="str">
        <f>$F$1228</f>
        <v>DFHP-SEER20-ROF_MF_CompE</v>
      </c>
      <c r="G1288" s="3998"/>
      <c r="H1288" s="3999"/>
      <c r="I1288" s="2862"/>
      <c r="J1288" s="798">
        <v>3176.6</v>
      </c>
      <c r="K1288" s="806"/>
      <c r="L1288" s="786"/>
      <c r="M1288" s="123"/>
      <c r="N1288" s="123"/>
      <c r="O1288" s="123"/>
      <c r="P1288" s="123"/>
      <c r="Q1288" s="832"/>
      <c r="R1288" s="3082"/>
      <c r="S1288" s="123"/>
      <c r="T1288" s="123"/>
      <c r="U1288" s="123"/>
      <c r="V1288" s="3990"/>
      <c r="W1288" s="798"/>
      <c r="X1288" s="798"/>
      <c r="Y1288" s="796">
        <v>3176.6</v>
      </c>
      <c r="Z1288" s="798">
        <v>3176.6</v>
      </c>
      <c r="AA1288" s="798">
        <v>3176.6</v>
      </c>
      <c r="AB1288" s="798">
        <v>3176.6</v>
      </c>
      <c r="AC1288" s="798">
        <v>3176.6</v>
      </c>
      <c r="AD1288" s="798"/>
      <c r="AE1288" s="798"/>
      <c r="AF1288" s="798"/>
      <c r="AG1288" s="798"/>
      <c r="AH1288" s="1942"/>
      <c r="AI1288" s="1942"/>
      <c r="AJ1288" s="1942"/>
      <c r="AK1288" s="1942"/>
      <c r="AL1288" s="1942"/>
      <c r="AM1288" s="1942"/>
      <c r="AN1288" s="1942"/>
      <c r="AO1288" s="1942"/>
      <c r="AP1288" s="1942"/>
      <c r="AQ1288" s="1942"/>
      <c r="AR1288" s="1942"/>
      <c r="AS1288" s="1942"/>
      <c r="AT1288" s="1942"/>
      <c r="AU1288" s="1942"/>
      <c r="AV1288" s="1942"/>
      <c r="AW1288" s="1942"/>
      <c r="AX1288" s="1942"/>
      <c r="AY1288" s="1942"/>
      <c r="AZ1288" s="1942"/>
      <c r="BA1288" s="1942"/>
      <c r="BB1288" s="575"/>
      <c r="BC1288" s="576"/>
      <c r="BD1288" s="678"/>
      <c r="BE1288" s="1942"/>
    </row>
    <row r="1289" spans="1:57" s="51" customFormat="1" hidden="1" outlineLevel="1" x14ac:dyDescent="0.25">
      <c r="A1289" s="1267"/>
      <c r="B1289" s="123"/>
      <c r="C1289" s="328"/>
      <c r="D1289" s="3990"/>
      <c r="E1289" s="3987"/>
      <c r="F1289" s="4002" t="str">
        <f>$F$1229</f>
        <v>DFHP-SEER21-ROF_MF</v>
      </c>
      <c r="G1289" s="3998"/>
      <c r="H1289" s="3999"/>
      <c r="I1289" s="2862"/>
      <c r="J1289" s="798">
        <v>3626.6</v>
      </c>
      <c r="K1289" s="806"/>
      <c r="L1289" s="786"/>
      <c r="M1289" s="123"/>
      <c r="N1289" s="123"/>
      <c r="O1289" s="123"/>
      <c r="P1289" s="123"/>
      <c r="Q1289" s="832"/>
      <c r="R1289" s="3082"/>
      <c r="S1289" s="123"/>
      <c r="T1289" s="123"/>
      <c r="U1289" s="123"/>
      <c r="V1289" s="3990"/>
      <c r="W1289" s="798">
        <v>3626.6</v>
      </c>
      <c r="X1289" s="798">
        <v>3626.6</v>
      </c>
      <c r="Y1289" s="798">
        <v>3626.6</v>
      </c>
      <c r="Z1289" s="798">
        <v>3626.6</v>
      </c>
      <c r="AA1289" s="798">
        <v>3626.6</v>
      </c>
      <c r="AB1289" s="798">
        <v>3626.6</v>
      </c>
      <c r="AC1289" s="798">
        <v>3626.6</v>
      </c>
      <c r="AD1289" s="798"/>
      <c r="AE1289" s="798"/>
      <c r="AF1289" s="798"/>
      <c r="AG1289" s="798"/>
      <c r="AH1289" s="1942"/>
      <c r="AI1289" s="1942"/>
      <c r="AJ1289" s="1942"/>
      <c r="AK1289" s="1942"/>
      <c r="AL1289" s="1942"/>
      <c r="AM1289" s="1942"/>
      <c r="AN1289" s="1942"/>
      <c r="AO1289" s="1942"/>
      <c r="AP1289" s="1942"/>
      <c r="AQ1289" s="1942"/>
      <c r="AR1289" s="1942"/>
      <c r="AS1289" s="1942"/>
      <c r="AT1289" s="1942"/>
      <c r="AU1289" s="1942"/>
      <c r="AV1289" s="1942"/>
      <c r="AW1289" s="1942"/>
      <c r="AX1289" s="1942"/>
      <c r="AY1289" s="1942"/>
      <c r="AZ1289" s="1942"/>
      <c r="BA1289" s="1942"/>
      <c r="BB1289" s="575"/>
      <c r="BC1289" s="576"/>
      <c r="BD1289" s="678"/>
      <c r="BE1289" s="1942"/>
    </row>
    <row r="1290" spans="1:57" s="51" customFormat="1" ht="15.75" hidden="1" outlineLevel="1" thickBot="1" x14ac:dyDescent="0.3">
      <c r="A1290" s="1267"/>
      <c r="B1290" s="123"/>
      <c r="C1290" s="328"/>
      <c r="D1290" s="3991"/>
      <c r="E1290" s="3988"/>
      <c r="F1290" s="4071" t="str">
        <f>$F$1230</f>
        <v>DFHP-SEER21-ROF_MF_CompE</v>
      </c>
      <c r="G1290" s="4000"/>
      <c r="H1290" s="4001"/>
      <c r="I1290" s="2863"/>
      <c r="J1290" s="814">
        <v>3626.6</v>
      </c>
      <c r="K1290" s="1582"/>
      <c r="L1290" s="1854"/>
      <c r="M1290" s="123"/>
      <c r="N1290" s="123"/>
      <c r="O1290" s="123"/>
      <c r="P1290" s="123"/>
      <c r="Q1290" s="832"/>
      <c r="R1290" s="3082"/>
      <c r="S1290" s="123"/>
      <c r="T1290" s="123"/>
      <c r="U1290" s="123"/>
      <c r="V1290" s="3991"/>
      <c r="W1290" s="798"/>
      <c r="X1290" s="798"/>
      <c r="Y1290" s="796">
        <v>3626.6</v>
      </c>
      <c r="Z1290" s="798">
        <v>3626.6</v>
      </c>
      <c r="AA1290" s="798">
        <v>3626.6</v>
      </c>
      <c r="AB1290" s="798">
        <v>3626.6</v>
      </c>
      <c r="AC1290" s="798">
        <v>3626.6</v>
      </c>
      <c r="AD1290" s="798"/>
      <c r="AE1290" s="798"/>
      <c r="AF1290" s="798"/>
      <c r="AG1290" s="798"/>
      <c r="AH1290" s="1942"/>
      <c r="AI1290" s="1942"/>
      <c r="AJ1290" s="1942"/>
      <c r="AK1290" s="1942"/>
      <c r="AL1290" s="1942"/>
      <c r="AM1290" s="1942"/>
      <c r="AN1290" s="1942"/>
      <c r="AO1290" s="1942"/>
      <c r="AP1290" s="1942"/>
      <c r="AQ1290" s="1942"/>
      <c r="AR1290" s="1942"/>
      <c r="AS1290" s="1942"/>
      <c r="AT1290" s="1942"/>
      <c r="AU1290" s="1942"/>
      <c r="AV1290" s="1942"/>
      <c r="AW1290" s="1942"/>
      <c r="AX1290" s="1942"/>
      <c r="AY1290" s="1942"/>
      <c r="AZ1290" s="1942"/>
      <c r="BA1290" s="1942"/>
      <c r="BB1290" s="575"/>
      <c r="BC1290" s="576"/>
      <c r="BD1290" s="678"/>
      <c r="BE1290" s="1942"/>
    </row>
    <row r="1291" spans="1:57" collapsed="1" x14ac:dyDescent="0.25">
      <c r="C1291" s="2161"/>
      <c r="D1291" s="1237"/>
      <c r="E1291" s="1237"/>
      <c r="F1291" s="1570"/>
      <c r="G1291" s="1570"/>
      <c r="H1291" s="1570"/>
      <c r="I1291" s="1570"/>
      <c r="J1291" s="3672"/>
      <c r="K1291" s="1550"/>
      <c r="L1291" s="1570"/>
      <c r="Q1291" s="832"/>
      <c r="R1291" s="3082"/>
      <c r="W1291" s="1942"/>
      <c r="X1291" s="1942"/>
      <c r="Y1291" s="1942"/>
      <c r="Z1291" s="1942"/>
      <c r="AA1291" s="1942"/>
      <c r="AB1291" s="1942"/>
      <c r="AC1291" s="1942"/>
      <c r="AD1291" s="1942"/>
      <c r="AE1291" s="1942"/>
      <c r="AF1291" s="1942"/>
      <c r="AG1291" s="1942"/>
      <c r="AH1291" s="1930"/>
      <c r="AI1291" s="1930"/>
      <c r="AJ1291" s="1930"/>
      <c r="AK1291" s="1930"/>
      <c r="AL1291" s="1930"/>
      <c r="AM1291" s="1930"/>
      <c r="AN1291" s="1930"/>
      <c r="AO1291" s="1930"/>
      <c r="AP1291" s="1930"/>
      <c r="AQ1291" s="1930"/>
      <c r="AR1291" s="1930"/>
      <c r="AS1291" s="1930"/>
      <c r="AT1291" s="1930"/>
      <c r="AU1291" s="1930"/>
      <c r="AV1291" s="1930"/>
      <c r="AW1291" s="1930"/>
      <c r="AX1291" s="1930"/>
      <c r="AY1291" s="1930"/>
      <c r="AZ1291" s="1930"/>
      <c r="BA1291" s="1930"/>
      <c r="BE1291" s="1930"/>
    </row>
    <row r="1292" spans="1:57" x14ac:dyDescent="0.25">
      <c r="C1292" s="2161"/>
      <c r="D1292" s="516"/>
      <c r="E1292" s="516"/>
      <c r="F1292" s="228"/>
      <c r="G1292" s="516"/>
      <c r="H1292" s="228"/>
      <c r="I1292" s="228"/>
      <c r="J1292" s="228"/>
      <c r="K1292" s="228"/>
      <c r="L1292" s="228"/>
      <c r="W1292" s="1930"/>
      <c r="X1292" s="1930"/>
      <c r="Y1292" s="1930"/>
      <c r="Z1292" s="1930"/>
      <c r="AA1292" s="1930"/>
      <c r="AB1292" s="1930"/>
      <c r="AC1292" s="1930"/>
      <c r="AD1292" s="1930"/>
      <c r="AE1292" s="1930"/>
      <c r="AF1292" s="1930"/>
      <c r="AG1292" s="1930"/>
      <c r="AH1292" s="1930"/>
      <c r="AI1292" s="1930"/>
      <c r="AJ1292" s="1930"/>
      <c r="AK1292" s="1930"/>
      <c r="AL1292" s="1930"/>
      <c r="AM1292" s="1930"/>
      <c r="AN1292" s="1930"/>
      <c r="AO1292" s="1930"/>
      <c r="AP1292" s="1930"/>
      <c r="AQ1292" s="1930"/>
      <c r="AR1292" s="1930"/>
      <c r="AS1292" s="1930"/>
      <c r="AT1292" s="1930"/>
      <c r="AU1292" s="1930"/>
      <c r="AV1292" s="1930"/>
      <c r="AW1292" s="1930"/>
      <c r="AX1292" s="1930"/>
      <c r="AY1292" s="1930"/>
      <c r="AZ1292" s="1930"/>
      <c r="BA1292" s="1930"/>
      <c r="BE1292" s="1930"/>
    </row>
    <row r="1293" spans="1:57" s="51" customFormat="1" x14ac:dyDescent="0.25">
      <c r="A1293" s="1267"/>
      <c r="B1293" s="3077" t="s">
        <v>1170</v>
      </c>
      <c r="C1293" s="729"/>
      <c r="D1293" s="3078"/>
      <c r="E1293" s="3078"/>
      <c r="F1293" s="3078"/>
      <c r="G1293" s="3078"/>
      <c r="H1293" s="3078"/>
      <c r="I1293" s="3078"/>
      <c r="J1293" s="3078"/>
      <c r="K1293" s="3078"/>
      <c r="L1293" s="3078"/>
      <c r="M1293" s="3078"/>
      <c r="N1293" s="3078"/>
      <c r="O1293" s="3078"/>
      <c r="P1293" s="3078"/>
      <c r="Q1293" s="3170"/>
      <c r="R1293" s="123"/>
      <c r="S1293" s="123"/>
      <c r="T1293" s="123"/>
      <c r="U1293" s="123"/>
      <c r="V1293" s="3750" t="str">
        <f>B1293</f>
        <v>Ground Source Heat Pumps</v>
      </c>
      <c r="W1293" s="3751"/>
      <c r="X1293" s="3751"/>
      <c r="Y1293" s="3751"/>
      <c r="Z1293" s="3751"/>
      <c r="AA1293" s="3751"/>
      <c r="AB1293" s="3751"/>
      <c r="AC1293" s="3752"/>
      <c r="AD1293" s="3752"/>
      <c r="AE1293" s="3752"/>
      <c r="AF1293" s="3752"/>
      <c r="AG1293" s="3752"/>
      <c r="AH1293" s="3753"/>
      <c r="AI1293" s="1942"/>
      <c r="AJ1293" s="1942"/>
      <c r="AK1293" s="1942"/>
      <c r="AL1293" s="1942"/>
      <c r="AM1293" s="1942"/>
      <c r="AN1293" s="1942"/>
      <c r="AO1293" s="1942"/>
      <c r="AP1293" s="1942"/>
      <c r="AQ1293" s="1942"/>
      <c r="AR1293" s="1942"/>
      <c r="AS1293" s="1942"/>
      <c r="AT1293" s="1942"/>
      <c r="AU1293" s="1942"/>
      <c r="AV1293" s="1942"/>
      <c r="AW1293" s="1942"/>
      <c r="AX1293" s="1942"/>
      <c r="AY1293" s="1942"/>
      <c r="AZ1293" s="1942"/>
      <c r="BA1293" s="1942"/>
      <c r="BB1293" s="575"/>
      <c r="BC1293" s="576"/>
      <c r="BD1293" s="678"/>
      <c r="BE1293" s="1942"/>
    </row>
    <row r="1294" spans="1:57" s="51" customFormat="1" x14ac:dyDescent="0.25">
      <c r="A1294" s="1267"/>
      <c r="B1294" s="123"/>
      <c r="C1294" s="328"/>
      <c r="D1294" s="329"/>
      <c r="E1294" s="329"/>
      <c r="F1294" s="123"/>
      <c r="G1294" s="329"/>
      <c r="H1294" s="123"/>
      <c r="I1294" s="328"/>
      <c r="J1294" s="328"/>
      <c r="K1294" s="328"/>
      <c r="L1294" s="328"/>
      <c r="M1294" s="328"/>
      <c r="N1294" s="123"/>
      <c r="O1294" s="123"/>
      <c r="P1294" s="123"/>
      <c r="Q1294" s="329"/>
      <c r="R1294" s="123"/>
      <c r="S1294" s="123"/>
      <c r="T1294" s="123"/>
      <c r="U1294" s="123"/>
      <c r="V1294" s="123"/>
      <c r="W1294" s="1942"/>
      <c r="X1294" s="1942"/>
      <c r="Y1294" s="1942"/>
      <c r="Z1294" s="1942"/>
      <c r="AA1294" s="1942"/>
      <c r="AB1294" s="1942"/>
      <c r="AC1294" s="1942"/>
      <c r="AD1294" s="1942"/>
      <c r="AE1294" s="1942"/>
      <c r="AF1294" s="1942"/>
      <c r="AG1294" s="1942"/>
      <c r="AH1294" s="1942"/>
      <c r="AI1294" s="1942"/>
      <c r="AJ1294" s="1942"/>
      <c r="AK1294" s="1942"/>
      <c r="AL1294" s="1942"/>
      <c r="AM1294" s="1942"/>
      <c r="AN1294" s="1942"/>
      <c r="AO1294" s="1942"/>
      <c r="AP1294" s="1942"/>
      <c r="AQ1294" s="1942"/>
      <c r="AR1294" s="1942"/>
      <c r="AS1294" s="1942"/>
      <c r="AT1294" s="1942"/>
      <c r="AU1294" s="1942"/>
      <c r="AV1294" s="1942"/>
      <c r="AW1294" s="1942"/>
      <c r="AX1294" s="1942"/>
      <c r="AY1294" s="1942"/>
      <c r="AZ1294" s="1942"/>
      <c r="BA1294" s="1942"/>
      <c r="BB1294" s="575"/>
      <c r="BC1294" s="576"/>
      <c r="BD1294" s="678"/>
      <c r="BE1294" s="1942"/>
    </row>
    <row r="1295" spans="1:57" s="51" customFormat="1" ht="30" x14ac:dyDescent="0.25">
      <c r="A1295" s="1267"/>
      <c r="B1295" s="123"/>
      <c r="C1295" s="3086" t="s">
        <v>28</v>
      </c>
      <c r="D1295" s="3086" t="s">
        <v>175</v>
      </c>
      <c r="E1295" s="3086" t="s">
        <v>30</v>
      </c>
      <c r="F1295" s="3086" t="s">
        <v>31</v>
      </c>
      <c r="G1295" s="3086" t="s">
        <v>176</v>
      </c>
      <c r="H1295" s="3086" t="s">
        <v>177</v>
      </c>
      <c r="I1295" s="3086" t="s">
        <v>32</v>
      </c>
      <c r="J1295" s="3140" t="s">
        <v>181</v>
      </c>
      <c r="K1295" s="3086" t="s">
        <v>170</v>
      </c>
      <c r="L1295" s="3086" t="s">
        <v>875</v>
      </c>
      <c r="M1295" s="123"/>
      <c r="N1295" s="123"/>
      <c r="O1295" s="123"/>
      <c r="P1295" s="123"/>
      <c r="Q1295" s="123"/>
      <c r="R1295" s="123"/>
      <c r="S1295" s="123"/>
      <c r="T1295" s="123"/>
      <c r="U1295" s="123"/>
      <c r="V1295" s="551" t="s">
        <v>45</v>
      </c>
      <c r="W1295" s="1937">
        <f>W$6</f>
        <v>43252</v>
      </c>
      <c r="X1295" s="1937">
        <f t="shared" ref="X1295:AG1295" si="134">X$6</f>
        <v>43465</v>
      </c>
      <c r="Y1295" s="1937">
        <f t="shared" si="134"/>
        <v>43800</v>
      </c>
      <c r="Z1295" s="1937">
        <f t="shared" si="134"/>
        <v>43862</v>
      </c>
      <c r="AA1295" s="1937">
        <f t="shared" si="134"/>
        <v>44013</v>
      </c>
      <c r="AB1295" s="1937">
        <f t="shared" si="134"/>
        <v>44166</v>
      </c>
      <c r="AC1295" s="1937">
        <f t="shared" si="134"/>
        <v>44531</v>
      </c>
      <c r="AD1295" s="1937" t="str">
        <f t="shared" si="134"/>
        <v>-</v>
      </c>
      <c r="AE1295" s="1937" t="str">
        <f t="shared" si="134"/>
        <v>-</v>
      </c>
      <c r="AF1295" s="1937" t="str">
        <f t="shared" si="134"/>
        <v>-</v>
      </c>
      <c r="AG1295" s="1937" t="str">
        <f t="shared" si="134"/>
        <v>-</v>
      </c>
      <c r="AH1295" s="1942"/>
      <c r="AI1295" s="1942"/>
      <c r="AJ1295" s="1942"/>
      <c r="AK1295" s="1942"/>
      <c r="AL1295" s="1942"/>
      <c r="AM1295" s="1942"/>
      <c r="AN1295" s="1942"/>
      <c r="AO1295" s="1942"/>
      <c r="AP1295" s="1942"/>
      <c r="AQ1295" s="1942"/>
      <c r="AR1295" s="1942"/>
      <c r="AS1295" s="1942"/>
      <c r="AT1295" s="1942"/>
      <c r="AU1295" s="1942"/>
      <c r="AV1295" s="1942"/>
      <c r="AW1295" s="1942"/>
      <c r="AX1295" s="1942"/>
      <c r="AY1295" s="1942"/>
      <c r="AZ1295" s="1942"/>
      <c r="BA1295" s="1942"/>
      <c r="BB1295" s="1953" t="str">
        <f>$BB$6</f>
        <v>TRC (2020)</v>
      </c>
      <c r="BC1295" s="1953" t="str">
        <f>$BC$6</f>
        <v>Benefit Lookup</v>
      </c>
      <c r="BD1295" s="665" t="str">
        <f>$BD$6</f>
        <v>Benefits (2019 $)</v>
      </c>
      <c r="BE1295" s="230" t="str">
        <f>$BE$6</f>
        <v>Incremental Cost (2019 $)</v>
      </c>
    </row>
    <row r="1296" spans="1:57" s="51" customFormat="1" x14ac:dyDescent="0.25">
      <c r="A1296" s="1267" t="str">
        <f t="shared" ref="A1296:A1307" si="135">C1296&amp;G1296</f>
        <v>352050_2021_12_Cooling Res</v>
      </c>
      <c r="B1296" s="123"/>
      <c r="C1296" s="3041" t="s">
        <v>1171</v>
      </c>
      <c r="D1296" s="2667" t="s">
        <v>320</v>
      </c>
      <c r="E1296" s="2878" t="s">
        <v>1172</v>
      </c>
      <c r="F1296" s="2689">
        <f>ROUND((($J$1352*$J$1358*(1/$J$1364-1/$J$1370))/1000)*$J$1376,2)</f>
        <v>1403.37</v>
      </c>
      <c r="G1296" s="214" t="s">
        <v>1134</v>
      </c>
      <c r="H1296" s="155">
        <f>VLOOKUP(G1296,'CP FACTORS'!$A$3:$B$38, 2, FALSE)</f>
        <v>9.4741810000000004E-4</v>
      </c>
      <c r="I1296" s="1554">
        <f t="shared" ref="I1296:I1307" si="136">ROUND(F1296*H1296,6)</f>
        <v>1.3295779999999999</v>
      </c>
      <c r="J1296" s="141">
        <v>18</v>
      </c>
      <c r="K1296" s="1577">
        <v>4717</v>
      </c>
      <c r="L1296" s="62">
        <f>K1352</f>
        <v>4.0588235294117645</v>
      </c>
      <c r="M1296" s="123"/>
      <c r="N1296" s="123"/>
      <c r="O1296" s="123"/>
      <c r="P1296" s="123"/>
      <c r="Q1296" s="123"/>
      <c r="R1296" s="1431"/>
      <c r="S1296" s="123"/>
      <c r="T1296" s="123"/>
      <c r="U1296" s="123"/>
      <c r="V1296" s="1962" t="s">
        <v>31</v>
      </c>
      <c r="W1296" s="802">
        <v>1811.005012964564</v>
      </c>
      <c r="X1296" s="802">
        <v>1413.8603840319427</v>
      </c>
      <c r="Y1296" s="803">
        <v>1413.86</v>
      </c>
      <c r="Z1296" s="2216">
        <v>1413.86</v>
      </c>
      <c r="AA1296" s="2216">
        <v>1413.86</v>
      </c>
      <c r="AB1296" s="1857">
        <v>1387.05</v>
      </c>
      <c r="AC1296" s="1963">
        <v>1403.37</v>
      </c>
      <c r="AD1296" s="1941"/>
      <c r="AE1296" s="1941"/>
      <c r="AF1296" s="1941"/>
      <c r="AG1296" s="1941"/>
      <c r="AH1296" s="163"/>
      <c r="AI1296" s="163"/>
      <c r="AJ1296" s="1942"/>
      <c r="AK1296" s="1942"/>
      <c r="AL1296" s="1942"/>
      <c r="AM1296" s="1942"/>
      <c r="AN1296" s="1942"/>
      <c r="AO1296" s="1942"/>
      <c r="AP1296" s="1942"/>
      <c r="AQ1296" s="1942"/>
      <c r="AR1296" s="1942"/>
      <c r="AS1296" s="1942"/>
      <c r="AT1296" s="1942"/>
      <c r="AU1296" s="1942"/>
      <c r="AV1296" s="1942"/>
      <c r="AW1296" s="1942"/>
      <c r="AX1296" s="1942"/>
      <c r="AY1296" s="1942"/>
      <c r="AZ1296" s="1942"/>
      <c r="BA1296" s="1942"/>
      <c r="BB1296" s="239">
        <f>(BD1296+BD1297)/(BE1296+BE1297)</f>
        <v>2.1997108214478822</v>
      </c>
      <c r="BC1296" s="3115" t="str">
        <f t="shared" ref="BC1296:BC1307" si="137">CONCATENATE(G1296," ",J1296," Year EUL")</f>
        <v>Cooling Res 18 Year EUL</v>
      </c>
      <c r="BD1296" s="671">
        <f>(INDEX('Avoided Cost Benefits'!$C$4:$C$857,MATCH(BC1296,'Avoided Cost Benefits'!$A$4:$A$857,0)))*F1296</f>
        <v>2475.2747786629966</v>
      </c>
      <c r="BE1296" s="1946">
        <f t="shared" ref="BE1296:BE1307" si="138">K1296/(1.0595^(2020-2019))</f>
        <v>4452.1000471920715</v>
      </c>
    </row>
    <row r="1297" spans="1:57" s="51" customFormat="1" x14ac:dyDescent="0.25">
      <c r="A1297" s="1267" t="str">
        <f t="shared" si="135"/>
        <v>352050_2021_12_Heating RES</v>
      </c>
      <c r="B1297" s="123"/>
      <c r="C1297" s="3041" t="s">
        <v>1171</v>
      </c>
      <c r="D1297" s="1578" t="s">
        <v>320</v>
      </c>
      <c r="E1297" s="3005" t="s">
        <v>1172</v>
      </c>
      <c r="F1297" s="2689">
        <f>ROUND((($J$1328*$J$1334*(1/$J$1340-1/$J$1346))/1000)*$J$1376,2)</f>
        <v>15839.4</v>
      </c>
      <c r="G1297" s="214" t="s">
        <v>259</v>
      </c>
      <c r="H1297" s="155">
        <f>VLOOKUP(G1297,'CP FACTORS'!$A$3:$B$38, 2, FALSE)</f>
        <v>0</v>
      </c>
      <c r="I1297" s="1554">
        <f t="shared" si="136"/>
        <v>0</v>
      </c>
      <c r="J1297" s="141">
        <v>18</v>
      </c>
      <c r="K1297" s="1579"/>
      <c r="L1297" s="62"/>
      <c r="M1297" s="576"/>
      <c r="N1297" s="123"/>
      <c r="O1297" s="123"/>
      <c r="P1297" s="123"/>
      <c r="Q1297" s="123"/>
      <c r="R1297" s="1431"/>
      <c r="S1297" s="123"/>
      <c r="T1297" s="123"/>
      <c r="U1297" s="123"/>
      <c r="V1297" s="1962" t="s">
        <v>31</v>
      </c>
      <c r="W1297" s="802">
        <v>6530.865353107697</v>
      </c>
      <c r="X1297" s="804">
        <v>21786.888829533</v>
      </c>
      <c r="Y1297" s="803">
        <v>16223.59</v>
      </c>
      <c r="Z1297" s="2216">
        <v>16223.59</v>
      </c>
      <c r="AA1297" s="2216">
        <v>16223.59</v>
      </c>
      <c r="AB1297" s="1857">
        <v>16908.54</v>
      </c>
      <c r="AC1297" s="1963">
        <v>15839.4</v>
      </c>
      <c r="AD1297" s="1941"/>
      <c r="AE1297" s="1941"/>
      <c r="AF1297" s="1941"/>
      <c r="AG1297" s="1941"/>
      <c r="AH1297" s="163"/>
      <c r="AI1297" s="163"/>
      <c r="AJ1297" s="1942"/>
      <c r="AK1297" s="1942"/>
      <c r="AL1297" s="1942"/>
      <c r="AM1297" s="1942"/>
      <c r="AN1297" s="1942"/>
      <c r="AO1297" s="1942"/>
      <c r="AP1297" s="1942"/>
      <c r="AQ1297" s="1942"/>
      <c r="AR1297" s="1942"/>
      <c r="AS1297" s="1942"/>
      <c r="AT1297" s="1942"/>
      <c r="AU1297" s="1942"/>
      <c r="AV1297" s="1942"/>
      <c r="AW1297" s="1942"/>
      <c r="AX1297" s="1942"/>
      <c r="AY1297" s="1942"/>
      <c r="AZ1297" s="1942"/>
      <c r="BA1297" s="1942"/>
      <c r="BB1297" s="242"/>
      <c r="BC1297" s="3116" t="str">
        <f t="shared" si="137"/>
        <v>Heating RES 18 Year EUL</v>
      </c>
      <c r="BD1297" s="673">
        <f>(INDEX('Avoided Cost Benefits'!$C$4:$C$857,MATCH(BC1297,'Avoided Cost Benefits'!$A$4:$A$857,0)))*F1297</f>
        <v>7318.0578733140301</v>
      </c>
      <c r="BE1297" s="1949">
        <f t="shared" si="138"/>
        <v>0</v>
      </c>
    </row>
    <row r="1298" spans="1:57" s="51" customFormat="1" x14ac:dyDescent="0.25">
      <c r="A1298" s="1267" t="str">
        <f t="shared" si="135"/>
        <v>352100_2021_12_Cooling Res</v>
      </c>
      <c r="B1298" s="123"/>
      <c r="C1298" s="3041" t="s">
        <v>1173</v>
      </c>
      <c r="D1298" s="1578" t="s">
        <v>320</v>
      </c>
      <c r="E1298" s="2878" t="s">
        <v>1174</v>
      </c>
      <c r="F1298" s="2689">
        <f>ROUND((($J$1353*$J$1359*(1/$J$1365-1/$J$1371))/1000)*$J$1376,2)</f>
        <v>5417.2</v>
      </c>
      <c r="G1298" s="214" t="s">
        <v>1134</v>
      </c>
      <c r="H1298" s="155">
        <f>VLOOKUP(G1298,'CP FACTORS'!$A$3:$B$38, 2, FALSE)</f>
        <v>9.4741810000000004E-4</v>
      </c>
      <c r="I1298" s="1554">
        <f t="shared" si="136"/>
        <v>5.1323530000000002</v>
      </c>
      <c r="J1298" s="141">
        <v>6</v>
      </c>
      <c r="K1298" s="1577">
        <v>5250</v>
      </c>
      <c r="L1298" s="62">
        <f>K1353</f>
        <v>4.0588235294117645</v>
      </c>
      <c r="M1298" s="123"/>
      <c r="N1298" s="123"/>
      <c r="O1298" s="123"/>
      <c r="P1298" s="123"/>
      <c r="Q1298" s="123"/>
      <c r="R1298" s="1431"/>
      <c r="S1298" s="123"/>
      <c r="T1298" s="123"/>
      <c r="U1298" s="123"/>
      <c r="V1298" s="1962" t="s">
        <v>31</v>
      </c>
      <c r="W1298" s="802">
        <v>4715.6029411764694</v>
      </c>
      <c r="X1298" s="802">
        <v>4824.9949536200738</v>
      </c>
      <c r="Y1298" s="803">
        <v>4824.99</v>
      </c>
      <c r="Z1298" s="2216">
        <v>4824.99</v>
      </c>
      <c r="AA1298" s="2216">
        <v>4824.99</v>
      </c>
      <c r="AB1298" s="1857">
        <v>4734.18</v>
      </c>
      <c r="AC1298" s="1963">
        <v>5417.2</v>
      </c>
      <c r="AD1298" s="1941"/>
      <c r="AE1298" s="1941"/>
      <c r="AF1298" s="1941"/>
      <c r="AG1298" s="1941"/>
      <c r="AH1298" s="163"/>
      <c r="AI1298" s="163"/>
      <c r="AJ1298" s="1942"/>
      <c r="AK1298" s="1942"/>
      <c r="AL1298" s="1942"/>
      <c r="AM1298" s="1942"/>
      <c r="AN1298" s="1942"/>
      <c r="AO1298" s="1942"/>
      <c r="AP1298" s="1942"/>
      <c r="AQ1298" s="1942"/>
      <c r="AR1298" s="1942"/>
      <c r="AS1298" s="1942"/>
      <c r="AT1298" s="1942"/>
      <c r="AU1298" s="1942"/>
      <c r="AV1298" s="1942"/>
      <c r="AW1298" s="1942"/>
      <c r="AX1298" s="1942"/>
      <c r="AY1298" s="1942"/>
      <c r="AZ1298" s="1942"/>
      <c r="BA1298" s="1942"/>
      <c r="BB1298" s="244">
        <f>(BD1298+BD1299+BD1300+BD1301)/(BE1298+BE1299+BE1300+BE1301)</f>
        <v>2.595393724516625</v>
      </c>
      <c r="BC1298" s="3115" t="str">
        <f t="shared" si="137"/>
        <v>Cooling Res 6 Year EUL</v>
      </c>
      <c r="BD1298" s="673">
        <f>(INDEX('Avoided Cost Benefits'!$C$4:$C$857,MATCH(BC1298,'Avoided Cost Benefits'!$A$4:$A$857,0)))*F1298</f>
        <v>3150.016007451522</v>
      </c>
      <c r="BE1298" s="1949">
        <f t="shared" si="138"/>
        <v>4955.1675318546477</v>
      </c>
    </row>
    <row r="1299" spans="1:57" s="51" customFormat="1" x14ac:dyDescent="0.25">
      <c r="A1299" s="1267" t="str">
        <f t="shared" si="135"/>
        <v>352100_2021_12_Heating RES</v>
      </c>
      <c r="B1299" s="123"/>
      <c r="C1299" s="3041" t="s">
        <v>1173</v>
      </c>
      <c r="D1299" s="1578" t="s">
        <v>320</v>
      </c>
      <c r="E1299" s="3007" t="s">
        <v>1174</v>
      </c>
      <c r="F1299" s="2689">
        <f>ROUND((($J$1329*$J$1335*(1/$J$1341-1/$J$1347))/1000)*$J$1376,2)</f>
        <v>16555.189999999999</v>
      </c>
      <c r="G1299" s="214" t="s">
        <v>259</v>
      </c>
      <c r="H1299" s="155">
        <f>VLOOKUP(G1299,'CP FACTORS'!$A$3:$B$38, 2, FALSE)</f>
        <v>0</v>
      </c>
      <c r="I1299" s="1554">
        <f t="shared" si="136"/>
        <v>0</v>
      </c>
      <c r="J1299" s="141">
        <v>6</v>
      </c>
      <c r="K1299" s="1579"/>
      <c r="L1299" s="62"/>
      <c r="M1299" s="123"/>
      <c r="N1299" s="123"/>
      <c r="O1299" s="123"/>
      <c r="P1299" s="123"/>
      <c r="Q1299" s="123"/>
      <c r="R1299" s="1431"/>
      <c r="S1299" s="123"/>
      <c r="T1299" s="123"/>
      <c r="U1299" s="123"/>
      <c r="V1299" s="1962" t="s">
        <v>31</v>
      </c>
      <c r="W1299" s="802">
        <v>6530.865353107697</v>
      </c>
      <c r="X1299" s="804">
        <v>21786.888829533</v>
      </c>
      <c r="Y1299" s="803">
        <v>16223.59</v>
      </c>
      <c r="Z1299" s="2216">
        <v>16223.59</v>
      </c>
      <c r="AA1299" s="2216">
        <v>16223.59</v>
      </c>
      <c r="AB1299" s="1857">
        <v>15550.48</v>
      </c>
      <c r="AC1299" s="1963">
        <v>16555.189999999999</v>
      </c>
      <c r="AD1299" s="1941"/>
      <c r="AE1299" s="1941"/>
      <c r="AF1299" s="1941"/>
      <c r="AG1299" s="1941"/>
      <c r="AH1299" s="163"/>
      <c r="AI1299" s="163"/>
      <c r="AJ1299" s="1942"/>
      <c r="AK1299" s="1942"/>
      <c r="AL1299" s="1942"/>
      <c r="AM1299" s="1942"/>
      <c r="AN1299" s="1942"/>
      <c r="AO1299" s="1942"/>
      <c r="AP1299" s="1942"/>
      <c r="AQ1299" s="1942"/>
      <c r="AR1299" s="1942"/>
      <c r="AS1299" s="1942"/>
      <c r="AT1299" s="1942"/>
      <c r="AU1299" s="1942"/>
      <c r="AV1299" s="1942"/>
      <c r="AW1299" s="1942"/>
      <c r="AX1299" s="1942"/>
      <c r="AY1299" s="1942"/>
      <c r="AZ1299" s="1942"/>
      <c r="BA1299" s="1942"/>
      <c r="BB1299" s="734"/>
      <c r="BC1299" s="3130" t="str">
        <f t="shared" si="137"/>
        <v>Heating RES 6 Year EUL</v>
      </c>
      <c r="BD1299" s="673">
        <f>(INDEX('Avoided Cost Benefits'!$C$4:$C$857,MATCH(BC1299,'Avoided Cost Benefits'!$A$4:$A$857,0)))*F1299</f>
        <v>2753.6827657037179</v>
      </c>
      <c r="BE1299" s="1949">
        <f t="shared" si="138"/>
        <v>0</v>
      </c>
    </row>
    <row r="1300" spans="1:57" s="51" customFormat="1" x14ac:dyDescent="0.25">
      <c r="A1300" s="1267" t="str">
        <f t="shared" si="135"/>
        <v>352100_2021_12_Cooling Res ER2</v>
      </c>
      <c r="B1300" s="123"/>
      <c r="C1300" s="3041" t="s">
        <v>1173</v>
      </c>
      <c r="D1300" s="1578" t="s">
        <v>320</v>
      </c>
      <c r="E1300" s="3007" t="s">
        <v>1175</v>
      </c>
      <c r="F1300" s="2689">
        <f>ROUND((($J$1354*$J$1360*(1/$J$1366-1/$J$1372))/1000)*$J$1376,2)</f>
        <v>1743.88</v>
      </c>
      <c r="G1300" s="1580" t="s">
        <v>1176</v>
      </c>
      <c r="H1300" s="155">
        <f>VLOOKUP(G1300,'CP FACTORS'!$A$3:$B$38, 2, FALSE)</f>
        <v>9.4741810000000004E-4</v>
      </c>
      <c r="I1300" s="1554">
        <f t="shared" si="136"/>
        <v>1.652183</v>
      </c>
      <c r="J1300" s="141">
        <v>12</v>
      </c>
      <c r="K1300" s="1579"/>
      <c r="L1300" s="62"/>
      <c r="M1300" s="123"/>
      <c r="N1300" s="123"/>
      <c r="O1300" s="123"/>
      <c r="P1300" s="123"/>
      <c r="Q1300" s="123"/>
      <c r="R1300" s="1431"/>
      <c r="S1300" s="123"/>
      <c r="T1300" s="123"/>
      <c r="U1300" s="123"/>
      <c r="V1300" s="1962" t="s">
        <v>31</v>
      </c>
      <c r="W1300" s="802">
        <v>1716.9631221719455</v>
      </c>
      <c r="X1300" s="802">
        <v>1413.8603840319427</v>
      </c>
      <c r="Y1300" s="803">
        <v>1413.86</v>
      </c>
      <c r="Z1300" s="2216">
        <v>1413.86</v>
      </c>
      <c r="AA1300" s="2216">
        <v>1413.86</v>
      </c>
      <c r="AB1300" s="1857">
        <v>1603.59</v>
      </c>
      <c r="AC1300" s="1963">
        <v>1743.88</v>
      </c>
      <c r="AD1300" s="1941"/>
      <c r="AE1300" s="1941"/>
      <c r="AF1300" s="1941"/>
      <c r="AG1300" s="1941"/>
      <c r="AH1300" s="163"/>
      <c r="AI1300" s="163"/>
      <c r="AJ1300" s="1942"/>
      <c r="AK1300" s="1942"/>
      <c r="AL1300" s="1942"/>
      <c r="AM1300" s="1942"/>
      <c r="AN1300" s="1942"/>
      <c r="AO1300" s="1942"/>
      <c r="AP1300" s="1942"/>
      <c r="AQ1300" s="1942"/>
      <c r="AR1300" s="1942"/>
      <c r="AS1300" s="1942"/>
      <c r="AT1300" s="1942"/>
      <c r="AU1300" s="1942"/>
      <c r="AV1300" s="1942"/>
      <c r="AW1300" s="1942"/>
      <c r="AX1300" s="1942"/>
      <c r="AY1300" s="1942"/>
      <c r="AZ1300" s="1942"/>
      <c r="BA1300" s="1942"/>
      <c r="BB1300" s="734"/>
      <c r="BC1300" s="3130" t="str">
        <f t="shared" si="137"/>
        <v>Cooling Res ER2 12 Year EUL</v>
      </c>
      <c r="BD1300" s="673">
        <f>(INDEX('Avoided Cost Benefits'!$C$4:$C$857,MATCH(BC1300,'Avoided Cost Benefits'!$A$4:$A$857,0)))*F1300</f>
        <v>2061.8303284544686</v>
      </c>
      <c r="BE1300" s="1949">
        <f t="shared" si="138"/>
        <v>0</v>
      </c>
    </row>
    <row r="1301" spans="1:57" s="51" customFormat="1" x14ac:dyDescent="0.25">
      <c r="A1301" s="1267" t="str">
        <f t="shared" si="135"/>
        <v>352100_2021_12_Heating RES ER2</v>
      </c>
      <c r="B1301" s="123"/>
      <c r="C1301" s="3041" t="s">
        <v>1173</v>
      </c>
      <c r="D1301" s="1578" t="s">
        <v>320</v>
      </c>
      <c r="E1301" s="3005" t="s">
        <v>1175</v>
      </c>
      <c r="F1301" s="2689">
        <f>ROUND((($J$1330*$J$1336*(1/$J$1342-1/$J$1348))/1000)*$J$1376,2)</f>
        <v>16555.189999999999</v>
      </c>
      <c r="G1301" s="1580" t="s">
        <v>1036</v>
      </c>
      <c r="H1301" s="155">
        <f>VLOOKUP(G1301,'CP FACTORS'!$A$3:$B$38, 2, FALSE)</f>
        <v>0</v>
      </c>
      <c r="I1301" s="1554">
        <f t="shared" si="136"/>
        <v>0</v>
      </c>
      <c r="J1301" s="141">
        <v>12</v>
      </c>
      <c r="K1301" s="1579"/>
      <c r="L1301" s="62"/>
      <c r="M1301" s="123"/>
      <c r="N1301" s="123"/>
      <c r="O1301" s="123"/>
      <c r="P1301" s="123"/>
      <c r="Q1301" s="123"/>
      <c r="R1301" s="1431"/>
      <c r="S1301" s="123"/>
      <c r="T1301" s="123"/>
      <c r="U1301" s="123"/>
      <c r="V1301" s="1962" t="s">
        <v>31</v>
      </c>
      <c r="W1301" s="802">
        <v>6530.865353107697</v>
      </c>
      <c r="X1301" s="804">
        <v>21786.888829533</v>
      </c>
      <c r="Y1301" s="803">
        <v>16223.59</v>
      </c>
      <c r="Z1301" s="2216">
        <v>16223.59</v>
      </c>
      <c r="AA1301" s="2216">
        <v>16223.59</v>
      </c>
      <c r="AB1301" s="1857">
        <v>15550.48</v>
      </c>
      <c r="AC1301" s="1963">
        <v>16555.189999999999</v>
      </c>
      <c r="AD1301" s="1941"/>
      <c r="AE1301" s="1941"/>
      <c r="AF1301" s="1941"/>
      <c r="AG1301" s="1941"/>
      <c r="AH1301" s="163"/>
      <c r="AI1301" s="163"/>
      <c r="AJ1301" s="1942"/>
      <c r="AK1301" s="1942"/>
      <c r="AL1301" s="1942"/>
      <c r="AM1301" s="1942"/>
      <c r="AN1301" s="1942"/>
      <c r="AO1301" s="1942"/>
      <c r="AP1301" s="1942"/>
      <c r="AQ1301" s="1942"/>
      <c r="AR1301" s="1942"/>
      <c r="AS1301" s="1942"/>
      <c r="AT1301" s="1942"/>
      <c r="AU1301" s="1942"/>
      <c r="AV1301" s="1942"/>
      <c r="AW1301" s="1942"/>
      <c r="AX1301" s="1942"/>
      <c r="AY1301" s="1942"/>
      <c r="AZ1301" s="1942"/>
      <c r="BA1301" s="1942"/>
      <c r="BB1301" s="734"/>
      <c r="BC1301" s="3116" t="str">
        <f t="shared" si="137"/>
        <v>Heating RES ER2 12 Year EUL</v>
      </c>
      <c r="BD1301" s="673">
        <f>(INDEX('Avoided Cost Benefits'!$C$4:$C$857,MATCH(BC1301,'Avoided Cost Benefits'!$A$4:$A$857,0)))*F1301</f>
        <v>4895.0816144943765</v>
      </c>
      <c r="BE1301" s="1949">
        <f t="shared" si="138"/>
        <v>0</v>
      </c>
    </row>
    <row r="1302" spans="1:57" s="51" customFormat="1" x14ac:dyDescent="0.25">
      <c r="A1302" s="1267" t="str">
        <f t="shared" si="135"/>
        <v>352200_2021_12_Cooling Res</v>
      </c>
      <c r="B1302" s="123"/>
      <c r="C1302" s="3041" t="s">
        <v>1177</v>
      </c>
      <c r="D1302" s="1578" t="s">
        <v>320</v>
      </c>
      <c r="E1302" s="2878" t="s">
        <v>1178</v>
      </c>
      <c r="F1302" s="2689">
        <f>ROUND(((J1355*J1361*(1/J1367-1/J1373))/1000)*$J$1376,2)</f>
        <v>3155.16</v>
      </c>
      <c r="G1302" s="214" t="s">
        <v>1134</v>
      </c>
      <c r="H1302" s="155">
        <f>VLOOKUP(G1302,'CP FACTORS'!$A$3:$B$38, 2, FALSE)</f>
        <v>9.4741810000000004E-4</v>
      </c>
      <c r="I1302" s="1554">
        <f t="shared" si="136"/>
        <v>2.9892560000000001</v>
      </c>
      <c r="J1302" s="141">
        <v>6</v>
      </c>
      <c r="K1302" s="1577">
        <v>4859</v>
      </c>
      <c r="L1302" s="62">
        <f>K1355</f>
        <v>4.0737704918032787</v>
      </c>
      <c r="M1302" s="123"/>
      <c r="N1302" s="123"/>
      <c r="O1302" s="123"/>
      <c r="P1302" s="123"/>
      <c r="Q1302" s="123"/>
      <c r="R1302" s="1431"/>
      <c r="S1302" s="123"/>
      <c r="T1302" s="123"/>
      <c r="U1302" s="123"/>
      <c r="V1302" s="1962" t="s">
        <v>31</v>
      </c>
      <c r="W1302" s="802">
        <v>4715.6029411764694</v>
      </c>
      <c r="X1302" s="802">
        <v>1930.2682563723677</v>
      </c>
      <c r="Y1302" s="803">
        <v>1930.27</v>
      </c>
      <c r="Z1302" s="2216">
        <v>1930.27</v>
      </c>
      <c r="AA1302" s="2216">
        <v>1930.27</v>
      </c>
      <c r="AB1302" s="1857">
        <v>2089.52</v>
      </c>
      <c r="AC1302" s="1963">
        <v>3155.16</v>
      </c>
      <c r="AD1302" s="1941"/>
      <c r="AE1302" s="1941"/>
      <c r="AF1302" s="1941"/>
      <c r="AG1302" s="1941"/>
      <c r="AH1302" s="163"/>
      <c r="AI1302" s="163"/>
      <c r="AJ1302" s="1942"/>
      <c r="AK1302" s="1942"/>
      <c r="AL1302" s="1942"/>
      <c r="AM1302" s="1942"/>
      <c r="AN1302" s="1942"/>
      <c r="AO1302" s="1942"/>
      <c r="AP1302" s="1942"/>
      <c r="AQ1302" s="1942"/>
      <c r="AR1302" s="1942"/>
      <c r="AS1302" s="1942"/>
      <c r="AT1302" s="1942"/>
      <c r="AU1302" s="1942"/>
      <c r="AV1302" s="1942"/>
      <c r="AW1302" s="1942"/>
      <c r="AX1302" s="1942"/>
      <c r="AY1302" s="1942"/>
      <c r="AZ1302" s="1942"/>
      <c r="BA1302" s="1942"/>
      <c r="BB1302" s="244">
        <f>(BD1302+BD1303+BD1304+BD1305)/(BE1302+BE1303+BE1304+BE1305)</f>
        <v>1.0187541099427053</v>
      </c>
      <c r="BC1302" s="3115" t="str">
        <f t="shared" si="137"/>
        <v>Cooling Res 6 Year EUL</v>
      </c>
      <c r="BD1302" s="673">
        <f>(INDEX('Avoided Cost Benefits'!$C$4:$C$857,MATCH(BC1302,'Avoided Cost Benefits'!$A$4:$A$857,0)))*F1302</f>
        <v>1834.6755715260178</v>
      </c>
      <c r="BE1302" s="1949">
        <f t="shared" si="138"/>
        <v>4586.1255309108064</v>
      </c>
    </row>
    <row r="1303" spans="1:57" s="51" customFormat="1" x14ac:dyDescent="0.25">
      <c r="A1303" s="1267" t="str">
        <f t="shared" si="135"/>
        <v>352200_2021_12_Heating RES</v>
      </c>
      <c r="B1303" s="123"/>
      <c r="C1303" s="3041" t="s">
        <v>1177</v>
      </c>
      <c r="D1303" s="1578" t="s">
        <v>320</v>
      </c>
      <c r="E1303" s="3007" t="s">
        <v>1178</v>
      </c>
      <c r="F1303" s="2689">
        <f>ROUND(((J1332*J1338*(1/J1343-1/J1350))/1000)*$J$1376,2)</f>
        <v>2827.56</v>
      </c>
      <c r="G1303" s="214" t="s">
        <v>259</v>
      </c>
      <c r="H1303" s="155">
        <f>VLOOKUP(G1303,'CP FACTORS'!$A$3:$B$38, 2, FALSE)</f>
        <v>0</v>
      </c>
      <c r="I1303" s="1554">
        <f t="shared" si="136"/>
        <v>0</v>
      </c>
      <c r="J1303" s="141">
        <v>6</v>
      </c>
      <c r="K1303" s="1579"/>
      <c r="L1303" s="62"/>
      <c r="M1303" s="123"/>
      <c r="N1303" s="123"/>
      <c r="O1303" s="123"/>
      <c r="P1303" s="123"/>
      <c r="Q1303" s="123"/>
      <c r="R1303" s="1431"/>
      <c r="S1303" s="123"/>
      <c r="T1303" s="123"/>
      <c r="U1303" s="123"/>
      <c r="V1303" s="1962" t="s">
        <v>31</v>
      </c>
      <c r="W1303" s="802">
        <v>6530.865353107697</v>
      </c>
      <c r="X1303" s="804">
        <v>3650.7555350956377</v>
      </c>
      <c r="Y1303" s="803">
        <v>2718.53</v>
      </c>
      <c r="Z1303" s="2216">
        <v>2718.53</v>
      </c>
      <c r="AA1303" s="2216">
        <v>2718.53</v>
      </c>
      <c r="AB1303" s="1857">
        <v>2968.34</v>
      </c>
      <c r="AC1303" s="1963">
        <v>2827.56</v>
      </c>
      <c r="AD1303" s="1941"/>
      <c r="AE1303" s="1941"/>
      <c r="AF1303" s="1941"/>
      <c r="AG1303" s="1941"/>
      <c r="AH1303" s="163"/>
      <c r="AI1303" s="163"/>
      <c r="AJ1303" s="1942"/>
      <c r="AK1303" s="1942"/>
      <c r="AL1303" s="1942"/>
      <c r="AM1303" s="1942"/>
      <c r="AN1303" s="1942"/>
      <c r="AO1303" s="1942"/>
      <c r="AP1303" s="1942"/>
      <c r="AQ1303" s="1942"/>
      <c r="AR1303" s="1942"/>
      <c r="AS1303" s="1942"/>
      <c r="AT1303" s="1942"/>
      <c r="AU1303" s="1942"/>
      <c r="AV1303" s="1942"/>
      <c r="AW1303" s="1942"/>
      <c r="AX1303" s="1942"/>
      <c r="AY1303" s="1942"/>
      <c r="AZ1303" s="1942"/>
      <c r="BA1303" s="1942"/>
      <c r="BB1303" s="734"/>
      <c r="BC1303" s="3130" t="str">
        <f t="shared" si="137"/>
        <v>Heating RES 6 Year EUL</v>
      </c>
      <c r="BD1303" s="673">
        <f>(INDEX('Avoided Cost Benefits'!$C$4:$C$857,MATCH(BC1303,'Avoided Cost Benefits'!$A$4:$A$857,0)))*F1303</f>
        <v>470.31796318817271</v>
      </c>
      <c r="BE1303" s="1949">
        <f t="shared" si="138"/>
        <v>0</v>
      </c>
    </row>
    <row r="1304" spans="1:57" s="51" customFormat="1" x14ac:dyDescent="0.25">
      <c r="A1304" s="1267" t="str">
        <f t="shared" si="135"/>
        <v>352200_2021_12_Cooling Res ER2</v>
      </c>
      <c r="B1304" s="123"/>
      <c r="C1304" s="3041" t="s">
        <v>1177</v>
      </c>
      <c r="D1304" s="1578" t="s">
        <v>320</v>
      </c>
      <c r="E1304" s="3007" t="s">
        <v>1179</v>
      </c>
      <c r="F1304" s="1797">
        <f>ROUND(((J1355*J1361*(1/J1369-1/J1373))/1000)*$J$1376,2)</f>
        <v>1481.42</v>
      </c>
      <c r="G1304" s="1580" t="s">
        <v>1176</v>
      </c>
      <c r="H1304" s="155">
        <f>VLOOKUP(G1304,'CP FACTORS'!$A$3:$B$38, 2, FALSE)</f>
        <v>9.4741810000000004E-4</v>
      </c>
      <c r="I1304" s="1554">
        <f t="shared" si="136"/>
        <v>1.403524</v>
      </c>
      <c r="J1304" s="141">
        <v>12</v>
      </c>
      <c r="K1304" s="1579"/>
      <c r="L1304" s="62"/>
      <c r="M1304" s="123"/>
      <c r="N1304" s="123"/>
      <c r="O1304" s="123"/>
      <c r="P1304" s="123"/>
      <c r="Q1304" s="123"/>
      <c r="R1304" s="1431"/>
      <c r="S1304" s="123"/>
      <c r="T1304" s="123"/>
      <c r="U1304" s="123"/>
      <c r="V1304" s="1962" t="s">
        <v>31</v>
      </c>
      <c r="W1304" s="424">
        <v>1460.3876720901126</v>
      </c>
      <c r="X1304" s="424">
        <v>1413.8603840319427</v>
      </c>
      <c r="Y1304" s="803">
        <v>1413.86</v>
      </c>
      <c r="Z1304" s="2216">
        <v>1413.86</v>
      </c>
      <c r="AA1304" s="2216">
        <v>1413.86</v>
      </c>
      <c r="AB1304" s="1857">
        <v>1536.02</v>
      </c>
      <c r="AC1304" s="1963">
        <v>1481.42</v>
      </c>
      <c r="AD1304" s="1941"/>
      <c r="AE1304" s="1941"/>
      <c r="AF1304" s="1941"/>
      <c r="AG1304" s="1941"/>
      <c r="AH1304" s="163"/>
      <c r="AI1304" s="163"/>
      <c r="AJ1304" s="1942"/>
      <c r="AK1304" s="1942"/>
      <c r="AL1304" s="1942"/>
      <c r="AM1304" s="1942"/>
      <c r="AN1304" s="1942"/>
      <c r="AO1304" s="1942"/>
      <c r="AP1304" s="1942"/>
      <c r="AQ1304" s="1942"/>
      <c r="AR1304" s="1942"/>
      <c r="AS1304" s="1942"/>
      <c r="AT1304" s="1942"/>
      <c r="AU1304" s="1942"/>
      <c r="AV1304" s="1942"/>
      <c r="AW1304" s="1942"/>
      <c r="AX1304" s="1942"/>
      <c r="AY1304" s="1942"/>
      <c r="AZ1304" s="1942"/>
      <c r="BA1304" s="1942"/>
      <c r="BB1304" s="734"/>
      <c r="BC1304" s="3130" t="str">
        <f t="shared" si="137"/>
        <v>Cooling Res ER2 12 Year EUL</v>
      </c>
      <c r="BD1304" s="673">
        <f>(INDEX('Avoided Cost Benefits'!$C$4:$C$857,MATCH(BC1304,'Avoided Cost Benefits'!$A$4:$A$857,0)))*F1304</f>
        <v>1751.5176991415799</v>
      </c>
      <c r="BE1304" s="1949">
        <f t="shared" si="138"/>
        <v>0</v>
      </c>
    </row>
    <row r="1305" spans="1:57" s="51" customFormat="1" x14ac:dyDescent="0.25">
      <c r="A1305" s="1267" t="str">
        <f t="shared" si="135"/>
        <v>352200_2021_12_Heating RES ER2</v>
      </c>
      <c r="B1305" s="123"/>
      <c r="C1305" s="3041" t="s">
        <v>1177</v>
      </c>
      <c r="D1305" s="1578" t="s">
        <v>320</v>
      </c>
      <c r="E1305" s="3005" t="s">
        <v>1179</v>
      </c>
      <c r="F1305" s="1797">
        <f>ROUND(((J1332*J1338*(1/J1344-1/J1350))/1000)*$J$1376,2)</f>
        <v>2082.04</v>
      </c>
      <c r="G1305" s="1580" t="s">
        <v>1036</v>
      </c>
      <c r="H1305" s="155">
        <f>VLOOKUP(G1305,'CP FACTORS'!$A$3:$B$38, 2, FALSE)</f>
        <v>0</v>
      </c>
      <c r="I1305" s="1554">
        <f t="shared" si="136"/>
        <v>0</v>
      </c>
      <c r="J1305" s="141">
        <v>12</v>
      </c>
      <c r="K1305" s="1579"/>
      <c r="L1305" s="62"/>
      <c r="M1305" s="123"/>
      <c r="N1305" s="123"/>
      <c r="O1305" s="123"/>
      <c r="P1305" s="123"/>
      <c r="Q1305" s="123"/>
      <c r="R1305" s="1431"/>
      <c r="S1305" s="123"/>
      <c r="T1305" s="123"/>
      <c r="U1305" s="123"/>
      <c r="V1305" s="1962" t="s">
        <v>31</v>
      </c>
      <c r="W1305" s="424">
        <v>6530.865353107697</v>
      </c>
      <c r="X1305" s="805">
        <v>2670.177267298056</v>
      </c>
      <c r="Y1305" s="803">
        <v>1988.35</v>
      </c>
      <c r="Z1305" s="2216">
        <v>1988.35</v>
      </c>
      <c r="AA1305" s="2216">
        <v>1988.35</v>
      </c>
      <c r="AB1305" s="1857">
        <v>2185.6999999999998</v>
      </c>
      <c r="AC1305" s="1963">
        <v>2082.04</v>
      </c>
      <c r="AD1305" s="1941"/>
      <c r="AE1305" s="1941"/>
      <c r="AF1305" s="1941"/>
      <c r="AG1305" s="1941"/>
      <c r="AH1305" s="163"/>
      <c r="AI1305" s="163"/>
      <c r="AJ1305" s="1942"/>
      <c r="AK1305" s="1942"/>
      <c r="AL1305" s="1942"/>
      <c r="AM1305" s="1942"/>
      <c r="AN1305" s="1942"/>
      <c r="AO1305" s="1942"/>
      <c r="AP1305" s="1942"/>
      <c r="AQ1305" s="1942"/>
      <c r="AR1305" s="1942"/>
      <c r="AS1305" s="1942"/>
      <c r="AT1305" s="1942"/>
      <c r="AU1305" s="1942"/>
      <c r="AV1305" s="1942"/>
      <c r="AW1305" s="1942"/>
      <c r="AX1305" s="1942"/>
      <c r="AY1305" s="1942"/>
      <c r="AZ1305" s="1942"/>
      <c r="BA1305" s="1942"/>
      <c r="BB1305" s="734"/>
      <c r="BC1305" s="3116" t="str">
        <f t="shared" si="137"/>
        <v>Heating RES ER2 12 Year EUL</v>
      </c>
      <c r="BD1305" s="673">
        <f>(INDEX('Avoided Cost Benefits'!$C$4:$C$857,MATCH(BC1305,'Avoided Cost Benefits'!$A$4:$A$857,0)))*F1305</f>
        <v>615.62299947278598</v>
      </c>
      <c r="BE1305" s="1949">
        <f t="shared" si="138"/>
        <v>0</v>
      </c>
    </row>
    <row r="1306" spans="1:57" s="51" customFormat="1" x14ac:dyDescent="0.25">
      <c r="A1306" s="1267" t="str">
        <f t="shared" si="135"/>
        <v>352250_2021_12_Cooling Res</v>
      </c>
      <c r="B1306" s="123"/>
      <c r="C1306" s="3041" t="s">
        <v>1180</v>
      </c>
      <c r="D1306" s="1578" t="s">
        <v>320</v>
      </c>
      <c r="E1306" s="2878" t="s">
        <v>1181</v>
      </c>
      <c r="F1306" s="2689">
        <f>ROUND(((J1357*J1363*(1/J1369-1/J1375))/1000)*$J$1376,2)</f>
        <v>1520.53</v>
      </c>
      <c r="G1306" s="214" t="s">
        <v>1134</v>
      </c>
      <c r="H1306" s="155">
        <f>VLOOKUP(G1306,'CP FACTORS'!$A$3:$B$38, 2, FALSE)</f>
        <v>9.4741810000000004E-4</v>
      </c>
      <c r="I1306" s="1554">
        <f t="shared" si="136"/>
        <v>1.4405779999999999</v>
      </c>
      <c r="J1306" s="141">
        <v>18</v>
      </c>
      <c r="K1306" s="1577">
        <v>3200</v>
      </c>
      <c r="L1306" s="62">
        <f>K1357</f>
        <v>4.1647727272727275</v>
      </c>
      <c r="M1306" s="123"/>
      <c r="N1306" s="123"/>
      <c r="O1306" s="123"/>
      <c r="P1306" s="123"/>
      <c r="Q1306" s="123"/>
      <c r="R1306" s="1431"/>
      <c r="S1306" s="123"/>
      <c r="T1306" s="123"/>
      <c r="U1306" s="123"/>
      <c r="V1306" s="1962" t="s">
        <v>31</v>
      </c>
      <c r="W1306" s="802">
        <v>1535.655749462109</v>
      </c>
      <c r="X1306" s="802">
        <v>1413.8603840319427</v>
      </c>
      <c r="Y1306" s="803">
        <v>1413.86</v>
      </c>
      <c r="Z1306" s="2216">
        <v>1413.86</v>
      </c>
      <c r="AA1306" s="2216">
        <v>1413.86</v>
      </c>
      <c r="AB1306" s="1857">
        <v>1553.75</v>
      </c>
      <c r="AC1306" s="1963">
        <v>1520.53</v>
      </c>
      <c r="AD1306" s="1941"/>
      <c r="AE1306" s="1941"/>
      <c r="AF1306" s="1941"/>
      <c r="AG1306" s="1941"/>
      <c r="AH1306" s="163"/>
      <c r="AI1306" s="163"/>
      <c r="AJ1306" s="1942"/>
      <c r="AK1306" s="1942"/>
      <c r="AL1306" s="1942"/>
      <c r="AM1306" s="1942"/>
      <c r="AN1306" s="1942"/>
      <c r="AO1306" s="1942"/>
      <c r="AP1306" s="1942"/>
      <c r="AQ1306" s="1942"/>
      <c r="AR1306" s="1942"/>
      <c r="AS1306" s="1942"/>
      <c r="AT1306" s="1942"/>
      <c r="AU1306" s="1942"/>
      <c r="AV1306" s="1942"/>
      <c r="AW1306" s="1942"/>
      <c r="AX1306" s="1942"/>
      <c r="AY1306" s="1942"/>
      <c r="AZ1306" s="1942"/>
      <c r="BA1306" s="1942"/>
      <c r="BB1306" s="244">
        <f>(BD1306+BD1307)/(BE1306+BE1307)</f>
        <v>1.2135734381188192</v>
      </c>
      <c r="BC1306" s="3115" t="str">
        <f t="shared" si="137"/>
        <v>Cooling Res 18 Year EUL</v>
      </c>
      <c r="BD1306" s="673">
        <f>(INDEX('Avoided Cost Benefits'!$C$4:$C$857,MATCH(BC1306,'Avoided Cost Benefits'!$A$4:$A$857,0)))*F1306</f>
        <v>2681.922486016123</v>
      </c>
      <c r="BE1306" s="1949">
        <f t="shared" si="138"/>
        <v>3020.2925908447378</v>
      </c>
    </row>
    <row r="1307" spans="1:57" s="51" customFormat="1" x14ac:dyDescent="0.25">
      <c r="A1307" s="1267" t="str">
        <f t="shared" si="135"/>
        <v>352250_2021_12_Heating RES</v>
      </c>
      <c r="B1307" s="123"/>
      <c r="C1307" s="3041" t="s">
        <v>1180</v>
      </c>
      <c r="D1307" s="1578" t="s">
        <v>320</v>
      </c>
      <c r="E1307" s="3005" t="s">
        <v>1181</v>
      </c>
      <c r="F1307" s="2689">
        <f>ROUND(((J1333*J1339*(1/J1345-1/J1351))/1000)*$J$1376,2)</f>
        <v>2128.5500000000002</v>
      </c>
      <c r="G1307" s="214" t="s">
        <v>259</v>
      </c>
      <c r="H1307" s="155">
        <f>VLOOKUP(G1307,'CP FACTORS'!$A$3:$B$38, 2, FALSE)</f>
        <v>0</v>
      </c>
      <c r="I1307" s="1554">
        <f t="shared" si="136"/>
        <v>0</v>
      </c>
      <c r="J1307" s="141">
        <v>18</v>
      </c>
      <c r="K1307" s="1230"/>
      <c r="L1307" s="63"/>
      <c r="M1307" s="123"/>
      <c r="N1307" s="123"/>
      <c r="O1307" s="123"/>
      <c r="P1307" s="123"/>
      <c r="Q1307" s="123"/>
      <c r="R1307" s="1431"/>
      <c r="S1307" s="123"/>
      <c r="T1307" s="123"/>
      <c r="U1307" s="123"/>
      <c r="V1307" s="1962" t="s">
        <v>31</v>
      </c>
      <c r="W1307" s="802">
        <v>7008.7335496765554</v>
      </c>
      <c r="X1307" s="804">
        <v>2670.177267298056</v>
      </c>
      <c r="Y1307" s="803">
        <v>1988.35</v>
      </c>
      <c r="Z1307" s="2216">
        <v>1988.35</v>
      </c>
      <c r="AA1307" s="2216">
        <v>1988.35</v>
      </c>
      <c r="AB1307" s="1857">
        <v>2199.89</v>
      </c>
      <c r="AC1307" s="1963">
        <v>2128.5500000000002</v>
      </c>
      <c r="AD1307" s="1941"/>
      <c r="AE1307" s="1941"/>
      <c r="AF1307" s="1941"/>
      <c r="AG1307" s="1941"/>
      <c r="AH1307" s="163"/>
      <c r="AI1307" s="163"/>
      <c r="AJ1307" s="1942"/>
      <c r="AK1307" s="1942"/>
      <c r="AL1307" s="1942"/>
      <c r="AM1307" s="1942"/>
      <c r="AN1307" s="1942"/>
      <c r="AO1307" s="1942"/>
      <c r="AP1307" s="1942"/>
      <c r="AQ1307" s="1942"/>
      <c r="AR1307" s="1942"/>
      <c r="AS1307" s="1942"/>
      <c r="AT1307" s="1942"/>
      <c r="AU1307" s="1942"/>
      <c r="AV1307" s="1942"/>
      <c r="AW1307" s="1942"/>
      <c r="AX1307" s="1942"/>
      <c r="AY1307" s="1942"/>
      <c r="AZ1307" s="1942"/>
      <c r="BA1307" s="1942"/>
      <c r="BB1307" s="246"/>
      <c r="BC1307" s="3116" t="str">
        <f t="shared" si="137"/>
        <v>Heating RES 18 Year EUL</v>
      </c>
      <c r="BD1307" s="677">
        <f>(INDEX('Avoided Cost Benefits'!$C$4:$C$857,MATCH(BC1307,'Avoided Cost Benefits'!$A$4:$A$857,0)))*F1307</f>
        <v>983.42437758012181</v>
      </c>
      <c r="BE1307" s="1950">
        <f t="shared" si="138"/>
        <v>0</v>
      </c>
    </row>
    <row r="1308" spans="1:57" s="51" customFormat="1" hidden="1" outlineLevel="1" x14ac:dyDescent="0.25">
      <c r="A1308" s="1267"/>
      <c r="B1308" s="123"/>
      <c r="C1308" s="328"/>
      <c r="D1308" s="329"/>
      <c r="E1308" s="329" t="s">
        <v>1127</v>
      </c>
      <c r="F1308" s="1492"/>
      <c r="G1308" s="1576"/>
      <c r="H1308" s="328"/>
      <c r="I1308" s="328"/>
      <c r="J1308" s="328"/>
      <c r="K1308" s="328"/>
      <c r="L1308" s="328"/>
      <c r="M1308" s="328"/>
      <c r="N1308" s="123"/>
      <c r="O1308" s="123"/>
      <c r="P1308" s="123"/>
      <c r="Q1308" s="123"/>
      <c r="R1308" s="123"/>
      <c r="S1308" s="123"/>
      <c r="T1308" s="123"/>
      <c r="U1308" s="123"/>
      <c r="V1308" s="123"/>
      <c r="W1308" s="1942"/>
      <c r="X1308" s="1942"/>
      <c r="Y1308" s="1942"/>
      <c r="Z1308" s="1942"/>
      <c r="AA1308" s="1942"/>
      <c r="AB1308" s="1942"/>
      <c r="AC1308" s="1942"/>
      <c r="AD1308" s="1942"/>
      <c r="AE1308" s="1942"/>
      <c r="AF1308" s="1942"/>
      <c r="AG1308" s="1942"/>
      <c r="AH1308" s="1942"/>
      <c r="AI1308" s="1942"/>
      <c r="AJ1308" s="1942"/>
      <c r="AK1308" s="1942"/>
      <c r="AL1308" s="1942"/>
      <c r="AM1308" s="1942"/>
      <c r="AN1308" s="1942"/>
      <c r="AO1308" s="1942"/>
      <c r="AP1308" s="1942"/>
      <c r="AQ1308" s="1942"/>
      <c r="AR1308" s="1942"/>
      <c r="AS1308" s="1942"/>
      <c r="AT1308" s="1942"/>
      <c r="AU1308" s="1942"/>
      <c r="AV1308" s="1942"/>
      <c r="AW1308" s="1942"/>
      <c r="AX1308" s="1942"/>
      <c r="AY1308" s="1942"/>
      <c r="AZ1308" s="1942"/>
      <c r="BA1308" s="1942"/>
      <c r="BB1308" s="575"/>
      <c r="BC1308" s="584"/>
      <c r="BD1308" s="678"/>
      <c r="BE1308" s="585"/>
    </row>
    <row r="1309" spans="1:57" s="51" customFormat="1" hidden="1" outlineLevel="1" x14ac:dyDescent="0.25">
      <c r="A1309" s="1267"/>
      <c r="B1309" s="123"/>
      <c r="C1309" s="328"/>
      <c r="D1309" s="329"/>
      <c r="E1309" s="329"/>
      <c r="F1309" s="1492"/>
      <c r="G1309" s="1576"/>
      <c r="H1309" s="328"/>
      <c r="I1309" s="328"/>
      <c r="J1309" s="328"/>
      <c r="K1309" s="328"/>
      <c r="L1309" s="328"/>
      <c r="M1309" s="328"/>
      <c r="N1309" s="123"/>
      <c r="O1309" s="123"/>
      <c r="P1309" s="123"/>
      <c r="Q1309" s="123"/>
      <c r="R1309" s="123"/>
      <c r="S1309" s="123"/>
      <c r="T1309" s="123"/>
      <c r="U1309" s="123"/>
      <c r="V1309" s="123"/>
      <c r="W1309" s="1942"/>
      <c r="X1309" s="1942"/>
      <c r="Y1309" s="1942"/>
      <c r="Z1309" s="1942"/>
      <c r="AA1309" s="1942"/>
      <c r="AB1309" s="1942"/>
      <c r="AC1309" s="1942"/>
      <c r="AD1309" s="1942"/>
      <c r="AE1309" s="1942"/>
      <c r="AF1309" s="1942"/>
      <c r="AG1309" s="1942"/>
      <c r="AH1309" s="1942"/>
      <c r="AI1309" s="1942"/>
      <c r="AJ1309" s="1942"/>
      <c r="AK1309" s="1942"/>
      <c r="AL1309" s="1942"/>
      <c r="AM1309" s="1942"/>
      <c r="AN1309" s="1942"/>
      <c r="AO1309" s="1942"/>
      <c r="AP1309" s="1942"/>
      <c r="AQ1309" s="1942"/>
      <c r="AR1309" s="1942"/>
      <c r="AS1309" s="1942"/>
      <c r="AT1309" s="1942"/>
      <c r="AU1309" s="1942"/>
      <c r="AV1309" s="1942"/>
      <c r="AW1309" s="1942"/>
      <c r="AX1309" s="1942"/>
      <c r="AY1309" s="1942"/>
      <c r="AZ1309" s="1942"/>
      <c r="BA1309" s="1942"/>
      <c r="BB1309" s="575"/>
      <c r="BC1309" s="584"/>
      <c r="BD1309" s="678"/>
      <c r="BE1309" s="585"/>
    </row>
    <row r="1310" spans="1:57" s="51" customFormat="1" hidden="1" outlineLevel="1" x14ac:dyDescent="0.25">
      <c r="A1310" s="1267"/>
      <c r="B1310" s="123"/>
      <c r="C1310" s="328"/>
      <c r="D1310" s="174" t="s">
        <v>108</v>
      </c>
      <c r="E1310" s="679"/>
      <c r="F1310" s="123"/>
      <c r="G1310" s="329"/>
      <c r="H1310" s="123"/>
      <c r="I1310" s="353"/>
      <c r="J1310" s="123"/>
      <c r="K1310" s="123"/>
      <c r="L1310" s="123"/>
      <c r="M1310" s="123"/>
      <c r="N1310" s="123"/>
      <c r="O1310" s="123"/>
      <c r="P1310" s="123"/>
      <c r="Q1310" s="123"/>
      <c r="R1310" s="123"/>
      <c r="S1310" s="123"/>
      <c r="T1310" s="123"/>
      <c r="U1310" s="123"/>
      <c r="V1310" s="123"/>
      <c r="W1310" s="1942"/>
      <c r="X1310" s="1942"/>
      <c r="Y1310" s="1942"/>
      <c r="Z1310" s="1942"/>
      <c r="AA1310" s="1942"/>
      <c r="AB1310" s="1942"/>
      <c r="AC1310" s="1942"/>
      <c r="AD1310" s="1942"/>
      <c r="AE1310" s="1942"/>
      <c r="AF1310" s="1942"/>
      <c r="AG1310" s="1942"/>
      <c r="AH1310" s="1942"/>
      <c r="AI1310" s="1942"/>
      <c r="AJ1310" s="1942"/>
      <c r="AK1310" s="1942"/>
      <c r="AL1310" s="1942"/>
      <c r="AM1310" s="1942"/>
      <c r="AN1310" s="1942"/>
      <c r="AO1310" s="1942"/>
      <c r="AP1310" s="1942"/>
      <c r="AQ1310" s="1942"/>
      <c r="AR1310" s="1942"/>
      <c r="AS1310" s="1942"/>
      <c r="AT1310" s="1942"/>
      <c r="AU1310" s="1942"/>
      <c r="AV1310" s="1942"/>
      <c r="AW1310" s="1942"/>
      <c r="AX1310" s="1942"/>
      <c r="AY1310" s="1942"/>
      <c r="AZ1310" s="1942"/>
      <c r="BA1310" s="1942"/>
      <c r="BB1310" s="575"/>
      <c r="BC1310" s="584"/>
      <c r="BD1310" s="678"/>
      <c r="BE1310" s="585"/>
    </row>
    <row r="1311" spans="1:57" s="51" customFormat="1" hidden="1" outlineLevel="1" x14ac:dyDescent="0.25">
      <c r="A1311" s="1267"/>
      <c r="B1311" s="123"/>
      <c r="C1311" s="328"/>
      <c r="D1311" s="329"/>
      <c r="E1311" s="329"/>
      <c r="F1311" s="123"/>
      <c r="G1311" s="530"/>
      <c r="H1311" s="328"/>
      <c r="I1311" s="353"/>
      <c r="J1311" s="123"/>
      <c r="K1311" s="123"/>
      <c r="L1311" s="123"/>
      <c r="M1311" s="123"/>
      <c r="N1311" s="123"/>
      <c r="O1311" s="123"/>
      <c r="P1311" s="123"/>
      <c r="Q1311" s="123"/>
      <c r="R1311" s="123"/>
      <c r="S1311" s="123"/>
      <c r="T1311" s="123"/>
      <c r="U1311" s="123"/>
      <c r="V1311" s="123"/>
      <c r="W1311" s="1942"/>
      <c r="X1311" s="1942"/>
      <c r="Y1311" s="1942"/>
      <c r="Z1311" s="1942"/>
      <c r="AA1311" s="1942"/>
      <c r="AB1311" s="1942"/>
      <c r="AC1311" s="1942"/>
      <c r="AD1311" s="1942"/>
      <c r="AE1311" s="1942"/>
      <c r="AF1311" s="1942"/>
      <c r="AG1311" s="1942"/>
      <c r="AH1311" s="1942"/>
      <c r="AI1311" s="1942"/>
      <c r="AJ1311" s="1942"/>
      <c r="AK1311" s="1942"/>
      <c r="AL1311" s="1942"/>
      <c r="AM1311" s="1942"/>
      <c r="AN1311" s="1942"/>
      <c r="AO1311" s="1942"/>
      <c r="AP1311" s="1942"/>
      <c r="AQ1311" s="1942"/>
      <c r="AR1311" s="1942"/>
      <c r="AS1311" s="1942"/>
      <c r="AT1311" s="1942"/>
      <c r="AU1311" s="1942"/>
      <c r="AV1311" s="1942"/>
      <c r="AW1311" s="1942"/>
      <c r="AX1311" s="1942"/>
      <c r="AY1311" s="1942"/>
      <c r="AZ1311" s="1942"/>
      <c r="BA1311" s="1942"/>
      <c r="BB1311" s="575"/>
      <c r="BC1311" s="584"/>
      <c r="BD1311" s="678"/>
      <c r="BE1311" s="585"/>
    </row>
    <row r="1312" spans="1:57" s="51" customFormat="1" hidden="1" outlineLevel="1" x14ac:dyDescent="0.25">
      <c r="A1312" s="1267"/>
      <c r="B1312" s="123"/>
      <c r="C1312" s="328"/>
      <c r="D1312" s="329"/>
      <c r="E1312" s="679"/>
      <c r="F1312" s="685"/>
      <c r="G1312" s="530"/>
      <c r="H1312" s="328"/>
      <c r="I1312" s="353"/>
      <c r="J1312" s="123"/>
      <c r="K1312" s="123"/>
      <c r="L1312" s="123"/>
      <c r="M1312" s="123"/>
      <c r="N1312" s="123"/>
      <c r="O1312" s="123"/>
      <c r="P1312" s="123"/>
      <c r="Q1312" s="123"/>
      <c r="R1312" s="123"/>
      <c r="S1312" s="123"/>
      <c r="T1312" s="123"/>
      <c r="U1312" s="123"/>
      <c r="V1312" s="123"/>
      <c r="W1312" s="1942"/>
      <c r="X1312" s="1942"/>
      <c r="Y1312" s="1942"/>
      <c r="Z1312" s="1942"/>
      <c r="AA1312" s="1942"/>
      <c r="AB1312" s="1942"/>
      <c r="AC1312" s="1942"/>
      <c r="AD1312" s="1942"/>
      <c r="AE1312" s="1942"/>
      <c r="AF1312" s="1942"/>
      <c r="AG1312" s="1942"/>
      <c r="AH1312" s="1942"/>
      <c r="AI1312" s="1942"/>
      <c r="AJ1312" s="1942"/>
      <c r="AK1312" s="1942"/>
      <c r="AL1312" s="1942"/>
      <c r="AM1312" s="1942"/>
      <c r="AN1312" s="1942"/>
      <c r="AO1312" s="1942"/>
      <c r="AP1312" s="1942"/>
      <c r="AQ1312" s="1942"/>
      <c r="AR1312" s="1942"/>
      <c r="AS1312" s="1942"/>
      <c r="AT1312" s="1942"/>
      <c r="AU1312" s="1942"/>
      <c r="AV1312" s="1942"/>
      <c r="AW1312" s="1942"/>
      <c r="AX1312" s="1942"/>
      <c r="AY1312" s="1942"/>
      <c r="AZ1312" s="1942"/>
      <c r="BA1312" s="1942"/>
      <c r="BB1312" s="575"/>
      <c r="BC1312" s="584"/>
      <c r="BD1312" s="678"/>
      <c r="BE1312" s="585"/>
    </row>
    <row r="1313" spans="1:57" s="51" customFormat="1" hidden="1" outlineLevel="1" x14ac:dyDescent="0.25">
      <c r="A1313" s="1267"/>
      <c r="B1313" s="123"/>
      <c r="C1313" s="328"/>
      <c r="D1313" s="329"/>
      <c r="E1313" s="679"/>
      <c r="F1313" s="685"/>
      <c r="G1313" s="530"/>
      <c r="H1313" s="328"/>
      <c r="I1313" s="353"/>
      <c r="J1313" s="123"/>
      <c r="K1313" s="123"/>
      <c r="L1313" s="123"/>
      <c r="M1313" s="123"/>
      <c r="N1313" s="123"/>
      <c r="O1313" s="123"/>
      <c r="P1313" s="123"/>
      <c r="Q1313" s="123"/>
      <c r="R1313" s="123"/>
      <c r="S1313" s="123"/>
      <c r="T1313" s="123"/>
      <c r="U1313" s="123"/>
      <c r="V1313" s="123"/>
      <c r="W1313" s="1942"/>
      <c r="X1313" s="1942"/>
      <c r="Y1313" s="1942"/>
      <c r="Z1313" s="1942"/>
      <c r="AA1313" s="1942"/>
      <c r="AB1313" s="1942"/>
      <c r="AC1313" s="1942"/>
      <c r="AD1313" s="1942"/>
      <c r="AE1313" s="1942"/>
      <c r="AF1313" s="1942"/>
      <c r="AG1313" s="1942"/>
      <c r="AH1313" s="1942"/>
      <c r="AI1313" s="1942"/>
      <c r="AJ1313" s="1942"/>
      <c r="AK1313" s="1942"/>
      <c r="AL1313" s="1942"/>
      <c r="AM1313" s="1942"/>
      <c r="AN1313" s="1942"/>
      <c r="AO1313" s="1942"/>
      <c r="AP1313" s="1942"/>
      <c r="AQ1313" s="1942"/>
      <c r="AR1313" s="1942"/>
      <c r="AS1313" s="1942"/>
      <c r="AT1313" s="1942"/>
      <c r="AU1313" s="1942"/>
      <c r="AV1313" s="1942"/>
      <c r="AW1313" s="1942"/>
      <c r="AX1313" s="1942"/>
      <c r="AY1313" s="1942"/>
      <c r="AZ1313" s="1942"/>
      <c r="BA1313" s="1942"/>
      <c r="BB1313" s="575"/>
      <c r="BC1313" s="584"/>
      <c r="BD1313" s="678"/>
      <c r="BE1313" s="585"/>
    </row>
    <row r="1314" spans="1:57" s="51" customFormat="1" hidden="1" outlineLevel="1" x14ac:dyDescent="0.25">
      <c r="A1314" s="1267"/>
      <c r="B1314" s="123"/>
      <c r="C1314" s="328"/>
      <c r="D1314" s="329"/>
      <c r="E1314" s="679"/>
      <c r="F1314" s="685"/>
      <c r="G1314" s="530"/>
      <c r="H1314" s="328"/>
      <c r="I1314" s="353"/>
      <c r="J1314" s="123"/>
      <c r="K1314" s="123"/>
      <c r="L1314" s="123"/>
      <c r="M1314" s="123"/>
      <c r="N1314" s="123"/>
      <c r="O1314" s="123"/>
      <c r="P1314" s="123"/>
      <c r="Q1314" s="123"/>
      <c r="R1314" s="123"/>
      <c r="S1314" s="123"/>
      <c r="T1314" s="123"/>
      <c r="U1314" s="123"/>
      <c r="V1314" s="123"/>
      <c r="W1314" s="1942"/>
      <c r="X1314" s="1942"/>
      <c r="Y1314" s="1942"/>
      <c r="Z1314" s="1942"/>
      <c r="AA1314" s="1942"/>
      <c r="AB1314" s="1942"/>
      <c r="AC1314" s="1942"/>
      <c r="AD1314" s="1942"/>
      <c r="AE1314" s="1942"/>
      <c r="AF1314" s="1942"/>
      <c r="AG1314" s="1942"/>
      <c r="AH1314" s="1942"/>
      <c r="AI1314" s="1942"/>
      <c r="AJ1314" s="1942"/>
      <c r="AK1314" s="1942"/>
      <c r="AL1314" s="1942"/>
      <c r="AM1314" s="1942"/>
      <c r="AN1314" s="1942"/>
      <c r="AO1314" s="1942"/>
      <c r="AP1314" s="1942"/>
      <c r="AQ1314" s="1942"/>
      <c r="AR1314" s="1942"/>
      <c r="AS1314" s="1942"/>
      <c r="AT1314" s="1942"/>
      <c r="AU1314" s="1942"/>
      <c r="AV1314" s="1942"/>
      <c r="AW1314" s="1942"/>
      <c r="AX1314" s="1942"/>
      <c r="AY1314" s="1942"/>
      <c r="AZ1314" s="1942"/>
      <c r="BA1314" s="1942"/>
      <c r="BB1314" s="575"/>
      <c r="BC1314" s="584"/>
      <c r="BD1314" s="678"/>
      <c r="BE1314" s="585"/>
    </row>
    <row r="1315" spans="1:57" s="51" customFormat="1" hidden="1" outlineLevel="1" x14ac:dyDescent="0.25">
      <c r="A1315" s="1267"/>
      <c r="B1315" s="123"/>
      <c r="C1315" s="328"/>
      <c r="D1315" s="329"/>
      <c r="E1315" s="679"/>
      <c r="F1315" s="685"/>
      <c r="G1315" s="530"/>
      <c r="H1315" s="328"/>
      <c r="I1315" s="353"/>
      <c r="J1315" s="123"/>
      <c r="K1315" s="123"/>
      <c r="L1315" s="123"/>
      <c r="M1315" s="123"/>
      <c r="N1315" s="123"/>
      <c r="O1315" s="123"/>
      <c r="P1315" s="123"/>
      <c r="Q1315" s="123"/>
      <c r="R1315" s="123"/>
      <c r="S1315" s="123"/>
      <c r="T1315" s="123"/>
      <c r="U1315" s="123"/>
      <c r="V1315" s="123"/>
      <c r="W1315" s="1942"/>
      <c r="X1315" s="1942"/>
      <c r="Y1315" s="1942"/>
      <c r="Z1315" s="1942"/>
      <c r="AA1315" s="1942"/>
      <c r="AB1315" s="1942"/>
      <c r="AC1315" s="1942"/>
      <c r="AD1315" s="1942"/>
      <c r="AE1315" s="1942"/>
      <c r="AF1315" s="1942"/>
      <c r="AG1315" s="1942"/>
      <c r="AH1315" s="1942"/>
      <c r="AI1315" s="1942"/>
      <c r="AJ1315" s="1942"/>
      <c r="AK1315" s="1942"/>
      <c r="AL1315" s="1942"/>
      <c r="AM1315" s="1942"/>
      <c r="AN1315" s="1942"/>
      <c r="AO1315" s="1942"/>
      <c r="AP1315" s="1942"/>
      <c r="AQ1315" s="1942"/>
      <c r="AR1315" s="1942"/>
      <c r="AS1315" s="1942"/>
      <c r="AT1315" s="1942"/>
      <c r="AU1315" s="1942"/>
      <c r="AV1315" s="1942"/>
      <c r="AW1315" s="1942"/>
      <c r="AX1315" s="1942"/>
      <c r="AY1315" s="1942"/>
      <c r="AZ1315" s="1942"/>
      <c r="BA1315" s="1942"/>
      <c r="BB1315" s="575"/>
      <c r="BC1315" s="584"/>
      <c r="BD1315" s="678"/>
      <c r="BE1315" s="585"/>
    </row>
    <row r="1316" spans="1:57" s="51" customFormat="1" hidden="1" outlineLevel="1" x14ac:dyDescent="0.25">
      <c r="A1316" s="1267"/>
      <c r="B1316" s="123"/>
      <c r="C1316" s="328"/>
      <c r="D1316" s="329" t="s">
        <v>973</v>
      </c>
      <c r="E1316" s="679"/>
      <c r="F1316" s="685"/>
      <c r="G1316" s="530"/>
      <c r="H1316" s="328"/>
      <c r="I1316" s="353"/>
      <c r="J1316" s="123"/>
      <c r="K1316" s="123"/>
      <c r="L1316" s="123"/>
      <c r="M1316" s="123"/>
      <c r="N1316" s="123"/>
      <c r="O1316" s="123"/>
      <c r="P1316" s="123"/>
      <c r="Q1316" s="123"/>
      <c r="R1316" s="123"/>
      <c r="S1316" s="123"/>
      <c r="T1316" s="123"/>
      <c r="U1316" s="123"/>
      <c r="V1316" s="123"/>
      <c r="W1316" s="1942"/>
      <c r="X1316" s="1942"/>
      <c r="Y1316" s="1942"/>
      <c r="Z1316" s="1942"/>
      <c r="AA1316" s="1942"/>
      <c r="AB1316" s="1942"/>
      <c r="AC1316" s="1942"/>
      <c r="AD1316" s="1942"/>
      <c r="AE1316" s="1942"/>
      <c r="AF1316" s="1942"/>
      <c r="AG1316" s="1942"/>
      <c r="AH1316" s="1942"/>
      <c r="AI1316" s="1942"/>
      <c r="AJ1316" s="1942"/>
      <c r="AK1316" s="1942"/>
      <c r="AL1316" s="1942"/>
      <c r="AM1316" s="1942"/>
      <c r="AN1316" s="1942"/>
      <c r="AO1316" s="1942"/>
      <c r="AP1316" s="1942"/>
      <c r="AQ1316" s="1942"/>
      <c r="AR1316" s="1942"/>
      <c r="AS1316" s="1942"/>
      <c r="AT1316" s="1942"/>
      <c r="AU1316" s="1942"/>
      <c r="AV1316" s="1942"/>
      <c r="AW1316" s="1942"/>
      <c r="AX1316" s="1942"/>
      <c r="AY1316" s="1942"/>
      <c r="AZ1316" s="1942"/>
      <c r="BA1316" s="1942"/>
      <c r="BB1316" s="575"/>
      <c r="BC1316" s="584"/>
      <c r="BD1316" s="678"/>
      <c r="BE1316" s="585"/>
    </row>
    <row r="1317" spans="1:57" s="51" customFormat="1" hidden="1" outlineLevel="1" x14ac:dyDescent="0.25">
      <c r="A1317" s="1267"/>
      <c r="B1317" s="123"/>
      <c r="C1317" s="328"/>
      <c r="D1317" s="329"/>
      <c r="E1317" s="679"/>
      <c r="F1317" s="685"/>
      <c r="G1317" s="530"/>
      <c r="H1317" s="328"/>
      <c r="I1317" s="353"/>
      <c r="J1317" s="123"/>
      <c r="K1317" s="123"/>
      <c r="L1317" s="123"/>
      <c r="M1317" s="123"/>
      <c r="N1317" s="123"/>
      <c r="O1317" s="123"/>
      <c r="P1317" s="123"/>
      <c r="Q1317" s="123"/>
      <c r="R1317" s="123"/>
      <c r="S1317" s="123"/>
      <c r="T1317" s="123"/>
      <c r="U1317" s="123"/>
      <c r="V1317" s="123"/>
      <c r="W1317" s="1942"/>
      <c r="X1317" s="1942"/>
      <c r="Y1317" s="1942"/>
      <c r="Z1317" s="1942"/>
      <c r="AA1317" s="1942"/>
      <c r="AB1317" s="1942"/>
      <c r="AC1317" s="1942"/>
      <c r="AD1317" s="1942"/>
      <c r="AE1317" s="1942"/>
      <c r="AF1317" s="1942"/>
      <c r="AG1317" s="1942"/>
      <c r="AH1317" s="1942"/>
      <c r="AI1317" s="1942"/>
      <c r="AJ1317" s="1942"/>
      <c r="AK1317" s="1942"/>
      <c r="AL1317" s="1942"/>
      <c r="AM1317" s="1942"/>
      <c r="AN1317" s="1942"/>
      <c r="AO1317" s="1942"/>
      <c r="AP1317" s="1942"/>
      <c r="AQ1317" s="1942"/>
      <c r="AR1317" s="1942"/>
      <c r="AS1317" s="1942"/>
      <c r="AT1317" s="1942"/>
      <c r="AU1317" s="1942"/>
      <c r="AV1317" s="1942"/>
      <c r="AW1317" s="1942"/>
      <c r="AX1317" s="1942"/>
      <c r="AY1317" s="1942"/>
      <c r="AZ1317" s="1942"/>
      <c r="BA1317" s="1942"/>
      <c r="BB1317" s="575"/>
      <c r="BC1317" s="584"/>
      <c r="BD1317" s="678"/>
      <c r="BE1317" s="585"/>
    </row>
    <row r="1318" spans="1:57" s="51" customFormat="1" hidden="1" outlineLevel="1" x14ac:dyDescent="0.25">
      <c r="A1318" s="1267"/>
      <c r="B1318" s="123"/>
      <c r="C1318" s="328"/>
      <c r="D1318" s="329"/>
      <c r="E1318" s="679"/>
      <c r="F1318" s="685"/>
      <c r="G1318" s="530"/>
      <c r="H1318" s="328"/>
      <c r="I1318" s="353"/>
      <c r="J1318" s="123"/>
      <c r="K1318" s="123"/>
      <c r="L1318" s="123"/>
      <c r="M1318" s="123"/>
      <c r="N1318" s="123"/>
      <c r="O1318" s="123"/>
      <c r="P1318" s="123"/>
      <c r="Q1318" s="123"/>
      <c r="R1318" s="123"/>
      <c r="S1318" s="123"/>
      <c r="T1318" s="123"/>
      <c r="U1318" s="123"/>
      <c r="V1318" s="123"/>
      <c r="W1318" s="1942"/>
      <c r="X1318" s="1942"/>
      <c r="Y1318" s="1942"/>
      <c r="Z1318" s="1942"/>
      <c r="AA1318" s="1942"/>
      <c r="AB1318" s="1942"/>
      <c r="AC1318" s="1942"/>
      <c r="AD1318" s="1942"/>
      <c r="AE1318" s="1942"/>
      <c r="AF1318" s="1942"/>
      <c r="AG1318" s="1942"/>
      <c r="AH1318" s="1942"/>
      <c r="AI1318" s="1942"/>
      <c r="AJ1318" s="1942"/>
      <c r="AK1318" s="1942"/>
      <c r="AL1318" s="1942"/>
      <c r="AM1318" s="1942"/>
      <c r="AN1318" s="1942"/>
      <c r="AO1318" s="1942"/>
      <c r="AP1318" s="1942"/>
      <c r="AQ1318" s="1942"/>
      <c r="AR1318" s="1942"/>
      <c r="AS1318" s="1942"/>
      <c r="AT1318" s="1942"/>
      <c r="AU1318" s="1942"/>
      <c r="AV1318" s="1942"/>
      <c r="AW1318" s="1942"/>
      <c r="AX1318" s="1942"/>
      <c r="AY1318" s="1942"/>
      <c r="AZ1318" s="1942"/>
      <c r="BA1318" s="1942"/>
      <c r="BB1318" s="575"/>
      <c r="BC1318" s="584"/>
      <c r="BD1318" s="678"/>
      <c r="BE1318" s="585"/>
    </row>
    <row r="1319" spans="1:57" s="51" customFormat="1" hidden="1" outlineLevel="1" x14ac:dyDescent="0.25">
      <c r="A1319" s="1267"/>
      <c r="B1319" s="123"/>
      <c r="C1319" s="328"/>
      <c r="D1319" s="329"/>
      <c r="E1319" s="679"/>
      <c r="F1319" s="685"/>
      <c r="G1319" s="530"/>
      <c r="H1319" s="328"/>
      <c r="I1319" s="353"/>
      <c r="J1319" s="123"/>
      <c r="K1319" s="123"/>
      <c r="L1319" s="123"/>
      <c r="M1319" s="123"/>
      <c r="N1319" s="123"/>
      <c r="O1319" s="123"/>
      <c r="P1319" s="123"/>
      <c r="Q1319" s="123"/>
      <c r="R1319" s="123"/>
      <c r="S1319" s="123"/>
      <c r="T1319" s="123"/>
      <c r="U1319" s="123"/>
      <c r="V1319" s="123"/>
      <c r="W1319" s="1942"/>
      <c r="X1319" s="1942"/>
      <c r="Y1319" s="1942"/>
      <c r="Z1319" s="1942"/>
      <c r="AA1319" s="1942"/>
      <c r="AB1319" s="1942"/>
      <c r="AC1319" s="1942"/>
      <c r="AD1319" s="1942"/>
      <c r="AE1319" s="1942"/>
      <c r="AF1319" s="1942"/>
      <c r="AG1319" s="1942"/>
      <c r="AH1319" s="1942"/>
      <c r="AI1319" s="1942"/>
      <c r="AJ1319" s="1942"/>
      <c r="AK1319" s="1942"/>
      <c r="AL1319" s="1942"/>
      <c r="AM1319" s="1942"/>
      <c r="AN1319" s="1942"/>
      <c r="AO1319" s="1942"/>
      <c r="AP1319" s="1942"/>
      <c r="AQ1319" s="1942"/>
      <c r="AR1319" s="1942"/>
      <c r="AS1319" s="1942"/>
      <c r="AT1319" s="1942"/>
      <c r="AU1319" s="1942"/>
      <c r="AV1319" s="1942"/>
      <c r="AW1319" s="1942"/>
      <c r="AX1319" s="1942"/>
      <c r="AY1319" s="1942"/>
      <c r="AZ1319" s="1942"/>
      <c r="BA1319" s="1942"/>
      <c r="BB1319" s="575"/>
      <c r="BC1319" s="584"/>
      <c r="BD1319" s="678"/>
      <c r="BE1319" s="585"/>
    </row>
    <row r="1320" spans="1:57" s="51" customFormat="1" hidden="1" outlineLevel="1" x14ac:dyDescent="0.25">
      <c r="A1320" s="1267"/>
      <c r="B1320" s="123"/>
      <c r="C1320" s="328"/>
      <c r="D1320" s="329"/>
      <c r="E1320" s="679"/>
      <c r="F1320" s="685"/>
      <c r="G1320" s="530"/>
      <c r="H1320" s="328"/>
      <c r="I1320" s="353"/>
      <c r="J1320" s="123"/>
      <c r="K1320" s="123"/>
      <c r="L1320" s="123"/>
      <c r="M1320" s="123"/>
      <c r="N1320" s="123"/>
      <c r="O1320" s="123"/>
      <c r="P1320" s="123"/>
      <c r="Q1320" s="123"/>
      <c r="R1320" s="123"/>
      <c r="S1320" s="123"/>
      <c r="T1320" s="123"/>
      <c r="U1320" s="123"/>
      <c r="V1320" s="123"/>
      <c r="W1320" s="1942"/>
      <c r="X1320" s="1942"/>
      <c r="Y1320" s="1942"/>
      <c r="Z1320" s="1942"/>
      <c r="AA1320" s="1942"/>
      <c r="AB1320" s="1942"/>
      <c r="AC1320" s="1942"/>
      <c r="AD1320" s="1942"/>
      <c r="AE1320" s="1942"/>
      <c r="AF1320" s="1942"/>
      <c r="AG1320" s="1942"/>
      <c r="AH1320" s="1942"/>
      <c r="AI1320" s="1942"/>
      <c r="AJ1320" s="1942"/>
      <c r="AK1320" s="1942"/>
      <c r="AL1320" s="1942"/>
      <c r="AM1320" s="1942"/>
      <c r="AN1320" s="1942"/>
      <c r="AO1320" s="1942"/>
      <c r="AP1320" s="1942"/>
      <c r="AQ1320" s="1942"/>
      <c r="AR1320" s="1942"/>
      <c r="AS1320" s="1942"/>
      <c r="AT1320" s="1942"/>
      <c r="AU1320" s="1942"/>
      <c r="AV1320" s="1942"/>
      <c r="AW1320" s="1942"/>
      <c r="AX1320" s="1942"/>
      <c r="AY1320" s="1942"/>
      <c r="AZ1320" s="1942"/>
      <c r="BA1320" s="1942"/>
      <c r="BB1320" s="575"/>
      <c r="BC1320" s="584"/>
      <c r="BD1320" s="678"/>
      <c r="BE1320" s="585"/>
    </row>
    <row r="1321" spans="1:57" s="51" customFormat="1" hidden="1" outlineLevel="1" x14ac:dyDescent="0.25">
      <c r="A1321" s="1267"/>
      <c r="B1321" s="123"/>
      <c r="C1321" s="328"/>
      <c r="D1321" s="329"/>
      <c r="E1321" s="329"/>
      <c r="F1321" s="685"/>
      <c r="G1321" s="530"/>
      <c r="H1321" s="328"/>
      <c r="I1321" s="353"/>
      <c r="J1321" s="123"/>
      <c r="K1321" s="123"/>
      <c r="L1321" s="123"/>
      <c r="M1321" s="123"/>
      <c r="N1321" s="123"/>
      <c r="O1321" s="123"/>
      <c r="P1321" s="123"/>
      <c r="Q1321" s="123"/>
      <c r="R1321" s="123"/>
      <c r="S1321" s="123"/>
      <c r="T1321" s="123"/>
      <c r="U1321" s="123"/>
      <c r="V1321" s="123"/>
      <c r="W1321" s="1942"/>
      <c r="X1321" s="1942"/>
      <c r="Y1321" s="1942"/>
      <c r="Z1321" s="1942"/>
      <c r="AA1321" s="1942"/>
      <c r="AB1321" s="1942"/>
      <c r="AC1321" s="1942"/>
      <c r="AD1321" s="1942"/>
      <c r="AE1321" s="1942"/>
      <c r="AF1321" s="1942"/>
      <c r="AG1321" s="1942"/>
      <c r="AH1321" s="1942"/>
      <c r="AI1321" s="1942"/>
      <c r="AJ1321" s="1942"/>
      <c r="AK1321" s="1942"/>
      <c r="AL1321" s="1942"/>
      <c r="AM1321" s="1942"/>
      <c r="AN1321" s="1942"/>
      <c r="AO1321" s="1942"/>
      <c r="AP1321" s="1942"/>
      <c r="AQ1321" s="1942"/>
      <c r="AR1321" s="1942"/>
      <c r="AS1321" s="1942"/>
      <c r="AT1321" s="1942"/>
      <c r="AU1321" s="1942"/>
      <c r="AV1321" s="1942"/>
      <c r="AW1321" s="1942"/>
      <c r="AX1321" s="1942"/>
      <c r="AY1321" s="1942"/>
      <c r="AZ1321" s="1942"/>
      <c r="BA1321" s="1942"/>
      <c r="BB1321" s="575"/>
      <c r="BC1321" s="584"/>
      <c r="BD1321" s="678"/>
      <c r="BE1321" s="585"/>
    </row>
    <row r="1322" spans="1:57" s="51" customFormat="1" hidden="1" outlineLevel="1" x14ac:dyDescent="0.25">
      <c r="A1322" s="1267"/>
      <c r="B1322" s="123"/>
      <c r="C1322" s="328"/>
      <c r="D1322" s="329" t="s">
        <v>1077</v>
      </c>
      <c r="E1322" s="329"/>
      <c r="F1322" s="685"/>
      <c r="G1322" s="530"/>
      <c r="H1322" s="328"/>
      <c r="I1322" s="353"/>
      <c r="J1322" s="123"/>
      <c r="K1322" s="123"/>
      <c r="L1322" s="123"/>
      <c r="M1322" s="123"/>
      <c r="N1322" s="123"/>
      <c r="O1322" s="123"/>
      <c r="P1322" s="123"/>
      <c r="Q1322" s="123"/>
      <c r="R1322" s="123"/>
      <c r="S1322" s="123"/>
      <c r="T1322" s="123"/>
      <c r="U1322" s="123"/>
      <c r="V1322" s="123"/>
      <c r="W1322" s="1942"/>
      <c r="X1322" s="1942"/>
      <c r="Y1322" s="1942"/>
      <c r="Z1322" s="1942"/>
      <c r="AA1322" s="1942"/>
      <c r="AB1322" s="1942"/>
      <c r="AC1322" s="1942"/>
      <c r="AD1322" s="1942"/>
      <c r="AE1322" s="1942"/>
      <c r="AF1322" s="1942"/>
      <c r="AG1322" s="1942"/>
      <c r="AH1322" s="1942"/>
      <c r="AI1322" s="1942"/>
      <c r="AJ1322" s="1942"/>
      <c r="AK1322" s="1942"/>
      <c r="AL1322" s="1942"/>
      <c r="AM1322" s="1942"/>
      <c r="AN1322" s="1942"/>
      <c r="AO1322" s="1942"/>
      <c r="AP1322" s="1942"/>
      <c r="AQ1322" s="1942"/>
      <c r="AR1322" s="1942"/>
      <c r="AS1322" s="1942"/>
      <c r="AT1322" s="1942"/>
      <c r="AU1322" s="1942"/>
      <c r="AV1322" s="1942"/>
      <c r="AW1322" s="1942"/>
      <c r="AX1322" s="1942"/>
      <c r="AY1322" s="1942"/>
      <c r="AZ1322" s="1942"/>
      <c r="BA1322" s="1942"/>
      <c r="BB1322" s="575"/>
      <c r="BC1322" s="584"/>
      <c r="BD1322" s="678"/>
      <c r="BE1322" s="585"/>
    </row>
    <row r="1323" spans="1:57" s="51" customFormat="1" hidden="1" outlineLevel="1" x14ac:dyDescent="0.25">
      <c r="A1323" s="1267"/>
      <c r="B1323" s="123"/>
      <c r="C1323" s="328"/>
      <c r="D1323" s="329"/>
      <c r="E1323" s="329"/>
      <c r="F1323" s="685"/>
      <c r="G1323" s="530"/>
      <c r="H1323" s="328"/>
      <c r="I1323" s="353"/>
      <c r="J1323" s="123"/>
      <c r="K1323" s="123"/>
      <c r="L1323" s="123"/>
      <c r="M1323" s="123"/>
      <c r="N1323" s="123"/>
      <c r="O1323" s="123"/>
      <c r="P1323" s="123"/>
      <c r="Q1323" s="123"/>
      <c r="R1323" s="123"/>
      <c r="S1323" s="123"/>
      <c r="T1323" s="123"/>
      <c r="U1323" s="123"/>
      <c r="V1323" s="123"/>
      <c r="W1323" s="1942"/>
      <c r="X1323" s="1942"/>
      <c r="Y1323" s="1942"/>
      <c r="Z1323" s="1942"/>
      <c r="AA1323" s="1942"/>
      <c r="AB1323" s="1942"/>
      <c r="AC1323" s="1942"/>
      <c r="AD1323" s="1942"/>
      <c r="AE1323" s="1942"/>
      <c r="AF1323" s="1942"/>
      <c r="AG1323" s="1942"/>
      <c r="AH1323" s="1942"/>
      <c r="AI1323" s="1942"/>
      <c r="AJ1323" s="1942"/>
      <c r="AK1323" s="1942"/>
      <c r="AL1323" s="1942"/>
      <c r="AM1323" s="1942"/>
      <c r="AN1323" s="1942"/>
      <c r="AO1323" s="1942"/>
      <c r="AP1323" s="1942"/>
      <c r="AQ1323" s="1942"/>
      <c r="AR1323" s="1942"/>
      <c r="AS1323" s="1942"/>
      <c r="AT1323" s="1942"/>
      <c r="AU1323" s="1942"/>
      <c r="AV1323" s="1942"/>
      <c r="AW1323" s="1942"/>
      <c r="AX1323" s="1942"/>
      <c r="AY1323" s="1942"/>
      <c r="AZ1323" s="1942"/>
      <c r="BA1323" s="1942"/>
      <c r="BB1323" s="575"/>
      <c r="BC1323" s="584"/>
      <c r="BD1323" s="678"/>
      <c r="BE1323" s="585"/>
    </row>
    <row r="1324" spans="1:57" s="51" customFormat="1" hidden="1" outlineLevel="1" x14ac:dyDescent="0.25">
      <c r="A1324" s="1267"/>
      <c r="B1324" s="123"/>
      <c r="C1324" s="328"/>
      <c r="D1324" s="329"/>
      <c r="E1324" s="329"/>
      <c r="F1324" s="685"/>
      <c r="G1324" s="530"/>
      <c r="H1324" s="328"/>
      <c r="I1324" s="123"/>
      <c r="J1324" s="123"/>
      <c r="K1324" s="123"/>
      <c r="L1324" s="123"/>
      <c r="M1324" s="123"/>
      <c r="N1324" s="123"/>
      <c r="O1324" s="123"/>
      <c r="P1324" s="123"/>
      <c r="Q1324" s="123"/>
      <c r="R1324" s="123"/>
      <c r="S1324" s="123"/>
      <c r="T1324" s="123"/>
      <c r="U1324" s="123"/>
      <c r="V1324" s="123"/>
      <c r="W1324" s="1942"/>
      <c r="X1324" s="1942"/>
      <c r="Y1324" s="1942"/>
      <c r="Z1324" s="1942"/>
      <c r="AA1324" s="1942"/>
      <c r="AB1324" s="1942"/>
      <c r="AC1324" s="1942"/>
      <c r="AD1324" s="1942"/>
      <c r="AE1324" s="1942"/>
      <c r="AF1324" s="1942"/>
      <c r="AG1324" s="1942"/>
      <c r="AH1324" s="1942"/>
      <c r="AI1324" s="1942"/>
      <c r="AJ1324" s="1942"/>
      <c r="AK1324" s="1942"/>
      <c r="AL1324" s="1942"/>
      <c r="AM1324" s="1942"/>
      <c r="AN1324" s="1942"/>
      <c r="AO1324" s="1942"/>
      <c r="AP1324" s="1942"/>
      <c r="AQ1324" s="1942"/>
      <c r="AR1324" s="1942"/>
      <c r="AS1324" s="1942"/>
      <c r="AT1324" s="1942"/>
      <c r="AU1324" s="1942"/>
      <c r="AV1324" s="1942"/>
      <c r="AW1324" s="1942"/>
      <c r="AX1324" s="1942"/>
      <c r="AY1324" s="1942"/>
      <c r="AZ1324" s="1942"/>
      <c r="BA1324" s="1942"/>
      <c r="BB1324" s="575"/>
      <c r="BC1324" s="584"/>
      <c r="BD1324" s="678"/>
      <c r="BE1324" s="585"/>
    </row>
    <row r="1325" spans="1:57" s="51" customFormat="1" hidden="1" outlineLevel="1" x14ac:dyDescent="0.25">
      <c r="A1325" s="1267"/>
      <c r="B1325" s="123"/>
      <c r="C1325" s="328"/>
      <c r="D1325" s="329"/>
      <c r="E1325" s="329"/>
      <c r="F1325" s="123"/>
      <c r="G1325" s="329"/>
      <c r="H1325" s="328"/>
      <c r="I1325" s="123"/>
      <c r="J1325" s="123"/>
      <c r="K1325" s="123"/>
      <c r="L1325" s="123"/>
      <c r="M1325" s="123"/>
      <c r="N1325" s="123"/>
      <c r="O1325" s="123"/>
      <c r="P1325" s="1581"/>
      <c r="Q1325" s="123"/>
      <c r="R1325" s="123"/>
      <c r="S1325" s="123"/>
      <c r="T1325" s="123"/>
      <c r="U1325" s="123"/>
      <c r="V1325" s="123"/>
      <c r="W1325" s="1942"/>
      <c r="X1325" s="1942"/>
      <c r="Y1325" s="1942"/>
      <c r="Z1325" s="1942"/>
      <c r="AA1325" s="1942"/>
      <c r="AB1325" s="1942"/>
      <c r="AC1325" s="1942"/>
      <c r="AD1325" s="1942"/>
      <c r="AE1325" s="1942"/>
      <c r="AF1325" s="1942"/>
      <c r="AG1325" s="1942"/>
      <c r="AH1325" s="1942"/>
      <c r="AI1325" s="1942"/>
      <c r="AJ1325" s="1942"/>
      <c r="AK1325" s="1942"/>
      <c r="AL1325" s="1942"/>
      <c r="AM1325" s="1942"/>
      <c r="AN1325" s="1942"/>
      <c r="AO1325" s="1942"/>
      <c r="AP1325" s="1942"/>
      <c r="AQ1325" s="1942"/>
      <c r="AR1325" s="1942"/>
      <c r="AS1325" s="1942"/>
      <c r="AT1325" s="1942"/>
      <c r="AU1325" s="1942"/>
      <c r="AV1325" s="1942"/>
      <c r="AW1325" s="1942"/>
      <c r="AX1325" s="1942"/>
      <c r="AY1325" s="1942"/>
      <c r="AZ1325" s="1942"/>
      <c r="BA1325" s="1942"/>
      <c r="BB1325" s="575"/>
      <c r="BC1325" s="584"/>
      <c r="BD1325" s="678"/>
      <c r="BE1325" s="585"/>
    </row>
    <row r="1326" spans="1:57" s="51" customFormat="1" hidden="1" outlineLevel="1" x14ac:dyDescent="0.25">
      <c r="A1326" s="1267"/>
      <c r="B1326" s="123"/>
      <c r="C1326" s="328"/>
      <c r="D1326" s="329"/>
      <c r="E1326" s="329"/>
      <c r="F1326" s="123"/>
      <c r="G1326" s="329"/>
      <c r="H1326" s="328"/>
      <c r="I1326" s="328"/>
      <c r="J1326" s="328"/>
      <c r="K1326" s="328"/>
      <c r="L1326" s="328"/>
      <c r="M1326" s="328"/>
      <c r="N1326" s="123"/>
      <c r="O1326" s="123"/>
      <c r="P1326" s="3160"/>
      <c r="Q1326" s="147"/>
      <c r="R1326" s="147"/>
      <c r="S1326" s="147"/>
      <c r="T1326" s="123"/>
      <c r="U1326" s="123"/>
      <c r="V1326" s="123"/>
      <c r="W1326" s="1942"/>
      <c r="X1326" s="1942"/>
      <c r="Y1326" s="1942"/>
      <c r="Z1326" s="1942"/>
      <c r="AA1326" s="1942"/>
      <c r="AB1326" s="1942"/>
      <c r="AC1326" s="1942"/>
      <c r="AD1326" s="1942"/>
      <c r="AE1326" s="1942"/>
      <c r="AF1326" s="1942"/>
      <c r="AG1326" s="1942"/>
      <c r="AH1326" s="1942"/>
      <c r="AI1326" s="1942"/>
      <c r="AJ1326" s="1942"/>
      <c r="AK1326" s="1942"/>
      <c r="AL1326" s="1942"/>
      <c r="AM1326" s="1942"/>
      <c r="AN1326" s="1942"/>
      <c r="AO1326" s="1942"/>
      <c r="AP1326" s="1942"/>
      <c r="AQ1326" s="1942"/>
      <c r="AR1326" s="1942"/>
      <c r="AS1326" s="1942"/>
      <c r="AT1326" s="1942"/>
      <c r="AU1326" s="1942"/>
      <c r="AV1326" s="1942"/>
      <c r="AW1326" s="1942"/>
      <c r="AX1326" s="1942"/>
      <c r="AY1326" s="1942"/>
      <c r="AZ1326" s="1942"/>
      <c r="BA1326" s="1942"/>
      <c r="BB1326" s="575"/>
      <c r="BC1326" s="584"/>
      <c r="BD1326" s="678"/>
      <c r="BE1326" s="585"/>
    </row>
    <row r="1327" spans="1:57" s="51" customFormat="1" ht="30.75" hidden="1" outlineLevel="1" thickBot="1" x14ac:dyDescent="0.3">
      <c r="A1327" s="1267"/>
      <c r="B1327" s="123"/>
      <c r="C1327" s="328"/>
      <c r="D1327" s="380" t="s">
        <v>109</v>
      </c>
      <c r="E1327" s="380" t="s">
        <v>110</v>
      </c>
      <c r="F1327" s="4068" t="s">
        <v>186</v>
      </c>
      <c r="G1327" s="4068"/>
      <c r="H1327" s="4068"/>
      <c r="I1327" s="3161" t="s">
        <v>28</v>
      </c>
      <c r="J1327" s="3161" t="s">
        <v>112</v>
      </c>
      <c r="K1327" s="3161" t="s">
        <v>977</v>
      </c>
      <c r="L1327" s="3161" t="s">
        <v>410</v>
      </c>
      <c r="M1327" s="123"/>
      <c r="N1327" s="123"/>
      <c r="O1327" s="123"/>
      <c r="P1327" s="147"/>
      <c r="Q1327" s="147"/>
      <c r="R1327" s="147"/>
      <c r="S1327" s="147"/>
      <c r="T1327" s="123"/>
      <c r="U1327" s="123"/>
      <c r="V1327" s="551" t="s">
        <v>45</v>
      </c>
      <c r="W1327" s="1937">
        <v>43252</v>
      </c>
      <c r="X1327" s="1937">
        <f>$X$6</f>
        <v>43465</v>
      </c>
      <c r="Y1327" s="1937">
        <f>$Y$6</f>
        <v>43800</v>
      </c>
      <c r="Z1327" s="1937">
        <f>$Z$6</f>
        <v>43862</v>
      </c>
      <c r="AA1327" s="1937">
        <f>$AA$6</f>
        <v>44013</v>
      </c>
      <c r="AB1327" s="1937">
        <f>$AB$6</f>
        <v>44166</v>
      </c>
      <c r="AC1327" s="1937">
        <f>$AC$6</f>
        <v>44531</v>
      </c>
      <c r="AD1327" s="1937" t="str">
        <f>$AD$6</f>
        <v>-</v>
      </c>
      <c r="AE1327" s="1937" t="str">
        <f>$AE$6</f>
        <v>-</v>
      </c>
      <c r="AF1327" s="1937" t="str">
        <f>$AF$6</f>
        <v>-</v>
      </c>
      <c r="AG1327" s="1937" t="str">
        <f>$AG$6</f>
        <v>-</v>
      </c>
      <c r="AH1327" s="1942"/>
      <c r="AI1327" s="1942"/>
      <c r="AJ1327" s="1942"/>
      <c r="AK1327" s="1942"/>
      <c r="AL1327" s="1942"/>
      <c r="AM1327" s="1942"/>
      <c r="AN1327" s="1942"/>
      <c r="AO1327" s="1942"/>
      <c r="AP1327" s="1942"/>
      <c r="AQ1327" s="1942"/>
      <c r="AR1327" s="1942"/>
      <c r="AS1327" s="1942"/>
      <c r="AT1327" s="1942"/>
      <c r="AU1327" s="1942"/>
      <c r="AV1327" s="1942"/>
      <c r="AW1327" s="1942"/>
      <c r="AX1327" s="1942"/>
      <c r="AY1327" s="1942"/>
      <c r="AZ1327" s="1942"/>
      <c r="BA1327" s="1942"/>
      <c r="BB1327" s="575"/>
      <c r="BC1327" s="584"/>
      <c r="BD1327" s="678"/>
      <c r="BE1327" s="585"/>
    </row>
    <row r="1328" spans="1:57" s="51" customFormat="1" hidden="1" outlineLevel="1" x14ac:dyDescent="0.25">
      <c r="A1328" s="1267"/>
      <c r="B1328" s="123"/>
      <c r="C1328" s="328"/>
      <c r="D1328" s="3989" t="s">
        <v>1147</v>
      </c>
      <c r="E1328" s="4008" t="s">
        <v>1182</v>
      </c>
      <c r="F1328" s="4043" t="str">
        <f>$E$1297</f>
        <v>GSHP-EER23-Replace_CAC_ElectricHeat_ROF_SF</v>
      </c>
      <c r="G1328" s="4043"/>
      <c r="H1328" s="4043"/>
      <c r="I1328" s="2857"/>
      <c r="J1328" s="2225">
        <v>46600</v>
      </c>
      <c r="K1328" s="2098">
        <f>J1328/12000</f>
        <v>3.8833333333333333</v>
      </c>
      <c r="L1328" s="4055" t="s">
        <v>1183</v>
      </c>
      <c r="M1328" s="123"/>
      <c r="N1328" s="123"/>
      <c r="O1328" s="123"/>
      <c r="P1328" s="4064"/>
      <c r="Q1328" s="4069"/>
      <c r="R1328" s="4069"/>
      <c r="S1328" s="147"/>
      <c r="T1328" s="685"/>
      <c r="U1328" s="123"/>
      <c r="V1328" s="3989" t="s">
        <v>1147</v>
      </c>
      <c r="W1328" s="2857">
        <v>49199.999999999993</v>
      </c>
      <c r="X1328" s="3155">
        <f>3.99*12000</f>
        <v>47880</v>
      </c>
      <c r="Y1328" s="3155">
        <f>3.98*12000</f>
        <v>47760</v>
      </c>
      <c r="Z1328" s="2857">
        <f t="shared" ref="Z1328:AA1328" si="139">3.98*12000</f>
        <v>47760</v>
      </c>
      <c r="AA1328" s="2857">
        <f t="shared" si="139"/>
        <v>47760</v>
      </c>
      <c r="AB1328" s="2225">
        <v>49745.454545454544</v>
      </c>
      <c r="AC1328" s="2225">
        <v>46600</v>
      </c>
      <c r="AD1328" s="2861"/>
      <c r="AE1328" s="2861"/>
      <c r="AF1328" s="2861"/>
      <c r="AG1328" s="2861"/>
      <c r="AH1328" s="1942"/>
      <c r="AI1328" s="1942"/>
      <c r="AJ1328" s="1942"/>
      <c r="AK1328" s="1942"/>
      <c r="AL1328" s="1942"/>
      <c r="AM1328" s="1942"/>
      <c r="AN1328" s="1942"/>
      <c r="AO1328" s="1942"/>
      <c r="AP1328" s="1942"/>
      <c r="AQ1328" s="1942"/>
      <c r="AR1328" s="1942"/>
      <c r="AS1328" s="1942"/>
      <c r="AT1328" s="1942"/>
      <c r="AU1328" s="1942"/>
      <c r="AV1328" s="1942"/>
      <c r="AW1328" s="1942"/>
      <c r="AX1328" s="1942"/>
      <c r="AY1328" s="1942"/>
      <c r="AZ1328" s="1942"/>
      <c r="BA1328" s="1942"/>
      <c r="BB1328" s="575"/>
      <c r="BC1328" s="584"/>
      <c r="BD1328" s="678"/>
      <c r="BE1328" s="585"/>
    </row>
    <row r="1329" spans="1:57" s="51" customFormat="1" hidden="1" outlineLevel="1" x14ac:dyDescent="0.25">
      <c r="A1329" s="1267"/>
      <c r="B1329" s="123"/>
      <c r="C1329" s="328"/>
      <c r="D1329" s="3990"/>
      <c r="E1329" s="4009"/>
      <c r="F1329" s="4058" t="str">
        <f>$E$1299</f>
        <v>GSHP-EER23-Replace_CAC_ElectricHeat_ER1_SF</v>
      </c>
      <c r="G1329" s="4058"/>
      <c r="H1329" s="4058"/>
      <c r="I1329" s="696"/>
      <c r="J1329" s="2276">
        <v>48705.882352941175</v>
      </c>
      <c r="K1329" s="2706">
        <f>J1329/12000</f>
        <v>4.0588235294117645</v>
      </c>
      <c r="L1329" s="4056"/>
      <c r="M1329" s="123"/>
      <c r="N1329" s="123"/>
      <c r="O1329" s="123"/>
      <c r="P1329" s="3159"/>
      <c r="Q1329" s="3159"/>
      <c r="R1329" s="3159"/>
      <c r="S1329" s="147"/>
      <c r="T1329" s="4070"/>
      <c r="U1329" s="123"/>
      <c r="V1329" s="3990"/>
      <c r="W1329" s="696">
        <v>49199.999999999993</v>
      </c>
      <c r="X1329" s="3158">
        <f>3.99*12000</f>
        <v>47880</v>
      </c>
      <c r="Y1329" s="3158">
        <f>3.86*12000</f>
        <v>46320</v>
      </c>
      <c r="Z1329" s="696">
        <f t="shared" ref="Z1329:AA1330" si="140">3.86*12000</f>
        <v>46320</v>
      </c>
      <c r="AA1329" s="696">
        <f t="shared" si="140"/>
        <v>46320</v>
      </c>
      <c r="AB1329" s="2276">
        <v>45750</v>
      </c>
      <c r="AC1329" s="2276">
        <v>48705.882352941175</v>
      </c>
      <c r="AD1329" s="2857"/>
      <c r="AE1329" s="2857"/>
      <c r="AF1329" s="2857"/>
      <c r="AG1329" s="2857"/>
      <c r="AH1329" s="1942"/>
      <c r="AI1329" s="1942"/>
      <c r="AJ1329" s="1942"/>
      <c r="AK1329" s="1942"/>
      <c r="AL1329" s="1942"/>
      <c r="AM1329" s="1942"/>
      <c r="AN1329" s="1942"/>
      <c r="AO1329" s="1942"/>
      <c r="AP1329" s="1942"/>
      <c r="AQ1329" s="1942"/>
      <c r="AR1329" s="1942"/>
      <c r="AS1329" s="1942"/>
      <c r="AT1329" s="1942"/>
      <c r="AU1329" s="1942"/>
      <c r="AV1329" s="1942"/>
      <c r="AW1329" s="1942"/>
      <c r="AX1329" s="1942"/>
      <c r="AY1329" s="1942"/>
      <c r="AZ1329" s="1942"/>
      <c r="BA1329" s="1942"/>
      <c r="BB1329" s="575"/>
      <c r="BC1329" s="584"/>
      <c r="BD1329" s="678"/>
      <c r="BE1329" s="585"/>
    </row>
    <row r="1330" spans="1:57" s="51" customFormat="1" hidden="1" outlineLevel="1" x14ac:dyDescent="0.25">
      <c r="A1330" s="1267"/>
      <c r="B1330" s="123"/>
      <c r="C1330" s="328"/>
      <c r="D1330" s="3990"/>
      <c r="E1330" s="4009"/>
      <c r="F1330" s="4043" t="str">
        <f>$E$1301</f>
        <v>GSHP-EER23-Replace_CAC_ElectricHeat_ER2_SF</v>
      </c>
      <c r="G1330" s="4043"/>
      <c r="H1330" s="4043"/>
      <c r="I1330" s="2857"/>
      <c r="J1330" s="2225">
        <f>J1329</f>
        <v>48705.882352941175</v>
      </c>
      <c r="K1330" s="2854">
        <f>J1330/12000</f>
        <v>4.0588235294117645</v>
      </c>
      <c r="L1330" s="4056"/>
      <c r="M1330" s="123"/>
      <c r="N1330" s="123"/>
      <c r="O1330" s="123"/>
      <c r="P1330" s="1550"/>
      <c r="Q1330" s="1829"/>
      <c r="R1330" s="1829"/>
      <c r="S1330" s="1838"/>
      <c r="T1330" s="3755"/>
      <c r="U1330" s="123"/>
      <c r="V1330" s="3990"/>
      <c r="W1330" s="2857">
        <v>49199.999999999993</v>
      </c>
      <c r="X1330" s="3155">
        <f>3.99*12000</f>
        <v>47880</v>
      </c>
      <c r="Y1330" s="3155">
        <f>3.86*12000</f>
        <v>46320</v>
      </c>
      <c r="Z1330" s="2857">
        <f t="shared" si="140"/>
        <v>46320</v>
      </c>
      <c r="AA1330" s="2857">
        <f t="shared" si="140"/>
        <v>46320</v>
      </c>
      <c r="AB1330" s="2225">
        <v>45750</v>
      </c>
      <c r="AC1330" s="2225">
        <v>48705.882352941175</v>
      </c>
      <c r="AD1330" s="2857"/>
      <c r="AE1330" s="2857"/>
      <c r="AF1330" s="2857"/>
      <c r="AG1330" s="2857"/>
      <c r="AH1330" s="1942"/>
      <c r="AI1330" s="1942"/>
      <c r="AJ1330" s="1942"/>
      <c r="AK1330" s="1942"/>
      <c r="AL1330" s="1942"/>
      <c r="AM1330" s="1942"/>
      <c r="AN1330" s="1942"/>
      <c r="AO1330" s="1942"/>
      <c r="AP1330" s="1942"/>
      <c r="AQ1330" s="1942"/>
      <c r="AR1330" s="1942"/>
      <c r="AS1330" s="1942"/>
      <c r="AT1330" s="1942"/>
      <c r="AU1330" s="1942"/>
      <c r="AV1330" s="1942"/>
      <c r="AW1330" s="1942"/>
      <c r="AX1330" s="1942"/>
      <c r="AY1330" s="1942"/>
      <c r="AZ1330" s="1942"/>
      <c r="BA1330" s="1942"/>
      <c r="BB1330" s="575"/>
      <c r="BC1330" s="584"/>
      <c r="BD1330" s="678"/>
      <c r="BE1330" s="585"/>
    </row>
    <row r="1331" spans="1:57" s="1942" customFormat="1" hidden="1" outlineLevel="1" x14ac:dyDescent="0.25">
      <c r="A1331" s="1267"/>
      <c r="B1331" s="123"/>
      <c r="C1331" s="328"/>
      <c r="D1331" s="3990"/>
      <c r="E1331" s="4009"/>
      <c r="F1331" s="3992" t="str">
        <f>$E$1303</f>
        <v>GSHP-EER23_ER1_SF</v>
      </c>
      <c r="G1331" s="3992"/>
      <c r="H1331" s="3992"/>
      <c r="I1331" s="2857"/>
      <c r="J1331" s="2225">
        <v>48885.24590163934</v>
      </c>
      <c r="K1331" s="2854">
        <v>4.2</v>
      </c>
      <c r="L1331" s="4056"/>
      <c r="M1331" s="123"/>
      <c r="N1331" s="123"/>
      <c r="O1331" s="123"/>
      <c r="P1331" s="1550"/>
      <c r="Q1331" s="1829"/>
      <c r="R1331" s="1829"/>
      <c r="S1331" s="1838"/>
      <c r="T1331" s="3755"/>
      <c r="U1331" s="123"/>
      <c r="V1331" s="3990"/>
      <c r="W1331" s="2857"/>
      <c r="X1331" s="3155"/>
      <c r="Y1331" s="3155"/>
      <c r="Z1331" s="2857"/>
      <c r="AA1331" s="2857"/>
      <c r="AB1331" s="2225">
        <v>51319.148936170212</v>
      </c>
      <c r="AC1331" s="2225">
        <v>48885.24590163934</v>
      </c>
      <c r="AD1331" s="2857"/>
      <c r="AE1331" s="2857"/>
      <c r="AF1331" s="2857"/>
      <c r="AG1331" s="2857"/>
      <c r="BB1331" s="575"/>
      <c r="BC1331" s="584"/>
      <c r="BD1331" s="678"/>
      <c r="BE1331" s="585"/>
    </row>
    <row r="1332" spans="1:57" s="51" customFormat="1" hidden="1" outlineLevel="1" x14ac:dyDescent="0.25">
      <c r="A1332" s="1267"/>
      <c r="B1332" s="123"/>
      <c r="C1332" s="328"/>
      <c r="D1332" s="3990"/>
      <c r="E1332" s="4009"/>
      <c r="F1332" s="4043" t="str">
        <f>$E$1305</f>
        <v>GSHP-EER23_ER2_SF</v>
      </c>
      <c r="G1332" s="4043"/>
      <c r="H1332" s="4043"/>
      <c r="I1332" s="2857"/>
      <c r="J1332" s="2225">
        <f>J1331</f>
        <v>48885.24590163934</v>
      </c>
      <c r="K1332" s="2854">
        <f>J1332/12000</f>
        <v>4.0737704918032787</v>
      </c>
      <c r="L1332" s="4056"/>
      <c r="M1332" s="123"/>
      <c r="N1332" s="123"/>
      <c r="O1332" s="123"/>
      <c r="P1332" s="1550"/>
      <c r="Q1332" s="1829"/>
      <c r="R1332" s="1829"/>
      <c r="S1332" s="1838"/>
      <c r="T1332" s="3755"/>
      <c r="U1332" s="123"/>
      <c r="V1332" s="3990"/>
      <c r="W1332" s="2857">
        <v>49199.999999999993</v>
      </c>
      <c r="X1332" s="3155">
        <f>3.99*12000</f>
        <v>47880</v>
      </c>
      <c r="Y1332" s="3155">
        <f>4.2*12000</f>
        <v>50400</v>
      </c>
      <c r="Z1332" s="2857">
        <f t="shared" ref="Z1332:AA1332" si="141">4.2*12000</f>
        <v>50400</v>
      </c>
      <c r="AA1332" s="2857">
        <f t="shared" si="141"/>
        <v>50400</v>
      </c>
      <c r="AB1332" s="2225">
        <v>51319.148936170212</v>
      </c>
      <c r="AC1332" s="2225">
        <v>48885.24590163934</v>
      </c>
      <c r="AD1332" s="2857"/>
      <c r="AE1332" s="2857"/>
      <c r="AF1332" s="2857"/>
      <c r="AG1332" s="2857"/>
      <c r="AH1332" s="1942"/>
      <c r="AI1332" s="1942"/>
      <c r="AJ1332" s="1942"/>
      <c r="AK1332" s="1942"/>
      <c r="AL1332" s="1942"/>
      <c r="AM1332" s="1942"/>
      <c r="AN1332" s="1942"/>
      <c r="AO1332" s="1942"/>
      <c r="AP1332" s="1942"/>
      <c r="AQ1332" s="1942"/>
      <c r="AR1332" s="1942"/>
      <c r="AS1332" s="1942"/>
      <c r="AT1332" s="1942"/>
      <c r="AU1332" s="1942"/>
      <c r="AV1332" s="1942"/>
      <c r="AW1332" s="1942"/>
      <c r="AX1332" s="1942"/>
      <c r="AY1332" s="1942"/>
      <c r="AZ1332" s="1942"/>
      <c r="BA1332" s="1942"/>
      <c r="BB1332" s="575"/>
      <c r="BC1332" s="584"/>
      <c r="BD1332" s="678"/>
      <c r="BE1332" s="585"/>
    </row>
    <row r="1333" spans="1:57" s="51" customFormat="1" ht="15.75" hidden="1" outlineLevel="1" thickBot="1" x14ac:dyDescent="0.3">
      <c r="A1333" s="1267"/>
      <c r="B1333" s="123"/>
      <c r="C1333" s="328"/>
      <c r="D1333" s="3991"/>
      <c r="E1333" s="4025"/>
      <c r="F1333" s="4054" t="str">
        <f>$E$1307</f>
        <v>GSHP-EER23_ROF_SF</v>
      </c>
      <c r="G1333" s="4054"/>
      <c r="H1333" s="4054"/>
      <c r="I1333" s="2860"/>
      <c r="J1333" s="2261">
        <v>49977.272727272728</v>
      </c>
      <c r="K1333" s="2707">
        <f>J1333/12000</f>
        <v>4.1647727272727275</v>
      </c>
      <c r="L1333" s="4057"/>
      <c r="M1333" s="123"/>
      <c r="N1333" s="123"/>
      <c r="O1333" s="123"/>
      <c r="P1333" s="1550"/>
      <c r="Q1333" s="1829"/>
      <c r="R1333" s="1829"/>
      <c r="S1333" s="1838"/>
      <c r="T1333" s="3755"/>
      <c r="U1333" s="123"/>
      <c r="V1333" s="3991"/>
      <c r="W1333" s="2860">
        <v>52800.000000000007</v>
      </c>
      <c r="X1333" s="3156">
        <f>3.99*12000</f>
        <v>47880</v>
      </c>
      <c r="Y1333" s="3156">
        <f>3.93*12000</f>
        <v>47160</v>
      </c>
      <c r="Z1333" s="2860">
        <f t="shared" ref="Z1333:AA1333" si="142">3.93*12000</f>
        <v>47160</v>
      </c>
      <c r="AA1333" s="2860">
        <f t="shared" si="142"/>
        <v>47160</v>
      </c>
      <c r="AB1333" s="2261">
        <v>51652.173913043473</v>
      </c>
      <c r="AC1333" s="2261">
        <v>49977.272727272728</v>
      </c>
      <c r="AD1333" s="2860"/>
      <c r="AE1333" s="2860"/>
      <c r="AF1333" s="2860"/>
      <c r="AG1333" s="2860"/>
      <c r="AH1333" s="1942"/>
      <c r="AI1333" s="1942"/>
      <c r="AJ1333" s="1942"/>
      <c r="AK1333" s="1942"/>
      <c r="AL1333" s="1942"/>
      <c r="AM1333" s="1942"/>
      <c r="AN1333" s="1942"/>
      <c r="AO1333" s="1942"/>
      <c r="AP1333" s="1942"/>
      <c r="AQ1333" s="1942"/>
      <c r="AR1333" s="1942"/>
      <c r="AS1333" s="1942"/>
      <c r="AT1333" s="1942"/>
      <c r="AU1333" s="1942"/>
      <c r="AV1333" s="1942"/>
      <c r="AW1333" s="1942"/>
      <c r="AX1333" s="1942"/>
      <c r="AY1333" s="1942"/>
      <c r="AZ1333" s="1942"/>
      <c r="BA1333" s="1942"/>
      <c r="BB1333" s="575"/>
      <c r="BC1333" s="584"/>
      <c r="BD1333" s="678"/>
      <c r="BE1333" s="585"/>
    </row>
    <row r="1334" spans="1:57" s="51" customFormat="1" hidden="1" outlineLevel="1" x14ac:dyDescent="0.25">
      <c r="A1334" s="1267"/>
      <c r="B1334" s="123"/>
      <c r="C1334" s="328"/>
      <c r="D1334" s="4026" t="s">
        <v>1150</v>
      </c>
      <c r="E1334" s="3989" t="s">
        <v>1151</v>
      </c>
      <c r="F1334" s="4043" t="str">
        <f>$E$1297</f>
        <v>GSHP-EER23-Replace_CAC_ElectricHeat_ROF_SF</v>
      </c>
      <c r="G1334" s="4043"/>
      <c r="H1334" s="4043"/>
      <c r="I1334" s="2856"/>
      <c r="J1334" s="2857">
        <v>1496</v>
      </c>
      <c r="K1334" s="2557"/>
      <c r="L1334" s="4059" t="s">
        <v>1153</v>
      </c>
      <c r="M1334" s="123"/>
      <c r="N1334" s="123"/>
      <c r="O1334" s="123"/>
      <c r="P1334" s="1550"/>
      <c r="Q1334" s="1829"/>
      <c r="R1334" s="1829"/>
      <c r="S1334" s="1838"/>
      <c r="T1334" s="517"/>
      <c r="U1334" s="123"/>
      <c r="V1334" s="3989" t="s">
        <v>1150</v>
      </c>
      <c r="W1334" s="2861">
        <v>2009</v>
      </c>
      <c r="X1334" s="2861">
        <v>2009</v>
      </c>
      <c r="Y1334" s="3157">
        <v>1496</v>
      </c>
      <c r="Z1334" s="2861">
        <v>1496</v>
      </c>
      <c r="AA1334" s="2861">
        <v>1496</v>
      </c>
      <c r="AB1334" s="2861">
        <v>1496</v>
      </c>
      <c r="AC1334" s="2857">
        <v>1496</v>
      </c>
      <c r="AD1334" s="2861"/>
      <c r="AE1334" s="2861"/>
      <c r="AF1334" s="2861"/>
      <c r="AG1334" s="2861"/>
      <c r="AH1334" s="1942"/>
      <c r="AI1334" s="1942"/>
      <c r="AJ1334" s="1942"/>
      <c r="AK1334" s="1942"/>
      <c r="AL1334" s="1942"/>
      <c r="AM1334" s="1942"/>
      <c r="AN1334" s="1942"/>
      <c r="AO1334" s="1942"/>
      <c r="AP1334" s="1942"/>
      <c r="AQ1334" s="1942"/>
      <c r="AR1334" s="1942"/>
      <c r="AS1334" s="1942"/>
      <c r="AT1334" s="1942"/>
      <c r="AU1334" s="1942"/>
      <c r="AV1334" s="1942"/>
      <c r="AW1334" s="1942"/>
      <c r="AX1334" s="1942"/>
      <c r="AY1334" s="1942"/>
      <c r="AZ1334" s="1942"/>
      <c r="BA1334" s="1942"/>
      <c r="BB1334" s="575"/>
      <c r="BC1334" s="584"/>
      <c r="BD1334" s="678"/>
      <c r="BE1334" s="585"/>
    </row>
    <row r="1335" spans="1:57" s="51" customFormat="1" hidden="1" outlineLevel="1" x14ac:dyDescent="0.25">
      <c r="A1335" s="1267"/>
      <c r="B1335" s="123"/>
      <c r="C1335" s="328"/>
      <c r="D1335" s="4027"/>
      <c r="E1335" s="3990"/>
      <c r="F1335" s="4058" t="str">
        <f>$E$1299</f>
        <v>GSHP-EER23-Replace_CAC_ElectricHeat_ER1_SF</v>
      </c>
      <c r="G1335" s="4058"/>
      <c r="H1335" s="4058"/>
      <c r="I1335" s="2680"/>
      <c r="J1335" s="696">
        <v>1496</v>
      </c>
      <c r="K1335" s="1584"/>
      <c r="L1335" s="4060"/>
      <c r="M1335" s="3082"/>
      <c r="N1335" s="123"/>
      <c r="O1335" s="123"/>
      <c r="P1335" s="1550"/>
      <c r="Q1335" s="1829"/>
      <c r="R1335" s="1829"/>
      <c r="S1335" s="1448"/>
      <c r="T1335" s="1547"/>
      <c r="U1335" s="123"/>
      <c r="V1335" s="3990"/>
      <c r="W1335" s="2857">
        <v>2009</v>
      </c>
      <c r="X1335" s="2857">
        <v>2009</v>
      </c>
      <c r="Y1335" s="3155">
        <v>1496</v>
      </c>
      <c r="Z1335" s="2857">
        <v>1496</v>
      </c>
      <c r="AA1335" s="2857">
        <v>1496</v>
      </c>
      <c r="AB1335" s="2857">
        <v>1496</v>
      </c>
      <c r="AC1335" s="696">
        <v>1496</v>
      </c>
      <c r="AD1335" s="2857"/>
      <c r="AE1335" s="2857"/>
      <c r="AF1335" s="2857"/>
      <c r="AG1335" s="2857"/>
      <c r="AH1335" s="1942"/>
      <c r="AI1335" s="1942"/>
      <c r="AJ1335" s="1942"/>
      <c r="AK1335" s="1942"/>
      <c r="AL1335" s="1942"/>
      <c r="AM1335" s="1942"/>
      <c r="AN1335" s="1942"/>
      <c r="AO1335" s="1942"/>
      <c r="AP1335" s="1942"/>
      <c r="AQ1335" s="1942"/>
      <c r="AR1335" s="1942"/>
      <c r="AS1335" s="1942"/>
      <c r="AT1335" s="1942"/>
      <c r="AU1335" s="1942"/>
      <c r="AV1335" s="1942"/>
      <c r="AW1335" s="1942"/>
      <c r="AX1335" s="1942"/>
      <c r="AY1335" s="1942"/>
      <c r="AZ1335" s="1942"/>
      <c r="BA1335" s="1942"/>
      <c r="BB1335" s="575"/>
      <c r="BC1335" s="584"/>
      <c r="BD1335" s="678"/>
      <c r="BE1335" s="585"/>
    </row>
    <row r="1336" spans="1:57" s="51" customFormat="1" hidden="1" outlineLevel="1" x14ac:dyDescent="0.25">
      <c r="A1336" s="1267"/>
      <c r="B1336" s="123"/>
      <c r="C1336" s="328"/>
      <c r="D1336" s="4027"/>
      <c r="E1336" s="3990"/>
      <c r="F1336" s="4043" t="str">
        <f>$E$1301</f>
        <v>GSHP-EER23-Replace_CAC_ElectricHeat_ER2_SF</v>
      </c>
      <c r="G1336" s="4043"/>
      <c r="H1336" s="4043"/>
      <c r="I1336" s="2856"/>
      <c r="J1336" s="2857">
        <v>1496</v>
      </c>
      <c r="K1336" s="806"/>
      <c r="L1336" s="4060"/>
      <c r="M1336" s="3082"/>
      <c r="N1336" s="123"/>
      <c r="O1336" s="123"/>
      <c r="P1336" s="1550"/>
      <c r="Q1336" s="1829"/>
      <c r="R1336" s="1829"/>
      <c r="S1336" s="1448"/>
      <c r="T1336" s="1547"/>
      <c r="U1336" s="123"/>
      <c r="V1336" s="3990"/>
      <c r="W1336" s="2857">
        <v>2009</v>
      </c>
      <c r="X1336" s="2857">
        <v>2009</v>
      </c>
      <c r="Y1336" s="3155">
        <v>1496</v>
      </c>
      <c r="Z1336" s="2857">
        <v>1496</v>
      </c>
      <c r="AA1336" s="2857">
        <v>1496</v>
      </c>
      <c r="AB1336" s="2857">
        <v>1496</v>
      </c>
      <c r="AC1336" s="2857">
        <v>1496</v>
      </c>
      <c r="AD1336" s="2857"/>
      <c r="AE1336" s="2857"/>
      <c r="AF1336" s="2857"/>
      <c r="AG1336" s="2857"/>
      <c r="AH1336" s="1942"/>
      <c r="AI1336" s="1942"/>
      <c r="AJ1336" s="1942"/>
      <c r="AK1336" s="1942"/>
      <c r="AL1336" s="1942"/>
      <c r="AM1336" s="1942"/>
      <c r="AN1336" s="1942"/>
      <c r="AO1336" s="1942"/>
      <c r="AP1336" s="1942"/>
      <c r="AQ1336" s="1942"/>
      <c r="AR1336" s="1942"/>
      <c r="AS1336" s="1942"/>
      <c r="AT1336" s="1942"/>
      <c r="AU1336" s="1942"/>
      <c r="AV1336" s="1942"/>
      <c r="AW1336" s="1942"/>
      <c r="AX1336" s="1942"/>
      <c r="AY1336" s="1942"/>
      <c r="AZ1336" s="1942"/>
      <c r="BA1336" s="1942"/>
      <c r="BB1336" s="575"/>
      <c r="BC1336" s="584"/>
      <c r="BD1336" s="678"/>
      <c r="BE1336" s="585"/>
    </row>
    <row r="1337" spans="1:57" s="1942" customFormat="1" hidden="1" outlineLevel="1" x14ac:dyDescent="0.25">
      <c r="A1337" s="1267"/>
      <c r="B1337" s="123"/>
      <c r="C1337" s="328"/>
      <c r="D1337" s="4027"/>
      <c r="E1337" s="3990"/>
      <c r="F1337" s="3992" t="str">
        <f>$E$1303</f>
        <v>GSHP-EER23_ER1_SF</v>
      </c>
      <c r="G1337" s="3992"/>
      <c r="H1337" s="3992"/>
      <c r="I1337" s="2856"/>
      <c r="J1337" s="2857">
        <v>1496</v>
      </c>
      <c r="K1337" s="806"/>
      <c r="L1337" s="4060"/>
      <c r="M1337" s="3082"/>
      <c r="N1337" s="123"/>
      <c r="O1337" s="123"/>
      <c r="P1337" s="1550"/>
      <c r="Q1337" s="1829"/>
      <c r="R1337" s="1829"/>
      <c r="S1337" s="1448"/>
      <c r="T1337" s="1547"/>
      <c r="U1337" s="123"/>
      <c r="V1337" s="3990"/>
      <c r="W1337" s="2857"/>
      <c r="X1337" s="2857"/>
      <c r="Y1337" s="3155"/>
      <c r="Z1337" s="2857"/>
      <c r="AA1337" s="2857"/>
      <c r="AB1337" s="3155">
        <v>1496</v>
      </c>
      <c r="AC1337" s="2857">
        <v>1496</v>
      </c>
      <c r="AD1337" s="2857"/>
      <c r="AE1337" s="2857"/>
      <c r="AF1337" s="2857"/>
      <c r="AG1337" s="2857"/>
      <c r="BB1337" s="575"/>
      <c r="BC1337" s="584"/>
      <c r="BD1337" s="678"/>
      <c r="BE1337" s="585"/>
    </row>
    <row r="1338" spans="1:57" s="51" customFormat="1" hidden="1" outlineLevel="1" x14ac:dyDescent="0.25">
      <c r="A1338" s="1267"/>
      <c r="B1338" s="123"/>
      <c r="C1338" s="328"/>
      <c r="D1338" s="4027"/>
      <c r="E1338" s="3990"/>
      <c r="F1338" s="4043" t="str">
        <f>$E$1305</f>
        <v>GSHP-EER23_ER2_SF</v>
      </c>
      <c r="G1338" s="4043"/>
      <c r="H1338" s="4043"/>
      <c r="I1338" s="2856"/>
      <c r="J1338" s="2857">
        <v>1496</v>
      </c>
      <c r="K1338" s="806"/>
      <c r="L1338" s="4060"/>
      <c r="M1338" s="3082"/>
      <c r="N1338" s="123"/>
      <c r="O1338" s="123"/>
      <c r="P1338" s="1550"/>
      <c r="Q1338" s="1829"/>
      <c r="R1338" s="1829"/>
      <c r="S1338" s="1448"/>
      <c r="T1338" s="1547"/>
      <c r="U1338" s="123"/>
      <c r="V1338" s="3990"/>
      <c r="W1338" s="2857">
        <v>2009</v>
      </c>
      <c r="X1338" s="2857">
        <v>2009</v>
      </c>
      <c r="Y1338" s="3155">
        <v>1496</v>
      </c>
      <c r="Z1338" s="2857">
        <v>1496</v>
      </c>
      <c r="AA1338" s="2857">
        <v>1496</v>
      </c>
      <c r="AB1338" s="2857">
        <v>1496</v>
      </c>
      <c r="AC1338" s="2857">
        <v>1496</v>
      </c>
      <c r="AD1338" s="2857"/>
      <c r="AE1338" s="2857"/>
      <c r="AF1338" s="2857"/>
      <c r="AG1338" s="2857"/>
      <c r="AH1338" s="1942"/>
      <c r="AI1338" s="1942"/>
      <c r="AJ1338" s="1942"/>
      <c r="AK1338" s="1942"/>
      <c r="AL1338" s="1942"/>
      <c r="AM1338" s="1942"/>
      <c r="AN1338" s="1942"/>
      <c r="AO1338" s="1942"/>
      <c r="AP1338" s="1942"/>
      <c r="AQ1338" s="1942"/>
      <c r="AR1338" s="1942"/>
      <c r="AS1338" s="1942"/>
      <c r="AT1338" s="1942"/>
      <c r="AU1338" s="1942"/>
      <c r="AV1338" s="1942"/>
      <c r="AW1338" s="1942"/>
      <c r="AX1338" s="1942"/>
      <c r="AY1338" s="1942"/>
      <c r="AZ1338" s="1942"/>
      <c r="BA1338" s="1942"/>
      <c r="BB1338" s="575"/>
      <c r="BC1338" s="584"/>
      <c r="BD1338" s="678"/>
      <c r="BE1338" s="585"/>
    </row>
    <row r="1339" spans="1:57" s="51" customFormat="1" ht="15.75" hidden="1" outlineLevel="1" thickBot="1" x14ac:dyDescent="0.3">
      <c r="A1339" s="1267"/>
      <c r="B1339" s="123"/>
      <c r="C1339" s="328"/>
      <c r="D1339" s="4028"/>
      <c r="E1339" s="3991"/>
      <c r="F1339" s="4054" t="str">
        <f>$E$1307</f>
        <v>GSHP-EER23_ROF_SF</v>
      </c>
      <c r="G1339" s="4054"/>
      <c r="H1339" s="4054"/>
      <c r="I1339" s="2859"/>
      <c r="J1339" s="2860">
        <v>1496</v>
      </c>
      <c r="K1339" s="1582"/>
      <c r="L1339" s="4063"/>
      <c r="M1339" s="3082"/>
      <c r="N1339" s="123"/>
      <c r="O1339" s="123"/>
      <c r="P1339" s="1550"/>
      <c r="Q1339" s="1829"/>
      <c r="R1339" s="1829"/>
      <c r="S1339" s="1448"/>
      <c r="T1339" s="1547"/>
      <c r="U1339" s="123"/>
      <c r="V1339" s="3991"/>
      <c r="W1339" s="2860">
        <v>2009</v>
      </c>
      <c r="X1339" s="2860">
        <v>2009</v>
      </c>
      <c r="Y1339" s="3156">
        <v>1496</v>
      </c>
      <c r="Z1339" s="2860">
        <v>1496</v>
      </c>
      <c r="AA1339" s="2860">
        <v>1496</v>
      </c>
      <c r="AB1339" s="2860">
        <v>1496</v>
      </c>
      <c r="AC1339" s="2860">
        <v>1496</v>
      </c>
      <c r="AD1339" s="2860"/>
      <c r="AE1339" s="2860"/>
      <c r="AF1339" s="2860"/>
      <c r="AG1339" s="2860"/>
      <c r="AH1339" s="1942"/>
      <c r="AI1339" s="1942"/>
      <c r="AJ1339" s="1942"/>
      <c r="AK1339" s="1942"/>
      <c r="AL1339" s="1942"/>
      <c r="AM1339" s="1942"/>
      <c r="AN1339" s="1942"/>
      <c r="AO1339" s="1942"/>
      <c r="AP1339" s="1942"/>
      <c r="AQ1339" s="1942"/>
      <c r="AR1339" s="1942"/>
      <c r="AS1339" s="1942"/>
      <c r="AT1339" s="1942"/>
      <c r="AU1339" s="1942"/>
      <c r="AV1339" s="1942"/>
      <c r="AW1339" s="1942"/>
      <c r="AX1339" s="1942"/>
      <c r="AY1339" s="1942"/>
      <c r="AZ1339" s="1942"/>
      <c r="BA1339" s="1942"/>
      <c r="BB1339" s="575"/>
      <c r="BC1339" s="584"/>
      <c r="BD1339" s="678"/>
      <c r="BE1339" s="585"/>
    </row>
    <row r="1340" spans="1:57" s="51" customFormat="1" hidden="1" outlineLevel="1" x14ac:dyDescent="0.25">
      <c r="A1340" s="1267"/>
      <c r="B1340" s="123"/>
      <c r="C1340" s="328"/>
      <c r="D1340" s="4026" t="s">
        <v>1154</v>
      </c>
      <c r="E1340" s="3989" t="s">
        <v>1155</v>
      </c>
      <c r="F1340" s="4043" t="str">
        <f>$E$1297</f>
        <v>GSHP-EER23-Replace_CAC_ElectricHeat_ROF_SF</v>
      </c>
      <c r="G1340" s="4043"/>
      <c r="H1340" s="4043"/>
      <c r="I1340" s="2858"/>
      <c r="J1340" s="2861">
        <v>3.41</v>
      </c>
      <c r="K1340" s="811"/>
      <c r="L1340" s="4059" t="s">
        <v>1002</v>
      </c>
      <c r="M1340" s="3082"/>
      <c r="N1340" s="3082"/>
      <c r="O1340" s="123"/>
      <c r="P1340" s="1550"/>
      <c r="Q1340" s="1829"/>
      <c r="R1340" s="1829"/>
      <c r="S1340" s="147"/>
      <c r="T1340" s="685"/>
      <c r="U1340" s="123"/>
      <c r="V1340" s="3989" t="s">
        <v>1154</v>
      </c>
      <c r="W1340" s="2861">
        <v>3.41</v>
      </c>
      <c r="X1340" s="2861">
        <v>3.41</v>
      </c>
      <c r="Y1340" s="2861">
        <v>3.41</v>
      </c>
      <c r="Z1340" s="2861">
        <v>3.41</v>
      </c>
      <c r="AA1340" s="2861">
        <v>3.41</v>
      </c>
      <c r="AB1340" s="2861">
        <v>3.41</v>
      </c>
      <c r="AC1340" s="2861">
        <v>3.41</v>
      </c>
      <c r="AD1340" s="2861"/>
      <c r="AE1340" s="2861"/>
      <c r="AF1340" s="2861"/>
      <c r="AG1340" s="2861"/>
      <c r="AH1340" s="1942"/>
      <c r="AI1340" s="1942"/>
      <c r="AJ1340" s="1942"/>
      <c r="AK1340" s="1942"/>
      <c r="AL1340" s="1942"/>
      <c r="AM1340" s="1942"/>
      <c r="AN1340" s="1942"/>
      <c r="AO1340" s="1942"/>
      <c r="AP1340" s="1942"/>
      <c r="AQ1340" s="1942"/>
      <c r="AR1340" s="1942"/>
      <c r="AS1340" s="1942"/>
      <c r="AT1340" s="1942"/>
      <c r="AU1340" s="1942"/>
      <c r="AV1340" s="1942"/>
      <c r="AW1340" s="1942"/>
      <c r="AX1340" s="1942"/>
      <c r="AY1340" s="1942"/>
      <c r="AZ1340" s="1942"/>
      <c r="BA1340" s="1942"/>
      <c r="BB1340" s="575"/>
      <c r="BC1340" s="584"/>
      <c r="BD1340" s="678"/>
      <c r="BE1340" s="585"/>
    </row>
    <row r="1341" spans="1:57" s="51" customFormat="1" hidden="1" outlineLevel="1" x14ac:dyDescent="0.25">
      <c r="A1341" s="2060"/>
      <c r="B1341" s="123"/>
      <c r="C1341" s="1583"/>
      <c r="D1341" s="4027"/>
      <c r="E1341" s="3990"/>
      <c r="F1341" s="4058" t="str">
        <f>$E$1299</f>
        <v>GSHP-EER23-Replace_CAC_ElectricHeat_ER1_SF</v>
      </c>
      <c r="G1341" s="4058"/>
      <c r="H1341" s="4058"/>
      <c r="I1341" s="2856"/>
      <c r="J1341" s="696">
        <v>3.41</v>
      </c>
      <c r="K1341" s="806"/>
      <c r="L1341" s="4060"/>
      <c r="M1341" s="3082"/>
      <c r="N1341" s="3082"/>
      <c r="O1341" s="123"/>
      <c r="P1341" s="1839"/>
      <c r="Q1341" s="1535"/>
      <c r="R1341" s="147"/>
      <c r="S1341" s="147"/>
      <c r="T1341" s="685"/>
      <c r="U1341" s="123"/>
      <c r="V1341" s="3990"/>
      <c r="W1341" s="2857">
        <v>3.41</v>
      </c>
      <c r="X1341" s="2857">
        <v>3.41</v>
      </c>
      <c r="Y1341" s="2857">
        <v>3.41</v>
      </c>
      <c r="Z1341" s="2857">
        <v>3.41</v>
      </c>
      <c r="AA1341" s="2857">
        <v>3.41</v>
      </c>
      <c r="AB1341" s="2857">
        <v>3.41</v>
      </c>
      <c r="AC1341" s="696">
        <v>3.41</v>
      </c>
      <c r="AD1341" s="2857"/>
      <c r="AE1341" s="2857"/>
      <c r="AF1341" s="2857"/>
      <c r="AG1341" s="2857"/>
      <c r="AH1341" s="1942"/>
      <c r="AI1341" s="1942"/>
      <c r="AJ1341" s="1942"/>
      <c r="AK1341" s="1942"/>
      <c r="AL1341" s="1942"/>
      <c r="AM1341" s="1942"/>
      <c r="AN1341" s="1942"/>
      <c r="AO1341" s="1942"/>
      <c r="AP1341" s="1942"/>
      <c r="AQ1341" s="1942"/>
      <c r="AR1341" s="1942"/>
      <c r="AS1341" s="1942"/>
      <c r="AT1341" s="1942"/>
      <c r="AU1341" s="1942"/>
      <c r="AV1341" s="1942"/>
      <c r="AW1341" s="1942"/>
      <c r="AX1341" s="1942"/>
      <c r="AY1341" s="1942"/>
      <c r="AZ1341" s="1942"/>
      <c r="BA1341" s="1942"/>
      <c r="BB1341" s="575"/>
      <c r="BC1341" s="584"/>
      <c r="BD1341" s="678"/>
      <c r="BE1341" s="585"/>
    </row>
    <row r="1342" spans="1:57" s="51" customFormat="1" hidden="1" outlineLevel="1" x14ac:dyDescent="0.25">
      <c r="A1342" s="1267"/>
      <c r="B1342" s="123"/>
      <c r="C1342" s="328"/>
      <c r="D1342" s="4027"/>
      <c r="E1342" s="3990"/>
      <c r="F1342" s="4043" t="str">
        <f>$E$1301</f>
        <v>GSHP-EER23-Replace_CAC_ElectricHeat_ER2_SF</v>
      </c>
      <c r="G1342" s="4043"/>
      <c r="H1342" s="4043"/>
      <c r="I1342" s="2856"/>
      <c r="J1342" s="2857">
        <v>3.41</v>
      </c>
      <c r="K1342" s="806"/>
      <c r="L1342" s="4060"/>
      <c r="M1342" s="3082"/>
      <c r="N1342" s="3082"/>
      <c r="O1342" s="123"/>
      <c r="P1342" s="691"/>
      <c r="Q1342" s="691"/>
      <c r="R1342" s="691"/>
      <c r="S1342" s="691"/>
      <c r="T1342" s="123"/>
      <c r="U1342" s="123"/>
      <c r="V1342" s="3990"/>
      <c r="W1342" s="2857">
        <v>3.41</v>
      </c>
      <c r="X1342" s="2857">
        <v>3.41</v>
      </c>
      <c r="Y1342" s="2857">
        <v>3.41</v>
      </c>
      <c r="Z1342" s="2857">
        <v>3.41</v>
      </c>
      <c r="AA1342" s="2857">
        <v>3.41</v>
      </c>
      <c r="AB1342" s="2857">
        <v>3.41</v>
      </c>
      <c r="AC1342" s="2857">
        <v>3.41</v>
      </c>
      <c r="AD1342" s="2857"/>
      <c r="AE1342" s="2857"/>
      <c r="AF1342" s="2857"/>
      <c r="AG1342" s="2857"/>
      <c r="AH1342" s="1942"/>
      <c r="AI1342" s="1942"/>
      <c r="AJ1342" s="1942"/>
      <c r="AK1342" s="1942"/>
      <c r="AL1342" s="1942"/>
      <c r="AM1342" s="1942"/>
      <c r="AN1342" s="1942"/>
      <c r="AO1342" s="1942"/>
      <c r="AP1342" s="1942"/>
      <c r="AQ1342" s="1942"/>
      <c r="AR1342" s="1942"/>
      <c r="AS1342" s="1942"/>
      <c r="AT1342" s="1942"/>
      <c r="AU1342" s="1942"/>
      <c r="AV1342" s="1942"/>
      <c r="AW1342" s="1942"/>
      <c r="AX1342" s="1942"/>
      <c r="AY1342" s="1942"/>
      <c r="AZ1342" s="1942"/>
      <c r="BA1342" s="1942"/>
      <c r="BB1342" s="575"/>
      <c r="BC1342" s="584"/>
      <c r="BD1342" s="678"/>
      <c r="BE1342" s="585"/>
    </row>
    <row r="1343" spans="1:57" s="51" customFormat="1" hidden="1" outlineLevel="1" x14ac:dyDescent="0.25">
      <c r="A1343" s="1267"/>
      <c r="B1343" s="123"/>
      <c r="C1343" s="328"/>
      <c r="D1343" s="4027"/>
      <c r="E1343" s="3990"/>
      <c r="F1343" s="3992" t="str">
        <f>$E$1303</f>
        <v>GSHP-EER23_ER1_SF</v>
      </c>
      <c r="G1343" s="3992"/>
      <c r="H1343" s="3992"/>
      <c r="I1343" s="2856"/>
      <c r="J1343" s="2857">
        <v>9.5500000000000007</v>
      </c>
      <c r="K1343" s="806"/>
      <c r="L1343" s="4061"/>
      <c r="M1343" s="3082"/>
      <c r="N1343" s="3082"/>
      <c r="O1343" s="123"/>
      <c r="P1343" s="4064"/>
      <c r="Q1343" s="4065"/>
      <c r="R1343" s="4065"/>
      <c r="S1343" s="147"/>
      <c r="T1343" s="123"/>
      <c r="U1343" s="123"/>
      <c r="V1343" s="3990"/>
      <c r="W1343" s="2857"/>
      <c r="X1343" s="3155">
        <v>9.5500000000000007</v>
      </c>
      <c r="Y1343" s="2857">
        <v>9.5500000000000007</v>
      </c>
      <c r="Z1343" s="2857">
        <v>9.5500000000000007</v>
      </c>
      <c r="AA1343" s="2857">
        <v>9.5500000000000007</v>
      </c>
      <c r="AB1343" s="2857">
        <v>9.5500000000000007</v>
      </c>
      <c r="AC1343" s="2857">
        <v>9.5500000000000007</v>
      </c>
      <c r="AD1343" s="2857"/>
      <c r="AE1343" s="2857"/>
      <c r="AF1343" s="2857"/>
      <c r="AG1343" s="2857"/>
      <c r="AH1343" s="1942"/>
      <c r="AI1343" s="1942"/>
      <c r="AJ1343" s="1942"/>
      <c r="AK1343" s="1942"/>
      <c r="AL1343" s="1942"/>
      <c r="AM1343" s="1942"/>
      <c r="AN1343" s="1942"/>
      <c r="AO1343" s="1942"/>
      <c r="AP1343" s="1942"/>
      <c r="AQ1343" s="1942"/>
      <c r="AR1343" s="1942"/>
      <c r="AS1343" s="1942"/>
      <c r="AT1343" s="1942"/>
      <c r="AU1343" s="1942"/>
      <c r="AV1343" s="1942"/>
      <c r="AW1343" s="1942"/>
      <c r="AX1343" s="1942"/>
      <c r="AY1343" s="1942"/>
      <c r="AZ1343" s="1942"/>
      <c r="BA1343" s="1942"/>
      <c r="BB1343" s="575"/>
      <c r="BC1343" s="584"/>
      <c r="BD1343" s="678"/>
      <c r="BE1343" s="585"/>
    </row>
    <row r="1344" spans="1:57" s="51" customFormat="1" hidden="1" outlineLevel="1" x14ac:dyDescent="0.25">
      <c r="A1344" s="1267"/>
      <c r="B1344" s="123"/>
      <c r="C1344" s="328"/>
      <c r="D1344" s="4027"/>
      <c r="E1344" s="3990"/>
      <c r="F1344" s="4043" t="str">
        <f>$E$1305</f>
        <v>GSHP-EER23_ER2_SF</v>
      </c>
      <c r="G1344" s="4043"/>
      <c r="H1344" s="4043"/>
      <c r="I1344" s="2856"/>
      <c r="J1344" s="2857">
        <v>10.58</v>
      </c>
      <c r="K1344" s="806"/>
      <c r="L1344" s="4062" t="s">
        <v>1110</v>
      </c>
      <c r="M1344" s="3082"/>
      <c r="N1344" s="3082"/>
      <c r="O1344" s="3082"/>
      <c r="P1344" s="1840"/>
      <c r="Q1344" s="1535"/>
      <c r="R1344" s="1535"/>
      <c r="S1344" s="147"/>
      <c r="T1344" s="123"/>
      <c r="U1344" s="123"/>
      <c r="V1344" s="3990"/>
      <c r="W1344" s="2857">
        <v>3.41</v>
      </c>
      <c r="X1344" s="3155">
        <v>10.58</v>
      </c>
      <c r="Y1344" s="2857">
        <v>10.58</v>
      </c>
      <c r="Z1344" s="2857">
        <v>10.58</v>
      </c>
      <c r="AA1344" s="2857">
        <v>10.58</v>
      </c>
      <c r="AB1344" s="2857">
        <v>10.58</v>
      </c>
      <c r="AC1344" s="2857">
        <v>10.58</v>
      </c>
      <c r="AD1344" s="2857"/>
      <c r="AE1344" s="2857"/>
      <c r="AF1344" s="2857"/>
      <c r="AG1344" s="2857"/>
      <c r="AH1344" s="1942"/>
      <c r="AI1344" s="1942"/>
      <c r="AJ1344" s="1942"/>
      <c r="AK1344" s="1942"/>
      <c r="AL1344" s="1942"/>
      <c r="AM1344" s="1942"/>
      <c r="AN1344" s="1942"/>
      <c r="AO1344" s="1942"/>
      <c r="AP1344" s="1942"/>
      <c r="AQ1344" s="1942"/>
      <c r="AR1344" s="1942"/>
      <c r="AS1344" s="1942"/>
      <c r="AT1344" s="1942"/>
      <c r="AU1344" s="1942"/>
      <c r="AV1344" s="1942"/>
      <c r="AW1344" s="1942"/>
      <c r="AX1344" s="1942"/>
      <c r="AY1344" s="1942"/>
      <c r="AZ1344" s="1942"/>
      <c r="BA1344" s="1942"/>
      <c r="BB1344" s="575"/>
      <c r="BC1344" s="584"/>
      <c r="BD1344" s="678"/>
      <c r="BE1344" s="585"/>
    </row>
    <row r="1345" spans="1:57" s="51" customFormat="1" ht="15.75" hidden="1" outlineLevel="1" thickBot="1" x14ac:dyDescent="0.3">
      <c r="A1345" s="1267"/>
      <c r="B1345" s="123"/>
      <c r="C1345" s="328"/>
      <c r="D1345" s="4028"/>
      <c r="E1345" s="3991"/>
      <c r="F1345" s="4054" t="str">
        <f>$E$1307</f>
        <v>GSHP-EER23_ROF_SF</v>
      </c>
      <c r="G1345" s="4054"/>
      <c r="H1345" s="4054"/>
      <c r="I1345" s="2859"/>
      <c r="J1345" s="2860">
        <v>10.58</v>
      </c>
      <c r="K1345" s="1582"/>
      <c r="L1345" s="4063"/>
      <c r="M1345" s="3082"/>
      <c r="N1345" s="3082"/>
      <c r="O1345" s="3082"/>
      <c r="P1345" s="1840"/>
      <c r="Q1345" s="1841"/>
      <c r="R1345" s="1841"/>
      <c r="S1345" s="147"/>
      <c r="T1345" s="1830"/>
      <c r="U1345" s="123"/>
      <c r="V1345" s="3991"/>
      <c r="W1345" s="2860">
        <v>3.41</v>
      </c>
      <c r="X1345" s="3156">
        <v>10.58</v>
      </c>
      <c r="Y1345" s="2860">
        <v>10.58</v>
      </c>
      <c r="Z1345" s="2860">
        <v>10.58</v>
      </c>
      <c r="AA1345" s="2860">
        <v>10.58</v>
      </c>
      <c r="AB1345" s="2860">
        <v>10.58</v>
      </c>
      <c r="AC1345" s="2860">
        <v>10.58</v>
      </c>
      <c r="AD1345" s="2860"/>
      <c r="AE1345" s="2860"/>
      <c r="AF1345" s="2860"/>
      <c r="AG1345" s="2860"/>
      <c r="AH1345" s="1942"/>
      <c r="AI1345" s="1942"/>
      <c r="AJ1345" s="1942"/>
      <c r="AK1345" s="1942"/>
      <c r="AL1345" s="1942"/>
      <c r="AM1345" s="1942"/>
      <c r="AN1345" s="1942"/>
      <c r="AO1345" s="1942"/>
      <c r="AP1345" s="1942"/>
      <c r="AQ1345" s="1942"/>
      <c r="AR1345" s="1942"/>
      <c r="AS1345" s="1942"/>
      <c r="AT1345" s="1942"/>
      <c r="AU1345" s="1942"/>
      <c r="AV1345" s="1942"/>
      <c r="AW1345" s="1942"/>
      <c r="AX1345" s="1942"/>
      <c r="AY1345" s="1942"/>
      <c r="AZ1345" s="1942"/>
      <c r="BA1345" s="1942"/>
      <c r="BB1345" s="575"/>
      <c r="BC1345" s="584"/>
      <c r="BD1345" s="678"/>
      <c r="BE1345" s="585"/>
    </row>
    <row r="1346" spans="1:57" s="51" customFormat="1" hidden="1" outlineLevel="1" x14ac:dyDescent="0.25">
      <c r="A1346" s="1267"/>
      <c r="B1346" s="123"/>
      <c r="C1346" s="328"/>
      <c r="D1346" s="3989" t="s">
        <v>1156</v>
      </c>
      <c r="E1346" s="4009" t="s">
        <v>1184</v>
      </c>
      <c r="F1346" s="4043" t="str">
        <f>$E$1297</f>
        <v>GSHP-EER23-Replace_CAC_ElectricHeat_ROF_SF</v>
      </c>
      <c r="G1346" s="4043"/>
      <c r="H1346" s="4043"/>
      <c r="I1346" s="2858"/>
      <c r="J1346" s="2210">
        <v>15.140400000000001</v>
      </c>
      <c r="K1346" s="1584"/>
      <c r="L1346" s="4059" t="s">
        <v>1153</v>
      </c>
      <c r="M1346" s="3082"/>
      <c r="N1346" s="3082"/>
      <c r="O1346" s="3082"/>
      <c r="P1346" s="1840"/>
      <c r="Q1346" s="147"/>
      <c r="R1346" s="1843"/>
      <c r="S1346" s="147"/>
      <c r="T1346" s="123"/>
      <c r="U1346" s="123"/>
      <c r="V1346" s="3989" t="s">
        <v>1156</v>
      </c>
      <c r="W1346" s="696">
        <f>15.01/3.41</f>
        <v>4.4017595307917885</v>
      </c>
      <c r="X1346" s="808">
        <v>14.979294599999999</v>
      </c>
      <c r="Y1346" s="3158">
        <f>4.44*3.41</f>
        <v>15.140400000000001</v>
      </c>
      <c r="Z1346" s="696">
        <f t="shared" ref="Z1346:AA1351" si="143">4.44*3.41</f>
        <v>15.140400000000001</v>
      </c>
      <c r="AA1346" s="696">
        <f t="shared" si="143"/>
        <v>15.140400000000001</v>
      </c>
      <c r="AB1346" s="807">
        <v>15.140400000000001</v>
      </c>
      <c r="AC1346" s="2210">
        <v>15.140400000000001</v>
      </c>
      <c r="AD1346" s="696"/>
      <c r="AE1346" s="696"/>
      <c r="AF1346" s="696"/>
      <c r="AG1346" s="696"/>
      <c r="AH1346" s="1942"/>
      <c r="AI1346" s="1942"/>
      <c r="AJ1346" s="1942"/>
      <c r="AK1346" s="1942"/>
      <c r="AL1346" s="1942"/>
      <c r="AM1346" s="1942"/>
      <c r="AN1346" s="1942"/>
      <c r="AO1346" s="1942"/>
      <c r="AP1346" s="1942"/>
      <c r="AQ1346" s="1942"/>
      <c r="AR1346" s="1942"/>
      <c r="AS1346" s="1942"/>
      <c r="AT1346" s="1942"/>
      <c r="AU1346" s="1942"/>
      <c r="AV1346" s="1942"/>
      <c r="AW1346" s="1942"/>
      <c r="AX1346" s="1942"/>
      <c r="AY1346" s="1942"/>
      <c r="AZ1346" s="1942"/>
      <c r="BA1346" s="1942"/>
      <c r="BB1346" s="575"/>
      <c r="BC1346" s="584"/>
      <c r="BD1346" s="678"/>
      <c r="BE1346" s="585"/>
    </row>
    <row r="1347" spans="1:57" s="51" customFormat="1" hidden="1" outlineLevel="1" x14ac:dyDescent="0.25">
      <c r="A1347" s="1267"/>
      <c r="B1347" s="123"/>
      <c r="C1347" s="328"/>
      <c r="D1347" s="3990"/>
      <c r="E1347" s="4009"/>
      <c r="F1347" s="4058" t="str">
        <f>$E$1299</f>
        <v>GSHP-EER23-Replace_CAC_ElectricHeat_ER1_SF</v>
      </c>
      <c r="G1347" s="4058"/>
      <c r="H1347" s="4058"/>
      <c r="I1347" s="2680"/>
      <c r="J1347" s="807">
        <v>15.140400000000001</v>
      </c>
      <c r="K1347" s="806"/>
      <c r="L1347" s="4060"/>
      <c r="M1347" s="3082"/>
      <c r="N1347" s="3082"/>
      <c r="O1347" s="123"/>
      <c r="P1347" s="1844"/>
      <c r="Q1347" s="147"/>
      <c r="R1347" s="1843"/>
      <c r="S1347" s="147"/>
      <c r="T1347" s="123"/>
      <c r="U1347" s="123"/>
      <c r="V1347" s="3990"/>
      <c r="W1347" s="2857">
        <f>15.01/3.41</f>
        <v>4.4017595307917885</v>
      </c>
      <c r="X1347" s="703">
        <v>14.979294599999999</v>
      </c>
      <c r="Y1347" s="3158">
        <f>4.44*3.41</f>
        <v>15.140400000000001</v>
      </c>
      <c r="Z1347" s="696">
        <f t="shared" si="143"/>
        <v>15.140400000000001</v>
      </c>
      <c r="AA1347" s="696">
        <f t="shared" si="143"/>
        <v>15.140400000000001</v>
      </c>
      <c r="AB1347" s="702">
        <v>15.140400000000001</v>
      </c>
      <c r="AC1347" s="807">
        <v>15.140400000000001</v>
      </c>
      <c r="AD1347" s="2857"/>
      <c r="AE1347" s="2857"/>
      <c r="AF1347" s="2857"/>
      <c r="AG1347" s="2857"/>
      <c r="AH1347" s="1942"/>
      <c r="AI1347" s="1942"/>
      <c r="AJ1347" s="1942"/>
      <c r="AK1347" s="1942"/>
      <c r="AL1347" s="1942"/>
      <c r="AM1347" s="1942"/>
      <c r="AN1347" s="1942"/>
      <c r="AO1347" s="1942"/>
      <c r="AP1347" s="1942"/>
      <c r="AQ1347" s="1942"/>
      <c r="AR1347" s="1942"/>
      <c r="AS1347" s="1942"/>
      <c r="AT1347" s="1942"/>
      <c r="AU1347" s="1942"/>
      <c r="AV1347" s="1942"/>
      <c r="AW1347" s="1942"/>
      <c r="AX1347" s="1942"/>
      <c r="AY1347" s="1942"/>
      <c r="AZ1347" s="1942"/>
      <c r="BA1347" s="1942"/>
      <c r="BB1347" s="575"/>
      <c r="BC1347" s="584"/>
      <c r="BD1347" s="678"/>
      <c r="BE1347" s="585"/>
    </row>
    <row r="1348" spans="1:57" s="51" customFormat="1" hidden="1" outlineLevel="1" x14ac:dyDescent="0.25">
      <c r="A1348" s="1267"/>
      <c r="B1348" s="123"/>
      <c r="C1348" s="328"/>
      <c r="D1348" s="3990"/>
      <c r="E1348" s="4009"/>
      <c r="F1348" s="4043" t="str">
        <f>$E$1301</f>
        <v>GSHP-EER23-Replace_CAC_ElectricHeat_ER2_SF</v>
      </c>
      <c r="G1348" s="4043"/>
      <c r="H1348" s="4043"/>
      <c r="I1348" s="2856"/>
      <c r="J1348" s="702">
        <v>15.140400000000001</v>
      </c>
      <c r="K1348" s="813"/>
      <c r="L1348" s="4060"/>
      <c r="M1348" s="3082"/>
      <c r="N1348" s="3082"/>
      <c r="O1348" s="123"/>
      <c r="P1348" s="679"/>
      <c r="Q1348" s="147"/>
      <c r="R1348" s="147"/>
      <c r="S1348" s="147"/>
      <c r="T1348" s="123"/>
      <c r="U1348" s="123"/>
      <c r="V1348" s="3990"/>
      <c r="W1348" s="2857">
        <f>15.01/3.41</f>
        <v>4.4017595307917885</v>
      </c>
      <c r="X1348" s="703">
        <v>14.979294599999999</v>
      </c>
      <c r="Y1348" s="3158">
        <f>4.44*3.41</f>
        <v>15.140400000000001</v>
      </c>
      <c r="Z1348" s="696">
        <f t="shared" si="143"/>
        <v>15.140400000000001</v>
      </c>
      <c r="AA1348" s="696">
        <f t="shared" si="143"/>
        <v>15.140400000000001</v>
      </c>
      <c r="AB1348" s="702">
        <v>15.140400000000001</v>
      </c>
      <c r="AC1348" s="702">
        <v>15.140400000000001</v>
      </c>
      <c r="AD1348" s="2857"/>
      <c r="AE1348" s="2857"/>
      <c r="AF1348" s="2857"/>
      <c r="AG1348" s="2857"/>
      <c r="AH1348" s="1942"/>
      <c r="AI1348" s="1942"/>
      <c r="AJ1348" s="1942"/>
      <c r="AK1348" s="1942"/>
      <c r="AL1348" s="1942"/>
      <c r="AM1348" s="1942"/>
      <c r="AN1348" s="1942"/>
      <c r="AO1348" s="1942"/>
      <c r="AP1348" s="1942"/>
      <c r="AQ1348" s="1942"/>
      <c r="AR1348" s="1942"/>
      <c r="AS1348" s="1942"/>
      <c r="AT1348" s="1942"/>
      <c r="AU1348" s="1942"/>
      <c r="AV1348" s="1942"/>
      <c r="AW1348" s="1942"/>
      <c r="AX1348" s="1942"/>
      <c r="AY1348" s="1942"/>
      <c r="AZ1348" s="1942"/>
      <c r="BA1348" s="1942"/>
      <c r="BB1348" s="575"/>
      <c r="BC1348" s="584"/>
      <c r="BD1348" s="678"/>
      <c r="BE1348" s="585"/>
    </row>
    <row r="1349" spans="1:57" s="1942" customFormat="1" hidden="1" outlineLevel="1" x14ac:dyDescent="0.25">
      <c r="A1349" s="1267"/>
      <c r="B1349" s="123"/>
      <c r="C1349" s="328"/>
      <c r="D1349" s="3990"/>
      <c r="E1349" s="4009"/>
      <c r="F1349" s="3992" t="str">
        <f>$E$1303</f>
        <v>GSHP-EER23_ER1_SF</v>
      </c>
      <c r="G1349" s="3992"/>
      <c r="H1349" s="3992"/>
      <c r="I1349" s="2242"/>
      <c r="J1349" s="2282">
        <v>15.140400000000001</v>
      </c>
      <c r="K1349" s="813"/>
      <c r="L1349" s="4060"/>
      <c r="M1349" s="3082"/>
      <c r="N1349" s="3082"/>
      <c r="O1349" s="123"/>
      <c r="P1349" s="679"/>
      <c r="Q1349" s="147"/>
      <c r="R1349" s="147"/>
      <c r="S1349" s="147"/>
      <c r="T1349" s="123"/>
      <c r="U1349" s="123"/>
      <c r="V1349" s="3990"/>
      <c r="W1349" s="2857"/>
      <c r="X1349" s="703"/>
      <c r="Y1349" s="3158"/>
      <c r="Z1349" s="696"/>
      <c r="AA1349" s="696"/>
      <c r="AB1349" s="2228">
        <v>15.140400000000001</v>
      </c>
      <c r="AC1349" s="2282">
        <v>15.140400000000001</v>
      </c>
      <c r="AD1349" s="2857"/>
      <c r="AE1349" s="2857"/>
      <c r="AF1349" s="2857"/>
      <c r="AG1349" s="2857"/>
      <c r="BB1349" s="575"/>
      <c r="BC1349" s="584"/>
      <c r="BD1349" s="678"/>
      <c r="BE1349" s="585"/>
    </row>
    <row r="1350" spans="1:57" s="51" customFormat="1" hidden="1" outlineLevel="1" x14ac:dyDescent="0.25">
      <c r="A1350" s="1267"/>
      <c r="B1350" s="123"/>
      <c r="C1350" s="328"/>
      <c r="D1350" s="3990"/>
      <c r="E1350" s="4009"/>
      <c r="F1350" s="4043" t="str">
        <f>$E$1305</f>
        <v>GSHP-EER23_ER2_SF</v>
      </c>
      <c r="G1350" s="4043"/>
      <c r="H1350" s="4043"/>
      <c r="I1350" s="2856"/>
      <c r="J1350" s="702">
        <v>15.140400000000001</v>
      </c>
      <c r="K1350" s="813"/>
      <c r="L1350" s="4066"/>
      <c r="M1350" s="3082"/>
      <c r="N1350" s="3082"/>
      <c r="O1350" s="123"/>
      <c r="P1350" s="845"/>
      <c r="Q1350" s="147"/>
      <c r="R1350" s="147"/>
      <c r="S1350" s="147"/>
      <c r="T1350" s="123"/>
      <c r="U1350" s="123"/>
      <c r="V1350" s="3990"/>
      <c r="W1350" s="2857">
        <f>15.01/3.41</f>
        <v>4.4017595307917885</v>
      </c>
      <c r="X1350" s="703">
        <v>14.979294599999999</v>
      </c>
      <c r="Y1350" s="3158">
        <f>4.44*3.41</f>
        <v>15.140400000000001</v>
      </c>
      <c r="Z1350" s="696">
        <f t="shared" si="143"/>
        <v>15.140400000000001</v>
      </c>
      <c r="AA1350" s="696">
        <f t="shared" si="143"/>
        <v>15.140400000000001</v>
      </c>
      <c r="AB1350" s="702">
        <v>15.140400000000001</v>
      </c>
      <c r="AC1350" s="702">
        <v>15.140400000000001</v>
      </c>
      <c r="AD1350" s="2857"/>
      <c r="AE1350" s="2857"/>
      <c r="AF1350" s="2857"/>
      <c r="AG1350" s="2857"/>
      <c r="AH1350" s="1942"/>
      <c r="AI1350" s="1942"/>
      <c r="AJ1350" s="1942"/>
      <c r="AK1350" s="1942"/>
      <c r="AL1350" s="1942"/>
      <c r="AM1350" s="1942"/>
      <c r="AN1350" s="1942"/>
      <c r="AO1350" s="1942"/>
      <c r="AP1350" s="1942"/>
      <c r="AQ1350" s="1942"/>
      <c r="AR1350" s="1942"/>
      <c r="AS1350" s="1942"/>
      <c r="AT1350" s="1942"/>
      <c r="AU1350" s="1942"/>
      <c r="AV1350" s="1942"/>
      <c r="AW1350" s="1942"/>
      <c r="AX1350" s="1942"/>
      <c r="AY1350" s="1942"/>
      <c r="AZ1350" s="1942"/>
      <c r="BA1350" s="1942"/>
      <c r="BB1350" s="575"/>
      <c r="BC1350" s="584"/>
      <c r="BD1350" s="678"/>
      <c r="BE1350" s="585"/>
    </row>
    <row r="1351" spans="1:57" s="51" customFormat="1" ht="15.75" hidden="1" outlineLevel="1" thickBot="1" x14ac:dyDescent="0.3">
      <c r="A1351" s="1267"/>
      <c r="B1351" s="123"/>
      <c r="C1351" s="328"/>
      <c r="D1351" s="3991"/>
      <c r="E1351" s="4025"/>
      <c r="F1351" s="4054" t="str">
        <f>$E$1307</f>
        <v>GSHP-EER23_ROF_SF</v>
      </c>
      <c r="G1351" s="4054"/>
      <c r="H1351" s="4054"/>
      <c r="I1351" s="2859"/>
      <c r="J1351" s="2688">
        <v>15.140400000000001</v>
      </c>
      <c r="K1351" s="813"/>
      <c r="L1351" s="4067"/>
      <c r="M1351" s="3082"/>
      <c r="N1351" s="3082"/>
      <c r="O1351" s="123"/>
      <c r="P1351" s="123"/>
      <c r="Q1351" s="123"/>
      <c r="R1351" s="123"/>
      <c r="S1351" s="123"/>
      <c r="T1351" s="123"/>
      <c r="U1351" s="123"/>
      <c r="V1351" s="3991"/>
      <c r="W1351" s="2857">
        <f>15.01/3.41</f>
        <v>4.4017595307917885</v>
      </c>
      <c r="X1351" s="703">
        <v>14.979294599999999</v>
      </c>
      <c r="Y1351" s="3158">
        <f>4.44*3.41</f>
        <v>15.140400000000001</v>
      </c>
      <c r="Z1351" s="696">
        <f t="shared" si="143"/>
        <v>15.140400000000001</v>
      </c>
      <c r="AA1351" s="696">
        <f t="shared" si="143"/>
        <v>15.140400000000001</v>
      </c>
      <c r="AB1351" s="2688">
        <v>15.140400000000001</v>
      </c>
      <c r="AC1351" s="2688">
        <v>15.140400000000001</v>
      </c>
      <c r="AD1351" s="2857"/>
      <c r="AE1351" s="2857"/>
      <c r="AF1351" s="2857"/>
      <c r="AG1351" s="2857"/>
      <c r="AH1351" s="1942"/>
      <c r="AI1351" s="1942"/>
      <c r="AJ1351" s="1942"/>
      <c r="AK1351" s="1942"/>
      <c r="AL1351" s="1942"/>
      <c r="AM1351" s="1942"/>
      <c r="AN1351" s="1942"/>
      <c r="AO1351" s="1942"/>
      <c r="AP1351" s="1942"/>
      <c r="AQ1351" s="1942"/>
      <c r="AR1351" s="1942"/>
      <c r="AS1351" s="1942"/>
      <c r="AT1351" s="1942"/>
      <c r="AU1351" s="1942"/>
      <c r="AV1351" s="1942"/>
      <c r="AW1351" s="1942"/>
      <c r="AX1351" s="1942"/>
      <c r="AY1351" s="1942"/>
      <c r="AZ1351" s="1942"/>
      <c r="BA1351" s="1942"/>
      <c r="BB1351" s="575"/>
      <c r="BC1351" s="584"/>
      <c r="BD1351" s="678"/>
      <c r="BE1351" s="585"/>
    </row>
    <row r="1352" spans="1:57" s="51" customFormat="1" hidden="1" outlineLevel="1" x14ac:dyDescent="0.25">
      <c r="A1352" s="1267"/>
      <c r="B1352" s="123"/>
      <c r="C1352" s="328"/>
      <c r="D1352" s="3989" t="s">
        <v>1159</v>
      </c>
      <c r="E1352" s="4008" t="s">
        <v>1185</v>
      </c>
      <c r="F1352" s="4050" t="str">
        <f>$E$1296</f>
        <v>GSHP-EER23-Replace_CAC_ElectricHeat_ROF_SF</v>
      </c>
      <c r="G1352" s="4050"/>
      <c r="H1352" s="4050"/>
      <c r="I1352" s="2861"/>
      <c r="J1352" s="2276">
        <v>46600</v>
      </c>
      <c r="K1352" s="2708">
        <f>J1353/12000</f>
        <v>4.0588235294117645</v>
      </c>
      <c r="L1352" s="4055" t="s">
        <v>1183</v>
      </c>
      <c r="M1352" s="3082"/>
      <c r="N1352" s="3082"/>
      <c r="O1352" s="123"/>
      <c r="P1352" s="123"/>
      <c r="Q1352" s="123"/>
      <c r="R1352" s="123"/>
      <c r="S1352" s="123"/>
      <c r="T1352" s="123"/>
      <c r="U1352" s="123"/>
      <c r="V1352" s="3989" t="s">
        <v>1159</v>
      </c>
      <c r="W1352" s="2861">
        <v>52800.000000000007</v>
      </c>
      <c r="X1352" s="3157">
        <f>3.99*12000</f>
        <v>47880</v>
      </c>
      <c r="Y1352" s="3157">
        <f t="shared" ref="Y1352:AA1353" si="144">Y1329</f>
        <v>46320</v>
      </c>
      <c r="Z1352" s="2861">
        <f t="shared" si="144"/>
        <v>46320</v>
      </c>
      <c r="AA1352" s="2861">
        <f t="shared" si="144"/>
        <v>46320</v>
      </c>
      <c r="AB1352" s="2276">
        <v>49745.454545454544</v>
      </c>
      <c r="AC1352" s="2276">
        <v>46600</v>
      </c>
      <c r="AD1352" s="2861"/>
      <c r="AE1352" s="2861"/>
      <c r="AF1352" s="2861"/>
      <c r="AG1352" s="2861"/>
      <c r="AH1352" s="1942"/>
      <c r="AI1352" s="1942"/>
      <c r="AJ1352" s="1942"/>
      <c r="AK1352" s="1942"/>
      <c r="AL1352" s="1942"/>
      <c r="AM1352" s="1942"/>
      <c r="AN1352" s="1942"/>
      <c r="AO1352" s="1942"/>
      <c r="AP1352" s="1942"/>
      <c r="AQ1352" s="1942"/>
      <c r="AR1352" s="1942"/>
      <c r="AS1352" s="1942"/>
      <c r="AT1352" s="1942"/>
      <c r="AU1352" s="1942"/>
      <c r="AV1352" s="1942"/>
      <c r="AW1352" s="1942"/>
      <c r="AX1352" s="1942"/>
      <c r="AY1352" s="1942"/>
      <c r="AZ1352" s="1942"/>
      <c r="BA1352" s="1942"/>
      <c r="BB1352" s="575"/>
      <c r="BC1352" s="584"/>
      <c r="BD1352" s="678"/>
      <c r="BE1352" s="585"/>
    </row>
    <row r="1353" spans="1:57" s="51" customFormat="1" hidden="1" outlineLevel="1" x14ac:dyDescent="0.25">
      <c r="A1353" s="1267"/>
      <c r="B1353" s="123"/>
      <c r="C1353" s="328"/>
      <c r="D1353" s="3990"/>
      <c r="E1353" s="4009"/>
      <c r="F1353" s="4043" t="str">
        <f>$E$1298</f>
        <v>GSHP-EER23-Replace_CAC_ElectricHeat_ER1_SF</v>
      </c>
      <c r="G1353" s="4043"/>
      <c r="H1353" s="4043"/>
      <c r="I1353" s="2857"/>
      <c r="J1353" s="2276">
        <v>48705.882352941175</v>
      </c>
      <c r="K1353" s="2854">
        <f>J1354/12000</f>
        <v>4.0588235294117645</v>
      </c>
      <c r="L1353" s="4056"/>
      <c r="M1353" s="3082"/>
      <c r="N1353" s="3082"/>
      <c r="O1353" s="123"/>
      <c r="P1353" s="123"/>
      <c r="Q1353" s="123"/>
      <c r="R1353" s="123"/>
      <c r="S1353" s="123"/>
      <c r="T1353" s="123"/>
      <c r="U1353" s="123"/>
      <c r="V1353" s="3990"/>
      <c r="W1353" s="2857">
        <v>49199.999999999993</v>
      </c>
      <c r="X1353" s="3155">
        <f>3.99*12000</f>
        <v>47880</v>
      </c>
      <c r="Y1353" s="3155">
        <f t="shared" si="144"/>
        <v>46320</v>
      </c>
      <c r="Z1353" s="2857">
        <f t="shared" si="144"/>
        <v>46320</v>
      </c>
      <c r="AA1353" s="2857">
        <f t="shared" si="144"/>
        <v>46320</v>
      </c>
      <c r="AB1353" s="2276">
        <v>45750</v>
      </c>
      <c r="AC1353" s="2276">
        <v>48705.882352941175</v>
      </c>
      <c r="AD1353" s="2857"/>
      <c r="AE1353" s="2857"/>
      <c r="AF1353" s="2857"/>
      <c r="AG1353" s="2857"/>
      <c r="AH1353" s="1942"/>
      <c r="AI1353" s="1942"/>
      <c r="AJ1353" s="1942"/>
      <c r="AK1353" s="1942"/>
      <c r="AL1353" s="1942"/>
      <c r="AM1353" s="1942"/>
      <c r="AN1353" s="1942"/>
      <c r="AO1353" s="1942"/>
      <c r="AP1353" s="1942"/>
      <c r="AQ1353" s="1942"/>
      <c r="AR1353" s="1942"/>
      <c r="AS1353" s="1942"/>
      <c r="AT1353" s="1942"/>
      <c r="AU1353" s="1942"/>
      <c r="AV1353" s="1942"/>
      <c r="AW1353" s="1942"/>
      <c r="AX1353" s="1942"/>
      <c r="AY1353" s="1942"/>
      <c r="AZ1353" s="1942"/>
      <c r="BA1353" s="1942"/>
      <c r="BB1353" s="575"/>
      <c r="BC1353" s="584"/>
      <c r="BD1353" s="678"/>
      <c r="BE1353" s="585"/>
    </row>
    <row r="1354" spans="1:57" s="51" customFormat="1" hidden="1" outlineLevel="1" x14ac:dyDescent="0.25">
      <c r="A1354" s="1267"/>
      <c r="B1354" s="123"/>
      <c r="C1354" s="328"/>
      <c r="D1354" s="3990"/>
      <c r="E1354" s="4009"/>
      <c r="F1354" s="4043" t="str">
        <f>$E$1300</f>
        <v>GSHP-EER23-Replace_CAC_ElectricHeat_ER2_SF</v>
      </c>
      <c r="G1354" s="4043"/>
      <c r="H1354" s="4043"/>
      <c r="I1354" s="2857"/>
      <c r="J1354" s="2225">
        <f>J1353</f>
        <v>48705.882352941175</v>
      </c>
      <c r="K1354" s="2854">
        <f>J1352/12000</f>
        <v>3.8833333333333333</v>
      </c>
      <c r="L1354" s="4056"/>
      <c r="M1354" s="3082"/>
      <c r="N1354" s="3082"/>
      <c r="O1354" s="123"/>
      <c r="P1354" s="123"/>
      <c r="Q1354" s="123"/>
      <c r="R1354" s="123"/>
      <c r="S1354" s="123"/>
      <c r="T1354" s="123"/>
      <c r="U1354" s="123"/>
      <c r="V1354" s="3990"/>
      <c r="W1354" s="2857">
        <v>49199.999999999993</v>
      </c>
      <c r="X1354" s="3155">
        <f>3.99*12000</f>
        <v>47880</v>
      </c>
      <c r="Y1354" s="3155">
        <f>Y1328</f>
        <v>47760</v>
      </c>
      <c r="Z1354" s="2857">
        <f>Z1328</f>
        <v>47760</v>
      </c>
      <c r="AA1354" s="2857">
        <f>AA1328</f>
        <v>47760</v>
      </c>
      <c r="AB1354" s="2225">
        <v>45750</v>
      </c>
      <c r="AC1354" s="2225">
        <v>48705.882352941175</v>
      </c>
      <c r="AD1354" s="2857"/>
      <c r="AE1354" s="2857"/>
      <c r="AF1354" s="2857"/>
      <c r="AG1354" s="2857"/>
      <c r="AH1354" s="1942"/>
      <c r="AI1354" s="1942"/>
      <c r="AJ1354" s="1942"/>
      <c r="AK1354" s="1942"/>
      <c r="AL1354" s="1942"/>
      <c r="AM1354" s="1942"/>
      <c r="AN1354" s="1942"/>
      <c r="AO1354" s="1942"/>
      <c r="AP1354" s="1942"/>
      <c r="AQ1354" s="1942"/>
      <c r="AR1354" s="1942"/>
      <c r="AS1354" s="1942"/>
      <c r="AT1354" s="1942"/>
      <c r="AU1354" s="1942"/>
      <c r="AV1354" s="1942"/>
      <c r="AW1354" s="1942"/>
      <c r="AX1354" s="1942"/>
      <c r="AY1354" s="1942"/>
      <c r="AZ1354" s="1942"/>
      <c r="BA1354" s="1942"/>
      <c r="BB1354" s="575"/>
      <c r="BC1354" s="584"/>
      <c r="BD1354" s="678"/>
      <c r="BE1354" s="585"/>
    </row>
    <row r="1355" spans="1:57" s="51" customFormat="1" hidden="1" outlineLevel="1" x14ac:dyDescent="0.25">
      <c r="A1355" s="1267"/>
      <c r="B1355" s="123"/>
      <c r="C1355" s="328"/>
      <c r="D1355" s="3990"/>
      <c r="E1355" s="4009"/>
      <c r="F1355" s="4043" t="str">
        <f>$E$1302</f>
        <v>GSHP-EER23_ER1_SF</v>
      </c>
      <c r="G1355" s="4043"/>
      <c r="H1355" s="4043"/>
      <c r="I1355" s="2857"/>
      <c r="J1355" s="2225">
        <v>48885.24590163934</v>
      </c>
      <c r="K1355" s="2854">
        <f>J1355/12000</f>
        <v>4.0737704918032787</v>
      </c>
      <c r="L1355" s="4056"/>
      <c r="M1355" s="3082"/>
      <c r="N1355" s="3082"/>
      <c r="O1355" s="123"/>
      <c r="P1355" s="123"/>
      <c r="Q1355" s="123"/>
      <c r="R1355" s="123"/>
      <c r="S1355" s="123"/>
      <c r="T1355" s="123"/>
      <c r="U1355" s="123"/>
      <c r="V1355" s="3990"/>
      <c r="W1355" s="2857">
        <v>49199.999999999993</v>
      </c>
      <c r="X1355" s="3155">
        <f>3.99*12000</f>
        <v>47880</v>
      </c>
      <c r="Y1355" s="3155">
        <f>Y1332</f>
        <v>50400</v>
      </c>
      <c r="Z1355" s="2857">
        <f t="shared" ref="Z1355:AA1355" si="145">Z1332</f>
        <v>50400</v>
      </c>
      <c r="AA1355" s="2857">
        <f t="shared" si="145"/>
        <v>50400</v>
      </c>
      <c r="AB1355" s="2225">
        <v>51319.148936170212</v>
      </c>
      <c r="AC1355" s="2225">
        <v>48885.24590163934</v>
      </c>
      <c r="AD1355" s="2857"/>
      <c r="AE1355" s="2857"/>
      <c r="AF1355" s="2857"/>
      <c r="AG1355" s="2857"/>
      <c r="AH1355" s="1942"/>
      <c r="AI1355" s="1942"/>
      <c r="AJ1355" s="1942"/>
      <c r="AK1355" s="1942"/>
      <c r="AL1355" s="1942"/>
      <c r="AM1355" s="1942"/>
      <c r="AN1355" s="1942"/>
      <c r="AO1355" s="1942"/>
      <c r="AP1355" s="1942"/>
      <c r="AQ1355" s="1942"/>
      <c r="AR1355" s="1942"/>
      <c r="AS1355" s="1942"/>
      <c r="AT1355" s="1942"/>
      <c r="AU1355" s="1942"/>
      <c r="AV1355" s="1942"/>
      <c r="AW1355" s="1942"/>
      <c r="AX1355" s="1942"/>
      <c r="AY1355" s="1942"/>
      <c r="AZ1355" s="1942"/>
      <c r="BA1355" s="1942"/>
      <c r="BB1355" s="575"/>
      <c r="BC1355" s="584"/>
      <c r="BD1355" s="678"/>
      <c r="BE1355" s="585"/>
    </row>
    <row r="1356" spans="1:57" s="1942" customFormat="1" hidden="1" outlineLevel="1" x14ac:dyDescent="0.25">
      <c r="A1356" s="1267"/>
      <c r="B1356" s="123"/>
      <c r="C1356" s="328"/>
      <c r="D1356" s="3990"/>
      <c r="E1356" s="4009"/>
      <c r="F1356" s="3992" t="str">
        <f>$E$1304</f>
        <v>GSHP-EER23_ER2_SF</v>
      </c>
      <c r="G1356" s="3992"/>
      <c r="H1356" s="3992"/>
      <c r="I1356" s="2857"/>
      <c r="J1356" s="2262">
        <f>J1355</f>
        <v>48885.24590163934</v>
      </c>
      <c r="K1356" s="2854">
        <f>J1356/12000</f>
        <v>4.0737704918032787</v>
      </c>
      <c r="L1356" s="4056"/>
      <c r="M1356" s="3082"/>
      <c r="N1356" s="3082"/>
      <c r="O1356" s="123"/>
      <c r="P1356" s="123"/>
      <c r="Q1356" s="123"/>
      <c r="R1356" s="123"/>
      <c r="S1356" s="123"/>
      <c r="T1356" s="123"/>
      <c r="U1356" s="123"/>
      <c r="V1356" s="3990"/>
      <c r="W1356" s="693"/>
      <c r="X1356" s="692"/>
      <c r="Y1356" s="692"/>
      <c r="Z1356" s="693"/>
      <c r="AA1356" s="693"/>
      <c r="AB1356" s="2262">
        <v>51319.148936170212</v>
      </c>
      <c r="AC1356" s="2262">
        <v>48885.24590163934</v>
      </c>
      <c r="AD1356" s="693"/>
      <c r="AE1356" s="693"/>
      <c r="AF1356" s="693"/>
      <c r="AG1356" s="693"/>
      <c r="BB1356" s="575"/>
      <c r="BC1356" s="584"/>
      <c r="BD1356" s="678"/>
      <c r="BE1356" s="585"/>
    </row>
    <row r="1357" spans="1:57" s="51" customFormat="1" ht="15.75" hidden="1" outlineLevel="1" thickBot="1" x14ac:dyDescent="0.3">
      <c r="A1357" s="1267"/>
      <c r="B1357" s="123"/>
      <c r="C1357" s="328"/>
      <c r="D1357" s="3991"/>
      <c r="E1357" s="4025"/>
      <c r="F1357" s="4043" t="str">
        <f>$E$1306</f>
        <v>GSHP-EER23_ROF_SF</v>
      </c>
      <c r="G1357" s="4043"/>
      <c r="H1357" s="4043"/>
      <c r="I1357" s="2857"/>
      <c r="J1357" s="2261">
        <v>49977.272727272728</v>
      </c>
      <c r="K1357" s="2709">
        <f>J1357/12000</f>
        <v>4.1647727272727275</v>
      </c>
      <c r="L1357" s="4057"/>
      <c r="M1357" s="3082"/>
      <c r="N1357" s="3082"/>
      <c r="O1357" s="123"/>
      <c r="P1357" s="123"/>
      <c r="Q1357" s="123"/>
      <c r="R1357" s="123"/>
      <c r="S1357" s="123"/>
      <c r="T1357" s="123"/>
      <c r="U1357" s="123"/>
      <c r="V1357" s="3991"/>
      <c r="W1357" s="2860">
        <v>52800.000000000007</v>
      </c>
      <c r="X1357" s="3156">
        <f>3.99*12000</f>
        <v>47880</v>
      </c>
      <c r="Y1357" s="3156">
        <f>Y1333</f>
        <v>47160</v>
      </c>
      <c r="Z1357" s="2860">
        <f t="shared" ref="Z1357:AA1357" si="146">Z1333</f>
        <v>47160</v>
      </c>
      <c r="AA1357" s="2860">
        <f t="shared" si="146"/>
        <v>47160</v>
      </c>
      <c r="AB1357" s="2261">
        <v>51652.173913043473</v>
      </c>
      <c r="AC1357" s="2261">
        <v>49977.272727272728</v>
      </c>
      <c r="AD1357" s="2860"/>
      <c r="AE1357" s="2860"/>
      <c r="AF1357" s="2860"/>
      <c r="AG1357" s="2860"/>
      <c r="AH1357" s="1942"/>
      <c r="AI1357" s="1942"/>
      <c r="AJ1357" s="1942"/>
      <c r="AK1357" s="1942"/>
      <c r="AL1357" s="1942"/>
      <c r="AM1357" s="1942"/>
      <c r="AN1357" s="1942"/>
      <c r="AO1357" s="1942"/>
      <c r="AP1357" s="1942"/>
      <c r="AQ1357" s="1942"/>
      <c r="AR1357" s="1942"/>
      <c r="AS1357" s="1942"/>
      <c r="AT1357" s="1942"/>
      <c r="AU1357" s="1942"/>
      <c r="AV1357" s="1942"/>
      <c r="AW1357" s="1942"/>
      <c r="AX1357" s="1942"/>
      <c r="AY1357" s="1942"/>
      <c r="AZ1357" s="1942"/>
      <c r="BA1357" s="1942"/>
      <c r="BB1357" s="575"/>
      <c r="BC1357" s="584"/>
      <c r="BD1357" s="678"/>
      <c r="BE1357" s="585"/>
    </row>
    <row r="1358" spans="1:57" s="51" customFormat="1" hidden="1" outlineLevel="1" x14ac:dyDescent="0.25">
      <c r="A1358" s="1267"/>
      <c r="B1358" s="123"/>
      <c r="C1358" s="328"/>
      <c r="D1358" s="3989" t="s">
        <v>1186</v>
      </c>
      <c r="E1358" s="3996" t="s">
        <v>1162</v>
      </c>
      <c r="F1358" s="4050" t="str">
        <f>$E$1296</f>
        <v>GSHP-EER23-Replace_CAC_ElectricHeat_ROF_SF</v>
      </c>
      <c r="G1358" s="4050"/>
      <c r="H1358" s="4050"/>
      <c r="I1358" s="2861"/>
      <c r="J1358" s="2861">
        <v>869</v>
      </c>
      <c r="K1358" s="811"/>
      <c r="L1358" s="4051" t="s">
        <v>1011</v>
      </c>
      <c r="M1358" s="3082"/>
      <c r="N1358" s="3082"/>
      <c r="O1358" s="123"/>
      <c r="P1358" s="123"/>
      <c r="Q1358" s="123"/>
      <c r="R1358" s="123"/>
      <c r="S1358" s="123"/>
      <c r="T1358" s="123"/>
      <c r="U1358" s="123"/>
      <c r="V1358" s="3989" t="s">
        <v>1186</v>
      </c>
      <c r="W1358" s="2861">
        <v>869</v>
      </c>
      <c r="X1358" s="2861">
        <v>869</v>
      </c>
      <c r="Y1358" s="2861">
        <v>869</v>
      </c>
      <c r="Z1358" s="2861">
        <v>869</v>
      </c>
      <c r="AA1358" s="2861">
        <v>869</v>
      </c>
      <c r="AB1358" s="2861">
        <v>869</v>
      </c>
      <c r="AC1358" s="2861">
        <v>869</v>
      </c>
      <c r="AD1358" s="2861"/>
      <c r="AE1358" s="2861"/>
      <c r="AF1358" s="2861"/>
      <c r="AG1358" s="2861"/>
      <c r="AH1358" s="1942"/>
      <c r="AI1358" s="1942"/>
      <c r="AJ1358" s="1942"/>
      <c r="AK1358" s="1942"/>
      <c r="AL1358" s="1942"/>
      <c r="AM1358" s="1942"/>
      <c r="AN1358" s="1942"/>
      <c r="AO1358" s="1942"/>
      <c r="AP1358" s="1942"/>
      <c r="AQ1358" s="1942"/>
      <c r="AR1358" s="1942"/>
      <c r="AS1358" s="1942"/>
      <c r="AT1358" s="1942"/>
      <c r="AU1358" s="1942"/>
      <c r="AV1358" s="1942"/>
      <c r="AW1358" s="1942"/>
      <c r="AX1358" s="1942"/>
      <c r="AY1358" s="1942"/>
      <c r="AZ1358" s="1942"/>
      <c r="BA1358" s="1942"/>
      <c r="BB1358" s="575"/>
      <c r="BC1358" s="584"/>
      <c r="BD1358" s="678"/>
      <c r="BE1358" s="585"/>
    </row>
    <row r="1359" spans="1:57" s="51" customFormat="1" hidden="1" outlineLevel="1" x14ac:dyDescent="0.25">
      <c r="A1359" s="1267"/>
      <c r="B1359" s="123"/>
      <c r="C1359" s="328"/>
      <c r="D1359" s="3990"/>
      <c r="E1359" s="3910"/>
      <c r="F1359" s="4043" t="str">
        <f>$E$1298</f>
        <v>GSHP-EER23-Replace_CAC_ElectricHeat_ER1_SF</v>
      </c>
      <c r="G1359" s="4043"/>
      <c r="H1359" s="4043"/>
      <c r="I1359" s="2857"/>
      <c r="J1359" s="2857">
        <v>869</v>
      </c>
      <c r="K1359" s="806"/>
      <c r="L1359" s="4052"/>
      <c r="M1359" s="3082"/>
      <c r="N1359" s="3082"/>
      <c r="O1359" s="123"/>
      <c r="P1359" s="123"/>
      <c r="Q1359" s="123"/>
      <c r="R1359" s="123"/>
      <c r="S1359" s="123"/>
      <c r="T1359" s="123"/>
      <c r="U1359" s="123"/>
      <c r="V1359" s="3990"/>
      <c r="W1359" s="2857">
        <v>869</v>
      </c>
      <c r="X1359" s="2857">
        <v>869</v>
      </c>
      <c r="Y1359" s="2857">
        <v>869</v>
      </c>
      <c r="Z1359" s="2857">
        <v>869</v>
      </c>
      <c r="AA1359" s="2857">
        <v>869</v>
      </c>
      <c r="AB1359" s="2857">
        <v>869</v>
      </c>
      <c r="AC1359" s="2857">
        <v>869</v>
      </c>
      <c r="AD1359" s="2857"/>
      <c r="AE1359" s="2857"/>
      <c r="AF1359" s="2857"/>
      <c r="AG1359" s="2857"/>
      <c r="AH1359" s="1942"/>
      <c r="AI1359" s="1942"/>
      <c r="AJ1359" s="1942"/>
      <c r="AK1359" s="1942"/>
      <c r="AL1359" s="1942"/>
      <c r="AM1359" s="1942"/>
      <c r="AN1359" s="1942"/>
      <c r="AO1359" s="1942"/>
      <c r="AP1359" s="1942"/>
      <c r="AQ1359" s="1942"/>
      <c r="AR1359" s="1942"/>
      <c r="AS1359" s="1942"/>
      <c r="AT1359" s="1942"/>
      <c r="AU1359" s="1942"/>
      <c r="AV1359" s="1942"/>
      <c r="AW1359" s="1942"/>
      <c r="AX1359" s="1942"/>
      <c r="AY1359" s="1942"/>
      <c r="AZ1359" s="1942"/>
      <c r="BA1359" s="1942"/>
      <c r="BB1359" s="575"/>
      <c r="BC1359" s="584"/>
      <c r="BD1359" s="678"/>
      <c r="BE1359" s="585"/>
    </row>
    <row r="1360" spans="1:57" s="51" customFormat="1" hidden="1" outlineLevel="1" x14ac:dyDescent="0.25">
      <c r="A1360" s="1267"/>
      <c r="B1360" s="123"/>
      <c r="C1360" s="328"/>
      <c r="D1360" s="3990"/>
      <c r="E1360" s="3910"/>
      <c r="F1360" s="4043" t="str">
        <f>$E$1300</f>
        <v>GSHP-EER23-Replace_CAC_ElectricHeat_ER2_SF</v>
      </c>
      <c r="G1360" s="4043"/>
      <c r="H1360" s="4043"/>
      <c r="I1360" s="2857"/>
      <c r="J1360" s="2857">
        <v>869</v>
      </c>
      <c r="K1360" s="806"/>
      <c r="L1360" s="4052"/>
      <c r="M1360" s="3082"/>
      <c r="N1360" s="3082"/>
      <c r="O1360" s="123"/>
      <c r="P1360" s="123"/>
      <c r="Q1360" s="123"/>
      <c r="R1360" s="123"/>
      <c r="S1360" s="123"/>
      <c r="T1360" s="123"/>
      <c r="U1360" s="123"/>
      <c r="V1360" s="3990"/>
      <c r="W1360" s="2857">
        <v>869</v>
      </c>
      <c r="X1360" s="2857">
        <v>869</v>
      </c>
      <c r="Y1360" s="2857">
        <v>869</v>
      </c>
      <c r="Z1360" s="2857">
        <v>869</v>
      </c>
      <c r="AA1360" s="2857">
        <v>869</v>
      </c>
      <c r="AB1360" s="2857">
        <v>869</v>
      </c>
      <c r="AC1360" s="2857">
        <v>869</v>
      </c>
      <c r="AD1360" s="2857"/>
      <c r="AE1360" s="2857"/>
      <c r="AF1360" s="2857"/>
      <c r="AG1360" s="2857"/>
      <c r="AH1360" s="1942"/>
      <c r="AI1360" s="1942"/>
      <c r="AJ1360" s="1942"/>
      <c r="AK1360" s="1942"/>
      <c r="AL1360" s="1942"/>
      <c r="AM1360" s="1942"/>
      <c r="AN1360" s="1942"/>
      <c r="AO1360" s="1942"/>
      <c r="AP1360" s="1942"/>
      <c r="AQ1360" s="1942"/>
      <c r="AR1360" s="1942"/>
      <c r="AS1360" s="1942"/>
      <c r="AT1360" s="1942"/>
      <c r="AU1360" s="1942"/>
      <c r="AV1360" s="1942"/>
      <c r="AW1360" s="1942"/>
      <c r="AX1360" s="1942"/>
      <c r="AY1360" s="1942"/>
      <c r="AZ1360" s="1942"/>
      <c r="BA1360" s="1942"/>
      <c r="BB1360" s="575"/>
      <c r="BC1360" s="584"/>
      <c r="BD1360" s="678"/>
      <c r="BE1360" s="585"/>
    </row>
    <row r="1361" spans="1:57" s="51" customFormat="1" hidden="1" outlineLevel="1" x14ac:dyDescent="0.25">
      <c r="A1361" s="1267"/>
      <c r="B1361" s="123"/>
      <c r="C1361" s="328"/>
      <c r="D1361" s="3990"/>
      <c r="E1361" s="3910"/>
      <c r="F1361" s="4043" t="str">
        <f>$E$1302</f>
        <v>GSHP-EER23_ER1_SF</v>
      </c>
      <c r="G1361" s="4043"/>
      <c r="H1361" s="4043"/>
      <c r="I1361" s="2857"/>
      <c r="J1361" s="2857">
        <v>869</v>
      </c>
      <c r="K1361" s="806"/>
      <c r="L1361" s="4052"/>
      <c r="M1361" s="3082"/>
      <c r="N1361" s="3082"/>
      <c r="O1361" s="123"/>
      <c r="P1361" s="123"/>
      <c r="Q1361" s="123"/>
      <c r="R1361" s="123"/>
      <c r="S1361" s="123"/>
      <c r="T1361" s="123"/>
      <c r="U1361" s="123"/>
      <c r="V1361" s="3990"/>
      <c r="W1361" s="2857">
        <v>869</v>
      </c>
      <c r="X1361" s="2857">
        <v>869</v>
      </c>
      <c r="Y1361" s="2857">
        <v>869</v>
      </c>
      <c r="Z1361" s="2857">
        <v>869</v>
      </c>
      <c r="AA1361" s="2857">
        <v>869</v>
      </c>
      <c r="AB1361" s="2857">
        <v>869</v>
      </c>
      <c r="AC1361" s="2857">
        <v>869</v>
      </c>
      <c r="AD1361" s="2857"/>
      <c r="AE1361" s="2857"/>
      <c r="AF1361" s="2857"/>
      <c r="AG1361" s="2857"/>
      <c r="AH1361" s="1942"/>
      <c r="AI1361" s="1942"/>
      <c r="AJ1361" s="1942"/>
      <c r="AK1361" s="1942"/>
      <c r="AL1361" s="1942"/>
      <c r="AM1361" s="1942"/>
      <c r="AN1361" s="1942"/>
      <c r="AO1361" s="1942"/>
      <c r="AP1361" s="1942"/>
      <c r="AQ1361" s="1942"/>
      <c r="AR1361" s="1942"/>
      <c r="AS1361" s="1942"/>
      <c r="AT1361" s="1942"/>
      <c r="AU1361" s="1942"/>
      <c r="AV1361" s="1942"/>
      <c r="AW1361" s="1942"/>
      <c r="AX1361" s="1942"/>
      <c r="AY1361" s="1942"/>
      <c r="AZ1361" s="1942"/>
      <c r="BA1361" s="1942"/>
      <c r="BB1361" s="575"/>
      <c r="BC1361" s="584"/>
      <c r="BD1361" s="678"/>
      <c r="BE1361" s="585"/>
    </row>
    <row r="1362" spans="1:57" s="1942" customFormat="1" hidden="1" outlineLevel="1" x14ac:dyDescent="0.25">
      <c r="A1362" s="1267"/>
      <c r="B1362" s="123"/>
      <c r="C1362" s="328"/>
      <c r="D1362" s="3990"/>
      <c r="E1362" s="3910"/>
      <c r="F1362" s="3992" t="str">
        <f>$E$1304</f>
        <v>GSHP-EER23_ER2_SF</v>
      </c>
      <c r="G1362" s="3992"/>
      <c r="H1362" s="3992"/>
      <c r="I1362" s="2855"/>
      <c r="J1362" s="2601">
        <v>869</v>
      </c>
      <c r="K1362" s="806"/>
      <c r="L1362" s="4052"/>
      <c r="M1362" s="3082"/>
      <c r="N1362" s="3082"/>
      <c r="O1362" s="123"/>
      <c r="P1362" s="123"/>
      <c r="Q1362" s="123"/>
      <c r="R1362" s="123"/>
      <c r="S1362" s="123"/>
      <c r="T1362" s="123"/>
      <c r="U1362" s="123"/>
      <c r="V1362" s="3990"/>
      <c r="W1362" s="2857"/>
      <c r="X1362" s="2857"/>
      <c r="Y1362" s="2857"/>
      <c r="Z1362" s="2857"/>
      <c r="AA1362" s="2857"/>
      <c r="AB1362" s="2264">
        <v>869</v>
      </c>
      <c r="AC1362" s="2601">
        <v>869</v>
      </c>
      <c r="AD1362" s="2857"/>
      <c r="AE1362" s="2857"/>
      <c r="AF1362" s="2857"/>
      <c r="AG1362" s="2857"/>
      <c r="BB1362" s="575"/>
      <c r="BC1362" s="584"/>
      <c r="BD1362" s="678"/>
      <c r="BE1362" s="585"/>
    </row>
    <row r="1363" spans="1:57" s="51" customFormat="1" ht="15.75" hidden="1" outlineLevel="1" thickBot="1" x14ac:dyDescent="0.3">
      <c r="A1363" s="1267"/>
      <c r="B1363" s="123"/>
      <c r="C1363" s="328"/>
      <c r="D1363" s="3990"/>
      <c r="E1363" s="3910"/>
      <c r="F1363" s="4043" t="str">
        <f>$E$1306</f>
        <v>GSHP-EER23_ROF_SF</v>
      </c>
      <c r="G1363" s="4043"/>
      <c r="H1363" s="4043"/>
      <c r="I1363" s="2857"/>
      <c r="J1363" s="2857">
        <v>869</v>
      </c>
      <c r="K1363" s="806"/>
      <c r="L1363" s="4053"/>
      <c r="M1363" s="3082"/>
      <c r="N1363" s="3082"/>
      <c r="O1363" s="123"/>
      <c r="P1363" s="123"/>
      <c r="Q1363" s="123"/>
      <c r="R1363" s="123"/>
      <c r="S1363" s="123"/>
      <c r="T1363" s="123"/>
      <c r="U1363" s="123"/>
      <c r="V1363" s="3990"/>
      <c r="W1363" s="2857">
        <v>869</v>
      </c>
      <c r="X1363" s="2857">
        <v>869</v>
      </c>
      <c r="Y1363" s="2857">
        <v>869</v>
      </c>
      <c r="Z1363" s="2857">
        <v>869</v>
      </c>
      <c r="AA1363" s="2857">
        <v>869</v>
      </c>
      <c r="AB1363" s="2857">
        <v>869</v>
      </c>
      <c r="AC1363" s="2857">
        <v>869</v>
      </c>
      <c r="AD1363" s="2857"/>
      <c r="AE1363" s="2857"/>
      <c r="AF1363" s="2857"/>
      <c r="AG1363" s="2857"/>
      <c r="AH1363" s="1942"/>
      <c r="AI1363" s="1942"/>
      <c r="AJ1363" s="1942"/>
      <c r="AK1363" s="1942"/>
      <c r="AL1363" s="1942"/>
      <c r="AM1363" s="1942"/>
      <c r="AN1363" s="1942"/>
      <c r="AO1363" s="1942"/>
      <c r="AP1363" s="1942"/>
      <c r="AQ1363" s="1942"/>
      <c r="AR1363" s="1942"/>
      <c r="AS1363" s="1942"/>
      <c r="AT1363" s="1942"/>
      <c r="AU1363" s="1942"/>
      <c r="AV1363" s="1942"/>
      <c r="AW1363" s="1942"/>
      <c r="AX1363" s="1942"/>
      <c r="AY1363" s="1942"/>
      <c r="AZ1363" s="1942"/>
      <c r="BA1363" s="1942"/>
      <c r="BB1363" s="575"/>
      <c r="BC1363" s="584"/>
      <c r="BD1363" s="678"/>
      <c r="BE1363" s="585"/>
    </row>
    <row r="1364" spans="1:57" s="51" customFormat="1" ht="45" hidden="1" outlineLevel="1" x14ac:dyDescent="0.25">
      <c r="A1364" s="1267"/>
      <c r="B1364" s="123"/>
      <c r="C1364" s="328"/>
      <c r="D1364" s="3989" t="s">
        <v>1187</v>
      </c>
      <c r="E1364" s="3996" t="s">
        <v>1164</v>
      </c>
      <c r="F1364" s="4044" t="str">
        <f>$E$1296</f>
        <v>GSHP-EER23-Replace_CAC_ElectricHeat_ROF_SF</v>
      </c>
      <c r="G1364" s="4045"/>
      <c r="H1364" s="4046"/>
      <c r="I1364" s="2861"/>
      <c r="J1364" s="809">
        <v>14.1</v>
      </c>
      <c r="K1364" s="811"/>
      <c r="L1364" s="2710" t="s">
        <v>1002</v>
      </c>
      <c r="M1364" s="3082"/>
      <c r="N1364" s="3082"/>
      <c r="O1364" s="123"/>
      <c r="P1364" s="123"/>
      <c r="Q1364" s="123"/>
      <c r="R1364" s="123"/>
      <c r="S1364" s="123"/>
      <c r="T1364" s="123"/>
      <c r="U1364" s="123"/>
      <c r="V1364" s="3989" t="s">
        <v>1187</v>
      </c>
      <c r="W1364" s="2861">
        <v>13</v>
      </c>
      <c r="X1364" s="810">
        <v>14.1</v>
      </c>
      <c r="Y1364" s="809">
        <v>14.1</v>
      </c>
      <c r="Z1364" s="809">
        <v>14.1</v>
      </c>
      <c r="AA1364" s="809">
        <v>14.1</v>
      </c>
      <c r="AB1364" s="809">
        <v>14.1</v>
      </c>
      <c r="AC1364" s="809">
        <v>14.1</v>
      </c>
      <c r="AD1364" s="2861"/>
      <c r="AE1364" s="2861"/>
      <c r="AF1364" s="2861"/>
      <c r="AG1364" s="2861"/>
      <c r="AH1364" s="1942"/>
      <c r="AI1364" s="1942"/>
      <c r="AJ1364" s="1942"/>
      <c r="AK1364" s="1942"/>
      <c r="AL1364" s="1942"/>
      <c r="AM1364" s="1942"/>
      <c r="AN1364" s="1942"/>
      <c r="AO1364" s="1942"/>
      <c r="AP1364" s="1942"/>
      <c r="AQ1364" s="1942"/>
      <c r="AR1364" s="1942"/>
      <c r="AS1364" s="1942"/>
      <c r="AT1364" s="1942"/>
      <c r="AU1364" s="1942"/>
      <c r="AV1364" s="1942"/>
      <c r="AW1364" s="1942"/>
      <c r="AX1364" s="1942"/>
      <c r="AY1364" s="1942"/>
      <c r="AZ1364" s="1942"/>
      <c r="BA1364" s="1942"/>
      <c r="BB1364" s="575"/>
      <c r="BC1364" s="584"/>
      <c r="BD1364" s="678"/>
      <c r="BE1364" s="585"/>
    </row>
    <row r="1365" spans="1:57" s="51" customFormat="1" ht="60" hidden="1" outlineLevel="1" x14ac:dyDescent="0.25">
      <c r="A1365" s="1267"/>
      <c r="B1365" s="123"/>
      <c r="C1365" s="328"/>
      <c r="D1365" s="3990"/>
      <c r="E1365" s="4020"/>
      <c r="F1365" s="4040" t="str">
        <f>$E$1298</f>
        <v>GSHP-EER23-Replace_CAC_ElectricHeat_ER1_SF</v>
      </c>
      <c r="G1365" s="4041"/>
      <c r="H1365" s="4042"/>
      <c r="I1365" s="2857"/>
      <c r="J1365" s="703">
        <v>6.3407685330503476</v>
      </c>
      <c r="K1365" s="806"/>
      <c r="L1365" s="2712" t="s">
        <v>1188</v>
      </c>
      <c r="M1365" s="3082"/>
      <c r="N1365" s="3082"/>
      <c r="O1365" s="123"/>
      <c r="P1365" s="123"/>
      <c r="Q1365" s="123"/>
      <c r="R1365" s="123"/>
      <c r="S1365" s="123"/>
      <c r="T1365" s="123"/>
      <c r="U1365" s="123"/>
      <c r="V1365" s="3990"/>
      <c r="W1365" s="2857">
        <v>6.8</v>
      </c>
      <c r="X1365" s="3155">
        <v>6.54</v>
      </c>
      <c r="Y1365" s="2857">
        <v>6.54</v>
      </c>
      <c r="Z1365" s="2857">
        <v>6.54</v>
      </c>
      <c r="AA1365" s="2857">
        <v>6.54</v>
      </c>
      <c r="AB1365" s="2857">
        <v>6.54</v>
      </c>
      <c r="AC1365" s="703">
        <v>6.3407685330503476</v>
      </c>
      <c r="AD1365" s="2857"/>
      <c r="AE1365" s="2857"/>
      <c r="AF1365" s="2857"/>
      <c r="AG1365" s="2857"/>
      <c r="AH1365" s="1942"/>
      <c r="AI1365" s="1942"/>
      <c r="AJ1365" s="1942"/>
      <c r="AK1365" s="1942"/>
      <c r="AL1365" s="1942"/>
      <c r="AM1365" s="1942"/>
      <c r="AN1365" s="1942"/>
      <c r="AO1365" s="1942"/>
      <c r="AP1365" s="1942"/>
      <c r="AQ1365" s="1942"/>
      <c r="AR1365" s="1942"/>
      <c r="AS1365" s="1942"/>
      <c r="AT1365" s="1942"/>
      <c r="AU1365" s="1942"/>
      <c r="AV1365" s="1942"/>
      <c r="AW1365" s="1942"/>
      <c r="AX1365" s="1942"/>
      <c r="AY1365" s="1942"/>
      <c r="AZ1365" s="1942"/>
      <c r="BA1365" s="1942"/>
      <c r="BB1365" s="575"/>
      <c r="BC1365" s="584"/>
      <c r="BD1365" s="678"/>
      <c r="BE1365" s="585"/>
    </row>
    <row r="1366" spans="1:57" s="51" customFormat="1" ht="45" hidden="1" outlineLevel="1" x14ac:dyDescent="0.25">
      <c r="A1366" s="1267"/>
      <c r="B1366" s="123"/>
      <c r="C1366" s="328"/>
      <c r="D1366" s="3990"/>
      <c r="E1366" s="4020"/>
      <c r="F1366" s="4040" t="str">
        <f>$E$1300</f>
        <v>GSHP-EER23-Replace_CAC_ElectricHeat_ER2_SF</v>
      </c>
      <c r="G1366" s="4041"/>
      <c r="H1366" s="4042"/>
      <c r="I1366" s="2857"/>
      <c r="J1366" s="2857">
        <v>14.1</v>
      </c>
      <c r="K1366" s="806"/>
      <c r="L1366" s="3165" t="s">
        <v>1002</v>
      </c>
      <c r="M1366" s="3082"/>
      <c r="N1366" s="3082"/>
      <c r="O1366" s="123"/>
      <c r="P1366" s="123"/>
      <c r="Q1366" s="123"/>
      <c r="R1366" s="123"/>
      <c r="S1366" s="123"/>
      <c r="T1366" s="123"/>
      <c r="U1366" s="123"/>
      <c r="V1366" s="3990"/>
      <c r="W1366" s="2857">
        <v>13</v>
      </c>
      <c r="X1366" s="3155">
        <v>14.1</v>
      </c>
      <c r="Y1366" s="2857">
        <v>14.1</v>
      </c>
      <c r="Z1366" s="2857">
        <v>14.1</v>
      </c>
      <c r="AA1366" s="2857">
        <v>14.1</v>
      </c>
      <c r="AB1366" s="2857">
        <v>14.1</v>
      </c>
      <c r="AC1366" s="2857">
        <v>14.1</v>
      </c>
      <c r="AD1366" s="2857"/>
      <c r="AE1366" s="2857"/>
      <c r="AF1366" s="2857"/>
      <c r="AG1366" s="2857"/>
      <c r="AH1366" s="1942"/>
      <c r="AI1366" s="1942"/>
      <c r="AJ1366" s="1942"/>
      <c r="AK1366" s="1942"/>
      <c r="AL1366" s="1942"/>
      <c r="AM1366" s="1942"/>
      <c r="AN1366" s="1942"/>
      <c r="AO1366" s="1942"/>
      <c r="AP1366" s="1942"/>
      <c r="AQ1366" s="1942"/>
      <c r="AR1366" s="1942"/>
      <c r="AS1366" s="1942"/>
      <c r="AT1366" s="1942"/>
      <c r="AU1366" s="1942"/>
      <c r="AV1366" s="1942"/>
      <c r="AW1366" s="1942"/>
      <c r="AX1366" s="1942"/>
      <c r="AY1366" s="1942"/>
      <c r="AZ1366" s="1942"/>
      <c r="BA1366" s="1942"/>
      <c r="BB1366" s="575"/>
      <c r="BC1366" s="584"/>
      <c r="BD1366" s="678"/>
      <c r="BE1366" s="585"/>
    </row>
    <row r="1367" spans="1:57" s="51" customFormat="1" ht="60" hidden="1" outlineLevel="1" x14ac:dyDescent="0.25">
      <c r="A1367" s="1267"/>
      <c r="B1367" s="123"/>
      <c r="C1367" s="328"/>
      <c r="D1367" s="3990"/>
      <c r="E1367" s="4020"/>
      <c r="F1367" s="4040" t="str">
        <f>$E$1302</f>
        <v>GSHP-EER23_ER1_SF</v>
      </c>
      <c r="G1367" s="4041"/>
      <c r="H1367" s="4042"/>
      <c r="I1367" s="2857"/>
      <c r="J1367" s="703">
        <v>9.0644192432638082</v>
      </c>
      <c r="K1367" s="806"/>
      <c r="L1367" s="2712" t="s">
        <v>1188</v>
      </c>
      <c r="M1367" s="3082"/>
      <c r="N1367" s="3082"/>
      <c r="O1367" s="123"/>
      <c r="P1367" s="123"/>
      <c r="Q1367" s="123"/>
      <c r="R1367" s="123"/>
      <c r="S1367" s="123"/>
      <c r="T1367" s="123"/>
      <c r="U1367" s="123"/>
      <c r="V1367" s="3990"/>
      <c r="W1367" s="2857">
        <v>6.8</v>
      </c>
      <c r="X1367" s="3155">
        <v>12</v>
      </c>
      <c r="Y1367" s="2857">
        <v>12</v>
      </c>
      <c r="Z1367" s="2857">
        <v>12</v>
      </c>
      <c r="AA1367" s="2857">
        <v>12</v>
      </c>
      <c r="AB1367" s="2857">
        <v>12</v>
      </c>
      <c r="AC1367" s="703">
        <v>9.0644192432638082</v>
      </c>
      <c r="AD1367" s="2857"/>
      <c r="AE1367" s="2857"/>
      <c r="AF1367" s="2857"/>
      <c r="AG1367" s="2857"/>
      <c r="AH1367" s="1942"/>
      <c r="AI1367" s="1942"/>
      <c r="AJ1367" s="1942"/>
      <c r="AK1367" s="1942"/>
      <c r="AL1367" s="1942"/>
      <c r="AM1367" s="1942"/>
      <c r="AN1367" s="1942"/>
      <c r="AO1367" s="1942"/>
      <c r="AP1367" s="1942"/>
      <c r="AQ1367" s="1942"/>
      <c r="AR1367" s="1942"/>
      <c r="AS1367" s="1942"/>
      <c r="AT1367" s="1942"/>
      <c r="AU1367" s="1942"/>
      <c r="AV1367" s="1942"/>
      <c r="AW1367" s="1942"/>
      <c r="AX1367" s="1942"/>
      <c r="AY1367" s="1942"/>
      <c r="AZ1367" s="1942"/>
      <c r="BA1367" s="1942"/>
      <c r="BB1367" s="575"/>
      <c r="BC1367" s="584"/>
      <c r="BD1367" s="678"/>
      <c r="BE1367" s="585"/>
    </row>
    <row r="1368" spans="1:57" s="1942" customFormat="1" ht="45" hidden="1" outlineLevel="1" x14ac:dyDescent="0.25">
      <c r="A1368" s="1267"/>
      <c r="B1368" s="123"/>
      <c r="C1368" s="328"/>
      <c r="D1368" s="3990"/>
      <c r="E1368" s="4020"/>
      <c r="F1368" s="3993" t="str">
        <f>$E$1304</f>
        <v>GSHP-EER23_ER2_SF</v>
      </c>
      <c r="G1368" s="3994"/>
      <c r="H1368" s="3995"/>
      <c r="I1368" s="2855"/>
      <c r="J1368" s="2601">
        <v>12</v>
      </c>
      <c r="K1368" s="2671"/>
      <c r="L1368" s="3165" t="s">
        <v>1002</v>
      </c>
      <c r="M1368" s="3082"/>
      <c r="N1368" s="3082"/>
      <c r="O1368" s="123"/>
      <c r="P1368" s="123"/>
      <c r="Q1368" s="123"/>
      <c r="R1368" s="123"/>
      <c r="S1368" s="123"/>
      <c r="T1368" s="123"/>
      <c r="U1368" s="123"/>
      <c r="V1368" s="3990"/>
      <c r="W1368" s="2857"/>
      <c r="X1368" s="3155"/>
      <c r="Y1368" s="2857"/>
      <c r="Z1368" s="2857"/>
      <c r="AA1368" s="2857"/>
      <c r="AB1368" s="2264">
        <v>12</v>
      </c>
      <c r="AC1368" s="2601">
        <v>12</v>
      </c>
      <c r="AD1368" s="2857"/>
      <c r="AE1368" s="2857"/>
      <c r="AF1368" s="2857"/>
      <c r="AG1368" s="2857"/>
      <c r="BB1368" s="575"/>
      <c r="BC1368" s="584"/>
      <c r="BD1368" s="678"/>
      <c r="BE1368" s="585"/>
    </row>
    <row r="1369" spans="1:57" s="51" customFormat="1" ht="45.75" hidden="1" outlineLevel="1" thickBot="1" x14ac:dyDescent="0.3">
      <c r="A1369" s="1267"/>
      <c r="B1369" s="123"/>
      <c r="C1369" s="328"/>
      <c r="D1369" s="3990"/>
      <c r="E1369" s="4020"/>
      <c r="F1369" s="4047" t="str">
        <f>$E$1306</f>
        <v>GSHP-EER23_ROF_SF</v>
      </c>
      <c r="G1369" s="4048"/>
      <c r="H1369" s="4049"/>
      <c r="I1369" s="2857"/>
      <c r="J1369" s="2857">
        <v>14.1</v>
      </c>
      <c r="K1369" s="806"/>
      <c r="L1369" s="2711" t="s">
        <v>1002</v>
      </c>
      <c r="M1369" s="3082"/>
      <c r="N1369" s="3082"/>
      <c r="O1369" s="123"/>
      <c r="P1369" s="123"/>
      <c r="Q1369" s="123"/>
      <c r="R1369" s="123"/>
      <c r="S1369" s="123"/>
      <c r="T1369" s="123"/>
      <c r="U1369" s="123"/>
      <c r="V1369" s="3990"/>
      <c r="W1369" s="2857">
        <v>14.1</v>
      </c>
      <c r="X1369" s="3155">
        <v>14.1</v>
      </c>
      <c r="Y1369" s="2857">
        <v>14.1</v>
      </c>
      <c r="Z1369" s="2857">
        <v>14.1</v>
      </c>
      <c r="AA1369" s="2857">
        <v>14.1</v>
      </c>
      <c r="AB1369" s="2857">
        <v>14.1</v>
      </c>
      <c r="AC1369" s="2857">
        <v>14.1</v>
      </c>
      <c r="AD1369" s="2857"/>
      <c r="AE1369" s="2857"/>
      <c r="AF1369" s="2857"/>
      <c r="AG1369" s="2857"/>
      <c r="AH1369" s="1942"/>
      <c r="AI1369" s="1942"/>
      <c r="AJ1369" s="1942"/>
      <c r="AK1369" s="1942"/>
      <c r="AL1369" s="1942"/>
      <c r="AM1369" s="1942"/>
      <c r="AN1369" s="1942"/>
      <c r="AO1369" s="1942"/>
      <c r="AP1369" s="1942"/>
      <c r="AQ1369" s="1942"/>
      <c r="AR1369" s="1942"/>
      <c r="AS1369" s="1942"/>
      <c r="AT1369" s="1942"/>
      <c r="AU1369" s="1942"/>
      <c r="AV1369" s="1942"/>
      <c r="AW1369" s="1942"/>
      <c r="AX1369" s="1942"/>
      <c r="AY1369" s="1942"/>
      <c r="AZ1369" s="1942"/>
      <c r="BA1369" s="1942"/>
      <c r="BB1369" s="575"/>
      <c r="BC1369" s="584"/>
      <c r="BD1369" s="678"/>
      <c r="BE1369" s="585"/>
    </row>
    <row r="1370" spans="1:57" s="51" customFormat="1" hidden="1" outlineLevel="1" x14ac:dyDescent="0.25">
      <c r="A1370" s="1267"/>
      <c r="B1370" s="123"/>
      <c r="C1370" s="328"/>
      <c r="D1370" s="3989" t="s">
        <v>1012</v>
      </c>
      <c r="E1370" s="3996" t="s">
        <v>1189</v>
      </c>
      <c r="F1370" s="4050" t="str">
        <f>$E$1296</f>
        <v>GSHP-EER23-Replace_CAC_ElectricHeat_ROF_SF</v>
      </c>
      <c r="G1370" s="4050"/>
      <c r="H1370" s="4050"/>
      <c r="I1370" s="2861"/>
      <c r="J1370" s="2265">
        <v>27.573333333333338</v>
      </c>
      <c r="K1370" s="2602"/>
      <c r="L1370" s="4055" t="s">
        <v>1183</v>
      </c>
      <c r="M1370" s="3082"/>
      <c r="N1370" s="3082"/>
      <c r="O1370" s="123"/>
      <c r="P1370" s="123"/>
      <c r="Q1370" s="123"/>
      <c r="R1370" s="123"/>
      <c r="S1370" s="123"/>
      <c r="T1370" s="123"/>
      <c r="U1370" s="123"/>
      <c r="V1370" s="3989" t="s">
        <v>1012</v>
      </c>
      <c r="W1370" s="2861">
        <v>26.7</v>
      </c>
      <c r="X1370" s="3157">
        <v>27.07</v>
      </c>
      <c r="Y1370" s="810">
        <v>28</v>
      </c>
      <c r="Z1370" s="809">
        <v>28</v>
      </c>
      <c r="AA1370" s="809">
        <v>28</v>
      </c>
      <c r="AB1370" s="2265">
        <v>27.751818181818177</v>
      </c>
      <c r="AC1370" s="2265">
        <v>27.573333333333338</v>
      </c>
      <c r="AD1370" s="2861"/>
      <c r="AE1370" s="2861"/>
      <c r="AF1370" s="2861"/>
      <c r="AG1370" s="2861"/>
      <c r="AH1370" s="1942"/>
      <c r="AI1370" s="1942"/>
      <c r="AJ1370" s="1942"/>
      <c r="AK1370" s="1942"/>
      <c r="AL1370" s="1942"/>
      <c r="AM1370" s="1942"/>
      <c r="AN1370" s="1942"/>
      <c r="AO1370" s="1942"/>
      <c r="AP1370" s="1942"/>
      <c r="AQ1370" s="1942"/>
      <c r="AR1370" s="1942"/>
      <c r="AS1370" s="1942"/>
      <c r="AT1370" s="1942"/>
      <c r="AU1370" s="1942"/>
      <c r="AV1370" s="1942"/>
      <c r="AW1370" s="1942"/>
      <c r="AX1370" s="1942"/>
      <c r="AY1370" s="1942"/>
      <c r="AZ1370" s="1942"/>
      <c r="BA1370" s="1942"/>
      <c r="BB1370" s="575"/>
      <c r="BC1370" s="584"/>
      <c r="BD1370" s="678"/>
      <c r="BE1370" s="585"/>
    </row>
    <row r="1371" spans="1:57" s="51" customFormat="1" hidden="1" outlineLevel="1" x14ac:dyDescent="0.25">
      <c r="A1371" s="1267"/>
      <c r="B1371" s="123"/>
      <c r="C1371" s="328"/>
      <c r="D1371" s="3990"/>
      <c r="E1371" s="3910"/>
      <c r="F1371" s="4043" t="str">
        <f>$E$1298</f>
        <v>GSHP-EER23-Replace_CAC_ElectricHeat_ER1_SF</v>
      </c>
      <c r="G1371" s="4043"/>
      <c r="H1371" s="4043"/>
      <c r="I1371" s="2857"/>
      <c r="J1371" s="2266">
        <v>33.647058823529413</v>
      </c>
      <c r="K1371" s="2671"/>
      <c r="L1371" s="4056"/>
      <c r="M1371" s="3082"/>
      <c r="N1371" s="3082"/>
      <c r="O1371" s="123"/>
      <c r="P1371" s="123"/>
      <c r="Q1371" s="123"/>
      <c r="R1371" s="123"/>
      <c r="S1371" s="123"/>
      <c r="T1371" s="123"/>
      <c r="U1371" s="123"/>
      <c r="V1371" s="3990"/>
      <c r="W1371" s="2857">
        <v>27.2</v>
      </c>
      <c r="X1371" s="3155">
        <v>27.07</v>
      </c>
      <c r="Y1371" s="812">
        <v>28.1</v>
      </c>
      <c r="Z1371" s="2217">
        <v>28.1</v>
      </c>
      <c r="AA1371" s="2217">
        <v>28.1</v>
      </c>
      <c r="AB1371" s="2266">
        <v>29.562499999999996</v>
      </c>
      <c r="AC1371" s="2266">
        <v>33.647058823529413</v>
      </c>
      <c r="AD1371" s="2857"/>
      <c r="AE1371" s="2857"/>
      <c r="AF1371" s="2857"/>
      <c r="AG1371" s="2857"/>
      <c r="AH1371" s="1942"/>
      <c r="AI1371" s="1942"/>
      <c r="AJ1371" s="1942"/>
      <c r="AK1371" s="1942"/>
      <c r="AL1371" s="1942"/>
      <c r="AM1371" s="1942"/>
      <c r="AN1371" s="1942"/>
      <c r="AO1371" s="1942"/>
      <c r="AP1371" s="1942"/>
      <c r="AQ1371" s="1942"/>
      <c r="AR1371" s="1942"/>
      <c r="AS1371" s="1942"/>
      <c r="AT1371" s="1942"/>
      <c r="AU1371" s="1942"/>
      <c r="AV1371" s="1942"/>
      <c r="AW1371" s="1942"/>
      <c r="AX1371" s="1942"/>
      <c r="AY1371" s="1942"/>
      <c r="AZ1371" s="1942"/>
      <c r="BA1371" s="1942"/>
      <c r="BB1371" s="575"/>
      <c r="BC1371" s="584"/>
      <c r="BD1371" s="678"/>
      <c r="BE1371" s="585"/>
    </row>
    <row r="1372" spans="1:57" s="51" customFormat="1" hidden="1" outlineLevel="1" x14ac:dyDescent="0.25">
      <c r="A1372" s="1267"/>
      <c r="B1372" s="123"/>
      <c r="C1372" s="328"/>
      <c r="D1372" s="3990"/>
      <c r="E1372" s="3910"/>
      <c r="F1372" s="4043" t="str">
        <f>$E$1300</f>
        <v>GSHP-EER23-Replace_CAC_ElectricHeat_ER2_SF</v>
      </c>
      <c r="G1372" s="4043"/>
      <c r="H1372" s="4043"/>
      <c r="I1372" s="2857"/>
      <c r="J1372" s="2266">
        <v>33.647058823529413</v>
      </c>
      <c r="K1372" s="3173"/>
      <c r="L1372" s="4056"/>
      <c r="M1372" s="3082"/>
      <c r="N1372" s="3082"/>
      <c r="O1372" s="123"/>
      <c r="P1372" s="123"/>
      <c r="Q1372" s="123"/>
      <c r="R1372" s="123"/>
      <c r="S1372" s="123"/>
      <c r="T1372" s="123"/>
      <c r="U1372" s="123"/>
      <c r="V1372" s="3990"/>
      <c r="W1372" s="2857">
        <v>27.2</v>
      </c>
      <c r="X1372" s="3155">
        <v>27.07</v>
      </c>
      <c r="Y1372" s="812">
        <v>28.1</v>
      </c>
      <c r="Z1372" s="2217">
        <v>28.1</v>
      </c>
      <c r="AA1372" s="2217">
        <v>28.1</v>
      </c>
      <c r="AB1372" s="2266">
        <v>29.562499999999996</v>
      </c>
      <c r="AC1372" s="2266">
        <v>33.647058823529413</v>
      </c>
      <c r="AD1372" s="2857"/>
      <c r="AE1372" s="2857"/>
      <c r="AF1372" s="2857"/>
      <c r="AG1372" s="2857"/>
      <c r="AH1372" s="1942"/>
      <c r="AI1372" s="1942"/>
      <c r="AJ1372" s="1942"/>
      <c r="AK1372" s="1942"/>
      <c r="AL1372" s="1942"/>
      <c r="AM1372" s="1942"/>
      <c r="AN1372" s="1942"/>
      <c r="AO1372" s="1942"/>
      <c r="AP1372" s="1942"/>
      <c r="AQ1372" s="1942"/>
      <c r="AR1372" s="1942"/>
      <c r="AS1372" s="1942"/>
      <c r="AT1372" s="1942"/>
      <c r="AU1372" s="1942"/>
      <c r="AV1372" s="1942"/>
      <c r="AW1372" s="1942"/>
      <c r="AX1372" s="1942"/>
      <c r="AY1372" s="1942"/>
      <c r="AZ1372" s="1942"/>
      <c r="BA1372" s="1942"/>
      <c r="BB1372" s="575"/>
      <c r="BC1372" s="584"/>
      <c r="BD1372" s="678"/>
      <c r="BE1372" s="585"/>
    </row>
    <row r="1373" spans="1:57" s="51" customFormat="1" hidden="1" outlineLevel="1" x14ac:dyDescent="0.25">
      <c r="A1373" s="1267"/>
      <c r="B1373" s="123"/>
      <c r="C1373" s="328"/>
      <c r="D1373" s="3990"/>
      <c r="E1373" s="3910"/>
      <c r="F1373" s="4043" t="str">
        <f>$E$1302</f>
        <v>GSHP-EER23_ER1_SF</v>
      </c>
      <c r="G1373" s="4043"/>
      <c r="H1373" s="4043"/>
      <c r="I1373" s="2857"/>
      <c r="J1373" s="2266">
        <v>27.739508196721314</v>
      </c>
      <c r="K1373" s="3173"/>
      <c r="L1373" s="4056"/>
      <c r="M1373" s="3082"/>
      <c r="N1373" s="3082"/>
      <c r="O1373" s="123"/>
      <c r="P1373" s="123"/>
      <c r="Q1373" s="123"/>
      <c r="R1373" s="123"/>
      <c r="S1373" s="123"/>
      <c r="T1373" s="123"/>
      <c r="U1373" s="123"/>
      <c r="V1373" s="3990"/>
      <c r="W1373" s="2857">
        <v>27.2</v>
      </c>
      <c r="X1373" s="3155">
        <v>27.07</v>
      </c>
      <c r="Y1373" s="812">
        <v>28</v>
      </c>
      <c r="Z1373" s="2217">
        <v>28</v>
      </c>
      <c r="AA1373" s="2217">
        <v>28</v>
      </c>
      <c r="AB1373" s="2266">
        <v>27.412765957446812</v>
      </c>
      <c r="AC1373" s="2266">
        <v>27.739508196721314</v>
      </c>
      <c r="AD1373" s="2857"/>
      <c r="AE1373" s="2857"/>
      <c r="AF1373" s="2857"/>
      <c r="AG1373" s="2857"/>
      <c r="AH1373" s="1942"/>
      <c r="AI1373" s="1942"/>
      <c r="AJ1373" s="1942"/>
      <c r="AK1373" s="1942"/>
      <c r="AL1373" s="1942"/>
      <c r="AM1373" s="1942"/>
      <c r="AN1373" s="1942"/>
      <c r="AO1373" s="1942"/>
      <c r="AP1373" s="1942"/>
      <c r="AQ1373" s="1942"/>
      <c r="AR1373" s="1942"/>
      <c r="AS1373" s="1942"/>
      <c r="AT1373" s="1942"/>
      <c r="AU1373" s="1942"/>
      <c r="AV1373" s="1942"/>
      <c r="AW1373" s="1942"/>
      <c r="AX1373" s="1942"/>
      <c r="AY1373" s="1942"/>
      <c r="AZ1373" s="1942"/>
      <c r="BA1373" s="1942"/>
      <c r="BB1373" s="575"/>
      <c r="BC1373" s="584"/>
      <c r="BD1373" s="678"/>
      <c r="BE1373" s="585"/>
    </row>
    <row r="1374" spans="1:57" s="1942" customFormat="1" hidden="1" outlineLevel="1" x14ac:dyDescent="0.25">
      <c r="A1374" s="1267"/>
      <c r="B1374" s="123"/>
      <c r="C1374" s="328"/>
      <c r="D1374" s="3990"/>
      <c r="E1374" s="3910"/>
      <c r="F1374" s="3992" t="str">
        <f>$E$1304</f>
        <v>GSHP-EER23_ER2_SF</v>
      </c>
      <c r="G1374" s="3992"/>
      <c r="H1374" s="3992"/>
      <c r="I1374" s="2857"/>
      <c r="J1374" s="2267">
        <v>27.739508196721314</v>
      </c>
      <c r="K1374" s="2603"/>
      <c r="L1374" s="4056"/>
      <c r="M1374" s="3082"/>
      <c r="N1374" s="3082"/>
      <c r="O1374" s="123"/>
      <c r="P1374" s="123"/>
      <c r="Q1374" s="123"/>
      <c r="R1374" s="123"/>
      <c r="S1374" s="123"/>
      <c r="T1374" s="123"/>
      <c r="U1374" s="123"/>
      <c r="V1374" s="3990"/>
      <c r="W1374" s="2857"/>
      <c r="X1374" s="3155"/>
      <c r="Y1374" s="812"/>
      <c r="Z1374" s="2217"/>
      <c r="AA1374" s="2217"/>
      <c r="AB1374" s="2267">
        <v>27.412765957446812</v>
      </c>
      <c r="AC1374" s="2267">
        <v>27.739508196721314</v>
      </c>
      <c r="AD1374" s="2857"/>
      <c r="AE1374" s="2857"/>
      <c r="AF1374" s="2857"/>
      <c r="AG1374" s="2857"/>
      <c r="BB1374" s="575"/>
      <c r="BC1374" s="584"/>
      <c r="BD1374" s="678"/>
      <c r="BE1374" s="585"/>
    </row>
    <row r="1375" spans="1:57" s="51" customFormat="1" ht="15.75" hidden="1" outlineLevel="1" thickBot="1" x14ac:dyDescent="0.3">
      <c r="A1375" s="1267"/>
      <c r="B1375" s="123"/>
      <c r="C1375" s="328"/>
      <c r="D1375" s="3991"/>
      <c r="E1375" s="3997"/>
      <c r="F1375" s="4054" t="str">
        <f>$E$1306</f>
        <v>GSHP-EER23_ROF_SF</v>
      </c>
      <c r="G1375" s="4054"/>
      <c r="H1375" s="4054"/>
      <c r="I1375" s="2860"/>
      <c r="J1375" s="2263">
        <v>27.846590909090903</v>
      </c>
      <c r="K1375" s="2604"/>
      <c r="L1375" s="4057"/>
      <c r="M1375" s="3082"/>
      <c r="N1375" s="3082"/>
      <c r="O1375" s="123"/>
      <c r="P1375" s="123"/>
      <c r="Q1375" s="123"/>
      <c r="R1375" s="123"/>
      <c r="S1375" s="123"/>
      <c r="T1375" s="123"/>
      <c r="U1375" s="123"/>
      <c r="V1375" s="3991"/>
      <c r="W1375" s="2860">
        <v>26.7</v>
      </c>
      <c r="X1375" s="3156">
        <v>27.07</v>
      </c>
      <c r="Y1375" s="2273">
        <v>28</v>
      </c>
      <c r="Z1375" s="2274">
        <v>28</v>
      </c>
      <c r="AA1375" s="2274">
        <v>28</v>
      </c>
      <c r="AB1375" s="2263">
        <v>27.543478260869559</v>
      </c>
      <c r="AC1375" s="2263">
        <v>27.846590909090903</v>
      </c>
      <c r="AD1375" s="2860"/>
      <c r="AE1375" s="2860"/>
      <c r="AF1375" s="2860"/>
      <c r="AG1375" s="2860"/>
      <c r="AH1375" s="1942"/>
      <c r="AI1375" s="1942"/>
      <c r="AJ1375" s="1942"/>
      <c r="AK1375" s="1942"/>
      <c r="AL1375" s="1942"/>
      <c r="AM1375" s="1942"/>
      <c r="AN1375" s="1942"/>
      <c r="AO1375" s="1942"/>
      <c r="AP1375" s="1942"/>
      <c r="AQ1375" s="1942"/>
      <c r="AR1375" s="1942"/>
      <c r="AS1375" s="1942"/>
      <c r="AT1375" s="1942"/>
      <c r="AU1375" s="1942"/>
      <c r="AV1375" s="1942"/>
      <c r="AW1375" s="1942"/>
      <c r="AX1375" s="1942"/>
      <c r="AY1375" s="1942"/>
      <c r="AZ1375" s="1942"/>
      <c r="BA1375" s="1942"/>
      <c r="BB1375" s="575"/>
      <c r="BC1375" s="584"/>
      <c r="BD1375" s="678"/>
      <c r="BE1375" s="585"/>
    </row>
    <row r="1376" spans="1:57" s="1942" customFormat="1" ht="105.75" hidden="1" outlineLevel="1" thickBot="1" x14ac:dyDescent="0.3">
      <c r="A1376" s="1267"/>
      <c r="B1376" s="123"/>
      <c r="C1376" s="328"/>
      <c r="D1376" s="2606" t="s">
        <v>133</v>
      </c>
      <c r="E1376" s="3107" t="s">
        <v>860</v>
      </c>
      <c r="F1376" s="3983" t="s">
        <v>135</v>
      </c>
      <c r="G1376" s="3984"/>
      <c r="H1376" s="3985"/>
      <c r="I1376" s="2277"/>
      <c r="J1376" s="2250">
        <v>1</v>
      </c>
      <c r="K1376" s="2605"/>
      <c r="L1376" s="2701" t="s">
        <v>1021</v>
      </c>
      <c r="M1376" s="2270"/>
      <c r="N1376" s="2270"/>
      <c r="O1376" s="1831"/>
      <c r="P1376" s="1831"/>
      <c r="Q1376" s="1831"/>
      <c r="R1376" s="1831"/>
      <c r="S1376" s="1831"/>
      <c r="T1376" s="1831"/>
      <c r="U1376" s="1831"/>
      <c r="V1376" s="2606" t="s">
        <v>133</v>
      </c>
      <c r="W1376" s="2268"/>
      <c r="X1376" s="2268"/>
      <c r="Y1376" s="2271"/>
      <c r="Z1376" s="2272"/>
      <c r="AA1376" s="2275"/>
      <c r="AB1376" s="2269">
        <v>1</v>
      </c>
      <c r="AC1376" s="2250">
        <v>1</v>
      </c>
      <c r="AD1376" s="2268"/>
      <c r="AE1376" s="2268"/>
      <c r="AF1376" s="2268"/>
      <c r="AG1376" s="2268"/>
      <c r="AH1376" s="1831"/>
      <c r="AI1376" s="1831"/>
      <c r="AJ1376" s="1831"/>
      <c r="AK1376" s="1831"/>
      <c r="AL1376" s="1831"/>
      <c r="AM1376" s="1831"/>
      <c r="AN1376" s="1831"/>
      <c r="AO1376" s="1831"/>
      <c r="AP1376" s="1831"/>
      <c r="AQ1376" s="1831"/>
      <c r="AR1376" s="1831"/>
      <c r="AS1376" s="1831"/>
      <c r="AT1376" s="1831"/>
      <c r="AU1376" s="1831"/>
      <c r="AV1376" s="1831"/>
      <c r="AW1376" s="1831"/>
      <c r="AX1376" s="1831"/>
      <c r="BB1376" s="575"/>
      <c r="BC1376" s="584"/>
      <c r="BD1376" s="678"/>
      <c r="BE1376" s="585"/>
    </row>
    <row r="1377" spans="1:57" s="51" customFormat="1" hidden="1" outlineLevel="1" x14ac:dyDescent="0.25">
      <c r="A1377" s="1267"/>
      <c r="B1377" s="3082"/>
      <c r="C1377" s="328"/>
      <c r="D1377" s="3989" t="s">
        <v>181</v>
      </c>
      <c r="E1377" s="3996" t="s">
        <v>167</v>
      </c>
      <c r="F1377" s="4044" t="str">
        <f t="shared" ref="F1377:F1388" si="147">E1296</f>
        <v>GSHP-EER23-Replace_CAC_ElectricHeat_ROF_SF</v>
      </c>
      <c r="G1377" s="4045"/>
      <c r="H1377" s="4046"/>
      <c r="I1377" s="2861"/>
      <c r="J1377" s="2861">
        <v>18</v>
      </c>
      <c r="K1377" s="811"/>
      <c r="L1377" s="747"/>
      <c r="M1377" s="3082"/>
      <c r="N1377" s="3082"/>
      <c r="O1377" s="123"/>
      <c r="P1377" s="123"/>
      <c r="Q1377" s="123"/>
      <c r="R1377" s="123"/>
      <c r="S1377" s="123"/>
      <c r="T1377" s="123"/>
      <c r="U1377" s="123"/>
      <c r="V1377" s="3989" t="str">
        <f>D1377</f>
        <v>EUL</v>
      </c>
      <c r="W1377" s="2861">
        <v>18</v>
      </c>
      <c r="X1377" s="2861">
        <v>18</v>
      </c>
      <c r="Y1377" s="2861">
        <v>18</v>
      </c>
      <c r="Z1377" s="2861">
        <v>18</v>
      </c>
      <c r="AA1377" s="2861">
        <v>18</v>
      </c>
      <c r="AB1377" s="2861">
        <v>18</v>
      </c>
      <c r="AC1377" s="2861">
        <v>18</v>
      </c>
      <c r="AD1377" s="2861"/>
      <c r="AE1377" s="2861"/>
      <c r="AF1377" s="2861"/>
      <c r="AG1377" s="2861"/>
      <c r="AH1377" s="1942"/>
      <c r="AI1377" s="1942"/>
      <c r="AJ1377" s="1942"/>
      <c r="AK1377" s="1942"/>
      <c r="AL1377" s="1942"/>
      <c r="AM1377" s="1942"/>
      <c r="AN1377" s="1942"/>
      <c r="AO1377" s="1942"/>
      <c r="AP1377" s="1942"/>
      <c r="AQ1377" s="1942"/>
      <c r="AR1377" s="1942"/>
      <c r="AS1377" s="1942"/>
      <c r="AT1377" s="1942"/>
      <c r="AU1377" s="1942"/>
      <c r="AV1377" s="1942"/>
      <c r="AW1377" s="1942"/>
      <c r="AX1377" s="1942"/>
      <c r="AY1377" s="1942"/>
      <c r="AZ1377" s="1942"/>
      <c r="BA1377" s="1942"/>
      <c r="BB1377" s="575"/>
      <c r="BC1377" s="584"/>
      <c r="BD1377" s="678"/>
      <c r="BE1377" s="585"/>
    </row>
    <row r="1378" spans="1:57" s="51" customFormat="1" hidden="1" outlineLevel="1" x14ac:dyDescent="0.25">
      <c r="A1378" s="1267"/>
      <c r="B1378" s="3082"/>
      <c r="C1378" s="328"/>
      <c r="D1378" s="3990"/>
      <c r="E1378" s="3910"/>
      <c r="F1378" s="4040" t="str">
        <f t="shared" si="147"/>
        <v>GSHP-EER23-Replace_CAC_ElectricHeat_ROF_SF</v>
      </c>
      <c r="G1378" s="4041"/>
      <c r="H1378" s="4042"/>
      <c r="I1378" s="2857"/>
      <c r="J1378" s="2857">
        <v>18</v>
      </c>
      <c r="K1378" s="806"/>
      <c r="L1378" s="697"/>
      <c r="M1378" s="3082"/>
      <c r="N1378" s="3082"/>
      <c r="O1378" s="123"/>
      <c r="P1378" s="123"/>
      <c r="Q1378" s="123"/>
      <c r="R1378" s="123"/>
      <c r="S1378" s="123"/>
      <c r="T1378" s="123"/>
      <c r="U1378" s="123"/>
      <c r="V1378" s="3990"/>
      <c r="W1378" s="2857">
        <v>18</v>
      </c>
      <c r="X1378" s="2857">
        <v>18</v>
      </c>
      <c r="Y1378" s="2857">
        <v>18</v>
      </c>
      <c r="Z1378" s="2857">
        <v>18</v>
      </c>
      <c r="AA1378" s="2857">
        <v>18</v>
      </c>
      <c r="AB1378" s="2857">
        <v>18</v>
      </c>
      <c r="AC1378" s="2857">
        <v>18</v>
      </c>
      <c r="AD1378" s="2857"/>
      <c r="AE1378" s="2857"/>
      <c r="AF1378" s="2857"/>
      <c r="AG1378" s="2857"/>
      <c r="AH1378" s="1942"/>
      <c r="AI1378" s="1942"/>
      <c r="AJ1378" s="1942"/>
      <c r="AK1378" s="1942"/>
      <c r="AL1378" s="1942"/>
      <c r="AM1378" s="1942"/>
      <c r="AN1378" s="1942"/>
      <c r="AO1378" s="1942"/>
      <c r="AP1378" s="1942"/>
      <c r="AQ1378" s="1942"/>
      <c r="AR1378" s="1942"/>
      <c r="AS1378" s="1942"/>
      <c r="AT1378" s="1942"/>
      <c r="AU1378" s="1942"/>
      <c r="AV1378" s="1942"/>
      <c r="AW1378" s="1942"/>
      <c r="AX1378" s="1942"/>
      <c r="AY1378" s="1942"/>
      <c r="AZ1378" s="1942"/>
      <c r="BA1378" s="1942"/>
      <c r="BB1378" s="575"/>
      <c r="BC1378" s="584"/>
      <c r="BD1378" s="678"/>
      <c r="BE1378" s="585"/>
    </row>
    <row r="1379" spans="1:57" s="51" customFormat="1" hidden="1" outlineLevel="1" x14ac:dyDescent="0.25">
      <c r="A1379" s="1267"/>
      <c r="B1379" s="3082"/>
      <c r="C1379" s="328"/>
      <c r="D1379" s="3990"/>
      <c r="E1379" s="3910"/>
      <c r="F1379" s="4043" t="str">
        <f t="shared" si="147"/>
        <v>GSHP-EER23-Replace_CAC_ElectricHeat_ER1_SF</v>
      </c>
      <c r="G1379" s="4043"/>
      <c r="H1379" s="4043"/>
      <c r="I1379" s="2857"/>
      <c r="J1379" s="2857">
        <v>6</v>
      </c>
      <c r="K1379" s="813"/>
      <c r="L1379" s="697"/>
      <c r="M1379" s="3082"/>
      <c r="N1379" s="3082"/>
      <c r="O1379" s="123"/>
      <c r="P1379" s="123"/>
      <c r="Q1379" s="123"/>
      <c r="R1379" s="123"/>
      <c r="S1379" s="123"/>
      <c r="T1379" s="123"/>
      <c r="U1379" s="123"/>
      <c r="V1379" s="3990"/>
      <c r="W1379" s="2857">
        <v>6</v>
      </c>
      <c r="X1379" s="2857">
        <v>6</v>
      </c>
      <c r="Y1379" s="2857">
        <v>6</v>
      </c>
      <c r="Z1379" s="2857">
        <v>6</v>
      </c>
      <c r="AA1379" s="2857">
        <v>6</v>
      </c>
      <c r="AB1379" s="2857">
        <v>6</v>
      </c>
      <c r="AC1379" s="2857">
        <v>6</v>
      </c>
      <c r="AD1379" s="2857"/>
      <c r="AE1379" s="2857"/>
      <c r="AF1379" s="2857"/>
      <c r="AG1379" s="2857"/>
      <c r="AH1379" s="1942"/>
      <c r="AI1379" s="1942"/>
      <c r="AJ1379" s="1942"/>
      <c r="AK1379" s="1942"/>
      <c r="AL1379" s="1942"/>
      <c r="AM1379" s="1942"/>
      <c r="AN1379" s="1942"/>
      <c r="AO1379" s="1942"/>
      <c r="AP1379" s="1942"/>
      <c r="AQ1379" s="1942"/>
      <c r="AR1379" s="1942"/>
      <c r="AS1379" s="1942"/>
      <c r="AT1379" s="1942"/>
      <c r="AU1379" s="1942"/>
      <c r="AV1379" s="1942"/>
      <c r="AW1379" s="1942"/>
      <c r="AX1379" s="1942"/>
      <c r="AY1379" s="1942"/>
      <c r="AZ1379" s="1942"/>
      <c r="BA1379" s="1942"/>
      <c r="BB1379" s="575"/>
      <c r="BC1379" s="584"/>
      <c r="BD1379" s="678"/>
      <c r="BE1379" s="585"/>
    </row>
    <row r="1380" spans="1:57" s="51" customFormat="1" hidden="1" outlineLevel="1" x14ac:dyDescent="0.25">
      <c r="A1380" s="1267"/>
      <c r="B1380" s="3082"/>
      <c r="C1380" s="328"/>
      <c r="D1380" s="3990"/>
      <c r="E1380" s="3910"/>
      <c r="F1380" s="4043" t="str">
        <f t="shared" si="147"/>
        <v>GSHP-EER23-Replace_CAC_ElectricHeat_ER1_SF</v>
      </c>
      <c r="G1380" s="4043"/>
      <c r="H1380" s="4043"/>
      <c r="I1380" s="2857"/>
      <c r="J1380" s="2857">
        <v>6</v>
      </c>
      <c r="K1380" s="813"/>
      <c r="L1380" s="697"/>
      <c r="M1380" s="3082"/>
      <c r="N1380" s="3082"/>
      <c r="O1380" s="123"/>
      <c r="P1380" s="123"/>
      <c r="Q1380" s="123"/>
      <c r="R1380" s="123"/>
      <c r="S1380" s="123"/>
      <c r="T1380" s="123"/>
      <c r="U1380" s="123"/>
      <c r="V1380" s="3990"/>
      <c r="W1380" s="2857">
        <v>6</v>
      </c>
      <c r="X1380" s="2857">
        <v>6</v>
      </c>
      <c r="Y1380" s="2857">
        <v>6</v>
      </c>
      <c r="Z1380" s="2857">
        <v>6</v>
      </c>
      <c r="AA1380" s="2857">
        <v>6</v>
      </c>
      <c r="AB1380" s="2857">
        <v>6</v>
      </c>
      <c r="AC1380" s="2857">
        <v>6</v>
      </c>
      <c r="AD1380" s="2857"/>
      <c r="AE1380" s="2857"/>
      <c r="AF1380" s="2857"/>
      <c r="AG1380" s="2857"/>
      <c r="AH1380" s="1942"/>
      <c r="AI1380" s="1942"/>
      <c r="AJ1380" s="1942"/>
      <c r="AK1380" s="1942"/>
      <c r="AL1380" s="1942"/>
      <c r="AM1380" s="1942"/>
      <c r="AN1380" s="1942"/>
      <c r="AO1380" s="1942"/>
      <c r="AP1380" s="1942"/>
      <c r="AQ1380" s="1942"/>
      <c r="AR1380" s="1942"/>
      <c r="AS1380" s="1942"/>
      <c r="AT1380" s="1942"/>
      <c r="AU1380" s="1942"/>
      <c r="AV1380" s="1942"/>
      <c r="AW1380" s="1942"/>
      <c r="AX1380" s="1942"/>
      <c r="AY1380" s="1942"/>
      <c r="AZ1380" s="1942"/>
      <c r="BA1380" s="1942"/>
      <c r="BB1380" s="575"/>
      <c r="BC1380" s="584"/>
      <c r="BD1380" s="678"/>
      <c r="BE1380" s="585"/>
    </row>
    <row r="1381" spans="1:57" s="51" customFormat="1" hidden="1" outlineLevel="1" x14ac:dyDescent="0.25">
      <c r="A1381" s="1267"/>
      <c r="B1381" s="3082"/>
      <c r="C1381" s="328"/>
      <c r="D1381" s="3990"/>
      <c r="E1381" s="3910"/>
      <c r="F1381" s="4043" t="str">
        <f t="shared" si="147"/>
        <v>GSHP-EER23-Replace_CAC_ElectricHeat_ER2_SF</v>
      </c>
      <c r="G1381" s="4043"/>
      <c r="H1381" s="4043"/>
      <c r="I1381" s="2857"/>
      <c r="J1381" s="2857">
        <v>12</v>
      </c>
      <c r="K1381" s="806"/>
      <c r="L1381" s="697"/>
      <c r="M1381" s="3082"/>
      <c r="N1381" s="3082"/>
      <c r="O1381" s="123"/>
      <c r="P1381" s="123"/>
      <c r="Q1381" s="123"/>
      <c r="R1381" s="123"/>
      <c r="S1381" s="123"/>
      <c r="T1381" s="123"/>
      <c r="U1381" s="123"/>
      <c r="V1381" s="3990"/>
      <c r="W1381" s="2857">
        <v>12</v>
      </c>
      <c r="X1381" s="2857">
        <v>12</v>
      </c>
      <c r="Y1381" s="2857">
        <v>12</v>
      </c>
      <c r="Z1381" s="2857">
        <v>12</v>
      </c>
      <c r="AA1381" s="2857">
        <v>12</v>
      </c>
      <c r="AB1381" s="2857">
        <v>12</v>
      </c>
      <c r="AC1381" s="2857">
        <v>12</v>
      </c>
      <c r="AD1381" s="2857"/>
      <c r="AE1381" s="2857"/>
      <c r="AF1381" s="2857"/>
      <c r="AG1381" s="2857"/>
      <c r="AH1381" s="1942"/>
      <c r="AI1381" s="1942"/>
      <c r="AJ1381" s="1942"/>
      <c r="AK1381" s="1942"/>
      <c r="AL1381" s="1942"/>
      <c r="AM1381" s="1942"/>
      <c r="AN1381" s="1942"/>
      <c r="AO1381" s="1942"/>
      <c r="AP1381" s="1942"/>
      <c r="AQ1381" s="1942"/>
      <c r="AR1381" s="1942"/>
      <c r="AS1381" s="1942"/>
      <c r="AT1381" s="1942"/>
      <c r="AU1381" s="1942"/>
      <c r="AV1381" s="1942"/>
      <c r="AW1381" s="1942"/>
      <c r="AX1381" s="1942"/>
      <c r="AY1381" s="1942"/>
      <c r="AZ1381" s="1942"/>
      <c r="BA1381" s="1942"/>
      <c r="BB1381" s="575"/>
      <c r="BC1381" s="584"/>
      <c r="BD1381" s="678"/>
      <c r="BE1381" s="585"/>
    </row>
    <row r="1382" spans="1:57" s="51" customFormat="1" hidden="1" outlineLevel="1" x14ac:dyDescent="0.25">
      <c r="A1382" s="1267"/>
      <c r="B1382" s="3082"/>
      <c r="C1382" s="328"/>
      <c r="D1382" s="3990"/>
      <c r="E1382" s="3910"/>
      <c r="F1382" s="4043" t="str">
        <f t="shared" si="147"/>
        <v>GSHP-EER23-Replace_CAC_ElectricHeat_ER2_SF</v>
      </c>
      <c r="G1382" s="4043"/>
      <c r="H1382" s="4043"/>
      <c r="I1382" s="2857"/>
      <c r="J1382" s="2857">
        <v>12</v>
      </c>
      <c r="K1382" s="806"/>
      <c r="L1382" s="697"/>
      <c r="M1382" s="3082"/>
      <c r="N1382" s="3082"/>
      <c r="O1382" s="123"/>
      <c r="P1382" s="123"/>
      <c r="Q1382" s="123"/>
      <c r="R1382" s="123"/>
      <c r="S1382" s="123"/>
      <c r="T1382" s="123"/>
      <c r="U1382" s="123"/>
      <c r="V1382" s="3990"/>
      <c r="W1382" s="2857">
        <v>12</v>
      </c>
      <c r="X1382" s="2857">
        <v>12</v>
      </c>
      <c r="Y1382" s="2857">
        <v>12</v>
      </c>
      <c r="Z1382" s="2857">
        <v>12</v>
      </c>
      <c r="AA1382" s="2857">
        <v>12</v>
      </c>
      <c r="AB1382" s="2857">
        <v>12</v>
      </c>
      <c r="AC1382" s="2857">
        <v>12</v>
      </c>
      <c r="AD1382" s="2857"/>
      <c r="AE1382" s="2857"/>
      <c r="AF1382" s="2857"/>
      <c r="AG1382" s="2857"/>
      <c r="AH1382" s="1942"/>
      <c r="AI1382" s="1942"/>
      <c r="AJ1382" s="1942"/>
      <c r="AK1382" s="1942"/>
      <c r="AL1382" s="1942"/>
      <c r="AM1382" s="1942"/>
      <c r="AN1382" s="1942"/>
      <c r="AO1382" s="1942"/>
      <c r="AP1382" s="1942"/>
      <c r="AQ1382" s="1942"/>
      <c r="AR1382" s="1942"/>
      <c r="AS1382" s="1942"/>
      <c r="AT1382" s="1942"/>
      <c r="AU1382" s="1942"/>
      <c r="AV1382" s="1942"/>
      <c r="AW1382" s="1942"/>
      <c r="AX1382" s="1942"/>
      <c r="AY1382" s="1942"/>
      <c r="AZ1382" s="1942"/>
      <c r="BA1382" s="1942"/>
      <c r="BB1382" s="575"/>
      <c r="BC1382" s="584"/>
      <c r="BD1382" s="678"/>
      <c r="BE1382" s="585"/>
    </row>
    <row r="1383" spans="1:57" s="51" customFormat="1" hidden="1" outlineLevel="1" x14ac:dyDescent="0.25">
      <c r="A1383" s="1267"/>
      <c r="B1383" s="3082"/>
      <c r="C1383" s="328"/>
      <c r="D1383" s="3990"/>
      <c r="E1383" s="3910"/>
      <c r="F1383" s="4043" t="str">
        <f t="shared" si="147"/>
        <v>GSHP-EER23_ER1_SF</v>
      </c>
      <c r="G1383" s="4043"/>
      <c r="H1383" s="4043"/>
      <c r="I1383" s="2857"/>
      <c r="J1383" s="2857">
        <v>6</v>
      </c>
      <c r="K1383" s="813"/>
      <c r="L1383" s="697"/>
      <c r="M1383" s="3082"/>
      <c r="N1383" s="3082"/>
      <c r="O1383" s="123"/>
      <c r="P1383" s="123"/>
      <c r="Q1383" s="123"/>
      <c r="R1383" s="123"/>
      <c r="S1383" s="123"/>
      <c r="T1383" s="123"/>
      <c r="U1383" s="123"/>
      <c r="V1383" s="3990"/>
      <c r="W1383" s="2857">
        <v>6</v>
      </c>
      <c r="X1383" s="2857">
        <v>6</v>
      </c>
      <c r="Y1383" s="2857">
        <v>6</v>
      </c>
      <c r="Z1383" s="2857">
        <v>6</v>
      </c>
      <c r="AA1383" s="2857">
        <v>6</v>
      </c>
      <c r="AB1383" s="2857">
        <v>6</v>
      </c>
      <c r="AC1383" s="2857">
        <v>6</v>
      </c>
      <c r="AD1383" s="2857"/>
      <c r="AE1383" s="2857"/>
      <c r="AF1383" s="2857"/>
      <c r="AG1383" s="2857"/>
      <c r="AH1383" s="1942"/>
      <c r="AI1383" s="1942"/>
      <c r="AJ1383" s="1942"/>
      <c r="AK1383" s="1942"/>
      <c r="AL1383" s="1942"/>
      <c r="AM1383" s="1942"/>
      <c r="AN1383" s="1942"/>
      <c r="AO1383" s="1942"/>
      <c r="AP1383" s="1942"/>
      <c r="AQ1383" s="1942"/>
      <c r="AR1383" s="1942"/>
      <c r="AS1383" s="1942"/>
      <c r="AT1383" s="1942"/>
      <c r="AU1383" s="1942"/>
      <c r="AV1383" s="1942"/>
      <c r="AW1383" s="1942"/>
      <c r="AX1383" s="1942"/>
      <c r="AY1383" s="1942"/>
      <c r="AZ1383" s="1942"/>
      <c r="BA1383" s="1942"/>
      <c r="BB1383" s="575"/>
      <c r="BC1383" s="584"/>
      <c r="BD1383" s="678"/>
      <c r="BE1383" s="585"/>
    </row>
    <row r="1384" spans="1:57" s="51" customFormat="1" hidden="1" outlineLevel="1" x14ac:dyDescent="0.25">
      <c r="A1384" s="1267"/>
      <c r="B1384" s="3082"/>
      <c r="C1384" s="328"/>
      <c r="D1384" s="3990"/>
      <c r="E1384" s="3910"/>
      <c r="F1384" s="4043" t="str">
        <f t="shared" si="147"/>
        <v>GSHP-EER23_ER1_SF</v>
      </c>
      <c r="G1384" s="4043"/>
      <c r="H1384" s="4043"/>
      <c r="I1384" s="2857"/>
      <c r="J1384" s="2857">
        <v>6</v>
      </c>
      <c r="K1384" s="813"/>
      <c r="L1384" s="697"/>
      <c r="M1384" s="3082"/>
      <c r="N1384" s="3082"/>
      <c r="O1384" s="123"/>
      <c r="P1384" s="123"/>
      <c r="Q1384" s="123"/>
      <c r="R1384" s="123"/>
      <c r="S1384" s="123"/>
      <c r="T1384" s="123"/>
      <c r="U1384" s="123"/>
      <c r="V1384" s="3990"/>
      <c r="W1384" s="2857">
        <v>6</v>
      </c>
      <c r="X1384" s="2857">
        <v>6</v>
      </c>
      <c r="Y1384" s="2857">
        <v>6</v>
      </c>
      <c r="Z1384" s="2857">
        <v>6</v>
      </c>
      <c r="AA1384" s="2857">
        <v>6</v>
      </c>
      <c r="AB1384" s="2857">
        <v>6</v>
      </c>
      <c r="AC1384" s="2857">
        <v>6</v>
      </c>
      <c r="AD1384" s="2857"/>
      <c r="AE1384" s="2857"/>
      <c r="AF1384" s="2857"/>
      <c r="AG1384" s="2857"/>
      <c r="AH1384" s="1942"/>
      <c r="AI1384" s="1942"/>
      <c r="AJ1384" s="1942"/>
      <c r="AK1384" s="1942"/>
      <c r="AL1384" s="1942"/>
      <c r="AM1384" s="1942"/>
      <c r="AN1384" s="1942"/>
      <c r="AO1384" s="1942"/>
      <c r="AP1384" s="1942"/>
      <c r="AQ1384" s="1942"/>
      <c r="AR1384" s="1942"/>
      <c r="AS1384" s="1942"/>
      <c r="AT1384" s="1942"/>
      <c r="AU1384" s="1942"/>
      <c r="AV1384" s="1942"/>
      <c r="AW1384" s="1942"/>
      <c r="AX1384" s="1942"/>
      <c r="AY1384" s="1942"/>
      <c r="AZ1384" s="1942"/>
      <c r="BA1384" s="1942"/>
      <c r="BB1384" s="575"/>
      <c r="BC1384" s="584"/>
      <c r="BD1384" s="678"/>
      <c r="BE1384" s="585"/>
    </row>
    <row r="1385" spans="1:57" s="51" customFormat="1" hidden="1" outlineLevel="1" x14ac:dyDescent="0.25">
      <c r="A1385" s="1267"/>
      <c r="B1385" s="3082"/>
      <c r="C1385" s="328"/>
      <c r="D1385" s="3990"/>
      <c r="E1385" s="3910"/>
      <c r="F1385" s="4043" t="str">
        <f t="shared" si="147"/>
        <v>GSHP-EER23_ER2_SF</v>
      </c>
      <c r="G1385" s="4043"/>
      <c r="H1385" s="4043"/>
      <c r="I1385" s="2857"/>
      <c r="J1385" s="2857">
        <v>12</v>
      </c>
      <c r="K1385" s="806"/>
      <c r="L1385" s="697"/>
      <c r="M1385" s="3082"/>
      <c r="N1385" s="3082"/>
      <c r="O1385" s="123"/>
      <c r="P1385" s="123"/>
      <c r="Q1385" s="123"/>
      <c r="R1385" s="123"/>
      <c r="S1385" s="123"/>
      <c r="T1385" s="123"/>
      <c r="U1385" s="123"/>
      <c r="V1385" s="3990"/>
      <c r="W1385" s="2857">
        <v>12</v>
      </c>
      <c r="X1385" s="2857">
        <v>12</v>
      </c>
      <c r="Y1385" s="2857">
        <v>12</v>
      </c>
      <c r="Z1385" s="2857">
        <v>12</v>
      </c>
      <c r="AA1385" s="2857">
        <v>12</v>
      </c>
      <c r="AB1385" s="2857">
        <v>12</v>
      </c>
      <c r="AC1385" s="2857">
        <v>12</v>
      </c>
      <c r="AD1385" s="2857"/>
      <c r="AE1385" s="2857"/>
      <c r="AF1385" s="2857"/>
      <c r="AG1385" s="2857"/>
      <c r="AH1385" s="1942"/>
      <c r="AI1385" s="1942"/>
      <c r="AJ1385" s="1942"/>
      <c r="AK1385" s="1942"/>
      <c r="AL1385" s="1942"/>
      <c r="AM1385" s="1942"/>
      <c r="AN1385" s="1942"/>
      <c r="AO1385" s="1942"/>
      <c r="AP1385" s="1942"/>
      <c r="AQ1385" s="1942"/>
      <c r="AR1385" s="1942"/>
      <c r="AS1385" s="1942"/>
      <c r="AT1385" s="1942"/>
      <c r="AU1385" s="1942"/>
      <c r="AV1385" s="1942"/>
      <c r="AW1385" s="1942"/>
      <c r="AX1385" s="1942"/>
      <c r="AY1385" s="1942"/>
      <c r="AZ1385" s="1942"/>
      <c r="BA1385" s="1942"/>
      <c r="BB1385" s="575"/>
      <c r="BC1385" s="584"/>
      <c r="BD1385" s="678"/>
      <c r="BE1385" s="585"/>
    </row>
    <row r="1386" spans="1:57" s="51" customFormat="1" hidden="1" outlineLevel="1" x14ac:dyDescent="0.25">
      <c r="A1386" s="1267"/>
      <c r="B1386" s="3082"/>
      <c r="C1386" s="328"/>
      <c r="D1386" s="3990"/>
      <c r="E1386" s="3910"/>
      <c r="F1386" s="4040" t="str">
        <f t="shared" si="147"/>
        <v>GSHP-EER23_ER2_SF</v>
      </c>
      <c r="G1386" s="4041"/>
      <c r="H1386" s="4042"/>
      <c r="I1386" s="2857"/>
      <c r="J1386" s="2857">
        <v>12</v>
      </c>
      <c r="K1386" s="813"/>
      <c r="L1386" s="697"/>
      <c r="M1386" s="3082"/>
      <c r="N1386" s="3082"/>
      <c r="O1386" s="123"/>
      <c r="P1386" s="123"/>
      <c r="Q1386" s="123"/>
      <c r="R1386" s="123"/>
      <c r="S1386" s="123"/>
      <c r="T1386" s="123"/>
      <c r="U1386" s="123"/>
      <c r="V1386" s="3990"/>
      <c r="W1386" s="2857">
        <v>12</v>
      </c>
      <c r="X1386" s="2857">
        <v>12</v>
      </c>
      <c r="Y1386" s="2857">
        <v>12</v>
      </c>
      <c r="Z1386" s="2857">
        <v>12</v>
      </c>
      <c r="AA1386" s="2857">
        <v>12</v>
      </c>
      <c r="AB1386" s="2857">
        <v>12</v>
      </c>
      <c r="AC1386" s="2857">
        <v>12</v>
      </c>
      <c r="AD1386" s="2857"/>
      <c r="AE1386" s="2857"/>
      <c r="AF1386" s="2857"/>
      <c r="AG1386" s="2857"/>
      <c r="AH1386" s="1942"/>
      <c r="AI1386" s="1942"/>
      <c r="AJ1386" s="1942"/>
      <c r="AK1386" s="1942"/>
      <c r="AL1386" s="1942"/>
      <c r="AM1386" s="1942"/>
      <c r="AN1386" s="1942"/>
      <c r="AO1386" s="1942"/>
      <c r="AP1386" s="1942"/>
      <c r="AQ1386" s="1942"/>
      <c r="AR1386" s="1942"/>
      <c r="AS1386" s="1942"/>
      <c r="AT1386" s="1942"/>
      <c r="AU1386" s="1942"/>
      <c r="AV1386" s="1942"/>
      <c r="AW1386" s="1942"/>
      <c r="AX1386" s="1942"/>
      <c r="AY1386" s="1942"/>
      <c r="AZ1386" s="1942"/>
      <c r="BA1386" s="1942"/>
      <c r="BB1386" s="575"/>
      <c r="BC1386" s="584"/>
      <c r="BD1386" s="678"/>
      <c r="BE1386" s="585"/>
    </row>
    <row r="1387" spans="1:57" s="51" customFormat="1" hidden="1" outlineLevel="1" x14ac:dyDescent="0.25">
      <c r="A1387" s="1267"/>
      <c r="B1387" s="3082"/>
      <c r="C1387" s="328"/>
      <c r="D1387" s="3990"/>
      <c r="E1387" s="3910"/>
      <c r="F1387" s="4040" t="str">
        <f t="shared" si="147"/>
        <v>GSHP-EER23_ROF_SF</v>
      </c>
      <c r="G1387" s="4041"/>
      <c r="H1387" s="4042"/>
      <c r="I1387" s="2857"/>
      <c r="J1387" s="2857">
        <v>18</v>
      </c>
      <c r="K1387" s="813"/>
      <c r="L1387" s="697"/>
      <c r="M1387" s="3082"/>
      <c r="N1387" s="3082"/>
      <c r="O1387" s="123"/>
      <c r="P1387" s="123"/>
      <c r="Q1387" s="123"/>
      <c r="R1387" s="123"/>
      <c r="S1387" s="123"/>
      <c r="T1387" s="123"/>
      <c r="U1387" s="123"/>
      <c r="V1387" s="3990"/>
      <c r="W1387" s="2857">
        <v>18</v>
      </c>
      <c r="X1387" s="2857">
        <v>18</v>
      </c>
      <c r="Y1387" s="2857">
        <v>18</v>
      </c>
      <c r="Z1387" s="2857">
        <v>18</v>
      </c>
      <c r="AA1387" s="2857">
        <v>18</v>
      </c>
      <c r="AB1387" s="2857">
        <v>18</v>
      </c>
      <c r="AC1387" s="2857">
        <v>18</v>
      </c>
      <c r="AD1387" s="2857"/>
      <c r="AE1387" s="2857"/>
      <c r="AF1387" s="2857"/>
      <c r="AG1387" s="2857"/>
      <c r="AH1387" s="1942"/>
      <c r="AI1387" s="1942"/>
      <c r="AJ1387" s="1942"/>
      <c r="AK1387" s="1942"/>
      <c r="AL1387" s="1942"/>
      <c r="AM1387" s="1942"/>
      <c r="AN1387" s="1942"/>
      <c r="AO1387" s="1942"/>
      <c r="AP1387" s="1942"/>
      <c r="AQ1387" s="1942"/>
      <c r="AR1387" s="1942"/>
      <c r="AS1387" s="1942"/>
      <c r="AT1387" s="1942"/>
      <c r="AU1387" s="1942"/>
      <c r="AV1387" s="1942"/>
      <c r="AW1387" s="1942"/>
      <c r="AX1387" s="1942"/>
      <c r="AY1387" s="1942"/>
      <c r="AZ1387" s="1942"/>
      <c r="BA1387" s="1942"/>
      <c r="BB1387" s="575"/>
      <c r="BC1387" s="584"/>
      <c r="BD1387" s="678"/>
      <c r="BE1387" s="585"/>
    </row>
    <row r="1388" spans="1:57" s="51" customFormat="1" ht="15.75" hidden="1" outlineLevel="1" thickBot="1" x14ac:dyDescent="0.3">
      <c r="A1388" s="1267"/>
      <c r="B1388" s="3082"/>
      <c r="C1388" s="328"/>
      <c r="D1388" s="4039"/>
      <c r="E1388" s="3910"/>
      <c r="F1388" s="4040" t="str">
        <f t="shared" si="147"/>
        <v>GSHP-EER23_ROF_SF</v>
      </c>
      <c r="G1388" s="4041"/>
      <c r="H1388" s="4042"/>
      <c r="I1388" s="2857"/>
      <c r="J1388" s="2857">
        <v>18</v>
      </c>
      <c r="K1388" s="813"/>
      <c r="L1388" s="697"/>
      <c r="M1388" s="3082"/>
      <c r="N1388" s="3082"/>
      <c r="O1388" s="123"/>
      <c r="P1388" s="123"/>
      <c r="Q1388" s="123"/>
      <c r="R1388" s="123"/>
      <c r="S1388" s="123"/>
      <c r="T1388" s="123"/>
      <c r="U1388" s="123"/>
      <c r="V1388" s="4039"/>
      <c r="W1388" s="2857">
        <v>18</v>
      </c>
      <c r="X1388" s="2857">
        <v>18</v>
      </c>
      <c r="Y1388" s="2857">
        <v>18</v>
      </c>
      <c r="Z1388" s="2857">
        <v>18</v>
      </c>
      <c r="AA1388" s="2857">
        <v>18</v>
      </c>
      <c r="AB1388" s="2857">
        <v>18</v>
      </c>
      <c r="AC1388" s="2857">
        <v>18</v>
      </c>
      <c r="AD1388" s="2857"/>
      <c r="AE1388" s="2857"/>
      <c r="AF1388" s="2857"/>
      <c r="AG1388" s="2857"/>
      <c r="AH1388" s="1942"/>
      <c r="AI1388" s="1942"/>
      <c r="AJ1388" s="1942"/>
      <c r="AK1388" s="1942"/>
      <c r="AL1388" s="1942"/>
      <c r="AM1388" s="1942"/>
      <c r="AN1388" s="1942"/>
      <c r="AO1388" s="1942"/>
      <c r="AP1388" s="1942"/>
      <c r="AQ1388" s="1942"/>
      <c r="AR1388" s="1942"/>
      <c r="AS1388" s="1942"/>
      <c r="AT1388" s="1942"/>
      <c r="AU1388" s="1942"/>
      <c r="AV1388" s="1942"/>
      <c r="AW1388" s="1942"/>
      <c r="AX1388" s="1942"/>
      <c r="AY1388" s="1942"/>
      <c r="AZ1388" s="1942"/>
      <c r="BA1388" s="1942"/>
      <c r="BB1388" s="575"/>
      <c r="BC1388" s="584"/>
      <c r="BD1388" s="678"/>
      <c r="BE1388" s="585"/>
    </row>
    <row r="1389" spans="1:57" s="51" customFormat="1" hidden="1" outlineLevel="1" x14ac:dyDescent="0.25">
      <c r="A1389" s="1267"/>
      <c r="B1389" s="3082"/>
      <c r="C1389" s="328"/>
      <c r="D1389" s="3989" t="s">
        <v>170</v>
      </c>
      <c r="E1389" s="4008" t="s">
        <v>543</v>
      </c>
      <c r="F1389" s="4044" t="str">
        <f t="shared" ref="F1389:F1400" si="148">E1296</f>
        <v>GSHP-EER23-Replace_CAC_ElectricHeat_ROF_SF</v>
      </c>
      <c r="G1389" s="4045"/>
      <c r="H1389" s="4046"/>
      <c r="I1389" s="2861"/>
      <c r="J1389" s="795">
        <v>4717</v>
      </c>
      <c r="K1389" s="811"/>
      <c r="L1389" s="747"/>
      <c r="M1389" s="3082"/>
      <c r="N1389" s="3082"/>
      <c r="O1389" s="123"/>
      <c r="P1389" s="123"/>
      <c r="Q1389" s="123"/>
      <c r="R1389" s="123"/>
      <c r="S1389" s="123"/>
      <c r="T1389" s="123"/>
      <c r="U1389" s="123"/>
      <c r="V1389" s="3989" t="str">
        <f>D1389</f>
        <v>Inc. Cost</v>
      </c>
      <c r="W1389" s="795">
        <v>4717</v>
      </c>
      <c r="X1389" s="795">
        <v>4717</v>
      </c>
      <c r="Y1389" s="795">
        <v>4717</v>
      </c>
      <c r="Z1389" s="795">
        <v>4717</v>
      </c>
      <c r="AA1389" s="795">
        <v>4717</v>
      </c>
      <c r="AB1389" s="795">
        <v>4717</v>
      </c>
      <c r="AC1389" s="795">
        <v>4717</v>
      </c>
      <c r="AD1389" s="795"/>
      <c r="AE1389" s="795"/>
      <c r="AF1389" s="795"/>
      <c r="AG1389" s="795"/>
      <c r="AH1389" s="1942"/>
      <c r="AI1389" s="1942"/>
      <c r="AJ1389" s="1942"/>
      <c r="AK1389" s="1942"/>
      <c r="AL1389" s="1942"/>
      <c r="AM1389" s="1942"/>
      <c r="AN1389" s="1942"/>
      <c r="AO1389" s="1942"/>
      <c r="AP1389" s="1942"/>
      <c r="AQ1389" s="1942"/>
      <c r="AR1389" s="1942"/>
      <c r="AS1389" s="1942"/>
      <c r="AT1389" s="1942"/>
      <c r="AU1389" s="1942"/>
      <c r="AV1389" s="1942"/>
      <c r="AW1389" s="1942"/>
      <c r="AX1389" s="1942"/>
      <c r="AY1389" s="1942"/>
      <c r="AZ1389" s="1942"/>
      <c r="BA1389" s="1942"/>
      <c r="BB1389" s="575"/>
      <c r="BC1389" s="584"/>
      <c r="BD1389" s="678"/>
      <c r="BE1389" s="585"/>
    </row>
    <row r="1390" spans="1:57" s="51" customFormat="1" hidden="1" outlineLevel="1" x14ac:dyDescent="0.25">
      <c r="A1390" s="1267"/>
      <c r="B1390" s="3082"/>
      <c r="C1390" s="328"/>
      <c r="D1390" s="3990"/>
      <c r="E1390" s="4009"/>
      <c r="F1390" s="4040" t="str">
        <f t="shared" si="148"/>
        <v>GSHP-EER23-Replace_CAC_ElectricHeat_ROF_SF</v>
      </c>
      <c r="G1390" s="4041"/>
      <c r="H1390" s="4042"/>
      <c r="I1390" s="2857"/>
      <c r="J1390" s="798"/>
      <c r="K1390" s="806"/>
      <c r="L1390" s="697"/>
      <c r="M1390" s="3082"/>
      <c r="N1390" s="3082"/>
      <c r="O1390" s="123"/>
      <c r="P1390" s="123"/>
      <c r="Q1390" s="123"/>
      <c r="R1390" s="123"/>
      <c r="S1390" s="123"/>
      <c r="T1390" s="123"/>
      <c r="U1390" s="123"/>
      <c r="V1390" s="3990"/>
      <c r="W1390" s="798"/>
      <c r="X1390" s="798"/>
      <c r="Y1390" s="798"/>
      <c r="Z1390" s="798"/>
      <c r="AA1390" s="798"/>
      <c r="AB1390" s="798"/>
      <c r="AC1390" s="798"/>
      <c r="AD1390" s="798"/>
      <c r="AE1390" s="798"/>
      <c r="AF1390" s="798"/>
      <c r="AG1390" s="798"/>
      <c r="AH1390" s="1942"/>
      <c r="AI1390" s="1942"/>
      <c r="AJ1390" s="1942"/>
      <c r="AK1390" s="1942"/>
      <c r="AL1390" s="1942"/>
      <c r="AM1390" s="1942"/>
      <c r="AN1390" s="1942"/>
      <c r="AO1390" s="1942"/>
      <c r="AP1390" s="1942"/>
      <c r="AQ1390" s="1942"/>
      <c r="AR1390" s="1942"/>
      <c r="AS1390" s="1942"/>
      <c r="AT1390" s="1942"/>
      <c r="AU1390" s="1942"/>
      <c r="AV1390" s="1942"/>
      <c r="AW1390" s="1942"/>
      <c r="AX1390" s="1942"/>
      <c r="AY1390" s="1942"/>
      <c r="AZ1390" s="1942"/>
      <c r="BA1390" s="1942"/>
      <c r="BB1390" s="575"/>
      <c r="BC1390" s="584"/>
      <c r="BD1390" s="678"/>
      <c r="BE1390" s="585"/>
    </row>
    <row r="1391" spans="1:57" s="51" customFormat="1" hidden="1" outlineLevel="1" x14ac:dyDescent="0.25">
      <c r="A1391" s="1267"/>
      <c r="B1391" s="3082"/>
      <c r="C1391" s="328"/>
      <c r="D1391" s="3990"/>
      <c r="E1391" s="4009"/>
      <c r="F1391" s="4043" t="str">
        <f t="shared" si="148"/>
        <v>GSHP-EER23-Replace_CAC_ElectricHeat_ER1_SF</v>
      </c>
      <c r="G1391" s="4043"/>
      <c r="H1391" s="4043"/>
      <c r="I1391" s="2857"/>
      <c r="J1391" s="798">
        <v>5250</v>
      </c>
      <c r="K1391" s="813"/>
      <c r="L1391" s="697"/>
      <c r="M1391" s="3082"/>
      <c r="N1391" s="3082"/>
      <c r="O1391" s="123"/>
      <c r="P1391" s="123"/>
      <c r="Q1391" s="123"/>
      <c r="R1391" s="123"/>
      <c r="S1391" s="123"/>
      <c r="T1391" s="123"/>
      <c r="U1391" s="123"/>
      <c r="V1391" s="3990"/>
      <c r="W1391" s="798">
        <v>5250</v>
      </c>
      <c r="X1391" s="798">
        <v>5250</v>
      </c>
      <c r="Y1391" s="798">
        <v>5250</v>
      </c>
      <c r="Z1391" s="798">
        <v>5250</v>
      </c>
      <c r="AA1391" s="798">
        <v>5250</v>
      </c>
      <c r="AB1391" s="798">
        <v>5250</v>
      </c>
      <c r="AC1391" s="798">
        <v>5250</v>
      </c>
      <c r="AD1391" s="798"/>
      <c r="AE1391" s="798"/>
      <c r="AF1391" s="798"/>
      <c r="AG1391" s="798"/>
      <c r="AH1391" s="1942"/>
      <c r="AI1391" s="1942"/>
      <c r="AJ1391" s="1942"/>
      <c r="AK1391" s="1942"/>
      <c r="AL1391" s="1942"/>
      <c r="AM1391" s="1942"/>
      <c r="AN1391" s="1942"/>
      <c r="AO1391" s="1942"/>
      <c r="AP1391" s="1942"/>
      <c r="AQ1391" s="1942"/>
      <c r="AR1391" s="1942"/>
      <c r="AS1391" s="1942"/>
      <c r="AT1391" s="1942"/>
      <c r="AU1391" s="1942"/>
      <c r="AV1391" s="1942"/>
      <c r="AW1391" s="1942"/>
      <c r="AX1391" s="1942"/>
      <c r="AY1391" s="1942"/>
      <c r="AZ1391" s="1942"/>
      <c r="BA1391" s="1942"/>
      <c r="BB1391" s="575"/>
      <c r="BC1391" s="584"/>
      <c r="BD1391" s="678"/>
      <c r="BE1391" s="585"/>
    </row>
    <row r="1392" spans="1:57" s="51" customFormat="1" hidden="1" outlineLevel="1" x14ac:dyDescent="0.25">
      <c r="A1392" s="1267"/>
      <c r="B1392" s="3082"/>
      <c r="C1392" s="328"/>
      <c r="D1392" s="3990"/>
      <c r="E1392" s="4009"/>
      <c r="F1392" s="4043" t="str">
        <f t="shared" si="148"/>
        <v>GSHP-EER23-Replace_CAC_ElectricHeat_ER1_SF</v>
      </c>
      <c r="G1392" s="4043"/>
      <c r="H1392" s="4043"/>
      <c r="I1392" s="2857"/>
      <c r="J1392" s="798"/>
      <c r="K1392" s="813"/>
      <c r="L1392" s="697"/>
      <c r="M1392" s="3082"/>
      <c r="N1392" s="3082"/>
      <c r="O1392" s="123"/>
      <c r="P1392" s="123"/>
      <c r="Q1392" s="123"/>
      <c r="R1392" s="123"/>
      <c r="S1392" s="123"/>
      <c r="T1392" s="123"/>
      <c r="U1392" s="123"/>
      <c r="V1392" s="3990"/>
      <c r="W1392" s="798"/>
      <c r="X1392" s="798"/>
      <c r="Y1392" s="798"/>
      <c r="Z1392" s="798"/>
      <c r="AA1392" s="798"/>
      <c r="AB1392" s="798"/>
      <c r="AC1392" s="798"/>
      <c r="AD1392" s="798"/>
      <c r="AE1392" s="798"/>
      <c r="AF1392" s="798"/>
      <c r="AG1392" s="798"/>
      <c r="AH1392" s="1942"/>
      <c r="AI1392" s="1942"/>
      <c r="AJ1392" s="1942"/>
      <c r="AK1392" s="1942"/>
      <c r="AL1392" s="1942"/>
      <c r="AM1392" s="1942"/>
      <c r="AN1392" s="1942"/>
      <c r="AO1392" s="1942"/>
      <c r="AP1392" s="1942"/>
      <c r="AQ1392" s="1942"/>
      <c r="AR1392" s="1942"/>
      <c r="AS1392" s="1942"/>
      <c r="AT1392" s="1942"/>
      <c r="AU1392" s="1942"/>
      <c r="AV1392" s="1942"/>
      <c r="AW1392" s="1942"/>
      <c r="AX1392" s="1942"/>
      <c r="AY1392" s="1942"/>
      <c r="AZ1392" s="1942"/>
      <c r="BA1392" s="1942"/>
      <c r="BB1392" s="575"/>
      <c r="BC1392" s="584"/>
      <c r="BD1392" s="678"/>
      <c r="BE1392" s="585"/>
    </row>
    <row r="1393" spans="1:61" s="51" customFormat="1" hidden="1" outlineLevel="1" x14ac:dyDescent="0.25">
      <c r="A1393" s="1267"/>
      <c r="B1393" s="3082"/>
      <c r="C1393" s="328"/>
      <c r="D1393" s="3990"/>
      <c r="E1393" s="4009"/>
      <c r="F1393" s="4043" t="str">
        <f t="shared" si="148"/>
        <v>GSHP-EER23-Replace_CAC_ElectricHeat_ER2_SF</v>
      </c>
      <c r="G1393" s="4043"/>
      <c r="H1393" s="4043"/>
      <c r="I1393" s="2857"/>
      <c r="J1393" s="798"/>
      <c r="K1393" s="806"/>
      <c r="L1393" s="697"/>
      <c r="M1393" s="3082"/>
      <c r="N1393" s="3082"/>
      <c r="O1393" s="123"/>
      <c r="P1393" s="123"/>
      <c r="Q1393" s="123"/>
      <c r="R1393" s="123"/>
      <c r="S1393" s="123"/>
      <c r="T1393" s="123"/>
      <c r="U1393" s="123"/>
      <c r="V1393" s="3990"/>
      <c r="W1393" s="798"/>
      <c r="X1393" s="798"/>
      <c r="Y1393" s="798"/>
      <c r="Z1393" s="798"/>
      <c r="AA1393" s="798"/>
      <c r="AB1393" s="798"/>
      <c r="AC1393" s="798"/>
      <c r="AD1393" s="798"/>
      <c r="AE1393" s="798"/>
      <c r="AF1393" s="798"/>
      <c r="AG1393" s="798"/>
      <c r="AH1393" s="1942"/>
      <c r="AI1393" s="1942"/>
      <c r="AJ1393" s="1942"/>
      <c r="AK1393" s="1942"/>
      <c r="AL1393" s="1942"/>
      <c r="AM1393" s="1942"/>
      <c r="AN1393" s="1942"/>
      <c r="AO1393" s="1942"/>
      <c r="AP1393" s="1942"/>
      <c r="AQ1393" s="1942"/>
      <c r="AR1393" s="1942"/>
      <c r="AS1393" s="1942"/>
      <c r="AT1393" s="1942"/>
      <c r="AU1393" s="1942"/>
      <c r="AV1393" s="1942"/>
      <c r="AW1393" s="1942"/>
      <c r="AX1393" s="1942"/>
      <c r="AY1393" s="1942"/>
      <c r="AZ1393" s="1942"/>
      <c r="BA1393" s="1942"/>
      <c r="BB1393" s="575"/>
      <c r="BC1393" s="584"/>
      <c r="BD1393" s="678"/>
      <c r="BE1393" s="585"/>
    </row>
    <row r="1394" spans="1:61" s="51" customFormat="1" hidden="1" outlineLevel="1" x14ac:dyDescent="0.25">
      <c r="A1394" s="1267"/>
      <c r="B1394" s="3082"/>
      <c r="C1394" s="328"/>
      <c r="D1394" s="3990"/>
      <c r="E1394" s="4009"/>
      <c r="F1394" s="4043" t="str">
        <f t="shared" si="148"/>
        <v>GSHP-EER23-Replace_CAC_ElectricHeat_ER2_SF</v>
      </c>
      <c r="G1394" s="4043"/>
      <c r="H1394" s="4043"/>
      <c r="I1394" s="2857"/>
      <c r="J1394" s="798"/>
      <c r="K1394" s="806"/>
      <c r="L1394" s="697"/>
      <c r="M1394" s="3082"/>
      <c r="N1394" s="3082"/>
      <c r="O1394" s="123"/>
      <c r="P1394" s="123"/>
      <c r="Q1394" s="123"/>
      <c r="R1394" s="123"/>
      <c r="S1394" s="123"/>
      <c r="T1394" s="123"/>
      <c r="U1394" s="123"/>
      <c r="V1394" s="3990"/>
      <c r="W1394" s="798"/>
      <c r="X1394" s="798"/>
      <c r="Y1394" s="798"/>
      <c r="Z1394" s="798"/>
      <c r="AA1394" s="798"/>
      <c r="AB1394" s="798"/>
      <c r="AC1394" s="798"/>
      <c r="AD1394" s="798"/>
      <c r="AE1394" s="798"/>
      <c r="AF1394" s="798"/>
      <c r="AG1394" s="798"/>
      <c r="AH1394" s="1942"/>
      <c r="AI1394" s="1942"/>
      <c r="AJ1394" s="1942"/>
      <c r="AK1394" s="1942"/>
      <c r="AL1394" s="1942"/>
      <c r="AM1394" s="1942"/>
      <c r="AN1394" s="1942"/>
      <c r="AO1394" s="1942"/>
      <c r="AP1394" s="1942"/>
      <c r="AQ1394" s="1942"/>
      <c r="AR1394" s="1942"/>
      <c r="AS1394" s="1942"/>
      <c r="AT1394" s="1942"/>
      <c r="AU1394" s="1942"/>
      <c r="AV1394" s="1942"/>
      <c r="AW1394" s="1942"/>
      <c r="AX1394" s="1942"/>
      <c r="AY1394" s="1942"/>
      <c r="AZ1394" s="1942"/>
      <c r="BA1394" s="1942"/>
      <c r="BB1394" s="575"/>
      <c r="BC1394" s="584"/>
      <c r="BD1394" s="678"/>
      <c r="BE1394" s="585"/>
      <c r="BF1394" s="1942"/>
      <c r="BG1394" s="1942"/>
      <c r="BH1394" s="1942"/>
      <c r="BI1394" s="1942"/>
    </row>
    <row r="1395" spans="1:61" s="51" customFormat="1" hidden="1" outlineLevel="1" x14ac:dyDescent="0.25">
      <c r="A1395" s="1267"/>
      <c r="B1395" s="3082"/>
      <c r="C1395" s="328"/>
      <c r="D1395" s="3990"/>
      <c r="E1395" s="4009"/>
      <c r="F1395" s="4043" t="str">
        <f t="shared" si="148"/>
        <v>GSHP-EER23_ER1_SF</v>
      </c>
      <c r="G1395" s="4043"/>
      <c r="H1395" s="4043"/>
      <c r="I1395" s="2857"/>
      <c r="J1395" s="798">
        <v>4859</v>
      </c>
      <c r="K1395" s="813"/>
      <c r="L1395" s="697"/>
      <c r="M1395" s="3082"/>
      <c r="N1395" s="3082"/>
      <c r="O1395" s="123"/>
      <c r="P1395" s="123"/>
      <c r="Q1395" s="123"/>
      <c r="R1395" s="123"/>
      <c r="S1395" s="123"/>
      <c r="T1395" s="123"/>
      <c r="U1395" s="123"/>
      <c r="V1395" s="3990"/>
      <c r="W1395" s="798">
        <v>4859</v>
      </c>
      <c r="X1395" s="798">
        <v>4859</v>
      </c>
      <c r="Y1395" s="798">
        <v>4859</v>
      </c>
      <c r="Z1395" s="798">
        <v>4859</v>
      </c>
      <c r="AA1395" s="798">
        <v>4859</v>
      </c>
      <c r="AB1395" s="798">
        <v>4859</v>
      </c>
      <c r="AC1395" s="798">
        <v>4859</v>
      </c>
      <c r="AD1395" s="798"/>
      <c r="AE1395" s="798"/>
      <c r="AF1395" s="798"/>
      <c r="AG1395" s="798"/>
      <c r="AH1395" s="1942"/>
      <c r="AI1395" s="1942"/>
      <c r="AJ1395" s="1942"/>
      <c r="AK1395" s="1942"/>
      <c r="AL1395" s="1942"/>
      <c r="AM1395" s="1942"/>
      <c r="AN1395" s="1942"/>
      <c r="AO1395" s="1942"/>
      <c r="AP1395" s="1942"/>
      <c r="AQ1395" s="1942"/>
      <c r="AR1395" s="1942"/>
      <c r="AS1395" s="1942"/>
      <c r="AT1395" s="1942"/>
      <c r="AU1395" s="1942"/>
      <c r="AV1395" s="1942"/>
      <c r="AW1395" s="1942"/>
      <c r="AX1395" s="1942"/>
      <c r="AY1395" s="1942"/>
      <c r="AZ1395" s="1942"/>
      <c r="BA1395" s="1942"/>
      <c r="BB1395" s="575"/>
      <c r="BC1395" s="584"/>
      <c r="BD1395" s="678"/>
      <c r="BE1395" s="585"/>
      <c r="BF1395" s="1942"/>
      <c r="BG1395" s="1942"/>
      <c r="BH1395" s="1942"/>
      <c r="BI1395" s="1942"/>
    </row>
    <row r="1396" spans="1:61" s="51" customFormat="1" hidden="1" outlineLevel="1" x14ac:dyDescent="0.25">
      <c r="A1396" s="1267"/>
      <c r="B1396" s="3082"/>
      <c r="C1396" s="328"/>
      <c r="D1396" s="3990"/>
      <c r="E1396" s="4009"/>
      <c r="F1396" s="4043" t="str">
        <f t="shared" si="148"/>
        <v>GSHP-EER23_ER1_SF</v>
      </c>
      <c r="G1396" s="4043"/>
      <c r="H1396" s="4043"/>
      <c r="I1396" s="2857"/>
      <c r="J1396" s="798"/>
      <c r="K1396" s="813"/>
      <c r="L1396" s="697"/>
      <c r="M1396" s="3082"/>
      <c r="N1396" s="3082"/>
      <c r="O1396" s="123"/>
      <c r="P1396" s="123"/>
      <c r="Q1396" s="123"/>
      <c r="R1396" s="123"/>
      <c r="S1396" s="123"/>
      <c r="T1396" s="123"/>
      <c r="U1396" s="123"/>
      <c r="V1396" s="3990"/>
      <c r="W1396" s="798"/>
      <c r="X1396" s="798"/>
      <c r="Y1396" s="798"/>
      <c r="Z1396" s="798"/>
      <c r="AA1396" s="798"/>
      <c r="AB1396" s="798"/>
      <c r="AC1396" s="798"/>
      <c r="AD1396" s="798"/>
      <c r="AE1396" s="798"/>
      <c r="AF1396" s="798"/>
      <c r="AG1396" s="798"/>
      <c r="AH1396" s="1942"/>
      <c r="AI1396" s="1942"/>
      <c r="AJ1396" s="1942"/>
      <c r="AK1396" s="1942"/>
      <c r="AL1396" s="1942"/>
      <c r="AM1396" s="1942"/>
      <c r="AN1396" s="1942"/>
      <c r="AO1396" s="1942"/>
      <c r="AP1396" s="1942"/>
      <c r="AQ1396" s="1942"/>
      <c r="AR1396" s="1942"/>
      <c r="AS1396" s="1942"/>
      <c r="AT1396" s="1942"/>
      <c r="AU1396" s="1942"/>
      <c r="AV1396" s="1942"/>
      <c r="AW1396" s="1942"/>
      <c r="AX1396" s="1942"/>
      <c r="AY1396" s="1942"/>
      <c r="AZ1396" s="1942"/>
      <c r="BA1396" s="1942"/>
      <c r="BB1396" s="575"/>
      <c r="BC1396" s="584"/>
      <c r="BD1396" s="678"/>
      <c r="BE1396" s="585"/>
      <c r="BF1396" s="1942"/>
      <c r="BG1396" s="1942"/>
      <c r="BH1396" s="1942"/>
      <c r="BI1396" s="1942"/>
    </row>
    <row r="1397" spans="1:61" s="51" customFormat="1" hidden="1" outlineLevel="1" x14ac:dyDescent="0.25">
      <c r="A1397" s="1267"/>
      <c r="B1397" s="3082"/>
      <c r="C1397" s="328"/>
      <c r="D1397" s="3990"/>
      <c r="E1397" s="4009"/>
      <c r="F1397" s="4043" t="str">
        <f t="shared" si="148"/>
        <v>GSHP-EER23_ER2_SF</v>
      </c>
      <c r="G1397" s="4043"/>
      <c r="H1397" s="4043"/>
      <c r="I1397" s="2857"/>
      <c r="J1397" s="798"/>
      <c r="K1397" s="806"/>
      <c r="L1397" s="697"/>
      <c r="M1397" s="3082"/>
      <c r="N1397" s="3082"/>
      <c r="O1397" s="123"/>
      <c r="P1397" s="123"/>
      <c r="Q1397" s="123"/>
      <c r="R1397" s="123"/>
      <c r="S1397" s="123"/>
      <c r="T1397" s="123"/>
      <c r="U1397" s="123"/>
      <c r="V1397" s="3990"/>
      <c r="W1397" s="798"/>
      <c r="X1397" s="798"/>
      <c r="Y1397" s="798"/>
      <c r="Z1397" s="798"/>
      <c r="AA1397" s="798"/>
      <c r="AB1397" s="798"/>
      <c r="AC1397" s="798"/>
      <c r="AD1397" s="798"/>
      <c r="AE1397" s="798"/>
      <c r="AF1397" s="798"/>
      <c r="AG1397" s="798"/>
      <c r="AH1397" s="1942"/>
      <c r="AI1397" s="1942"/>
      <c r="AJ1397" s="1942"/>
      <c r="AK1397" s="1942"/>
      <c r="AL1397" s="1942"/>
      <c r="AM1397" s="1942"/>
      <c r="AN1397" s="1942"/>
      <c r="AO1397" s="1942"/>
      <c r="AP1397" s="1942"/>
      <c r="AQ1397" s="1942"/>
      <c r="AR1397" s="1942"/>
      <c r="AS1397" s="1942"/>
      <c r="AT1397" s="1942"/>
      <c r="AU1397" s="1942"/>
      <c r="AV1397" s="1942"/>
      <c r="AW1397" s="1942"/>
      <c r="AX1397" s="1942"/>
      <c r="AY1397" s="1942"/>
      <c r="AZ1397" s="1942"/>
      <c r="BA1397" s="1942"/>
      <c r="BB1397" s="575"/>
      <c r="BC1397" s="584"/>
      <c r="BD1397" s="678"/>
      <c r="BE1397" s="585"/>
      <c r="BF1397" s="1942"/>
      <c r="BG1397" s="1942"/>
      <c r="BH1397" s="1942"/>
      <c r="BI1397" s="1942"/>
    </row>
    <row r="1398" spans="1:61" s="51" customFormat="1" hidden="1" outlineLevel="1" x14ac:dyDescent="0.25">
      <c r="A1398" s="1267"/>
      <c r="B1398" s="3082"/>
      <c r="C1398" s="328"/>
      <c r="D1398" s="3990"/>
      <c r="E1398" s="4009"/>
      <c r="F1398" s="4040" t="str">
        <f t="shared" si="148"/>
        <v>GSHP-EER23_ER2_SF</v>
      </c>
      <c r="G1398" s="4041"/>
      <c r="H1398" s="4042"/>
      <c r="I1398" s="2857"/>
      <c r="J1398" s="798"/>
      <c r="K1398" s="813"/>
      <c r="L1398" s="697"/>
      <c r="M1398" s="3082"/>
      <c r="N1398" s="3082"/>
      <c r="O1398" s="123"/>
      <c r="P1398" s="123"/>
      <c r="Q1398" s="123"/>
      <c r="R1398" s="123"/>
      <c r="S1398" s="123"/>
      <c r="T1398" s="123"/>
      <c r="U1398" s="123"/>
      <c r="V1398" s="3990"/>
      <c r="W1398" s="798"/>
      <c r="X1398" s="798"/>
      <c r="Y1398" s="798"/>
      <c r="Z1398" s="798"/>
      <c r="AA1398" s="798"/>
      <c r="AB1398" s="798"/>
      <c r="AC1398" s="798"/>
      <c r="AD1398" s="798"/>
      <c r="AE1398" s="798"/>
      <c r="AF1398" s="798"/>
      <c r="AG1398" s="798"/>
      <c r="AH1398" s="1942"/>
      <c r="AI1398" s="1942"/>
      <c r="AJ1398" s="1942"/>
      <c r="AK1398" s="1942"/>
      <c r="AL1398" s="1942"/>
      <c r="AM1398" s="1942"/>
      <c r="AN1398" s="1942"/>
      <c r="AO1398" s="1942"/>
      <c r="AP1398" s="1942"/>
      <c r="AQ1398" s="1942"/>
      <c r="AR1398" s="1942"/>
      <c r="AS1398" s="1942"/>
      <c r="AT1398" s="1942"/>
      <c r="AU1398" s="1942"/>
      <c r="AV1398" s="1942"/>
      <c r="AW1398" s="1942"/>
      <c r="AX1398" s="1942"/>
      <c r="AY1398" s="1942"/>
      <c r="AZ1398" s="1942"/>
      <c r="BA1398" s="1942"/>
      <c r="BB1398" s="575"/>
      <c r="BC1398" s="584"/>
      <c r="BD1398" s="678"/>
      <c r="BE1398" s="585"/>
      <c r="BF1398" s="1942"/>
      <c r="BG1398" s="1942"/>
      <c r="BH1398" s="1942"/>
      <c r="BI1398" s="1942"/>
    </row>
    <row r="1399" spans="1:61" s="51" customFormat="1" hidden="1" outlineLevel="1" x14ac:dyDescent="0.25">
      <c r="A1399" s="1267"/>
      <c r="B1399" s="3082"/>
      <c r="C1399" s="328"/>
      <c r="D1399" s="3990"/>
      <c r="E1399" s="4009"/>
      <c r="F1399" s="4040" t="str">
        <f t="shared" si="148"/>
        <v>GSHP-EER23_ROF_SF</v>
      </c>
      <c r="G1399" s="4041"/>
      <c r="H1399" s="4042"/>
      <c r="I1399" s="2857"/>
      <c r="J1399" s="798">
        <v>3200</v>
      </c>
      <c r="K1399" s="813"/>
      <c r="L1399" s="697"/>
      <c r="M1399" s="3082"/>
      <c r="N1399" s="3082"/>
      <c r="O1399" s="123"/>
      <c r="P1399" s="123"/>
      <c r="Q1399" s="123"/>
      <c r="R1399" s="123"/>
      <c r="S1399" s="123"/>
      <c r="T1399" s="123"/>
      <c r="U1399" s="123"/>
      <c r="V1399" s="3990"/>
      <c r="W1399" s="798">
        <v>3200</v>
      </c>
      <c r="X1399" s="798">
        <v>3200</v>
      </c>
      <c r="Y1399" s="798">
        <v>3200</v>
      </c>
      <c r="Z1399" s="798">
        <v>3200</v>
      </c>
      <c r="AA1399" s="798">
        <v>3200</v>
      </c>
      <c r="AB1399" s="798">
        <v>3200</v>
      </c>
      <c r="AC1399" s="798">
        <v>3200</v>
      </c>
      <c r="AD1399" s="798"/>
      <c r="AE1399" s="798"/>
      <c r="AF1399" s="798"/>
      <c r="AG1399" s="798"/>
      <c r="AH1399" s="1942"/>
      <c r="AI1399" s="1942"/>
      <c r="AJ1399" s="1942"/>
      <c r="AK1399" s="1942"/>
      <c r="AL1399" s="1942"/>
      <c r="AM1399" s="1942"/>
      <c r="AN1399" s="1942"/>
      <c r="AO1399" s="1942"/>
      <c r="AP1399" s="1942"/>
      <c r="AQ1399" s="1942"/>
      <c r="AR1399" s="1942"/>
      <c r="AS1399" s="1942"/>
      <c r="AT1399" s="1942"/>
      <c r="AU1399" s="1942"/>
      <c r="AV1399" s="1942"/>
      <c r="AW1399" s="1942"/>
      <c r="AX1399" s="1942"/>
      <c r="AY1399" s="1942"/>
      <c r="AZ1399" s="1942"/>
      <c r="BA1399" s="1942"/>
      <c r="BB1399" s="575"/>
      <c r="BC1399" s="584"/>
      <c r="BD1399" s="678"/>
      <c r="BE1399" s="585"/>
      <c r="BF1399" s="1942"/>
      <c r="BG1399" s="1942"/>
      <c r="BH1399" s="1942"/>
      <c r="BI1399" s="1942"/>
    </row>
    <row r="1400" spans="1:61" s="51" customFormat="1" ht="15.75" hidden="1" outlineLevel="1" thickBot="1" x14ac:dyDescent="0.3">
      <c r="A1400" s="1267"/>
      <c r="B1400" s="3082"/>
      <c r="C1400" s="328"/>
      <c r="D1400" s="3991"/>
      <c r="E1400" s="4025"/>
      <c r="F1400" s="4047" t="str">
        <f t="shared" si="148"/>
        <v>GSHP-EER23_ROF_SF</v>
      </c>
      <c r="G1400" s="4048"/>
      <c r="H1400" s="4049"/>
      <c r="I1400" s="2860"/>
      <c r="J1400" s="814"/>
      <c r="K1400" s="815"/>
      <c r="L1400" s="751"/>
      <c r="M1400" s="3082"/>
      <c r="N1400" s="3082"/>
      <c r="O1400" s="123"/>
      <c r="P1400" s="123"/>
      <c r="Q1400" s="123"/>
      <c r="R1400" s="123"/>
      <c r="S1400" s="123"/>
      <c r="T1400" s="123"/>
      <c r="U1400" s="123"/>
      <c r="V1400" s="3991"/>
      <c r="W1400" s="814"/>
      <c r="X1400" s="814"/>
      <c r="Y1400" s="814"/>
      <c r="Z1400" s="814"/>
      <c r="AA1400" s="814"/>
      <c r="AB1400" s="814"/>
      <c r="AC1400" s="814"/>
      <c r="AD1400" s="814"/>
      <c r="AE1400" s="814"/>
      <c r="AF1400" s="814"/>
      <c r="AG1400" s="814"/>
      <c r="AH1400" s="1942"/>
      <c r="AI1400" s="1942"/>
      <c r="AJ1400" s="1942"/>
      <c r="AK1400" s="1942"/>
      <c r="AL1400" s="1942"/>
      <c r="AM1400" s="1942"/>
      <c r="AN1400" s="1942"/>
      <c r="AO1400" s="1942"/>
      <c r="AP1400" s="1942"/>
      <c r="AQ1400" s="1942"/>
      <c r="AR1400" s="1942"/>
      <c r="AS1400" s="1942"/>
      <c r="AT1400" s="1942"/>
      <c r="AU1400" s="1942"/>
      <c r="AV1400" s="1942"/>
      <c r="AW1400" s="1942"/>
      <c r="AX1400" s="1942"/>
      <c r="AY1400" s="1942"/>
      <c r="AZ1400" s="1942"/>
      <c r="BA1400" s="1942"/>
      <c r="BB1400" s="575"/>
      <c r="BC1400" s="584"/>
      <c r="BD1400" s="678"/>
      <c r="BE1400" s="585"/>
      <c r="BF1400" s="1942"/>
      <c r="BG1400" s="1942"/>
      <c r="BH1400" s="1942"/>
      <c r="BI1400" s="1942"/>
    </row>
    <row r="1401" spans="1:61" collapsed="1" x14ac:dyDescent="0.25">
      <c r="B1401" s="353"/>
      <c r="C1401" s="1585"/>
      <c r="D1401" s="477"/>
      <c r="E1401" s="477"/>
      <c r="F1401" s="1586"/>
      <c r="G1401" s="477"/>
      <c r="H1401" s="1586"/>
      <c r="I1401" s="3082"/>
      <c r="J1401" s="1586"/>
      <c r="K1401" s="1586"/>
      <c r="L1401" s="1586"/>
      <c r="M1401" s="685"/>
      <c r="P1401" s="685"/>
      <c r="Q1401" s="329"/>
      <c r="W1401" s="1942"/>
      <c r="X1401" s="1942"/>
      <c r="Y1401" s="1930"/>
      <c r="Z1401" s="1930"/>
      <c r="AA1401" s="1930"/>
      <c r="AB1401" s="1930"/>
      <c r="AC1401" s="1930"/>
      <c r="AD1401" s="1930"/>
      <c r="AE1401" s="1930"/>
      <c r="AF1401" s="1930"/>
      <c r="AG1401" s="1930"/>
      <c r="AH1401" s="1930"/>
      <c r="AI1401" s="1930"/>
      <c r="AJ1401" s="1930"/>
      <c r="AK1401" s="1930"/>
      <c r="AL1401" s="1930"/>
      <c r="AM1401" s="1930"/>
      <c r="AN1401" s="1930"/>
      <c r="AO1401" s="1930"/>
      <c r="AP1401" s="1930"/>
      <c r="AQ1401" s="1930"/>
      <c r="AR1401" s="1930"/>
      <c r="AS1401" s="1930"/>
      <c r="AT1401" s="1930"/>
      <c r="AU1401" s="1930"/>
      <c r="AV1401" s="1930"/>
      <c r="AW1401" s="1930"/>
      <c r="AX1401" s="1930"/>
      <c r="AY1401" s="1930"/>
      <c r="AZ1401" s="1930"/>
      <c r="BA1401" s="1930"/>
      <c r="BC1401" s="584"/>
      <c r="BE1401" s="1930"/>
      <c r="BF1401" s="1930"/>
      <c r="BG1401" s="1930"/>
      <c r="BH1401" s="1930"/>
      <c r="BI1401" s="1930"/>
    </row>
    <row r="1402" spans="1:61" x14ac:dyDescent="0.25">
      <c r="E1402" s="477"/>
      <c r="F1402" s="1586"/>
      <c r="G1402" s="477"/>
      <c r="H1402" s="1586"/>
      <c r="I1402" s="1586"/>
      <c r="J1402" s="1586"/>
      <c r="K1402" s="1586"/>
      <c r="L1402" s="1586"/>
      <c r="M1402" s="1586"/>
      <c r="N1402" s="1586"/>
      <c r="O1402" s="800"/>
      <c r="P1402" s="800"/>
      <c r="Q1402" s="329"/>
      <c r="W1402" s="1942"/>
      <c r="X1402" s="1942"/>
      <c r="Y1402" s="1930"/>
      <c r="Z1402" s="1930"/>
      <c r="AA1402" s="1930"/>
      <c r="AB1402" s="1930"/>
      <c r="AC1402" s="1930"/>
      <c r="AD1402" s="1930"/>
      <c r="AE1402" s="1930"/>
      <c r="AF1402" s="1930"/>
      <c r="AG1402" s="1930"/>
      <c r="AH1402" s="1930"/>
      <c r="AI1402" s="1930"/>
      <c r="AJ1402" s="1930"/>
      <c r="AK1402" s="1930"/>
      <c r="AL1402" s="1930"/>
      <c r="AM1402" s="1930"/>
      <c r="AN1402" s="1930"/>
      <c r="AO1402" s="1930"/>
      <c r="AP1402" s="1930"/>
      <c r="AQ1402" s="1930"/>
      <c r="AR1402" s="1930"/>
      <c r="AS1402" s="1930"/>
      <c r="AT1402" s="1930"/>
      <c r="AU1402" s="1930"/>
      <c r="AV1402" s="1930"/>
      <c r="AW1402" s="1930"/>
      <c r="AX1402" s="1930"/>
      <c r="AY1402" s="1930"/>
      <c r="AZ1402" s="1930"/>
      <c r="BA1402" s="1930"/>
      <c r="BE1402" s="1930"/>
      <c r="BF1402" s="1930"/>
      <c r="BG1402" s="1930"/>
      <c r="BH1402" s="1930"/>
      <c r="BI1402" s="1930"/>
    </row>
    <row r="1403" spans="1:61" s="51" customFormat="1" x14ac:dyDescent="0.25">
      <c r="A1403" s="1267"/>
      <c r="B1403" s="3077" t="s">
        <v>1190</v>
      </c>
      <c r="C1403" s="729"/>
      <c r="D1403" s="3078"/>
      <c r="E1403" s="3078"/>
      <c r="F1403" s="3078"/>
      <c r="G1403" s="3078"/>
      <c r="H1403" s="3078"/>
      <c r="I1403" s="3078"/>
      <c r="J1403" s="3078"/>
      <c r="K1403" s="3078"/>
      <c r="L1403" s="3078"/>
      <c r="M1403" s="3078"/>
      <c r="N1403" s="3078"/>
      <c r="O1403" s="3078"/>
      <c r="P1403" s="3078"/>
      <c r="Q1403" s="3170"/>
      <c r="R1403" s="123"/>
      <c r="S1403" s="123"/>
      <c r="T1403" s="123"/>
      <c r="U1403" s="123"/>
      <c r="V1403" s="3750" t="str">
        <f>B1403</f>
        <v>Air Source Heat Pumps</v>
      </c>
      <c r="W1403" s="3751"/>
      <c r="X1403" s="3751"/>
      <c r="Y1403" s="3751"/>
      <c r="Z1403" s="3751"/>
      <c r="AA1403" s="3751"/>
      <c r="AB1403" s="3751"/>
      <c r="AC1403" s="3752"/>
      <c r="AD1403" s="3752"/>
      <c r="AE1403" s="3752"/>
      <c r="AF1403" s="3752"/>
      <c r="AG1403" s="3752"/>
      <c r="AH1403" s="3753"/>
      <c r="AI1403" s="1942"/>
      <c r="AJ1403" s="1942"/>
      <c r="AK1403" s="1942"/>
      <c r="AL1403" s="1942"/>
      <c r="AM1403" s="1942"/>
      <c r="AN1403" s="1942"/>
      <c r="AO1403" s="1942"/>
      <c r="AP1403" s="1942"/>
      <c r="AQ1403" s="1942"/>
      <c r="AR1403" s="1942"/>
      <c r="AS1403" s="1942"/>
      <c r="AT1403" s="1942"/>
      <c r="AU1403" s="1942"/>
      <c r="AV1403" s="1942"/>
      <c r="AW1403" s="1942"/>
      <c r="AX1403" s="1942"/>
      <c r="AY1403" s="1942"/>
      <c r="AZ1403" s="1942"/>
      <c r="BA1403" s="1942"/>
      <c r="BB1403" s="575"/>
      <c r="BC1403" s="576"/>
      <c r="BD1403" s="678"/>
      <c r="BE1403" s="1942"/>
      <c r="BF1403" s="1942"/>
      <c r="BG1403" s="1942"/>
      <c r="BH1403" s="1942"/>
      <c r="BI1403" s="1942"/>
    </row>
    <row r="1404" spans="1:61" s="51" customFormat="1" x14ac:dyDescent="0.25">
      <c r="A1404" s="1267"/>
      <c r="B1404" s="123"/>
      <c r="C1404" s="328"/>
      <c r="D1404" s="329"/>
      <c r="E1404" s="329"/>
      <c r="F1404" s="123"/>
      <c r="G1404" s="329"/>
      <c r="H1404" s="328"/>
      <c r="I1404" s="328"/>
      <c r="J1404" s="328"/>
      <c r="K1404" s="328"/>
      <c r="L1404" s="328"/>
      <c r="M1404" s="328"/>
      <c r="N1404" s="123"/>
      <c r="O1404" s="123"/>
      <c r="P1404" s="123"/>
      <c r="Q1404" s="329"/>
      <c r="R1404" s="123"/>
      <c r="S1404" s="123"/>
      <c r="T1404" s="123"/>
      <c r="U1404" s="123"/>
      <c r="V1404" s="123"/>
      <c r="W1404" s="1942"/>
      <c r="X1404" s="1942"/>
      <c r="Y1404" s="1942"/>
      <c r="Z1404" s="1942"/>
      <c r="AA1404" s="1942"/>
      <c r="AB1404" s="1942"/>
      <c r="AC1404" s="1942"/>
      <c r="AD1404" s="1942"/>
      <c r="AE1404" s="1942"/>
      <c r="AF1404" s="1942"/>
      <c r="AG1404" s="1942"/>
      <c r="AH1404" s="1942"/>
      <c r="AI1404" s="1942"/>
      <c r="AJ1404" s="1942"/>
      <c r="AK1404" s="1942"/>
      <c r="AL1404" s="1942"/>
      <c r="AM1404" s="1942"/>
      <c r="AN1404" s="1942"/>
      <c r="AO1404" s="1942"/>
      <c r="AP1404" s="1942"/>
      <c r="AQ1404" s="1942"/>
      <c r="AR1404" s="1942"/>
      <c r="AS1404" s="1942"/>
      <c r="AT1404" s="1942"/>
      <c r="AU1404" s="1942"/>
      <c r="AV1404" s="1942"/>
      <c r="AW1404" s="1942"/>
      <c r="AX1404" s="1942"/>
      <c r="AY1404" s="1942"/>
      <c r="AZ1404" s="1942"/>
      <c r="BA1404" s="1942"/>
      <c r="BB1404" s="575"/>
      <c r="BC1404" s="576"/>
      <c r="BD1404" s="678"/>
      <c r="BE1404" s="1942"/>
      <c r="BF1404" s="1942"/>
      <c r="BG1404" s="1942"/>
      <c r="BH1404" s="1942"/>
      <c r="BI1404" s="1942"/>
    </row>
    <row r="1405" spans="1:61" s="51" customFormat="1" x14ac:dyDescent="0.25">
      <c r="A1405" s="1267"/>
      <c r="B1405" s="123"/>
      <c r="C1405" s="328"/>
      <c r="D1405" s="329" t="s">
        <v>874</v>
      </c>
      <c r="E1405" s="329"/>
      <c r="F1405" s="123"/>
      <c r="G1405" s="329"/>
      <c r="H1405" s="123"/>
      <c r="I1405" s="328"/>
      <c r="J1405" s="328"/>
      <c r="K1405" s="328"/>
      <c r="L1405" s="328"/>
      <c r="M1405" s="328"/>
      <c r="N1405" s="123"/>
      <c r="O1405" s="123"/>
      <c r="P1405" s="123"/>
      <c r="Q1405" s="329"/>
      <c r="R1405" s="123"/>
      <c r="S1405" s="123"/>
      <c r="T1405" s="123"/>
      <c r="U1405" s="123"/>
      <c r="V1405" s="123"/>
      <c r="W1405" s="1942"/>
      <c r="X1405" s="1942"/>
      <c r="Y1405" s="1942"/>
      <c r="Z1405" s="1942"/>
      <c r="AA1405" s="1942"/>
      <c r="AB1405" s="1942"/>
      <c r="AC1405" s="1942"/>
      <c r="AD1405" s="1942"/>
      <c r="AE1405" s="1942"/>
      <c r="AF1405" s="1942"/>
      <c r="AG1405" s="1942"/>
      <c r="AH1405" s="1942"/>
      <c r="AI1405" s="1942"/>
      <c r="AJ1405" s="1942"/>
      <c r="AK1405" s="1942"/>
      <c r="AL1405" s="1942"/>
      <c r="AM1405" s="1942"/>
      <c r="AN1405" s="1942"/>
      <c r="AO1405" s="1942"/>
      <c r="AP1405" s="1942"/>
      <c r="AQ1405" s="1942"/>
      <c r="AR1405" s="1942"/>
      <c r="AS1405" s="1942"/>
      <c r="AT1405" s="1942"/>
      <c r="AU1405" s="1942"/>
      <c r="AV1405" s="1942"/>
      <c r="AW1405" s="1942"/>
      <c r="AX1405" s="1942"/>
      <c r="AY1405" s="1942"/>
      <c r="AZ1405" s="1942"/>
      <c r="BA1405" s="1942"/>
      <c r="BB1405" s="575"/>
      <c r="BC1405" s="576"/>
      <c r="BD1405" s="678"/>
      <c r="BE1405" s="1942"/>
      <c r="BF1405" s="1942"/>
      <c r="BG1405" s="691"/>
      <c r="BH1405" s="691"/>
      <c r="BI1405" s="691"/>
    </row>
    <row r="1406" spans="1:61" s="51" customFormat="1" ht="30" x14ac:dyDescent="0.25">
      <c r="A1406" s="1267"/>
      <c r="B1406" s="123"/>
      <c r="C1406" s="3086" t="s">
        <v>28</v>
      </c>
      <c r="D1406" s="3086" t="s">
        <v>175</v>
      </c>
      <c r="E1406" s="3086" t="s">
        <v>30</v>
      </c>
      <c r="F1406" s="3086" t="s">
        <v>31</v>
      </c>
      <c r="G1406" s="3086" t="s">
        <v>176</v>
      </c>
      <c r="H1406" s="3086" t="s">
        <v>177</v>
      </c>
      <c r="I1406" s="3086" t="s">
        <v>32</v>
      </c>
      <c r="J1406" s="3140" t="s">
        <v>181</v>
      </c>
      <c r="K1406" s="3086" t="s">
        <v>170</v>
      </c>
      <c r="L1406" s="3086" t="s">
        <v>875</v>
      </c>
      <c r="M1406" s="328"/>
      <c r="N1406" s="1587"/>
      <c r="O1406" s="123"/>
      <c r="P1406" s="123"/>
      <c r="Q1406" s="123"/>
      <c r="R1406" s="123"/>
      <c r="S1406" s="123"/>
      <c r="T1406" s="1588"/>
      <c r="U1406" s="123"/>
      <c r="V1406" s="551" t="str">
        <f>V1295</f>
        <v>REVISION DATE</v>
      </c>
      <c r="W1406" s="1937">
        <f>W$6</f>
        <v>43252</v>
      </c>
      <c r="X1406" s="1937">
        <f t="shared" ref="X1406:AG1406" si="149">X$6</f>
        <v>43465</v>
      </c>
      <c r="Y1406" s="1937">
        <f t="shared" si="149"/>
        <v>43800</v>
      </c>
      <c r="Z1406" s="1937">
        <f t="shared" si="149"/>
        <v>43862</v>
      </c>
      <c r="AA1406" s="1937">
        <f t="shared" si="149"/>
        <v>44013</v>
      </c>
      <c r="AB1406" s="1937">
        <f t="shared" si="149"/>
        <v>44166</v>
      </c>
      <c r="AC1406" s="1937">
        <f t="shared" si="149"/>
        <v>44531</v>
      </c>
      <c r="AD1406" s="1937" t="str">
        <f t="shared" si="149"/>
        <v>-</v>
      </c>
      <c r="AE1406" s="1937" t="str">
        <f t="shared" si="149"/>
        <v>-</v>
      </c>
      <c r="AF1406" s="1937" t="str">
        <f t="shared" si="149"/>
        <v>-</v>
      </c>
      <c r="AG1406" s="1937" t="str">
        <f t="shared" si="149"/>
        <v>-</v>
      </c>
      <c r="AH1406" s="1942"/>
      <c r="AI1406" s="1942"/>
      <c r="AJ1406" s="1942"/>
      <c r="AK1406" s="1942"/>
      <c r="AL1406" s="1942"/>
      <c r="AM1406" s="1942"/>
      <c r="AN1406" s="1942"/>
      <c r="AO1406" s="1942"/>
      <c r="AP1406" s="1942"/>
      <c r="AQ1406" s="1942"/>
      <c r="AR1406" s="1942"/>
      <c r="AS1406" s="1942"/>
      <c r="AT1406" s="1942"/>
      <c r="AU1406" s="1942"/>
      <c r="AV1406" s="1942"/>
      <c r="AW1406" s="1942"/>
      <c r="AX1406" s="1942"/>
      <c r="AY1406" s="1942"/>
      <c r="AZ1406" s="1942"/>
      <c r="BA1406" s="1942"/>
      <c r="BB1406" s="1953" t="str">
        <f>$BB$6</f>
        <v>TRC (2020)</v>
      </c>
      <c r="BC1406" s="1953" t="str">
        <f>$BC$6</f>
        <v>Benefit Lookup</v>
      </c>
      <c r="BD1406" s="665" t="str">
        <f>$BD$6</f>
        <v>Benefits (2019 $)</v>
      </c>
      <c r="BE1406" s="230" t="str">
        <f>$BE$6</f>
        <v>Incremental Cost (2019 $)</v>
      </c>
      <c r="BF1406" s="1942"/>
      <c r="BG1406" s="691"/>
      <c r="BH1406" s="3159"/>
      <c r="BI1406" s="691"/>
    </row>
    <row r="1407" spans="1:61" s="51" customFormat="1" x14ac:dyDescent="0.25">
      <c r="A1407" s="1267" t="str">
        <f t="shared" ref="A1407:A1496" si="150">C1407&amp;G1407</f>
        <v>352300_2021_12_Cooling Res</v>
      </c>
      <c r="B1407" s="123"/>
      <c r="C1407" s="2038" t="s">
        <v>1192</v>
      </c>
      <c r="D1407" s="2667" t="s">
        <v>320</v>
      </c>
      <c r="E1407" s="2878" t="s">
        <v>1193</v>
      </c>
      <c r="F1407" s="742">
        <f>ROUND(((K2549*K2736*(1/K2923-1/K3110)*K3297)/1000)*$K$3484,2)</f>
        <v>1696.71</v>
      </c>
      <c r="G1407" s="214" t="s">
        <v>1134</v>
      </c>
      <c r="H1407" s="155">
        <f>VLOOKUP(G1407,'CP FACTORS'!$A$3:$B$38, 2, FALSE)</f>
        <v>9.4741810000000004E-4</v>
      </c>
      <c r="I1407" s="1554">
        <f t="shared" ref="I1407:I1496" si="151">ROUND(F1407*H1407,6)</f>
        <v>1.607494</v>
      </c>
      <c r="J1407" s="108">
        <f>K3485</f>
        <v>6</v>
      </c>
      <c r="K1407" s="3294">
        <f>K3859</f>
        <v>991.06005994555017</v>
      </c>
      <c r="L1407" s="1088">
        <f>L1801</f>
        <v>2.8796610169491528</v>
      </c>
      <c r="M1407" s="328"/>
      <c r="N1407" s="1587"/>
      <c r="O1407" s="1135"/>
      <c r="P1407" s="123"/>
      <c r="Q1407" s="123"/>
      <c r="R1407" s="1431"/>
      <c r="S1407" s="123"/>
      <c r="T1407" s="123"/>
      <c r="U1407" s="1589"/>
      <c r="V1407" s="1962" t="s">
        <v>31</v>
      </c>
      <c r="W1407" s="818">
        <v>2360.2134787689906</v>
      </c>
      <c r="X1407" s="819">
        <v>1720.2653061224485</v>
      </c>
      <c r="Y1407" s="742">
        <v>1628.99</v>
      </c>
      <c r="Z1407" s="737">
        <v>1628.99</v>
      </c>
      <c r="AA1407" s="737">
        <v>1628.99</v>
      </c>
      <c r="AB1407" s="425">
        <v>2165.13</v>
      </c>
      <c r="AC1407" s="742">
        <v>1696.71</v>
      </c>
      <c r="AD1407" s="818"/>
      <c r="AE1407" s="818"/>
      <c r="AF1407" s="818"/>
      <c r="AG1407" s="818"/>
      <c r="AH1407" s="163"/>
      <c r="AI1407" s="1942"/>
      <c r="AJ1407" s="1942"/>
      <c r="AK1407" s="820"/>
      <c r="AL1407" s="1942"/>
      <c r="AM1407" s="1942"/>
      <c r="AN1407" s="1942"/>
      <c r="AO1407" s="1942"/>
      <c r="AP1407" s="1942"/>
      <c r="AQ1407" s="1942"/>
      <c r="AR1407" s="1942"/>
      <c r="AS1407" s="1942"/>
      <c r="AT1407" s="1942"/>
      <c r="AU1407" s="1942"/>
      <c r="AV1407" s="1942"/>
      <c r="AW1407" s="1942"/>
      <c r="AX1407" s="1942"/>
      <c r="AY1407" s="1942"/>
      <c r="AZ1407" s="1942"/>
      <c r="BA1407" s="1942"/>
      <c r="BB1407" s="239">
        <f>(BD1407+BD1408+BD1409+BD1410)/(BE1407+BE1408+BE1409+BE1410)</f>
        <v>6.0225806229706276</v>
      </c>
      <c r="BC1407" s="3115" t="str">
        <f t="shared" ref="BC1407:BC1496" si="152">CONCATENATE(G1407," ",J1407," Year EUL")</f>
        <v>Cooling Res 6 Year EUL</v>
      </c>
      <c r="BD1407" s="671">
        <f>(INDEX('Avoided Cost Benefits'!$C$4:$C$857,MATCH(BC1407,'Avoided Cost Benefits'!$A$4:$A$857,0)))*F1407</f>
        <v>986.60999409345641</v>
      </c>
      <c r="BE1407" s="1946">
        <f t="shared" ref="BE1407:BE1420" si="153">K1407/(1.0595^(2020-2019))</f>
        <v>935.40354879240215</v>
      </c>
      <c r="BF1407" s="1942"/>
      <c r="BG1407" s="691"/>
      <c r="BH1407" s="821"/>
      <c r="BI1407" s="691"/>
    </row>
    <row r="1408" spans="1:61" s="51" customFormat="1" x14ac:dyDescent="0.25">
      <c r="A1408" s="1267" t="str">
        <f t="shared" si="150"/>
        <v>352300_2021_12_Heating Res</v>
      </c>
      <c r="B1408" s="123"/>
      <c r="C1408" s="2038" t="s">
        <v>1192</v>
      </c>
      <c r="D1408" s="1553" t="s">
        <v>320</v>
      </c>
      <c r="E1408" s="3007" t="s">
        <v>1193</v>
      </c>
      <c r="F1408" s="742">
        <f>ROUND(((K1801*K1988*(1/K2175-1/K2362)*K3297)/1000)*$K$3484,2)</f>
        <v>9228.66</v>
      </c>
      <c r="G1408" s="214" t="s">
        <v>1135</v>
      </c>
      <c r="H1408" s="155">
        <f>VLOOKUP(G1408,'CP FACTORS'!$A$3:$B$38, 2, FALSE)</f>
        <v>0</v>
      </c>
      <c r="I1408" s="1554">
        <f t="shared" si="151"/>
        <v>0</v>
      </c>
      <c r="J1408" s="108">
        <f t="shared" ref="J1408:J1471" si="154">K3486</f>
        <v>6</v>
      </c>
      <c r="K1408" s="1052">
        <f t="shared" ref="K1408:K1471" si="155">K3860</f>
        <v>0</v>
      </c>
      <c r="L1408" s="1088"/>
      <c r="M1408" s="328"/>
      <c r="N1408" s="1587"/>
      <c r="O1408" s="1135"/>
      <c r="P1408" s="123"/>
      <c r="Q1408" s="123"/>
      <c r="R1408" s="1431"/>
      <c r="S1408" s="123"/>
      <c r="T1408" s="123"/>
      <c r="U1408" s="1589"/>
      <c r="V1408" s="1962" t="s">
        <v>31</v>
      </c>
      <c r="W1408" s="818">
        <v>12036.528668217206</v>
      </c>
      <c r="X1408" s="819">
        <v>9788.00163331972</v>
      </c>
      <c r="Y1408" s="742">
        <v>9262.39</v>
      </c>
      <c r="Z1408" s="737">
        <v>9262.39</v>
      </c>
      <c r="AA1408" s="737">
        <v>9262.39</v>
      </c>
      <c r="AB1408" s="425">
        <v>9075</v>
      </c>
      <c r="AC1408" s="742">
        <v>9228.66</v>
      </c>
      <c r="AD1408" s="818"/>
      <c r="AE1408" s="818"/>
      <c r="AF1408" s="818"/>
      <c r="AG1408" s="818"/>
      <c r="AH1408" s="163"/>
      <c r="AI1408" s="1942"/>
      <c r="AJ1408" s="1942"/>
      <c r="AK1408" s="820"/>
      <c r="AL1408" s="1942"/>
      <c r="AM1408" s="1942"/>
      <c r="AN1408" s="1942"/>
      <c r="AO1408" s="1942"/>
      <c r="AP1408" s="1942"/>
      <c r="AQ1408" s="1942"/>
      <c r="AR1408" s="1942"/>
      <c r="AS1408" s="1942"/>
      <c r="AT1408" s="1942"/>
      <c r="AU1408" s="1942"/>
      <c r="AV1408" s="1942"/>
      <c r="AW1408" s="1942"/>
      <c r="AX1408" s="1942"/>
      <c r="AY1408" s="1942"/>
      <c r="AZ1408" s="1942"/>
      <c r="BA1408" s="1942"/>
      <c r="BB1408" s="734"/>
      <c r="BC1408" s="3130" t="str">
        <f t="shared" si="152"/>
        <v>Heating Res 6 Year EUL</v>
      </c>
      <c r="BD1408" s="673">
        <f>(INDEX('Avoided Cost Benefits'!$C$4:$C$857,MATCH(BC1408,'Avoided Cost Benefits'!$A$4:$A$857,0)))*F1408</f>
        <v>1535.0353570414641</v>
      </c>
      <c r="BE1408" s="1949">
        <f t="shared" si="153"/>
        <v>0</v>
      </c>
      <c r="BF1408" s="1942"/>
      <c r="BG1408" s="691"/>
      <c r="BH1408" s="821"/>
      <c r="BI1408" s="691"/>
    </row>
    <row r="1409" spans="1:61" s="51" customFormat="1" x14ac:dyDescent="0.25">
      <c r="A1409" s="1267" t="str">
        <f t="shared" si="150"/>
        <v>352300_2021_12_Cooling Res ER2</v>
      </c>
      <c r="B1409" s="123"/>
      <c r="C1409" s="2038" t="s">
        <v>1192</v>
      </c>
      <c r="D1409" s="1553" t="s">
        <v>320</v>
      </c>
      <c r="E1409" s="3007" t="s">
        <v>1194</v>
      </c>
      <c r="F1409" s="742">
        <f>ROUND(((K2550*K2737*(1/K2924-1/K3111)*K3298)/1000)*$K$3484,2)</f>
        <v>324.06</v>
      </c>
      <c r="G1409" s="1580" t="s">
        <v>1176</v>
      </c>
      <c r="H1409" s="155">
        <f>VLOOKUP(G1409,'CP FACTORS'!$A$3:$B$38, 2, FALSE)</f>
        <v>9.4741810000000004E-4</v>
      </c>
      <c r="I1409" s="1554">
        <f t="shared" si="151"/>
        <v>0.30702000000000002</v>
      </c>
      <c r="J1409" s="108">
        <f t="shared" si="154"/>
        <v>12</v>
      </c>
      <c r="K1409" s="1052">
        <f t="shared" si="155"/>
        <v>0</v>
      </c>
      <c r="L1409" s="1088"/>
      <c r="M1409" s="328"/>
      <c r="N1409" s="1587"/>
      <c r="O1409" s="1135"/>
      <c r="P1409" s="123"/>
      <c r="Q1409" s="123"/>
      <c r="R1409" s="1431"/>
      <c r="S1409" s="123"/>
      <c r="T1409" s="123"/>
      <c r="U1409" s="1589"/>
      <c r="V1409" s="1962" t="s">
        <v>31</v>
      </c>
      <c r="W1409" s="818">
        <v>312.36189505858374</v>
      </c>
      <c r="X1409" s="819">
        <v>344.16219780219757</v>
      </c>
      <c r="Y1409" s="742">
        <v>324.83999999999997</v>
      </c>
      <c r="Z1409" s="737">
        <v>324.83999999999997</v>
      </c>
      <c r="AA1409" s="737">
        <v>324.83999999999997</v>
      </c>
      <c r="AB1409" s="425">
        <v>324.12</v>
      </c>
      <c r="AC1409" s="742">
        <v>324.06</v>
      </c>
      <c r="AD1409" s="818"/>
      <c r="AE1409" s="818"/>
      <c r="AF1409" s="818"/>
      <c r="AG1409" s="818"/>
      <c r="AH1409" s="163"/>
      <c r="AI1409" s="1942"/>
      <c r="AJ1409" s="1942"/>
      <c r="AK1409" s="820"/>
      <c r="AL1409" s="1942"/>
      <c r="AM1409" s="1942"/>
      <c r="AN1409" s="1942"/>
      <c r="AO1409" s="1942"/>
      <c r="AP1409" s="1942"/>
      <c r="AQ1409" s="1942"/>
      <c r="AR1409" s="1942"/>
      <c r="AS1409" s="1942"/>
      <c r="AT1409" s="1942"/>
      <c r="AU1409" s="1942"/>
      <c r="AV1409" s="1942"/>
      <c r="AW1409" s="1942"/>
      <c r="AX1409" s="1942"/>
      <c r="AY1409" s="1942"/>
      <c r="AZ1409" s="1942"/>
      <c r="BA1409" s="1942"/>
      <c r="BB1409" s="734"/>
      <c r="BC1409" s="3130" t="str">
        <f t="shared" si="152"/>
        <v>Cooling Res ER2 12 Year EUL</v>
      </c>
      <c r="BD1409" s="673">
        <f>(INDEX('Avoided Cost Benefits'!$C$4:$C$857,MATCH(BC1409,'Avoided Cost Benefits'!$A$4:$A$857,0)))*F1409</f>
        <v>383.14375773502479</v>
      </c>
      <c r="BE1409" s="1949">
        <f t="shared" si="153"/>
        <v>0</v>
      </c>
      <c r="BF1409" s="1942"/>
      <c r="BG1409" s="691"/>
      <c r="BH1409" s="821"/>
      <c r="BI1409" s="691"/>
    </row>
    <row r="1410" spans="1:61" s="51" customFormat="1" x14ac:dyDescent="0.25">
      <c r="A1410" s="1267" t="str">
        <f t="shared" si="150"/>
        <v>352300_2021_12_Heating Res ER2</v>
      </c>
      <c r="B1410" s="123"/>
      <c r="C1410" s="2038" t="s">
        <v>1192</v>
      </c>
      <c r="D1410" s="1553" t="s">
        <v>320</v>
      </c>
      <c r="E1410" s="3005" t="s">
        <v>1194</v>
      </c>
      <c r="F1410" s="742">
        <f>ROUND(((K1802*K1989*(1/K2176-1/K2363)*K3298)/1000)*$K$3484,2)</f>
        <v>9228.66</v>
      </c>
      <c r="G1410" s="1580" t="s">
        <v>1195</v>
      </c>
      <c r="H1410" s="155">
        <f>VLOOKUP(G1410,'CP FACTORS'!$A$3:$B$38, 2, FALSE)</f>
        <v>0</v>
      </c>
      <c r="I1410" s="1554">
        <f t="shared" si="151"/>
        <v>0</v>
      </c>
      <c r="J1410" s="108">
        <f t="shared" si="154"/>
        <v>12</v>
      </c>
      <c r="K1410" s="1052">
        <f t="shared" si="155"/>
        <v>0</v>
      </c>
      <c r="L1410" s="1088"/>
      <c r="M1410" s="328"/>
      <c r="N1410" s="1587"/>
      <c r="O1410" s="1135"/>
      <c r="P1410" s="123"/>
      <c r="Q1410" s="123"/>
      <c r="R1410" s="1431"/>
      <c r="S1410" s="123"/>
      <c r="T1410" s="123"/>
      <c r="U1410" s="1589"/>
      <c r="V1410" s="1962" t="s">
        <v>31</v>
      </c>
      <c r="W1410" s="818">
        <v>12036.528668217206</v>
      </c>
      <c r="X1410" s="819">
        <v>9788.00163331972</v>
      </c>
      <c r="Y1410" s="742">
        <v>9262.39</v>
      </c>
      <c r="Z1410" s="737">
        <v>9262.39</v>
      </c>
      <c r="AA1410" s="737">
        <v>9262.39</v>
      </c>
      <c r="AB1410" s="425">
        <v>9075</v>
      </c>
      <c r="AC1410" s="742">
        <v>9228.66</v>
      </c>
      <c r="AD1410" s="818"/>
      <c r="AE1410" s="818"/>
      <c r="AF1410" s="818"/>
      <c r="AG1410" s="818"/>
      <c r="AH1410" s="163"/>
      <c r="AI1410" s="1942"/>
      <c r="AJ1410" s="1942"/>
      <c r="AK1410" s="820"/>
      <c r="AL1410" s="1942"/>
      <c r="AM1410" s="1942"/>
      <c r="AN1410" s="1942"/>
      <c r="AO1410" s="1942"/>
      <c r="AP1410" s="1942"/>
      <c r="AQ1410" s="1942"/>
      <c r="AR1410" s="1942"/>
      <c r="AS1410" s="1942"/>
      <c r="AT1410" s="1942"/>
      <c r="AU1410" s="1942"/>
      <c r="AV1410" s="1942"/>
      <c r="AW1410" s="1942"/>
      <c r="AX1410" s="1942"/>
      <c r="AY1410" s="1942"/>
      <c r="AZ1410" s="1942"/>
      <c r="BA1410" s="1942"/>
      <c r="BB1410" s="734"/>
      <c r="BC1410" s="3116" t="str">
        <f t="shared" si="152"/>
        <v>Heating Res ER2 12 Year EUL</v>
      </c>
      <c r="BD1410" s="673">
        <f>(INDEX('Avoided Cost Benefits'!$C$4:$C$857,MATCH(BC1410,'Avoided Cost Benefits'!$A$4:$A$857,0)))*F1410</f>
        <v>2728.7541787451355</v>
      </c>
      <c r="BE1410" s="1949">
        <f t="shared" si="153"/>
        <v>0</v>
      </c>
      <c r="BF1410" s="1942"/>
      <c r="BG1410" s="691"/>
      <c r="BH1410" s="821"/>
      <c r="BI1410" s="691"/>
    </row>
    <row r="1411" spans="1:61" s="1942" customFormat="1" x14ac:dyDescent="0.25">
      <c r="A1411" s="1267"/>
      <c r="B1411" s="123"/>
      <c r="C1411" s="2038" t="s">
        <v>1196</v>
      </c>
      <c r="D1411" s="2695" t="s">
        <v>320</v>
      </c>
      <c r="E1411" s="3007" t="s">
        <v>1197</v>
      </c>
      <c r="F1411" s="742">
        <f>ROUND(((K2551*K2738*(1/K2925-1/K3112)*K3299)/1000)*$K$3484,2)</f>
        <v>1696.71</v>
      </c>
      <c r="G1411" s="2042" t="s">
        <v>1134</v>
      </c>
      <c r="H1411" s="2867">
        <f>VLOOKUP(G1411,'CP FACTORS'!$A$3:$B$38, 2, FALSE)</f>
        <v>9.4741810000000004E-4</v>
      </c>
      <c r="I1411" s="2757">
        <f t="shared" si="151"/>
        <v>1.607494</v>
      </c>
      <c r="J1411" s="116">
        <f t="shared" si="154"/>
        <v>6</v>
      </c>
      <c r="K1411" s="3294">
        <f t="shared" si="155"/>
        <v>991.06005994555017</v>
      </c>
      <c r="L1411" s="3296">
        <f>L1803</f>
        <v>2.8796610169491528</v>
      </c>
      <c r="M1411" s="328"/>
      <c r="N1411" s="1587"/>
      <c r="O1411" s="1135"/>
      <c r="P1411" s="123"/>
      <c r="Q1411" s="123"/>
      <c r="R1411" s="1431"/>
      <c r="S1411" s="123"/>
      <c r="T1411" s="123"/>
      <c r="U1411" s="1589"/>
      <c r="V1411" s="1958" t="s">
        <v>31</v>
      </c>
      <c r="W1411" s="818"/>
      <c r="X1411" s="819"/>
      <c r="Y1411" s="742"/>
      <c r="Z1411" s="737"/>
      <c r="AA1411" s="737"/>
      <c r="AB1411" s="425"/>
      <c r="AC1411" s="742">
        <v>1696.71</v>
      </c>
      <c r="AD1411" s="818"/>
      <c r="AE1411" s="818"/>
      <c r="AF1411" s="818"/>
      <c r="AG1411" s="818"/>
      <c r="AH1411" s="163"/>
      <c r="AK1411" s="820"/>
      <c r="BB1411" s="239">
        <f>(BD1411+BD1412+BD1413+BD1414)/(BE1411+BE1412+BE1413+BE1414)</f>
        <v>1.4643452588958223</v>
      </c>
      <c r="BC1411" s="3130" t="str">
        <f t="shared" si="152"/>
        <v>Cooling Res 6 Year EUL</v>
      </c>
      <c r="BD1411" s="673">
        <f>(INDEX('Avoided Cost Benefits'!$C$4:$C$857,MATCH(BC1411,'Avoided Cost Benefits'!$A$4:$A$857,0)))*F1411</f>
        <v>986.60999409345641</v>
      </c>
      <c r="BE1411" s="1949">
        <f t="shared" ref="BE1411:BE1414" si="156">K1411/(1.0595^(2020-2019))</f>
        <v>935.40354879240215</v>
      </c>
      <c r="BG1411" s="691"/>
      <c r="BH1411" s="821"/>
      <c r="BI1411" s="691"/>
    </row>
    <row r="1412" spans="1:61" s="1942" customFormat="1" x14ac:dyDescent="0.25">
      <c r="A1412" s="1267"/>
      <c r="B1412" s="123"/>
      <c r="C1412" s="2038" t="s">
        <v>1196</v>
      </c>
      <c r="D1412" s="2695" t="s">
        <v>320</v>
      </c>
      <c r="E1412" s="3007" t="s">
        <v>1197</v>
      </c>
      <c r="F1412" s="742">
        <f>0</f>
        <v>0</v>
      </c>
      <c r="G1412" s="2042" t="s">
        <v>1135</v>
      </c>
      <c r="H1412" s="2867">
        <f>VLOOKUP(G1412,'CP FACTORS'!$A$3:$B$38, 2, FALSE)</f>
        <v>0</v>
      </c>
      <c r="I1412" s="2757">
        <f t="shared" si="151"/>
        <v>0</v>
      </c>
      <c r="J1412" s="116">
        <f t="shared" si="154"/>
        <v>6</v>
      </c>
      <c r="K1412" s="3294">
        <f t="shared" si="155"/>
        <v>0</v>
      </c>
      <c r="L1412" s="3296"/>
      <c r="M1412" s="328"/>
      <c r="N1412" s="1587"/>
      <c r="O1412" s="1135"/>
      <c r="P1412" s="123"/>
      <c r="Q1412" s="123"/>
      <c r="R1412" s="1431"/>
      <c r="S1412" s="123"/>
      <c r="T1412" s="123"/>
      <c r="U1412" s="1589"/>
      <c r="V1412" s="1958" t="s">
        <v>31</v>
      </c>
      <c r="W1412" s="818"/>
      <c r="X1412" s="819"/>
      <c r="Y1412" s="742"/>
      <c r="Z1412" s="737"/>
      <c r="AA1412" s="737"/>
      <c r="AB1412" s="425"/>
      <c r="AC1412" s="742">
        <v>0</v>
      </c>
      <c r="AD1412" s="818"/>
      <c r="AE1412" s="818"/>
      <c r="AF1412" s="818"/>
      <c r="AG1412" s="818"/>
      <c r="AH1412" s="163"/>
      <c r="AK1412" s="820"/>
      <c r="BB1412" s="734"/>
      <c r="BC1412" s="3130" t="str">
        <f t="shared" si="152"/>
        <v>Heating Res 6 Year EUL</v>
      </c>
      <c r="BD1412" s="673">
        <f>(INDEX('Avoided Cost Benefits'!$C$4:$C$857,MATCH(BC1412,'Avoided Cost Benefits'!$A$4:$A$857,0)))*F1412</f>
        <v>0</v>
      </c>
      <c r="BE1412" s="1949">
        <f t="shared" si="156"/>
        <v>0</v>
      </c>
      <c r="BG1412" s="691"/>
      <c r="BH1412" s="821"/>
      <c r="BI1412" s="691"/>
    </row>
    <row r="1413" spans="1:61" s="1942" customFormat="1" x14ac:dyDescent="0.25">
      <c r="A1413" s="1267"/>
      <c r="B1413" s="123"/>
      <c r="C1413" s="2038" t="s">
        <v>1196</v>
      </c>
      <c r="D1413" s="2695" t="s">
        <v>320</v>
      </c>
      <c r="E1413" s="3007" t="s">
        <v>1198</v>
      </c>
      <c r="F1413" s="742">
        <f>ROUND(((K2552*K2739*(1/K2926-1/K3113)*K3300)/1000)*$K$3484,2)</f>
        <v>324.06</v>
      </c>
      <c r="G1413" s="3050" t="s">
        <v>1176</v>
      </c>
      <c r="H1413" s="2867">
        <f>VLOOKUP(G1413,'CP FACTORS'!$A$3:$B$38, 2, FALSE)</f>
        <v>9.4741810000000004E-4</v>
      </c>
      <c r="I1413" s="2757">
        <f t="shared" si="151"/>
        <v>0.30702000000000002</v>
      </c>
      <c r="J1413" s="116">
        <f t="shared" si="154"/>
        <v>12</v>
      </c>
      <c r="K1413" s="3294">
        <f t="shared" si="155"/>
        <v>0</v>
      </c>
      <c r="L1413" s="3296"/>
      <c r="M1413" s="328"/>
      <c r="N1413" s="1587"/>
      <c r="O1413" s="1135"/>
      <c r="P1413" s="123"/>
      <c r="Q1413" s="123"/>
      <c r="R1413" s="1431"/>
      <c r="S1413" s="123"/>
      <c r="T1413" s="123"/>
      <c r="U1413" s="1589"/>
      <c r="V1413" s="1958" t="s">
        <v>31</v>
      </c>
      <c r="W1413" s="818"/>
      <c r="X1413" s="819"/>
      <c r="Y1413" s="742"/>
      <c r="Z1413" s="737"/>
      <c r="AA1413" s="737"/>
      <c r="AB1413" s="425"/>
      <c r="AC1413" s="742">
        <v>324.06</v>
      </c>
      <c r="AD1413" s="818"/>
      <c r="AE1413" s="818"/>
      <c r="AF1413" s="818"/>
      <c r="AG1413" s="818"/>
      <c r="AH1413" s="163"/>
      <c r="AK1413" s="820"/>
      <c r="BB1413" s="734"/>
      <c r="BC1413" s="3130" t="str">
        <f t="shared" si="152"/>
        <v>Cooling Res ER2 12 Year EUL</v>
      </c>
      <c r="BD1413" s="673">
        <f>(INDEX('Avoided Cost Benefits'!$C$4:$C$857,MATCH(BC1413,'Avoided Cost Benefits'!$A$4:$A$857,0)))*F1413</f>
        <v>383.14375773502479</v>
      </c>
      <c r="BE1413" s="1949">
        <f t="shared" si="156"/>
        <v>0</v>
      </c>
      <c r="BG1413" s="691"/>
      <c r="BH1413" s="821"/>
      <c r="BI1413" s="691"/>
    </row>
    <row r="1414" spans="1:61" s="1942" customFormat="1" x14ac:dyDescent="0.25">
      <c r="A1414" s="1267"/>
      <c r="B1414" s="123"/>
      <c r="C1414" s="2038" t="s">
        <v>1196</v>
      </c>
      <c r="D1414" s="2695" t="s">
        <v>320</v>
      </c>
      <c r="E1414" s="3007" t="s">
        <v>1198</v>
      </c>
      <c r="F1414" s="742">
        <f>0</f>
        <v>0</v>
      </c>
      <c r="G1414" s="3050" t="s">
        <v>1195</v>
      </c>
      <c r="H1414" s="2867">
        <f>VLOOKUP(G1414,'CP FACTORS'!$A$3:$B$38, 2, FALSE)</f>
        <v>0</v>
      </c>
      <c r="I1414" s="2757">
        <f t="shared" si="151"/>
        <v>0</v>
      </c>
      <c r="J1414" s="116">
        <f t="shared" si="154"/>
        <v>12</v>
      </c>
      <c r="K1414" s="3294">
        <f t="shared" si="155"/>
        <v>0</v>
      </c>
      <c r="L1414" s="3296"/>
      <c r="M1414" s="328"/>
      <c r="N1414" s="1587"/>
      <c r="O1414" s="1135"/>
      <c r="P1414" s="123"/>
      <c r="Q1414" s="123"/>
      <c r="R1414" s="1431"/>
      <c r="S1414" s="123"/>
      <c r="T1414" s="123"/>
      <c r="U1414" s="1589"/>
      <c r="V1414" s="1958" t="s">
        <v>31</v>
      </c>
      <c r="W1414" s="818"/>
      <c r="X1414" s="819"/>
      <c r="Y1414" s="742"/>
      <c r="Z1414" s="737"/>
      <c r="AA1414" s="737"/>
      <c r="AB1414" s="425"/>
      <c r="AC1414" s="742">
        <v>0</v>
      </c>
      <c r="AD1414" s="818"/>
      <c r="AE1414" s="818"/>
      <c r="AF1414" s="818"/>
      <c r="AG1414" s="818"/>
      <c r="AH1414" s="163"/>
      <c r="AK1414" s="820"/>
      <c r="BB1414" s="734"/>
      <c r="BC1414" s="3130" t="str">
        <f t="shared" si="152"/>
        <v>Heating Res ER2 12 Year EUL</v>
      </c>
      <c r="BD1414" s="673">
        <f>(INDEX('Avoided Cost Benefits'!$C$4:$C$857,MATCH(BC1414,'Avoided Cost Benefits'!$A$4:$A$857,0)))*F1414</f>
        <v>0</v>
      </c>
      <c r="BE1414" s="1949">
        <f t="shared" si="156"/>
        <v>0</v>
      </c>
      <c r="BG1414" s="691"/>
      <c r="BH1414" s="821"/>
      <c r="BI1414" s="691"/>
    </row>
    <row r="1415" spans="1:61" s="51" customFormat="1" x14ac:dyDescent="0.25">
      <c r="A1415" s="1267" t="str">
        <f t="shared" si="150"/>
        <v>352350_2021_12_Cooling Res</v>
      </c>
      <c r="B1415" s="123"/>
      <c r="C1415" s="2038" t="s">
        <v>1200</v>
      </c>
      <c r="D1415" s="1553" t="s">
        <v>320</v>
      </c>
      <c r="E1415" s="2878" t="s">
        <v>1201</v>
      </c>
      <c r="F1415" s="742">
        <f>ROUND(((K2553*K2740*(1/K2927-1/K3114)*K3301)/1000)*$K$3484,2)</f>
        <v>1735.46</v>
      </c>
      <c r="G1415" s="214" t="s">
        <v>1134</v>
      </c>
      <c r="H1415" s="155">
        <f>VLOOKUP(G1415,'CP FACTORS'!$A$3:$B$38, 2, FALSE)</f>
        <v>9.4741810000000004E-4</v>
      </c>
      <c r="I1415" s="1554">
        <f t="shared" si="151"/>
        <v>1.6442060000000001</v>
      </c>
      <c r="J1415" s="108">
        <f t="shared" si="154"/>
        <v>6</v>
      </c>
      <c r="K1415" s="3294">
        <f t="shared" si="155"/>
        <v>1049.2929470045315</v>
      </c>
      <c r="L1415" s="1088">
        <f>L1805</f>
        <v>3.1233766233766236</v>
      </c>
      <c r="M1415" s="328"/>
      <c r="N1415" s="1587"/>
      <c r="O1415" s="1135"/>
      <c r="P1415" s="123"/>
      <c r="Q1415" s="123"/>
      <c r="R1415" s="1431"/>
      <c r="S1415" s="123"/>
      <c r="T1415" s="123"/>
      <c r="U1415" s="1589"/>
      <c r="V1415" s="1962" t="s">
        <v>31</v>
      </c>
      <c r="W1415" s="818">
        <v>2348.9856512141278</v>
      </c>
      <c r="X1415" s="819">
        <v>1720.2653061224485</v>
      </c>
      <c r="Y1415" s="742">
        <v>1647.18</v>
      </c>
      <c r="Z1415" s="737">
        <v>1647.18</v>
      </c>
      <c r="AA1415" s="737">
        <v>1647.18</v>
      </c>
      <c r="AB1415" s="425">
        <v>2190.89</v>
      </c>
      <c r="AC1415" s="742">
        <v>1735.46</v>
      </c>
      <c r="AD1415" s="818"/>
      <c r="AE1415" s="818"/>
      <c r="AF1415" s="818"/>
      <c r="AG1415" s="818"/>
      <c r="AH1415" s="163"/>
      <c r="AI1415" s="1942"/>
      <c r="AJ1415" s="1942"/>
      <c r="AK1415" s="820"/>
      <c r="AL1415" s="1942"/>
      <c r="AM1415" s="1942"/>
      <c r="AN1415" s="1942"/>
      <c r="AO1415" s="1942"/>
      <c r="AP1415" s="1942"/>
      <c r="AQ1415" s="1942"/>
      <c r="AR1415" s="1942"/>
      <c r="AS1415" s="1942"/>
      <c r="AT1415" s="1942"/>
      <c r="AU1415" s="1942"/>
      <c r="AV1415" s="1942"/>
      <c r="AW1415" s="1942"/>
      <c r="AX1415" s="1942"/>
      <c r="AY1415" s="1942"/>
      <c r="AZ1415" s="1942"/>
      <c r="BA1415" s="1942"/>
      <c r="BB1415" s="244">
        <f>(BD1415+BD1416+BD1417+BD1418)/(BE1415+BE1416+BE1417+BE1418)</f>
        <v>1.7370230636831316</v>
      </c>
      <c r="BC1415" s="3115" t="str">
        <f t="shared" si="152"/>
        <v>Cooling Res 6 Year EUL</v>
      </c>
      <c r="BD1415" s="673">
        <f>(INDEX('Avoided Cost Benefits'!$C$4:$C$857,MATCH(BC1415,'Avoided Cost Benefits'!$A$4:$A$857,0)))*F1415</f>
        <v>1009.142505407188</v>
      </c>
      <c r="BE1415" s="1949">
        <f t="shared" si="153"/>
        <v>990.3661604573208</v>
      </c>
      <c r="BF1415" s="1942"/>
      <c r="BG1415" s="691"/>
      <c r="BH1415" s="821"/>
      <c r="BI1415" s="691"/>
    </row>
    <row r="1416" spans="1:61" s="51" customFormat="1" x14ac:dyDescent="0.25">
      <c r="A1416" s="1267" t="str">
        <f t="shared" si="150"/>
        <v>352350_2021_12_Heating Res</v>
      </c>
      <c r="B1416" s="123"/>
      <c r="C1416" s="2038" t="s">
        <v>1200</v>
      </c>
      <c r="D1416" s="1553" t="s">
        <v>320</v>
      </c>
      <c r="E1416" s="3007" t="s">
        <v>1201</v>
      </c>
      <c r="F1416" s="742">
        <f>ROUND(((K1805*K1992*(1/K2179-1/K2366)*K3301)/1000)*$K$3484,2)</f>
        <v>2167.42</v>
      </c>
      <c r="G1416" s="214" t="s">
        <v>1135</v>
      </c>
      <c r="H1416" s="155">
        <f>VLOOKUP(G1416,'CP FACTORS'!$A$3:$B$38, 2, FALSE)</f>
        <v>0</v>
      </c>
      <c r="I1416" s="1554">
        <f t="shared" si="151"/>
        <v>0</v>
      </c>
      <c r="J1416" s="108">
        <f t="shared" si="154"/>
        <v>6</v>
      </c>
      <c r="K1416" s="1052">
        <f t="shared" si="155"/>
        <v>0</v>
      </c>
      <c r="L1416" s="1088"/>
      <c r="M1416" s="328"/>
      <c r="N1416" s="1587"/>
      <c r="O1416" s="1135"/>
      <c r="P1416" s="123"/>
      <c r="Q1416" s="123"/>
      <c r="R1416" s="1431"/>
      <c r="S1416" s="123"/>
      <c r="T1416" s="123"/>
      <c r="U1416" s="1589"/>
      <c r="V1416" s="1962" t="s">
        <v>31</v>
      </c>
      <c r="W1416" s="818">
        <v>5147.8078093306267</v>
      </c>
      <c r="X1416" s="819">
        <v>2027.0807587241729</v>
      </c>
      <c r="Y1416" s="742">
        <v>1982.47</v>
      </c>
      <c r="Z1416" s="737">
        <v>1982.47</v>
      </c>
      <c r="AA1416" s="737">
        <v>1982.47</v>
      </c>
      <c r="AB1416" s="425">
        <v>1893.17</v>
      </c>
      <c r="AC1416" s="742">
        <v>2167.42</v>
      </c>
      <c r="AD1416" s="818"/>
      <c r="AE1416" s="818"/>
      <c r="AF1416" s="818"/>
      <c r="AG1416" s="818"/>
      <c r="AH1416" s="163"/>
      <c r="AI1416" s="1942"/>
      <c r="AJ1416" s="1942"/>
      <c r="AK1416" s="820"/>
      <c r="AL1416" s="1942"/>
      <c r="AM1416" s="1942"/>
      <c r="AN1416" s="1942"/>
      <c r="AO1416" s="1942"/>
      <c r="AP1416" s="1942"/>
      <c r="AQ1416" s="1942"/>
      <c r="AR1416" s="1942"/>
      <c r="AS1416" s="1942"/>
      <c r="AT1416" s="1942"/>
      <c r="AU1416" s="1942"/>
      <c r="AV1416" s="1942"/>
      <c r="AW1416" s="1942"/>
      <c r="AX1416" s="1942"/>
      <c r="AY1416" s="1942"/>
      <c r="AZ1416" s="1942"/>
      <c r="BA1416" s="1942"/>
      <c r="BB1416" s="734"/>
      <c r="BC1416" s="3130" t="str">
        <f t="shared" si="152"/>
        <v>Heating Res 6 Year EUL</v>
      </c>
      <c r="BD1416" s="673">
        <f>(INDEX('Avoided Cost Benefits'!$C$4:$C$857,MATCH(BC1416,'Avoided Cost Benefits'!$A$4:$A$857,0)))*F1416</f>
        <v>360.51456371334626</v>
      </c>
      <c r="BE1416" s="1949">
        <f t="shared" si="153"/>
        <v>0</v>
      </c>
      <c r="BF1416" s="1942"/>
      <c r="BG1416" s="691"/>
      <c r="BH1416" s="821"/>
      <c r="BI1416" s="691"/>
    </row>
    <row r="1417" spans="1:61" s="51" customFormat="1" x14ac:dyDescent="0.25">
      <c r="A1417" s="1267" t="str">
        <f t="shared" si="150"/>
        <v>352350_2021_12_Cooling Res ER2</v>
      </c>
      <c r="B1417" s="123"/>
      <c r="C1417" s="2038" t="s">
        <v>1200</v>
      </c>
      <c r="D1417" s="1553" t="s">
        <v>320</v>
      </c>
      <c r="E1417" s="3007" t="s">
        <v>1202</v>
      </c>
      <c r="F1417" s="742">
        <f>ROUND(((K2554*K2741*(1/K2928-1/K3115)*K3302)/1000)*$K$3484,2)</f>
        <v>175.54</v>
      </c>
      <c r="G1417" s="1580" t="s">
        <v>1176</v>
      </c>
      <c r="H1417" s="155">
        <f>VLOOKUP(G1417,'CP FACTORS'!$A$3:$B$38, 2, FALSE)</f>
        <v>9.4741810000000004E-4</v>
      </c>
      <c r="I1417" s="1554">
        <f t="shared" si="151"/>
        <v>0.16631000000000001</v>
      </c>
      <c r="J1417" s="108">
        <f t="shared" si="154"/>
        <v>12</v>
      </c>
      <c r="K1417" s="1052">
        <f t="shared" si="155"/>
        <v>0</v>
      </c>
      <c r="L1417" s="1088"/>
      <c r="M1417" s="328"/>
      <c r="N1417" s="1587"/>
      <c r="O1417" s="1135"/>
      <c r="P1417" s="123"/>
      <c r="Q1417" s="123"/>
      <c r="R1417" s="1431"/>
      <c r="S1417" s="123"/>
      <c r="T1417" s="123"/>
      <c r="U1417" s="1589"/>
      <c r="V1417" s="1962" t="s">
        <v>31</v>
      </c>
      <c r="W1417" s="818">
        <v>168.20946073793726</v>
      </c>
      <c r="X1417" s="819">
        <v>168.83428571428527</v>
      </c>
      <c r="Y1417" s="742">
        <v>161.66</v>
      </c>
      <c r="Z1417" s="737">
        <v>161.66</v>
      </c>
      <c r="AA1417" s="737">
        <v>161.66</v>
      </c>
      <c r="AB1417" s="425">
        <v>171.72</v>
      </c>
      <c r="AC1417" s="742">
        <v>175.54</v>
      </c>
      <c r="AD1417" s="818"/>
      <c r="AE1417" s="818"/>
      <c r="AF1417" s="818"/>
      <c r="AG1417" s="818"/>
      <c r="AH1417" s="163"/>
      <c r="AI1417" s="1942"/>
      <c r="AJ1417" s="1942"/>
      <c r="AK1417" s="820"/>
      <c r="AL1417" s="1942"/>
      <c r="AM1417" s="1942"/>
      <c r="AN1417" s="1942"/>
      <c r="AO1417" s="1942"/>
      <c r="AP1417" s="1942"/>
      <c r="AQ1417" s="1942"/>
      <c r="AR1417" s="1942"/>
      <c r="AS1417" s="1942"/>
      <c r="AT1417" s="1942"/>
      <c r="AU1417" s="1942"/>
      <c r="AV1417" s="1942"/>
      <c r="AW1417" s="1942"/>
      <c r="AX1417" s="1942"/>
      <c r="AY1417" s="1942"/>
      <c r="AZ1417" s="1942"/>
      <c r="BA1417" s="1942"/>
      <c r="BB1417" s="734"/>
      <c r="BC1417" s="3130" t="str">
        <f t="shared" si="152"/>
        <v>Cooling Res ER2 12 Year EUL</v>
      </c>
      <c r="BD1417" s="673">
        <f>(INDEX('Avoided Cost Benefits'!$C$4:$C$857,MATCH(BC1417,'Avoided Cost Benefits'!$A$4:$A$857,0)))*F1417</f>
        <v>207.54506953282183</v>
      </c>
      <c r="BE1417" s="1949">
        <f t="shared" si="153"/>
        <v>0</v>
      </c>
      <c r="BF1417" s="1942"/>
      <c r="BG1417" s="691"/>
      <c r="BH1417" s="821"/>
      <c r="BI1417" s="691"/>
    </row>
    <row r="1418" spans="1:61" s="51" customFormat="1" x14ac:dyDescent="0.25">
      <c r="A1418" s="1267" t="str">
        <f t="shared" si="150"/>
        <v>352350_2021_12_Heating Res ER2</v>
      </c>
      <c r="B1418" s="123"/>
      <c r="C1418" s="2038" t="s">
        <v>1200</v>
      </c>
      <c r="D1418" s="1553" t="s">
        <v>320</v>
      </c>
      <c r="E1418" s="3005" t="s">
        <v>1202</v>
      </c>
      <c r="F1418" s="742">
        <f>ROUND(((K1806*K1993*(1/K2180-1/K2367)*K3302)/1000)*$K$3484,2)</f>
        <v>483.92</v>
      </c>
      <c r="G1418" s="1580" t="s">
        <v>1195</v>
      </c>
      <c r="H1418" s="155">
        <f>VLOOKUP(G1418,'CP FACTORS'!$A$3:$B$38, 2, FALSE)</f>
        <v>0</v>
      </c>
      <c r="I1418" s="1554">
        <f t="shared" si="151"/>
        <v>0</v>
      </c>
      <c r="J1418" s="108">
        <f t="shared" si="154"/>
        <v>12</v>
      </c>
      <c r="K1418" s="1052">
        <f t="shared" si="155"/>
        <v>0</v>
      </c>
      <c r="L1418" s="1088"/>
      <c r="M1418" s="328"/>
      <c r="N1418" s="1587"/>
      <c r="O1418" s="1135"/>
      <c r="P1418" s="123"/>
      <c r="Q1418" s="123"/>
      <c r="R1418" s="1431"/>
      <c r="S1418" s="123"/>
      <c r="T1418" s="123"/>
      <c r="U1418" s="1589"/>
      <c r="V1418" s="1962" t="s">
        <v>31</v>
      </c>
      <c r="W1418" s="818">
        <v>523.79310344827582</v>
      </c>
      <c r="X1418" s="819">
        <v>377.74325409076874</v>
      </c>
      <c r="Y1418" s="742">
        <v>403.2</v>
      </c>
      <c r="Z1418" s="737">
        <v>403.2</v>
      </c>
      <c r="AA1418" s="737">
        <v>403.2</v>
      </c>
      <c r="AB1418" s="425">
        <v>221.27</v>
      </c>
      <c r="AC1418" s="742">
        <v>483.92</v>
      </c>
      <c r="AD1418" s="818"/>
      <c r="AE1418" s="818"/>
      <c r="AF1418" s="818"/>
      <c r="AG1418" s="818"/>
      <c r="AH1418" s="163"/>
      <c r="AI1418" s="1942"/>
      <c r="AJ1418" s="1942"/>
      <c r="AK1418" s="820"/>
      <c r="AL1418" s="1942"/>
      <c r="AM1418" s="1942"/>
      <c r="AN1418" s="1942"/>
      <c r="AO1418" s="1942"/>
      <c r="AP1418" s="1942"/>
      <c r="AQ1418" s="1942"/>
      <c r="AR1418" s="1942"/>
      <c r="AS1418" s="1942"/>
      <c r="AT1418" s="1942"/>
      <c r="AU1418" s="1942"/>
      <c r="AV1418" s="1942"/>
      <c r="AW1418" s="1942"/>
      <c r="AX1418" s="1942"/>
      <c r="AY1418" s="1942"/>
      <c r="AZ1418" s="1942"/>
      <c r="BA1418" s="1942"/>
      <c r="BB1418" s="734"/>
      <c r="BC1418" s="3116" t="str">
        <f t="shared" si="152"/>
        <v>Heating Res ER2 12 Year EUL</v>
      </c>
      <c r="BD1418" s="673">
        <f>(INDEX('Avoided Cost Benefits'!$C$4:$C$857,MATCH(BC1418,'Avoided Cost Benefits'!$A$4:$A$857,0)))*F1418</f>
        <v>143.08672355231917</v>
      </c>
      <c r="BE1418" s="1949">
        <f t="shared" si="153"/>
        <v>0</v>
      </c>
      <c r="BF1418" s="1942"/>
      <c r="BG1418" s="691"/>
      <c r="BH1418" s="821"/>
      <c r="BI1418" s="691"/>
    </row>
    <row r="1419" spans="1:61" s="51" customFormat="1" x14ac:dyDescent="0.25">
      <c r="A1419" s="1267" t="str">
        <f t="shared" si="150"/>
        <v>352400_2021_12_Cooling Res</v>
      </c>
      <c r="B1419" s="123"/>
      <c r="C1419" s="2038" t="s">
        <v>1204</v>
      </c>
      <c r="D1419" s="1553" t="s">
        <v>320</v>
      </c>
      <c r="E1419" s="2965" t="s">
        <v>1205</v>
      </c>
      <c r="F1419" s="742">
        <f>ROUND(((K2555*K2742*(1/K2929-1/K3116)*K3303)/1000)*$K$3484,2)</f>
        <v>349.89</v>
      </c>
      <c r="G1419" s="214" t="s">
        <v>1134</v>
      </c>
      <c r="H1419" s="155">
        <f>VLOOKUP(G1419,'CP FACTORS'!$A$3:$B$38, 2, FALSE)</f>
        <v>9.4741810000000004E-4</v>
      </c>
      <c r="I1419" s="1554">
        <f t="shared" si="151"/>
        <v>0.33149200000000001</v>
      </c>
      <c r="J1419" s="108">
        <f t="shared" si="154"/>
        <v>18</v>
      </c>
      <c r="K1419" s="1052">
        <f t="shared" si="155"/>
        <v>303</v>
      </c>
      <c r="L1419" s="1088">
        <f>L1807</f>
        <v>3.087301587301587</v>
      </c>
      <c r="M1419" s="328"/>
      <c r="N1419" s="1587"/>
      <c r="O1419" s="1135"/>
      <c r="P1419" s="123"/>
      <c r="Q1419" s="123"/>
      <c r="R1419" s="1431"/>
      <c r="S1419" s="123"/>
      <c r="T1419" s="123"/>
      <c r="U1419" s="1589"/>
      <c r="V1419" s="1962" t="s">
        <v>31</v>
      </c>
      <c r="W1419" s="818">
        <v>301.86315789473701</v>
      </c>
      <c r="X1419" s="819">
        <v>344.16219780219757</v>
      </c>
      <c r="Y1419" s="742">
        <v>320.36</v>
      </c>
      <c r="Z1419" s="737">
        <v>320.36</v>
      </c>
      <c r="AA1419" s="737">
        <v>320.36</v>
      </c>
      <c r="AB1419" s="425">
        <v>345.06</v>
      </c>
      <c r="AC1419" s="742">
        <v>349.89</v>
      </c>
      <c r="AD1419" s="818"/>
      <c r="AE1419" s="818"/>
      <c r="AF1419" s="818"/>
      <c r="AG1419" s="818"/>
      <c r="AH1419" s="163"/>
      <c r="AI1419" s="1942"/>
      <c r="AJ1419" s="1942"/>
      <c r="AK1419" s="820"/>
      <c r="AL1419" s="1942"/>
      <c r="AM1419" s="1942"/>
      <c r="AN1419" s="1942"/>
      <c r="AO1419" s="1942"/>
      <c r="AP1419" s="1942"/>
      <c r="AQ1419" s="1942"/>
      <c r="AR1419" s="1942"/>
      <c r="AS1419" s="1942"/>
      <c r="AT1419" s="1942"/>
      <c r="AU1419" s="1942"/>
      <c r="AV1419" s="1942"/>
      <c r="AW1419" s="1942"/>
      <c r="AX1419" s="1942"/>
      <c r="AY1419" s="1942"/>
      <c r="AZ1419" s="1942"/>
      <c r="BA1419" s="1942"/>
      <c r="BB1419" s="244">
        <f>(BD1419+BD1420)/(BE1419+BE1420)</f>
        <v>18.25533118864583</v>
      </c>
      <c r="BC1419" s="710" t="str">
        <f t="shared" si="152"/>
        <v>Cooling Res 18 Year EUL</v>
      </c>
      <c r="BD1419" s="673">
        <f>(INDEX('Avoided Cost Benefits'!$C$4:$C$857,MATCH(BC1419,'Avoided Cost Benefits'!$A$4:$A$857,0)))*F1419</f>
        <v>617.13866785409118</v>
      </c>
      <c r="BE1419" s="1949">
        <f t="shared" si="153"/>
        <v>285.98395469561109</v>
      </c>
      <c r="BF1419" s="1942"/>
      <c r="BG1419" s="691"/>
      <c r="BH1419" s="821"/>
      <c r="BI1419" s="691"/>
    </row>
    <row r="1420" spans="1:61" s="51" customFormat="1" x14ac:dyDescent="0.25">
      <c r="A1420" s="1267" t="str">
        <f t="shared" si="150"/>
        <v>352400_2021_12_Heating Res</v>
      </c>
      <c r="B1420" s="123"/>
      <c r="C1420" s="2038" t="s">
        <v>1204</v>
      </c>
      <c r="D1420" s="1553" t="s">
        <v>320</v>
      </c>
      <c r="E1420" s="3008" t="s">
        <v>1205</v>
      </c>
      <c r="F1420" s="742">
        <f>ROUND(((K1807*K1994*(1/K2181-1/K2368)*K3303)/1000)*$K$3484,2)</f>
        <v>9964.14</v>
      </c>
      <c r="G1420" s="214" t="s">
        <v>1135</v>
      </c>
      <c r="H1420" s="155">
        <f>VLOOKUP(G1420,'CP FACTORS'!$A$3:$B$38, 2, FALSE)</f>
        <v>0</v>
      </c>
      <c r="I1420" s="1554">
        <f t="shared" si="151"/>
        <v>0</v>
      </c>
      <c r="J1420" s="108">
        <f t="shared" si="154"/>
        <v>18</v>
      </c>
      <c r="K1420" s="1052">
        <f t="shared" si="155"/>
        <v>0</v>
      </c>
      <c r="L1420" s="1088"/>
      <c r="M1420" s="328"/>
      <c r="N1420" s="1587"/>
      <c r="O1420" s="1135"/>
      <c r="P1420" s="123"/>
      <c r="Q1420" s="123"/>
      <c r="R1420" s="1431"/>
      <c r="S1420" s="123"/>
      <c r="T1420" s="123"/>
      <c r="U1420" s="1589"/>
      <c r="V1420" s="1962" t="s">
        <v>31</v>
      </c>
      <c r="W1420" s="818">
        <v>11093.001159380752</v>
      </c>
      <c r="X1420" s="819">
        <v>9788.00163331972</v>
      </c>
      <c r="Y1420" s="742">
        <v>9127.7999999999993</v>
      </c>
      <c r="Z1420" s="737">
        <v>9127.7999999999993</v>
      </c>
      <c r="AA1420" s="737">
        <v>9127.7999999999993</v>
      </c>
      <c r="AB1420" s="425">
        <v>9372.23</v>
      </c>
      <c r="AC1420" s="742">
        <v>9964.14</v>
      </c>
      <c r="AD1420" s="818"/>
      <c r="AE1420" s="818"/>
      <c r="AF1420" s="818"/>
      <c r="AG1420" s="818"/>
      <c r="AH1420" s="163"/>
      <c r="AI1420" s="1942"/>
      <c r="AJ1420" s="1942"/>
      <c r="AK1420" s="820"/>
      <c r="AL1420" s="1942"/>
      <c r="AM1420" s="1942"/>
      <c r="AN1420" s="1942"/>
      <c r="AO1420" s="1942"/>
      <c r="AP1420" s="1942"/>
      <c r="AQ1420" s="1942"/>
      <c r="AR1420" s="1942"/>
      <c r="AS1420" s="1942"/>
      <c r="AT1420" s="1942"/>
      <c r="AU1420" s="1942"/>
      <c r="AV1420" s="1942"/>
      <c r="AW1420" s="1942"/>
      <c r="AX1420" s="1942"/>
      <c r="AY1420" s="1942"/>
      <c r="AZ1420" s="1942"/>
      <c r="BA1420" s="1942"/>
      <c r="BB1420" s="242"/>
      <c r="BC1420" s="822" t="str">
        <f t="shared" si="152"/>
        <v>Heating Res 18 Year EUL</v>
      </c>
      <c r="BD1420" s="673">
        <f>(INDEX('Avoided Cost Benefits'!$C$4:$C$857,MATCH(BC1420,'Avoided Cost Benefits'!$A$4:$A$857,0)))*F1420</f>
        <v>4603.5931397529739</v>
      </c>
      <c r="BE1420" s="1949">
        <f t="shared" si="153"/>
        <v>0</v>
      </c>
      <c r="BF1420" s="1942"/>
      <c r="BG1420" s="691"/>
      <c r="BH1420" s="821"/>
      <c r="BI1420" s="691"/>
    </row>
    <row r="1421" spans="1:61" s="1942" customFormat="1" x14ac:dyDescent="0.25">
      <c r="A1421" s="1267"/>
      <c r="B1421" s="123"/>
      <c r="C1421" s="2038" t="s">
        <v>1206</v>
      </c>
      <c r="D1421" s="2695" t="s">
        <v>320</v>
      </c>
      <c r="E1421" s="3048" t="s">
        <v>1207</v>
      </c>
      <c r="F1421" s="742">
        <f>ROUND(((K2556*K2743*(1/K2930-1/K3117)*K3304)/1000)*$K$3484,2)</f>
        <v>349.89</v>
      </c>
      <c r="G1421" s="2042" t="s">
        <v>1134</v>
      </c>
      <c r="H1421" s="2867">
        <f>VLOOKUP(G1421,'CP FACTORS'!$A$3:$B$38, 2, FALSE)</f>
        <v>9.4741810000000004E-4</v>
      </c>
      <c r="I1421" s="2757">
        <f t="shared" si="151"/>
        <v>0.33149200000000001</v>
      </c>
      <c r="J1421" s="116">
        <f t="shared" si="154"/>
        <v>18</v>
      </c>
      <c r="K1421" s="3294">
        <f t="shared" si="155"/>
        <v>303</v>
      </c>
      <c r="L1421" s="3296">
        <f>L1808</f>
        <v>3.087301587301587</v>
      </c>
      <c r="M1421" s="328"/>
      <c r="N1421" s="1587"/>
      <c r="O1421" s="1135"/>
      <c r="P1421" s="123"/>
      <c r="Q1421" s="123"/>
      <c r="R1421" s="1431"/>
      <c r="S1421" s="123"/>
      <c r="T1421" s="123"/>
      <c r="U1421" s="1589"/>
      <c r="V1421" s="1958" t="s">
        <v>31</v>
      </c>
      <c r="W1421" s="818"/>
      <c r="X1421" s="819"/>
      <c r="Y1421" s="742"/>
      <c r="Z1421" s="737"/>
      <c r="AA1421" s="737"/>
      <c r="AB1421" s="425"/>
      <c r="AC1421" s="742">
        <v>349.89</v>
      </c>
      <c r="AD1421" s="818"/>
      <c r="AE1421" s="818"/>
      <c r="AF1421" s="818"/>
      <c r="AG1421" s="818"/>
      <c r="AH1421" s="163"/>
      <c r="AK1421" s="820"/>
      <c r="BB1421" s="244">
        <f>(BD1421+BD1422)/(BE1421+BE1422)</f>
        <v>2.1579485762092729</v>
      </c>
      <c r="BC1421" s="3049" t="str">
        <f t="shared" si="152"/>
        <v>Cooling Res 18 Year EUL</v>
      </c>
      <c r="BD1421" s="673">
        <f>(INDEX('Avoided Cost Benefits'!$C$4:$C$857,MATCH(BC1421,'Avoided Cost Benefits'!$A$4:$A$857,0)))*F1421</f>
        <v>617.13866785409118</v>
      </c>
      <c r="BE1421" s="1949">
        <f t="shared" ref="BE1421:BE1484" si="157">K1421/(1.0595^(2020-2019))</f>
        <v>285.98395469561109</v>
      </c>
      <c r="BG1421" s="691"/>
      <c r="BH1421" s="821"/>
      <c r="BI1421" s="691"/>
    </row>
    <row r="1422" spans="1:61" s="1942" customFormat="1" x14ac:dyDescent="0.25">
      <c r="A1422" s="1267"/>
      <c r="B1422" s="123"/>
      <c r="C1422" s="2038" t="s">
        <v>1206</v>
      </c>
      <c r="D1422" s="2695" t="s">
        <v>320</v>
      </c>
      <c r="E1422" s="3048" t="s">
        <v>1207</v>
      </c>
      <c r="F1422" s="742">
        <f>0</f>
        <v>0</v>
      </c>
      <c r="G1422" s="2042" t="s">
        <v>1135</v>
      </c>
      <c r="H1422" s="2867">
        <f>VLOOKUP(G1422,'CP FACTORS'!$A$3:$B$38, 2, FALSE)</f>
        <v>0</v>
      </c>
      <c r="I1422" s="2757">
        <f t="shared" si="151"/>
        <v>0</v>
      </c>
      <c r="J1422" s="116">
        <f t="shared" si="154"/>
        <v>18</v>
      </c>
      <c r="K1422" s="3294">
        <f t="shared" si="155"/>
        <v>0</v>
      </c>
      <c r="L1422" s="3296"/>
      <c r="M1422" s="328"/>
      <c r="N1422" s="1587"/>
      <c r="O1422" s="1135"/>
      <c r="P1422" s="123"/>
      <c r="Q1422" s="123"/>
      <c r="R1422" s="1431"/>
      <c r="S1422" s="123"/>
      <c r="T1422" s="123"/>
      <c r="U1422" s="1589"/>
      <c r="V1422" s="1958" t="s">
        <v>31</v>
      </c>
      <c r="W1422" s="818"/>
      <c r="X1422" s="819"/>
      <c r="Y1422" s="742"/>
      <c r="Z1422" s="737"/>
      <c r="AA1422" s="737"/>
      <c r="AB1422" s="425"/>
      <c r="AC1422" s="742">
        <v>0</v>
      </c>
      <c r="AD1422" s="818"/>
      <c r="AE1422" s="818"/>
      <c r="AF1422" s="818"/>
      <c r="AG1422" s="818"/>
      <c r="AH1422" s="163"/>
      <c r="AK1422" s="820"/>
      <c r="BB1422" s="242"/>
      <c r="BC1422" s="3049" t="str">
        <f t="shared" si="152"/>
        <v>Heating Res 18 Year EUL</v>
      </c>
      <c r="BD1422" s="673">
        <f>(INDEX('Avoided Cost Benefits'!$C$4:$C$857,MATCH(BC1422,'Avoided Cost Benefits'!$A$4:$A$857,0)))*F1422</f>
        <v>0</v>
      </c>
      <c r="BE1422" s="1949">
        <f t="shared" si="157"/>
        <v>0</v>
      </c>
      <c r="BG1422" s="691"/>
      <c r="BH1422" s="821"/>
      <c r="BI1422" s="691"/>
    </row>
    <row r="1423" spans="1:61" s="51" customFormat="1" x14ac:dyDescent="0.25">
      <c r="A1423" s="1267" t="str">
        <f t="shared" si="150"/>
        <v>352450_2021_12_Cooling Res</v>
      </c>
      <c r="B1423" s="123"/>
      <c r="C1423" s="2038" t="s">
        <v>1209</v>
      </c>
      <c r="D1423" s="1553" t="s">
        <v>320</v>
      </c>
      <c r="E1423" s="2965" t="s">
        <v>1210</v>
      </c>
      <c r="F1423" s="742">
        <f>ROUND(((K2557*K2744*(1/K2931-1/K3118)*K3305)/1000)*$K$3484,2)</f>
        <v>159.12</v>
      </c>
      <c r="G1423" s="214" t="s">
        <v>1134</v>
      </c>
      <c r="H1423" s="155">
        <f>VLOOKUP(G1423,'CP FACTORS'!$A$3:$B$38, 2, FALSE)</f>
        <v>9.4741810000000004E-4</v>
      </c>
      <c r="I1423" s="1554">
        <f t="shared" si="151"/>
        <v>0.150753</v>
      </c>
      <c r="J1423" s="108">
        <f t="shared" si="154"/>
        <v>18</v>
      </c>
      <c r="K1423" s="1052">
        <f t="shared" si="155"/>
        <v>303</v>
      </c>
      <c r="L1423" s="1088">
        <f>L1809</f>
        <v>2.9910714285714279</v>
      </c>
      <c r="M1423" s="328"/>
      <c r="N1423" s="1587"/>
      <c r="O1423" s="1135"/>
      <c r="P1423" s="123"/>
      <c r="Q1423" s="123"/>
      <c r="R1423" s="1431"/>
      <c r="S1423" s="123"/>
      <c r="T1423" s="123"/>
      <c r="U1423" s="1589"/>
      <c r="V1423" s="1962" t="s">
        <v>31</v>
      </c>
      <c r="W1423" s="818">
        <v>168.20946073793726</v>
      </c>
      <c r="X1423" s="819">
        <v>168.83428571428527</v>
      </c>
      <c r="Y1423" s="742">
        <v>166.02</v>
      </c>
      <c r="Z1423" s="737">
        <v>166.02</v>
      </c>
      <c r="AA1423" s="737">
        <v>166.02</v>
      </c>
      <c r="AB1423" s="2162">
        <v>166.02</v>
      </c>
      <c r="AC1423" s="742">
        <v>159.12</v>
      </c>
      <c r="AD1423" s="818"/>
      <c r="AE1423" s="818"/>
      <c r="AF1423" s="818"/>
      <c r="AG1423" s="818"/>
      <c r="AH1423" s="163"/>
      <c r="AI1423" s="1942"/>
      <c r="AJ1423" s="1942"/>
      <c r="AK1423" s="820"/>
      <c r="AL1423" s="1942"/>
      <c r="AM1423" s="1942"/>
      <c r="AN1423" s="1942"/>
      <c r="AO1423" s="1942"/>
      <c r="AP1423" s="1942"/>
      <c r="AQ1423" s="1942"/>
      <c r="AR1423" s="1942"/>
      <c r="AS1423" s="1942"/>
      <c r="AT1423" s="1942"/>
      <c r="AU1423" s="1942"/>
      <c r="AV1423" s="1942"/>
      <c r="AW1423" s="1942"/>
      <c r="AX1423" s="1942"/>
      <c r="AY1423" s="1942"/>
      <c r="AZ1423" s="1942"/>
      <c r="BA1423" s="1942"/>
      <c r="BB1423" s="244">
        <f>(BD1423+BD1424)/(BE1423+BE1424)</f>
        <v>1.5348869322922503</v>
      </c>
      <c r="BC1423" s="710" t="str">
        <f t="shared" si="152"/>
        <v>Cooling Res 18 Year EUL</v>
      </c>
      <c r="BD1423" s="673">
        <f>(INDEX('Avoided Cost Benefits'!$C$4:$C$857,MATCH(BC1423,'Avoided Cost Benefits'!$A$4:$A$857,0)))*F1423</f>
        <v>280.65707744989277</v>
      </c>
      <c r="BE1423" s="1949">
        <f t="shared" si="157"/>
        <v>285.98395469561109</v>
      </c>
      <c r="BF1423" s="1942"/>
      <c r="BG1423" s="691"/>
      <c r="BH1423" s="821"/>
      <c r="BI1423" s="691"/>
    </row>
    <row r="1424" spans="1:61" s="51" customFormat="1" x14ac:dyDescent="0.25">
      <c r="A1424" s="1267" t="str">
        <f t="shared" si="150"/>
        <v>352450_2021_12_Heating Res</v>
      </c>
      <c r="B1424" s="123"/>
      <c r="C1424" s="2038" t="s">
        <v>1209</v>
      </c>
      <c r="D1424" s="1553" t="s">
        <v>320</v>
      </c>
      <c r="E1424" s="3008" t="s">
        <v>1210</v>
      </c>
      <c r="F1424" s="742">
        <f>ROUND(((K1809*K1996*(1/K2183-1/K2370)*K3305)/1000)*$K$3484,2)</f>
        <v>342.62</v>
      </c>
      <c r="G1424" s="214" t="s">
        <v>1135</v>
      </c>
      <c r="H1424" s="155">
        <f>VLOOKUP(G1424,'CP FACTORS'!$A$3:$B$38, 2, FALSE)</f>
        <v>0</v>
      </c>
      <c r="I1424" s="1554">
        <f t="shared" si="151"/>
        <v>0</v>
      </c>
      <c r="J1424" s="108">
        <f t="shared" si="154"/>
        <v>18</v>
      </c>
      <c r="K1424" s="1052">
        <f t="shared" si="155"/>
        <v>0</v>
      </c>
      <c r="L1424" s="1088"/>
      <c r="M1424" s="328"/>
      <c r="N1424" s="1587"/>
      <c r="O1424" s="1135"/>
      <c r="P1424" s="123"/>
      <c r="Q1424" s="123"/>
      <c r="R1424" s="1431"/>
      <c r="S1424" s="123"/>
      <c r="T1424" s="123"/>
      <c r="U1424" s="1589"/>
      <c r="V1424" s="1962" t="s">
        <v>31</v>
      </c>
      <c r="W1424" s="818">
        <v>523.79310344827582</v>
      </c>
      <c r="X1424" s="819">
        <v>377.74325409076874</v>
      </c>
      <c r="Y1424" s="742">
        <v>363.62</v>
      </c>
      <c r="Z1424" s="737">
        <v>363.62</v>
      </c>
      <c r="AA1424" s="737">
        <v>363.62</v>
      </c>
      <c r="AB1424" s="2162">
        <v>363.62</v>
      </c>
      <c r="AC1424" s="742">
        <v>342.62</v>
      </c>
      <c r="AD1424" s="818"/>
      <c r="AE1424" s="818"/>
      <c r="AF1424" s="818"/>
      <c r="AG1424" s="818"/>
      <c r="AH1424" s="163"/>
      <c r="AI1424" s="1942"/>
      <c r="AJ1424" s="1942"/>
      <c r="AK1424" s="820"/>
      <c r="AL1424" s="1942"/>
      <c r="AM1424" s="1942"/>
      <c r="AN1424" s="1942"/>
      <c r="AO1424" s="1942"/>
      <c r="AP1424" s="1942"/>
      <c r="AQ1424" s="1942"/>
      <c r="AR1424" s="1942"/>
      <c r="AS1424" s="1942"/>
      <c r="AT1424" s="1942"/>
      <c r="AU1424" s="1942"/>
      <c r="AV1424" s="1942"/>
      <c r="AW1424" s="1942"/>
      <c r="AX1424" s="1942"/>
      <c r="AY1424" s="1942"/>
      <c r="AZ1424" s="1942"/>
      <c r="BA1424" s="1942"/>
      <c r="BB1424" s="242"/>
      <c r="BC1424" s="822" t="str">
        <f t="shared" si="152"/>
        <v>Heating Res 18 Year EUL</v>
      </c>
      <c r="BD1424" s="673">
        <f>(INDEX('Avoided Cost Benefits'!$C$4:$C$857,MATCH(BC1424,'Avoided Cost Benefits'!$A$4:$A$857,0)))*F1424</f>
        <v>158.2959574576596</v>
      </c>
      <c r="BE1424" s="1949">
        <f t="shared" si="157"/>
        <v>0</v>
      </c>
      <c r="BF1424" s="1942"/>
      <c r="BG1424" s="691"/>
      <c r="BH1424" s="821"/>
      <c r="BI1424" s="691"/>
    </row>
    <row r="1425" spans="1:61" s="51" customFormat="1" x14ac:dyDescent="0.25">
      <c r="A1425" s="1267" t="str">
        <f t="shared" si="150"/>
        <v>352500_2021_12_Cooling Res</v>
      </c>
      <c r="B1425" s="123"/>
      <c r="C1425" s="2038" t="s">
        <v>1212</v>
      </c>
      <c r="D1425" s="1553" t="s">
        <v>320</v>
      </c>
      <c r="E1425" s="2878" t="s">
        <v>1213</v>
      </c>
      <c r="F1425" s="742">
        <f>ROUND(((K2558*K2745*(1/K2932-1/K3119)*K3306)/1000)*$K$3484,2)</f>
        <v>1835.16</v>
      </c>
      <c r="G1425" s="214" t="s">
        <v>1134</v>
      </c>
      <c r="H1425" s="155">
        <f>VLOOKUP(G1425,'CP FACTORS'!$A$3:$B$38, 2, FALSE)</f>
        <v>9.4741810000000004E-4</v>
      </c>
      <c r="I1425" s="1554">
        <f t="shared" si="151"/>
        <v>1.738664</v>
      </c>
      <c r="J1425" s="108">
        <f t="shared" si="154"/>
        <v>6</v>
      </c>
      <c r="K1425" s="3294">
        <f t="shared" si="155"/>
        <v>1136.2940995261133</v>
      </c>
      <c r="L1425" s="1088">
        <f>L1810</f>
        <v>2.9224924012158056</v>
      </c>
      <c r="M1425" s="328"/>
      <c r="N1425" s="1587"/>
      <c r="O1425" s="1135"/>
      <c r="P1425" s="123"/>
      <c r="Q1425" s="123"/>
      <c r="R1425" s="1431"/>
      <c r="S1425" s="123"/>
      <c r="T1425" s="123"/>
      <c r="U1425" s="1589"/>
      <c r="V1425" s="1962" t="s">
        <v>31</v>
      </c>
      <c r="W1425" s="818">
        <v>2733.5161764705886</v>
      </c>
      <c r="X1425" s="819">
        <v>1836.3388775510205</v>
      </c>
      <c r="Y1425" s="742">
        <v>1908.35</v>
      </c>
      <c r="Z1425" s="737">
        <v>1908.35</v>
      </c>
      <c r="AA1425" s="737">
        <v>1908.35</v>
      </c>
      <c r="AB1425" s="425">
        <v>2277.63</v>
      </c>
      <c r="AC1425" s="742">
        <v>1835.16</v>
      </c>
      <c r="AD1425" s="818"/>
      <c r="AE1425" s="818"/>
      <c r="AF1425" s="818"/>
      <c r="AG1425" s="818"/>
      <c r="AH1425" s="163"/>
      <c r="AI1425" s="1942"/>
      <c r="AJ1425" s="1942"/>
      <c r="AK1425" s="820"/>
      <c r="AL1425" s="1942"/>
      <c r="AM1425" s="1942"/>
      <c r="AN1425" s="1942"/>
      <c r="AO1425" s="1942"/>
      <c r="AP1425" s="1942"/>
      <c r="AQ1425" s="1942"/>
      <c r="AR1425" s="1942"/>
      <c r="AS1425" s="1942"/>
      <c r="AT1425" s="1942"/>
      <c r="AU1425" s="1942"/>
      <c r="AV1425" s="1942"/>
      <c r="AW1425" s="1942"/>
      <c r="AX1425" s="1942"/>
      <c r="AY1425" s="1942"/>
      <c r="AZ1425" s="1942"/>
      <c r="BA1425" s="1942"/>
      <c r="BB1425" s="244">
        <f>(BD1425+BD1426+BD1427+BD1428)/(BE1425+BE1426+BE1427+BE1428)</f>
        <v>5.6176374972701772</v>
      </c>
      <c r="BC1425" s="3115" t="str">
        <f t="shared" si="152"/>
        <v>Cooling Res 6 Year EUL</v>
      </c>
      <c r="BD1425" s="673">
        <f>(INDEX('Avoided Cost Benefits'!$C$4:$C$857,MATCH(BC1425,'Avoided Cost Benefits'!$A$4:$A$857,0)))*F1425</f>
        <v>1067.1164764518082</v>
      </c>
      <c r="BE1425" s="1949">
        <f t="shared" si="157"/>
        <v>1072.4814530685353</v>
      </c>
      <c r="BF1425" s="1942"/>
      <c r="BG1425" s="691"/>
      <c r="BH1425" s="821"/>
      <c r="BI1425" s="691"/>
    </row>
    <row r="1426" spans="1:61" s="51" customFormat="1" x14ac:dyDescent="0.25">
      <c r="A1426" s="1267" t="str">
        <f t="shared" si="150"/>
        <v>352500_2021_12_Heating Res</v>
      </c>
      <c r="B1426" s="123"/>
      <c r="C1426" s="2038" t="s">
        <v>1212</v>
      </c>
      <c r="D1426" s="1553" t="s">
        <v>320</v>
      </c>
      <c r="E1426" s="3007" t="s">
        <v>1213</v>
      </c>
      <c r="F1426" s="742">
        <f>ROUND(((K1810*K1997*(1/K2184-1/K2371)*K3306)/1000)*$K$3484,2)</f>
        <v>9585.06</v>
      </c>
      <c r="G1426" s="214" t="s">
        <v>1135</v>
      </c>
      <c r="H1426" s="155">
        <f>VLOOKUP(G1426,'CP FACTORS'!$A$3:$B$38, 2, FALSE)</f>
        <v>0</v>
      </c>
      <c r="I1426" s="1554">
        <f t="shared" si="151"/>
        <v>0</v>
      </c>
      <c r="J1426" s="108">
        <f t="shared" si="154"/>
        <v>6</v>
      </c>
      <c r="K1426" s="1052">
        <f t="shared" si="155"/>
        <v>0</v>
      </c>
      <c r="L1426" s="1088"/>
      <c r="M1426" s="328"/>
      <c r="N1426" s="1587"/>
      <c r="O1426" s="1135"/>
      <c r="P1426" s="123"/>
      <c r="Q1426" s="123"/>
      <c r="R1426" s="1431"/>
      <c r="S1426" s="123"/>
      <c r="T1426" s="123"/>
      <c r="U1426" s="1589"/>
      <c r="V1426" s="1962" t="s">
        <v>31</v>
      </c>
      <c r="W1426" s="818">
        <v>13965.852998065762</v>
      </c>
      <c r="X1426" s="819">
        <v>9788.00163331972</v>
      </c>
      <c r="Y1426" s="742">
        <v>10635.56</v>
      </c>
      <c r="Z1426" s="737">
        <v>10635.56</v>
      </c>
      <c r="AA1426" s="737">
        <v>10635.56</v>
      </c>
      <c r="AB1426" s="425">
        <v>9240.1</v>
      </c>
      <c r="AC1426" s="742">
        <v>9585.06</v>
      </c>
      <c r="AD1426" s="818"/>
      <c r="AE1426" s="818"/>
      <c r="AF1426" s="818"/>
      <c r="AG1426" s="818"/>
      <c r="AH1426" s="163"/>
      <c r="AI1426" s="1942"/>
      <c r="AJ1426" s="1942"/>
      <c r="AK1426" s="820"/>
      <c r="AL1426" s="1942"/>
      <c r="AM1426" s="1942"/>
      <c r="AN1426" s="1942"/>
      <c r="AO1426" s="1942"/>
      <c r="AP1426" s="1942"/>
      <c r="AQ1426" s="1942"/>
      <c r="AR1426" s="1942"/>
      <c r="AS1426" s="1942"/>
      <c r="AT1426" s="1942"/>
      <c r="AU1426" s="1942"/>
      <c r="AV1426" s="1942"/>
      <c r="AW1426" s="1942"/>
      <c r="AX1426" s="1942"/>
      <c r="AY1426" s="1942"/>
      <c r="AZ1426" s="1942"/>
      <c r="BA1426" s="1942"/>
      <c r="BB1426" s="734"/>
      <c r="BC1426" s="3130" t="str">
        <f t="shared" si="152"/>
        <v>Heating Res 6 Year EUL</v>
      </c>
      <c r="BD1426" s="673">
        <f>(INDEX('Avoided Cost Benefits'!$C$4:$C$857,MATCH(BC1426,'Avoided Cost Benefits'!$A$4:$A$857,0)))*F1426</f>
        <v>1594.3166179449513</v>
      </c>
      <c r="BE1426" s="1949">
        <f t="shared" si="157"/>
        <v>0</v>
      </c>
      <c r="BF1426" s="1942"/>
      <c r="BG1426" s="691"/>
      <c r="BH1426" s="821"/>
      <c r="BI1426" s="691"/>
    </row>
    <row r="1427" spans="1:61" s="51" customFormat="1" x14ac:dyDescent="0.25">
      <c r="A1427" s="1267" t="str">
        <f t="shared" si="150"/>
        <v>352500_2021_12_Cooling Res ER2</v>
      </c>
      <c r="B1427" s="123"/>
      <c r="C1427" s="2038" t="s">
        <v>1212</v>
      </c>
      <c r="D1427" s="1553" t="s">
        <v>320</v>
      </c>
      <c r="E1427" s="3007" t="s">
        <v>1214</v>
      </c>
      <c r="F1427" s="742">
        <f>ROUND(((K2559*K2746*(1/K2933-1/K3120)*K3307)/1000)*$K$3484,2)</f>
        <v>447.63</v>
      </c>
      <c r="G1427" s="1580" t="s">
        <v>1176</v>
      </c>
      <c r="H1427" s="155">
        <f>VLOOKUP(G1427,'CP FACTORS'!$A$3:$B$38, 2, FALSE)</f>
        <v>9.4741810000000004E-4</v>
      </c>
      <c r="I1427" s="1554">
        <f t="shared" si="151"/>
        <v>0.424093</v>
      </c>
      <c r="J1427" s="108">
        <f t="shared" si="154"/>
        <v>12</v>
      </c>
      <c r="K1427" s="1052">
        <f t="shared" si="155"/>
        <v>0</v>
      </c>
      <c r="L1427" s="1088"/>
      <c r="M1427" s="328"/>
      <c r="N1427" s="1587"/>
      <c r="O1427" s="1135"/>
      <c r="P1427" s="123"/>
      <c r="Q1427" s="123"/>
      <c r="R1427" s="1431"/>
      <c r="S1427" s="123"/>
      <c r="T1427" s="123"/>
      <c r="U1427" s="1589"/>
      <c r="V1427" s="1962" t="s">
        <v>31</v>
      </c>
      <c r="W1427" s="818">
        <v>466.25192307692322</v>
      </c>
      <c r="X1427" s="819">
        <v>460.23576923076939</v>
      </c>
      <c r="Y1427" s="742">
        <v>478.28</v>
      </c>
      <c r="Z1427" s="737">
        <v>478.28</v>
      </c>
      <c r="AA1427" s="737">
        <v>478.28</v>
      </c>
      <c r="AB1427" s="425">
        <v>473.24</v>
      </c>
      <c r="AC1427" s="742">
        <v>447.63</v>
      </c>
      <c r="AD1427" s="818"/>
      <c r="AE1427" s="818"/>
      <c r="AF1427" s="818"/>
      <c r="AG1427" s="818"/>
      <c r="AH1427" s="163"/>
      <c r="AI1427" s="1942"/>
      <c r="AJ1427" s="1942"/>
      <c r="AK1427" s="820"/>
      <c r="AL1427" s="1942"/>
      <c r="AM1427" s="1942"/>
      <c r="AN1427" s="1942"/>
      <c r="AO1427" s="1942"/>
      <c r="AP1427" s="1942"/>
      <c r="AQ1427" s="1942"/>
      <c r="AR1427" s="1942"/>
      <c r="AS1427" s="1942"/>
      <c r="AT1427" s="1942"/>
      <c r="AU1427" s="1942"/>
      <c r="AV1427" s="1942"/>
      <c r="AW1427" s="1942"/>
      <c r="AX1427" s="1942"/>
      <c r="AY1427" s="1942"/>
      <c r="AZ1427" s="1942"/>
      <c r="BA1427" s="1942"/>
      <c r="BB1427" s="734"/>
      <c r="BC1427" s="3130" t="str">
        <f t="shared" si="152"/>
        <v>Cooling Res ER2 12 Year EUL</v>
      </c>
      <c r="BD1427" s="673">
        <f>(INDEX('Avoided Cost Benefits'!$C$4:$C$857,MATCH(BC1427,'Avoided Cost Benefits'!$A$4:$A$857,0)))*F1427</f>
        <v>529.24347427923578</v>
      </c>
      <c r="BE1427" s="1949">
        <f t="shared" si="157"/>
        <v>0</v>
      </c>
      <c r="BF1427" s="1942"/>
      <c r="BG1427" s="691"/>
      <c r="BH1427" s="821"/>
      <c r="BI1427" s="691"/>
    </row>
    <row r="1428" spans="1:61" s="51" customFormat="1" x14ac:dyDescent="0.25">
      <c r="A1428" s="1267" t="str">
        <f t="shared" si="150"/>
        <v>352500_2021_12_Heating Res ER2</v>
      </c>
      <c r="B1428" s="123"/>
      <c r="C1428" s="2038" t="s">
        <v>1212</v>
      </c>
      <c r="D1428" s="1553" t="s">
        <v>320</v>
      </c>
      <c r="E1428" s="3005" t="s">
        <v>1214</v>
      </c>
      <c r="F1428" s="742">
        <f>ROUND(((K1811*K1998*(1/K2185-1/K2372)*K3307)/1000)*$K$3484,2)</f>
        <v>9585.06</v>
      </c>
      <c r="G1428" s="1580" t="s">
        <v>1195</v>
      </c>
      <c r="H1428" s="155">
        <f>VLOOKUP(G1428,'CP FACTORS'!$A$3:$B$38, 2, FALSE)</f>
        <v>0</v>
      </c>
      <c r="I1428" s="1554">
        <f t="shared" si="151"/>
        <v>0</v>
      </c>
      <c r="J1428" s="108">
        <f t="shared" si="154"/>
        <v>12</v>
      </c>
      <c r="K1428" s="1052">
        <f t="shared" si="155"/>
        <v>0</v>
      </c>
      <c r="L1428" s="1088"/>
      <c r="M1428" s="328"/>
      <c r="N1428" s="1587"/>
      <c r="O1428" s="1135"/>
      <c r="P1428" s="123"/>
      <c r="Q1428" s="123"/>
      <c r="R1428" s="1431"/>
      <c r="S1428" s="123"/>
      <c r="T1428" s="123"/>
      <c r="U1428" s="1589"/>
      <c r="V1428" s="1962" t="s">
        <v>31</v>
      </c>
      <c r="W1428" s="818">
        <v>13965.852998065762</v>
      </c>
      <c r="X1428" s="819">
        <v>9788.00163331972</v>
      </c>
      <c r="Y1428" s="742">
        <v>10635.56</v>
      </c>
      <c r="Z1428" s="737">
        <v>10635.56</v>
      </c>
      <c r="AA1428" s="737">
        <v>10635.56</v>
      </c>
      <c r="AB1428" s="425">
        <v>9240.1</v>
      </c>
      <c r="AC1428" s="742">
        <v>9585.06</v>
      </c>
      <c r="AD1428" s="818"/>
      <c r="AE1428" s="818"/>
      <c r="AF1428" s="818"/>
      <c r="AG1428" s="818"/>
      <c r="AH1428" s="163"/>
      <c r="AI1428" s="1942"/>
      <c r="AJ1428" s="1942"/>
      <c r="AK1428" s="820"/>
      <c r="AL1428" s="1942"/>
      <c r="AM1428" s="1942"/>
      <c r="AN1428" s="1942"/>
      <c r="AO1428" s="1942"/>
      <c r="AP1428" s="1942"/>
      <c r="AQ1428" s="1942"/>
      <c r="AR1428" s="1942"/>
      <c r="AS1428" s="1942"/>
      <c r="AT1428" s="1942"/>
      <c r="AU1428" s="1942"/>
      <c r="AV1428" s="1942"/>
      <c r="AW1428" s="1942"/>
      <c r="AX1428" s="1942"/>
      <c r="AY1428" s="1942"/>
      <c r="AZ1428" s="1942"/>
      <c r="BA1428" s="1942"/>
      <c r="BB1428" s="734"/>
      <c r="BC1428" s="3116" t="str">
        <f t="shared" si="152"/>
        <v>Heating Res ER2 12 Year EUL</v>
      </c>
      <c r="BD1428" s="673">
        <f>(INDEX('Avoided Cost Benefits'!$C$4:$C$857,MATCH(BC1428,'Avoided Cost Benefits'!$A$4:$A$857,0)))*F1428</f>
        <v>2834.1354572086138</v>
      </c>
      <c r="BE1428" s="1949">
        <f t="shared" si="157"/>
        <v>0</v>
      </c>
      <c r="BF1428" s="1942"/>
      <c r="BG1428" s="691"/>
      <c r="BH1428" s="821"/>
      <c r="BI1428" s="691"/>
    </row>
    <row r="1429" spans="1:61" s="1942" customFormat="1" x14ac:dyDescent="0.25">
      <c r="A1429" s="1267"/>
      <c r="B1429" s="123"/>
      <c r="C1429" s="2038" t="s">
        <v>1215</v>
      </c>
      <c r="D1429" s="2695" t="s">
        <v>320</v>
      </c>
      <c r="E1429" s="3007" t="s">
        <v>1216</v>
      </c>
      <c r="F1429" s="742">
        <f>ROUND(((K2560*K2747*(1/K2934-1/K3121)*K3308)/1000)*$K$3484,2)</f>
        <v>1835.16</v>
      </c>
      <c r="G1429" s="3050" t="s">
        <v>1134</v>
      </c>
      <c r="H1429" s="2867">
        <f>VLOOKUP(G1429,'CP FACTORS'!$A$3:$B$38, 2, FALSE)</f>
        <v>9.4741810000000004E-4</v>
      </c>
      <c r="I1429" s="2757">
        <f t="shared" si="151"/>
        <v>1.738664</v>
      </c>
      <c r="J1429" s="116">
        <f t="shared" si="154"/>
        <v>6</v>
      </c>
      <c r="K1429" s="3294">
        <f t="shared" si="155"/>
        <v>1136.2940995261133</v>
      </c>
      <c r="L1429" s="3296">
        <f>L1812</f>
        <v>2.9224924012158056</v>
      </c>
      <c r="M1429" s="328"/>
      <c r="N1429" s="1587"/>
      <c r="O1429" s="1135"/>
      <c r="P1429" s="123"/>
      <c r="Q1429" s="123"/>
      <c r="R1429" s="1431"/>
      <c r="S1429" s="123"/>
      <c r="T1429" s="123"/>
      <c r="U1429" s="1589"/>
      <c r="V1429" s="1958" t="s">
        <v>31</v>
      </c>
      <c r="W1429" s="818"/>
      <c r="X1429" s="819"/>
      <c r="Y1429" s="742"/>
      <c r="Z1429" s="737"/>
      <c r="AA1429" s="737"/>
      <c r="AB1429" s="425"/>
      <c r="AC1429" s="742">
        <v>1835.16</v>
      </c>
      <c r="AD1429" s="818"/>
      <c r="AE1429" s="818"/>
      <c r="AF1429" s="818"/>
      <c r="AG1429" s="818"/>
      <c r="AH1429" s="163"/>
      <c r="AK1429" s="820"/>
      <c r="BB1429" s="244">
        <f>(BD1429+BD1430+BD1431+BD1432)/(BE1429+BE1430+BE1431+BE1432)</f>
        <v>1.4884732469392468</v>
      </c>
      <c r="BC1429" s="3130" t="str">
        <f t="shared" si="152"/>
        <v>Cooling Res 6 Year EUL</v>
      </c>
      <c r="BD1429" s="673">
        <f>(INDEX('Avoided Cost Benefits'!$C$4:$C$857,MATCH(BC1429,'Avoided Cost Benefits'!$A$4:$A$857,0)))*F1429</f>
        <v>1067.1164764518082</v>
      </c>
      <c r="BE1429" s="1949">
        <f t="shared" si="157"/>
        <v>1072.4814530685353</v>
      </c>
      <c r="BG1429" s="691"/>
      <c r="BH1429" s="821"/>
      <c r="BI1429" s="691"/>
    </row>
    <row r="1430" spans="1:61" s="1942" customFormat="1" x14ac:dyDescent="0.25">
      <c r="A1430" s="1267"/>
      <c r="B1430" s="123"/>
      <c r="C1430" s="2038" t="s">
        <v>1215</v>
      </c>
      <c r="D1430" s="2695" t="s">
        <v>320</v>
      </c>
      <c r="E1430" s="3007" t="s">
        <v>1216</v>
      </c>
      <c r="F1430" s="742">
        <v>0</v>
      </c>
      <c r="G1430" s="3050" t="s">
        <v>1135</v>
      </c>
      <c r="H1430" s="2867">
        <f>VLOOKUP(G1430,'CP FACTORS'!$A$3:$B$38, 2, FALSE)</f>
        <v>0</v>
      </c>
      <c r="I1430" s="2757">
        <f t="shared" si="151"/>
        <v>0</v>
      </c>
      <c r="J1430" s="116">
        <f t="shared" si="154"/>
        <v>6</v>
      </c>
      <c r="K1430" s="3294">
        <f t="shared" si="155"/>
        <v>0</v>
      </c>
      <c r="L1430" s="3296"/>
      <c r="M1430" s="328"/>
      <c r="N1430" s="1587"/>
      <c r="O1430" s="1135"/>
      <c r="P1430" s="123"/>
      <c r="Q1430" s="123"/>
      <c r="R1430" s="1431"/>
      <c r="S1430" s="123"/>
      <c r="T1430" s="123"/>
      <c r="U1430" s="1589"/>
      <c r="V1430" s="1958" t="s">
        <v>31</v>
      </c>
      <c r="W1430" s="818"/>
      <c r="X1430" s="819"/>
      <c r="Y1430" s="742"/>
      <c r="Z1430" s="737"/>
      <c r="AA1430" s="737"/>
      <c r="AB1430" s="425"/>
      <c r="AC1430" s="742">
        <v>0</v>
      </c>
      <c r="AD1430" s="818"/>
      <c r="AE1430" s="818"/>
      <c r="AF1430" s="818"/>
      <c r="AG1430" s="818"/>
      <c r="AH1430" s="163"/>
      <c r="AK1430" s="820"/>
      <c r="BB1430" s="734"/>
      <c r="BC1430" s="3130" t="str">
        <f t="shared" si="152"/>
        <v>Heating Res 6 Year EUL</v>
      </c>
      <c r="BD1430" s="673">
        <f>(INDEX('Avoided Cost Benefits'!$C$4:$C$857,MATCH(BC1430,'Avoided Cost Benefits'!$A$4:$A$857,0)))*F1430</f>
        <v>0</v>
      </c>
      <c r="BE1430" s="1949">
        <f t="shared" si="157"/>
        <v>0</v>
      </c>
      <c r="BG1430" s="691"/>
      <c r="BH1430" s="821"/>
      <c r="BI1430" s="691"/>
    </row>
    <row r="1431" spans="1:61" s="1942" customFormat="1" x14ac:dyDescent="0.25">
      <c r="A1431" s="1267"/>
      <c r="B1431" s="123"/>
      <c r="C1431" s="2038" t="s">
        <v>1215</v>
      </c>
      <c r="D1431" s="2695" t="s">
        <v>320</v>
      </c>
      <c r="E1431" s="3007" t="s">
        <v>1217</v>
      </c>
      <c r="F1431" s="742">
        <f>ROUND(((K2561*K2748*(1/K2935-1/K3122)*K3309)/1000)*$K$3484,2)</f>
        <v>447.63</v>
      </c>
      <c r="G1431" s="3050" t="s">
        <v>1176</v>
      </c>
      <c r="H1431" s="2867">
        <f>VLOOKUP(G1431,'CP FACTORS'!$A$3:$B$38, 2, FALSE)</f>
        <v>9.4741810000000004E-4</v>
      </c>
      <c r="I1431" s="2757">
        <f t="shared" si="151"/>
        <v>0.424093</v>
      </c>
      <c r="J1431" s="116">
        <f t="shared" si="154"/>
        <v>12</v>
      </c>
      <c r="K1431" s="3294">
        <f t="shared" si="155"/>
        <v>0</v>
      </c>
      <c r="L1431" s="3296"/>
      <c r="M1431" s="328"/>
      <c r="N1431" s="1587"/>
      <c r="O1431" s="1135"/>
      <c r="P1431" s="123"/>
      <c r="Q1431" s="123"/>
      <c r="R1431" s="1431"/>
      <c r="S1431" s="123"/>
      <c r="T1431" s="123"/>
      <c r="U1431" s="1589"/>
      <c r="V1431" s="1958" t="s">
        <v>31</v>
      </c>
      <c r="W1431" s="818"/>
      <c r="X1431" s="819"/>
      <c r="Y1431" s="742"/>
      <c r="Z1431" s="737"/>
      <c r="AA1431" s="737"/>
      <c r="AB1431" s="425"/>
      <c r="AC1431" s="742">
        <v>447.63</v>
      </c>
      <c r="AD1431" s="818"/>
      <c r="AE1431" s="818"/>
      <c r="AF1431" s="818"/>
      <c r="AG1431" s="818"/>
      <c r="AH1431" s="163"/>
      <c r="AK1431" s="820"/>
      <c r="BB1431" s="734"/>
      <c r="BC1431" s="3130" t="str">
        <f t="shared" si="152"/>
        <v>Cooling Res ER2 12 Year EUL</v>
      </c>
      <c r="BD1431" s="673">
        <f>(INDEX('Avoided Cost Benefits'!$C$4:$C$857,MATCH(BC1431,'Avoided Cost Benefits'!$A$4:$A$857,0)))*F1431</f>
        <v>529.24347427923578</v>
      </c>
      <c r="BE1431" s="1949">
        <f t="shared" si="157"/>
        <v>0</v>
      </c>
      <c r="BG1431" s="691"/>
      <c r="BH1431" s="821"/>
      <c r="BI1431" s="691"/>
    </row>
    <row r="1432" spans="1:61" s="1942" customFormat="1" x14ac:dyDescent="0.25">
      <c r="A1432" s="1267"/>
      <c r="B1432" s="123"/>
      <c r="C1432" s="2038" t="s">
        <v>1215</v>
      </c>
      <c r="D1432" s="2695" t="s">
        <v>320</v>
      </c>
      <c r="E1432" s="3007" t="s">
        <v>1217</v>
      </c>
      <c r="F1432" s="742">
        <f>0</f>
        <v>0</v>
      </c>
      <c r="G1432" s="3050" t="s">
        <v>1195</v>
      </c>
      <c r="H1432" s="2867">
        <f>VLOOKUP(G1432,'CP FACTORS'!$A$3:$B$38, 2, FALSE)</f>
        <v>0</v>
      </c>
      <c r="I1432" s="2757">
        <f t="shared" si="151"/>
        <v>0</v>
      </c>
      <c r="J1432" s="116">
        <f t="shared" si="154"/>
        <v>12</v>
      </c>
      <c r="K1432" s="3294">
        <f t="shared" si="155"/>
        <v>0</v>
      </c>
      <c r="L1432" s="3296"/>
      <c r="M1432" s="328"/>
      <c r="N1432" s="1587"/>
      <c r="O1432" s="1135"/>
      <c r="P1432" s="123"/>
      <c r="Q1432" s="123"/>
      <c r="R1432" s="1431"/>
      <c r="S1432" s="123"/>
      <c r="T1432" s="123"/>
      <c r="U1432" s="1589"/>
      <c r="V1432" s="1958" t="s">
        <v>31</v>
      </c>
      <c r="W1432" s="818"/>
      <c r="X1432" s="819"/>
      <c r="Y1432" s="742"/>
      <c r="Z1432" s="737"/>
      <c r="AA1432" s="737"/>
      <c r="AB1432" s="425"/>
      <c r="AC1432" s="742">
        <v>0</v>
      </c>
      <c r="AD1432" s="818"/>
      <c r="AE1432" s="818"/>
      <c r="AF1432" s="818"/>
      <c r="AG1432" s="818"/>
      <c r="AH1432" s="163"/>
      <c r="AK1432" s="820"/>
      <c r="BB1432" s="734"/>
      <c r="BC1432" s="3130" t="str">
        <f t="shared" si="152"/>
        <v>Heating Res ER2 12 Year EUL</v>
      </c>
      <c r="BD1432" s="673">
        <f>(INDEX('Avoided Cost Benefits'!$C$4:$C$857,MATCH(BC1432,'Avoided Cost Benefits'!$A$4:$A$857,0)))*F1432</f>
        <v>0</v>
      </c>
      <c r="BE1432" s="1949">
        <f t="shared" si="157"/>
        <v>0</v>
      </c>
      <c r="BG1432" s="691"/>
      <c r="BH1432" s="821"/>
      <c r="BI1432" s="691"/>
    </row>
    <row r="1433" spans="1:61" s="51" customFormat="1" x14ac:dyDescent="0.25">
      <c r="A1433" s="1267" t="str">
        <f t="shared" si="150"/>
        <v>352550_2021_12_Cooling Res</v>
      </c>
      <c r="B1433" s="123"/>
      <c r="C1433" s="2038" t="s">
        <v>1219</v>
      </c>
      <c r="D1433" s="1553" t="s">
        <v>320</v>
      </c>
      <c r="E1433" s="2878" t="s">
        <v>1220</v>
      </c>
      <c r="F1433" s="742">
        <f>ROUND(((K2562*K2749*(1/K2936-1/K3123)*K3310)/1000)*$K$3484,2)</f>
        <v>1797.54</v>
      </c>
      <c r="G1433" s="214" t="s">
        <v>1134</v>
      </c>
      <c r="H1433" s="155">
        <f>VLOOKUP(G1433,'CP FACTORS'!$A$3:$B$38, 2, FALSE)</f>
        <v>9.4741810000000004E-4</v>
      </c>
      <c r="I1433" s="1554">
        <f t="shared" si="151"/>
        <v>1.703022</v>
      </c>
      <c r="J1433" s="108">
        <f t="shared" si="154"/>
        <v>6</v>
      </c>
      <c r="K1433" s="3294">
        <f t="shared" si="155"/>
        <v>1165.4895470570027</v>
      </c>
      <c r="L1433" s="1088">
        <f>L1814</f>
        <v>3.0446808510638301</v>
      </c>
      <c r="M1433" s="328"/>
      <c r="N1433" s="1587"/>
      <c r="O1433" s="1135"/>
      <c r="P1433" s="123"/>
      <c r="Q1433" s="123"/>
      <c r="R1433" s="1431"/>
      <c r="S1433" s="123"/>
      <c r="T1433" s="123"/>
      <c r="U1433" s="1589"/>
      <c r="V1433" s="1962" t="s">
        <v>31</v>
      </c>
      <c r="W1433" s="818">
        <v>2628.7249999999999</v>
      </c>
      <c r="X1433" s="819">
        <v>1836.3388775510205</v>
      </c>
      <c r="Y1433" s="742">
        <v>1890.35</v>
      </c>
      <c r="Z1433" s="737">
        <v>1890.35</v>
      </c>
      <c r="AA1433" s="737">
        <v>1890.35</v>
      </c>
      <c r="AB1433" s="425">
        <v>2180.1</v>
      </c>
      <c r="AC1433" s="742">
        <v>1797.54</v>
      </c>
      <c r="AD1433" s="818"/>
      <c r="AE1433" s="818"/>
      <c r="AF1433" s="818"/>
      <c r="AG1433" s="818"/>
      <c r="AH1433" s="163"/>
      <c r="AI1433" s="1942"/>
      <c r="AJ1433" s="1942"/>
      <c r="AK1433" s="820"/>
      <c r="AL1433" s="1942"/>
      <c r="AM1433" s="1942"/>
      <c r="AN1433" s="1942"/>
      <c r="AO1433" s="1942"/>
      <c r="AP1433" s="1942"/>
      <c r="AQ1433" s="1942"/>
      <c r="AR1433" s="1942"/>
      <c r="AS1433" s="1942"/>
      <c r="AT1433" s="1942"/>
      <c r="AU1433" s="1942"/>
      <c r="AV1433" s="1942"/>
      <c r="AW1433" s="1942"/>
      <c r="AX1433" s="1942"/>
      <c r="AY1433" s="1942"/>
      <c r="AZ1433" s="1942"/>
      <c r="BA1433" s="1942"/>
      <c r="BB1433" s="244">
        <f>(BD1433+BD1434+BD1435+BD1436)/(BE1433+BE1434+BE1435+BE1436)</f>
        <v>1.800051915203813</v>
      </c>
      <c r="BC1433" s="3115" t="str">
        <f t="shared" si="152"/>
        <v>Cooling Res 6 Year EUL</v>
      </c>
      <c r="BD1433" s="673">
        <f>(INDEX('Avoided Cost Benefits'!$C$4:$C$857,MATCH(BC1433,'Avoided Cost Benefits'!$A$4:$A$857,0)))*F1433</f>
        <v>1045.2410422421931</v>
      </c>
      <c r="BE1433" s="1949">
        <f t="shared" si="157"/>
        <v>1100.0373261510172</v>
      </c>
      <c r="BF1433" s="1942"/>
      <c r="BG1433" s="691"/>
      <c r="BH1433" s="821"/>
      <c r="BI1433" s="691"/>
    </row>
    <row r="1434" spans="1:61" s="51" customFormat="1" x14ac:dyDescent="0.25">
      <c r="A1434" s="1267" t="str">
        <f t="shared" si="150"/>
        <v>352550_2021_12_Heating Res</v>
      </c>
      <c r="B1434" s="123"/>
      <c r="C1434" s="2038" t="s">
        <v>1219</v>
      </c>
      <c r="D1434" s="1553" t="s">
        <v>320</v>
      </c>
      <c r="E1434" s="3007" t="s">
        <v>1220</v>
      </c>
      <c r="F1434" s="742">
        <f>ROUND(((K1814*K2001*(1/K2188-1/K2375)*K3310)/1000)*$K$3484,2)</f>
        <v>2313.4299999999998</v>
      </c>
      <c r="G1434" s="214" t="s">
        <v>1135</v>
      </c>
      <c r="H1434" s="155">
        <f>VLOOKUP(G1434,'CP FACTORS'!$A$3:$B$38, 2, FALSE)</f>
        <v>0</v>
      </c>
      <c r="I1434" s="1554">
        <f t="shared" si="151"/>
        <v>0</v>
      </c>
      <c r="J1434" s="108">
        <f t="shared" si="154"/>
        <v>6</v>
      </c>
      <c r="K1434" s="1052">
        <f t="shared" si="155"/>
        <v>0</v>
      </c>
      <c r="L1434" s="1088"/>
      <c r="M1434" s="328"/>
      <c r="N1434" s="1587"/>
      <c r="O1434" s="1135"/>
      <c r="P1434" s="123"/>
      <c r="Q1434" s="123"/>
      <c r="R1434" s="1431"/>
      <c r="S1434" s="123"/>
      <c r="T1434" s="123"/>
      <c r="U1434" s="1589"/>
      <c r="V1434" s="1962" t="s">
        <v>31</v>
      </c>
      <c r="W1434" s="818">
        <v>6249.9803405572748</v>
      </c>
      <c r="X1434" s="819">
        <v>2027.0807587241729</v>
      </c>
      <c r="Y1434" s="742">
        <v>2533.08</v>
      </c>
      <c r="Z1434" s="737">
        <v>2533.08</v>
      </c>
      <c r="AA1434" s="737">
        <v>2533.08</v>
      </c>
      <c r="AB1434" s="425">
        <v>2201.9299999999998</v>
      </c>
      <c r="AC1434" s="742">
        <v>2313.4299999999998</v>
      </c>
      <c r="AD1434" s="818"/>
      <c r="AE1434" s="818"/>
      <c r="AF1434" s="818"/>
      <c r="AG1434" s="818"/>
      <c r="AH1434" s="163"/>
      <c r="AI1434" s="1942"/>
      <c r="AJ1434" s="1942"/>
      <c r="AK1434" s="820"/>
      <c r="AL1434" s="1942"/>
      <c r="AM1434" s="1942"/>
      <c r="AN1434" s="1942"/>
      <c r="AO1434" s="1942"/>
      <c r="AP1434" s="1942"/>
      <c r="AQ1434" s="1942"/>
      <c r="AR1434" s="1942"/>
      <c r="AS1434" s="1942"/>
      <c r="AT1434" s="1942"/>
      <c r="AU1434" s="1942"/>
      <c r="AV1434" s="1942"/>
      <c r="AW1434" s="1942"/>
      <c r="AX1434" s="1942"/>
      <c r="AY1434" s="1942"/>
      <c r="AZ1434" s="1942"/>
      <c r="BA1434" s="1942"/>
      <c r="BB1434" s="734"/>
      <c r="BC1434" s="3130" t="str">
        <f t="shared" si="152"/>
        <v>Heating Res 6 Year EUL</v>
      </c>
      <c r="BD1434" s="673">
        <f>(INDEX('Avoided Cost Benefits'!$C$4:$C$857,MATCH(BC1434,'Avoided Cost Benefits'!$A$4:$A$857,0)))*F1434</f>
        <v>384.80091866429512</v>
      </c>
      <c r="BE1434" s="1949">
        <f t="shared" si="157"/>
        <v>0</v>
      </c>
      <c r="BF1434" s="1942"/>
      <c r="BG1434" s="691"/>
      <c r="BH1434" s="821"/>
      <c r="BI1434" s="691"/>
    </row>
    <row r="1435" spans="1:61" s="51" customFormat="1" x14ac:dyDescent="0.25">
      <c r="A1435" s="1267" t="str">
        <f t="shared" si="150"/>
        <v>352550_2021_12_Cooling Res ER2</v>
      </c>
      <c r="B1435" s="123"/>
      <c r="C1435" s="2038" t="s">
        <v>1219</v>
      </c>
      <c r="D1435" s="1553" t="s">
        <v>320</v>
      </c>
      <c r="E1435" s="3007" t="s">
        <v>1221</v>
      </c>
      <c r="F1435" s="742">
        <f>ROUND(((K2563*K2750*(1/K2937-1/K3124)*K3311)/1000)*$K$3484,2)</f>
        <v>297.11</v>
      </c>
      <c r="G1435" s="1580" t="s">
        <v>1176</v>
      </c>
      <c r="H1435" s="155">
        <f>VLOOKUP(G1435,'CP FACTORS'!$A$3:$B$38, 2, FALSE)</f>
        <v>9.4741810000000004E-4</v>
      </c>
      <c r="I1435" s="1554">
        <f t="shared" si="151"/>
        <v>0.28148699999999999</v>
      </c>
      <c r="J1435" s="108">
        <f t="shared" si="154"/>
        <v>12</v>
      </c>
      <c r="K1435" s="1052">
        <f t="shared" si="155"/>
        <v>0</v>
      </c>
      <c r="L1435" s="1088"/>
      <c r="M1435" s="328"/>
      <c r="N1435" s="1587"/>
      <c r="O1435" s="1135"/>
      <c r="P1435" s="123"/>
      <c r="Q1435" s="123"/>
      <c r="R1435" s="1431"/>
      <c r="S1435" s="123"/>
      <c r="T1435" s="123"/>
      <c r="U1435" s="1589"/>
      <c r="V1435" s="1962" t="s">
        <v>31</v>
      </c>
      <c r="W1435" s="818">
        <v>307.25357142857132</v>
      </c>
      <c r="X1435" s="819">
        <v>284.90785714285704</v>
      </c>
      <c r="Y1435" s="742">
        <v>293.29000000000002</v>
      </c>
      <c r="Z1435" s="737">
        <v>293.29000000000002</v>
      </c>
      <c r="AA1435" s="737">
        <v>293.29000000000002</v>
      </c>
      <c r="AB1435" s="425">
        <v>333.47</v>
      </c>
      <c r="AC1435" s="742">
        <v>297.11</v>
      </c>
      <c r="AD1435" s="818"/>
      <c r="AE1435" s="818"/>
      <c r="AF1435" s="818"/>
      <c r="AG1435" s="818"/>
      <c r="AH1435" s="163"/>
      <c r="AI1435" s="1942"/>
      <c r="AJ1435" s="1942"/>
      <c r="AK1435" s="820"/>
      <c r="AL1435" s="1942"/>
      <c r="AM1435" s="1942"/>
      <c r="AN1435" s="1942"/>
      <c r="AO1435" s="1942"/>
      <c r="AP1435" s="1942"/>
      <c r="AQ1435" s="1942"/>
      <c r="AR1435" s="1942"/>
      <c r="AS1435" s="1942"/>
      <c r="AT1435" s="1942"/>
      <c r="AU1435" s="1942"/>
      <c r="AV1435" s="1942"/>
      <c r="AW1435" s="1942"/>
      <c r="AX1435" s="1942"/>
      <c r="AY1435" s="1942"/>
      <c r="AZ1435" s="1942"/>
      <c r="BA1435" s="1942"/>
      <c r="BB1435" s="734"/>
      <c r="BC1435" s="3130" t="str">
        <f t="shared" si="152"/>
        <v>Cooling Res ER2 12 Year EUL</v>
      </c>
      <c r="BD1435" s="673">
        <f>(INDEX('Avoided Cost Benefits'!$C$4:$C$857,MATCH(BC1435,'Avoided Cost Benefits'!$A$4:$A$857,0)))*F1435</f>
        <v>351.2801390503401</v>
      </c>
      <c r="BE1435" s="1949">
        <f t="shared" si="157"/>
        <v>0</v>
      </c>
      <c r="BF1435" s="1942"/>
      <c r="BG1435" s="691"/>
      <c r="BH1435" s="821"/>
      <c r="BI1435" s="691"/>
    </row>
    <row r="1436" spans="1:61" s="51" customFormat="1" x14ac:dyDescent="0.25">
      <c r="A1436" s="1267" t="str">
        <f t="shared" si="150"/>
        <v>352550_2021_12_Heating Res ER2</v>
      </c>
      <c r="B1436" s="123"/>
      <c r="C1436" s="2038" t="s">
        <v>1219</v>
      </c>
      <c r="D1436" s="1553" t="s">
        <v>320</v>
      </c>
      <c r="E1436" s="3005" t="s">
        <v>1221</v>
      </c>
      <c r="F1436" s="742">
        <f>ROUND(((K1815*K2002*(1/K2189-1/K2376)*K3311)/1000)*$K$3484,2)</f>
        <v>672.35</v>
      </c>
      <c r="G1436" s="1580" t="s">
        <v>1195</v>
      </c>
      <c r="H1436" s="155">
        <f>VLOOKUP(G1436,'CP FACTORS'!$A$3:$B$38, 2, FALSE)</f>
        <v>0</v>
      </c>
      <c r="I1436" s="1554">
        <f t="shared" si="151"/>
        <v>0</v>
      </c>
      <c r="J1436" s="108">
        <f t="shared" si="154"/>
        <v>12</v>
      </c>
      <c r="K1436" s="1052">
        <f t="shared" si="155"/>
        <v>0</v>
      </c>
      <c r="L1436" s="1088"/>
      <c r="M1436" s="328"/>
      <c r="N1436" s="1587"/>
      <c r="O1436" s="1135"/>
      <c r="P1436" s="123"/>
      <c r="Q1436" s="123"/>
      <c r="R1436" s="1431"/>
      <c r="S1436" s="123"/>
      <c r="T1436" s="123"/>
      <c r="U1436" s="1589"/>
      <c r="V1436" s="1962" t="s">
        <v>31</v>
      </c>
      <c r="W1436" s="818">
        <v>1327.6421052631592</v>
      </c>
      <c r="X1436" s="819">
        <v>377.74325409076874</v>
      </c>
      <c r="Y1436" s="742">
        <v>835.23</v>
      </c>
      <c r="Z1436" s="737">
        <v>835.23</v>
      </c>
      <c r="AA1436" s="737">
        <v>835.23</v>
      </c>
      <c r="AB1436" s="425">
        <v>525.75</v>
      </c>
      <c r="AC1436" s="742">
        <v>672.35</v>
      </c>
      <c r="AD1436" s="818"/>
      <c r="AE1436" s="818"/>
      <c r="AF1436" s="818"/>
      <c r="AG1436" s="818"/>
      <c r="AH1436" s="163"/>
      <c r="AI1436" s="1942"/>
      <c r="AJ1436" s="1942"/>
      <c r="AK1436" s="820"/>
      <c r="AL1436" s="1942"/>
      <c r="AM1436" s="1942"/>
      <c r="AN1436" s="1942"/>
      <c r="AO1436" s="1942"/>
      <c r="AP1436" s="1942"/>
      <c r="AQ1436" s="1942"/>
      <c r="AR1436" s="1942"/>
      <c r="AS1436" s="1942"/>
      <c r="AT1436" s="1942"/>
      <c r="AU1436" s="1942"/>
      <c r="AV1436" s="1942"/>
      <c r="AW1436" s="1942"/>
      <c r="AX1436" s="1942"/>
      <c r="AY1436" s="1942"/>
      <c r="AZ1436" s="1942"/>
      <c r="BA1436" s="1942"/>
      <c r="BB1436" s="734"/>
      <c r="BC1436" s="3116" t="str">
        <f t="shared" si="152"/>
        <v>Heating Res ER2 12 Year EUL</v>
      </c>
      <c r="BD1436" s="673">
        <f>(INDEX('Avoided Cost Benefits'!$C$4:$C$857,MATCH(BC1436,'Avoided Cost Benefits'!$A$4:$A$857,0)))*F1436</f>
        <v>198.80219577699165</v>
      </c>
      <c r="BE1436" s="1949">
        <f t="shared" si="157"/>
        <v>0</v>
      </c>
      <c r="BF1436" s="1942"/>
      <c r="BG1436" s="691"/>
      <c r="BH1436" s="821"/>
      <c r="BI1436" s="691"/>
    </row>
    <row r="1437" spans="1:61" s="51" customFormat="1" x14ac:dyDescent="0.25">
      <c r="A1437" s="1267" t="str">
        <f t="shared" si="150"/>
        <v>352600_2021_12_Cooling Res</v>
      </c>
      <c r="B1437" s="123"/>
      <c r="C1437" s="2038" t="s">
        <v>1223</v>
      </c>
      <c r="D1437" s="1553" t="s">
        <v>320</v>
      </c>
      <c r="E1437" s="2965" t="s">
        <v>1224</v>
      </c>
      <c r="F1437" s="742">
        <f>ROUND(((K2564*K2751*(1/K2938-1/K3125)*K3312)/1000)*$K$3484,2)</f>
        <v>506.78</v>
      </c>
      <c r="G1437" s="214" t="s">
        <v>1134</v>
      </c>
      <c r="H1437" s="155">
        <f>VLOOKUP(G1437,'CP FACTORS'!$A$3:$B$38, 2, FALSE)</f>
        <v>9.4741810000000004E-4</v>
      </c>
      <c r="I1437" s="1554">
        <f t="shared" si="151"/>
        <v>0.48013299999999998</v>
      </c>
      <c r="J1437" s="108">
        <f t="shared" si="154"/>
        <v>18</v>
      </c>
      <c r="K1437" s="1052">
        <f t="shared" si="155"/>
        <v>438</v>
      </c>
      <c r="L1437" s="1088">
        <f>L1816</f>
        <v>2.9556962025316453</v>
      </c>
      <c r="M1437" s="328"/>
      <c r="N1437" s="1587"/>
      <c r="O1437" s="1135"/>
      <c r="P1437" s="123"/>
      <c r="Q1437" s="123"/>
      <c r="R1437" s="1431"/>
      <c r="S1437" s="123"/>
      <c r="T1437" s="123"/>
      <c r="U1437" s="1589"/>
      <c r="V1437" s="1962" t="s">
        <v>31</v>
      </c>
      <c r="W1437" s="818">
        <v>481.29230769230787</v>
      </c>
      <c r="X1437" s="819">
        <v>460.23576923076939</v>
      </c>
      <c r="Y1437" s="742">
        <v>467.76</v>
      </c>
      <c r="Z1437" s="737">
        <v>467.76</v>
      </c>
      <c r="AA1437" s="737">
        <v>467.76</v>
      </c>
      <c r="AB1437" s="425">
        <v>463.89</v>
      </c>
      <c r="AC1437" s="742">
        <v>506.78</v>
      </c>
      <c r="AD1437" s="818"/>
      <c r="AE1437" s="818"/>
      <c r="AF1437" s="818"/>
      <c r="AG1437" s="818"/>
      <c r="AH1437" s="163"/>
      <c r="AI1437" s="1942"/>
      <c r="AJ1437" s="1942"/>
      <c r="AK1437" s="820"/>
      <c r="AL1437" s="1942"/>
      <c r="AM1437" s="1942"/>
      <c r="AN1437" s="1942"/>
      <c r="AO1437" s="1942"/>
      <c r="AP1437" s="1942"/>
      <c r="AQ1437" s="1942"/>
      <c r="AR1437" s="1942"/>
      <c r="AS1437" s="1942"/>
      <c r="AT1437" s="1942"/>
      <c r="AU1437" s="1942"/>
      <c r="AV1437" s="1942"/>
      <c r="AW1437" s="1942"/>
      <c r="AX1437" s="1942"/>
      <c r="AY1437" s="1942"/>
      <c r="AZ1437" s="1942"/>
      <c r="BA1437" s="1942"/>
      <c r="BB1437" s="244">
        <f>(BD1437+BD1438)/(BE1437+BE1438)</f>
        <v>13.208046777380339</v>
      </c>
      <c r="BC1437" s="710" t="str">
        <f t="shared" si="152"/>
        <v>Cooling Res 18 Year EUL</v>
      </c>
      <c r="BD1437" s="673">
        <f>(INDEX('Avoided Cost Benefits'!$C$4:$C$857,MATCH(BC1437,'Avoided Cost Benefits'!$A$4:$A$857,0)))*F1437</f>
        <v>893.86245418587646</v>
      </c>
      <c r="BE1437" s="1949">
        <f t="shared" si="157"/>
        <v>413.40254837187348</v>
      </c>
      <c r="BF1437" s="1942"/>
      <c r="BG1437" s="691"/>
      <c r="BH1437" s="821"/>
      <c r="BI1437" s="691"/>
    </row>
    <row r="1438" spans="1:61" s="51" customFormat="1" x14ac:dyDescent="0.25">
      <c r="A1438" s="1267" t="str">
        <f t="shared" si="150"/>
        <v>352600_2021_12_Heating Res</v>
      </c>
      <c r="B1438" s="123"/>
      <c r="C1438" s="2038" t="s">
        <v>1223</v>
      </c>
      <c r="D1438" s="1553" t="s">
        <v>320</v>
      </c>
      <c r="E1438" s="3008" t="s">
        <v>1224</v>
      </c>
      <c r="F1438" s="742">
        <f>ROUND(((K1816*K2003*(1/K2190-1/K2377)*K3312)/1000)*$K$3484,2)</f>
        <v>9883.59</v>
      </c>
      <c r="G1438" s="214" t="s">
        <v>1135</v>
      </c>
      <c r="H1438" s="155">
        <f>VLOOKUP(G1438,'CP FACTORS'!$A$3:$B$38, 2, FALSE)</f>
        <v>0</v>
      </c>
      <c r="I1438" s="1554">
        <f t="shared" si="151"/>
        <v>0</v>
      </c>
      <c r="J1438" s="108">
        <f t="shared" si="154"/>
        <v>18</v>
      </c>
      <c r="K1438" s="1052">
        <f t="shared" si="155"/>
        <v>0</v>
      </c>
      <c r="L1438" s="1088"/>
      <c r="M1438" s="328"/>
      <c r="N1438" s="1587"/>
      <c r="O1438" s="1135"/>
      <c r="P1438" s="123"/>
      <c r="Q1438" s="123"/>
      <c r="R1438" s="1431"/>
      <c r="S1438" s="123"/>
      <c r="T1438" s="123"/>
      <c r="U1438" s="1589"/>
      <c r="V1438" s="1962" t="s">
        <v>31</v>
      </c>
      <c r="W1438" s="818">
        <v>14670.188469329136</v>
      </c>
      <c r="X1438" s="819">
        <v>9788.00163331972</v>
      </c>
      <c r="Y1438" s="742">
        <v>10452.1</v>
      </c>
      <c r="Z1438" s="737">
        <v>10452.1</v>
      </c>
      <c r="AA1438" s="737">
        <v>10452.1</v>
      </c>
      <c r="AB1438" s="425">
        <v>9504.2099999999991</v>
      </c>
      <c r="AC1438" s="742">
        <v>9883.59</v>
      </c>
      <c r="AD1438" s="818"/>
      <c r="AE1438" s="818"/>
      <c r="AF1438" s="818"/>
      <c r="AG1438" s="818"/>
      <c r="AH1438" s="163"/>
      <c r="AI1438" s="1942"/>
      <c r="AJ1438" s="1942"/>
      <c r="AK1438" s="820"/>
      <c r="AL1438" s="1942"/>
      <c r="AM1438" s="1942"/>
      <c r="AN1438" s="1942"/>
      <c r="AO1438" s="1942"/>
      <c r="AP1438" s="1942"/>
      <c r="AQ1438" s="1942"/>
      <c r="AR1438" s="1942"/>
      <c r="AS1438" s="1942"/>
      <c r="AT1438" s="1942"/>
      <c r="AU1438" s="1942"/>
      <c r="AV1438" s="1942"/>
      <c r="AW1438" s="1942"/>
      <c r="AX1438" s="1942"/>
      <c r="AY1438" s="1942"/>
      <c r="AZ1438" s="1942"/>
      <c r="BA1438" s="1942"/>
      <c r="BB1438" s="242"/>
      <c r="BC1438" s="822" t="str">
        <f t="shared" si="152"/>
        <v>Heating Res 18 Year EUL</v>
      </c>
      <c r="BD1438" s="673">
        <f>(INDEX('Avoided Cost Benefits'!$C$4:$C$857,MATCH(BC1438,'Avoided Cost Benefits'!$A$4:$A$857,0)))*F1438</f>
        <v>4566.377742598067</v>
      </c>
      <c r="BE1438" s="1949">
        <f t="shared" si="157"/>
        <v>0</v>
      </c>
      <c r="BF1438" s="1942"/>
      <c r="BG1438" s="691"/>
      <c r="BH1438" s="821"/>
      <c r="BI1438" s="691"/>
    </row>
    <row r="1439" spans="1:61" s="51" customFormat="1" x14ac:dyDescent="0.25">
      <c r="A1439" s="1267" t="str">
        <f t="shared" si="150"/>
        <v>352650_2021_12_Cooling Res</v>
      </c>
      <c r="B1439" s="123"/>
      <c r="C1439" s="2038" t="s">
        <v>1226</v>
      </c>
      <c r="D1439" s="1553" t="s">
        <v>320</v>
      </c>
      <c r="E1439" s="2965" t="s">
        <v>1227</v>
      </c>
      <c r="F1439" s="742">
        <f>ROUND(((K2565*K2752*(1/K2939-1/K3126)*K3313)/1000)*$K$3484,2)</f>
        <v>292.86</v>
      </c>
      <c r="G1439" s="214" t="s">
        <v>1134</v>
      </c>
      <c r="H1439" s="155">
        <f>VLOOKUP(G1439,'CP FACTORS'!$A$3:$B$38, 2, FALSE)</f>
        <v>9.4741810000000004E-4</v>
      </c>
      <c r="I1439" s="1554">
        <f t="shared" si="151"/>
        <v>0.27746100000000001</v>
      </c>
      <c r="J1439" s="108">
        <f t="shared" si="154"/>
        <v>18</v>
      </c>
      <c r="K1439" s="1052">
        <f t="shared" si="155"/>
        <v>438</v>
      </c>
      <c r="L1439" s="1088">
        <f>L1817</f>
        <v>3.0921052631578942</v>
      </c>
      <c r="M1439" s="328"/>
      <c r="N1439" s="1587"/>
      <c r="O1439" s="1135"/>
      <c r="P1439" s="123"/>
      <c r="Q1439" s="123"/>
      <c r="R1439" s="1431"/>
      <c r="S1439" s="123"/>
      <c r="T1439" s="123"/>
      <c r="U1439" s="1589"/>
      <c r="V1439" s="1962" t="s">
        <v>31</v>
      </c>
      <c r="W1439" s="818">
        <v>307.25357142857132</v>
      </c>
      <c r="X1439" s="819">
        <v>284.90785714285704</v>
      </c>
      <c r="Y1439" s="742">
        <v>302.60000000000002</v>
      </c>
      <c r="Z1439" s="737">
        <v>302.60000000000002</v>
      </c>
      <c r="AA1439" s="737">
        <v>302.60000000000002</v>
      </c>
      <c r="AB1439" s="2162">
        <v>302.60000000000002</v>
      </c>
      <c r="AC1439" s="742">
        <v>292.86</v>
      </c>
      <c r="AD1439" s="818"/>
      <c r="AE1439" s="818"/>
      <c r="AF1439" s="818"/>
      <c r="AG1439" s="818"/>
      <c r="AH1439" s="163"/>
      <c r="AI1439" s="1942"/>
      <c r="AJ1439" s="1942"/>
      <c r="AK1439" s="820"/>
      <c r="AL1439" s="1942"/>
      <c r="AM1439" s="1942"/>
      <c r="AN1439" s="1942"/>
      <c r="AO1439" s="1942"/>
      <c r="AP1439" s="1942"/>
      <c r="AQ1439" s="1942"/>
      <c r="AR1439" s="1942"/>
      <c r="AS1439" s="1942"/>
      <c r="AT1439" s="1942"/>
      <c r="AU1439" s="1942"/>
      <c r="AV1439" s="1942"/>
      <c r="AW1439" s="1942"/>
      <c r="AX1439" s="1942"/>
      <c r="AY1439" s="1942"/>
      <c r="AZ1439" s="1942"/>
      <c r="BA1439" s="1942"/>
      <c r="BB1439" s="244">
        <f>(BD1439+BD1440)/(BE1439+BE1440)</f>
        <v>1.9615914316875613</v>
      </c>
      <c r="BC1439" s="710" t="str">
        <f t="shared" si="152"/>
        <v>Cooling Res 18 Year EUL</v>
      </c>
      <c r="BD1439" s="673">
        <f>(INDEX('Avoided Cost Benefits'!$C$4:$C$857,MATCH(BC1439,'Avoided Cost Benefits'!$A$4:$A$857,0)))*F1439</f>
        <v>516.54871607576422</v>
      </c>
      <c r="BE1439" s="1949">
        <f t="shared" si="157"/>
        <v>413.40254837187348</v>
      </c>
      <c r="BF1439" s="1942"/>
      <c r="BG1439" s="691"/>
      <c r="BH1439" s="821"/>
      <c r="BI1439" s="691"/>
    </row>
    <row r="1440" spans="1:61" s="51" customFormat="1" x14ac:dyDescent="0.25">
      <c r="A1440" s="1267" t="str">
        <f t="shared" si="150"/>
        <v>352650_2021_12_Heating Res</v>
      </c>
      <c r="B1440" s="123"/>
      <c r="C1440" s="2038" t="s">
        <v>1226</v>
      </c>
      <c r="D1440" s="1553" t="s">
        <v>320</v>
      </c>
      <c r="E1440" s="3008" t="s">
        <v>1227</v>
      </c>
      <c r="F1440" s="742">
        <f>ROUND(((K1817*K2004*(1/K2191-1/K2378)*K3313)/1000)*$K$3484,2)</f>
        <v>637.16</v>
      </c>
      <c r="G1440" s="214" t="s">
        <v>1135</v>
      </c>
      <c r="H1440" s="155">
        <f>VLOOKUP(G1440,'CP FACTORS'!$A$3:$B$38, 2, FALSE)</f>
        <v>0</v>
      </c>
      <c r="I1440" s="1554">
        <f t="shared" si="151"/>
        <v>0</v>
      </c>
      <c r="J1440" s="108">
        <f t="shared" si="154"/>
        <v>18</v>
      </c>
      <c r="K1440" s="1052">
        <f t="shared" si="155"/>
        <v>0</v>
      </c>
      <c r="L1440" s="1088"/>
      <c r="M1440" s="328"/>
      <c r="N1440" s="1587"/>
      <c r="O1440" s="1135"/>
      <c r="P1440" s="123"/>
      <c r="Q1440" s="123"/>
      <c r="R1440" s="1431"/>
      <c r="S1440" s="123"/>
      <c r="T1440" s="123"/>
      <c r="U1440" s="1589"/>
      <c r="V1440" s="1962" t="s">
        <v>31</v>
      </c>
      <c r="W1440" s="818">
        <v>1584.0000000000018</v>
      </c>
      <c r="X1440" s="819">
        <v>377.74325409076874</v>
      </c>
      <c r="Y1440" s="742">
        <v>928.06</v>
      </c>
      <c r="Z1440" s="737">
        <v>928.06</v>
      </c>
      <c r="AA1440" s="737">
        <v>928.06</v>
      </c>
      <c r="AB1440" s="2162">
        <v>928.06</v>
      </c>
      <c r="AC1440" s="742">
        <v>637.16</v>
      </c>
      <c r="AD1440" s="818"/>
      <c r="AE1440" s="818"/>
      <c r="AF1440" s="818"/>
      <c r="AG1440" s="818"/>
      <c r="AH1440" s="163"/>
      <c r="AI1440" s="1942"/>
      <c r="AJ1440" s="1942"/>
      <c r="AK1440" s="820"/>
      <c r="AL1440" s="1942"/>
      <c r="AM1440" s="1942"/>
      <c r="AN1440" s="1942"/>
      <c r="AO1440" s="1942"/>
      <c r="AP1440" s="1942"/>
      <c r="AQ1440" s="1942"/>
      <c r="AR1440" s="1942"/>
      <c r="AS1440" s="1942"/>
      <c r="AT1440" s="1942"/>
      <c r="AU1440" s="1942"/>
      <c r="AV1440" s="1942"/>
      <c r="AW1440" s="1942"/>
      <c r="AX1440" s="1942"/>
      <c r="AY1440" s="1942"/>
      <c r="AZ1440" s="1942"/>
      <c r="BA1440" s="1942"/>
      <c r="BB1440" s="242"/>
      <c r="BC1440" s="822" t="str">
        <f t="shared" si="152"/>
        <v>Heating Res 18 Year EUL</v>
      </c>
      <c r="BD1440" s="673">
        <f>(INDEX('Avoided Cost Benefits'!$C$4:$C$857,MATCH(BC1440,'Avoided Cost Benefits'!$A$4:$A$857,0)))*F1440</f>
        <v>294.37818064830532</v>
      </c>
      <c r="BE1440" s="1949">
        <f t="shared" si="157"/>
        <v>0</v>
      </c>
      <c r="BF1440" s="1942"/>
      <c r="BG1440" s="691"/>
      <c r="BH1440" s="821"/>
      <c r="BI1440" s="691"/>
    </row>
    <row r="1441" spans="1:61" s="51" customFormat="1" x14ac:dyDescent="0.25">
      <c r="A1441" s="1267" t="str">
        <f t="shared" si="150"/>
        <v>352700_2021_12_Cooling Res</v>
      </c>
      <c r="B1441" s="123"/>
      <c r="C1441" s="2038" t="s">
        <v>1229</v>
      </c>
      <c r="D1441" s="1553" t="s">
        <v>322</v>
      </c>
      <c r="E1441" s="2878" t="s">
        <v>1230</v>
      </c>
      <c r="F1441" s="742">
        <f>ROUND(((K2566*K2753*(1/K2940-1/K3127)*K3314)/1000)*$K$3484,2)</f>
        <v>1068.07</v>
      </c>
      <c r="G1441" s="214" t="s">
        <v>1134</v>
      </c>
      <c r="H1441" s="155">
        <f>VLOOKUP(G1441,'CP FACTORS'!$A$3:$B$38, 2, FALSE)</f>
        <v>9.4741810000000004E-4</v>
      </c>
      <c r="I1441" s="1554">
        <f t="shared" si="151"/>
        <v>1.0119089999999999</v>
      </c>
      <c r="J1441" s="108">
        <f t="shared" si="154"/>
        <v>6</v>
      </c>
      <c r="K1441" s="3294">
        <f t="shared" si="155"/>
        <v>755.98637211198456</v>
      </c>
      <c r="L1441" s="1088">
        <f>L1818</f>
        <v>2.9166666666666665</v>
      </c>
      <c r="M1441" s="328"/>
      <c r="N1441" s="1587"/>
      <c r="O1441" s="1135"/>
      <c r="P1441" s="123"/>
      <c r="Q1441" s="123"/>
      <c r="R1441" s="1431"/>
      <c r="S1441" s="123"/>
      <c r="T1441" s="123"/>
      <c r="U1441" s="1589"/>
      <c r="V1441" s="1962" t="s">
        <v>31</v>
      </c>
      <c r="W1441" s="818">
        <v>1526.8406732891833</v>
      </c>
      <c r="X1441" s="819">
        <v>1130.9484063824204</v>
      </c>
      <c r="Y1441" s="737">
        <v>1130.95</v>
      </c>
      <c r="Z1441" s="737">
        <v>1130.95</v>
      </c>
      <c r="AA1441" s="737">
        <v>1130.95</v>
      </c>
      <c r="AB1441" s="425">
        <v>1328.6</v>
      </c>
      <c r="AC1441" s="742">
        <v>1068.07</v>
      </c>
      <c r="AD1441" s="818"/>
      <c r="AE1441" s="818"/>
      <c r="AF1441" s="818"/>
      <c r="AG1441" s="818"/>
      <c r="AH1441" s="163"/>
      <c r="AI1441" s="1942"/>
      <c r="AJ1441" s="1942"/>
      <c r="AK1441" s="820"/>
      <c r="AL1441" s="1942"/>
      <c r="AM1441" s="1942"/>
      <c r="AN1441" s="1942"/>
      <c r="AO1441" s="1942"/>
      <c r="AP1441" s="1942"/>
      <c r="AQ1441" s="1942"/>
      <c r="AR1441" s="1942"/>
      <c r="AS1441" s="1942"/>
      <c r="AT1441" s="1942"/>
      <c r="AU1441" s="1942"/>
      <c r="AV1441" s="1942"/>
      <c r="AW1441" s="1942"/>
      <c r="AX1441" s="1942"/>
      <c r="AY1441" s="1942"/>
      <c r="AZ1441" s="1942"/>
      <c r="BA1441" s="1942"/>
      <c r="BB1441" s="244">
        <f>(BD1441+BD1442+BD1443+BD1444)/(BE1441+BE1442+BE1443+BE1444)</f>
        <v>1.4753381217828629</v>
      </c>
      <c r="BC1441" s="3115" t="str">
        <f t="shared" si="152"/>
        <v>Cooling Res 6 Year EUL</v>
      </c>
      <c r="BD1441" s="673">
        <f>(INDEX('Avoided Cost Benefits'!$C$4:$C$857,MATCH(BC1441,'Avoided Cost Benefits'!$A$4:$A$857,0)))*F1441</f>
        <v>621.06578990599326</v>
      </c>
      <c r="BE1441" s="1949">
        <f t="shared" si="157"/>
        <v>713.53126202169369</v>
      </c>
      <c r="BF1441" s="1942"/>
      <c r="BG1441" s="691"/>
      <c r="BH1441" s="821"/>
      <c r="BI1441" s="691"/>
    </row>
    <row r="1442" spans="1:61" s="51" customFormat="1" x14ac:dyDescent="0.25">
      <c r="A1442" s="1267" t="str">
        <f t="shared" si="150"/>
        <v>352700_2021_12_Heating Res</v>
      </c>
      <c r="B1442" s="123"/>
      <c r="C1442" s="2038" t="s">
        <v>1229</v>
      </c>
      <c r="D1442" s="1553" t="s">
        <v>322</v>
      </c>
      <c r="E1442" s="3007" t="s">
        <v>1230</v>
      </c>
      <c r="F1442" s="742">
        <f>ROUND(((K1818*K2005*(1/K2192-1/K2379)*K3314)/1000)*$K$3484,2)</f>
        <v>1319.43</v>
      </c>
      <c r="G1442" s="214" t="s">
        <v>1135</v>
      </c>
      <c r="H1442" s="155">
        <f>VLOOKUP(G1442,'CP FACTORS'!$A$3:$B$38, 2, FALSE)</f>
        <v>0</v>
      </c>
      <c r="I1442" s="1554">
        <f t="shared" si="151"/>
        <v>0</v>
      </c>
      <c r="J1442" s="108">
        <f t="shared" si="154"/>
        <v>6</v>
      </c>
      <c r="K1442" s="1052">
        <f t="shared" si="155"/>
        <v>0</v>
      </c>
      <c r="L1442" s="1088"/>
      <c r="M1442" s="328"/>
      <c r="N1442" s="1587"/>
      <c r="O1442" s="1135"/>
      <c r="P1442" s="123"/>
      <c r="Q1442" s="123"/>
      <c r="R1442" s="1431"/>
      <c r="S1442" s="123"/>
      <c r="T1442" s="123"/>
      <c r="U1442" s="1589"/>
      <c r="V1442" s="1962" t="s">
        <v>31</v>
      </c>
      <c r="W1442" s="818">
        <v>3346.0750760649075</v>
      </c>
      <c r="X1442" s="819">
        <v>2491.6517241379302</v>
      </c>
      <c r="Y1442" s="737">
        <v>2491.65</v>
      </c>
      <c r="Z1442" s="737">
        <v>2491.65</v>
      </c>
      <c r="AA1442" s="737">
        <v>2491.65</v>
      </c>
      <c r="AB1442" s="425">
        <v>1396.62</v>
      </c>
      <c r="AC1442" s="742">
        <v>1319.43</v>
      </c>
      <c r="AD1442" s="818"/>
      <c r="AE1442" s="818"/>
      <c r="AF1442" s="818"/>
      <c r="AG1442" s="818"/>
      <c r="AH1442" s="163"/>
      <c r="AI1442" s="1942"/>
      <c r="AJ1442" s="1942"/>
      <c r="AK1442" s="820"/>
      <c r="AL1442" s="1942"/>
      <c r="AM1442" s="1942"/>
      <c r="AN1442" s="1942"/>
      <c r="AO1442" s="1942"/>
      <c r="AP1442" s="1942"/>
      <c r="AQ1442" s="1942"/>
      <c r="AR1442" s="1942"/>
      <c r="AS1442" s="1942"/>
      <c r="AT1442" s="1942"/>
      <c r="AU1442" s="1942"/>
      <c r="AV1442" s="1942"/>
      <c r="AW1442" s="1942"/>
      <c r="AX1442" s="1942"/>
      <c r="AY1442" s="1942"/>
      <c r="AZ1442" s="1942"/>
      <c r="BA1442" s="1942"/>
      <c r="BB1442" s="734"/>
      <c r="BC1442" s="3130" t="str">
        <f t="shared" si="152"/>
        <v>Heating Res 6 Year EUL</v>
      </c>
      <c r="BD1442" s="673">
        <f>(INDEX('Avoided Cost Benefits'!$C$4:$C$857,MATCH(BC1442,'Avoided Cost Benefits'!$A$4:$A$857,0)))*F1442</f>
        <v>219.46541547106719</v>
      </c>
      <c r="BE1442" s="1949">
        <f t="shared" si="157"/>
        <v>0</v>
      </c>
      <c r="BF1442" s="1942"/>
      <c r="BG1442" s="691"/>
      <c r="BH1442" s="821"/>
      <c r="BI1442" s="691"/>
    </row>
    <row r="1443" spans="1:61" s="51" customFormat="1" x14ac:dyDescent="0.25">
      <c r="A1443" s="1267" t="str">
        <f t="shared" si="150"/>
        <v>352700_2021_12_Cooling Res ER2</v>
      </c>
      <c r="B1443" s="123"/>
      <c r="C1443" s="2038" t="s">
        <v>1229</v>
      </c>
      <c r="D1443" s="1553" t="s">
        <v>322</v>
      </c>
      <c r="E1443" s="3007" t="s">
        <v>1231</v>
      </c>
      <c r="F1443" s="742">
        <f>ROUND(((K2567*K2754*(1/K2941-1/K3128)*K3315)/1000)*$K$3484,2)</f>
        <v>105.03</v>
      </c>
      <c r="G1443" s="1580" t="s">
        <v>1176</v>
      </c>
      <c r="H1443" s="155">
        <f>VLOOKUP(G1443,'CP FACTORS'!$A$3:$B$38, 2, FALSE)</f>
        <v>9.4741810000000004E-4</v>
      </c>
      <c r="I1443" s="1554">
        <f t="shared" si="151"/>
        <v>9.9506999999999998E-2</v>
      </c>
      <c r="J1443" s="108">
        <f t="shared" si="154"/>
        <v>12</v>
      </c>
      <c r="K1443" s="1052">
        <f t="shared" si="155"/>
        <v>0</v>
      </c>
      <c r="L1443" s="1088"/>
      <c r="M1443" s="328"/>
      <c r="N1443" s="1587"/>
      <c r="O1443" s="1135"/>
      <c r="P1443" s="123"/>
      <c r="Q1443" s="123"/>
      <c r="R1443" s="1431"/>
      <c r="S1443" s="123"/>
      <c r="T1443" s="123"/>
      <c r="U1443" s="1589"/>
      <c r="V1443" s="1962" t="s">
        <v>31</v>
      </c>
      <c r="W1443" s="818">
        <v>109.33614947965923</v>
      </c>
      <c r="X1443" s="819">
        <v>109.33614947965923</v>
      </c>
      <c r="Y1443" s="737">
        <v>109.34</v>
      </c>
      <c r="Z1443" s="737">
        <v>109.34</v>
      </c>
      <c r="AA1443" s="737">
        <v>109.34</v>
      </c>
      <c r="AB1443" s="425">
        <v>103.53</v>
      </c>
      <c r="AC1443" s="742">
        <v>105.03</v>
      </c>
      <c r="AD1443" s="818"/>
      <c r="AE1443" s="818"/>
      <c r="AF1443" s="818"/>
      <c r="AG1443" s="818"/>
      <c r="AH1443" s="163"/>
      <c r="AI1443" s="1942"/>
      <c r="AJ1443" s="1942"/>
      <c r="AK1443" s="820"/>
      <c r="AL1443" s="1942"/>
      <c r="AM1443" s="1942"/>
      <c r="AN1443" s="1942"/>
      <c r="AO1443" s="1942"/>
      <c r="AP1443" s="1942"/>
      <c r="AQ1443" s="1942"/>
      <c r="AR1443" s="1942"/>
      <c r="AS1443" s="1942"/>
      <c r="AT1443" s="1942"/>
      <c r="AU1443" s="1942"/>
      <c r="AV1443" s="1942"/>
      <c r="AW1443" s="1942"/>
      <c r="AX1443" s="1942"/>
      <c r="AY1443" s="1942"/>
      <c r="AZ1443" s="1942"/>
      <c r="BA1443" s="1942"/>
      <c r="BB1443" s="734"/>
      <c r="BC1443" s="3130" t="str">
        <f t="shared" si="152"/>
        <v>Cooling Res ER2 12 Year EUL</v>
      </c>
      <c r="BD1443" s="673">
        <f>(INDEX('Avoided Cost Benefits'!$C$4:$C$857,MATCH(BC1443,'Avoided Cost Benefits'!$A$4:$A$857,0)))*F1443</f>
        <v>124.17943860676928</v>
      </c>
      <c r="BE1443" s="1949">
        <f t="shared" si="157"/>
        <v>0</v>
      </c>
      <c r="BF1443" s="1942"/>
      <c r="BG1443" s="691"/>
      <c r="BH1443" s="821"/>
      <c r="BI1443" s="691"/>
    </row>
    <row r="1444" spans="1:61" s="51" customFormat="1" x14ac:dyDescent="0.25">
      <c r="A1444" s="1267" t="str">
        <f t="shared" si="150"/>
        <v>352700_2021_12_Heating Res ER2</v>
      </c>
      <c r="B1444" s="123"/>
      <c r="C1444" s="2038" t="s">
        <v>1229</v>
      </c>
      <c r="D1444" s="1553" t="s">
        <v>322</v>
      </c>
      <c r="E1444" s="3005" t="s">
        <v>1231</v>
      </c>
      <c r="F1444" s="742">
        <f>ROUND(((K1819*K2006*(1/K2193-1/K2380)*K3315)/1000)*$K$3484,2)</f>
        <v>297.58</v>
      </c>
      <c r="G1444" s="1580" t="s">
        <v>1195</v>
      </c>
      <c r="H1444" s="155">
        <f>VLOOKUP(G1444,'CP FACTORS'!$A$3:$B$38, 2, FALSE)</f>
        <v>0</v>
      </c>
      <c r="I1444" s="1554">
        <f t="shared" si="151"/>
        <v>0</v>
      </c>
      <c r="J1444" s="108">
        <f t="shared" si="154"/>
        <v>12</v>
      </c>
      <c r="K1444" s="1052">
        <f t="shared" si="155"/>
        <v>0</v>
      </c>
      <c r="L1444" s="1088"/>
      <c r="M1444" s="328"/>
      <c r="N1444" s="1587"/>
      <c r="O1444" s="1135"/>
      <c r="P1444" s="123"/>
      <c r="Q1444" s="123"/>
      <c r="R1444" s="1431"/>
      <c r="S1444" s="123"/>
      <c r="T1444" s="123"/>
      <c r="U1444" s="1589"/>
      <c r="V1444" s="1962" t="s">
        <v>31</v>
      </c>
      <c r="W1444" s="818">
        <v>340.46551724137925</v>
      </c>
      <c r="X1444" s="819">
        <v>253.52733389402857</v>
      </c>
      <c r="Y1444" s="737">
        <v>253.53</v>
      </c>
      <c r="Z1444" s="737">
        <v>253.53</v>
      </c>
      <c r="AA1444" s="737">
        <v>253.53</v>
      </c>
      <c r="AB1444" s="425">
        <v>389.37</v>
      </c>
      <c r="AC1444" s="742">
        <v>297.58</v>
      </c>
      <c r="AD1444" s="818"/>
      <c r="AE1444" s="818"/>
      <c r="AF1444" s="818"/>
      <c r="AG1444" s="818"/>
      <c r="AH1444" s="163"/>
      <c r="AI1444" s="1942"/>
      <c r="AJ1444" s="1942"/>
      <c r="AK1444" s="820"/>
      <c r="AL1444" s="1942"/>
      <c r="AM1444" s="1942"/>
      <c r="AN1444" s="1942"/>
      <c r="AO1444" s="1942"/>
      <c r="AP1444" s="1942"/>
      <c r="AQ1444" s="1942"/>
      <c r="AR1444" s="1942"/>
      <c r="AS1444" s="1942"/>
      <c r="AT1444" s="1942"/>
      <c r="AU1444" s="1942"/>
      <c r="AV1444" s="1942"/>
      <c r="AW1444" s="1942"/>
      <c r="AX1444" s="1942"/>
      <c r="AY1444" s="1942"/>
      <c r="AZ1444" s="1942"/>
      <c r="BA1444" s="1942"/>
      <c r="BB1444" s="734"/>
      <c r="BC1444" s="3116" t="str">
        <f t="shared" si="152"/>
        <v>Heating Res ER2 12 Year EUL</v>
      </c>
      <c r="BD1444" s="673">
        <f>(INDEX('Avoided Cost Benefits'!$C$4:$C$857,MATCH(BC1444,'Avoided Cost Benefits'!$A$4:$A$857,0)))*F1444</f>
        <v>87.989227960611544</v>
      </c>
      <c r="BE1444" s="1949">
        <f t="shared" si="157"/>
        <v>0</v>
      </c>
      <c r="BF1444" s="1942"/>
      <c r="BG1444" s="691"/>
      <c r="BH1444" s="821"/>
      <c r="BI1444" s="691"/>
    </row>
    <row r="1445" spans="1:61" s="51" customFormat="1" x14ac:dyDescent="0.25">
      <c r="A1445" s="1267" t="str">
        <f t="shared" si="150"/>
        <v>352701_2021_12_Cooling Res</v>
      </c>
      <c r="B1445" s="123"/>
      <c r="C1445" s="2038" t="s">
        <v>1233</v>
      </c>
      <c r="D1445" s="1553" t="s">
        <v>317</v>
      </c>
      <c r="E1445" s="2878" t="s">
        <v>1234</v>
      </c>
      <c r="F1445" s="742">
        <f>ROUND((($K$2568*$K$2755*(1/$K$2942-1/$K$3129)*$K$3316)/1000)*$K$3484,2)</f>
        <v>980.26</v>
      </c>
      <c r="G1445" s="214" t="str">
        <f t="shared" ref="G1445:G1448" si="158">G1441</f>
        <v>Cooling Res</v>
      </c>
      <c r="H1445" s="155">
        <f>VLOOKUP(G1445,'CP FACTORS'!$A$3:$B$38, 2, FALSE)</f>
        <v>9.4741810000000004E-4</v>
      </c>
      <c r="I1445" s="1554">
        <f t="shared" si="151"/>
        <v>0.92871599999999999</v>
      </c>
      <c r="J1445" s="108">
        <f t="shared" si="154"/>
        <v>6</v>
      </c>
      <c r="K1445" s="3294">
        <f t="shared" si="155"/>
        <v>755.98637211198456</v>
      </c>
      <c r="L1445" s="3296">
        <f>L1820</f>
        <v>2.9166666666666665</v>
      </c>
      <c r="M1445" s="328"/>
      <c r="N1445" s="1587"/>
      <c r="O1445" s="1135"/>
      <c r="P1445" s="123"/>
      <c r="Q1445" s="123"/>
      <c r="R1445" s="1431"/>
      <c r="S1445" s="123"/>
      <c r="T1445" s="123"/>
      <c r="U1445" s="1589"/>
      <c r="V1445" s="1962" t="s">
        <v>31</v>
      </c>
      <c r="W1445" s="818"/>
      <c r="X1445" s="819"/>
      <c r="Y1445" s="742">
        <v>822.51</v>
      </c>
      <c r="Z1445" s="737">
        <v>822.51</v>
      </c>
      <c r="AA1445" s="737">
        <v>822.51</v>
      </c>
      <c r="AB1445" s="425">
        <v>1041.8800000000001</v>
      </c>
      <c r="AC1445" s="742">
        <v>980.26</v>
      </c>
      <c r="AD1445" s="818"/>
      <c r="AE1445" s="818"/>
      <c r="AF1445" s="818"/>
      <c r="AG1445" s="818"/>
      <c r="AH1445" s="163"/>
      <c r="AI1445" s="1942"/>
      <c r="AJ1445" s="1942"/>
      <c r="AK1445" s="820"/>
      <c r="AL1445" s="1942"/>
      <c r="AM1445" s="1942"/>
      <c r="AN1445" s="1942"/>
      <c r="AO1445" s="1942"/>
      <c r="AP1445" s="1942"/>
      <c r="AQ1445" s="1942"/>
      <c r="AR1445" s="1942"/>
      <c r="AS1445" s="1942"/>
      <c r="AT1445" s="1942"/>
      <c r="AU1445" s="1942"/>
      <c r="AV1445" s="1942"/>
      <c r="AW1445" s="1942"/>
      <c r="AX1445" s="1942"/>
      <c r="AY1445" s="1942"/>
      <c r="AZ1445" s="1942"/>
      <c r="BA1445" s="1942"/>
      <c r="BB1445" s="244">
        <f>(BD1445+BD1446+BD1447+BD1448)/(BE1445+BE1446+BE1447+BE1448)</f>
        <v>1.0723269921314686</v>
      </c>
      <c r="BC1445" s="3115" t="str">
        <f t="shared" si="152"/>
        <v>Cooling Res 6 Year EUL</v>
      </c>
      <c r="BD1445" s="673">
        <f>(INDEX('Avoided Cost Benefits'!$C$4:$C$857,MATCH(BC1445,'Avoided Cost Benefits'!$A$4:$A$857,0)))*F1445</f>
        <v>570.00566555867033</v>
      </c>
      <c r="BE1445" s="1949">
        <f t="shared" si="157"/>
        <v>713.53126202169369</v>
      </c>
      <c r="BF1445" s="1942"/>
      <c r="BG1445" s="691"/>
      <c r="BH1445" s="824"/>
      <c r="BI1445" s="691"/>
    </row>
    <row r="1446" spans="1:61" s="51" customFormat="1" x14ac:dyDescent="0.25">
      <c r="A1446" s="1267" t="str">
        <f t="shared" si="150"/>
        <v>352701_2021_12_Heating Res</v>
      </c>
      <c r="B1446" s="123"/>
      <c r="C1446" s="2038" t="str">
        <f>C1445</f>
        <v>352701_2021_12_</v>
      </c>
      <c r="D1446" s="1553" t="s">
        <v>317</v>
      </c>
      <c r="E1446" s="3007" t="s">
        <v>1234</v>
      </c>
      <c r="F1446" s="742">
        <f>ROUND((($K$1820*$K$2007*(1/$K$2194-1/$K$2381)*$K$3316)/1000)*$K$3484,2)</f>
        <v>449.81</v>
      </c>
      <c r="G1446" s="214" t="str">
        <f t="shared" si="158"/>
        <v>Heating Res</v>
      </c>
      <c r="H1446" s="155">
        <f>VLOOKUP(G1446,'CP FACTORS'!$A$3:$B$38, 2, FALSE)</f>
        <v>0</v>
      </c>
      <c r="I1446" s="1554">
        <f t="shared" si="151"/>
        <v>0</v>
      </c>
      <c r="J1446" s="108">
        <f t="shared" si="154"/>
        <v>6</v>
      </c>
      <c r="K1446" s="1052">
        <f t="shared" si="155"/>
        <v>0</v>
      </c>
      <c r="L1446" s="1088"/>
      <c r="M1446" s="328"/>
      <c r="N1446" s="1587"/>
      <c r="O1446" s="1135"/>
      <c r="P1446" s="123"/>
      <c r="Q1446" s="123"/>
      <c r="R1446" s="1431"/>
      <c r="S1446" s="123"/>
      <c r="T1446" s="123"/>
      <c r="U1446" s="1589"/>
      <c r="V1446" s="1962" t="s">
        <v>31</v>
      </c>
      <c r="W1446" s="818"/>
      <c r="X1446" s="819"/>
      <c r="Y1446" s="742">
        <v>849.43</v>
      </c>
      <c r="Z1446" s="737">
        <v>849.43</v>
      </c>
      <c r="AA1446" s="737">
        <v>849.43</v>
      </c>
      <c r="AB1446" s="425">
        <v>423.54</v>
      </c>
      <c r="AC1446" s="742">
        <v>449.81</v>
      </c>
      <c r="AD1446" s="818"/>
      <c r="AE1446" s="818"/>
      <c r="AF1446" s="818"/>
      <c r="AG1446" s="818"/>
      <c r="AH1446" s="163"/>
      <c r="AI1446" s="1942"/>
      <c r="AJ1446" s="1942"/>
      <c r="AK1446" s="820"/>
      <c r="AL1446" s="1942"/>
      <c r="AM1446" s="1942"/>
      <c r="AN1446" s="1942"/>
      <c r="AO1446" s="1942"/>
      <c r="AP1446" s="1942"/>
      <c r="AQ1446" s="1942"/>
      <c r="AR1446" s="1942"/>
      <c r="AS1446" s="1942"/>
      <c r="AT1446" s="1942"/>
      <c r="AU1446" s="1942"/>
      <c r="AV1446" s="1942"/>
      <c r="AW1446" s="1942"/>
      <c r="AX1446" s="1942"/>
      <c r="AY1446" s="1942"/>
      <c r="AZ1446" s="1942"/>
      <c r="BA1446" s="1942"/>
      <c r="BB1446" s="734"/>
      <c r="BC1446" s="3130" t="str">
        <f t="shared" si="152"/>
        <v>Heating Res 6 Year EUL</v>
      </c>
      <c r="BD1446" s="673">
        <f>(INDEX('Avoided Cost Benefits'!$C$4:$C$857,MATCH(BC1446,'Avoided Cost Benefits'!$A$4:$A$857,0)))*F1446</f>
        <v>74.81847353254112</v>
      </c>
      <c r="BE1446" s="1949">
        <f t="shared" si="157"/>
        <v>0</v>
      </c>
      <c r="BF1446" s="1942"/>
      <c r="BG1446" s="691"/>
      <c r="BH1446" s="824"/>
      <c r="BI1446" s="691"/>
    </row>
    <row r="1447" spans="1:61" s="51" customFormat="1" x14ac:dyDescent="0.25">
      <c r="A1447" s="1267" t="str">
        <f t="shared" si="150"/>
        <v>352701_2021_12_Cooling Res ER2</v>
      </c>
      <c r="B1447" s="123"/>
      <c r="C1447" s="2038" t="str">
        <f>C1446</f>
        <v>352701_2021_12_</v>
      </c>
      <c r="D1447" s="1553" t="s">
        <v>317</v>
      </c>
      <c r="E1447" s="3007" t="s">
        <v>1235</v>
      </c>
      <c r="F1447" s="742">
        <f>ROUND((($K$2569*$K$2756*(1/$K$2943-1/$K$3130)*$K$3317)/1000)*$K$3484,2)</f>
        <v>76.39</v>
      </c>
      <c r="G1447" s="214" t="str">
        <f t="shared" si="158"/>
        <v>Cooling Res ER2</v>
      </c>
      <c r="H1447" s="155">
        <f>VLOOKUP(G1447,'CP FACTORS'!$A$3:$B$38, 2, FALSE)</f>
        <v>9.4741810000000004E-4</v>
      </c>
      <c r="I1447" s="1554">
        <f t="shared" si="151"/>
        <v>7.2373000000000007E-2</v>
      </c>
      <c r="J1447" s="108">
        <f t="shared" si="154"/>
        <v>12</v>
      </c>
      <c r="K1447" s="1052">
        <f t="shared" si="155"/>
        <v>0</v>
      </c>
      <c r="L1447" s="1088"/>
      <c r="M1447" s="328"/>
      <c r="N1447" s="1587"/>
      <c r="O1447" s="1135"/>
      <c r="P1447" s="123"/>
      <c r="Q1447" s="123"/>
      <c r="R1447" s="1431"/>
      <c r="S1447" s="123"/>
      <c r="T1447" s="123"/>
      <c r="U1447" s="1589"/>
      <c r="V1447" s="1962" t="s">
        <v>31</v>
      </c>
      <c r="W1447" s="818"/>
      <c r="X1447" s="819"/>
      <c r="Y1447" s="742">
        <v>79.52</v>
      </c>
      <c r="Z1447" s="737">
        <v>79.52</v>
      </c>
      <c r="AA1447" s="737">
        <v>79.52</v>
      </c>
      <c r="AB1447" s="425">
        <v>81.19</v>
      </c>
      <c r="AC1447" s="742">
        <v>76.39</v>
      </c>
      <c r="AD1447" s="818"/>
      <c r="AE1447" s="818"/>
      <c r="AF1447" s="818"/>
      <c r="AG1447" s="818"/>
      <c r="AH1447" s="163"/>
      <c r="AI1447" s="1942"/>
      <c r="AJ1447" s="1942"/>
      <c r="AK1447" s="820"/>
      <c r="AL1447" s="1942"/>
      <c r="AM1447" s="1942"/>
      <c r="AN1447" s="1942"/>
      <c r="AO1447" s="1942"/>
      <c r="AP1447" s="1942"/>
      <c r="AQ1447" s="1942"/>
      <c r="AR1447" s="1942"/>
      <c r="AS1447" s="1942"/>
      <c r="AT1447" s="1942"/>
      <c r="AU1447" s="1942"/>
      <c r="AV1447" s="1942"/>
      <c r="AW1447" s="1942"/>
      <c r="AX1447" s="1942"/>
      <c r="AY1447" s="1942"/>
      <c r="AZ1447" s="1942"/>
      <c r="BA1447" s="1942"/>
      <c r="BB1447" s="734"/>
      <c r="BC1447" s="3130" t="str">
        <f t="shared" si="152"/>
        <v>Cooling Res ER2 12 Year EUL</v>
      </c>
      <c r="BD1447" s="673">
        <f>(INDEX('Avoided Cost Benefits'!$C$4:$C$857,MATCH(BC1447,'Avoided Cost Benefits'!$A$4:$A$857,0)))*F1447</f>
        <v>90.317693184529233</v>
      </c>
      <c r="BE1447" s="1949">
        <f t="shared" si="157"/>
        <v>0</v>
      </c>
      <c r="BF1447" s="1942"/>
      <c r="BG1447" s="691"/>
      <c r="BH1447" s="824"/>
      <c r="BI1447" s="691"/>
    </row>
    <row r="1448" spans="1:61" s="51" customFormat="1" x14ac:dyDescent="0.25">
      <c r="A1448" s="1267" t="str">
        <f t="shared" si="150"/>
        <v>352701_2021_12_Heating Res ER2</v>
      </c>
      <c r="B1448" s="123"/>
      <c r="C1448" s="2038" t="str">
        <f>C1447</f>
        <v>352701_2021_12_</v>
      </c>
      <c r="D1448" s="1553" t="s">
        <v>317</v>
      </c>
      <c r="E1448" s="3005" t="s">
        <v>1235</v>
      </c>
      <c r="F1448" s="742">
        <f>ROUND((($K$1821*$K$2008*(1/$K$2195-1/$K$2382)*$K$3317)/1000)*$K$3484,2)</f>
        <v>101.45</v>
      </c>
      <c r="G1448" s="214" t="str">
        <f t="shared" si="158"/>
        <v>Heating Res ER2</v>
      </c>
      <c r="H1448" s="155">
        <f>VLOOKUP(G1448,'CP FACTORS'!$A$3:$B$38, 2, FALSE)</f>
        <v>0</v>
      </c>
      <c r="I1448" s="1554">
        <f t="shared" si="151"/>
        <v>0</v>
      </c>
      <c r="J1448" s="108">
        <f t="shared" si="154"/>
        <v>12</v>
      </c>
      <c r="K1448" s="1052">
        <f t="shared" si="155"/>
        <v>0</v>
      </c>
      <c r="L1448" s="1088"/>
      <c r="M1448" s="328"/>
      <c r="N1448" s="1587"/>
      <c r="O1448" s="1135"/>
      <c r="P1448" s="123"/>
      <c r="Q1448" s="123"/>
      <c r="R1448" s="1431"/>
      <c r="S1448" s="123"/>
      <c r="T1448" s="123"/>
      <c r="U1448" s="1589"/>
      <c r="V1448" s="1962" t="s">
        <v>31</v>
      </c>
      <c r="W1448" s="818"/>
      <c r="X1448" s="819"/>
      <c r="Y1448" s="742">
        <v>86.43</v>
      </c>
      <c r="Z1448" s="737">
        <v>86.43</v>
      </c>
      <c r="AA1448" s="737">
        <v>86.43</v>
      </c>
      <c r="AB1448" s="425">
        <v>80.16</v>
      </c>
      <c r="AC1448" s="742">
        <v>101.45</v>
      </c>
      <c r="AD1448" s="818"/>
      <c r="AE1448" s="818"/>
      <c r="AF1448" s="818"/>
      <c r="AG1448" s="818"/>
      <c r="AH1448" s="163"/>
      <c r="AI1448" s="1942"/>
      <c r="AJ1448" s="1942"/>
      <c r="AK1448" s="820"/>
      <c r="AL1448" s="1942"/>
      <c r="AM1448" s="1942"/>
      <c r="AN1448" s="1942"/>
      <c r="AO1448" s="1942"/>
      <c r="AP1448" s="1942"/>
      <c r="AQ1448" s="1942"/>
      <c r="AR1448" s="1942"/>
      <c r="AS1448" s="1942"/>
      <c r="AT1448" s="1942"/>
      <c r="AU1448" s="1942"/>
      <c r="AV1448" s="1942"/>
      <c r="AW1448" s="1942"/>
      <c r="AX1448" s="1942"/>
      <c r="AY1448" s="1942"/>
      <c r="AZ1448" s="1942"/>
      <c r="BA1448" s="1942"/>
      <c r="BB1448" s="734"/>
      <c r="BC1448" s="3116" t="str">
        <f t="shared" si="152"/>
        <v>Heating Res ER2 12 Year EUL</v>
      </c>
      <c r="BD1448" s="673">
        <f>(INDEX('Avoided Cost Benefits'!$C$4:$C$857,MATCH(BC1448,'Avoided Cost Benefits'!$A$4:$A$857,0)))*F1448</f>
        <v>29.996999719752811</v>
      </c>
      <c r="BE1448" s="1949">
        <f t="shared" si="157"/>
        <v>0</v>
      </c>
      <c r="BF1448" s="1942"/>
      <c r="BG1448" s="691"/>
      <c r="BH1448" s="824"/>
      <c r="BI1448" s="691"/>
    </row>
    <row r="1449" spans="1:61" s="51" customFormat="1" x14ac:dyDescent="0.25">
      <c r="A1449" s="1267" t="str">
        <f t="shared" si="150"/>
        <v>352750_2021_12_Cooling Res</v>
      </c>
      <c r="B1449" s="123"/>
      <c r="C1449" s="2038" t="s">
        <v>1237</v>
      </c>
      <c r="D1449" s="1553" t="s">
        <v>322</v>
      </c>
      <c r="E1449" s="2878" t="s">
        <v>1238</v>
      </c>
      <c r="F1449" s="742">
        <f>ROUND(((K2570*K2757*(1/K2944-1/K3131)*K3318)/1000)*$K$3484,2)</f>
        <v>914.58</v>
      </c>
      <c r="G1449" s="214" t="s">
        <v>1134</v>
      </c>
      <c r="H1449" s="155">
        <f>VLOOKUP(G1449,'CP FACTORS'!$A$3:$B$38, 2, FALSE)</f>
        <v>9.4741810000000004E-4</v>
      </c>
      <c r="I1449" s="1554">
        <f t="shared" si="151"/>
        <v>0.86648999999999998</v>
      </c>
      <c r="J1449" s="108">
        <f t="shared" si="154"/>
        <v>6</v>
      </c>
      <c r="K1449" s="3294">
        <f t="shared" si="155"/>
        <v>691.27403323884414</v>
      </c>
      <c r="L1449" s="1088">
        <f>L1822</f>
        <v>2.5</v>
      </c>
      <c r="M1449" s="328"/>
      <c r="N1449" s="1587"/>
      <c r="O1449" s="1135"/>
      <c r="P1449" s="123"/>
      <c r="Q1449" s="123"/>
      <c r="R1449" s="1431"/>
      <c r="S1449" s="123"/>
      <c r="T1449" s="123"/>
      <c r="U1449" s="1589"/>
      <c r="V1449" s="1962" t="s">
        <v>31</v>
      </c>
      <c r="W1449" s="818">
        <v>1534.1387611998441</v>
      </c>
      <c r="X1449" s="819">
        <v>1021.5017864099281</v>
      </c>
      <c r="Y1449" s="737">
        <v>1021.5</v>
      </c>
      <c r="Z1449" s="737">
        <v>1021.5</v>
      </c>
      <c r="AA1449" s="737">
        <v>1021.5</v>
      </c>
      <c r="AB1449" s="425">
        <v>1281.8399999999999</v>
      </c>
      <c r="AC1449" s="742">
        <v>914.58</v>
      </c>
      <c r="AD1449" s="818"/>
      <c r="AE1449" s="818"/>
      <c r="AF1449" s="818"/>
      <c r="AG1449" s="818"/>
      <c r="AH1449" s="163"/>
      <c r="AI1449" s="1942"/>
      <c r="AJ1449" s="1942"/>
      <c r="AK1449" s="820"/>
      <c r="AL1449" s="1942"/>
      <c r="AM1449" s="1942"/>
      <c r="AN1449" s="1942"/>
      <c r="AO1449" s="1942"/>
      <c r="AP1449" s="1942"/>
      <c r="AQ1449" s="1942"/>
      <c r="AR1449" s="1942"/>
      <c r="AS1449" s="1942"/>
      <c r="AT1449" s="1942"/>
      <c r="AU1449" s="1942"/>
      <c r="AV1449" s="1942"/>
      <c r="AW1449" s="1942"/>
      <c r="AX1449" s="1942"/>
      <c r="AY1449" s="1942"/>
      <c r="AZ1449" s="1942"/>
      <c r="BA1449" s="1942"/>
      <c r="BB1449" s="244">
        <f>(BD1449+BD1450+BD1451+BD1452)/(BE1449+BE1450+BE1451+BE1452)</f>
        <v>5.0046118976828184</v>
      </c>
      <c r="BC1449" s="3115" t="str">
        <f t="shared" si="152"/>
        <v>Cooling Res 6 Year EUL</v>
      </c>
      <c r="BD1449" s="673">
        <f>(INDEX('Avoided Cost Benefits'!$C$4:$C$857,MATCH(BC1449,'Avoided Cost Benefits'!$A$4:$A$857,0)))*F1449</f>
        <v>531.81378573709912</v>
      </c>
      <c r="BE1449" s="1949">
        <f t="shared" si="157"/>
        <v>652.45307526082502</v>
      </c>
      <c r="BF1449" s="1942"/>
      <c r="BG1449" s="691"/>
      <c r="BH1449" s="821"/>
      <c r="BI1449" s="691"/>
    </row>
    <row r="1450" spans="1:61" s="51" customFormat="1" x14ac:dyDescent="0.25">
      <c r="A1450" s="1267" t="str">
        <f t="shared" si="150"/>
        <v>352750_2021_12_Heating Res</v>
      </c>
      <c r="B1450" s="123"/>
      <c r="C1450" s="2038" t="s">
        <v>1237</v>
      </c>
      <c r="D1450" s="1553" t="s">
        <v>322</v>
      </c>
      <c r="E1450" s="3007" t="s">
        <v>1238</v>
      </c>
      <c r="F1450" s="742">
        <f>ROUND(((K1822*K2009*(1/K2196-1/K2383)*K3318)/1000)*$K$3484,2)</f>
        <v>5401.11</v>
      </c>
      <c r="G1450" s="214" t="s">
        <v>1135</v>
      </c>
      <c r="H1450" s="155">
        <f>VLOOKUP(G1450,'CP FACTORS'!$A$3:$B$38, 2, FALSE)</f>
        <v>0</v>
      </c>
      <c r="I1450" s="1554">
        <f t="shared" si="151"/>
        <v>0</v>
      </c>
      <c r="J1450" s="108">
        <f t="shared" si="154"/>
        <v>6</v>
      </c>
      <c r="K1450" s="1052">
        <f t="shared" si="155"/>
        <v>0</v>
      </c>
      <c r="L1450" s="1088"/>
      <c r="M1450" s="328"/>
      <c r="N1450" s="1587"/>
      <c r="O1450" s="1135"/>
      <c r="P1450" s="123"/>
      <c r="Q1450" s="123"/>
      <c r="R1450" s="1431"/>
      <c r="S1450" s="123"/>
      <c r="T1450" s="123"/>
      <c r="U1450" s="1589"/>
      <c r="V1450" s="1962" t="s">
        <v>31</v>
      </c>
      <c r="W1450" s="818">
        <v>7823.7436343411837</v>
      </c>
      <c r="X1450" s="819">
        <v>5825.9434927697412</v>
      </c>
      <c r="Y1450" s="737">
        <v>5825.94</v>
      </c>
      <c r="Z1450" s="737">
        <v>5825.94</v>
      </c>
      <c r="AA1450" s="737">
        <v>5825.94</v>
      </c>
      <c r="AB1450" s="425">
        <v>5742.99</v>
      </c>
      <c r="AC1450" s="742">
        <v>5401.11</v>
      </c>
      <c r="AD1450" s="818"/>
      <c r="AE1450" s="818"/>
      <c r="AF1450" s="818"/>
      <c r="AG1450" s="818"/>
      <c r="AH1450" s="163"/>
      <c r="AI1450" s="1942"/>
      <c r="AJ1450" s="1942"/>
      <c r="AK1450" s="820"/>
      <c r="AL1450" s="1942"/>
      <c r="AM1450" s="1942"/>
      <c r="AN1450" s="1942"/>
      <c r="AO1450" s="1942"/>
      <c r="AP1450" s="1942"/>
      <c r="AQ1450" s="1942"/>
      <c r="AR1450" s="1942"/>
      <c r="AS1450" s="1942"/>
      <c r="AT1450" s="1942"/>
      <c r="AU1450" s="1942"/>
      <c r="AV1450" s="1942"/>
      <c r="AW1450" s="1942"/>
      <c r="AX1450" s="1942"/>
      <c r="AY1450" s="1942"/>
      <c r="AZ1450" s="1942"/>
      <c r="BA1450" s="1942"/>
      <c r="BB1450" s="734"/>
      <c r="BC1450" s="3130" t="str">
        <f t="shared" si="152"/>
        <v>Heating Res 6 Year EUL</v>
      </c>
      <c r="BD1450" s="673">
        <f>(INDEX('Avoided Cost Benefits'!$C$4:$C$857,MATCH(BC1450,'Avoided Cost Benefits'!$A$4:$A$857,0)))*F1450</f>
        <v>898.38555296979428</v>
      </c>
      <c r="BE1450" s="1949">
        <f t="shared" si="157"/>
        <v>0</v>
      </c>
      <c r="BF1450" s="1942"/>
      <c r="BG1450" s="691"/>
      <c r="BH1450" s="821"/>
      <c r="BI1450" s="691"/>
    </row>
    <row r="1451" spans="1:61" s="51" customFormat="1" x14ac:dyDescent="0.25">
      <c r="A1451" s="1267" t="str">
        <f t="shared" si="150"/>
        <v>352750_2021_12_Cooling Res ER2</v>
      </c>
      <c r="B1451" s="123"/>
      <c r="C1451" s="2038" t="s">
        <v>1237</v>
      </c>
      <c r="D1451" s="1553" t="s">
        <v>322</v>
      </c>
      <c r="E1451" s="3007" t="s">
        <v>1239</v>
      </c>
      <c r="F1451" s="742">
        <f>ROUND(((K2571*K2758*(1/K2945-1/K3132)*K3319)/1000)*$K$3484,2)</f>
        <v>201.35</v>
      </c>
      <c r="G1451" s="1580" t="s">
        <v>1176</v>
      </c>
      <c r="H1451" s="155">
        <f>VLOOKUP(G1451,'CP FACTORS'!$A$3:$B$38, 2, FALSE)</f>
        <v>9.4741810000000004E-4</v>
      </c>
      <c r="I1451" s="1554">
        <f t="shared" si="151"/>
        <v>0.19076299999999999</v>
      </c>
      <c r="J1451" s="108">
        <f t="shared" si="154"/>
        <v>12</v>
      </c>
      <c r="K1451" s="1052">
        <f t="shared" si="155"/>
        <v>0</v>
      </c>
      <c r="L1451" s="1088"/>
      <c r="M1451" s="328"/>
      <c r="N1451" s="1587"/>
      <c r="O1451" s="1135"/>
      <c r="P1451" s="123"/>
      <c r="Q1451" s="123"/>
      <c r="R1451" s="1431"/>
      <c r="S1451" s="123"/>
      <c r="T1451" s="123"/>
      <c r="U1451" s="1589"/>
      <c r="V1451" s="1962" t="s">
        <v>31</v>
      </c>
      <c r="W1451" s="818">
        <v>203.03523178807947</v>
      </c>
      <c r="X1451" s="825">
        <v>203.03523178807947</v>
      </c>
      <c r="Y1451" s="737">
        <v>203.04</v>
      </c>
      <c r="Z1451" s="737">
        <v>203.04</v>
      </c>
      <c r="AA1451" s="737">
        <v>203.04</v>
      </c>
      <c r="AB1451" s="425">
        <v>199.41</v>
      </c>
      <c r="AC1451" s="742">
        <v>201.35</v>
      </c>
      <c r="AD1451" s="818"/>
      <c r="AE1451" s="818"/>
      <c r="AF1451" s="818"/>
      <c r="AG1451" s="818"/>
      <c r="AH1451" s="163"/>
      <c r="AI1451" s="1942"/>
      <c r="AJ1451" s="1942"/>
      <c r="AK1451" s="820"/>
      <c r="AL1451" s="1942"/>
      <c r="AM1451" s="1942"/>
      <c r="AN1451" s="1942"/>
      <c r="AO1451" s="1942"/>
      <c r="AP1451" s="1942"/>
      <c r="AQ1451" s="1942"/>
      <c r="AR1451" s="1942"/>
      <c r="AS1451" s="1942"/>
      <c r="AT1451" s="1942"/>
      <c r="AU1451" s="1942"/>
      <c r="AV1451" s="1942"/>
      <c r="AW1451" s="1942"/>
      <c r="AX1451" s="1942"/>
      <c r="AY1451" s="1942"/>
      <c r="AZ1451" s="1942"/>
      <c r="BA1451" s="1942"/>
      <c r="BB1451" s="734"/>
      <c r="BC1451" s="3130" t="str">
        <f t="shared" si="152"/>
        <v>Cooling Res ER2 12 Year EUL</v>
      </c>
      <c r="BD1451" s="673">
        <f>(INDEX('Avoided Cost Benefits'!$C$4:$C$857,MATCH(BC1451,'Avoided Cost Benefits'!$A$4:$A$857,0)))*F1451</f>
        <v>238.06083941229164</v>
      </c>
      <c r="BE1451" s="1949">
        <f t="shared" si="157"/>
        <v>0</v>
      </c>
      <c r="BF1451" s="1942"/>
      <c r="BG1451" s="691"/>
      <c r="BH1451" s="821"/>
      <c r="BI1451" s="691"/>
    </row>
    <row r="1452" spans="1:61" s="51" customFormat="1" x14ac:dyDescent="0.25">
      <c r="A1452" s="1267" t="str">
        <f t="shared" si="150"/>
        <v>352750_2021_12_Heating Res ER2</v>
      </c>
      <c r="B1452" s="123"/>
      <c r="C1452" s="2038" t="s">
        <v>1237</v>
      </c>
      <c r="D1452" s="1553" t="s">
        <v>322</v>
      </c>
      <c r="E1452" s="3005" t="s">
        <v>1239</v>
      </c>
      <c r="F1452" s="742">
        <f>ROUND(((K1823*K2010*(1/K2197-1/K2384)*K3319)/1000)*$K$3484,2)</f>
        <v>5401.11</v>
      </c>
      <c r="G1452" s="1580" t="s">
        <v>1195</v>
      </c>
      <c r="H1452" s="155">
        <f>VLOOKUP(G1452,'CP FACTORS'!$A$3:$B$38, 2, FALSE)</f>
        <v>0</v>
      </c>
      <c r="I1452" s="1554">
        <f t="shared" si="151"/>
        <v>0</v>
      </c>
      <c r="J1452" s="108">
        <f t="shared" si="154"/>
        <v>12</v>
      </c>
      <c r="K1452" s="1052">
        <f t="shared" si="155"/>
        <v>0</v>
      </c>
      <c r="L1452" s="1088"/>
      <c r="M1452" s="328"/>
      <c r="N1452" s="1587"/>
      <c r="O1452" s="1135"/>
      <c r="P1452" s="123"/>
      <c r="Q1452" s="123"/>
      <c r="R1452" s="1431"/>
      <c r="S1452" s="123"/>
      <c r="T1452" s="123"/>
      <c r="U1452" s="1589"/>
      <c r="V1452" s="1962" t="s">
        <v>31</v>
      </c>
      <c r="W1452" s="818">
        <v>7823.7436343411837</v>
      </c>
      <c r="X1452" s="819">
        <v>5825.9434927697412</v>
      </c>
      <c r="Y1452" s="737">
        <v>5825.94</v>
      </c>
      <c r="Z1452" s="737">
        <v>5825.94</v>
      </c>
      <c r="AA1452" s="737">
        <v>5825.94</v>
      </c>
      <c r="AB1452" s="425">
        <v>5742.99</v>
      </c>
      <c r="AC1452" s="742">
        <v>5401.11</v>
      </c>
      <c r="AD1452" s="818"/>
      <c r="AE1452" s="818"/>
      <c r="AF1452" s="818"/>
      <c r="AG1452" s="818"/>
      <c r="AH1452" s="163"/>
      <c r="AI1452" s="1942"/>
      <c r="AJ1452" s="1942"/>
      <c r="AK1452" s="820"/>
      <c r="AL1452" s="1942"/>
      <c r="AM1452" s="1942"/>
      <c r="AN1452" s="1942"/>
      <c r="AO1452" s="1942"/>
      <c r="AP1452" s="1942"/>
      <c r="AQ1452" s="1942"/>
      <c r="AR1452" s="1942"/>
      <c r="AS1452" s="1942"/>
      <c r="AT1452" s="1942"/>
      <c r="AU1452" s="1942"/>
      <c r="AV1452" s="1942"/>
      <c r="AW1452" s="1942"/>
      <c r="AX1452" s="1942"/>
      <c r="AY1452" s="1942"/>
      <c r="AZ1452" s="1942"/>
      <c r="BA1452" s="1942"/>
      <c r="BB1452" s="734"/>
      <c r="BC1452" s="3116" t="str">
        <f t="shared" si="152"/>
        <v>Heating Res ER2 12 Year EUL</v>
      </c>
      <c r="BD1452" s="673">
        <f>(INDEX('Avoided Cost Benefits'!$C$4:$C$857,MATCH(BC1452,'Avoided Cost Benefits'!$A$4:$A$857,0)))*F1452</f>
        <v>1597.0142450108831</v>
      </c>
      <c r="BE1452" s="1949">
        <f t="shared" si="157"/>
        <v>0</v>
      </c>
      <c r="BF1452" s="1942"/>
      <c r="BG1452" s="691"/>
      <c r="BH1452" s="821"/>
      <c r="BI1452" s="691"/>
    </row>
    <row r="1453" spans="1:61" s="51" customFormat="1" x14ac:dyDescent="0.25">
      <c r="A1453" s="1267" t="str">
        <f t="shared" si="150"/>
        <v>352751_2021_12_Cooling Res</v>
      </c>
      <c r="B1453" s="123"/>
      <c r="C1453" s="2038" t="s">
        <v>1241</v>
      </c>
      <c r="D1453" s="1553" t="s">
        <v>317</v>
      </c>
      <c r="E1453" s="2878" t="s">
        <v>1242</v>
      </c>
      <c r="F1453" s="742">
        <f>ROUND((($K$2572*$K$2759*(1/$K$2946-1/$K$3133)*$K$3320)/1000)*$K$3484,2)</f>
        <v>839.47</v>
      </c>
      <c r="G1453" s="214" t="str">
        <f>G1449</f>
        <v>Cooling Res</v>
      </c>
      <c r="H1453" s="155">
        <f>VLOOKUP(G1453,'CP FACTORS'!$A$3:$B$38, 2, FALSE)</f>
        <v>9.4741810000000004E-4</v>
      </c>
      <c r="I1453" s="1554">
        <f t="shared" si="151"/>
        <v>0.79532899999999995</v>
      </c>
      <c r="J1453" s="108">
        <f t="shared" si="154"/>
        <v>6</v>
      </c>
      <c r="K1453" s="3294">
        <f t="shared" si="155"/>
        <v>691.27403323884414</v>
      </c>
      <c r="L1453" s="3296">
        <f>L1824</f>
        <v>2.5</v>
      </c>
      <c r="M1453" s="328"/>
      <c r="N1453" s="1587"/>
      <c r="O1453" s="1135"/>
      <c r="P1453" s="123"/>
      <c r="Q1453" s="123"/>
      <c r="R1453" s="1431"/>
      <c r="S1453" s="123"/>
      <c r="T1453" s="123"/>
      <c r="U1453" s="1589"/>
      <c r="V1453" s="1962" t="s">
        <v>31</v>
      </c>
      <c r="W1453" s="818"/>
      <c r="X1453" s="819"/>
      <c r="Y1453" s="742">
        <v>742.91</v>
      </c>
      <c r="Z1453" s="737">
        <v>742.91</v>
      </c>
      <c r="AA1453" s="737">
        <v>742.91</v>
      </c>
      <c r="AB1453" s="425">
        <v>923.42</v>
      </c>
      <c r="AC1453" s="742">
        <v>839.47</v>
      </c>
      <c r="AD1453" s="818"/>
      <c r="AE1453" s="818"/>
      <c r="AF1453" s="818"/>
      <c r="AG1453" s="818"/>
      <c r="AH1453" s="163"/>
      <c r="AI1453" s="1942"/>
      <c r="AJ1453" s="1942"/>
      <c r="AK1453" s="820"/>
      <c r="AL1453" s="1942"/>
      <c r="AM1453" s="1942"/>
      <c r="AN1453" s="1942"/>
      <c r="AO1453" s="1942"/>
      <c r="AP1453" s="1942"/>
      <c r="AQ1453" s="1942"/>
      <c r="AR1453" s="1942"/>
      <c r="AS1453" s="1942"/>
      <c r="AT1453" s="1942"/>
      <c r="AU1453" s="1942"/>
      <c r="AV1453" s="1942"/>
      <c r="AW1453" s="1942"/>
      <c r="AX1453" s="1942"/>
      <c r="AY1453" s="1942"/>
      <c r="AZ1453" s="1942"/>
      <c r="BA1453" s="1942"/>
      <c r="BB1453" s="244">
        <f>(BD1453+BD1454+BD1455+BD1456)/(BE1453+BE1454+BE1455+BE1456)</f>
        <v>2.2909259386748793</v>
      </c>
      <c r="BC1453" s="3115" t="str">
        <f t="shared" si="152"/>
        <v>Cooling Res 6 Year EUL</v>
      </c>
      <c r="BD1453" s="673">
        <f>(INDEX('Avoided Cost Benefits'!$C$4:$C$857,MATCH(BC1453,'Avoided Cost Benefits'!$A$4:$A$857,0)))*F1453</f>
        <v>488.13851025905063</v>
      </c>
      <c r="BE1453" s="1949">
        <f t="shared" si="157"/>
        <v>652.45307526082502</v>
      </c>
      <c r="BF1453" s="1942"/>
      <c r="BG1453" s="691"/>
      <c r="BH1453" s="824"/>
      <c r="BI1453" s="691"/>
    </row>
    <row r="1454" spans="1:61" s="51" customFormat="1" x14ac:dyDescent="0.25">
      <c r="A1454" s="1267" t="str">
        <f t="shared" si="150"/>
        <v>352751_2021_12_Heating Res</v>
      </c>
      <c r="B1454" s="123"/>
      <c r="C1454" s="2038" t="str">
        <f>C1453</f>
        <v>352751_2021_12_</v>
      </c>
      <c r="D1454" s="1553" t="s">
        <v>317</v>
      </c>
      <c r="E1454" s="3007" t="s">
        <v>1242</v>
      </c>
      <c r="F1454" s="742">
        <f>ROUND((($K$1824*$K$2011*(1/$K$2198-1/$K$2385)*$K$3320)/1000)*$K$3484,2)</f>
        <v>1841.29</v>
      </c>
      <c r="G1454" s="214" t="str">
        <f>G1450</f>
        <v>Heating Res</v>
      </c>
      <c r="H1454" s="155">
        <f>VLOOKUP(G1454,'CP FACTORS'!$A$3:$B$38, 2, FALSE)</f>
        <v>0</v>
      </c>
      <c r="I1454" s="1554">
        <f t="shared" si="151"/>
        <v>0</v>
      </c>
      <c r="J1454" s="108">
        <f t="shared" si="154"/>
        <v>6</v>
      </c>
      <c r="K1454" s="1052">
        <f t="shared" si="155"/>
        <v>0</v>
      </c>
      <c r="L1454" s="1088"/>
      <c r="M1454" s="328"/>
      <c r="N1454" s="1587"/>
      <c r="O1454" s="1135"/>
      <c r="P1454" s="123"/>
      <c r="Q1454" s="123"/>
      <c r="R1454" s="1431"/>
      <c r="S1454" s="123"/>
      <c r="T1454" s="123"/>
      <c r="U1454" s="1589"/>
      <c r="V1454" s="1962" t="s">
        <v>31</v>
      </c>
      <c r="W1454" s="818"/>
      <c r="X1454" s="819"/>
      <c r="Y1454" s="742">
        <v>1986.12</v>
      </c>
      <c r="Z1454" s="737">
        <v>1986.12</v>
      </c>
      <c r="AA1454" s="737">
        <v>1986.12</v>
      </c>
      <c r="AB1454" s="425">
        <v>1957.84</v>
      </c>
      <c r="AC1454" s="742">
        <v>1841.29</v>
      </c>
      <c r="AD1454" s="818"/>
      <c r="AE1454" s="818"/>
      <c r="AF1454" s="818"/>
      <c r="AG1454" s="818"/>
      <c r="AH1454" s="163"/>
      <c r="AI1454" s="1942"/>
      <c r="AJ1454" s="1942"/>
      <c r="AK1454" s="820"/>
      <c r="AL1454" s="1942"/>
      <c r="AM1454" s="1942"/>
      <c r="AN1454" s="1942"/>
      <c r="AO1454" s="1942"/>
      <c r="AP1454" s="1942"/>
      <c r="AQ1454" s="1942"/>
      <c r="AR1454" s="1942"/>
      <c r="AS1454" s="1942"/>
      <c r="AT1454" s="1942"/>
      <c r="AU1454" s="1942"/>
      <c r="AV1454" s="1942"/>
      <c r="AW1454" s="1942"/>
      <c r="AX1454" s="1942"/>
      <c r="AY1454" s="1942"/>
      <c r="AZ1454" s="1942"/>
      <c r="BA1454" s="1942"/>
      <c r="BB1454" s="734"/>
      <c r="BC1454" s="3130" t="str">
        <f t="shared" si="152"/>
        <v>Heating Res 6 Year EUL</v>
      </c>
      <c r="BD1454" s="673">
        <f>(INDEX('Avoided Cost Benefits'!$C$4:$C$857,MATCH(BC1454,'Avoided Cost Benefits'!$A$4:$A$857,0)))*F1454</f>
        <v>306.26821798255406</v>
      </c>
      <c r="BE1454" s="1949">
        <f t="shared" si="157"/>
        <v>0</v>
      </c>
      <c r="BF1454" s="1942"/>
      <c r="BG1454" s="691"/>
      <c r="BH1454" s="824"/>
      <c r="BI1454" s="691"/>
    </row>
    <row r="1455" spans="1:61" s="51" customFormat="1" x14ac:dyDescent="0.25">
      <c r="A1455" s="1267" t="str">
        <f t="shared" si="150"/>
        <v>352751_2021_12_Cooling Res ER2</v>
      </c>
      <c r="B1455" s="123"/>
      <c r="C1455" s="2038" t="str">
        <f>C1454</f>
        <v>352751_2021_12_</v>
      </c>
      <c r="D1455" s="1553" t="s">
        <v>317</v>
      </c>
      <c r="E1455" s="3007" t="s">
        <v>1243</v>
      </c>
      <c r="F1455" s="742">
        <f>ROUND((($K$2573*$K$2760*(1/$K$2947-1/$K$3134)*$K$3321)/1000)*$K$3484,2)</f>
        <v>131.84</v>
      </c>
      <c r="G1455" s="214" t="str">
        <f>G1451</f>
        <v>Cooling Res ER2</v>
      </c>
      <c r="H1455" s="155">
        <f>VLOOKUP(G1455,'CP FACTORS'!$A$3:$B$38, 2, FALSE)</f>
        <v>9.4741810000000004E-4</v>
      </c>
      <c r="I1455" s="1554">
        <f t="shared" si="151"/>
        <v>0.12490800000000001</v>
      </c>
      <c r="J1455" s="108">
        <f t="shared" si="154"/>
        <v>12</v>
      </c>
      <c r="K1455" s="1052">
        <f t="shared" si="155"/>
        <v>0</v>
      </c>
      <c r="L1455" s="1088"/>
      <c r="M1455" s="328"/>
      <c r="N1455" s="1587"/>
      <c r="O1455" s="1135"/>
      <c r="P1455" s="123"/>
      <c r="Q1455" s="123"/>
      <c r="R1455" s="1431"/>
      <c r="S1455" s="123"/>
      <c r="T1455" s="123"/>
      <c r="U1455" s="1589"/>
      <c r="V1455" s="1962" t="s">
        <v>31</v>
      </c>
      <c r="W1455" s="818"/>
      <c r="X1455" s="819"/>
      <c r="Y1455" s="742">
        <v>147.66</v>
      </c>
      <c r="Z1455" s="737">
        <v>147.66</v>
      </c>
      <c r="AA1455" s="737">
        <v>147.66</v>
      </c>
      <c r="AB1455" s="425">
        <v>145.03</v>
      </c>
      <c r="AC1455" s="742">
        <v>131.84</v>
      </c>
      <c r="AD1455" s="818"/>
      <c r="AE1455" s="818"/>
      <c r="AF1455" s="818"/>
      <c r="AG1455" s="818"/>
      <c r="AH1455" s="163"/>
      <c r="AI1455" s="1942"/>
      <c r="AJ1455" s="1942"/>
      <c r="AK1455" s="820"/>
      <c r="AL1455" s="1942"/>
      <c r="AM1455" s="1942"/>
      <c r="AN1455" s="1942"/>
      <c r="AO1455" s="1942"/>
      <c r="AP1455" s="1942"/>
      <c r="AQ1455" s="1942"/>
      <c r="AR1455" s="1942"/>
      <c r="AS1455" s="1942"/>
      <c r="AT1455" s="1942"/>
      <c r="AU1455" s="1942"/>
      <c r="AV1455" s="1942"/>
      <c r="AW1455" s="1942"/>
      <c r="AX1455" s="1942"/>
      <c r="AY1455" s="1942"/>
      <c r="AZ1455" s="1942"/>
      <c r="BA1455" s="1942"/>
      <c r="BB1455" s="734"/>
      <c r="BC1455" s="3130" t="str">
        <f t="shared" si="152"/>
        <v>Cooling Res ER2 12 Year EUL</v>
      </c>
      <c r="BD1455" s="673">
        <f>(INDEX('Avoided Cost Benefits'!$C$4:$C$857,MATCH(BC1455,'Avoided Cost Benefits'!$A$4:$A$857,0)))*F1455</f>
        <v>155.87753199958547</v>
      </c>
      <c r="BE1455" s="1949">
        <f t="shared" si="157"/>
        <v>0</v>
      </c>
      <c r="BF1455" s="1942"/>
      <c r="BG1455" s="691"/>
      <c r="BH1455" s="824"/>
      <c r="BI1455" s="691"/>
    </row>
    <row r="1456" spans="1:61" s="51" customFormat="1" x14ac:dyDescent="0.25">
      <c r="A1456" s="1267" t="str">
        <f t="shared" si="150"/>
        <v>352751_2021_12_Heating Res ER2</v>
      </c>
      <c r="B1456" s="123"/>
      <c r="C1456" s="2038" t="str">
        <f>C1455</f>
        <v>352751_2021_12_</v>
      </c>
      <c r="D1456" s="1553" t="s">
        <v>317</v>
      </c>
      <c r="E1456" s="3005" t="s">
        <v>1243</v>
      </c>
      <c r="F1456" s="742">
        <f>ROUND((($K$1825*$K$2012*(1/$K$2199-1/$K$2386)*$K$3321)/1000)*$K$3484,2)</f>
        <v>1841.29</v>
      </c>
      <c r="G1456" s="214" t="str">
        <f>G1452</f>
        <v>Heating Res ER2</v>
      </c>
      <c r="H1456" s="155">
        <f>VLOOKUP(G1456,'CP FACTORS'!$A$3:$B$38, 2, FALSE)</f>
        <v>0</v>
      </c>
      <c r="I1456" s="1554">
        <f t="shared" si="151"/>
        <v>0</v>
      </c>
      <c r="J1456" s="108">
        <f t="shared" si="154"/>
        <v>12</v>
      </c>
      <c r="K1456" s="1052">
        <f t="shared" si="155"/>
        <v>0</v>
      </c>
      <c r="L1456" s="1088"/>
      <c r="M1456" s="328"/>
      <c r="N1456" s="1587"/>
      <c r="O1456" s="1135"/>
      <c r="P1456" s="123"/>
      <c r="Q1456" s="123"/>
      <c r="R1456" s="1431"/>
      <c r="S1456" s="123"/>
      <c r="T1456" s="123"/>
      <c r="U1456" s="1589"/>
      <c r="V1456" s="1962" t="s">
        <v>31</v>
      </c>
      <c r="W1456" s="818"/>
      <c r="X1456" s="819"/>
      <c r="Y1456" s="742">
        <v>1986.12</v>
      </c>
      <c r="Z1456" s="737">
        <v>1986.12</v>
      </c>
      <c r="AA1456" s="737">
        <v>1986.12</v>
      </c>
      <c r="AB1456" s="425">
        <v>1957.84</v>
      </c>
      <c r="AC1456" s="742">
        <v>1841.29</v>
      </c>
      <c r="AD1456" s="818"/>
      <c r="AE1456" s="818"/>
      <c r="AF1456" s="818"/>
      <c r="AG1456" s="818"/>
      <c r="AH1456" s="163"/>
      <c r="AI1456" s="1942"/>
      <c r="AJ1456" s="1942"/>
      <c r="AK1456" s="820"/>
      <c r="AL1456" s="1942"/>
      <c r="AM1456" s="1942"/>
      <c r="AN1456" s="1942"/>
      <c r="AO1456" s="1942"/>
      <c r="AP1456" s="1942"/>
      <c r="AQ1456" s="1942"/>
      <c r="AR1456" s="1942"/>
      <c r="AS1456" s="1942"/>
      <c r="AT1456" s="1942"/>
      <c r="AU1456" s="1942"/>
      <c r="AV1456" s="1942"/>
      <c r="AW1456" s="1942"/>
      <c r="AX1456" s="1942"/>
      <c r="AY1456" s="1942"/>
      <c r="AZ1456" s="1942"/>
      <c r="BA1456" s="1942"/>
      <c r="BB1456" s="734"/>
      <c r="BC1456" s="3116" t="str">
        <f t="shared" si="152"/>
        <v>Heating Res ER2 12 Year EUL</v>
      </c>
      <c r="BD1456" s="673">
        <f>(INDEX('Avoided Cost Benefits'!$C$4:$C$857,MATCH(BC1456,'Avoided Cost Benefits'!$A$4:$A$857,0)))*F1456</f>
        <v>544.43741364202708</v>
      </c>
      <c r="BE1456" s="1949">
        <f t="shared" si="157"/>
        <v>0</v>
      </c>
      <c r="BF1456" s="1942"/>
      <c r="BG1456" s="691"/>
      <c r="BH1456" s="824"/>
      <c r="BI1456" s="691"/>
    </row>
    <row r="1457" spans="1:61" s="1942" customFormat="1" x14ac:dyDescent="0.25">
      <c r="A1457" s="1267"/>
      <c r="B1457" s="123"/>
      <c r="C1457" s="2038" t="s">
        <v>1244</v>
      </c>
      <c r="D1457" s="2695" t="s">
        <v>322</v>
      </c>
      <c r="E1457" s="3007" t="s">
        <v>1245</v>
      </c>
      <c r="F1457" s="742">
        <f>ROUND((($K$2574*$K$2761*(1/$K$2948-1/$K$3135)*$K$3322)/1000)*$K$3484,2)</f>
        <v>914.58</v>
      </c>
      <c r="G1457" s="2042" t="s">
        <v>1134</v>
      </c>
      <c r="H1457" s="2867">
        <f>VLOOKUP(G1457,'CP FACTORS'!$A$3:$B$38, 2, FALSE)</f>
        <v>9.4741810000000004E-4</v>
      </c>
      <c r="I1457" s="2757">
        <f t="shared" si="151"/>
        <v>0.86648999999999998</v>
      </c>
      <c r="J1457" s="116">
        <f t="shared" si="154"/>
        <v>6</v>
      </c>
      <c r="K1457" s="3294">
        <f t="shared" si="155"/>
        <v>691.27403323884414</v>
      </c>
      <c r="L1457" s="3296">
        <f>L1826</f>
        <v>2.5</v>
      </c>
      <c r="M1457" s="328"/>
      <c r="N1457" s="1587"/>
      <c r="O1457" s="1135"/>
      <c r="P1457" s="123"/>
      <c r="Q1457" s="123"/>
      <c r="R1457" s="1431"/>
      <c r="S1457" s="123"/>
      <c r="T1457" s="123"/>
      <c r="U1457" s="1589"/>
      <c r="V1457" s="1958" t="s">
        <v>31</v>
      </c>
      <c r="W1457" s="818"/>
      <c r="X1457" s="819"/>
      <c r="Y1457" s="742"/>
      <c r="Z1457" s="737"/>
      <c r="AA1457" s="737"/>
      <c r="AB1457" s="425"/>
      <c r="AC1457" s="742">
        <v>914.58</v>
      </c>
      <c r="AD1457" s="818"/>
      <c r="AE1457" s="818"/>
      <c r="AF1457" s="818"/>
      <c r="AG1457" s="818"/>
      <c r="AH1457" s="163"/>
      <c r="AK1457" s="820"/>
      <c r="BB1457" s="244">
        <f>(BD1457+BD1458+BD1459+BD1460)/(BE1457+BE1458+BE1459+BE1460)</f>
        <v>1.1799693408474246</v>
      </c>
      <c r="BC1457" s="3130" t="str">
        <f t="shared" si="152"/>
        <v>Cooling Res 6 Year EUL</v>
      </c>
      <c r="BD1457" s="673">
        <f>(INDEX('Avoided Cost Benefits'!$C$4:$C$857,MATCH(BC1457,'Avoided Cost Benefits'!$A$4:$A$857,0)))*F1457</f>
        <v>531.81378573709912</v>
      </c>
      <c r="BE1457" s="1949">
        <f t="shared" si="157"/>
        <v>652.45307526082502</v>
      </c>
      <c r="BG1457" s="691"/>
      <c r="BH1457" s="824"/>
      <c r="BI1457" s="691"/>
    </row>
    <row r="1458" spans="1:61" s="1942" customFormat="1" x14ac:dyDescent="0.25">
      <c r="A1458" s="1267"/>
      <c r="B1458" s="123"/>
      <c r="C1458" s="2038" t="s">
        <v>1244</v>
      </c>
      <c r="D1458" s="2695" t="s">
        <v>322</v>
      </c>
      <c r="E1458" s="3007" t="s">
        <v>1245</v>
      </c>
      <c r="F1458" s="742">
        <f>0</f>
        <v>0</v>
      </c>
      <c r="G1458" s="2042" t="s">
        <v>1135</v>
      </c>
      <c r="H1458" s="2867">
        <f>VLOOKUP(G1458,'CP FACTORS'!$A$3:$B$38, 2, FALSE)</f>
        <v>0</v>
      </c>
      <c r="I1458" s="2757">
        <f t="shared" si="151"/>
        <v>0</v>
      </c>
      <c r="J1458" s="116">
        <f t="shared" si="154"/>
        <v>6</v>
      </c>
      <c r="K1458" s="3294">
        <f t="shared" si="155"/>
        <v>0</v>
      </c>
      <c r="L1458" s="3296"/>
      <c r="M1458" s="328"/>
      <c r="N1458" s="1587"/>
      <c r="O1458" s="1135"/>
      <c r="P1458" s="123"/>
      <c r="Q1458" s="123"/>
      <c r="R1458" s="1431"/>
      <c r="S1458" s="123"/>
      <c r="T1458" s="123"/>
      <c r="U1458" s="1589"/>
      <c r="V1458" s="1958" t="s">
        <v>31</v>
      </c>
      <c r="W1458" s="818"/>
      <c r="X1458" s="819"/>
      <c r="Y1458" s="742"/>
      <c r="Z1458" s="737"/>
      <c r="AA1458" s="737"/>
      <c r="AB1458" s="425"/>
      <c r="AC1458" s="742">
        <v>0</v>
      </c>
      <c r="AD1458" s="818"/>
      <c r="AE1458" s="818"/>
      <c r="AF1458" s="818"/>
      <c r="AG1458" s="818"/>
      <c r="AH1458" s="163"/>
      <c r="AK1458" s="820"/>
      <c r="BB1458" s="734"/>
      <c r="BC1458" s="3130" t="str">
        <f t="shared" si="152"/>
        <v>Heating Res 6 Year EUL</v>
      </c>
      <c r="BD1458" s="673">
        <f>(INDEX('Avoided Cost Benefits'!$C$4:$C$857,MATCH(BC1458,'Avoided Cost Benefits'!$A$4:$A$857,0)))*F1458</f>
        <v>0</v>
      </c>
      <c r="BE1458" s="1949">
        <f t="shared" si="157"/>
        <v>0</v>
      </c>
      <c r="BG1458" s="691"/>
      <c r="BH1458" s="824"/>
      <c r="BI1458" s="691"/>
    </row>
    <row r="1459" spans="1:61" s="1942" customFormat="1" x14ac:dyDescent="0.25">
      <c r="A1459" s="1267"/>
      <c r="B1459" s="123"/>
      <c r="C1459" s="2038" t="s">
        <v>1244</v>
      </c>
      <c r="D1459" s="2695" t="s">
        <v>322</v>
      </c>
      <c r="E1459" s="3007" t="s">
        <v>1246</v>
      </c>
      <c r="F1459" s="742">
        <f>ROUND((($K$2575*$K$2762*(1/$K$2949-1/$K$3136)*$K$3323)/1000)*$K$3484,2)</f>
        <v>201.35</v>
      </c>
      <c r="G1459" s="2042" t="s">
        <v>1176</v>
      </c>
      <c r="H1459" s="2867">
        <f>VLOOKUP(G1459,'CP FACTORS'!$A$3:$B$38, 2, FALSE)</f>
        <v>9.4741810000000004E-4</v>
      </c>
      <c r="I1459" s="2757">
        <f t="shared" si="151"/>
        <v>0.19076299999999999</v>
      </c>
      <c r="J1459" s="116">
        <f t="shared" si="154"/>
        <v>12</v>
      </c>
      <c r="K1459" s="3294">
        <f t="shared" si="155"/>
        <v>0</v>
      </c>
      <c r="L1459" s="3296"/>
      <c r="M1459" s="328"/>
      <c r="N1459" s="1587"/>
      <c r="O1459" s="1135"/>
      <c r="P1459" s="123"/>
      <c r="Q1459" s="123"/>
      <c r="R1459" s="1431"/>
      <c r="S1459" s="123"/>
      <c r="T1459" s="123"/>
      <c r="U1459" s="1589"/>
      <c r="V1459" s="1958" t="s">
        <v>31</v>
      </c>
      <c r="W1459" s="818"/>
      <c r="X1459" s="819"/>
      <c r="Y1459" s="742"/>
      <c r="Z1459" s="737"/>
      <c r="AA1459" s="737"/>
      <c r="AB1459" s="425"/>
      <c r="AC1459" s="742">
        <v>201.35</v>
      </c>
      <c r="AD1459" s="818"/>
      <c r="AE1459" s="818"/>
      <c r="AF1459" s="818"/>
      <c r="AG1459" s="818"/>
      <c r="AH1459" s="163"/>
      <c r="AK1459" s="820"/>
      <c r="BB1459" s="734"/>
      <c r="BC1459" s="3130" t="str">
        <f t="shared" si="152"/>
        <v>Cooling Res ER2 12 Year EUL</v>
      </c>
      <c r="BD1459" s="673">
        <f>(INDEX('Avoided Cost Benefits'!$C$4:$C$857,MATCH(BC1459,'Avoided Cost Benefits'!$A$4:$A$857,0)))*F1459</f>
        <v>238.06083941229164</v>
      </c>
      <c r="BE1459" s="1949">
        <f t="shared" si="157"/>
        <v>0</v>
      </c>
      <c r="BG1459" s="691"/>
      <c r="BH1459" s="824"/>
      <c r="BI1459" s="691"/>
    </row>
    <row r="1460" spans="1:61" s="1942" customFormat="1" x14ac:dyDescent="0.25">
      <c r="A1460" s="1267"/>
      <c r="B1460" s="123"/>
      <c r="C1460" s="2038" t="s">
        <v>1244</v>
      </c>
      <c r="D1460" s="2695" t="s">
        <v>322</v>
      </c>
      <c r="E1460" s="3005" t="s">
        <v>1246</v>
      </c>
      <c r="F1460" s="742">
        <f>0</f>
        <v>0</v>
      </c>
      <c r="G1460" s="2042" t="s">
        <v>1195</v>
      </c>
      <c r="H1460" s="2867">
        <f>VLOOKUP(G1460,'CP FACTORS'!$A$3:$B$38, 2, FALSE)</f>
        <v>0</v>
      </c>
      <c r="I1460" s="2757">
        <f t="shared" si="151"/>
        <v>0</v>
      </c>
      <c r="J1460" s="116">
        <f t="shared" si="154"/>
        <v>12</v>
      </c>
      <c r="K1460" s="3294">
        <f t="shared" si="155"/>
        <v>0</v>
      </c>
      <c r="L1460" s="3296"/>
      <c r="M1460" s="328"/>
      <c r="N1460" s="1587"/>
      <c r="O1460" s="1135"/>
      <c r="P1460" s="123"/>
      <c r="Q1460" s="123"/>
      <c r="R1460" s="1431"/>
      <c r="S1460" s="123"/>
      <c r="T1460" s="123"/>
      <c r="U1460" s="1589"/>
      <c r="V1460" s="1958" t="s">
        <v>31</v>
      </c>
      <c r="W1460" s="818"/>
      <c r="X1460" s="819"/>
      <c r="Y1460" s="742"/>
      <c r="Z1460" s="737"/>
      <c r="AA1460" s="737"/>
      <c r="AB1460" s="425"/>
      <c r="AC1460" s="742">
        <v>0</v>
      </c>
      <c r="AD1460" s="818"/>
      <c r="AE1460" s="818"/>
      <c r="AF1460" s="818"/>
      <c r="AG1460" s="818"/>
      <c r="AH1460" s="163"/>
      <c r="AK1460" s="820"/>
      <c r="BB1460" s="734"/>
      <c r="BC1460" s="3383" t="str">
        <f t="shared" si="152"/>
        <v>Heating Res ER2 12 Year EUL</v>
      </c>
      <c r="BD1460" s="673">
        <f>(INDEX('Avoided Cost Benefits'!$C$4:$C$857,MATCH(BC1460,'Avoided Cost Benefits'!$A$4:$A$857,0)))*F1460</f>
        <v>0</v>
      </c>
      <c r="BE1460" s="1949">
        <f t="shared" si="157"/>
        <v>0</v>
      </c>
      <c r="BG1460" s="691"/>
      <c r="BH1460" s="824"/>
      <c r="BI1460" s="691"/>
    </row>
    <row r="1461" spans="1:61" s="1942" customFormat="1" x14ac:dyDescent="0.25">
      <c r="A1461" s="1267"/>
      <c r="B1461" s="123"/>
      <c r="C1461" s="2038" t="s">
        <v>1247</v>
      </c>
      <c r="D1461" s="2695" t="s">
        <v>317</v>
      </c>
      <c r="E1461" s="3007" t="s">
        <v>1248</v>
      </c>
      <c r="F1461" s="742">
        <f>ROUND((($K$2576*$K$2763*(1/$K$2950-1/$K$3137)*$K$3324)/1000)*$K$3484,2)</f>
        <v>839.47</v>
      </c>
      <c r="G1461" s="2042" t="s">
        <v>1134</v>
      </c>
      <c r="H1461" s="2867">
        <f>VLOOKUP(G1461,'CP FACTORS'!$A$3:$B$38, 2, FALSE)</f>
        <v>9.4741810000000004E-4</v>
      </c>
      <c r="I1461" s="2757">
        <f t="shared" si="151"/>
        <v>0.79532899999999995</v>
      </c>
      <c r="J1461" s="116">
        <f t="shared" si="154"/>
        <v>6</v>
      </c>
      <c r="K1461" s="3294">
        <f t="shared" si="155"/>
        <v>691.27403323884414</v>
      </c>
      <c r="L1461" s="3296">
        <f>L1828</f>
        <v>2.5</v>
      </c>
      <c r="M1461" s="328"/>
      <c r="N1461" s="1587"/>
      <c r="O1461" s="1135"/>
      <c r="P1461" s="123"/>
      <c r="Q1461" s="123"/>
      <c r="R1461" s="1431"/>
      <c r="S1461" s="123"/>
      <c r="T1461" s="123"/>
      <c r="U1461" s="1589"/>
      <c r="V1461" s="1958" t="s">
        <v>31</v>
      </c>
      <c r="W1461" s="818"/>
      <c r="X1461" s="819"/>
      <c r="Y1461" s="742"/>
      <c r="Z1461" s="737"/>
      <c r="AA1461" s="737"/>
      <c r="AB1461" s="425"/>
      <c r="AC1461" s="742">
        <v>839.47</v>
      </c>
      <c r="AD1461" s="818"/>
      <c r="AE1461" s="818"/>
      <c r="AF1461" s="818"/>
      <c r="AG1461" s="818"/>
      <c r="AH1461" s="163"/>
      <c r="AK1461" s="820"/>
      <c r="BB1461" s="244">
        <f>(BD1461+BD1462+BD1463+BD1464)/(BE1461+BE1462+BE1463+BE1464)</f>
        <v>0.98706875126794968</v>
      </c>
      <c r="BC1461" s="3130" t="str">
        <f t="shared" si="152"/>
        <v>Cooling Res 6 Year EUL</v>
      </c>
      <c r="BD1461" s="673">
        <f>(INDEX('Avoided Cost Benefits'!$C$4:$C$857,MATCH(BC1461,'Avoided Cost Benefits'!$A$4:$A$857,0)))*F1461</f>
        <v>488.13851025905063</v>
      </c>
      <c r="BE1461" s="1949">
        <f t="shared" si="157"/>
        <v>652.45307526082502</v>
      </c>
      <c r="BG1461" s="691"/>
      <c r="BH1461" s="824"/>
      <c r="BI1461" s="691"/>
    </row>
    <row r="1462" spans="1:61" s="1942" customFormat="1" x14ac:dyDescent="0.25">
      <c r="A1462" s="1267"/>
      <c r="B1462" s="123"/>
      <c r="C1462" s="2038" t="s">
        <v>1247</v>
      </c>
      <c r="D1462" s="2695" t="s">
        <v>317</v>
      </c>
      <c r="E1462" s="3007" t="s">
        <v>1248</v>
      </c>
      <c r="F1462" s="742">
        <f>0</f>
        <v>0</v>
      </c>
      <c r="G1462" s="2042" t="s">
        <v>1135</v>
      </c>
      <c r="H1462" s="2867">
        <f>VLOOKUP(G1462,'CP FACTORS'!$A$3:$B$38, 2, FALSE)</f>
        <v>0</v>
      </c>
      <c r="I1462" s="2757">
        <f t="shared" si="151"/>
        <v>0</v>
      </c>
      <c r="J1462" s="116">
        <f t="shared" si="154"/>
        <v>6</v>
      </c>
      <c r="K1462" s="3294">
        <f t="shared" si="155"/>
        <v>0</v>
      </c>
      <c r="L1462" s="3296"/>
      <c r="M1462" s="328"/>
      <c r="N1462" s="1587"/>
      <c r="O1462" s="1135"/>
      <c r="P1462" s="123"/>
      <c r="Q1462" s="123"/>
      <c r="R1462" s="1431"/>
      <c r="S1462" s="123"/>
      <c r="T1462" s="123"/>
      <c r="U1462" s="1589"/>
      <c r="V1462" s="1958" t="s">
        <v>31</v>
      </c>
      <c r="W1462" s="818"/>
      <c r="X1462" s="819"/>
      <c r="Y1462" s="742"/>
      <c r="Z1462" s="737"/>
      <c r="AA1462" s="737"/>
      <c r="AB1462" s="425"/>
      <c r="AC1462" s="742">
        <v>0</v>
      </c>
      <c r="AD1462" s="818"/>
      <c r="AE1462" s="818"/>
      <c r="AF1462" s="818"/>
      <c r="AG1462" s="818"/>
      <c r="AH1462" s="163"/>
      <c r="AK1462" s="820"/>
      <c r="BB1462" s="734"/>
      <c r="BC1462" s="3130" t="str">
        <f t="shared" si="152"/>
        <v>Heating Res 6 Year EUL</v>
      </c>
      <c r="BD1462" s="673">
        <f>(INDEX('Avoided Cost Benefits'!$C$4:$C$857,MATCH(BC1462,'Avoided Cost Benefits'!$A$4:$A$857,0)))*F1462</f>
        <v>0</v>
      </c>
      <c r="BE1462" s="1949">
        <f t="shared" si="157"/>
        <v>0</v>
      </c>
      <c r="BG1462" s="691"/>
      <c r="BH1462" s="824"/>
      <c r="BI1462" s="691"/>
    </row>
    <row r="1463" spans="1:61" s="1942" customFormat="1" x14ac:dyDescent="0.25">
      <c r="A1463" s="1267"/>
      <c r="B1463" s="123"/>
      <c r="C1463" s="2038" t="s">
        <v>1247</v>
      </c>
      <c r="D1463" s="2695" t="s">
        <v>317</v>
      </c>
      <c r="E1463" s="3007" t="s">
        <v>1249</v>
      </c>
      <c r="F1463" s="742">
        <f>ROUND((($K$2577*$K$2764*(1/$K$2951-1/$K$3138)*$K$3325)/1000)*$K$3484,2)</f>
        <v>131.84</v>
      </c>
      <c r="G1463" s="2042" t="s">
        <v>1176</v>
      </c>
      <c r="H1463" s="2867">
        <f>VLOOKUP(G1463,'CP FACTORS'!$A$3:$B$38, 2, FALSE)</f>
        <v>9.4741810000000004E-4</v>
      </c>
      <c r="I1463" s="2757">
        <f t="shared" si="151"/>
        <v>0.12490800000000001</v>
      </c>
      <c r="J1463" s="116">
        <f t="shared" si="154"/>
        <v>12</v>
      </c>
      <c r="K1463" s="3294">
        <f t="shared" si="155"/>
        <v>0</v>
      </c>
      <c r="L1463" s="3296"/>
      <c r="M1463" s="328"/>
      <c r="N1463" s="1587"/>
      <c r="O1463" s="1135"/>
      <c r="P1463" s="123"/>
      <c r="Q1463" s="123"/>
      <c r="R1463" s="1431"/>
      <c r="S1463" s="123"/>
      <c r="T1463" s="123"/>
      <c r="U1463" s="1589"/>
      <c r="V1463" s="1958" t="s">
        <v>31</v>
      </c>
      <c r="W1463" s="818"/>
      <c r="X1463" s="819"/>
      <c r="Y1463" s="742"/>
      <c r="Z1463" s="737"/>
      <c r="AA1463" s="737"/>
      <c r="AB1463" s="425"/>
      <c r="AC1463" s="742">
        <v>131.84</v>
      </c>
      <c r="AD1463" s="818"/>
      <c r="AE1463" s="818"/>
      <c r="AF1463" s="818"/>
      <c r="AG1463" s="818"/>
      <c r="AH1463" s="163"/>
      <c r="AK1463" s="820"/>
      <c r="BB1463" s="734"/>
      <c r="BC1463" s="3130" t="str">
        <f t="shared" si="152"/>
        <v>Cooling Res ER2 12 Year EUL</v>
      </c>
      <c r="BD1463" s="673">
        <f>(INDEX('Avoided Cost Benefits'!$C$4:$C$857,MATCH(BC1463,'Avoided Cost Benefits'!$A$4:$A$857,0)))*F1463</f>
        <v>155.87753199958547</v>
      </c>
      <c r="BE1463" s="1949">
        <f t="shared" si="157"/>
        <v>0</v>
      </c>
      <c r="BG1463" s="691"/>
      <c r="BH1463" s="824"/>
      <c r="BI1463" s="691"/>
    </row>
    <row r="1464" spans="1:61" s="1942" customFormat="1" x14ac:dyDescent="0.25">
      <c r="A1464" s="1267"/>
      <c r="B1464" s="123"/>
      <c r="C1464" s="2038" t="s">
        <v>1247</v>
      </c>
      <c r="D1464" s="2695" t="s">
        <v>317</v>
      </c>
      <c r="E1464" s="3007" t="s">
        <v>1249</v>
      </c>
      <c r="F1464" s="742">
        <f>0</f>
        <v>0</v>
      </c>
      <c r="G1464" s="2042" t="s">
        <v>1195</v>
      </c>
      <c r="H1464" s="2867">
        <f>VLOOKUP(G1464,'CP FACTORS'!$A$3:$B$38, 2, FALSE)</f>
        <v>0</v>
      </c>
      <c r="I1464" s="2757">
        <f t="shared" si="151"/>
        <v>0</v>
      </c>
      <c r="J1464" s="116">
        <f t="shared" si="154"/>
        <v>12</v>
      </c>
      <c r="K1464" s="3294">
        <f t="shared" si="155"/>
        <v>0</v>
      </c>
      <c r="L1464" s="3296"/>
      <c r="M1464" s="328"/>
      <c r="N1464" s="1587"/>
      <c r="O1464" s="1135"/>
      <c r="P1464" s="123"/>
      <c r="Q1464" s="123"/>
      <c r="R1464" s="1431"/>
      <c r="S1464" s="123"/>
      <c r="T1464" s="123"/>
      <c r="U1464" s="1589"/>
      <c r="V1464" s="1958" t="s">
        <v>31</v>
      </c>
      <c r="W1464" s="818"/>
      <c r="X1464" s="819"/>
      <c r="Y1464" s="742"/>
      <c r="Z1464" s="737"/>
      <c r="AA1464" s="737"/>
      <c r="AB1464" s="425"/>
      <c r="AC1464" s="742">
        <v>0</v>
      </c>
      <c r="AD1464" s="818"/>
      <c r="AE1464" s="818"/>
      <c r="AF1464" s="818"/>
      <c r="AG1464" s="818"/>
      <c r="AH1464" s="163"/>
      <c r="AK1464" s="820"/>
      <c r="BB1464" s="734"/>
      <c r="BC1464" s="3130" t="str">
        <f t="shared" si="152"/>
        <v>Heating Res ER2 12 Year EUL</v>
      </c>
      <c r="BD1464" s="673">
        <f>(INDEX('Avoided Cost Benefits'!$C$4:$C$857,MATCH(BC1464,'Avoided Cost Benefits'!$A$4:$A$857,0)))*F1464</f>
        <v>0</v>
      </c>
      <c r="BE1464" s="1949">
        <f t="shared" si="157"/>
        <v>0</v>
      </c>
      <c r="BG1464" s="691"/>
      <c r="BH1464" s="824"/>
      <c r="BI1464" s="691"/>
    </row>
    <row r="1465" spans="1:61" s="51" customFormat="1" x14ac:dyDescent="0.25">
      <c r="A1465" s="1267" t="str">
        <f t="shared" si="150"/>
        <v>352800_2019_12_Cooling Res</v>
      </c>
      <c r="B1465" s="123"/>
      <c r="C1465" s="1471" t="s">
        <v>1250</v>
      </c>
      <c r="D1465" s="1553" t="s">
        <v>322</v>
      </c>
      <c r="E1465" s="2965" t="s">
        <v>1251</v>
      </c>
      <c r="F1465" s="782">
        <f>ROUND(((K2578*K2765*(1/K2952-1/K3139)*K3326)/1000)*$K$3484,2)</f>
        <v>196.21</v>
      </c>
      <c r="G1465" s="214" t="s">
        <v>1134</v>
      </c>
      <c r="H1465" s="155">
        <f>VLOOKUP(G1465,'CP FACTORS'!$A$3:$B$38, 2, FALSE)</f>
        <v>9.4741810000000004E-4</v>
      </c>
      <c r="I1465" s="1554">
        <f t="shared" si="151"/>
        <v>0.185893</v>
      </c>
      <c r="J1465" s="108">
        <f t="shared" si="154"/>
        <v>18</v>
      </c>
      <c r="K1465" s="1052">
        <f t="shared" si="155"/>
        <v>303</v>
      </c>
      <c r="L1465" s="1088">
        <f>L1830</f>
        <v>2.6</v>
      </c>
      <c r="M1465" s="328"/>
      <c r="N1465" s="1587"/>
      <c r="O1465" s="1135"/>
      <c r="P1465" s="123"/>
      <c r="Q1465" s="123"/>
      <c r="R1465" s="1431"/>
      <c r="S1465" s="123"/>
      <c r="T1465" s="123"/>
      <c r="U1465" s="1589"/>
      <c r="V1465" s="1962" t="s">
        <v>31</v>
      </c>
      <c r="W1465" s="818">
        <v>196.21105263157907</v>
      </c>
      <c r="X1465" s="826">
        <v>196.21105263157907</v>
      </c>
      <c r="Y1465" s="737">
        <v>196.21</v>
      </c>
      <c r="Z1465" s="737">
        <v>196.21</v>
      </c>
      <c r="AA1465" s="737">
        <v>196.21</v>
      </c>
      <c r="AB1465" s="2162">
        <v>196.21</v>
      </c>
      <c r="AC1465" s="782">
        <v>196.21</v>
      </c>
      <c r="AD1465" s="818"/>
      <c r="AE1465" s="818"/>
      <c r="AF1465" s="818"/>
      <c r="AG1465" s="818"/>
      <c r="AH1465" s="163"/>
      <c r="AI1465" s="1942"/>
      <c r="AJ1465" s="1942"/>
      <c r="AK1465" s="820"/>
      <c r="AL1465" s="1942"/>
      <c r="AM1465" s="1942"/>
      <c r="AN1465" s="1942"/>
      <c r="AO1465" s="1942"/>
      <c r="AP1465" s="1942"/>
      <c r="AQ1465" s="1942"/>
      <c r="AR1465" s="1942"/>
      <c r="AS1465" s="1942"/>
      <c r="AT1465" s="1942"/>
      <c r="AU1465" s="1942"/>
      <c r="AV1465" s="1942"/>
      <c r="AW1465" s="1942"/>
      <c r="AX1465" s="1942"/>
      <c r="AY1465" s="1942"/>
      <c r="AZ1465" s="1942"/>
      <c r="BA1465" s="1942"/>
      <c r="BB1465" s="244">
        <f>(BD1465+BD1466)/(BE1465+BE1466)</f>
        <v>9.8843352671619051</v>
      </c>
      <c r="BC1465" s="710" t="str">
        <f t="shared" si="152"/>
        <v>Cooling Res 18 Year EUL</v>
      </c>
      <c r="BD1465" s="673">
        <f>(INDEX('Avoided Cost Benefits'!$C$4:$C$857,MATCH(BC1465,'Avoided Cost Benefits'!$A$4:$A$857,0)))*F1465</f>
        <v>346.0767041631691</v>
      </c>
      <c r="BE1465" s="1949">
        <f t="shared" si="157"/>
        <v>285.98395469561109</v>
      </c>
      <c r="BF1465" s="1942"/>
      <c r="BG1465" s="691"/>
      <c r="BH1465" s="821"/>
      <c r="BI1465" s="691"/>
    </row>
    <row r="1466" spans="1:61" s="51" customFormat="1" x14ac:dyDescent="0.25">
      <c r="A1466" s="1267" t="str">
        <f t="shared" si="150"/>
        <v>352800_2019_12_Heating Res</v>
      </c>
      <c r="B1466" s="123"/>
      <c r="C1466" s="1471" t="s">
        <v>1250</v>
      </c>
      <c r="D1466" s="1553" t="s">
        <v>322</v>
      </c>
      <c r="E1466" s="3008" t="s">
        <v>1251</v>
      </c>
      <c r="F1466" s="782">
        <f>ROUND(((K1830*K2017*(1/K2204-1/K2391)*K3326)/1000)*$K$3484,2)</f>
        <v>5369.26</v>
      </c>
      <c r="G1466" s="214" t="s">
        <v>1135</v>
      </c>
      <c r="H1466" s="155">
        <f>VLOOKUP(G1466,'CP FACTORS'!$A$3:$B$38, 2, FALSE)</f>
        <v>0</v>
      </c>
      <c r="I1466" s="1554">
        <f t="shared" si="151"/>
        <v>0</v>
      </c>
      <c r="J1466" s="108">
        <f t="shared" si="154"/>
        <v>18</v>
      </c>
      <c r="K1466" s="1052">
        <f t="shared" si="155"/>
        <v>0</v>
      </c>
      <c r="L1466" s="1088"/>
      <c r="M1466" s="328"/>
      <c r="N1466" s="1587"/>
      <c r="O1466" s="1135"/>
      <c r="P1466" s="123"/>
      <c r="Q1466" s="123"/>
      <c r="R1466" s="1431"/>
      <c r="S1466" s="123"/>
      <c r="T1466" s="123"/>
      <c r="U1466" s="1589"/>
      <c r="V1466" s="1962" t="s">
        <v>31</v>
      </c>
      <c r="W1466" s="818">
        <v>7210.4507535974899</v>
      </c>
      <c r="X1466" s="819">
        <v>5369.2555138784683</v>
      </c>
      <c r="Y1466" s="737">
        <v>5369.26</v>
      </c>
      <c r="Z1466" s="737">
        <v>5369.26</v>
      </c>
      <c r="AA1466" s="737">
        <v>5369.26</v>
      </c>
      <c r="AB1466" s="2162">
        <v>5369.26</v>
      </c>
      <c r="AC1466" s="782">
        <v>5369.26</v>
      </c>
      <c r="AD1466" s="818"/>
      <c r="AE1466" s="818"/>
      <c r="AF1466" s="818"/>
      <c r="AG1466" s="818"/>
      <c r="AH1466" s="163"/>
      <c r="AI1466" s="1942"/>
      <c r="AJ1466" s="1942"/>
      <c r="AK1466" s="820"/>
      <c r="AL1466" s="1942"/>
      <c r="AM1466" s="1942"/>
      <c r="AN1466" s="1942"/>
      <c r="AO1466" s="1942"/>
      <c r="AP1466" s="1942"/>
      <c r="AQ1466" s="1942"/>
      <c r="AR1466" s="1942"/>
      <c r="AS1466" s="1942"/>
      <c r="AT1466" s="1942"/>
      <c r="AU1466" s="1942"/>
      <c r="AV1466" s="1942"/>
      <c r="AW1466" s="1942"/>
      <c r="AX1466" s="1942"/>
      <c r="AY1466" s="1942"/>
      <c r="AZ1466" s="1942"/>
      <c r="BA1466" s="1942"/>
      <c r="BB1466" s="242"/>
      <c r="BC1466" s="822" t="str">
        <f t="shared" si="152"/>
        <v>Heating Res 18 Year EUL</v>
      </c>
      <c r="BD1466" s="673">
        <f>(INDEX('Avoided Cost Benefits'!$C$4:$C$857,MATCH(BC1466,'Avoided Cost Benefits'!$A$4:$A$857,0)))*F1466</f>
        <v>2480.6845850770924</v>
      </c>
      <c r="BE1466" s="1949">
        <f t="shared" si="157"/>
        <v>0</v>
      </c>
      <c r="BF1466" s="1942"/>
      <c r="BG1466" s="691"/>
      <c r="BH1466" s="821"/>
      <c r="BI1466" s="691"/>
    </row>
    <row r="1467" spans="1:61" s="51" customFormat="1" x14ac:dyDescent="0.25">
      <c r="A1467" s="1267" t="str">
        <f t="shared" si="150"/>
        <v>352801_2021_12_Cooling Res</v>
      </c>
      <c r="B1467" s="123"/>
      <c r="C1467" s="2038" t="s">
        <v>4347</v>
      </c>
      <c r="D1467" s="1553" t="s">
        <v>317</v>
      </c>
      <c r="E1467" s="2878" t="s">
        <v>1253</v>
      </c>
      <c r="F1467" s="742">
        <f>ROUND((($K$2579*$K$2766*(1/$K$2953-1/$K$3140)*$K$3327)/1000)*$K$3484,2)</f>
        <v>142.69999999999999</v>
      </c>
      <c r="G1467" s="214" t="str">
        <f>G1465</f>
        <v>Cooling Res</v>
      </c>
      <c r="H1467" s="155">
        <f>VLOOKUP(G1467,'CP FACTORS'!$A$3:$B$38, 2, FALSE)</f>
        <v>9.4741810000000004E-4</v>
      </c>
      <c r="I1467" s="1554">
        <f t="shared" si="151"/>
        <v>0.13519700000000001</v>
      </c>
      <c r="J1467" s="108">
        <f t="shared" si="154"/>
        <v>18</v>
      </c>
      <c r="K1467" s="3294">
        <f t="shared" si="155"/>
        <v>303</v>
      </c>
      <c r="L1467" s="1088">
        <f>L1831</f>
        <v>2.6</v>
      </c>
      <c r="M1467" s="328"/>
      <c r="N1467" s="1587"/>
      <c r="O1467" s="1135"/>
      <c r="P1467" s="123"/>
      <c r="Q1467" s="123"/>
      <c r="R1467" s="1431"/>
      <c r="S1467" s="123"/>
      <c r="T1467" s="123"/>
      <c r="U1467" s="1589"/>
      <c r="V1467" s="1962" t="s">
        <v>31</v>
      </c>
      <c r="W1467" s="818"/>
      <c r="X1467" s="819"/>
      <c r="Y1467" s="742">
        <v>219.54</v>
      </c>
      <c r="Z1467" s="737">
        <v>219.54</v>
      </c>
      <c r="AA1467" s="737">
        <v>219.54</v>
      </c>
      <c r="AB1467" s="2162">
        <v>219.54</v>
      </c>
      <c r="AC1467" s="742">
        <v>142.69999999999999</v>
      </c>
      <c r="AD1467" s="818"/>
      <c r="AE1467" s="818"/>
      <c r="AF1467" s="818"/>
      <c r="AG1467" s="818"/>
      <c r="AH1467" s="163"/>
      <c r="AI1467" s="1942"/>
      <c r="AJ1467" s="1942"/>
      <c r="AK1467" s="820"/>
      <c r="AL1467" s="1942"/>
      <c r="AM1467" s="1942"/>
      <c r="AN1467" s="1942"/>
      <c r="AO1467" s="1942"/>
      <c r="AP1467" s="1942"/>
      <c r="AQ1467" s="1942"/>
      <c r="AR1467" s="1942"/>
      <c r="AS1467" s="1942"/>
      <c r="AT1467" s="1942"/>
      <c r="AU1467" s="1942"/>
      <c r="AV1467" s="1942"/>
      <c r="AW1467" s="1942"/>
      <c r="AX1467" s="1942"/>
      <c r="AY1467" s="1942"/>
      <c r="AZ1467" s="1942"/>
      <c r="BA1467" s="1942"/>
      <c r="BB1467" s="244">
        <f>(BD1467+BD1468)/(BE1467+BE1468)</f>
        <v>3.8372204948054049</v>
      </c>
      <c r="BC1467" s="710" t="str">
        <f t="shared" si="152"/>
        <v>Cooling Res 18 Year EUL</v>
      </c>
      <c r="BD1467" s="673">
        <f>(INDEX('Avoided Cost Benefits'!$C$4:$C$857,MATCH(BC1467,'Avoided Cost Benefits'!$A$4:$A$857,0)))*F1467</f>
        <v>251.69535540535256</v>
      </c>
      <c r="BE1467" s="1949">
        <f t="shared" si="157"/>
        <v>285.98395469561109</v>
      </c>
      <c r="BF1467" s="1942"/>
      <c r="BG1467" s="691"/>
      <c r="BH1467" s="824"/>
      <c r="BI1467" s="691"/>
    </row>
    <row r="1468" spans="1:61" s="51" customFormat="1" x14ac:dyDescent="0.25">
      <c r="A1468" s="1267" t="str">
        <f t="shared" si="150"/>
        <v>352801_2021_12_Heating Res</v>
      </c>
      <c r="B1468" s="123"/>
      <c r="C1468" s="2038" t="str">
        <f>C1467</f>
        <v>352801_2021_12_</v>
      </c>
      <c r="D1468" s="1553" t="s">
        <v>317</v>
      </c>
      <c r="E1468" s="3005" t="s">
        <v>1253</v>
      </c>
      <c r="F1468" s="742">
        <f>ROUND((($K$1831*$K$2018*(1/$K$2205-1/$K$2392)*$K$3327)/1000)*$K$3484,2)</f>
        <v>1830.43</v>
      </c>
      <c r="G1468" s="214" t="str">
        <f>G1466</f>
        <v>Heating Res</v>
      </c>
      <c r="H1468" s="155">
        <f>VLOOKUP(G1468,'CP FACTORS'!$A$3:$B$38, 2, FALSE)</f>
        <v>0</v>
      </c>
      <c r="I1468" s="1554">
        <f t="shared" si="151"/>
        <v>0</v>
      </c>
      <c r="J1468" s="108">
        <f t="shared" si="154"/>
        <v>18</v>
      </c>
      <c r="K1468" s="1052">
        <f t="shared" si="155"/>
        <v>0</v>
      </c>
      <c r="L1468" s="1088"/>
      <c r="M1468" s="328"/>
      <c r="N1468" s="1587"/>
      <c r="O1468" s="1135"/>
      <c r="P1468" s="123"/>
      <c r="Q1468" s="123"/>
      <c r="R1468" s="1431"/>
      <c r="S1468" s="123"/>
      <c r="T1468" s="123"/>
      <c r="U1468" s="1589"/>
      <c r="V1468" s="1962" t="s">
        <v>31</v>
      </c>
      <c r="W1468" s="818"/>
      <c r="X1468" s="819"/>
      <c r="Y1468" s="742">
        <v>2816.04</v>
      </c>
      <c r="Z1468" s="737">
        <v>2816.04</v>
      </c>
      <c r="AA1468" s="737">
        <v>2816.04</v>
      </c>
      <c r="AB1468" s="2162">
        <v>2816.04</v>
      </c>
      <c r="AC1468" s="742">
        <v>1830.43</v>
      </c>
      <c r="AD1468" s="818"/>
      <c r="AE1468" s="818"/>
      <c r="AF1468" s="818"/>
      <c r="AG1468" s="818"/>
      <c r="AH1468" s="163"/>
      <c r="AI1468" s="1942"/>
      <c r="AJ1468" s="1942"/>
      <c r="AK1468" s="820"/>
      <c r="AL1468" s="1942"/>
      <c r="AM1468" s="1942"/>
      <c r="AN1468" s="1942"/>
      <c r="AO1468" s="1942"/>
      <c r="AP1468" s="1942"/>
      <c r="AQ1468" s="1942"/>
      <c r="AR1468" s="1942"/>
      <c r="AS1468" s="1942"/>
      <c r="AT1468" s="1942"/>
      <c r="AU1468" s="1942"/>
      <c r="AV1468" s="1942"/>
      <c r="AW1468" s="1942"/>
      <c r="AX1468" s="1942"/>
      <c r="AY1468" s="1942"/>
      <c r="AZ1468" s="1942"/>
      <c r="BA1468" s="1942"/>
      <c r="BB1468" s="242"/>
      <c r="BC1468" s="822" t="str">
        <f t="shared" si="152"/>
        <v>Heating Res 18 Year EUL</v>
      </c>
      <c r="BD1468" s="673">
        <f>(INDEX('Avoided Cost Benefits'!$C$4:$C$857,MATCH(BC1468,'Avoided Cost Benefits'!$A$4:$A$857,0)))*F1468</f>
        <v>845.6881367381468</v>
      </c>
      <c r="BE1468" s="1949">
        <f t="shared" si="157"/>
        <v>0</v>
      </c>
      <c r="BF1468" s="1942"/>
      <c r="BG1468" s="691"/>
      <c r="BH1468" s="824"/>
      <c r="BI1468" s="691"/>
    </row>
    <row r="1469" spans="1:61" s="1942" customFormat="1" x14ac:dyDescent="0.25">
      <c r="A1469" s="1267"/>
      <c r="B1469" s="123"/>
      <c r="C1469" s="2038" t="s">
        <v>1254</v>
      </c>
      <c r="D1469" s="2695" t="s">
        <v>322</v>
      </c>
      <c r="E1469" s="3007" t="s">
        <v>1255</v>
      </c>
      <c r="F1469" s="742">
        <f>ROUND(((K2580*K2767*(1/K2954-1/K3141)*K3328)/1000)*$K$3484,2)</f>
        <v>196.21</v>
      </c>
      <c r="G1469" s="2042" t="s">
        <v>1134</v>
      </c>
      <c r="H1469" s="2867">
        <f>VLOOKUP(G1469,'CP FACTORS'!$A$3:$B$38, 2, FALSE)</f>
        <v>9.4741810000000004E-4</v>
      </c>
      <c r="I1469" s="2757">
        <f t="shared" si="151"/>
        <v>0.185893</v>
      </c>
      <c r="J1469" s="116">
        <f t="shared" si="154"/>
        <v>18</v>
      </c>
      <c r="K1469" s="3294">
        <f t="shared" si="155"/>
        <v>303</v>
      </c>
      <c r="L1469" s="3296">
        <f>L1832</f>
        <v>2.6</v>
      </c>
      <c r="M1469" s="328"/>
      <c r="N1469" s="1587"/>
      <c r="O1469" s="1135"/>
      <c r="P1469" s="123"/>
      <c r="Q1469" s="123"/>
      <c r="R1469" s="1431"/>
      <c r="S1469" s="123"/>
      <c r="T1469" s="123"/>
      <c r="U1469" s="1589"/>
      <c r="V1469" s="1958" t="s">
        <v>31</v>
      </c>
      <c r="W1469" s="818"/>
      <c r="X1469" s="819"/>
      <c r="Y1469" s="742"/>
      <c r="Z1469" s="737"/>
      <c r="AA1469" s="737"/>
      <c r="AB1469" s="2162"/>
      <c r="AC1469" s="742">
        <v>196.21</v>
      </c>
      <c r="AD1469" s="818"/>
      <c r="AE1469" s="818"/>
      <c r="AF1469" s="818"/>
      <c r="AG1469" s="818"/>
      <c r="AH1469" s="163"/>
      <c r="AK1469" s="820"/>
      <c r="BB1469" s="244">
        <f>(BD1469+BD1470)/(BE1469+BE1470)</f>
        <v>1.2101262972306195</v>
      </c>
      <c r="BC1469" s="3049" t="str">
        <f t="shared" si="152"/>
        <v>Cooling Res 18 Year EUL</v>
      </c>
      <c r="BD1469" s="673">
        <f>(INDEX('Avoided Cost Benefits'!$C$4:$C$857,MATCH(BC1469,'Avoided Cost Benefits'!$A$4:$A$857,0)))*F1469</f>
        <v>346.0767041631691</v>
      </c>
      <c r="BE1469" s="1949">
        <f t="shared" si="157"/>
        <v>285.98395469561109</v>
      </c>
      <c r="BG1469" s="691"/>
      <c r="BH1469" s="824"/>
      <c r="BI1469" s="691"/>
    </row>
    <row r="1470" spans="1:61" s="1942" customFormat="1" x14ac:dyDescent="0.25">
      <c r="A1470" s="1267"/>
      <c r="B1470" s="123"/>
      <c r="C1470" s="2038" t="s">
        <v>1254</v>
      </c>
      <c r="D1470" s="2695" t="s">
        <v>322</v>
      </c>
      <c r="E1470" s="3005" t="s">
        <v>1255</v>
      </c>
      <c r="F1470" s="742">
        <v>0</v>
      </c>
      <c r="G1470" s="2042" t="s">
        <v>1135</v>
      </c>
      <c r="H1470" s="2867">
        <f>VLOOKUP(G1470,'CP FACTORS'!$A$3:$B$38, 2, FALSE)</f>
        <v>0</v>
      </c>
      <c r="I1470" s="2757">
        <f t="shared" si="151"/>
        <v>0</v>
      </c>
      <c r="J1470" s="116">
        <f t="shared" si="154"/>
        <v>18</v>
      </c>
      <c r="K1470" s="3294">
        <f t="shared" si="155"/>
        <v>0</v>
      </c>
      <c r="L1470" s="3296"/>
      <c r="M1470" s="328"/>
      <c r="N1470" s="1587"/>
      <c r="O1470" s="1135"/>
      <c r="P1470" s="123"/>
      <c r="Q1470" s="123"/>
      <c r="R1470" s="1431"/>
      <c r="S1470" s="123"/>
      <c r="T1470" s="123"/>
      <c r="U1470" s="1589"/>
      <c r="V1470" s="1958" t="s">
        <v>31</v>
      </c>
      <c r="W1470" s="818"/>
      <c r="X1470" s="819"/>
      <c r="Y1470" s="742"/>
      <c r="Z1470" s="737"/>
      <c r="AA1470" s="737"/>
      <c r="AB1470" s="2162"/>
      <c r="AC1470" s="742">
        <v>0</v>
      </c>
      <c r="AD1470" s="818"/>
      <c r="AE1470" s="818"/>
      <c r="AF1470" s="818"/>
      <c r="AG1470" s="818"/>
      <c r="AH1470" s="163"/>
      <c r="AK1470" s="820"/>
      <c r="BB1470" s="242"/>
      <c r="BC1470" s="822" t="str">
        <f t="shared" si="152"/>
        <v>Heating Res 18 Year EUL</v>
      </c>
      <c r="BD1470" s="673">
        <f>(INDEX('Avoided Cost Benefits'!$C$4:$C$857,MATCH(BC1470,'Avoided Cost Benefits'!$A$4:$A$857,0)))*F1470</f>
        <v>0</v>
      </c>
      <c r="BE1470" s="1949">
        <f t="shared" si="157"/>
        <v>0</v>
      </c>
      <c r="BG1470" s="691"/>
      <c r="BH1470" s="824"/>
      <c r="BI1470" s="691"/>
    </row>
    <row r="1471" spans="1:61" s="1942" customFormat="1" x14ac:dyDescent="0.25">
      <c r="A1471" s="1267"/>
      <c r="B1471" s="123"/>
      <c r="C1471" s="2038" t="s">
        <v>1256</v>
      </c>
      <c r="D1471" s="2695" t="s">
        <v>317</v>
      </c>
      <c r="E1471" s="3007" t="s">
        <v>1257</v>
      </c>
      <c r="F1471" s="742">
        <f>ROUND(((K2581*K2768*(1/K2955-1/K3142)*K3329)/1000)*$K$3484,2)</f>
        <v>142.69999999999999</v>
      </c>
      <c r="G1471" s="2042" t="s">
        <v>1134</v>
      </c>
      <c r="H1471" s="2867">
        <f>VLOOKUP(G1471,'CP FACTORS'!$A$3:$B$38, 2, FALSE)</f>
        <v>9.4741810000000004E-4</v>
      </c>
      <c r="I1471" s="2757">
        <f t="shared" si="151"/>
        <v>0.13519700000000001</v>
      </c>
      <c r="J1471" s="116">
        <f t="shared" si="154"/>
        <v>18</v>
      </c>
      <c r="K1471" s="3294">
        <f t="shared" si="155"/>
        <v>303</v>
      </c>
      <c r="L1471" s="3296">
        <f>L1833</f>
        <v>2.6</v>
      </c>
      <c r="M1471" s="328"/>
      <c r="N1471" s="1587"/>
      <c r="O1471" s="1135"/>
      <c r="P1471" s="123"/>
      <c r="Q1471" s="123"/>
      <c r="R1471" s="1431"/>
      <c r="S1471" s="123"/>
      <c r="T1471" s="123"/>
      <c r="U1471" s="1589"/>
      <c r="V1471" s="1958" t="s">
        <v>31</v>
      </c>
      <c r="W1471" s="818"/>
      <c r="X1471" s="819"/>
      <c r="Y1471" s="742"/>
      <c r="Z1471" s="737"/>
      <c r="AA1471" s="737"/>
      <c r="AB1471" s="2162"/>
      <c r="AC1471" s="742">
        <v>142.69999999999999</v>
      </c>
      <c r="AD1471" s="818"/>
      <c r="AE1471" s="818"/>
      <c r="AF1471" s="818"/>
      <c r="AG1471" s="818"/>
      <c r="AH1471" s="163"/>
      <c r="AK1471" s="820"/>
      <c r="BB1471" s="244">
        <f>(BD1471+BD1472)/(BE1471+BE1472)</f>
        <v>0.8801030661781224</v>
      </c>
      <c r="BC1471" s="3049" t="str">
        <f t="shared" si="152"/>
        <v>Cooling Res 18 Year EUL</v>
      </c>
      <c r="BD1471" s="673">
        <f>(INDEX('Avoided Cost Benefits'!$C$4:$C$857,MATCH(BC1471,'Avoided Cost Benefits'!$A$4:$A$857,0)))*F1471</f>
        <v>251.69535540535256</v>
      </c>
      <c r="BE1471" s="1949">
        <f t="shared" si="157"/>
        <v>285.98395469561109</v>
      </c>
      <c r="BG1471" s="691"/>
      <c r="BH1471" s="824"/>
      <c r="BI1471" s="691"/>
    </row>
    <row r="1472" spans="1:61" s="1942" customFormat="1" x14ac:dyDescent="0.25">
      <c r="A1472" s="1267"/>
      <c r="B1472" s="123"/>
      <c r="C1472" s="2038" t="s">
        <v>1256</v>
      </c>
      <c r="D1472" s="2695" t="s">
        <v>317</v>
      </c>
      <c r="E1472" s="3007" t="s">
        <v>1257</v>
      </c>
      <c r="F1472" s="742">
        <f>0</f>
        <v>0</v>
      </c>
      <c r="G1472" s="2042" t="s">
        <v>1135</v>
      </c>
      <c r="H1472" s="2867">
        <f>VLOOKUP(G1472,'CP FACTORS'!$A$3:$B$38, 2, FALSE)</f>
        <v>0</v>
      </c>
      <c r="I1472" s="2757">
        <f t="shared" si="151"/>
        <v>0</v>
      </c>
      <c r="J1472" s="116">
        <f t="shared" ref="J1472:J1535" si="159">K3550</f>
        <v>18</v>
      </c>
      <c r="K1472" s="3294">
        <f t="shared" ref="K1472:K1535" si="160">K3924</f>
        <v>0</v>
      </c>
      <c r="L1472" s="3296"/>
      <c r="M1472" s="328"/>
      <c r="N1472" s="1587"/>
      <c r="O1472" s="1135"/>
      <c r="P1472" s="123"/>
      <c r="Q1472" s="123"/>
      <c r="R1472" s="1431"/>
      <c r="S1472" s="123"/>
      <c r="T1472" s="123"/>
      <c r="U1472" s="1589"/>
      <c r="V1472" s="1958" t="s">
        <v>31</v>
      </c>
      <c r="W1472" s="818"/>
      <c r="X1472" s="819"/>
      <c r="Y1472" s="742"/>
      <c r="Z1472" s="737"/>
      <c r="AA1472" s="737"/>
      <c r="AB1472" s="2162"/>
      <c r="AC1472" s="742">
        <v>0</v>
      </c>
      <c r="AD1472" s="818"/>
      <c r="AE1472" s="818"/>
      <c r="AF1472" s="818"/>
      <c r="AG1472" s="818"/>
      <c r="AH1472" s="163"/>
      <c r="AK1472" s="820"/>
      <c r="BB1472" s="242"/>
      <c r="BC1472" s="3049" t="str">
        <f t="shared" si="152"/>
        <v>Heating Res 18 Year EUL</v>
      </c>
      <c r="BD1472" s="673">
        <f>(INDEX('Avoided Cost Benefits'!$C$4:$C$857,MATCH(BC1472,'Avoided Cost Benefits'!$A$4:$A$857,0)))*F1472</f>
        <v>0</v>
      </c>
      <c r="BE1472" s="1949">
        <f t="shared" si="157"/>
        <v>0</v>
      </c>
      <c r="BG1472" s="691"/>
      <c r="BH1472" s="824"/>
      <c r="BI1472" s="691"/>
    </row>
    <row r="1473" spans="1:61" s="51" customFormat="1" x14ac:dyDescent="0.25">
      <c r="A1473" s="1267" t="str">
        <f t="shared" si="150"/>
        <v>352850_2021_12_Cooling Res</v>
      </c>
      <c r="B1473" s="123"/>
      <c r="C1473" s="2038" t="s">
        <v>1259</v>
      </c>
      <c r="D1473" s="1553" t="s">
        <v>322</v>
      </c>
      <c r="E1473" s="2878" t="s">
        <v>1260</v>
      </c>
      <c r="F1473" s="742">
        <f>ROUND(((K2582*K2769*(1/K2956-1/K3143)*K3330)/1000)*$K$3484,2)</f>
        <v>1217.31</v>
      </c>
      <c r="G1473" s="214" t="s">
        <v>1134</v>
      </c>
      <c r="H1473" s="155">
        <f>VLOOKUP(G1473,'CP FACTORS'!$A$3:$B$38, 2, FALSE)</f>
        <v>9.4741810000000004E-4</v>
      </c>
      <c r="I1473" s="1554">
        <f t="shared" si="151"/>
        <v>1.153302</v>
      </c>
      <c r="J1473" s="108">
        <f t="shared" si="159"/>
        <v>6</v>
      </c>
      <c r="K1473" s="3294">
        <f t="shared" si="160"/>
        <v>903.92883988661288</v>
      </c>
      <c r="L1473" s="1088">
        <f>L1834</f>
        <v>3</v>
      </c>
      <c r="M1473" s="328"/>
      <c r="N1473" s="1587"/>
      <c r="O1473" s="1135"/>
      <c r="P1473" s="123"/>
      <c r="Q1473" s="123"/>
      <c r="R1473" s="1431"/>
      <c r="S1473" s="123"/>
      <c r="T1473" s="123"/>
      <c r="U1473" s="1589"/>
      <c r="V1473" s="1962" t="s">
        <v>31</v>
      </c>
      <c r="W1473" s="818">
        <v>1708.6712500000001</v>
      </c>
      <c r="X1473" s="819">
        <v>1287.2375465186074</v>
      </c>
      <c r="Y1473" s="737">
        <v>1287.24</v>
      </c>
      <c r="Z1473" s="737">
        <v>1287.24</v>
      </c>
      <c r="AA1473" s="737">
        <v>1287.24</v>
      </c>
      <c r="AB1473" s="2162">
        <v>1287.24</v>
      </c>
      <c r="AC1473" s="742">
        <v>1217.31</v>
      </c>
      <c r="AD1473" s="818"/>
      <c r="AE1473" s="818"/>
      <c r="AF1473" s="818"/>
      <c r="AG1473" s="818"/>
      <c r="AH1473" s="163"/>
      <c r="AI1473" s="1942"/>
      <c r="AJ1473" s="1942"/>
      <c r="AK1473" s="820"/>
      <c r="AL1473" s="1942"/>
      <c r="AM1473" s="1942"/>
      <c r="AN1473" s="1942"/>
      <c r="AO1473" s="1942"/>
      <c r="AP1473" s="1942"/>
      <c r="AQ1473" s="1942"/>
      <c r="AR1473" s="1942"/>
      <c r="AS1473" s="1942"/>
      <c r="AT1473" s="1942"/>
      <c r="AU1473" s="1942"/>
      <c r="AV1473" s="1942"/>
      <c r="AW1473" s="1942"/>
      <c r="AX1473" s="1942"/>
      <c r="AY1473" s="1942"/>
      <c r="AZ1473" s="1942"/>
      <c r="BA1473" s="1942"/>
      <c r="BB1473" s="244">
        <f>(BD1473+BD1474+BD1475+BD1476)/(BE1473+BE1474+BE1475+BE1476)</f>
        <v>1.4975239481203484</v>
      </c>
      <c r="BC1473" s="3115" t="str">
        <f t="shared" si="152"/>
        <v>Cooling Res 6 Year EUL</v>
      </c>
      <c r="BD1473" s="673">
        <f>(INDEX('Avoided Cost Benefits'!$C$4:$C$857,MATCH(BC1473,'Avoided Cost Benefits'!$A$4:$A$857,0)))*F1473</f>
        <v>707.84648638241379</v>
      </c>
      <c r="BE1473" s="1949">
        <f t="shared" si="157"/>
        <v>853.16549305013007</v>
      </c>
      <c r="BF1473" s="1942"/>
      <c r="BG1473" s="691"/>
      <c r="BH1473" s="821"/>
      <c r="BI1473" s="691"/>
    </row>
    <row r="1474" spans="1:61" s="51" customFormat="1" x14ac:dyDescent="0.25">
      <c r="A1474" s="1267" t="str">
        <f t="shared" si="150"/>
        <v>352850_2021_12_Heating Res</v>
      </c>
      <c r="B1474" s="123"/>
      <c r="C1474" s="2038" t="s">
        <v>1259</v>
      </c>
      <c r="D1474" s="1553" t="s">
        <v>322</v>
      </c>
      <c r="E1474" s="3007" t="s">
        <v>1260</v>
      </c>
      <c r="F1474" s="742">
        <f>ROUND(((K1834*K2021*(1/K2208-1/K2395)*K3330)/1000)*$K$3484,2)</f>
        <v>1441.3</v>
      </c>
      <c r="G1474" s="214" t="s">
        <v>1135</v>
      </c>
      <c r="H1474" s="155">
        <f>VLOOKUP(G1474,'CP FACTORS'!$A$3:$B$38, 2, FALSE)</f>
        <v>0</v>
      </c>
      <c r="I1474" s="1554">
        <f t="shared" si="151"/>
        <v>0</v>
      </c>
      <c r="J1474" s="108">
        <f t="shared" si="159"/>
        <v>6</v>
      </c>
      <c r="K1474" s="1052">
        <f t="shared" si="160"/>
        <v>0</v>
      </c>
      <c r="L1474" s="1088"/>
      <c r="M1474" s="328"/>
      <c r="N1474" s="1587"/>
      <c r="O1474" s="1135"/>
      <c r="P1474" s="123"/>
      <c r="Q1474" s="123"/>
      <c r="R1474" s="1431"/>
      <c r="S1474" s="123"/>
      <c r="T1474" s="123"/>
      <c r="U1474" s="1589"/>
      <c r="V1474" s="1962" t="s">
        <v>31</v>
      </c>
      <c r="W1474" s="818">
        <v>4062.4872213622284</v>
      </c>
      <c r="X1474" s="819">
        <v>1798.7611070228763</v>
      </c>
      <c r="Y1474" s="737">
        <v>1798.76</v>
      </c>
      <c r="Z1474" s="737">
        <v>1798.76</v>
      </c>
      <c r="AA1474" s="737">
        <v>1798.76</v>
      </c>
      <c r="AB1474" s="2162">
        <v>1798.76</v>
      </c>
      <c r="AC1474" s="742">
        <v>1441.3</v>
      </c>
      <c r="AD1474" s="818"/>
      <c r="AE1474" s="818"/>
      <c r="AF1474" s="818"/>
      <c r="AG1474" s="818"/>
      <c r="AH1474" s="163"/>
      <c r="AI1474" s="1942"/>
      <c r="AJ1474" s="1942"/>
      <c r="AK1474" s="820"/>
      <c r="AL1474" s="1942"/>
      <c r="AM1474" s="1942"/>
      <c r="AN1474" s="1942"/>
      <c r="AO1474" s="1942"/>
      <c r="AP1474" s="1942"/>
      <c r="AQ1474" s="1942"/>
      <c r="AR1474" s="1942"/>
      <c r="AS1474" s="1942"/>
      <c r="AT1474" s="1942"/>
      <c r="AU1474" s="1942"/>
      <c r="AV1474" s="1942"/>
      <c r="AW1474" s="1942"/>
      <c r="AX1474" s="1942"/>
      <c r="AY1474" s="1942"/>
      <c r="AZ1474" s="1942"/>
      <c r="BA1474" s="1942"/>
      <c r="BB1474" s="734"/>
      <c r="BC1474" s="3130" t="str">
        <f t="shared" si="152"/>
        <v>Heating Res 6 Year EUL</v>
      </c>
      <c r="BD1474" s="673">
        <f>(INDEX('Avoided Cost Benefits'!$C$4:$C$857,MATCH(BC1474,'Avoided Cost Benefits'!$A$4:$A$857,0)))*F1474</f>
        <v>239.73647963018055</v>
      </c>
      <c r="BE1474" s="1949">
        <f t="shared" si="157"/>
        <v>0</v>
      </c>
      <c r="BF1474" s="1942"/>
      <c r="BG1474" s="691"/>
      <c r="BH1474" s="821"/>
      <c r="BI1474" s="691"/>
    </row>
    <row r="1475" spans="1:61" s="51" customFormat="1" x14ac:dyDescent="0.25">
      <c r="A1475" s="1267" t="str">
        <f t="shared" si="150"/>
        <v>352850_2021_12_Cooling Res ER2</v>
      </c>
      <c r="B1475" s="123"/>
      <c r="C1475" s="2038" t="s">
        <v>1259</v>
      </c>
      <c r="D1475" s="1553" t="s">
        <v>322</v>
      </c>
      <c r="E1475" s="3007" t="s">
        <v>1261</v>
      </c>
      <c r="F1475" s="742">
        <f>ROUND(((K2583*K2770*(1/K2957-1/K3144)*K3331)/1000)*$K$3484,2)</f>
        <v>181.56</v>
      </c>
      <c r="G1475" s="1580" t="s">
        <v>1176</v>
      </c>
      <c r="H1475" s="155">
        <f>VLOOKUP(G1475,'CP FACTORS'!$A$3:$B$38, 2, FALSE)</f>
        <v>9.4741810000000004E-4</v>
      </c>
      <c r="I1475" s="1554">
        <f t="shared" si="151"/>
        <v>0.172013</v>
      </c>
      <c r="J1475" s="108">
        <f t="shared" si="159"/>
        <v>12</v>
      </c>
      <c r="K1475" s="1052">
        <f t="shared" si="160"/>
        <v>0</v>
      </c>
      <c r="L1475" s="1088"/>
      <c r="M1475" s="328"/>
      <c r="N1475" s="1587"/>
      <c r="O1475" s="1135"/>
      <c r="P1475" s="123"/>
      <c r="Q1475" s="123"/>
      <c r="R1475" s="1431"/>
      <c r="S1475" s="123"/>
      <c r="T1475" s="123"/>
      <c r="U1475" s="1589"/>
      <c r="V1475" s="1962" t="s">
        <v>31</v>
      </c>
      <c r="W1475" s="818">
        <v>199.71482142857135</v>
      </c>
      <c r="X1475" s="819">
        <v>199.71482142857135</v>
      </c>
      <c r="Y1475" s="737">
        <v>199.71</v>
      </c>
      <c r="Z1475" s="737">
        <v>199.71</v>
      </c>
      <c r="AA1475" s="737">
        <v>199.71</v>
      </c>
      <c r="AB1475" s="2162">
        <v>199.71</v>
      </c>
      <c r="AC1475" s="742">
        <v>181.56</v>
      </c>
      <c r="AD1475" s="818"/>
      <c r="AE1475" s="818"/>
      <c r="AF1475" s="818"/>
      <c r="AG1475" s="818"/>
      <c r="AH1475" s="163"/>
      <c r="AI1475" s="1942"/>
      <c r="AJ1475" s="1942"/>
      <c r="AK1475" s="820"/>
      <c r="AL1475" s="1942"/>
      <c r="AM1475" s="1942"/>
      <c r="AN1475" s="1942"/>
      <c r="AO1475" s="1942"/>
      <c r="AP1475" s="1942"/>
      <c r="AQ1475" s="1942"/>
      <c r="AR1475" s="1942"/>
      <c r="AS1475" s="1942"/>
      <c r="AT1475" s="1942"/>
      <c r="AU1475" s="1942"/>
      <c r="AV1475" s="1942"/>
      <c r="AW1475" s="1942"/>
      <c r="AX1475" s="1942"/>
      <c r="AY1475" s="1942"/>
      <c r="AZ1475" s="1942"/>
      <c r="BA1475" s="1942"/>
      <c r="BB1475" s="734"/>
      <c r="BC1475" s="3130" t="str">
        <f t="shared" si="152"/>
        <v>Cooling Res ER2 12 Year EUL</v>
      </c>
      <c r="BD1475" s="673">
        <f>(INDEX('Avoided Cost Benefits'!$C$4:$C$857,MATCH(BC1475,'Avoided Cost Benefits'!$A$4:$A$857,0)))*F1475</f>
        <v>214.66265708316701</v>
      </c>
      <c r="BE1475" s="1949">
        <f t="shared" si="157"/>
        <v>0</v>
      </c>
      <c r="BF1475" s="1942"/>
      <c r="BG1475" s="691"/>
      <c r="BH1475" s="821"/>
      <c r="BI1475" s="691"/>
    </row>
    <row r="1476" spans="1:61" s="51" customFormat="1" x14ac:dyDescent="0.25">
      <c r="A1476" s="1267" t="str">
        <f t="shared" si="150"/>
        <v>352850_2021_12_Heating Res ER2</v>
      </c>
      <c r="B1476" s="123"/>
      <c r="C1476" s="2038" t="s">
        <v>1259</v>
      </c>
      <c r="D1476" s="1553" t="s">
        <v>322</v>
      </c>
      <c r="E1476" s="3005" t="s">
        <v>1261</v>
      </c>
      <c r="F1476" s="742">
        <f>ROUND(((K1835*K2022*(1/K2209-1/K2396)*K3331)/1000)*$K$3484,2)</f>
        <v>390.25</v>
      </c>
      <c r="G1476" s="1580" t="s">
        <v>1195</v>
      </c>
      <c r="H1476" s="155">
        <f>VLOOKUP(G1476,'CP FACTORS'!$A$3:$B$38, 2, FALSE)</f>
        <v>0</v>
      </c>
      <c r="I1476" s="1554">
        <f t="shared" si="151"/>
        <v>0</v>
      </c>
      <c r="J1476" s="108">
        <f t="shared" si="159"/>
        <v>12</v>
      </c>
      <c r="K1476" s="1052">
        <f t="shared" si="160"/>
        <v>0</v>
      </c>
      <c r="L1476" s="1088"/>
      <c r="M1476" s="328"/>
      <c r="N1476" s="1587"/>
      <c r="O1476" s="1135"/>
      <c r="P1476" s="123"/>
      <c r="Q1476" s="123"/>
      <c r="R1476" s="1431"/>
      <c r="S1476" s="123"/>
      <c r="T1476" s="123"/>
      <c r="U1476" s="1589"/>
      <c r="V1476" s="1962" t="s">
        <v>31</v>
      </c>
      <c r="W1476" s="818">
        <v>862.96736842105349</v>
      </c>
      <c r="X1476" s="819">
        <v>642.6078562259313</v>
      </c>
      <c r="Y1476" s="737">
        <v>642.61</v>
      </c>
      <c r="Z1476" s="737">
        <v>642.61</v>
      </c>
      <c r="AA1476" s="737">
        <v>642.61</v>
      </c>
      <c r="AB1476" s="2162">
        <v>642.61</v>
      </c>
      <c r="AC1476" s="742">
        <v>390.25</v>
      </c>
      <c r="AD1476" s="818"/>
      <c r="AE1476" s="818"/>
      <c r="AF1476" s="818"/>
      <c r="AG1476" s="818"/>
      <c r="AH1476" s="163"/>
      <c r="AI1476" s="1942"/>
      <c r="AJ1476" s="1942"/>
      <c r="AK1476" s="820"/>
      <c r="AL1476" s="1942"/>
      <c r="AM1476" s="1942"/>
      <c r="AN1476" s="1942"/>
      <c r="AO1476" s="1942"/>
      <c r="AP1476" s="1942"/>
      <c r="AQ1476" s="1942"/>
      <c r="AR1476" s="1942"/>
      <c r="AS1476" s="1942"/>
      <c r="AT1476" s="1942"/>
      <c r="AU1476" s="1942"/>
      <c r="AV1476" s="1942"/>
      <c r="AW1476" s="1942"/>
      <c r="AX1476" s="1942"/>
      <c r="AY1476" s="1942"/>
      <c r="AZ1476" s="1942"/>
      <c r="BA1476" s="1942"/>
      <c r="BB1476" s="734"/>
      <c r="BC1476" s="3116" t="str">
        <f t="shared" si="152"/>
        <v>Heating Res ER2 12 Year EUL</v>
      </c>
      <c r="BD1476" s="673">
        <f>(INDEX('Avoided Cost Benefits'!$C$4:$C$857,MATCH(BC1476,'Avoided Cost Benefits'!$A$4:$A$857,0)))*F1476</f>
        <v>115.39013445671301</v>
      </c>
      <c r="BE1476" s="1949">
        <f t="shared" si="157"/>
        <v>0</v>
      </c>
      <c r="BF1476" s="1942"/>
      <c r="BG1476" s="691"/>
      <c r="BH1476" s="821"/>
      <c r="BI1476" s="691"/>
    </row>
    <row r="1477" spans="1:61" s="51" customFormat="1" x14ac:dyDescent="0.25">
      <c r="A1477" s="1267" t="str">
        <f t="shared" si="150"/>
        <v>352851_2021_12_Cooling Res</v>
      </c>
      <c r="B1477" s="123"/>
      <c r="C1477" s="2038" t="s">
        <v>1263</v>
      </c>
      <c r="D1477" s="1553" t="s">
        <v>317</v>
      </c>
      <c r="E1477" s="2878" t="s">
        <v>1264</v>
      </c>
      <c r="F1477" s="742">
        <f>ROUND((($K$2584*$K$2771*(1/$K$2958-1/$K$3145)*$K$3332)/1000)*$K$3484,2)</f>
        <v>851.07</v>
      </c>
      <c r="G1477" s="214" t="str">
        <f t="shared" ref="G1477:G1480" si="161">G1473</f>
        <v>Cooling Res</v>
      </c>
      <c r="H1477" s="155">
        <f>VLOOKUP(G1477,'CP FACTORS'!$A$3:$B$38, 2, FALSE)</f>
        <v>9.4741810000000004E-4</v>
      </c>
      <c r="I1477" s="1554">
        <f t="shared" si="151"/>
        <v>0.80631900000000001</v>
      </c>
      <c r="J1477" s="108">
        <f t="shared" si="159"/>
        <v>6</v>
      </c>
      <c r="K1477" s="3294">
        <f t="shared" si="160"/>
        <v>903.92883988661288</v>
      </c>
      <c r="L1477" s="3296">
        <f>L1836</f>
        <v>3</v>
      </c>
      <c r="M1477" s="328"/>
      <c r="N1477" s="1587"/>
      <c r="O1477" s="1135"/>
      <c r="P1477" s="123"/>
      <c r="Q1477" s="123"/>
      <c r="R1477" s="1431"/>
      <c r="S1477" s="123"/>
      <c r="T1477" s="123"/>
      <c r="U1477" s="1589"/>
      <c r="V1477" s="1962" t="s">
        <v>31</v>
      </c>
      <c r="W1477" s="818"/>
      <c r="X1477" s="819"/>
      <c r="Y1477" s="742">
        <v>936.17</v>
      </c>
      <c r="Z1477" s="737">
        <v>936.17</v>
      </c>
      <c r="AA1477" s="737">
        <v>936.17</v>
      </c>
      <c r="AB1477" s="2162">
        <v>936.17</v>
      </c>
      <c r="AC1477" s="742">
        <v>851.07</v>
      </c>
      <c r="AD1477" s="818"/>
      <c r="AE1477" s="818"/>
      <c r="AF1477" s="818"/>
      <c r="AG1477" s="818"/>
      <c r="AH1477" s="163"/>
      <c r="AI1477" s="1942"/>
      <c r="AJ1477" s="1942"/>
      <c r="AK1477" s="820"/>
      <c r="AL1477" s="1942"/>
      <c r="AM1477" s="1942"/>
      <c r="AN1477" s="1942"/>
      <c r="AO1477" s="1942"/>
      <c r="AP1477" s="1942"/>
      <c r="AQ1477" s="1942"/>
      <c r="AR1477" s="1942"/>
      <c r="AS1477" s="1942"/>
      <c r="AT1477" s="1942"/>
      <c r="AU1477" s="1942"/>
      <c r="AV1477" s="1942"/>
      <c r="AW1477" s="1942"/>
      <c r="AX1477" s="1942"/>
      <c r="AY1477" s="1942"/>
      <c r="AZ1477" s="1942"/>
      <c r="BA1477" s="1942"/>
      <c r="BB1477" s="244">
        <f>(BD1477+BD1478+BD1479+BD1480)/(BE1477+BE1478+BE1479+BE1480)</f>
        <v>0.90493967451385515</v>
      </c>
      <c r="BC1477" s="3115" t="str">
        <f t="shared" si="152"/>
        <v>Cooling Res 6 Year EUL</v>
      </c>
      <c r="BD1477" s="673">
        <f>(INDEX('Avoided Cost Benefits'!$C$4:$C$857,MATCH(BC1477,'Avoided Cost Benefits'!$A$4:$A$857,0)))*F1477</f>
        <v>494.88372654909676</v>
      </c>
      <c r="BE1477" s="1949">
        <f t="shared" si="157"/>
        <v>853.16549305013007</v>
      </c>
      <c r="BF1477" s="1942"/>
      <c r="BG1477" s="691"/>
      <c r="BH1477" s="824"/>
      <c r="BI1477" s="691"/>
    </row>
    <row r="1478" spans="1:61" s="51" customFormat="1" x14ac:dyDescent="0.25">
      <c r="A1478" s="1267" t="str">
        <f t="shared" si="150"/>
        <v>352851_2021_12_Heating Res</v>
      </c>
      <c r="B1478" s="123"/>
      <c r="C1478" s="2038" t="str">
        <f>C1477</f>
        <v>352851_2021_12_</v>
      </c>
      <c r="D1478" s="1553" t="s">
        <v>317</v>
      </c>
      <c r="E1478" s="3007" t="s">
        <v>1264</v>
      </c>
      <c r="F1478" s="742">
        <f>ROUND((($K$1836*$K$2023*(1/$K$2210-1/$K$2397)*$K$3332)/1000)*$K$3484,2)</f>
        <v>491.35</v>
      </c>
      <c r="G1478" s="214" t="str">
        <f t="shared" si="161"/>
        <v>Heating Res</v>
      </c>
      <c r="H1478" s="155">
        <f>VLOOKUP(G1478,'CP FACTORS'!$A$3:$B$38, 2, FALSE)</f>
        <v>0</v>
      </c>
      <c r="I1478" s="1554">
        <f t="shared" si="151"/>
        <v>0</v>
      </c>
      <c r="J1478" s="108">
        <f t="shared" si="159"/>
        <v>6</v>
      </c>
      <c r="K1478" s="1052">
        <f t="shared" si="160"/>
        <v>0</v>
      </c>
      <c r="L1478" s="1088"/>
      <c r="M1478" s="328"/>
      <c r="N1478" s="1587"/>
      <c r="O1478" s="1135"/>
      <c r="P1478" s="123"/>
      <c r="Q1478" s="123"/>
      <c r="R1478" s="1431"/>
      <c r="S1478" s="123"/>
      <c r="T1478" s="123"/>
      <c r="U1478" s="1589"/>
      <c r="V1478" s="1962" t="s">
        <v>31</v>
      </c>
      <c r="W1478" s="818"/>
      <c r="X1478" s="819"/>
      <c r="Y1478" s="742">
        <v>613.21</v>
      </c>
      <c r="Z1478" s="737">
        <v>613.21</v>
      </c>
      <c r="AA1478" s="737">
        <v>613.21</v>
      </c>
      <c r="AB1478" s="2162">
        <v>613.21</v>
      </c>
      <c r="AC1478" s="742">
        <v>491.35</v>
      </c>
      <c r="AD1478" s="818"/>
      <c r="AE1478" s="818"/>
      <c r="AF1478" s="818"/>
      <c r="AG1478" s="818"/>
      <c r="AH1478" s="163"/>
      <c r="AI1478" s="1942"/>
      <c r="AJ1478" s="1942"/>
      <c r="AK1478" s="820"/>
      <c r="AL1478" s="1942"/>
      <c r="AM1478" s="1942"/>
      <c r="AN1478" s="1942"/>
      <c r="AO1478" s="1942"/>
      <c r="AP1478" s="1942"/>
      <c r="AQ1478" s="1942"/>
      <c r="AR1478" s="1942"/>
      <c r="AS1478" s="1942"/>
      <c r="AT1478" s="1942"/>
      <c r="AU1478" s="1942"/>
      <c r="AV1478" s="1942"/>
      <c r="AW1478" s="1942"/>
      <c r="AX1478" s="1942"/>
      <c r="AY1478" s="1942"/>
      <c r="AZ1478" s="1942"/>
      <c r="BA1478" s="1942"/>
      <c r="BB1478" s="734"/>
      <c r="BC1478" s="3130" t="str">
        <f t="shared" si="152"/>
        <v>Heating Res 6 Year EUL</v>
      </c>
      <c r="BD1478" s="673">
        <f>(INDEX('Avoided Cost Benefits'!$C$4:$C$857,MATCH(BC1478,'Avoided Cost Benefits'!$A$4:$A$857,0)))*F1478</f>
        <v>81.727967297779244</v>
      </c>
      <c r="BE1478" s="1949">
        <f t="shared" si="157"/>
        <v>0</v>
      </c>
      <c r="BF1478" s="1942"/>
      <c r="BG1478" s="691"/>
      <c r="BH1478" s="824"/>
      <c r="BI1478" s="691"/>
    </row>
    <row r="1479" spans="1:61" s="51" customFormat="1" x14ac:dyDescent="0.25">
      <c r="A1479" s="1267" t="str">
        <f t="shared" si="150"/>
        <v>352851_2021_12_Cooling Res ER2</v>
      </c>
      <c r="B1479" s="123"/>
      <c r="C1479" s="2038" t="str">
        <f>C1478</f>
        <v>352851_2021_12_</v>
      </c>
      <c r="D1479" s="1553" t="s">
        <v>317</v>
      </c>
      <c r="E1479" s="3007" t="s">
        <v>1265</v>
      </c>
      <c r="F1479" s="742">
        <f>ROUND((($K$2585*$K$2772*(1/$K$2959-1/$K$3146)*$K$3333)/1000)*$K$3484,2)</f>
        <v>132.04</v>
      </c>
      <c r="G1479" s="214" t="str">
        <f t="shared" si="161"/>
        <v>Cooling Res ER2</v>
      </c>
      <c r="H1479" s="155">
        <f>VLOOKUP(G1479,'CP FACTORS'!$A$3:$B$38, 2, FALSE)</f>
        <v>9.4741810000000004E-4</v>
      </c>
      <c r="I1479" s="1554">
        <f t="shared" si="151"/>
        <v>0.12509700000000001</v>
      </c>
      <c r="J1479" s="108">
        <f t="shared" si="159"/>
        <v>12</v>
      </c>
      <c r="K1479" s="1052">
        <f t="shared" si="160"/>
        <v>0</v>
      </c>
      <c r="L1479" s="1088"/>
      <c r="M1479" s="328"/>
      <c r="N1479" s="1587"/>
      <c r="O1479" s="1135"/>
      <c r="P1479" s="123"/>
      <c r="Q1479" s="123"/>
      <c r="R1479" s="1431"/>
      <c r="S1479" s="123"/>
      <c r="T1479" s="123"/>
      <c r="U1479" s="1589"/>
      <c r="V1479" s="1962" t="s">
        <v>31</v>
      </c>
      <c r="W1479" s="818"/>
      <c r="X1479" s="819"/>
      <c r="Y1479" s="742">
        <v>145.25</v>
      </c>
      <c r="Z1479" s="737">
        <v>145.25</v>
      </c>
      <c r="AA1479" s="737">
        <v>145.25</v>
      </c>
      <c r="AB1479" s="2162">
        <v>145.25</v>
      </c>
      <c r="AC1479" s="742">
        <v>132.04</v>
      </c>
      <c r="AD1479" s="818"/>
      <c r="AE1479" s="818"/>
      <c r="AF1479" s="818"/>
      <c r="AG1479" s="818"/>
      <c r="AH1479" s="163"/>
      <c r="AI1479" s="1942"/>
      <c r="AJ1479" s="1942"/>
      <c r="AK1479" s="820"/>
      <c r="AL1479" s="1942"/>
      <c r="AM1479" s="1942"/>
      <c r="AN1479" s="1942"/>
      <c r="AO1479" s="1942"/>
      <c r="AP1479" s="1942"/>
      <c r="AQ1479" s="1942"/>
      <c r="AR1479" s="1942"/>
      <c r="AS1479" s="1942"/>
      <c r="AT1479" s="1942"/>
      <c r="AU1479" s="1942"/>
      <c r="AV1479" s="1942"/>
      <c r="AW1479" s="1942"/>
      <c r="AX1479" s="1942"/>
      <c r="AY1479" s="1942"/>
      <c r="AZ1479" s="1942"/>
      <c r="BA1479" s="1942"/>
      <c r="BB1479" s="734"/>
      <c r="BC1479" s="3130" t="str">
        <f t="shared" si="152"/>
        <v>Cooling Res ER2 12 Year EUL</v>
      </c>
      <c r="BD1479" s="673">
        <f>(INDEX('Avoided Cost Benefits'!$C$4:$C$857,MATCH(BC1479,'Avoided Cost Benefits'!$A$4:$A$857,0)))*F1479</f>
        <v>156.11399670225472</v>
      </c>
      <c r="BE1479" s="1949">
        <f t="shared" si="157"/>
        <v>0</v>
      </c>
      <c r="BF1479" s="1942"/>
      <c r="BG1479" s="691"/>
      <c r="BH1479" s="824"/>
      <c r="BI1479" s="691"/>
    </row>
    <row r="1480" spans="1:61" s="51" customFormat="1" x14ac:dyDescent="0.25">
      <c r="A1480" s="1267" t="str">
        <f t="shared" si="150"/>
        <v>352851_2021_12_Heating Res ER2</v>
      </c>
      <c r="B1480" s="123"/>
      <c r="C1480" s="2038" t="str">
        <f>C1479</f>
        <v>352851_2021_12_</v>
      </c>
      <c r="D1480" s="1553" t="s">
        <v>317</v>
      </c>
      <c r="E1480" s="3005" t="s">
        <v>1265</v>
      </c>
      <c r="F1480" s="742">
        <f>ROUND((($K$1837*$K$2024*(1/$K$2211-1/$K$2398)*$K$3333)/1000)*$K$3484,2)</f>
        <v>133.04</v>
      </c>
      <c r="G1480" s="214" t="str">
        <f t="shared" si="161"/>
        <v>Heating Res ER2</v>
      </c>
      <c r="H1480" s="155">
        <f>VLOOKUP(G1480,'CP FACTORS'!$A$3:$B$38, 2, FALSE)</f>
        <v>0</v>
      </c>
      <c r="I1480" s="1554">
        <f t="shared" si="151"/>
        <v>0</v>
      </c>
      <c r="J1480" s="108">
        <f t="shared" si="159"/>
        <v>12</v>
      </c>
      <c r="K1480" s="1052">
        <f t="shared" si="160"/>
        <v>0</v>
      </c>
      <c r="L1480" s="1088"/>
      <c r="M1480" s="328"/>
      <c r="N1480" s="1587"/>
      <c r="O1480" s="1135"/>
      <c r="P1480" s="123"/>
      <c r="Q1480" s="123"/>
      <c r="R1480" s="1431"/>
      <c r="S1480" s="123"/>
      <c r="T1480" s="123"/>
      <c r="U1480" s="1589"/>
      <c r="V1480" s="1962" t="s">
        <v>31</v>
      </c>
      <c r="W1480" s="818"/>
      <c r="X1480" s="819"/>
      <c r="Y1480" s="742">
        <v>219.07</v>
      </c>
      <c r="Z1480" s="737">
        <v>219.07</v>
      </c>
      <c r="AA1480" s="737">
        <v>219.07</v>
      </c>
      <c r="AB1480" s="2162">
        <v>219.07</v>
      </c>
      <c r="AC1480" s="742">
        <v>133.04</v>
      </c>
      <c r="AD1480" s="818"/>
      <c r="AE1480" s="818"/>
      <c r="AF1480" s="818"/>
      <c r="AG1480" s="818"/>
      <c r="AH1480" s="163"/>
      <c r="AI1480" s="1942"/>
      <c r="AJ1480" s="1942"/>
      <c r="AK1480" s="820"/>
      <c r="AL1480" s="1942"/>
      <c r="AM1480" s="1942"/>
      <c r="AN1480" s="1942"/>
      <c r="AO1480" s="1942"/>
      <c r="AP1480" s="1942"/>
      <c r="AQ1480" s="1942"/>
      <c r="AR1480" s="1942"/>
      <c r="AS1480" s="1942"/>
      <c r="AT1480" s="1942"/>
      <c r="AU1480" s="1942"/>
      <c r="AV1480" s="1942"/>
      <c r="AW1480" s="1942"/>
      <c r="AX1480" s="1942"/>
      <c r="AY1480" s="1942"/>
      <c r="AZ1480" s="1942"/>
      <c r="BA1480" s="1942"/>
      <c r="BB1480" s="734"/>
      <c r="BC1480" s="3116" t="str">
        <f t="shared" si="152"/>
        <v>Heating Res ER2 12 Year EUL</v>
      </c>
      <c r="BD1480" s="673">
        <f>(INDEX('Avoided Cost Benefits'!$C$4:$C$857,MATCH(BC1480,'Avoided Cost Benefits'!$A$4:$A$857,0)))*F1480</f>
        <v>39.337613038106589</v>
      </c>
      <c r="BE1480" s="1949">
        <f t="shared" si="157"/>
        <v>0</v>
      </c>
      <c r="BF1480" s="1942"/>
      <c r="BG1480" s="691"/>
      <c r="BH1480" s="824"/>
      <c r="BI1480" s="691"/>
    </row>
    <row r="1481" spans="1:61" s="51" customFormat="1" x14ac:dyDescent="0.25">
      <c r="A1481" s="1267" t="str">
        <f t="shared" si="150"/>
        <v>352900_2021_12_Cooling Res</v>
      </c>
      <c r="B1481" s="123"/>
      <c r="C1481" s="2038" t="s">
        <v>1267</v>
      </c>
      <c r="D1481" s="1553" t="s">
        <v>322</v>
      </c>
      <c r="E1481" s="2965" t="s">
        <v>1268</v>
      </c>
      <c r="F1481" s="742">
        <f>ROUND(((K2586*K2773*(1/K2960-1/K3147)*K3334)/1000)*$K$3484,2)</f>
        <v>181.56</v>
      </c>
      <c r="G1481" s="214" t="s">
        <v>1134</v>
      </c>
      <c r="H1481" s="155">
        <f>VLOOKUP(G1481,'CP FACTORS'!$A$3:$B$38, 2, FALSE)</f>
        <v>9.4741810000000004E-4</v>
      </c>
      <c r="I1481" s="1554">
        <f t="shared" si="151"/>
        <v>0.172013</v>
      </c>
      <c r="J1481" s="108">
        <f t="shared" si="159"/>
        <v>18</v>
      </c>
      <c r="K1481" s="1052">
        <f t="shared" si="160"/>
        <v>438</v>
      </c>
      <c r="L1481" s="1088">
        <f>L1838</f>
        <v>3</v>
      </c>
      <c r="M1481" s="328"/>
      <c r="N1481" s="1587"/>
      <c r="O1481" s="1135"/>
      <c r="P1481" s="123"/>
      <c r="Q1481" s="123"/>
      <c r="R1481" s="1431"/>
      <c r="S1481" s="123"/>
      <c r="T1481" s="123"/>
      <c r="U1481" s="1589"/>
      <c r="V1481" s="1962" t="s">
        <v>31</v>
      </c>
      <c r="W1481" s="818">
        <v>199.71482142857135</v>
      </c>
      <c r="X1481" s="826">
        <v>199.71482142857135</v>
      </c>
      <c r="Y1481" s="737">
        <v>199.71</v>
      </c>
      <c r="Z1481" s="737">
        <v>199.71</v>
      </c>
      <c r="AA1481" s="737">
        <v>199.71</v>
      </c>
      <c r="AB1481" s="2162">
        <v>199.71</v>
      </c>
      <c r="AC1481" s="742">
        <v>181.56</v>
      </c>
      <c r="AD1481" s="818"/>
      <c r="AE1481" s="818"/>
      <c r="AF1481" s="818"/>
      <c r="AG1481" s="818"/>
      <c r="AH1481" s="163"/>
      <c r="AI1481" s="1942"/>
      <c r="AJ1481" s="1942"/>
      <c r="AK1481" s="820"/>
      <c r="AL1481" s="1942"/>
      <c r="AM1481" s="1942"/>
      <c r="AN1481" s="1942"/>
      <c r="AO1481" s="1942"/>
      <c r="AP1481" s="1942"/>
      <c r="AQ1481" s="1942"/>
      <c r="AR1481" s="1942"/>
      <c r="AS1481" s="1942"/>
      <c r="AT1481" s="1942"/>
      <c r="AU1481" s="1942"/>
      <c r="AV1481" s="1942"/>
      <c r="AW1481" s="1942"/>
      <c r="AX1481" s="1942"/>
      <c r="AY1481" s="1942"/>
      <c r="AZ1481" s="1942"/>
      <c r="BA1481" s="1942"/>
      <c r="BB1481" s="244">
        <f>(BD1481+BD1482)/(BE1481+BE1482)</f>
        <v>1.1987303284345801</v>
      </c>
      <c r="BC1481" s="710" t="str">
        <f t="shared" si="152"/>
        <v>Cooling Res 18 Year EUL</v>
      </c>
      <c r="BD1481" s="673">
        <f>(INDEX('Avoided Cost Benefits'!$C$4:$C$857,MATCH(BC1481,'Avoided Cost Benefits'!$A$4:$A$857,0)))*F1481</f>
        <v>320.23692170564692</v>
      </c>
      <c r="BE1481" s="1949">
        <f t="shared" si="157"/>
        <v>413.40254837187348</v>
      </c>
      <c r="BF1481" s="1942"/>
      <c r="BG1481" s="691"/>
      <c r="BH1481" s="821"/>
      <c r="BI1481" s="691"/>
    </row>
    <row r="1482" spans="1:61" s="51" customFormat="1" x14ac:dyDescent="0.25">
      <c r="A1482" s="1267" t="str">
        <f t="shared" si="150"/>
        <v>352900_2021_12_Heating Res</v>
      </c>
      <c r="B1482" s="123"/>
      <c r="C1482" s="2038" t="s">
        <v>1267</v>
      </c>
      <c r="D1482" s="1553" t="s">
        <v>322</v>
      </c>
      <c r="E1482" s="3008" t="s">
        <v>1268</v>
      </c>
      <c r="F1482" s="742">
        <f>ROUND(((K1838*K2025*(1/K2212-1/K2399)*K3334)/1000)*$K$3484,2)</f>
        <v>379.47</v>
      </c>
      <c r="G1482" s="214" t="s">
        <v>1135</v>
      </c>
      <c r="H1482" s="155">
        <f>VLOOKUP(G1482,'CP FACTORS'!$A$3:$B$38, 2, FALSE)</f>
        <v>0</v>
      </c>
      <c r="I1482" s="1554">
        <f t="shared" si="151"/>
        <v>0</v>
      </c>
      <c r="J1482" s="108">
        <f t="shared" si="159"/>
        <v>18</v>
      </c>
      <c r="K1482" s="1052">
        <f t="shared" si="160"/>
        <v>0</v>
      </c>
      <c r="L1482" s="1088"/>
      <c r="M1482" s="328"/>
      <c r="N1482" s="1587"/>
      <c r="O1482" s="1135"/>
      <c r="P1482" s="123"/>
      <c r="Q1482" s="123"/>
      <c r="R1482" s="1431"/>
      <c r="S1482" s="123"/>
      <c r="T1482" s="123"/>
      <c r="U1482" s="1589"/>
      <c r="V1482" s="1962" t="s">
        <v>31</v>
      </c>
      <c r="W1482" s="818">
        <v>1029.6000000000013</v>
      </c>
      <c r="X1482" s="819">
        <v>766.69069188651167</v>
      </c>
      <c r="Y1482" s="737">
        <v>766.69</v>
      </c>
      <c r="Z1482" s="737">
        <v>766.69</v>
      </c>
      <c r="AA1482" s="737">
        <v>766.69</v>
      </c>
      <c r="AB1482" s="2162">
        <v>766.69</v>
      </c>
      <c r="AC1482" s="742">
        <v>379.47</v>
      </c>
      <c r="AD1482" s="818"/>
      <c r="AE1482" s="818"/>
      <c r="AF1482" s="818"/>
      <c r="AG1482" s="818"/>
      <c r="AH1482" s="163"/>
      <c r="AI1482" s="1942"/>
      <c r="AJ1482" s="1942"/>
      <c r="AK1482" s="820"/>
      <c r="AL1482" s="1942"/>
      <c r="AM1482" s="1942"/>
      <c r="AN1482" s="1942"/>
      <c r="AO1482" s="1942"/>
      <c r="AP1482" s="1942"/>
      <c r="AQ1482" s="1942"/>
      <c r="AR1482" s="1942"/>
      <c r="AS1482" s="1942"/>
      <c r="AT1482" s="1942"/>
      <c r="AU1482" s="1942"/>
      <c r="AV1482" s="1942"/>
      <c r="AW1482" s="1942"/>
      <c r="AX1482" s="1942"/>
      <c r="AY1482" s="1942"/>
      <c r="AZ1482" s="1942"/>
      <c r="BA1482" s="1942"/>
      <c r="BB1482" s="242"/>
      <c r="BC1482" s="822" t="str">
        <f t="shared" si="152"/>
        <v>Heating Res 18 Year EUL</v>
      </c>
      <c r="BD1482" s="673">
        <f>(INDEX('Avoided Cost Benefits'!$C$4:$C$857,MATCH(BC1482,'Avoided Cost Benefits'!$A$4:$A$857,0)))*F1482</f>
        <v>175.32125087986131</v>
      </c>
      <c r="BE1482" s="1949">
        <f t="shared" si="157"/>
        <v>0</v>
      </c>
      <c r="BF1482" s="1942"/>
      <c r="BG1482" s="691"/>
      <c r="BH1482" s="821"/>
      <c r="BI1482" s="691"/>
    </row>
    <row r="1483" spans="1:61" s="51" customFormat="1" x14ac:dyDescent="0.25">
      <c r="A1483" s="1267" t="str">
        <f t="shared" si="150"/>
        <v>352901_2021_12_Cooling Res</v>
      </c>
      <c r="B1483" s="123"/>
      <c r="C1483" s="2038" t="s">
        <v>1270</v>
      </c>
      <c r="D1483" s="1553" t="s">
        <v>317</v>
      </c>
      <c r="E1483" s="2878" t="s">
        <v>1271</v>
      </c>
      <c r="F1483" s="742">
        <f>ROUND((($K$2587*$K$2774*(1/$K$2961-1/$K$3148)*$K$3335)/1000)*$K$3484,2)</f>
        <v>132.04</v>
      </c>
      <c r="G1483" s="214" t="str">
        <f>G1481</f>
        <v>Cooling Res</v>
      </c>
      <c r="H1483" s="155">
        <f>VLOOKUP(G1483,'CP FACTORS'!$A$3:$B$38, 2, FALSE)</f>
        <v>9.4741810000000004E-4</v>
      </c>
      <c r="I1483" s="1554">
        <f t="shared" si="151"/>
        <v>0.12509700000000001</v>
      </c>
      <c r="J1483" s="108">
        <f t="shared" si="159"/>
        <v>18</v>
      </c>
      <c r="K1483" s="3294">
        <f t="shared" si="160"/>
        <v>438</v>
      </c>
      <c r="L1483" s="3296">
        <f>L1839</f>
        <v>3</v>
      </c>
      <c r="M1483" s="328"/>
      <c r="N1483" s="1587"/>
      <c r="O1483" s="1135"/>
      <c r="P1483" s="123"/>
      <c r="Q1483" s="123"/>
      <c r="R1483" s="1431"/>
      <c r="S1483" s="123"/>
      <c r="T1483" s="123"/>
      <c r="U1483" s="1589"/>
      <c r="V1483" s="1962" t="s">
        <v>31</v>
      </c>
      <c r="W1483" s="818"/>
      <c r="X1483" s="819"/>
      <c r="Y1483" s="742">
        <v>145.25</v>
      </c>
      <c r="Z1483" s="737">
        <v>145.25</v>
      </c>
      <c r="AA1483" s="737">
        <v>145.25</v>
      </c>
      <c r="AB1483" s="2162">
        <v>145.25</v>
      </c>
      <c r="AC1483" s="742">
        <v>132.04</v>
      </c>
      <c r="AD1483" s="818"/>
      <c r="AE1483" s="818"/>
      <c r="AF1483" s="818"/>
      <c r="AG1483" s="818"/>
      <c r="AH1483" s="163"/>
      <c r="AI1483" s="1942"/>
      <c r="AJ1483" s="1942"/>
      <c r="AK1483" s="820"/>
      <c r="AL1483" s="1942"/>
      <c r="AM1483" s="1942"/>
      <c r="AN1483" s="1942"/>
      <c r="AO1483" s="1942"/>
      <c r="AP1483" s="1942"/>
      <c r="AQ1483" s="1942"/>
      <c r="AR1483" s="1942"/>
      <c r="AS1483" s="1942"/>
      <c r="AT1483" s="1942"/>
      <c r="AU1483" s="1942"/>
      <c r="AV1483" s="1942"/>
      <c r="AW1483" s="1942"/>
      <c r="AX1483" s="1942"/>
      <c r="AY1483" s="1942"/>
      <c r="AZ1483" s="1942"/>
      <c r="BA1483" s="1942"/>
      <c r="BB1483" s="244">
        <f>(BD1483+BD1484)/(BE1483+BE1484)</f>
        <v>0.70793997295731637</v>
      </c>
      <c r="BC1483" s="710" t="str">
        <f t="shared" si="152"/>
        <v>Cooling Res 18 Year EUL</v>
      </c>
      <c r="BD1483" s="673">
        <f>(INDEX('Avoided Cost Benefits'!$C$4:$C$857,MATCH(BC1483,'Avoided Cost Benefits'!$A$4:$A$857,0)))*F1483</f>
        <v>232.89316557619307</v>
      </c>
      <c r="BE1483" s="1949">
        <f t="shared" si="157"/>
        <v>413.40254837187348</v>
      </c>
      <c r="BF1483" s="1942"/>
      <c r="BG1483" s="691"/>
      <c r="BH1483" s="824"/>
      <c r="BI1483" s="691"/>
    </row>
    <row r="1484" spans="1:61" s="51" customFormat="1" x14ac:dyDescent="0.25">
      <c r="A1484" s="1267" t="str">
        <f t="shared" si="150"/>
        <v>352901_2021_12_Heating Res</v>
      </c>
      <c r="B1484" s="123"/>
      <c r="C1484" s="2038" t="str">
        <f>C1483</f>
        <v>352901_2021_12_</v>
      </c>
      <c r="D1484" s="1553" t="s">
        <v>317</v>
      </c>
      <c r="E1484" s="3005" t="s">
        <v>1271</v>
      </c>
      <c r="F1484" s="742">
        <f>ROUND((($K$1839*$K$2026*(1/$K$2213-1/$K$2400)*$K$3335)/1000)*$K$3484,2)</f>
        <v>129.37</v>
      </c>
      <c r="G1484" s="214" t="str">
        <f>G1482</f>
        <v>Heating Res</v>
      </c>
      <c r="H1484" s="155">
        <f>VLOOKUP(G1484,'CP FACTORS'!$A$3:$B$38, 2, FALSE)</f>
        <v>0</v>
      </c>
      <c r="I1484" s="1554">
        <f t="shared" si="151"/>
        <v>0</v>
      </c>
      <c r="J1484" s="108">
        <f t="shared" si="159"/>
        <v>18</v>
      </c>
      <c r="K1484" s="1052">
        <f t="shared" si="160"/>
        <v>0</v>
      </c>
      <c r="L1484" s="1088"/>
      <c r="M1484" s="328"/>
      <c r="N1484" s="1587"/>
      <c r="O1484" s="1135"/>
      <c r="P1484" s="123"/>
      <c r="Q1484" s="123"/>
      <c r="R1484" s="1431"/>
      <c r="S1484" s="123"/>
      <c r="T1484" s="123"/>
      <c r="U1484" s="1589"/>
      <c r="V1484" s="1962" t="s">
        <v>31</v>
      </c>
      <c r="W1484" s="818"/>
      <c r="X1484" s="819"/>
      <c r="Y1484" s="742">
        <v>261.37</v>
      </c>
      <c r="Z1484" s="737">
        <v>261.37</v>
      </c>
      <c r="AA1484" s="737">
        <v>261.37</v>
      </c>
      <c r="AB1484" s="2162">
        <v>261.37</v>
      </c>
      <c r="AC1484" s="742">
        <v>129.37</v>
      </c>
      <c r="AD1484" s="818"/>
      <c r="AE1484" s="818"/>
      <c r="AF1484" s="818"/>
      <c r="AG1484" s="818"/>
      <c r="AH1484" s="163"/>
      <c r="AI1484" s="1942"/>
      <c r="AJ1484" s="1942"/>
      <c r="AK1484" s="820"/>
      <c r="AL1484" s="1942"/>
      <c r="AM1484" s="1942"/>
      <c r="AN1484" s="1942"/>
      <c r="AO1484" s="1942"/>
      <c r="AP1484" s="1942"/>
      <c r="AQ1484" s="1942"/>
      <c r="AR1484" s="1942"/>
      <c r="AS1484" s="1942"/>
      <c r="AT1484" s="1942"/>
      <c r="AU1484" s="1942"/>
      <c r="AV1484" s="1942"/>
      <c r="AW1484" s="1942"/>
      <c r="AX1484" s="1942"/>
      <c r="AY1484" s="1942"/>
      <c r="AZ1484" s="1942"/>
      <c r="BA1484" s="1942"/>
      <c r="BB1484" s="242"/>
      <c r="BC1484" s="822" t="str">
        <f t="shared" si="152"/>
        <v>Heating Res 18 Year EUL</v>
      </c>
      <c r="BD1484" s="673">
        <f>(INDEX('Avoided Cost Benefits'!$C$4:$C$857,MATCH(BC1484,'Avoided Cost Benefits'!$A$4:$A$857,0)))*F1484</f>
        <v>59.771023338676727</v>
      </c>
      <c r="BE1484" s="1949">
        <f t="shared" si="157"/>
        <v>0</v>
      </c>
      <c r="BF1484" s="1942"/>
      <c r="BG1484" s="691"/>
      <c r="BH1484" s="824"/>
      <c r="BI1484" s="691"/>
    </row>
    <row r="1485" spans="1:61" s="51" customFormat="1" x14ac:dyDescent="0.25">
      <c r="A1485" s="1267" t="str">
        <f t="shared" si="150"/>
        <v>352950_2019_12_Cooling Res</v>
      </c>
      <c r="B1485" s="123"/>
      <c r="C1485" s="1471" t="s">
        <v>1272</v>
      </c>
      <c r="D1485" s="1553" t="s">
        <v>322</v>
      </c>
      <c r="E1485" s="2965" t="s">
        <v>1273</v>
      </c>
      <c r="F1485" s="782">
        <f>ROUND(((K2588*K2775*(1/K2962-1/K3149)*K3336)/1000)*$K$3484,2)</f>
        <v>245.36</v>
      </c>
      <c r="G1485" s="214" t="s">
        <v>1134</v>
      </c>
      <c r="H1485" s="155">
        <f>VLOOKUP(G1485,'CP FACTORS'!$A$3:$B$38, 2, FALSE)</f>
        <v>9.4741810000000004E-4</v>
      </c>
      <c r="I1485" s="1554">
        <f t="shared" si="151"/>
        <v>0.232459</v>
      </c>
      <c r="J1485" s="108">
        <f t="shared" si="159"/>
        <v>18</v>
      </c>
      <c r="K1485" s="1052">
        <f t="shared" si="160"/>
        <v>438</v>
      </c>
      <c r="L1485" s="1088">
        <f>L1840</f>
        <v>2</v>
      </c>
      <c r="M1485" s="328"/>
      <c r="N1485" s="1587"/>
      <c r="O1485" s="1135"/>
      <c r="P1485" s="123"/>
      <c r="Q1485" s="123"/>
      <c r="R1485" s="1431"/>
      <c r="S1485" s="123"/>
      <c r="T1485" s="123"/>
      <c r="U1485" s="1589"/>
      <c r="V1485" s="1962" t="s">
        <v>31</v>
      </c>
      <c r="W1485" s="818">
        <v>312.84000000000009</v>
      </c>
      <c r="X1485" s="825">
        <v>312.84000000000009</v>
      </c>
      <c r="Y1485" s="737">
        <v>312.83999999999997</v>
      </c>
      <c r="Z1485" s="737">
        <v>312.83999999999997</v>
      </c>
      <c r="AA1485" s="737">
        <v>312.83999999999997</v>
      </c>
      <c r="AB1485" s="425">
        <v>245.36</v>
      </c>
      <c r="AC1485" s="782">
        <v>245.36</v>
      </c>
      <c r="AD1485" s="818"/>
      <c r="AE1485" s="818"/>
      <c r="AF1485" s="818"/>
      <c r="AG1485" s="818"/>
      <c r="AH1485" s="163"/>
      <c r="AI1485" s="1942"/>
      <c r="AJ1485" s="1942"/>
      <c r="AK1485" s="820"/>
      <c r="AL1485" s="1942"/>
      <c r="AM1485" s="1942"/>
      <c r="AN1485" s="1942"/>
      <c r="AO1485" s="1942"/>
      <c r="AP1485" s="1942"/>
      <c r="AQ1485" s="1942"/>
      <c r="AR1485" s="1942"/>
      <c r="AS1485" s="1942"/>
      <c r="AT1485" s="1942"/>
      <c r="AU1485" s="1942"/>
      <c r="AV1485" s="1942"/>
      <c r="AW1485" s="1942"/>
      <c r="AX1485" s="1942"/>
      <c r="AY1485" s="1942"/>
      <c r="AZ1485" s="1942"/>
      <c r="BA1485" s="1942"/>
      <c r="BB1485" s="244">
        <f>(BD1485+BD1486)/(BE1485+BE1486)</f>
        <v>5.8605211376387798</v>
      </c>
      <c r="BC1485" s="710" t="str">
        <f t="shared" si="152"/>
        <v>Cooling Res 18 Year EUL</v>
      </c>
      <c r="BD1485" s="673">
        <f>(INDEX('Avoided Cost Benefits'!$C$4:$C$857,MATCH(BC1485,'Avoided Cost Benefits'!$A$4:$A$857,0)))*F1485</f>
        <v>432.76785145239882</v>
      </c>
      <c r="BE1485" s="1949">
        <f t="shared" ref="BE1485:BE1548" si="162">K1485/(1.0595^(2020-2019))</f>
        <v>413.40254837187348</v>
      </c>
      <c r="BF1485" s="1942"/>
      <c r="BG1485" s="691"/>
      <c r="BH1485" s="821"/>
      <c r="BI1485" s="691"/>
    </row>
    <row r="1486" spans="1:61" s="51" customFormat="1" x14ac:dyDescent="0.25">
      <c r="A1486" s="1267" t="str">
        <f t="shared" si="150"/>
        <v>352950_2019_12_Heating Res</v>
      </c>
      <c r="B1486" s="123"/>
      <c r="C1486" s="1471" t="s">
        <v>1272</v>
      </c>
      <c r="D1486" s="1553" t="s">
        <v>322</v>
      </c>
      <c r="E1486" s="3008" t="s">
        <v>1273</v>
      </c>
      <c r="F1486" s="782">
        <f>ROUND(((K1840*K2027*(1/K2214-1/K2401)*K3336)/1000)*$K$3484,2)</f>
        <v>4307.18</v>
      </c>
      <c r="G1486" s="214" t="s">
        <v>1135</v>
      </c>
      <c r="H1486" s="155">
        <f>VLOOKUP(G1486,'CP FACTORS'!$A$3:$B$38, 2, FALSE)</f>
        <v>0</v>
      </c>
      <c r="I1486" s="1554">
        <f t="shared" si="151"/>
        <v>0</v>
      </c>
      <c r="J1486" s="108">
        <f t="shared" si="159"/>
        <v>18</v>
      </c>
      <c r="K1486" s="1052">
        <f t="shared" si="160"/>
        <v>0</v>
      </c>
      <c r="L1486" s="1088"/>
      <c r="M1486" s="328"/>
      <c r="N1486" s="1587"/>
      <c r="O1486" s="1135"/>
      <c r="P1486" s="123"/>
      <c r="Q1486" s="123"/>
      <c r="R1486" s="1431"/>
      <c r="S1486" s="123"/>
      <c r="T1486" s="123"/>
      <c r="U1486" s="1589"/>
      <c r="V1486" s="1962" t="s">
        <v>31</v>
      </c>
      <c r="W1486" s="818">
        <v>9535.6225050639387</v>
      </c>
      <c r="X1486" s="819">
        <v>7100.6925174592607</v>
      </c>
      <c r="Y1486" s="737">
        <v>7100.69</v>
      </c>
      <c r="Z1486" s="737">
        <v>7100.69</v>
      </c>
      <c r="AA1486" s="737">
        <v>7100.69</v>
      </c>
      <c r="AB1486" s="425">
        <v>4307.18</v>
      </c>
      <c r="AC1486" s="782">
        <v>4307.18</v>
      </c>
      <c r="AD1486" s="818"/>
      <c r="AE1486" s="818"/>
      <c r="AF1486" s="818"/>
      <c r="AG1486" s="818"/>
      <c r="AH1486" s="163"/>
      <c r="AI1486" s="1942"/>
      <c r="AJ1486" s="1942"/>
      <c r="AK1486" s="820"/>
      <c r="AL1486" s="1942"/>
      <c r="AM1486" s="1942"/>
      <c r="AN1486" s="1942"/>
      <c r="AO1486" s="1942"/>
      <c r="AP1486" s="1942"/>
      <c r="AQ1486" s="1942"/>
      <c r="AR1486" s="1942"/>
      <c r="AS1486" s="1942"/>
      <c r="AT1486" s="1942"/>
      <c r="AU1486" s="1942"/>
      <c r="AV1486" s="1942"/>
      <c r="AW1486" s="1942"/>
      <c r="AX1486" s="1942"/>
      <c r="AY1486" s="1942"/>
      <c r="AZ1486" s="1942"/>
      <c r="BA1486" s="1942"/>
      <c r="BB1486" s="242"/>
      <c r="BC1486" s="822" t="str">
        <f t="shared" si="152"/>
        <v>Heating Res 18 Year EUL</v>
      </c>
      <c r="BD1486" s="673">
        <f>(INDEX('Avoided Cost Benefits'!$C$4:$C$857,MATCH(BC1486,'Avoided Cost Benefits'!$A$4:$A$857,0)))*F1486</f>
        <v>1989.9865216347039</v>
      </c>
      <c r="BE1486" s="1949">
        <f t="shared" si="162"/>
        <v>0</v>
      </c>
      <c r="BF1486" s="1942"/>
      <c r="BG1486" s="691"/>
      <c r="BH1486" s="821"/>
      <c r="BI1486" s="691"/>
    </row>
    <row r="1487" spans="1:61" s="51" customFormat="1" x14ac:dyDescent="0.25">
      <c r="A1487" s="1267" t="str">
        <f t="shared" si="150"/>
        <v>352951_2019_12_Cooling Res</v>
      </c>
      <c r="B1487" s="123"/>
      <c r="C1487" s="1471" t="s">
        <v>1274</v>
      </c>
      <c r="D1487" s="1553" t="s">
        <v>317</v>
      </c>
      <c r="E1487" s="2878" t="s">
        <v>1275</v>
      </c>
      <c r="F1487" s="782">
        <f>ROUND((($K$2589*$K$2776*(1/$K$2963-1/$K$3150)*$K$3337)/1000)*$K$3484,2)</f>
        <v>178.45</v>
      </c>
      <c r="G1487" s="214" t="str">
        <f>G1485</f>
        <v>Cooling Res</v>
      </c>
      <c r="H1487" s="155">
        <f>VLOOKUP(G1487,'CP FACTORS'!$A$3:$B$38, 2, FALSE)</f>
        <v>9.4741810000000004E-4</v>
      </c>
      <c r="I1487" s="1554">
        <f t="shared" si="151"/>
        <v>0.169067</v>
      </c>
      <c r="J1487" s="108">
        <f t="shared" si="159"/>
        <v>18</v>
      </c>
      <c r="K1487" s="3294">
        <f t="shared" si="160"/>
        <v>438</v>
      </c>
      <c r="L1487" s="3296">
        <f>L1841</f>
        <v>2</v>
      </c>
      <c r="M1487" s="328"/>
      <c r="N1487" s="1587"/>
      <c r="O1487" s="1135"/>
      <c r="P1487" s="123"/>
      <c r="Q1487" s="123"/>
      <c r="R1487" s="1431"/>
      <c r="S1487" s="123"/>
      <c r="T1487" s="123"/>
      <c r="U1487" s="1589"/>
      <c r="V1487" s="1962" t="s">
        <v>31</v>
      </c>
      <c r="W1487" s="818"/>
      <c r="X1487" s="819"/>
      <c r="Y1487" s="742">
        <v>227.52</v>
      </c>
      <c r="Z1487" s="737">
        <v>227.52</v>
      </c>
      <c r="AA1487" s="737">
        <v>227.52</v>
      </c>
      <c r="AB1487" s="425">
        <v>178.45</v>
      </c>
      <c r="AC1487" s="782">
        <v>178.45</v>
      </c>
      <c r="AD1487" s="818"/>
      <c r="AE1487" s="818"/>
      <c r="AF1487" s="818"/>
      <c r="AG1487" s="818"/>
      <c r="AH1487" s="163"/>
      <c r="AI1487" s="1942"/>
      <c r="AJ1487" s="1942"/>
      <c r="AK1487" s="820"/>
      <c r="AL1487" s="1942"/>
      <c r="AM1487" s="1942"/>
      <c r="AN1487" s="1942"/>
      <c r="AO1487" s="1942"/>
      <c r="AP1487" s="1942"/>
      <c r="AQ1487" s="1942"/>
      <c r="AR1487" s="1942"/>
      <c r="AS1487" s="1942"/>
      <c r="AT1487" s="1942"/>
      <c r="AU1487" s="1942"/>
      <c r="AV1487" s="1942"/>
      <c r="AW1487" s="1942"/>
      <c r="AX1487" s="1942"/>
      <c r="AY1487" s="1942"/>
      <c r="AZ1487" s="1942"/>
      <c r="BA1487" s="1942"/>
      <c r="BB1487" s="244">
        <f>(BD1487+BD1488)/(BE1487+BE1488)</f>
        <v>2.4023979770006005</v>
      </c>
      <c r="BC1487" s="710" t="str">
        <f t="shared" si="152"/>
        <v>Cooling Res 18 Year EUL</v>
      </c>
      <c r="BD1487" s="673">
        <f>(INDEX('Avoided Cost Benefits'!$C$4:$C$857,MATCH(BC1487,'Avoided Cost Benefits'!$A$4:$A$857,0)))*F1487</f>
        <v>314.7514798324118</v>
      </c>
      <c r="BE1487" s="1949">
        <f t="shared" si="162"/>
        <v>413.40254837187348</v>
      </c>
      <c r="BF1487" s="1942"/>
      <c r="BG1487" s="691"/>
      <c r="BH1487" s="824"/>
      <c r="BI1487" s="691"/>
    </row>
    <row r="1488" spans="1:61" s="51" customFormat="1" x14ac:dyDescent="0.25">
      <c r="A1488" s="1267" t="str">
        <f t="shared" si="150"/>
        <v>352951_2019_12_Heating Res</v>
      </c>
      <c r="B1488" s="123"/>
      <c r="C1488" s="1471" t="str">
        <f>C1487</f>
        <v>352951_2019_12_</v>
      </c>
      <c r="D1488" s="1553" t="s">
        <v>317</v>
      </c>
      <c r="E1488" s="3005" t="s">
        <v>1275</v>
      </c>
      <c r="F1488" s="782">
        <f>ROUND((($K$1841*$K$2028*(1/$K$2215-1/$K$2402)*$K$3337)/1000)*$K$3484,2)</f>
        <v>1468.36</v>
      </c>
      <c r="G1488" s="214" t="str">
        <f>G1486</f>
        <v>Heating Res</v>
      </c>
      <c r="H1488" s="155">
        <f>VLOOKUP(G1488,'CP FACTORS'!$A$3:$B$38, 2, FALSE)</f>
        <v>0</v>
      </c>
      <c r="I1488" s="1554">
        <f t="shared" si="151"/>
        <v>0</v>
      </c>
      <c r="J1488" s="108">
        <f t="shared" si="159"/>
        <v>18</v>
      </c>
      <c r="K1488" s="1052">
        <f t="shared" si="160"/>
        <v>0</v>
      </c>
      <c r="L1488" s="1088"/>
      <c r="M1488" s="328"/>
      <c r="N1488" s="1587"/>
      <c r="O1488" s="1135"/>
      <c r="P1488" s="123"/>
      <c r="Q1488" s="123"/>
      <c r="R1488" s="1431"/>
      <c r="S1488" s="123"/>
      <c r="T1488" s="123"/>
      <c r="U1488" s="1589"/>
      <c r="V1488" s="1962" t="s">
        <v>31</v>
      </c>
      <c r="W1488" s="818"/>
      <c r="X1488" s="819"/>
      <c r="Y1488" s="742">
        <v>2420.69</v>
      </c>
      <c r="Z1488" s="737">
        <v>2420.69</v>
      </c>
      <c r="AA1488" s="737">
        <v>2420.69</v>
      </c>
      <c r="AB1488" s="425">
        <v>1468.36</v>
      </c>
      <c r="AC1488" s="782">
        <v>1468.36</v>
      </c>
      <c r="AD1488" s="818"/>
      <c r="AE1488" s="818"/>
      <c r="AF1488" s="818"/>
      <c r="AG1488" s="818"/>
      <c r="AH1488" s="163"/>
      <c r="AI1488" s="1942"/>
      <c r="AJ1488" s="1942"/>
      <c r="AK1488" s="820"/>
      <c r="AL1488" s="1942"/>
      <c r="AM1488" s="1942"/>
      <c r="AN1488" s="1942"/>
      <c r="AO1488" s="1942"/>
      <c r="AP1488" s="1942"/>
      <c r="AQ1488" s="1942"/>
      <c r="AR1488" s="1942"/>
      <c r="AS1488" s="1942"/>
      <c r="AT1488" s="1942"/>
      <c r="AU1488" s="1942"/>
      <c r="AV1488" s="1942"/>
      <c r="AW1488" s="1942"/>
      <c r="AX1488" s="1942"/>
      <c r="AY1488" s="1942"/>
      <c r="AZ1488" s="1942"/>
      <c r="BA1488" s="1942"/>
      <c r="BB1488" s="242"/>
      <c r="BC1488" s="822" t="str">
        <f t="shared" si="152"/>
        <v>Heating Res 18 Year EUL</v>
      </c>
      <c r="BD1488" s="673">
        <f>(INDEX('Avoided Cost Benefits'!$C$4:$C$857,MATCH(BC1488,'Avoided Cost Benefits'!$A$4:$A$857,0)))*F1488</f>
        <v>678.40596606306985</v>
      </c>
      <c r="BE1488" s="1949">
        <f t="shared" si="162"/>
        <v>0</v>
      </c>
      <c r="BF1488" s="1942"/>
      <c r="BG1488" s="691"/>
      <c r="BH1488" s="824"/>
      <c r="BI1488" s="691"/>
    </row>
    <row r="1489" spans="1:61" s="1942" customFormat="1" x14ac:dyDescent="0.25">
      <c r="A1489" s="1267"/>
      <c r="B1489" s="123"/>
      <c r="C1489" s="2038" t="s">
        <v>1276</v>
      </c>
      <c r="D1489" s="2695" t="s">
        <v>322</v>
      </c>
      <c r="E1489" s="3007" t="s">
        <v>1277</v>
      </c>
      <c r="F1489" s="742">
        <f>ROUND(((K2590*K2777*(1/K2964-1/K3151)*K3338)/1000)*$K$3484,2)</f>
        <v>245.36</v>
      </c>
      <c r="G1489" s="2042" t="s">
        <v>1134</v>
      </c>
      <c r="H1489" s="2867">
        <f>VLOOKUP(G1489,'CP FACTORS'!$A$3:$B$38, 2, FALSE)</f>
        <v>9.4741810000000004E-4</v>
      </c>
      <c r="I1489" s="2757">
        <f t="shared" si="151"/>
        <v>0.232459</v>
      </c>
      <c r="J1489" s="116">
        <f t="shared" si="159"/>
        <v>18</v>
      </c>
      <c r="K1489" s="3294">
        <f t="shared" si="160"/>
        <v>438</v>
      </c>
      <c r="L1489" s="3296">
        <f>L1842</f>
        <v>2</v>
      </c>
      <c r="M1489" s="328"/>
      <c r="N1489" s="1587"/>
      <c r="O1489" s="1135"/>
      <c r="P1489" s="123"/>
      <c r="Q1489" s="123"/>
      <c r="R1489" s="1431"/>
      <c r="S1489" s="123"/>
      <c r="T1489" s="123"/>
      <c r="U1489" s="1589"/>
      <c r="V1489" s="1958" t="s">
        <v>31</v>
      </c>
      <c r="W1489" s="818"/>
      <c r="X1489" s="819"/>
      <c r="Y1489" s="742"/>
      <c r="Z1489" s="737"/>
      <c r="AA1489" s="737"/>
      <c r="AB1489" s="425"/>
      <c r="AC1489" s="742">
        <v>245.36</v>
      </c>
      <c r="AD1489" s="818"/>
      <c r="AE1489" s="818"/>
      <c r="AF1489" s="818"/>
      <c r="AG1489" s="818"/>
      <c r="AH1489" s="163"/>
      <c r="AK1489" s="820"/>
      <c r="BB1489" s="244">
        <f>(BD1489+BD1490)/(BE1489+BE1490)</f>
        <v>1.0468436954653346</v>
      </c>
      <c r="BC1489" s="3049" t="str">
        <f t="shared" si="152"/>
        <v>Cooling Res 18 Year EUL</v>
      </c>
      <c r="BD1489" s="673">
        <f>(INDEX('Avoided Cost Benefits'!$C$4:$C$857,MATCH(BC1489,'Avoided Cost Benefits'!$A$4:$A$857,0)))*F1489</f>
        <v>432.76785145239882</v>
      </c>
      <c r="BE1489" s="1949">
        <f t="shared" si="162"/>
        <v>413.40254837187348</v>
      </c>
      <c r="BG1489" s="691"/>
      <c r="BH1489" s="824"/>
      <c r="BI1489" s="691"/>
    </row>
    <row r="1490" spans="1:61" s="1942" customFormat="1" x14ac:dyDescent="0.25">
      <c r="A1490" s="1267"/>
      <c r="B1490" s="123"/>
      <c r="C1490" s="2038" t="s">
        <v>1276</v>
      </c>
      <c r="D1490" s="2695" t="s">
        <v>322</v>
      </c>
      <c r="E1490" s="3005" t="s">
        <v>1277</v>
      </c>
      <c r="F1490" s="742">
        <v>0</v>
      </c>
      <c r="G1490" s="2042" t="s">
        <v>1135</v>
      </c>
      <c r="H1490" s="2867">
        <f>VLOOKUP(G1490,'CP FACTORS'!$A$3:$B$38, 2, FALSE)</f>
        <v>0</v>
      </c>
      <c r="I1490" s="2757">
        <f t="shared" si="151"/>
        <v>0</v>
      </c>
      <c r="J1490" s="116">
        <f t="shared" si="159"/>
        <v>18</v>
      </c>
      <c r="K1490" s="3294">
        <f t="shared" si="160"/>
        <v>0</v>
      </c>
      <c r="L1490" s="3296"/>
      <c r="M1490" s="328"/>
      <c r="N1490" s="1587"/>
      <c r="O1490" s="1135"/>
      <c r="P1490" s="123"/>
      <c r="Q1490" s="123"/>
      <c r="R1490" s="1431"/>
      <c r="S1490" s="123"/>
      <c r="T1490" s="123"/>
      <c r="U1490" s="1589"/>
      <c r="V1490" s="1958" t="s">
        <v>31</v>
      </c>
      <c r="W1490" s="818"/>
      <c r="X1490" s="819"/>
      <c r="Y1490" s="742"/>
      <c r="Z1490" s="737"/>
      <c r="AA1490" s="737"/>
      <c r="AB1490" s="425"/>
      <c r="AC1490" s="742">
        <v>0</v>
      </c>
      <c r="AD1490" s="818"/>
      <c r="AE1490" s="818"/>
      <c r="AF1490" s="818"/>
      <c r="AG1490" s="818"/>
      <c r="AH1490" s="163"/>
      <c r="AK1490" s="820"/>
      <c r="BB1490" s="242"/>
      <c r="BC1490" s="822" t="str">
        <f t="shared" si="152"/>
        <v>Heating Res 18 Year EUL</v>
      </c>
      <c r="BD1490" s="673">
        <f>(INDEX('Avoided Cost Benefits'!$C$4:$C$857,MATCH(BC1490,'Avoided Cost Benefits'!$A$4:$A$857,0)))*F1490</f>
        <v>0</v>
      </c>
      <c r="BE1490" s="1949">
        <f t="shared" si="162"/>
        <v>0</v>
      </c>
      <c r="BG1490" s="691"/>
      <c r="BH1490" s="824"/>
      <c r="BI1490" s="691"/>
    </row>
    <row r="1491" spans="1:61" s="1942" customFormat="1" x14ac:dyDescent="0.25">
      <c r="A1491" s="1267"/>
      <c r="B1491" s="123"/>
      <c r="C1491" s="2038" t="s">
        <v>1278</v>
      </c>
      <c r="D1491" s="2695" t="s">
        <v>317</v>
      </c>
      <c r="E1491" s="3007" t="s">
        <v>1279</v>
      </c>
      <c r="F1491" s="742">
        <f>ROUND(((K2591*K2778*(1/K2965-1/K3152)*K3339)/1000)*$K$3484,2)</f>
        <v>178.45</v>
      </c>
      <c r="G1491" s="2042" t="s">
        <v>1134</v>
      </c>
      <c r="H1491" s="2867">
        <f>VLOOKUP(G1491,'CP FACTORS'!$A$3:$B$38, 2, FALSE)</f>
        <v>9.4741810000000004E-4</v>
      </c>
      <c r="I1491" s="2757">
        <f t="shared" si="151"/>
        <v>0.169067</v>
      </c>
      <c r="J1491" s="116">
        <f t="shared" si="159"/>
        <v>18</v>
      </c>
      <c r="K1491" s="3294">
        <f t="shared" si="160"/>
        <v>438</v>
      </c>
      <c r="L1491" s="3296">
        <f>L1843</f>
        <v>2</v>
      </c>
      <c r="M1491" s="328"/>
      <c r="N1491" s="1587"/>
      <c r="O1491" s="1135"/>
      <c r="P1491" s="123"/>
      <c r="Q1491" s="123"/>
      <c r="R1491" s="1431"/>
      <c r="S1491" s="123"/>
      <c r="T1491" s="123"/>
      <c r="U1491" s="1589"/>
      <c r="V1491" s="1958" t="s">
        <v>31</v>
      </c>
      <c r="W1491" s="818"/>
      <c r="X1491" s="819"/>
      <c r="Y1491" s="742"/>
      <c r="Z1491" s="737"/>
      <c r="AA1491" s="737"/>
      <c r="AB1491" s="425"/>
      <c r="AC1491" s="742">
        <v>178.45</v>
      </c>
      <c r="AD1491" s="818"/>
      <c r="AE1491" s="818"/>
      <c r="AF1491" s="818"/>
      <c r="AG1491" s="818"/>
      <c r="AH1491" s="163"/>
      <c r="AK1491" s="820"/>
      <c r="BB1491" s="244">
        <f>(BD1491+BD1492)/(BE1491+BE1492)</f>
        <v>0.7613680202795442</v>
      </c>
      <c r="BC1491" s="3049" t="str">
        <f t="shared" si="152"/>
        <v>Cooling Res 18 Year EUL</v>
      </c>
      <c r="BD1491" s="673">
        <f>(INDEX('Avoided Cost Benefits'!$C$4:$C$857,MATCH(BC1491,'Avoided Cost Benefits'!$A$4:$A$857,0)))*F1491</f>
        <v>314.7514798324118</v>
      </c>
      <c r="BE1491" s="1949">
        <f t="shared" si="162"/>
        <v>413.40254837187348</v>
      </c>
      <c r="BG1491" s="691"/>
      <c r="BH1491" s="824"/>
      <c r="BI1491" s="691"/>
    </row>
    <row r="1492" spans="1:61" s="1942" customFormat="1" x14ac:dyDescent="0.25">
      <c r="A1492" s="1267"/>
      <c r="B1492" s="123"/>
      <c r="C1492" s="2038" t="s">
        <v>1278</v>
      </c>
      <c r="D1492" s="2695" t="s">
        <v>317</v>
      </c>
      <c r="E1492" s="3007" t="s">
        <v>1279</v>
      </c>
      <c r="F1492" s="742">
        <f>0</f>
        <v>0</v>
      </c>
      <c r="G1492" s="2042" t="s">
        <v>1135</v>
      </c>
      <c r="H1492" s="2867">
        <f>VLOOKUP(G1492,'CP FACTORS'!$A$3:$B$38, 2, FALSE)</f>
        <v>0</v>
      </c>
      <c r="I1492" s="2757">
        <f t="shared" si="151"/>
        <v>0</v>
      </c>
      <c r="J1492" s="116">
        <f t="shared" si="159"/>
        <v>18</v>
      </c>
      <c r="K1492" s="3294">
        <f t="shared" si="160"/>
        <v>0</v>
      </c>
      <c r="L1492" s="3296"/>
      <c r="M1492" s="328"/>
      <c r="N1492" s="1587"/>
      <c r="O1492" s="1135"/>
      <c r="P1492" s="123"/>
      <c r="Q1492" s="123"/>
      <c r="R1492" s="1431"/>
      <c r="S1492" s="123"/>
      <c r="T1492" s="123"/>
      <c r="U1492" s="1589"/>
      <c r="V1492" s="1958" t="s">
        <v>31</v>
      </c>
      <c r="W1492" s="818"/>
      <c r="X1492" s="819"/>
      <c r="Y1492" s="742"/>
      <c r="Z1492" s="737"/>
      <c r="AA1492" s="737"/>
      <c r="AB1492" s="425"/>
      <c r="AC1492" s="742">
        <v>0</v>
      </c>
      <c r="AD1492" s="818"/>
      <c r="AE1492" s="818"/>
      <c r="AF1492" s="818"/>
      <c r="AG1492" s="818"/>
      <c r="AH1492" s="163"/>
      <c r="AK1492" s="820"/>
      <c r="BB1492" s="242"/>
      <c r="BC1492" s="3049" t="str">
        <f t="shared" si="152"/>
        <v>Heating Res 18 Year EUL</v>
      </c>
      <c r="BD1492" s="673">
        <f>(INDEX('Avoided Cost Benefits'!$C$4:$C$857,MATCH(BC1492,'Avoided Cost Benefits'!$A$4:$A$857,0)))*F1492</f>
        <v>0</v>
      </c>
      <c r="BE1492" s="1949">
        <f t="shared" si="162"/>
        <v>0</v>
      </c>
      <c r="BG1492" s="691"/>
      <c r="BH1492" s="824"/>
      <c r="BI1492" s="691"/>
    </row>
    <row r="1493" spans="1:61" s="51" customFormat="1" x14ac:dyDescent="0.25">
      <c r="A1493" s="1267" t="str">
        <f t="shared" si="150"/>
        <v>353000_2021_12_Cooling Res</v>
      </c>
      <c r="B1493" s="123"/>
      <c r="C1493" s="2038" t="s">
        <v>1281</v>
      </c>
      <c r="D1493" s="1553" t="s">
        <v>322</v>
      </c>
      <c r="E1493" s="2878" t="s">
        <v>1282</v>
      </c>
      <c r="F1493" s="742">
        <f>ROUND(((K2592*K2779*(1/K2966-1/K3153)*K3340)/1000)*$K$3484,2)</f>
        <v>1169.45</v>
      </c>
      <c r="G1493" s="214" t="s">
        <v>1134</v>
      </c>
      <c r="H1493" s="155">
        <f>VLOOKUP(G1493,'CP FACTORS'!$A$3:$B$38, 2, FALSE)</f>
        <v>9.4741810000000004E-4</v>
      </c>
      <c r="I1493" s="1554">
        <f t="shared" si="151"/>
        <v>1.107958</v>
      </c>
      <c r="J1493" s="108">
        <f t="shared" si="159"/>
        <v>6</v>
      </c>
      <c r="K1493" s="3294">
        <f t="shared" si="160"/>
        <v>748.6192265910754</v>
      </c>
      <c r="L1493" s="1088">
        <f>L1844</f>
        <v>2</v>
      </c>
      <c r="M1493" s="328"/>
      <c r="N1493" s="1587"/>
      <c r="O1493" s="1135"/>
      <c r="P1493" s="123"/>
      <c r="Q1493" s="123"/>
      <c r="R1493" s="1431"/>
      <c r="S1493" s="123"/>
      <c r="T1493" s="123"/>
      <c r="U1493" s="1589"/>
      <c r="V1493" s="1962" t="s">
        <v>31</v>
      </c>
      <c r="W1493" s="818">
        <v>1776.7855147058826</v>
      </c>
      <c r="X1493" s="819">
        <v>1209.2231497599041</v>
      </c>
      <c r="Y1493" s="737">
        <v>1209.22</v>
      </c>
      <c r="Z1493" s="737">
        <v>1209.22</v>
      </c>
      <c r="AA1493" s="737">
        <v>1209.22</v>
      </c>
      <c r="AB1493" s="425">
        <v>1329.6</v>
      </c>
      <c r="AC1493" s="742">
        <v>1169.45</v>
      </c>
      <c r="AD1493" s="818"/>
      <c r="AE1493" s="818"/>
      <c r="AF1493" s="818"/>
      <c r="AG1493" s="818"/>
      <c r="AH1493" s="163"/>
      <c r="AI1493" s="1942"/>
      <c r="AJ1493" s="1942"/>
      <c r="AK1493" s="820"/>
      <c r="AL1493" s="1942"/>
      <c r="AM1493" s="1942"/>
      <c r="AN1493" s="1942"/>
      <c r="AO1493" s="1942"/>
      <c r="AP1493" s="1942"/>
      <c r="AQ1493" s="1942"/>
      <c r="AR1493" s="1942"/>
      <c r="AS1493" s="1942"/>
      <c r="AT1493" s="1942"/>
      <c r="AU1493" s="1942"/>
      <c r="AV1493" s="1942"/>
      <c r="AW1493" s="1942"/>
      <c r="AX1493" s="1942"/>
      <c r="AY1493" s="1942"/>
      <c r="AZ1493" s="1942"/>
      <c r="BA1493" s="1942"/>
      <c r="BB1493" s="244">
        <f>(BD1493+BD1494+BD1495+BD1496)/(BE1493+BE1494+BE1495+BE1496)</f>
        <v>4.0690979000788321</v>
      </c>
      <c r="BC1493" s="3115" t="str">
        <f t="shared" si="152"/>
        <v>Cooling Res 6 Year EUL</v>
      </c>
      <c r="BD1493" s="673">
        <f>(INDEX('Avoided Cost Benefits'!$C$4:$C$857,MATCH(BC1493,'Avoided Cost Benefits'!$A$4:$A$857,0)))*F1493</f>
        <v>680.01665434434437</v>
      </c>
      <c r="BE1493" s="1949">
        <f t="shared" si="162"/>
        <v>706.57784482404463</v>
      </c>
      <c r="BF1493" s="1942"/>
      <c r="BG1493" s="691"/>
      <c r="BH1493" s="821"/>
      <c r="BI1493" s="691"/>
    </row>
    <row r="1494" spans="1:61" s="51" customFormat="1" x14ac:dyDescent="0.25">
      <c r="A1494" s="1267" t="str">
        <f t="shared" si="150"/>
        <v>353000_2021_12_Heating Res</v>
      </c>
      <c r="B1494" s="123"/>
      <c r="C1494" s="2038" t="s">
        <v>1281</v>
      </c>
      <c r="D1494" s="1553" t="s">
        <v>322</v>
      </c>
      <c r="E1494" s="3007" t="s">
        <v>1282</v>
      </c>
      <c r="F1494" s="742">
        <f>ROUND(((K1844*K2031*(1/K2218-1/K2405)*K3340)/1000)*$K$3484,2)</f>
        <v>4250.8</v>
      </c>
      <c r="G1494" s="214" t="s">
        <v>1135</v>
      </c>
      <c r="H1494" s="155">
        <f>VLOOKUP(G1494,'CP FACTORS'!$A$3:$B$38, 2, FALSE)</f>
        <v>0</v>
      </c>
      <c r="I1494" s="1554">
        <f t="shared" si="151"/>
        <v>0</v>
      </c>
      <c r="J1494" s="108">
        <f t="shared" si="159"/>
        <v>6</v>
      </c>
      <c r="K1494" s="1052">
        <f t="shared" si="160"/>
        <v>0</v>
      </c>
      <c r="L1494" s="1088"/>
      <c r="M1494" s="328"/>
      <c r="N1494" s="1587"/>
      <c r="O1494" s="1135"/>
      <c r="P1494" s="123"/>
      <c r="Q1494" s="123"/>
      <c r="R1494" s="1431"/>
      <c r="S1494" s="123"/>
      <c r="T1494" s="123"/>
      <c r="U1494" s="1589"/>
      <c r="V1494" s="1962" t="s">
        <v>31</v>
      </c>
      <c r="W1494" s="818">
        <v>9077.8044487427451</v>
      </c>
      <c r="X1494" s="819">
        <v>6759.7787234042544</v>
      </c>
      <c r="Y1494" s="737">
        <v>6759.78</v>
      </c>
      <c r="Z1494" s="737">
        <v>6759.78</v>
      </c>
      <c r="AA1494" s="737">
        <v>6759.78</v>
      </c>
      <c r="AB1494" s="425">
        <v>6102.76</v>
      </c>
      <c r="AC1494" s="742">
        <v>4250.8</v>
      </c>
      <c r="AD1494" s="818"/>
      <c r="AE1494" s="818"/>
      <c r="AF1494" s="818"/>
      <c r="AG1494" s="818"/>
      <c r="AH1494" s="163"/>
      <c r="AI1494" s="1942"/>
      <c r="AJ1494" s="1942"/>
      <c r="AK1494" s="820"/>
      <c r="AL1494" s="1942"/>
      <c r="AM1494" s="1942"/>
      <c r="AN1494" s="1942"/>
      <c r="AO1494" s="1942"/>
      <c r="AP1494" s="1942"/>
      <c r="AQ1494" s="1942"/>
      <c r="AR1494" s="1942"/>
      <c r="AS1494" s="1942"/>
      <c r="AT1494" s="1942"/>
      <c r="AU1494" s="1942"/>
      <c r="AV1494" s="1942"/>
      <c r="AW1494" s="1942"/>
      <c r="AX1494" s="1942"/>
      <c r="AY1494" s="1942"/>
      <c r="AZ1494" s="1942"/>
      <c r="BA1494" s="1942"/>
      <c r="BB1494" s="734"/>
      <c r="BC1494" s="3130" t="str">
        <f t="shared" si="152"/>
        <v>Heating Res 6 Year EUL</v>
      </c>
      <c r="BD1494" s="673">
        <f>(INDEX('Avoided Cost Benefits'!$C$4:$C$857,MATCH(BC1494,'Avoided Cost Benefits'!$A$4:$A$857,0)))*F1494</f>
        <v>707.05045973216647</v>
      </c>
      <c r="BE1494" s="1949">
        <f t="shared" si="162"/>
        <v>0</v>
      </c>
      <c r="BF1494" s="1942"/>
      <c r="BG1494" s="691"/>
      <c r="BH1494" s="821"/>
      <c r="BI1494" s="691"/>
    </row>
    <row r="1495" spans="1:61" s="51" customFormat="1" x14ac:dyDescent="0.25">
      <c r="A1495" s="1267" t="str">
        <f t="shared" si="150"/>
        <v>353000_2021_12_Cooling Res ER2</v>
      </c>
      <c r="B1495" s="123"/>
      <c r="C1495" s="2038" t="s">
        <v>1281</v>
      </c>
      <c r="D1495" s="1553" t="s">
        <v>322</v>
      </c>
      <c r="E1495" s="3007" t="s">
        <v>1283</v>
      </c>
      <c r="F1495" s="742">
        <f>ROUND(((K2593*K2780*(1/K2967-1/K3154)*K3341)/1000)*$K$3484,2)</f>
        <v>195.53</v>
      </c>
      <c r="G1495" s="1580" t="s">
        <v>1176</v>
      </c>
      <c r="H1495" s="155">
        <f>VLOOKUP(G1495,'CP FACTORS'!$A$3:$B$38, 2, FALSE)</f>
        <v>9.4741810000000004E-4</v>
      </c>
      <c r="I1495" s="1554">
        <f t="shared" si="151"/>
        <v>0.185249</v>
      </c>
      <c r="J1495" s="108">
        <f t="shared" si="159"/>
        <v>12</v>
      </c>
      <c r="K1495" s="1052">
        <f t="shared" si="160"/>
        <v>0</v>
      </c>
      <c r="L1495" s="1088"/>
      <c r="M1495" s="328"/>
      <c r="N1495" s="1587"/>
      <c r="O1495" s="1135"/>
      <c r="P1495" s="123"/>
      <c r="Q1495" s="123"/>
      <c r="R1495" s="1431"/>
      <c r="S1495" s="123"/>
      <c r="T1495" s="123"/>
      <c r="U1495" s="1589"/>
      <c r="V1495" s="1962" t="s">
        <v>31</v>
      </c>
      <c r="W1495" s="818">
        <v>303.06375000000014</v>
      </c>
      <c r="X1495" s="825">
        <v>303.06375000000014</v>
      </c>
      <c r="Y1495" s="737">
        <v>303.06</v>
      </c>
      <c r="Z1495" s="737">
        <v>303.06</v>
      </c>
      <c r="AA1495" s="737">
        <v>303.06</v>
      </c>
      <c r="AB1495" s="425">
        <v>364.98</v>
      </c>
      <c r="AC1495" s="742">
        <v>195.53</v>
      </c>
      <c r="AD1495" s="818"/>
      <c r="AE1495" s="818"/>
      <c r="AF1495" s="818"/>
      <c r="AG1495" s="818"/>
      <c r="AH1495" s="163"/>
      <c r="AI1495" s="1942"/>
      <c r="AJ1495" s="1942"/>
      <c r="AK1495" s="820"/>
      <c r="AL1495" s="1942"/>
      <c r="AM1495" s="1942"/>
      <c r="AN1495" s="1942"/>
      <c r="AO1495" s="1942"/>
      <c r="AP1495" s="1942"/>
      <c r="AQ1495" s="1942"/>
      <c r="AR1495" s="1942"/>
      <c r="AS1495" s="1942"/>
      <c r="AT1495" s="1942"/>
      <c r="AU1495" s="1942"/>
      <c r="AV1495" s="1942"/>
      <c r="AW1495" s="1942"/>
      <c r="AX1495" s="1942"/>
      <c r="AY1495" s="1942"/>
      <c r="AZ1495" s="1942"/>
      <c r="BA1495" s="1942"/>
      <c r="BB1495" s="734"/>
      <c r="BC1495" s="3130" t="str">
        <f t="shared" si="152"/>
        <v>Cooling Res ER2 12 Year EUL</v>
      </c>
      <c r="BD1495" s="673">
        <f>(INDEX('Avoided Cost Benefits'!$C$4:$C$857,MATCH(BC1495,'Avoided Cost Benefits'!$A$4:$A$857,0)))*F1495</f>
        <v>231.1797165646158</v>
      </c>
      <c r="BE1495" s="1949">
        <f t="shared" si="162"/>
        <v>0</v>
      </c>
      <c r="BF1495" s="1942"/>
      <c r="BG1495" s="691"/>
      <c r="BH1495" s="821"/>
      <c r="BI1495" s="691"/>
    </row>
    <row r="1496" spans="1:61" s="51" customFormat="1" x14ac:dyDescent="0.25">
      <c r="A1496" s="1267" t="str">
        <f t="shared" si="150"/>
        <v>353000_2021_12_Heating Res ER2</v>
      </c>
      <c r="B1496" s="123"/>
      <c r="C1496" s="2038" t="s">
        <v>1281</v>
      </c>
      <c r="D1496" s="1553" t="s">
        <v>322</v>
      </c>
      <c r="E1496" s="3005" t="s">
        <v>1283</v>
      </c>
      <c r="F1496" s="742">
        <f>ROUND(((K1845*K2032*(1/K2219-1/K2406)*K3341)/1000)*$K$3484,2)</f>
        <v>4250.8</v>
      </c>
      <c r="G1496" s="1580" t="s">
        <v>1195</v>
      </c>
      <c r="H1496" s="155">
        <f>VLOOKUP(G1496,'CP FACTORS'!$A$3:$B$38, 2, FALSE)</f>
        <v>0</v>
      </c>
      <c r="I1496" s="1554">
        <f t="shared" si="151"/>
        <v>0</v>
      </c>
      <c r="J1496" s="108">
        <f t="shared" si="159"/>
        <v>12</v>
      </c>
      <c r="K1496" s="1052">
        <f t="shared" si="160"/>
        <v>0</v>
      </c>
      <c r="L1496" s="1088"/>
      <c r="M1496" s="328"/>
      <c r="N1496" s="1587"/>
      <c r="O1496" s="1135"/>
      <c r="P1496" s="123"/>
      <c r="Q1496" s="123"/>
      <c r="R1496" s="1431"/>
      <c r="S1496" s="123"/>
      <c r="T1496" s="123"/>
      <c r="U1496" s="1589"/>
      <c r="V1496" s="1962" t="s">
        <v>31</v>
      </c>
      <c r="W1496" s="818">
        <v>9077.8044487427451</v>
      </c>
      <c r="X1496" s="819">
        <v>6759.7787234042544</v>
      </c>
      <c r="Y1496" s="737">
        <v>6759.78</v>
      </c>
      <c r="Z1496" s="737">
        <v>6759.78</v>
      </c>
      <c r="AA1496" s="737">
        <v>6759.78</v>
      </c>
      <c r="AB1496" s="425">
        <v>6102.76</v>
      </c>
      <c r="AC1496" s="742">
        <v>4250.8</v>
      </c>
      <c r="AD1496" s="818"/>
      <c r="AE1496" s="818"/>
      <c r="AF1496" s="818"/>
      <c r="AG1496" s="818"/>
      <c r="AH1496" s="163"/>
      <c r="AI1496" s="1942"/>
      <c r="AJ1496" s="1942"/>
      <c r="AK1496" s="820"/>
      <c r="AL1496" s="1942"/>
      <c r="AM1496" s="1942"/>
      <c r="AN1496" s="1942"/>
      <c r="AO1496" s="1942"/>
      <c r="AP1496" s="1942"/>
      <c r="AQ1496" s="1942"/>
      <c r="AR1496" s="1942"/>
      <c r="AS1496" s="1942"/>
      <c r="AT1496" s="1942"/>
      <c r="AU1496" s="1942"/>
      <c r="AV1496" s="1942"/>
      <c r="AW1496" s="1942"/>
      <c r="AX1496" s="1942"/>
      <c r="AY1496" s="1942"/>
      <c r="AZ1496" s="1942"/>
      <c r="BA1496" s="1942"/>
      <c r="BB1496" s="734"/>
      <c r="BC1496" s="3116" t="str">
        <f t="shared" si="152"/>
        <v>Heating Res ER2 12 Year EUL</v>
      </c>
      <c r="BD1496" s="673">
        <f>(INDEX('Avoided Cost Benefits'!$C$4:$C$857,MATCH(BC1496,'Avoided Cost Benefits'!$A$4:$A$857,0)))*F1496</f>
        <v>1256.8875939746206</v>
      </c>
      <c r="BE1496" s="1949">
        <f t="shared" si="162"/>
        <v>0</v>
      </c>
      <c r="BF1496" s="1942"/>
      <c r="BG1496" s="691"/>
      <c r="BH1496" s="821"/>
      <c r="BI1496" s="691"/>
    </row>
    <row r="1497" spans="1:61" s="51" customFormat="1" x14ac:dyDescent="0.25">
      <c r="A1497" s="1267" t="str">
        <f t="shared" ref="A1497:A1604" si="163">C1497&amp;G1497</f>
        <v>353001_2021_12_Cooling Res</v>
      </c>
      <c r="B1497" s="123"/>
      <c r="C1497" s="2038" t="s">
        <v>1285</v>
      </c>
      <c r="D1497" s="1553" t="s">
        <v>317</v>
      </c>
      <c r="E1497" s="2878" t="s">
        <v>1286</v>
      </c>
      <c r="F1497" s="742">
        <f>ROUND((($K$2594*$K$2781*(1/$K$2968-1/$K$3155)*$K$3342)/1000)*$K$3484,2)</f>
        <v>567.38</v>
      </c>
      <c r="G1497" s="214" t="str">
        <f>G1493</f>
        <v>Cooling Res</v>
      </c>
      <c r="H1497" s="155">
        <f>VLOOKUP(G1497,'CP FACTORS'!$A$3:$B$38, 2, FALSE)</f>
        <v>9.4741810000000004E-4</v>
      </c>
      <c r="I1497" s="1554">
        <f t="shared" ref="I1497:I1560" si="164">ROUND(F1497*H1497,6)</f>
        <v>0.53754599999999997</v>
      </c>
      <c r="J1497" s="108">
        <f t="shared" si="159"/>
        <v>6</v>
      </c>
      <c r="K1497" s="3294">
        <f t="shared" si="160"/>
        <v>748.6192265910754</v>
      </c>
      <c r="L1497" s="1088">
        <f>L1846</f>
        <v>2</v>
      </c>
      <c r="M1497" s="328"/>
      <c r="N1497" s="1587"/>
      <c r="O1497" s="1135"/>
      <c r="P1497" s="123"/>
      <c r="Q1497" s="123"/>
      <c r="R1497" s="1431"/>
      <c r="S1497" s="123"/>
      <c r="T1497" s="123"/>
      <c r="U1497" s="1589"/>
      <c r="V1497" s="1962" t="s">
        <v>31</v>
      </c>
      <c r="W1497" s="818"/>
      <c r="X1497" s="819"/>
      <c r="Y1497" s="742">
        <v>879.44</v>
      </c>
      <c r="Z1497" s="737">
        <v>879.44</v>
      </c>
      <c r="AA1497" s="737">
        <v>879.44</v>
      </c>
      <c r="AB1497" s="425">
        <v>966.98</v>
      </c>
      <c r="AC1497" s="742">
        <v>567.38</v>
      </c>
      <c r="AD1497" s="818"/>
      <c r="AE1497" s="818"/>
      <c r="AF1497" s="818"/>
      <c r="AG1497" s="818"/>
      <c r="AH1497" s="163"/>
      <c r="AI1497" s="1942"/>
      <c r="AJ1497" s="1942"/>
      <c r="AK1497" s="820"/>
      <c r="AL1497" s="1942"/>
      <c r="AM1497" s="1942"/>
      <c r="AN1497" s="1942"/>
      <c r="AO1497" s="1942"/>
      <c r="AP1497" s="1942"/>
      <c r="AQ1497" s="1942"/>
      <c r="AR1497" s="1942"/>
      <c r="AS1497" s="1942"/>
      <c r="AT1497" s="1942"/>
      <c r="AU1497" s="1942"/>
      <c r="AV1497" s="1942"/>
      <c r="AW1497" s="1942"/>
      <c r="AX1497" s="1942"/>
      <c r="AY1497" s="1942"/>
      <c r="AZ1497" s="1942"/>
      <c r="BA1497" s="1942"/>
      <c r="BB1497" s="244">
        <f>(BD1497+BD1498+BD1499+BD1500)/(BE1497+BE1498+BE1499+BE1500)</f>
        <v>1.6524363353116209</v>
      </c>
      <c r="BC1497" s="3115" t="str">
        <f t="shared" ref="BC1497:BC1560" si="165">CONCATENATE(G1497," ",J1497," Year EUL")</f>
        <v>Cooling Res 6 Year EUL</v>
      </c>
      <c r="BD1497" s="673">
        <f>(INDEX('Avoided Cost Benefits'!$C$4:$C$857,MATCH(BC1497,'Avoided Cost Benefits'!$A$4:$A$857,0)))*F1497</f>
        <v>329.92248436606451</v>
      </c>
      <c r="BE1497" s="1949">
        <f t="shared" si="162"/>
        <v>706.57784482404463</v>
      </c>
      <c r="BF1497" s="1942"/>
      <c r="BG1497" s="691"/>
      <c r="BH1497" s="824"/>
      <c r="BI1497" s="691"/>
    </row>
    <row r="1498" spans="1:61" s="51" customFormat="1" x14ac:dyDescent="0.25">
      <c r="A1498" s="1267" t="str">
        <f t="shared" si="163"/>
        <v>353001_2021_12_Heating Res</v>
      </c>
      <c r="B1498" s="123"/>
      <c r="C1498" s="2038" t="str">
        <f>C1497</f>
        <v>353001_2021_12_</v>
      </c>
      <c r="D1498" s="1553" t="s">
        <v>317</v>
      </c>
      <c r="E1498" s="3007" t="s">
        <v>1286</v>
      </c>
      <c r="F1498" s="742">
        <f>ROUND((($K$1846*$K$2033*(1/$K$2220-1/$K$2407)*$K$3342)/1000)*$K$3484,2)</f>
        <v>1449.14</v>
      </c>
      <c r="G1498" s="214" t="str">
        <f>G1494</f>
        <v>Heating Res</v>
      </c>
      <c r="H1498" s="155">
        <f>VLOOKUP(G1498,'CP FACTORS'!$A$3:$B$38, 2, FALSE)</f>
        <v>0</v>
      </c>
      <c r="I1498" s="1554">
        <f t="shared" si="164"/>
        <v>0</v>
      </c>
      <c r="J1498" s="108">
        <f t="shared" si="159"/>
        <v>6</v>
      </c>
      <c r="K1498" s="1052">
        <f t="shared" si="160"/>
        <v>0</v>
      </c>
      <c r="L1498" s="1088"/>
      <c r="M1498" s="328"/>
      <c r="N1498" s="1587"/>
      <c r="O1498" s="1135"/>
      <c r="P1498" s="123"/>
      <c r="Q1498" s="123"/>
      <c r="R1498" s="1431"/>
      <c r="S1498" s="123"/>
      <c r="T1498" s="123"/>
      <c r="U1498" s="1589"/>
      <c r="V1498" s="1962" t="s">
        <v>31</v>
      </c>
      <c r="W1498" s="818"/>
      <c r="X1498" s="819"/>
      <c r="Y1498" s="742">
        <v>2304.4699999999998</v>
      </c>
      <c r="Z1498" s="737">
        <v>2304.4699999999998</v>
      </c>
      <c r="AA1498" s="737">
        <v>2304.4699999999998</v>
      </c>
      <c r="AB1498" s="425">
        <v>2080.4899999999998</v>
      </c>
      <c r="AC1498" s="742">
        <v>1449.14</v>
      </c>
      <c r="AD1498" s="818"/>
      <c r="AE1498" s="818"/>
      <c r="AF1498" s="818"/>
      <c r="AG1498" s="818"/>
      <c r="AH1498" s="163"/>
      <c r="AI1498" s="1942"/>
      <c r="AJ1498" s="1942"/>
      <c r="AK1498" s="820"/>
      <c r="AL1498" s="1942"/>
      <c r="AM1498" s="1942"/>
      <c r="AN1498" s="1942"/>
      <c r="AO1498" s="1942"/>
      <c r="AP1498" s="1942"/>
      <c r="AQ1498" s="1942"/>
      <c r="AR1498" s="1942"/>
      <c r="AS1498" s="1942"/>
      <c r="AT1498" s="1942"/>
      <c r="AU1498" s="1942"/>
      <c r="AV1498" s="1942"/>
      <c r="AW1498" s="1942"/>
      <c r="AX1498" s="1942"/>
      <c r="AY1498" s="1942"/>
      <c r="AZ1498" s="1942"/>
      <c r="BA1498" s="1942"/>
      <c r="BB1498" s="734"/>
      <c r="BC1498" s="3130" t="str">
        <f t="shared" si="165"/>
        <v>Heating Res 6 Year EUL</v>
      </c>
      <c r="BD1498" s="673">
        <f>(INDEX('Avoided Cost Benefits'!$C$4:$C$857,MATCH(BC1498,'Avoided Cost Benefits'!$A$4:$A$857,0)))*F1498</f>
        <v>241.04053430325393</v>
      </c>
      <c r="BE1498" s="1949">
        <f t="shared" si="162"/>
        <v>0</v>
      </c>
      <c r="BF1498" s="1942"/>
      <c r="BG1498" s="691"/>
      <c r="BH1498" s="824"/>
      <c r="BI1498" s="691"/>
    </row>
    <row r="1499" spans="1:61" s="51" customFormat="1" x14ac:dyDescent="0.25">
      <c r="A1499" s="1267" t="str">
        <f t="shared" si="163"/>
        <v>353001_2021_12_Cooling Res ER2</v>
      </c>
      <c r="B1499" s="123"/>
      <c r="C1499" s="2038" t="str">
        <f>C1498</f>
        <v>353001_2021_12_</v>
      </c>
      <c r="D1499" s="1553" t="s">
        <v>317</v>
      </c>
      <c r="E1499" s="3007" t="s">
        <v>1287</v>
      </c>
      <c r="F1499" s="742">
        <f>ROUND((($K$2595*$K$2782*(1/$K$2969-1/$K$3156)*$K$3343)/1000)*$K$3484,2)</f>
        <v>142.19999999999999</v>
      </c>
      <c r="G1499" s="214" t="str">
        <f>G1495</f>
        <v>Cooling Res ER2</v>
      </c>
      <c r="H1499" s="155">
        <f>VLOOKUP(G1499,'CP FACTORS'!$A$3:$B$38, 2, FALSE)</f>
        <v>9.4741810000000004E-4</v>
      </c>
      <c r="I1499" s="1554">
        <f t="shared" si="164"/>
        <v>0.13472300000000001</v>
      </c>
      <c r="J1499" s="108">
        <f t="shared" si="159"/>
        <v>12</v>
      </c>
      <c r="K1499" s="1052">
        <f t="shared" si="160"/>
        <v>0</v>
      </c>
      <c r="L1499" s="1088"/>
      <c r="M1499" s="328"/>
      <c r="N1499" s="1587"/>
      <c r="O1499" s="1135"/>
      <c r="P1499" s="123"/>
      <c r="Q1499" s="123"/>
      <c r="R1499" s="1431"/>
      <c r="S1499" s="123"/>
      <c r="T1499" s="123"/>
      <c r="U1499" s="1589"/>
      <c r="V1499" s="1962" t="s">
        <v>31</v>
      </c>
      <c r="W1499" s="818"/>
      <c r="X1499" s="819"/>
      <c r="Y1499" s="742">
        <v>220.41</v>
      </c>
      <c r="Z1499" s="737">
        <v>220.41</v>
      </c>
      <c r="AA1499" s="737">
        <v>220.41</v>
      </c>
      <c r="AB1499" s="425">
        <v>265.44</v>
      </c>
      <c r="AC1499" s="742">
        <v>142.19999999999999</v>
      </c>
      <c r="AD1499" s="818"/>
      <c r="AE1499" s="818"/>
      <c r="AF1499" s="818"/>
      <c r="AG1499" s="818"/>
      <c r="AH1499" s="163"/>
      <c r="AI1499" s="1942"/>
      <c r="AJ1499" s="1942"/>
      <c r="AK1499" s="820"/>
      <c r="AL1499" s="1942"/>
      <c r="AM1499" s="1942"/>
      <c r="AN1499" s="1942"/>
      <c r="AO1499" s="1942"/>
      <c r="AP1499" s="1942"/>
      <c r="AQ1499" s="1942"/>
      <c r="AR1499" s="1942"/>
      <c r="AS1499" s="1942"/>
      <c r="AT1499" s="1942"/>
      <c r="AU1499" s="1942"/>
      <c r="AV1499" s="1942"/>
      <c r="AW1499" s="1942"/>
      <c r="AX1499" s="1942"/>
      <c r="AY1499" s="1942"/>
      <c r="AZ1499" s="1942"/>
      <c r="BA1499" s="1942"/>
      <c r="BB1499" s="734"/>
      <c r="BC1499" s="3130" t="str">
        <f t="shared" si="165"/>
        <v>Cooling Res ER2 12 Year EUL</v>
      </c>
      <c r="BD1499" s="673">
        <f>(INDEX('Avoided Cost Benefits'!$C$4:$C$857,MATCH(BC1499,'Avoided Cost Benefits'!$A$4:$A$857,0)))*F1499</f>
        <v>168.12640359785385</v>
      </c>
      <c r="BE1499" s="1949">
        <f t="shared" si="162"/>
        <v>0</v>
      </c>
      <c r="BF1499" s="1942"/>
      <c r="BG1499" s="691"/>
      <c r="BH1499" s="824"/>
      <c r="BI1499" s="691"/>
    </row>
    <row r="1500" spans="1:61" s="51" customFormat="1" x14ac:dyDescent="0.25">
      <c r="A1500" s="1267" t="str">
        <f t="shared" si="163"/>
        <v>353001_2021_12_Heating Res ER2</v>
      </c>
      <c r="B1500" s="123"/>
      <c r="C1500" s="2038" t="str">
        <f>C1499</f>
        <v>353001_2021_12_</v>
      </c>
      <c r="D1500" s="1553" t="s">
        <v>317</v>
      </c>
      <c r="E1500" s="3005" t="s">
        <v>1287</v>
      </c>
      <c r="F1500" s="742">
        <f>ROUND((($K$1847*$K$2034*(1/$K$2221-1/$K$2408)*$K$3343)/1000)*$K$3484,2)</f>
        <v>1449.14</v>
      </c>
      <c r="G1500" s="214" t="str">
        <f>G1496</f>
        <v>Heating Res ER2</v>
      </c>
      <c r="H1500" s="155">
        <f>VLOOKUP(G1500,'CP FACTORS'!$A$3:$B$38, 2, FALSE)</f>
        <v>0</v>
      </c>
      <c r="I1500" s="1554">
        <f t="shared" si="164"/>
        <v>0</v>
      </c>
      <c r="J1500" s="108">
        <f t="shared" si="159"/>
        <v>12</v>
      </c>
      <c r="K1500" s="1052">
        <f t="shared" si="160"/>
        <v>0</v>
      </c>
      <c r="L1500" s="1088"/>
      <c r="M1500" s="328"/>
      <c r="N1500" s="1587"/>
      <c r="O1500" s="1135"/>
      <c r="P1500" s="123"/>
      <c r="Q1500" s="123"/>
      <c r="R1500" s="1431"/>
      <c r="S1500" s="123"/>
      <c r="T1500" s="123"/>
      <c r="U1500" s="1589"/>
      <c r="V1500" s="1962" t="s">
        <v>31</v>
      </c>
      <c r="W1500" s="818"/>
      <c r="X1500" s="819"/>
      <c r="Y1500" s="742">
        <v>2304.4699999999998</v>
      </c>
      <c r="Z1500" s="737">
        <v>2304.4699999999998</v>
      </c>
      <c r="AA1500" s="737">
        <v>2304.4699999999998</v>
      </c>
      <c r="AB1500" s="425">
        <v>2080.4899999999998</v>
      </c>
      <c r="AC1500" s="742">
        <v>1449.14</v>
      </c>
      <c r="AD1500" s="818"/>
      <c r="AE1500" s="818"/>
      <c r="AF1500" s="818"/>
      <c r="AG1500" s="818"/>
      <c r="AH1500" s="163"/>
      <c r="AI1500" s="1942"/>
      <c r="AJ1500" s="1942"/>
      <c r="AK1500" s="820"/>
      <c r="AL1500" s="1942"/>
      <c r="AM1500" s="1942"/>
      <c r="AN1500" s="1942"/>
      <c r="AO1500" s="1942"/>
      <c r="AP1500" s="1942"/>
      <c r="AQ1500" s="1942"/>
      <c r="AR1500" s="1942"/>
      <c r="AS1500" s="1942"/>
      <c r="AT1500" s="1942"/>
      <c r="AU1500" s="1942"/>
      <c r="AV1500" s="1942"/>
      <c r="AW1500" s="1942"/>
      <c r="AX1500" s="1942"/>
      <c r="AY1500" s="1942"/>
      <c r="AZ1500" s="1942"/>
      <c r="BA1500" s="1942"/>
      <c r="BB1500" s="734"/>
      <c r="BC1500" s="3116" t="str">
        <f t="shared" si="165"/>
        <v>Heating Res ER2 12 Year EUL</v>
      </c>
      <c r="BD1500" s="673">
        <f>(INDEX('Avoided Cost Benefits'!$C$4:$C$857,MATCH(BC1500,'Avoided Cost Benefits'!$A$4:$A$857,0)))*F1500</f>
        <v>428.48548224625523</v>
      </c>
      <c r="BE1500" s="1949">
        <f t="shared" si="162"/>
        <v>0</v>
      </c>
      <c r="BF1500" s="1942"/>
      <c r="BG1500" s="691"/>
      <c r="BH1500" s="824"/>
      <c r="BI1500" s="691"/>
    </row>
    <row r="1501" spans="1:61" s="1942" customFormat="1" x14ac:dyDescent="0.25">
      <c r="A1501" s="1267"/>
      <c r="B1501" s="123"/>
      <c r="C1501" s="2038" t="s">
        <v>1288</v>
      </c>
      <c r="D1501" s="2695" t="s">
        <v>322</v>
      </c>
      <c r="E1501" s="3007" t="s">
        <v>1289</v>
      </c>
      <c r="F1501" s="742">
        <f>ROUND(((K2596*K2783*(1/K2970-1/K3157)*K3344)/1000)*$K$3484,2)</f>
        <v>1169.45</v>
      </c>
      <c r="G1501" s="2042" t="s">
        <v>1134</v>
      </c>
      <c r="H1501" s="2867">
        <f>VLOOKUP(G1501,'CP FACTORS'!$A$3:$B$38, 2, FALSE)</f>
        <v>9.4741810000000004E-4</v>
      </c>
      <c r="I1501" s="2757">
        <f t="shared" si="164"/>
        <v>1.107958</v>
      </c>
      <c r="J1501" s="116">
        <f t="shared" si="159"/>
        <v>6</v>
      </c>
      <c r="K1501" s="3294">
        <f t="shared" si="160"/>
        <v>748.6192265910754</v>
      </c>
      <c r="L1501" s="3296">
        <f>L1848</f>
        <v>2</v>
      </c>
      <c r="M1501" s="328"/>
      <c r="N1501" s="1587"/>
      <c r="O1501" s="1135"/>
      <c r="P1501" s="123"/>
      <c r="Q1501" s="123"/>
      <c r="R1501" s="1431"/>
      <c r="S1501" s="123"/>
      <c r="T1501" s="123"/>
      <c r="U1501" s="1589"/>
      <c r="V1501" s="1958" t="s">
        <v>31</v>
      </c>
      <c r="W1501" s="818"/>
      <c r="X1501" s="819"/>
      <c r="Y1501" s="742"/>
      <c r="Z1501" s="737"/>
      <c r="AA1501" s="737"/>
      <c r="AB1501" s="425"/>
      <c r="AC1501" s="742">
        <v>1169.45</v>
      </c>
      <c r="AD1501" s="818"/>
      <c r="AE1501" s="818"/>
      <c r="AF1501" s="818"/>
      <c r="AG1501" s="818"/>
      <c r="AH1501" s="163"/>
      <c r="AK1501" s="820"/>
      <c r="BB1501" s="244">
        <f>(BD1501+BD1502+BD1503+BD1504)/(BE1501+BE1502+BE1503+BE1504)</f>
        <v>1.2895909170996871</v>
      </c>
      <c r="BC1501" s="3130" t="str">
        <f t="shared" si="165"/>
        <v>Cooling Res 6 Year EUL</v>
      </c>
      <c r="BD1501" s="673">
        <f>(INDEX('Avoided Cost Benefits'!$C$4:$C$857,MATCH(BC1501,'Avoided Cost Benefits'!$A$4:$A$857,0)))*F1501</f>
        <v>680.01665434434437</v>
      </c>
      <c r="BE1501" s="1949">
        <f t="shared" si="162"/>
        <v>706.57784482404463</v>
      </c>
      <c r="BG1501" s="691"/>
      <c r="BH1501" s="824"/>
      <c r="BI1501" s="691"/>
    </row>
    <row r="1502" spans="1:61" s="1942" customFormat="1" x14ac:dyDescent="0.25">
      <c r="A1502" s="1267"/>
      <c r="B1502" s="123"/>
      <c r="C1502" s="2038" t="s">
        <v>1288</v>
      </c>
      <c r="D1502" s="2695" t="s">
        <v>322</v>
      </c>
      <c r="E1502" s="3007" t="s">
        <v>1289</v>
      </c>
      <c r="F1502" s="742">
        <v>0</v>
      </c>
      <c r="G1502" s="2042" t="s">
        <v>1135</v>
      </c>
      <c r="H1502" s="2867">
        <f>VLOOKUP(G1502,'CP FACTORS'!$A$3:$B$38, 2, FALSE)</f>
        <v>0</v>
      </c>
      <c r="I1502" s="2757">
        <f t="shared" si="164"/>
        <v>0</v>
      </c>
      <c r="J1502" s="116">
        <f t="shared" si="159"/>
        <v>6</v>
      </c>
      <c r="K1502" s="3294">
        <f t="shared" si="160"/>
        <v>0</v>
      </c>
      <c r="L1502" s="3296"/>
      <c r="M1502" s="328"/>
      <c r="N1502" s="1587"/>
      <c r="O1502" s="1135"/>
      <c r="P1502" s="123"/>
      <c r="Q1502" s="123"/>
      <c r="R1502" s="1431"/>
      <c r="S1502" s="123"/>
      <c r="T1502" s="123"/>
      <c r="U1502" s="1589"/>
      <c r="V1502" s="1958" t="s">
        <v>31</v>
      </c>
      <c r="W1502" s="818"/>
      <c r="X1502" s="819"/>
      <c r="Y1502" s="742"/>
      <c r="Z1502" s="737"/>
      <c r="AA1502" s="737"/>
      <c r="AB1502" s="425"/>
      <c r="AC1502" s="742">
        <v>0</v>
      </c>
      <c r="AD1502" s="818"/>
      <c r="AE1502" s="818"/>
      <c r="AF1502" s="818"/>
      <c r="AG1502" s="818"/>
      <c r="AH1502" s="163"/>
      <c r="AK1502" s="820"/>
      <c r="BB1502" s="734"/>
      <c r="BC1502" s="3130" t="str">
        <f t="shared" si="165"/>
        <v>Heating Res 6 Year EUL</v>
      </c>
      <c r="BD1502" s="673">
        <f>(INDEX('Avoided Cost Benefits'!$C$4:$C$857,MATCH(BC1502,'Avoided Cost Benefits'!$A$4:$A$857,0)))*F1502</f>
        <v>0</v>
      </c>
      <c r="BE1502" s="1949">
        <f t="shared" si="162"/>
        <v>0</v>
      </c>
      <c r="BG1502" s="691"/>
      <c r="BH1502" s="824"/>
      <c r="BI1502" s="691"/>
    </row>
    <row r="1503" spans="1:61" s="1942" customFormat="1" x14ac:dyDescent="0.25">
      <c r="A1503" s="1267"/>
      <c r="B1503" s="123"/>
      <c r="C1503" s="2038" t="s">
        <v>1288</v>
      </c>
      <c r="D1503" s="2695" t="s">
        <v>322</v>
      </c>
      <c r="E1503" s="3007" t="s">
        <v>1290</v>
      </c>
      <c r="F1503" s="742">
        <f>ROUND(((K2597*K2784*(1/K2971-1/K3158)*K3345)/1000)*$K$3484,2)</f>
        <v>195.53</v>
      </c>
      <c r="G1503" s="2042" t="s">
        <v>1176</v>
      </c>
      <c r="H1503" s="2867">
        <f>VLOOKUP(G1503,'CP FACTORS'!$A$3:$B$38, 2, FALSE)</f>
        <v>9.4741810000000004E-4</v>
      </c>
      <c r="I1503" s="2757">
        <f t="shared" si="164"/>
        <v>0.185249</v>
      </c>
      <c r="J1503" s="116">
        <f t="shared" si="159"/>
        <v>12</v>
      </c>
      <c r="K1503" s="3294">
        <f t="shared" si="160"/>
        <v>0</v>
      </c>
      <c r="L1503" s="3296"/>
      <c r="M1503" s="328"/>
      <c r="N1503" s="1587"/>
      <c r="O1503" s="1135"/>
      <c r="P1503" s="123"/>
      <c r="Q1503" s="123"/>
      <c r="R1503" s="1431"/>
      <c r="S1503" s="123"/>
      <c r="T1503" s="123"/>
      <c r="U1503" s="1589"/>
      <c r="V1503" s="1958" t="s">
        <v>31</v>
      </c>
      <c r="W1503" s="818"/>
      <c r="X1503" s="819"/>
      <c r="Y1503" s="742"/>
      <c r="Z1503" s="737"/>
      <c r="AA1503" s="737"/>
      <c r="AB1503" s="425"/>
      <c r="AC1503" s="742">
        <v>195.53</v>
      </c>
      <c r="AD1503" s="818"/>
      <c r="AE1503" s="818"/>
      <c r="AF1503" s="818"/>
      <c r="AG1503" s="818"/>
      <c r="AH1503" s="163"/>
      <c r="AK1503" s="820"/>
      <c r="BB1503" s="734"/>
      <c r="BC1503" s="3130" t="str">
        <f t="shared" si="165"/>
        <v>Cooling Res ER2 12 Year EUL</v>
      </c>
      <c r="BD1503" s="673">
        <f>(INDEX('Avoided Cost Benefits'!$C$4:$C$857,MATCH(BC1503,'Avoided Cost Benefits'!$A$4:$A$857,0)))*F1503</f>
        <v>231.1797165646158</v>
      </c>
      <c r="BE1503" s="1949">
        <f t="shared" si="162"/>
        <v>0</v>
      </c>
      <c r="BG1503" s="691"/>
      <c r="BH1503" s="824"/>
      <c r="BI1503" s="691"/>
    </row>
    <row r="1504" spans="1:61" s="1942" customFormat="1" x14ac:dyDescent="0.25">
      <c r="A1504" s="1267"/>
      <c r="B1504" s="123"/>
      <c r="C1504" s="2038" t="s">
        <v>1288</v>
      </c>
      <c r="D1504" s="2695" t="s">
        <v>322</v>
      </c>
      <c r="E1504" s="3005" t="s">
        <v>1290</v>
      </c>
      <c r="F1504" s="742">
        <v>0</v>
      </c>
      <c r="G1504" s="2042" t="s">
        <v>1195</v>
      </c>
      <c r="H1504" s="2867">
        <f>VLOOKUP(G1504,'CP FACTORS'!$A$3:$B$38, 2, FALSE)</f>
        <v>0</v>
      </c>
      <c r="I1504" s="2757">
        <f t="shared" si="164"/>
        <v>0</v>
      </c>
      <c r="J1504" s="116">
        <f t="shared" si="159"/>
        <v>12</v>
      </c>
      <c r="K1504" s="3294">
        <f t="shared" si="160"/>
        <v>0</v>
      </c>
      <c r="L1504" s="3296"/>
      <c r="M1504" s="328"/>
      <c r="N1504" s="1587"/>
      <c r="O1504" s="1135"/>
      <c r="P1504" s="123"/>
      <c r="Q1504" s="123"/>
      <c r="R1504" s="1431"/>
      <c r="S1504" s="123"/>
      <c r="T1504" s="123"/>
      <c r="U1504" s="1589"/>
      <c r="V1504" s="1958" t="s">
        <v>31</v>
      </c>
      <c r="W1504" s="818"/>
      <c r="X1504" s="819"/>
      <c r="Y1504" s="742"/>
      <c r="Z1504" s="737"/>
      <c r="AA1504" s="737"/>
      <c r="AB1504" s="425"/>
      <c r="AC1504" s="742">
        <v>0</v>
      </c>
      <c r="AD1504" s="818"/>
      <c r="AE1504" s="818"/>
      <c r="AF1504" s="818"/>
      <c r="AG1504" s="818"/>
      <c r="AH1504" s="163"/>
      <c r="AK1504" s="820"/>
      <c r="BB1504" s="734"/>
      <c r="BC1504" s="3383" t="str">
        <f t="shared" si="165"/>
        <v>Heating Res ER2 12 Year EUL</v>
      </c>
      <c r="BD1504" s="673">
        <f>(INDEX('Avoided Cost Benefits'!$C$4:$C$857,MATCH(BC1504,'Avoided Cost Benefits'!$A$4:$A$857,0)))*F1504</f>
        <v>0</v>
      </c>
      <c r="BE1504" s="1949">
        <f t="shared" si="162"/>
        <v>0</v>
      </c>
      <c r="BG1504" s="691"/>
      <c r="BH1504" s="824"/>
      <c r="BI1504" s="691"/>
    </row>
    <row r="1505" spans="1:61" s="1942" customFormat="1" x14ac:dyDescent="0.25">
      <c r="A1505" s="1267"/>
      <c r="B1505" s="123"/>
      <c r="C1505" s="2038" t="s">
        <v>1291</v>
      </c>
      <c r="D1505" s="2695" t="s">
        <v>317</v>
      </c>
      <c r="E1505" s="3007" t="s">
        <v>1292</v>
      </c>
      <c r="F1505" s="742">
        <f>ROUND(((K2598*K2785*(1/K2972-1/K3159)*K3346)/1000)*$K$3484,2)</f>
        <v>567.38</v>
      </c>
      <c r="G1505" s="2042" t="s">
        <v>1134</v>
      </c>
      <c r="H1505" s="2867">
        <f>VLOOKUP(G1505,'CP FACTORS'!$A$3:$B$38, 2, FALSE)</f>
        <v>9.4741810000000004E-4</v>
      </c>
      <c r="I1505" s="2757">
        <f t="shared" si="164"/>
        <v>0.53754599999999997</v>
      </c>
      <c r="J1505" s="116">
        <f t="shared" si="159"/>
        <v>6</v>
      </c>
      <c r="K1505" s="3294">
        <f t="shared" si="160"/>
        <v>748.6192265910754</v>
      </c>
      <c r="L1505" s="3296">
        <f>L1850</f>
        <v>2</v>
      </c>
      <c r="M1505" s="328"/>
      <c r="N1505" s="1587"/>
      <c r="O1505" s="1135"/>
      <c r="P1505" s="123"/>
      <c r="Q1505" s="123"/>
      <c r="R1505" s="1431"/>
      <c r="S1505" s="123"/>
      <c r="T1505" s="123"/>
      <c r="U1505" s="1589"/>
      <c r="V1505" s="1958" t="s">
        <v>31</v>
      </c>
      <c r="W1505" s="818"/>
      <c r="X1505" s="819"/>
      <c r="Y1505" s="742"/>
      <c r="Z1505" s="737"/>
      <c r="AA1505" s="737"/>
      <c r="AB1505" s="425"/>
      <c r="AC1505" s="742">
        <v>567.38</v>
      </c>
      <c r="AD1505" s="818"/>
      <c r="AE1505" s="818"/>
      <c r="AF1505" s="818"/>
      <c r="AG1505" s="818"/>
      <c r="AH1505" s="163"/>
      <c r="AK1505" s="820"/>
      <c r="BB1505" s="244">
        <f>(BD1505+BD1506+BD1507+BD1508)/(BE1505+BE1506+BE1507+BE1508)</f>
        <v>0.70487475882851214</v>
      </c>
      <c r="BC1505" s="3130" t="str">
        <f t="shared" si="165"/>
        <v>Cooling Res 6 Year EUL</v>
      </c>
      <c r="BD1505" s="673">
        <f>(INDEX('Avoided Cost Benefits'!$C$4:$C$857,MATCH(BC1505,'Avoided Cost Benefits'!$A$4:$A$857,0)))*F1505</f>
        <v>329.92248436606451</v>
      </c>
      <c r="BE1505" s="1949">
        <f t="shared" si="162"/>
        <v>706.57784482404463</v>
      </c>
      <c r="BG1505" s="691"/>
      <c r="BH1505" s="824"/>
      <c r="BI1505" s="691"/>
    </row>
    <row r="1506" spans="1:61" s="1942" customFormat="1" x14ac:dyDescent="0.25">
      <c r="A1506" s="1267"/>
      <c r="B1506" s="123"/>
      <c r="C1506" s="2038" t="s">
        <v>1291</v>
      </c>
      <c r="D1506" s="2695" t="s">
        <v>317</v>
      </c>
      <c r="E1506" s="3007" t="s">
        <v>1292</v>
      </c>
      <c r="F1506" s="742">
        <v>0</v>
      </c>
      <c r="G1506" s="2042" t="s">
        <v>1135</v>
      </c>
      <c r="H1506" s="2867">
        <f>VLOOKUP(G1506,'CP FACTORS'!$A$3:$B$38, 2, FALSE)</f>
        <v>0</v>
      </c>
      <c r="I1506" s="2757">
        <f t="shared" si="164"/>
        <v>0</v>
      </c>
      <c r="J1506" s="116">
        <f t="shared" si="159"/>
        <v>6</v>
      </c>
      <c r="K1506" s="3294">
        <f t="shared" si="160"/>
        <v>0</v>
      </c>
      <c r="L1506" s="3296"/>
      <c r="M1506" s="328"/>
      <c r="N1506" s="1587"/>
      <c r="O1506" s="1135"/>
      <c r="P1506" s="123"/>
      <c r="Q1506" s="123"/>
      <c r="R1506" s="1431"/>
      <c r="S1506" s="123"/>
      <c r="T1506" s="123"/>
      <c r="U1506" s="1589"/>
      <c r="V1506" s="1958" t="s">
        <v>31</v>
      </c>
      <c r="W1506" s="818"/>
      <c r="X1506" s="819"/>
      <c r="Y1506" s="742"/>
      <c r="Z1506" s="737"/>
      <c r="AA1506" s="737"/>
      <c r="AB1506" s="425"/>
      <c r="AC1506" s="742">
        <v>0</v>
      </c>
      <c r="AD1506" s="818"/>
      <c r="AE1506" s="818"/>
      <c r="AF1506" s="818"/>
      <c r="AG1506" s="818"/>
      <c r="AH1506" s="163"/>
      <c r="AK1506" s="820"/>
      <c r="BB1506" s="734"/>
      <c r="BC1506" s="3130" t="str">
        <f t="shared" si="165"/>
        <v>Heating Res 6 Year EUL</v>
      </c>
      <c r="BD1506" s="673">
        <f>(INDEX('Avoided Cost Benefits'!$C$4:$C$857,MATCH(BC1506,'Avoided Cost Benefits'!$A$4:$A$857,0)))*F1506</f>
        <v>0</v>
      </c>
      <c r="BE1506" s="1949">
        <f t="shared" si="162"/>
        <v>0</v>
      </c>
      <c r="BG1506" s="691"/>
      <c r="BH1506" s="824"/>
      <c r="BI1506" s="691"/>
    </row>
    <row r="1507" spans="1:61" s="1942" customFormat="1" x14ac:dyDescent="0.25">
      <c r="A1507" s="1267"/>
      <c r="B1507" s="123"/>
      <c r="C1507" s="2038" t="s">
        <v>1291</v>
      </c>
      <c r="D1507" s="2695" t="s">
        <v>317</v>
      </c>
      <c r="E1507" s="3007" t="s">
        <v>1293</v>
      </c>
      <c r="F1507" s="742">
        <f>ROUND(((K2599*K2786*(1/K2973-1/K3160)*K3347)/1000)*$K$3484,2)</f>
        <v>142.19999999999999</v>
      </c>
      <c r="G1507" s="2042" t="s">
        <v>1176</v>
      </c>
      <c r="H1507" s="2867">
        <f>VLOOKUP(G1507,'CP FACTORS'!$A$3:$B$38, 2, FALSE)</f>
        <v>9.4741810000000004E-4</v>
      </c>
      <c r="I1507" s="2757">
        <f t="shared" si="164"/>
        <v>0.13472300000000001</v>
      </c>
      <c r="J1507" s="116">
        <f t="shared" si="159"/>
        <v>12</v>
      </c>
      <c r="K1507" s="3294">
        <f t="shared" si="160"/>
        <v>0</v>
      </c>
      <c r="L1507" s="3296"/>
      <c r="M1507" s="328"/>
      <c r="N1507" s="1587"/>
      <c r="O1507" s="1135"/>
      <c r="P1507" s="123"/>
      <c r="Q1507" s="123"/>
      <c r="R1507" s="1431"/>
      <c r="S1507" s="123"/>
      <c r="T1507" s="123"/>
      <c r="U1507" s="1589"/>
      <c r="V1507" s="1958" t="s">
        <v>31</v>
      </c>
      <c r="W1507" s="818"/>
      <c r="X1507" s="819"/>
      <c r="Y1507" s="742"/>
      <c r="Z1507" s="737"/>
      <c r="AA1507" s="737"/>
      <c r="AB1507" s="425"/>
      <c r="AC1507" s="742">
        <v>142.19999999999999</v>
      </c>
      <c r="AD1507" s="818"/>
      <c r="AE1507" s="818"/>
      <c r="AF1507" s="818"/>
      <c r="AG1507" s="818"/>
      <c r="AH1507" s="163"/>
      <c r="AK1507" s="820"/>
      <c r="BB1507" s="734"/>
      <c r="BC1507" s="3130" t="str">
        <f t="shared" si="165"/>
        <v>Cooling Res ER2 12 Year EUL</v>
      </c>
      <c r="BD1507" s="673">
        <f>(INDEX('Avoided Cost Benefits'!$C$4:$C$857,MATCH(BC1507,'Avoided Cost Benefits'!$A$4:$A$857,0)))*F1507</f>
        <v>168.12640359785385</v>
      </c>
      <c r="BE1507" s="1949">
        <f t="shared" si="162"/>
        <v>0</v>
      </c>
      <c r="BG1507" s="691"/>
      <c r="BH1507" s="824"/>
      <c r="BI1507" s="691"/>
    </row>
    <row r="1508" spans="1:61" s="1942" customFormat="1" x14ac:dyDescent="0.25">
      <c r="A1508" s="1267"/>
      <c r="B1508" s="123"/>
      <c r="C1508" s="2038" t="s">
        <v>1291</v>
      </c>
      <c r="D1508" s="2695" t="s">
        <v>317</v>
      </c>
      <c r="E1508" s="3007" t="s">
        <v>1293</v>
      </c>
      <c r="F1508" s="742">
        <f>0</f>
        <v>0</v>
      </c>
      <c r="G1508" s="2042" t="s">
        <v>1195</v>
      </c>
      <c r="H1508" s="2867">
        <f>VLOOKUP(G1508,'CP FACTORS'!$A$3:$B$38, 2, FALSE)</f>
        <v>0</v>
      </c>
      <c r="I1508" s="2757">
        <f t="shared" si="164"/>
        <v>0</v>
      </c>
      <c r="J1508" s="116">
        <f t="shared" si="159"/>
        <v>12</v>
      </c>
      <c r="K1508" s="3294">
        <f t="shared" si="160"/>
        <v>0</v>
      </c>
      <c r="L1508" s="3296"/>
      <c r="M1508" s="328"/>
      <c r="N1508" s="1587"/>
      <c r="O1508" s="1135"/>
      <c r="P1508" s="123"/>
      <c r="Q1508" s="123"/>
      <c r="R1508" s="1431"/>
      <c r="S1508" s="123"/>
      <c r="T1508" s="123"/>
      <c r="U1508" s="1589"/>
      <c r="V1508" s="1958" t="s">
        <v>31</v>
      </c>
      <c r="W1508" s="818"/>
      <c r="X1508" s="819"/>
      <c r="Y1508" s="742"/>
      <c r="Z1508" s="737"/>
      <c r="AA1508" s="737"/>
      <c r="AB1508" s="425"/>
      <c r="AC1508" s="742">
        <v>0</v>
      </c>
      <c r="AD1508" s="818"/>
      <c r="AE1508" s="818"/>
      <c r="AF1508" s="818"/>
      <c r="AG1508" s="818"/>
      <c r="AH1508" s="163"/>
      <c r="AK1508" s="820"/>
      <c r="BB1508" s="734"/>
      <c r="BC1508" s="3130" t="str">
        <f t="shared" si="165"/>
        <v>Heating Res ER2 12 Year EUL</v>
      </c>
      <c r="BD1508" s="673">
        <f>(INDEX('Avoided Cost Benefits'!$C$4:$C$857,MATCH(BC1508,'Avoided Cost Benefits'!$A$4:$A$857,0)))*F1508</f>
        <v>0</v>
      </c>
      <c r="BE1508" s="1949">
        <f t="shared" si="162"/>
        <v>0</v>
      </c>
      <c r="BG1508" s="691"/>
      <c r="BH1508" s="824"/>
      <c r="BI1508" s="691"/>
    </row>
    <row r="1509" spans="1:61" s="51" customFormat="1" x14ac:dyDescent="0.25">
      <c r="A1509" s="1267" t="str">
        <f t="shared" si="163"/>
        <v>353050_2021_12_Cooling Res</v>
      </c>
      <c r="B1509" s="123"/>
      <c r="C1509" s="2038" t="s">
        <v>1295</v>
      </c>
      <c r="D1509" s="1553" t="s">
        <v>322</v>
      </c>
      <c r="E1509" s="2965" t="s">
        <v>1296</v>
      </c>
      <c r="F1509" s="742">
        <f>ROUND(((K2600*K2787*(1/K2974-1/K3161)*K3348)/1000)*$K$3484,2)</f>
        <v>64.98</v>
      </c>
      <c r="G1509" s="214" t="s">
        <v>1134</v>
      </c>
      <c r="H1509" s="155">
        <f>VLOOKUP(G1509,'CP FACTORS'!$A$3:$B$38, 2, FALSE)</f>
        <v>9.4741810000000004E-4</v>
      </c>
      <c r="I1509" s="1554">
        <f t="shared" si="164"/>
        <v>6.1563E-2</v>
      </c>
      <c r="J1509" s="108">
        <f t="shared" si="159"/>
        <v>18</v>
      </c>
      <c r="K1509" s="1052">
        <f t="shared" si="160"/>
        <v>303</v>
      </c>
      <c r="L1509" s="1088">
        <f>L1852</f>
        <v>2.013157894736842</v>
      </c>
      <c r="M1509" s="328"/>
      <c r="N1509" s="1587"/>
      <c r="O1509" s="1135"/>
      <c r="P1509" s="123"/>
      <c r="Q1509" s="123"/>
      <c r="R1509" s="1431"/>
      <c r="S1509" s="123"/>
      <c r="T1509" s="123"/>
      <c r="U1509" s="1589"/>
      <c r="V1509" s="1962" t="s">
        <v>31</v>
      </c>
      <c r="W1509" s="818">
        <v>109.33614947965923</v>
      </c>
      <c r="X1509" s="825">
        <v>109.33614947965923</v>
      </c>
      <c r="Y1509" s="737">
        <v>109.34</v>
      </c>
      <c r="Z1509" s="737">
        <v>109.34</v>
      </c>
      <c r="AA1509" s="737">
        <v>109.34</v>
      </c>
      <c r="AB1509" s="2162">
        <v>109.34</v>
      </c>
      <c r="AC1509" s="742">
        <v>64.98</v>
      </c>
      <c r="AD1509" s="818"/>
      <c r="AE1509" s="818"/>
      <c r="AF1509" s="818"/>
      <c r="AG1509" s="818"/>
      <c r="AH1509" s="163"/>
      <c r="AI1509" s="1942"/>
      <c r="AJ1509" s="1942"/>
      <c r="AK1509" s="820"/>
      <c r="AL1509" s="1942"/>
      <c r="AM1509" s="1942"/>
      <c r="AN1509" s="1942"/>
      <c r="AO1509" s="1942"/>
      <c r="AP1509" s="1942"/>
      <c r="AQ1509" s="1942"/>
      <c r="AR1509" s="1942"/>
      <c r="AS1509" s="1942"/>
      <c r="AT1509" s="1942"/>
      <c r="AU1509" s="1942"/>
      <c r="AV1509" s="1942"/>
      <c r="AW1509" s="1942"/>
      <c r="AX1509" s="1942"/>
      <c r="AY1509" s="1942"/>
      <c r="AZ1509" s="1942"/>
      <c r="BA1509" s="1942"/>
      <c r="BB1509" s="244">
        <f>(BD1509+BD1510)/(BE1509+BE1510)</f>
        <v>0.81215963274968239</v>
      </c>
      <c r="BC1509" s="710" t="str">
        <f t="shared" si="165"/>
        <v>Cooling Res 18 Year EUL</v>
      </c>
      <c r="BD1509" s="673">
        <f>(INDEX('Avoided Cost Benefits'!$C$4:$C$857,MATCH(BC1509,'Avoided Cost Benefits'!$A$4:$A$857,0)))*F1509</f>
        <v>114.61222280476392</v>
      </c>
      <c r="BE1509" s="1949">
        <f t="shared" si="162"/>
        <v>285.98395469561109</v>
      </c>
      <c r="BF1509" s="1942"/>
      <c r="BG1509" s="691"/>
      <c r="BH1509" s="821"/>
      <c r="BI1509" s="691"/>
    </row>
    <row r="1510" spans="1:61" s="51" customFormat="1" x14ac:dyDescent="0.25">
      <c r="A1510" s="1267" t="str">
        <f t="shared" si="163"/>
        <v>353050_2021_12_Heating Res</v>
      </c>
      <c r="B1510" s="123"/>
      <c r="C1510" s="2038" t="s">
        <v>1295</v>
      </c>
      <c r="D1510" s="1553" t="s">
        <v>322</v>
      </c>
      <c r="E1510" s="3008" t="s">
        <v>1296</v>
      </c>
      <c r="F1510" s="742">
        <f>ROUND(((K1852*K2039*(1/K2226-1/K2413)*K3348)/1000)*$K$3484,2)</f>
        <v>254.65</v>
      </c>
      <c r="G1510" s="214" t="s">
        <v>1135</v>
      </c>
      <c r="H1510" s="155">
        <f>VLOOKUP(G1510,'CP FACTORS'!$A$3:$B$38, 2, FALSE)</f>
        <v>0</v>
      </c>
      <c r="I1510" s="1554">
        <f t="shared" si="164"/>
        <v>0</v>
      </c>
      <c r="J1510" s="108">
        <f t="shared" si="159"/>
        <v>18</v>
      </c>
      <c r="K1510" s="1052">
        <f t="shared" si="160"/>
        <v>0</v>
      </c>
      <c r="L1510" s="1088"/>
      <c r="M1510" s="328"/>
      <c r="N1510" s="1587"/>
      <c r="O1510" s="1135"/>
      <c r="P1510" s="123"/>
      <c r="Q1510" s="123"/>
      <c r="R1510" s="1431"/>
      <c r="S1510" s="123"/>
      <c r="T1510" s="123"/>
      <c r="U1510" s="1589"/>
      <c r="V1510" s="1962" t="s">
        <v>31</v>
      </c>
      <c r="W1510" s="818">
        <v>340.46551724137925</v>
      </c>
      <c r="X1510" s="819">
        <v>253.52733389402857</v>
      </c>
      <c r="Y1510" s="737">
        <v>253.53</v>
      </c>
      <c r="Z1510" s="737">
        <v>253.53</v>
      </c>
      <c r="AA1510" s="737">
        <v>253.53</v>
      </c>
      <c r="AB1510" s="2162">
        <v>253.53</v>
      </c>
      <c r="AC1510" s="742">
        <v>254.65</v>
      </c>
      <c r="AD1510" s="818"/>
      <c r="AE1510" s="818"/>
      <c r="AF1510" s="818"/>
      <c r="AG1510" s="818"/>
      <c r="AH1510" s="163"/>
      <c r="AI1510" s="1942"/>
      <c r="AJ1510" s="1942"/>
      <c r="AK1510" s="820"/>
      <c r="AL1510" s="1942"/>
      <c r="AM1510" s="1942"/>
      <c r="AN1510" s="1942"/>
      <c r="AO1510" s="1942"/>
      <c r="AP1510" s="1942"/>
      <c r="AQ1510" s="1942"/>
      <c r="AR1510" s="1942"/>
      <c r="AS1510" s="1942"/>
      <c r="AT1510" s="1942"/>
      <c r="AU1510" s="1942"/>
      <c r="AV1510" s="1942"/>
      <c r="AW1510" s="1942"/>
      <c r="AX1510" s="1942"/>
      <c r="AY1510" s="1942"/>
      <c r="AZ1510" s="1942"/>
      <c r="BA1510" s="1942"/>
      <c r="BB1510" s="242"/>
      <c r="BC1510" s="822" t="str">
        <f t="shared" si="165"/>
        <v>Heating Res 18 Year EUL</v>
      </c>
      <c r="BD1510" s="673">
        <f>(INDEX('Avoided Cost Benefits'!$C$4:$C$857,MATCH(BC1510,'Avoided Cost Benefits'!$A$4:$A$857,0)))*F1510</f>
        <v>117.65240081312537</v>
      </c>
      <c r="BE1510" s="1949">
        <f t="shared" si="162"/>
        <v>0</v>
      </c>
      <c r="BF1510" s="1942"/>
      <c r="BG1510" s="691"/>
      <c r="BH1510" s="821"/>
      <c r="BI1510" s="691"/>
    </row>
    <row r="1511" spans="1:61" s="51" customFormat="1" x14ac:dyDescent="0.25">
      <c r="A1511" s="1267" t="str">
        <f t="shared" si="163"/>
        <v>353051_2021_12_Cooling Res</v>
      </c>
      <c r="B1511" s="123"/>
      <c r="C1511" s="2038" t="s">
        <v>1298</v>
      </c>
      <c r="D1511" s="1553" t="s">
        <v>317</v>
      </c>
      <c r="E1511" s="2878" t="s">
        <v>1299</v>
      </c>
      <c r="F1511" s="742">
        <f>ROUND((($K$2601*$K$2788*(1/$K$2975-1/$K$3162)*$K$3349)/1000)*$K$3484,2)</f>
        <v>51.64</v>
      </c>
      <c r="G1511" s="214" t="str">
        <f>G1509</f>
        <v>Cooling Res</v>
      </c>
      <c r="H1511" s="155">
        <f>VLOOKUP(G1511,'CP FACTORS'!$A$3:$B$38, 2, FALSE)</f>
        <v>9.4741810000000004E-4</v>
      </c>
      <c r="I1511" s="1554">
        <f t="shared" si="164"/>
        <v>4.8925000000000003E-2</v>
      </c>
      <c r="J1511" s="108">
        <f t="shared" si="159"/>
        <v>18</v>
      </c>
      <c r="K1511" s="3294">
        <f t="shared" si="160"/>
        <v>303</v>
      </c>
      <c r="L1511" s="3296">
        <f>L1853</f>
        <v>2.013157894736842</v>
      </c>
      <c r="M1511" s="328"/>
      <c r="N1511" s="1587"/>
      <c r="O1511" s="1135"/>
      <c r="P1511" s="123"/>
      <c r="Q1511" s="123"/>
      <c r="R1511" s="1431"/>
      <c r="S1511" s="123"/>
      <c r="T1511" s="123"/>
      <c r="U1511" s="1589"/>
      <c r="V1511" s="1962" t="s">
        <v>31</v>
      </c>
      <c r="W1511" s="818"/>
      <c r="X1511" s="819"/>
      <c r="Y1511" s="742">
        <v>79.52</v>
      </c>
      <c r="Z1511" s="737">
        <v>79.52</v>
      </c>
      <c r="AA1511" s="737">
        <v>79.52</v>
      </c>
      <c r="AB1511" s="2162">
        <v>79.52</v>
      </c>
      <c r="AC1511" s="742">
        <v>51.64</v>
      </c>
      <c r="AD1511" s="818"/>
      <c r="AE1511" s="818"/>
      <c r="AF1511" s="818"/>
      <c r="AG1511" s="818"/>
      <c r="AH1511" s="163"/>
      <c r="AI1511" s="1942"/>
      <c r="AJ1511" s="1942"/>
      <c r="AK1511" s="820"/>
      <c r="AL1511" s="1942"/>
      <c r="AM1511" s="1942"/>
      <c r="AN1511" s="1942"/>
      <c r="AO1511" s="1942"/>
      <c r="AP1511" s="1942"/>
      <c r="AQ1511" s="1942"/>
      <c r="AR1511" s="1942"/>
      <c r="AS1511" s="1942"/>
      <c r="AT1511" s="1942"/>
      <c r="AU1511" s="1942"/>
      <c r="AV1511" s="1942"/>
      <c r="AW1511" s="1942"/>
      <c r="AX1511" s="1942"/>
      <c r="AY1511" s="1942"/>
      <c r="AZ1511" s="1942"/>
      <c r="BA1511" s="1942"/>
      <c r="BB1511" s="244">
        <f>(BD1511+BD1512)/(BE1511+BE1512)</f>
        <v>0.45873428985559417</v>
      </c>
      <c r="BC1511" s="710" t="str">
        <f t="shared" si="165"/>
        <v>Cooling Res 18 Year EUL</v>
      </c>
      <c r="BD1511" s="673">
        <f>(INDEX('Avoided Cost Benefits'!$C$4:$C$857,MATCH(BC1511,'Avoided Cost Benefits'!$A$4:$A$857,0)))*F1511</f>
        <v>91.083028403170331</v>
      </c>
      <c r="BE1511" s="1949">
        <f t="shared" si="162"/>
        <v>285.98395469561109</v>
      </c>
      <c r="BF1511" s="1942"/>
      <c r="BG1511" s="691"/>
      <c r="BH1511" s="824"/>
      <c r="BI1511" s="691"/>
    </row>
    <row r="1512" spans="1:61" s="51" customFormat="1" x14ac:dyDescent="0.25">
      <c r="A1512" s="1267" t="str">
        <f t="shared" si="163"/>
        <v>353051_2021_12_Heating Res</v>
      </c>
      <c r="B1512" s="123"/>
      <c r="C1512" s="2038" t="str">
        <f>C1511</f>
        <v>353051_2021_12_</v>
      </c>
      <c r="D1512" s="1553" t="s">
        <v>317</v>
      </c>
      <c r="E1512" s="3005" t="s">
        <v>1299</v>
      </c>
      <c r="F1512" s="742">
        <f>ROUND((($K$1853*$K$2040*(1/$K$2227-1/$K$2414)*$K$3349)/1000)*$K$3484,2)</f>
        <v>86.81</v>
      </c>
      <c r="G1512" s="214" t="str">
        <f>G1510</f>
        <v>Heating Res</v>
      </c>
      <c r="H1512" s="155">
        <f>VLOOKUP(G1512,'CP FACTORS'!$A$3:$B$38, 2, FALSE)</f>
        <v>0</v>
      </c>
      <c r="I1512" s="1554">
        <f t="shared" si="164"/>
        <v>0</v>
      </c>
      <c r="J1512" s="108">
        <f t="shared" si="159"/>
        <v>18</v>
      </c>
      <c r="K1512" s="1052">
        <f t="shared" si="160"/>
        <v>0</v>
      </c>
      <c r="L1512" s="1088"/>
      <c r="M1512" s="328"/>
      <c r="N1512" s="1587"/>
      <c r="O1512" s="1135"/>
      <c r="P1512" s="123"/>
      <c r="Q1512" s="123"/>
      <c r="R1512" s="1431"/>
      <c r="S1512" s="123"/>
      <c r="T1512" s="123"/>
      <c r="U1512" s="1589"/>
      <c r="V1512" s="1962" t="s">
        <v>31</v>
      </c>
      <c r="W1512" s="818"/>
      <c r="X1512" s="819"/>
      <c r="Y1512" s="742">
        <v>86.43</v>
      </c>
      <c r="Z1512" s="737">
        <v>86.43</v>
      </c>
      <c r="AA1512" s="737">
        <v>86.43</v>
      </c>
      <c r="AB1512" s="2162">
        <v>86.43</v>
      </c>
      <c r="AC1512" s="742">
        <v>86.81</v>
      </c>
      <c r="AD1512" s="818"/>
      <c r="AE1512" s="818"/>
      <c r="AF1512" s="818"/>
      <c r="AG1512" s="818"/>
      <c r="AH1512" s="163"/>
      <c r="AI1512" s="1942"/>
      <c r="AJ1512" s="1942"/>
      <c r="AK1512" s="820"/>
      <c r="AL1512" s="1942"/>
      <c r="AM1512" s="1942"/>
      <c r="AN1512" s="1942"/>
      <c r="AO1512" s="1942"/>
      <c r="AP1512" s="1942"/>
      <c r="AQ1512" s="1942"/>
      <c r="AR1512" s="1942"/>
      <c r="AS1512" s="1942"/>
      <c r="AT1512" s="1942"/>
      <c r="AU1512" s="1942"/>
      <c r="AV1512" s="1942"/>
      <c r="AW1512" s="1942"/>
      <c r="AX1512" s="1942"/>
      <c r="AY1512" s="1942"/>
      <c r="AZ1512" s="1942"/>
      <c r="BA1512" s="1942"/>
      <c r="BB1512" s="242"/>
      <c r="BC1512" s="822" t="str">
        <f t="shared" si="165"/>
        <v>Heating Res 18 Year EUL</v>
      </c>
      <c r="BD1512" s="673">
        <f>(INDEX('Avoided Cost Benefits'!$C$4:$C$857,MATCH(BC1512,'Avoided Cost Benefits'!$A$4:$A$857,0)))*F1512</f>
        <v>40.107617964215251</v>
      </c>
      <c r="BE1512" s="1949">
        <f t="shared" si="162"/>
        <v>0</v>
      </c>
      <c r="BF1512" s="1942"/>
      <c r="BG1512" s="691"/>
      <c r="BH1512" s="824"/>
      <c r="BI1512" s="691"/>
    </row>
    <row r="1513" spans="1:61" s="51" customFormat="1" x14ac:dyDescent="0.25">
      <c r="A1513" s="1267" t="str">
        <f t="shared" si="163"/>
        <v>353100_2021_12_Cooling Res</v>
      </c>
      <c r="B1513" s="123"/>
      <c r="C1513" s="2038" t="s">
        <v>1301</v>
      </c>
      <c r="D1513" s="1553" t="s">
        <v>320</v>
      </c>
      <c r="E1513" s="2965" t="s">
        <v>1302</v>
      </c>
      <c r="F1513" s="742">
        <f>ROUND(((K2602*K2789*(1/K2976-1/K3163)*K3350)/1000)*$K$3484,2)</f>
        <v>538.32000000000005</v>
      </c>
      <c r="G1513" s="214" t="s">
        <v>1134</v>
      </c>
      <c r="H1513" s="155">
        <f>VLOOKUP(G1513,'CP FACTORS'!$A$3:$B$38, 2, FALSE)</f>
        <v>9.4741810000000004E-4</v>
      </c>
      <c r="I1513" s="1554">
        <f t="shared" si="164"/>
        <v>0.51001399999999997</v>
      </c>
      <c r="J1513" s="108">
        <f t="shared" si="159"/>
        <v>18</v>
      </c>
      <c r="K1513" s="1052">
        <f t="shared" si="160"/>
        <v>724</v>
      </c>
      <c r="L1513" s="1088">
        <f>L1854</f>
        <v>2.7</v>
      </c>
      <c r="M1513" s="328"/>
      <c r="N1513" s="1587"/>
      <c r="O1513" s="1135"/>
      <c r="P1513" s="123"/>
      <c r="Q1513" s="123"/>
      <c r="R1513" s="1431"/>
      <c r="S1513" s="123"/>
      <c r="T1513" s="123"/>
      <c r="U1513" s="1589"/>
      <c r="V1513" s="1962" t="s">
        <v>31</v>
      </c>
      <c r="W1513" s="818">
        <v>2576.329411764706</v>
      </c>
      <c r="X1513" s="819">
        <v>1787.6571428571426</v>
      </c>
      <c r="Y1513" s="742">
        <v>528.48</v>
      </c>
      <c r="Z1513" s="737">
        <v>528.48</v>
      </c>
      <c r="AA1513" s="737">
        <v>528.48</v>
      </c>
      <c r="AB1513" s="2162">
        <v>528.48</v>
      </c>
      <c r="AC1513" s="742">
        <v>538.32000000000005</v>
      </c>
      <c r="AD1513" s="818"/>
      <c r="AE1513" s="818"/>
      <c r="AF1513" s="818"/>
      <c r="AG1513" s="818"/>
      <c r="AH1513" s="163"/>
      <c r="AI1513" s="1942"/>
      <c r="AJ1513" s="1942"/>
      <c r="AK1513" s="820"/>
      <c r="AL1513" s="1942"/>
      <c r="AM1513" s="1942"/>
      <c r="AN1513" s="1942"/>
      <c r="AO1513" s="1942"/>
      <c r="AP1513" s="1942"/>
      <c r="AQ1513" s="1942"/>
      <c r="AR1513" s="1942"/>
      <c r="AS1513" s="1942"/>
      <c r="AT1513" s="1942"/>
      <c r="AU1513" s="1942"/>
      <c r="AV1513" s="1942"/>
      <c r="AW1513" s="1942"/>
      <c r="AX1513" s="1942"/>
      <c r="AY1513" s="1942"/>
      <c r="AZ1513" s="1942"/>
      <c r="BA1513" s="1942"/>
      <c r="BB1513" s="244">
        <f>(BD1513+BD1514)/(BE1513+BE1514)</f>
        <v>7.5502644889609698</v>
      </c>
      <c r="BC1513" s="710" t="str">
        <f t="shared" si="165"/>
        <v>Cooling Res 18 Year EUL</v>
      </c>
      <c r="BD1513" s="673">
        <f>(INDEX('Avoided Cost Benefits'!$C$4:$C$857,MATCH(BC1513,'Avoided Cost Benefits'!$A$4:$A$857,0)))*F1513</f>
        <v>949.49294829579117</v>
      </c>
      <c r="BE1513" s="1949">
        <f t="shared" si="162"/>
        <v>683.34119867862194</v>
      </c>
      <c r="BF1513" s="1942"/>
      <c r="BG1513" s="691"/>
      <c r="BH1513" s="821"/>
      <c r="BI1513" s="691"/>
    </row>
    <row r="1514" spans="1:61" s="51" customFormat="1" x14ac:dyDescent="0.25">
      <c r="A1514" s="1267" t="str">
        <f t="shared" si="163"/>
        <v>353100_2021_12_Heating Res</v>
      </c>
      <c r="B1514" s="123"/>
      <c r="C1514" s="2038" t="s">
        <v>1301</v>
      </c>
      <c r="D1514" s="1553" t="s">
        <v>320</v>
      </c>
      <c r="E1514" s="3008" t="s">
        <v>1302</v>
      </c>
      <c r="F1514" s="742">
        <f>ROUND(((K1854*K2041*(1/K2228-1/K2415)*K3350)/1000)*$K$3484,2)</f>
        <v>9112.0499999999993</v>
      </c>
      <c r="G1514" s="214" t="s">
        <v>1135</v>
      </c>
      <c r="H1514" s="155">
        <f>VLOOKUP(G1514,'CP FACTORS'!$A$3:$B$38, 2, FALSE)</f>
        <v>0</v>
      </c>
      <c r="I1514" s="1554">
        <f t="shared" si="164"/>
        <v>0</v>
      </c>
      <c r="J1514" s="108">
        <f t="shared" si="159"/>
        <v>18</v>
      </c>
      <c r="K1514" s="1052">
        <f t="shared" si="160"/>
        <v>0</v>
      </c>
      <c r="L1514" s="1088"/>
      <c r="M1514" s="328"/>
      <c r="N1514" s="1587"/>
      <c r="O1514" s="1135"/>
      <c r="P1514" s="123"/>
      <c r="Q1514" s="123"/>
      <c r="R1514" s="1431"/>
      <c r="S1514" s="123"/>
      <c r="T1514" s="123"/>
      <c r="U1514" s="1589"/>
      <c r="V1514" s="1962" t="s">
        <v>31</v>
      </c>
      <c r="W1514" s="818">
        <v>12836.414910662994</v>
      </c>
      <c r="X1514" s="819">
        <v>9558.6245427336198</v>
      </c>
      <c r="Y1514" s="737">
        <v>9558.6200000000008</v>
      </c>
      <c r="Z1514" s="737">
        <v>9558.6200000000008</v>
      </c>
      <c r="AA1514" s="737">
        <v>9558.6200000000008</v>
      </c>
      <c r="AB1514" s="2162">
        <v>9558.6200000000008</v>
      </c>
      <c r="AC1514" s="742">
        <v>9112.0499999999993</v>
      </c>
      <c r="AD1514" s="818"/>
      <c r="AE1514" s="818"/>
      <c r="AF1514" s="818"/>
      <c r="AG1514" s="818"/>
      <c r="AH1514" s="163"/>
      <c r="AI1514" s="1942"/>
      <c r="AJ1514" s="1942"/>
      <c r="AK1514" s="820"/>
      <c r="AL1514" s="1942"/>
      <c r="AM1514" s="1942"/>
      <c r="AN1514" s="1942"/>
      <c r="AO1514" s="1942"/>
      <c r="AP1514" s="1942"/>
      <c r="AQ1514" s="1942"/>
      <c r="AR1514" s="1942"/>
      <c r="AS1514" s="1942"/>
      <c r="AT1514" s="1942"/>
      <c r="AU1514" s="1942"/>
      <c r="AV1514" s="1942"/>
      <c r="AW1514" s="1942"/>
      <c r="AX1514" s="1942"/>
      <c r="AY1514" s="1942"/>
      <c r="AZ1514" s="1942"/>
      <c r="BA1514" s="1942"/>
      <c r="BB1514" s="242"/>
      <c r="BC1514" s="822" t="str">
        <f t="shared" si="165"/>
        <v>Heating Res 18 Year EUL</v>
      </c>
      <c r="BD1514" s="673">
        <f>(INDEX('Avoided Cost Benefits'!$C$4:$C$857,MATCH(BC1514,'Avoided Cost Benefits'!$A$4:$A$857,0)))*F1514</f>
        <v>4209.9138379314309</v>
      </c>
      <c r="BE1514" s="1949">
        <f t="shared" si="162"/>
        <v>0</v>
      </c>
      <c r="BF1514" s="1942"/>
      <c r="BG1514" s="691"/>
      <c r="BH1514" s="821"/>
      <c r="BI1514" s="691"/>
    </row>
    <row r="1515" spans="1:61" s="51" customFormat="1" x14ac:dyDescent="0.25">
      <c r="A1515" s="1267" t="str">
        <f t="shared" si="163"/>
        <v>353150_2019_12_Cooling Res</v>
      </c>
      <c r="B1515" s="123"/>
      <c r="C1515" s="1471" t="s">
        <v>1303</v>
      </c>
      <c r="D1515" s="1553" t="s">
        <v>322</v>
      </c>
      <c r="E1515" s="2965" t="s">
        <v>1304</v>
      </c>
      <c r="F1515" s="782">
        <f>ROUND(((K2603*K2790*(1/K2977-1/K3164)*K3351)/1000)*$K$3484,2)</f>
        <v>343.51</v>
      </c>
      <c r="G1515" s="214" t="s">
        <v>1134</v>
      </c>
      <c r="H1515" s="155">
        <f>VLOOKUP(G1515,'CP FACTORS'!$A$3:$B$38, 2, FALSE)</f>
        <v>9.4741810000000004E-4</v>
      </c>
      <c r="I1515" s="1554">
        <f t="shared" si="164"/>
        <v>0.32544800000000002</v>
      </c>
      <c r="J1515" s="108">
        <f t="shared" si="159"/>
        <v>18</v>
      </c>
      <c r="K1515" s="1052">
        <f t="shared" si="160"/>
        <v>724</v>
      </c>
      <c r="L1515" s="1088">
        <f>L1855</f>
        <v>2.8</v>
      </c>
      <c r="M1515" s="328"/>
      <c r="N1515" s="1587"/>
      <c r="O1515" s="1135"/>
      <c r="P1515" s="123"/>
      <c r="Q1515" s="123"/>
      <c r="R1515" s="1431"/>
      <c r="S1515" s="123"/>
      <c r="T1515" s="123"/>
      <c r="U1515" s="1589"/>
      <c r="V1515" s="1962" t="s">
        <v>31</v>
      </c>
      <c r="W1515" s="818">
        <v>1674.6141176470589</v>
      </c>
      <c r="X1515" s="819">
        <v>1161.9771428571428</v>
      </c>
      <c r="Y1515" s="742">
        <v>343.51</v>
      </c>
      <c r="Z1515" s="737">
        <v>343.51</v>
      </c>
      <c r="AA1515" s="737">
        <v>343.51</v>
      </c>
      <c r="AB1515" s="2162">
        <v>343.51</v>
      </c>
      <c r="AC1515" s="782">
        <v>343.51</v>
      </c>
      <c r="AD1515" s="818"/>
      <c r="AE1515" s="818"/>
      <c r="AF1515" s="818"/>
      <c r="AG1515" s="818"/>
      <c r="AH1515" s="163"/>
      <c r="AI1515" s="1942"/>
      <c r="AJ1515" s="1942"/>
      <c r="AK1515" s="820"/>
      <c r="AL1515" s="1942"/>
      <c r="AM1515" s="1942"/>
      <c r="AN1515" s="1942"/>
      <c r="AO1515" s="1942"/>
      <c r="AP1515" s="1942"/>
      <c r="AQ1515" s="1942"/>
      <c r="AR1515" s="1942"/>
      <c r="AS1515" s="1942"/>
      <c r="AT1515" s="1942"/>
      <c r="AU1515" s="1942"/>
      <c r="AV1515" s="1942"/>
      <c r="AW1515" s="1942"/>
      <c r="AX1515" s="1942"/>
      <c r="AY1515" s="1942"/>
      <c r="AZ1515" s="1942"/>
      <c r="BA1515" s="1942"/>
      <c r="BB1515" s="244">
        <f>(BD1515+BD1516)/(BE1515+BE1516)</f>
        <v>5.0874181972428625</v>
      </c>
      <c r="BC1515" s="710" t="str">
        <f t="shared" si="165"/>
        <v>Cooling Res 18 Year EUL</v>
      </c>
      <c r="BD1515" s="673">
        <f>(INDEX('Avoided Cost Benefits'!$C$4:$C$857,MATCH(BC1515,'Avoided Cost Benefits'!$A$4:$A$857,0)))*F1515</f>
        <v>605.88557487941591</v>
      </c>
      <c r="BE1515" s="1949">
        <f t="shared" si="162"/>
        <v>683.34119867862194</v>
      </c>
      <c r="BF1515" s="1942"/>
      <c r="BG1515" s="691"/>
      <c r="BH1515" s="821"/>
      <c r="BI1515" s="691"/>
    </row>
    <row r="1516" spans="1:61" s="51" customFormat="1" x14ac:dyDescent="0.25">
      <c r="A1516" s="1267" t="str">
        <f t="shared" si="163"/>
        <v>353150_2019_12_Heating Res</v>
      </c>
      <c r="B1516" s="123"/>
      <c r="C1516" s="1471" t="s">
        <v>1303</v>
      </c>
      <c r="D1516" s="1553" t="s">
        <v>322</v>
      </c>
      <c r="E1516" s="3008" t="s">
        <v>1304</v>
      </c>
      <c r="F1516" s="782">
        <f>ROUND(((K1855*K2042*(1/K2229-1/K2416)*K3351)/1000)*$K$3484,2)</f>
        <v>6213.11</v>
      </c>
      <c r="G1516" s="214" t="s">
        <v>1135</v>
      </c>
      <c r="H1516" s="155">
        <f>VLOOKUP(G1516,'CP FACTORS'!$A$3:$B$38, 2, FALSE)</f>
        <v>0</v>
      </c>
      <c r="I1516" s="1554">
        <f t="shared" si="164"/>
        <v>0</v>
      </c>
      <c r="J1516" s="108">
        <f t="shared" si="159"/>
        <v>18</v>
      </c>
      <c r="K1516" s="1052">
        <f t="shared" si="160"/>
        <v>0</v>
      </c>
      <c r="L1516" s="1088"/>
      <c r="M1516" s="328"/>
      <c r="N1516" s="1587"/>
      <c r="O1516" s="1135"/>
      <c r="P1516" s="123"/>
      <c r="Q1516" s="123"/>
      <c r="R1516" s="1431"/>
      <c r="S1516" s="123"/>
      <c r="T1516" s="123"/>
      <c r="U1516" s="1589"/>
      <c r="V1516" s="1962" t="s">
        <v>31</v>
      </c>
      <c r="W1516" s="818">
        <v>8343.6696919309452</v>
      </c>
      <c r="X1516" s="819">
        <v>6213.105952776853</v>
      </c>
      <c r="Y1516" s="737">
        <v>6213.11</v>
      </c>
      <c r="Z1516" s="737">
        <v>6213.11</v>
      </c>
      <c r="AA1516" s="737">
        <v>6213.11</v>
      </c>
      <c r="AB1516" s="2162">
        <v>6213.11</v>
      </c>
      <c r="AC1516" s="782">
        <v>6213.11</v>
      </c>
      <c r="AD1516" s="818"/>
      <c r="AE1516" s="818"/>
      <c r="AF1516" s="818"/>
      <c r="AG1516" s="818"/>
      <c r="AH1516" s="163"/>
      <c r="AI1516" s="1942"/>
      <c r="AJ1516" s="1942"/>
      <c r="AK1516" s="820"/>
      <c r="AL1516" s="1942"/>
      <c r="AM1516" s="1942"/>
      <c r="AN1516" s="1942"/>
      <c r="AO1516" s="1942"/>
      <c r="AP1516" s="1942"/>
      <c r="AQ1516" s="1942"/>
      <c r="AR1516" s="1942"/>
      <c r="AS1516" s="1942"/>
      <c r="AT1516" s="1942"/>
      <c r="AU1516" s="1942"/>
      <c r="AV1516" s="1942"/>
      <c r="AW1516" s="1942"/>
      <c r="AX1516" s="1942"/>
      <c r="AY1516" s="1942"/>
      <c r="AZ1516" s="1942"/>
      <c r="BA1516" s="1942"/>
      <c r="BB1516" s="242"/>
      <c r="BC1516" s="822" t="str">
        <f t="shared" si="165"/>
        <v>Heating Res 18 Year EUL</v>
      </c>
      <c r="BD1516" s="673">
        <f>(INDEX('Avoided Cost Benefits'!$C$4:$C$857,MATCH(BC1516,'Avoided Cost Benefits'!$A$4:$A$857,0)))*F1516</f>
        <v>2870.5568742039554</v>
      </c>
      <c r="BE1516" s="1949">
        <f t="shared" si="162"/>
        <v>0</v>
      </c>
      <c r="BF1516" s="1942"/>
      <c r="BG1516" s="691"/>
      <c r="BH1516" s="821"/>
      <c r="BI1516" s="691"/>
    </row>
    <row r="1517" spans="1:61" s="51" customFormat="1" x14ac:dyDescent="0.25">
      <c r="A1517" s="1267" t="str">
        <f t="shared" si="163"/>
        <v>353151_2019_12_Cooling Res</v>
      </c>
      <c r="B1517" s="123"/>
      <c r="C1517" s="1471" t="s">
        <v>1305</v>
      </c>
      <c r="D1517" s="1553" t="s">
        <v>317</v>
      </c>
      <c r="E1517" s="2878" t="s">
        <v>1306</v>
      </c>
      <c r="F1517" s="782">
        <f>ROUND((($K$2604*$K$2791*(1/$K$2978-1/$K$3165)*$K$3352)/1000)*$K$3484,2)</f>
        <v>249.83</v>
      </c>
      <c r="G1517" s="214" t="str">
        <f>G1515</f>
        <v>Cooling Res</v>
      </c>
      <c r="H1517" s="155">
        <f>VLOOKUP(G1517,'CP FACTORS'!$A$3:$B$38, 2, FALSE)</f>
        <v>9.4741810000000004E-4</v>
      </c>
      <c r="I1517" s="1554">
        <f t="shared" si="164"/>
        <v>0.23669299999999999</v>
      </c>
      <c r="J1517" s="108">
        <f t="shared" si="159"/>
        <v>18</v>
      </c>
      <c r="K1517" s="3294">
        <f t="shared" si="160"/>
        <v>724</v>
      </c>
      <c r="L1517" s="1088">
        <f>L1856</f>
        <v>2.8</v>
      </c>
      <c r="M1517" s="328"/>
      <c r="N1517" s="1587"/>
      <c r="O1517" s="1135"/>
      <c r="P1517" s="123"/>
      <c r="Q1517" s="123"/>
      <c r="R1517" s="1431"/>
      <c r="S1517" s="123"/>
      <c r="T1517" s="123"/>
      <c r="U1517" s="1589"/>
      <c r="V1517" s="1962" t="s">
        <v>31</v>
      </c>
      <c r="W1517" s="818"/>
      <c r="X1517" s="819"/>
      <c r="Y1517" s="742">
        <v>249.83</v>
      </c>
      <c r="Z1517" s="737">
        <v>249.83</v>
      </c>
      <c r="AA1517" s="737">
        <v>249.83</v>
      </c>
      <c r="AB1517" s="2162">
        <v>249.83</v>
      </c>
      <c r="AC1517" s="782">
        <v>249.83</v>
      </c>
      <c r="AD1517" s="818"/>
      <c r="AE1517" s="818"/>
      <c r="AF1517" s="818"/>
      <c r="AG1517" s="818"/>
      <c r="AH1517" s="163"/>
      <c r="AI1517" s="1942"/>
      <c r="AJ1517" s="1942"/>
      <c r="AK1517" s="820"/>
      <c r="AL1517" s="1942"/>
      <c r="AM1517" s="1942"/>
      <c r="AN1517" s="1942"/>
      <c r="AO1517" s="1942"/>
      <c r="AP1517" s="1942"/>
      <c r="AQ1517" s="1942"/>
      <c r="AR1517" s="1942"/>
      <c r="AS1517" s="1942"/>
      <c r="AT1517" s="1942"/>
      <c r="AU1517" s="1942"/>
      <c r="AV1517" s="1942"/>
      <c r="AW1517" s="1942"/>
      <c r="AX1517" s="1942"/>
      <c r="AY1517" s="1942"/>
      <c r="AZ1517" s="1942"/>
      <c r="BA1517" s="1942"/>
      <c r="BB1517" s="244">
        <f>(BD1517+BD1518)/(BE1517+BE1518)</f>
        <v>2.0769249443850204</v>
      </c>
      <c r="BC1517" s="710" t="str">
        <f t="shared" si="165"/>
        <v>Cooling Res 18 Year EUL</v>
      </c>
      <c r="BD1517" s="673">
        <f>(INDEX('Avoided Cost Benefits'!$C$4:$C$857,MATCH(BC1517,'Avoided Cost Benefits'!$A$4:$A$857,0)))*F1517</f>
        <v>440.65207176537655</v>
      </c>
      <c r="BE1517" s="1949">
        <f t="shared" si="162"/>
        <v>683.34119867862194</v>
      </c>
      <c r="BF1517" s="1942"/>
      <c r="BG1517" s="691"/>
      <c r="BH1517" s="824"/>
      <c r="BI1517" s="691"/>
    </row>
    <row r="1518" spans="1:61" s="51" customFormat="1" x14ac:dyDescent="0.25">
      <c r="A1518" s="1267" t="str">
        <f t="shared" si="163"/>
        <v>353151_2019_12_Heating Res</v>
      </c>
      <c r="B1518" s="123"/>
      <c r="C1518" s="1471" t="str">
        <f>C1517</f>
        <v>353151_2019_12_</v>
      </c>
      <c r="D1518" s="1553" t="s">
        <v>317</v>
      </c>
      <c r="E1518" s="3005" t="s">
        <v>1306</v>
      </c>
      <c r="F1518" s="782">
        <f>ROUND((($K$1856*$K$2043*(1/$K$2230-1/$K$2417)*$K$3352)/1000)*$K$3484,2)</f>
        <v>2118.1</v>
      </c>
      <c r="G1518" s="214" t="str">
        <f>G1516</f>
        <v>Heating Res</v>
      </c>
      <c r="H1518" s="155">
        <f>VLOOKUP(G1518,'CP FACTORS'!$A$3:$B$38, 2, FALSE)</f>
        <v>0</v>
      </c>
      <c r="I1518" s="1554">
        <f t="shared" si="164"/>
        <v>0</v>
      </c>
      <c r="J1518" s="108">
        <f t="shared" si="159"/>
        <v>18</v>
      </c>
      <c r="K1518" s="1052">
        <f t="shared" si="160"/>
        <v>0</v>
      </c>
      <c r="L1518" s="1088"/>
      <c r="M1518" s="328"/>
      <c r="N1518" s="1587"/>
      <c r="O1518" s="1135"/>
      <c r="P1518" s="123"/>
      <c r="Q1518" s="123"/>
      <c r="R1518" s="1431"/>
      <c r="S1518" s="123"/>
      <c r="T1518" s="123"/>
      <c r="U1518" s="1589"/>
      <c r="V1518" s="1962" t="s">
        <v>31</v>
      </c>
      <c r="W1518" s="818"/>
      <c r="X1518" s="819"/>
      <c r="Y1518" s="742">
        <v>2118.1</v>
      </c>
      <c r="Z1518" s="737">
        <v>2118.1</v>
      </c>
      <c r="AA1518" s="737">
        <v>2118.1</v>
      </c>
      <c r="AB1518" s="2162">
        <v>2118.1</v>
      </c>
      <c r="AC1518" s="782">
        <v>2118.1</v>
      </c>
      <c r="AD1518" s="818"/>
      <c r="AE1518" s="818"/>
      <c r="AF1518" s="818"/>
      <c r="AG1518" s="818"/>
      <c r="AH1518" s="163"/>
      <c r="AI1518" s="1942"/>
      <c r="AJ1518" s="1942"/>
      <c r="AK1518" s="820"/>
      <c r="AL1518" s="1942"/>
      <c r="AM1518" s="1942"/>
      <c r="AN1518" s="1942"/>
      <c r="AO1518" s="1942"/>
      <c r="AP1518" s="1942"/>
      <c r="AQ1518" s="1942"/>
      <c r="AR1518" s="1942"/>
      <c r="AS1518" s="1942"/>
      <c r="AT1518" s="1942"/>
      <c r="AU1518" s="1942"/>
      <c r="AV1518" s="1942"/>
      <c r="AW1518" s="1942"/>
      <c r="AX1518" s="1942"/>
      <c r="AY1518" s="1942"/>
      <c r="AZ1518" s="1942"/>
      <c r="BA1518" s="1942"/>
      <c r="BB1518" s="242"/>
      <c r="BC1518" s="822" t="str">
        <f t="shared" si="165"/>
        <v>Heating Res 18 Year EUL</v>
      </c>
      <c r="BD1518" s="673">
        <f>(INDEX('Avoided Cost Benefits'!$C$4:$C$857,MATCH(BC1518,'Avoided Cost Benefits'!$A$4:$A$857,0)))*F1518</f>
        <v>978.59630929621369</v>
      </c>
      <c r="BE1518" s="1949">
        <f t="shared" si="162"/>
        <v>0</v>
      </c>
      <c r="BF1518" s="1942"/>
      <c r="BG1518" s="691"/>
      <c r="BH1518" s="824"/>
      <c r="BI1518" s="691"/>
    </row>
    <row r="1519" spans="1:61" s="1942" customFormat="1" x14ac:dyDescent="0.25">
      <c r="A1519" s="1267"/>
      <c r="B1519" s="123"/>
      <c r="C1519" s="2038" t="s">
        <v>1307</v>
      </c>
      <c r="D1519" s="2695" t="s">
        <v>322</v>
      </c>
      <c r="E1519" s="3007" t="s">
        <v>1308</v>
      </c>
      <c r="F1519" s="742">
        <f>ROUND(((K2605*K2792*(1/K2979-1/K3166)*K3353)/1000)*$K$3484,2)</f>
        <v>343.51</v>
      </c>
      <c r="G1519" s="2042" t="s">
        <v>1134</v>
      </c>
      <c r="H1519" s="2867">
        <f>VLOOKUP(G1519,'CP FACTORS'!$A$3:$B$38, 2, FALSE)</f>
        <v>9.4741810000000004E-4</v>
      </c>
      <c r="I1519" s="2757">
        <f t="shared" si="164"/>
        <v>0.32544800000000002</v>
      </c>
      <c r="J1519" s="116">
        <f t="shared" si="159"/>
        <v>18</v>
      </c>
      <c r="K1519" s="3294">
        <f t="shared" si="160"/>
        <v>724</v>
      </c>
      <c r="L1519" s="3296">
        <f>L1857</f>
        <v>2.8</v>
      </c>
      <c r="M1519" s="328"/>
      <c r="N1519" s="1587"/>
      <c r="O1519" s="1135"/>
      <c r="P1519" s="123"/>
      <c r="Q1519" s="123"/>
      <c r="R1519" s="1431"/>
      <c r="S1519" s="123"/>
      <c r="T1519" s="123"/>
      <c r="U1519" s="1589"/>
      <c r="V1519" s="1958" t="s">
        <v>31</v>
      </c>
      <c r="W1519" s="818"/>
      <c r="X1519" s="819"/>
      <c r="Y1519" s="742"/>
      <c r="Z1519" s="737"/>
      <c r="AA1519" s="737"/>
      <c r="AB1519" s="2162"/>
      <c r="AC1519" s="742">
        <v>343.51</v>
      </c>
      <c r="AD1519" s="818"/>
      <c r="AE1519" s="818"/>
      <c r="AF1519" s="818"/>
      <c r="AG1519" s="818"/>
      <c r="AH1519" s="163"/>
      <c r="AK1519" s="820"/>
      <c r="BB1519" s="244">
        <f>(BD1519+BD1520)/(BE1519+BE1520)</f>
        <v>0.88665161130489123</v>
      </c>
      <c r="BC1519" s="3049" t="str">
        <f t="shared" si="165"/>
        <v>Cooling Res 18 Year EUL</v>
      </c>
      <c r="BD1519" s="673">
        <f>(INDEX('Avoided Cost Benefits'!$C$4:$C$857,MATCH(BC1519,'Avoided Cost Benefits'!$A$4:$A$857,0)))*F1519</f>
        <v>605.88557487941591</v>
      </c>
      <c r="BE1519" s="1949">
        <f t="shared" si="162"/>
        <v>683.34119867862194</v>
      </c>
      <c r="BG1519" s="691"/>
      <c r="BH1519" s="824"/>
      <c r="BI1519" s="691"/>
    </row>
    <row r="1520" spans="1:61" s="1942" customFormat="1" x14ac:dyDescent="0.25">
      <c r="A1520" s="1267"/>
      <c r="B1520" s="123"/>
      <c r="C1520" s="2038" t="s">
        <v>1307</v>
      </c>
      <c r="D1520" s="2695" t="s">
        <v>322</v>
      </c>
      <c r="E1520" s="3005" t="s">
        <v>1308</v>
      </c>
      <c r="F1520" s="742">
        <v>0</v>
      </c>
      <c r="G1520" s="2042" t="s">
        <v>1135</v>
      </c>
      <c r="H1520" s="2867">
        <f>VLOOKUP(G1520,'CP FACTORS'!$A$3:$B$38, 2, FALSE)</f>
        <v>0</v>
      </c>
      <c r="I1520" s="2757">
        <f t="shared" si="164"/>
        <v>0</v>
      </c>
      <c r="J1520" s="116">
        <f t="shared" si="159"/>
        <v>18</v>
      </c>
      <c r="K1520" s="3294">
        <f t="shared" si="160"/>
        <v>0</v>
      </c>
      <c r="L1520" s="3296"/>
      <c r="M1520" s="328"/>
      <c r="N1520" s="1587"/>
      <c r="O1520" s="1135"/>
      <c r="P1520" s="123"/>
      <c r="Q1520" s="123"/>
      <c r="R1520" s="1431"/>
      <c r="S1520" s="123"/>
      <c r="T1520" s="123"/>
      <c r="U1520" s="1589"/>
      <c r="V1520" s="1958" t="s">
        <v>31</v>
      </c>
      <c r="W1520" s="818"/>
      <c r="X1520" s="819"/>
      <c r="Y1520" s="742"/>
      <c r="Z1520" s="737"/>
      <c r="AA1520" s="737"/>
      <c r="AB1520" s="2162"/>
      <c r="AC1520" s="742">
        <v>0</v>
      </c>
      <c r="AD1520" s="818"/>
      <c r="AE1520" s="818"/>
      <c r="AF1520" s="818"/>
      <c r="AG1520" s="818"/>
      <c r="AH1520" s="163"/>
      <c r="AK1520" s="820"/>
      <c r="BB1520" s="242"/>
      <c r="BC1520" s="822" t="str">
        <f t="shared" si="165"/>
        <v>Heating Res 18 Year EUL</v>
      </c>
      <c r="BD1520" s="673">
        <f>(INDEX('Avoided Cost Benefits'!$C$4:$C$857,MATCH(BC1520,'Avoided Cost Benefits'!$A$4:$A$857,0)))*F1520</f>
        <v>0</v>
      </c>
      <c r="BE1520" s="1949">
        <f t="shared" si="162"/>
        <v>0</v>
      </c>
      <c r="BG1520" s="691"/>
      <c r="BH1520" s="824"/>
      <c r="BI1520" s="691"/>
    </row>
    <row r="1521" spans="1:61" s="1942" customFormat="1" x14ac:dyDescent="0.25">
      <c r="A1521" s="1267"/>
      <c r="B1521" s="123"/>
      <c r="C1521" s="2038" t="s">
        <v>1309</v>
      </c>
      <c r="D1521" s="2695" t="s">
        <v>317</v>
      </c>
      <c r="E1521" s="3007" t="s">
        <v>1310</v>
      </c>
      <c r="F1521" s="742">
        <f>ROUND(((K2606*K2793*(1/K2980-1/K3167)*K3354)/1000)*$K$3484,2)</f>
        <v>249.83</v>
      </c>
      <c r="G1521" s="2042" t="s">
        <v>1134</v>
      </c>
      <c r="H1521" s="2867">
        <f>VLOOKUP(G1521,'CP FACTORS'!$A$3:$B$38, 2, FALSE)</f>
        <v>9.4741810000000004E-4</v>
      </c>
      <c r="I1521" s="2757">
        <f t="shared" si="164"/>
        <v>0.23669299999999999</v>
      </c>
      <c r="J1521" s="116">
        <f t="shared" si="159"/>
        <v>18</v>
      </c>
      <c r="K1521" s="3294">
        <f t="shared" si="160"/>
        <v>724</v>
      </c>
      <c r="L1521" s="3296">
        <f>L1858</f>
        <v>2.8</v>
      </c>
      <c r="M1521" s="328"/>
      <c r="N1521" s="1587"/>
      <c r="O1521" s="1135"/>
      <c r="P1521" s="123"/>
      <c r="Q1521" s="123"/>
      <c r="R1521" s="1431"/>
      <c r="S1521" s="123"/>
      <c r="T1521" s="123"/>
      <c r="U1521" s="1589"/>
      <c r="V1521" s="1958" t="s">
        <v>31</v>
      </c>
      <c r="W1521" s="818"/>
      <c r="X1521" s="819"/>
      <c r="Y1521" s="742"/>
      <c r="Z1521" s="737"/>
      <c r="AA1521" s="737"/>
      <c r="AB1521" s="2162"/>
      <c r="AC1521" s="742">
        <v>249.83</v>
      </c>
      <c r="AD1521" s="818"/>
      <c r="AE1521" s="818"/>
      <c r="AF1521" s="818"/>
      <c r="AG1521" s="818"/>
      <c r="AH1521" s="163"/>
      <c r="AK1521" s="820"/>
      <c r="BB1521" s="244">
        <f>(BD1521+BD1522)/(BE1521+BE1522)</f>
        <v>0.64484926800471887</v>
      </c>
      <c r="BC1521" s="3049" t="str">
        <f t="shared" si="165"/>
        <v>Cooling Res 18 Year EUL</v>
      </c>
      <c r="BD1521" s="673">
        <f>(INDEX('Avoided Cost Benefits'!$C$4:$C$857,MATCH(BC1521,'Avoided Cost Benefits'!$A$4:$A$857,0)))*F1521</f>
        <v>440.65207176537655</v>
      </c>
      <c r="BE1521" s="1949">
        <f t="shared" si="162"/>
        <v>683.34119867862194</v>
      </c>
      <c r="BG1521" s="691"/>
      <c r="BH1521" s="824"/>
      <c r="BI1521" s="691"/>
    </row>
    <row r="1522" spans="1:61" s="1942" customFormat="1" x14ac:dyDescent="0.25">
      <c r="A1522" s="1267"/>
      <c r="B1522" s="123"/>
      <c r="C1522" s="2038" t="s">
        <v>1309</v>
      </c>
      <c r="D1522" s="2695" t="s">
        <v>317</v>
      </c>
      <c r="E1522" s="3007" t="s">
        <v>1310</v>
      </c>
      <c r="F1522" s="742">
        <f>0</f>
        <v>0</v>
      </c>
      <c r="G1522" s="2042" t="s">
        <v>1135</v>
      </c>
      <c r="H1522" s="2867">
        <f>VLOOKUP(G1522,'CP FACTORS'!$A$3:$B$38, 2, FALSE)</f>
        <v>0</v>
      </c>
      <c r="I1522" s="2757">
        <f t="shared" si="164"/>
        <v>0</v>
      </c>
      <c r="J1522" s="116">
        <f t="shared" si="159"/>
        <v>18</v>
      </c>
      <c r="K1522" s="3294">
        <f t="shared" si="160"/>
        <v>0</v>
      </c>
      <c r="L1522" s="3296"/>
      <c r="M1522" s="328"/>
      <c r="N1522" s="1587"/>
      <c r="O1522" s="1135"/>
      <c r="P1522" s="123"/>
      <c r="Q1522" s="123"/>
      <c r="R1522" s="1431"/>
      <c r="S1522" s="123"/>
      <c r="T1522" s="123"/>
      <c r="U1522" s="1589"/>
      <c r="V1522" s="1958" t="s">
        <v>31</v>
      </c>
      <c r="W1522" s="818"/>
      <c r="X1522" s="819"/>
      <c r="Y1522" s="742"/>
      <c r="Z1522" s="737"/>
      <c r="AA1522" s="737"/>
      <c r="AB1522" s="2162"/>
      <c r="AC1522" s="742">
        <v>0</v>
      </c>
      <c r="AD1522" s="818"/>
      <c r="AE1522" s="818"/>
      <c r="AF1522" s="818"/>
      <c r="AG1522" s="818"/>
      <c r="AH1522" s="163"/>
      <c r="AK1522" s="820"/>
      <c r="BB1522" s="242"/>
      <c r="BC1522" s="3049" t="str">
        <f t="shared" si="165"/>
        <v>Heating Res 18 Year EUL</v>
      </c>
      <c r="BD1522" s="673">
        <f>(INDEX('Avoided Cost Benefits'!$C$4:$C$857,MATCH(BC1522,'Avoided Cost Benefits'!$A$4:$A$857,0)))*F1522</f>
        <v>0</v>
      </c>
      <c r="BE1522" s="1949">
        <f t="shared" si="162"/>
        <v>0</v>
      </c>
      <c r="BG1522" s="691"/>
      <c r="BH1522" s="824"/>
      <c r="BI1522" s="691"/>
    </row>
    <row r="1523" spans="1:61" s="51" customFormat="1" x14ac:dyDescent="0.25">
      <c r="A1523" s="1267" t="str">
        <f t="shared" si="163"/>
        <v>353200_2021_12_Cooling Res</v>
      </c>
      <c r="B1523" s="123"/>
      <c r="C1523" s="2038" t="s">
        <v>1312</v>
      </c>
      <c r="D1523" s="1553" t="s">
        <v>320</v>
      </c>
      <c r="E1523" s="2965" t="s">
        <v>1313</v>
      </c>
      <c r="F1523" s="742">
        <f>ROUND(((K2607*K2794*(1/K2981-1/K3168)*K3355)/1000)*$K$3484,2)</f>
        <v>651.29999999999995</v>
      </c>
      <c r="G1523" s="214" t="s">
        <v>1134</v>
      </c>
      <c r="H1523" s="155">
        <f>VLOOKUP(G1523,'CP FACTORS'!$A$3:$B$38, 2, FALSE)</f>
        <v>9.4741810000000004E-4</v>
      </c>
      <c r="I1523" s="1554">
        <f t="shared" si="164"/>
        <v>0.61705299999999996</v>
      </c>
      <c r="J1523" s="108">
        <f t="shared" si="159"/>
        <v>18</v>
      </c>
      <c r="K1523" s="1052">
        <f t="shared" si="160"/>
        <v>962.92000000000007</v>
      </c>
      <c r="L1523" s="1088">
        <f>L1859</f>
        <v>3.0405405405405403</v>
      </c>
      <c r="M1523" s="328"/>
      <c r="N1523" s="1587"/>
      <c r="O1523" s="1135"/>
      <c r="P1523" s="123"/>
      <c r="Q1523" s="123"/>
      <c r="R1523" s="1431"/>
      <c r="S1523" s="123"/>
      <c r="T1523" s="123"/>
      <c r="U1523" s="1589"/>
      <c r="V1523" s="1962" t="s">
        <v>31</v>
      </c>
      <c r="W1523" s="818">
        <v>2671.7490196078434</v>
      </c>
      <c r="X1523" s="819">
        <v>1883.0767507002802</v>
      </c>
      <c r="Y1523" s="742">
        <v>623.9</v>
      </c>
      <c r="Z1523" s="737">
        <v>623.9</v>
      </c>
      <c r="AA1523" s="737">
        <v>623.9</v>
      </c>
      <c r="AB1523" s="425">
        <v>759.94</v>
      </c>
      <c r="AC1523" s="742">
        <v>651.29999999999995</v>
      </c>
      <c r="AD1523" s="818"/>
      <c r="AE1523" s="818"/>
      <c r="AF1523" s="818"/>
      <c r="AG1523" s="818"/>
      <c r="AH1523" s="163"/>
      <c r="AI1523" s="1942"/>
      <c r="AJ1523" s="1942"/>
      <c r="AK1523" s="820"/>
      <c r="AL1523" s="1942"/>
      <c r="AM1523" s="1942"/>
      <c r="AN1523" s="1942"/>
      <c r="AO1523" s="1942"/>
      <c r="AP1523" s="1942"/>
      <c r="AQ1523" s="1942"/>
      <c r="AR1523" s="1942"/>
      <c r="AS1523" s="1942"/>
      <c r="AT1523" s="1942"/>
      <c r="AU1523" s="1942"/>
      <c r="AV1523" s="1942"/>
      <c r="AW1523" s="1942"/>
      <c r="AX1523" s="1942"/>
      <c r="AY1523" s="1942"/>
      <c r="AZ1523" s="1942"/>
      <c r="BA1523" s="1942"/>
      <c r="BB1523" s="244">
        <f>(BD1523+BD1524)/(BE1523+BE1524)</f>
        <v>6.5655455649858414</v>
      </c>
      <c r="BC1523" s="710" t="str">
        <f t="shared" si="165"/>
        <v>Cooling Res 18 Year EUL</v>
      </c>
      <c r="BD1523" s="673">
        <f>(INDEX('Avoided Cost Benefits'!$C$4:$C$857,MATCH(BC1523,'Avoided Cost Benefits'!$A$4:$A$857,0)))*F1523</f>
        <v>1148.767939562061</v>
      </c>
      <c r="BE1523" s="1949">
        <f t="shared" si="162"/>
        <v>908.84379424256724</v>
      </c>
      <c r="BF1523" s="1942"/>
      <c r="BG1523" s="691"/>
      <c r="BH1523" s="821"/>
      <c r="BI1523" s="691"/>
    </row>
    <row r="1524" spans="1:61" s="51" customFormat="1" x14ac:dyDescent="0.25">
      <c r="A1524" s="1267" t="str">
        <f t="shared" si="163"/>
        <v>353200_2021_12_Heating Res</v>
      </c>
      <c r="B1524" s="123"/>
      <c r="C1524" s="2038" t="s">
        <v>1312</v>
      </c>
      <c r="D1524" s="1553" t="s">
        <v>320</v>
      </c>
      <c r="E1524" s="3008" t="s">
        <v>1313</v>
      </c>
      <c r="F1524" s="742">
        <f>ROUND(((K1859*K2046*(1/K2233-1/K2420)*K3355)/1000)*$K$3484,2)</f>
        <v>10428.83</v>
      </c>
      <c r="G1524" s="214" t="s">
        <v>1135</v>
      </c>
      <c r="H1524" s="155">
        <f>VLOOKUP(G1524,'CP FACTORS'!$A$3:$B$38, 2, FALSE)</f>
        <v>0</v>
      </c>
      <c r="I1524" s="1554">
        <f t="shared" si="164"/>
        <v>0</v>
      </c>
      <c r="J1524" s="108">
        <f t="shared" si="159"/>
        <v>18</v>
      </c>
      <c r="K1524" s="1052">
        <f t="shared" si="160"/>
        <v>0</v>
      </c>
      <c r="L1524" s="1088"/>
      <c r="M1524" s="328"/>
      <c r="N1524" s="1587"/>
      <c r="O1524" s="1135"/>
      <c r="P1524" s="123"/>
      <c r="Q1524" s="123"/>
      <c r="R1524" s="1431"/>
      <c r="S1524" s="123"/>
      <c r="T1524" s="123"/>
      <c r="U1524" s="1589"/>
      <c r="V1524" s="1962" t="s">
        <v>31</v>
      </c>
      <c r="W1524" s="818">
        <v>12836.414910662994</v>
      </c>
      <c r="X1524" s="819">
        <v>9558.6245427336198</v>
      </c>
      <c r="Y1524" s="737">
        <v>9558.6200000000008</v>
      </c>
      <c r="Z1524" s="737">
        <v>9558.6200000000008</v>
      </c>
      <c r="AA1524" s="737">
        <v>9558.6200000000008</v>
      </c>
      <c r="AB1524" s="425">
        <v>10664.41</v>
      </c>
      <c r="AC1524" s="742">
        <v>10428.83</v>
      </c>
      <c r="AD1524" s="818"/>
      <c r="AE1524" s="818"/>
      <c r="AF1524" s="818"/>
      <c r="AG1524" s="818"/>
      <c r="AH1524" s="163"/>
      <c r="AI1524" s="1942"/>
      <c r="AJ1524" s="1942"/>
      <c r="AK1524" s="820"/>
      <c r="AL1524" s="1942"/>
      <c r="AM1524" s="1942"/>
      <c r="AN1524" s="1942"/>
      <c r="AO1524" s="1942"/>
      <c r="AP1524" s="1942"/>
      <c r="AQ1524" s="1942"/>
      <c r="AR1524" s="1942"/>
      <c r="AS1524" s="1942"/>
      <c r="AT1524" s="1942"/>
      <c r="AU1524" s="1942"/>
      <c r="AV1524" s="1942"/>
      <c r="AW1524" s="1942"/>
      <c r="AX1524" s="1942"/>
      <c r="AY1524" s="1942"/>
      <c r="AZ1524" s="1942"/>
      <c r="BA1524" s="1942"/>
      <c r="BB1524" s="242"/>
      <c r="BC1524" s="822" t="str">
        <f t="shared" si="165"/>
        <v>Heating Res 18 Year EUL</v>
      </c>
      <c r="BD1524" s="673">
        <f>(INDEX('Avoided Cost Benefits'!$C$4:$C$857,MATCH(BC1524,'Avoided Cost Benefits'!$A$4:$A$857,0)))*F1524</f>
        <v>4818.2874029921313</v>
      </c>
      <c r="BE1524" s="1949">
        <f t="shared" si="162"/>
        <v>0</v>
      </c>
      <c r="BF1524" s="1942"/>
      <c r="BG1524" s="691"/>
      <c r="BH1524" s="821"/>
      <c r="BI1524" s="691"/>
    </row>
    <row r="1525" spans="1:61" s="51" customFormat="1" x14ac:dyDescent="0.25">
      <c r="A1525" s="1267" t="str">
        <f t="shared" si="163"/>
        <v>353250_2021_12_Cooling Res</v>
      </c>
      <c r="B1525" s="123"/>
      <c r="C1525" s="2038" t="s">
        <v>1315</v>
      </c>
      <c r="D1525" s="1553" t="s">
        <v>322</v>
      </c>
      <c r="E1525" s="2965" t="s">
        <v>1316</v>
      </c>
      <c r="F1525" s="742">
        <f>ROUND(((K2608*K2795*(1/K2982-1/K3169)*K3356)/1000)*$K$3484,2)</f>
        <v>434.5</v>
      </c>
      <c r="G1525" s="214" t="s">
        <v>1134</v>
      </c>
      <c r="H1525" s="155">
        <f>VLOOKUP(G1525,'CP FACTORS'!$A$3:$B$38, 2, FALSE)</f>
        <v>9.4741810000000004E-4</v>
      </c>
      <c r="I1525" s="1554">
        <f t="shared" si="164"/>
        <v>0.41165299999999999</v>
      </c>
      <c r="J1525" s="108">
        <f t="shared" si="159"/>
        <v>18</v>
      </c>
      <c r="K1525" s="1052">
        <f t="shared" si="160"/>
        <v>962.92000000000007</v>
      </c>
      <c r="L1525" s="1088">
        <f>L1860</f>
        <v>3</v>
      </c>
      <c r="M1525" s="328"/>
      <c r="N1525" s="1587"/>
      <c r="O1525" s="1135"/>
      <c r="P1525" s="123"/>
      <c r="Q1525" s="123"/>
      <c r="R1525" s="1431"/>
      <c r="S1525" s="123"/>
      <c r="T1525" s="123"/>
      <c r="U1525" s="1589"/>
      <c r="V1525" s="1962" t="s">
        <v>31</v>
      </c>
      <c r="W1525" s="818">
        <v>1736.6368627450984</v>
      </c>
      <c r="X1525" s="819">
        <v>1223.999887955182</v>
      </c>
      <c r="Y1525" s="742">
        <v>405.53</v>
      </c>
      <c r="Z1525" s="737">
        <v>405.53</v>
      </c>
      <c r="AA1525" s="737">
        <v>405.53</v>
      </c>
      <c r="AB1525" s="425">
        <v>658.61</v>
      </c>
      <c r="AC1525" s="742">
        <v>434.5</v>
      </c>
      <c r="AD1525" s="818"/>
      <c r="AE1525" s="818"/>
      <c r="AF1525" s="818"/>
      <c r="AG1525" s="818"/>
      <c r="AH1525" s="163"/>
      <c r="AI1525" s="1942"/>
      <c r="AJ1525" s="1942"/>
      <c r="AK1525" s="820"/>
      <c r="AL1525" s="1942"/>
      <c r="AM1525" s="1942"/>
      <c r="AN1525" s="1942"/>
      <c r="AO1525" s="1942"/>
      <c r="AP1525" s="1942"/>
      <c r="AQ1525" s="1942"/>
      <c r="AR1525" s="1942"/>
      <c r="AS1525" s="1942"/>
      <c r="AT1525" s="1942"/>
      <c r="AU1525" s="1942"/>
      <c r="AV1525" s="1942"/>
      <c r="AW1525" s="1942"/>
      <c r="AX1525" s="1942"/>
      <c r="AY1525" s="1942"/>
      <c r="AZ1525" s="1942"/>
      <c r="BA1525" s="1942"/>
      <c r="BB1525" s="244">
        <f>(BD1525+BD1526)/(BE1525+BE1526)</f>
        <v>4.1886905943295947</v>
      </c>
      <c r="BC1525" s="710" t="str">
        <f t="shared" si="165"/>
        <v>Cooling Res 18 Year EUL</v>
      </c>
      <c r="BD1525" s="673">
        <f>(INDEX('Avoided Cost Benefits'!$C$4:$C$857,MATCH(BC1525,'Avoided Cost Benefits'!$A$4:$A$857,0)))*F1525</f>
        <v>766.37443534425847</v>
      </c>
      <c r="BE1525" s="1949">
        <f t="shared" si="162"/>
        <v>908.84379424256724</v>
      </c>
      <c r="BF1525" s="1942"/>
      <c r="BG1525" s="691"/>
      <c r="BH1525" s="821"/>
      <c r="BI1525" s="691"/>
    </row>
    <row r="1526" spans="1:61" s="51" customFormat="1" x14ac:dyDescent="0.25">
      <c r="A1526" s="1267" t="str">
        <f t="shared" si="163"/>
        <v>353250_2021_12_Heating Res</v>
      </c>
      <c r="B1526" s="123"/>
      <c r="C1526" s="2038" t="s">
        <v>1315</v>
      </c>
      <c r="D1526" s="1553" t="s">
        <v>322</v>
      </c>
      <c r="E1526" s="3008" t="s">
        <v>1316</v>
      </c>
      <c r="F1526" s="742">
        <f>ROUND(((K1860*K2047*(1/K2234-1/K2421)*K3356)/1000)*$K$3484,2)</f>
        <v>6580.92</v>
      </c>
      <c r="G1526" s="214" t="s">
        <v>1135</v>
      </c>
      <c r="H1526" s="155">
        <f>VLOOKUP(G1526,'CP FACTORS'!$A$3:$B$38, 2, FALSE)</f>
        <v>0</v>
      </c>
      <c r="I1526" s="1554">
        <f t="shared" si="164"/>
        <v>0</v>
      </c>
      <c r="J1526" s="108">
        <f t="shared" si="159"/>
        <v>18</v>
      </c>
      <c r="K1526" s="1052">
        <f t="shared" si="160"/>
        <v>0</v>
      </c>
      <c r="L1526" s="1088"/>
      <c r="M1526" s="328"/>
      <c r="N1526" s="1587"/>
      <c r="O1526" s="1135"/>
      <c r="P1526" s="123"/>
      <c r="Q1526" s="123"/>
      <c r="R1526" s="1431"/>
      <c r="S1526" s="123"/>
      <c r="T1526" s="123"/>
      <c r="U1526" s="1589"/>
      <c r="V1526" s="1962" t="s">
        <v>31</v>
      </c>
      <c r="W1526" s="818">
        <v>8343.6696919309452</v>
      </c>
      <c r="X1526" s="819">
        <v>6213.105952776853</v>
      </c>
      <c r="Y1526" s="737">
        <v>6213.11</v>
      </c>
      <c r="Z1526" s="737">
        <v>6213.11</v>
      </c>
      <c r="AA1526" s="737">
        <v>6213.11</v>
      </c>
      <c r="AB1526" s="425">
        <v>9020.2199999999993</v>
      </c>
      <c r="AC1526" s="742">
        <v>6580.92</v>
      </c>
      <c r="AD1526" s="818"/>
      <c r="AE1526" s="818"/>
      <c r="AF1526" s="818"/>
      <c r="AG1526" s="818"/>
      <c r="AH1526" s="163"/>
      <c r="AI1526" s="1942"/>
      <c r="AJ1526" s="1942"/>
      <c r="AK1526" s="820"/>
      <c r="AL1526" s="1942"/>
      <c r="AM1526" s="1942"/>
      <c r="AN1526" s="1942"/>
      <c r="AO1526" s="1942"/>
      <c r="AP1526" s="1942"/>
      <c r="AQ1526" s="1942"/>
      <c r="AR1526" s="1942"/>
      <c r="AS1526" s="1942"/>
      <c r="AT1526" s="1942"/>
      <c r="AU1526" s="1942"/>
      <c r="AV1526" s="1942"/>
      <c r="AW1526" s="1942"/>
      <c r="AX1526" s="1942"/>
      <c r="AY1526" s="1942"/>
      <c r="AZ1526" s="1942"/>
      <c r="BA1526" s="1942"/>
      <c r="BB1526" s="242"/>
      <c r="BC1526" s="822" t="str">
        <f t="shared" si="165"/>
        <v>Heating Res 18 Year EUL</v>
      </c>
      <c r="BD1526" s="673">
        <f>(INDEX('Avoided Cost Benefits'!$C$4:$C$857,MATCH(BC1526,'Avoided Cost Benefits'!$A$4:$A$857,0)))*F1526</f>
        <v>3040.491017314404</v>
      </c>
      <c r="BE1526" s="1949">
        <f t="shared" si="162"/>
        <v>0</v>
      </c>
      <c r="BF1526" s="1942"/>
      <c r="BG1526" s="691"/>
      <c r="BH1526" s="821"/>
      <c r="BI1526" s="691"/>
    </row>
    <row r="1527" spans="1:61" s="51" customFormat="1" x14ac:dyDescent="0.25">
      <c r="A1527" s="1267" t="str">
        <f t="shared" si="163"/>
        <v>353251_2021_12_Cooling Res</v>
      </c>
      <c r="B1527" s="123"/>
      <c r="C1527" s="2038" t="s">
        <v>1318</v>
      </c>
      <c r="D1527" s="1553" t="s">
        <v>317</v>
      </c>
      <c r="E1527" s="2878" t="s">
        <v>1319</v>
      </c>
      <c r="F1527" s="742">
        <f>ROUND((($K$2609*$K$2796*(1/$K$2983-1/$K$3170)*$K$3357)/1000)*$K$3484,2)</f>
        <v>316</v>
      </c>
      <c r="G1527" s="214" t="str">
        <f>G1525</f>
        <v>Cooling Res</v>
      </c>
      <c r="H1527" s="155">
        <f>VLOOKUP(G1527,'CP FACTORS'!$A$3:$B$38, 2, FALSE)</f>
        <v>9.4741810000000004E-4</v>
      </c>
      <c r="I1527" s="1554">
        <f t="shared" si="164"/>
        <v>0.29938399999999998</v>
      </c>
      <c r="J1527" s="108">
        <f t="shared" si="159"/>
        <v>18</v>
      </c>
      <c r="K1527" s="3294">
        <f t="shared" si="160"/>
        <v>962.92000000000007</v>
      </c>
      <c r="L1527" s="3296">
        <f>L1861</f>
        <v>3</v>
      </c>
      <c r="M1527" s="328"/>
      <c r="N1527" s="1587"/>
      <c r="O1527" s="1135"/>
      <c r="P1527" s="123"/>
      <c r="Q1527" s="123"/>
      <c r="R1527" s="1431"/>
      <c r="S1527" s="123"/>
      <c r="T1527" s="123"/>
      <c r="U1527" s="1589"/>
      <c r="V1527" s="1962" t="s">
        <v>31</v>
      </c>
      <c r="W1527" s="818"/>
      <c r="X1527" s="819"/>
      <c r="Y1527" s="742">
        <v>294.93</v>
      </c>
      <c r="Z1527" s="737">
        <v>294.93</v>
      </c>
      <c r="AA1527" s="737">
        <v>294.93</v>
      </c>
      <c r="AB1527" s="425">
        <v>478.99</v>
      </c>
      <c r="AC1527" s="742">
        <v>316</v>
      </c>
      <c r="AD1527" s="818"/>
      <c r="AE1527" s="818"/>
      <c r="AF1527" s="818"/>
      <c r="AG1527" s="818"/>
      <c r="AH1527" s="163"/>
      <c r="AI1527" s="1942"/>
      <c r="AJ1527" s="1942"/>
      <c r="AK1527" s="820"/>
      <c r="AL1527" s="1942"/>
      <c r="AM1527" s="1942"/>
      <c r="AN1527" s="1942"/>
      <c r="AO1527" s="1942"/>
      <c r="AP1527" s="1942"/>
      <c r="AQ1527" s="1942"/>
      <c r="AR1527" s="1942"/>
      <c r="AS1527" s="1942"/>
      <c r="AT1527" s="1942"/>
      <c r="AU1527" s="1942"/>
      <c r="AV1527" s="1942"/>
      <c r="AW1527" s="1942"/>
      <c r="AX1527" s="1942"/>
      <c r="AY1527" s="1942"/>
      <c r="AZ1527" s="1942"/>
      <c r="BA1527" s="1942"/>
      <c r="BB1527" s="244">
        <f>(BD1527+BD1528)/(BE1527+BE1528)</f>
        <v>1.7537627087352035</v>
      </c>
      <c r="BC1527" s="710" t="str">
        <f t="shared" si="165"/>
        <v>Cooling Res 18 Year EUL</v>
      </c>
      <c r="BD1527" s="673">
        <f>(INDEX('Avoided Cost Benefits'!$C$4:$C$857,MATCH(BC1527,'Avoided Cost Benefits'!$A$4:$A$857,0)))*F1527</f>
        <v>557.36322570491529</v>
      </c>
      <c r="BE1527" s="1949">
        <f t="shared" si="162"/>
        <v>908.84379424256724</v>
      </c>
      <c r="BF1527" s="1942"/>
      <c r="BG1527" s="691"/>
      <c r="BH1527" s="824"/>
      <c r="BI1527" s="691"/>
    </row>
    <row r="1528" spans="1:61" s="51" customFormat="1" x14ac:dyDescent="0.25">
      <c r="A1528" s="1267" t="str">
        <f t="shared" si="163"/>
        <v>353251_2021_12_Heating Res</v>
      </c>
      <c r="B1528" s="123"/>
      <c r="C1528" s="2038" t="str">
        <f>C1527</f>
        <v>353251_2021_12_</v>
      </c>
      <c r="D1528" s="1553" t="s">
        <v>317</v>
      </c>
      <c r="E1528" s="3005" t="s">
        <v>1319</v>
      </c>
      <c r="F1528" s="742">
        <f>ROUND((($K$1861*$K$2048*(1/$K$2235-1/$K$2422)*$K$3357)/1000)*$K$3484,2)</f>
        <v>2243.5</v>
      </c>
      <c r="G1528" s="214" t="str">
        <f>G1526</f>
        <v>Heating Res</v>
      </c>
      <c r="H1528" s="155">
        <f>VLOOKUP(G1528,'CP FACTORS'!$A$3:$B$38, 2, FALSE)</f>
        <v>0</v>
      </c>
      <c r="I1528" s="1554">
        <f t="shared" si="164"/>
        <v>0</v>
      </c>
      <c r="J1528" s="108">
        <f t="shared" si="159"/>
        <v>18</v>
      </c>
      <c r="K1528" s="1052">
        <f t="shared" si="160"/>
        <v>0</v>
      </c>
      <c r="L1528" s="1088"/>
      <c r="M1528" s="328"/>
      <c r="N1528" s="1587"/>
      <c r="O1528" s="1135"/>
      <c r="P1528" s="123"/>
      <c r="Q1528" s="123"/>
      <c r="R1528" s="1431"/>
      <c r="S1528" s="123"/>
      <c r="T1528" s="123"/>
      <c r="U1528" s="1589"/>
      <c r="V1528" s="1962" t="s">
        <v>31</v>
      </c>
      <c r="W1528" s="818"/>
      <c r="X1528" s="819"/>
      <c r="Y1528" s="742">
        <v>2118.1</v>
      </c>
      <c r="Z1528" s="737">
        <v>2118.1</v>
      </c>
      <c r="AA1528" s="737">
        <v>2118.1</v>
      </c>
      <c r="AB1528" s="425">
        <v>3075.08</v>
      </c>
      <c r="AC1528" s="742">
        <v>2243.5</v>
      </c>
      <c r="AD1528" s="818"/>
      <c r="AE1528" s="818"/>
      <c r="AF1528" s="818"/>
      <c r="AG1528" s="818"/>
      <c r="AH1528" s="163"/>
      <c r="AI1528" s="1942"/>
      <c r="AJ1528" s="1942"/>
      <c r="AK1528" s="820"/>
      <c r="AL1528" s="1942"/>
      <c r="AM1528" s="1942"/>
      <c r="AN1528" s="1942"/>
      <c r="AO1528" s="1942"/>
      <c r="AP1528" s="1942"/>
      <c r="AQ1528" s="1942"/>
      <c r="AR1528" s="1942"/>
      <c r="AS1528" s="1942"/>
      <c r="AT1528" s="1942"/>
      <c r="AU1528" s="1942"/>
      <c r="AV1528" s="1942"/>
      <c r="AW1528" s="1942"/>
      <c r="AX1528" s="1942"/>
      <c r="AY1528" s="1942"/>
      <c r="AZ1528" s="1942"/>
      <c r="BA1528" s="1942"/>
      <c r="BB1528" s="242"/>
      <c r="BC1528" s="822" t="str">
        <f t="shared" si="165"/>
        <v>Heating Res 18 Year EUL</v>
      </c>
      <c r="BD1528" s="673">
        <f>(INDEX('Avoided Cost Benefits'!$C$4:$C$857,MATCH(BC1528,'Avoided Cost Benefits'!$A$4:$A$857,0)))*F1528</f>
        <v>1036.5331287031092</v>
      </c>
      <c r="BE1528" s="1949">
        <f t="shared" si="162"/>
        <v>0</v>
      </c>
      <c r="BF1528" s="1942"/>
      <c r="BG1528" s="691"/>
      <c r="BH1528" s="824"/>
      <c r="BI1528" s="691"/>
    </row>
    <row r="1529" spans="1:61" s="1942" customFormat="1" x14ac:dyDescent="0.25">
      <c r="A1529" s="1267"/>
      <c r="B1529" s="123"/>
      <c r="C1529" s="2038" t="s">
        <v>1320</v>
      </c>
      <c r="D1529" s="2695" t="s">
        <v>322</v>
      </c>
      <c r="E1529" s="3007" t="s">
        <v>1321</v>
      </c>
      <c r="F1529" s="742">
        <f>ROUND(((K2610*K2797*(1/K2984-1/K3171)*K3358)/1000)*$K$3484,2)</f>
        <v>434.5</v>
      </c>
      <c r="G1529" s="2042" t="s">
        <v>1134</v>
      </c>
      <c r="H1529" s="2867">
        <f>VLOOKUP(G1529,'CP FACTORS'!$A$3:$B$38, 2, FALSE)</f>
        <v>9.4741810000000004E-4</v>
      </c>
      <c r="I1529" s="2757">
        <f t="shared" si="164"/>
        <v>0.41165299999999999</v>
      </c>
      <c r="J1529" s="116">
        <f t="shared" si="159"/>
        <v>18</v>
      </c>
      <c r="K1529" s="3294">
        <f t="shared" si="160"/>
        <v>962.92000000000007</v>
      </c>
      <c r="L1529" s="3296">
        <f>L1862</f>
        <v>3</v>
      </c>
      <c r="M1529" s="328"/>
      <c r="N1529" s="1587"/>
      <c r="O1529" s="1135"/>
      <c r="P1529" s="123"/>
      <c r="Q1529" s="123"/>
      <c r="R1529" s="1431"/>
      <c r="S1529" s="123"/>
      <c r="T1529" s="123"/>
      <c r="U1529" s="1589"/>
      <c r="V1529" s="1958" t="s">
        <v>31</v>
      </c>
      <c r="W1529" s="818"/>
      <c r="X1529" s="819"/>
      <c r="Y1529" s="742"/>
      <c r="Z1529" s="737"/>
      <c r="AA1529" s="737"/>
      <c r="AB1529" s="425"/>
      <c r="AC1529" s="742">
        <v>434.5</v>
      </c>
      <c r="AD1529" s="818"/>
      <c r="AE1529" s="818"/>
      <c r="AF1529" s="818"/>
      <c r="AG1529" s="818"/>
      <c r="AH1529" s="163"/>
      <c r="AK1529" s="820"/>
      <c r="BB1529" s="244">
        <f>(BD1529+BD1530)/(BE1529+BE1530)</f>
        <v>0.84324109401325331</v>
      </c>
      <c r="BC1529" s="3049" t="str">
        <f t="shared" si="165"/>
        <v>Cooling Res 18 Year EUL</v>
      </c>
      <c r="BD1529" s="673">
        <f>(INDEX('Avoided Cost Benefits'!$C$4:$C$857,MATCH(BC1529,'Avoided Cost Benefits'!$A$4:$A$857,0)))*F1529</f>
        <v>766.37443534425847</v>
      </c>
      <c r="BE1529" s="1949">
        <f t="shared" si="162"/>
        <v>908.84379424256724</v>
      </c>
      <c r="BG1529" s="691"/>
      <c r="BH1529" s="824"/>
      <c r="BI1529" s="691"/>
    </row>
    <row r="1530" spans="1:61" s="1942" customFormat="1" x14ac:dyDescent="0.25">
      <c r="A1530" s="1267"/>
      <c r="B1530" s="123"/>
      <c r="C1530" s="2038" t="s">
        <v>1320</v>
      </c>
      <c r="D1530" s="2695" t="s">
        <v>322</v>
      </c>
      <c r="E1530" s="3005" t="s">
        <v>1321</v>
      </c>
      <c r="F1530" s="742">
        <v>0</v>
      </c>
      <c r="G1530" s="2042" t="s">
        <v>1135</v>
      </c>
      <c r="H1530" s="2867">
        <f>VLOOKUP(G1530,'CP FACTORS'!$A$3:$B$38, 2, FALSE)</f>
        <v>0</v>
      </c>
      <c r="I1530" s="2757">
        <f t="shared" si="164"/>
        <v>0</v>
      </c>
      <c r="J1530" s="116">
        <f t="shared" si="159"/>
        <v>18</v>
      </c>
      <c r="K1530" s="3294">
        <f t="shared" si="160"/>
        <v>0</v>
      </c>
      <c r="L1530" s="3296"/>
      <c r="M1530" s="328"/>
      <c r="N1530" s="1587"/>
      <c r="O1530" s="1135"/>
      <c r="P1530" s="123"/>
      <c r="Q1530" s="123"/>
      <c r="R1530" s="1431"/>
      <c r="S1530" s="123"/>
      <c r="T1530" s="123"/>
      <c r="U1530" s="1589"/>
      <c r="V1530" s="1958" t="s">
        <v>31</v>
      </c>
      <c r="W1530" s="818"/>
      <c r="X1530" s="819"/>
      <c r="Y1530" s="742"/>
      <c r="Z1530" s="737"/>
      <c r="AA1530" s="737"/>
      <c r="AB1530" s="425"/>
      <c r="AC1530" s="742">
        <v>0</v>
      </c>
      <c r="AD1530" s="818"/>
      <c r="AE1530" s="818"/>
      <c r="AF1530" s="818"/>
      <c r="AG1530" s="818"/>
      <c r="AH1530" s="163"/>
      <c r="AK1530" s="820"/>
      <c r="BB1530" s="242"/>
      <c r="BC1530" s="822" t="str">
        <f t="shared" si="165"/>
        <v>Heating Res 18 Year EUL</v>
      </c>
      <c r="BD1530" s="673">
        <f>(INDEX('Avoided Cost Benefits'!$C$4:$C$857,MATCH(BC1530,'Avoided Cost Benefits'!$A$4:$A$857,0)))*F1530</f>
        <v>0</v>
      </c>
      <c r="BE1530" s="1949">
        <f t="shared" si="162"/>
        <v>0</v>
      </c>
      <c r="BG1530" s="691"/>
      <c r="BH1530" s="824"/>
      <c r="BI1530" s="691"/>
    </row>
    <row r="1531" spans="1:61" s="1942" customFormat="1" x14ac:dyDescent="0.25">
      <c r="A1531" s="1267"/>
      <c r="B1531" s="123"/>
      <c r="C1531" s="2038" t="s">
        <v>1322</v>
      </c>
      <c r="D1531" s="2695" t="s">
        <v>317</v>
      </c>
      <c r="E1531" s="3007" t="s">
        <v>1323</v>
      </c>
      <c r="F1531" s="742">
        <f>ROUND(((K2611*K2798*(1/K2985-1/K3172)*K3359)/1000)*$K$3484,2)</f>
        <v>316</v>
      </c>
      <c r="G1531" s="2042" t="s">
        <v>1134</v>
      </c>
      <c r="H1531" s="2867">
        <f>VLOOKUP(G1531,'CP FACTORS'!$A$3:$B$38, 2, FALSE)</f>
        <v>9.4741810000000004E-4</v>
      </c>
      <c r="I1531" s="2757">
        <f t="shared" si="164"/>
        <v>0.29938399999999998</v>
      </c>
      <c r="J1531" s="116">
        <f t="shared" si="159"/>
        <v>18</v>
      </c>
      <c r="K1531" s="3294">
        <f t="shared" si="160"/>
        <v>962.92000000000007</v>
      </c>
      <c r="L1531" s="3296">
        <f>L1863</f>
        <v>3</v>
      </c>
      <c r="M1531" s="328"/>
      <c r="N1531" s="1587"/>
      <c r="O1531" s="1135"/>
      <c r="P1531" s="123"/>
      <c r="Q1531" s="123"/>
      <c r="R1531" s="1431"/>
      <c r="S1531" s="123"/>
      <c r="T1531" s="123"/>
      <c r="U1531" s="1589"/>
      <c r="V1531" s="1958" t="s">
        <v>31</v>
      </c>
      <c r="W1531" s="818"/>
      <c r="X1531" s="819"/>
      <c r="Y1531" s="742"/>
      <c r="Z1531" s="737"/>
      <c r="AA1531" s="737"/>
      <c r="AB1531" s="425"/>
      <c r="AC1531" s="742">
        <v>316</v>
      </c>
      <c r="AD1531" s="818"/>
      <c r="AE1531" s="818"/>
      <c r="AF1531" s="818"/>
      <c r="AG1531" s="818"/>
      <c r="AH1531" s="163"/>
      <c r="AK1531" s="820"/>
      <c r="BB1531" s="244">
        <f>(BD1531+BD1532)/(BE1531+BE1532)</f>
        <v>0.61326625019145697</v>
      </c>
      <c r="BC1531" s="3049" t="str">
        <f t="shared" si="165"/>
        <v>Cooling Res 18 Year EUL</v>
      </c>
      <c r="BD1531" s="673">
        <f>(INDEX('Avoided Cost Benefits'!$C$4:$C$857,MATCH(BC1531,'Avoided Cost Benefits'!$A$4:$A$857,0)))*F1531</f>
        <v>557.36322570491529</v>
      </c>
      <c r="BE1531" s="1949">
        <f t="shared" si="162"/>
        <v>908.84379424256724</v>
      </c>
      <c r="BG1531" s="691"/>
      <c r="BH1531" s="824"/>
      <c r="BI1531" s="691"/>
    </row>
    <row r="1532" spans="1:61" s="1942" customFormat="1" x14ac:dyDescent="0.25">
      <c r="A1532" s="1267"/>
      <c r="B1532" s="123"/>
      <c r="C1532" s="2038" t="s">
        <v>1322</v>
      </c>
      <c r="D1532" s="2695" t="s">
        <v>317</v>
      </c>
      <c r="E1532" s="3007" t="s">
        <v>1323</v>
      </c>
      <c r="F1532" s="742">
        <f>0</f>
        <v>0</v>
      </c>
      <c r="G1532" s="2042" t="s">
        <v>1135</v>
      </c>
      <c r="H1532" s="2867">
        <f>VLOOKUP(G1532,'CP FACTORS'!$A$3:$B$38, 2, FALSE)</f>
        <v>0</v>
      </c>
      <c r="I1532" s="2757">
        <f t="shared" si="164"/>
        <v>0</v>
      </c>
      <c r="J1532" s="116">
        <f t="shared" si="159"/>
        <v>18</v>
      </c>
      <c r="K1532" s="3294">
        <f t="shared" si="160"/>
        <v>0</v>
      </c>
      <c r="L1532" s="3296"/>
      <c r="M1532" s="328"/>
      <c r="N1532" s="1587"/>
      <c r="O1532" s="1135"/>
      <c r="P1532" s="123"/>
      <c r="Q1532" s="123"/>
      <c r="R1532" s="1431"/>
      <c r="S1532" s="123"/>
      <c r="T1532" s="123"/>
      <c r="U1532" s="1589"/>
      <c r="V1532" s="1958" t="s">
        <v>31</v>
      </c>
      <c r="W1532" s="818"/>
      <c r="X1532" s="819"/>
      <c r="Y1532" s="742"/>
      <c r="Z1532" s="737"/>
      <c r="AA1532" s="737"/>
      <c r="AB1532" s="425"/>
      <c r="AC1532" s="742">
        <v>0</v>
      </c>
      <c r="AD1532" s="818"/>
      <c r="AE1532" s="818"/>
      <c r="AF1532" s="818"/>
      <c r="AG1532" s="818"/>
      <c r="AH1532" s="163"/>
      <c r="AK1532" s="820"/>
      <c r="BB1532" s="242"/>
      <c r="BC1532" s="3049" t="str">
        <f t="shared" si="165"/>
        <v>Heating Res 18 Year EUL</v>
      </c>
      <c r="BD1532" s="673">
        <f>(INDEX('Avoided Cost Benefits'!$C$4:$C$857,MATCH(BC1532,'Avoided Cost Benefits'!$A$4:$A$857,0)))*F1532</f>
        <v>0</v>
      </c>
      <c r="BE1532" s="1949">
        <f t="shared" si="162"/>
        <v>0</v>
      </c>
      <c r="BG1532" s="691"/>
      <c r="BH1532" s="824"/>
      <c r="BI1532" s="691"/>
    </row>
    <row r="1533" spans="1:61" s="51" customFormat="1" x14ac:dyDescent="0.25">
      <c r="A1533" s="1267" t="str">
        <f t="shared" si="163"/>
        <v>353300_2021_12_Cooling Res</v>
      </c>
      <c r="B1533" s="123"/>
      <c r="C1533" s="2038" t="s">
        <v>1325</v>
      </c>
      <c r="D1533" s="1553" t="s">
        <v>320</v>
      </c>
      <c r="E1533" s="2965" t="s">
        <v>1326</v>
      </c>
      <c r="F1533" s="742">
        <f>ROUND(((K2612*K2799*(1/K2986-1/K3173)*K3360)/1000)*$K$3484,2)</f>
        <v>1013.25</v>
      </c>
      <c r="G1533" s="214" t="s">
        <v>1134</v>
      </c>
      <c r="H1533" s="155">
        <f>VLOOKUP(G1533,'CP FACTORS'!$A$3:$B$38, 2, FALSE)</f>
        <v>9.4741810000000004E-4</v>
      </c>
      <c r="I1533" s="1554">
        <f t="shared" si="164"/>
        <v>0.95997100000000002</v>
      </c>
      <c r="J1533" s="108">
        <f t="shared" si="159"/>
        <v>18</v>
      </c>
      <c r="K1533" s="1052">
        <f t="shared" si="160"/>
        <v>1203.6500000000003</v>
      </c>
      <c r="L1533" s="1088">
        <f>L1864</f>
        <v>4</v>
      </c>
      <c r="M1533" s="328"/>
      <c r="N1533" s="1587"/>
      <c r="O1533" s="1135"/>
      <c r="P1533" s="123"/>
      <c r="Q1533" s="123"/>
      <c r="R1533" s="1431"/>
      <c r="S1533" s="123"/>
      <c r="T1533" s="123"/>
      <c r="U1533" s="1589"/>
      <c r="V1533" s="1962" t="s">
        <v>31</v>
      </c>
      <c r="W1533" s="818">
        <v>2757.1244582043346</v>
      </c>
      <c r="X1533" s="819">
        <v>1968.4521892967714</v>
      </c>
      <c r="Y1533" s="742">
        <v>709.27</v>
      </c>
      <c r="Z1533" s="737">
        <v>709.27</v>
      </c>
      <c r="AA1533" s="737">
        <v>709.27</v>
      </c>
      <c r="AB1533" s="2162">
        <v>709.27</v>
      </c>
      <c r="AC1533" s="742">
        <v>1013.25</v>
      </c>
      <c r="AD1533" s="818"/>
      <c r="AE1533" s="818"/>
      <c r="AF1533" s="818"/>
      <c r="AG1533" s="818"/>
      <c r="AH1533" s="163"/>
      <c r="AI1533" s="1942"/>
      <c r="AJ1533" s="1942"/>
      <c r="AK1533" s="820"/>
      <c r="AL1533" s="1942"/>
      <c r="AM1533" s="1942"/>
      <c r="AN1533" s="1942"/>
      <c r="AO1533" s="1942"/>
      <c r="AP1533" s="1942"/>
      <c r="AQ1533" s="1942"/>
      <c r="AR1533" s="1942"/>
      <c r="AS1533" s="1942"/>
      <c r="AT1533" s="1942"/>
      <c r="AU1533" s="1942"/>
      <c r="AV1533" s="1942"/>
      <c r="AW1533" s="1942"/>
      <c r="AX1533" s="1942"/>
      <c r="AY1533" s="1942"/>
      <c r="AZ1533" s="1942"/>
      <c r="BA1533" s="1942"/>
      <c r="BB1533" s="244">
        <f>(BD1533+BD1534)/(BE1533+BE1534)</f>
        <v>7.4822977412890257</v>
      </c>
      <c r="BC1533" s="710" t="str">
        <f t="shared" si="165"/>
        <v>Cooling Res 18 Year EUL</v>
      </c>
      <c r="BD1533" s="673">
        <f>(INDEX('Avoided Cost Benefits'!$C$4:$C$857,MATCH(BC1533,'Avoided Cost Benefits'!$A$4:$A$857,0)))*F1533</f>
        <v>1787.1781279921058</v>
      </c>
      <c r="BE1533" s="1949">
        <f t="shared" si="162"/>
        <v>1136.0547428032091</v>
      </c>
      <c r="BF1533" s="1942"/>
      <c r="BG1533" s="691"/>
      <c r="BH1533" s="821"/>
      <c r="BI1533" s="691"/>
    </row>
    <row r="1534" spans="1:61" s="51" customFormat="1" x14ac:dyDescent="0.25">
      <c r="A1534" s="1267" t="str">
        <f t="shared" si="163"/>
        <v>353300_2021_12_Heating Res</v>
      </c>
      <c r="B1534" s="123"/>
      <c r="C1534" s="2038" t="s">
        <v>1325</v>
      </c>
      <c r="D1534" s="1553" t="s">
        <v>320</v>
      </c>
      <c r="E1534" s="3008" t="s">
        <v>1326</v>
      </c>
      <c r="F1534" s="742">
        <f>ROUND(((K1864*K2051*(1/K2238-1/K2425)*K3360)/1000)*$K$3484,2)</f>
        <v>14530.06</v>
      </c>
      <c r="G1534" s="214" t="s">
        <v>1135</v>
      </c>
      <c r="H1534" s="155">
        <f>VLOOKUP(G1534,'CP FACTORS'!$A$3:$B$38, 2, FALSE)</f>
        <v>0</v>
      </c>
      <c r="I1534" s="1554">
        <f t="shared" si="164"/>
        <v>0</v>
      </c>
      <c r="J1534" s="108">
        <f t="shared" si="159"/>
        <v>18</v>
      </c>
      <c r="K1534" s="1052">
        <f t="shared" si="160"/>
        <v>0</v>
      </c>
      <c r="L1534" s="1088"/>
      <c r="M1534" s="328"/>
      <c r="N1534" s="1587"/>
      <c r="O1534" s="1135"/>
      <c r="P1534" s="123"/>
      <c r="Q1534" s="123"/>
      <c r="R1534" s="1431"/>
      <c r="S1534" s="123"/>
      <c r="T1534" s="123"/>
      <c r="U1534" s="1589"/>
      <c r="V1534" s="1962" t="s">
        <v>31</v>
      </c>
      <c r="W1534" s="818">
        <v>12836.414910662994</v>
      </c>
      <c r="X1534" s="819">
        <v>9558.6245427336198</v>
      </c>
      <c r="Y1534" s="737">
        <v>9558.6200000000008</v>
      </c>
      <c r="Z1534" s="737">
        <v>9558.6200000000008</v>
      </c>
      <c r="AA1534" s="737">
        <v>9558.6200000000008</v>
      </c>
      <c r="AB1534" s="2162">
        <v>9558.6200000000008</v>
      </c>
      <c r="AC1534" s="742">
        <v>14530.06</v>
      </c>
      <c r="AD1534" s="818"/>
      <c r="AE1534" s="818"/>
      <c r="AF1534" s="818"/>
      <c r="AG1534" s="818"/>
      <c r="AH1534" s="163"/>
      <c r="AI1534" s="1942"/>
      <c r="AJ1534" s="1942"/>
      <c r="AK1534" s="820"/>
      <c r="AL1534" s="1942"/>
      <c r="AM1534" s="1942"/>
      <c r="AN1534" s="1942"/>
      <c r="AO1534" s="1942"/>
      <c r="AP1534" s="1942"/>
      <c r="AQ1534" s="1942"/>
      <c r="AR1534" s="1942"/>
      <c r="AS1534" s="1942"/>
      <c r="AT1534" s="1942"/>
      <c r="AU1534" s="1942"/>
      <c r="AV1534" s="1942"/>
      <c r="AW1534" s="1942"/>
      <c r="AX1534" s="1942"/>
      <c r="AY1534" s="1942"/>
      <c r="AZ1534" s="1942"/>
      <c r="BA1534" s="1942"/>
      <c r="BB1534" s="242"/>
      <c r="BC1534" s="822" t="str">
        <f t="shared" si="165"/>
        <v>Heating Res 18 Year EUL</v>
      </c>
      <c r="BD1534" s="673">
        <f>(INDEX('Avoided Cost Benefits'!$C$4:$C$857,MATCH(BC1534,'Avoided Cost Benefits'!$A$4:$A$857,0)))*F1534</f>
        <v>6713.1217080650313</v>
      </c>
      <c r="BE1534" s="1949">
        <f t="shared" si="162"/>
        <v>0</v>
      </c>
      <c r="BF1534" s="1942"/>
      <c r="BG1534" s="691"/>
      <c r="BH1534" s="821"/>
      <c r="BI1534" s="691"/>
    </row>
    <row r="1535" spans="1:61" s="51" customFormat="1" x14ac:dyDescent="0.25">
      <c r="A1535" s="1267" t="str">
        <f t="shared" si="163"/>
        <v>353350_2021_12_Cooling Res</v>
      </c>
      <c r="B1535" s="123"/>
      <c r="C1535" s="2038" t="s">
        <v>1328</v>
      </c>
      <c r="D1535" s="1553" t="s">
        <v>322</v>
      </c>
      <c r="E1535" s="2965" t="s">
        <v>1329</v>
      </c>
      <c r="F1535" s="742">
        <f>ROUND(((K2613*K2800*(1/K2987-1/K3174)*K3361)/1000)*$K$3484,2)</f>
        <v>486.64</v>
      </c>
      <c r="G1535" s="214" t="s">
        <v>1134</v>
      </c>
      <c r="H1535" s="155">
        <f>VLOOKUP(G1535,'CP FACTORS'!$A$3:$B$38, 2, FALSE)</f>
        <v>9.4741810000000004E-4</v>
      </c>
      <c r="I1535" s="1554">
        <f t="shared" si="164"/>
        <v>0.46105200000000002</v>
      </c>
      <c r="J1535" s="108">
        <f t="shared" si="159"/>
        <v>18</v>
      </c>
      <c r="K1535" s="1052">
        <f t="shared" si="160"/>
        <v>1203.6500000000003</v>
      </c>
      <c r="L1535" s="1088">
        <f>L1865</f>
        <v>2.8</v>
      </c>
      <c r="M1535" s="328"/>
      <c r="N1535" s="1587"/>
      <c r="O1535" s="1135"/>
      <c r="P1535" s="123"/>
      <c r="Q1535" s="123"/>
      <c r="R1535" s="1431"/>
      <c r="S1535" s="123"/>
      <c r="T1535" s="123"/>
      <c r="U1535" s="1589"/>
      <c r="V1535" s="1962" t="s">
        <v>31</v>
      </c>
      <c r="W1535" s="818">
        <v>1792.1308978328177</v>
      </c>
      <c r="X1535" s="819">
        <v>1279.4939230429013</v>
      </c>
      <c r="Y1535" s="742">
        <v>461.03</v>
      </c>
      <c r="Z1535" s="737">
        <v>461.03</v>
      </c>
      <c r="AA1535" s="737">
        <v>461.03</v>
      </c>
      <c r="AB1535" s="2162">
        <v>461.03</v>
      </c>
      <c r="AC1535" s="742">
        <v>486.64</v>
      </c>
      <c r="AD1535" s="818"/>
      <c r="AE1535" s="818"/>
      <c r="AF1535" s="818"/>
      <c r="AG1535" s="818"/>
      <c r="AH1535" s="163"/>
      <c r="AI1535" s="1942"/>
      <c r="AJ1535" s="1942"/>
      <c r="AK1535" s="820"/>
      <c r="AL1535" s="1942"/>
      <c r="AM1535" s="1942"/>
      <c r="AN1535" s="1942"/>
      <c r="AO1535" s="1942"/>
      <c r="AP1535" s="1942"/>
      <c r="AQ1535" s="1942"/>
      <c r="AR1535" s="1942"/>
      <c r="AS1535" s="1942"/>
      <c r="AT1535" s="1942"/>
      <c r="AU1535" s="1942"/>
      <c r="AV1535" s="1942"/>
      <c r="AW1535" s="1942"/>
      <c r="AX1535" s="1942"/>
      <c r="AY1535" s="1942"/>
      <c r="AZ1535" s="1942"/>
      <c r="BA1535" s="1942"/>
      <c r="BB1535" s="244">
        <f>(BD1535+BD1536)/(BE1535+BE1536)</f>
        <v>3.2823209140331504</v>
      </c>
      <c r="BC1535" s="710" t="str">
        <f t="shared" si="165"/>
        <v>Cooling Res 18 Year EUL</v>
      </c>
      <c r="BD1535" s="673">
        <f>(INDEX('Avoided Cost Benefits'!$C$4:$C$857,MATCH(BC1535,'Avoided Cost Benefits'!$A$4:$A$857,0)))*F1535</f>
        <v>858.33936758556956</v>
      </c>
      <c r="BE1535" s="1949">
        <f t="shared" si="162"/>
        <v>1136.0547428032091</v>
      </c>
      <c r="BF1535" s="1942"/>
      <c r="BG1535" s="691"/>
      <c r="BH1535" s="821"/>
      <c r="BI1535" s="691"/>
    </row>
    <row r="1536" spans="1:61" s="51" customFormat="1" x14ac:dyDescent="0.25">
      <c r="A1536" s="1267" t="str">
        <f t="shared" si="163"/>
        <v>353350_2021_12_Heating Res</v>
      </c>
      <c r="B1536" s="123"/>
      <c r="C1536" s="2038" t="s">
        <v>1328</v>
      </c>
      <c r="D1536" s="1553" t="s">
        <v>322</v>
      </c>
      <c r="E1536" s="3008" t="s">
        <v>1329</v>
      </c>
      <c r="F1536" s="782">
        <f>ROUND(((K1865*K2052*(1/K2239-1/K2426)*K3361)/1000)*$K$3484,2)</f>
        <v>6213.11</v>
      </c>
      <c r="G1536" s="214" t="s">
        <v>1135</v>
      </c>
      <c r="H1536" s="155">
        <f>VLOOKUP(G1536,'CP FACTORS'!$A$3:$B$38, 2, FALSE)</f>
        <v>0</v>
      </c>
      <c r="I1536" s="1554">
        <f t="shared" si="164"/>
        <v>0</v>
      </c>
      <c r="J1536" s="108">
        <f t="shared" ref="J1536:J1599" si="166">K3614</f>
        <v>18</v>
      </c>
      <c r="K1536" s="1052">
        <f t="shared" ref="K1536:K1599" si="167">K3988</f>
        <v>0</v>
      </c>
      <c r="L1536" s="1088"/>
      <c r="M1536" s="328"/>
      <c r="N1536" s="1587"/>
      <c r="O1536" s="1135"/>
      <c r="P1536" s="123"/>
      <c r="Q1536" s="123"/>
      <c r="R1536" s="1431"/>
      <c r="S1536" s="123"/>
      <c r="T1536" s="123"/>
      <c r="U1536" s="1589"/>
      <c r="V1536" s="1962" t="s">
        <v>31</v>
      </c>
      <c r="W1536" s="818">
        <v>8343.6696919309452</v>
      </c>
      <c r="X1536" s="819">
        <v>6213.105952776853</v>
      </c>
      <c r="Y1536" s="737">
        <v>6213.11</v>
      </c>
      <c r="Z1536" s="737">
        <v>6213.11</v>
      </c>
      <c r="AA1536" s="737">
        <v>6213.11</v>
      </c>
      <c r="AB1536" s="2162">
        <v>6213.11</v>
      </c>
      <c r="AC1536" s="782">
        <v>6213.11</v>
      </c>
      <c r="AD1536" s="818"/>
      <c r="AE1536" s="818"/>
      <c r="AF1536" s="818"/>
      <c r="AG1536" s="818"/>
      <c r="AH1536" s="163"/>
      <c r="AI1536" s="1942"/>
      <c r="AJ1536" s="1942"/>
      <c r="AK1536" s="820"/>
      <c r="AL1536" s="1942"/>
      <c r="AM1536" s="1942"/>
      <c r="AN1536" s="1942"/>
      <c r="AO1536" s="1942"/>
      <c r="AP1536" s="1942"/>
      <c r="AQ1536" s="1942"/>
      <c r="AR1536" s="1942"/>
      <c r="AS1536" s="1942"/>
      <c r="AT1536" s="1942"/>
      <c r="AU1536" s="1942"/>
      <c r="AV1536" s="1942"/>
      <c r="AW1536" s="1942"/>
      <c r="AX1536" s="1942"/>
      <c r="AY1536" s="1942"/>
      <c r="AZ1536" s="1942"/>
      <c r="BA1536" s="1942"/>
      <c r="BB1536" s="242"/>
      <c r="BC1536" s="822" t="str">
        <f t="shared" si="165"/>
        <v>Heating Res 18 Year EUL</v>
      </c>
      <c r="BD1536" s="673">
        <f>(INDEX('Avoided Cost Benefits'!$C$4:$C$857,MATCH(BC1536,'Avoided Cost Benefits'!$A$4:$A$857,0)))*F1536</f>
        <v>2870.5568742039554</v>
      </c>
      <c r="BE1536" s="1949">
        <f t="shared" si="162"/>
        <v>0</v>
      </c>
      <c r="BF1536" s="1942"/>
      <c r="BG1536" s="691"/>
      <c r="BH1536" s="821"/>
      <c r="BI1536" s="691"/>
    </row>
    <row r="1537" spans="1:61" s="51" customFormat="1" x14ac:dyDescent="0.25">
      <c r="A1537" s="1267" t="str">
        <f t="shared" si="163"/>
        <v>353351_2019_12_Cooling Res</v>
      </c>
      <c r="B1537" s="123"/>
      <c r="C1537" s="1471" t="s">
        <v>1330</v>
      </c>
      <c r="D1537" s="1553" t="s">
        <v>317</v>
      </c>
      <c r="E1537" s="2878" t="s">
        <v>1331</v>
      </c>
      <c r="F1537" s="782">
        <f>ROUND((($K$2614*$K$2801*(1/$K$2988-1/$K$3175)*$K$3362)/1000)*$K$3484,2)</f>
        <v>335.29</v>
      </c>
      <c r="G1537" s="214" t="str">
        <f>G1535</f>
        <v>Cooling Res</v>
      </c>
      <c r="H1537" s="155">
        <f>VLOOKUP(G1537,'CP FACTORS'!$A$3:$B$38, 2, FALSE)</f>
        <v>9.4741810000000004E-4</v>
      </c>
      <c r="I1537" s="1554">
        <f t="shared" si="164"/>
        <v>0.31766</v>
      </c>
      <c r="J1537" s="108">
        <f t="shared" si="166"/>
        <v>18</v>
      </c>
      <c r="K1537" s="3294">
        <f t="shared" si="167"/>
        <v>1203.6500000000003</v>
      </c>
      <c r="L1537" s="3296">
        <f>L1866</f>
        <v>2.8</v>
      </c>
      <c r="M1537" s="328"/>
      <c r="N1537" s="1587"/>
      <c r="O1537" s="1135"/>
      <c r="P1537" s="123"/>
      <c r="Q1537" s="123"/>
      <c r="R1537" s="1431"/>
      <c r="S1537" s="123"/>
      <c r="T1537" s="123"/>
      <c r="U1537" s="1589"/>
      <c r="V1537" s="1962" t="s">
        <v>31</v>
      </c>
      <c r="W1537" s="818"/>
      <c r="X1537" s="819"/>
      <c r="Y1537" s="742">
        <v>335.29</v>
      </c>
      <c r="Z1537" s="737">
        <v>335.29</v>
      </c>
      <c r="AA1537" s="737">
        <v>335.29</v>
      </c>
      <c r="AB1537" s="2162">
        <v>335.29</v>
      </c>
      <c r="AC1537" s="782">
        <v>335.29</v>
      </c>
      <c r="AD1537" s="818"/>
      <c r="AE1537" s="818"/>
      <c r="AF1537" s="818"/>
      <c r="AG1537" s="818"/>
      <c r="AH1537" s="163"/>
      <c r="AI1537" s="1942"/>
      <c r="AJ1537" s="1942"/>
      <c r="AK1537" s="820"/>
      <c r="AL1537" s="1942"/>
      <c r="AM1537" s="1942"/>
      <c r="AN1537" s="1942"/>
      <c r="AO1537" s="1942"/>
      <c r="AP1537" s="1942"/>
      <c r="AQ1537" s="1942"/>
      <c r="AR1537" s="1942"/>
      <c r="AS1537" s="1942"/>
      <c r="AT1537" s="1942"/>
      <c r="AU1537" s="1942"/>
      <c r="AV1537" s="1942"/>
      <c r="AW1537" s="1942"/>
      <c r="AX1537" s="1942"/>
      <c r="AY1537" s="1942"/>
      <c r="AZ1537" s="1942"/>
      <c r="BA1537" s="1942"/>
      <c r="BB1537" s="244">
        <f>(BD1537+BD1538)/(BE1537+BE1538)</f>
        <v>1.3819610322673985</v>
      </c>
      <c r="BC1537" s="710" t="str">
        <f t="shared" si="165"/>
        <v>Cooling Res 18 Year EUL</v>
      </c>
      <c r="BD1537" s="673">
        <f>(INDEX('Avoided Cost Benefits'!$C$4:$C$857,MATCH(BC1537,'Avoided Cost Benefits'!$A$4:$A$857,0)))*F1537</f>
        <v>591.38707578038304</v>
      </c>
      <c r="BE1537" s="1949">
        <f t="shared" si="162"/>
        <v>1136.0547428032091</v>
      </c>
      <c r="BF1537" s="1942"/>
      <c r="BG1537" s="691"/>
      <c r="BH1537" s="824"/>
      <c r="BI1537" s="691"/>
    </row>
    <row r="1538" spans="1:61" s="51" customFormat="1" x14ac:dyDescent="0.25">
      <c r="A1538" s="1267" t="str">
        <f t="shared" si="163"/>
        <v>353351_2019_12_Heating Res</v>
      </c>
      <c r="B1538" s="123"/>
      <c r="C1538" s="1471" t="str">
        <f>C1537</f>
        <v>353351_2019_12_</v>
      </c>
      <c r="D1538" s="1553" t="s">
        <v>317</v>
      </c>
      <c r="E1538" s="3005" t="s">
        <v>1331</v>
      </c>
      <c r="F1538" s="782">
        <f>ROUND((($K$1866*$K$2053*(1/$K$2240-1/$K$2427)*$K$3362)/1000)*$K$3484,2)</f>
        <v>2118.1</v>
      </c>
      <c r="G1538" s="214" t="str">
        <f>G1536</f>
        <v>Heating Res</v>
      </c>
      <c r="H1538" s="155">
        <f>VLOOKUP(G1538,'CP FACTORS'!$A$3:$B$38, 2, FALSE)</f>
        <v>0</v>
      </c>
      <c r="I1538" s="1554">
        <f t="shared" si="164"/>
        <v>0</v>
      </c>
      <c r="J1538" s="108">
        <f t="shared" si="166"/>
        <v>18</v>
      </c>
      <c r="K1538" s="1052">
        <f t="shared" si="167"/>
        <v>0</v>
      </c>
      <c r="L1538" s="1088"/>
      <c r="M1538" s="328"/>
      <c r="N1538" s="1587"/>
      <c r="O1538" s="1135"/>
      <c r="P1538" s="123"/>
      <c r="Q1538" s="123"/>
      <c r="R1538" s="1431"/>
      <c r="S1538" s="123"/>
      <c r="T1538" s="123"/>
      <c r="U1538" s="1589"/>
      <c r="V1538" s="1962" t="s">
        <v>31</v>
      </c>
      <c r="W1538" s="818"/>
      <c r="X1538" s="819"/>
      <c r="Y1538" s="742">
        <v>2118.1</v>
      </c>
      <c r="Z1538" s="737">
        <v>2118.1</v>
      </c>
      <c r="AA1538" s="737">
        <v>2118.1</v>
      </c>
      <c r="AB1538" s="2162">
        <v>2118.1</v>
      </c>
      <c r="AC1538" s="782">
        <v>2118.1</v>
      </c>
      <c r="AD1538" s="818"/>
      <c r="AE1538" s="818"/>
      <c r="AF1538" s="818"/>
      <c r="AG1538" s="818"/>
      <c r="AH1538" s="163"/>
      <c r="AI1538" s="1942"/>
      <c r="AJ1538" s="1942"/>
      <c r="AK1538" s="820"/>
      <c r="AL1538" s="1942"/>
      <c r="AM1538" s="1942"/>
      <c r="AN1538" s="1942"/>
      <c r="AO1538" s="1942"/>
      <c r="AP1538" s="1942"/>
      <c r="AQ1538" s="1942"/>
      <c r="AR1538" s="1942"/>
      <c r="AS1538" s="1942"/>
      <c r="AT1538" s="1942"/>
      <c r="AU1538" s="1942"/>
      <c r="AV1538" s="1942"/>
      <c r="AW1538" s="1942"/>
      <c r="AX1538" s="1942"/>
      <c r="AY1538" s="1942"/>
      <c r="AZ1538" s="1942"/>
      <c r="BA1538" s="1942"/>
      <c r="BB1538" s="242"/>
      <c r="BC1538" s="822" t="str">
        <f t="shared" si="165"/>
        <v>Heating Res 18 Year EUL</v>
      </c>
      <c r="BD1538" s="673">
        <f>(INDEX('Avoided Cost Benefits'!$C$4:$C$857,MATCH(BC1538,'Avoided Cost Benefits'!$A$4:$A$857,0)))*F1538</f>
        <v>978.59630929621369</v>
      </c>
      <c r="BE1538" s="1949">
        <f t="shared" si="162"/>
        <v>0</v>
      </c>
      <c r="BF1538" s="1942"/>
      <c r="BG1538" s="691"/>
      <c r="BH1538" s="824"/>
      <c r="BI1538" s="691"/>
    </row>
    <row r="1539" spans="1:61" s="1942" customFormat="1" x14ac:dyDescent="0.25">
      <c r="A1539" s="1267"/>
      <c r="B1539" s="123"/>
      <c r="C1539" s="2038" t="s">
        <v>1332</v>
      </c>
      <c r="D1539" s="2695" t="s">
        <v>322</v>
      </c>
      <c r="E1539" s="3007" t="s">
        <v>1333</v>
      </c>
      <c r="F1539" s="742">
        <f>ROUND(((K2615*K2802*(1/K2989-1/K3176)*K3363)/1000)*$K$3484,2)</f>
        <v>486.64</v>
      </c>
      <c r="G1539" s="2042" t="s">
        <v>1134</v>
      </c>
      <c r="H1539" s="2867">
        <f>VLOOKUP(G1539,'CP FACTORS'!$A$3:$B$38, 2, FALSE)</f>
        <v>9.4741810000000004E-4</v>
      </c>
      <c r="I1539" s="2757">
        <f t="shared" si="164"/>
        <v>0.46105200000000002</v>
      </c>
      <c r="J1539" s="116">
        <f t="shared" si="166"/>
        <v>18</v>
      </c>
      <c r="K1539" s="3294">
        <f t="shared" si="167"/>
        <v>1203.6500000000003</v>
      </c>
      <c r="L1539" s="3296">
        <f>L1867</f>
        <v>2.8</v>
      </c>
      <c r="M1539" s="328"/>
      <c r="N1539" s="1587"/>
      <c r="O1539" s="1135"/>
      <c r="P1539" s="123"/>
      <c r="Q1539" s="123"/>
      <c r="R1539" s="1431"/>
      <c r="S1539" s="123"/>
      <c r="T1539" s="123"/>
      <c r="U1539" s="1589"/>
      <c r="V1539" s="1958" t="s">
        <v>31</v>
      </c>
      <c r="W1539" s="818"/>
      <c r="X1539" s="819"/>
      <c r="Y1539" s="742"/>
      <c r="Z1539" s="737"/>
      <c r="AA1539" s="737"/>
      <c r="AB1539" s="2162"/>
      <c r="AC1539" s="742">
        <v>486.64</v>
      </c>
      <c r="AD1539" s="818"/>
      <c r="AE1539" s="818"/>
      <c r="AF1539" s="818"/>
      <c r="AG1539" s="818"/>
      <c r="AH1539" s="163"/>
      <c r="AK1539" s="820"/>
      <c r="BB1539" s="244">
        <f>(BD1539+BD1540)/(BE1539+BE1540)</f>
        <v>0.75554402023587497</v>
      </c>
      <c r="BC1539" s="3049" t="str">
        <f t="shared" si="165"/>
        <v>Cooling Res 18 Year EUL</v>
      </c>
      <c r="BD1539" s="673">
        <f>(INDEX('Avoided Cost Benefits'!$C$4:$C$857,MATCH(BC1539,'Avoided Cost Benefits'!$A$4:$A$857,0)))*F1539</f>
        <v>858.33936758556956</v>
      </c>
      <c r="BE1539" s="1949">
        <f t="shared" si="162"/>
        <v>1136.0547428032091</v>
      </c>
      <c r="BG1539" s="691"/>
      <c r="BH1539" s="824"/>
      <c r="BI1539" s="691"/>
    </row>
    <row r="1540" spans="1:61" s="1942" customFormat="1" x14ac:dyDescent="0.25">
      <c r="A1540" s="1267"/>
      <c r="B1540" s="123"/>
      <c r="C1540" s="2038" t="s">
        <v>1332</v>
      </c>
      <c r="D1540" s="2695" t="s">
        <v>322</v>
      </c>
      <c r="E1540" s="3005" t="s">
        <v>1333</v>
      </c>
      <c r="F1540" s="742">
        <v>0</v>
      </c>
      <c r="G1540" s="2042" t="s">
        <v>1135</v>
      </c>
      <c r="H1540" s="2867">
        <f>VLOOKUP(G1540,'CP FACTORS'!$A$3:$B$38, 2, FALSE)</f>
        <v>0</v>
      </c>
      <c r="I1540" s="2757">
        <f t="shared" si="164"/>
        <v>0</v>
      </c>
      <c r="J1540" s="116">
        <f t="shared" si="166"/>
        <v>18</v>
      </c>
      <c r="K1540" s="3294">
        <f t="shared" si="167"/>
        <v>0</v>
      </c>
      <c r="L1540" s="3296"/>
      <c r="M1540" s="328"/>
      <c r="N1540" s="1587"/>
      <c r="O1540" s="1135"/>
      <c r="P1540" s="123"/>
      <c r="Q1540" s="123"/>
      <c r="R1540" s="1431"/>
      <c r="S1540" s="123"/>
      <c r="T1540" s="123"/>
      <c r="U1540" s="1589"/>
      <c r="V1540" s="1958" t="s">
        <v>31</v>
      </c>
      <c r="W1540" s="818"/>
      <c r="X1540" s="819"/>
      <c r="Y1540" s="742"/>
      <c r="Z1540" s="737"/>
      <c r="AA1540" s="737"/>
      <c r="AB1540" s="2162"/>
      <c r="AC1540" s="742">
        <v>0</v>
      </c>
      <c r="AD1540" s="818"/>
      <c r="AE1540" s="818"/>
      <c r="AF1540" s="818"/>
      <c r="AG1540" s="818"/>
      <c r="AH1540" s="163"/>
      <c r="AK1540" s="820"/>
      <c r="BB1540" s="242"/>
      <c r="BC1540" s="822" t="str">
        <f t="shared" si="165"/>
        <v>Heating Res 18 Year EUL</v>
      </c>
      <c r="BD1540" s="673">
        <f>(INDEX('Avoided Cost Benefits'!$C$4:$C$857,MATCH(BC1540,'Avoided Cost Benefits'!$A$4:$A$857,0)))*F1540</f>
        <v>0</v>
      </c>
      <c r="BE1540" s="1949">
        <f t="shared" si="162"/>
        <v>0</v>
      </c>
      <c r="BG1540" s="691"/>
      <c r="BH1540" s="824"/>
      <c r="BI1540" s="691"/>
    </row>
    <row r="1541" spans="1:61" s="1942" customFormat="1" x14ac:dyDescent="0.25">
      <c r="A1541" s="1267"/>
      <c r="B1541" s="123"/>
      <c r="C1541" s="2038" t="s">
        <v>1334</v>
      </c>
      <c r="D1541" s="2695" t="s">
        <v>317</v>
      </c>
      <c r="E1541" s="3007" t="s">
        <v>1335</v>
      </c>
      <c r="F1541" s="742">
        <f>ROUND(((K2616*K2803*(1/K2990-1/K3177)*K3364)/1000)*$K$3484,2)</f>
        <v>335.29</v>
      </c>
      <c r="G1541" s="2042" t="s">
        <v>1134</v>
      </c>
      <c r="H1541" s="2867">
        <f>VLOOKUP(G1541,'CP FACTORS'!$A$3:$B$38, 2, FALSE)</f>
        <v>9.4741810000000004E-4</v>
      </c>
      <c r="I1541" s="2757">
        <f t="shared" si="164"/>
        <v>0.31766</v>
      </c>
      <c r="J1541" s="116">
        <f t="shared" si="166"/>
        <v>18</v>
      </c>
      <c r="K1541" s="3294">
        <f t="shared" si="167"/>
        <v>1203.6500000000003</v>
      </c>
      <c r="L1541" s="3296">
        <f>L1868</f>
        <v>2.8</v>
      </c>
      <c r="M1541" s="328"/>
      <c r="N1541" s="1587"/>
      <c r="O1541" s="1135"/>
      <c r="P1541" s="123"/>
      <c r="Q1541" s="123"/>
      <c r="R1541" s="1431"/>
      <c r="S1541" s="123"/>
      <c r="T1541" s="123"/>
      <c r="U1541" s="1589"/>
      <c r="V1541" s="1958" t="s">
        <v>31</v>
      </c>
      <c r="W1541" s="818"/>
      <c r="X1541" s="819"/>
      <c r="Y1541" s="742"/>
      <c r="Z1541" s="737"/>
      <c r="AA1541" s="737"/>
      <c r="AB1541" s="2162"/>
      <c r="AC1541" s="742">
        <v>335.29</v>
      </c>
      <c r="AD1541" s="818"/>
      <c r="AE1541" s="818"/>
      <c r="AF1541" s="818"/>
      <c r="AG1541" s="818"/>
      <c r="AH1541" s="163"/>
      <c r="AK1541" s="820"/>
      <c r="BB1541" s="244">
        <f>(BD1541+BD1542)/(BE1541+BE1542)</f>
        <v>0.5205621291815028</v>
      </c>
      <c r="BC1541" s="3049" t="str">
        <f t="shared" si="165"/>
        <v>Cooling Res 18 Year EUL</v>
      </c>
      <c r="BD1541" s="673">
        <f>(INDEX('Avoided Cost Benefits'!$C$4:$C$857,MATCH(BC1541,'Avoided Cost Benefits'!$A$4:$A$857,0)))*F1541</f>
        <v>591.38707578038304</v>
      </c>
      <c r="BE1541" s="1949">
        <f t="shared" si="162"/>
        <v>1136.0547428032091</v>
      </c>
      <c r="BG1541" s="691"/>
      <c r="BH1541" s="824"/>
      <c r="BI1541" s="691"/>
    </row>
    <row r="1542" spans="1:61" s="1942" customFormat="1" x14ac:dyDescent="0.25">
      <c r="A1542" s="1267"/>
      <c r="B1542" s="123"/>
      <c r="C1542" s="2038" t="s">
        <v>1334</v>
      </c>
      <c r="D1542" s="2695" t="s">
        <v>317</v>
      </c>
      <c r="E1542" s="3007" t="s">
        <v>1335</v>
      </c>
      <c r="F1542" s="742">
        <v>0</v>
      </c>
      <c r="G1542" s="2042" t="s">
        <v>1135</v>
      </c>
      <c r="H1542" s="2867">
        <f>VLOOKUP(G1542,'CP FACTORS'!$A$3:$B$38, 2, FALSE)</f>
        <v>0</v>
      </c>
      <c r="I1542" s="2757">
        <f t="shared" si="164"/>
        <v>0</v>
      </c>
      <c r="J1542" s="116">
        <f t="shared" si="166"/>
        <v>18</v>
      </c>
      <c r="K1542" s="3294">
        <f t="shared" si="167"/>
        <v>0</v>
      </c>
      <c r="L1542" s="3296"/>
      <c r="M1542" s="328"/>
      <c r="N1542" s="1587"/>
      <c r="O1542" s="1135"/>
      <c r="P1542" s="123"/>
      <c r="Q1542" s="123"/>
      <c r="R1542" s="1431"/>
      <c r="S1542" s="123"/>
      <c r="T1542" s="123"/>
      <c r="U1542" s="1589"/>
      <c r="V1542" s="1958" t="s">
        <v>31</v>
      </c>
      <c r="W1542" s="818"/>
      <c r="X1542" s="819"/>
      <c r="Y1542" s="742"/>
      <c r="Z1542" s="737"/>
      <c r="AA1542" s="737"/>
      <c r="AB1542" s="2162"/>
      <c r="AC1542" s="742">
        <v>0</v>
      </c>
      <c r="AD1542" s="818"/>
      <c r="AE1542" s="818"/>
      <c r="AF1542" s="818"/>
      <c r="AG1542" s="818"/>
      <c r="AH1542" s="163"/>
      <c r="AK1542" s="820"/>
      <c r="BB1542" s="242"/>
      <c r="BC1542" s="3049" t="str">
        <f t="shared" si="165"/>
        <v>Heating Res 18 Year EUL</v>
      </c>
      <c r="BD1542" s="673">
        <f>(INDEX('Avoided Cost Benefits'!$C$4:$C$857,MATCH(BC1542,'Avoided Cost Benefits'!$A$4:$A$857,0)))*F1542</f>
        <v>0</v>
      </c>
      <c r="BE1542" s="1949">
        <f t="shared" si="162"/>
        <v>0</v>
      </c>
      <c r="BG1542" s="691"/>
      <c r="BH1542" s="824"/>
      <c r="BI1542" s="691"/>
    </row>
    <row r="1543" spans="1:61" s="51" customFormat="1" x14ac:dyDescent="0.25">
      <c r="A1543" s="1267" t="str">
        <f t="shared" si="163"/>
        <v>353400_2021_12_Cooling Res</v>
      </c>
      <c r="B1543" s="123"/>
      <c r="C1543" s="2038" t="s">
        <v>1337</v>
      </c>
      <c r="D1543" s="1553" t="s">
        <v>320</v>
      </c>
      <c r="E1543" s="2878" t="s">
        <v>1338</v>
      </c>
      <c r="F1543" s="742">
        <f>ROUND(((K2617*K2804*(1/K2991-1/K3178)*K3365)/1000)*$K$3484,2)</f>
        <v>2197.42</v>
      </c>
      <c r="G1543" s="214" t="s">
        <v>1134</v>
      </c>
      <c r="H1543" s="155">
        <f>VLOOKUP(G1543,'CP FACTORS'!$A$3:$B$38, 2, FALSE)</f>
        <v>9.4741810000000004E-4</v>
      </c>
      <c r="I1543" s="1554">
        <f t="shared" si="164"/>
        <v>2.0818750000000001</v>
      </c>
      <c r="J1543" s="108">
        <f t="shared" si="166"/>
        <v>6</v>
      </c>
      <c r="K1543" s="3294">
        <f t="shared" si="167"/>
        <v>2161.1935998255572</v>
      </c>
      <c r="L1543" s="1088">
        <f>L1869</f>
        <v>3</v>
      </c>
      <c r="M1543" s="328"/>
      <c r="N1543" s="1587"/>
      <c r="O1543" s="1135"/>
      <c r="P1543" s="123"/>
      <c r="Q1543" s="123"/>
      <c r="R1543" s="1431"/>
      <c r="S1543" s="123"/>
      <c r="T1543" s="123"/>
      <c r="U1543" s="1589"/>
      <c r="V1543" s="1962" t="s">
        <v>31</v>
      </c>
      <c r="W1543" s="818">
        <v>3137.6011764705886</v>
      </c>
      <c r="X1543" s="819">
        <v>2264.428307322929</v>
      </c>
      <c r="Y1543" s="737">
        <v>2264.4299999999998</v>
      </c>
      <c r="Z1543" s="737">
        <v>2264.4299999999998</v>
      </c>
      <c r="AA1543" s="737">
        <v>2264.4299999999998</v>
      </c>
      <c r="AB1543" s="2162">
        <v>2264.4299999999998</v>
      </c>
      <c r="AC1543" s="742">
        <v>2197.42</v>
      </c>
      <c r="AD1543" s="818"/>
      <c r="AE1543" s="818"/>
      <c r="AF1543" s="818"/>
      <c r="AG1543" s="818"/>
      <c r="AH1543" s="163"/>
      <c r="AI1543" s="1942"/>
      <c r="AJ1543" s="1942"/>
      <c r="AK1543" s="820"/>
      <c r="AL1543" s="1942"/>
      <c r="AM1543" s="1942"/>
      <c r="AN1543" s="1942"/>
      <c r="AO1543" s="1942"/>
      <c r="AP1543" s="1942"/>
      <c r="AQ1543" s="1942"/>
      <c r="AR1543" s="1942"/>
      <c r="AS1543" s="1942"/>
      <c r="AT1543" s="1942"/>
      <c r="AU1543" s="1942"/>
      <c r="AV1543" s="1942"/>
      <c r="AW1543" s="1942"/>
      <c r="AX1543" s="1942"/>
      <c r="AY1543" s="1942"/>
      <c r="AZ1543" s="1942"/>
      <c r="BA1543" s="1942"/>
      <c r="BB1543" s="244">
        <f>(BD1543+BD1544+BD1545+BD1546)/(BE1543+BE1544+BE1545+BE1546)</f>
        <v>3.5928646832104278</v>
      </c>
      <c r="BC1543" s="3115" t="str">
        <f t="shared" si="165"/>
        <v>Cooling Res 6 Year EUL</v>
      </c>
      <c r="BD1543" s="673">
        <f>(INDEX('Avoided Cost Benefits'!$C$4:$C$857,MATCH(BC1543,'Avoided Cost Benefits'!$A$4:$A$857,0)))*F1543</f>
        <v>1277.7649293166439</v>
      </c>
      <c r="BE1543" s="1949">
        <f t="shared" si="162"/>
        <v>2039.8240677919366</v>
      </c>
      <c r="BF1543" s="1942"/>
      <c r="BG1543" s="691"/>
      <c r="BH1543" s="821"/>
      <c r="BI1543" s="691"/>
    </row>
    <row r="1544" spans="1:61" s="51" customFormat="1" x14ac:dyDescent="0.25">
      <c r="A1544" s="1267" t="str">
        <f t="shared" si="163"/>
        <v>353400_2021_12_Heating Res</v>
      </c>
      <c r="B1544" s="123"/>
      <c r="C1544" s="2038" t="s">
        <v>1337</v>
      </c>
      <c r="D1544" s="1553" t="s">
        <v>320</v>
      </c>
      <c r="E1544" s="3007" t="s">
        <v>1338</v>
      </c>
      <c r="F1544" s="742">
        <f>ROUND(((K1869*K2056*(1/K2243-1/K2430)*K3365)/1000)*$K$3484,2)</f>
        <v>10941.66</v>
      </c>
      <c r="G1544" s="214" t="s">
        <v>1135</v>
      </c>
      <c r="H1544" s="155">
        <f>VLOOKUP(G1544,'CP FACTORS'!$A$3:$B$38, 2, FALSE)</f>
        <v>0</v>
      </c>
      <c r="I1544" s="1554">
        <f t="shared" si="164"/>
        <v>0</v>
      </c>
      <c r="J1544" s="108">
        <f t="shared" si="166"/>
        <v>6</v>
      </c>
      <c r="K1544" s="1052">
        <f t="shared" si="167"/>
        <v>0</v>
      </c>
      <c r="L1544" s="1088"/>
      <c r="M1544" s="328"/>
      <c r="N1544" s="1587"/>
      <c r="O1544" s="1135"/>
      <c r="P1544" s="123"/>
      <c r="Q1544" s="123"/>
      <c r="R1544" s="1431"/>
      <c r="S1544" s="123"/>
      <c r="T1544" s="123"/>
      <c r="U1544" s="1589"/>
      <c r="V1544" s="1962" t="s">
        <v>31</v>
      </c>
      <c r="W1544" s="818">
        <v>13965.852998065762</v>
      </c>
      <c r="X1544" s="819">
        <v>10399.659574468084</v>
      </c>
      <c r="Y1544" s="737">
        <v>10399.66</v>
      </c>
      <c r="Z1544" s="737">
        <v>10399.66</v>
      </c>
      <c r="AA1544" s="737">
        <v>10399.66</v>
      </c>
      <c r="AB1544" s="2162">
        <v>10399.66</v>
      </c>
      <c r="AC1544" s="742">
        <v>10941.66</v>
      </c>
      <c r="AD1544" s="818"/>
      <c r="AE1544" s="818"/>
      <c r="AF1544" s="818"/>
      <c r="AG1544" s="818"/>
      <c r="AH1544" s="163"/>
      <c r="AI1544" s="1942"/>
      <c r="AJ1544" s="1942"/>
      <c r="AK1544" s="820"/>
      <c r="AL1544" s="1942"/>
      <c r="AM1544" s="1942"/>
      <c r="AN1544" s="1942"/>
      <c r="AO1544" s="1942"/>
      <c r="AP1544" s="1942"/>
      <c r="AQ1544" s="1942"/>
      <c r="AR1544" s="1942"/>
      <c r="AS1544" s="1942"/>
      <c r="AT1544" s="1942"/>
      <c r="AU1544" s="1942"/>
      <c r="AV1544" s="1942"/>
      <c r="AW1544" s="1942"/>
      <c r="AX1544" s="1942"/>
      <c r="AY1544" s="1942"/>
      <c r="AZ1544" s="1942"/>
      <c r="BA1544" s="1942"/>
      <c r="BB1544" s="734"/>
      <c r="BC1544" s="3130" t="str">
        <f t="shared" si="165"/>
        <v>Heating Res 6 Year EUL</v>
      </c>
      <c r="BD1544" s="673">
        <f>(INDEX('Avoided Cost Benefits'!$C$4:$C$857,MATCH(BC1544,'Avoided Cost Benefits'!$A$4:$A$857,0)))*F1544</f>
        <v>1819.9646497678216</v>
      </c>
      <c r="BE1544" s="1949">
        <f t="shared" si="162"/>
        <v>0</v>
      </c>
      <c r="BF1544" s="1942"/>
      <c r="BG1544" s="691"/>
      <c r="BH1544" s="821"/>
      <c r="BI1544" s="691"/>
    </row>
    <row r="1545" spans="1:61" s="51" customFormat="1" x14ac:dyDescent="0.25">
      <c r="A1545" s="1267" t="str">
        <f t="shared" si="163"/>
        <v>353400_2021_12_Cooling Res ER2</v>
      </c>
      <c r="B1545" s="123"/>
      <c r="C1545" s="2038" t="s">
        <v>1337</v>
      </c>
      <c r="D1545" s="1553" t="s">
        <v>320</v>
      </c>
      <c r="E1545" s="3007" t="s">
        <v>1339</v>
      </c>
      <c r="F1545" s="742">
        <f>ROUND(((K2618*K2805*(1/K2992-1/K3179)*K3366)/1000)*$K$3484,2)</f>
        <v>842.26</v>
      </c>
      <c r="G1545" s="1580" t="s">
        <v>1176</v>
      </c>
      <c r="H1545" s="155">
        <f>VLOOKUP(G1545,'CP FACTORS'!$A$3:$B$38, 2, FALSE)</f>
        <v>9.4741810000000004E-4</v>
      </c>
      <c r="I1545" s="1554">
        <f t="shared" si="164"/>
        <v>0.79797200000000001</v>
      </c>
      <c r="J1545" s="108">
        <f t="shared" si="166"/>
        <v>12</v>
      </c>
      <c r="K1545" s="1052">
        <f t="shared" si="167"/>
        <v>0</v>
      </c>
      <c r="L1545" s="1088"/>
      <c r="M1545" s="328"/>
      <c r="N1545" s="1587"/>
      <c r="O1545" s="1135"/>
      <c r="P1545" s="123"/>
      <c r="Q1545" s="123"/>
      <c r="R1545" s="1431"/>
      <c r="S1545" s="123"/>
      <c r="T1545" s="123"/>
      <c r="U1545" s="1589"/>
      <c r="V1545" s="1962" t="s">
        <v>31</v>
      </c>
      <c r="W1545" s="818">
        <v>870.33692307692309</v>
      </c>
      <c r="X1545" s="825">
        <v>870.33692307692309</v>
      </c>
      <c r="Y1545" s="737">
        <v>870.34</v>
      </c>
      <c r="Z1545" s="737">
        <v>870.34</v>
      </c>
      <c r="AA1545" s="737">
        <v>870.34</v>
      </c>
      <c r="AB1545" s="2162">
        <v>870.34</v>
      </c>
      <c r="AC1545" s="742">
        <v>842.26</v>
      </c>
      <c r="AD1545" s="818"/>
      <c r="AE1545" s="818"/>
      <c r="AF1545" s="818"/>
      <c r="AG1545" s="818"/>
      <c r="AH1545" s="163"/>
      <c r="AI1545" s="1942"/>
      <c r="AJ1545" s="1942"/>
      <c r="AK1545" s="820"/>
      <c r="AL1545" s="1942"/>
      <c r="AM1545" s="1942"/>
      <c r="AN1545" s="1942"/>
      <c r="AO1545" s="1942"/>
      <c r="AP1545" s="1942"/>
      <c r="AQ1545" s="1942"/>
      <c r="AR1545" s="1942"/>
      <c r="AS1545" s="1942"/>
      <c r="AT1545" s="1942"/>
      <c r="AU1545" s="1942"/>
      <c r="AV1545" s="1942"/>
      <c r="AW1545" s="1942"/>
      <c r="AX1545" s="1942"/>
      <c r="AY1545" s="1942"/>
      <c r="AZ1545" s="1942"/>
      <c r="BA1545" s="1942"/>
      <c r="BB1545" s="734"/>
      <c r="BC1545" s="3130" t="str">
        <f t="shared" si="165"/>
        <v>Cooling Res ER2 12 Year EUL</v>
      </c>
      <c r="BD1545" s="673">
        <f>(INDEX('Avoided Cost Benefits'!$C$4:$C$857,MATCH(BC1545,'Avoided Cost Benefits'!$A$4:$A$857,0)))*F1545</f>
        <v>995.82380235111384</v>
      </c>
      <c r="BE1545" s="1949">
        <f t="shared" si="162"/>
        <v>0</v>
      </c>
      <c r="BF1545" s="1942"/>
      <c r="BG1545" s="691"/>
      <c r="BH1545" s="821"/>
      <c r="BI1545" s="691"/>
    </row>
    <row r="1546" spans="1:61" s="51" customFormat="1" x14ac:dyDescent="0.25">
      <c r="A1546" s="1267" t="str">
        <f t="shared" si="163"/>
        <v>353400_2021_12_Heating Res ER2</v>
      </c>
      <c r="B1546" s="123"/>
      <c r="C1546" s="2038" t="s">
        <v>1337</v>
      </c>
      <c r="D1546" s="1553" t="s">
        <v>320</v>
      </c>
      <c r="E1546" s="3005" t="s">
        <v>1339</v>
      </c>
      <c r="F1546" s="742">
        <f>ROUND(((K1870*K2057*(1/K2244-1/K2431)*K3366)/1000)*$K$3484,2)</f>
        <v>10941.66</v>
      </c>
      <c r="G1546" s="1580" t="s">
        <v>1195</v>
      </c>
      <c r="H1546" s="155">
        <f>VLOOKUP(G1546,'CP FACTORS'!$A$3:$B$38, 2, FALSE)</f>
        <v>0</v>
      </c>
      <c r="I1546" s="1554">
        <f t="shared" si="164"/>
        <v>0</v>
      </c>
      <c r="J1546" s="108">
        <f t="shared" si="166"/>
        <v>12</v>
      </c>
      <c r="K1546" s="1052">
        <f t="shared" si="167"/>
        <v>0</v>
      </c>
      <c r="L1546" s="1088"/>
      <c r="M1546" s="328"/>
      <c r="N1546" s="1587"/>
      <c r="O1546" s="1135"/>
      <c r="P1546" s="123"/>
      <c r="Q1546" s="123"/>
      <c r="R1546" s="1431"/>
      <c r="S1546" s="123"/>
      <c r="T1546" s="123"/>
      <c r="U1546" s="1589"/>
      <c r="V1546" s="1962" t="s">
        <v>31</v>
      </c>
      <c r="W1546" s="818">
        <v>13965.852998065762</v>
      </c>
      <c r="X1546" s="819">
        <v>10399.659574468084</v>
      </c>
      <c r="Y1546" s="737">
        <v>10399.66</v>
      </c>
      <c r="Z1546" s="737">
        <v>10399.66</v>
      </c>
      <c r="AA1546" s="737">
        <v>10399.66</v>
      </c>
      <c r="AB1546" s="2162">
        <v>10399.66</v>
      </c>
      <c r="AC1546" s="742">
        <v>10941.66</v>
      </c>
      <c r="AD1546" s="818"/>
      <c r="AE1546" s="818"/>
      <c r="AF1546" s="818"/>
      <c r="AG1546" s="818"/>
      <c r="AH1546" s="163"/>
      <c r="AI1546" s="1942"/>
      <c r="AJ1546" s="1942"/>
      <c r="AK1546" s="820"/>
      <c r="AL1546" s="1942"/>
      <c r="AM1546" s="1942"/>
      <c r="AN1546" s="1942"/>
      <c r="AO1546" s="1942"/>
      <c r="AP1546" s="1942"/>
      <c r="AQ1546" s="1942"/>
      <c r="AR1546" s="1942"/>
      <c r="AS1546" s="1942"/>
      <c r="AT1546" s="1942"/>
      <c r="AU1546" s="1942"/>
      <c r="AV1546" s="1942"/>
      <c r="AW1546" s="1942"/>
      <c r="AX1546" s="1942"/>
      <c r="AY1546" s="1942"/>
      <c r="AZ1546" s="1942"/>
      <c r="BA1546" s="1942"/>
      <c r="BB1546" s="734"/>
      <c r="BC1546" s="3116" t="str">
        <f t="shared" si="165"/>
        <v>Heating Res ER2 12 Year EUL</v>
      </c>
      <c r="BD1546" s="673">
        <f>(INDEX('Avoided Cost Benefits'!$C$4:$C$857,MATCH(BC1546,'Avoided Cost Benefits'!$A$4:$A$857,0)))*F1546</f>
        <v>3235.2584716967031</v>
      </c>
      <c r="BE1546" s="1949">
        <f t="shared" si="162"/>
        <v>0</v>
      </c>
      <c r="BF1546" s="1942"/>
      <c r="BG1546" s="691"/>
      <c r="BH1546" s="821"/>
      <c r="BI1546" s="691"/>
    </row>
    <row r="1547" spans="1:61" s="1942" customFormat="1" x14ac:dyDescent="0.25">
      <c r="A1547" s="1267"/>
      <c r="B1547" s="123"/>
      <c r="C1547" s="2038" t="s">
        <v>1340</v>
      </c>
      <c r="D1547" s="2695" t="s">
        <v>320</v>
      </c>
      <c r="E1547" s="3007" t="s">
        <v>1341</v>
      </c>
      <c r="F1547" s="742">
        <f>ROUND(((K2619*K2806*(1/K2993-1/K3180)*K3367)/1000)*$K$3484,2)</f>
        <v>2197.42</v>
      </c>
      <c r="G1547" s="3050" t="s">
        <v>1134</v>
      </c>
      <c r="H1547" s="2867">
        <f>VLOOKUP(G1547,'CP FACTORS'!$A$3:$B$38, 2, FALSE)</f>
        <v>9.4741810000000004E-4</v>
      </c>
      <c r="I1547" s="2757">
        <f t="shared" si="164"/>
        <v>2.0818750000000001</v>
      </c>
      <c r="J1547" s="116">
        <f t="shared" si="166"/>
        <v>6</v>
      </c>
      <c r="K1547" s="3294">
        <f t="shared" si="167"/>
        <v>2161.1935998255572</v>
      </c>
      <c r="L1547" s="3296">
        <f>L1871</f>
        <v>3</v>
      </c>
      <c r="M1547" s="328"/>
      <c r="N1547" s="1587"/>
      <c r="O1547" s="1135"/>
      <c r="P1547" s="123"/>
      <c r="Q1547" s="123"/>
      <c r="R1547" s="1431"/>
      <c r="S1547" s="123"/>
      <c r="T1547" s="123"/>
      <c r="U1547" s="1589"/>
      <c r="V1547" s="1958" t="s">
        <v>31</v>
      </c>
      <c r="W1547" s="818"/>
      <c r="X1547" s="819"/>
      <c r="Y1547" s="737"/>
      <c r="Z1547" s="737"/>
      <c r="AA1547" s="737"/>
      <c r="AB1547" s="2162"/>
      <c r="AC1547" s="742">
        <v>2197.42</v>
      </c>
      <c r="AD1547" s="818"/>
      <c r="AE1547" s="818"/>
      <c r="AF1547" s="818"/>
      <c r="AG1547" s="818"/>
      <c r="AH1547" s="163"/>
      <c r="AK1547" s="820"/>
      <c r="BB1547" s="244">
        <f>(BD1547+BD1548+BD1549+BD1550)/(BE1547+BE1548+BE1549+BE1550)</f>
        <v>1.114600404793177</v>
      </c>
      <c r="BC1547" s="3130" t="str">
        <f t="shared" si="165"/>
        <v>Cooling Res 6 Year EUL</v>
      </c>
      <c r="BD1547" s="673">
        <f>(INDEX('Avoided Cost Benefits'!$C$4:$C$857,MATCH(BC1547,'Avoided Cost Benefits'!$A$4:$A$857,0)))*F1547</f>
        <v>1277.7649293166439</v>
      </c>
      <c r="BE1547" s="1949">
        <f t="shared" si="162"/>
        <v>2039.8240677919366</v>
      </c>
      <c r="BG1547" s="691"/>
      <c r="BH1547" s="821"/>
      <c r="BI1547" s="691"/>
    </row>
    <row r="1548" spans="1:61" s="1942" customFormat="1" x14ac:dyDescent="0.25">
      <c r="A1548" s="1267"/>
      <c r="B1548" s="123"/>
      <c r="C1548" s="2038" t="s">
        <v>1340</v>
      </c>
      <c r="D1548" s="2695" t="s">
        <v>320</v>
      </c>
      <c r="E1548" s="3007" t="s">
        <v>1341</v>
      </c>
      <c r="F1548" s="742">
        <v>0</v>
      </c>
      <c r="G1548" s="3050" t="s">
        <v>1135</v>
      </c>
      <c r="H1548" s="2867">
        <f>VLOOKUP(G1548,'CP FACTORS'!$A$3:$B$38, 2, FALSE)</f>
        <v>0</v>
      </c>
      <c r="I1548" s="2757">
        <f t="shared" si="164"/>
        <v>0</v>
      </c>
      <c r="J1548" s="116">
        <f t="shared" si="166"/>
        <v>6</v>
      </c>
      <c r="K1548" s="3294">
        <f t="shared" si="167"/>
        <v>0</v>
      </c>
      <c r="L1548" s="3296"/>
      <c r="M1548" s="328"/>
      <c r="N1548" s="1587"/>
      <c r="O1548" s="1135"/>
      <c r="P1548" s="123"/>
      <c r="Q1548" s="123"/>
      <c r="R1548" s="1431"/>
      <c r="S1548" s="123"/>
      <c r="T1548" s="123"/>
      <c r="U1548" s="1589"/>
      <c r="V1548" s="1958" t="s">
        <v>31</v>
      </c>
      <c r="W1548" s="818"/>
      <c r="X1548" s="819"/>
      <c r="Y1548" s="737"/>
      <c r="Z1548" s="737"/>
      <c r="AA1548" s="737"/>
      <c r="AB1548" s="2162"/>
      <c r="AC1548" s="742">
        <v>0</v>
      </c>
      <c r="AD1548" s="818"/>
      <c r="AE1548" s="818"/>
      <c r="AF1548" s="818"/>
      <c r="AG1548" s="818"/>
      <c r="AH1548" s="163"/>
      <c r="AK1548" s="820"/>
      <c r="BB1548" s="734"/>
      <c r="BC1548" s="3130" t="str">
        <f t="shared" si="165"/>
        <v>Heating Res 6 Year EUL</v>
      </c>
      <c r="BD1548" s="673">
        <f>(INDEX('Avoided Cost Benefits'!$C$4:$C$857,MATCH(BC1548,'Avoided Cost Benefits'!$A$4:$A$857,0)))*F1548</f>
        <v>0</v>
      </c>
      <c r="BE1548" s="1949">
        <f t="shared" si="162"/>
        <v>0</v>
      </c>
      <c r="BG1548" s="691"/>
      <c r="BH1548" s="821"/>
      <c r="BI1548" s="691"/>
    </row>
    <row r="1549" spans="1:61" s="1942" customFormat="1" x14ac:dyDescent="0.25">
      <c r="A1549" s="1267"/>
      <c r="B1549" s="123"/>
      <c r="C1549" s="2038" t="s">
        <v>1340</v>
      </c>
      <c r="D1549" s="2695" t="s">
        <v>320</v>
      </c>
      <c r="E1549" s="3007" t="s">
        <v>1342</v>
      </c>
      <c r="F1549" s="742">
        <f>ROUND(((K2620*K2807*(1/K2994-1/K3181)*K3368)/1000)*$K$3484,2)</f>
        <v>842.26</v>
      </c>
      <c r="G1549" s="3050" t="s">
        <v>1176</v>
      </c>
      <c r="H1549" s="2867">
        <f>VLOOKUP(G1549,'CP FACTORS'!$A$3:$B$38, 2, FALSE)</f>
        <v>9.4741810000000004E-4</v>
      </c>
      <c r="I1549" s="2757">
        <f t="shared" si="164"/>
        <v>0.79797200000000001</v>
      </c>
      <c r="J1549" s="116">
        <f t="shared" si="166"/>
        <v>12</v>
      </c>
      <c r="K1549" s="3294">
        <f t="shared" si="167"/>
        <v>0</v>
      </c>
      <c r="L1549" s="3296"/>
      <c r="M1549" s="328"/>
      <c r="N1549" s="1587"/>
      <c r="O1549" s="1135"/>
      <c r="P1549" s="123"/>
      <c r="Q1549" s="123"/>
      <c r="R1549" s="1431"/>
      <c r="S1549" s="123"/>
      <c r="T1549" s="123"/>
      <c r="U1549" s="1589"/>
      <c r="V1549" s="1958" t="s">
        <v>31</v>
      </c>
      <c r="W1549" s="818"/>
      <c r="X1549" s="819"/>
      <c r="Y1549" s="737"/>
      <c r="Z1549" s="737"/>
      <c r="AA1549" s="737"/>
      <c r="AB1549" s="2162"/>
      <c r="AC1549" s="742">
        <v>842.26</v>
      </c>
      <c r="AD1549" s="818"/>
      <c r="AE1549" s="818"/>
      <c r="AF1549" s="818"/>
      <c r="AG1549" s="818"/>
      <c r="AH1549" s="163"/>
      <c r="AK1549" s="820"/>
      <c r="BB1549" s="734"/>
      <c r="BC1549" s="3130" t="str">
        <f t="shared" si="165"/>
        <v>Cooling Res ER2 12 Year EUL</v>
      </c>
      <c r="BD1549" s="673">
        <f>(INDEX('Avoided Cost Benefits'!$C$4:$C$857,MATCH(BC1549,'Avoided Cost Benefits'!$A$4:$A$857,0)))*F1549</f>
        <v>995.82380235111384</v>
      </c>
      <c r="BE1549" s="1949">
        <f t="shared" ref="BE1549:BE1612" si="168">K1549/(1.0595^(2020-2019))</f>
        <v>0</v>
      </c>
      <c r="BG1549" s="691"/>
      <c r="BH1549" s="821"/>
      <c r="BI1549" s="691"/>
    </row>
    <row r="1550" spans="1:61" s="1942" customFormat="1" x14ac:dyDescent="0.25">
      <c r="A1550" s="1267"/>
      <c r="B1550" s="123"/>
      <c r="C1550" s="2038" t="s">
        <v>1340</v>
      </c>
      <c r="D1550" s="2695" t="s">
        <v>320</v>
      </c>
      <c r="E1550" s="3007" t="s">
        <v>1342</v>
      </c>
      <c r="F1550" s="742">
        <f>0</f>
        <v>0</v>
      </c>
      <c r="G1550" s="3050" t="s">
        <v>1195</v>
      </c>
      <c r="H1550" s="2867">
        <f>VLOOKUP(G1550,'CP FACTORS'!$A$3:$B$38, 2, FALSE)</f>
        <v>0</v>
      </c>
      <c r="I1550" s="2757">
        <f t="shared" si="164"/>
        <v>0</v>
      </c>
      <c r="J1550" s="116">
        <f t="shared" si="166"/>
        <v>12</v>
      </c>
      <c r="K1550" s="3294">
        <f t="shared" si="167"/>
        <v>0</v>
      </c>
      <c r="L1550" s="3296"/>
      <c r="M1550" s="328"/>
      <c r="N1550" s="1587"/>
      <c r="O1550" s="1135"/>
      <c r="P1550" s="123"/>
      <c r="Q1550" s="123"/>
      <c r="R1550" s="1431"/>
      <c r="S1550" s="123"/>
      <c r="T1550" s="123"/>
      <c r="U1550" s="1589"/>
      <c r="V1550" s="1958" t="s">
        <v>31</v>
      </c>
      <c r="W1550" s="818"/>
      <c r="X1550" s="819"/>
      <c r="Y1550" s="737"/>
      <c r="Z1550" s="737"/>
      <c r="AA1550" s="737"/>
      <c r="AB1550" s="2162"/>
      <c r="AC1550" s="742">
        <v>0</v>
      </c>
      <c r="AD1550" s="818"/>
      <c r="AE1550" s="818"/>
      <c r="AF1550" s="818"/>
      <c r="AG1550" s="818"/>
      <c r="AH1550" s="163"/>
      <c r="AK1550" s="820"/>
      <c r="BB1550" s="734"/>
      <c r="BC1550" s="3130" t="str">
        <f t="shared" si="165"/>
        <v>Heating Res ER2 12 Year EUL</v>
      </c>
      <c r="BD1550" s="673">
        <f>(INDEX('Avoided Cost Benefits'!$C$4:$C$857,MATCH(BC1550,'Avoided Cost Benefits'!$A$4:$A$857,0)))*F1550</f>
        <v>0</v>
      </c>
      <c r="BE1550" s="1949">
        <f t="shared" si="168"/>
        <v>0</v>
      </c>
      <c r="BG1550" s="691"/>
      <c r="BH1550" s="821"/>
      <c r="BI1550" s="691"/>
    </row>
    <row r="1551" spans="1:61" s="51" customFormat="1" x14ac:dyDescent="0.25">
      <c r="A1551" s="1267" t="str">
        <f t="shared" si="163"/>
        <v>353450_2021_12_Cooling Res</v>
      </c>
      <c r="B1551" s="123"/>
      <c r="C1551" s="2038" t="s">
        <v>1344</v>
      </c>
      <c r="D1551" s="1553" t="s">
        <v>320</v>
      </c>
      <c r="E1551" s="2965" t="s">
        <v>1345</v>
      </c>
      <c r="F1551" s="742">
        <f>ROUND(((K2621*K2808*(1/K2995-1/K3182)*K3369)/1000)*$K$3484,2)</f>
        <v>701.88</v>
      </c>
      <c r="G1551" s="214" t="s">
        <v>1134</v>
      </c>
      <c r="H1551" s="155">
        <f>VLOOKUP(G1551,'CP FACTORS'!$A$3:$B$38, 2, FALSE)</f>
        <v>9.4741810000000004E-4</v>
      </c>
      <c r="I1551" s="1554">
        <f t="shared" si="164"/>
        <v>0.66497399999999995</v>
      </c>
      <c r="J1551" s="108">
        <f t="shared" si="166"/>
        <v>18</v>
      </c>
      <c r="K1551" s="1052">
        <f t="shared" si="167"/>
        <v>1444.3799999999994</v>
      </c>
      <c r="L1551" s="1088">
        <f>L1873</f>
        <v>2.5</v>
      </c>
      <c r="M1551" s="328"/>
      <c r="N1551" s="1587"/>
      <c r="O1551" s="1135"/>
      <c r="P1551" s="123"/>
      <c r="Q1551" s="123"/>
      <c r="R1551" s="1431"/>
      <c r="S1551" s="123"/>
      <c r="T1551" s="123"/>
      <c r="U1551" s="1589"/>
      <c r="V1551" s="1962" t="s">
        <v>31</v>
      </c>
      <c r="W1551" s="818">
        <v>898.41230769230776</v>
      </c>
      <c r="X1551" s="825">
        <v>898.41230769230776</v>
      </c>
      <c r="Y1551" s="737">
        <v>898.41</v>
      </c>
      <c r="Z1551" s="737">
        <v>898.41</v>
      </c>
      <c r="AA1551" s="737">
        <v>898.41</v>
      </c>
      <c r="AB1551" s="2162">
        <v>898.41</v>
      </c>
      <c r="AC1551" s="742">
        <v>701.88</v>
      </c>
      <c r="AD1551" s="818"/>
      <c r="AE1551" s="818"/>
      <c r="AF1551" s="818"/>
      <c r="AG1551" s="818"/>
      <c r="AH1551" s="163"/>
      <c r="AI1551" s="1942"/>
      <c r="AJ1551" s="1942"/>
      <c r="AK1551" s="820"/>
      <c r="AL1551" s="1942"/>
      <c r="AM1551" s="1942"/>
      <c r="AN1551" s="1942"/>
      <c r="AO1551" s="1942"/>
      <c r="AP1551" s="1942"/>
      <c r="AQ1551" s="1942"/>
      <c r="AR1551" s="1942"/>
      <c r="AS1551" s="1942"/>
      <c r="AT1551" s="1942"/>
      <c r="AU1551" s="1942"/>
      <c r="AV1551" s="1942"/>
      <c r="AW1551" s="1942"/>
      <c r="AX1551" s="1942"/>
      <c r="AY1551" s="1942"/>
      <c r="AZ1551" s="1942"/>
      <c r="BA1551" s="1942"/>
      <c r="BB1551" s="244">
        <f>(BD1551+BD1552)/(BE1551+BE1552)</f>
        <v>3.9199390694492409</v>
      </c>
      <c r="BC1551" s="710" t="str">
        <f t="shared" si="165"/>
        <v>Cooling Res 18 Year EUL</v>
      </c>
      <c r="BD1551" s="673">
        <f>(INDEX('Avoided Cost Benefits'!$C$4:$C$857,MATCH(BC1551,'Avoided Cost Benefits'!$A$4:$A$857,0)))*F1551</f>
        <v>1237.9813318283732</v>
      </c>
      <c r="BE1551" s="1949">
        <f t="shared" si="168"/>
        <v>1363.2656913638502</v>
      </c>
      <c r="BF1551" s="1942"/>
      <c r="BG1551" s="691"/>
      <c r="BH1551" s="821"/>
      <c r="BI1551" s="691"/>
    </row>
    <row r="1552" spans="1:61" s="51" customFormat="1" x14ac:dyDescent="0.25">
      <c r="A1552" s="1267" t="str">
        <f t="shared" si="163"/>
        <v>353450_2021_12_Heating Res</v>
      </c>
      <c r="B1552" s="123"/>
      <c r="C1552" s="2038" t="s">
        <v>1344</v>
      </c>
      <c r="D1552" s="1553" t="s">
        <v>320</v>
      </c>
      <c r="E1552" s="3008" t="s">
        <v>1345</v>
      </c>
      <c r="F1552" s="742">
        <f>ROUND(((K1873*K2060*(1/K2247-1/K2434)*K3369)/1000)*$K$3484,2)</f>
        <v>8887</v>
      </c>
      <c r="G1552" s="214" t="s">
        <v>1135</v>
      </c>
      <c r="H1552" s="155">
        <f>VLOOKUP(G1552,'CP FACTORS'!$A$3:$B$38, 2, FALSE)</f>
        <v>0</v>
      </c>
      <c r="I1552" s="1554">
        <f t="shared" si="164"/>
        <v>0</v>
      </c>
      <c r="J1552" s="108">
        <f t="shared" si="166"/>
        <v>18</v>
      </c>
      <c r="K1552" s="1052">
        <f t="shared" si="167"/>
        <v>0</v>
      </c>
      <c r="L1552" s="1088"/>
      <c r="M1552" s="328"/>
      <c r="N1552" s="1587"/>
      <c r="O1552" s="1135"/>
      <c r="P1552" s="123"/>
      <c r="Q1552" s="123"/>
      <c r="R1552" s="1431"/>
      <c r="S1552" s="123"/>
      <c r="T1552" s="123"/>
      <c r="U1552" s="1589"/>
      <c r="V1552" s="1962" t="s">
        <v>31</v>
      </c>
      <c r="W1552" s="818">
        <v>14670.188469329136</v>
      </c>
      <c r="X1552" s="819">
        <v>10924.142334552707</v>
      </c>
      <c r="Y1552" s="737">
        <v>10924.14</v>
      </c>
      <c r="Z1552" s="737">
        <v>10924.14</v>
      </c>
      <c r="AA1552" s="737">
        <v>10924.14</v>
      </c>
      <c r="AB1552" s="2162">
        <v>10924.14</v>
      </c>
      <c r="AC1552" s="742">
        <v>8887</v>
      </c>
      <c r="AD1552" s="818"/>
      <c r="AE1552" s="818"/>
      <c r="AF1552" s="818"/>
      <c r="AG1552" s="818"/>
      <c r="AH1552" s="163"/>
      <c r="AI1552" s="1942"/>
      <c r="AJ1552" s="1942"/>
      <c r="AK1552" s="820"/>
      <c r="AL1552" s="1942"/>
      <c r="AM1552" s="1942"/>
      <c r="AN1552" s="1942"/>
      <c r="AO1552" s="1942"/>
      <c r="AP1552" s="1942"/>
      <c r="AQ1552" s="1942"/>
      <c r="AR1552" s="1942"/>
      <c r="AS1552" s="1942"/>
      <c r="AT1552" s="1942"/>
      <c r="AU1552" s="1942"/>
      <c r="AV1552" s="1942"/>
      <c r="AW1552" s="1942"/>
      <c r="AX1552" s="1942"/>
      <c r="AY1552" s="1942"/>
      <c r="AZ1552" s="1942"/>
      <c r="BA1552" s="1942"/>
      <c r="BB1552" s="242"/>
      <c r="BC1552" s="822" t="str">
        <f t="shared" si="165"/>
        <v>Heating Res 18 Year EUL</v>
      </c>
      <c r="BD1552" s="673">
        <f>(INDEX('Avoided Cost Benefits'!$C$4:$C$857,MATCH(BC1552,'Avoided Cost Benefits'!$A$4:$A$857,0)))*F1552</f>
        <v>4105.9371137885137</v>
      </c>
      <c r="BE1552" s="1949">
        <f t="shared" si="168"/>
        <v>0</v>
      </c>
      <c r="BF1552" s="1942"/>
      <c r="BG1552" s="691"/>
      <c r="BH1552" s="821"/>
      <c r="BI1552" s="691"/>
    </row>
    <row r="1553" spans="1:61" s="51" customFormat="1" x14ac:dyDescent="0.25">
      <c r="A1553" s="1267" t="str">
        <f t="shared" si="163"/>
        <v>353500_2019_12_Cooling Res</v>
      </c>
      <c r="B1553" s="123"/>
      <c r="C1553" s="1471" t="s">
        <v>1346</v>
      </c>
      <c r="D1553" s="1553" t="s">
        <v>322</v>
      </c>
      <c r="E1553" s="2965" t="s">
        <v>1347</v>
      </c>
      <c r="F1553" s="782">
        <f>ROUND(((K2622*K2809*(1/K2996-1/K3183)*K3370)/1000)*$K$3484,2)</f>
        <v>583.97</v>
      </c>
      <c r="G1553" s="214" t="s">
        <v>1134</v>
      </c>
      <c r="H1553" s="155">
        <f>VLOOKUP(G1553,'CP FACTORS'!$A$3:$B$38, 2, FALSE)</f>
        <v>9.4741810000000004E-4</v>
      </c>
      <c r="I1553" s="1554">
        <f t="shared" si="164"/>
        <v>0.55326399999999998</v>
      </c>
      <c r="J1553" s="108">
        <f t="shared" si="166"/>
        <v>18</v>
      </c>
      <c r="K1553" s="1052">
        <f t="shared" si="167"/>
        <v>1444.3799999999994</v>
      </c>
      <c r="L1553" s="1088">
        <f>L1874</f>
        <v>3.2</v>
      </c>
      <c r="M1553" s="328"/>
      <c r="N1553" s="1587"/>
      <c r="O1553" s="1135"/>
      <c r="P1553" s="123"/>
      <c r="Q1553" s="123"/>
      <c r="R1553" s="1431"/>
      <c r="S1553" s="123"/>
      <c r="T1553" s="123"/>
      <c r="U1553" s="1589"/>
      <c r="V1553" s="1962" t="s">
        <v>31</v>
      </c>
      <c r="W1553" s="818">
        <v>583.96799999999996</v>
      </c>
      <c r="X1553" s="825">
        <v>583.96799999999996</v>
      </c>
      <c r="Y1553" s="737">
        <v>583.97</v>
      </c>
      <c r="Z1553" s="737">
        <v>583.97</v>
      </c>
      <c r="AA1553" s="737">
        <v>583.97</v>
      </c>
      <c r="AB1553" s="2162">
        <v>583.97</v>
      </c>
      <c r="AC1553" s="782">
        <v>583.97</v>
      </c>
      <c r="AD1553" s="818"/>
      <c r="AE1553" s="818"/>
      <c r="AF1553" s="818"/>
      <c r="AG1553" s="818"/>
      <c r="AH1553" s="163"/>
      <c r="AI1553" s="1942"/>
      <c r="AJ1553" s="1942"/>
      <c r="AK1553" s="820"/>
      <c r="AL1553" s="1942"/>
      <c r="AM1553" s="1942"/>
      <c r="AN1553" s="1942"/>
      <c r="AO1553" s="1942"/>
      <c r="AP1553" s="1942"/>
      <c r="AQ1553" s="1942"/>
      <c r="AR1553" s="1942"/>
      <c r="AS1553" s="1942"/>
      <c r="AT1553" s="1942"/>
      <c r="AU1553" s="1942"/>
      <c r="AV1553" s="1942"/>
      <c r="AW1553" s="1942"/>
      <c r="AX1553" s="1942"/>
      <c r="AY1553" s="1942"/>
      <c r="AZ1553" s="1942"/>
      <c r="BA1553" s="1942"/>
      <c r="BB1553" s="244">
        <f>(BD1553+BD1554)/(BE1553+BE1554)</f>
        <v>3.1619983716836453</v>
      </c>
      <c r="BC1553" s="710" t="str">
        <f t="shared" si="165"/>
        <v>Cooling Res 18 Year EUL</v>
      </c>
      <c r="BD1553" s="673">
        <f>(INDEX('Avoided Cost Benefits'!$C$4:$C$857,MATCH(BC1553,'Avoided Cost Benefits'!$A$4:$A$857,0)))*F1553</f>
        <v>1030.0107687180362</v>
      </c>
      <c r="BE1553" s="1949">
        <f t="shared" si="168"/>
        <v>1363.2656913638502</v>
      </c>
      <c r="BF1553" s="1942"/>
      <c r="BG1553" s="691"/>
      <c r="BH1553" s="821"/>
      <c r="BI1553" s="691"/>
    </row>
    <row r="1554" spans="1:61" s="51" customFormat="1" x14ac:dyDescent="0.25">
      <c r="A1554" s="1267" t="str">
        <f t="shared" si="163"/>
        <v>353500_2019_12_Heating Res</v>
      </c>
      <c r="B1554" s="123"/>
      <c r="C1554" s="1471" t="s">
        <v>1346</v>
      </c>
      <c r="D1554" s="1553" t="s">
        <v>322</v>
      </c>
      <c r="E1554" s="3008" t="s">
        <v>1347</v>
      </c>
      <c r="F1554" s="782">
        <f>ROUND(((K1874*K2061*(1/K2248-1/K2435)*K3370)/1000)*$K$3484,2)</f>
        <v>7100.69</v>
      </c>
      <c r="G1554" s="214" t="s">
        <v>1135</v>
      </c>
      <c r="H1554" s="155">
        <f>VLOOKUP(G1554,'CP FACTORS'!$A$3:$B$38, 2, FALSE)</f>
        <v>0</v>
      </c>
      <c r="I1554" s="1554">
        <f t="shared" si="164"/>
        <v>0</v>
      </c>
      <c r="J1554" s="108">
        <f t="shared" si="166"/>
        <v>18</v>
      </c>
      <c r="K1554" s="1052">
        <f t="shared" si="167"/>
        <v>0</v>
      </c>
      <c r="L1554" s="1088"/>
      <c r="M1554" s="328"/>
      <c r="N1554" s="1587"/>
      <c r="O1554" s="1135"/>
      <c r="P1554" s="123"/>
      <c r="Q1554" s="123"/>
      <c r="R1554" s="1431"/>
      <c r="S1554" s="123"/>
      <c r="T1554" s="123"/>
      <c r="U1554" s="1589"/>
      <c r="V1554" s="1962" t="s">
        <v>31</v>
      </c>
      <c r="W1554" s="818">
        <v>9535.6225050639387</v>
      </c>
      <c r="X1554" s="819">
        <v>7100.6925174592607</v>
      </c>
      <c r="Y1554" s="737">
        <v>7100.69</v>
      </c>
      <c r="Z1554" s="737">
        <v>7100.69</v>
      </c>
      <c r="AA1554" s="737">
        <v>7100.69</v>
      </c>
      <c r="AB1554" s="2162">
        <v>7100.69</v>
      </c>
      <c r="AC1554" s="782">
        <v>7100.69</v>
      </c>
      <c r="AD1554" s="818"/>
      <c r="AE1554" s="818"/>
      <c r="AF1554" s="818"/>
      <c r="AG1554" s="818"/>
      <c r="AH1554" s="163"/>
      <c r="AI1554" s="1942"/>
      <c r="AJ1554" s="1942"/>
      <c r="AK1554" s="820"/>
      <c r="AL1554" s="1942"/>
      <c r="AM1554" s="1942"/>
      <c r="AN1554" s="1942"/>
      <c r="AO1554" s="1942"/>
      <c r="AP1554" s="1942"/>
      <c r="AQ1554" s="1942"/>
      <c r="AR1554" s="1942"/>
      <c r="AS1554" s="1942"/>
      <c r="AT1554" s="1942"/>
      <c r="AU1554" s="1942"/>
      <c r="AV1554" s="1942"/>
      <c r="AW1554" s="1942"/>
      <c r="AX1554" s="1942"/>
      <c r="AY1554" s="1942"/>
      <c r="AZ1554" s="1942"/>
      <c r="BA1554" s="1942"/>
      <c r="BB1554" s="242"/>
      <c r="BC1554" s="822" t="str">
        <f t="shared" si="165"/>
        <v>Heating Res 18 Year EUL</v>
      </c>
      <c r="BD1554" s="673">
        <f>(INDEX('Avoided Cost Benefits'!$C$4:$C$857,MATCH(BC1554,'Avoided Cost Benefits'!$A$4:$A$857,0)))*F1554</f>
        <v>3280.6331275466368</v>
      </c>
      <c r="BE1554" s="1949">
        <f t="shared" si="168"/>
        <v>0</v>
      </c>
      <c r="BF1554" s="1942"/>
      <c r="BG1554" s="691"/>
      <c r="BH1554" s="821"/>
      <c r="BI1554" s="691"/>
    </row>
    <row r="1555" spans="1:61" s="51" customFormat="1" x14ac:dyDescent="0.25">
      <c r="A1555" s="1267" t="str">
        <f t="shared" si="163"/>
        <v>353501_2019_12_Cooling Res</v>
      </c>
      <c r="B1555" s="123"/>
      <c r="C1555" s="1471" t="s">
        <v>1348</v>
      </c>
      <c r="D1555" s="1553" t="s">
        <v>317</v>
      </c>
      <c r="E1555" s="2878" t="s">
        <v>1349</v>
      </c>
      <c r="F1555" s="782">
        <f>ROUND((($K$2623*$K$2810*(1/$K$2997-1/$K$3184)*$K$3371)/1000)*$K$3484,2)</f>
        <v>424.7</v>
      </c>
      <c r="G1555" s="214" t="str">
        <f>G1553</f>
        <v>Cooling Res</v>
      </c>
      <c r="H1555" s="155">
        <f>VLOOKUP(G1555,'CP FACTORS'!$A$3:$B$38, 2, FALSE)</f>
        <v>9.4741810000000004E-4</v>
      </c>
      <c r="I1555" s="1554">
        <f t="shared" si="164"/>
        <v>0.402368</v>
      </c>
      <c r="J1555" s="108">
        <f t="shared" si="166"/>
        <v>18</v>
      </c>
      <c r="K1555" s="3294">
        <f t="shared" si="167"/>
        <v>1444.3799999999994</v>
      </c>
      <c r="L1555" s="3296">
        <f>L1875</f>
        <v>3.2</v>
      </c>
      <c r="M1555" s="328"/>
      <c r="N1555" s="1587"/>
      <c r="O1555" s="1135"/>
      <c r="P1555" s="123"/>
      <c r="Q1555" s="123"/>
      <c r="R1555" s="1431"/>
      <c r="S1555" s="123"/>
      <c r="T1555" s="123"/>
      <c r="U1555" s="1589"/>
      <c r="V1555" s="1962" t="s">
        <v>31</v>
      </c>
      <c r="W1555" s="818"/>
      <c r="X1555" s="819"/>
      <c r="Y1555" s="742">
        <v>424.7</v>
      </c>
      <c r="Z1555" s="737">
        <v>424.7</v>
      </c>
      <c r="AA1555" s="737">
        <v>424.7</v>
      </c>
      <c r="AB1555" s="2162">
        <v>424.7</v>
      </c>
      <c r="AC1555" s="782">
        <v>424.7</v>
      </c>
      <c r="AD1555" s="818"/>
      <c r="AE1555" s="818"/>
      <c r="AF1555" s="818"/>
      <c r="AG1555" s="818"/>
      <c r="AH1555" s="163"/>
      <c r="AI1555" s="1942"/>
      <c r="AJ1555" s="1942"/>
      <c r="AK1555" s="820"/>
      <c r="AL1555" s="1942"/>
      <c r="AM1555" s="1942"/>
      <c r="AN1555" s="1942"/>
      <c r="AO1555" s="1942"/>
      <c r="AP1555" s="1942"/>
      <c r="AQ1555" s="1942"/>
      <c r="AR1555" s="1942"/>
      <c r="AS1555" s="1942"/>
      <c r="AT1555" s="1942"/>
      <c r="AU1555" s="1942"/>
      <c r="AV1555" s="1942"/>
      <c r="AW1555" s="1942"/>
      <c r="AX1555" s="1942"/>
      <c r="AY1555" s="1942"/>
      <c r="AZ1555" s="1942"/>
      <c r="BA1555" s="1942"/>
      <c r="BB1555" s="244">
        <f>(BD1555+BD1556)/(BE1555+BE1556)</f>
        <v>1.3698627450752061</v>
      </c>
      <c r="BC1555" s="710" t="str">
        <f t="shared" si="165"/>
        <v>Cooling Res 18 Year EUL</v>
      </c>
      <c r="BD1555" s="673">
        <f>(INDEX('Avoided Cost Benefits'!$C$4:$C$857,MATCH(BC1555,'Avoided Cost Benefits'!$A$4:$A$857,0)))*F1555</f>
        <v>749.089120116701</v>
      </c>
      <c r="BE1555" s="1949">
        <f t="shared" si="168"/>
        <v>1363.2656913638502</v>
      </c>
      <c r="BF1555" s="1942"/>
      <c r="BG1555" s="691"/>
      <c r="BH1555" s="824"/>
      <c r="BI1555" s="691"/>
    </row>
    <row r="1556" spans="1:61" s="51" customFormat="1" x14ac:dyDescent="0.25">
      <c r="A1556" s="1267" t="str">
        <f t="shared" si="163"/>
        <v>353501_2019_12_Heating Res</v>
      </c>
      <c r="B1556" s="123"/>
      <c r="C1556" s="1471" t="str">
        <f>C1555</f>
        <v>353501_2019_12_</v>
      </c>
      <c r="D1556" s="1553" t="s">
        <v>317</v>
      </c>
      <c r="E1556" s="3005" t="s">
        <v>1349</v>
      </c>
      <c r="F1556" s="782">
        <f>ROUND((($K$1875*$K$2062*(1/$K$2249-1/$K$2436)*$K$3371)/1000)*$K$3484,2)</f>
        <v>2420.69</v>
      </c>
      <c r="G1556" s="214" t="str">
        <f>G1554</f>
        <v>Heating Res</v>
      </c>
      <c r="H1556" s="155">
        <f>VLOOKUP(G1556,'CP FACTORS'!$A$3:$B$38, 2, FALSE)</f>
        <v>0</v>
      </c>
      <c r="I1556" s="1554">
        <f t="shared" si="164"/>
        <v>0</v>
      </c>
      <c r="J1556" s="108">
        <f t="shared" si="166"/>
        <v>18</v>
      </c>
      <c r="K1556" s="1052">
        <f t="shared" si="167"/>
        <v>0</v>
      </c>
      <c r="L1556" s="1088"/>
      <c r="M1556" s="328"/>
      <c r="N1556" s="1587"/>
      <c r="O1556" s="1135"/>
      <c r="P1556" s="123"/>
      <c r="Q1556" s="123"/>
      <c r="R1556" s="1431"/>
      <c r="S1556" s="123"/>
      <c r="T1556" s="123"/>
      <c r="U1556" s="1589"/>
      <c r="V1556" s="1962" t="s">
        <v>31</v>
      </c>
      <c r="W1556" s="818"/>
      <c r="X1556" s="819"/>
      <c r="Y1556" s="742">
        <v>2420.69</v>
      </c>
      <c r="Z1556" s="737">
        <v>2420.69</v>
      </c>
      <c r="AA1556" s="737">
        <v>2420.69</v>
      </c>
      <c r="AB1556" s="2162">
        <v>2420.69</v>
      </c>
      <c r="AC1556" s="782">
        <v>2420.69</v>
      </c>
      <c r="AD1556" s="818"/>
      <c r="AE1556" s="818"/>
      <c r="AF1556" s="818"/>
      <c r="AG1556" s="818"/>
      <c r="AH1556" s="163"/>
      <c r="AI1556" s="1942"/>
      <c r="AJ1556" s="1942"/>
      <c r="AK1556" s="820"/>
      <c r="AL1556" s="1942"/>
      <c r="AM1556" s="1942"/>
      <c r="AN1556" s="1942"/>
      <c r="AO1556" s="1942"/>
      <c r="AP1556" s="1942"/>
      <c r="AQ1556" s="1942"/>
      <c r="AR1556" s="1942"/>
      <c r="AS1556" s="1942"/>
      <c r="AT1556" s="1942"/>
      <c r="AU1556" s="1942"/>
      <c r="AV1556" s="1942"/>
      <c r="AW1556" s="1942"/>
      <c r="AX1556" s="1942"/>
      <c r="AY1556" s="1942"/>
      <c r="AZ1556" s="1942"/>
      <c r="BA1556" s="1942"/>
      <c r="BB1556" s="242"/>
      <c r="BC1556" s="822" t="str">
        <f t="shared" si="165"/>
        <v>Heating Res 18 Year EUL</v>
      </c>
      <c r="BD1556" s="673">
        <f>(INDEX('Avoided Cost Benefits'!$C$4:$C$857,MATCH(BC1556,'Avoided Cost Benefits'!$A$4:$A$857,0)))*F1556</f>
        <v>1118.3977621218316</v>
      </c>
      <c r="BE1556" s="1949">
        <f t="shared" si="168"/>
        <v>0</v>
      </c>
      <c r="BF1556" s="1942"/>
      <c r="BG1556" s="691"/>
      <c r="BH1556" s="824"/>
      <c r="BI1556" s="691"/>
    </row>
    <row r="1557" spans="1:61" s="1942" customFormat="1" x14ac:dyDescent="0.25">
      <c r="A1557" s="1267"/>
      <c r="B1557" s="123"/>
      <c r="C1557" s="2038" t="s">
        <v>1350</v>
      </c>
      <c r="D1557" s="2695" t="s">
        <v>322</v>
      </c>
      <c r="E1557" s="3007" t="s">
        <v>1351</v>
      </c>
      <c r="F1557" s="742">
        <f>ROUND(((K2624*K2811*(1/K2998-1/K3185)*K3372)/1000)*$K$3484,2)</f>
        <v>583.97</v>
      </c>
      <c r="G1557" s="2042" t="s">
        <v>1134</v>
      </c>
      <c r="H1557" s="2867">
        <f>VLOOKUP(G1557,'CP FACTORS'!$A$3:$B$38, 2, FALSE)</f>
        <v>9.4741810000000004E-4</v>
      </c>
      <c r="I1557" s="2757">
        <f t="shared" si="164"/>
        <v>0.55326399999999998</v>
      </c>
      <c r="J1557" s="116">
        <f t="shared" si="166"/>
        <v>18</v>
      </c>
      <c r="K1557" s="3294">
        <f t="shared" si="167"/>
        <v>1444.3799999999994</v>
      </c>
      <c r="L1557" s="3296">
        <f>L1876</f>
        <v>3.2</v>
      </c>
      <c r="M1557" s="328"/>
      <c r="N1557" s="1587"/>
      <c r="O1557" s="1135"/>
      <c r="P1557" s="123"/>
      <c r="Q1557" s="123"/>
      <c r="R1557" s="1431"/>
      <c r="S1557" s="123"/>
      <c r="T1557" s="123"/>
      <c r="U1557" s="1589"/>
      <c r="V1557" s="1958" t="s">
        <v>31</v>
      </c>
      <c r="W1557" s="818"/>
      <c r="X1557" s="819"/>
      <c r="Y1557" s="742"/>
      <c r="Z1557" s="737"/>
      <c r="AA1557" s="737"/>
      <c r="AB1557" s="2162"/>
      <c r="AC1557" s="742">
        <v>583.97</v>
      </c>
      <c r="AD1557" s="818"/>
      <c r="AE1557" s="818"/>
      <c r="AF1557" s="818"/>
      <c r="AG1557" s="818"/>
      <c r="AH1557" s="163"/>
      <c r="AK1557" s="820"/>
      <c r="BB1557" s="244">
        <f>(BD1557+BD1558)/(BE1557+BE1558)</f>
        <v>0.7555466078571843</v>
      </c>
      <c r="BC1557" s="3049" t="str">
        <f t="shared" si="165"/>
        <v>Cooling Res 18 Year EUL</v>
      </c>
      <c r="BD1557" s="673">
        <f>(INDEX('Avoided Cost Benefits'!$C$4:$C$857,MATCH(BC1557,'Avoided Cost Benefits'!$A$4:$A$857,0)))*F1557</f>
        <v>1030.0107687180362</v>
      </c>
      <c r="BE1557" s="1949">
        <f t="shared" si="168"/>
        <v>1363.2656913638502</v>
      </c>
      <c r="BG1557" s="691"/>
      <c r="BH1557" s="824"/>
      <c r="BI1557" s="691"/>
    </row>
    <row r="1558" spans="1:61" s="1942" customFormat="1" x14ac:dyDescent="0.25">
      <c r="A1558" s="1267"/>
      <c r="B1558" s="123"/>
      <c r="C1558" s="2038" t="s">
        <v>1350</v>
      </c>
      <c r="D1558" s="2695" t="s">
        <v>322</v>
      </c>
      <c r="E1558" s="3005" t="s">
        <v>1351</v>
      </c>
      <c r="F1558" s="742">
        <v>0</v>
      </c>
      <c r="G1558" s="2042" t="s">
        <v>1135</v>
      </c>
      <c r="H1558" s="2867">
        <f>VLOOKUP(G1558,'CP FACTORS'!$A$3:$B$38, 2, FALSE)</f>
        <v>0</v>
      </c>
      <c r="I1558" s="2757">
        <f t="shared" si="164"/>
        <v>0</v>
      </c>
      <c r="J1558" s="116">
        <f t="shared" si="166"/>
        <v>18</v>
      </c>
      <c r="K1558" s="3294">
        <f t="shared" si="167"/>
        <v>0</v>
      </c>
      <c r="L1558" s="3296"/>
      <c r="M1558" s="328"/>
      <c r="N1558" s="1587"/>
      <c r="O1558" s="1135"/>
      <c r="P1558" s="123"/>
      <c r="Q1558" s="123"/>
      <c r="R1558" s="1431"/>
      <c r="S1558" s="123"/>
      <c r="T1558" s="123"/>
      <c r="U1558" s="1589"/>
      <c r="V1558" s="1958" t="s">
        <v>31</v>
      </c>
      <c r="W1558" s="818"/>
      <c r="X1558" s="819"/>
      <c r="Y1558" s="742"/>
      <c r="Z1558" s="737"/>
      <c r="AA1558" s="737"/>
      <c r="AB1558" s="2162"/>
      <c r="AC1558" s="742">
        <v>0</v>
      </c>
      <c r="AD1558" s="818"/>
      <c r="AE1558" s="818"/>
      <c r="AF1558" s="818"/>
      <c r="AG1558" s="818"/>
      <c r="AH1558" s="163"/>
      <c r="AK1558" s="820"/>
      <c r="BB1558" s="242"/>
      <c r="BC1558" s="822" t="str">
        <f t="shared" si="165"/>
        <v>Heating Res 18 Year EUL</v>
      </c>
      <c r="BD1558" s="673">
        <f>(INDEX('Avoided Cost Benefits'!$C$4:$C$857,MATCH(BC1558,'Avoided Cost Benefits'!$A$4:$A$857,0)))*F1558</f>
        <v>0</v>
      </c>
      <c r="BE1558" s="1949">
        <f t="shared" si="168"/>
        <v>0</v>
      </c>
      <c r="BG1558" s="691"/>
      <c r="BH1558" s="824"/>
      <c r="BI1558" s="691"/>
    </row>
    <row r="1559" spans="1:61" s="1942" customFormat="1" x14ac:dyDescent="0.25">
      <c r="A1559" s="1267"/>
      <c r="B1559" s="123"/>
      <c r="C1559" s="2038" t="s">
        <v>1352</v>
      </c>
      <c r="D1559" s="2695" t="s">
        <v>317</v>
      </c>
      <c r="E1559" s="3007" t="s">
        <v>1353</v>
      </c>
      <c r="F1559" s="742">
        <f>ROUND(((K2625*K2812*(1/K2999-1/K3186)*K3373)/1000)*$K$3484,2)</f>
        <v>424.7</v>
      </c>
      <c r="G1559" s="2042" t="s">
        <v>1134</v>
      </c>
      <c r="H1559" s="2867">
        <f>VLOOKUP(G1559,'CP FACTORS'!$A$3:$B$38, 2, FALSE)</f>
        <v>9.4741810000000004E-4</v>
      </c>
      <c r="I1559" s="2757">
        <f t="shared" si="164"/>
        <v>0.402368</v>
      </c>
      <c r="J1559" s="116">
        <f t="shared" si="166"/>
        <v>18</v>
      </c>
      <c r="K1559" s="3294">
        <f t="shared" si="167"/>
        <v>1444.3799999999994</v>
      </c>
      <c r="L1559" s="3296">
        <f>L1877</f>
        <v>3.2</v>
      </c>
      <c r="M1559" s="328"/>
      <c r="N1559" s="1587"/>
      <c r="O1559" s="1135"/>
      <c r="P1559" s="123"/>
      <c r="Q1559" s="123"/>
      <c r="R1559" s="1431"/>
      <c r="S1559" s="123"/>
      <c r="T1559" s="123"/>
      <c r="U1559" s="1589"/>
      <c r="V1559" s="1958" t="s">
        <v>31</v>
      </c>
      <c r="W1559" s="818"/>
      <c r="X1559" s="819"/>
      <c r="Y1559" s="742"/>
      <c r="Z1559" s="737"/>
      <c r="AA1559" s="737"/>
      <c r="AB1559" s="2162"/>
      <c r="AC1559" s="742">
        <v>424.7</v>
      </c>
      <c r="AD1559" s="818"/>
      <c r="AE1559" s="818"/>
      <c r="AF1559" s="818"/>
      <c r="AG1559" s="818"/>
      <c r="AH1559" s="163"/>
      <c r="AK1559" s="820"/>
      <c r="BB1559" s="244">
        <f>(BD1559+BD1560)/(BE1559+BE1560)</f>
        <v>0.54948138492892806</v>
      </c>
      <c r="BC1559" s="3049" t="str">
        <f t="shared" si="165"/>
        <v>Cooling Res 18 Year EUL</v>
      </c>
      <c r="BD1559" s="673">
        <f>(INDEX('Avoided Cost Benefits'!$C$4:$C$857,MATCH(BC1559,'Avoided Cost Benefits'!$A$4:$A$857,0)))*F1559</f>
        <v>749.089120116701</v>
      </c>
      <c r="BE1559" s="1949">
        <f t="shared" si="168"/>
        <v>1363.2656913638502</v>
      </c>
      <c r="BG1559" s="691"/>
      <c r="BH1559" s="824"/>
      <c r="BI1559" s="691"/>
    </row>
    <row r="1560" spans="1:61" s="1942" customFormat="1" x14ac:dyDescent="0.25">
      <c r="A1560" s="1267"/>
      <c r="B1560" s="123"/>
      <c r="C1560" s="2038" t="s">
        <v>1352</v>
      </c>
      <c r="D1560" s="2695" t="s">
        <v>317</v>
      </c>
      <c r="E1560" s="3007" t="s">
        <v>1353</v>
      </c>
      <c r="F1560" s="742">
        <f>0</f>
        <v>0</v>
      </c>
      <c r="G1560" s="2042" t="s">
        <v>1135</v>
      </c>
      <c r="H1560" s="2867">
        <f>VLOOKUP(G1560,'CP FACTORS'!$A$3:$B$38, 2, FALSE)</f>
        <v>0</v>
      </c>
      <c r="I1560" s="2757">
        <f t="shared" si="164"/>
        <v>0</v>
      </c>
      <c r="J1560" s="116">
        <f t="shared" si="166"/>
        <v>18</v>
      </c>
      <c r="K1560" s="3294">
        <f t="shared" si="167"/>
        <v>0</v>
      </c>
      <c r="L1560" s="3296"/>
      <c r="M1560" s="328"/>
      <c r="N1560" s="1587"/>
      <c r="O1560" s="1135"/>
      <c r="P1560" s="123"/>
      <c r="Q1560" s="123"/>
      <c r="R1560" s="1431"/>
      <c r="S1560" s="123"/>
      <c r="T1560" s="123"/>
      <c r="U1560" s="1589"/>
      <c r="V1560" s="1958" t="s">
        <v>31</v>
      </c>
      <c r="W1560" s="818"/>
      <c r="X1560" s="819"/>
      <c r="Y1560" s="742"/>
      <c r="Z1560" s="737"/>
      <c r="AA1560" s="737"/>
      <c r="AB1560" s="2162"/>
      <c r="AC1560" s="742">
        <v>0</v>
      </c>
      <c r="AD1560" s="818"/>
      <c r="AE1560" s="818"/>
      <c r="AF1560" s="818"/>
      <c r="AG1560" s="818"/>
      <c r="AH1560" s="163"/>
      <c r="AK1560" s="820"/>
      <c r="BB1560" s="242"/>
      <c r="BC1560" s="3049" t="str">
        <f t="shared" si="165"/>
        <v>Heating Res 18 Year EUL</v>
      </c>
      <c r="BD1560" s="673">
        <f>(INDEX('Avoided Cost Benefits'!$C$4:$C$857,MATCH(BC1560,'Avoided Cost Benefits'!$A$4:$A$857,0)))*F1560</f>
        <v>0</v>
      </c>
      <c r="BE1560" s="1949">
        <f t="shared" si="168"/>
        <v>0</v>
      </c>
      <c r="BG1560" s="691"/>
      <c r="BH1560" s="824"/>
      <c r="BI1560" s="691"/>
    </row>
    <row r="1561" spans="1:61" s="51" customFormat="1" x14ac:dyDescent="0.25">
      <c r="A1561" s="1267" t="str">
        <f t="shared" si="163"/>
        <v>353550_2021_12_Cooling Res</v>
      </c>
      <c r="B1561" s="123"/>
      <c r="C1561" s="2038" t="s">
        <v>1355</v>
      </c>
      <c r="D1561" s="1553" t="s">
        <v>320</v>
      </c>
      <c r="E1561" s="2878" t="s">
        <v>1356</v>
      </c>
      <c r="F1561" s="742">
        <f>ROUND(((K2626*K2813*(1/K3000-1/K3187)*K3374)/1000)*$K$3484,2)</f>
        <v>2697.17</v>
      </c>
      <c r="G1561" s="214" t="s">
        <v>1134</v>
      </c>
      <c r="H1561" s="155">
        <f>VLOOKUP(G1561,'CP FACTORS'!$A$3:$B$38, 2, FALSE)</f>
        <v>9.4741810000000004E-4</v>
      </c>
      <c r="I1561" s="1554">
        <f t="shared" ref="I1561:I1624" si="169">ROUND(F1561*H1561,6)</f>
        <v>2.555348</v>
      </c>
      <c r="J1561" s="108">
        <f t="shared" si="166"/>
        <v>6</v>
      </c>
      <c r="K1561" s="3294">
        <f t="shared" si="167"/>
        <v>2547.9287573669544</v>
      </c>
      <c r="L1561" s="1088">
        <f>L1878</f>
        <v>3.5909090909090908</v>
      </c>
      <c r="M1561" s="328"/>
      <c r="N1561" s="1587"/>
      <c r="O1561" s="1135"/>
      <c r="P1561" s="123"/>
      <c r="Q1561" s="123"/>
      <c r="R1561" s="1431"/>
      <c r="S1561" s="123"/>
      <c r="T1561" s="123"/>
      <c r="U1561" s="1589"/>
      <c r="V1561" s="1962" t="s">
        <v>31</v>
      </c>
      <c r="W1561" s="818">
        <v>3214.5697478991597</v>
      </c>
      <c r="X1561" s="819">
        <v>2341.3968787515005</v>
      </c>
      <c r="Y1561" s="737">
        <v>2341.4</v>
      </c>
      <c r="Z1561" s="737">
        <v>2341.4</v>
      </c>
      <c r="AA1561" s="737">
        <v>2341.4</v>
      </c>
      <c r="AB1561" s="2162">
        <v>2341.4</v>
      </c>
      <c r="AC1561" s="742">
        <v>2697.17</v>
      </c>
      <c r="AD1561" s="818"/>
      <c r="AE1561" s="818"/>
      <c r="AF1561" s="818"/>
      <c r="AG1561" s="818"/>
      <c r="AH1561" s="163"/>
      <c r="AI1561" s="1942"/>
      <c r="AJ1561" s="1942"/>
      <c r="AK1561" s="820"/>
      <c r="AL1561" s="1942"/>
      <c r="AM1561" s="1942"/>
      <c r="AN1561" s="1942"/>
      <c r="AO1561" s="1942"/>
      <c r="AP1561" s="1942"/>
      <c r="AQ1561" s="1942"/>
      <c r="AR1561" s="1942"/>
      <c r="AS1561" s="1942"/>
      <c r="AT1561" s="1942"/>
      <c r="AU1561" s="1942"/>
      <c r="AV1561" s="1942"/>
      <c r="AW1561" s="1942"/>
      <c r="AX1561" s="1942"/>
      <c r="AY1561" s="1942"/>
      <c r="AZ1561" s="1942"/>
      <c r="BA1561" s="1942"/>
      <c r="BB1561" s="244">
        <f>(BD1561+BD1562+BD1563+BD1564)/(BE1561+BE1562+BE1563+BE1564)</f>
        <v>3.6957199555094586</v>
      </c>
      <c r="BC1561" s="3115" t="str">
        <f t="shared" ref="BC1561:BC1624" si="170">CONCATENATE(G1561," ",J1561," Year EUL")</f>
        <v>Cooling Res 6 Year EUL</v>
      </c>
      <c r="BD1561" s="673">
        <f>(INDEX('Avoided Cost Benefits'!$C$4:$C$857,MATCH(BC1561,'Avoided Cost Benefits'!$A$4:$A$857,0)))*F1561</f>
        <v>1568.3616397434139</v>
      </c>
      <c r="BE1561" s="1949">
        <f t="shared" si="168"/>
        <v>2404.8407337111412</v>
      </c>
      <c r="BF1561" s="1942"/>
      <c r="BG1561" s="691"/>
      <c r="BH1561" s="821"/>
      <c r="BI1561" s="691"/>
    </row>
    <row r="1562" spans="1:61" s="51" customFormat="1" x14ac:dyDescent="0.25">
      <c r="A1562" s="1267" t="str">
        <f t="shared" si="163"/>
        <v>353550_2021_12_Heating Res</v>
      </c>
      <c r="B1562" s="123"/>
      <c r="C1562" s="2038" t="s">
        <v>1355</v>
      </c>
      <c r="D1562" s="1553" t="s">
        <v>320</v>
      </c>
      <c r="E1562" s="3007" t="s">
        <v>1356</v>
      </c>
      <c r="F1562" s="742">
        <f>ROUND(((K1878*K2065*(1/K2252-1/K2439)*K3374)/1000)*$K$3484,2)</f>
        <v>12895.04</v>
      </c>
      <c r="G1562" s="214" t="s">
        <v>1135</v>
      </c>
      <c r="H1562" s="155">
        <f>VLOOKUP(G1562,'CP FACTORS'!$A$3:$B$38, 2, FALSE)</f>
        <v>0</v>
      </c>
      <c r="I1562" s="1554">
        <f t="shared" si="169"/>
        <v>0</v>
      </c>
      <c r="J1562" s="108">
        <f t="shared" si="166"/>
        <v>6</v>
      </c>
      <c r="K1562" s="1052">
        <f t="shared" si="167"/>
        <v>0</v>
      </c>
      <c r="L1562" s="1088"/>
      <c r="M1562" s="328"/>
      <c r="N1562" s="1587"/>
      <c r="O1562" s="1135"/>
      <c r="P1562" s="123"/>
      <c r="Q1562" s="123"/>
      <c r="R1562" s="1431"/>
      <c r="S1562" s="123"/>
      <c r="T1562" s="123"/>
      <c r="U1562" s="1589"/>
      <c r="V1562" s="1962" t="s">
        <v>31</v>
      </c>
      <c r="W1562" s="818">
        <v>13965.852998065762</v>
      </c>
      <c r="X1562" s="819">
        <v>10399.659574468084</v>
      </c>
      <c r="Y1562" s="737">
        <v>10399.66</v>
      </c>
      <c r="Z1562" s="737">
        <v>10399.66</v>
      </c>
      <c r="AA1562" s="737">
        <v>10399.66</v>
      </c>
      <c r="AB1562" s="2162">
        <v>10399.66</v>
      </c>
      <c r="AC1562" s="742">
        <v>12895.04</v>
      </c>
      <c r="AD1562" s="818"/>
      <c r="AE1562" s="818"/>
      <c r="AF1562" s="818"/>
      <c r="AG1562" s="818"/>
      <c r="AH1562" s="163"/>
      <c r="AI1562" s="1942"/>
      <c r="AJ1562" s="1942"/>
      <c r="AK1562" s="820"/>
      <c r="AL1562" s="1942"/>
      <c r="AM1562" s="1942"/>
      <c r="AN1562" s="1942"/>
      <c r="AO1562" s="1942"/>
      <c r="AP1562" s="1942"/>
      <c r="AQ1562" s="1942"/>
      <c r="AR1562" s="1942"/>
      <c r="AS1562" s="1942"/>
      <c r="AT1562" s="1942"/>
      <c r="AU1562" s="1942"/>
      <c r="AV1562" s="1942"/>
      <c r="AW1562" s="1942"/>
      <c r="AX1562" s="1942"/>
      <c r="AY1562" s="1942"/>
      <c r="AZ1562" s="1942"/>
      <c r="BA1562" s="1942"/>
      <c r="BB1562" s="734"/>
      <c r="BC1562" s="3130" t="str">
        <f t="shared" si="170"/>
        <v>Heating Res 6 Year EUL</v>
      </c>
      <c r="BD1562" s="673">
        <f>(INDEX('Avoided Cost Benefits'!$C$4:$C$857,MATCH(BC1562,'Avoided Cost Benefits'!$A$4:$A$857,0)))*F1562</f>
        <v>2144.8771902382318</v>
      </c>
      <c r="BE1562" s="1949">
        <f t="shared" si="168"/>
        <v>0</v>
      </c>
      <c r="BF1562" s="1942"/>
      <c r="BG1562" s="691"/>
      <c r="BH1562" s="821"/>
      <c r="BI1562" s="691"/>
    </row>
    <row r="1563" spans="1:61" s="51" customFormat="1" x14ac:dyDescent="0.25">
      <c r="A1563" s="1267" t="str">
        <f t="shared" si="163"/>
        <v>353550_2021_12_Cooling Res ER2</v>
      </c>
      <c r="B1563" s="123"/>
      <c r="C1563" s="2038" t="s">
        <v>1355</v>
      </c>
      <c r="D1563" s="1553" t="s">
        <v>320</v>
      </c>
      <c r="E1563" s="3007" t="s">
        <v>1357</v>
      </c>
      <c r="F1563" s="742">
        <f>ROUND(((K2627*K2814*(1/K3001-1/K3188)*K3375)/1000)*$K$3484,2)</f>
        <v>1151.58</v>
      </c>
      <c r="G1563" s="1580" t="s">
        <v>1176</v>
      </c>
      <c r="H1563" s="155">
        <f>VLOOKUP(G1563,'CP FACTORS'!$A$3:$B$38, 2, FALSE)</f>
        <v>9.4741810000000004E-4</v>
      </c>
      <c r="I1563" s="1554">
        <f t="shared" si="169"/>
        <v>1.0910280000000001</v>
      </c>
      <c r="J1563" s="108">
        <f t="shared" si="166"/>
        <v>12</v>
      </c>
      <c r="K1563" s="1052">
        <f t="shared" si="167"/>
        <v>0</v>
      </c>
      <c r="L1563" s="1088"/>
      <c r="M1563" s="328"/>
      <c r="N1563" s="1587"/>
      <c r="O1563" s="1135"/>
      <c r="P1563" s="123"/>
      <c r="Q1563" s="123"/>
      <c r="R1563" s="1431"/>
      <c r="S1563" s="123"/>
      <c r="T1563" s="123"/>
      <c r="U1563" s="1589"/>
      <c r="V1563" s="1962" t="s">
        <v>31</v>
      </c>
      <c r="W1563" s="818">
        <v>947.30549450549472</v>
      </c>
      <c r="X1563" s="825">
        <v>947.30549450549472</v>
      </c>
      <c r="Y1563" s="737">
        <v>947.31</v>
      </c>
      <c r="Z1563" s="737">
        <v>947.31</v>
      </c>
      <c r="AA1563" s="737">
        <v>947.31</v>
      </c>
      <c r="AB1563" s="2162">
        <v>947.31</v>
      </c>
      <c r="AC1563" s="742">
        <v>1151.58</v>
      </c>
      <c r="AD1563" s="818"/>
      <c r="AE1563" s="818"/>
      <c r="AF1563" s="818"/>
      <c r="AG1563" s="818"/>
      <c r="AH1563" s="163"/>
      <c r="AI1563" s="1942"/>
      <c r="AJ1563" s="1942"/>
      <c r="AK1563" s="820"/>
      <c r="AL1563" s="1942"/>
      <c r="AM1563" s="1942"/>
      <c r="AN1563" s="1942"/>
      <c r="AO1563" s="1942"/>
      <c r="AP1563" s="1942"/>
      <c r="AQ1563" s="1942"/>
      <c r="AR1563" s="1942"/>
      <c r="AS1563" s="1942"/>
      <c r="AT1563" s="1942"/>
      <c r="AU1563" s="1942"/>
      <c r="AV1563" s="1942"/>
      <c r="AW1563" s="1942"/>
      <c r="AX1563" s="1942"/>
      <c r="AY1563" s="1942"/>
      <c r="AZ1563" s="1942"/>
      <c r="BA1563" s="1942"/>
      <c r="BB1563" s="734"/>
      <c r="BC1563" s="3130" t="str">
        <f t="shared" si="170"/>
        <v>Cooling Res ER2 12 Year EUL</v>
      </c>
      <c r="BD1563" s="673">
        <f>(INDEX('Avoided Cost Benefits'!$C$4:$C$857,MATCH(BC1563,'Avoided Cost Benefits'!$A$4:$A$857,0)))*F1563</f>
        <v>1361.5401114994131</v>
      </c>
      <c r="BE1563" s="1949">
        <f t="shared" si="168"/>
        <v>0</v>
      </c>
      <c r="BF1563" s="1942"/>
      <c r="BG1563" s="691"/>
      <c r="BH1563" s="821"/>
      <c r="BI1563" s="691"/>
    </row>
    <row r="1564" spans="1:61" s="51" customFormat="1" x14ac:dyDescent="0.25">
      <c r="A1564" s="1267" t="str">
        <f t="shared" si="163"/>
        <v>353550_2021_12_Heating Res ER2</v>
      </c>
      <c r="B1564" s="123"/>
      <c r="C1564" s="2038" t="s">
        <v>1355</v>
      </c>
      <c r="D1564" s="1553" t="s">
        <v>320</v>
      </c>
      <c r="E1564" s="3005" t="s">
        <v>1357</v>
      </c>
      <c r="F1564" s="742">
        <f>ROUND(((K1879*K2066*(1/K2253-1/K2440)*K3375)/1000)*$K$3484,2)</f>
        <v>12895.04</v>
      </c>
      <c r="G1564" s="1580" t="s">
        <v>1195</v>
      </c>
      <c r="H1564" s="155">
        <f>VLOOKUP(G1564,'CP FACTORS'!$A$3:$B$38, 2, FALSE)</f>
        <v>0</v>
      </c>
      <c r="I1564" s="1554">
        <f t="shared" si="169"/>
        <v>0</v>
      </c>
      <c r="J1564" s="108">
        <f t="shared" si="166"/>
        <v>12</v>
      </c>
      <c r="K1564" s="1052">
        <f t="shared" si="167"/>
        <v>0</v>
      </c>
      <c r="L1564" s="1088"/>
      <c r="M1564" s="328"/>
      <c r="N1564" s="1587"/>
      <c r="O1564" s="1135"/>
      <c r="P1564" s="123"/>
      <c r="Q1564" s="123"/>
      <c r="R1564" s="1431"/>
      <c r="S1564" s="123"/>
      <c r="T1564" s="123"/>
      <c r="U1564" s="1589"/>
      <c r="V1564" s="1962" t="s">
        <v>31</v>
      </c>
      <c r="W1564" s="818">
        <v>13965.852998065762</v>
      </c>
      <c r="X1564" s="819">
        <v>10399.659574468084</v>
      </c>
      <c r="Y1564" s="737">
        <v>10399.66</v>
      </c>
      <c r="Z1564" s="737">
        <v>10399.66</v>
      </c>
      <c r="AA1564" s="737">
        <v>10399.66</v>
      </c>
      <c r="AB1564" s="2162">
        <v>10399.66</v>
      </c>
      <c r="AC1564" s="742">
        <v>12895.04</v>
      </c>
      <c r="AD1564" s="818"/>
      <c r="AE1564" s="818"/>
      <c r="AF1564" s="818"/>
      <c r="AG1564" s="818"/>
      <c r="AH1564" s="163"/>
      <c r="AI1564" s="1942"/>
      <c r="AJ1564" s="1942"/>
      <c r="AK1564" s="820"/>
      <c r="AL1564" s="1942"/>
      <c r="AM1564" s="1942"/>
      <c r="AN1564" s="1942"/>
      <c r="AO1564" s="1942"/>
      <c r="AP1564" s="1942"/>
      <c r="AQ1564" s="1942"/>
      <c r="AR1564" s="1942"/>
      <c r="AS1564" s="1942"/>
      <c r="AT1564" s="1942"/>
      <c r="AU1564" s="1942"/>
      <c r="AV1564" s="1942"/>
      <c r="AW1564" s="1942"/>
      <c r="AX1564" s="1942"/>
      <c r="AY1564" s="1942"/>
      <c r="AZ1564" s="1942"/>
      <c r="BA1564" s="1942"/>
      <c r="BB1564" s="734"/>
      <c r="BC1564" s="3383" t="str">
        <f t="shared" si="170"/>
        <v>Heating Res ER2 12 Year EUL</v>
      </c>
      <c r="BD1564" s="673">
        <f>(INDEX('Avoided Cost Benefits'!$C$4:$C$857,MATCH(BC1564,'Avoided Cost Benefits'!$A$4:$A$857,0)))*F1564</f>
        <v>3812.8389479172138</v>
      </c>
      <c r="BE1564" s="1949">
        <f t="shared" si="168"/>
        <v>0</v>
      </c>
      <c r="BF1564" s="1942"/>
      <c r="BG1564" s="691"/>
      <c r="BH1564" s="821"/>
      <c r="BI1564" s="691"/>
    </row>
    <row r="1565" spans="1:61" s="1942" customFormat="1" x14ac:dyDescent="0.25">
      <c r="A1565" s="1267"/>
      <c r="B1565" s="123"/>
      <c r="C1565" s="2038" t="s">
        <v>1358</v>
      </c>
      <c r="D1565" s="2695" t="s">
        <v>320</v>
      </c>
      <c r="E1565" s="3007" t="s">
        <v>1359</v>
      </c>
      <c r="F1565" s="742">
        <f>ROUND(((K2628*K2815*(1/K3002-1/K3189)*K3376)/1000)*$K$3484,2)</f>
        <v>2697.17</v>
      </c>
      <c r="G1565" s="3050" t="s">
        <v>1134</v>
      </c>
      <c r="H1565" s="2867">
        <f>VLOOKUP(G1565,'CP FACTORS'!$A$3:$B$38, 2, FALSE)</f>
        <v>9.4741810000000004E-4</v>
      </c>
      <c r="I1565" s="2757">
        <f t="shared" si="169"/>
        <v>2.555348</v>
      </c>
      <c r="J1565" s="116">
        <f t="shared" si="166"/>
        <v>6</v>
      </c>
      <c r="K1565" s="3294">
        <f t="shared" si="167"/>
        <v>2547.9287573669544</v>
      </c>
      <c r="L1565" s="3296">
        <f>L1880</f>
        <v>3.5909090909090908</v>
      </c>
      <c r="M1565" s="328"/>
      <c r="N1565" s="1587"/>
      <c r="O1565" s="1135"/>
      <c r="P1565" s="123"/>
      <c r="Q1565" s="123"/>
      <c r="R1565" s="1431"/>
      <c r="S1565" s="123"/>
      <c r="T1565" s="123"/>
      <c r="U1565" s="1589"/>
      <c r="V1565" s="1958" t="s">
        <v>31</v>
      </c>
      <c r="W1565" s="818"/>
      <c r="X1565" s="819"/>
      <c r="Y1565" s="737"/>
      <c r="Z1565" s="737"/>
      <c r="AA1565" s="737"/>
      <c r="AB1565" s="2162"/>
      <c r="AC1565" s="742">
        <v>2697.17</v>
      </c>
      <c r="AD1565" s="818"/>
      <c r="AE1565" s="818"/>
      <c r="AF1565" s="818"/>
      <c r="AG1565" s="818"/>
      <c r="AH1565" s="163"/>
      <c r="AK1565" s="820"/>
      <c r="BB1565" s="244">
        <f>(BD1565+BD1566+BD1567+BD1568)/(BE1565+BE1566+BE1567+BE1568)</f>
        <v>1.2183350482097888</v>
      </c>
      <c r="BC1565" s="3130" t="str">
        <f t="shared" si="170"/>
        <v>Cooling Res 6 Year EUL</v>
      </c>
      <c r="BD1565" s="673">
        <f>(INDEX('Avoided Cost Benefits'!$C$4:$C$857,MATCH(BC1565,'Avoided Cost Benefits'!$A$4:$A$857,0)))*F1565</f>
        <v>1568.3616397434139</v>
      </c>
      <c r="BE1565" s="1949">
        <f t="shared" si="168"/>
        <v>2404.8407337111412</v>
      </c>
      <c r="BG1565" s="691"/>
      <c r="BH1565" s="821"/>
      <c r="BI1565" s="691"/>
    </row>
    <row r="1566" spans="1:61" s="1942" customFormat="1" x14ac:dyDescent="0.25">
      <c r="A1566" s="1267"/>
      <c r="B1566" s="123"/>
      <c r="C1566" s="2038" t="s">
        <v>1358</v>
      </c>
      <c r="D1566" s="2695" t="s">
        <v>320</v>
      </c>
      <c r="E1566" s="3007" t="s">
        <v>1359</v>
      </c>
      <c r="F1566" s="742">
        <v>0</v>
      </c>
      <c r="G1566" s="3050" t="s">
        <v>1135</v>
      </c>
      <c r="H1566" s="2867">
        <f>VLOOKUP(G1566,'CP FACTORS'!$A$3:$B$38, 2, FALSE)</f>
        <v>0</v>
      </c>
      <c r="I1566" s="2757">
        <f t="shared" si="169"/>
        <v>0</v>
      </c>
      <c r="J1566" s="116">
        <f t="shared" si="166"/>
        <v>6</v>
      </c>
      <c r="K1566" s="3294">
        <f t="shared" si="167"/>
        <v>0</v>
      </c>
      <c r="L1566" s="3296"/>
      <c r="M1566" s="328"/>
      <c r="N1566" s="1587"/>
      <c r="O1566" s="1135"/>
      <c r="P1566" s="123"/>
      <c r="Q1566" s="123"/>
      <c r="R1566" s="1431"/>
      <c r="S1566" s="123"/>
      <c r="T1566" s="123"/>
      <c r="U1566" s="1589"/>
      <c r="V1566" s="1958" t="s">
        <v>31</v>
      </c>
      <c r="W1566" s="818"/>
      <c r="X1566" s="819"/>
      <c r="Y1566" s="737"/>
      <c r="Z1566" s="737"/>
      <c r="AA1566" s="737"/>
      <c r="AB1566" s="2162"/>
      <c r="AC1566" s="742">
        <v>0</v>
      </c>
      <c r="AD1566" s="818"/>
      <c r="AE1566" s="818"/>
      <c r="AF1566" s="818"/>
      <c r="AG1566" s="818"/>
      <c r="AH1566" s="163"/>
      <c r="AK1566" s="820"/>
      <c r="BB1566" s="734"/>
      <c r="BC1566" s="3130" t="str">
        <f t="shared" si="170"/>
        <v>Heating Res 6 Year EUL</v>
      </c>
      <c r="BD1566" s="673">
        <f>(INDEX('Avoided Cost Benefits'!$C$4:$C$857,MATCH(BC1566,'Avoided Cost Benefits'!$A$4:$A$857,0)))*F1566</f>
        <v>0</v>
      </c>
      <c r="BE1566" s="1949">
        <f t="shared" si="168"/>
        <v>0</v>
      </c>
      <c r="BG1566" s="691"/>
      <c r="BH1566" s="821"/>
      <c r="BI1566" s="691"/>
    </row>
    <row r="1567" spans="1:61" s="1942" customFormat="1" x14ac:dyDescent="0.25">
      <c r="A1567" s="1267"/>
      <c r="B1567" s="123"/>
      <c r="C1567" s="2038" t="s">
        <v>1358</v>
      </c>
      <c r="D1567" s="2695" t="s">
        <v>320</v>
      </c>
      <c r="E1567" s="3007" t="s">
        <v>1360</v>
      </c>
      <c r="F1567" s="742">
        <f>ROUND(((K2629*K2816*(1/K3003-1/K3190)*K3377)/1000)*$K$3484,2)</f>
        <v>1151.58</v>
      </c>
      <c r="G1567" s="3050" t="s">
        <v>1176</v>
      </c>
      <c r="H1567" s="2867">
        <f>VLOOKUP(G1567,'CP FACTORS'!$A$3:$B$38, 2, FALSE)</f>
        <v>9.4741810000000004E-4</v>
      </c>
      <c r="I1567" s="2757">
        <f t="shared" si="169"/>
        <v>1.0910280000000001</v>
      </c>
      <c r="J1567" s="116">
        <f t="shared" si="166"/>
        <v>12</v>
      </c>
      <c r="K1567" s="3294">
        <f t="shared" si="167"/>
        <v>0</v>
      </c>
      <c r="L1567" s="3296"/>
      <c r="M1567" s="328"/>
      <c r="N1567" s="1587"/>
      <c r="O1567" s="1135"/>
      <c r="P1567" s="123"/>
      <c r="Q1567" s="123"/>
      <c r="R1567" s="1431"/>
      <c r="S1567" s="123"/>
      <c r="T1567" s="123"/>
      <c r="U1567" s="1589"/>
      <c r="V1567" s="1958" t="s">
        <v>31</v>
      </c>
      <c r="W1567" s="818"/>
      <c r="X1567" s="819"/>
      <c r="Y1567" s="737"/>
      <c r="Z1567" s="737"/>
      <c r="AA1567" s="737"/>
      <c r="AB1567" s="2162"/>
      <c r="AC1567" s="742">
        <v>1151.58</v>
      </c>
      <c r="AD1567" s="818"/>
      <c r="AE1567" s="818"/>
      <c r="AF1567" s="818"/>
      <c r="AG1567" s="818"/>
      <c r="AH1567" s="163"/>
      <c r="AK1567" s="820"/>
      <c r="BB1567" s="734"/>
      <c r="BC1567" s="3130" t="str">
        <f t="shared" si="170"/>
        <v>Cooling Res ER2 12 Year EUL</v>
      </c>
      <c r="BD1567" s="673">
        <f>(INDEX('Avoided Cost Benefits'!$C$4:$C$857,MATCH(BC1567,'Avoided Cost Benefits'!$A$4:$A$857,0)))*F1567</f>
        <v>1361.5401114994131</v>
      </c>
      <c r="BE1567" s="1949">
        <f t="shared" si="168"/>
        <v>0</v>
      </c>
      <c r="BG1567" s="691"/>
      <c r="BH1567" s="821"/>
      <c r="BI1567" s="691"/>
    </row>
    <row r="1568" spans="1:61" s="1942" customFormat="1" x14ac:dyDescent="0.25">
      <c r="A1568" s="1267"/>
      <c r="B1568" s="123"/>
      <c r="C1568" s="2038" t="s">
        <v>1358</v>
      </c>
      <c r="D1568" s="2695" t="s">
        <v>320</v>
      </c>
      <c r="E1568" s="3007" t="s">
        <v>1360</v>
      </c>
      <c r="F1568" s="742">
        <f>0</f>
        <v>0</v>
      </c>
      <c r="G1568" s="3050" t="s">
        <v>1195</v>
      </c>
      <c r="H1568" s="2867">
        <f>VLOOKUP(G1568,'CP FACTORS'!$A$3:$B$38, 2, FALSE)</f>
        <v>0</v>
      </c>
      <c r="I1568" s="2757">
        <f t="shared" si="169"/>
        <v>0</v>
      </c>
      <c r="J1568" s="116">
        <f t="shared" si="166"/>
        <v>12</v>
      </c>
      <c r="K1568" s="3294">
        <f t="shared" si="167"/>
        <v>0</v>
      </c>
      <c r="L1568" s="3296"/>
      <c r="M1568" s="328"/>
      <c r="N1568" s="1587"/>
      <c r="O1568" s="1135"/>
      <c r="P1568" s="123"/>
      <c r="Q1568" s="123"/>
      <c r="R1568" s="1431"/>
      <c r="S1568" s="123"/>
      <c r="T1568" s="123"/>
      <c r="U1568" s="1589"/>
      <c r="V1568" s="1958" t="s">
        <v>31</v>
      </c>
      <c r="W1568" s="818"/>
      <c r="X1568" s="819"/>
      <c r="Y1568" s="737"/>
      <c r="Z1568" s="737"/>
      <c r="AA1568" s="737"/>
      <c r="AB1568" s="2162"/>
      <c r="AC1568" s="742">
        <v>0</v>
      </c>
      <c r="AD1568" s="818"/>
      <c r="AE1568" s="818"/>
      <c r="AF1568" s="818"/>
      <c r="AG1568" s="818"/>
      <c r="AH1568" s="163"/>
      <c r="AK1568" s="820"/>
      <c r="BB1568" s="734"/>
      <c r="BC1568" s="3130" t="str">
        <f t="shared" si="170"/>
        <v>Heating Res ER2 12 Year EUL</v>
      </c>
      <c r="BD1568" s="673">
        <f>(INDEX('Avoided Cost Benefits'!$C$4:$C$857,MATCH(BC1568,'Avoided Cost Benefits'!$A$4:$A$857,0)))*F1568</f>
        <v>0</v>
      </c>
      <c r="BE1568" s="1949">
        <f t="shared" si="168"/>
        <v>0</v>
      </c>
      <c r="BG1568" s="691"/>
      <c r="BH1568" s="821"/>
      <c r="BI1568" s="691"/>
    </row>
    <row r="1569" spans="1:61" s="51" customFormat="1" x14ac:dyDescent="0.25">
      <c r="A1569" s="1267" t="str">
        <f t="shared" si="163"/>
        <v>353600_2019_12_Cooling Res</v>
      </c>
      <c r="B1569" s="123"/>
      <c r="C1569" s="1471" t="s">
        <v>1361</v>
      </c>
      <c r="D1569" s="1553" t="s">
        <v>322</v>
      </c>
      <c r="E1569" s="2878" t="s">
        <v>1362</v>
      </c>
      <c r="F1569" s="782">
        <f>ROUND(((K2630*K2817*(1/K3004-1/K3191)*K3378)/1000)*$K$3484,2)</f>
        <v>1521.91</v>
      </c>
      <c r="G1569" s="214" t="s">
        <v>1134</v>
      </c>
      <c r="H1569" s="155">
        <f>VLOOKUP(G1569,'CP FACTORS'!$A$3:$B$38, 2, FALSE)</f>
        <v>9.4741810000000004E-4</v>
      </c>
      <c r="I1569" s="1554">
        <f t="shared" si="169"/>
        <v>1.4418850000000001</v>
      </c>
      <c r="J1569" s="108">
        <f t="shared" si="166"/>
        <v>6</v>
      </c>
      <c r="K1569" s="1052">
        <f t="shared" si="167"/>
        <v>2171.3844012161662</v>
      </c>
      <c r="L1569" s="1088">
        <f>L1882</f>
        <v>3.1</v>
      </c>
      <c r="M1569" s="328"/>
      <c r="N1569" s="1587"/>
      <c r="O1569" s="1135"/>
      <c r="P1569" s="123"/>
      <c r="Q1569" s="123"/>
      <c r="R1569" s="1431"/>
      <c r="S1569" s="123"/>
      <c r="T1569" s="123"/>
      <c r="U1569" s="1589"/>
      <c r="V1569" s="1962" t="s">
        <v>31</v>
      </c>
      <c r="W1569" s="818">
        <v>2089.4703361344541</v>
      </c>
      <c r="X1569" s="819">
        <v>1521.9079711884754</v>
      </c>
      <c r="Y1569" s="737">
        <v>1521.91</v>
      </c>
      <c r="Z1569" s="737">
        <v>1521.91</v>
      </c>
      <c r="AA1569" s="737">
        <v>1521.91</v>
      </c>
      <c r="AB1569" s="2162">
        <v>1521.91</v>
      </c>
      <c r="AC1569" s="782">
        <v>1521.91</v>
      </c>
      <c r="AD1569" s="818"/>
      <c r="AE1569" s="818"/>
      <c r="AF1569" s="818"/>
      <c r="AG1569" s="818"/>
      <c r="AH1569" s="163"/>
      <c r="AI1569" s="1942"/>
      <c r="AJ1569" s="1942"/>
      <c r="AK1569" s="820"/>
      <c r="AL1569" s="1942"/>
      <c r="AM1569" s="1942"/>
      <c r="AN1569" s="1942"/>
      <c r="AO1569" s="1942"/>
      <c r="AP1569" s="1942"/>
      <c r="AQ1569" s="1942"/>
      <c r="AR1569" s="1942"/>
      <c r="AS1569" s="1942"/>
      <c r="AT1569" s="1942"/>
      <c r="AU1569" s="1942"/>
      <c r="AV1569" s="1942"/>
      <c r="AW1569" s="1942"/>
      <c r="AX1569" s="1942"/>
      <c r="AY1569" s="1942"/>
      <c r="AZ1569" s="1942"/>
      <c r="BA1569" s="1942"/>
      <c r="BB1569" s="244">
        <f>(BD1569+BD1570+BD1571+BD1572)/(BE1569+BE1570+BE1571+BE1572)</f>
        <v>2.3109256909244333</v>
      </c>
      <c r="BC1569" s="3115" t="str">
        <f t="shared" si="170"/>
        <v>Cooling Res 6 Year EUL</v>
      </c>
      <c r="BD1569" s="673">
        <f>(INDEX('Avoided Cost Benefits'!$C$4:$C$857,MATCH(BC1569,'Avoided Cost Benefits'!$A$4:$A$857,0)))*F1569</f>
        <v>884.96656241241715</v>
      </c>
      <c r="BE1569" s="1949">
        <f t="shared" si="168"/>
        <v>2049.4425683965701</v>
      </c>
      <c r="BF1569" s="1942"/>
      <c r="BG1569" s="691"/>
      <c r="BH1569" s="821"/>
      <c r="BI1569" s="691"/>
    </row>
    <row r="1570" spans="1:61" s="51" customFormat="1" x14ac:dyDescent="0.25">
      <c r="A1570" s="1267" t="str">
        <f t="shared" si="163"/>
        <v>353600_2019_12_Heating Res</v>
      </c>
      <c r="B1570" s="123"/>
      <c r="C1570" s="1471" t="s">
        <v>1361</v>
      </c>
      <c r="D1570" s="1553" t="s">
        <v>322</v>
      </c>
      <c r="E1570" s="3007" t="s">
        <v>1362</v>
      </c>
      <c r="F1570" s="782">
        <f>ROUND(((K1882*K2069*(1/K2256-1/K2443)*K3378)/1000)*$K$3484,2)</f>
        <v>6759.78</v>
      </c>
      <c r="G1570" s="214" t="s">
        <v>1135</v>
      </c>
      <c r="H1570" s="155">
        <f>VLOOKUP(G1570,'CP FACTORS'!$A$3:$B$38, 2, FALSE)</f>
        <v>0</v>
      </c>
      <c r="I1570" s="1554">
        <f t="shared" si="169"/>
        <v>0</v>
      </c>
      <c r="J1570" s="108">
        <f t="shared" si="166"/>
        <v>6</v>
      </c>
      <c r="K1570" s="1052">
        <f t="shared" si="167"/>
        <v>0</v>
      </c>
      <c r="L1570" s="1088"/>
      <c r="M1570" s="328"/>
      <c r="N1570" s="1587"/>
      <c r="O1570" s="1135"/>
      <c r="P1570" s="123"/>
      <c r="Q1570" s="123"/>
      <c r="R1570" s="1431"/>
      <c r="S1570" s="123"/>
      <c r="T1570" s="123"/>
      <c r="U1570" s="1589"/>
      <c r="V1570" s="1962" t="s">
        <v>31</v>
      </c>
      <c r="W1570" s="818">
        <v>9077.8044487427451</v>
      </c>
      <c r="X1570" s="819">
        <v>6759.7787234042544</v>
      </c>
      <c r="Y1570" s="737">
        <v>6759.78</v>
      </c>
      <c r="Z1570" s="737">
        <v>6759.78</v>
      </c>
      <c r="AA1570" s="737">
        <v>6759.78</v>
      </c>
      <c r="AB1570" s="2162">
        <v>6759.78</v>
      </c>
      <c r="AC1570" s="782">
        <v>6759.78</v>
      </c>
      <c r="AD1570" s="818"/>
      <c r="AE1570" s="818"/>
      <c r="AF1570" s="818"/>
      <c r="AG1570" s="818"/>
      <c r="AH1570" s="163"/>
      <c r="AI1570" s="1942"/>
      <c r="AJ1570" s="1942"/>
      <c r="AK1570" s="820"/>
      <c r="AL1570" s="1942"/>
      <c r="AM1570" s="1942"/>
      <c r="AN1570" s="1942"/>
      <c r="AO1570" s="1942"/>
      <c r="AP1570" s="1942"/>
      <c r="AQ1570" s="1942"/>
      <c r="AR1570" s="1942"/>
      <c r="AS1570" s="1942"/>
      <c r="AT1570" s="1942"/>
      <c r="AU1570" s="1942"/>
      <c r="AV1570" s="1942"/>
      <c r="AW1570" s="1942"/>
      <c r="AX1570" s="1942"/>
      <c r="AY1570" s="1942"/>
      <c r="AZ1570" s="1942"/>
      <c r="BA1570" s="1942"/>
      <c r="BB1570" s="734"/>
      <c r="BC1570" s="3130" t="str">
        <f t="shared" si="170"/>
        <v>Heating Res 6 Year EUL</v>
      </c>
      <c r="BD1570" s="673">
        <f>(INDEX('Avoided Cost Benefits'!$C$4:$C$857,MATCH(BC1570,'Avoided Cost Benefits'!$A$4:$A$857,0)))*F1570</f>
        <v>1124.3778951463969</v>
      </c>
      <c r="BE1570" s="1949">
        <f t="shared" si="168"/>
        <v>0</v>
      </c>
      <c r="BF1570" s="1942"/>
      <c r="BG1570" s="691"/>
      <c r="BH1570" s="821"/>
      <c r="BI1570" s="691"/>
    </row>
    <row r="1571" spans="1:61" s="51" customFormat="1" x14ac:dyDescent="0.25">
      <c r="A1571" s="1267" t="str">
        <f t="shared" si="163"/>
        <v>353600_2019_12_Cooling Res ER2</v>
      </c>
      <c r="B1571" s="123"/>
      <c r="C1571" s="1471" t="s">
        <v>1361</v>
      </c>
      <c r="D1571" s="1553" t="s">
        <v>322</v>
      </c>
      <c r="E1571" s="3007" t="s">
        <v>1363</v>
      </c>
      <c r="F1571" s="782">
        <f>ROUND(((K2631*K2818*(1/K3005-1/K3192)*K3379)/1000)*$K$3484,2)</f>
        <v>615.75</v>
      </c>
      <c r="G1571" s="1580" t="s">
        <v>1176</v>
      </c>
      <c r="H1571" s="155">
        <f>VLOOKUP(G1571,'CP FACTORS'!$A$3:$B$38, 2, FALSE)</f>
        <v>9.4741810000000004E-4</v>
      </c>
      <c r="I1571" s="1554">
        <f t="shared" si="169"/>
        <v>0.58337300000000003</v>
      </c>
      <c r="J1571" s="108">
        <f t="shared" si="166"/>
        <v>12</v>
      </c>
      <c r="K1571" s="1052">
        <f t="shared" si="167"/>
        <v>0</v>
      </c>
      <c r="L1571" s="1088"/>
      <c r="M1571" s="328"/>
      <c r="N1571" s="1587"/>
      <c r="O1571" s="1135"/>
      <c r="P1571" s="123"/>
      <c r="Q1571" s="123"/>
      <c r="R1571" s="1431"/>
      <c r="S1571" s="123"/>
      <c r="T1571" s="123"/>
      <c r="U1571" s="1589"/>
      <c r="V1571" s="1962" t="s">
        <v>31</v>
      </c>
      <c r="W1571" s="818">
        <v>615.74857142857161</v>
      </c>
      <c r="X1571" s="825">
        <v>615.74857142857161</v>
      </c>
      <c r="Y1571" s="737">
        <v>615.75</v>
      </c>
      <c r="Z1571" s="737">
        <v>615.75</v>
      </c>
      <c r="AA1571" s="737">
        <v>615.75</v>
      </c>
      <c r="AB1571" s="2162">
        <v>615.75</v>
      </c>
      <c r="AC1571" s="782">
        <v>615.75</v>
      </c>
      <c r="AD1571" s="818"/>
      <c r="AE1571" s="818"/>
      <c r="AF1571" s="818"/>
      <c r="AG1571" s="818"/>
      <c r="AH1571" s="163"/>
      <c r="AI1571" s="1942"/>
      <c r="AJ1571" s="1942"/>
      <c r="AK1571" s="820"/>
      <c r="AL1571" s="1942"/>
      <c r="AM1571" s="1942"/>
      <c r="AN1571" s="1942"/>
      <c r="AO1571" s="1942"/>
      <c r="AP1571" s="1942"/>
      <c r="AQ1571" s="1942"/>
      <c r="AR1571" s="1942"/>
      <c r="AS1571" s="1942"/>
      <c r="AT1571" s="1942"/>
      <c r="AU1571" s="1942"/>
      <c r="AV1571" s="1942"/>
      <c r="AW1571" s="1942"/>
      <c r="AX1571" s="1942"/>
      <c r="AY1571" s="1942"/>
      <c r="AZ1571" s="1942"/>
      <c r="BA1571" s="1942"/>
      <c r="BB1571" s="734"/>
      <c r="BC1571" s="3130" t="str">
        <f t="shared" si="170"/>
        <v>Cooling Res ER2 12 Year EUL</v>
      </c>
      <c r="BD1571" s="673">
        <f>(INDEX('Avoided Cost Benefits'!$C$4:$C$857,MATCH(BC1571,'Avoided Cost Benefits'!$A$4:$A$857,0)))*F1571</f>
        <v>728.01570334302755</v>
      </c>
      <c r="BE1571" s="1949">
        <f t="shared" si="168"/>
        <v>0</v>
      </c>
      <c r="BF1571" s="1942"/>
      <c r="BG1571" s="691"/>
      <c r="BH1571" s="821"/>
      <c r="BI1571" s="691"/>
    </row>
    <row r="1572" spans="1:61" s="51" customFormat="1" x14ac:dyDescent="0.25">
      <c r="A1572" s="1267" t="str">
        <f t="shared" si="163"/>
        <v>353600_2019_12_Heating Res ER2</v>
      </c>
      <c r="B1572" s="123"/>
      <c r="C1572" s="1471" t="s">
        <v>1361</v>
      </c>
      <c r="D1572" s="1553" t="s">
        <v>322</v>
      </c>
      <c r="E1572" s="3005" t="s">
        <v>1363</v>
      </c>
      <c r="F1572" s="782">
        <f>ROUND(((K1883*K2070*(1/K2257-1/K2444)*K3379)/1000)*$K$3484,2)</f>
        <v>6759.78</v>
      </c>
      <c r="G1572" s="1580" t="s">
        <v>1195</v>
      </c>
      <c r="H1572" s="155">
        <f>VLOOKUP(G1572,'CP FACTORS'!$A$3:$B$38, 2, FALSE)</f>
        <v>0</v>
      </c>
      <c r="I1572" s="1554">
        <f t="shared" si="169"/>
        <v>0</v>
      </c>
      <c r="J1572" s="108">
        <f t="shared" si="166"/>
        <v>12</v>
      </c>
      <c r="K1572" s="1052">
        <f t="shared" si="167"/>
        <v>0</v>
      </c>
      <c r="L1572" s="1088"/>
      <c r="M1572" s="328"/>
      <c r="N1572" s="1587"/>
      <c r="O1572" s="1135"/>
      <c r="P1572" s="123"/>
      <c r="Q1572" s="123"/>
      <c r="R1572" s="1431"/>
      <c r="S1572" s="123"/>
      <c r="T1572" s="123"/>
      <c r="U1572" s="1589"/>
      <c r="V1572" s="1962" t="s">
        <v>31</v>
      </c>
      <c r="W1572" s="818">
        <v>9077.8044487427451</v>
      </c>
      <c r="X1572" s="819">
        <v>6759.7787234042544</v>
      </c>
      <c r="Y1572" s="737">
        <v>6759.78</v>
      </c>
      <c r="Z1572" s="737">
        <v>6759.78</v>
      </c>
      <c r="AA1572" s="737">
        <v>6759.78</v>
      </c>
      <c r="AB1572" s="2162">
        <v>6759.78</v>
      </c>
      <c r="AC1572" s="782">
        <v>6759.78</v>
      </c>
      <c r="AD1572" s="818"/>
      <c r="AE1572" s="818"/>
      <c r="AF1572" s="818"/>
      <c r="AG1572" s="818"/>
      <c r="AH1572" s="163"/>
      <c r="AI1572" s="1942"/>
      <c r="AJ1572" s="1942"/>
      <c r="AK1572" s="820"/>
      <c r="AL1572" s="1942"/>
      <c r="AM1572" s="1942"/>
      <c r="AN1572" s="1942"/>
      <c r="AO1572" s="1942"/>
      <c r="AP1572" s="1942"/>
      <c r="AQ1572" s="1942"/>
      <c r="AR1572" s="1942"/>
      <c r="AS1572" s="1942"/>
      <c r="AT1572" s="1942"/>
      <c r="AU1572" s="1942"/>
      <c r="AV1572" s="1942"/>
      <c r="AW1572" s="1942"/>
      <c r="AX1572" s="1942"/>
      <c r="AY1572" s="1942"/>
      <c r="AZ1572" s="1942"/>
      <c r="BA1572" s="1942"/>
      <c r="BB1572" s="734"/>
      <c r="BC1572" s="3116" t="str">
        <f t="shared" si="170"/>
        <v>Heating Res ER2 12 Year EUL</v>
      </c>
      <c r="BD1572" s="673">
        <f>(INDEX('Avoided Cost Benefits'!$C$4:$C$857,MATCH(BC1572,'Avoided Cost Benefits'!$A$4:$A$857,0)))*F1572</f>
        <v>1998.7493224799473</v>
      </c>
      <c r="BE1572" s="1949">
        <f t="shared" si="168"/>
        <v>0</v>
      </c>
      <c r="BF1572" s="1942"/>
      <c r="BG1572" s="691"/>
      <c r="BH1572" s="821"/>
      <c r="BI1572" s="691"/>
    </row>
    <row r="1573" spans="1:61" s="51" customFormat="1" x14ac:dyDescent="0.25">
      <c r="A1573" s="1267" t="str">
        <f t="shared" si="163"/>
        <v>353601_2019_12_Cooling Res</v>
      </c>
      <c r="B1573" s="123"/>
      <c r="C1573" s="1471" t="s">
        <v>1364</v>
      </c>
      <c r="D1573" s="1553" t="s">
        <v>317</v>
      </c>
      <c r="E1573" s="2878" t="s">
        <v>1365</v>
      </c>
      <c r="F1573" s="782">
        <f>ROUND((($K$2632*$K$2819*(1/$K$3006-1/$K$3193)*$K$3380)/1000)*$K$3484,2)</f>
        <v>1106.8399999999999</v>
      </c>
      <c r="G1573" s="214" t="str">
        <f>G1569</f>
        <v>Cooling Res</v>
      </c>
      <c r="H1573" s="155">
        <f>VLOOKUP(G1573,'CP FACTORS'!$A$3:$B$38, 2, FALSE)</f>
        <v>9.4741810000000004E-4</v>
      </c>
      <c r="I1573" s="1554">
        <f t="shared" si="169"/>
        <v>1.04864</v>
      </c>
      <c r="J1573" s="108">
        <f t="shared" si="166"/>
        <v>6</v>
      </c>
      <c r="K1573" s="3294">
        <f t="shared" si="167"/>
        <v>2171.3844012161662</v>
      </c>
      <c r="L1573" s="3296">
        <f>L1884</f>
        <v>3.1</v>
      </c>
      <c r="M1573" s="328"/>
      <c r="N1573" s="1587"/>
      <c r="O1573" s="1135"/>
      <c r="P1573" s="123"/>
      <c r="Q1573" s="123"/>
      <c r="R1573" s="1431"/>
      <c r="S1573" s="123"/>
      <c r="T1573" s="123"/>
      <c r="U1573" s="1589"/>
      <c r="V1573" s="1962" t="s">
        <v>31</v>
      </c>
      <c r="W1573" s="818"/>
      <c r="X1573" s="819"/>
      <c r="Y1573" s="742">
        <v>1106.8399999999999</v>
      </c>
      <c r="Z1573" s="737">
        <v>1106.8399999999999</v>
      </c>
      <c r="AA1573" s="737">
        <v>1106.8399999999999</v>
      </c>
      <c r="AB1573" s="2162">
        <v>1106.8399999999999</v>
      </c>
      <c r="AC1573" s="782">
        <v>1106.8399999999999</v>
      </c>
      <c r="AD1573" s="818"/>
      <c r="AE1573" s="818"/>
      <c r="AF1573" s="818"/>
      <c r="AG1573" s="818"/>
      <c r="AH1573" s="163"/>
      <c r="AI1573" s="1942"/>
      <c r="AJ1573" s="1942"/>
      <c r="AK1573" s="820"/>
      <c r="AL1573" s="1942"/>
      <c r="AM1573" s="1942"/>
      <c r="AN1573" s="1942"/>
      <c r="AO1573" s="1942"/>
      <c r="AP1573" s="1942"/>
      <c r="AQ1573" s="1942"/>
      <c r="AR1573" s="1942"/>
      <c r="AS1573" s="1942"/>
      <c r="AT1573" s="1942"/>
      <c r="AU1573" s="1942"/>
      <c r="AV1573" s="1942"/>
      <c r="AW1573" s="1942"/>
      <c r="AX1573" s="1942"/>
      <c r="AY1573" s="1942"/>
      <c r="AZ1573" s="1942"/>
      <c r="BA1573" s="1942"/>
      <c r="BB1573" s="244">
        <f>(BD1573+BD1574+BD1575+BD1576)/(BE1573+BE1574+BE1575+BE1576)</f>
        <v>1.09189705127851</v>
      </c>
      <c r="BC1573" s="3115" t="str">
        <f t="shared" si="170"/>
        <v>Cooling Res 6 Year EUL</v>
      </c>
      <c r="BD1573" s="673">
        <f>(INDEX('Avoided Cost Benefits'!$C$4:$C$857,MATCH(BC1573,'Avoided Cost Benefits'!$A$4:$A$857,0)))*F1573</f>
        <v>643.60993090298348</v>
      </c>
      <c r="BE1573" s="1949">
        <f t="shared" si="168"/>
        <v>2049.4425683965701</v>
      </c>
      <c r="BF1573" s="1942"/>
      <c r="BG1573" s="691"/>
      <c r="BH1573" s="824"/>
      <c r="BI1573" s="691"/>
    </row>
    <row r="1574" spans="1:61" s="51" customFormat="1" x14ac:dyDescent="0.25">
      <c r="A1574" s="1267" t="str">
        <f t="shared" si="163"/>
        <v>353601_2019_12_Heating Res</v>
      </c>
      <c r="B1574" s="123"/>
      <c r="C1574" s="1471" t="str">
        <f>C1573</f>
        <v>353601_2019_12_</v>
      </c>
      <c r="D1574" s="1553" t="s">
        <v>317</v>
      </c>
      <c r="E1574" s="3007" t="s">
        <v>1365</v>
      </c>
      <c r="F1574" s="782">
        <f>ROUND((($K$1884*$K$2071*(1/$K$2258-1/$K$2445)*$K$3380)/1000)*$K$3484,2)</f>
        <v>2304.4699999999998</v>
      </c>
      <c r="G1574" s="214" t="str">
        <f>G1570</f>
        <v>Heating Res</v>
      </c>
      <c r="H1574" s="155">
        <f>VLOOKUP(G1574,'CP FACTORS'!$A$3:$B$38, 2, FALSE)</f>
        <v>0</v>
      </c>
      <c r="I1574" s="1554">
        <f t="shared" si="169"/>
        <v>0</v>
      </c>
      <c r="J1574" s="108">
        <f t="shared" si="166"/>
        <v>6</v>
      </c>
      <c r="K1574" s="1052">
        <f t="shared" si="167"/>
        <v>0</v>
      </c>
      <c r="L1574" s="1088"/>
      <c r="M1574" s="328"/>
      <c r="N1574" s="1587"/>
      <c r="O1574" s="1135"/>
      <c r="P1574" s="123"/>
      <c r="Q1574" s="123"/>
      <c r="R1574" s="1431"/>
      <c r="S1574" s="123"/>
      <c r="T1574" s="123"/>
      <c r="U1574" s="1589"/>
      <c r="V1574" s="1962" t="s">
        <v>31</v>
      </c>
      <c r="W1574" s="818"/>
      <c r="X1574" s="819"/>
      <c r="Y1574" s="742">
        <v>2304.4699999999998</v>
      </c>
      <c r="Z1574" s="737">
        <v>2304.4699999999998</v>
      </c>
      <c r="AA1574" s="737">
        <v>2304.4699999999998</v>
      </c>
      <c r="AB1574" s="2162">
        <v>2304.4699999999998</v>
      </c>
      <c r="AC1574" s="782">
        <v>2304.4699999999998</v>
      </c>
      <c r="AD1574" s="818"/>
      <c r="AE1574" s="818"/>
      <c r="AF1574" s="818"/>
      <c r="AG1574" s="818"/>
      <c r="AH1574" s="163"/>
      <c r="AI1574" s="1942"/>
      <c r="AJ1574" s="1942"/>
      <c r="AK1574" s="820"/>
      <c r="AL1574" s="1942"/>
      <c r="AM1574" s="1942"/>
      <c r="AN1574" s="1942"/>
      <c r="AO1574" s="1942"/>
      <c r="AP1574" s="1942"/>
      <c r="AQ1574" s="1942"/>
      <c r="AR1574" s="1942"/>
      <c r="AS1574" s="1942"/>
      <c r="AT1574" s="1942"/>
      <c r="AU1574" s="1942"/>
      <c r="AV1574" s="1942"/>
      <c r="AW1574" s="1942"/>
      <c r="AX1574" s="1942"/>
      <c r="AY1574" s="1942"/>
      <c r="AZ1574" s="1942"/>
      <c r="BA1574" s="1942"/>
      <c r="BB1574" s="734"/>
      <c r="BC1574" s="3130" t="str">
        <f t="shared" si="170"/>
        <v>Heating Res 6 Year EUL</v>
      </c>
      <c r="BD1574" s="673">
        <f>(INDEX('Avoided Cost Benefits'!$C$4:$C$857,MATCH(BC1574,'Avoided Cost Benefits'!$A$4:$A$857,0)))*F1574</f>
        <v>383.31057046649704</v>
      </c>
      <c r="BE1574" s="1949">
        <f t="shared" si="168"/>
        <v>0</v>
      </c>
      <c r="BF1574" s="1942"/>
      <c r="BG1574" s="691"/>
      <c r="BH1574" s="824"/>
      <c r="BI1574" s="691"/>
    </row>
    <row r="1575" spans="1:61" s="51" customFormat="1" x14ac:dyDescent="0.25">
      <c r="A1575" s="1267" t="str">
        <f t="shared" si="163"/>
        <v>353601_2019_12_Cooling Res ER2</v>
      </c>
      <c r="B1575" s="123"/>
      <c r="C1575" s="1471" t="str">
        <f>C1574</f>
        <v>353601_2019_12_</v>
      </c>
      <c r="D1575" s="1553" t="s">
        <v>317</v>
      </c>
      <c r="E1575" s="3007" t="s">
        <v>1366</v>
      </c>
      <c r="F1575" s="782">
        <f>ROUND((($K$2633*$K$2820*(1/$K$3007-1/$K$3194)*$K$3381)/1000)*$K$3484,2)</f>
        <v>447.82</v>
      </c>
      <c r="G1575" s="214" t="str">
        <f>G1571</f>
        <v>Cooling Res ER2</v>
      </c>
      <c r="H1575" s="155">
        <f>VLOOKUP(G1575,'CP FACTORS'!$A$3:$B$38, 2, FALSE)</f>
        <v>9.4741810000000004E-4</v>
      </c>
      <c r="I1575" s="1554">
        <f t="shared" si="169"/>
        <v>0.42427300000000001</v>
      </c>
      <c r="J1575" s="108">
        <f t="shared" si="166"/>
        <v>12</v>
      </c>
      <c r="K1575" s="1052">
        <f t="shared" si="167"/>
        <v>0</v>
      </c>
      <c r="L1575" s="1088"/>
      <c r="M1575" s="328"/>
      <c r="N1575" s="1587"/>
      <c r="O1575" s="1135"/>
      <c r="P1575" s="123"/>
      <c r="Q1575" s="123"/>
      <c r="R1575" s="1431"/>
      <c r="S1575" s="123"/>
      <c r="T1575" s="123"/>
      <c r="U1575" s="1589"/>
      <c r="V1575" s="1962" t="s">
        <v>31</v>
      </c>
      <c r="W1575" s="818"/>
      <c r="X1575" s="819"/>
      <c r="Y1575" s="742">
        <v>447.82</v>
      </c>
      <c r="Z1575" s="737">
        <v>447.82</v>
      </c>
      <c r="AA1575" s="737">
        <v>447.82</v>
      </c>
      <c r="AB1575" s="2162">
        <v>447.82</v>
      </c>
      <c r="AC1575" s="782">
        <v>447.82</v>
      </c>
      <c r="AD1575" s="818"/>
      <c r="AE1575" s="818"/>
      <c r="AF1575" s="818"/>
      <c r="AG1575" s="818"/>
      <c r="AH1575" s="163"/>
      <c r="AI1575" s="1942"/>
      <c r="AJ1575" s="1942"/>
      <c r="AK1575" s="820"/>
      <c r="AL1575" s="1942"/>
      <c r="AM1575" s="1942"/>
      <c r="AN1575" s="1942"/>
      <c r="AO1575" s="1942"/>
      <c r="AP1575" s="1942"/>
      <c r="AQ1575" s="1942"/>
      <c r="AR1575" s="1942"/>
      <c r="AS1575" s="1942"/>
      <c r="AT1575" s="1942"/>
      <c r="AU1575" s="1942"/>
      <c r="AV1575" s="1942"/>
      <c r="AW1575" s="1942"/>
      <c r="AX1575" s="1942"/>
      <c r="AY1575" s="1942"/>
      <c r="AZ1575" s="1942"/>
      <c r="BA1575" s="1942"/>
      <c r="BB1575" s="734"/>
      <c r="BC1575" s="3130" t="str">
        <f t="shared" si="170"/>
        <v>Cooling Res ER2 12 Year EUL</v>
      </c>
      <c r="BD1575" s="673">
        <f>(INDEX('Avoided Cost Benefits'!$C$4:$C$857,MATCH(BC1575,'Avoided Cost Benefits'!$A$4:$A$857,0)))*F1575</f>
        <v>529.46811574677156</v>
      </c>
      <c r="BE1575" s="1949">
        <f t="shared" si="168"/>
        <v>0</v>
      </c>
      <c r="BF1575" s="1942"/>
      <c r="BG1575" s="691"/>
      <c r="BH1575" s="824"/>
      <c r="BI1575" s="691"/>
    </row>
    <row r="1576" spans="1:61" s="51" customFormat="1" x14ac:dyDescent="0.25">
      <c r="A1576" s="1267" t="str">
        <f t="shared" si="163"/>
        <v>353601_2019_12_Heating Res ER2</v>
      </c>
      <c r="B1576" s="123"/>
      <c r="C1576" s="1471" t="str">
        <f>C1575</f>
        <v>353601_2019_12_</v>
      </c>
      <c r="D1576" s="1553" t="s">
        <v>317</v>
      </c>
      <c r="E1576" s="3005" t="s">
        <v>1366</v>
      </c>
      <c r="F1576" s="782">
        <f>ROUND((($K$1885*$K$2072*(1/$K$2259-1/$K$2446)*$K$3381)/1000)*$K$3484,2)</f>
        <v>2304.4699999999998</v>
      </c>
      <c r="G1576" s="214" t="str">
        <f>G1572</f>
        <v>Heating Res ER2</v>
      </c>
      <c r="H1576" s="155">
        <f>VLOOKUP(G1576,'CP FACTORS'!$A$3:$B$38, 2, FALSE)</f>
        <v>0</v>
      </c>
      <c r="I1576" s="1554">
        <f t="shared" si="169"/>
        <v>0</v>
      </c>
      <c r="J1576" s="108">
        <f t="shared" si="166"/>
        <v>12</v>
      </c>
      <c r="K1576" s="1052">
        <f t="shared" si="167"/>
        <v>0</v>
      </c>
      <c r="L1576" s="1088"/>
      <c r="M1576" s="328"/>
      <c r="N1576" s="1587"/>
      <c r="O1576" s="1135"/>
      <c r="P1576" s="123"/>
      <c r="Q1576" s="123"/>
      <c r="R1576" s="1431"/>
      <c r="S1576" s="123"/>
      <c r="T1576" s="123"/>
      <c r="U1576" s="1589"/>
      <c r="V1576" s="1962" t="s">
        <v>31</v>
      </c>
      <c r="W1576" s="818"/>
      <c r="X1576" s="819"/>
      <c r="Y1576" s="742">
        <v>2304.4699999999998</v>
      </c>
      <c r="Z1576" s="737">
        <v>2304.4699999999998</v>
      </c>
      <c r="AA1576" s="737">
        <v>2304.4699999999998</v>
      </c>
      <c r="AB1576" s="2162">
        <v>2304.4699999999998</v>
      </c>
      <c r="AC1576" s="782">
        <v>2304.4699999999998</v>
      </c>
      <c r="AD1576" s="818"/>
      <c r="AE1576" s="818"/>
      <c r="AF1576" s="818"/>
      <c r="AG1576" s="818"/>
      <c r="AH1576" s="163"/>
      <c r="AI1576" s="1942"/>
      <c r="AJ1576" s="1942"/>
      <c r="AK1576" s="820"/>
      <c r="AL1576" s="1942"/>
      <c r="AM1576" s="1942"/>
      <c r="AN1576" s="1942"/>
      <c r="AO1576" s="1942"/>
      <c r="AP1576" s="1942"/>
      <c r="AQ1576" s="1942"/>
      <c r="AR1576" s="1942"/>
      <c r="AS1576" s="1942"/>
      <c r="AT1576" s="1942"/>
      <c r="AU1576" s="1942"/>
      <c r="AV1576" s="1942"/>
      <c r="AW1576" s="1942"/>
      <c r="AX1576" s="1942"/>
      <c r="AY1576" s="1942"/>
      <c r="AZ1576" s="1942"/>
      <c r="BA1576" s="1942"/>
      <c r="BB1576" s="734"/>
      <c r="BC1576" s="3116" t="str">
        <f t="shared" si="170"/>
        <v>Heating Res ER2 12 Year EUL</v>
      </c>
      <c r="BD1576" s="673">
        <f>(INDEX('Avoided Cost Benefits'!$C$4:$C$857,MATCH(BC1576,'Avoided Cost Benefits'!$A$4:$A$857,0)))*F1576</f>
        <v>681.39168008061858</v>
      </c>
      <c r="BE1576" s="1949">
        <f t="shared" si="168"/>
        <v>0</v>
      </c>
      <c r="BF1576" s="1942"/>
      <c r="BG1576" s="691"/>
      <c r="BH1576" s="824"/>
      <c r="BI1576" s="691"/>
    </row>
    <row r="1577" spans="1:61" s="1942" customFormat="1" x14ac:dyDescent="0.25">
      <c r="A1577" s="1267"/>
      <c r="B1577" s="123"/>
      <c r="C1577" s="2038" t="s">
        <v>1367</v>
      </c>
      <c r="D1577" s="2695" t="s">
        <v>322</v>
      </c>
      <c r="E1577" s="3007" t="s">
        <v>1368</v>
      </c>
      <c r="F1577" s="742">
        <f>ROUND(((K2634*K2821*(1/K3008-1/K3195)*K3382)/1000)*$K$3484,2)</f>
        <v>1521.91</v>
      </c>
      <c r="G1577" s="2042" t="s">
        <v>1134</v>
      </c>
      <c r="H1577" s="2867">
        <f>VLOOKUP(G1577,'CP FACTORS'!$A$3:$B$38, 2, FALSE)</f>
        <v>9.4741810000000004E-4</v>
      </c>
      <c r="I1577" s="2757">
        <f t="shared" si="169"/>
        <v>1.4418850000000001</v>
      </c>
      <c r="J1577" s="116">
        <f t="shared" si="166"/>
        <v>6</v>
      </c>
      <c r="K1577" s="3294">
        <f t="shared" si="167"/>
        <v>2171.3844012161662</v>
      </c>
      <c r="L1577" s="3296">
        <f>L1886</f>
        <v>3.1</v>
      </c>
      <c r="M1577" s="328"/>
      <c r="N1577" s="1587"/>
      <c r="O1577" s="1135"/>
      <c r="P1577" s="123"/>
      <c r="Q1577" s="123"/>
      <c r="R1577" s="1431"/>
      <c r="S1577" s="123"/>
      <c r="T1577" s="123"/>
      <c r="U1577" s="1589"/>
      <c r="V1577" s="1958" t="s">
        <v>31</v>
      </c>
      <c r="W1577" s="818"/>
      <c r="X1577" s="819"/>
      <c r="Y1577" s="742"/>
      <c r="Z1577" s="737"/>
      <c r="AA1577" s="737"/>
      <c r="AB1577" s="2162"/>
      <c r="AC1577" s="742">
        <v>1521.91</v>
      </c>
      <c r="AD1577" s="818"/>
      <c r="AE1577" s="818"/>
      <c r="AF1577" s="818"/>
      <c r="AG1577" s="818"/>
      <c r="AH1577" s="163"/>
      <c r="AK1577" s="820"/>
      <c r="BB1577" s="244">
        <f>(BD1577+BD1578+BD1579+BD1580)/(BE1577+BE1578+BE1579+BE1580)</f>
        <v>0.78703462620931086</v>
      </c>
      <c r="BC1577" s="3130" t="str">
        <f t="shared" si="170"/>
        <v>Cooling Res 6 Year EUL</v>
      </c>
      <c r="BD1577" s="673">
        <f>(INDEX('Avoided Cost Benefits'!$C$4:$C$857,MATCH(BC1577,'Avoided Cost Benefits'!$A$4:$A$857,0)))*F1577</f>
        <v>884.96656241241715</v>
      </c>
      <c r="BE1577" s="1949">
        <f t="shared" si="168"/>
        <v>2049.4425683965701</v>
      </c>
      <c r="BG1577" s="691"/>
      <c r="BH1577" s="824"/>
      <c r="BI1577" s="691"/>
    </row>
    <row r="1578" spans="1:61" s="1942" customFormat="1" x14ac:dyDescent="0.25">
      <c r="A1578" s="1267"/>
      <c r="B1578" s="123"/>
      <c r="C1578" s="2038" t="s">
        <v>1367</v>
      </c>
      <c r="D1578" s="2695" t="s">
        <v>322</v>
      </c>
      <c r="E1578" s="3007" t="s">
        <v>1368</v>
      </c>
      <c r="F1578" s="742">
        <v>0</v>
      </c>
      <c r="G1578" s="2042" t="s">
        <v>1135</v>
      </c>
      <c r="H1578" s="2867">
        <f>VLOOKUP(G1578,'CP FACTORS'!$A$3:$B$38, 2, FALSE)</f>
        <v>0</v>
      </c>
      <c r="I1578" s="2757">
        <f t="shared" si="169"/>
        <v>0</v>
      </c>
      <c r="J1578" s="116">
        <f t="shared" si="166"/>
        <v>6</v>
      </c>
      <c r="K1578" s="3294">
        <f t="shared" si="167"/>
        <v>0</v>
      </c>
      <c r="L1578" s="3296"/>
      <c r="M1578" s="328"/>
      <c r="N1578" s="1587"/>
      <c r="O1578" s="1135"/>
      <c r="P1578" s="123"/>
      <c r="Q1578" s="123"/>
      <c r="R1578" s="1431"/>
      <c r="S1578" s="123"/>
      <c r="T1578" s="123"/>
      <c r="U1578" s="1589"/>
      <c r="V1578" s="1958" t="s">
        <v>31</v>
      </c>
      <c r="W1578" s="818"/>
      <c r="X1578" s="819"/>
      <c r="Y1578" s="742"/>
      <c r="Z1578" s="737"/>
      <c r="AA1578" s="737"/>
      <c r="AB1578" s="2162"/>
      <c r="AC1578" s="742">
        <v>0</v>
      </c>
      <c r="AD1578" s="818"/>
      <c r="AE1578" s="818"/>
      <c r="AF1578" s="818"/>
      <c r="AG1578" s="818"/>
      <c r="AH1578" s="163"/>
      <c r="AK1578" s="820"/>
      <c r="BB1578" s="734"/>
      <c r="BC1578" s="3130" t="str">
        <f t="shared" si="170"/>
        <v>Heating Res 6 Year EUL</v>
      </c>
      <c r="BD1578" s="673">
        <f>(INDEX('Avoided Cost Benefits'!$C$4:$C$857,MATCH(BC1578,'Avoided Cost Benefits'!$A$4:$A$857,0)))*F1578</f>
        <v>0</v>
      </c>
      <c r="BE1578" s="1949">
        <f t="shared" si="168"/>
        <v>0</v>
      </c>
      <c r="BG1578" s="691"/>
      <c r="BH1578" s="824"/>
      <c r="BI1578" s="691"/>
    </row>
    <row r="1579" spans="1:61" s="1942" customFormat="1" x14ac:dyDescent="0.25">
      <c r="A1579" s="1267"/>
      <c r="B1579" s="123"/>
      <c r="C1579" s="2038" t="s">
        <v>1367</v>
      </c>
      <c r="D1579" s="2695" t="s">
        <v>322</v>
      </c>
      <c r="E1579" s="3007" t="s">
        <v>1369</v>
      </c>
      <c r="F1579" s="742">
        <f>ROUND(((K2635*K2822*(1/K3009-1/K3196)*K3383)/1000)*$K$3484,2)</f>
        <v>615.75</v>
      </c>
      <c r="G1579" s="2042" t="s">
        <v>1176</v>
      </c>
      <c r="H1579" s="2867">
        <f>VLOOKUP(G1579,'CP FACTORS'!$A$3:$B$38, 2, FALSE)</f>
        <v>9.4741810000000004E-4</v>
      </c>
      <c r="I1579" s="2757">
        <f t="shared" si="169"/>
        <v>0.58337300000000003</v>
      </c>
      <c r="J1579" s="116">
        <f t="shared" si="166"/>
        <v>12</v>
      </c>
      <c r="K1579" s="3294">
        <f t="shared" si="167"/>
        <v>0</v>
      </c>
      <c r="L1579" s="3296"/>
      <c r="M1579" s="328"/>
      <c r="N1579" s="1587"/>
      <c r="O1579" s="1135"/>
      <c r="P1579" s="123"/>
      <c r="Q1579" s="123"/>
      <c r="R1579" s="1431"/>
      <c r="S1579" s="123"/>
      <c r="T1579" s="123"/>
      <c r="U1579" s="1589"/>
      <c r="V1579" s="1958" t="s">
        <v>31</v>
      </c>
      <c r="W1579" s="818"/>
      <c r="X1579" s="819"/>
      <c r="Y1579" s="742"/>
      <c r="Z1579" s="737"/>
      <c r="AA1579" s="737"/>
      <c r="AB1579" s="2162"/>
      <c r="AC1579" s="742">
        <v>615.75</v>
      </c>
      <c r="AD1579" s="818"/>
      <c r="AE1579" s="818"/>
      <c r="AF1579" s="818"/>
      <c r="AG1579" s="818"/>
      <c r="AH1579" s="163"/>
      <c r="AK1579" s="820"/>
      <c r="BB1579" s="734"/>
      <c r="BC1579" s="3130" t="str">
        <f t="shared" si="170"/>
        <v>Cooling Res ER2 12 Year EUL</v>
      </c>
      <c r="BD1579" s="673">
        <f>(INDEX('Avoided Cost Benefits'!$C$4:$C$857,MATCH(BC1579,'Avoided Cost Benefits'!$A$4:$A$857,0)))*F1579</f>
        <v>728.01570334302755</v>
      </c>
      <c r="BE1579" s="1949">
        <f t="shared" si="168"/>
        <v>0</v>
      </c>
      <c r="BG1579" s="691"/>
      <c r="BH1579" s="824"/>
      <c r="BI1579" s="691"/>
    </row>
    <row r="1580" spans="1:61" s="1942" customFormat="1" x14ac:dyDescent="0.25">
      <c r="A1580" s="1267"/>
      <c r="B1580" s="123"/>
      <c r="C1580" s="2038" t="s">
        <v>1367</v>
      </c>
      <c r="D1580" s="2695" t="s">
        <v>322</v>
      </c>
      <c r="E1580" s="3005" t="s">
        <v>1369</v>
      </c>
      <c r="F1580" s="742">
        <v>0</v>
      </c>
      <c r="G1580" s="2042" t="s">
        <v>1195</v>
      </c>
      <c r="H1580" s="2867">
        <f>VLOOKUP(G1580,'CP FACTORS'!$A$3:$B$38, 2, FALSE)</f>
        <v>0</v>
      </c>
      <c r="I1580" s="2757">
        <f t="shared" si="169"/>
        <v>0</v>
      </c>
      <c r="J1580" s="116">
        <f t="shared" si="166"/>
        <v>12</v>
      </c>
      <c r="K1580" s="3294">
        <f t="shared" si="167"/>
        <v>0</v>
      </c>
      <c r="L1580" s="3296"/>
      <c r="M1580" s="328"/>
      <c r="N1580" s="1587"/>
      <c r="O1580" s="1135"/>
      <c r="P1580" s="123"/>
      <c r="Q1580" s="123"/>
      <c r="R1580" s="1431"/>
      <c r="S1580" s="123"/>
      <c r="T1580" s="123"/>
      <c r="U1580" s="1589"/>
      <c r="V1580" s="1958" t="s">
        <v>31</v>
      </c>
      <c r="W1580" s="818"/>
      <c r="X1580" s="819"/>
      <c r="Y1580" s="742"/>
      <c r="Z1580" s="737"/>
      <c r="AA1580" s="737"/>
      <c r="AB1580" s="2162"/>
      <c r="AC1580" s="742">
        <v>0</v>
      </c>
      <c r="AD1580" s="818"/>
      <c r="AE1580" s="818"/>
      <c r="AF1580" s="818"/>
      <c r="AG1580" s="818"/>
      <c r="AH1580" s="163"/>
      <c r="AK1580" s="820"/>
      <c r="BB1580" s="734"/>
      <c r="BC1580" s="3383" t="str">
        <f t="shared" si="170"/>
        <v>Heating Res ER2 12 Year EUL</v>
      </c>
      <c r="BD1580" s="673">
        <f>(INDEX('Avoided Cost Benefits'!$C$4:$C$857,MATCH(BC1580,'Avoided Cost Benefits'!$A$4:$A$857,0)))*F1580</f>
        <v>0</v>
      </c>
      <c r="BE1580" s="1949">
        <f t="shared" si="168"/>
        <v>0</v>
      </c>
      <c r="BG1580" s="691"/>
      <c r="BH1580" s="824"/>
      <c r="BI1580" s="691"/>
    </row>
    <row r="1581" spans="1:61" s="1942" customFormat="1" x14ac:dyDescent="0.25">
      <c r="A1581" s="1267"/>
      <c r="B1581" s="123"/>
      <c r="C1581" s="2038" t="s">
        <v>1370</v>
      </c>
      <c r="D1581" s="2695" t="s">
        <v>317</v>
      </c>
      <c r="E1581" s="3007" t="s">
        <v>1371</v>
      </c>
      <c r="F1581" s="742">
        <f>ROUND(((K2636*K2823*(1/K3010-1/K3197)*K3384)/1000)*$K$3484,2)</f>
        <v>1106.8399999999999</v>
      </c>
      <c r="G1581" s="2042" t="s">
        <v>1134</v>
      </c>
      <c r="H1581" s="2867">
        <f>VLOOKUP(G1581,'CP FACTORS'!$A$3:$B$38, 2, FALSE)</f>
        <v>9.4741810000000004E-4</v>
      </c>
      <c r="I1581" s="2757">
        <f t="shared" si="169"/>
        <v>1.04864</v>
      </c>
      <c r="J1581" s="116">
        <f t="shared" si="166"/>
        <v>6</v>
      </c>
      <c r="K1581" s="3294">
        <f t="shared" si="167"/>
        <v>2171.3844012161662</v>
      </c>
      <c r="L1581" s="3296">
        <f>L1888</f>
        <v>3.1</v>
      </c>
      <c r="M1581" s="328"/>
      <c r="N1581" s="1587"/>
      <c r="O1581" s="1135"/>
      <c r="P1581" s="123"/>
      <c r="Q1581" s="123"/>
      <c r="R1581" s="1431"/>
      <c r="S1581" s="123"/>
      <c r="T1581" s="123"/>
      <c r="U1581" s="1589"/>
      <c r="V1581" s="1958" t="s">
        <v>31</v>
      </c>
      <c r="W1581" s="818"/>
      <c r="X1581" s="819"/>
      <c r="Y1581" s="742"/>
      <c r="Z1581" s="737"/>
      <c r="AA1581" s="737"/>
      <c r="AB1581" s="2162"/>
      <c r="AC1581" s="742">
        <v>1106.8399999999999</v>
      </c>
      <c r="AD1581" s="818"/>
      <c r="AE1581" s="818"/>
      <c r="AF1581" s="818"/>
      <c r="AG1581" s="818"/>
      <c r="AH1581" s="163"/>
      <c r="AK1581" s="820"/>
      <c r="BB1581" s="244">
        <f>(BD1581+BD1582+BD1583+BD1584)/(BE1581+BE1582+BE1583+BE1584)</f>
        <v>0.57238883623244941</v>
      </c>
      <c r="BC1581" s="3130" t="str">
        <f t="shared" si="170"/>
        <v>Cooling Res 6 Year EUL</v>
      </c>
      <c r="BD1581" s="673">
        <f>(INDEX('Avoided Cost Benefits'!$C$4:$C$857,MATCH(BC1581,'Avoided Cost Benefits'!$A$4:$A$857,0)))*F1581</f>
        <v>643.60993090298348</v>
      </c>
      <c r="BE1581" s="1949">
        <f t="shared" si="168"/>
        <v>2049.4425683965701</v>
      </c>
      <c r="BG1581" s="691"/>
      <c r="BH1581" s="824"/>
      <c r="BI1581" s="691"/>
    </row>
    <row r="1582" spans="1:61" s="1942" customFormat="1" x14ac:dyDescent="0.25">
      <c r="A1582" s="1267"/>
      <c r="B1582" s="123"/>
      <c r="C1582" s="2038" t="s">
        <v>1370</v>
      </c>
      <c r="D1582" s="2695" t="s">
        <v>317</v>
      </c>
      <c r="E1582" s="3007" t="s">
        <v>1371</v>
      </c>
      <c r="F1582" s="742">
        <v>0</v>
      </c>
      <c r="G1582" s="2042" t="s">
        <v>1135</v>
      </c>
      <c r="H1582" s="2867">
        <f>VLOOKUP(G1582,'CP FACTORS'!$A$3:$B$38, 2, FALSE)</f>
        <v>0</v>
      </c>
      <c r="I1582" s="2757">
        <f t="shared" si="169"/>
        <v>0</v>
      </c>
      <c r="J1582" s="116">
        <f t="shared" si="166"/>
        <v>6</v>
      </c>
      <c r="K1582" s="3294">
        <f t="shared" si="167"/>
        <v>0</v>
      </c>
      <c r="L1582" s="3296"/>
      <c r="M1582" s="328"/>
      <c r="N1582" s="1587"/>
      <c r="O1582" s="1135"/>
      <c r="P1582" s="123"/>
      <c r="Q1582" s="123"/>
      <c r="R1582" s="1431"/>
      <c r="S1582" s="123"/>
      <c r="T1582" s="123"/>
      <c r="U1582" s="1589"/>
      <c r="V1582" s="1958" t="s">
        <v>31</v>
      </c>
      <c r="W1582" s="818"/>
      <c r="X1582" s="819"/>
      <c r="Y1582" s="742"/>
      <c r="Z1582" s="737"/>
      <c r="AA1582" s="737"/>
      <c r="AB1582" s="2162"/>
      <c r="AC1582" s="742">
        <v>0</v>
      </c>
      <c r="AD1582" s="818"/>
      <c r="AE1582" s="818"/>
      <c r="AF1582" s="818"/>
      <c r="AG1582" s="818"/>
      <c r="AH1582" s="163"/>
      <c r="AK1582" s="820"/>
      <c r="BB1582" s="734"/>
      <c r="BC1582" s="3130" t="str">
        <f t="shared" si="170"/>
        <v>Heating Res 6 Year EUL</v>
      </c>
      <c r="BD1582" s="673">
        <f>(INDEX('Avoided Cost Benefits'!$C$4:$C$857,MATCH(BC1582,'Avoided Cost Benefits'!$A$4:$A$857,0)))*F1582</f>
        <v>0</v>
      </c>
      <c r="BE1582" s="1949">
        <f t="shared" si="168"/>
        <v>0</v>
      </c>
      <c r="BG1582" s="691"/>
      <c r="BH1582" s="824"/>
      <c r="BI1582" s="691"/>
    </row>
    <row r="1583" spans="1:61" s="1942" customFormat="1" x14ac:dyDescent="0.25">
      <c r="A1583" s="1267"/>
      <c r="B1583" s="123"/>
      <c r="C1583" s="2038" t="s">
        <v>1370</v>
      </c>
      <c r="D1583" s="2695" t="s">
        <v>317</v>
      </c>
      <c r="E1583" s="3007" t="s">
        <v>1372</v>
      </c>
      <c r="F1583" s="742">
        <f>ROUND(((K2637*K2824*(1/K3011-1/K3198)*K3385)/1000)*$K$3484,2)</f>
        <v>447.82</v>
      </c>
      <c r="G1583" s="2042" t="s">
        <v>1176</v>
      </c>
      <c r="H1583" s="2867">
        <f>VLOOKUP(G1583,'CP FACTORS'!$A$3:$B$38, 2, FALSE)</f>
        <v>9.4741810000000004E-4</v>
      </c>
      <c r="I1583" s="2757">
        <f t="shared" si="169"/>
        <v>0.42427300000000001</v>
      </c>
      <c r="J1583" s="116">
        <f t="shared" si="166"/>
        <v>12</v>
      </c>
      <c r="K1583" s="3294">
        <f t="shared" si="167"/>
        <v>0</v>
      </c>
      <c r="L1583" s="3296"/>
      <c r="M1583" s="328"/>
      <c r="N1583" s="1587"/>
      <c r="O1583" s="1135"/>
      <c r="P1583" s="123"/>
      <c r="Q1583" s="123"/>
      <c r="R1583" s="1431"/>
      <c r="S1583" s="123"/>
      <c r="T1583" s="123"/>
      <c r="U1583" s="1589"/>
      <c r="V1583" s="1958" t="s">
        <v>31</v>
      </c>
      <c r="W1583" s="818"/>
      <c r="X1583" s="819"/>
      <c r="Y1583" s="742"/>
      <c r="Z1583" s="737"/>
      <c r="AA1583" s="737"/>
      <c r="AB1583" s="2162"/>
      <c r="AC1583" s="742">
        <v>447.82</v>
      </c>
      <c r="AD1583" s="818"/>
      <c r="AE1583" s="818"/>
      <c r="AF1583" s="818"/>
      <c r="AG1583" s="818"/>
      <c r="AH1583" s="163"/>
      <c r="AK1583" s="820"/>
      <c r="BB1583" s="734"/>
      <c r="BC1583" s="3130" t="str">
        <f t="shared" si="170"/>
        <v>Cooling Res ER2 12 Year EUL</v>
      </c>
      <c r="BD1583" s="673">
        <f>(INDEX('Avoided Cost Benefits'!$C$4:$C$857,MATCH(BC1583,'Avoided Cost Benefits'!$A$4:$A$857,0)))*F1583</f>
        <v>529.46811574677156</v>
      </c>
      <c r="BE1583" s="1949">
        <f t="shared" si="168"/>
        <v>0</v>
      </c>
      <c r="BG1583" s="691"/>
      <c r="BH1583" s="824"/>
      <c r="BI1583" s="691"/>
    </row>
    <row r="1584" spans="1:61" s="1942" customFormat="1" x14ac:dyDescent="0.25">
      <c r="A1584" s="1267"/>
      <c r="B1584" s="123"/>
      <c r="C1584" s="2038" t="s">
        <v>1370</v>
      </c>
      <c r="D1584" s="2695" t="s">
        <v>317</v>
      </c>
      <c r="E1584" s="3007" t="s">
        <v>1372</v>
      </c>
      <c r="F1584" s="742">
        <f>0</f>
        <v>0</v>
      </c>
      <c r="G1584" s="2042" t="s">
        <v>1195</v>
      </c>
      <c r="H1584" s="2867">
        <f>VLOOKUP(G1584,'CP FACTORS'!$A$3:$B$38, 2, FALSE)</f>
        <v>0</v>
      </c>
      <c r="I1584" s="2757">
        <f t="shared" si="169"/>
        <v>0</v>
      </c>
      <c r="J1584" s="116">
        <f t="shared" si="166"/>
        <v>12</v>
      </c>
      <c r="K1584" s="3294">
        <f t="shared" si="167"/>
        <v>0</v>
      </c>
      <c r="L1584" s="3296"/>
      <c r="M1584" s="328"/>
      <c r="N1584" s="1587"/>
      <c r="O1584" s="1135"/>
      <c r="P1584" s="123"/>
      <c r="Q1584" s="123"/>
      <c r="R1584" s="1431"/>
      <c r="S1584" s="123"/>
      <c r="T1584" s="123"/>
      <c r="U1584" s="1589"/>
      <c r="V1584" s="1958" t="s">
        <v>31</v>
      </c>
      <c r="W1584" s="818"/>
      <c r="X1584" s="819"/>
      <c r="Y1584" s="742"/>
      <c r="Z1584" s="737"/>
      <c r="AA1584" s="737"/>
      <c r="AB1584" s="2162"/>
      <c r="AC1584" s="742">
        <v>0</v>
      </c>
      <c r="AD1584" s="818"/>
      <c r="AE1584" s="818"/>
      <c r="AF1584" s="818"/>
      <c r="AG1584" s="818"/>
      <c r="AH1584" s="163"/>
      <c r="AK1584" s="820"/>
      <c r="BB1584" s="734"/>
      <c r="BC1584" s="3130" t="str">
        <f t="shared" si="170"/>
        <v>Heating Res ER2 12 Year EUL</v>
      </c>
      <c r="BD1584" s="673">
        <f>(INDEX('Avoided Cost Benefits'!$C$4:$C$857,MATCH(BC1584,'Avoided Cost Benefits'!$A$4:$A$857,0)))*F1584</f>
        <v>0</v>
      </c>
      <c r="BE1584" s="1949">
        <f t="shared" si="168"/>
        <v>0</v>
      </c>
      <c r="BG1584" s="691"/>
      <c r="BH1584" s="824"/>
      <c r="BI1584" s="691"/>
    </row>
    <row r="1585" spans="1:61" s="51" customFormat="1" x14ac:dyDescent="0.25">
      <c r="A1585" s="1267" t="str">
        <f t="shared" si="163"/>
        <v>353650_2021_12_Cooling Res</v>
      </c>
      <c r="B1585" s="123"/>
      <c r="C1585" s="2038" t="s">
        <v>1374</v>
      </c>
      <c r="D1585" s="1553" t="s">
        <v>320</v>
      </c>
      <c r="E1585" s="2965" t="s">
        <v>1375</v>
      </c>
      <c r="F1585" s="742">
        <f>ROUND(((K2638*K2825*(1/K3012-1/K3199)*K3386)/1000)*$K$3484,2)</f>
        <v>1109.96</v>
      </c>
      <c r="G1585" s="214" t="s">
        <v>1134</v>
      </c>
      <c r="H1585" s="155">
        <f>VLOOKUP(G1585,'CP FACTORS'!$A$3:$B$38, 2, FALSE)</f>
        <v>9.4741810000000004E-4</v>
      </c>
      <c r="I1585" s="1554">
        <f t="shared" si="169"/>
        <v>1.051596</v>
      </c>
      <c r="J1585" s="108">
        <f t="shared" si="166"/>
        <v>18</v>
      </c>
      <c r="K1585" s="1052">
        <f t="shared" si="167"/>
        <v>1689.9245999999991</v>
      </c>
      <c r="L1585" s="1088">
        <f>L1890</f>
        <v>3.5</v>
      </c>
      <c r="M1585" s="328"/>
      <c r="N1585" s="1587"/>
      <c r="O1585" s="1135"/>
      <c r="P1585" s="123"/>
      <c r="Q1585" s="123"/>
      <c r="R1585" s="1431"/>
      <c r="S1585" s="123"/>
      <c r="T1585" s="123"/>
      <c r="U1585" s="1589"/>
      <c r="V1585" s="1962" t="s">
        <v>31</v>
      </c>
      <c r="W1585" s="818">
        <v>977.86373626373654</v>
      </c>
      <c r="X1585" s="825">
        <v>977.86373626373654</v>
      </c>
      <c r="Y1585" s="737">
        <v>977.86</v>
      </c>
      <c r="Z1585" s="737">
        <v>977.86</v>
      </c>
      <c r="AA1585" s="737">
        <v>977.86</v>
      </c>
      <c r="AB1585" s="2162">
        <v>977.86</v>
      </c>
      <c r="AC1585" s="742">
        <v>1109.96</v>
      </c>
      <c r="AD1585" s="818"/>
      <c r="AE1585" s="818"/>
      <c r="AF1585" s="818"/>
      <c r="AG1585" s="818"/>
      <c r="AH1585" s="163"/>
      <c r="AI1585" s="1942"/>
      <c r="AJ1585" s="1942"/>
      <c r="AK1585" s="820"/>
      <c r="AL1585" s="1942"/>
      <c r="AM1585" s="1942"/>
      <c r="AN1585" s="1942"/>
      <c r="AO1585" s="1942"/>
      <c r="AP1585" s="1942"/>
      <c r="AQ1585" s="1942"/>
      <c r="AR1585" s="1942"/>
      <c r="AS1585" s="1942"/>
      <c r="AT1585" s="1942"/>
      <c r="AU1585" s="1942"/>
      <c r="AV1585" s="1942"/>
      <c r="AW1585" s="1942"/>
      <c r="AX1585" s="1942"/>
      <c r="AY1585" s="1942"/>
      <c r="AZ1585" s="1942"/>
      <c r="BA1585" s="1942"/>
      <c r="BB1585" s="244">
        <f>(BD1585+BD1586)/(BE1585+BE1586)</f>
        <v>4.8313302643361355</v>
      </c>
      <c r="BC1585" s="710" t="str">
        <f t="shared" si="170"/>
        <v>Cooling Res 18 Year EUL</v>
      </c>
      <c r="BD1585" s="673">
        <f>(INDEX('Avoided Cost Benefits'!$C$4:$C$857,MATCH(BC1585,'Avoided Cost Benefits'!$A$4:$A$857,0)))*F1585</f>
        <v>1957.7559683652778</v>
      </c>
      <c r="BE1585" s="1949">
        <f t="shared" si="168"/>
        <v>1595.0208588957046</v>
      </c>
      <c r="BF1585" s="1942"/>
      <c r="BG1585" s="691"/>
      <c r="BH1585" s="821"/>
      <c r="BI1585" s="691"/>
    </row>
    <row r="1586" spans="1:61" s="51" customFormat="1" x14ac:dyDescent="0.25">
      <c r="A1586" s="1267" t="str">
        <f t="shared" si="163"/>
        <v>353650_2021_12_Heating Res</v>
      </c>
      <c r="B1586" s="123"/>
      <c r="C1586" s="2038" t="s">
        <v>1374</v>
      </c>
      <c r="D1586" s="1553" t="s">
        <v>320</v>
      </c>
      <c r="E1586" s="3008" t="s">
        <v>1375</v>
      </c>
      <c r="F1586" s="742">
        <f>ROUND(((K1890*K2077*(1/K2264-1/K2451)*K3386)/1000)*$K$3484,2)</f>
        <v>12441.81</v>
      </c>
      <c r="G1586" s="214" t="s">
        <v>1135</v>
      </c>
      <c r="H1586" s="155">
        <f>VLOOKUP(G1586,'CP FACTORS'!$A$3:$B$38, 2, FALSE)</f>
        <v>0</v>
      </c>
      <c r="I1586" s="1554">
        <f t="shared" si="169"/>
        <v>0</v>
      </c>
      <c r="J1586" s="108">
        <f t="shared" si="166"/>
        <v>18</v>
      </c>
      <c r="K1586" s="1052">
        <f t="shared" si="167"/>
        <v>0</v>
      </c>
      <c r="L1586" s="1088"/>
      <c r="M1586" s="328"/>
      <c r="N1586" s="1587"/>
      <c r="O1586" s="1135"/>
      <c r="P1586" s="123"/>
      <c r="Q1586" s="123"/>
      <c r="R1586" s="1431"/>
      <c r="S1586" s="123"/>
      <c r="T1586" s="123"/>
      <c r="U1586" s="1589"/>
      <c r="V1586" s="1962" t="s">
        <v>31</v>
      </c>
      <c r="W1586" s="818">
        <v>14670.188469329136</v>
      </c>
      <c r="X1586" s="819">
        <v>10924.142334552707</v>
      </c>
      <c r="Y1586" s="737">
        <v>10924.14</v>
      </c>
      <c r="Z1586" s="737">
        <v>10924.14</v>
      </c>
      <c r="AA1586" s="737">
        <v>10924.14</v>
      </c>
      <c r="AB1586" s="2162">
        <v>10924.14</v>
      </c>
      <c r="AC1586" s="742">
        <v>12441.81</v>
      </c>
      <c r="AD1586" s="818"/>
      <c r="AE1586" s="818"/>
      <c r="AF1586" s="818"/>
      <c r="AG1586" s="818"/>
      <c r="AH1586" s="163"/>
      <c r="AI1586" s="1942"/>
      <c r="AJ1586" s="1942"/>
      <c r="AK1586" s="820"/>
      <c r="AL1586" s="1942"/>
      <c r="AM1586" s="1942"/>
      <c r="AN1586" s="1942"/>
      <c r="AO1586" s="1942"/>
      <c r="AP1586" s="1942"/>
      <c r="AQ1586" s="1942"/>
      <c r="AR1586" s="1942"/>
      <c r="AS1586" s="1942"/>
      <c r="AT1586" s="1942"/>
      <c r="AU1586" s="1942"/>
      <c r="AV1586" s="1942"/>
      <c r="AW1586" s="1942"/>
      <c r="AX1586" s="1942"/>
      <c r="AY1586" s="1942"/>
      <c r="AZ1586" s="1942"/>
      <c r="BA1586" s="1942"/>
      <c r="BB1586" s="242"/>
      <c r="BC1586" s="822" t="str">
        <f t="shared" si="170"/>
        <v>Heating Res 18 Year EUL</v>
      </c>
      <c r="BD1586" s="673">
        <f>(INDEX('Avoided Cost Benefits'!$C$4:$C$857,MATCH(BC1586,'Avoided Cost Benefits'!$A$4:$A$857,0)))*F1586</f>
        <v>5748.3165794649567</v>
      </c>
      <c r="BE1586" s="1949">
        <f t="shared" si="168"/>
        <v>0</v>
      </c>
      <c r="BF1586" s="1942"/>
      <c r="BG1586" s="691"/>
      <c r="BH1586" s="821"/>
      <c r="BI1586" s="691"/>
    </row>
    <row r="1587" spans="1:61" s="51" customFormat="1" x14ac:dyDescent="0.25">
      <c r="A1587" s="1267" t="str">
        <f t="shared" si="163"/>
        <v>353700_2019_12_Cooling Res</v>
      </c>
      <c r="B1587" s="123"/>
      <c r="C1587" s="1471" t="s">
        <v>1376</v>
      </c>
      <c r="D1587" s="2695" t="s">
        <v>322</v>
      </c>
      <c r="E1587" s="2965" t="s">
        <v>1377</v>
      </c>
      <c r="F1587" s="782">
        <f>ROUND(((K2639*K2826*(1/K3013-1/K3200)*K3387)/1000)*$K$3484,2)</f>
        <v>635.61</v>
      </c>
      <c r="G1587" s="214" t="s">
        <v>1134</v>
      </c>
      <c r="H1587" s="155">
        <f>VLOOKUP(G1587,'CP FACTORS'!$A$3:$B$38, 2, FALSE)</f>
        <v>9.4741810000000004E-4</v>
      </c>
      <c r="I1587" s="1554">
        <f t="shared" si="169"/>
        <v>0.60218799999999995</v>
      </c>
      <c r="J1587" s="108">
        <f t="shared" si="166"/>
        <v>18</v>
      </c>
      <c r="K1587" s="1052">
        <f t="shared" si="167"/>
        <v>1689.9245999999991</v>
      </c>
      <c r="L1587" s="1088">
        <f>L1891</f>
        <v>3.2</v>
      </c>
      <c r="M1587" s="328"/>
      <c r="N1587" s="1587"/>
      <c r="O1587" s="1135"/>
      <c r="P1587" s="123"/>
      <c r="Q1587" s="123"/>
      <c r="R1587" s="1431"/>
      <c r="S1587" s="123"/>
      <c r="T1587" s="123"/>
      <c r="U1587" s="1589"/>
      <c r="V1587" s="1962" t="s">
        <v>31</v>
      </c>
      <c r="W1587" s="818">
        <v>635.61142857142875</v>
      </c>
      <c r="X1587" s="825">
        <v>635.61142857142875</v>
      </c>
      <c r="Y1587" s="737">
        <v>635.61</v>
      </c>
      <c r="Z1587" s="737">
        <v>635.61</v>
      </c>
      <c r="AA1587" s="737">
        <v>635.61</v>
      </c>
      <c r="AB1587" s="2162">
        <v>635.61</v>
      </c>
      <c r="AC1587" s="782">
        <v>635.61</v>
      </c>
      <c r="AD1587" s="818"/>
      <c r="AE1587" s="818"/>
      <c r="AF1587" s="818"/>
      <c r="AG1587" s="818"/>
      <c r="AH1587" s="163"/>
      <c r="AI1587" s="1942"/>
      <c r="AJ1587" s="1942"/>
      <c r="AK1587" s="820"/>
      <c r="AL1587" s="1942"/>
      <c r="AM1587" s="1942"/>
      <c r="AN1587" s="1942"/>
      <c r="AO1587" s="1942"/>
      <c r="AP1587" s="1942"/>
      <c r="AQ1587" s="1942"/>
      <c r="AR1587" s="1942"/>
      <c r="AS1587" s="1942"/>
      <c r="AT1587" s="1942"/>
      <c r="AU1587" s="1942"/>
      <c r="AV1587" s="1942"/>
      <c r="AW1587" s="1942"/>
      <c r="AX1587" s="1942"/>
      <c r="AY1587" s="1942"/>
      <c r="AZ1587" s="1942"/>
      <c r="BA1587" s="1942"/>
      <c r="BB1587" s="244">
        <f>(BD1587+BD1588)/(BE1587+BE1588)</f>
        <v>2.7596673110064098</v>
      </c>
      <c r="BC1587" s="710" t="str">
        <f t="shared" si="170"/>
        <v>Cooling Res 18 Year EUL</v>
      </c>
      <c r="BD1587" s="673">
        <f>(INDEX('Avoided Cost Benefits'!$C$4:$C$857,MATCH(BC1587,'Avoided Cost Benefits'!$A$4:$A$857,0)))*F1587</f>
        <v>1121.0937971212063</v>
      </c>
      <c r="BE1587" s="1949">
        <f t="shared" si="168"/>
        <v>1595.0208588957046</v>
      </c>
      <c r="BF1587" s="1942"/>
      <c r="BG1587" s="691"/>
      <c r="BH1587" s="821"/>
      <c r="BI1587" s="691"/>
    </row>
    <row r="1588" spans="1:61" s="51" customFormat="1" x14ac:dyDescent="0.25">
      <c r="A1588" s="1267" t="str">
        <f t="shared" si="163"/>
        <v>353700_2019_12_Heating Res</v>
      </c>
      <c r="B1588" s="123"/>
      <c r="C1588" s="1471" t="s">
        <v>1376</v>
      </c>
      <c r="D1588" s="2695" t="s">
        <v>322</v>
      </c>
      <c r="E1588" s="3008" t="s">
        <v>1377</v>
      </c>
      <c r="F1588" s="782">
        <f>ROUND(((K1891*K2078*(1/K2265-1/K2452)*K3387)/1000)*$K$3484,2)</f>
        <v>7100.69</v>
      </c>
      <c r="G1588" s="214" t="s">
        <v>1135</v>
      </c>
      <c r="H1588" s="155">
        <f>VLOOKUP(G1588,'CP FACTORS'!$A$3:$B$38, 2, FALSE)</f>
        <v>0</v>
      </c>
      <c r="I1588" s="1554">
        <f t="shared" si="169"/>
        <v>0</v>
      </c>
      <c r="J1588" s="108">
        <f t="shared" si="166"/>
        <v>18</v>
      </c>
      <c r="K1588" s="1052">
        <f t="shared" si="167"/>
        <v>0</v>
      </c>
      <c r="L1588" s="1088"/>
      <c r="M1588" s="328"/>
      <c r="N1588" s="1587"/>
      <c r="O1588" s="1135"/>
      <c r="P1588" s="123"/>
      <c r="Q1588" s="123"/>
      <c r="R1588" s="1431"/>
      <c r="S1588" s="123"/>
      <c r="T1588" s="123"/>
      <c r="U1588" s="1589"/>
      <c r="V1588" s="1962" t="s">
        <v>31</v>
      </c>
      <c r="W1588" s="818">
        <v>9535.6225050639387</v>
      </c>
      <c r="X1588" s="819">
        <v>7100.6925174592607</v>
      </c>
      <c r="Y1588" s="737">
        <v>7100.69</v>
      </c>
      <c r="Z1588" s="737">
        <v>7100.69</v>
      </c>
      <c r="AA1588" s="737">
        <v>7100.69</v>
      </c>
      <c r="AB1588" s="2162">
        <v>7100.69</v>
      </c>
      <c r="AC1588" s="782">
        <v>7100.69</v>
      </c>
      <c r="AD1588" s="818"/>
      <c r="AE1588" s="818"/>
      <c r="AF1588" s="818"/>
      <c r="AG1588" s="818"/>
      <c r="AH1588" s="163"/>
      <c r="AI1588" s="1942"/>
      <c r="AJ1588" s="1942"/>
      <c r="AK1588" s="820"/>
      <c r="AL1588" s="1942"/>
      <c r="AM1588" s="1942"/>
      <c r="AN1588" s="1942"/>
      <c r="AO1588" s="1942"/>
      <c r="AP1588" s="1942"/>
      <c r="AQ1588" s="1942"/>
      <c r="AR1588" s="1942"/>
      <c r="AS1588" s="1942"/>
      <c r="AT1588" s="1942"/>
      <c r="AU1588" s="1942"/>
      <c r="AV1588" s="1942"/>
      <c r="AW1588" s="1942"/>
      <c r="AX1588" s="1942"/>
      <c r="AY1588" s="1942"/>
      <c r="AZ1588" s="1942"/>
      <c r="BA1588" s="1942"/>
      <c r="BB1588" s="242"/>
      <c r="BC1588" s="822" t="str">
        <f t="shared" si="170"/>
        <v>Heating Res 18 Year EUL</v>
      </c>
      <c r="BD1588" s="673">
        <f>(INDEX('Avoided Cost Benefits'!$C$4:$C$857,MATCH(BC1588,'Avoided Cost Benefits'!$A$4:$A$857,0)))*F1588</f>
        <v>3280.6331275466368</v>
      </c>
      <c r="BE1588" s="1949">
        <f t="shared" si="168"/>
        <v>0</v>
      </c>
      <c r="BF1588" s="1942"/>
      <c r="BG1588" s="691"/>
      <c r="BH1588" s="821"/>
      <c r="BI1588" s="691"/>
    </row>
    <row r="1589" spans="1:61" s="51" customFormat="1" x14ac:dyDescent="0.25">
      <c r="A1589" s="1267" t="str">
        <f t="shared" si="163"/>
        <v>353701_2019_12_Cooling Res</v>
      </c>
      <c r="B1589" s="123"/>
      <c r="C1589" s="1471" t="s">
        <v>1378</v>
      </c>
      <c r="D1589" s="1553" t="s">
        <v>317</v>
      </c>
      <c r="E1589" s="2878" t="s">
        <v>1379</v>
      </c>
      <c r="F1589" s="782">
        <f>ROUND(((K2640*K2827*(1/K3014-1/K3201)*K3388)/1000)*$K$3484,2)</f>
        <v>462.26</v>
      </c>
      <c r="G1589" s="214" t="s">
        <v>1134</v>
      </c>
      <c r="H1589" s="155">
        <f>VLOOKUP(G1589,'CP FACTORS'!$A$3:$B$38, 2, FALSE)</f>
        <v>9.4741810000000004E-4</v>
      </c>
      <c r="I1589" s="1554">
        <f t="shared" si="169"/>
        <v>0.43795299999999998</v>
      </c>
      <c r="J1589" s="108">
        <f t="shared" si="166"/>
        <v>18</v>
      </c>
      <c r="K1589" s="3294">
        <f t="shared" si="167"/>
        <v>1689.9245999999991</v>
      </c>
      <c r="L1589" s="3296">
        <f>L1892</f>
        <v>3.2</v>
      </c>
      <c r="M1589" s="328"/>
      <c r="N1589" s="1587"/>
      <c r="O1589" s="1135"/>
      <c r="P1589" s="123"/>
      <c r="Q1589" s="123"/>
      <c r="R1589" s="1431"/>
      <c r="S1589" s="123"/>
      <c r="T1589" s="123"/>
      <c r="U1589" s="1589"/>
      <c r="V1589" s="1962" t="s">
        <v>31</v>
      </c>
      <c r="W1589" s="818"/>
      <c r="X1589" s="819"/>
      <c r="Y1589" s="742">
        <v>462.26</v>
      </c>
      <c r="Z1589" s="737">
        <v>462.26</v>
      </c>
      <c r="AA1589" s="737">
        <v>462.26</v>
      </c>
      <c r="AB1589" s="2162">
        <v>462.26</v>
      </c>
      <c r="AC1589" s="782">
        <v>462.26</v>
      </c>
      <c r="AD1589" s="818"/>
      <c r="AE1589" s="818"/>
      <c r="AF1589" s="818"/>
      <c r="AG1589" s="818"/>
      <c r="AH1589" s="163"/>
      <c r="AI1589" s="1942"/>
      <c r="AJ1589" s="1942"/>
      <c r="AK1589" s="820"/>
      <c r="AL1589" s="1942"/>
      <c r="AM1589" s="1942"/>
      <c r="AN1589" s="1942"/>
      <c r="AO1589" s="1942"/>
      <c r="AP1589" s="1942"/>
      <c r="AQ1589" s="1942"/>
      <c r="AR1589" s="1942"/>
      <c r="AS1589" s="1942"/>
      <c r="AT1589" s="1942"/>
      <c r="AU1589" s="1942"/>
      <c r="AV1589" s="1942"/>
      <c r="AW1589" s="1942"/>
      <c r="AX1589" s="1942"/>
      <c r="AY1589" s="1942"/>
      <c r="AZ1589" s="1942"/>
      <c r="BA1589" s="1942"/>
      <c r="BB1589" s="244">
        <f>(BD1589+BD1590)/(BE1589+BE1590)</f>
        <v>1.2123574985084911</v>
      </c>
      <c r="BC1589" s="710" t="str">
        <f t="shared" si="170"/>
        <v>Cooling Res 18 Year EUL</v>
      </c>
      <c r="BD1589" s="673">
        <f>(INDEX('Avoided Cost Benefits'!$C$4:$C$857,MATCH(BC1589,'Avoided Cost Benefits'!$A$4:$A$857,0)))*F1589</f>
        <v>815.33773643782956</v>
      </c>
      <c r="BE1589" s="1949">
        <f t="shared" si="168"/>
        <v>1595.0208588957046</v>
      </c>
      <c r="BF1589" s="1942"/>
      <c r="BG1589" s="691"/>
      <c r="BH1589" s="821"/>
      <c r="BI1589" s="691"/>
    </row>
    <row r="1590" spans="1:61" s="51" customFormat="1" x14ac:dyDescent="0.25">
      <c r="A1590" s="1267" t="str">
        <f t="shared" si="163"/>
        <v>353701_2019_12_Heating Res</v>
      </c>
      <c r="B1590" s="123"/>
      <c r="C1590" s="1471" t="s">
        <v>1378</v>
      </c>
      <c r="D1590" s="1553" t="s">
        <v>317</v>
      </c>
      <c r="E1590" s="3005" t="s">
        <v>1379</v>
      </c>
      <c r="F1590" s="782">
        <f>ROUND(((K1892*K2079*(1/K2266-1/K2453)*K3388)/1000)*$K$3484,2)</f>
        <v>2420.69</v>
      </c>
      <c r="G1590" s="214" t="s">
        <v>1135</v>
      </c>
      <c r="H1590" s="155">
        <f>VLOOKUP(G1590,'CP FACTORS'!$A$3:$B$38, 2, FALSE)</f>
        <v>0</v>
      </c>
      <c r="I1590" s="1554">
        <f t="shared" si="169"/>
        <v>0</v>
      </c>
      <c r="J1590" s="108">
        <f t="shared" si="166"/>
        <v>18</v>
      </c>
      <c r="K1590" s="1052">
        <f t="shared" si="167"/>
        <v>0</v>
      </c>
      <c r="L1590" s="1088"/>
      <c r="M1590" s="328"/>
      <c r="N1590" s="1587"/>
      <c r="O1590" s="1135"/>
      <c r="P1590" s="123"/>
      <c r="Q1590" s="123"/>
      <c r="R1590" s="1431"/>
      <c r="S1590" s="123"/>
      <c r="T1590" s="123"/>
      <c r="U1590" s="1589"/>
      <c r="V1590" s="1962" t="s">
        <v>31</v>
      </c>
      <c r="W1590" s="818"/>
      <c r="X1590" s="819"/>
      <c r="Y1590" s="742">
        <v>2420.69</v>
      </c>
      <c r="Z1590" s="737">
        <v>2420.69</v>
      </c>
      <c r="AA1590" s="737">
        <v>2420.69</v>
      </c>
      <c r="AB1590" s="2162">
        <v>2420.69</v>
      </c>
      <c r="AC1590" s="782">
        <v>2420.69</v>
      </c>
      <c r="AD1590" s="818"/>
      <c r="AE1590" s="818"/>
      <c r="AF1590" s="818"/>
      <c r="AG1590" s="818"/>
      <c r="AH1590" s="163"/>
      <c r="AI1590" s="1942"/>
      <c r="AJ1590" s="1942"/>
      <c r="AK1590" s="820"/>
      <c r="AL1590" s="1942"/>
      <c r="AM1590" s="1942"/>
      <c r="AN1590" s="1942"/>
      <c r="AO1590" s="1942"/>
      <c r="AP1590" s="1942"/>
      <c r="AQ1590" s="1942"/>
      <c r="AR1590" s="1942"/>
      <c r="AS1590" s="1942"/>
      <c r="AT1590" s="1942"/>
      <c r="AU1590" s="1942"/>
      <c r="AV1590" s="1942"/>
      <c r="AW1590" s="1942"/>
      <c r="AX1590" s="1942"/>
      <c r="AY1590" s="1942"/>
      <c r="AZ1590" s="1942"/>
      <c r="BA1590" s="1942"/>
      <c r="BB1590" s="242"/>
      <c r="BC1590" s="822" t="str">
        <f t="shared" si="170"/>
        <v>Heating Res 18 Year EUL</v>
      </c>
      <c r="BD1590" s="673">
        <f>(INDEX('Avoided Cost Benefits'!$C$4:$C$857,MATCH(BC1590,'Avoided Cost Benefits'!$A$4:$A$857,0)))*F1590</f>
        <v>1118.3977621218316</v>
      </c>
      <c r="BE1590" s="1949">
        <f t="shared" si="168"/>
        <v>0</v>
      </c>
      <c r="BF1590" s="1942"/>
      <c r="BG1590" s="691"/>
      <c r="BH1590" s="821"/>
      <c r="BI1590" s="691"/>
    </row>
    <row r="1591" spans="1:61" s="1942" customFormat="1" x14ac:dyDescent="0.25">
      <c r="A1591" s="1267"/>
      <c r="B1591" s="123"/>
      <c r="C1591" s="2038" t="s">
        <v>1380</v>
      </c>
      <c r="D1591" s="2695" t="s">
        <v>322</v>
      </c>
      <c r="E1591" s="3007" t="s">
        <v>1381</v>
      </c>
      <c r="F1591" s="742">
        <f>ROUND(((K2641*K2828*(1/K3015-1/K3202)*K3389)/1000)*$K$3484,2)</f>
        <v>635.61</v>
      </c>
      <c r="G1591" s="2042" t="s">
        <v>1134</v>
      </c>
      <c r="H1591" s="2867">
        <f>VLOOKUP(G1591,'CP FACTORS'!$A$3:$B$38, 2, FALSE)</f>
        <v>9.4741810000000004E-4</v>
      </c>
      <c r="I1591" s="2757">
        <f t="shared" si="169"/>
        <v>0.60218799999999995</v>
      </c>
      <c r="J1591" s="116">
        <f t="shared" si="166"/>
        <v>18</v>
      </c>
      <c r="K1591" s="3294">
        <f t="shared" si="167"/>
        <v>1689.9245999999991</v>
      </c>
      <c r="L1591" s="3296">
        <f>L1893</f>
        <v>3.2</v>
      </c>
      <c r="M1591" s="328"/>
      <c r="N1591" s="1587"/>
      <c r="O1591" s="1135"/>
      <c r="P1591" s="123"/>
      <c r="Q1591" s="123"/>
      <c r="R1591" s="1431"/>
      <c r="S1591" s="123"/>
      <c r="T1591" s="123"/>
      <c r="U1591" s="1589"/>
      <c r="V1591" s="1958" t="s">
        <v>31</v>
      </c>
      <c r="W1591" s="818"/>
      <c r="X1591" s="819"/>
      <c r="Y1591" s="742"/>
      <c r="Z1591" s="737"/>
      <c r="AA1591" s="737"/>
      <c r="AB1591" s="2162"/>
      <c r="AC1591" s="742">
        <v>635.61</v>
      </c>
      <c r="AD1591" s="818"/>
      <c r="AE1591" s="818"/>
      <c r="AF1591" s="818"/>
      <c r="AG1591" s="818"/>
      <c r="AH1591" s="163"/>
      <c r="AK1591" s="820"/>
      <c r="BB1591" s="244">
        <f>(BD1591+BD1592)/(BE1591+BE1592)</f>
        <v>0.7028709316675541</v>
      </c>
      <c r="BC1591" s="3049" t="str">
        <f t="shared" si="170"/>
        <v>Cooling Res 18 Year EUL</v>
      </c>
      <c r="BD1591" s="673">
        <f>(INDEX('Avoided Cost Benefits'!$C$4:$C$857,MATCH(BC1591,'Avoided Cost Benefits'!$A$4:$A$857,0)))*F1591</f>
        <v>1121.0937971212063</v>
      </c>
      <c r="BE1591" s="1949">
        <f t="shared" si="168"/>
        <v>1595.0208588957046</v>
      </c>
      <c r="BG1591" s="691"/>
      <c r="BH1591" s="821"/>
      <c r="BI1591" s="691"/>
    </row>
    <row r="1592" spans="1:61" s="1942" customFormat="1" x14ac:dyDescent="0.25">
      <c r="A1592" s="1267"/>
      <c r="B1592" s="123"/>
      <c r="C1592" s="2038" t="s">
        <v>1380</v>
      </c>
      <c r="D1592" s="2695" t="s">
        <v>322</v>
      </c>
      <c r="E1592" s="3005" t="s">
        <v>1381</v>
      </c>
      <c r="F1592" s="742">
        <v>0</v>
      </c>
      <c r="G1592" s="2042" t="s">
        <v>1135</v>
      </c>
      <c r="H1592" s="2867">
        <f>VLOOKUP(G1592,'CP FACTORS'!$A$3:$B$38, 2, FALSE)</f>
        <v>0</v>
      </c>
      <c r="I1592" s="2757">
        <f t="shared" si="169"/>
        <v>0</v>
      </c>
      <c r="J1592" s="116">
        <f t="shared" si="166"/>
        <v>18</v>
      </c>
      <c r="K1592" s="3294">
        <f t="shared" si="167"/>
        <v>0</v>
      </c>
      <c r="L1592" s="3296"/>
      <c r="M1592" s="328"/>
      <c r="N1592" s="1587"/>
      <c r="O1592" s="1135"/>
      <c r="P1592" s="123"/>
      <c r="Q1592" s="123"/>
      <c r="R1592" s="1431"/>
      <c r="S1592" s="123"/>
      <c r="T1592" s="123"/>
      <c r="U1592" s="1589"/>
      <c r="V1592" s="1958" t="s">
        <v>31</v>
      </c>
      <c r="W1592" s="818"/>
      <c r="X1592" s="819"/>
      <c r="Y1592" s="742"/>
      <c r="Z1592" s="737"/>
      <c r="AA1592" s="737"/>
      <c r="AB1592" s="2162"/>
      <c r="AC1592" s="742">
        <v>0</v>
      </c>
      <c r="AD1592" s="818"/>
      <c r="AE1592" s="818"/>
      <c r="AF1592" s="818"/>
      <c r="AG1592" s="818"/>
      <c r="AH1592" s="163"/>
      <c r="AK1592" s="820"/>
      <c r="BB1592" s="242"/>
      <c r="BC1592" s="822" t="str">
        <f t="shared" si="170"/>
        <v>Heating Res 18 Year EUL</v>
      </c>
      <c r="BD1592" s="673">
        <f>(INDEX('Avoided Cost Benefits'!$C$4:$C$857,MATCH(BC1592,'Avoided Cost Benefits'!$A$4:$A$857,0)))*F1592</f>
        <v>0</v>
      </c>
      <c r="BE1592" s="1949">
        <f t="shared" si="168"/>
        <v>0</v>
      </c>
      <c r="BG1592" s="691"/>
      <c r="BH1592" s="821"/>
      <c r="BI1592" s="691"/>
    </row>
    <row r="1593" spans="1:61" s="1942" customFormat="1" x14ac:dyDescent="0.25">
      <c r="A1593" s="1267"/>
      <c r="B1593" s="123"/>
      <c r="C1593" s="2038" t="s">
        <v>1382</v>
      </c>
      <c r="D1593" s="2695" t="s">
        <v>317</v>
      </c>
      <c r="E1593" s="3007" t="s">
        <v>1383</v>
      </c>
      <c r="F1593" s="742">
        <f>ROUND(((K2642*K2829*(1/K3016-1/K3203)*K3390)/1000)*$K$3484,2)</f>
        <v>462.26</v>
      </c>
      <c r="G1593" s="2042" t="s">
        <v>1134</v>
      </c>
      <c r="H1593" s="2867">
        <f>VLOOKUP(G1593,'CP FACTORS'!$A$3:$B$38, 2, FALSE)</f>
        <v>9.4741810000000004E-4</v>
      </c>
      <c r="I1593" s="2757">
        <f t="shared" si="169"/>
        <v>0.43795299999999998</v>
      </c>
      <c r="J1593" s="116">
        <f t="shared" si="166"/>
        <v>18</v>
      </c>
      <c r="K1593" s="3294">
        <f t="shared" si="167"/>
        <v>1689.9245999999991</v>
      </c>
      <c r="L1593" s="3296">
        <f>L1894</f>
        <v>3.2</v>
      </c>
      <c r="M1593" s="328"/>
      <c r="N1593" s="1587"/>
      <c r="O1593" s="1135"/>
      <c r="P1593" s="123"/>
      <c r="Q1593" s="123"/>
      <c r="R1593" s="1431"/>
      <c r="S1593" s="123"/>
      <c r="T1593" s="123"/>
      <c r="U1593" s="1589"/>
      <c r="V1593" s="1958" t="s">
        <v>31</v>
      </c>
      <c r="W1593" s="818"/>
      <c r="X1593" s="819"/>
      <c r="Y1593" s="742"/>
      <c r="Z1593" s="737"/>
      <c r="AA1593" s="737"/>
      <c r="AB1593" s="2162"/>
      <c r="AC1593" s="742">
        <v>462.26</v>
      </c>
      <c r="AD1593" s="818"/>
      <c r="AE1593" s="818"/>
      <c r="AF1593" s="818"/>
      <c r="AG1593" s="818"/>
      <c r="AH1593" s="163"/>
      <c r="AK1593" s="820"/>
      <c r="BB1593" s="244">
        <f>(BD1593+BD1594)/(BE1593+BE1594)</f>
        <v>0.51117684881081726</v>
      </c>
      <c r="BC1593" s="3049" t="str">
        <f t="shared" si="170"/>
        <v>Cooling Res 18 Year EUL</v>
      </c>
      <c r="BD1593" s="673">
        <f>(INDEX('Avoided Cost Benefits'!$C$4:$C$857,MATCH(BC1593,'Avoided Cost Benefits'!$A$4:$A$857,0)))*F1593</f>
        <v>815.33773643782956</v>
      </c>
      <c r="BE1593" s="1949">
        <f t="shared" si="168"/>
        <v>1595.0208588957046</v>
      </c>
      <c r="BG1593" s="691"/>
      <c r="BH1593" s="821"/>
      <c r="BI1593" s="691"/>
    </row>
    <row r="1594" spans="1:61" s="1942" customFormat="1" x14ac:dyDescent="0.25">
      <c r="A1594" s="1267"/>
      <c r="B1594" s="123"/>
      <c r="C1594" s="2038" t="s">
        <v>1382</v>
      </c>
      <c r="D1594" s="2695" t="s">
        <v>317</v>
      </c>
      <c r="E1594" s="3007" t="s">
        <v>1383</v>
      </c>
      <c r="F1594" s="742">
        <f>0</f>
        <v>0</v>
      </c>
      <c r="G1594" s="2042" t="s">
        <v>1135</v>
      </c>
      <c r="H1594" s="2867">
        <f>VLOOKUP(G1594,'CP FACTORS'!$A$3:$B$38, 2, FALSE)</f>
        <v>0</v>
      </c>
      <c r="I1594" s="2757">
        <f t="shared" si="169"/>
        <v>0</v>
      </c>
      <c r="J1594" s="116">
        <f t="shared" si="166"/>
        <v>18</v>
      </c>
      <c r="K1594" s="3294">
        <f t="shared" si="167"/>
        <v>0</v>
      </c>
      <c r="L1594" s="3296"/>
      <c r="M1594" s="328"/>
      <c r="N1594" s="1587"/>
      <c r="O1594" s="1135"/>
      <c r="P1594" s="123"/>
      <c r="Q1594" s="123"/>
      <c r="R1594" s="1431"/>
      <c r="S1594" s="123"/>
      <c r="T1594" s="123"/>
      <c r="U1594" s="1589"/>
      <c r="V1594" s="1958" t="s">
        <v>31</v>
      </c>
      <c r="W1594" s="818"/>
      <c r="X1594" s="819"/>
      <c r="Y1594" s="742"/>
      <c r="Z1594" s="737"/>
      <c r="AA1594" s="737"/>
      <c r="AB1594" s="2162"/>
      <c r="AC1594" s="742">
        <v>0</v>
      </c>
      <c r="AD1594" s="818"/>
      <c r="AE1594" s="818"/>
      <c r="AF1594" s="818"/>
      <c r="AG1594" s="818"/>
      <c r="AH1594" s="163"/>
      <c r="AK1594" s="820"/>
      <c r="BB1594" s="242"/>
      <c r="BC1594" s="3049" t="str">
        <f t="shared" si="170"/>
        <v>Heating Res 18 Year EUL</v>
      </c>
      <c r="BD1594" s="673">
        <f>(INDEX('Avoided Cost Benefits'!$C$4:$C$857,MATCH(BC1594,'Avoided Cost Benefits'!$A$4:$A$857,0)))*F1594</f>
        <v>0</v>
      </c>
      <c r="BE1594" s="1949">
        <f t="shared" si="168"/>
        <v>0</v>
      </c>
      <c r="BG1594" s="691"/>
      <c r="BH1594" s="821"/>
      <c r="BI1594" s="691"/>
    </row>
    <row r="1595" spans="1:61" s="51" customFormat="1" x14ac:dyDescent="0.25">
      <c r="A1595" s="1267" t="str">
        <f t="shared" si="163"/>
        <v>353750_2021_12_Cooling Res</v>
      </c>
      <c r="B1595" s="123"/>
      <c r="C1595" s="2038" t="s">
        <v>1385</v>
      </c>
      <c r="D1595" s="1553" t="s">
        <v>320</v>
      </c>
      <c r="E1595" s="2965" t="s">
        <v>1386</v>
      </c>
      <c r="F1595" s="742">
        <f>ROUND(((K2643*K2830*(1/K3017-1/K3204)*K3391)/1000)*$K$3484,2)</f>
        <v>1716.58</v>
      </c>
      <c r="G1595" s="214" t="s">
        <v>1134</v>
      </c>
      <c r="H1595" s="155">
        <f>VLOOKUP(G1595,'CP FACTORS'!$A$3:$B$38, 2, FALSE)</f>
        <v>9.4741810000000004E-4</v>
      </c>
      <c r="I1595" s="1554">
        <f t="shared" si="169"/>
        <v>1.6263190000000001</v>
      </c>
      <c r="J1595" s="108">
        <f t="shared" si="166"/>
        <v>6</v>
      </c>
      <c r="K1595" s="3294">
        <f t="shared" si="167"/>
        <v>1423.7466093535209</v>
      </c>
      <c r="L1595" s="1088">
        <f>L1895</f>
        <v>2.9285714285714279</v>
      </c>
      <c r="M1595" s="328"/>
      <c r="N1595" s="1587"/>
      <c r="O1595" s="1135"/>
      <c r="P1595" s="123"/>
      <c r="Q1595" s="123"/>
      <c r="R1595" s="1431"/>
      <c r="S1595" s="123"/>
      <c r="T1595" s="123"/>
      <c r="U1595" s="1589"/>
      <c r="V1595" s="1962" t="s">
        <v>31</v>
      </c>
      <c r="W1595" s="818">
        <v>2755.2411764705885</v>
      </c>
      <c r="X1595" s="819">
        <v>2106.8816326530614</v>
      </c>
      <c r="Y1595" s="737">
        <v>2106.88</v>
      </c>
      <c r="Z1595" s="737">
        <v>2106.88</v>
      </c>
      <c r="AA1595" s="737">
        <v>2106.88</v>
      </c>
      <c r="AB1595" s="2162">
        <v>2106.88</v>
      </c>
      <c r="AC1595" s="742">
        <v>1716.58</v>
      </c>
      <c r="AD1595" s="818"/>
      <c r="AE1595" s="818"/>
      <c r="AF1595" s="818"/>
      <c r="AG1595" s="818"/>
      <c r="AH1595" s="163"/>
      <c r="AI1595" s="1942"/>
      <c r="AJ1595" s="1942"/>
      <c r="AK1595" s="820"/>
      <c r="AL1595" s="1942"/>
      <c r="AM1595" s="1942"/>
      <c r="AN1595" s="1942"/>
      <c r="AO1595" s="1942"/>
      <c r="AP1595" s="1942"/>
      <c r="AQ1595" s="1942"/>
      <c r="AR1595" s="1942"/>
      <c r="AS1595" s="1942"/>
      <c r="AT1595" s="1942"/>
      <c r="AU1595" s="1942"/>
      <c r="AV1595" s="1942"/>
      <c r="AW1595" s="1942"/>
      <c r="AX1595" s="1942"/>
      <c r="AY1595" s="1942"/>
      <c r="AZ1595" s="1942"/>
      <c r="BA1595" s="1942"/>
      <c r="BB1595" s="244">
        <f>(BD1595+BD1596+BD1597+BD1598)/(BE1595+BE1596+BE1597+BE1598)</f>
        <v>1.5685279884089671</v>
      </c>
      <c r="BC1595" s="710" t="str">
        <f t="shared" si="170"/>
        <v>Cooling Res 6 Year EUL</v>
      </c>
      <c r="BD1595" s="673">
        <f>(INDEX('Avoided Cost Benefits'!$C$4:$C$857,MATCH(BC1595,'Avoided Cost Benefits'!$A$4:$A$857,0)))*F1595</f>
        <v>998.16408441097497</v>
      </c>
      <c r="BE1595" s="1949">
        <f t="shared" si="168"/>
        <v>1343.7910423346113</v>
      </c>
      <c r="BF1595" s="1942"/>
      <c r="BG1595" s="691"/>
      <c r="BH1595" s="821"/>
      <c r="BI1595" s="691"/>
    </row>
    <row r="1596" spans="1:61" s="51" customFormat="1" x14ac:dyDescent="0.25">
      <c r="A1596" s="1267" t="str">
        <f t="shared" si="163"/>
        <v>353750_2021_12_Heating Res</v>
      </c>
      <c r="B1596" s="123"/>
      <c r="C1596" s="2038" t="s">
        <v>1385</v>
      </c>
      <c r="D1596" s="1553" t="s">
        <v>320</v>
      </c>
      <c r="E1596" s="3007" t="s">
        <v>1386</v>
      </c>
      <c r="F1596" s="742">
        <f>ROUND(((K1895*K2082*(1/K2269-1/K2456)*K3391)/1000)*$K$3484,2)</f>
        <v>2388.46</v>
      </c>
      <c r="G1596" s="214" t="s">
        <v>1135</v>
      </c>
      <c r="H1596" s="155">
        <f>VLOOKUP(G1596,'CP FACTORS'!$A$3:$B$38, 2, FALSE)</f>
        <v>0</v>
      </c>
      <c r="I1596" s="1554">
        <f t="shared" si="169"/>
        <v>0</v>
      </c>
      <c r="J1596" s="108">
        <f t="shared" si="166"/>
        <v>6</v>
      </c>
      <c r="K1596" s="1052">
        <f t="shared" si="167"/>
        <v>0</v>
      </c>
      <c r="L1596" s="1088"/>
      <c r="M1596" s="328"/>
      <c r="N1596" s="1587"/>
      <c r="O1596" s="1135"/>
      <c r="P1596" s="123"/>
      <c r="Q1596" s="123"/>
      <c r="R1596" s="1431"/>
      <c r="S1596" s="123"/>
      <c r="T1596" s="123"/>
      <c r="U1596" s="1589"/>
      <c r="V1596" s="1962" t="s">
        <v>31</v>
      </c>
      <c r="W1596" s="818">
        <v>6249.9803405572748</v>
      </c>
      <c r="X1596" s="819">
        <v>2767.3247800351946</v>
      </c>
      <c r="Y1596" s="737">
        <v>2767.32</v>
      </c>
      <c r="Z1596" s="737">
        <v>2767.32</v>
      </c>
      <c r="AA1596" s="737">
        <v>2767.32</v>
      </c>
      <c r="AB1596" s="2162">
        <v>2767.32</v>
      </c>
      <c r="AC1596" s="742">
        <v>2388.46</v>
      </c>
      <c r="AD1596" s="818"/>
      <c r="AE1596" s="818"/>
      <c r="AF1596" s="818"/>
      <c r="AG1596" s="818"/>
      <c r="AH1596" s="163"/>
      <c r="AI1596" s="1942"/>
      <c r="AJ1596" s="1942"/>
      <c r="AK1596" s="820"/>
      <c r="AL1596" s="1942"/>
      <c r="AM1596" s="1942"/>
      <c r="AN1596" s="1942"/>
      <c r="AO1596" s="1942"/>
      <c r="AP1596" s="1942"/>
      <c r="AQ1596" s="1942"/>
      <c r="AR1596" s="1942"/>
      <c r="AS1596" s="1942"/>
      <c r="AT1596" s="1942"/>
      <c r="AU1596" s="1942"/>
      <c r="AV1596" s="1942"/>
      <c r="AW1596" s="1942"/>
      <c r="AX1596" s="1942"/>
      <c r="AY1596" s="1942"/>
      <c r="AZ1596" s="1942"/>
      <c r="BA1596" s="1942"/>
      <c r="BB1596" s="734"/>
      <c r="BC1596" s="3130" t="str">
        <f t="shared" si="170"/>
        <v>Heating Res 6 Year EUL</v>
      </c>
      <c r="BD1596" s="673">
        <f>(INDEX('Avoided Cost Benefits'!$C$4:$C$857,MATCH(BC1596,'Avoided Cost Benefits'!$A$4:$A$857,0)))*F1596</f>
        <v>397.28092148581214</v>
      </c>
      <c r="BE1596" s="1949">
        <f t="shared" si="168"/>
        <v>0</v>
      </c>
      <c r="BF1596" s="1942"/>
      <c r="BG1596" s="691"/>
      <c r="BH1596" s="821"/>
      <c r="BI1596" s="691"/>
    </row>
    <row r="1597" spans="1:61" s="51" customFormat="1" x14ac:dyDescent="0.25">
      <c r="A1597" s="1267" t="str">
        <f t="shared" si="163"/>
        <v>353750_2021_12_Cooling Res ER2</v>
      </c>
      <c r="B1597" s="123"/>
      <c r="C1597" s="2038" t="s">
        <v>1385</v>
      </c>
      <c r="D1597" s="1553" t="s">
        <v>320</v>
      </c>
      <c r="E1597" s="3007" t="s">
        <v>1387</v>
      </c>
      <c r="F1597" s="742">
        <f>ROUND(((K2644*K2831*(1/K3018-1/K3205)*K3392)/1000)*$K$3484,2)</f>
        <v>399.92</v>
      </c>
      <c r="G1597" s="1580" t="s">
        <v>1176</v>
      </c>
      <c r="H1597" s="155">
        <f>VLOOKUP(G1597,'CP FACTORS'!$A$3:$B$38, 2, FALSE)</f>
        <v>9.4741810000000004E-4</v>
      </c>
      <c r="I1597" s="1554">
        <f t="shared" si="169"/>
        <v>0.37889099999999998</v>
      </c>
      <c r="J1597" s="108">
        <f t="shared" si="166"/>
        <v>12</v>
      </c>
      <c r="K1597" s="1052">
        <f t="shared" si="167"/>
        <v>0</v>
      </c>
      <c r="L1597" s="1088"/>
      <c r="M1597" s="328"/>
      <c r="N1597" s="1587"/>
      <c r="O1597" s="1135"/>
      <c r="P1597" s="123"/>
      <c r="Q1597" s="123"/>
      <c r="R1597" s="1431"/>
      <c r="S1597" s="123"/>
      <c r="T1597" s="123"/>
      <c r="U1597" s="1589"/>
      <c r="V1597" s="1962" t="s">
        <v>31</v>
      </c>
      <c r="W1597" s="818">
        <v>433.76974789915954</v>
      </c>
      <c r="X1597" s="825">
        <v>433.76974789915954</v>
      </c>
      <c r="Y1597" s="737">
        <v>433.77</v>
      </c>
      <c r="Z1597" s="737">
        <v>433.77</v>
      </c>
      <c r="AA1597" s="737">
        <v>433.77</v>
      </c>
      <c r="AB1597" s="2162">
        <v>433.77</v>
      </c>
      <c r="AC1597" s="742">
        <v>399.92</v>
      </c>
      <c r="AD1597" s="818"/>
      <c r="AE1597" s="818"/>
      <c r="AF1597" s="818"/>
      <c r="AG1597" s="818"/>
      <c r="AH1597" s="163"/>
      <c r="AI1597" s="1942"/>
      <c r="AJ1597" s="1942"/>
      <c r="AK1597" s="820"/>
      <c r="AL1597" s="1942"/>
      <c r="AM1597" s="1942"/>
      <c r="AN1597" s="1942"/>
      <c r="AO1597" s="1942"/>
      <c r="AP1597" s="1942"/>
      <c r="AQ1597" s="1942"/>
      <c r="AR1597" s="1942"/>
      <c r="AS1597" s="1942"/>
      <c r="AT1597" s="1942"/>
      <c r="AU1597" s="1942"/>
      <c r="AV1597" s="1942"/>
      <c r="AW1597" s="1942"/>
      <c r="AX1597" s="1942"/>
      <c r="AY1597" s="1942"/>
      <c r="AZ1597" s="1942"/>
      <c r="BA1597" s="1942"/>
      <c r="BB1597" s="734"/>
      <c r="BC1597" s="3130" t="str">
        <f t="shared" si="170"/>
        <v>Cooling Res ER2 12 Year EUL</v>
      </c>
      <c r="BD1597" s="673">
        <f>(INDEX('Avoided Cost Benefits'!$C$4:$C$857,MATCH(BC1597,'Avoided Cost Benefits'!$A$4:$A$857,0)))*F1597</f>
        <v>472.83481945748042</v>
      </c>
      <c r="BE1597" s="1949">
        <f t="shared" si="168"/>
        <v>0</v>
      </c>
      <c r="BF1597" s="1942"/>
      <c r="BG1597" s="691"/>
      <c r="BH1597" s="821"/>
      <c r="BI1597" s="691"/>
    </row>
    <row r="1598" spans="1:61" s="51" customFormat="1" x14ac:dyDescent="0.25">
      <c r="A1598" s="1267" t="str">
        <f t="shared" si="163"/>
        <v>353750_2021_12_Heating Res ER2</v>
      </c>
      <c r="B1598" s="123"/>
      <c r="C1598" s="2038" t="s">
        <v>1385</v>
      </c>
      <c r="D1598" s="1553" t="s">
        <v>320</v>
      </c>
      <c r="E1598" s="3005" t="s">
        <v>1387</v>
      </c>
      <c r="F1598" s="742">
        <f>ROUND(((K1896*K2083*(1/K2270-1/K2457)*K3392)/1000)*$K$3484,2)</f>
        <v>809.97</v>
      </c>
      <c r="G1598" s="1580" t="s">
        <v>1195</v>
      </c>
      <c r="H1598" s="155">
        <f>VLOOKUP(G1598,'CP FACTORS'!$A$3:$B$38, 2, FALSE)</f>
        <v>0</v>
      </c>
      <c r="I1598" s="1554">
        <f t="shared" si="169"/>
        <v>0</v>
      </c>
      <c r="J1598" s="108">
        <f t="shared" si="166"/>
        <v>12</v>
      </c>
      <c r="K1598" s="1052">
        <f t="shared" si="167"/>
        <v>0</v>
      </c>
      <c r="L1598" s="1088"/>
      <c r="M1598" s="328"/>
      <c r="N1598" s="1587"/>
      <c r="O1598" s="1135"/>
      <c r="P1598" s="123"/>
      <c r="Q1598" s="123"/>
      <c r="R1598" s="1431"/>
      <c r="S1598" s="123"/>
      <c r="T1598" s="123"/>
      <c r="U1598" s="1589"/>
      <c r="V1598" s="1962" t="s">
        <v>31</v>
      </c>
      <c r="W1598" s="818">
        <v>1327.6421052631592</v>
      </c>
      <c r="X1598" s="819">
        <v>988.62747111681745</v>
      </c>
      <c r="Y1598" s="737">
        <v>988.63</v>
      </c>
      <c r="Z1598" s="737">
        <v>988.63</v>
      </c>
      <c r="AA1598" s="737">
        <v>988.63</v>
      </c>
      <c r="AB1598" s="2162">
        <v>988.63</v>
      </c>
      <c r="AC1598" s="742">
        <v>809.97</v>
      </c>
      <c r="AD1598" s="818"/>
      <c r="AE1598" s="818"/>
      <c r="AF1598" s="818"/>
      <c r="AG1598" s="818"/>
      <c r="AH1598" s="163"/>
      <c r="AI1598" s="1942"/>
      <c r="AJ1598" s="1942"/>
      <c r="AK1598" s="820"/>
      <c r="AL1598" s="1942"/>
      <c r="AM1598" s="1942"/>
      <c r="AN1598" s="1942"/>
      <c r="AO1598" s="1942"/>
      <c r="AP1598" s="1942"/>
      <c r="AQ1598" s="1942"/>
      <c r="AR1598" s="1942"/>
      <c r="AS1598" s="1942"/>
      <c r="AT1598" s="1942"/>
      <c r="AU1598" s="1942"/>
      <c r="AV1598" s="1942"/>
      <c r="AW1598" s="1942"/>
      <c r="AX1598" s="1942"/>
      <c r="AY1598" s="1942"/>
      <c r="AZ1598" s="1942"/>
      <c r="BA1598" s="1942"/>
      <c r="BB1598" s="734"/>
      <c r="BC1598" s="3116" t="str">
        <f t="shared" si="170"/>
        <v>Heating Res ER2 12 Year EUL</v>
      </c>
      <c r="BD1598" s="673">
        <f>(INDEX('Avoided Cost Benefits'!$C$4:$C$857,MATCH(BC1598,'Avoided Cost Benefits'!$A$4:$A$857,0)))*F1598</f>
        <v>239.49403512082981</v>
      </c>
      <c r="BE1598" s="1949">
        <f t="shared" si="168"/>
        <v>0</v>
      </c>
      <c r="BF1598" s="1942"/>
      <c r="BG1598" s="691"/>
      <c r="BH1598" s="821"/>
      <c r="BI1598" s="691"/>
    </row>
    <row r="1599" spans="1:61" s="51" customFormat="1" x14ac:dyDescent="0.25">
      <c r="A1599" s="1267" t="str">
        <f t="shared" si="163"/>
        <v>353800_2021_12_Cooling Res</v>
      </c>
      <c r="B1599" s="123"/>
      <c r="C1599" s="2038" t="s">
        <v>1389</v>
      </c>
      <c r="D1599" s="1553" t="s">
        <v>320</v>
      </c>
      <c r="E1599" s="2965" t="s">
        <v>1390</v>
      </c>
      <c r="F1599" s="742">
        <f>ROUND(((K2645*K2832*(1/K3019-1/K3206)*K3393)/1000)*$K$3484,2)</f>
        <v>612.74</v>
      </c>
      <c r="G1599" s="214" t="s">
        <v>1134</v>
      </c>
      <c r="H1599" s="155">
        <f>VLOOKUP(G1599,'CP FACTORS'!$A$3:$B$38, 2, FALSE)</f>
        <v>9.4741810000000004E-4</v>
      </c>
      <c r="I1599" s="1554">
        <f t="shared" si="169"/>
        <v>0.58052099999999995</v>
      </c>
      <c r="J1599" s="108">
        <f t="shared" si="166"/>
        <v>18</v>
      </c>
      <c r="K1599" s="1052">
        <f t="shared" si="167"/>
        <v>724</v>
      </c>
      <c r="L1599" s="1088">
        <f>L1897</f>
        <v>3.8571428571428577</v>
      </c>
      <c r="M1599" s="328"/>
      <c r="N1599" s="1587"/>
      <c r="O1599" s="1135"/>
      <c r="P1599" s="123"/>
      <c r="Q1599" s="123"/>
      <c r="R1599" s="1431"/>
      <c r="S1599" s="123"/>
      <c r="T1599" s="123"/>
      <c r="U1599" s="1589"/>
      <c r="V1599" s="1962" t="s">
        <v>31</v>
      </c>
      <c r="W1599" s="818">
        <v>433.76974789915954</v>
      </c>
      <c r="X1599" s="825">
        <v>433.76974789915954</v>
      </c>
      <c r="Y1599" s="737">
        <v>433.77</v>
      </c>
      <c r="Z1599" s="737">
        <v>433.77</v>
      </c>
      <c r="AA1599" s="737">
        <v>433.77</v>
      </c>
      <c r="AB1599" s="2162">
        <v>433.77</v>
      </c>
      <c r="AC1599" s="742">
        <v>612.74</v>
      </c>
      <c r="AD1599" s="818"/>
      <c r="AE1599" s="818"/>
      <c r="AF1599" s="818"/>
      <c r="AG1599" s="818"/>
      <c r="AH1599" s="163"/>
      <c r="AI1599" s="1942"/>
      <c r="AJ1599" s="1942"/>
      <c r="AK1599" s="820"/>
      <c r="AL1599" s="1942"/>
      <c r="AM1599" s="1942"/>
      <c r="AN1599" s="1942"/>
      <c r="AO1599" s="1942"/>
      <c r="AP1599" s="1942"/>
      <c r="AQ1599" s="1942"/>
      <c r="AR1599" s="1942"/>
      <c r="AS1599" s="1942"/>
      <c r="AT1599" s="1942"/>
      <c r="AU1599" s="1942"/>
      <c r="AV1599" s="1942"/>
      <c r="AW1599" s="1942"/>
      <c r="AX1599" s="1942"/>
      <c r="AY1599" s="1942"/>
      <c r="AZ1599" s="1942"/>
      <c r="BA1599" s="1942"/>
      <c r="BB1599" s="244">
        <f>(BD1599+BD1600)/(BE1599+BE1600)</f>
        <v>2.4166022588719338</v>
      </c>
      <c r="BC1599" s="710" t="str">
        <f t="shared" si="170"/>
        <v>Cooling Res 18 Year EUL</v>
      </c>
      <c r="BD1599" s="673">
        <f>(INDEX('Avoided Cost Benefits'!$C$4:$C$857,MATCH(BC1599,'Avoided Cost Benefits'!$A$4:$A$857,0)))*F1599</f>
        <v>1080.7555155646512</v>
      </c>
      <c r="BE1599" s="1949">
        <f t="shared" si="168"/>
        <v>683.34119867862194</v>
      </c>
      <c r="BF1599" s="1942"/>
      <c r="BG1599" s="691"/>
      <c r="BH1599" s="821"/>
      <c r="BI1599" s="691"/>
    </row>
    <row r="1600" spans="1:61" s="51" customFormat="1" x14ac:dyDescent="0.25">
      <c r="A1600" s="1267" t="str">
        <f t="shared" si="163"/>
        <v>353800_2021_12_Heating Res</v>
      </c>
      <c r="B1600" s="123"/>
      <c r="C1600" s="2038" t="s">
        <v>1389</v>
      </c>
      <c r="D1600" s="1553" t="s">
        <v>320</v>
      </c>
      <c r="E1600" s="3008" t="s">
        <v>1390</v>
      </c>
      <c r="F1600" s="742">
        <f>ROUND(((K1897*K2084*(1/K2271-1/K2458)*K3393)/1000)*$K$3484,2)</f>
        <v>1235.04</v>
      </c>
      <c r="G1600" s="214" t="s">
        <v>1135</v>
      </c>
      <c r="H1600" s="155">
        <f>VLOOKUP(G1600,'CP FACTORS'!$A$3:$B$38, 2, FALSE)</f>
        <v>0</v>
      </c>
      <c r="I1600" s="1554">
        <f t="shared" si="169"/>
        <v>0</v>
      </c>
      <c r="J1600" s="108">
        <f t="shared" ref="J1600:J1663" si="171">K3678</f>
        <v>18</v>
      </c>
      <c r="K1600" s="1052">
        <f t="shared" ref="K1600:K1663" si="172">K4052</f>
        <v>0</v>
      </c>
      <c r="L1600" s="1088"/>
      <c r="M1600" s="328"/>
      <c r="N1600" s="1587"/>
      <c r="O1600" s="1135"/>
      <c r="P1600" s="123"/>
      <c r="Q1600" s="123"/>
      <c r="R1600" s="1431"/>
      <c r="S1600" s="123"/>
      <c r="T1600" s="123"/>
      <c r="U1600" s="1589"/>
      <c r="V1600" s="1962" t="s">
        <v>31</v>
      </c>
      <c r="W1600" s="818">
        <v>1584.0000000000018</v>
      </c>
      <c r="X1600" s="819">
        <v>1179.5241413638641</v>
      </c>
      <c r="Y1600" s="737">
        <v>1179.52</v>
      </c>
      <c r="Z1600" s="737">
        <v>1179.52</v>
      </c>
      <c r="AA1600" s="737">
        <v>1179.52</v>
      </c>
      <c r="AB1600" s="2162">
        <v>1179.52</v>
      </c>
      <c r="AC1600" s="742">
        <v>1235.04</v>
      </c>
      <c r="AD1600" s="818"/>
      <c r="AE1600" s="818"/>
      <c r="AF1600" s="818"/>
      <c r="AG1600" s="818"/>
      <c r="AH1600" s="163"/>
      <c r="AI1600" s="1942"/>
      <c r="AJ1600" s="1942"/>
      <c r="AK1600" s="820"/>
      <c r="AL1600" s="1942"/>
      <c r="AM1600" s="1942"/>
      <c r="AN1600" s="1942"/>
      <c r="AO1600" s="1942"/>
      <c r="AP1600" s="1942"/>
      <c r="AQ1600" s="1942"/>
      <c r="AR1600" s="1942"/>
      <c r="AS1600" s="1942"/>
      <c r="AT1600" s="1942"/>
      <c r="AU1600" s="1942"/>
      <c r="AV1600" s="1942"/>
      <c r="AW1600" s="1942"/>
      <c r="AX1600" s="1942"/>
      <c r="AY1600" s="1942"/>
      <c r="AZ1600" s="1942"/>
      <c r="BA1600" s="1942"/>
      <c r="BB1600" s="242"/>
      <c r="BC1600" s="822" t="str">
        <f t="shared" si="170"/>
        <v>Heating Res 18 Year EUL</v>
      </c>
      <c r="BD1600" s="673">
        <f>(INDEX('Avoided Cost Benefits'!$C$4:$C$857,MATCH(BC1600,'Avoided Cost Benefits'!$A$4:$A$857,0)))*F1600</f>
        <v>570.60836874236145</v>
      </c>
      <c r="BE1600" s="1949">
        <f t="shared" si="168"/>
        <v>0</v>
      </c>
      <c r="BF1600" s="1942"/>
      <c r="BG1600" s="691"/>
      <c r="BH1600" s="821"/>
      <c r="BI1600" s="691"/>
    </row>
    <row r="1601" spans="1:61" s="51" customFormat="1" x14ac:dyDescent="0.25">
      <c r="A1601" s="1267" t="str">
        <f t="shared" si="163"/>
        <v>353850_2021_12_Cooling Res</v>
      </c>
      <c r="B1601" s="123"/>
      <c r="C1601" s="2038" t="s">
        <v>1392</v>
      </c>
      <c r="D1601" s="1553" t="s">
        <v>320</v>
      </c>
      <c r="E1601" s="2878" t="s">
        <v>1393</v>
      </c>
      <c r="F1601" s="742">
        <f>ROUND(((K2646*K2833*(1/K3020-1/K3207)*K3394)/1000)*$K$3484,2)</f>
        <v>2063.94</v>
      </c>
      <c r="G1601" s="214" t="s">
        <v>1134</v>
      </c>
      <c r="H1601" s="155">
        <f>VLOOKUP(G1601,'CP FACTORS'!$A$3:$B$38, 2, FALSE)</f>
        <v>9.4741810000000004E-4</v>
      </c>
      <c r="I1601" s="1554">
        <f t="shared" si="169"/>
        <v>1.955414</v>
      </c>
      <c r="J1601" s="108">
        <f t="shared" si="171"/>
        <v>6</v>
      </c>
      <c r="K1601" s="3294">
        <f t="shared" si="172"/>
        <v>1729.9451804896671</v>
      </c>
      <c r="L1601" s="1088">
        <f>L1898</f>
        <v>3.2101449275362319</v>
      </c>
      <c r="M1601" s="328"/>
      <c r="N1601" s="1587"/>
      <c r="O1601" s="1135"/>
      <c r="P1601" s="123"/>
      <c r="Q1601" s="123"/>
      <c r="R1601" s="1431"/>
      <c r="S1601" s="123"/>
      <c r="T1601" s="123"/>
      <c r="U1601" s="1589"/>
      <c r="V1601" s="1962" t="s">
        <v>31</v>
      </c>
      <c r="W1601" s="818">
        <v>2867.7000000000003</v>
      </c>
      <c r="X1601" s="819">
        <v>2219.3404561824727</v>
      </c>
      <c r="Y1601" s="737">
        <v>2219.34</v>
      </c>
      <c r="Z1601" s="737">
        <v>2219.34</v>
      </c>
      <c r="AA1601" s="737">
        <v>2219.34</v>
      </c>
      <c r="AB1601" s="425">
        <v>2735.03</v>
      </c>
      <c r="AC1601" s="742">
        <v>2063.94</v>
      </c>
      <c r="AD1601" s="818"/>
      <c r="AE1601" s="818"/>
      <c r="AF1601" s="818"/>
      <c r="AG1601" s="818"/>
      <c r="AH1601" s="163"/>
      <c r="AI1601" s="1942"/>
      <c r="AJ1601" s="1942"/>
      <c r="AK1601" s="820"/>
      <c r="AL1601" s="1942"/>
      <c r="AM1601" s="1942"/>
      <c r="AN1601" s="1942"/>
      <c r="AO1601" s="1942"/>
      <c r="AP1601" s="1942"/>
      <c r="AQ1601" s="1942"/>
      <c r="AR1601" s="1942"/>
      <c r="AS1601" s="1942"/>
      <c r="AT1601" s="1942"/>
      <c r="AU1601" s="1942"/>
      <c r="AV1601" s="1942"/>
      <c r="AW1601" s="1942"/>
      <c r="AX1601" s="1942"/>
      <c r="AY1601" s="1942"/>
      <c r="AZ1601" s="1942"/>
      <c r="BA1601" s="1942"/>
      <c r="BB1601" s="244">
        <f>(BD1601+BD1602+BD1603+BD1604)/(BE1601+BE1602+BE1603+BE1604)</f>
        <v>1.6437960745107867</v>
      </c>
      <c r="BC1601" s="3115" t="str">
        <f t="shared" si="170"/>
        <v>Cooling Res 6 Year EUL</v>
      </c>
      <c r="BD1601" s="673">
        <f>(INDEX('Avoided Cost Benefits'!$C$4:$C$857,MATCH(BC1601,'Avoided Cost Benefits'!$A$4:$A$857,0)))*F1601</f>
        <v>1200.1484232480791</v>
      </c>
      <c r="BE1601" s="1949">
        <f t="shared" si="168"/>
        <v>1632.7939410001575</v>
      </c>
      <c r="BF1601" s="1942"/>
      <c r="BG1601" s="691"/>
      <c r="BH1601" s="821"/>
      <c r="BI1601" s="691"/>
    </row>
    <row r="1602" spans="1:61" s="51" customFormat="1" x14ac:dyDescent="0.25">
      <c r="A1602" s="1267" t="str">
        <f t="shared" si="163"/>
        <v>353850_2021_12_Heating Res</v>
      </c>
      <c r="B1602" s="123"/>
      <c r="C1602" s="2038" t="s">
        <v>1392</v>
      </c>
      <c r="D1602" s="1553" t="s">
        <v>320</v>
      </c>
      <c r="E1602" s="3007" t="s">
        <v>1393</v>
      </c>
      <c r="F1602" s="742">
        <f>ROUND(((K1898*K2085*(1/K2272-1/K2459)*K3394)/1000)*$K$3484,2)</f>
        <v>2980.4</v>
      </c>
      <c r="G1602" s="214" t="s">
        <v>1135</v>
      </c>
      <c r="H1602" s="155">
        <f>VLOOKUP(G1602,'CP FACTORS'!$A$3:$B$38, 2, FALSE)</f>
        <v>0</v>
      </c>
      <c r="I1602" s="1554">
        <f t="shared" si="169"/>
        <v>0</v>
      </c>
      <c r="J1602" s="108">
        <f t="shared" si="171"/>
        <v>6</v>
      </c>
      <c r="K1602" s="1052">
        <f t="shared" si="172"/>
        <v>0</v>
      </c>
      <c r="L1602" s="1088"/>
      <c r="M1602" s="328"/>
      <c r="N1602" s="1587"/>
      <c r="O1602" s="1135"/>
      <c r="P1602" s="123"/>
      <c r="Q1602" s="123"/>
      <c r="R1602" s="1431"/>
      <c r="S1602" s="123"/>
      <c r="T1602" s="123"/>
      <c r="U1602" s="1589"/>
      <c r="V1602" s="1962" t="s">
        <v>31</v>
      </c>
      <c r="W1602" s="818">
        <v>6249.9803405572748</v>
      </c>
      <c r="X1602" s="819">
        <v>2767.3247800351946</v>
      </c>
      <c r="Y1602" s="737">
        <v>2767.32</v>
      </c>
      <c r="Z1602" s="737">
        <v>2767.32</v>
      </c>
      <c r="AA1602" s="737">
        <v>2767.32</v>
      </c>
      <c r="AB1602" s="425">
        <v>3103.81</v>
      </c>
      <c r="AC1602" s="742">
        <v>2980.4</v>
      </c>
      <c r="AD1602" s="818"/>
      <c r="AE1602" s="818"/>
      <c r="AF1602" s="818"/>
      <c r="AG1602" s="818"/>
      <c r="AH1602" s="163"/>
      <c r="AI1602" s="1942"/>
      <c r="AJ1602" s="1942"/>
      <c r="AK1602" s="820"/>
      <c r="AL1602" s="1942"/>
      <c r="AM1602" s="1942"/>
      <c r="AN1602" s="1942"/>
      <c r="AO1602" s="1942"/>
      <c r="AP1602" s="1942"/>
      <c r="AQ1602" s="1942"/>
      <c r="AR1602" s="1942"/>
      <c r="AS1602" s="1942"/>
      <c r="AT1602" s="1942"/>
      <c r="AU1602" s="1942"/>
      <c r="AV1602" s="1942"/>
      <c r="AW1602" s="1942"/>
      <c r="AX1602" s="1942"/>
      <c r="AY1602" s="1942"/>
      <c r="AZ1602" s="1942"/>
      <c r="BA1602" s="1942"/>
      <c r="BB1602" s="734"/>
      <c r="BC1602" s="3130" t="str">
        <f t="shared" si="170"/>
        <v>Heating Res 6 Year EUL</v>
      </c>
      <c r="BD1602" s="673">
        <f>(INDEX('Avoided Cost Benefits'!$C$4:$C$857,MATCH(BC1602,'Avoided Cost Benefits'!$A$4:$A$857,0)))*F1602</f>
        <v>495.74037597293426</v>
      </c>
      <c r="BE1602" s="1949">
        <f t="shared" si="168"/>
        <v>0</v>
      </c>
      <c r="BF1602" s="1942"/>
      <c r="BG1602" s="691"/>
      <c r="BH1602" s="821"/>
      <c r="BI1602" s="691"/>
    </row>
    <row r="1603" spans="1:61" s="51" customFormat="1" x14ac:dyDescent="0.25">
      <c r="A1603" s="1267" t="str">
        <f t="shared" si="163"/>
        <v>353850_2021_12_Cooling Res ER2</v>
      </c>
      <c r="B1603" s="123"/>
      <c r="C1603" s="2038" t="s">
        <v>1392</v>
      </c>
      <c r="D1603" s="1553" t="s">
        <v>320</v>
      </c>
      <c r="E1603" s="3007" t="s">
        <v>1394</v>
      </c>
      <c r="F1603" s="742">
        <f>ROUND(((K2647*K2834*(1/K3021-1/K3208)*K3395)/1000)*$K$3484,2)</f>
        <v>523.08000000000004</v>
      </c>
      <c r="G1603" s="1580" t="s">
        <v>1176</v>
      </c>
      <c r="H1603" s="155">
        <f>VLOOKUP(G1603,'CP FACTORS'!$A$3:$B$38, 2, FALSE)</f>
        <v>9.4741810000000004E-4</v>
      </c>
      <c r="I1603" s="1554">
        <f t="shared" si="169"/>
        <v>0.49557499999999999</v>
      </c>
      <c r="J1603" s="108">
        <f t="shared" si="171"/>
        <v>12</v>
      </c>
      <c r="K1603" s="1052">
        <f t="shared" si="172"/>
        <v>0</v>
      </c>
      <c r="L1603" s="1088"/>
      <c r="M1603" s="328"/>
      <c r="N1603" s="1587"/>
      <c r="O1603" s="1135"/>
      <c r="P1603" s="123"/>
      <c r="Q1603" s="123"/>
      <c r="R1603" s="1431"/>
      <c r="S1603" s="123"/>
      <c r="T1603" s="123"/>
      <c r="U1603" s="1589"/>
      <c r="V1603" s="1962" t="s">
        <v>31</v>
      </c>
      <c r="W1603" s="818">
        <v>546.2285714285714</v>
      </c>
      <c r="X1603" s="825">
        <v>546.2285714285714</v>
      </c>
      <c r="Y1603" s="737">
        <v>546.23</v>
      </c>
      <c r="Z1603" s="737">
        <v>546.23</v>
      </c>
      <c r="AA1603" s="737">
        <v>546.23</v>
      </c>
      <c r="AB1603" s="425">
        <v>695.03</v>
      </c>
      <c r="AC1603" s="742">
        <v>523.08000000000004</v>
      </c>
      <c r="AD1603" s="818"/>
      <c r="AE1603" s="818"/>
      <c r="AF1603" s="818"/>
      <c r="AG1603" s="818"/>
      <c r="AH1603" s="163"/>
      <c r="AI1603" s="1942"/>
      <c r="AJ1603" s="1942"/>
      <c r="AK1603" s="820"/>
      <c r="AL1603" s="1942"/>
      <c r="AM1603" s="1942"/>
      <c r="AN1603" s="1942"/>
      <c r="AO1603" s="1942"/>
      <c r="AP1603" s="1942"/>
      <c r="AQ1603" s="1942"/>
      <c r="AR1603" s="1942"/>
      <c r="AS1603" s="1942"/>
      <c r="AT1603" s="1942"/>
      <c r="AU1603" s="1942"/>
      <c r="AV1603" s="1942"/>
      <c r="AW1603" s="1942"/>
      <c r="AX1603" s="1942"/>
      <c r="AY1603" s="1942"/>
      <c r="AZ1603" s="1942"/>
      <c r="BA1603" s="1942"/>
      <c r="BB1603" s="734"/>
      <c r="BC1603" s="3130" t="str">
        <f t="shared" si="170"/>
        <v>Cooling Res ER2 12 Year EUL</v>
      </c>
      <c r="BD1603" s="673">
        <f>(INDEX('Avoided Cost Benefits'!$C$4:$C$857,MATCH(BC1603,'Avoided Cost Benefits'!$A$4:$A$857,0)))*F1603</f>
        <v>618.44978336121949</v>
      </c>
      <c r="BE1603" s="1949">
        <f t="shared" si="168"/>
        <v>0</v>
      </c>
      <c r="BF1603" s="1942"/>
      <c r="BG1603" s="691"/>
      <c r="BH1603" s="821"/>
      <c r="BI1603" s="691"/>
    </row>
    <row r="1604" spans="1:61" s="51" customFormat="1" x14ac:dyDescent="0.25">
      <c r="A1604" s="1267" t="str">
        <f t="shared" si="163"/>
        <v>353850_2021_12_Heating Res ER2</v>
      </c>
      <c r="B1604" s="123"/>
      <c r="C1604" s="2038" t="s">
        <v>1392</v>
      </c>
      <c r="D1604" s="1553" t="s">
        <v>320</v>
      </c>
      <c r="E1604" s="3005" t="s">
        <v>1394</v>
      </c>
      <c r="F1604" s="742">
        <f xml:space="preserve"> ROUND(((K1899*K2086*(1/K2273-1/K2460)*K3395)/1000)*$K$3484,2)</f>
        <v>1250.1300000000001</v>
      </c>
      <c r="G1604" s="1580" t="s">
        <v>1195</v>
      </c>
      <c r="H1604" s="155">
        <f>VLOOKUP(G1604,'CP FACTORS'!$A$3:$B$38, 2, FALSE)</f>
        <v>0</v>
      </c>
      <c r="I1604" s="1554">
        <f t="shared" si="169"/>
        <v>0</v>
      </c>
      <c r="J1604" s="108">
        <f t="shared" si="171"/>
        <v>12</v>
      </c>
      <c r="K1604" s="1052">
        <f t="shared" si="172"/>
        <v>0</v>
      </c>
      <c r="L1604" s="1088"/>
      <c r="M1604" s="328"/>
      <c r="N1604" s="1587"/>
      <c r="O1604" s="1135"/>
      <c r="P1604" s="123"/>
      <c r="Q1604" s="123"/>
      <c r="R1604" s="1431"/>
      <c r="S1604" s="123"/>
      <c r="T1604" s="123"/>
      <c r="U1604" s="1589"/>
      <c r="V1604" s="1962" t="s">
        <v>31</v>
      </c>
      <c r="W1604" s="818">
        <v>1327.6421052631592</v>
      </c>
      <c r="X1604" s="819">
        <v>988.62747111681745</v>
      </c>
      <c r="Y1604" s="737">
        <v>988.63</v>
      </c>
      <c r="Z1604" s="737">
        <v>988.63</v>
      </c>
      <c r="AA1604" s="737">
        <v>988.63</v>
      </c>
      <c r="AB1604" s="425">
        <v>1190.3599999999999</v>
      </c>
      <c r="AC1604" s="742">
        <v>1250.1300000000001</v>
      </c>
      <c r="AD1604" s="818"/>
      <c r="AE1604" s="818"/>
      <c r="AF1604" s="818"/>
      <c r="AG1604" s="818"/>
      <c r="AH1604" s="163"/>
      <c r="AI1604" s="1942"/>
      <c r="AJ1604" s="1942"/>
      <c r="AK1604" s="820"/>
      <c r="AL1604" s="1942"/>
      <c r="AM1604" s="1942"/>
      <c r="AN1604" s="1942"/>
      <c r="AO1604" s="1942"/>
      <c r="AP1604" s="1942"/>
      <c r="AQ1604" s="1942"/>
      <c r="AR1604" s="1942"/>
      <c r="AS1604" s="1942"/>
      <c r="AT1604" s="1942"/>
      <c r="AU1604" s="1942"/>
      <c r="AV1604" s="1942"/>
      <c r="AW1604" s="1942"/>
      <c r="AX1604" s="1942"/>
      <c r="AY1604" s="1942"/>
      <c r="AZ1604" s="1942"/>
      <c r="BA1604" s="1942"/>
      <c r="BB1604" s="734"/>
      <c r="BC1604" s="3116" t="str">
        <f t="shared" si="170"/>
        <v>Heating Res ER2 12 Year EUL</v>
      </c>
      <c r="BD1604" s="673">
        <f>(INDEX('Avoided Cost Benefits'!$C$4:$C$857,MATCH(BC1604,'Avoided Cost Benefits'!$A$4:$A$857,0)))*F1604</f>
        <v>369.64168811882291</v>
      </c>
      <c r="BE1604" s="1949">
        <f t="shared" si="168"/>
        <v>0</v>
      </c>
      <c r="BF1604" s="1942"/>
      <c r="BG1604" s="691"/>
      <c r="BH1604" s="821"/>
      <c r="BI1604" s="691"/>
    </row>
    <row r="1605" spans="1:61" s="51" customFormat="1" x14ac:dyDescent="0.25">
      <c r="A1605" s="1267" t="str">
        <f t="shared" ref="A1605:A1704" si="173">C1605&amp;G1605</f>
        <v>353950_2021_12_Cooling Res</v>
      </c>
      <c r="B1605" s="123"/>
      <c r="C1605" s="2038" t="s">
        <v>1396</v>
      </c>
      <c r="D1605" s="1578" t="s">
        <v>320</v>
      </c>
      <c r="E1605" s="2965" t="s">
        <v>1397</v>
      </c>
      <c r="F1605" s="742">
        <f>ROUND(((K2648*K2835*(1/K3022-1/K3209)*K3396)/1000)*$K$3484,2)</f>
        <v>591.21</v>
      </c>
      <c r="G1605" s="214" t="s">
        <v>1134</v>
      </c>
      <c r="H1605" s="155">
        <f>VLOOKUP(G1605,'CP FACTORS'!$A$3:$B$38, 2, FALSE)</f>
        <v>9.4741810000000004E-4</v>
      </c>
      <c r="I1605" s="1554">
        <f t="shared" si="169"/>
        <v>0.56012300000000004</v>
      </c>
      <c r="J1605" s="141">
        <f t="shared" si="171"/>
        <v>18</v>
      </c>
      <c r="K1605" s="1052">
        <f t="shared" si="172"/>
        <v>962.92000000000007</v>
      </c>
      <c r="L1605" s="1088">
        <f>L1900</f>
        <v>3.4375</v>
      </c>
      <c r="M1605" s="328"/>
      <c r="N1605" s="1587"/>
      <c r="O1605" s="1135"/>
      <c r="P1605" s="123"/>
      <c r="Q1605" s="123"/>
      <c r="R1605" s="1431"/>
      <c r="S1605" s="123"/>
      <c r="T1605" s="123"/>
      <c r="U1605" s="1589"/>
      <c r="V1605" s="1962" t="s">
        <v>31</v>
      </c>
      <c r="W1605" s="818">
        <v>546.2285714285714</v>
      </c>
      <c r="X1605" s="825">
        <v>546.2285714285714</v>
      </c>
      <c r="Y1605" s="737">
        <v>546.23</v>
      </c>
      <c r="Z1605" s="737">
        <v>546.23</v>
      </c>
      <c r="AA1605" s="737">
        <v>546.23</v>
      </c>
      <c r="AB1605" s="2162">
        <v>546.23</v>
      </c>
      <c r="AC1605" s="742">
        <v>591.21</v>
      </c>
      <c r="AD1605" s="818"/>
      <c r="AE1605" s="818"/>
      <c r="AF1605" s="818"/>
      <c r="AG1605" s="818"/>
      <c r="AH1605" s="163"/>
      <c r="AI1605" s="1942"/>
      <c r="AJ1605" s="1942"/>
      <c r="AK1605" s="820"/>
      <c r="AL1605" s="1942"/>
      <c r="AM1605" s="1942"/>
      <c r="AN1605" s="1942"/>
      <c r="AO1605" s="1942"/>
      <c r="AP1605" s="1942"/>
      <c r="AQ1605" s="1942"/>
      <c r="AR1605" s="1942"/>
      <c r="AS1605" s="1942"/>
      <c r="AT1605" s="1942"/>
      <c r="AU1605" s="1942"/>
      <c r="AV1605" s="1942"/>
      <c r="AW1605" s="1942"/>
      <c r="AX1605" s="1942"/>
      <c r="AY1605" s="1942"/>
      <c r="AZ1605" s="1942"/>
      <c r="BA1605" s="1942"/>
      <c r="BB1605" s="244">
        <f>(BD1605+BD1606)/(BE1605+BE1606)</f>
        <v>1.9995378554597334</v>
      </c>
      <c r="BC1605" s="710" t="str">
        <f t="shared" si="170"/>
        <v>Cooling Res 18 Year EUL</v>
      </c>
      <c r="BD1605" s="673">
        <f>(INDEX('Avoided Cost Benefits'!$C$4:$C$857,MATCH(BC1605,'Avoided Cost Benefits'!$A$4:$A$857,0)))*F1605</f>
        <v>1042.7807362943133</v>
      </c>
      <c r="BE1605" s="1949">
        <f t="shared" si="168"/>
        <v>908.84379424256724</v>
      </c>
      <c r="BF1605" s="1942"/>
      <c r="BG1605" s="691"/>
      <c r="BH1605" s="821"/>
      <c r="BI1605" s="691"/>
    </row>
    <row r="1606" spans="1:61" s="51" customFormat="1" x14ac:dyDescent="0.25">
      <c r="A1606" s="1267" t="str">
        <f t="shared" si="173"/>
        <v>353950_2021_12_Heating Res</v>
      </c>
      <c r="B1606" s="123"/>
      <c r="C1606" s="2038" t="s">
        <v>1396</v>
      </c>
      <c r="D1606" s="1578" t="s">
        <v>320</v>
      </c>
      <c r="E1606" s="3008" t="s">
        <v>1397</v>
      </c>
      <c r="F1606" s="742">
        <f>ROUND(((K1900*K2087*(1/K2274-1/K2461)*K3396)/1000)*$K$3484,2)</f>
        <v>1676.32</v>
      </c>
      <c r="G1606" s="214" t="s">
        <v>1135</v>
      </c>
      <c r="H1606" s="155">
        <f>VLOOKUP(G1606,'CP FACTORS'!$A$3:$B$38, 2, FALSE)</f>
        <v>0</v>
      </c>
      <c r="I1606" s="1554">
        <f t="shared" si="169"/>
        <v>0</v>
      </c>
      <c r="J1606" s="141">
        <f t="shared" si="171"/>
        <v>18</v>
      </c>
      <c r="K1606" s="1052">
        <f t="shared" si="172"/>
        <v>0</v>
      </c>
      <c r="L1606" s="1088"/>
      <c r="M1606" s="328"/>
      <c r="N1606" s="1587"/>
      <c r="O1606" s="1135"/>
      <c r="P1606" s="123"/>
      <c r="Q1606" s="123"/>
      <c r="R1606" s="1431"/>
      <c r="S1606" s="123"/>
      <c r="T1606" s="123"/>
      <c r="U1606" s="1589"/>
      <c r="V1606" s="1962" t="s">
        <v>31</v>
      </c>
      <c r="W1606" s="818">
        <v>1584.0000000000018</v>
      </c>
      <c r="X1606" s="819">
        <v>1179.5241413638641</v>
      </c>
      <c r="Y1606" s="737">
        <v>1179.52</v>
      </c>
      <c r="Z1606" s="737">
        <v>1179.52</v>
      </c>
      <c r="AA1606" s="737">
        <v>1179.52</v>
      </c>
      <c r="AB1606" s="2162">
        <v>1179.52</v>
      </c>
      <c r="AC1606" s="742">
        <v>1676.32</v>
      </c>
      <c r="AD1606" s="818"/>
      <c r="AE1606" s="818"/>
      <c r="AF1606" s="818"/>
      <c r="AG1606" s="818"/>
      <c r="AH1606" s="163"/>
      <c r="AI1606" s="1942"/>
      <c r="AJ1606" s="1942"/>
      <c r="AK1606" s="820"/>
      <c r="AL1606" s="1942"/>
      <c r="AM1606" s="1942"/>
      <c r="AN1606" s="1942"/>
      <c r="AO1606" s="1942"/>
      <c r="AP1606" s="1942"/>
      <c r="AQ1606" s="1942"/>
      <c r="AR1606" s="1942"/>
      <c r="AS1606" s="1942"/>
      <c r="AT1606" s="1942"/>
      <c r="AU1606" s="1942"/>
      <c r="AV1606" s="1942"/>
      <c r="AW1606" s="1942"/>
      <c r="AX1606" s="1942"/>
      <c r="AY1606" s="1942"/>
      <c r="AZ1606" s="1942"/>
      <c r="BA1606" s="1942"/>
      <c r="BB1606" s="242"/>
      <c r="BC1606" s="822" t="str">
        <f t="shared" si="170"/>
        <v>Heating Res 18 Year EUL</v>
      </c>
      <c r="BD1606" s="673">
        <f>(INDEX('Avoided Cost Benefits'!$C$4:$C$857,MATCH(BC1606,'Avoided Cost Benefits'!$A$4:$A$857,0)))*F1606</f>
        <v>774.48683499335675</v>
      </c>
      <c r="BE1606" s="1949">
        <f t="shared" si="168"/>
        <v>0</v>
      </c>
      <c r="BF1606" s="1942"/>
      <c r="BG1606" s="691"/>
      <c r="BH1606" s="821"/>
      <c r="BI1606" s="691"/>
    </row>
    <row r="1607" spans="1:61" s="51" customFormat="1" x14ac:dyDescent="0.25">
      <c r="A1607" s="1267" t="str">
        <f t="shared" si="173"/>
        <v>354000_2021_12_Cooling Res</v>
      </c>
      <c r="B1607" s="123"/>
      <c r="C1607" s="2038" t="s">
        <v>1399</v>
      </c>
      <c r="D1607" s="1553" t="s">
        <v>320</v>
      </c>
      <c r="E1607" s="2878" t="s">
        <v>1400</v>
      </c>
      <c r="F1607" s="742">
        <f>ROUND(((K2649*K2836*(1/K3023-1/K3210)*K3397)/1000)*$K$3484,2)</f>
        <v>2424.9299999999998</v>
      </c>
      <c r="G1607" s="214" t="s">
        <v>1134</v>
      </c>
      <c r="H1607" s="155">
        <f>VLOOKUP(G1607,'CP FACTORS'!$A$3:$B$38, 2, FALSE)</f>
        <v>9.4741810000000004E-4</v>
      </c>
      <c r="I1607" s="1554">
        <f t="shared" si="169"/>
        <v>2.2974230000000002</v>
      </c>
      <c r="J1607" s="108">
        <f t="shared" si="171"/>
        <v>6</v>
      </c>
      <c r="K1607" s="3294">
        <f t="shared" si="172"/>
        <v>2159.4014664340775</v>
      </c>
      <c r="L1607" s="1088">
        <f>L1901</f>
        <v>4</v>
      </c>
      <c r="M1607" s="328"/>
      <c r="N1607" s="1587"/>
      <c r="O1607" s="1135"/>
      <c r="P1607" s="123"/>
      <c r="Q1607" s="123"/>
      <c r="R1607" s="1431"/>
      <c r="S1607" s="123"/>
      <c r="T1607" s="123"/>
      <c r="U1607" s="1589"/>
      <c r="V1607" s="1962" t="s">
        <v>31</v>
      </c>
      <c r="W1607" s="818">
        <v>2968.3210526315793</v>
      </c>
      <c r="X1607" s="819">
        <v>2319.9615088140517</v>
      </c>
      <c r="Y1607" s="737">
        <v>2319.96</v>
      </c>
      <c r="Z1607" s="737">
        <v>2319.96</v>
      </c>
      <c r="AA1607" s="737">
        <v>2319.96</v>
      </c>
      <c r="AB1607" s="2162">
        <v>2319.96</v>
      </c>
      <c r="AC1607" s="742">
        <v>2424.9299999999998</v>
      </c>
      <c r="AD1607" s="818"/>
      <c r="AE1607" s="818"/>
      <c r="AF1607" s="818"/>
      <c r="AG1607" s="818"/>
      <c r="AH1607" s="163"/>
      <c r="AI1607" s="1942"/>
      <c r="AJ1607" s="1942"/>
      <c r="AK1607" s="820"/>
      <c r="AL1607" s="1942"/>
      <c r="AM1607" s="1942"/>
      <c r="AN1607" s="1942"/>
      <c r="AO1607" s="1942"/>
      <c r="AP1607" s="1942"/>
      <c r="AQ1607" s="1942"/>
      <c r="AR1607" s="1942"/>
      <c r="AS1607" s="1942"/>
      <c r="AT1607" s="1942"/>
      <c r="AU1607" s="1942"/>
      <c r="AV1607" s="1942"/>
      <c r="AW1607" s="1942"/>
      <c r="AX1607" s="1942"/>
      <c r="AY1607" s="1942"/>
      <c r="AZ1607" s="1942"/>
      <c r="BA1607" s="1942"/>
      <c r="BB1607" s="244">
        <f>(BD1607+BD1608+BD1609+BD1610)/(BE1607+BE1608+BE1609+BE1610)</f>
        <v>1.6930946195976033</v>
      </c>
      <c r="BC1607" s="3115" t="str">
        <f t="shared" si="170"/>
        <v>Cooling Res 6 Year EUL</v>
      </c>
      <c r="BD1607" s="673">
        <f>(INDEX('Avoided Cost Benefits'!$C$4:$C$857,MATCH(BC1607,'Avoided Cost Benefits'!$A$4:$A$857,0)))*F1607</f>
        <v>1410.0583912259874</v>
      </c>
      <c r="BE1607" s="1949">
        <f t="shared" si="168"/>
        <v>2038.1325780406582</v>
      </c>
      <c r="BF1607" s="1942"/>
      <c r="BG1607" s="691"/>
      <c r="BH1607" s="821"/>
      <c r="BI1607" s="691"/>
    </row>
    <row r="1608" spans="1:61" s="51" customFormat="1" x14ac:dyDescent="0.25">
      <c r="A1608" s="1267" t="str">
        <f t="shared" si="173"/>
        <v>354000_2021_12_Heating Res</v>
      </c>
      <c r="B1608" s="123"/>
      <c r="C1608" s="2038" t="s">
        <v>1399</v>
      </c>
      <c r="D1608" s="1553" t="s">
        <v>320</v>
      </c>
      <c r="E1608" s="3007" t="s">
        <v>1400</v>
      </c>
      <c r="F1608" s="742">
        <f>ROUND(((K1901*K2088*(1/K2275-1/K2462)*K3397)/1000)*$K$3484,2)</f>
        <v>3760.88</v>
      </c>
      <c r="G1608" s="214" t="s">
        <v>1135</v>
      </c>
      <c r="H1608" s="155">
        <f>VLOOKUP(G1608,'CP FACTORS'!$A$3:$B$38, 2, FALSE)</f>
        <v>0</v>
      </c>
      <c r="I1608" s="1554">
        <f t="shared" si="169"/>
        <v>0</v>
      </c>
      <c r="J1608" s="108">
        <f t="shared" si="171"/>
        <v>6</v>
      </c>
      <c r="K1608" s="1052">
        <f t="shared" si="172"/>
        <v>0</v>
      </c>
      <c r="L1608" s="1088"/>
      <c r="M1608" s="328"/>
      <c r="N1608" s="1587"/>
      <c r="O1608" s="1135"/>
      <c r="P1608" s="123"/>
      <c r="Q1608" s="123"/>
      <c r="R1608" s="1431"/>
      <c r="S1608" s="123"/>
      <c r="T1608" s="123"/>
      <c r="U1608" s="1589"/>
      <c r="V1608" s="1962" t="s">
        <v>31</v>
      </c>
      <c r="W1608" s="818">
        <v>6249.9803405572748</v>
      </c>
      <c r="X1608" s="819">
        <v>2767.3247800351946</v>
      </c>
      <c r="Y1608" s="737">
        <v>2767.32</v>
      </c>
      <c r="Z1608" s="737">
        <v>2767.32</v>
      </c>
      <c r="AA1608" s="737">
        <v>2767.32</v>
      </c>
      <c r="AB1608" s="2162">
        <v>2767.32</v>
      </c>
      <c r="AC1608" s="742">
        <v>3760.88</v>
      </c>
      <c r="AD1608" s="818"/>
      <c r="AE1608" s="818"/>
      <c r="AF1608" s="818"/>
      <c r="AG1608" s="818"/>
      <c r="AH1608" s="163"/>
      <c r="AI1608" s="1942"/>
      <c r="AJ1608" s="1942"/>
      <c r="AK1608" s="820"/>
      <c r="AL1608" s="1942"/>
      <c r="AM1608" s="1942"/>
      <c r="AN1608" s="1942"/>
      <c r="AO1608" s="1942"/>
      <c r="AP1608" s="1942"/>
      <c r="AQ1608" s="1942"/>
      <c r="AR1608" s="1942"/>
      <c r="AS1608" s="1942"/>
      <c r="AT1608" s="1942"/>
      <c r="AU1608" s="1942"/>
      <c r="AV1608" s="1942"/>
      <c r="AW1608" s="1942"/>
      <c r="AX1608" s="1942"/>
      <c r="AY1608" s="1942"/>
      <c r="AZ1608" s="1942"/>
      <c r="BA1608" s="1942"/>
      <c r="BB1608" s="734"/>
      <c r="BC1608" s="3130" t="str">
        <f t="shared" si="170"/>
        <v>Heating Res 6 Year EUL</v>
      </c>
      <c r="BD1608" s="673">
        <f>(INDEX('Avoided Cost Benefits'!$C$4:$C$857,MATCH(BC1608,'Avoided Cost Benefits'!$A$4:$A$857,0)))*F1608</f>
        <v>625.56034934541981</v>
      </c>
      <c r="BE1608" s="1949">
        <f t="shared" si="168"/>
        <v>0</v>
      </c>
      <c r="BF1608" s="1942"/>
      <c r="BG1608" s="691"/>
      <c r="BH1608" s="821"/>
      <c r="BI1608" s="691"/>
    </row>
    <row r="1609" spans="1:61" s="51" customFormat="1" x14ac:dyDescent="0.25">
      <c r="A1609" s="1267" t="str">
        <f t="shared" si="173"/>
        <v>354000_2021_12_Cooling Res ER2</v>
      </c>
      <c r="B1609" s="123"/>
      <c r="C1609" s="2038" t="s">
        <v>1399</v>
      </c>
      <c r="D1609" s="1553" t="s">
        <v>320</v>
      </c>
      <c r="E1609" s="3007" t="s">
        <v>1401</v>
      </c>
      <c r="F1609" s="742">
        <f>ROUND(((K2650*K2837*(1/K3024-1/K3211)*K3398)/1000)*$K$3484,2)</f>
        <v>795.55</v>
      </c>
      <c r="G1609" s="1580" t="s">
        <v>1176</v>
      </c>
      <c r="H1609" s="155">
        <f>VLOOKUP(G1609,'CP FACTORS'!$A$3:$B$38, 2, FALSE)</f>
        <v>9.4741810000000004E-4</v>
      </c>
      <c r="I1609" s="1554">
        <f t="shared" si="169"/>
        <v>0.753718</v>
      </c>
      <c r="J1609" s="108">
        <f t="shared" si="171"/>
        <v>12</v>
      </c>
      <c r="K1609" s="1052">
        <f t="shared" si="172"/>
        <v>0</v>
      </c>
      <c r="L1609" s="1088"/>
      <c r="M1609" s="328"/>
      <c r="N1609" s="1587"/>
      <c r="O1609" s="1135"/>
      <c r="P1609" s="123"/>
      <c r="Q1609" s="123"/>
      <c r="R1609" s="1431"/>
      <c r="S1609" s="123"/>
      <c r="T1609" s="123"/>
      <c r="U1609" s="1589"/>
      <c r="V1609" s="1962" t="s">
        <v>31</v>
      </c>
      <c r="W1609" s="818">
        <v>646.8496240601504</v>
      </c>
      <c r="X1609" s="825">
        <v>646.8496240601504</v>
      </c>
      <c r="Y1609" s="737">
        <v>646.85</v>
      </c>
      <c r="Z1609" s="737">
        <v>646.85</v>
      </c>
      <c r="AA1609" s="737">
        <v>646.85</v>
      </c>
      <c r="AB1609" s="2162">
        <v>646.85</v>
      </c>
      <c r="AC1609" s="742">
        <v>795.55</v>
      </c>
      <c r="AD1609" s="818"/>
      <c r="AE1609" s="818"/>
      <c r="AF1609" s="818"/>
      <c r="AG1609" s="818"/>
      <c r="AH1609" s="163"/>
      <c r="AI1609" s="1942"/>
      <c r="AJ1609" s="1942"/>
      <c r="AK1609" s="820"/>
      <c r="AL1609" s="1942"/>
      <c r="AM1609" s="1942"/>
      <c r="AN1609" s="1942"/>
      <c r="AO1609" s="1942"/>
      <c r="AP1609" s="1942"/>
      <c r="AQ1609" s="1942"/>
      <c r="AR1609" s="1942"/>
      <c r="AS1609" s="1942"/>
      <c r="AT1609" s="1942"/>
      <c r="AU1609" s="1942"/>
      <c r="AV1609" s="1942"/>
      <c r="AW1609" s="1942"/>
      <c r="AX1609" s="1942"/>
      <c r="AY1609" s="1942"/>
      <c r="AZ1609" s="1942"/>
      <c r="BA1609" s="1942"/>
      <c r="BB1609" s="734"/>
      <c r="BC1609" s="3130" t="str">
        <f t="shared" si="170"/>
        <v>Cooling Res ER2 12 Year EUL</v>
      </c>
      <c r="BD1609" s="673">
        <f>(INDEX('Avoided Cost Benefits'!$C$4:$C$857,MATCH(BC1609,'Avoided Cost Benefits'!$A$4:$A$857,0)))*F1609</f>
        <v>940.5974710427048</v>
      </c>
      <c r="BE1609" s="1949">
        <f t="shared" si="168"/>
        <v>0</v>
      </c>
      <c r="BF1609" s="1942"/>
      <c r="BG1609" s="691"/>
      <c r="BH1609" s="821"/>
      <c r="BI1609" s="691"/>
    </row>
    <row r="1610" spans="1:61" s="51" customFormat="1" x14ac:dyDescent="0.25">
      <c r="A1610" s="1267" t="str">
        <f t="shared" si="173"/>
        <v>354000_2021_12_Heating Res ER2</v>
      </c>
      <c r="B1610" s="123"/>
      <c r="C1610" s="2038" t="s">
        <v>1399</v>
      </c>
      <c r="D1610" s="1553" t="s">
        <v>320</v>
      </c>
      <c r="E1610" s="3005" t="s">
        <v>1401</v>
      </c>
      <c r="F1610" s="742">
        <f>ROUND(((K1902*K2089*(1/K2276-1/K2463)*K3398)/1000)*$K$3484,2)</f>
        <v>1604.88</v>
      </c>
      <c r="G1610" s="1580" t="s">
        <v>1195</v>
      </c>
      <c r="H1610" s="155">
        <f>VLOOKUP(G1610,'CP FACTORS'!$A$3:$B$38, 2, FALSE)</f>
        <v>0</v>
      </c>
      <c r="I1610" s="1554">
        <f t="shared" si="169"/>
        <v>0</v>
      </c>
      <c r="J1610" s="108">
        <f t="shared" si="171"/>
        <v>12</v>
      </c>
      <c r="K1610" s="1052">
        <f t="shared" si="172"/>
        <v>0</v>
      </c>
      <c r="L1610" s="1088"/>
      <c r="M1610" s="328"/>
      <c r="N1610" s="1587"/>
      <c r="O1610" s="1135"/>
      <c r="P1610" s="123"/>
      <c r="Q1610" s="123"/>
      <c r="R1610" s="1431"/>
      <c r="S1610" s="123"/>
      <c r="T1610" s="123"/>
      <c r="U1610" s="1589"/>
      <c r="V1610" s="1962" t="s">
        <v>31</v>
      </c>
      <c r="W1610" s="818">
        <v>1327.6421052631592</v>
      </c>
      <c r="X1610" s="819">
        <v>988.62747111681745</v>
      </c>
      <c r="Y1610" s="737">
        <v>988.63</v>
      </c>
      <c r="Z1610" s="737">
        <v>988.63</v>
      </c>
      <c r="AA1610" s="737">
        <v>988.63</v>
      </c>
      <c r="AB1610" s="2162">
        <v>988.63</v>
      </c>
      <c r="AC1610" s="742">
        <v>1604.88</v>
      </c>
      <c r="AD1610" s="818"/>
      <c r="AE1610" s="818"/>
      <c r="AF1610" s="818"/>
      <c r="AG1610" s="818"/>
      <c r="AH1610" s="163"/>
      <c r="AI1610" s="1942"/>
      <c r="AJ1610" s="1942"/>
      <c r="AK1610" s="820"/>
      <c r="AL1610" s="1942"/>
      <c r="AM1610" s="1942"/>
      <c r="AN1610" s="1942"/>
      <c r="AO1610" s="1942"/>
      <c r="AP1610" s="1942"/>
      <c r="AQ1610" s="1942"/>
      <c r="AR1610" s="1942"/>
      <c r="AS1610" s="1942"/>
      <c r="AT1610" s="1942"/>
      <c r="AU1610" s="1942"/>
      <c r="AV1610" s="1942"/>
      <c r="AW1610" s="1942"/>
      <c r="AX1610" s="1942"/>
      <c r="AY1610" s="1942"/>
      <c r="AZ1610" s="1942"/>
      <c r="BA1610" s="1942"/>
      <c r="BB1610" s="734"/>
      <c r="BC1610" s="3116" t="str">
        <f t="shared" si="170"/>
        <v>Heating Res ER2 12 Year EUL</v>
      </c>
      <c r="BD1610" s="673">
        <f>(INDEX('Avoided Cost Benefits'!$C$4:$C$857,MATCH(BC1610,'Avoided Cost Benefits'!$A$4:$A$857,0)))*F1610</f>
        <v>474.53509029311874</v>
      </c>
      <c r="BE1610" s="1949">
        <f t="shared" si="168"/>
        <v>0</v>
      </c>
      <c r="BF1610" s="1942"/>
      <c r="BG1610" s="691"/>
      <c r="BH1610" s="821"/>
      <c r="BI1610" s="691"/>
    </row>
    <row r="1611" spans="1:61" s="51" customFormat="1" x14ac:dyDescent="0.25">
      <c r="A1611" s="1267" t="str">
        <f t="shared" si="173"/>
        <v>354050_2021_12_Cooling Res</v>
      </c>
      <c r="B1611" s="123"/>
      <c r="C1611" s="2038" t="s">
        <v>1403</v>
      </c>
      <c r="D1611" s="1553" t="s">
        <v>320</v>
      </c>
      <c r="E1611" s="2965" t="s">
        <v>1404</v>
      </c>
      <c r="F1611" s="742">
        <f>ROUND(((K2651*K2838*(1/K3025-1/K3212)*K3399)/1000)*$K$3484,2)</f>
        <v>428.97</v>
      </c>
      <c r="G1611" s="214" t="s">
        <v>1134</v>
      </c>
      <c r="H1611" s="155">
        <f>VLOOKUP(G1611,'CP FACTORS'!$A$3:$B$38, 2, FALSE)</f>
        <v>9.4741810000000004E-4</v>
      </c>
      <c r="I1611" s="1554">
        <f t="shared" si="169"/>
        <v>0.406414</v>
      </c>
      <c r="J1611" s="108">
        <f t="shared" si="171"/>
        <v>18</v>
      </c>
      <c r="K1611" s="1052">
        <f t="shared" si="172"/>
        <v>1203.6500000000003</v>
      </c>
      <c r="L1611" s="1088">
        <f>L1903</f>
        <v>2.1777777777777776</v>
      </c>
      <c r="M1611" s="328"/>
      <c r="N1611" s="1587"/>
      <c r="O1611" s="1135"/>
      <c r="P1611" s="123"/>
      <c r="Q1611" s="123"/>
      <c r="R1611" s="1431"/>
      <c r="S1611" s="123"/>
      <c r="T1611" s="123"/>
      <c r="U1611" s="1589"/>
      <c r="V1611" s="1962" t="s">
        <v>31</v>
      </c>
      <c r="W1611" s="818">
        <v>646.8496240601504</v>
      </c>
      <c r="X1611" s="825">
        <v>646.8496240601504</v>
      </c>
      <c r="Y1611" s="737">
        <v>646.85</v>
      </c>
      <c r="Z1611" s="737">
        <v>646.85</v>
      </c>
      <c r="AA1611" s="737">
        <v>646.85</v>
      </c>
      <c r="AB1611" s="2162">
        <v>646.85</v>
      </c>
      <c r="AC1611" s="742">
        <v>428.97</v>
      </c>
      <c r="AD1611" s="818"/>
      <c r="AE1611" s="818"/>
      <c r="AF1611" s="818"/>
      <c r="AG1611" s="818"/>
      <c r="AH1611" s="163"/>
      <c r="AI1611" s="1942"/>
      <c r="AJ1611" s="1942"/>
      <c r="AK1611" s="820"/>
      <c r="AL1611" s="1942"/>
      <c r="AM1611" s="1942"/>
      <c r="AN1611" s="1942"/>
      <c r="AO1611" s="1942"/>
      <c r="AP1611" s="1942"/>
      <c r="AQ1611" s="1942"/>
      <c r="AR1611" s="1942"/>
      <c r="AS1611" s="1942"/>
      <c r="AT1611" s="1942"/>
      <c r="AU1611" s="1942"/>
      <c r="AV1611" s="1942"/>
      <c r="AW1611" s="1942"/>
      <c r="AX1611" s="1942"/>
      <c r="AY1611" s="1942"/>
      <c r="AZ1611" s="1942"/>
      <c r="BA1611" s="1942"/>
      <c r="BB1611" s="244">
        <f>(BD1611+BD1612)/(BE1611+BE1612)</f>
        <v>1.0910536816582665</v>
      </c>
      <c r="BC1611" s="710" t="str">
        <f t="shared" si="170"/>
        <v>Cooling Res 18 Year EUL</v>
      </c>
      <c r="BD1611" s="673">
        <f>(INDEX('Avoided Cost Benefits'!$C$4:$C$857,MATCH(BC1611,'Avoided Cost Benefits'!$A$4:$A$857,0)))*F1611</f>
        <v>756.62057889442258</v>
      </c>
      <c r="BE1611" s="1949">
        <f t="shared" si="168"/>
        <v>1136.0547428032091</v>
      </c>
      <c r="BF1611" s="1942"/>
      <c r="BG1611" s="691"/>
      <c r="BH1611" s="821"/>
      <c r="BI1611" s="691"/>
    </row>
    <row r="1612" spans="1:61" s="51" customFormat="1" x14ac:dyDescent="0.25">
      <c r="A1612" s="1267" t="str">
        <f t="shared" si="173"/>
        <v>354050_2021_12_Heating Res</v>
      </c>
      <c r="B1612" s="123"/>
      <c r="C1612" s="2038" t="s">
        <v>1403</v>
      </c>
      <c r="D1612" s="1553" t="s">
        <v>320</v>
      </c>
      <c r="E1612" s="3008" t="s">
        <v>1404</v>
      </c>
      <c r="F1612" s="742">
        <f>ROUND(((K1903*K2090*(1/K2277-1/K2464)*K3399)/1000)*$K$3484,2)</f>
        <v>1045.1500000000001</v>
      </c>
      <c r="G1612" s="214" t="s">
        <v>1135</v>
      </c>
      <c r="H1612" s="155">
        <f>VLOOKUP(G1612,'CP FACTORS'!$A$3:$B$38, 2, FALSE)</f>
        <v>0</v>
      </c>
      <c r="I1612" s="1554">
        <f t="shared" si="169"/>
        <v>0</v>
      </c>
      <c r="J1612" s="108">
        <f t="shared" si="171"/>
        <v>18</v>
      </c>
      <c r="K1612" s="1052">
        <f t="shared" si="172"/>
        <v>0</v>
      </c>
      <c r="L1612" s="1088"/>
      <c r="M1612" s="328"/>
      <c r="N1612" s="1587"/>
      <c r="O1612" s="1135"/>
      <c r="P1612" s="123"/>
      <c r="Q1612" s="123"/>
      <c r="R1612" s="1431"/>
      <c r="S1612" s="123"/>
      <c r="T1612" s="123"/>
      <c r="U1612" s="1589"/>
      <c r="V1612" s="1962" t="s">
        <v>31</v>
      </c>
      <c r="W1612" s="818">
        <v>1584.0000000000018</v>
      </c>
      <c r="X1612" s="819">
        <v>1179.5241413638641</v>
      </c>
      <c r="Y1612" s="737">
        <v>1179.52</v>
      </c>
      <c r="Z1612" s="737">
        <v>1179.52</v>
      </c>
      <c r="AA1612" s="737">
        <v>1179.52</v>
      </c>
      <c r="AB1612" s="2162">
        <v>1179.52</v>
      </c>
      <c r="AC1612" s="742">
        <v>1045.1500000000001</v>
      </c>
      <c r="AD1612" s="818"/>
      <c r="AE1612" s="818"/>
      <c r="AF1612" s="818"/>
      <c r="AG1612" s="818"/>
      <c r="AH1612" s="163"/>
      <c r="AI1612" s="1942"/>
      <c r="AJ1612" s="1942"/>
      <c r="AK1612" s="820"/>
      <c r="AL1612" s="1942"/>
      <c r="AM1612" s="1942"/>
      <c r="AN1612" s="1942"/>
      <c r="AO1612" s="1942"/>
      <c r="AP1612" s="1942"/>
      <c r="AQ1612" s="1942"/>
      <c r="AR1612" s="1942"/>
      <c r="AS1612" s="1942"/>
      <c r="AT1612" s="1942"/>
      <c r="AU1612" s="1942"/>
      <c r="AV1612" s="1942"/>
      <c r="AW1612" s="1942"/>
      <c r="AX1612" s="1942"/>
      <c r="AY1612" s="1942"/>
      <c r="AZ1612" s="1942"/>
      <c r="BA1612" s="1942"/>
      <c r="BB1612" s="242"/>
      <c r="BC1612" s="822" t="str">
        <f t="shared" si="170"/>
        <v>Heating Res 18 Year EUL</v>
      </c>
      <c r="BD1612" s="673">
        <f>(INDEX('Avoided Cost Benefits'!$C$4:$C$857,MATCH(BC1612,'Avoided Cost Benefits'!$A$4:$A$857,0)))*F1612</f>
        <v>482.87613080635379</v>
      </c>
      <c r="BE1612" s="1949">
        <f t="shared" si="168"/>
        <v>0</v>
      </c>
      <c r="BF1612" s="1942"/>
      <c r="BG1612" s="691"/>
      <c r="BH1612" s="821"/>
      <c r="BI1612" s="691"/>
    </row>
    <row r="1613" spans="1:61" s="51" customFormat="1" x14ac:dyDescent="0.25">
      <c r="A1613" s="1267" t="str">
        <f t="shared" si="173"/>
        <v>354100_2021_12_Cooling Res</v>
      </c>
      <c r="B1613" s="123"/>
      <c r="C1613" s="2038" t="s">
        <v>1406</v>
      </c>
      <c r="D1613" s="1553" t="s">
        <v>320</v>
      </c>
      <c r="E1613" s="2878" t="s">
        <v>1407</v>
      </c>
      <c r="F1613" s="742">
        <f>ROUND(((K2652*K2839*(1/K3026-1/K3213)*K3400)/1000)*$K$3484,2)</f>
        <v>1948.61</v>
      </c>
      <c r="G1613" s="214" t="s">
        <v>1134</v>
      </c>
      <c r="H1613" s="155">
        <f>VLOOKUP(G1613,'CP FACTORS'!$A$3:$B$38, 2, FALSE)</f>
        <v>9.4741810000000004E-4</v>
      </c>
      <c r="I1613" s="1554">
        <f t="shared" si="169"/>
        <v>1.8461479999999999</v>
      </c>
      <c r="J1613" s="108">
        <f t="shared" si="171"/>
        <v>6</v>
      </c>
      <c r="K1613" s="3294">
        <f t="shared" si="172"/>
        <v>1402.8007574105659</v>
      </c>
      <c r="L1613" s="1088">
        <f>L1904</f>
        <v>2.8409090909090908</v>
      </c>
      <c r="M1613" s="328"/>
      <c r="N1613" s="1587"/>
      <c r="O1613" s="1135"/>
      <c r="P1613" s="123"/>
      <c r="Q1613" s="123"/>
      <c r="R1613" s="1431"/>
      <c r="S1613" s="123"/>
      <c r="T1613" s="123"/>
      <c r="U1613" s="1589"/>
      <c r="V1613" s="1962" t="s">
        <v>31</v>
      </c>
      <c r="W1613" s="818">
        <v>2852.3647058823531</v>
      </c>
      <c r="X1613" s="819">
        <v>1979.1918367346937</v>
      </c>
      <c r="Y1613" s="737">
        <v>1979.19</v>
      </c>
      <c r="Z1613" s="737">
        <v>1979.19</v>
      </c>
      <c r="AA1613" s="737">
        <v>1979.19</v>
      </c>
      <c r="AB1613" s="2162">
        <v>1979.19</v>
      </c>
      <c r="AC1613" s="742">
        <v>1948.61</v>
      </c>
      <c r="AD1613" s="818"/>
      <c r="AE1613" s="818"/>
      <c r="AF1613" s="818"/>
      <c r="AG1613" s="818"/>
      <c r="AH1613" s="163"/>
      <c r="AI1613" s="1942"/>
      <c r="AJ1613" s="1942"/>
      <c r="AK1613" s="820"/>
      <c r="AL1613" s="1942"/>
      <c r="AM1613" s="1942"/>
      <c r="AN1613" s="1942"/>
      <c r="AO1613" s="1942"/>
      <c r="AP1613" s="1942"/>
      <c r="AQ1613" s="1942"/>
      <c r="AR1613" s="1942"/>
      <c r="AS1613" s="1942"/>
      <c r="AT1613" s="1942"/>
      <c r="AU1613" s="1942"/>
      <c r="AV1613" s="1942"/>
      <c r="AW1613" s="1942"/>
      <c r="AX1613" s="1942"/>
      <c r="AY1613" s="1942"/>
      <c r="AZ1613" s="1942"/>
      <c r="BA1613" s="1942"/>
      <c r="BB1613" s="244">
        <f>(BD1613+BD1614+BD1615+BD1616)/(BE1613+BE1614+BE1615+BE1616)</f>
        <v>4.6948098241743157</v>
      </c>
      <c r="BC1613" s="3115" t="str">
        <f t="shared" si="170"/>
        <v>Cooling Res 6 Year EUL</v>
      </c>
      <c r="BD1613" s="673">
        <f>(INDEX('Avoided Cost Benefits'!$C$4:$C$857,MATCH(BC1613,'Avoided Cost Benefits'!$A$4:$A$857,0)))*F1613</f>
        <v>1133.0858547367848</v>
      </c>
      <c r="BE1613" s="1949">
        <f t="shared" ref="BE1613:BE1676" si="174">K1613/(1.0595^(2020-2019))</f>
        <v>1324.0214793870371</v>
      </c>
      <c r="BF1613" s="1942"/>
      <c r="BG1613" s="691"/>
      <c r="BH1613" s="821"/>
      <c r="BI1613" s="691"/>
    </row>
    <row r="1614" spans="1:61" s="51" customFormat="1" x14ac:dyDescent="0.25">
      <c r="A1614" s="1267" t="str">
        <f t="shared" si="173"/>
        <v>354100_2021_12_Heating Res</v>
      </c>
      <c r="B1614" s="123"/>
      <c r="C1614" s="2038" t="s">
        <v>1406</v>
      </c>
      <c r="D1614" s="1553" t="s">
        <v>320</v>
      </c>
      <c r="E1614" s="3007" t="s">
        <v>1407</v>
      </c>
      <c r="F1614" s="742">
        <f>ROUND(((K1904*K2091*(1/K2278-1/K2465)*K3400)/1000)*$K$3484,2)</f>
        <v>9594</v>
      </c>
      <c r="G1614" s="214" t="s">
        <v>1135</v>
      </c>
      <c r="H1614" s="155">
        <f>VLOOKUP(G1614,'CP FACTORS'!$A$3:$B$38, 2, FALSE)</f>
        <v>0</v>
      </c>
      <c r="I1614" s="1554">
        <f t="shared" si="169"/>
        <v>0</v>
      </c>
      <c r="J1614" s="108">
        <f t="shared" si="171"/>
        <v>6</v>
      </c>
      <c r="K1614" s="1052">
        <f t="shared" si="172"/>
        <v>0</v>
      </c>
      <c r="L1614" s="1088"/>
      <c r="M1614" s="328"/>
      <c r="N1614" s="1587"/>
      <c r="O1614" s="1135"/>
      <c r="P1614" s="123"/>
      <c r="Q1614" s="123"/>
      <c r="R1614" s="1431"/>
      <c r="S1614" s="123"/>
      <c r="T1614" s="123"/>
      <c r="U1614" s="1589"/>
      <c r="V1614" s="1962" t="s">
        <v>31</v>
      </c>
      <c r="W1614" s="818">
        <v>13965.852998065762</v>
      </c>
      <c r="X1614" s="819">
        <v>10399.659574468084</v>
      </c>
      <c r="Y1614" s="737">
        <v>10399.66</v>
      </c>
      <c r="Z1614" s="737">
        <v>10399.66</v>
      </c>
      <c r="AA1614" s="737">
        <v>10399.66</v>
      </c>
      <c r="AB1614" s="2162">
        <v>10399.66</v>
      </c>
      <c r="AC1614" s="742">
        <v>9594</v>
      </c>
      <c r="AD1614" s="818"/>
      <c r="AE1614" s="818"/>
      <c r="AF1614" s="818"/>
      <c r="AG1614" s="818"/>
      <c r="AH1614" s="163"/>
      <c r="AI1614" s="1942"/>
      <c r="AJ1614" s="1942"/>
      <c r="AK1614" s="820"/>
      <c r="AL1614" s="1942"/>
      <c r="AM1614" s="1942"/>
      <c r="AN1614" s="1942"/>
      <c r="AO1614" s="1942"/>
      <c r="AP1614" s="1942"/>
      <c r="AQ1614" s="1942"/>
      <c r="AR1614" s="1942"/>
      <c r="AS1614" s="1942"/>
      <c r="AT1614" s="1942"/>
      <c r="AU1614" s="1942"/>
      <c r="AV1614" s="1942"/>
      <c r="AW1614" s="1942"/>
      <c r="AX1614" s="1942"/>
      <c r="AY1614" s="1942"/>
      <c r="AZ1614" s="1942"/>
      <c r="BA1614" s="1942"/>
      <c r="BB1614" s="734"/>
      <c r="BC1614" s="3130" t="str">
        <f t="shared" si="170"/>
        <v>Heating Res 6 Year EUL</v>
      </c>
      <c r="BD1614" s="673">
        <f>(INDEX('Avoided Cost Benefits'!$C$4:$C$857,MATCH(BC1614,'Avoided Cost Benefits'!$A$4:$A$857,0)))*F1614</f>
        <v>1595.8036394726651</v>
      </c>
      <c r="BE1614" s="1949">
        <f t="shared" si="174"/>
        <v>0</v>
      </c>
      <c r="BF1614" s="1942"/>
      <c r="BG1614" s="691"/>
      <c r="BH1614" s="821"/>
      <c r="BI1614" s="691"/>
    </row>
    <row r="1615" spans="1:61" s="51" customFormat="1" x14ac:dyDescent="0.25">
      <c r="A1615" s="1267" t="str">
        <f t="shared" si="173"/>
        <v>354100_2021_12_Cooling Res ER2</v>
      </c>
      <c r="B1615" s="123"/>
      <c r="C1615" s="2038" t="s">
        <v>1406</v>
      </c>
      <c r="D1615" s="1553" t="s">
        <v>320</v>
      </c>
      <c r="E1615" s="3007" t="s">
        <v>1408</v>
      </c>
      <c r="F1615" s="742">
        <f>ROUND(((K2653*K2840*(1/K3027-1/K3214)*K3401)/1000)*$K$3484,2)</f>
        <v>550.07000000000005</v>
      </c>
      <c r="G1615" s="1580" t="s">
        <v>1176</v>
      </c>
      <c r="H1615" s="155">
        <f>VLOOKUP(G1615,'CP FACTORS'!$A$3:$B$38, 2, FALSE)</f>
        <v>9.4741810000000004E-4</v>
      </c>
      <c r="I1615" s="1554">
        <f t="shared" si="169"/>
        <v>0.521146</v>
      </c>
      <c r="J1615" s="108">
        <f t="shared" si="171"/>
        <v>12</v>
      </c>
      <c r="K1615" s="1052">
        <f t="shared" si="172"/>
        <v>0</v>
      </c>
      <c r="L1615" s="1088"/>
      <c r="M1615" s="328"/>
      <c r="N1615" s="1587"/>
      <c r="O1615" s="1135"/>
      <c r="P1615" s="123"/>
      <c r="Q1615" s="123"/>
      <c r="R1615" s="1431"/>
      <c r="S1615" s="123"/>
      <c r="T1615" s="123"/>
      <c r="U1615" s="1589"/>
      <c r="V1615" s="1962" t="s">
        <v>31</v>
      </c>
      <c r="W1615" s="818">
        <v>585.10045248868789</v>
      </c>
      <c r="X1615" s="825">
        <v>585.10045248868789</v>
      </c>
      <c r="Y1615" s="737">
        <v>585.1</v>
      </c>
      <c r="Z1615" s="737">
        <v>585.1</v>
      </c>
      <c r="AA1615" s="737">
        <v>585.1</v>
      </c>
      <c r="AB1615" s="2162">
        <v>585.1</v>
      </c>
      <c r="AC1615" s="742">
        <v>550.07000000000005</v>
      </c>
      <c r="AD1615" s="818"/>
      <c r="AE1615" s="818"/>
      <c r="AF1615" s="818"/>
      <c r="AG1615" s="818"/>
      <c r="AH1615" s="163"/>
      <c r="AI1615" s="1942"/>
      <c r="AJ1615" s="1942"/>
      <c r="AK1615" s="820"/>
      <c r="AL1615" s="1942"/>
      <c r="AM1615" s="1942"/>
      <c r="AN1615" s="1942"/>
      <c r="AO1615" s="1942"/>
      <c r="AP1615" s="1942"/>
      <c r="AQ1615" s="1942"/>
      <c r="AR1615" s="1942"/>
      <c r="AS1615" s="1942"/>
      <c r="AT1615" s="1942"/>
      <c r="AU1615" s="1942"/>
      <c r="AV1615" s="1942"/>
      <c r="AW1615" s="1942"/>
      <c r="AX1615" s="1942"/>
      <c r="AY1615" s="1942"/>
      <c r="AZ1615" s="1942"/>
      <c r="BA1615" s="1942"/>
      <c r="BB1615" s="734"/>
      <c r="BC1615" s="3130" t="str">
        <f t="shared" si="170"/>
        <v>Cooling Res ER2 12 Year EUL</v>
      </c>
      <c r="BD1615" s="673">
        <f>(INDEX('Avoided Cost Benefits'!$C$4:$C$857,MATCH(BC1615,'Avoided Cost Benefits'!$A$4:$A$857,0)))*F1615</f>
        <v>650.36069498643803</v>
      </c>
      <c r="BE1615" s="1949">
        <f t="shared" si="174"/>
        <v>0</v>
      </c>
      <c r="BF1615" s="1942"/>
      <c r="BG1615" s="691"/>
      <c r="BH1615" s="821"/>
      <c r="BI1615" s="691"/>
    </row>
    <row r="1616" spans="1:61" s="51" customFormat="1" x14ac:dyDescent="0.25">
      <c r="A1616" s="1267" t="str">
        <f t="shared" si="173"/>
        <v>354100_2021_12_Heating Res ER2</v>
      </c>
      <c r="B1616" s="123"/>
      <c r="C1616" s="2038" t="s">
        <v>1406</v>
      </c>
      <c r="D1616" s="1553" t="s">
        <v>320</v>
      </c>
      <c r="E1616" s="3005" t="s">
        <v>1408</v>
      </c>
      <c r="F1616" s="742">
        <f>ROUND(((K1905*K2092*(1/K2279-1/K2466)*K3401)/1000)*$K$3484,2)</f>
        <v>9594</v>
      </c>
      <c r="G1616" s="1580" t="s">
        <v>1195</v>
      </c>
      <c r="H1616" s="155">
        <f>VLOOKUP(G1616,'CP FACTORS'!$A$3:$B$38, 2, FALSE)</f>
        <v>0</v>
      </c>
      <c r="I1616" s="1554">
        <f t="shared" si="169"/>
        <v>0</v>
      </c>
      <c r="J1616" s="108">
        <f t="shared" si="171"/>
        <v>12</v>
      </c>
      <c r="K1616" s="1052">
        <f t="shared" si="172"/>
        <v>0</v>
      </c>
      <c r="L1616" s="1088"/>
      <c r="M1616" s="328"/>
      <c r="N1616" s="1587"/>
      <c r="O1616" s="1135"/>
      <c r="P1616" s="123"/>
      <c r="Q1616" s="123"/>
      <c r="R1616" s="1431"/>
      <c r="S1616" s="123"/>
      <c r="T1616" s="123"/>
      <c r="U1616" s="1589"/>
      <c r="V1616" s="1962" t="s">
        <v>31</v>
      </c>
      <c r="W1616" s="818">
        <v>13965.852998065762</v>
      </c>
      <c r="X1616" s="819">
        <v>10399.659574468084</v>
      </c>
      <c r="Y1616" s="737">
        <v>10399.66</v>
      </c>
      <c r="Z1616" s="737">
        <v>10399.66</v>
      </c>
      <c r="AA1616" s="737">
        <v>10399.66</v>
      </c>
      <c r="AB1616" s="2162">
        <v>10399.66</v>
      </c>
      <c r="AC1616" s="742">
        <v>9594</v>
      </c>
      <c r="AD1616" s="818"/>
      <c r="AE1616" s="818"/>
      <c r="AF1616" s="818"/>
      <c r="AG1616" s="818"/>
      <c r="AH1616" s="163"/>
      <c r="AI1616" s="1942"/>
      <c r="AJ1616" s="1942"/>
      <c r="AK1616" s="820"/>
      <c r="AL1616" s="1942"/>
      <c r="AM1616" s="1942"/>
      <c r="AN1616" s="1942"/>
      <c r="AO1616" s="1942"/>
      <c r="AP1616" s="1942"/>
      <c r="AQ1616" s="1942"/>
      <c r="AR1616" s="1942"/>
      <c r="AS1616" s="1942"/>
      <c r="AT1616" s="1942"/>
      <c r="AU1616" s="1942"/>
      <c r="AV1616" s="1942"/>
      <c r="AW1616" s="1942"/>
      <c r="AX1616" s="1942"/>
      <c r="AY1616" s="1942"/>
      <c r="AZ1616" s="1942"/>
      <c r="BA1616" s="1942"/>
      <c r="BB1616" s="734"/>
      <c r="BC1616" s="3116" t="str">
        <f t="shared" si="170"/>
        <v>Heating Res ER2 12 Year EUL</v>
      </c>
      <c r="BD1616" s="673">
        <f>(INDEX('Avoided Cost Benefits'!$C$4:$C$857,MATCH(BC1616,'Avoided Cost Benefits'!$A$4:$A$857,0)))*F1616</f>
        <v>2836.778859648186</v>
      </c>
      <c r="BE1616" s="1949">
        <f t="shared" si="174"/>
        <v>0</v>
      </c>
      <c r="BF1616" s="1942"/>
      <c r="BG1616" s="691"/>
      <c r="BH1616" s="821"/>
      <c r="BI1616" s="691"/>
    </row>
    <row r="1617" spans="1:61" s="1942" customFormat="1" x14ac:dyDescent="0.25">
      <c r="A1617" s="1267"/>
      <c r="B1617" s="123"/>
      <c r="C1617" s="2038" t="s">
        <v>1409</v>
      </c>
      <c r="D1617" s="2695" t="s">
        <v>320</v>
      </c>
      <c r="E1617" s="3007" t="s">
        <v>1410</v>
      </c>
      <c r="F1617" s="742">
        <f>ROUND(((K2654*K2841*(1/K3028-1/K3215)*K3402)/1000)*$K$3484,2)</f>
        <v>1948.61</v>
      </c>
      <c r="G1617" s="3050" t="s">
        <v>1134</v>
      </c>
      <c r="H1617" s="2867">
        <f>VLOOKUP(G1617,'CP FACTORS'!$A$3:$B$38, 2, FALSE)</f>
        <v>9.4741810000000004E-4</v>
      </c>
      <c r="I1617" s="2757">
        <f t="shared" si="169"/>
        <v>1.8461479999999999</v>
      </c>
      <c r="J1617" s="116">
        <f t="shared" si="171"/>
        <v>6</v>
      </c>
      <c r="K1617" s="3294">
        <f t="shared" si="172"/>
        <v>1402.8007574105659</v>
      </c>
      <c r="L1617" s="3296">
        <f>L1906</f>
        <v>2.8409090909090908</v>
      </c>
      <c r="M1617" s="328"/>
      <c r="N1617" s="1587"/>
      <c r="O1617" s="1135"/>
      <c r="P1617" s="123"/>
      <c r="Q1617" s="123"/>
      <c r="R1617" s="1431"/>
      <c r="S1617" s="123"/>
      <c r="T1617" s="123"/>
      <c r="U1617" s="1589"/>
      <c r="V1617" s="1958" t="s">
        <v>31</v>
      </c>
      <c r="W1617" s="818"/>
      <c r="X1617" s="819"/>
      <c r="Y1617" s="737"/>
      <c r="Z1617" s="737"/>
      <c r="AA1617" s="737"/>
      <c r="AB1617" s="2162"/>
      <c r="AC1617" s="742">
        <v>1948.61</v>
      </c>
      <c r="AD1617" s="818"/>
      <c r="AE1617" s="818"/>
      <c r="AF1617" s="818"/>
      <c r="AG1617" s="818"/>
      <c r="AH1617" s="163"/>
      <c r="AK1617" s="820"/>
      <c r="BB1617" s="244">
        <f>(BD1617+BD1618+BD1619+BD1620)/(BE1617+BE1618+BE1619+BE1620)</f>
        <v>1.3469921579738109</v>
      </c>
      <c r="BC1617" s="3130" t="str">
        <f t="shared" si="170"/>
        <v>Cooling Res 6 Year EUL</v>
      </c>
      <c r="BD1617" s="673">
        <f>(INDEX('Avoided Cost Benefits'!$C$4:$C$857,MATCH(BC1617,'Avoided Cost Benefits'!$A$4:$A$857,0)))*F1617</f>
        <v>1133.0858547367848</v>
      </c>
      <c r="BE1617" s="1949">
        <f t="shared" si="174"/>
        <v>1324.0214793870371</v>
      </c>
      <c r="BG1617" s="691"/>
      <c r="BH1617" s="821"/>
      <c r="BI1617" s="691"/>
    </row>
    <row r="1618" spans="1:61" s="1942" customFormat="1" x14ac:dyDescent="0.25">
      <c r="A1618" s="1267"/>
      <c r="B1618" s="123"/>
      <c r="C1618" s="2038" t="s">
        <v>1409</v>
      </c>
      <c r="D1618" s="2695" t="s">
        <v>320</v>
      </c>
      <c r="E1618" s="3007" t="s">
        <v>1410</v>
      </c>
      <c r="F1618" s="742">
        <v>0</v>
      </c>
      <c r="G1618" s="3050" t="s">
        <v>1135</v>
      </c>
      <c r="H1618" s="2867">
        <f>VLOOKUP(G1618,'CP FACTORS'!$A$3:$B$38, 2, FALSE)</f>
        <v>0</v>
      </c>
      <c r="I1618" s="2757">
        <f t="shared" si="169"/>
        <v>0</v>
      </c>
      <c r="J1618" s="116">
        <f t="shared" si="171"/>
        <v>6</v>
      </c>
      <c r="K1618" s="3294">
        <f t="shared" si="172"/>
        <v>0</v>
      </c>
      <c r="L1618" s="3296"/>
      <c r="M1618" s="328"/>
      <c r="N1618" s="1587"/>
      <c r="O1618" s="1135"/>
      <c r="P1618" s="123"/>
      <c r="Q1618" s="123"/>
      <c r="R1618" s="1431"/>
      <c r="S1618" s="123"/>
      <c r="T1618" s="123"/>
      <c r="U1618" s="1589"/>
      <c r="V1618" s="1958" t="s">
        <v>31</v>
      </c>
      <c r="W1618" s="818"/>
      <c r="X1618" s="819"/>
      <c r="Y1618" s="737"/>
      <c r="Z1618" s="737"/>
      <c r="AA1618" s="737"/>
      <c r="AB1618" s="2162"/>
      <c r="AC1618" s="742">
        <v>0</v>
      </c>
      <c r="AD1618" s="818"/>
      <c r="AE1618" s="818"/>
      <c r="AF1618" s="818"/>
      <c r="AG1618" s="818"/>
      <c r="AH1618" s="163"/>
      <c r="AK1618" s="820"/>
      <c r="BB1618" s="734"/>
      <c r="BC1618" s="3130" t="str">
        <f t="shared" si="170"/>
        <v>Heating Res 6 Year EUL</v>
      </c>
      <c r="BD1618" s="673">
        <f>(INDEX('Avoided Cost Benefits'!$C$4:$C$857,MATCH(BC1618,'Avoided Cost Benefits'!$A$4:$A$857,0)))*F1618</f>
        <v>0</v>
      </c>
      <c r="BE1618" s="1949">
        <f t="shared" si="174"/>
        <v>0</v>
      </c>
      <c r="BG1618" s="691"/>
      <c r="BH1618" s="821"/>
      <c r="BI1618" s="691"/>
    </row>
    <row r="1619" spans="1:61" s="1942" customFormat="1" x14ac:dyDescent="0.25">
      <c r="A1619" s="1267"/>
      <c r="B1619" s="123"/>
      <c r="C1619" s="2038" t="s">
        <v>1409</v>
      </c>
      <c r="D1619" s="2695" t="s">
        <v>320</v>
      </c>
      <c r="E1619" s="3007" t="s">
        <v>1411</v>
      </c>
      <c r="F1619" s="742">
        <f t="shared" ref="F1619" si="175">ROUND(((K2655*K2842*(1/K3029-1/K3216)*K3403)/1000)*$K$3484,2)</f>
        <v>550.07000000000005</v>
      </c>
      <c r="G1619" s="3050" t="s">
        <v>1176</v>
      </c>
      <c r="H1619" s="2867">
        <f>VLOOKUP(G1619,'CP FACTORS'!$A$3:$B$38, 2, FALSE)</f>
        <v>9.4741810000000004E-4</v>
      </c>
      <c r="I1619" s="2757">
        <f t="shared" si="169"/>
        <v>0.521146</v>
      </c>
      <c r="J1619" s="116">
        <f t="shared" si="171"/>
        <v>12</v>
      </c>
      <c r="K1619" s="3294">
        <f t="shared" si="172"/>
        <v>0</v>
      </c>
      <c r="L1619" s="3296"/>
      <c r="M1619" s="328"/>
      <c r="N1619" s="1587"/>
      <c r="O1619" s="1135"/>
      <c r="P1619" s="123"/>
      <c r="Q1619" s="123"/>
      <c r="R1619" s="1431"/>
      <c r="S1619" s="123"/>
      <c r="T1619" s="123"/>
      <c r="U1619" s="1589"/>
      <c r="V1619" s="1958" t="s">
        <v>31</v>
      </c>
      <c r="W1619" s="818"/>
      <c r="X1619" s="819"/>
      <c r="Y1619" s="737"/>
      <c r="Z1619" s="737"/>
      <c r="AA1619" s="737"/>
      <c r="AB1619" s="2162"/>
      <c r="AC1619" s="742">
        <v>550.07000000000005</v>
      </c>
      <c r="AD1619" s="818"/>
      <c r="AE1619" s="818"/>
      <c r="AF1619" s="818"/>
      <c r="AG1619" s="818"/>
      <c r="AH1619" s="163"/>
      <c r="AK1619" s="820"/>
      <c r="BB1619" s="734"/>
      <c r="BC1619" s="3130" t="str">
        <f t="shared" si="170"/>
        <v>Cooling Res ER2 12 Year EUL</v>
      </c>
      <c r="BD1619" s="673">
        <f>(INDEX('Avoided Cost Benefits'!$C$4:$C$857,MATCH(BC1619,'Avoided Cost Benefits'!$A$4:$A$857,0)))*F1619</f>
        <v>650.36069498643803</v>
      </c>
      <c r="BE1619" s="1949">
        <f t="shared" si="174"/>
        <v>0</v>
      </c>
      <c r="BG1619" s="691"/>
      <c r="BH1619" s="821"/>
      <c r="BI1619" s="691"/>
    </row>
    <row r="1620" spans="1:61" s="1942" customFormat="1" x14ac:dyDescent="0.25">
      <c r="A1620" s="1267"/>
      <c r="B1620" s="123"/>
      <c r="C1620" s="2038" t="s">
        <v>1409</v>
      </c>
      <c r="D1620" s="2695" t="s">
        <v>320</v>
      </c>
      <c r="E1620" s="3007" t="s">
        <v>1411</v>
      </c>
      <c r="F1620" s="742">
        <f>0</f>
        <v>0</v>
      </c>
      <c r="G1620" s="3050" t="s">
        <v>1195</v>
      </c>
      <c r="H1620" s="2867">
        <f>VLOOKUP(G1620,'CP FACTORS'!$A$3:$B$38, 2, FALSE)</f>
        <v>0</v>
      </c>
      <c r="I1620" s="2757">
        <f t="shared" si="169"/>
        <v>0</v>
      </c>
      <c r="J1620" s="116">
        <f t="shared" si="171"/>
        <v>12</v>
      </c>
      <c r="K1620" s="3294">
        <f t="shared" si="172"/>
        <v>0</v>
      </c>
      <c r="L1620" s="3296"/>
      <c r="M1620" s="328"/>
      <c r="N1620" s="1587"/>
      <c r="O1620" s="1135"/>
      <c r="P1620" s="123"/>
      <c r="Q1620" s="123"/>
      <c r="R1620" s="1431"/>
      <c r="S1620" s="123"/>
      <c r="T1620" s="123"/>
      <c r="U1620" s="1589"/>
      <c r="V1620" s="1958" t="s">
        <v>31</v>
      </c>
      <c r="W1620" s="818"/>
      <c r="X1620" s="819"/>
      <c r="Y1620" s="737"/>
      <c r="Z1620" s="737"/>
      <c r="AA1620" s="737"/>
      <c r="AB1620" s="2162"/>
      <c r="AC1620" s="742">
        <v>0</v>
      </c>
      <c r="AD1620" s="818"/>
      <c r="AE1620" s="818"/>
      <c r="AF1620" s="818"/>
      <c r="AG1620" s="818"/>
      <c r="AH1620" s="163"/>
      <c r="AK1620" s="820"/>
      <c r="BB1620" s="734"/>
      <c r="BC1620" s="3130" t="str">
        <f t="shared" si="170"/>
        <v>Heating Res ER2 12 Year EUL</v>
      </c>
      <c r="BD1620" s="673">
        <f>(INDEX('Avoided Cost Benefits'!$C$4:$C$857,MATCH(BC1620,'Avoided Cost Benefits'!$A$4:$A$857,0)))*F1620</f>
        <v>0</v>
      </c>
      <c r="BE1620" s="1949">
        <f t="shared" si="174"/>
        <v>0</v>
      </c>
      <c r="BG1620" s="691"/>
      <c r="BH1620" s="821"/>
      <c r="BI1620" s="691"/>
    </row>
    <row r="1621" spans="1:61" s="51" customFormat="1" x14ac:dyDescent="0.25">
      <c r="A1621" s="1267" t="str">
        <f t="shared" si="173"/>
        <v>354150_2019_12_Cooling Res</v>
      </c>
      <c r="B1621" s="123"/>
      <c r="C1621" s="1471" t="s">
        <v>1412</v>
      </c>
      <c r="D1621" s="1553" t="s">
        <v>322</v>
      </c>
      <c r="E1621" s="2878" t="s">
        <v>1413</v>
      </c>
      <c r="F1621" s="782">
        <f>ROUND((($K$2656*$K$2843*(1/$K$3030-1/$K$3217)*$K$3404)/1000)*$K$3484,2)</f>
        <v>1286.47</v>
      </c>
      <c r="G1621" s="214" t="s">
        <v>1134</v>
      </c>
      <c r="H1621" s="155">
        <f>VLOOKUP(G1621,'CP FACTORS'!$A$3:$B$38, 2, FALSE)</f>
        <v>9.4741810000000004E-4</v>
      </c>
      <c r="I1621" s="1554">
        <f t="shared" si="169"/>
        <v>1.218825</v>
      </c>
      <c r="J1621" s="108">
        <f t="shared" si="171"/>
        <v>6</v>
      </c>
      <c r="K1621" s="1052">
        <f t="shared" si="172"/>
        <v>1205.4598012161669</v>
      </c>
      <c r="L1621" s="1088">
        <f>L1908</f>
        <v>3.1</v>
      </c>
      <c r="M1621" s="328"/>
      <c r="N1621" s="1587"/>
      <c r="O1621" s="1135"/>
      <c r="P1621" s="123"/>
      <c r="Q1621" s="123"/>
      <c r="R1621" s="1431"/>
      <c r="S1621" s="123"/>
      <c r="T1621" s="123"/>
      <c r="U1621" s="1589"/>
      <c r="V1621" s="1962" t="s">
        <v>31</v>
      </c>
      <c r="W1621" s="818">
        <v>1854.0370588235296</v>
      </c>
      <c r="X1621" s="819">
        <v>1286.4746938775511</v>
      </c>
      <c r="Y1621" s="737">
        <v>1286.47</v>
      </c>
      <c r="Z1621" s="737">
        <v>1286.47</v>
      </c>
      <c r="AA1621" s="737">
        <v>1286.47</v>
      </c>
      <c r="AB1621" s="2162">
        <v>1286.47</v>
      </c>
      <c r="AC1621" s="782">
        <v>1286.47</v>
      </c>
      <c r="AD1621" s="818"/>
      <c r="AE1621" s="818"/>
      <c r="AF1621" s="818"/>
      <c r="AG1621" s="818"/>
      <c r="AH1621" s="163"/>
      <c r="AI1621" s="1942"/>
      <c r="AJ1621" s="1942"/>
      <c r="AK1621" s="820"/>
      <c r="AL1621" s="1942"/>
      <c r="AM1621" s="1942"/>
      <c r="AN1621" s="1942"/>
      <c r="AO1621" s="1942"/>
      <c r="AP1621" s="1942"/>
      <c r="AQ1621" s="1942"/>
      <c r="AR1621" s="1942"/>
      <c r="AS1621" s="1942"/>
      <c r="AT1621" s="1942"/>
      <c r="AU1621" s="1942"/>
      <c r="AV1621" s="1942"/>
      <c r="AW1621" s="1942"/>
      <c r="AX1621" s="1942"/>
      <c r="AY1621" s="1942"/>
      <c r="AZ1621" s="1942"/>
      <c r="BA1621" s="1942"/>
      <c r="BB1621" s="244">
        <f>(BD1621+BD1622+BD1623+BD1624)/(BE1621+BE1622+BE1623+BE1624)</f>
        <v>3.79767207759211</v>
      </c>
      <c r="BC1621" s="3115" t="str">
        <f t="shared" si="170"/>
        <v>Cooling Res 6 Year EUL</v>
      </c>
      <c r="BD1621" s="673">
        <f>(INDEX('Avoided Cost Benefits'!$C$4:$C$857,MATCH(BC1621,'Avoided Cost Benefits'!$A$4:$A$857,0)))*F1621</f>
        <v>748.061931090999</v>
      </c>
      <c r="BE1621" s="1949">
        <f t="shared" si="174"/>
        <v>1137.7629081794873</v>
      </c>
      <c r="BF1621" s="1942"/>
      <c r="BG1621" s="691"/>
      <c r="BH1621" s="821"/>
      <c r="BI1621" s="691"/>
    </row>
    <row r="1622" spans="1:61" s="51" customFormat="1" x14ac:dyDescent="0.25">
      <c r="A1622" s="1267" t="str">
        <f t="shared" si="173"/>
        <v>354150_2019_12_Heating Res</v>
      </c>
      <c r="B1622" s="123"/>
      <c r="C1622" s="1471" t="s">
        <v>1412</v>
      </c>
      <c r="D1622" s="1553" t="s">
        <v>322</v>
      </c>
      <c r="E1622" s="3007" t="s">
        <v>1413</v>
      </c>
      <c r="F1622" s="782">
        <f>ROUND((($K$1908*$K$2095*(1/$K$2282-1/$K$2469)*$K$3404)/1000)*$K$3484,2)</f>
        <v>6759.78</v>
      </c>
      <c r="G1622" s="214" t="s">
        <v>1135</v>
      </c>
      <c r="H1622" s="155">
        <f>VLOOKUP(G1622,'CP FACTORS'!$A$3:$B$38, 2, FALSE)</f>
        <v>0</v>
      </c>
      <c r="I1622" s="1554">
        <f t="shared" si="169"/>
        <v>0</v>
      </c>
      <c r="J1622" s="108">
        <f t="shared" si="171"/>
        <v>6</v>
      </c>
      <c r="K1622" s="1052">
        <f t="shared" si="172"/>
        <v>0</v>
      </c>
      <c r="L1622" s="1088"/>
      <c r="M1622" s="328"/>
      <c r="N1622" s="1587"/>
      <c r="O1622" s="1135"/>
      <c r="P1622" s="123"/>
      <c r="Q1622" s="123"/>
      <c r="R1622" s="1431"/>
      <c r="S1622" s="123"/>
      <c r="T1622" s="123"/>
      <c r="U1622" s="1589"/>
      <c r="V1622" s="1962" t="s">
        <v>31</v>
      </c>
      <c r="W1622" s="818">
        <v>9077.8044487427451</v>
      </c>
      <c r="X1622" s="819">
        <v>6759.7787234042544</v>
      </c>
      <c r="Y1622" s="737">
        <v>6759.78</v>
      </c>
      <c r="Z1622" s="737">
        <v>6759.78</v>
      </c>
      <c r="AA1622" s="737">
        <v>6759.78</v>
      </c>
      <c r="AB1622" s="2162">
        <v>6759.78</v>
      </c>
      <c r="AC1622" s="782">
        <v>6759.78</v>
      </c>
      <c r="AD1622" s="818"/>
      <c r="AE1622" s="818"/>
      <c r="AF1622" s="818"/>
      <c r="AG1622" s="818"/>
      <c r="AH1622" s="163"/>
      <c r="AI1622" s="1942"/>
      <c r="AJ1622" s="1942"/>
      <c r="AK1622" s="820"/>
      <c r="AL1622" s="1942"/>
      <c r="AM1622" s="1942"/>
      <c r="AN1622" s="1942"/>
      <c r="AO1622" s="1942"/>
      <c r="AP1622" s="1942"/>
      <c r="AQ1622" s="1942"/>
      <c r="AR1622" s="1942"/>
      <c r="AS1622" s="1942"/>
      <c r="AT1622" s="1942"/>
      <c r="AU1622" s="1942"/>
      <c r="AV1622" s="1942"/>
      <c r="AW1622" s="1942"/>
      <c r="AX1622" s="1942"/>
      <c r="AY1622" s="1942"/>
      <c r="AZ1622" s="1942"/>
      <c r="BA1622" s="1942"/>
      <c r="BB1622" s="734"/>
      <c r="BC1622" s="3130" t="str">
        <f t="shared" si="170"/>
        <v>Heating Res 6 Year EUL</v>
      </c>
      <c r="BD1622" s="673">
        <f>(INDEX('Avoided Cost Benefits'!$C$4:$C$857,MATCH(BC1622,'Avoided Cost Benefits'!$A$4:$A$857,0)))*F1622</f>
        <v>1124.3778951463969</v>
      </c>
      <c r="BE1622" s="1949">
        <f t="shared" si="174"/>
        <v>0</v>
      </c>
      <c r="BF1622" s="1942"/>
      <c r="BG1622" s="691"/>
      <c r="BH1622" s="821"/>
      <c r="BI1622" s="691"/>
    </row>
    <row r="1623" spans="1:61" s="51" customFormat="1" x14ac:dyDescent="0.25">
      <c r="A1623" s="1267" t="str">
        <f t="shared" si="173"/>
        <v>354150_2019_12_Cooling Res ER2</v>
      </c>
      <c r="B1623" s="123"/>
      <c r="C1623" s="1471" t="s">
        <v>1412</v>
      </c>
      <c r="D1623" s="1553" t="s">
        <v>322</v>
      </c>
      <c r="E1623" s="3007" t="s">
        <v>1414</v>
      </c>
      <c r="F1623" s="782">
        <f>ROUND((($K$2657*$K$2844*(1/$K$3031-1/$K$3218)*$K$3405)/1000)*$K$3484,2)</f>
        <v>380.32</v>
      </c>
      <c r="G1623" s="1580" t="s">
        <v>1176</v>
      </c>
      <c r="H1623" s="155">
        <f>VLOOKUP(G1623,'CP FACTORS'!$A$3:$B$38, 2, FALSE)</f>
        <v>9.4741810000000004E-4</v>
      </c>
      <c r="I1623" s="1554">
        <f t="shared" si="169"/>
        <v>0.36032199999999998</v>
      </c>
      <c r="J1623" s="108">
        <f t="shared" si="171"/>
        <v>12</v>
      </c>
      <c r="K1623" s="1052">
        <f t="shared" si="172"/>
        <v>0</v>
      </c>
      <c r="L1623" s="1088"/>
      <c r="M1623" s="328"/>
      <c r="N1623" s="1587"/>
      <c r="O1623" s="1135"/>
      <c r="P1623" s="123"/>
      <c r="Q1623" s="123"/>
      <c r="R1623" s="1431"/>
      <c r="S1623" s="123"/>
      <c r="T1623" s="123"/>
      <c r="U1623" s="1589"/>
      <c r="V1623" s="1962" t="s">
        <v>31</v>
      </c>
      <c r="W1623" s="818">
        <v>380.31529411764717</v>
      </c>
      <c r="X1623" s="825">
        <v>380.31529411764717</v>
      </c>
      <c r="Y1623" s="737">
        <v>380.32</v>
      </c>
      <c r="Z1623" s="737">
        <v>380.32</v>
      </c>
      <c r="AA1623" s="737">
        <v>380.32</v>
      </c>
      <c r="AB1623" s="2162">
        <v>380.32</v>
      </c>
      <c r="AC1623" s="782">
        <v>380.32</v>
      </c>
      <c r="AD1623" s="818"/>
      <c r="AE1623" s="818"/>
      <c r="AF1623" s="818"/>
      <c r="AG1623" s="818"/>
      <c r="AH1623" s="163"/>
      <c r="AI1623" s="1942"/>
      <c r="AJ1623" s="1942"/>
      <c r="AK1623" s="820"/>
      <c r="AL1623" s="1942"/>
      <c r="AM1623" s="1942"/>
      <c r="AN1623" s="1942"/>
      <c r="AO1623" s="1942"/>
      <c r="AP1623" s="1942"/>
      <c r="AQ1623" s="1942"/>
      <c r="AR1623" s="1942"/>
      <c r="AS1623" s="1942"/>
      <c r="AT1623" s="1942"/>
      <c r="AU1623" s="1942"/>
      <c r="AV1623" s="1942"/>
      <c r="AW1623" s="1942"/>
      <c r="AX1623" s="1942"/>
      <c r="AY1623" s="1942"/>
      <c r="AZ1623" s="1942"/>
      <c r="BA1623" s="1942"/>
      <c r="BB1623" s="734"/>
      <c r="BC1623" s="3130" t="str">
        <f t="shared" si="170"/>
        <v>Cooling Res ER2 12 Year EUL</v>
      </c>
      <c r="BD1623" s="673">
        <f>(INDEX('Avoided Cost Benefits'!$C$4:$C$857,MATCH(BC1623,'Avoided Cost Benefits'!$A$4:$A$857,0)))*F1623</f>
        <v>449.66127859589153</v>
      </c>
      <c r="BE1623" s="1949">
        <f t="shared" si="174"/>
        <v>0</v>
      </c>
      <c r="BF1623" s="1942"/>
      <c r="BG1623" s="691"/>
      <c r="BH1623" s="821"/>
      <c r="BI1623" s="691"/>
    </row>
    <row r="1624" spans="1:61" s="51" customFormat="1" x14ac:dyDescent="0.25">
      <c r="A1624" s="1267" t="str">
        <f t="shared" si="173"/>
        <v>354150_2019_12_Heating Res ER2</v>
      </c>
      <c r="B1624" s="123"/>
      <c r="C1624" s="1471" t="s">
        <v>1412</v>
      </c>
      <c r="D1624" s="1553" t="s">
        <v>322</v>
      </c>
      <c r="E1624" s="3005" t="s">
        <v>1414</v>
      </c>
      <c r="F1624" s="782">
        <f>ROUND((($K$1909*$K$2096*(1/$K$2283-1/$K$2470)*$K$3405)/1000)*$K$3484,2)</f>
        <v>6759.78</v>
      </c>
      <c r="G1624" s="1580" t="s">
        <v>1195</v>
      </c>
      <c r="H1624" s="155">
        <f>VLOOKUP(G1624,'CP FACTORS'!$A$3:$B$38, 2, FALSE)</f>
        <v>0</v>
      </c>
      <c r="I1624" s="1554">
        <f t="shared" si="169"/>
        <v>0</v>
      </c>
      <c r="J1624" s="108">
        <f t="shared" si="171"/>
        <v>12</v>
      </c>
      <c r="K1624" s="1052">
        <f t="shared" si="172"/>
        <v>0</v>
      </c>
      <c r="L1624" s="1088"/>
      <c r="M1624" s="328"/>
      <c r="N1624" s="1587"/>
      <c r="O1624" s="1135"/>
      <c r="P1624" s="123"/>
      <c r="Q1624" s="123"/>
      <c r="R1624" s="1431"/>
      <c r="S1624" s="123"/>
      <c r="T1624" s="123"/>
      <c r="U1624" s="1589"/>
      <c r="V1624" s="1962" t="s">
        <v>31</v>
      </c>
      <c r="W1624" s="818">
        <v>9077.8044487427451</v>
      </c>
      <c r="X1624" s="819">
        <v>6759.7787234042544</v>
      </c>
      <c r="Y1624" s="737">
        <v>6759.78</v>
      </c>
      <c r="Z1624" s="737">
        <v>6759.78</v>
      </c>
      <c r="AA1624" s="737">
        <v>6759.78</v>
      </c>
      <c r="AB1624" s="2162">
        <v>6759.78</v>
      </c>
      <c r="AC1624" s="782">
        <v>6759.78</v>
      </c>
      <c r="AD1624" s="818"/>
      <c r="AE1624" s="818"/>
      <c r="AF1624" s="818"/>
      <c r="AG1624" s="818"/>
      <c r="AH1624" s="163"/>
      <c r="AI1624" s="1942"/>
      <c r="AJ1624" s="1942"/>
      <c r="AK1624" s="820"/>
      <c r="AL1624" s="1942"/>
      <c r="AM1624" s="1942"/>
      <c r="AN1624" s="1942"/>
      <c r="AO1624" s="1942"/>
      <c r="AP1624" s="1942"/>
      <c r="AQ1624" s="1942"/>
      <c r="AR1624" s="1942"/>
      <c r="AS1624" s="1942"/>
      <c r="AT1624" s="1942"/>
      <c r="AU1624" s="1942"/>
      <c r="AV1624" s="1942"/>
      <c r="AW1624" s="1942"/>
      <c r="AX1624" s="1942"/>
      <c r="AY1624" s="1942"/>
      <c r="AZ1624" s="1942"/>
      <c r="BA1624" s="1942"/>
      <c r="BB1624" s="734"/>
      <c r="BC1624" s="3116" t="str">
        <f t="shared" si="170"/>
        <v>Heating Res ER2 12 Year EUL</v>
      </c>
      <c r="BD1624" s="673">
        <f>(INDEX('Avoided Cost Benefits'!$C$4:$C$857,MATCH(BC1624,'Avoided Cost Benefits'!$A$4:$A$857,0)))*F1624</f>
        <v>1998.7493224799473</v>
      </c>
      <c r="BE1624" s="1949">
        <f t="shared" si="174"/>
        <v>0</v>
      </c>
      <c r="BF1624" s="1942"/>
      <c r="BG1624" s="691"/>
      <c r="BH1624" s="821"/>
      <c r="BI1624" s="691"/>
    </row>
    <row r="1625" spans="1:61" s="51" customFormat="1" x14ac:dyDescent="0.25">
      <c r="A1625" s="1267" t="str">
        <f t="shared" si="173"/>
        <v>354151_2019_12_Cooling Res</v>
      </c>
      <c r="B1625" s="123"/>
      <c r="C1625" s="1471" t="s">
        <v>1415</v>
      </c>
      <c r="D1625" s="1553" t="s">
        <v>317</v>
      </c>
      <c r="E1625" s="2878" t="s">
        <v>1416</v>
      </c>
      <c r="F1625" s="782">
        <f>ROUND((($K$2658*$K$2845*(1/$K$3032-1/$K$3219)*$K$3406)/1000)*$K$3484,2)</f>
        <v>935.62</v>
      </c>
      <c r="G1625" s="214" t="str">
        <f>G1621</f>
        <v>Cooling Res</v>
      </c>
      <c r="H1625" s="155">
        <f>VLOOKUP(G1625,'CP FACTORS'!$A$3:$B$38, 2, FALSE)</f>
        <v>9.4741810000000004E-4</v>
      </c>
      <c r="I1625" s="1554">
        <f t="shared" ref="I1625:I1688" si="176">ROUND(F1625*H1625,6)</f>
        <v>0.88642299999999996</v>
      </c>
      <c r="J1625" s="108">
        <f t="shared" si="171"/>
        <v>6</v>
      </c>
      <c r="K1625" s="3294">
        <f t="shared" si="172"/>
        <v>1205.4598012161669</v>
      </c>
      <c r="L1625" s="3296">
        <f>L1910</f>
        <v>3.1</v>
      </c>
      <c r="M1625" s="328"/>
      <c r="N1625" s="1587"/>
      <c r="O1625" s="1135"/>
      <c r="P1625" s="123"/>
      <c r="Q1625" s="123"/>
      <c r="R1625" s="1431"/>
      <c r="S1625" s="123"/>
      <c r="T1625" s="123"/>
      <c r="U1625" s="1589"/>
      <c r="V1625" s="1962" t="s">
        <v>31</v>
      </c>
      <c r="W1625" s="818"/>
      <c r="X1625" s="819"/>
      <c r="Y1625" s="742">
        <v>935.62</v>
      </c>
      <c r="Z1625" s="737">
        <v>935.62</v>
      </c>
      <c r="AA1625" s="737">
        <v>935.62</v>
      </c>
      <c r="AB1625" s="2162">
        <v>935.62</v>
      </c>
      <c r="AC1625" s="782">
        <v>935.62</v>
      </c>
      <c r="AD1625" s="818"/>
      <c r="AE1625" s="818"/>
      <c r="AF1625" s="818"/>
      <c r="AG1625" s="818"/>
      <c r="AH1625" s="163"/>
      <c r="AI1625" s="1942"/>
      <c r="AJ1625" s="1942"/>
      <c r="AK1625" s="820"/>
      <c r="AL1625" s="1942"/>
      <c r="AM1625" s="1942"/>
      <c r="AN1625" s="1942"/>
      <c r="AO1625" s="1942"/>
      <c r="AP1625" s="1942"/>
      <c r="AQ1625" s="1942"/>
      <c r="AR1625" s="1942"/>
      <c r="AS1625" s="1942"/>
      <c r="AT1625" s="1942"/>
      <c r="AU1625" s="1942"/>
      <c r="AV1625" s="1942"/>
      <c r="AW1625" s="1942"/>
      <c r="AX1625" s="1942"/>
      <c r="AY1625" s="1942"/>
      <c r="AZ1625" s="1942"/>
      <c r="BA1625" s="1942"/>
      <c r="BB1625" s="244">
        <f>(BD1625+BD1626+BD1627+BD1628)/(BE1625+BE1626+BE1627+BE1628)</f>
        <v>1.7013819924277789</v>
      </c>
      <c r="BC1625" s="3115" t="str">
        <f t="shared" ref="BC1625:BC1688" si="177">CONCATENATE(G1625," ",J1625," Year EUL")</f>
        <v>Cooling Res 6 Year EUL</v>
      </c>
      <c r="BD1625" s="673">
        <f>(INDEX('Avoided Cost Benefits'!$C$4:$C$857,MATCH(BC1625,'Avoided Cost Benefits'!$A$4:$A$857,0)))*F1625</f>
        <v>544.04821252525164</v>
      </c>
      <c r="BE1625" s="1949">
        <f t="shared" si="174"/>
        <v>1137.7629081794873</v>
      </c>
      <c r="BF1625" s="1942"/>
      <c r="BG1625" s="691"/>
      <c r="BH1625" s="824"/>
      <c r="BI1625" s="691"/>
    </row>
    <row r="1626" spans="1:61" s="51" customFormat="1" x14ac:dyDescent="0.25">
      <c r="A1626" s="1267" t="str">
        <f t="shared" si="173"/>
        <v>354151_2019_12_Heating Res</v>
      </c>
      <c r="B1626" s="123"/>
      <c r="C1626" s="1471" t="str">
        <f>C1625</f>
        <v>354151_2019_12_</v>
      </c>
      <c r="D1626" s="1553" t="s">
        <v>317</v>
      </c>
      <c r="E1626" s="3007" t="s">
        <v>1416</v>
      </c>
      <c r="F1626" s="782">
        <f>ROUND((($K$1910*$K$2097*(1/$K$2284-1/$K$2471)*$K$3406)/1000)*$K$3484,2)</f>
        <v>2304.4699999999998</v>
      </c>
      <c r="G1626" s="214" t="str">
        <f>G1622</f>
        <v>Heating Res</v>
      </c>
      <c r="H1626" s="155">
        <f>VLOOKUP(G1626,'CP FACTORS'!$A$3:$B$38, 2, FALSE)</f>
        <v>0</v>
      </c>
      <c r="I1626" s="1554">
        <f t="shared" si="176"/>
        <v>0</v>
      </c>
      <c r="J1626" s="108">
        <f t="shared" si="171"/>
        <v>6</v>
      </c>
      <c r="K1626" s="1052">
        <f t="shared" si="172"/>
        <v>0</v>
      </c>
      <c r="L1626" s="1088"/>
      <c r="M1626" s="328"/>
      <c r="N1626" s="1587"/>
      <c r="O1626" s="1135"/>
      <c r="P1626" s="123"/>
      <c r="Q1626" s="123"/>
      <c r="R1626" s="1431"/>
      <c r="S1626" s="123"/>
      <c r="T1626" s="123"/>
      <c r="U1626" s="1589"/>
      <c r="V1626" s="1962" t="s">
        <v>31</v>
      </c>
      <c r="W1626" s="818"/>
      <c r="X1626" s="819"/>
      <c r="Y1626" s="742">
        <v>2304.4699999999998</v>
      </c>
      <c r="Z1626" s="737">
        <v>2304.4699999999998</v>
      </c>
      <c r="AA1626" s="737">
        <v>2304.4699999999998</v>
      </c>
      <c r="AB1626" s="2162">
        <v>2304.4699999999998</v>
      </c>
      <c r="AC1626" s="782">
        <v>2304.4699999999998</v>
      </c>
      <c r="AD1626" s="818"/>
      <c r="AE1626" s="818"/>
      <c r="AF1626" s="818"/>
      <c r="AG1626" s="818"/>
      <c r="AH1626" s="163"/>
      <c r="AI1626" s="1942"/>
      <c r="AJ1626" s="1942"/>
      <c r="AK1626" s="820"/>
      <c r="AL1626" s="1942"/>
      <c r="AM1626" s="1942"/>
      <c r="AN1626" s="1942"/>
      <c r="AO1626" s="1942"/>
      <c r="AP1626" s="1942"/>
      <c r="AQ1626" s="1942"/>
      <c r="AR1626" s="1942"/>
      <c r="AS1626" s="1942"/>
      <c r="AT1626" s="1942"/>
      <c r="AU1626" s="1942"/>
      <c r="AV1626" s="1942"/>
      <c r="AW1626" s="1942"/>
      <c r="AX1626" s="1942"/>
      <c r="AY1626" s="1942"/>
      <c r="AZ1626" s="1942"/>
      <c r="BA1626" s="1942"/>
      <c r="BB1626" s="734"/>
      <c r="BC1626" s="3130" t="str">
        <f t="shared" si="177"/>
        <v>Heating Res 6 Year EUL</v>
      </c>
      <c r="BD1626" s="673">
        <f>(INDEX('Avoided Cost Benefits'!$C$4:$C$857,MATCH(BC1626,'Avoided Cost Benefits'!$A$4:$A$857,0)))*F1626</f>
        <v>383.31057046649704</v>
      </c>
      <c r="BE1626" s="1949">
        <f t="shared" si="174"/>
        <v>0</v>
      </c>
      <c r="BF1626" s="1942"/>
      <c r="BG1626" s="691"/>
      <c r="BH1626" s="824"/>
      <c r="BI1626" s="691"/>
    </row>
    <row r="1627" spans="1:61" s="51" customFormat="1" x14ac:dyDescent="0.25">
      <c r="A1627" s="1267" t="str">
        <f t="shared" si="173"/>
        <v>354151_2019_12_Cooling Res ER2</v>
      </c>
      <c r="B1627" s="123"/>
      <c r="C1627" s="1471" t="str">
        <f>C1626</f>
        <v>354151_2019_12_</v>
      </c>
      <c r="D1627" s="1553" t="s">
        <v>317</v>
      </c>
      <c r="E1627" s="3007" t="s">
        <v>1417</v>
      </c>
      <c r="F1627" s="782">
        <f>ROUND((($K$2659*$K$2846*(1/$K$3033-1/$K$3220)*$K$3407)/1000)*$K$3484,2)</f>
        <v>276.58999999999997</v>
      </c>
      <c r="G1627" s="214" t="str">
        <f>G1623</f>
        <v>Cooling Res ER2</v>
      </c>
      <c r="H1627" s="155">
        <f>VLOOKUP(G1627,'CP FACTORS'!$A$3:$B$38, 2, FALSE)</f>
        <v>9.4741810000000004E-4</v>
      </c>
      <c r="I1627" s="1554">
        <f t="shared" si="176"/>
        <v>0.262046</v>
      </c>
      <c r="J1627" s="108">
        <f t="shared" si="171"/>
        <v>12</v>
      </c>
      <c r="K1627" s="1052">
        <f t="shared" si="172"/>
        <v>0</v>
      </c>
      <c r="L1627" s="1088"/>
      <c r="M1627" s="328"/>
      <c r="N1627" s="1587"/>
      <c r="O1627" s="1135"/>
      <c r="P1627" s="123"/>
      <c r="Q1627" s="123"/>
      <c r="R1627" s="1431"/>
      <c r="S1627" s="123"/>
      <c r="T1627" s="123"/>
      <c r="U1627" s="1589"/>
      <c r="V1627" s="1962" t="s">
        <v>31</v>
      </c>
      <c r="W1627" s="818"/>
      <c r="X1627" s="819"/>
      <c r="Y1627" s="742">
        <v>276.58999999999997</v>
      </c>
      <c r="Z1627" s="737">
        <v>276.58999999999997</v>
      </c>
      <c r="AA1627" s="737">
        <v>276.58999999999997</v>
      </c>
      <c r="AB1627" s="2162">
        <v>276.58999999999997</v>
      </c>
      <c r="AC1627" s="782">
        <v>276.58999999999997</v>
      </c>
      <c r="AD1627" s="818"/>
      <c r="AE1627" s="818"/>
      <c r="AF1627" s="818"/>
      <c r="AG1627" s="818"/>
      <c r="AH1627" s="163"/>
      <c r="AI1627" s="1942"/>
      <c r="AJ1627" s="1942"/>
      <c r="AK1627" s="820"/>
      <c r="AL1627" s="1942"/>
      <c r="AM1627" s="1942"/>
      <c r="AN1627" s="1942"/>
      <c r="AO1627" s="1942"/>
      <c r="AP1627" s="1942"/>
      <c r="AQ1627" s="1942"/>
      <c r="AR1627" s="1942"/>
      <c r="AS1627" s="1942"/>
      <c r="AT1627" s="1942"/>
      <c r="AU1627" s="1942"/>
      <c r="AV1627" s="1942"/>
      <c r="AW1627" s="1942"/>
      <c r="AX1627" s="1942"/>
      <c r="AY1627" s="1942"/>
      <c r="AZ1627" s="1942"/>
      <c r="BA1627" s="1942"/>
      <c r="BB1627" s="734"/>
      <c r="BC1627" s="3130" t="str">
        <f t="shared" si="177"/>
        <v>Cooling Res ER2 12 Year EUL</v>
      </c>
      <c r="BD1627" s="673">
        <f>(INDEX('Avoided Cost Benefits'!$C$4:$C$857,MATCH(BC1627,'Avoided Cost Benefits'!$A$4:$A$857,0)))*F1627</f>
        <v>327.01886055647253</v>
      </c>
      <c r="BE1627" s="1949">
        <f t="shared" si="174"/>
        <v>0</v>
      </c>
      <c r="BF1627" s="1942"/>
      <c r="BG1627" s="691"/>
      <c r="BH1627" s="824"/>
      <c r="BI1627" s="691"/>
    </row>
    <row r="1628" spans="1:61" s="51" customFormat="1" x14ac:dyDescent="0.25">
      <c r="A1628" s="1267" t="str">
        <f t="shared" si="173"/>
        <v>354151_2019_12_Heating Res ER2</v>
      </c>
      <c r="B1628" s="123"/>
      <c r="C1628" s="1471" t="str">
        <f>C1627</f>
        <v>354151_2019_12_</v>
      </c>
      <c r="D1628" s="1553" t="s">
        <v>317</v>
      </c>
      <c r="E1628" s="3005" t="s">
        <v>1417</v>
      </c>
      <c r="F1628" s="782">
        <f>ROUND((($K$1911*$K$2098*(1/$K$2285-1/$K$2472)*$K$3407)/1000)*$K$3484,2)</f>
        <v>2304.4699999999998</v>
      </c>
      <c r="G1628" s="214" t="str">
        <f>G1624</f>
        <v>Heating Res ER2</v>
      </c>
      <c r="H1628" s="155">
        <f>VLOOKUP(G1628,'CP FACTORS'!$A$3:$B$38, 2, FALSE)</f>
        <v>0</v>
      </c>
      <c r="I1628" s="1554">
        <f t="shared" si="176"/>
        <v>0</v>
      </c>
      <c r="J1628" s="108">
        <f t="shared" si="171"/>
        <v>12</v>
      </c>
      <c r="K1628" s="1052">
        <f t="shared" si="172"/>
        <v>0</v>
      </c>
      <c r="L1628" s="1088"/>
      <c r="M1628" s="328"/>
      <c r="N1628" s="1587"/>
      <c r="O1628" s="1135"/>
      <c r="P1628" s="123"/>
      <c r="Q1628" s="123"/>
      <c r="R1628" s="1431"/>
      <c r="S1628" s="123"/>
      <c r="T1628" s="123"/>
      <c r="U1628" s="1589"/>
      <c r="V1628" s="1962" t="s">
        <v>31</v>
      </c>
      <c r="W1628" s="818"/>
      <c r="X1628" s="819"/>
      <c r="Y1628" s="742">
        <v>2304.4699999999998</v>
      </c>
      <c r="Z1628" s="737">
        <v>2304.4699999999998</v>
      </c>
      <c r="AA1628" s="737">
        <v>2304.4699999999998</v>
      </c>
      <c r="AB1628" s="2162">
        <v>2304.4699999999998</v>
      </c>
      <c r="AC1628" s="782">
        <v>2304.4699999999998</v>
      </c>
      <c r="AD1628" s="818"/>
      <c r="AE1628" s="818"/>
      <c r="AF1628" s="818"/>
      <c r="AG1628" s="818"/>
      <c r="AH1628" s="163"/>
      <c r="AI1628" s="1942"/>
      <c r="AJ1628" s="1942"/>
      <c r="AK1628" s="820"/>
      <c r="AL1628" s="1942"/>
      <c r="AM1628" s="1942"/>
      <c r="AN1628" s="1942"/>
      <c r="AO1628" s="1942"/>
      <c r="AP1628" s="1942"/>
      <c r="AQ1628" s="1942"/>
      <c r="AR1628" s="1942"/>
      <c r="AS1628" s="1942"/>
      <c r="AT1628" s="1942"/>
      <c r="AU1628" s="1942"/>
      <c r="AV1628" s="1942"/>
      <c r="AW1628" s="1942"/>
      <c r="AX1628" s="1942"/>
      <c r="AY1628" s="1942"/>
      <c r="AZ1628" s="1942"/>
      <c r="BA1628" s="1942"/>
      <c r="BB1628" s="734"/>
      <c r="BC1628" s="3116" t="str">
        <f t="shared" si="177"/>
        <v>Heating Res ER2 12 Year EUL</v>
      </c>
      <c r="BD1628" s="673">
        <f>(INDEX('Avoided Cost Benefits'!$C$4:$C$857,MATCH(BC1628,'Avoided Cost Benefits'!$A$4:$A$857,0)))*F1628</f>
        <v>681.39168008061858</v>
      </c>
      <c r="BE1628" s="1949">
        <f t="shared" si="174"/>
        <v>0</v>
      </c>
      <c r="BF1628" s="1942"/>
      <c r="BG1628" s="691"/>
      <c r="BH1628" s="824"/>
      <c r="BI1628" s="691"/>
    </row>
    <row r="1629" spans="1:61" s="1942" customFormat="1" x14ac:dyDescent="0.25">
      <c r="A1629" s="1267"/>
      <c r="B1629" s="123"/>
      <c r="C1629" s="2038" t="s">
        <v>1418</v>
      </c>
      <c r="D1629" s="2695" t="s">
        <v>322</v>
      </c>
      <c r="E1629" s="3007" t="s">
        <v>1419</v>
      </c>
      <c r="F1629" s="742">
        <f>ROUND((($K2660*$K2847*(1/$K3034-1/$K3221)*$K3408)/1000)*$K$3484,2)</f>
        <v>1286.47</v>
      </c>
      <c r="G1629" s="2042" t="s">
        <v>1134</v>
      </c>
      <c r="H1629" s="2867">
        <f>VLOOKUP(G1629,'CP FACTORS'!$A$3:$B$38, 2, FALSE)</f>
        <v>9.4741810000000004E-4</v>
      </c>
      <c r="I1629" s="2757">
        <f t="shared" si="176"/>
        <v>1.218825</v>
      </c>
      <c r="J1629" s="116">
        <f t="shared" si="171"/>
        <v>6</v>
      </c>
      <c r="K1629" s="3294">
        <f t="shared" si="172"/>
        <v>1205.4598012161669</v>
      </c>
      <c r="L1629" s="3296">
        <f>L1912</f>
        <v>3.1</v>
      </c>
      <c r="M1629" s="328"/>
      <c r="N1629" s="1587"/>
      <c r="O1629" s="1135"/>
      <c r="P1629" s="123"/>
      <c r="Q1629" s="123"/>
      <c r="R1629" s="1431"/>
      <c r="S1629" s="123"/>
      <c r="T1629" s="123"/>
      <c r="U1629" s="1589"/>
      <c r="V1629" s="1958" t="s">
        <v>31</v>
      </c>
      <c r="W1629" s="818"/>
      <c r="X1629" s="819"/>
      <c r="Y1629" s="742"/>
      <c r="Z1629" s="737"/>
      <c r="AA1629" s="737"/>
      <c r="AB1629" s="2162"/>
      <c r="AC1629" s="742">
        <v>1286.47</v>
      </c>
      <c r="AD1629" s="818"/>
      <c r="AE1629" s="818"/>
      <c r="AF1629" s="818"/>
      <c r="AG1629" s="818"/>
      <c r="AH1629" s="163"/>
      <c r="AK1629" s="820"/>
      <c r="BB1629" s="244">
        <f>(BD1629+BD1630+BD1631+BD1632)/(BE1629+BE1630+BE1631+BE1632)</f>
        <v>1.0527001724843927</v>
      </c>
      <c r="BC1629" s="3130" t="str">
        <f t="shared" si="177"/>
        <v>Cooling Res 6 Year EUL</v>
      </c>
      <c r="BD1629" s="673">
        <f>(INDEX('Avoided Cost Benefits'!$C$4:$C$857,MATCH(BC1629,'Avoided Cost Benefits'!$A$4:$A$857,0)))*F1629</f>
        <v>748.061931090999</v>
      </c>
      <c r="BE1629" s="1949">
        <f t="shared" si="174"/>
        <v>1137.7629081794873</v>
      </c>
      <c r="BG1629" s="691"/>
      <c r="BH1629" s="824"/>
      <c r="BI1629" s="691"/>
    </row>
    <row r="1630" spans="1:61" s="1942" customFormat="1" x14ac:dyDescent="0.25">
      <c r="A1630" s="1267"/>
      <c r="B1630" s="123"/>
      <c r="C1630" s="2038" t="s">
        <v>1418</v>
      </c>
      <c r="D1630" s="2695" t="s">
        <v>322</v>
      </c>
      <c r="E1630" s="3007" t="s">
        <v>1419</v>
      </c>
      <c r="F1630" s="742">
        <v>0</v>
      </c>
      <c r="G1630" s="2042" t="s">
        <v>1135</v>
      </c>
      <c r="H1630" s="2867">
        <f>VLOOKUP(G1630,'CP FACTORS'!$A$3:$B$38, 2, FALSE)</f>
        <v>0</v>
      </c>
      <c r="I1630" s="2757">
        <f t="shared" si="176"/>
        <v>0</v>
      </c>
      <c r="J1630" s="116">
        <f t="shared" si="171"/>
        <v>6</v>
      </c>
      <c r="K1630" s="3294">
        <f t="shared" si="172"/>
        <v>0</v>
      </c>
      <c r="L1630" s="3296"/>
      <c r="M1630" s="328"/>
      <c r="N1630" s="1587"/>
      <c r="O1630" s="1135"/>
      <c r="P1630" s="123"/>
      <c r="Q1630" s="123"/>
      <c r="R1630" s="1431"/>
      <c r="S1630" s="123"/>
      <c r="T1630" s="123"/>
      <c r="U1630" s="1589"/>
      <c r="V1630" s="1958" t="s">
        <v>31</v>
      </c>
      <c r="W1630" s="818"/>
      <c r="X1630" s="819"/>
      <c r="Y1630" s="742"/>
      <c r="Z1630" s="737"/>
      <c r="AA1630" s="737"/>
      <c r="AB1630" s="2162"/>
      <c r="AC1630" s="742">
        <v>0</v>
      </c>
      <c r="AD1630" s="818"/>
      <c r="AE1630" s="818"/>
      <c r="AF1630" s="818"/>
      <c r="AG1630" s="818"/>
      <c r="AH1630" s="163"/>
      <c r="AK1630" s="820"/>
      <c r="BB1630" s="734"/>
      <c r="BC1630" s="3130" t="str">
        <f t="shared" si="177"/>
        <v>Heating Res 6 Year EUL</v>
      </c>
      <c r="BD1630" s="673">
        <f>(INDEX('Avoided Cost Benefits'!$C$4:$C$857,MATCH(BC1630,'Avoided Cost Benefits'!$A$4:$A$857,0)))*F1630</f>
        <v>0</v>
      </c>
      <c r="BE1630" s="1949">
        <f t="shared" si="174"/>
        <v>0</v>
      </c>
      <c r="BG1630" s="691"/>
      <c r="BH1630" s="824"/>
      <c r="BI1630" s="691"/>
    </row>
    <row r="1631" spans="1:61" s="1942" customFormat="1" x14ac:dyDescent="0.25">
      <c r="A1631" s="1267"/>
      <c r="B1631" s="123"/>
      <c r="C1631" s="2038" t="s">
        <v>1418</v>
      </c>
      <c r="D1631" s="2695" t="s">
        <v>322</v>
      </c>
      <c r="E1631" s="3007" t="s">
        <v>1420</v>
      </c>
      <c r="F1631" s="742">
        <f>ROUND((($K2661*$K2848*(1/$K3035-1/$K3222)*$K3409)/1000)*$K$3484,2)</f>
        <v>380.32</v>
      </c>
      <c r="G1631" s="2042" t="s">
        <v>1176</v>
      </c>
      <c r="H1631" s="2867">
        <f>VLOOKUP(G1631,'CP FACTORS'!$A$3:$B$38, 2, FALSE)</f>
        <v>9.4741810000000004E-4</v>
      </c>
      <c r="I1631" s="2757">
        <f t="shared" si="176"/>
        <v>0.36032199999999998</v>
      </c>
      <c r="J1631" s="116">
        <f t="shared" si="171"/>
        <v>12</v>
      </c>
      <c r="K1631" s="3294">
        <f t="shared" si="172"/>
        <v>0</v>
      </c>
      <c r="L1631" s="3296"/>
      <c r="M1631" s="328"/>
      <c r="N1631" s="1587"/>
      <c r="O1631" s="1135"/>
      <c r="P1631" s="123"/>
      <c r="Q1631" s="123"/>
      <c r="R1631" s="1431"/>
      <c r="S1631" s="123"/>
      <c r="T1631" s="123"/>
      <c r="U1631" s="1589"/>
      <c r="V1631" s="1958" t="s">
        <v>31</v>
      </c>
      <c r="W1631" s="818"/>
      <c r="X1631" s="819"/>
      <c r="Y1631" s="742"/>
      <c r="Z1631" s="737"/>
      <c r="AA1631" s="737"/>
      <c r="AB1631" s="2162"/>
      <c r="AC1631" s="742">
        <v>380.32</v>
      </c>
      <c r="AD1631" s="818"/>
      <c r="AE1631" s="818"/>
      <c r="AF1631" s="818"/>
      <c r="AG1631" s="818"/>
      <c r="AH1631" s="163"/>
      <c r="AK1631" s="820"/>
      <c r="BB1631" s="734"/>
      <c r="BC1631" s="3130" t="str">
        <f t="shared" si="177"/>
        <v>Cooling Res ER2 12 Year EUL</v>
      </c>
      <c r="BD1631" s="673">
        <f>(INDEX('Avoided Cost Benefits'!$C$4:$C$857,MATCH(BC1631,'Avoided Cost Benefits'!$A$4:$A$857,0)))*F1631</f>
        <v>449.66127859589153</v>
      </c>
      <c r="BE1631" s="1949">
        <f t="shared" si="174"/>
        <v>0</v>
      </c>
      <c r="BG1631" s="691"/>
      <c r="BH1631" s="824"/>
      <c r="BI1631" s="691"/>
    </row>
    <row r="1632" spans="1:61" s="1942" customFormat="1" x14ac:dyDescent="0.25">
      <c r="A1632" s="1267"/>
      <c r="B1632" s="123"/>
      <c r="C1632" s="2038" t="s">
        <v>1418</v>
      </c>
      <c r="D1632" s="2695" t="s">
        <v>322</v>
      </c>
      <c r="E1632" s="3005" t="s">
        <v>1420</v>
      </c>
      <c r="F1632" s="742">
        <v>0</v>
      </c>
      <c r="G1632" s="2042" t="s">
        <v>1195</v>
      </c>
      <c r="H1632" s="2867">
        <f>VLOOKUP(G1632,'CP FACTORS'!$A$3:$B$38, 2, FALSE)</f>
        <v>0</v>
      </c>
      <c r="I1632" s="2757">
        <f t="shared" si="176"/>
        <v>0</v>
      </c>
      <c r="J1632" s="116">
        <f t="shared" si="171"/>
        <v>12</v>
      </c>
      <c r="K1632" s="3294">
        <f t="shared" si="172"/>
        <v>0</v>
      </c>
      <c r="L1632" s="3296"/>
      <c r="M1632" s="328"/>
      <c r="N1632" s="1587"/>
      <c r="O1632" s="1135"/>
      <c r="P1632" s="123"/>
      <c r="Q1632" s="123"/>
      <c r="R1632" s="1431"/>
      <c r="S1632" s="123"/>
      <c r="T1632" s="123"/>
      <c r="U1632" s="1589"/>
      <c r="V1632" s="1958" t="s">
        <v>31</v>
      </c>
      <c r="W1632" s="818"/>
      <c r="X1632" s="819"/>
      <c r="Y1632" s="742"/>
      <c r="Z1632" s="737"/>
      <c r="AA1632" s="737"/>
      <c r="AB1632" s="2162"/>
      <c r="AC1632" s="742">
        <v>0</v>
      </c>
      <c r="AD1632" s="818"/>
      <c r="AE1632" s="818"/>
      <c r="AF1632" s="818"/>
      <c r="AG1632" s="818"/>
      <c r="AH1632" s="163"/>
      <c r="AK1632" s="820"/>
      <c r="BB1632" s="734"/>
      <c r="BC1632" s="3383" t="str">
        <f t="shared" si="177"/>
        <v>Heating Res ER2 12 Year EUL</v>
      </c>
      <c r="BD1632" s="673">
        <f>(INDEX('Avoided Cost Benefits'!$C$4:$C$857,MATCH(BC1632,'Avoided Cost Benefits'!$A$4:$A$857,0)))*F1632</f>
        <v>0</v>
      </c>
      <c r="BE1632" s="1949">
        <f t="shared" si="174"/>
        <v>0</v>
      </c>
      <c r="BG1632" s="691"/>
      <c r="BH1632" s="824"/>
      <c r="BI1632" s="691"/>
    </row>
    <row r="1633" spans="1:61" s="1942" customFormat="1" x14ac:dyDescent="0.25">
      <c r="A1633" s="1267"/>
      <c r="B1633" s="123"/>
      <c r="C1633" s="2038" t="s">
        <v>1421</v>
      </c>
      <c r="D1633" s="2695" t="s">
        <v>317</v>
      </c>
      <c r="E1633" s="3007" t="s">
        <v>1422</v>
      </c>
      <c r="F1633" s="742">
        <f>ROUND((($K2662*$K2849*(1/$K3036-1/$K3223)*$K3410)/1000)*$K$3484,2)</f>
        <v>935.62</v>
      </c>
      <c r="G1633" s="2042" t="s">
        <v>1134</v>
      </c>
      <c r="H1633" s="2867">
        <f>VLOOKUP(G1633,'CP FACTORS'!$A$3:$B$38, 2, FALSE)</f>
        <v>9.4741810000000004E-4</v>
      </c>
      <c r="I1633" s="2757">
        <f t="shared" si="176"/>
        <v>0.88642299999999996</v>
      </c>
      <c r="J1633" s="116">
        <f t="shared" si="171"/>
        <v>6</v>
      </c>
      <c r="K1633" s="3294">
        <f t="shared" si="172"/>
        <v>1205.4598012161669</v>
      </c>
      <c r="L1633" s="3296">
        <f>L1914</f>
        <v>3.1</v>
      </c>
      <c r="M1633" s="328"/>
      <c r="N1633" s="1587"/>
      <c r="O1633" s="1135"/>
      <c r="P1633" s="123"/>
      <c r="Q1633" s="123"/>
      <c r="R1633" s="1431"/>
      <c r="S1633" s="123"/>
      <c r="T1633" s="123"/>
      <c r="U1633" s="1589"/>
      <c r="V1633" s="1958" t="s">
        <v>31</v>
      </c>
      <c r="W1633" s="818"/>
      <c r="X1633" s="819"/>
      <c r="Y1633" s="742"/>
      <c r="Z1633" s="737"/>
      <c r="AA1633" s="737"/>
      <c r="AB1633" s="2162"/>
      <c r="AC1633" s="742">
        <v>935.62</v>
      </c>
      <c r="AD1633" s="818"/>
      <c r="AE1633" s="818"/>
      <c r="AF1633" s="818"/>
      <c r="AG1633" s="818"/>
      <c r="AH1633" s="163"/>
      <c r="AK1633" s="820"/>
      <c r="BB1633" s="244">
        <f>(BD1633+BD1634+BD1635+BD1636)/(BE1633+BE1634+BE1635+BE1636)</f>
        <v>0.76559630026566949</v>
      </c>
      <c r="BC1633" s="3130" t="str">
        <f t="shared" si="177"/>
        <v>Cooling Res 6 Year EUL</v>
      </c>
      <c r="BD1633" s="673">
        <f>(INDEX('Avoided Cost Benefits'!$C$4:$C$857,MATCH(BC1633,'Avoided Cost Benefits'!$A$4:$A$857,0)))*F1633</f>
        <v>544.04821252525164</v>
      </c>
      <c r="BE1633" s="1949">
        <f t="shared" si="174"/>
        <v>1137.7629081794873</v>
      </c>
      <c r="BG1633" s="691"/>
      <c r="BH1633" s="824"/>
      <c r="BI1633" s="691"/>
    </row>
    <row r="1634" spans="1:61" s="1942" customFormat="1" x14ac:dyDescent="0.25">
      <c r="A1634" s="1267"/>
      <c r="B1634" s="123"/>
      <c r="C1634" s="2038" t="s">
        <v>1421</v>
      </c>
      <c r="D1634" s="2695" t="s">
        <v>317</v>
      </c>
      <c r="E1634" s="3007" t="s">
        <v>1422</v>
      </c>
      <c r="F1634" s="742">
        <v>0</v>
      </c>
      <c r="G1634" s="2042" t="s">
        <v>1135</v>
      </c>
      <c r="H1634" s="2867">
        <f>VLOOKUP(G1634,'CP FACTORS'!$A$3:$B$38, 2, FALSE)</f>
        <v>0</v>
      </c>
      <c r="I1634" s="2757">
        <f t="shared" si="176"/>
        <v>0</v>
      </c>
      <c r="J1634" s="116">
        <f t="shared" si="171"/>
        <v>6</v>
      </c>
      <c r="K1634" s="3294">
        <f t="shared" si="172"/>
        <v>0</v>
      </c>
      <c r="L1634" s="3296"/>
      <c r="M1634" s="328"/>
      <c r="N1634" s="1587"/>
      <c r="O1634" s="1135"/>
      <c r="P1634" s="123"/>
      <c r="Q1634" s="123"/>
      <c r="R1634" s="1431"/>
      <c r="S1634" s="123"/>
      <c r="T1634" s="123"/>
      <c r="U1634" s="1589"/>
      <c r="V1634" s="1958" t="s">
        <v>31</v>
      </c>
      <c r="W1634" s="818"/>
      <c r="X1634" s="819"/>
      <c r="Y1634" s="742"/>
      <c r="Z1634" s="737"/>
      <c r="AA1634" s="737"/>
      <c r="AB1634" s="2162"/>
      <c r="AC1634" s="742">
        <v>0</v>
      </c>
      <c r="AD1634" s="818"/>
      <c r="AE1634" s="818"/>
      <c r="AF1634" s="818"/>
      <c r="AG1634" s="818"/>
      <c r="AH1634" s="163"/>
      <c r="AK1634" s="820"/>
      <c r="BB1634" s="734"/>
      <c r="BC1634" s="3130" t="str">
        <f t="shared" si="177"/>
        <v>Heating Res 6 Year EUL</v>
      </c>
      <c r="BD1634" s="673">
        <f>(INDEX('Avoided Cost Benefits'!$C$4:$C$857,MATCH(BC1634,'Avoided Cost Benefits'!$A$4:$A$857,0)))*F1634</f>
        <v>0</v>
      </c>
      <c r="BE1634" s="1949">
        <f t="shared" si="174"/>
        <v>0</v>
      </c>
      <c r="BG1634" s="691"/>
      <c r="BH1634" s="824"/>
      <c r="BI1634" s="691"/>
    </row>
    <row r="1635" spans="1:61" s="1942" customFormat="1" x14ac:dyDescent="0.25">
      <c r="A1635" s="1267"/>
      <c r="B1635" s="123"/>
      <c r="C1635" s="2038" t="s">
        <v>1421</v>
      </c>
      <c r="D1635" s="2695" t="s">
        <v>317</v>
      </c>
      <c r="E1635" s="3007" t="s">
        <v>1423</v>
      </c>
      <c r="F1635" s="742">
        <f>ROUND((($K2663*$K2850*(1/$K3037-1/$K3224)*$K3411)/1000)*$K$3484,2)</f>
        <v>276.58999999999997</v>
      </c>
      <c r="G1635" s="2042" t="s">
        <v>1176</v>
      </c>
      <c r="H1635" s="2867">
        <f>VLOOKUP(G1635,'CP FACTORS'!$A$3:$B$38, 2, FALSE)</f>
        <v>9.4741810000000004E-4</v>
      </c>
      <c r="I1635" s="2757">
        <f t="shared" si="176"/>
        <v>0.262046</v>
      </c>
      <c r="J1635" s="116">
        <f t="shared" si="171"/>
        <v>12</v>
      </c>
      <c r="K1635" s="3294">
        <f t="shared" si="172"/>
        <v>0</v>
      </c>
      <c r="L1635" s="3296"/>
      <c r="M1635" s="328"/>
      <c r="N1635" s="1587"/>
      <c r="O1635" s="1135"/>
      <c r="P1635" s="123"/>
      <c r="Q1635" s="123"/>
      <c r="R1635" s="1431"/>
      <c r="S1635" s="123"/>
      <c r="T1635" s="123"/>
      <c r="U1635" s="1589"/>
      <c r="V1635" s="1958" t="s">
        <v>31</v>
      </c>
      <c r="W1635" s="818"/>
      <c r="X1635" s="819"/>
      <c r="Y1635" s="742"/>
      <c r="Z1635" s="737"/>
      <c r="AA1635" s="737"/>
      <c r="AB1635" s="2162"/>
      <c r="AC1635" s="742">
        <v>276.58999999999997</v>
      </c>
      <c r="AD1635" s="818"/>
      <c r="AE1635" s="818"/>
      <c r="AF1635" s="818"/>
      <c r="AG1635" s="818"/>
      <c r="AH1635" s="163"/>
      <c r="AK1635" s="820"/>
      <c r="BB1635" s="734"/>
      <c r="BC1635" s="3130" t="str">
        <f t="shared" si="177"/>
        <v>Cooling Res ER2 12 Year EUL</v>
      </c>
      <c r="BD1635" s="673">
        <f>(INDEX('Avoided Cost Benefits'!$C$4:$C$857,MATCH(BC1635,'Avoided Cost Benefits'!$A$4:$A$857,0)))*F1635</f>
        <v>327.01886055647253</v>
      </c>
      <c r="BE1635" s="1949">
        <f t="shared" si="174"/>
        <v>0</v>
      </c>
      <c r="BG1635" s="691"/>
      <c r="BH1635" s="824"/>
      <c r="BI1635" s="691"/>
    </row>
    <row r="1636" spans="1:61" s="1942" customFormat="1" x14ac:dyDescent="0.25">
      <c r="A1636" s="1267"/>
      <c r="B1636" s="123"/>
      <c r="C1636" s="2038" t="s">
        <v>1421</v>
      </c>
      <c r="D1636" s="2695" t="s">
        <v>317</v>
      </c>
      <c r="E1636" s="3007" t="s">
        <v>1423</v>
      </c>
      <c r="F1636" s="742">
        <f>0</f>
        <v>0</v>
      </c>
      <c r="G1636" s="2042" t="s">
        <v>1195</v>
      </c>
      <c r="H1636" s="2867">
        <f>VLOOKUP(G1636,'CP FACTORS'!$A$3:$B$38, 2, FALSE)</f>
        <v>0</v>
      </c>
      <c r="I1636" s="2757">
        <f t="shared" si="176"/>
        <v>0</v>
      </c>
      <c r="J1636" s="116">
        <f t="shared" si="171"/>
        <v>12</v>
      </c>
      <c r="K1636" s="3294">
        <f t="shared" si="172"/>
        <v>0</v>
      </c>
      <c r="L1636" s="3296"/>
      <c r="M1636" s="328"/>
      <c r="N1636" s="1587"/>
      <c r="O1636" s="1135"/>
      <c r="P1636" s="123"/>
      <c r="Q1636" s="123"/>
      <c r="R1636" s="1431"/>
      <c r="S1636" s="123"/>
      <c r="T1636" s="123"/>
      <c r="U1636" s="1589"/>
      <c r="V1636" s="1958" t="s">
        <v>31</v>
      </c>
      <c r="W1636" s="818"/>
      <c r="X1636" s="819"/>
      <c r="Y1636" s="742"/>
      <c r="Z1636" s="737"/>
      <c r="AA1636" s="737"/>
      <c r="AB1636" s="2162"/>
      <c r="AC1636" s="742">
        <v>0</v>
      </c>
      <c r="AD1636" s="818"/>
      <c r="AE1636" s="818"/>
      <c r="AF1636" s="818"/>
      <c r="AG1636" s="818"/>
      <c r="AH1636" s="163"/>
      <c r="AK1636" s="820"/>
      <c r="BB1636" s="734"/>
      <c r="BC1636" s="3130" t="str">
        <f t="shared" si="177"/>
        <v>Heating Res ER2 12 Year EUL</v>
      </c>
      <c r="BD1636" s="673">
        <f>(INDEX('Avoided Cost Benefits'!$C$4:$C$857,MATCH(BC1636,'Avoided Cost Benefits'!$A$4:$A$857,0)))*F1636</f>
        <v>0</v>
      </c>
      <c r="BE1636" s="1949">
        <f t="shared" si="174"/>
        <v>0</v>
      </c>
      <c r="BG1636" s="691"/>
      <c r="BH1636" s="824"/>
      <c r="BI1636" s="691"/>
    </row>
    <row r="1637" spans="1:61" s="51" customFormat="1" x14ac:dyDescent="0.25">
      <c r="A1637" s="1267" t="str">
        <f t="shared" si="173"/>
        <v>354200_2019_12_Cooling Res</v>
      </c>
      <c r="B1637" s="123"/>
      <c r="C1637" s="1471" t="s">
        <v>1424</v>
      </c>
      <c r="D1637" s="1553" t="s">
        <v>322</v>
      </c>
      <c r="E1637" s="2878" t="s">
        <v>1425</v>
      </c>
      <c r="F1637" s="782">
        <f>ROUND(((K2664*K2851*(1/K3038-1/K3225)*K3412)/1000)*$K$3484,2)</f>
        <v>1369.47</v>
      </c>
      <c r="G1637" s="214" t="s">
        <v>1134</v>
      </c>
      <c r="H1637" s="155">
        <f>VLOOKUP(G1637,'CP FACTORS'!$A$3:$B$38, 2, FALSE)</f>
        <v>9.4741810000000004E-4</v>
      </c>
      <c r="I1637" s="1554">
        <f t="shared" si="176"/>
        <v>1.297461</v>
      </c>
      <c r="J1637" s="108">
        <f t="shared" si="171"/>
        <v>6</v>
      </c>
      <c r="K1637" s="1052">
        <f t="shared" si="172"/>
        <v>1236.5217238752739</v>
      </c>
      <c r="L1637" s="1088">
        <f>L1916</f>
        <v>3.3</v>
      </c>
      <c r="M1637" s="328"/>
      <c r="N1637" s="1587"/>
      <c r="O1637" s="1135"/>
      <c r="P1637" s="123"/>
      <c r="Q1637" s="123"/>
      <c r="R1637" s="1431"/>
      <c r="S1637" s="123"/>
      <c r="T1637" s="123"/>
      <c r="U1637" s="1589"/>
      <c r="V1637" s="1962" t="s">
        <v>31</v>
      </c>
      <c r="W1637" s="818">
        <v>1790.9067647058826</v>
      </c>
      <c r="X1637" s="819">
        <v>1369.47306122449</v>
      </c>
      <c r="Y1637" s="737">
        <v>1369.47</v>
      </c>
      <c r="Z1637" s="737">
        <v>1369.47</v>
      </c>
      <c r="AA1637" s="737">
        <v>1369.47</v>
      </c>
      <c r="AB1637" s="2162">
        <v>1369.47</v>
      </c>
      <c r="AC1637" s="782">
        <v>1369.47</v>
      </c>
      <c r="AD1637" s="818"/>
      <c r="AE1637" s="818"/>
      <c r="AF1637" s="818"/>
      <c r="AG1637" s="818"/>
      <c r="AH1637" s="163"/>
      <c r="AI1637" s="1942"/>
      <c r="AJ1637" s="1942"/>
      <c r="AK1637" s="820"/>
      <c r="AL1637" s="1942"/>
      <c r="AM1637" s="1942"/>
      <c r="AN1637" s="1942"/>
      <c r="AO1637" s="1942"/>
      <c r="AP1637" s="1942"/>
      <c r="AQ1637" s="1942"/>
      <c r="AR1637" s="1942"/>
      <c r="AS1637" s="1942"/>
      <c r="AT1637" s="1942"/>
      <c r="AU1637" s="1942"/>
      <c r="AV1637" s="1942"/>
      <c r="AW1637" s="1942"/>
      <c r="AX1637" s="1942"/>
      <c r="AY1637" s="1942"/>
      <c r="AZ1637" s="1942"/>
      <c r="BA1637" s="1942"/>
      <c r="BB1637" s="244">
        <f>(BD1637+BD1638+BD1639+BD1640)/(BE1637+BE1638+BE1639+BE1640)</f>
        <v>1.3871227963822939</v>
      </c>
      <c r="BC1637" s="3115" t="str">
        <f t="shared" si="177"/>
        <v>Cooling Res 6 Year EUL</v>
      </c>
      <c r="BD1637" s="673">
        <f>(INDEX('Avoided Cost Benefits'!$C$4:$C$857,MATCH(BC1637,'Avoided Cost Benefits'!$A$4:$A$857,0)))*F1637</f>
        <v>796.32511661460455</v>
      </c>
      <c r="BE1637" s="1949">
        <f t="shared" si="174"/>
        <v>1167.0804378247039</v>
      </c>
      <c r="BF1637" s="1942"/>
      <c r="BG1637" s="691"/>
      <c r="BH1637" s="821"/>
      <c r="BI1637" s="691"/>
    </row>
    <row r="1638" spans="1:61" s="51" customFormat="1" x14ac:dyDescent="0.25">
      <c r="A1638" s="1267" t="str">
        <f t="shared" si="173"/>
        <v>354200_2019_12_Heating Res</v>
      </c>
      <c r="B1638" s="123"/>
      <c r="C1638" s="1471" t="s">
        <v>1424</v>
      </c>
      <c r="D1638" s="1553" t="s">
        <v>322</v>
      </c>
      <c r="E1638" s="3007" t="s">
        <v>1425</v>
      </c>
      <c r="F1638" s="782">
        <f>ROUND(((K1916*K2103*(1/K2290-1/K2477)*K3412)/1000)*$K$3484,2)</f>
        <v>1798.76</v>
      </c>
      <c r="G1638" s="214" t="s">
        <v>1135</v>
      </c>
      <c r="H1638" s="155">
        <f>VLOOKUP(G1638,'CP FACTORS'!$A$3:$B$38, 2, FALSE)</f>
        <v>0</v>
      </c>
      <c r="I1638" s="1554">
        <f t="shared" si="176"/>
        <v>0</v>
      </c>
      <c r="J1638" s="108">
        <f t="shared" si="171"/>
        <v>6</v>
      </c>
      <c r="K1638" s="1052">
        <f t="shared" si="172"/>
        <v>0</v>
      </c>
      <c r="L1638" s="1088"/>
      <c r="M1638" s="328"/>
      <c r="N1638" s="1587"/>
      <c r="O1638" s="1135"/>
      <c r="P1638" s="123"/>
      <c r="Q1638" s="123"/>
      <c r="R1638" s="1431"/>
      <c r="S1638" s="123"/>
      <c r="T1638" s="123"/>
      <c r="U1638" s="1589"/>
      <c r="V1638" s="1962" t="s">
        <v>31</v>
      </c>
      <c r="W1638" s="818">
        <v>4062.4872213622284</v>
      </c>
      <c r="X1638" s="819">
        <v>1798.7611070228763</v>
      </c>
      <c r="Y1638" s="737">
        <v>1798.76</v>
      </c>
      <c r="Z1638" s="737">
        <v>1798.76</v>
      </c>
      <c r="AA1638" s="737">
        <v>1798.76</v>
      </c>
      <c r="AB1638" s="2162">
        <v>1798.76</v>
      </c>
      <c r="AC1638" s="782">
        <v>1798.76</v>
      </c>
      <c r="AD1638" s="818"/>
      <c r="AE1638" s="818"/>
      <c r="AF1638" s="818"/>
      <c r="AG1638" s="818"/>
      <c r="AH1638" s="163"/>
      <c r="AI1638" s="1942"/>
      <c r="AJ1638" s="1942"/>
      <c r="AK1638" s="820"/>
      <c r="AL1638" s="1942"/>
      <c r="AM1638" s="1942"/>
      <c r="AN1638" s="1942"/>
      <c r="AO1638" s="1942"/>
      <c r="AP1638" s="1942"/>
      <c r="AQ1638" s="1942"/>
      <c r="AR1638" s="1942"/>
      <c r="AS1638" s="1942"/>
      <c r="AT1638" s="1942"/>
      <c r="AU1638" s="1942"/>
      <c r="AV1638" s="1942"/>
      <c r="AW1638" s="1942"/>
      <c r="AX1638" s="1942"/>
      <c r="AY1638" s="1942"/>
      <c r="AZ1638" s="1942"/>
      <c r="BA1638" s="1942"/>
      <c r="BB1638" s="734"/>
      <c r="BC1638" s="3130" t="str">
        <f t="shared" si="177"/>
        <v>Heating Res 6 Year EUL</v>
      </c>
      <c r="BD1638" s="673">
        <f>(INDEX('Avoided Cost Benefits'!$C$4:$C$857,MATCH(BC1638,'Avoided Cost Benefits'!$A$4:$A$857,0)))*F1638</f>
        <v>299.19405404813961</v>
      </c>
      <c r="BE1638" s="1949">
        <f t="shared" si="174"/>
        <v>0</v>
      </c>
      <c r="BF1638" s="1942"/>
      <c r="BG1638" s="691"/>
      <c r="BH1638" s="821"/>
      <c r="BI1638" s="691"/>
    </row>
    <row r="1639" spans="1:61" s="51" customFormat="1" x14ac:dyDescent="0.25">
      <c r="A1639" s="1267" t="str">
        <f t="shared" si="173"/>
        <v>354200_2019_12_Cooling Res ER2</v>
      </c>
      <c r="B1639" s="123"/>
      <c r="C1639" s="1471" t="s">
        <v>1424</v>
      </c>
      <c r="D1639" s="1553" t="s">
        <v>322</v>
      </c>
      <c r="E1639" s="3007" t="s">
        <v>1426</v>
      </c>
      <c r="F1639" s="782">
        <f>ROUND(((K2665*K2852*(1/K3039-1/K3226)*K3413)/1000)*$K$3484,2)</f>
        <v>281.95</v>
      </c>
      <c r="G1639" s="1580" t="s">
        <v>1176</v>
      </c>
      <c r="H1639" s="155">
        <f>VLOOKUP(G1639,'CP FACTORS'!$A$3:$B$38, 2, FALSE)</f>
        <v>9.4741810000000004E-4</v>
      </c>
      <c r="I1639" s="1554">
        <f t="shared" si="176"/>
        <v>0.267125</v>
      </c>
      <c r="J1639" s="108">
        <f t="shared" si="171"/>
        <v>12</v>
      </c>
      <c r="K1639" s="1052">
        <f t="shared" si="172"/>
        <v>0</v>
      </c>
      <c r="L1639" s="1088"/>
      <c r="M1639" s="328"/>
      <c r="N1639" s="1587"/>
      <c r="O1639" s="1135"/>
      <c r="P1639" s="123"/>
      <c r="Q1639" s="123"/>
      <c r="R1639" s="1431"/>
      <c r="S1639" s="123"/>
      <c r="T1639" s="123"/>
      <c r="U1639" s="1589"/>
      <c r="V1639" s="1962" t="s">
        <v>31</v>
      </c>
      <c r="W1639" s="818">
        <v>281.95033613445372</v>
      </c>
      <c r="X1639" s="825">
        <v>281.95033613445372</v>
      </c>
      <c r="Y1639" s="737">
        <v>281.95</v>
      </c>
      <c r="Z1639" s="737">
        <v>281.95</v>
      </c>
      <c r="AA1639" s="737">
        <v>281.95</v>
      </c>
      <c r="AB1639" s="2162">
        <v>281.95</v>
      </c>
      <c r="AC1639" s="782">
        <v>281.95</v>
      </c>
      <c r="AD1639" s="818"/>
      <c r="AE1639" s="818"/>
      <c r="AF1639" s="818"/>
      <c r="AG1639" s="818"/>
      <c r="AH1639" s="163"/>
      <c r="AI1639" s="1942"/>
      <c r="AJ1639" s="1942"/>
      <c r="AK1639" s="820"/>
      <c r="AL1639" s="1942"/>
      <c r="AM1639" s="1942"/>
      <c r="AN1639" s="1942"/>
      <c r="AO1639" s="1942"/>
      <c r="AP1639" s="1942"/>
      <c r="AQ1639" s="1942"/>
      <c r="AR1639" s="1942"/>
      <c r="AS1639" s="1942"/>
      <c r="AT1639" s="1942"/>
      <c r="AU1639" s="1942"/>
      <c r="AV1639" s="1942"/>
      <c r="AW1639" s="1942"/>
      <c r="AX1639" s="1942"/>
      <c r="AY1639" s="1942"/>
      <c r="AZ1639" s="1942"/>
      <c r="BA1639" s="1942"/>
      <c r="BB1639" s="734"/>
      <c r="BC1639" s="3130" t="str">
        <f t="shared" si="177"/>
        <v>Cooling Res ER2 12 Year EUL</v>
      </c>
      <c r="BD1639" s="673">
        <f>(INDEX('Avoided Cost Benefits'!$C$4:$C$857,MATCH(BC1639,'Avoided Cost Benefits'!$A$4:$A$857,0)))*F1639</f>
        <v>333.35611458800912</v>
      </c>
      <c r="BE1639" s="1949">
        <f t="shared" si="174"/>
        <v>0</v>
      </c>
      <c r="BF1639" s="1942"/>
      <c r="BG1639" s="691"/>
      <c r="BH1639" s="821"/>
      <c r="BI1639" s="691"/>
    </row>
    <row r="1640" spans="1:61" s="51" customFormat="1" x14ac:dyDescent="0.25">
      <c r="A1640" s="1267" t="str">
        <f t="shared" si="173"/>
        <v>354200_2019_12_Heating Res ER2</v>
      </c>
      <c r="B1640" s="123"/>
      <c r="C1640" s="1471" t="s">
        <v>1424</v>
      </c>
      <c r="D1640" s="1553" t="s">
        <v>322</v>
      </c>
      <c r="E1640" s="3005" t="s">
        <v>1426</v>
      </c>
      <c r="F1640" s="782">
        <f xml:space="preserve"> ROUND(((K1917*K2104*(1/K2291-1/K2478)*K3413)/1000)*$K$3484,2)</f>
        <v>642.61</v>
      </c>
      <c r="G1640" s="1580" t="s">
        <v>1195</v>
      </c>
      <c r="H1640" s="155">
        <f>VLOOKUP(G1640,'CP FACTORS'!$A$3:$B$38, 2, FALSE)</f>
        <v>0</v>
      </c>
      <c r="I1640" s="1554">
        <f t="shared" si="176"/>
        <v>0</v>
      </c>
      <c r="J1640" s="108">
        <f t="shared" si="171"/>
        <v>12</v>
      </c>
      <c r="K1640" s="1052">
        <f t="shared" si="172"/>
        <v>0</v>
      </c>
      <c r="L1640" s="1088"/>
      <c r="M1640" s="328"/>
      <c r="N1640" s="1587"/>
      <c r="O1640" s="1135"/>
      <c r="P1640" s="123"/>
      <c r="Q1640" s="123"/>
      <c r="R1640" s="1431"/>
      <c r="S1640" s="123"/>
      <c r="T1640" s="123"/>
      <c r="U1640" s="1589"/>
      <c r="V1640" s="1962" t="s">
        <v>31</v>
      </c>
      <c r="W1640" s="818">
        <v>862.96736842105349</v>
      </c>
      <c r="X1640" s="819">
        <v>642.6078562259313</v>
      </c>
      <c r="Y1640" s="737">
        <v>642.61</v>
      </c>
      <c r="Z1640" s="737">
        <v>642.61</v>
      </c>
      <c r="AA1640" s="737">
        <v>642.61</v>
      </c>
      <c r="AB1640" s="2162">
        <v>642.61</v>
      </c>
      <c r="AC1640" s="782">
        <v>642.61</v>
      </c>
      <c r="AD1640" s="818"/>
      <c r="AE1640" s="818"/>
      <c r="AF1640" s="818"/>
      <c r="AG1640" s="818"/>
      <c r="AH1640" s="163"/>
      <c r="AI1640" s="1942"/>
      <c r="AJ1640" s="1942"/>
      <c r="AK1640" s="820"/>
      <c r="AL1640" s="1942"/>
      <c r="AM1640" s="1942"/>
      <c r="AN1640" s="1942"/>
      <c r="AO1640" s="1942"/>
      <c r="AP1640" s="1942"/>
      <c r="AQ1640" s="1942"/>
      <c r="AR1640" s="1942"/>
      <c r="AS1640" s="1942"/>
      <c r="AT1640" s="1942"/>
      <c r="AU1640" s="1942"/>
      <c r="AV1640" s="1942"/>
      <c r="AW1640" s="1942"/>
      <c r="AX1640" s="1942"/>
      <c r="AY1640" s="1942"/>
      <c r="AZ1640" s="1942"/>
      <c r="BA1640" s="1942"/>
      <c r="BB1640" s="734"/>
      <c r="BC1640" s="3116" t="str">
        <f t="shared" si="177"/>
        <v>Heating Res ER2 12 Year EUL</v>
      </c>
      <c r="BD1640" s="673">
        <f>(INDEX('Avoided Cost Benefits'!$C$4:$C$857,MATCH(BC1640,'Avoided Cost Benefits'!$A$4:$A$857,0)))*F1640</f>
        <v>190.00859526772157</v>
      </c>
      <c r="BE1640" s="1949">
        <f t="shared" si="174"/>
        <v>0</v>
      </c>
      <c r="BF1640" s="1942"/>
      <c r="BG1640" s="691"/>
      <c r="BH1640" s="821"/>
      <c r="BI1640" s="691"/>
    </row>
    <row r="1641" spans="1:61" s="51" customFormat="1" x14ac:dyDescent="0.25">
      <c r="A1641" s="1267" t="str">
        <f t="shared" si="173"/>
        <v>354201_2019_12_Cooling Res</v>
      </c>
      <c r="B1641" s="123"/>
      <c r="C1641" s="1471" t="s">
        <v>1427</v>
      </c>
      <c r="D1641" s="1553" t="s">
        <v>317</v>
      </c>
      <c r="E1641" s="2878" t="s">
        <v>1428</v>
      </c>
      <c r="F1641" s="782">
        <f>ROUND((($K$2666*$K$2853*(1/$K$3040-1/$K$3227)*$K$3414)/1000)*$K$3484,2)</f>
        <v>995.98</v>
      </c>
      <c r="G1641" s="214" t="str">
        <f t="shared" ref="G1641:G1644" si="178">G1637</f>
        <v>Cooling Res</v>
      </c>
      <c r="H1641" s="155">
        <f>VLOOKUP(G1641,'CP FACTORS'!$A$3:$B$38, 2, FALSE)</f>
        <v>9.4741810000000004E-4</v>
      </c>
      <c r="I1641" s="1554">
        <f t="shared" si="176"/>
        <v>0.94360900000000003</v>
      </c>
      <c r="J1641" s="108">
        <f t="shared" si="171"/>
        <v>6</v>
      </c>
      <c r="K1641" s="3294">
        <f t="shared" si="172"/>
        <v>1236.5217238752739</v>
      </c>
      <c r="L1641" s="3296">
        <f>L1918</f>
        <v>3.3</v>
      </c>
      <c r="M1641" s="328"/>
      <c r="N1641" s="1587"/>
      <c r="O1641" s="1135"/>
      <c r="P1641" s="123"/>
      <c r="Q1641" s="123"/>
      <c r="R1641" s="1431"/>
      <c r="S1641" s="123"/>
      <c r="T1641" s="123"/>
      <c r="U1641" s="1589"/>
      <c r="V1641" s="1962" t="s">
        <v>31</v>
      </c>
      <c r="W1641" s="818"/>
      <c r="X1641" s="819"/>
      <c r="Y1641" s="742">
        <v>995.98</v>
      </c>
      <c r="Z1641" s="737">
        <v>995.98</v>
      </c>
      <c r="AA1641" s="737">
        <v>995.98</v>
      </c>
      <c r="AB1641" s="2162">
        <v>995.98</v>
      </c>
      <c r="AC1641" s="782">
        <v>995.98</v>
      </c>
      <c r="AD1641" s="818"/>
      <c r="AE1641" s="818"/>
      <c r="AF1641" s="818"/>
      <c r="AG1641" s="818"/>
      <c r="AH1641" s="163"/>
      <c r="AI1641" s="1942"/>
      <c r="AJ1641" s="1942"/>
      <c r="AK1641" s="820"/>
      <c r="AL1641" s="1942"/>
      <c r="AM1641" s="1942"/>
      <c r="AN1641" s="1942"/>
      <c r="AO1641" s="1942"/>
      <c r="AP1641" s="1942"/>
      <c r="AQ1641" s="1942"/>
      <c r="AR1641" s="1942"/>
      <c r="AS1641" s="1942"/>
      <c r="AT1641" s="1942"/>
      <c r="AU1641" s="1942"/>
      <c r="AV1641" s="1942"/>
      <c r="AW1641" s="1942"/>
      <c r="AX1641" s="1942"/>
      <c r="AY1641" s="1942"/>
      <c r="AZ1641" s="1942"/>
      <c r="BA1641" s="1942"/>
      <c r="BB1641" s="244">
        <f>(BD1641+BD1642+BD1643+BD1644)/(BE1641+BE1642+BE1643+BE1644)</f>
        <v>0.84686072713994065</v>
      </c>
      <c r="BC1641" s="3115" t="str">
        <f t="shared" si="177"/>
        <v>Cooling Res 6 Year EUL</v>
      </c>
      <c r="BD1641" s="673">
        <f>(INDEX('Avoided Cost Benefits'!$C$4:$C$857,MATCH(BC1641,'Avoided Cost Benefits'!$A$4:$A$857,0)))*F1641</f>
        <v>579.14659660000871</v>
      </c>
      <c r="BE1641" s="1949">
        <f t="shared" si="174"/>
        <v>1167.0804378247039</v>
      </c>
      <c r="BF1641" s="1942"/>
      <c r="BG1641" s="691"/>
      <c r="BH1641" s="824"/>
      <c r="BI1641" s="691"/>
    </row>
    <row r="1642" spans="1:61" s="51" customFormat="1" x14ac:dyDescent="0.25">
      <c r="A1642" s="1267" t="str">
        <f t="shared" si="173"/>
        <v>354201_2019_12_Heating Res</v>
      </c>
      <c r="B1642" s="123"/>
      <c r="C1642" s="1471" t="str">
        <f>C1641</f>
        <v>354201_2019_12_</v>
      </c>
      <c r="D1642" s="1553" t="s">
        <v>317</v>
      </c>
      <c r="E1642" s="3007" t="s">
        <v>1428</v>
      </c>
      <c r="F1642" s="782">
        <f>ROUND((($K$1918*$K$2105*(1/$K$2292-1/$K$2479)*$K$3414)/1000)*$K$3484,2)</f>
        <v>613.21</v>
      </c>
      <c r="G1642" s="214" t="str">
        <f t="shared" si="178"/>
        <v>Heating Res</v>
      </c>
      <c r="H1642" s="155">
        <f>VLOOKUP(G1642,'CP FACTORS'!$A$3:$B$38, 2, FALSE)</f>
        <v>0</v>
      </c>
      <c r="I1642" s="1554">
        <f t="shared" si="176"/>
        <v>0</v>
      </c>
      <c r="J1642" s="108">
        <f t="shared" si="171"/>
        <v>6</v>
      </c>
      <c r="K1642" s="1052">
        <f t="shared" si="172"/>
        <v>0</v>
      </c>
      <c r="L1642" s="1088"/>
      <c r="M1642" s="328"/>
      <c r="N1642" s="1587"/>
      <c r="O1642" s="1135"/>
      <c r="P1642" s="123"/>
      <c r="Q1642" s="123"/>
      <c r="R1642" s="1431"/>
      <c r="S1642" s="123"/>
      <c r="T1642" s="123"/>
      <c r="U1642" s="1589"/>
      <c r="V1642" s="1962" t="s">
        <v>31</v>
      </c>
      <c r="W1642" s="818"/>
      <c r="X1642" s="819"/>
      <c r="Y1642" s="742">
        <v>613.21</v>
      </c>
      <c r="Z1642" s="737">
        <v>613.21</v>
      </c>
      <c r="AA1642" s="737">
        <v>613.21</v>
      </c>
      <c r="AB1642" s="2162">
        <v>613.21</v>
      </c>
      <c r="AC1642" s="782">
        <v>613.21</v>
      </c>
      <c r="AD1642" s="818"/>
      <c r="AE1642" s="818"/>
      <c r="AF1642" s="818"/>
      <c r="AG1642" s="818"/>
      <c r="AH1642" s="163"/>
      <c r="AI1642" s="1942"/>
      <c r="AJ1642" s="1942"/>
      <c r="AK1642" s="820"/>
      <c r="AL1642" s="1942"/>
      <c r="AM1642" s="1942"/>
      <c r="AN1642" s="1942"/>
      <c r="AO1642" s="1942"/>
      <c r="AP1642" s="1942"/>
      <c r="AQ1642" s="1942"/>
      <c r="AR1642" s="1942"/>
      <c r="AS1642" s="1942"/>
      <c r="AT1642" s="1942"/>
      <c r="AU1642" s="1942"/>
      <c r="AV1642" s="1942"/>
      <c r="AW1642" s="1942"/>
      <c r="AX1642" s="1942"/>
      <c r="AY1642" s="1942"/>
      <c r="AZ1642" s="1942"/>
      <c r="BA1642" s="1942"/>
      <c r="BB1642" s="734"/>
      <c r="BC1642" s="3130" t="str">
        <f t="shared" si="177"/>
        <v>Heating Res 6 Year EUL</v>
      </c>
      <c r="BD1642" s="673">
        <f>(INDEX('Avoided Cost Benefits'!$C$4:$C$857,MATCH(BC1642,'Avoided Cost Benefits'!$A$4:$A$857,0)))*F1642</f>
        <v>101.99736812185043</v>
      </c>
      <c r="BE1642" s="1949">
        <f t="shared" si="174"/>
        <v>0</v>
      </c>
      <c r="BF1642" s="1942"/>
      <c r="BG1642" s="691"/>
      <c r="BH1642" s="824"/>
      <c r="BI1642" s="691"/>
    </row>
    <row r="1643" spans="1:61" s="51" customFormat="1" x14ac:dyDescent="0.25">
      <c r="A1643" s="1267" t="str">
        <f t="shared" si="173"/>
        <v>354201_2019_12_Cooling Res ER2</v>
      </c>
      <c r="B1643" s="123"/>
      <c r="C1643" s="1471" t="str">
        <f>C1642</f>
        <v>354201_2019_12_</v>
      </c>
      <c r="D1643" s="1553" t="s">
        <v>317</v>
      </c>
      <c r="E1643" s="3007" t="s">
        <v>1429</v>
      </c>
      <c r="F1643" s="782">
        <f>ROUND((($K$2667*$K$2854*(1/$K$3041-1/$K$3228)*$K$3415)/1000)*$K$3484,2)</f>
        <v>205.05</v>
      </c>
      <c r="G1643" s="214" t="str">
        <f t="shared" si="178"/>
        <v>Cooling Res ER2</v>
      </c>
      <c r="H1643" s="155">
        <f>VLOOKUP(G1643,'CP FACTORS'!$A$3:$B$38, 2, FALSE)</f>
        <v>9.4741810000000004E-4</v>
      </c>
      <c r="I1643" s="1554">
        <f t="shared" si="176"/>
        <v>0.194268</v>
      </c>
      <c r="J1643" s="108">
        <f t="shared" si="171"/>
        <v>12</v>
      </c>
      <c r="K1643" s="1052">
        <f t="shared" si="172"/>
        <v>0</v>
      </c>
      <c r="L1643" s="1088"/>
      <c r="M1643" s="328"/>
      <c r="N1643" s="1587"/>
      <c r="O1643" s="1135"/>
      <c r="P1643" s="123"/>
      <c r="Q1643" s="123"/>
      <c r="R1643" s="1431"/>
      <c r="S1643" s="123"/>
      <c r="T1643" s="123"/>
      <c r="U1643" s="1589"/>
      <c r="V1643" s="1962" t="s">
        <v>31</v>
      </c>
      <c r="W1643" s="818"/>
      <c r="X1643" s="819"/>
      <c r="Y1643" s="742">
        <v>205.05</v>
      </c>
      <c r="Z1643" s="737">
        <v>205.05</v>
      </c>
      <c r="AA1643" s="737">
        <v>205.05</v>
      </c>
      <c r="AB1643" s="2162">
        <v>205.05</v>
      </c>
      <c r="AC1643" s="782">
        <v>205.05</v>
      </c>
      <c r="AD1643" s="818"/>
      <c r="AE1643" s="818"/>
      <c r="AF1643" s="818"/>
      <c r="AG1643" s="818"/>
      <c r="AH1643" s="163"/>
      <c r="AI1643" s="1942"/>
      <c r="AJ1643" s="1942"/>
      <c r="AK1643" s="820"/>
      <c r="AL1643" s="1942"/>
      <c r="AM1643" s="1942"/>
      <c r="AN1643" s="1942"/>
      <c r="AO1643" s="1942"/>
      <c r="AP1643" s="1942"/>
      <c r="AQ1643" s="1942"/>
      <c r="AR1643" s="1942"/>
      <c r="AS1643" s="1942"/>
      <c r="AT1643" s="1942"/>
      <c r="AU1643" s="1942"/>
      <c r="AV1643" s="1942"/>
      <c r="AW1643" s="1942"/>
      <c r="AX1643" s="1942"/>
      <c r="AY1643" s="1942"/>
      <c r="AZ1643" s="1942"/>
      <c r="BA1643" s="1942"/>
      <c r="BB1643" s="734"/>
      <c r="BC1643" s="3130" t="str">
        <f t="shared" si="177"/>
        <v>Cooling Res ER2 12 Year EUL</v>
      </c>
      <c r="BD1643" s="673">
        <f>(INDEX('Avoided Cost Benefits'!$C$4:$C$857,MATCH(BC1643,'Avoided Cost Benefits'!$A$4:$A$857,0)))*F1643</f>
        <v>242.43543641167324</v>
      </c>
      <c r="BE1643" s="1949">
        <f t="shared" si="174"/>
        <v>0</v>
      </c>
      <c r="BF1643" s="1942"/>
      <c r="BG1643" s="691"/>
      <c r="BH1643" s="824"/>
      <c r="BI1643" s="691"/>
    </row>
    <row r="1644" spans="1:61" s="51" customFormat="1" x14ac:dyDescent="0.25">
      <c r="A1644" s="1267" t="str">
        <f t="shared" si="173"/>
        <v>354201_2019_12_Heating Res ER2</v>
      </c>
      <c r="B1644" s="123"/>
      <c r="C1644" s="1471" t="str">
        <f>C1643</f>
        <v>354201_2019_12_</v>
      </c>
      <c r="D1644" s="1553" t="s">
        <v>317</v>
      </c>
      <c r="E1644" s="3005" t="s">
        <v>1429</v>
      </c>
      <c r="F1644" s="782">
        <f>ROUND((($K$1919*$K$2106*(1/$K$2293-1/$K$2480)*$K$3415)/1000)*$K$3484,2)</f>
        <v>219.07</v>
      </c>
      <c r="G1644" s="214" t="str">
        <f t="shared" si="178"/>
        <v>Heating Res ER2</v>
      </c>
      <c r="H1644" s="155">
        <f>VLOOKUP(G1644,'CP FACTORS'!$A$3:$B$38, 2, FALSE)</f>
        <v>0</v>
      </c>
      <c r="I1644" s="1554">
        <f t="shared" si="176"/>
        <v>0</v>
      </c>
      <c r="J1644" s="108">
        <f t="shared" si="171"/>
        <v>12</v>
      </c>
      <c r="K1644" s="1052">
        <f t="shared" si="172"/>
        <v>0</v>
      </c>
      <c r="L1644" s="1088"/>
      <c r="M1644" s="328"/>
      <c r="N1644" s="1587"/>
      <c r="O1644" s="1135"/>
      <c r="P1644" s="123"/>
      <c r="Q1644" s="123"/>
      <c r="R1644" s="1431"/>
      <c r="S1644" s="123"/>
      <c r="T1644" s="123"/>
      <c r="U1644" s="1589"/>
      <c r="V1644" s="1962" t="s">
        <v>31</v>
      </c>
      <c r="W1644" s="818"/>
      <c r="X1644" s="819"/>
      <c r="Y1644" s="742">
        <v>219.07</v>
      </c>
      <c r="Z1644" s="737">
        <v>219.07</v>
      </c>
      <c r="AA1644" s="737">
        <v>219.07</v>
      </c>
      <c r="AB1644" s="2162">
        <v>219.07</v>
      </c>
      <c r="AC1644" s="782">
        <v>219.07</v>
      </c>
      <c r="AD1644" s="818"/>
      <c r="AE1644" s="818"/>
      <c r="AF1644" s="818"/>
      <c r="AG1644" s="818"/>
      <c r="AH1644" s="163"/>
      <c r="AI1644" s="1942"/>
      <c r="AJ1644" s="1942"/>
      <c r="AK1644" s="820"/>
      <c r="AL1644" s="1942"/>
      <c r="AM1644" s="1942"/>
      <c r="AN1644" s="1942"/>
      <c r="AO1644" s="1942"/>
      <c r="AP1644" s="1942"/>
      <c r="AQ1644" s="1942"/>
      <c r="AR1644" s="1942"/>
      <c r="AS1644" s="1942"/>
      <c r="AT1644" s="1942"/>
      <c r="AU1644" s="1942"/>
      <c r="AV1644" s="1942"/>
      <c r="AW1644" s="1942"/>
      <c r="AX1644" s="1942"/>
      <c r="AY1644" s="1942"/>
      <c r="AZ1644" s="1942"/>
      <c r="BA1644" s="1942"/>
      <c r="BB1644" s="734"/>
      <c r="BC1644" s="3116" t="str">
        <f t="shared" si="177"/>
        <v>Heating Res ER2 12 Year EUL</v>
      </c>
      <c r="BD1644" s="673">
        <f>(INDEX('Avoided Cost Benefits'!$C$4:$C$857,MATCH(BC1644,'Avoided Cost Benefits'!$A$4:$A$857,0)))*F1644</f>
        <v>64.775187073496781</v>
      </c>
      <c r="BE1644" s="1949">
        <f t="shared" si="174"/>
        <v>0</v>
      </c>
      <c r="BF1644" s="1942"/>
      <c r="BG1644" s="691"/>
      <c r="BH1644" s="824"/>
      <c r="BI1644" s="691"/>
    </row>
    <row r="1645" spans="1:61" s="51" customFormat="1" x14ac:dyDescent="0.25">
      <c r="A1645" s="1267" t="str">
        <f t="shared" si="173"/>
        <v>354250_2021_12_Cooling Res</v>
      </c>
      <c r="B1645" s="123"/>
      <c r="C1645" s="2038" t="s">
        <v>1431</v>
      </c>
      <c r="D1645" s="1553" t="s">
        <v>320</v>
      </c>
      <c r="E1645" s="2878" t="s">
        <v>1432</v>
      </c>
      <c r="F1645" s="742">
        <f>ROUND(((K2668*K2855*(1/K3042-1/K3229)*K3416)/1000)*$K$3484,2)</f>
        <v>2068.02</v>
      </c>
      <c r="G1645" s="214" t="s">
        <v>1134</v>
      </c>
      <c r="H1645" s="155">
        <f>VLOOKUP(G1645,'CP FACTORS'!$A$3:$B$38, 2, FALSE)</f>
        <v>9.4741810000000004E-4</v>
      </c>
      <c r="I1645" s="1554">
        <f t="shared" si="176"/>
        <v>1.9592799999999999</v>
      </c>
      <c r="J1645" s="108">
        <f t="shared" si="171"/>
        <v>6</v>
      </c>
      <c r="K1645" s="3294">
        <f t="shared" si="172"/>
        <v>1714.015989382433</v>
      </c>
      <c r="L1645" s="1088">
        <f>L1920</f>
        <v>3.1434782608695655</v>
      </c>
      <c r="M1645" s="328"/>
      <c r="N1645" s="1587"/>
      <c r="O1645" s="1135"/>
      <c r="P1645" s="123"/>
      <c r="Q1645" s="123"/>
      <c r="R1645" s="1431"/>
      <c r="S1645" s="123"/>
      <c r="T1645" s="123"/>
      <c r="U1645" s="1589"/>
      <c r="V1645" s="1962" t="s">
        <v>31</v>
      </c>
      <c r="W1645" s="818">
        <v>2958.0078431372549</v>
      </c>
      <c r="X1645" s="819">
        <v>2084.8349739895957</v>
      </c>
      <c r="Y1645" s="737">
        <v>2084.83</v>
      </c>
      <c r="Z1645" s="737">
        <v>2084.83</v>
      </c>
      <c r="AA1645" s="737">
        <v>2084.83</v>
      </c>
      <c r="AB1645" s="425">
        <v>2709.13</v>
      </c>
      <c r="AC1645" s="742">
        <v>2068.02</v>
      </c>
      <c r="AD1645" s="818"/>
      <c r="AE1645" s="818"/>
      <c r="AF1645" s="818"/>
      <c r="AG1645" s="818"/>
      <c r="AH1645" s="163"/>
      <c r="AI1645" s="1942"/>
      <c r="AJ1645" s="1942"/>
      <c r="AK1645" s="820"/>
      <c r="AL1645" s="1942"/>
      <c r="AM1645" s="1942"/>
      <c r="AN1645" s="1942"/>
      <c r="AO1645" s="1942"/>
      <c r="AP1645" s="1942"/>
      <c r="AQ1645" s="1942"/>
      <c r="AR1645" s="1942"/>
      <c r="AS1645" s="1942"/>
      <c r="AT1645" s="1942"/>
      <c r="AU1645" s="1942"/>
      <c r="AV1645" s="1942"/>
      <c r="AW1645" s="1942"/>
      <c r="AX1645" s="1942"/>
      <c r="AY1645" s="1942"/>
      <c r="AZ1645" s="1942"/>
      <c r="BA1645" s="1942"/>
      <c r="BB1645" s="244">
        <f>(BD1645+BD1646+BD1647+BD1648)/(BE1645+BE1646+BE1647+BE1648)</f>
        <v>4.3808332863375483</v>
      </c>
      <c r="BC1645" s="3115" t="str">
        <f t="shared" si="177"/>
        <v>Cooling Res 6 Year EUL</v>
      </c>
      <c r="BD1645" s="673">
        <f>(INDEX('Avoided Cost Benefits'!$C$4:$C$857,MATCH(BC1645,'Avoided Cost Benefits'!$A$4:$A$857,0)))*F1645</f>
        <v>1202.520878632854</v>
      </c>
      <c r="BE1645" s="1949">
        <f t="shared" si="174"/>
        <v>1617.7593104128671</v>
      </c>
      <c r="BF1645" s="1942"/>
      <c r="BG1645" s="691"/>
      <c r="BH1645" s="821"/>
      <c r="BI1645" s="691"/>
    </row>
    <row r="1646" spans="1:61" s="51" customFormat="1" x14ac:dyDescent="0.25">
      <c r="A1646" s="1267" t="str">
        <f t="shared" si="173"/>
        <v>354250_2021_12_Heating Res</v>
      </c>
      <c r="B1646" s="123"/>
      <c r="C1646" s="2038" t="s">
        <v>1431</v>
      </c>
      <c r="D1646" s="1553" t="s">
        <v>320</v>
      </c>
      <c r="E1646" s="3007" t="s">
        <v>1432</v>
      </c>
      <c r="F1646" s="742">
        <f>ROUND(((K1920*K2107*(1/K2294-1/K2481)*K3416)/1000)*$K$3484,2)</f>
        <v>10952.77</v>
      </c>
      <c r="G1646" s="214" t="s">
        <v>1135</v>
      </c>
      <c r="H1646" s="155">
        <f>VLOOKUP(G1646,'CP FACTORS'!$A$3:$B$38, 2, FALSE)</f>
        <v>0</v>
      </c>
      <c r="I1646" s="1554">
        <f t="shared" si="176"/>
        <v>0</v>
      </c>
      <c r="J1646" s="108">
        <f t="shared" si="171"/>
        <v>6</v>
      </c>
      <c r="K1646" s="1052">
        <f t="shared" si="172"/>
        <v>0</v>
      </c>
      <c r="L1646" s="1088"/>
      <c r="M1646" s="328"/>
      <c r="N1646" s="1587"/>
      <c r="O1646" s="1135"/>
      <c r="P1646" s="123"/>
      <c r="Q1646" s="123"/>
      <c r="R1646" s="1431"/>
      <c r="S1646" s="123"/>
      <c r="T1646" s="123"/>
      <c r="U1646" s="1589"/>
      <c r="V1646" s="1962" t="s">
        <v>31</v>
      </c>
      <c r="W1646" s="818">
        <v>13965.852998065762</v>
      </c>
      <c r="X1646" s="819">
        <v>10399.659574468084</v>
      </c>
      <c r="Y1646" s="737">
        <v>10399.66</v>
      </c>
      <c r="Z1646" s="737">
        <v>10399.66</v>
      </c>
      <c r="AA1646" s="737">
        <v>10399.66</v>
      </c>
      <c r="AB1646" s="425">
        <v>11774.43</v>
      </c>
      <c r="AC1646" s="742">
        <v>10952.77</v>
      </c>
      <c r="AD1646" s="818"/>
      <c r="AE1646" s="818"/>
      <c r="AF1646" s="818"/>
      <c r="AG1646" s="818"/>
      <c r="AH1646" s="163"/>
      <c r="AI1646" s="1942"/>
      <c r="AJ1646" s="1942"/>
      <c r="AK1646" s="820"/>
      <c r="AL1646" s="1942"/>
      <c r="AM1646" s="1942"/>
      <c r="AN1646" s="1942"/>
      <c r="AO1646" s="1942"/>
      <c r="AP1646" s="1942"/>
      <c r="AQ1646" s="1942"/>
      <c r="AR1646" s="1942"/>
      <c r="AS1646" s="1942"/>
      <c r="AT1646" s="1942"/>
      <c r="AU1646" s="1942"/>
      <c r="AV1646" s="1942"/>
      <c r="AW1646" s="1942"/>
      <c r="AX1646" s="1942"/>
      <c r="AY1646" s="1942"/>
      <c r="AZ1646" s="1942"/>
      <c r="BA1646" s="1942"/>
      <c r="BB1646" s="734"/>
      <c r="BC1646" s="3130" t="str">
        <f t="shared" si="177"/>
        <v>Heating Res 6 Year EUL</v>
      </c>
      <c r="BD1646" s="673">
        <f>(INDEX('Avoided Cost Benefits'!$C$4:$C$857,MATCH(BC1646,'Avoided Cost Benefits'!$A$4:$A$857,0)))*F1646</f>
        <v>1821.8126149996897</v>
      </c>
      <c r="BE1646" s="1949">
        <f t="shared" si="174"/>
        <v>0</v>
      </c>
      <c r="BF1646" s="1942"/>
      <c r="BG1646" s="691"/>
      <c r="BH1646" s="821"/>
      <c r="BI1646" s="691"/>
    </row>
    <row r="1647" spans="1:61" s="51" customFormat="1" x14ac:dyDescent="0.25">
      <c r="A1647" s="1267" t="str">
        <f t="shared" si="173"/>
        <v>354250_2021_12_Cooling Res ER2</v>
      </c>
      <c r="B1647" s="123"/>
      <c r="C1647" s="2038" t="s">
        <v>1431</v>
      </c>
      <c r="D1647" s="1553" t="s">
        <v>320</v>
      </c>
      <c r="E1647" s="3007" t="s">
        <v>1433</v>
      </c>
      <c r="F1647" s="742">
        <f>ROUND(((K2669*K2856*(1/K3043-1/K3230)*K3417)/1000)*$K$3484,2)</f>
        <v>697.15</v>
      </c>
      <c r="G1647" s="1580" t="s">
        <v>1176</v>
      </c>
      <c r="H1647" s="155">
        <f>VLOOKUP(G1647,'CP FACTORS'!$A$3:$B$38, 2, FALSE)</f>
        <v>9.4741810000000004E-4</v>
      </c>
      <c r="I1647" s="1554">
        <f t="shared" si="176"/>
        <v>0.660493</v>
      </c>
      <c r="J1647" s="108">
        <f t="shared" si="171"/>
        <v>12</v>
      </c>
      <c r="K1647" s="1052">
        <f t="shared" si="172"/>
        <v>0</v>
      </c>
      <c r="L1647" s="1088"/>
      <c r="M1647" s="328"/>
      <c r="N1647" s="1587"/>
      <c r="O1647" s="1135"/>
      <c r="P1647" s="123"/>
      <c r="Q1647" s="123"/>
      <c r="R1647" s="1431"/>
      <c r="S1647" s="123"/>
      <c r="T1647" s="123"/>
      <c r="U1647" s="1589"/>
      <c r="V1647" s="1962" t="s">
        <v>31</v>
      </c>
      <c r="W1647" s="818">
        <v>690.74358974358995</v>
      </c>
      <c r="X1647" s="825">
        <v>690.74358974358995</v>
      </c>
      <c r="Y1647" s="737">
        <v>690.74</v>
      </c>
      <c r="Z1647" s="737">
        <v>690.74</v>
      </c>
      <c r="AA1647" s="737">
        <v>690.74</v>
      </c>
      <c r="AB1647" s="425">
        <v>822.66</v>
      </c>
      <c r="AC1647" s="742">
        <v>697.15</v>
      </c>
      <c r="AD1647" s="818"/>
      <c r="AE1647" s="818"/>
      <c r="AF1647" s="818"/>
      <c r="AG1647" s="818"/>
      <c r="AH1647" s="163"/>
      <c r="AI1647" s="1942"/>
      <c r="AJ1647" s="1942"/>
      <c r="AK1647" s="820"/>
      <c r="AL1647" s="1942"/>
      <c r="AM1647" s="1942"/>
      <c r="AN1647" s="1942"/>
      <c r="AO1647" s="1942"/>
      <c r="AP1647" s="1942"/>
      <c r="AQ1647" s="1942"/>
      <c r="AR1647" s="1942"/>
      <c r="AS1647" s="1942"/>
      <c r="AT1647" s="1942"/>
      <c r="AU1647" s="1942"/>
      <c r="AV1647" s="1942"/>
      <c r="AW1647" s="1942"/>
      <c r="AX1647" s="1942"/>
      <c r="AY1647" s="1942"/>
      <c r="AZ1647" s="1942"/>
      <c r="BA1647" s="1942"/>
      <c r="BB1647" s="734"/>
      <c r="BC1647" s="3130" t="str">
        <f t="shared" si="177"/>
        <v>Cooling Res ER2 12 Year EUL</v>
      </c>
      <c r="BD1647" s="673">
        <f>(INDEX('Avoided Cost Benefits'!$C$4:$C$857,MATCH(BC1647,'Avoided Cost Benefits'!$A$4:$A$857,0)))*F1647</f>
        <v>824.25683732942207</v>
      </c>
      <c r="BE1647" s="1949">
        <f t="shared" si="174"/>
        <v>0</v>
      </c>
      <c r="BF1647" s="1942"/>
      <c r="BG1647" s="691"/>
      <c r="BH1647" s="821"/>
      <c r="BI1647" s="691"/>
    </row>
    <row r="1648" spans="1:61" s="51" customFormat="1" x14ac:dyDescent="0.25">
      <c r="A1648" s="1267" t="str">
        <f t="shared" si="173"/>
        <v>354250_2021_12_Heating Res ER2</v>
      </c>
      <c r="B1648" s="123"/>
      <c r="C1648" s="2038" t="s">
        <v>1431</v>
      </c>
      <c r="D1648" s="1553" t="s">
        <v>320</v>
      </c>
      <c r="E1648" s="3005" t="s">
        <v>1433</v>
      </c>
      <c r="F1648" s="742">
        <f>ROUND(((K1921*K2108*(1/K2295-1/K2482)*K3417)/1000)*$K$3484,2)</f>
        <v>10952.77</v>
      </c>
      <c r="G1648" s="1580" t="s">
        <v>1195</v>
      </c>
      <c r="H1648" s="155">
        <f>VLOOKUP(G1648,'CP FACTORS'!$A$3:$B$38, 2, FALSE)</f>
        <v>0</v>
      </c>
      <c r="I1648" s="1554">
        <f t="shared" si="176"/>
        <v>0</v>
      </c>
      <c r="J1648" s="108">
        <f t="shared" si="171"/>
        <v>12</v>
      </c>
      <c r="K1648" s="1052">
        <f t="shared" si="172"/>
        <v>0</v>
      </c>
      <c r="L1648" s="1088"/>
      <c r="M1648" s="328"/>
      <c r="N1648" s="1587"/>
      <c r="O1648" s="1135"/>
      <c r="P1648" s="123"/>
      <c r="Q1648" s="123"/>
      <c r="R1648" s="1431"/>
      <c r="S1648" s="123"/>
      <c r="T1648" s="123"/>
      <c r="U1648" s="1589"/>
      <c r="V1648" s="1962" t="s">
        <v>31</v>
      </c>
      <c r="W1648" s="818">
        <v>13965.852998065762</v>
      </c>
      <c r="X1648" s="819">
        <v>10399.659574468084</v>
      </c>
      <c r="Y1648" s="737">
        <v>10399.66</v>
      </c>
      <c r="Z1648" s="737">
        <v>10399.66</v>
      </c>
      <c r="AA1648" s="737">
        <v>10399.66</v>
      </c>
      <c r="AB1648" s="425">
        <v>11774.43</v>
      </c>
      <c r="AC1648" s="742">
        <v>10952.77</v>
      </c>
      <c r="AD1648" s="818"/>
      <c r="AE1648" s="818"/>
      <c r="AF1648" s="818"/>
      <c r="AG1648" s="818"/>
      <c r="AH1648" s="163"/>
      <c r="AI1648" s="1942"/>
      <c r="AJ1648" s="1942"/>
      <c r="AK1648" s="820"/>
      <c r="AL1648" s="1942"/>
      <c r="AM1648" s="1942"/>
      <c r="AN1648" s="1942"/>
      <c r="AO1648" s="1942"/>
      <c r="AP1648" s="1942"/>
      <c r="AQ1648" s="1942"/>
      <c r="AR1648" s="1942"/>
      <c r="AS1648" s="1942"/>
      <c r="AT1648" s="1942"/>
      <c r="AU1648" s="1942"/>
      <c r="AV1648" s="1942"/>
      <c r="AW1648" s="1942"/>
      <c r="AX1648" s="1942"/>
      <c r="AY1648" s="1942"/>
      <c r="AZ1648" s="1942"/>
      <c r="BA1648" s="1942"/>
      <c r="BB1648" s="734"/>
      <c r="BC1648" s="3116" t="str">
        <f t="shared" si="177"/>
        <v>Heating Res ER2 12 Year EUL</v>
      </c>
      <c r="BD1648" s="673">
        <f>(INDEX('Avoided Cost Benefits'!$C$4:$C$857,MATCH(BC1648,'Avoided Cost Benefits'!$A$4:$A$857,0)))*F1648</f>
        <v>3238.5435053772007</v>
      </c>
      <c r="BE1648" s="1949">
        <f t="shared" si="174"/>
        <v>0</v>
      </c>
      <c r="BF1648" s="1942"/>
      <c r="BG1648" s="691"/>
      <c r="BH1648" s="821"/>
      <c r="BI1648" s="691"/>
    </row>
    <row r="1649" spans="1:61" s="1942" customFormat="1" x14ac:dyDescent="0.25">
      <c r="A1649" s="1267"/>
      <c r="B1649" s="123"/>
      <c r="C1649" s="2038" t="s">
        <v>1434</v>
      </c>
      <c r="D1649" s="2695" t="s">
        <v>320</v>
      </c>
      <c r="E1649" s="3007" t="s">
        <v>1435</v>
      </c>
      <c r="F1649" s="742">
        <f>ROUND(((K2670*K2857*(1/K3044-1/K3231)*K3418)/1000)*$K$3484,2)</f>
        <v>2068.02</v>
      </c>
      <c r="G1649" s="3050" t="s">
        <v>1134</v>
      </c>
      <c r="H1649" s="2867">
        <f>VLOOKUP(G1649,'CP FACTORS'!$A$3:$B$38, 2, FALSE)</f>
        <v>9.4741810000000004E-4</v>
      </c>
      <c r="I1649" s="2757">
        <f t="shared" si="176"/>
        <v>1.9592799999999999</v>
      </c>
      <c r="J1649" s="116">
        <f t="shared" si="171"/>
        <v>6</v>
      </c>
      <c r="K1649" s="3294">
        <f t="shared" si="172"/>
        <v>1714.015989382433</v>
      </c>
      <c r="L1649" s="3296">
        <f>L1922</f>
        <v>3.1434782608695655</v>
      </c>
      <c r="M1649" s="328"/>
      <c r="N1649" s="1587"/>
      <c r="O1649" s="1135"/>
      <c r="P1649" s="123"/>
      <c r="Q1649" s="123"/>
      <c r="R1649" s="1431"/>
      <c r="S1649" s="123"/>
      <c r="T1649" s="123"/>
      <c r="U1649" s="1589"/>
      <c r="V1649" s="1958" t="s">
        <v>31</v>
      </c>
      <c r="W1649" s="818"/>
      <c r="X1649" s="819"/>
      <c r="Y1649" s="737"/>
      <c r="Z1649" s="737"/>
      <c r="AA1649" s="737"/>
      <c r="AB1649" s="425"/>
      <c r="AC1649" s="742">
        <v>2068.02</v>
      </c>
      <c r="AD1649" s="818"/>
      <c r="AE1649" s="818"/>
      <c r="AF1649" s="818"/>
      <c r="AG1649" s="818"/>
      <c r="AH1649" s="163"/>
      <c r="AK1649" s="820"/>
      <c r="BB1649" s="244">
        <f>(BD1649+BD1650+BD1651+BD1652)/(BE1649+BE1650+BE1651+BE1652)</f>
        <v>1.2528301972467237</v>
      </c>
      <c r="BC1649" s="3130" t="str">
        <f t="shared" si="177"/>
        <v>Cooling Res 6 Year EUL</v>
      </c>
      <c r="BD1649" s="673">
        <f>(INDEX('Avoided Cost Benefits'!$C$4:$C$857,MATCH(BC1649,'Avoided Cost Benefits'!$A$4:$A$857,0)))*F1649</f>
        <v>1202.520878632854</v>
      </c>
      <c r="BE1649" s="1949">
        <f t="shared" si="174"/>
        <v>1617.7593104128671</v>
      </c>
      <c r="BG1649" s="691"/>
      <c r="BH1649" s="821"/>
      <c r="BI1649" s="691"/>
    </row>
    <row r="1650" spans="1:61" s="1942" customFormat="1" x14ac:dyDescent="0.25">
      <c r="A1650" s="1267"/>
      <c r="B1650" s="123"/>
      <c r="C1650" s="2038" t="s">
        <v>1434</v>
      </c>
      <c r="D1650" s="2695" t="s">
        <v>320</v>
      </c>
      <c r="E1650" s="3007" t="s">
        <v>1435</v>
      </c>
      <c r="F1650" s="742">
        <v>0</v>
      </c>
      <c r="G1650" s="3050" t="s">
        <v>1135</v>
      </c>
      <c r="H1650" s="2867">
        <f>VLOOKUP(G1650,'CP FACTORS'!$A$3:$B$38, 2, FALSE)</f>
        <v>0</v>
      </c>
      <c r="I1650" s="2757">
        <f t="shared" si="176"/>
        <v>0</v>
      </c>
      <c r="J1650" s="116">
        <f t="shared" si="171"/>
        <v>6</v>
      </c>
      <c r="K1650" s="3294">
        <f t="shared" si="172"/>
        <v>0</v>
      </c>
      <c r="L1650" s="3296"/>
      <c r="M1650" s="328"/>
      <c r="N1650" s="1587"/>
      <c r="O1650" s="1135"/>
      <c r="P1650" s="123"/>
      <c r="Q1650" s="123"/>
      <c r="R1650" s="1431"/>
      <c r="S1650" s="123"/>
      <c r="T1650" s="123"/>
      <c r="U1650" s="1589"/>
      <c r="V1650" s="1958" t="s">
        <v>31</v>
      </c>
      <c r="W1650" s="818"/>
      <c r="X1650" s="819"/>
      <c r="Y1650" s="737"/>
      <c r="Z1650" s="737"/>
      <c r="AA1650" s="737"/>
      <c r="AB1650" s="425"/>
      <c r="AC1650" s="742">
        <v>0</v>
      </c>
      <c r="AD1650" s="818"/>
      <c r="AE1650" s="818"/>
      <c r="AF1650" s="818"/>
      <c r="AG1650" s="818"/>
      <c r="AH1650" s="163"/>
      <c r="AK1650" s="820"/>
      <c r="BB1650" s="734"/>
      <c r="BC1650" s="3130" t="str">
        <f t="shared" si="177"/>
        <v>Heating Res 6 Year EUL</v>
      </c>
      <c r="BD1650" s="673">
        <f>(INDEX('Avoided Cost Benefits'!$C$4:$C$857,MATCH(BC1650,'Avoided Cost Benefits'!$A$4:$A$857,0)))*F1650</f>
        <v>0</v>
      </c>
      <c r="BE1650" s="1949">
        <f t="shared" si="174"/>
        <v>0</v>
      </c>
      <c r="BG1650" s="691"/>
      <c r="BH1650" s="821"/>
      <c r="BI1650" s="691"/>
    </row>
    <row r="1651" spans="1:61" s="1942" customFormat="1" x14ac:dyDescent="0.25">
      <c r="A1651" s="1267"/>
      <c r="B1651" s="123"/>
      <c r="C1651" s="2038" t="s">
        <v>1434</v>
      </c>
      <c r="D1651" s="2695" t="s">
        <v>320</v>
      </c>
      <c r="E1651" s="3007" t="s">
        <v>1436</v>
      </c>
      <c r="F1651" s="742">
        <f t="shared" ref="F1651" si="179">ROUND(((K2671*K2858*(1/K3045-1/K3232)*K3419)/1000)*$K$3484,2)</f>
        <v>697.15</v>
      </c>
      <c r="G1651" s="3050" t="s">
        <v>1176</v>
      </c>
      <c r="H1651" s="2867">
        <f>VLOOKUP(G1651,'CP FACTORS'!$A$3:$B$38, 2, FALSE)</f>
        <v>9.4741810000000004E-4</v>
      </c>
      <c r="I1651" s="2757">
        <f t="shared" si="176"/>
        <v>0.660493</v>
      </c>
      <c r="J1651" s="116">
        <f t="shared" si="171"/>
        <v>12</v>
      </c>
      <c r="K1651" s="3294">
        <f t="shared" si="172"/>
        <v>0</v>
      </c>
      <c r="L1651" s="3296"/>
      <c r="M1651" s="328"/>
      <c r="N1651" s="1587"/>
      <c r="O1651" s="1135"/>
      <c r="P1651" s="123"/>
      <c r="Q1651" s="123"/>
      <c r="R1651" s="1431"/>
      <c r="S1651" s="123"/>
      <c r="T1651" s="123"/>
      <c r="U1651" s="1589"/>
      <c r="V1651" s="1958" t="s">
        <v>31</v>
      </c>
      <c r="W1651" s="818"/>
      <c r="X1651" s="819"/>
      <c r="Y1651" s="737"/>
      <c r="Z1651" s="737"/>
      <c r="AA1651" s="737"/>
      <c r="AB1651" s="425"/>
      <c r="AC1651" s="742">
        <v>697.15</v>
      </c>
      <c r="AD1651" s="818"/>
      <c r="AE1651" s="818"/>
      <c r="AF1651" s="818"/>
      <c r="AG1651" s="818"/>
      <c r="AH1651" s="163"/>
      <c r="AK1651" s="820"/>
      <c r="BB1651" s="734"/>
      <c r="BC1651" s="3130" t="str">
        <f t="shared" si="177"/>
        <v>Cooling Res ER2 12 Year EUL</v>
      </c>
      <c r="BD1651" s="673">
        <f>(INDEX('Avoided Cost Benefits'!$C$4:$C$857,MATCH(BC1651,'Avoided Cost Benefits'!$A$4:$A$857,0)))*F1651</f>
        <v>824.25683732942207</v>
      </c>
      <c r="BE1651" s="1949">
        <f t="shared" si="174"/>
        <v>0</v>
      </c>
      <c r="BG1651" s="691"/>
      <c r="BH1651" s="821"/>
      <c r="BI1651" s="691"/>
    </row>
    <row r="1652" spans="1:61" s="1942" customFormat="1" x14ac:dyDescent="0.25">
      <c r="A1652" s="1267"/>
      <c r="B1652" s="123"/>
      <c r="C1652" s="2038" t="s">
        <v>1434</v>
      </c>
      <c r="D1652" s="2695" t="s">
        <v>320</v>
      </c>
      <c r="E1652" s="3007" t="s">
        <v>1436</v>
      </c>
      <c r="F1652" s="742">
        <f>0</f>
        <v>0</v>
      </c>
      <c r="G1652" s="3050" t="s">
        <v>1195</v>
      </c>
      <c r="H1652" s="2867">
        <f>VLOOKUP(G1652,'CP FACTORS'!$A$3:$B$38, 2, FALSE)</f>
        <v>0</v>
      </c>
      <c r="I1652" s="2757">
        <f t="shared" si="176"/>
        <v>0</v>
      </c>
      <c r="J1652" s="116">
        <f t="shared" si="171"/>
        <v>12</v>
      </c>
      <c r="K1652" s="3294">
        <f t="shared" si="172"/>
        <v>0</v>
      </c>
      <c r="L1652" s="3296"/>
      <c r="M1652" s="328"/>
      <c r="N1652" s="1587"/>
      <c r="O1652" s="1135"/>
      <c r="P1652" s="123"/>
      <c r="Q1652" s="123"/>
      <c r="R1652" s="1431"/>
      <c r="S1652" s="123"/>
      <c r="T1652" s="123"/>
      <c r="U1652" s="1589"/>
      <c r="V1652" s="1958" t="s">
        <v>31</v>
      </c>
      <c r="W1652" s="818"/>
      <c r="X1652" s="819"/>
      <c r="Y1652" s="737"/>
      <c r="Z1652" s="737"/>
      <c r="AA1652" s="737"/>
      <c r="AB1652" s="425"/>
      <c r="AC1652" s="742">
        <v>0</v>
      </c>
      <c r="AD1652" s="818"/>
      <c r="AE1652" s="818"/>
      <c r="AF1652" s="818"/>
      <c r="AG1652" s="818"/>
      <c r="AH1652" s="163"/>
      <c r="AK1652" s="820"/>
      <c r="BB1652" s="734"/>
      <c r="BC1652" s="3130" t="str">
        <f t="shared" si="177"/>
        <v>Heating Res ER2 12 Year EUL</v>
      </c>
      <c r="BD1652" s="673">
        <f>(INDEX('Avoided Cost Benefits'!$C$4:$C$857,MATCH(BC1652,'Avoided Cost Benefits'!$A$4:$A$857,0)))*F1652</f>
        <v>0</v>
      </c>
      <c r="BE1652" s="1949">
        <f t="shared" si="174"/>
        <v>0</v>
      </c>
      <c r="BG1652" s="691"/>
      <c r="BH1652" s="821"/>
      <c r="BI1652" s="691"/>
    </row>
    <row r="1653" spans="1:61" s="51" customFormat="1" x14ac:dyDescent="0.25">
      <c r="A1653" s="1267" t="str">
        <f t="shared" si="173"/>
        <v>354300_2021_12_Cooling Res</v>
      </c>
      <c r="B1653" s="123"/>
      <c r="C1653" s="2038" t="s">
        <v>1438</v>
      </c>
      <c r="D1653" s="1553" t="s">
        <v>322</v>
      </c>
      <c r="E1653" s="2878" t="s">
        <v>1439</v>
      </c>
      <c r="F1653" s="742">
        <f>ROUND(((K2672*K2859*(1/K3046-1/K3233)*K3420)/1000)*$K$3484,2)</f>
        <v>1312.04</v>
      </c>
      <c r="G1653" s="214" t="s">
        <v>1134</v>
      </c>
      <c r="H1653" s="155">
        <f>VLOOKUP(G1653,'CP FACTORS'!$A$3:$B$38, 2, FALSE)</f>
        <v>9.4741810000000004E-4</v>
      </c>
      <c r="I1653" s="1554">
        <f t="shared" si="176"/>
        <v>1.24305</v>
      </c>
      <c r="J1653" s="108">
        <f t="shared" si="171"/>
        <v>6</v>
      </c>
      <c r="K1653" s="3294">
        <f t="shared" si="172"/>
        <v>1195.8844199433067</v>
      </c>
      <c r="L1653" s="1088">
        <f>L1924</f>
        <v>1.5</v>
      </c>
      <c r="M1653" s="328"/>
      <c r="N1653" s="1587"/>
      <c r="O1653" s="1135"/>
      <c r="P1653" s="123"/>
      <c r="Q1653" s="123"/>
      <c r="R1653" s="1431"/>
      <c r="S1653" s="123"/>
      <c r="T1653" s="123"/>
      <c r="U1653" s="1589"/>
      <c r="V1653" s="1962" t="s">
        <v>31</v>
      </c>
      <c r="W1653" s="818">
        <v>1922.7050980392157</v>
      </c>
      <c r="X1653" s="819">
        <v>1355.1427330932372</v>
      </c>
      <c r="Y1653" s="737">
        <v>1355.14</v>
      </c>
      <c r="Z1653" s="737">
        <v>1355.14</v>
      </c>
      <c r="AA1653" s="737">
        <v>1355.14</v>
      </c>
      <c r="AB1653" s="425">
        <v>2638.66</v>
      </c>
      <c r="AC1653" s="742">
        <v>1312.04</v>
      </c>
      <c r="AD1653" s="818"/>
      <c r="AE1653" s="818"/>
      <c r="AF1653" s="818"/>
      <c r="AG1653" s="818"/>
      <c r="AH1653" s="163"/>
      <c r="AI1653" s="1942"/>
      <c r="AJ1653" s="1942"/>
      <c r="AK1653" s="820"/>
      <c r="AL1653" s="1942"/>
      <c r="AM1653" s="1942"/>
      <c r="AN1653" s="1942"/>
      <c r="AO1653" s="1942"/>
      <c r="AP1653" s="1942"/>
      <c r="AQ1653" s="1942"/>
      <c r="AR1653" s="1942"/>
      <c r="AS1653" s="1942"/>
      <c r="AT1653" s="1942"/>
      <c r="AU1653" s="1942"/>
      <c r="AV1653" s="1942"/>
      <c r="AW1653" s="1942"/>
      <c r="AX1653" s="1942"/>
      <c r="AY1653" s="1942"/>
      <c r="AZ1653" s="1942"/>
      <c r="BA1653" s="1942"/>
      <c r="BB1653" s="244">
        <f>(BD1653+BD1654+BD1655+BD1656)/(BE1653+BE1654+BE1655+BE1656)</f>
        <v>2.2880649286475494</v>
      </c>
      <c r="BC1653" s="3115" t="str">
        <f t="shared" si="177"/>
        <v>Cooling Res 6 Year EUL</v>
      </c>
      <c r="BD1653" s="673">
        <f>(INDEX('Avoided Cost Benefits'!$C$4:$C$857,MATCH(BC1653,'Avoided Cost Benefits'!$A$4:$A$857,0)))*F1653</f>
        <v>762.93048113724706</v>
      </c>
      <c r="BE1653" s="1949">
        <f t="shared" si="174"/>
        <v>1128.7252665816957</v>
      </c>
      <c r="BF1653" s="1942"/>
      <c r="BG1653" s="691"/>
      <c r="BH1653" s="821"/>
      <c r="BI1653" s="691"/>
    </row>
    <row r="1654" spans="1:61" s="51" customFormat="1" x14ac:dyDescent="0.25">
      <c r="A1654" s="1267" t="str">
        <f t="shared" si="173"/>
        <v>354300_2021_12_Heating Res</v>
      </c>
      <c r="B1654" s="123"/>
      <c r="C1654" s="2038" t="s">
        <v>1438</v>
      </c>
      <c r="D1654" s="1553" t="s">
        <v>322</v>
      </c>
      <c r="E1654" s="3007" t="s">
        <v>1439</v>
      </c>
      <c r="F1654" s="742">
        <f>ROUND(((K1924*K2111*(1/K2298-1/K2485)*K3420)/1000)*$K$3484,2)</f>
        <v>3382.58</v>
      </c>
      <c r="G1654" s="214" t="s">
        <v>1135</v>
      </c>
      <c r="H1654" s="155">
        <f>VLOOKUP(G1654,'CP FACTORS'!$A$3:$B$38, 2, FALSE)</f>
        <v>0</v>
      </c>
      <c r="I1654" s="1554">
        <f t="shared" si="176"/>
        <v>0</v>
      </c>
      <c r="J1654" s="108">
        <f t="shared" si="171"/>
        <v>6</v>
      </c>
      <c r="K1654" s="1052">
        <f t="shared" si="172"/>
        <v>0</v>
      </c>
      <c r="L1654" s="1088"/>
      <c r="M1654" s="328"/>
      <c r="N1654" s="1587"/>
      <c r="O1654" s="1135"/>
      <c r="P1654" s="123"/>
      <c r="Q1654" s="123"/>
      <c r="R1654" s="1431"/>
      <c r="S1654" s="123"/>
      <c r="T1654" s="123"/>
      <c r="U1654" s="1589"/>
      <c r="V1654" s="1962" t="s">
        <v>31</v>
      </c>
      <c r="W1654" s="818">
        <v>9077.8044487427451</v>
      </c>
      <c r="X1654" s="819">
        <v>6759.7787234042544</v>
      </c>
      <c r="Y1654" s="737">
        <v>6759.78</v>
      </c>
      <c r="Z1654" s="737">
        <v>6759.78</v>
      </c>
      <c r="AA1654" s="737">
        <v>6759.78</v>
      </c>
      <c r="AB1654" s="425">
        <v>9020.2199999999993</v>
      </c>
      <c r="AC1654" s="742">
        <v>3382.58</v>
      </c>
      <c r="AD1654" s="818"/>
      <c r="AE1654" s="818"/>
      <c r="AF1654" s="818"/>
      <c r="AG1654" s="818"/>
      <c r="AH1654" s="163"/>
      <c r="AI1654" s="1942"/>
      <c r="AJ1654" s="1942"/>
      <c r="AK1654" s="820"/>
      <c r="AL1654" s="1942"/>
      <c r="AM1654" s="1942"/>
      <c r="AN1654" s="1942"/>
      <c r="AO1654" s="1942"/>
      <c r="AP1654" s="1942"/>
      <c r="AQ1654" s="1942"/>
      <c r="AR1654" s="1942"/>
      <c r="AS1654" s="1942"/>
      <c r="AT1654" s="1942"/>
      <c r="AU1654" s="1942"/>
      <c r="AV1654" s="1942"/>
      <c r="AW1654" s="1942"/>
      <c r="AX1654" s="1942"/>
      <c r="AY1654" s="1942"/>
      <c r="AZ1654" s="1942"/>
      <c r="BA1654" s="1942"/>
      <c r="BB1654" s="734"/>
      <c r="BC1654" s="3130" t="str">
        <f t="shared" si="177"/>
        <v>Heating Res 6 Year EUL</v>
      </c>
      <c r="BD1654" s="673">
        <f>(INDEX('Avoided Cost Benefits'!$C$4:$C$857,MATCH(BC1654,'Avoided Cost Benefits'!$A$4:$A$857,0)))*F1654</f>
        <v>562.6363846995464</v>
      </c>
      <c r="BE1654" s="1949">
        <f t="shared" si="174"/>
        <v>0</v>
      </c>
      <c r="BF1654" s="1942"/>
      <c r="BG1654" s="691"/>
      <c r="BH1654" s="821"/>
      <c r="BI1654" s="691"/>
    </row>
    <row r="1655" spans="1:61" s="51" customFormat="1" x14ac:dyDescent="0.25">
      <c r="A1655" s="1267" t="str">
        <f t="shared" si="173"/>
        <v>354300_2021_12_Cooling Res ER2</v>
      </c>
      <c r="B1655" s="123"/>
      <c r="C1655" s="2038" t="s">
        <v>1438</v>
      </c>
      <c r="D1655" s="1553" t="s">
        <v>322</v>
      </c>
      <c r="E1655" s="3007" t="s">
        <v>1440</v>
      </c>
      <c r="F1655" s="742">
        <f>ROUND(((K2673*K2860*(1/K3047-1/K3234)*K3421)/1000)*$K$3484,2)</f>
        <v>217.25</v>
      </c>
      <c r="G1655" s="1580" t="s">
        <v>1176</v>
      </c>
      <c r="H1655" s="155">
        <f>VLOOKUP(G1655,'CP FACTORS'!$A$3:$B$38, 2, FALSE)</f>
        <v>9.4741810000000004E-4</v>
      </c>
      <c r="I1655" s="1554">
        <f t="shared" si="176"/>
        <v>0.20582700000000001</v>
      </c>
      <c r="J1655" s="108">
        <f t="shared" si="171"/>
        <v>12</v>
      </c>
      <c r="K1655" s="1052">
        <f t="shared" si="172"/>
        <v>0</v>
      </c>
      <c r="L1655" s="1088"/>
      <c r="M1655" s="328"/>
      <c r="N1655" s="1587"/>
      <c r="O1655" s="1135"/>
      <c r="P1655" s="123"/>
      <c r="Q1655" s="123"/>
      <c r="R1655" s="1431"/>
      <c r="S1655" s="123"/>
      <c r="T1655" s="123"/>
      <c r="U1655" s="1589"/>
      <c r="V1655" s="1962" t="s">
        <v>31</v>
      </c>
      <c r="W1655" s="818">
        <v>448.98333333333346</v>
      </c>
      <c r="X1655" s="825">
        <v>448.98333333333346</v>
      </c>
      <c r="Y1655" s="737">
        <v>448.98</v>
      </c>
      <c r="Z1655" s="737">
        <v>448.98</v>
      </c>
      <c r="AA1655" s="737">
        <v>448.98</v>
      </c>
      <c r="AB1655" s="425">
        <v>579.33000000000004</v>
      </c>
      <c r="AC1655" s="742">
        <v>217.25</v>
      </c>
      <c r="AD1655" s="818"/>
      <c r="AE1655" s="818"/>
      <c r="AF1655" s="818"/>
      <c r="AG1655" s="818"/>
      <c r="AH1655" s="163"/>
      <c r="AI1655" s="1942"/>
      <c r="AJ1655" s="1942"/>
      <c r="AK1655" s="820"/>
      <c r="AL1655" s="1942"/>
      <c r="AM1655" s="1942"/>
      <c r="AN1655" s="1942"/>
      <c r="AO1655" s="1942"/>
      <c r="AP1655" s="1942"/>
      <c r="AQ1655" s="1942"/>
      <c r="AR1655" s="1942"/>
      <c r="AS1655" s="1942"/>
      <c r="AT1655" s="1942"/>
      <c r="AU1655" s="1942"/>
      <c r="AV1655" s="1942"/>
      <c r="AW1655" s="1942"/>
      <c r="AX1655" s="1942"/>
      <c r="AY1655" s="1942"/>
      <c r="AZ1655" s="1942"/>
      <c r="BA1655" s="1942"/>
      <c r="BB1655" s="734"/>
      <c r="BC1655" s="3130" t="str">
        <f t="shared" si="177"/>
        <v>Cooling Res ER2 12 Year EUL</v>
      </c>
      <c r="BD1655" s="673">
        <f>(INDEX('Avoided Cost Benefits'!$C$4:$C$857,MATCH(BC1655,'Avoided Cost Benefits'!$A$4:$A$857,0)))*F1655</f>
        <v>256.85978327449897</v>
      </c>
      <c r="BE1655" s="1949">
        <f t="shared" si="174"/>
        <v>0</v>
      </c>
      <c r="BF1655" s="1942"/>
      <c r="BG1655" s="691"/>
      <c r="BH1655" s="821"/>
      <c r="BI1655" s="691"/>
    </row>
    <row r="1656" spans="1:61" s="51" customFormat="1" x14ac:dyDescent="0.25">
      <c r="A1656" s="1267" t="str">
        <f t="shared" si="173"/>
        <v>354300_2021_12_Heating Res ER2</v>
      </c>
      <c r="B1656" s="123"/>
      <c r="C1656" s="2038" t="s">
        <v>1438</v>
      </c>
      <c r="D1656" s="1553" t="s">
        <v>322</v>
      </c>
      <c r="E1656" s="3005" t="s">
        <v>1440</v>
      </c>
      <c r="F1656" s="742">
        <f>ROUND(((K1925*K2112*(1/K2299-1/K2486)*K3421)/1000)*$K$3484,2)</f>
        <v>3382.58</v>
      </c>
      <c r="G1656" s="1580" t="s">
        <v>1195</v>
      </c>
      <c r="H1656" s="155">
        <f>VLOOKUP(G1656,'CP FACTORS'!$A$3:$B$38, 2, FALSE)</f>
        <v>0</v>
      </c>
      <c r="I1656" s="1554">
        <f t="shared" si="176"/>
        <v>0</v>
      </c>
      <c r="J1656" s="108">
        <f t="shared" si="171"/>
        <v>12</v>
      </c>
      <c r="K1656" s="1052">
        <f t="shared" si="172"/>
        <v>0</v>
      </c>
      <c r="L1656" s="1088"/>
      <c r="M1656" s="328"/>
      <c r="N1656" s="1587"/>
      <c r="O1656" s="1135"/>
      <c r="P1656" s="123"/>
      <c r="Q1656" s="123"/>
      <c r="R1656" s="1431"/>
      <c r="S1656" s="123"/>
      <c r="T1656" s="123"/>
      <c r="U1656" s="1589"/>
      <c r="V1656" s="1962" t="s">
        <v>31</v>
      </c>
      <c r="W1656" s="818">
        <v>9077.8044487427451</v>
      </c>
      <c r="X1656" s="819">
        <v>6759.7787234042544</v>
      </c>
      <c r="Y1656" s="737">
        <v>6759.78</v>
      </c>
      <c r="Z1656" s="737">
        <v>6759.78</v>
      </c>
      <c r="AA1656" s="737">
        <v>6759.78</v>
      </c>
      <c r="AB1656" s="425">
        <v>9020.2199999999993</v>
      </c>
      <c r="AC1656" s="742">
        <v>3382.58</v>
      </c>
      <c r="AD1656" s="818"/>
      <c r="AE1656" s="818"/>
      <c r="AF1656" s="818"/>
      <c r="AG1656" s="818"/>
      <c r="AH1656" s="163"/>
      <c r="AI1656" s="1942"/>
      <c r="AJ1656" s="1942"/>
      <c r="AK1656" s="820"/>
      <c r="AL1656" s="1942"/>
      <c r="AM1656" s="1942"/>
      <c r="AN1656" s="1942"/>
      <c r="AO1656" s="1942"/>
      <c r="AP1656" s="1942"/>
      <c r="AQ1656" s="1942"/>
      <c r="AR1656" s="1942"/>
      <c r="AS1656" s="1942"/>
      <c r="AT1656" s="1942"/>
      <c r="AU1656" s="1942"/>
      <c r="AV1656" s="1942"/>
      <c r="AW1656" s="1942"/>
      <c r="AX1656" s="1942"/>
      <c r="AY1656" s="1942"/>
      <c r="AZ1656" s="1942"/>
      <c r="BA1656" s="1942"/>
      <c r="BB1656" s="734"/>
      <c r="BC1656" s="3116" t="str">
        <f t="shared" si="177"/>
        <v>Heating Res ER2 12 Year EUL</v>
      </c>
      <c r="BD1656" s="673">
        <f>(INDEX('Avoided Cost Benefits'!$C$4:$C$857,MATCH(BC1656,'Avoided Cost Benefits'!$A$4:$A$857,0)))*F1656</f>
        <v>1000.1700474326414</v>
      </c>
      <c r="BE1656" s="1949">
        <f t="shared" si="174"/>
        <v>0</v>
      </c>
      <c r="BF1656" s="1942"/>
      <c r="BG1656" s="691"/>
      <c r="BH1656" s="821"/>
      <c r="BI1656" s="691"/>
    </row>
    <row r="1657" spans="1:61" s="51" customFormat="1" x14ac:dyDescent="0.25">
      <c r="A1657" s="1267" t="str">
        <f t="shared" si="173"/>
        <v>354301_2021_12_Cooling Res</v>
      </c>
      <c r="B1657" s="123"/>
      <c r="C1657" s="2038" t="s">
        <v>1442</v>
      </c>
      <c r="D1657" s="1553" t="s">
        <v>317</v>
      </c>
      <c r="E1657" s="2878" t="s">
        <v>1443</v>
      </c>
      <c r="F1657" s="742">
        <f>ROUND((($K$2674*$K$2861*(1/$K$3048-1/$K$3235)*$K$3422)/1000)*$K$3484,2)</f>
        <v>476.88</v>
      </c>
      <c r="G1657" s="214" t="str">
        <f>G1653</f>
        <v>Cooling Res</v>
      </c>
      <c r="H1657" s="155">
        <f>VLOOKUP(G1657,'CP FACTORS'!$A$3:$B$38, 2, FALSE)</f>
        <v>9.4741810000000004E-4</v>
      </c>
      <c r="I1657" s="1554">
        <f t="shared" si="176"/>
        <v>0.45180500000000001</v>
      </c>
      <c r="J1657" s="108">
        <f t="shared" si="171"/>
        <v>6</v>
      </c>
      <c r="K1657" s="3294">
        <f t="shared" si="172"/>
        <v>1195.8844199433067</v>
      </c>
      <c r="L1657" s="3296">
        <f>L1926</f>
        <v>1.5</v>
      </c>
      <c r="M1657" s="328"/>
      <c r="N1657" s="1587"/>
      <c r="O1657" s="1135"/>
      <c r="P1657" s="123"/>
      <c r="Q1657" s="123"/>
      <c r="R1657" s="1431"/>
      <c r="S1657" s="123"/>
      <c r="T1657" s="123"/>
      <c r="U1657" s="1589"/>
      <c r="V1657" s="1962" t="s">
        <v>31</v>
      </c>
      <c r="W1657" s="818"/>
      <c r="X1657" s="819"/>
      <c r="Y1657" s="742">
        <v>985.56</v>
      </c>
      <c r="Z1657" s="737">
        <v>985.56</v>
      </c>
      <c r="AA1657" s="737">
        <v>985.56</v>
      </c>
      <c r="AB1657" s="425">
        <v>1271.69</v>
      </c>
      <c r="AC1657" s="742">
        <v>476.88</v>
      </c>
      <c r="AD1657" s="818"/>
      <c r="AE1657" s="818"/>
      <c r="AF1657" s="818"/>
      <c r="AG1657" s="818"/>
      <c r="AH1657" s="163"/>
      <c r="AI1657" s="1942"/>
      <c r="AJ1657" s="1942"/>
      <c r="AK1657" s="820"/>
      <c r="AL1657" s="1942"/>
      <c r="AM1657" s="1942"/>
      <c r="AN1657" s="1942"/>
      <c r="AO1657" s="1942"/>
      <c r="AP1657" s="1942"/>
      <c r="AQ1657" s="1942"/>
      <c r="AR1657" s="1942"/>
      <c r="AS1657" s="1942"/>
      <c r="AT1657" s="1942"/>
      <c r="AU1657" s="1942"/>
      <c r="AV1657" s="1942"/>
      <c r="AW1657" s="1942"/>
      <c r="AX1657" s="1942"/>
      <c r="AY1657" s="1942"/>
      <c r="AZ1657" s="1942"/>
      <c r="BA1657" s="1942"/>
      <c r="BB1657" s="244">
        <f>(BD1657+BD1658+BD1659+BD1660)/(BE1657+BE1658+BE1659+BE1660)</f>
        <v>0.88319025209442725</v>
      </c>
      <c r="BC1657" s="3115" t="str">
        <f t="shared" si="177"/>
        <v>Cooling Res 6 Year EUL</v>
      </c>
      <c r="BD1657" s="673">
        <f>(INDEX('Avoided Cost Benefits'!$C$4:$C$857,MATCH(BC1657,'Avoided Cost Benefits'!$A$4:$A$857,0)))*F1657</f>
        <v>277.29816762044629</v>
      </c>
      <c r="BE1657" s="1949">
        <f t="shared" si="174"/>
        <v>1128.7252665816957</v>
      </c>
      <c r="BF1657" s="1942"/>
      <c r="BG1657" s="691"/>
      <c r="BH1657" s="824"/>
      <c r="BI1657" s="691"/>
    </row>
    <row r="1658" spans="1:61" s="51" customFormat="1" x14ac:dyDescent="0.25">
      <c r="A1658" s="1267" t="str">
        <f t="shared" si="173"/>
        <v>354301_2021_12_Heating Res</v>
      </c>
      <c r="B1658" s="123"/>
      <c r="C1658" s="2038" t="str">
        <f>C1657</f>
        <v>354301_2021_12_</v>
      </c>
      <c r="D1658" s="1553" t="s">
        <v>317</v>
      </c>
      <c r="E1658" s="3007" t="s">
        <v>1443</v>
      </c>
      <c r="F1658" s="742">
        <f>ROUND((($K$1926*$K$2113*(1/$K$2300-1/$K$2487)*$K$3422)/1000)*$K$3484,2)</f>
        <v>1153.1500000000001</v>
      </c>
      <c r="G1658" s="214" t="str">
        <f>G1654</f>
        <v>Heating Res</v>
      </c>
      <c r="H1658" s="155">
        <f>VLOOKUP(G1658,'CP FACTORS'!$A$3:$B$38, 2, FALSE)</f>
        <v>0</v>
      </c>
      <c r="I1658" s="1554">
        <f t="shared" si="176"/>
        <v>0</v>
      </c>
      <c r="J1658" s="108">
        <f t="shared" si="171"/>
        <v>6</v>
      </c>
      <c r="K1658" s="1052">
        <f t="shared" si="172"/>
        <v>0</v>
      </c>
      <c r="L1658" s="1088"/>
      <c r="M1658" s="328"/>
      <c r="N1658" s="1587"/>
      <c r="O1658" s="1135"/>
      <c r="P1658" s="123"/>
      <c r="Q1658" s="123"/>
      <c r="R1658" s="1431"/>
      <c r="S1658" s="123"/>
      <c r="T1658" s="123"/>
      <c r="U1658" s="1589"/>
      <c r="V1658" s="1962" t="s">
        <v>31</v>
      </c>
      <c r="W1658" s="818"/>
      <c r="X1658" s="819"/>
      <c r="Y1658" s="742">
        <v>2304.4699999999998</v>
      </c>
      <c r="Z1658" s="737">
        <v>2304.4699999999998</v>
      </c>
      <c r="AA1658" s="737">
        <v>2304.4699999999998</v>
      </c>
      <c r="AB1658" s="425">
        <v>3075.08</v>
      </c>
      <c r="AC1658" s="742">
        <v>1153.1500000000001</v>
      </c>
      <c r="AD1658" s="818"/>
      <c r="AE1658" s="818"/>
      <c r="AF1658" s="818"/>
      <c r="AG1658" s="818"/>
      <c r="AH1658" s="163"/>
      <c r="AI1658" s="1942"/>
      <c r="AJ1658" s="1942"/>
      <c r="AK1658" s="820"/>
      <c r="AL1658" s="1942"/>
      <c r="AM1658" s="1942"/>
      <c r="AN1658" s="1942"/>
      <c r="AO1658" s="1942"/>
      <c r="AP1658" s="1942"/>
      <c r="AQ1658" s="1942"/>
      <c r="AR1658" s="1942"/>
      <c r="AS1658" s="1942"/>
      <c r="AT1658" s="1942"/>
      <c r="AU1658" s="1942"/>
      <c r="AV1658" s="1942"/>
      <c r="AW1658" s="1942"/>
      <c r="AX1658" s="1942"/>
      <c r="AY1658" s="1942"/>
      <c r="AZ1658" s="1942"/>
      <c r="BA1658" s="1942"/>
      <c r="BB1658" s="734"/>
      <c r="BC1658" s="3130" t="str">
        <f t="shared" si="177"/>
        <v>Heating Res 6 Year EUL</v>
      </c>
      <c r="BD1658" s="673">
        <f>(INDEX('Avoided Cost Benefits'!$C$4:$C$857,MATCH(BC1658,'Avoided Cost Benefits'!$A$4:$A$857,0)))*F1658</f>
        <v>191.80748038960851</v>
      </c>
      <c r="BE1658" s="1949">
        <f t="shared" si="174"/>
        <v>0</v>
      </c>
      <c r="BF1658" s="1942"/>
      <c r="BG1658" s="691"/>
      <c r="BH1658" s="824"/>
      <c r="BI1658" s="691"/>
    </row>
    <row r="1659" spans="1:61" s="51" customFormat="1" x14ac:dyDescent="0.25">
      <c r="A1659" s="1267" t="str">
        <f t="shared" si="173"/>
        <v>354301_2021_12_Cooling Res ER2</v>
      </c>
      <c r="B1659" s="123"/>
      <c r="C1659" s="2038" t="str">
        <f>C1658</f>
        <v>354301_2021_12_</v>
      </c>
      <c r="D1659" s="1553" t="s">
        <v>317</v>
      </c>
      <c r="E1659" s="3007" t="s">
        <v>1444</v>
      </c>
      <c r="F1659" s="742">
        <f>ROUND((($K$2675*$K$2862*(1/$K$3049-1/$K$3236)*$K$3423)/1000)*$K$3484,2)</f>
        <v>158</v>
      </c>
      <c r="G1659" s="214" t="str">
        <f>G1655</f>
        <v>Cooling Res ER2</v>
      </c>
      <c r="H1659" s="155">
        <f>VLOOKUP(G1659,'CP FACTORS'!$A$3:$B$38, 2, FALSE)</f>
        <v>9.4741810000000004E-4</v>
      </c>
      <c r="I1659" s="1554">
        <f t="shared" si="176"/>
        <v>0.14969199999999999</v>
      </c>
      <c r="J1659" s="108">
        <f t="shared" si="171"/>
        <v>12</v>
      </c>
      <c r="K1659" s="1052">
        <f t="shared" si="172"/>
        <v>0</v>
      </c>
      <c r="L1659" s="1088"/>
      <c r="M1659" s="328"/>
      <c r="N1659" s="1587"/>
      <c r="O1659" s="1135"/>
      <c r="P1659" s="123"/>
      <c r="Q1659" s="123"/>
      <c r="R1659" s="1431"/>
      <c r="S1659" s="123"/>
      <c r="T1659" s="123"/>
      <c r="U1659" s="1589"/>
      <c r="V1659" s="1962" t="s">
        <v>31</v>
      </c>
      <c r="W1659" s="818"/>
      <c r="X1659" s="819"/>
      <c r="Y1659" s="742">
        <v>326.52999999999997</v>
      </c>
      <c r="Z1659" s="737">
        <v>326.52999999999997</v>
      </c>
      <c r="AA1659" s="737">
        <v>326.52999999999997</v>
      </c>
      <c r="AB1659" s="425">
        <v>421.33</v>
      </c>
      <c r="AC1659" s="742">
        <v>158</v>
      </c>
      <c r="AD1659" s="818"/>
      <c r="AE1659" s="818"/>
      <c r="AF1659" s="818"/>
      <c r="AG1659" s="818"/>
      <c r="AH1659" s="163"/>
      <c r="AI1659" s="1942"/>
      <c r="AJ1659" s="1942"/>
      <c r="AK1659" s="820"/>
      <c r="AL1659" s="1942"/>
      <c r="AM1659" s="1942"/>
      <c r="AN1659" s="1942"/>
      <c r="AO1659" s="1942"/>
      <c r="AP1659" s="1942"/>
      <c r="AQ1659" s="1942"/>
      <c r="AR1659" s="1942"/>
      <c r="AS1659" s="1942"/>
      <c r="AT1659" s="1942"/>
      <c r="AU1659" s="1942"/>
      <c r="AV1659" s="1942"/>
      <c r="AW1659" s="1942"/>
      <c r="AX1659" s="1942"/>
      <c r="AY1659" s="1942"/>
      <c r="AZ1659" s="1942"/>
      <c r="BA1659" s="1942"/>
      <c r="BB1659" s="734"/>
      <c r="BC1659" s="3130" t="str">
        <f t="shared" si="177"/>
        <v>Cooling Res ER2 12 Year EUL</v>
      </c>
      <c r="BD1659" s="673">
        <f>(INDEX('Avoided Cost Benefits'!$C$4:$C$857,MATCH(BC1659,'Avoided Cost Benefits'!$A$4:$A$857,0)))*F1659</f>
        <v>186.80711510872652</v>
      </c>
      <c r="BE1659" s="1949">
        <f t="shared" si="174"/>
        <v>0</v>
      </c>
      <c r="BF1659" s="1942"/>
      <c r="BG1659" s="691"/>
      <c r="BH1659" s="824"/>
      <c r="BI1659" s="691"/>
    </row>
    <row r="1660" spans="1:61" s="51" customFormat="1" x14ac:dyDescent="0.25">
      <c r="A1660" s="1267" t="str">
        <f t="shared" si="173"/>
        <v>354301_2021_12_Heating Res ER2</v>
      </c>
      <c r="B1660" s="123"/>
      <c r="C1660" s="2038" t="str">
        <f>C1659</f>
        <v>354301_2021_12_</v>
      </c>
      <c r="D1660" s="1553" t="s">
        <v>317</v>
      </c>
      <c r="E1660" s="3005" t="s">
        <v>1444</v>
      </c>
      <c r="F1660" s="742">
        <f>ROUND((($K$1927*$K$2114*(1/$K$2301-1/$K$2488)*$K$3423)/1000)*$K$3484,2)</f>
        <v>1153.1500000000001</v>
      </c>
      <c r="G1660" s="214" t="str">
        <f>G1656</f>
        <v>Heating Res ER2</v>
      </c>
      <c r="H1660" s="155">
        <f>VLOOKUP(G1660,'CP FACTORS'!$A$3:$B$38, 2, FALSE)</f>
        <v>0</v>
      </c>
      <c r="I1660" s="1554">
        <f t="shared" si="176"/>
        <v>0</v>
      </c>
      <c r="J1660" s="108">
        <f t="shared" si="171"/>
        <v>12</v>
      </c>
      <c r="K1660" s="1052">
        <f t="shared" si="172"/>
        <v>0</v>
      </c>
      <c r="L1660" s="1088"/>
      <c r="M1660" s="328"/>
      <c r="N1660" s="1587"/>
      <c r="O1660" s="1135"/>
      <c r="P1660" s="123"/>
      <c r="Q1660" s="123"/>
      <c r="R1660" s="1431"/>
      <c r="S1660" s="123"/>
      <c r="T1660" s="123"/>
      <c r="U1660" s="1589"/>
      <c r="V1660" s="1962" t="s">
        <v>31</v>
      </c>
      <c r="W1660" s="818"/>
      <c r="X1660" s="819"/>
      <c r="Y1660" s="742">
        <v>2304.4699999999998</v>
      </c>
      <c r="Z1660" s="737">
        <v>2304.4699999999998</v>
      </c>
      <c r="AA1660" s="737">
        <v>2304.4699999999998</v>
      </c>
      <c r="AB1660" s="425">
        <v>3075.08</v>
      </c>
      <c r="AC1660" s="742">
        <v>1153.1500000000001</v>
      </c>
      <c r="AD1660" s="818"/>
      <c r="AE1660" s="818"/>
      <c r="AF1660" s="818"/>
      <c r="AG1660" s="818"/>
      <c r="AH1660" s="163"/>
      <c r="AI1660" s="1942"/>
      <c r="AJ1660" s="1942"/>
      <c r="AK1660" s="820"/>
      <c r="AL1660" s="1942"/>
      <c r="AM1660" s="1942"/>
      <c r="AN1660" s="1942"/>
      <c r="AO1660" s="1942"/>
      <c r="AP1660" s="1942"/>
      <c r="AQ1660" s="1942"/>
      <c r="AR1660" s="1942"/>
      <c r="AS1660" s="1942"/>
      <c r="AT1660" s="1942"/>
      <c r="AU1660" s="1942"/>
      <c r="AV1660" s="1942"/>
      <c r="AW1660" s="1942"/>
      <c r="AX1660" s="1942"/>
      <c r="AY1660" s="1942"/>
      <c r="AZ1660" s="1942"/>
      <c r="BA1660" s="1942"/>
      <c r="BB1660" s="734"/>
      <c r="BC1660" s="3116" t="str">
        <f t="shared" si="177"/>
        <v>Heating Res ER2 12 Year EUL</v>
      </c>
      <c r="BD1660" s="673">
        <f>(INDEX('Avoided Cost Benefits'!$C$4:$C$857,MATCH(BC1660,'Avoided Cost Benefits'!$A$4:$A$857,0)))*F1660</f>
        <v>340.96638961885617</v>
      </c>
      <c r="BE1660" s="1949">
        <f t="shared" si="174"/>
        <v>0</v>
      </c>
      <c r="BF1660" s="1942"/>
      <c r="BG1660" s="691"/>
      <c r="BH1660" s="824"/>
      <c r="BI1660" s="691"/>
    </row>
    <row r="1661" spans="1:61" s="1942" customFormat="1" x14ac:dyDescent="0.25">
      <c r="A1661" s="1267"/>
      <c r="B1661" s="123"/>
      <c r="C1661" s="2038" t="s">
        <v>1445</v>
      </c>
      <c r="D1661" s="2695" t="s">
        <v>322</v>
      </c>
      <c r="E1661" s="3007" t="s">
        <v>1446</v>
      </c>
      <c r="F1661" s="742">
        <f>ROUND(((K2676*K2863*(1/K3050-1/K3237)*K3424)/1000)*$K$3484,2)</f>
        <v>1312.04</v>
      </c>
      <c r="G1661" s="2042" t="s">
        <v>1134</v>
      </c>
      <c r="H1661" s="2867">
        <f>VLOOKUP(G1661,'CP FACTORS'!$A$3:$B$38, 2, FALSE)</f>
        <v>9.4741810000000004E-4</v>
      </c>
      <c r="I1661" s="2757">
        <f t="shared" si="176"/>
        <v>1.24305</v>
      </c>
      <c r="J1661" s="116">
        <f t="shared" si="171"/>
        <v>6</v>
      </c>
      <c r="K1661" s="3294">
        <f t="shared" si="172"/>
        <v>1195.8844199433067</v>
      </c>
      <c r="L1661" s="3296">
        <f>L1928</f>
        <v>1.5</v>
      </c>
      <c r="M1661" s="328"/>
      <c r="N1661" s="1587"/>
      <c r="O1661" s="1135"/>
      <c r="P1661" s="123"/>
      <c r="Q1661" s="123"/>
      <c r="R1661" s="1431"/>
      <c r="S1661" s="123"/>
      <c r="T1661" s="123"/>
      <c r="U1661" s="1589"/>
      <c r="V1661" s="1958" t="s">
        <v>31</v>
      </c>
      <c r="W1661" s="818"/>
      <c r="X1661" s="819"/>
      <c r="Y1661" s="742"/>
      <c r="Z1661" s="737"/>
      <c r="AA1661" s="737"/>
      <c r="AB1661" s="425"/>
      <c r="AC1661" s="742">
        <v>1312.04</v>
      </c>
      <c r="AD1661" s="818"/>
      <c r="AE1661" s="818"/>
      <c r="AF1661" s="818"/>
      <c r="AG1661" s="818"/>
      <c r="AH1661" s="163"/>
      <c r="AK1661" s="820"/>
      <c r="BB1661" s="244">
        <f>(BD1661+BD1662+BD1663+BD1664)/(BE1661+BE1662+BE1663+BE1664)</f>
        <v>0.90348847022814016</v>
      </c>
      <c r="BC1661" s="3130" t="str">
        <f t="shared" si="177"/>
        <v>Cooling Res 6 Year EUL</v>
      </c>
      <c r="BD1661" s="673">
        <f>(INDEX('Avoided Cost Benefits'!$C$4:$C$857,MATCH(BC1661,'Avoided Cost Benefits'!$A$4:$A$857,0)))*F1661</f>
        <v>762.93048113724706</v>
      </c>
      <c r="BE1661" s="1949">
        <f t="shared" si="174"/>
        <v>1128.7252665816957</v>
      </c>
      <c r="BG1661" s="691"/>
      <c r="BH1661" s="824"/>
      <c r="BI1661" s="691"/>
    </row>
    <row r="1662" spans="1:61" s="1942" customFormat="1" x14ac:dyDescent="0.25">
      <c r="A1662" s="1267"/>
      <c r="B1662" s="123"/>
      <c r="C1662" s="2038" t="s">
        <v>1445</v>
      </c>
      <c r="D1662" s="2695" t="s">
        <v>322</v>
      </c>
      <c r="E1662" s="3007" t="s">
        <v>1446</v>
      </c>
      <c r="F1662" s="742">
        <v>0</v>
      </c>
      <c r="G1662" s="2042" t="s">
        <v>1135</v>
      </c>
      <c r="H1662" s="2867">
        <f>VLOOKUP(G1662,'CP FACTORS'!$A$3:$B$38, 2, FALSE)</f>
        <v>0</v>
      </c>
      <c r="I1662" s="2757">
        <f t="shared" si="176"/>
        <v>0</v>
      </c>
      <c r="J1662" s="116">
        <f t="shared" si="171"/>
        <v>6</v>
      </c>
      <c r="K1662" s="3294">
        <f t="shared" si="172"/>
        <v>0</v>
      </c>
      <c r="L1662" s="3296"/>
      <c r="M1662" s="328"/>
      <c r="N1662" s="1587"/>
      <c r="O1662" s="1135"/>
      <c r="P1662" s="123"/>
      <c r="Q1662" s="123"/>
      <c r="R1662" s="1431"/>
      <c r="S1662" s="123"/>
      <c r="T1662" s="123"/>
      <c r="U1662" s="1589"/>
      <c r="V1662" s="1958" t="s">
        <v>31</v>
      </c>
      <c r="W1662" s="818"/>
      <c r="X1662" s="819"/>
      <c r="Y1662" s="742"/>
      <c r="Z1662" s="737"/>
      <c r="AA1662" s="737"/>
      <c r="AB1662" s="425"/>
      <c r="AC1662" s="742">
        <v>0</v>
      </c>
      <c r="AD1662" s="818"/>
      <c r="AE1662" s="818"/>
      <c r="AF1662" s="818"/>
      <c r="AG1662" s="818"/>
      <c r="AH1662" s="163"/>
      <c r="AK1662" s="820"/>
      <c r="BB1662" s="734"/>
      <c r="BC1662" s="3130" t="str">
        <f t="shared" si="177"/>
        <v>Heating Res 6 Year EUL</v>
      </c>
      <c r="BD1662" s="673">
        <f>(INDEX('Avoided Cost Benefits'!$C$4:$C$857,MATCH(BC1662,'Avoided Cost Benefits'!$A$4:$A$857,0)))*F1662</f>
        <v>0</v>
      </c>
      <c r="BE1662" s="1949">
        <f t="shared" si="174"/>
        <v>0</v>
      </c>
      <c r="BG1662" s="691"/>
      <c r="BH1662" s="824"/>
      <c r="BI1662" s="691"/>
    </row>
    <row r="1663" spans="1:61" s="1942" customFormat="1" x14ac:dyDescent="0.25">
      <c r="A1663" s="1267"/>
      <c r="B1663" s="123"/>
      <c r="C1663" s="2038" t="s">
        <v>1445</v>
      </c>
      <c r="D1663" s="2695" t="s">
        <v>322</v>
      </c>
      <c r="E1663" s="3007" t="s">
        <v>1447</v>
      </c>
      <c r="F1663" s="742">
        <f>ROUND(((K2677*K2864*(1/K3051-1/K3238)*K3425)/1000)*$K$3484,2)</f>
        <v>217.25</v>
      </c>
      <c r="G1663" s="2042" t="s">
        <v>1176</v>
      </c>
      <c r="H1663" s="2867">
        <f>VLOOKUP(G1663,'CP FACTORS'!$A$3:$B$38, 2, FALSE)</f>
        <v>9.4741810000000004E-4</v>
      </c>
      <c r="I1663" s="2757">
        <f t="shared" si="176"/>
        <v>0.20582700000000001</v>
      </c>
      <c r="J1663" s="116">
        <f t="shared" si="171"/>
        <v>12</v>
      </c>
      <c r="K1663" s="3294">
        <f t="shared" si="172"/>
        <v>0</v>
      </c>
      <c r="L1663" s="3296"/>
      <c r="M1663" s="328"/>
      <c r="N1663" s="1587"/>
      <c r="O1663" s="1135"/>
      <c r="P1663" s="123"/>
      <c r="Q1663" s="123"/>
      <c r="R1663" s="1431"/>
      <c r="S1663" s="123"/>
      <c r="T1663" s="123"/>
      <c r="U1663" s="1589"/>
      <c r="V1663" s="1958" t="s">
        <v>31</v>
      </c>
      <c r="W1663" s="818"/>
      <c r="X1663" s="819"/>
      <c r="Y1663" s="742"/>
      <c r="Z1663" s="737"/>
      <c r="AA1663" s="737"/>
      <c r="AB1663" s="425"/>
      <c r="AC1663" s="742">
        <v>217.25</v>
      </c>
      <c r="AD1663" s="818"/>
      <c r="AE1663" s="818"/>
      <c r="AF1663" s="818"/>
      <c r="AG1663" s="818"/>
      <c r="AH1663" s="163"/>
      <c r="AK1663" s="820"/>
      <c r="BB1663" s="734"/>
      <c r="BC1663" s="3130" t="str">
        <f t="shared" si="177"/>
        <v>Cooling Res ER2 12 Year EUL</v>
      </c>
      <c r="BD1663" s="673">
        <f>(INDEX('Avoided Cost Benefits'!$C$4:$C$857,MATCH(BC1663,'Avoided Cost Benefits'!$A$4:$A$857,0)))*F1663</f>
        <v>256.85978327449897</v>
      </c>
      <c r="BE1663" s="1949">
        <f t="shared" si="174"/>
        <v>0</v>
      </c>
      <c r="BG1663" s="691"/>
      <c r="BH1663" s="824"/>
      <c r="BI1663" s="691"/>
    </row>
    <row r="1664" spans="1:61" s="1942" customFormat="1" x14ac:dyDescent="0.25">
      <c r="A1664" s="1267"/>
      <c r="B1664" s="123"/>
      <c r="C1664" s="2038" t="s">
        <v>1445</v>
      </c>
      <c r="D1664" s="2695" t="s">
        <v>322</v>
      </c>
      <c r="E1664" s="3005" t="s">
        <v>1447</v>
      </c>
      <c r="F1664" s="742">
        <v>0</v>
      </c>
      <c r="G1664" s="2042" t="s">
        <v>1195</v>
      </c>
      <c r="H1664" s="2867">
        <f>VLOOKUP(G1664,'CP FACTORS'!$A$3:$B$38, 2, FALSE)</f>
        <v>0</v>
      </c>
      <c r="I1664" s="2757">
        <f t="shared" si="176"/>
        <v>0</v>
      </c>
      <c r="J1664" s="116">
        <f t="shared" ref="J1664:J1727" si="180">K3742</f>
        <v>12</v>
      </c>
      <c r="K1664" s="3294">
        <f t="shared" ref="K1664:K1727" si="181">K4116</f>
        <v>0</v>
      </c>
      <c r="L1664" s="3296"/>
      <c r="M1664" s="328"/>
      <c r="N1664" s="1587"/>
      <c r="O1664" s="1135"/>
      <c r="P1664" s="123"/>
      <c r="Q1664" s="123"/>
      <c r="R1664" s="1431"/>
      <c r="S1664" s="123"/>
      <c r="T1664" s="123"/>
      <c r="U1664" s="1589"/>
      <c r="V1664" s="1958" t="s">
        <v>31</v>
      </c>
      <c r="W1664" s="818"/>
      <c r="X1664" s="819"/>
      <c r="Y1664" s="742"/>
      <c r="Z1664" s="737"/>
      <c r="AA1664" s="737"/>
      <c r="AB1664" s="425"/>
      <c r="AC1664" s="742">
        <v>0</v>
      </c>
      <c r="AD1664" s="818"/>
      <c r="AE1664" s="818"/>
      <c r="AF1664" s="818"/>
      <c r="AG1664" s="818"/>
      <c r="AH1664" s="163"/>
      <c r="AK1664" s="820"/>
      <c r="BB1664" s="734"/>
      <c r="BC1664" s="3383" t="str">
        <f t="shared" si="177"/>
        <v>Heating Res ER2 12 Year EUL</v>
      </c>
      <c r="BD1664" s="673">
        <f>(INDEX('Avoided Cost Benefits'!$C$4:$C$857,MATCH(BC1664,'Avoided Cost Benefits'!$A$4:$A$857,0)))*F1664</f>
        <v>0</v>
      </c>
      <c r="BE1664" s="1949">
        <f t="shared" si="174"/>
        <v>0</v>
      </c>
      <c r="BG1664" s="691"/>
      <c r="BH1664" s="824"/>
      <c r="BI1664" s="691"/>
    </row>
    <row r="1665" spans="1:61" s="1942" customFormat="1" x14ac:dyDescent="0.25">
      <c r="A1665" s="1267"/>
      <c r="B1665" s="123"/>
      <c r="C1665" s="2038" t="s">
        <v>1448</v>
      </c>
      <c r="D1665" s="2695" t="s">
        <v>317</v>
      </c>
      <c r="E1665" s="3007" t="s">
        <v>1449</v>
      </c>
      <c r="F1665" s="742">
        <f>ROUND(((K2678*K2865*(1/K3052-1/K3239)*K3426)/1000)*$K$3484,2)</f>
        <v>476.88</v>
      </c>
      <c r="G1665" s="2042" t="s">
        <v>1134</v>
      </c>
      <c r="H1665" s="2867">
        <f>VLOOKUP(G1665,'CP FACTORS'!$A$3:$B$38, 2, FALSE)</f>
        <v>9.4741810000000004E-4</v>
      </c>
      <c r="I1665" s="2757">
        <f t="shared" si="176"/>
        <v>0.45180500000000001</v>
      </c>
      <c r="J1665" s="116">
        <f t="shared" si="180"/>
        <v>6</v>
      </c>
      <c r="K1665" s="3294">
        <f t="shared" si="181"/>
        <v>1195.8844199433067</v>
      </c>
      <c r="L1665" s="3296">
        <f>L1930</f>
        <v>1.5</v>
      </c>
      <c r="M1665" s="328"/>
      <c r="N1665" s="1587"/>
      <c r="O1665" s="1135"/>
      <c r="P1665" s="123"/>
      <c r="Q1665" s="123"/>
      <c r="R1665" s="1431"/>
      <c r="S1665" s="123"/>
      <c r="T1665" s="123"/>
      <c r="U1665" s="1589"/>
      <c r="V1665" s="1958" t="s">
        <v>31</v>
      </c>
      <c r="W1665" s="818"/>
      <c r="X1665" s="819"/>
      <c r="Y1665" s="742"/>
      <c r="Z1665" s="737"/>
      <c r="AA1665" s="737"/>
      <c r="AB1665" s="425"/>
      <c r="AC1665" s="742">
        <v>476.88</v>
      </c>
      <c r="AD1665" s="818"/>
      <c r="AE1665" s="818"/>
      <c r="AF1665" s="818"/>
      <c r="AG1665" s="818"/>
      <c r="AH1665" s="163"/>
      <c r="AK1665" s="820"/>
      <c r="BB1665" s="244">
        <f>(BD1665+BD1666+BD1667+BD1668)/(BE1665+BE1666+BE1667+BE1668)</f>
        <v>0.41117648064590523</v>
      </c>
      <c r="BC1665" s="3130" t="str">
        <f t="shared" si="177"/>
        <v>Cooling Res 6 Year EUL</v>
      </c>
      <c r="BD1665" s="673">
        <f>(INDEX('Avoided Cost Benefits'!$C$4:$C$857,MATCH(BC1665,'Avoided Cost Benefits'!$A$4:$A$857,0)))*F1665</f>
        <v>277.29816762044629</v>
      </c>
      <c r="BE1665" s="1949">
        <f t="shared" si="174"/>
        <v>1128.7252665816957</v>
      </c>
      <c r="BG1665" s="691"/>
      <c r="BH1665" s="824"/>
      <c r="BI1665" s="691"/>
    </row>
    <row r="1666" spans="1:61" s="1942" customFormat="1" x14ac:dyDescent="0.25">
      <c r="A1666" s="1267"/>
      <c r="B1666" s="123"/>
      <c r="C1666" s="2038" t="s">
        <v>1448</v>
      </c>
      <c r="D1666" s="2695" t="s">
        <v>317</v>
      </c>
      <c r="E1666" s="3007" t="s">
        <v>1449</v>
      </c>
      <c r="F1666" s="742">
        <v>0</v>
      </c>
      <c r="G1666" s="2042" t="s">
        <v>1135</v>
      </c>
      <c r="H1666" s="2867">
        <f>VLOOKUP(G1666,'CP FACTORS'!$A$3:$B$38, 2, FALSE)</f>
        <v>0</v>
      </c>
      <c r="I1666" s="2757">
        <f t="shared" si="176"/>
        <v>0</v>
      </c>
      <c r="J1666" s="116">
        <f t="shared" si="180"/>
        <v>6</v>
      </c>
      <c r="K1666" s="3294">
        <f t="shared" si="181"/>
        <v>0</v>
      </c>
      <c r="L1666" s="3296"/>
      <c r="M1666" s="328"/>
      <c r="N1666" s="1587"/>
      <c r="O1666" s="1135"/>
      <c r="P1666" s="123"/>
      <c r="Q1666" s="123"/>
      <c r="R1666" s="1431"/>
      <c r="S1666" s="123"/>
      <c r="T1666" s="123"/>
      <c r="U1666" s="1589"/>
      <c r="V1666" s="1958" t="s">
        <v>31</v>
      </c>
      <c r="W1666" s="818"/>
      <c r="X1666" s="819"/>
      <c r="Y1666" s="742"/>
      <c r="Z1666" s="737"/>
      <c r="AA1666" s="737"/>
      <c r="AB1666" s="425"/>
      <c r="AC1666" s="742">
        <v>0</v>
      </c>
      <c r="AD1666" s="818"/>
      <c r="AE1666" s="818"/>
      <c r="AF1666" s="818"/>
      <c r="AG1666" s="818"/>
      <c r="AH1666" s="163"/>
      <c r="AK1666" s="820"/>
      <c r="BB1666" s="734"/>
      <c r="BC1666" s="3130" t="str">
        <f t="shared" si="177"/>
        <v>Heating Res 6 Year EUL</v>
      </c>
      <c r="BD1666" s="673">
        <f>(INDEX('Avoided Cost Benefits'!$C$4:$C$857,MATCH(BC1666,'Avoided Cost Benefits'!$A$4:$A$857,0)))*F1666</f>
        <v>0</v>
      </c>
      <c r="BE1666" s="1949">
        <f t="shared" si="174"/>
        <v>0</v>
      </c>
      <c r="BG1666" s="691"/>
      <c r="BH1666" s="824"/>
      <c r="BI1666" s="691"/>
    </row>
    <row r="1667" spans="1:61" s="1942" customFormat="1" x14ac:dyDescent="0.25">
      <c r="A1667" s="1267"/>
      <c r="B1667" s="123"/>
      <c r="C1667" s="2038" t="s">
        <v>1448</v>
      </c>
      <c r="D1667" s="2695" t="s">
        <v>317</v>
      </c>
      <c r="E1667" s="3007" t="s">
        <v>1450</v>
      </c>
      <c r="F1667" s="742">
        <f>ROUND(((K2679*K2866*(1/K3053-1/K3240)*K3427)/1000)*$K$3484,2)</f>
        <v>158</v>
      </c>
      <c r="G1667" s="2042" t="s">
        <v>1176</v>
      </c>
      <c r="H1667" s="2867">
        <f>VLOOKUP(G1667,'CP FACTORS'!$A$3:$B$38, 2, FALSE)</f>
        <v>9.4741810000000004E-4</v>
      </c>
      <c r="I1667" s="2757">
        <f t="shared" si="176"/>
        <v>0.14969199999999999</v>
      </c>
      <c r="J1667" s="116">
        <f t="shared" si="180"/>
        <v>12</v>
      </c>
      <c r="K1667" s="3294">
        <f t="shared" si="181"/>
        <v>0</v>
      </c>
      <c r="L1667" s="3296"/>
      <c r="M1667" s="328"/>
      <c r="N1667" s="1587"/>
      <c r="O1667" s="1135"/>
      <c r="P1667" s="123"/>
      <c r="Q1667" s="123"/>
      <c r="R1667" s="1431"/>
      <c r="S1667" s="123"/>
      <c r="T1667" s="123"/>
      <c r="U1667" s="1589"/>
      <c r="V1667" s="1958" t="s">
        <v>31</v>
      </c>
      <c r="W1667" s="818"/>
      <c r="X1667" s="819"/>
      <c r="Y1667" s="742"/>
      <c r="Z1667" s="737"/>
      <c r="AA1667" s="737"/>
      <c r="AB1667" s="425"/>
      <c r="AC1667" s="742">
        <v>158</v>
      </c>
      <c r="AD1667" s="818"/>
      <c r="AE1667" s="818"/>
      <c r="AF1667" s="818"/>
      <c r="AG1667" s="818"/>
      <c r="AH1667" s="163"/>
      <c r="AK1667" s="820"/>
      <c r="BB1667" s="734"/>
      <c r="BC1667" s="3130" t="str">
        <f t="shared" si="177"/>
        <v>Cooling Res ER2 12 Year EUL</v>
      </c>
      <c r="BD1667" s="673">
        <f>(INDEX('Avoided Cost Benefits'!$C$4:$C$857,MATCH(BC1667,'Avoided Cost Benefits'!$A$4:$A$857,0)))*F1667</f>
        <v>186.80711510872652</v>
      </c>
      <c r="BE1667" s="1949">
        <f t="shared" si="174"/>
        <v>0</v>
      </c>
      <c r="BG1667" s="691"/>
      <c r="BH1667" s="824"/>
      <c r="BI1667" s="691"/>
    </row>
    <row r="1668" spans="1:61" s="1942" customFormat="1" x14ac:dyDescent="0.25">
      <c r="A1668" s="1267"/>
      <c r="B1668" s="123"/>
      <c r="C1668" s="2038" t="s">
        <v>1448</v>
      </c>
      <c r="D1668" s="2695" t="s">
        <v>317</v>
      </c>
      <c r="E1668" s="3007" t="s">
        <v>1450</v>
      </c>
      <c r="F1668" s="742">
        <f>0</f>
        <v>0</v>
      </c>
      <c r="G1668" s="2042" t="s">
        <v>1195</v>
      </c>
      <c r="H1668" s="2867">
        <f>VLOOKUP(G1668,'CP FACTORS'!$A$3:$B$38, 2, FALSE)</f>
        <v>0</v>
      </c>
      <c r="I1668" s="2757">
        <f t="shared" si="176"/>
        <v>0</v>
      </c>
      <c r="J1668" s="116">
        <f t="shared" si="180"/>
        <v>12</v>
      </c>
      <c r="K1668" s="3294">
        <f t="shared" si="181"/>
        <v>0</v>
      </c>
      <c r="L1668" s="3296"/>
      <c r="M1668" s="328"/>
      <c r="N1668" s="1587"/>
      <c r="O1668" s="1135"/>
      <c r="P1668" s="123"/>
      <c r="Q1668" s="123"/>
      <c r="R1668" s="1431"/>
      <c r="S1668" s="123"/>
      <c r="T1668" s="123"/>
      <c r="U1668" s="1589"/>
      <c r="V1668" s="1958" t="s">
        <v>31</v>
      </c>
      <c r="W1668" s="818"/>
      <c r="X1668" s="819"/>
      <c r="Y1668" s="742"/>
      <c r="Z1668" s="737"/>
      <c r="AA1668" s="737"/>
      <c r="AB1668" s="425"/>
      <c r="AC1668" s="742">
        <v>0</v>
      </c>
      <c r="AD1668" s="818"/>
      <c r="AE1668" s="818"/>
      <c r="AF1668" s="818"/>
      <c r="AG1668" s="818"/>
      <c r="AH1668" s="163"/>
      <c r="AK1668" s="820"/>
      <c r="BB1668" s="734"/>
      <c r="BC1668" s="3130" t="str">
        <f t="shared" si="177"/>
        <v>Heating Res ER2 12 Year EUL</v>
      </c>
      <c r="BD1668" s="673">
        <f>(INDEX('Avoided Cost Benefits'!$C$4:$C$857,MATCH(BC1668,'Avoided Cost Benefits'!$A$4:$A$857,0)))*F1668</f>
        <v>0</v>
      </c>
      <c r="BE1668" s="1949">
        <f t="shared" si="174"/>
        <v>0</v>
      </c>
      <c r="BG1668" s="691"/>
      <c r="BH1668" s="824"/>
      <c r="BI1668" s="691"/>
    </row>
    <row r="1669" spans="1:61" s="51" customFormat="1" x14ac:dyDescent="0.25">
      <c r="A1669" s="1267" t="str">
        <f t="shared" si="173"/>
        <v>354350_2021_12_Cooling Res</v>
      </c>
      <c r="B1669" s="123"/>
      <c r="C1669" s="2038" t="s">
        <v>1452</v>
      </c>
      <c r="D1669" s="1553" t="s">
        <v>322</v>
      </c>
      <c r="E1669" s="2878" t="s">
        <v>1453</v>
      </c>
      <c r="F1669" s="742">
        <f>ROUND(((K2680*K2867*(1/K3054-1/K3241)*K3428)/1000)*$K$3484,2)</f>
        <v>2201.5</v>
      </c>
      <c r="G1669" s="214" t="s">
        <v>1134</v>
      </c>
      <c r="H1669" s="155">
        <f>VLOOKUP(G1669,'CP FACTORS'!$A$3:$B$38, 2, FALSE)</f>
        <v>9.4741810000000004E-4</v>
      </c>
      <c r="I1669" s="1554">
        <f t="shared" si="176"/>
        <v>2.0857410000000001</v>
      </c>
      <c r="J1669" s="108">
        <f t="shared" si="180"/>
        <v>6</v>
      </c>
      <c r="K1669" s="3294">
        <f t="shared" si="181"/>
        <v>1739.4680664776884</v>
      </c>
      <c r="L1669" s="1088">
        <f>L1932</f>
        <v>5</v>
      </c>
      <c r="M1669" s="328"/>
      <c r="N1669" s="1587"/>
      <c r="O1669" s="1135"/>
      <c r="P1669" s="123"/>
      <c r="Q1669" s="123"/>
      <c r="R1669" s="1431"/>
      <c r="S1669" s="123"/>
      <c r="T1669" s="123"/>
      <c r="U1669" s="1589"/>
      <c r="V1669" s="1962" t="s">
        <v>31</v>
      </c>
      <c r="W1669" s="818">
        <v>1864.0050000000006</v>
      </c>
      <c r="X1669" s="819">
        <v>1442.5712965186076</v>
      </c>
      <c r="Y1669" s="737">
        <v>1442.57</v>
      </c>
      <c r="Z1669" s="737">
        <v>1442.57</v>
      </c>
      <c r="AA1669" s="737">
        <v>1442.57</v>
      </c>
      <c r="AB1669" s="2162">
        <v>1442.57</v>
      </c>
      <c r="AC1669" s="742">
        <v>2201.5</v>
      </c>
      <c r="AD1669" s="818"/>
      <c r="AE1669" s="818"/>
      <c r="AF1669" s="818"/>
      <c r="AG1669" s="818"/>
      <c r="AH1669" s="163"/>
      <c r="AI1669" s="1942"/>
      <c r="AJ1669" s="1942"/>
      <c r="AK1669" s="820"/>
      <c r="AL1669" s="1942"/>
      <c r="AM1669" s="1942"/>
      <c r="AN1669" s="1942"/>
      <c r="AO1669" s="1942"/>
      <c r="AP1669" s="1942"/>
      <c r="AQ1669" s="1942"/>
      <c r="AR1669" s="1942"/>
      <c r="AS1669" s="1942"/>
      <c r="AT1669" s="1942"/>
      <c r="AU1669" s="1942"/>
      <c r="AV1669" s="1942"/>
      <c r="AW1669" s="1942"/>
      <c r="AX1669" s="1942"/>
      <c r="AY1669" s="1942"/>
      <c r="AZ1669" s="1942"/>
      <c r="BA1669" s="1942"/>
      <c r="BB1669" s="244">
        <f>(BD1669+BD1670+BD1671+BD1672)/(BE1669+BE1670+BE1671+BE1672)</f>
        <v>1.6552461892956849</v>
      </c>
      <c r="BC1669" s="3115" t="str">
        <f t="shared" si="177"/>
        <v>Cooling Res 6 Year EUL</v>
      </c>
      <c r="BD1669" s="673">
        <f>(INDEX('Avoided Cost Benefits'!$C$4:$C$857,MATCH(BC1669,'Avoided Cost Benefits'!$A$4:$A$857,0)))*F1669</f>
        <v>1280.1373847014188</v>
      </c>
      <c r="BE1669" s="1949">
        <f t="shared" si="174"/>
        <v>1641.7820353729949</v>
      </c>
      <c r="BF1669" s="1942"/>
      <c r="BG1669" s="691"/>
      <c r="BH1669" s="821"/>
      <c r="BI1669" s="691"/>
    </row>
    <row r="1670" spans="1:61" s="51" customFormat="1" x14ac:dyDescent="0.25">
      <c r="A1670" s="1267" t="str">
        <f t="shared" si="173"/>
        <v>354350_2021_12_Heating Res</v>
      </c>
      <c r="B1670" s="123"/>
      <c r="C1670" s="2038" t="s">
        <v>1452</v>
      </c>
      <c r="D1670" s="1553" t="s">
        <v>322</v>
      </c>
      <c r="E1670" s="3007" t="s">
        <v>1453</v>
      </c>
      <c r="F1670" s="742">
        <f>ROUND(((K1932*K2119*(1/K2306-1/K2493)*K3428)/1000)*$K$3484,2)</f>
        <v>2725.4</v>
      </c>
      <c r="G1670" s="214" t="s">
        <v>1135</v>
      </c>
      <c r="H1670" s="155">
        <f>VLOOKUP(G1670,'CP FACTORS'!$A$3:$B$38, 2, FALSE)</f>
        <v>0</v>
      </c>
      <c r="I1670" s="1554">
        <f t="shared" si="176"/>
        <v>0</v>
      </c>
      <c r="J1670" s="108">
        <f t="shared" si="180"/>
        <v>6</v>
      </c>
      <c r="K1670" s="1052">
        <f t="shared" si="181"/>
        <v>0</v>
      </c>
      <c r="L1670" s="1088"/>
      <c r="M1670" s="328"/>
      <c r="N1670" s="1587"/>
      <c r="O1670" s="1135"/>
      <c r="P1670" s="123"/>
      <c r="Q1670" s="123"/>
      <c r="R1670" s="1431"/>
      <c r="S1670" s="123"/>
      <c r="T1670" s="123"/>
      <c r="U1670" s="1589"/>
      <c r="V1670" s="1962" t="s">
        <v>31</v>
      </c>
      <c r="W1670" s="818">
        <v>4062.4872213622284</v>
      </c>
      <c r="X1670" s="819">
        <v>1798.7611070228763</v>
      </c>
      <c r="Y1670" s="737">
        <v>1798.76</v>
      </c>
      <c r="Z1670" s="737">
        <v>1798.76</v>
      </c>
      <c r="AA1670" s="737">
        <v>1798.76</v>
      </c>
      <c r="AB1670" s="2162">
        <v>1798.76</v>
      </c>
      <c r="AC1670" s="742">
        <v>2725.4</v>
      </c>
      <c r="AD1670" s="818"/>
      <c r="AE1670" s="818"/>
      <c r="AF1670" s="818"/>
      <c r="AG1670" s="818"/>
      <c r="AH1670" s="163"/>
      <c r="AI1670" s="1942"/>
      <c r="AJ1670" s="1942"/>
      <c r="AK1670" s="820"/>
      <c r="AL1670" s="1942"/>
      <c r="AM1670" s="1942"/>
      <c r="AN1670" s="1942"/>
      <c r="AO1670" s="1942"/>
      <c r="AP1670" s="1942"/>
      <c r="AQ1670" s="1942"/>
      <c r="AR1670" s="1942"/>
      <c r="AS1670" s="1942"/>
      <c r="AT1670" s="1942"/>
      <c r="AU1670" s="1942"/>
      <c r="AV1670" s="1942"/>
      <c r="AW1670" s="1942"/>
      <c r="AX1670" s="1942"/>
      <c r="AY1670" s="1942"/>
      <c r="AZ1670" s="1942"/>
      <c r="BA1670" s="1942"/>
      <c r="BB1670" s="734"/>
      <c r="BC1670" s="3130" t="str">
        <f t="shared" si="177"/>
        <v>Heating Res 6 Year EUL</v>
      </c>
      <c r="BD1670" s="673">
        <f>(INDEX('Avoided Cost Benefits'!$C$4:$C$857,MATCH(BC1670,'Avoided Cost Benefits'!$A$4:$A$857,0)))*F1670</f>
        <v>453.32533239720675</v>
      </c>
      <c r="BE1670" s="1949">
        <f t="shared" si="174"/>
        <v>0</v>
      </c>
      <c r="BF1670" s="1942"/>
      <c r="BG1670" s="691"/>
      <c r="BH1670" s="821"/>
      <c r="BI1670" s="691"/>
    </row>
    <row r="1671" spans="1:61" s="51" customFormat="1" x14ac:dyDescent="0.25">
      <c r="A1671" s="1267" t="str">
        <f t="shared" si="173"/>
        <v>354350_2021_12_Cooling Res ER2</v>
      </c>
      <c r="B1671" s="123"/>
      <c r="C1671" s="2038" t="s">
        <v>1452</v>
      </c>
      <c r="D1671" s="1553" t="s">
        <v>322</v>
      </c>
      <c r="E1671" s="3007" t="s">
        <v>1454</v>
      </c>
      <c r="F1671" s="742">
        <f>ROUND(((K2681*K2868*(1/K3055-1/K3242)*K3429)/1000)*$K$3484,2)</f>
        <v>588.84</v>
      </c>
      <c r="G1671" s="1580" t="s">
        <v>1176</v>
      </c>
      <c r="H1671" s="155">
        <f>VLOOKUP(G1671,'CP FACTORS'!$A$3:$B$38, 2, FALSE)</f>
        <v>9.4741810000000004E-4</v>
      </c>
      <c r="I1671" s="1554">
        <f t="shared" si="176"/>
        <v>0.55787799999999999</v>
      </c>
      <c r="J1671" s="108">
        <f t="shared" si="180"/>
        <v>12</v>
      </c>
      <c r="K1671" s="1052">
        <f t="shared" si="181"/>
        <v>0</v>
      </c>
      <c r="L1671" s="1088"/>
      <c r="M1671" s="328"/>
      <c r="N1671" s="1587"/>
      <c r="O1671" s="1135"/>
      <c r="P1671" s="123"/>
      <c r="Q1671" s="123"/>
      <c r="R1671" s="1431"/>
      <c r="S1671" s="123"/>
      <c r="T1671" s="123"/>
      <c r="U1671" s="1589"/>
      <c r="V1671" s="1962" t="s">
        <v>31</v>
      </c>
      <c r="W1671" s="818">
        <v>355.04857142857139</v>
      </c>
      <c r="X1671" s="825">
        <v>355.04857142857139</v>
      </c>
      <c r="Y1671" s="737">
        <v>355.05</v>
      </c>
      <c r="Z1671" s="737">
        <v>355.05</v>
      </c>
      <c r="AA1671" s="737">
        <v>355.05</v>
      </c>
      <c r="AB1671" s="2162">
        <v>355.05</v>
      </c>
      <c r="AC1671" s="742">
        <v>588.84</v>
      </c>
      <c r="AD1671" s="818"/>
      <c r="AE1671" s="818"/>
      <c r="AF1671" s="818"/>
      <c r="AG1671" s="818"/>
      <c r="AH1671" s="163"/>
      <c r="AI1671" s="1942"/>
      <c r="AJ1671" s="1942"/>
      <c r="AK1671" s="820"/>
      <c r="AL1671" s="1942"/>
      <c r="AM1671" s="1942"/>
      <c r="AN1671" s="1942"/>
      <c r="AO1671" s="1942"/>
      <c r="AP1671" s="1942"/>
      <c r="AQ1671" s="1942"/>
      <c r="AR1671" s="1942"/>
      <c r="AS1671" s="1942"/>
      <c r="AT1671" s="1942"/>
      <c r="AU1671" s="1942"/>
      <c r="AV1671" s="1942"/>
      <c r="AW1671" s="1942"/>
      <c r="AX1671" s="1942"/>
      <c r="AY1671" s="1942"/>
      <c r="AZ1671" s="1942"/>
      <c r="BA1671" s="1942"/>
      <c r="BB1671" s="734"/>
      <c r="BC1671" s="3130" t="str">
        <f t="shared" si="177"/>
        <v>Cooling Res ER2 12 Year EUL</v>
      </c>
      <c r="BD1671" s="673">
        <f>(INDEX('Avoided Cost Benefits'!$C$4:$C$857,MATCH(BC1671,'Avoided Cost Benefits'!$A$4:$A$857,0)))*F1671</f>
        <v>696.19937759887671</v>
      </c>
      <c r="BE1671" s="1949">
        <f t="shared" si="174"/>
        <v>0</v>
      </c>
      <c r="BF1671" s="1942"/>
      <c r="BG1671" s="691"/>
      <c r="BH1671" s="821"/>
      <c r="BI1671" s="691"/>
    </row>
    <row r="1672" spans="1:61" s="51" customFormat="1" x14ac:dyDescent="0.25">
      <c r="A1672" s="1267" t="str">
        <f t="shared" si="173"/>
        <v>354350_2021_12_Heating Res ER2</v>
      </c>
      <c r="B1672" s="123"/>
      <c r="C1672" s="2038" t="s">
        <v>1452</v>
      </c>
      <c r="D1672" s="1553" t="s">
        <v>322</v>
      </c>
      <c r="E1672" s="3005" t="s">
        <v>1454</v>
      </c>
      <c r="F1672" s="742">
        <f>ROUND(((K1933*K2120*(1/K2307-1/K2494)*K3429)/1000)*$K$3484,2)</f>
        <v>973.65</v>
      </c>
      <c r="G1672" s="1580" t="s">
        <v>1195</v>
      </c>
      <c r="H1672" s="155">
        <f>VLOOKUP(G1672,'CP FACTORS'!$A$3:$B$38, 2, FALSE)</f>
        <v>0</v>
      </c>
      <c r="I1672" s="1554">
        <f t="shared" si="176"/>
        <v>0</v>
      </c>
      <c r="J1672" s="108">
        <f t="shared" si="180"/>
        <v>12</v>
      </c>
      <c r="K1672" s="1052">
        <f t="shared" si="181"/>
        <v>0</v>
      </c>
      <c r="L1672" s="1088"/>
      <c r="M1672" s="328"/>
      <c r="N1672" s="1587"/>
      <c r="O1672" s="1135"/>
      <c r="P1672" s="123"/>
      <c r="Q1672" s="123"/>
      <c r="R1672" s="1431"/>
      <c r="S1672" s="123"/>
      <c r="T1672" s="123"/>
      <c r="U1672" s="1589"/>
      <c r="V1672" s="1962" t="s">
        <v>31</v>
      </c>
      <c r="W1672" s="818">
        <v>862.96736842105349</v>
      </c>
      <c r="X1672" s="819">
        <v>642.6078562259313</v>
      </c>
      <c r="Y1672" s="737">
        <v>642.61</v>
      </c>
      <c r="Z1672" s="737">
        <v>642.61</v>
      </c>
      <c r="AA1672" s="737">
        <v>642.61</v>
      </c>
      <c r="AB1672" s="2162">
        <v>642.61</v>
      </c>
      <c r="AC1672" s="742">
        <v>973.65</v>
      </c>
      <c r="AD1672" s="818"/>
      <c r="AE1672" s="818"/>
      <c r="AF1672" s="818"/>
      <c r="AG1672" s="818"/>
      <c r="AH1672" s="163"/>
      <c r="AI1672" s="1942"/>
      <c r="AJ1672" s="1942"/>
      <c r="AK1672" s="820"/>
      <c r="AL1672" s="1942"/>
      <c r="AM1672" s="1942"/>
      <c r="AN1672" s="1942"/>
      <c r="AO1672" s="1942"/>
      <c r="AP1672" s="1942"/>
      <c r="AQ1672" s="1942"/>
      <c r="AR1672" s="1942"/>
      <c r="AS1672" s="1942"/>
      <c r="AT1672" s="1942"/>
      <c r="AU1672" s="1942"/>
      <c r="AV1672" s="1942"/>
      <c r="AW1672" s="1942"/>
      <c r="AX1672" s="1942"/>
      <c r="AY1672" s="1942"/>
      <c r="AZ1672" s="1942"/>
      <c r="BA1672" s="1942"/>
      <c r="BB1672" s="734"/>
      <c r="BC1672" s="3116" t="str">
        <f t="shared" si="177"/>
        <v>Heating Res ER2 12 Year EUL</v>
      </c>
      <c r="BD1672" s="673">
        <f>(INDEX('Avoided Cost Benefits'!$C$4:$C$857,MATCH(BC1672,'Avoided Cost Benefits'!$A$4:$A$857,0)))*F1672</f>
        <v>287.89136300776073</v>
      </c>
      <c r="BE1672" s="1949">
        <f t="shared" si="174"/>
        <v>0</v>
      </c>
      <c r="BF1672" s="1942"/>
      <c r="BG1672" s="691"/>
      <c r="BH1672" s="821"/>
      <c r="BI1672" s="691"/>
    </row>
    <row r="1673" spans="1:61" s="51" customFormat="1" x14ac:dyDescent="0.25">
      <c r="A1673" s="1267" t="str">
        <f t="shared" si="173"/>
        <v>354351_2021_12_Cooling Res</v>
      </c>
      <c r="B1673" s="123"/>
      <c r="C1673" s="2038" t="s">
        <v>1456</v>
      </c>
      <c r="D1673" s="1553" t="s">
        <v>317</v>
      </c>
      <c r="E1673" s="2878" t="s">
        <v>1457</v>
      </c>
      <c r="F1673" s="742">
        <f>ROUND((($K$2682*$K$2869*(1/$K$3056-1/$K$3243)*$K$3430)/1000)*$K$3484,2)</f>
        <v>1589.61</v>
      </c>
      <c r="G1673" s="214" t="str">
        <f t="shared" ref="G1673:G1676" si="182">G1669</f>
        <v>Cooling Res</v>
      </c>
      <c r="H1673" s="155">
        <f>VLOOKUP(G1673,'CP FACTORS'!$A$3:$B$38, 2, FALSE)</f>
        <v>9.4741810000000004E-4</v>
      </c>
      <c r="I1673" s="1554">
        <f t="shared" si="176"/>
        <v>1.5060249999999999</v>
      </c>
      <c r="J1673" s="108">
        <f t="shared" si="180"/>
        <v>6</v>
      </c>
      <c r="K1673" s="3294">
        <f t="shared" si="181"/>
        <v>1739.4680664776884</v>
      </c>
      <c r="L1673" s="3296">
        <f>L1934</f>
        <v>5</v>
      </c>
      <c r="M1673" s="328"/>
      <c r="N1673" s="1587"/>
      <c r="O1673" s="1135"/>
      <c r="P1673" s="123"/>
      <c r="Q1673" s="123"/>
      <c r="R1673" s="1431"/>
      <c r="S1673" s="123"/>
      <c r="T1673" s="123"/>
      <c r="U1673" s="1589"/>
      <c r="V1673" s="1962" t="s">
        <v>31</v>
      </c>
      <c r="W1673" s="818"/>
      <c r="X1673" s="819"/>
      <c r="Y1673" s="742">
        <v>1049.1400000000001</v>
      </c>
      <c r="Z1673" s="737">
        <v>1049.1400000000001</v>
      </c>
      <c r="AA1673" s="737">
        <v>1049.1400000000001</v>
      </c>
      <c r="AB1673" s="2162">
        <v>1049.1400000000001</v>
      </c>
      <c r="AC1673" s="742">
        <v>1589.61</v>
      </c>
      <c r="AD1673" s="818"/>
      <c r="AE1673" s="818"/>
      <c r="AF1673" s="818"/>
      <c r="AG1673" s="818"/>
      <c r="AH1673" s="163"/>
      <c r="AI1673" s="1942"/>
      <c r="AJ1673" s="1942"/>
      <c r="AK1673" s="820"/>
      <c r="AL1673" s="1942"/>
      <c r="AM1673" s="1942"/>
      <c r="AN1673" s="1942"/>
      <c r="AO1673" s="1942"/>
      <c r="AP1673" s="1942"/>
      <c r="AQ1673" s="1942"/>
      <c r="AR1673" s="1942"/>
      <c r="AS1673" s="1942"/>
      <c r="AT1673" s="1942"/>
      <c r="AU1673" s="1942"/>
      <c r="AV1673" s="1942"/>
      <c r="AW1673" s="1942"/>
      <c r="AX1673" s="1942"/>
      <c r="AY1673" s="1942"/>
      <c r="AZ1673" s="1942"/>
      <c r="BA1673" s="1942"/>
      <c r="BB1673" s="244">
        <f>(BD1673+BD1674+BD1675+BD1676)/(BE1673+BE1674+BE1675+BE1676)</f>
        <v>0.99866687759824257</v>
      </c>
      <c r="BC1673" s="3115" t="str">
        <f t="shared" si="177"/>
        <v>Cooling Res 6 Year EUL</v>
      </c>
      <c r="BD1673" s="673">
        <f>(INDEX('Avoided Cost Benefits'!$C$4:$C$857,MATCH(BC1673,'Avoided Cost Benefits'!$A$4:$A$857,0)))*F1673</f>
        <v>924.33304024311701</v>
      </c>
      <c r="BE1673" s="1949">
        <f t="shared" si="174"/>
        <v>1641.7820353729949</v>
      </c>
      <c r="BF1673" s="1942"/>
      <c r="BG1673" s="691"/>
      <c r="BH1673" s="824"/>
      <c r="BI1673" s="691"/>
    </row>
    <row r="1674" spans="1:61" s="51" customFormat="1" x14ac:dyDescent="0.25">
      <c r="A1674" s="1267" t="str">
        <f t="shared" si="173"/>
        <v>354351_2021_12_Heating Res</v>
      </c>
      <c r="B1674" s="123"/>
      <c r="C1674" s="2038" t="str">
        <f>C1673</f>
        <v>354351_2021_12_</v>
      </c>
      <c r="D1674" s="1553" t="s">
        <v>317</v>
      </c>
      <c r="E1674" s="3007" t="s">
        <v>1457</v>
      </c>
      <c r="F1674" s="742">
        <f>ROUND((($K$1934*$K$2121*(1/$K$2308-1/$K$2495)*$K$3430)/1000)*$K$3484,2)</f>
        <v>929.11</v>
      </c>
      <c r="G1674" s="214" t="str">
        <f t="shared" si="182"/>
        <v>Heating Res</v>
      </c>
      <c r="H1674" s="155">
        <f>VLOOKUP(G1674,'CP FACTORS'!$A$3:$B$38, 2, FALSE)</f>
        <v>0</v>
      </c>
      <c r="I1674" s="1554">
        <f t="shared" si="176"/>
        <v>0</v>
      </c>
      <c r="J1674" s="108">
        <f t="shared" si="180"/>
        <v>6</v>
      </c>
      <c r="K1674" s="1052">
        <f t="shared" si="181"/>
        <v>0</v>
      </c>
      <c r="L1674" s="1088"/>
      <c r="M1674" s="328"/>
      <c r="N1674" s="1587"/>
      <c r="O1674" s="1135"/>
      <c r="P1674" s="123"/>
      <c r="Q1674" s="123"/>
      <c r="R1674" s="1431"/>
      <c r="S1674" s="123"/>
      <c r="T1674" s="123"/>
      <c r="U1674" s="1589"/>
      <c r="V1674" s="1962" t="s">
        <v>31</v>
      </c>
      <c r="W1674" s="818"/>
      <c r="X1674" s="819"/>
      <c r="Y1674" s="742">
        <v>613.21</v>
      </c>
      <c r="Z1674" s="737">
        <v>613.21</v>
      </c>
      <c r="AA1674" s="737">
        <v>613.21</v>
      </c>
      <c r="AB1674" s="2162">
        <v>613.21</v>
      </c>
      <c r="AC1674" s="742">
        <v>929.11</v>
      </c>
      <c r="AD1674" s="818"/>
      <c r="AE1674" s="818"/>
      <c r="AF1674" s="818"/>
      <c r="AG1674" s="818"/>
      <c r="AH1674" s="163"/>
      <c r="AI1674" s="1942"/>
      <c r="AJ1674" s="1942"/>
      <c r="AK1674" s="820"/>
      <c r="AL1674" s="1942"/>
      <c r="AM1674" s="1942"/>
      <c r="AN1674" s="1942"/>
      <c r="AO1674" s="1942"/>
      <c r="AP1674" s="1942"/>
      <c r="AQ1674" s="1942"/>
      <c r="AR1674" s="1942"/>
      <c r="AS1674" s="1942"/>
      <c r="AT1674" s="1942"/>
      <c r="AU1674" s="1942"/>
      <c r="AV1674" s="1942"/>
      <c r="AW1674" s="1942"/>
      <c r="AX1674" s="1942"/>
      <c r="AY1674" s="1942"/>
      <c r="AZ1674" s="1942"/>
      <c r="BA1674" s="1942"/>
      <c r="BB1674" s="734"/>
      <c r="BC1674" s="3130" t="str">
        <f t="shared" si="177"/>
        <v>Heating Res 6 Year EUL</v>
      </c>
      <c r="BD1674" s="673">
        <f>(INDEX('Avoided Cost Benefits'!$C$4:$C$857,MATCH(BC1674,'Avoided Cost Benefits'!$A$4:$A$857,0)))*F1674</f>
        <v>154.54212210448696</v>
      </c>
      <c r="BE1674" s="1949">
        <f t="shared" si="174"/>
        <v>0</v>
      </c>
      <c r="BF1674" s="1942"/>
      <c r="BG1674" s="691"/>
      <c r="BH1674" s="824"/>
      <c r="BI1674" s="691"/>
    </row>
    <row r="1675" spans="1:61" s="51" customFormat="1" x14ac:dyDescent="0.25">
      <c r="A1675" s="1267" t="str">
        <f t="shared" si="173"/>
        <v>354351_2021_12_Cooling Res ER2</v>
      </c>
      <c r="B1675" s="123"/>
      <c r="C1675" s="2038" t="str">
        <f>C1674</f>
        <v>354351_2021_12_</v>
      </c>
      <c r="D1675" s="1553" t="s">
        <v>317</v>
      </c>
      <c r="E1675" s="3007" t="s">
        <v>1458</v>
      </c>
      <c r="F1675" s="742">
        <f>ROUND((($K$2683*$K$2870*(1/$K$3057-1/$K$3244)*$K$3431)/1000)*$K$3484,2)</f>
        <v>391.24</v>
      </c>
      <c r="G1675" s="214" t="str">
        <f t="shared" si="182"/>
        <v>Cooling Res ER2</v>
      </c>
      <c r="H1675" s="155">
        <f>VLOOKUP(G1675,'CP FACTORS'!$A$3:$B$38, 2, FALSE)</f>
        <v>9.4741810000000004E-4</v>
      </c>
      <c r="I1675" s="1554">
        <f t="shared" si="176"/>
        <v>0.370668</v>
      </c>
      <c r="J1675" s="108">
        <f t="shared" si="180"/>
        <v>12</v>
      </c>
      <c r="K1675" s="1052">
        <f t="shared" si="181"/>
        <v>0</v>
      </c>
      <c r="L1675" s="1088"/>
      <c r="M1675" s="328"/>
      <c r="N1675" s="1587"/>
      <c r="O1675" s="1135"/>
      <c r="P1675" s="123"/>
      <c r="Q1675" s="123"/>
      <c r="R1675" s="1431"/>
      <c r="S1675" s="123"/>
      <c r="T1675" s="123"/>
      <c r="U1675" s="1589"/>
      <c r="V1675" s="1962" t="s">
        <v>31</v>
      </c>
      <c r="W1675" s="818"/>
      <c r="X1675" s="819"/>
      <c r="Y1675" s="742">
        <v>258.22000000000003</v>
      </c>
      <c r="Z1675" s="737">
        <v>258.22000000000003</v>
      </c>
      <c r="AA1675" s="737">
        <v>258.22000000000003</v>
      </c>
      <c r="AB1675" s="2162">
        <v>258.22000000000003</v>
      </c>
      <c r="AC1675" s="742">
        <v>391.24</v>
      </c>
      <c r="AD1675" s="818"/>
      <c r="AE1675" s="818"/>
      <c r="AF1675" s="818"/>
      <c r="AG1675" s="818"/>
      <c r="AH1675" s="163"/>
      <c r="AI1675" s="1942"/>
      <c r="AJ1675" s="1942"/>
      <c r="AK1675" s="820"/>
      <c r="AL1675" s="1942"/>
      <c r="AM1675" s="1942"/>
      <c r="AN1675" s="1942"/>
      <c r="AO1675" s="1942"/>
      <c r="AP1675" s="1942"/>
      <c r="AQ1675" s="1942"/>
      <c r="AR1675" s="1942"/>
      <c r="AS1675" s="1942"/>
      <c r="AT1675" s="1942"/>
      <c r="AU1675" s="1942"/>
      <c r="AV1675" s="1942"/>
      <c r="AW1675" s="1942"/>
      <c r="AX1675" s="1942"/>
      <c r="AY1675" s="1942"/>
      <c r="AZ1675" s="1942"/>
      <c r="BA1675" s="1942"/>
      <c r="BB1675" s="734"/>
      <c r="BC1675" s="3130" t="str">
        <f t="shared" si="177"/>
        <v>Cooling Res ER2 12 Year EUL</v>
      </c>
      <c r="BD1675" s="673">
        <f>(INDEX('Avoided Cost Benefits'!$C$4:$C$857,MATCH(BC1675,'Avoided Cost Benefits'!$A$4:$A$857,0)))*F1675</f>
        <v>462.57225136163396</v>
      </c>
      <c r="BE1675" s="1949">
        <f t="shared" si="174"/>
        <v>0</v>
      </c>
      <c r="BF1675" s="1942"/>
      <c r="BG1675" s="691"/>
      <c r="BH1675" s="824"/>
      <c r="BI1675" s="691"/>
    </row>
    <row r="1676" spans="1:61" s="51" customFormat="1" x14ac:dyDescent="0.25">
      <c r="A1676" s="1267" t="str">
        <f t="shared" si="173"/>
        <v>354351_2021_12_Heating Res ER2</v>
      </c>
      <c r="B1676" s="123"/>
      <c r="C1676" s="2038" t="str">
        <f>C1675</f>
        <v>354351_2021_12_</v>
      </c>
      <c r="D1676" s="1553" t="s">
        <v>317</v>
      </c>
      <c r="E1676" s="3005" t="s">
        <v>1458</v>
      </c>
      <c r="F1676" s="742">
        <f>ROUND((($K$1935*$K$2122*(1/$K$2309-1/$K$2496)*$K$3431)/1000)*$K$3484,2)</f>
        <v>331.93</v>
      </c>
      <c r="G1676" s="214" t="str">
        <f t="shared" si="182"/>
        <v>Heating Res ER2</v>
      </c>
      <c r="H1676" s="155">
        <f>VLOOKUP(G1676,'CP FACTORS'!$A$3:$B$38, 2, FALSE)</f>
        <v>0</v>
      </c>
      <c r="I1676" s="1554">
        <f t="shared" si="176"/>
        <v>0</v>
      </c>
      <c r="J1676" s="108">
        <f t="shared" si="180"/>
        <v>12</v>
      </c>
      <c r="K1676" s="1052">
        <f t="shared" si="181"/>
        <v>0</v>
      </c>
      <c r="L1676" s="1088"/>
      <c r="M1676" s="328"/>
      <c r="N1676" s="1587"/>
      <c r="O1676" s="1135"/>
      <c r="P1676" s="123"/>
      <c r="Q1676" s="123"/>
      <c r="R1676" s="1431"/>
      <c r="S1676" s="123"/>
      <c r="T1676" s="123"/>
      <c r="U1676" s="1589"/>
      <c r="V1676" s="1962" t="s">
        <v>31</v>
      </c>
      <c r="W1676" s="818"/>
      <c r="X1676" s="819"/>
      <c r="Y1676" s="742">
        <v>219.07</v>
      </c>
      <c r="Z1676" s="737">
        <v>219.07</v>
      </c>
      <c r="AA1676" s="737">
        <v>219.07</v>
      </c>
      <c r="AB1676" s="2162">
        <v>219.07</v>
      </c>
      <c r="AC1676" s="742">
        <v>331.93</v>
      </c>
      <c r="AD1676" s="818"/>
      <c r="AE1676" s="818"/>
      <c r="AF1676" s="818"/>
      <c r="AG1676" s="818"/>
      <c r="AH1676" s="163"/>
      <c r="AI1676" s="1942"/>
      <c r="AJ1676" s="1942"/>
      <c r="AK1676" s="820"/>
      <c r="AL1676" s="1942"/>
      <c r="AM1676" s="1942"/>
      <c r="AN1676" s="1942"/>
      <c r="AO1676" s="1942"/>
      <c r="AP1676" s="1942"/>
      <c r="AQ1676" s="1942"/>
      <c r="AR1676" s="1942"/>
      <c r="AS1676" s="1942"/>
      <c r="AT1676" s="1942"/>
      <c r="AU1676" s="1942"/>
      <c r="AV1676" s="1942"/>
      <c r="AW1676" s="1942"/>
      <c r="AX1676" s="1942"/>
      <c r="AY1676" s="1942"/>
      <c r="AZ1676" s="1942"/>
      <c r="BA1676" s="1942"/>
      <c r="BB1676" s="734"/>
      <c r="BC1676" s="3116" t="str">
        <f t="shared" si="177"/>
        <v>Heating Res ER2 12 Year EUL</v>
      </c>
      <c r="BD1676" s="673">
        <f>(INDEX('Avoided Cost Benefits'!$C$4:$C$857,MATCH(BC1676,'Avoided Cost Benefits'!$A$4:$A$857,0)))*F1676</f>
        <v>98.145925253598335</v>
      </c>
      <c r="BE1676" s="1949">
        <f t="shared" si="174"/>
        <v>0</v>
      </c>
      <c r="BF1676" s="1942"/>
      <c r="BG1676" s="691"/>
      <c r="BH1676" s="824"/>
      <c r="BI1676" s="691"/>
    </row>
    <row r="1677" spans="1:61" s="51" customFormat="1" x14ac:dyDescent="0.25">
      <c r="A1677" s="1267" t="str">
        <f t="shared" si="173"/>
        <v>354400_2021_12_Cooling Res</v>
      </c>
      <c r="B1677" s="123"/>
      <c r="C1677" s="2038" t="s">
        <v>1460</v>
      </c>
      <c r="D1677" s="1553" t="s">
        <v>320</v>
      </c>
      <c r="E1677" s="2878" t="s">
        <v>1461</v>
      </c>
      <c r="F1677" s="742">
        <f>ROUND(((K2684*K2871*(1/K3058-1/K3245)*K3432)/1000)*$K$3484,2)</f>
        <v>2436.71</v>
      </c>
      <c r="G1677" s="214" t="s">
        <v>1134</v>
      </c>
      <c r="H1677" s="155">
        <f>VLOOKUP(G1677,'CP FACTORS'!$A$3:$B$38, 2, FALSE)</f>
        <v>9.4741810000000004E-4</v>
      </c>
      <c r="I1677" s="1554">
        <f t="shared" si="176"/>
        <v>2.3085830000000001</v>
      </c>
      <c r="J1677" s="108">
        <f t="shared" si="180"/>
        <v>6</v>
      </c>
      <c r="K1677" s="3294">
        <f t="shared" si="181"/>
        <v>2063.8263197906699</v>
      </c>
      <c r="L1677" s="1088">
        <f>L1936</f>
        <v>3.6</v>
      </c>
      <c r="M1677" s="328"/>
      <c r="N1677" s="1587"/>
      <c r="O1677" s="1135"/>
      <c r="P1677" s="123"/>
      <c r="Q1677" s="123"/>
      <c r="R1677" s="1431"/>
      <c r="S1677" s="123"/>
      <c r="T1677" s="123"/>
      <c r="U1677" s="1589"/>
      <c r="V1677" s="1962" t="s">
        <v>31</v>
      </c>
      <c r="W1677" s="818">
        <v>3052.5306501547993</v>
      </c>
      <c r="X1677" s="819">
        <v>2179.3577810071401</v>
      </c>
      <c r="Y1677" s="737">
        <v>2179.36</v>
      </c>
      <c r="Z1677" s="737">
        <v>2179.36</v>
      </c>
      <c r="AA1677" s="737">
        <v>2179.36</v>
      </c>
      <c r="AB1677" s="2162">
        <v>2179.36</v>
      </c>
      <c r="AC1677" s="742">
        <v>2436.71</v>
      </c>
      <c r="AD1677" s="818"/>
      <c r="AE1677" s="818"/>
      <c r="AF1677" s="818"/>
      <c r="AG1677" s="818"/>
      <c r="AH1677" s="163"/>
      <c r="AI1677" s="1942"/>
      <c r="AJ1677" s="1942"/>
      <c r="AK1677" s="820"/>
      <c r="AL1677" s="1942"/>
      <c r="AM1677" s="1942"/>
      <c r="AN1677" s="1942"/>
      <c r="AO1677" s="1942"/>
      <c r="AP1677" s="1942"/>
      <c r="AQ1677" s="1942"/>
      <c r="AR1677" s="1942"/>
      <c r="AS1677" s="1942"/>
      <c r="AT1677" s="1942"/>
      <c r="AU1677" s="1942"/>
      <c r="AV1677" s="1942"/>
      <c r="AW1677" s="1942"/>
      <c r="AX1677" s="1942"/>
      <c r="AY1677" s="1942"/>
      <c r="AZ1677" s="1942"/>
      <c r="BA1677" s="1942"/>
      <c r="BB1677" s="244">
        <f>(BD1677+BD1678+BD1679+BD1680)/(BE1677+BE1678+BE1679+BE1680)</f>
        <v>4.2662331701478733</v>
      </c>
      <c r="BC1677" s="3115" t="str">
        <f t="shared" si="177"/>
        <v>Cooling Res 6 Year EUL</v>
      </c>
      <c r="BD1677" s="673">
        <f>(INDEX('Avoided Cost Benefits'!$C$4:$C$857,MATCH(BC1677,'Avoided Cost Benefits'!$A$4:$A$857,0)))*F1677</f>
        <v>1416.9082746653619</v>
      </c>
      <c r="BE1677" s="1949">
        <f t="shared" ref="BE1677:BE1740" si="183">K1677/(1.0595^(2020-2019))</f>
        <v>1947.9247945169134</v>
      </c>
      <c r="BF1677" s="1942"/>
      <c r="BG1677" s="691"/>
      <c r="BH1677" s="821"/>
      <c r="BI1677" s="691"/>
    </row>
    <row r="1678" spans="1:61" s="51" customFormat="1" x14ac:dyDescent="0.25">
      <c r="A1678" s="1267" t="str">
        <f t="shared" si="173"/>
        <v>354400_2021_12_Heating Res</v>
      </c>
      <c r="B1678" s="123"/>
      <c r="C1678" s="2038" t="s">
        <v>1460</v>
      </c>
      <c r="D1678" s="1553" t="s">
        <v>320</v>
      </c>
      <c r="E1678" s="3007" t="s">
        <v>1461</v>
      </c>
      <c r="F1678" s="742">
        <f>ROUND(((K1936*K2123*(1/K2310-1/K2497)*K3432)/1000)*$K$3484,2)</f>
        <v>12553.53</v>
      </c>
      <c r="G1678" s="214" t="s">
        <v>1135</v>
      </c>
      <c r="H1678" s="155">
        <f>VLOOKUP(G1678,'CP FACTORS'!$A$3:$B$38, 2, FALSE)</f>
        <v>0</v>
      </c>
      <c r="I1678" s="1554">
        <f t="shared" si="176"/>
        <v>0</v>
      </c>
      <c r="J1678" s="108">
        <f t="shared" si="180"/>
        <v>6</v>
      </c>
      <c r="K1678" s="1052">
        <f t="shared" si="181"/>
        <v>0</v>
      </c>
      <c r="L1678" s="1088"/>
      <c r="M1678" s="328"/>
      <c r="N1678" s="1587"/>
      <c r="O1678" s="1135"/>
      <c r="P1678" s="123"/>
      <c r="Q1678" s="123"/>
      <c r="R1678" s="1431"/>
      <c r="S1678" s="123"/>
      <c r="T1678" s="123"/>
      <c r="U1678" s="1589"/>
      <c r="V1678" s="1962" t="s">
        <v>31</v>
      </c>
      <c r="W1678" s="818">
        <v>13965.852998065762</v>
      </c>
      <c r="X1678" s="819">
        <v>10399.659574468084</v>
      </c>
      <c r="Y1678" s="737">
        <v>10399.66</v>
      </c>
      <c r="Z1678" s="737">
        <v>10399.66</v>
      </c>
      <c r="AA1678" s="737">
        <v>10399.66</v>
      </c>
      <c r="AB1678" s="2162">
        <v>10399.66</v>
      </c>
      <c r="AC1678" s="742">
        <v>12553.53</v>
      </c>
      <c r="AD1678" s="818"/>
      <c r="AE1678" s="818"/>
      <c r="AF1678" s="818"/>
      <c r="AG1678" s="818"/>
      <c r="AH1678" s="163"/>
      <c r="AI1678" s="1942"/>
      <c r="AJ1678" s="1942"/>
      <c r="AK1678" s="820"/>
      <c r="AL1678" s="1942"/>
      <c r="AM1678" s="1942"/>
      <c r="AN1678" s="1942"/>
      <c r="AO1678" s="1942"/>
      <c r="AP1678" s="1942"/>
      <c r="AQ1678" s="1942"/>
      <c r="AR1678" s="1942"/>
      <c r="AS1678" s="1942"/>
      <c r="AT1678" s="1942"/>
      <c r="AU1678" s="1942"/>
      <c r="AV1678" s="1942"/>
      <c r="AW1678" s="1942"/>
      <c r="AX1678" s="1942"/>
      <c r="AY1678" s="1942"/>
      <c r="AZ1678" s="1942"/>
      <c r="BA1678" s="1942"/>
      <c r="BB1678" s="734"/>
      <c r="BC1678" s="3130" t="str">
        <f t="shared" si="177"/>
        <v>Heating Res 6 Year EUL</v>
      </c>
      <c r="BD1678" s="673">
        <f>(INDEX('Avoided Cost Benefits'!$C$4:$C$857,MATCH(BC1678,'Avoided Cost Benefits'!$A$4:$A$857,0)))*F1678</f>
        <v>2088.0726352125585</v>
      </c>
      <c r="BE1678" s="1949">
        <f t="shared" si="183"/>
        <v>0</v>
      </c>
      <c r="BF1678" s="1942"/>
      <c r="BG1678" s="691"/>
      <c r="BH1678" s="821"/>
      <c r="BI1678" s="691"/>
    </row>
    <row r="1679" spans="1:61" s="51" customFormat="1" x14ac:dyDescent="0.25">
      <c r="A1679" s="1267" t="str">
        <f t="shared" si="173"/>
        <v>354400_2021_12_Cooling Res ER2</v>
      </c>
      <c r="B1679" s="123"/>
      <c r="C1679" s="2038" t="s">
        <v>1460</v>
      </c>
      <c r="D1679" s="1553" t="s">
        <v>320</v>
      </c>
      <c r="E1679" s="3007" t="s">
        <v>1462</v>
      </c>
      <c r="F1679" s="742">
        <f>ROUND(((K2685*K2872*(1/K3059-1/K3246)*K3433)/1000)*$K$3484,2)</f>
        <v>924.84</v>
      </c>
      <c r="G1679" s="1580" t="s">
        <v>1176</v>
      </c>
      <c r="H1679" s="155">
        <f>VLOOKUP(G1679,'CP FACTORS'!$A$3:$B$38, 2, FALSE)</f>
        <v>9.4741810000000004E-4</v>
      </c>
      <c r="I1679" s="1554">
        <f t="shared" si="176"/>
        <v>0.87621000000000004</v>
      </c>
      <c r="J1679" s="108">
        <f t="shared" si="180"/>
        <v>12</v>
      </c>
      <c r="K1679" s="1052">
        <f t="shared" si="181"/>
        <v>0</v>
      </c>
      <c r="L1679" s="1088"/>
      <c r="M1679" s="328"/>
      <c r="N1679" s="1587"/>
      <c r="O1679" s="1135"/>
      <c r="P1679" s="123"/>
      <c r="Q1679" s="123"/>
      <c r="R1679" s="1431"/>
      <c r="S1679" s="123"/>
      <c r="T1679" s="123"/>
      <c r="U1679" s="1589"/>
      <c r="V1679" s="1962" t="s">
        <v>31</v>
      </c>
      <c r="W1679" s="818">
        <v>785.26639676113382</v>
      </c>
      <c r="X1679" s="825">
        <v>785.26639676113382</v>
      </c>
      <c r="Y1679" s="737">
        <v>785.27</v>
      </c>
      <c r="Z1679" s="737">
        <v>785.27</v>
      </c>
      <c r="AA1679" s="737">
        <v>785.27</v>
      </c>
      <c r="AB1679" s="2162">
        <v>785.27</v>
      </c>
      <c r="AC1679" s="742">
        <v>924.84</v>
      </c>
      <c r="AD1679" s="818"/>
      <c r="AE1679" s="818"/>
      <c r="AF1679" s="818"/>
      <c r="AG1679" s="818"/>
      <c r="AH1679" s="163"/>
      <c r="AI1679" s="1942"/>
      <c r="AJ1679" s="1942"/>
      <c r="AK1679" s="820"/>
      <c r="AL1679" s="1942"/>
      <c r="AM1679" s="1942"/>
      <c r="AN1679" s="1942"/>
      <c r="AO1679" s="1942"/>
      <c r="AP1679" s="1942"/>
      <c r="AQ1679" s="1942"/>
      <c r="AR1679" s="1942"/>
      <c r="AS1679" s="1942"/>
      <c r="AT1679" s="1942"/>
      <c r="AU1679" s="1942"/>
      <c r="AV1679" s="1942"/>
      <c r="AW1679" s="1942"/>
      <c r="AX1679" s="1942"/>
      <c r="AY1679" s="1942"/>
      <c r="AZ1679" s="1942"/>
      <c r="BA1679" s="1942"/>
      <c r="BB1679" s="734"/>
      <c r="BC1679" s="3130" t="str">
        <f t="shared" si="177"/>
        <v>Cooling Res ER2 12 Year EUL</v>
      </c>
      <c r="BD1679" s="673">
        <f>(INDEX('Avoided Cost Benefits'!$C$4:$C$857,MATCH(BC1679,'Avoided Cost Benefits'!$A$4:$A$857,0)))*F1679</f>
        <v>1093.4600780832573</v>
      </c>
      <c r="BE1679" s="1949">
        <f t="shared" si="183"/>
        <v>0</v>
      </c>
      <c r="BF1679" s="1942"/>
      <c r="BG1679" s="691"/>
      <c r="BH1679" s="821"/>
      <c r="BI1679" s="691"/>
    </row>
    <row r="1680" spans="1:61" s="51" customFormat="1" x14ac:dyDescent="0.25">
      <c r="A1680" s="1267" t="str">
        <f t="shared" si="173"/>
        <v>354400_2021_12_Heating Res ER2</v>
      </c>
      <c r="B1680" s="123"/>
      <c r="C1680" s="2038" t="s">
        <v>1460</v>
      </c>
      <c r="D1680" s="1553" t="s">
        <v>320</v>
      </c>
      <c r="E1680" s="3158" t="s">
        <v>1462</v>
      </c>
      <c r="F1680" s="742">
        <f>ROUND(((K1937*K2124*(1/K2311-1/K2498)*K3433)/1000)*$K$3484,2)</f>
        <v>12553.53</v>
      </c>
      <c r="G1680" s="1580" t="s">
        <v>1195</v>
      </c>
      <c r="H1680" s="155">
        <f>VLOOKUP(G1680,'CP FACTORS'!$A$3:$B$38, 2, FALSE)</f>
        <v>0</v>
      </c>
      <c r="I1680" s="1554">
        <f t="shared" si="176"/>
        <v>0</v>
      </c>
      <c r="J1680" s="108">
        <f t="shared" si="180"/>
        <v>12</v>
      </c>
      <c r="K1680" s="1052">
        <f t="shared" si="181"/>
        <v>0</v>
      </c>
      <c r="L1680" s="1088"/>
      <c r="M1680" s="328"/>
      <c r="N1680" s="1587"/>
      <c r="O1680" s="1135"/>
      <c r="P1680" s="123"/>
      <c r="Q1680" s="123"/>
      <c r="R1680" s="1431"/>
      <c r="S1680" s="123"/>
      <c r="T1680" s="123"/>
      <c r="U1680" s="1589"/>
      <c r="V1680" s="1962" t="s">
        <v>31</v>
      </c>
      <c r="W1680" s="818">
        <v>13965.852998065762</v>
      </c>
      <c r="X1680" s="819">
        <v>10399.659574468084</v>
      </c>
      <c r="Y1680" s="737">
        <v>10399.66</v>
      </c>
      <c r="Z1680" s="737">
        <v>10399.66</v>
      </c>
      <c r="AA1680" s="737">
        <v>10399.66</v>
      </c>
      <c r="AB1680" s="2162">
        <v>10399.66</v>
      </c>
      <c r="AC1680" s="742">
        <v>12553.53</v>
      </c>
      <c r="AD1680" s="818"/>
      <c r="AE1680" s="818"/>
      <c r="AF1680" s="818"/>
      <c r="AG1680" s="818"/>
      <c r="AH1680" s="163"/>
      <c r="AI1680" s="1942"/>
      <c r="AJ1680" s="1942"/>
      <c r="AK1680" s="820"/>
      <c r="AL1680" s="1942"/>
      <c r="AM1680" s="1942"/>
      <c r="AN1680" s="1942"/>
      <c r="AO1680" s="1942"/>
      <c r="AP1680" s="1942"/>
      <c r="AQ1680" s="1942"/>
      <c r="AR1680" s="1942"/>
      <c r="AS1680" s="1942"/>
      <c r="AT1680" s="1942"/>
      <c r="AU1680" s="1942"/>
      <c r="AV1680" s="1942"/>
      <c r="AW1680" s="1942"/>
      <c r="AX1680" s="1942"/>
      <c r="AY1680" s="1942"/>
      <c r="AZ1680" s="1942"/>
      <c r="BA1680" s="1942"/>
      <c r="BB1680" s="734"/>
      <c r="BC1680" s="696" t="str">
        <f t="shared" si="177"/>
        <v>Heating Res ER2 12 Year EUL</v>
      </c>
      <c r="BD1680" s="673">
        <f>(INDEX('Avoided Cost Benefits'!$C$4:$C$857,MATCH(BC1680,'Avoided Cost Benefits'!$A$4:$A$857,0)))*F1680</f>
        <v>3711.8603833603602</v>
      </c>
      <c r="BE1680" s="1949">
        <f t="shared" si="183"/>
        <v>0</v>
      </c>
      <c r="BF1680" s="1942"/>
      <c r="BG1680" s="691"/>
      <c r="BH1680" s="821"/>
      <c r="BI1680" s="691"/>
    </row>
    <row r="1681" spans="1:61" s="1942" customFormat="1" x14ac:dyDescent="0.25">
      <c r="A1681" s="1267"/>
      <c r="B1681" s="123"/>
      <c r="C1681" s="2038" t="s">
        <v>1463</v>
      </c>
      <c r="D1681" s="2695" t="s">
        <v>320</v>
      </c>
      <c r="E1681" s="694" t="s">
        <v>1464</v>
      </c>
      <c r="F1681" s="742">
        <f>ROUND(((K2686*K2873*(1/K3060-1/K3247)*K3434)/1000)*$K$3484,2)</f>
        <v>2436.71</v>
      </c>
      <c r="G1681" s="3050" t="s">
        <v>1134</v>
      </c>
      <c r="H1681" s="2867">
        <f>VLOOKUP(G1681,'CP FACTORS'!$A$3:$B$38, 2, FALSE)</f>
        <v>9.4741810000000004E-4</v>
      </c>
      <c r="I1681" s="2757">
        <f t="shared" si="176"/>
        <v>2.3085830000000001</v>
      </c>
      <c r="J1681" s="116">
        <f t="shared" si="180"/>
        <v>6</v>
      </c>
      <c r="K1681" s="3294">
        <f t="shared" si="181"/>
        <v>2063.8263197906699</v>
      </c>
      <c r="L1681" s="3296">
        <f>L1938</f>
        <v>3.6</v>
      </c>
      <c r="M1681" s="328"/>
      <c r="N1681" s="1587"/>
      <c r="O1681" s="1135"/>
      <c r="P1681" s="123"/>
      <c r="Q1681" s="123"/>
      <c r="R1681" s="1431"/>
      <c r="S1681" s="123"/>
      <c r="T1681" s="123"/>
      <c r="U1681" s="1589"/>
      <c r="V1681" s="1958" t="s">
        <v>31</v>
      </c>
      <c r="W1681" s="818"/>
      <c r="X1681" s="819"/>
      <c r="Y1681" s="737"/>
      <c r="Z1681" s="737"/>
      <c r="AA1681" s="737"/>
      <c r="AB1681" s="2162"/>
      <c r="AC1681" s="742">
        <v>2436.71</v>
      </c>
      <c r="AD1681" s="818"/>
      <c r="AE1681" s="818"/>
      <c r="AF1681" s="818"/>
      <c r="AG1681" s="818"/>
      <c r="AH1681" s="163"/>
      <c r="AK1681" s="820"/>
      <c r="BB1681" s="244">
        <f>(BD1681+BD1682+BD1683+BD1684)/(BE1681+BE1682+BE1683+BE1684)</f>
        <v>1.2887398732306767</v>
      </c>
      <c r="BC1681" s="695" t="str">
        <f t="shared" si="177"/>
        <v>Cooling Res 6 Year EUL</v>
      </c>
      <c r="BD1681" s="673">
        <f>(INDEX('Avoided Cost Benefits'!$C$4:$C$857,MATCH(BC1681,'Avoided Cost Benefits'!$A$4:$A$857,0)))*F1681</f>
        <v>1416.9082746653619</v>
      </c>
      <c r="BE1681" s="1949">
        <f t="shared" si="183"/>
        <v>1947.9247945169134</v>
      </c>
      <c r="BG1681" s="691"/>
      <c r="BH1681" s="821"/>
      <c r="BI1681" s="691"/>
    </row>
    <row r="1682" spans="1:61" s="1942" customFormat="1" x14ac:dyDescent="0.25">
      <c r="A1682" s="1267"/>
      <c r="B1682" s="123"/>
      <c r="C1682" s="2038" t="s">
        <v>1463</v>
      </c>
      <c r="D1682" s="2695" t="s">
        <v>320</v>
      </c>
      <c r="E1682" s="694" t="s">
        <v>1464</v>
      </c>
      <c r="F1682" s="742">
        <v>0</v>
      </c>
      <c r="G1682" s="3050" t="s">
        <v>1135</v>
      </c>
      <c r="H1682" s="2867">
        <f>VLOOKUP(G1682,'CP FACTORS'!$A$3:$B$38, 2, FALSE)</f>
        <v>0</v>
      </c>
      <c r="I1682" s="2757">
        <f t="shared" si="176"/>
        <v>0</v>
      </c>
      <c r="J1682" s="116">
        <f t="shared" si="180"/>
        <v>6</v>
      </c>
      <c r="K1682" s="3294">
        <f t="shared" si="181"/>
        <v>0</v>
      </c>
      <c r="L1682" s="3296"/>
      <c r="M1682" s="328"/>
      <c r="N1682" s="1587"/>
      <c r="O1682" s="1135"/>
      <c r="P1682" s="123"/>
      <c r="Q1682" s="123"/>
      <c r="R1682" s="1431"/>
      <c r="S1682" s="123"/>
      <c r="T1682" s="123"/>
      <c r="U1682" s="1589"/>
      <c r="V1682" s="1958" t="s">
        <v>31</v>
      </c>
      <c r="W1682" s="818"/>
      <c r="X1682" s="819"/>
      <c r="Y1682" s="737"/>
      <c r="Z1682" s="737"/>
      <c r="AA1682" s="737"/>
      <c r="AB1682" s="2162"/>
      <c r="AC1682" s="742">
        <v>0</v>
      </c>
      <c r="AD1682" s="818"/>
      <c r="AE1682" s="818"/>
      <c r="AF1682" s="818"/>
      <c r="AG1682" s="818"/>
      <c r="AH1682" s="163"/>
      <c r="AK1682" s="820"/>
      <c r="BB1682" s="734"/>
      <c r="BC1682" s="695" t="str">
        <f t="shared" si="177"/>
        <v>Heating Res 6 Year EUL</v>
      </c>
      <c r="BD1682" s="673">
        <f>(INDEX('Avoided Cost Benefits'!$C$4:$C$857,MATCH(BC1682,'Avoided Cost Benefits'!$A$4:$A$857,0)))*F1682</f>
        <v>0</v>
      </c>
      <c r="BE1682" s="1949">
        <f t="shared" si="183"/>
        <v>0</v>
      </c>
      <c r="BG1682" s="691"/>
      <c r="BH1682" s="821"/>
      <c r="BI1682" s="691"/>
    </row>
    <row r="1683" spans="1:61" s="1942" customFormat="1" x14ac:dyDescent="0.25">
      <c r="A1683" s="1267"/>
      <c r="B1683" s="123"/>
      <c r="C1683" s="2038" t="s">
        <v>1463</v>
      </c>
      <c r="D1683" s="2695" t="s">
        <v>320</v>
      </c>
      <c r="E1683" s="694" t="s">
        <v>1465</v>
      </c>
      <c r="F1683" s="742">
        <f>ROUND(((K2687*K2874*(1/K3061-1/K3248)*K3435)/1000)*$K$3484,2)</f>
        <v>924.84</v>
      </c>
      <c r="G1683" s="3050" t="s">
        <v>1176</v>
      </c>
      <c r="H1683" s="2867">
        <f>VLOOKUP(G1683,'CP FACTORS'!$A$3:$B$38, 2, FALSE)</f>
        <v>9.4741810000000004E-4</v>
      </c>
      <c r="I1683" s="2757">
        <f t="shared" si="176"/>
        <v>0.87621000000000004</v>
      </c>
      <c r="J1683" s="116">
        <f t="shared" si="180"/>
        <v>12</v>
      </c>
      <c r="K1683" s="3294">
        <f t="shared" si="181"/>
        <v>0</v>
      </c>
      <c r="L1683" s="3296"/>
      <c r="M1683" s="328"/>
      <c r="N1683" s="1587"/>
      <c r="O1683" s="1135"/>
      <c r="P1683" s="123"/>
      <c r="Q1683" s="123"/>
      <c r="R1683" s="1431"/>
      <c r="S1683" s="123"/>
      <c r="T1683" s="123"/>
      <c r="U1683" s="1589"/>
      <c r="V1683" s="1958" t="s">
        <v>31</v>
      </c>
      <c r="W1683" s="818"/>
      <c r="X1683" s="819"/>
      <c r="Y1683" s="737"/>
      <c r="Z1683" s="737"/>
      <c r="AA1683" s="737"/>
      <c r="AB1683" s="2162"/>
      <c r="AC1683" s="742">
        <v>924.84</v>
      </c>
      <c r="AD1683" s="818"/>
      <c r="AE1683" s="818"/>
      <c r="AF1683" s="818"/>
      <c r="AG1683" s="818"/>
      <c r="AH1683" s="163"/>
      <c r="AK1683" s="820"/>
      <c r="BB1683" s="734"/>
      <c r="BC1683" s="695" t="str">
        <f t="shared" si="177"/>
        <v>Cooling Res ER2 12 Year EUL</v>
      </c>
      <c r="BD1683" s="673">
        <f>(INDEX('Avoided Cost Benefits'!$C$4:$C$857,MATCH(BC1683,'Avoided Cost Benefits'!$A$4:$A$857,0)))*F1683</f>
        <v>1093.4600780832573</v>
      </c>
      <c r="BE1683" s="1949">
        <f t="shared" si="183"/>
        <v>0</v>
      </c>
      <c r="BG1683" s="691"/>
      <c r="BH1683" s="821"/>
      <c r="BI1683" s="691"/>
    </row>
    <row r="1684" spans="1:61" s="1942" customFormat="1" x14ac:dyDescent="0.25">
      <c r="A1684" s="1267"/>
      <c r="B1684" s="123"/>
      <c r="C1684" s="2038" t="s">
        <v>1463</v>
      </c>
      <c r="D1684" s="2695" t="s">
        <v>320</v>
      </c>
      <c r="E1684" s="694" t="s">
        <v>1465</v>
      </c>
      <c r="F1684" s="742">
        <f>0</f>
        <v>0</v>
      </c>
      <c r="G1684" s="3050" t="s">
        <v>1195</v>
      </c>
      <c r="H1684" s="2867">
        <f>VLOOKUP(G1684,'CP FACTORS'!$A$3:$B$38, 2, FALSE)</f>
        <v>0</v>
      </c>
      <c r="I1684" s="2757">
        <f t="shared" si="176"/>
        <v>0</v>
      </c>
      <c r="J1684" s="116">
        <f t="shared" si="180"/>
        <v>12</v>
      </c>
      <c r="K1684" s="3294">
        <f t="shared" si="181"/>
        <v>0</v>
      </c>
      <c r="L1684" s="3296"/>
      <c r="M1684" s="328"/>
      <c r="N1684" s="1587"/>
      <c r="O1684" s="1135"/>
      <c r="P1684" s="123"/>
      <c r="Q1684" s="123"/>
      <c r="R1684" s="1431"/>
      <c r="S1684" s="123"/>
      <c r="T1684" s="123"/>
      <c r="U1684" s="1589"/>
      <c r="V1684" s="1958" t="s">
        <v>31</v>
      </c>
      <c r="W1684" s="818"/>
      <c r="X1684" s="819"/>
      <c r="Y1684" s="737"/>
      <c r="Z1684" s="737"/>
      <c r="AA1684" s="737"/>
      <c r="AB1684" s="2162"/>
      <c r="AC1684" s="742">
        <v>0</v>
      </c>
      <c r="AD1684" s="818"/>
      <c r="AE1684" s="818"/>
      <c r="AF1684" s="818"/>
      <c r="AG1684" s="818"/>
      <c r="AH1684" s="163"/>
      <c r="AK1684" s="820"/>
      <c r="BB1684" s="734"/>
      <c r="BC1684" s="695" t="str">
        <f t="shared" si="177"/>
        <v>Heating Res ER2 12 Year EUL</v>
      </c>
      <c r="BD1684" s="673">
        <f>(INDEX('Avoided Cost Benefits'!$C$4:$C$857,MATCH(BC1684,'Avoided Cost Benefits'!$A$4:$A$857,0)))*F1684</f>
        <v>0</v>
      </c>
      <c r="BE1684" s="1949">
        <f t="shared" si="183"/>
        <v>0</v>
      </c>
      <c r="BG1684" s="691"/>
      <c r="BH1684" s="821"/>
      <c r="BI1684" s="691"/>
    </row>
    <row r="1685" spans="1:61" s="51" customFormat="1" x14ac:dyDescent="0.25">
      <c r="A1685" s="1267" t="str">
        <f t="shared" si="173"/>
        <v>354450_2019_12_Cooling Res</v>
      </c>
      <c r="B1685" s="123"/>
      <c r="C1685" s="1471" t="s">
        <v>1466</v>
      </c>
      <c r="D1685" s="1553" t="s">
        <v>322</v>
      </c>
      <c r="E1685" s="2878" t="s">
        <v>1467</v>
      </c>
      <c r="F1685" s="782">
        <f>ROUND(((K2688*K2875*(1/K3062-1/K3249)*K3436)/1000)*$K$3484,2)</f>
        <v>1416.58</v>
      </c>
      <c r="G1685" s="214" t="s">
        <v>1134</v>
      </c>
      <c r="H1685" s="155">
        <f>VLOOKUP(G1685,'CP FACTORS'!$A$3:$B$38, 2, FALSE)</f>
        <v>9.4741810000000004E-4</v>
      </c>
      <c r="I1685" s="1554">
        <f t="shared" si="176"/>
        <v>1.3420939999999999</v>
      </c>
      <c r="J1685" s="108">
        <f t="shared" si="180"/>
        <v>6</v>
      </c>
      <c r="K1685" s="1052">
        <f t="shared" si="181"/>
        <v>1685.1098012161674</v>
      </c>
      <c r="L1685" s="1088">
        <f>L1940</f>
        <v>3.1</v>
      </c>
      <c r="M1685" s="328"/>
      <c r="N1685" s="1587"/>
      <c r="O1685" s="1135"/>
      <c r="P1685" s="123"/>
      <c r="Q1685" s="123"/>
      <c r="R1685" s="1431"/>
      <c r="S1685" s="123"/>
      <c r="T1685" s="123"/>
      <c r="U1685" s="1589"/>
      <c r="V1685" s="1962" t="s">
        <v>31</v>
      </c>
      <c r="W1685" s="818">
        <v>1984.1449226006196</v>
      </c>
      <c r="X1685" s="819">
        <v>1416.5825576546411</v>
      </c>
      <c r="Y1685" s="737">
        <v>1416.58</v>
      </c>
      <c r="Z1685" s="737">
        <v>1416.58</v>
      </c>
      <c r="AA1685" s="737">
        <v>1416.58</v>
      </c>
      <c r="AB1685" s="2162">
        <v>1416.58</v>
      </c>
      <c r="AC1685" s="782">
        <v>1416.58</v>
      </c>
      <c r="AD1685" s="818"/>
      <c r="AE1685" s="818"/>
      <c r="AF1685" s="818"/>
      <c r="AG1685" s="818"/>
      <c r="AH1685" s="163"/>
      <c r="AI1685" s="1942"/>
      <c r="AJ1685" s="1942"/>
      <c r="AK1685" s="820"/>
      <c r="AL1685" s="1942"/>
      <c r="AM1685" s="1942"/>
      <c r="AN1685" s="1942"/>
      <c r="AO1685" s="1942"/>
      <c r="AP1685" s="1942"/>
      <c r="AQ1685" s="1942"/>
      <c r="AR1685" s="1942"/>
      <c r="AS1685" s="1942"/>
      <c r="AT1685" s="1942"/>
      <c r="AU1685" s="1942"/>
      <c r="AV1685" s="1942"/>
      <c r="AW1685" s="1942"/>
      <c r="AX1685" s="1942"/>
      <c r="AY1685" s="1942"/>
      <c r="AZ1685" s="1942"/>
      <c r="BA1685" s="1942"/>
      <c r="BB1685" s="244">
        <f>(BD1685+BD1686+BD1687+BD1688)/(BE1685+BE1686+BE1687+BE1688)</f>
        <v>2.8609839612822618</v>
      </c>
      <c r="BC1685" s="3115" t="str">
        <f t="shared" si="177"/>
        <v>Cooling Res 6 Year EUL</v>
      </c>
      <c r="BD1685" s="673">
        <f>(INDEX('Avoided Cost Benefits'!$C$4:$C$857,MATCH(BC1685,'Avoided Cost Benefits'!$A$4:$A$857,0)))*F1685</f>
        <v>823.71883553047269</v>
      </c>
      <c r="BE1685" s="1949">
        <f t="shared" si="183"/>
        <v>1590.4764523040749</v>
      </c>
      <c r="BF1685" s="1942"/>
      <c r="BG1685" s="691"/>
      <c r="BH1685" s="821"/>
      <c r="BI1685" s="691"/>
    </row>
    <row r="1686" spans="1:61" s="51" customFormat="1" x14ac:dyDescent="0.25">
      <c r="A1686" s="1267" t="str">
        <f t="shared" si="173"/>
        <v>354450_2019_12_Heating Res</v>
      </c>
      <c r="B1686" s="123"/>
      <c r="C1686" s="1471" t="s">
        <v>1466</v>
      </c>
      <c r="D1686" s="1553" t="s">
        <v>322</v>
      </c>
      <c r="E1686" s="3007" t="s">
        <v>1467</v>
      </c>
      <c r="F1686" s="782">
        <f>ROUND(((K1940*K2127*(1/K2314-1/K2501)*K3436)/1000)*$K$3484,2)</f>
        <v>6759.78</v>
      </c>
      <c r="G1686" s="214" t="s">
        <v>1135</v>
      </c>
      <c r="H1686" s="155">
        <f>VLOOKUP(G1686,'CP FACTORS'!$A$3:$B$38, 2, FALSE)</f>
        <v>0</v>
      </c>
      <c r="I1686" s="1554">
        <f t="shared" si="176"/>
        <v>0</v>
      </c>
      <c r="J1686" s="108">
        <f t="shared" si="180"/>
        <v>6</v>
      </c>
      <c r="K1686" s="1052">
        <f t="shared" si="181"/>
        <v>0</v>
      </c>
      <c r="L1686" s="1088"/>
      <c r="M1686" s="328"/>
      <c r="N1686" s="1587"/>
      <c r="O1686" s="1135"/>
      <c r="P1686" s="123"/>
      <c r="Q1686" s="123"/>
      <c r="R1686" s="1431"/>
      <c r="S1686" s="123"/>
      <c r="T1686" s="123"/>
      <c r="U1686" s="1589"/>
      <c r="V1686" s="1962" t="s">
        <v>31</v>
      </c>
      <c r="W1686" s="818">
        <v>9077.8044487427451</v>
      </c>
      <c r="X1686" s="819">
        <v>6759.7787234042544</v>
      </c>
      <c r="Y1686" s="737">
        <v>6759.78</v>
      </c>
      <c r="Z1686" s="737">
        <v>6759.78</v>
      </c>
      <c r="AA1686" s="737">
        <v>6759.78</v>
      </c>
      <c r="AB1686" s="2162">
        <v>6759.78</v>
      </c>
      <c r="AC1686" s="782">
        <v>6759.78</v>
      </c>
      <c r="AD1686" s="818"/>
      <c r="AE1686" s="818"/>
      <c r="AF1686" s="818"/>
      <c r="AG1686" s="818"/>
      <c r="AH1686" s="163"/>
      <c r="AI1686" s="1942"/>
      <c r="AJ1686" s="1942"/>
      <c r="AK1686" s="820"/>
      <c r="AL1686" s="1942"/>
      <c r="AM1686" s="1942"/>
      <c r="AN1686" s="1942"/>
      <c r="AO1686" s="1942"/>
      <c r="AP1686" s="1942"/>
      <c r="AQ1686" s="1942"/>
      <c r="AR1686" s="1942"/>
      <c r="AS1686" s="1942"/>
      <c r="AT1686" s="1942"/>
      <c r="AU1686" s="1942"/>
      <c r="AV1686" s="1942"/>
      <c r="AW1686" s="1942"/>
      <c r="AX1686" s="1942"/>
      <c r="AY1686" s="1942"/>
      <c r="AZ1686" s="1942"/>
      <c r="BA1686" s="1942"/>
      <c r="BB1686" s="734"/>
      <c r="BC1686" s="3130" t="str">
        <f t="shared" si="177"/>
        <v>Heating Res 6 Year EUL</v>
      </c>
      <c r="BD1686" s="673">
        <f>(INDEX('Avoided Cost Benefits'!$C$4:$C$857,MATCH(BC1686,'Avoided Cost Benefits'!$A$4:$A$857,0)))*F1686</f>
        <v>1124.3778951463969</v>
      </c>
      <c r="BE1686" s="1949">
        <f t="shared" si="183"/>
        <v>0</v>
      </c>
      <c r="BF1686" s="1942"/>
      <c r="BG1686" s="691"/>
      <c r="BH1686" s="821"/>
      <c r="BI1686" s="691"/>
    </row>
    <row r="1687" spans="1:61" s="51" customFormat="1" x14ac:dyDescent="0.25">
      <c r="A1687" s="1267" t="str">
        <f t="shared" si="173"/>
        <v>354450_2019_12_Cooling Res ER2</v>
      </c>
      <c r="B1687" s="123"/>
      <c r="C1687" s="1471" t="s">
        <v>1466</v>
      </c>
      <c r="D1687" s="1553" t="s">
        <v>322</v>
      </c>
      <c r="E1687" s="3007" t="s">
        <v>1468</v>
      </c>
      <c r="F1687" s="782">
        <f>ROUND(((K2689*K2876*(1/K3063-1/K3250)*K3437)/1000)*$K$3484,2)</f>
        <v>510.42</v>
      </c>
      <c r="G1687" s="1580" t="s">
        <v>1176</v>
      </c>
      <c r="H1687" s="155">
        <f>VLOOKUP(G1687,'CP FACTORS'!$A$3:$B$38, 2, FALSE)</f>
        <v>9.4741810000000004E-4</v>
      </c>
      <c r="I1687" s="1554">
        <f t="shared" si="176"/>
        <v>0.48358099999999998</v>
      </c>
      <c r="J1687" s="108">
        <f t="shared" si="180"/>
        <v>12</v>
      </c>
      <c r="K1687" s="1052">
        <f t="shared" si="181"/>
        <v>0</v>
      </c>
      <c r="L1687" s="1088"/>
      <c r="M1687" s="328"/>
      <c r="N1687" s="1587"/>
      <c r="O1687" s="1135"/>
      <c r="P1687" s="123"/>
      <c r="Q1687" s="123"/>
      <c r="R1687" s="1431"/>
      <c r="S1687" s="123"/>
      <c r="T1687" s="123"/>
      <c r="U1687" s="1589"/>
      <c r="V1687" s="1962" t="s">
        <v>31</v>
      </c>
      <c r="W1687" s="818">
        <v>510.42315789473696</v>
      </c>
      <c r="X1687" s="825">
        <v>510.42315789473696</v>
      </c>
      <c r="Y1687" s="737">
        <v>510.42</v>
      </c>
      <c r="Z1687" s="737">
        <v>510.42</v>
      </c>
      <c r="AA1687" s="737">
        <v>510.42</v>
      </c>
      <c r="AB1687" s="2162">
        <v>510.42</v>
      </c>
      <c r="AC1687" s="782">
        <v>510.42</v>
      </c>
      <c r="AD1687" s="818"/>
      <c r="AE1687" s="818"/>
      <c r="AF1687" s="818"/>
      <c r="AG1687" s="818"/>
      <c r="AH1687" s="163"/>
      <c r="AI1687" s="1942"/>
      <c r="AJ1687" s="1942"/>
      <c r="AK1687" s="820"/>
      <c r="AL1687" s="1942"/>
      <c r="AM1687" s="1942"/>
      <c r="AN1687" s="1942"/>
      <c r="AO1687" s="1942"/>
      <c r="AP1687" s="1942"/>
      <c r="AQ1687" s="1942"/>
      <c r="AR1687" s="1942"/>
      <c r="AS1687" s="1942"/>
      <c r="AT1687" s="1942"/>
      <c r="AU1687" s="1942"/>
      <c r="AV1687" s="1942"/>
      <c r="AW1687" s="1942"/>
      <c r="AX1687" s="1942"/>
      <c r="AY1687" s="1942"/>
      <c r="AZ1687" s="1942"/>
      <c r="BA1687" s="1942"/>
      <c r="BB1687" s="734"/>
      <c r="BC1687" s="3130" t="str">
        <f t="shared" si="177"/>
        <v>Cooling Res ER2 12 Year EUL</v>
      </c>
      <c r="BD1687" s="673">
        <f>(INDEX('Avoided Cost Benefits'!$C$4:$C$857,MATCH(BC1687,'Avoided Cost Benefits'!$A$4:$A$857,0)))*F1687</f>
        <v>603.48156768225431</v>
      </c>
      <c r="BE1687" s="1949">
        <f t="shared" si="183"/>
        <v>0</v>
      </c>
      <c r="BF1687" s="1942"/>
      <c r="BG1687" s="691"/>
      <c r="BH1687" s="821"/>
      <c r="BI1687" s="691"/>
    </row>
    <row r="1688" spans="1:61" s="51" customFormat="1" x14ac:dyDescent="0.25">
      <c r="A1688" s="1267" t="str">
        <f t="shared" si="173"/>
        <v>354450_2019_12_Heating Res ER2</v>
      </c>
      <c r="B1688" s="123"/>
      <c r="C1688" s="1471" t="s">
        <v>1466</v>
      </c>
      <c r="D1688" s="1553" t="s">
        <v>322</v>
      </c>
      <c r="E1688" s="3005" t="s">
        <v>1468</v>
      </c>
      <c r="F1688" s="782">
        <f>ROUND(((K1941*K2128*(1/K2315-1/K2502)*K3437)/1000)*$K$3484,2)</f>
        <v>6759.78</v>
      </c>
      <c r="G1688" s="1580" t="s">
        <v>1195</v>
      </c>
      <c r="H1688" s="155">
        <f>VLOOKUP(G1688,'CP FACTORS'!$A$3:$B$38, 2, FALSE)</f>
        <v>0</v>
      </c>
      <c r="I1688" s="1554">
        <f t="shared" si="176"/>
        <v>0</v>
      </c>
      <c r="J1688" s="108">
        <f t="shared" si="180"/>
        <v>12</v>
      </c>
      <c r="K1688" s="1052">
        <f t="shared" si="181"/>
        <v>0</v>
      </c>
      <c r="L1688" s="1088"/>
      <c r="M1688" s="328"/>
      <c r="N1688" s="1587"/>
      <c r="O1688" s="1135"/>
      <c r="P1688" s="123"/>
      <c r="Q1688" s="123"/>
      <c r="R1688" s="1431"/>
      <c r="S1688" s="123"/>
      <c r="T1688" s="123"/>
      <c r="U1688" s="1589"/>
      <c r="V1688" s="1962" t="s">
        <v>31</v>
      </c>
      <c r="W1688" s="818">
        <v>9077.8044487427451</v>
      </c>
      <c r="X1688" s="819">
        <v>6759.7787234042544</v>
      </c>
      <c r="Y1688" s="737">
        <v>6759.78</v>
      </c>
      <c r="Z1688" s="737">
        <v>6759.78</v>
      </c>
      <c r="AA1688" s="737">
        <v>6759.78</v>
      </c>
      <c r="AB1688" s="2162">
        <v>6759.78</v>
      </c>
      <c r="AC1688" s="782">
        <v>6759.78</v>
      </c>
      <c r="AD1688" s="818"/>
      <c r="AE1688" s="818"/>
      <c r="AF1688" s="818"/>
      <c r="AG1688" s="818"/>
      <c r="AH1688" s="163"/>
      <c r="AI1688" s="1942"/>
      <c r="AJ1688" s="1942"/>
      <c r="AK1688" s="820"/>
      <c r="AL1688" s="1942"/>
      <c r="AM1688" s="1942"/>
      <c r="AN1688" s="1942"/>
      <c r="AO1688" s="1942"/>
      <c r="AP1688" s="1942"/>
      <c r="AQ1688" s="1942"/>
      <c r="AR1688" s="1942"/>
      <c r="AS1688" s="1942"/>
      <c r="AT1688" s="1942"/>
      <c r="AU1688" s="1942"/>
      <c r="AV1688" s="1942"/>
      <c r="AW1688" s="1942"/>
      <c r="AX1688" s="1942"/>
      <c r="AY1688" s="1942"/>
      <c r="AZ1688" s="1942"/>
      <c r="BA1688" s="1942"/>
      <c r="BB1688" s="734"/>
      <c r="BC1688" s="3116" t="str">
        <f t="shared" si="177"/>
        <v>Heating Res ER2 12 Year EUL</v>
      </c>
      <c r="BD1688" s="673">
        <f>(INDEX('Avoided Cost Benefits'!$C$4:$C$857,MATCH(BC1688,'Avoided Cost Benefits'!$A$4:$A$857,0)))*F1688</f>
        <v>1998.7493224799473</v>
      </c>
      <c r="BE1688" s="1949">
        <f t="shared" si="183"/>
        <v>0</v>
      </c>
      <c r="BF1688" s="1942"/>
      <c r="BG1688" s="691"/>
      <c r="BH1688" s="821"/>
      <c r="BI1688" s="691"/>
    </row>
    <row r="1689" spans="1:61" s="51" customFormat="1" x14ac:dyDescent="0.25">
      <c r="A1689" s="1267" t="str">
        <f t="shared" si="173"/>
        <v>354451_2019_12_Cooling Res</v>
      </c>
      <c r="B1689" s="123"/>
      <c r="C1689" s="1471" t="s">
        <v>1469</v>
      </c>
      <c r="D1689" s="1553" t="s">
        <v>317</v>
      </c>
      <c r="E1689" s="2878" t="s">
        <v>1470</v>
      </c>
      <c r="F1689" s="782">
        <f>ROUND((($K$2690*$K$2877*(1/$K$3064-1/$K$3251)*$K$3438)/1000)*$K$3484,2)</f>
        <v>1030.24</v>
      </c>
      <c r="G1689" s="214" t="str">
        <f>G1685</f>
        <v>Cooling Res</v>
      </c>
      <c r="H1689" s="155">
        <f>VLOOKUP(G1689,'CP FACTORS'!$A$3:$B$38, 2, FALSE)</f>
        <v>9.4741810000000004E-4</v>
      </c>
      <c r="I1689" s="1554">
        <f t="shared" ref="I1689:I1752" si="184">ROUND(F1689*H1689,6)</f>
        <v>0.97606800000000005</v>
      </c>
      <c r="J1689" s="108">
        <f t="shared" si="180"/>
        <v>6</v>
      </c>
      <c r="K1689" s="3294">
        <f t="shared" si="181"/>
        <v>1685.1098012161674</v>
      </c>
      <c r="L1689" s="3296">
        <f>L1942</f>
        <v>3.1</v>
      </c>
      <c r="M1689" s="328"/>
      <c r="N1689" s="1587"/>
      <c r="O1689" s="1135"/>
      <c r="P1689" s="123"/>
      <c r="Q1689" s="123"/>
      <c r="R1689" s="1431"/>
      <c r="S1689" s="123"/>
      <c r="T1689" s="123"/>
      <c r="U1689" s="1589"/>
      <c r="V1689" s="1962" t="s">
        <v>31</v>
      </c>
      <c r="W1689" s="818"/>
      <c r="X1689" s="819"/>
      <c r="Y1689" s="742">
        <v>1030.24</v>
      </c>
      <c r="Z1689" s="737">
        <v>1030.24</v>
      </c>
      <c r="AA1689" s="737">
        <v>1030.24</v>
      </c>
      <c r="AB1689" s="2162">
        <v>1030.24</v>
      </c>
      <c r="AC1689" s="782">
        <v>1030.24</v>
      </c>
      <c r="AD1689" s="818"/>
      <c r="AE1689" s="818"/>
      <c r="AF1689" s="818"/>
      <c r="AG1689" s="818"/>
      <c r="AH1689" s="163"/>
      <c r="AI1689" s="1942"/>
      <c r="AJ1689" s="1942"/>
      <c r="AK1689" s="820"/>
      <c r="AL1689" s="1942"/>
      <c r="AM1689" s="1942"/>
      <c r="AN1689" s="1942"/>
      <c r="AO1689" s="1942"/>
      <c r="AP1689" s="1942"/>
      <c r="AQ1689" s="1942"/>
      <c r="AR1689" s="1942"/>
      <c r="AS1689" s="1942"/>
      <c r="AT1689" s="1942"/>
      <c r="AU1689" s="1942"/>
      <c r="AV1689" s="1942"/>
      <c r="AW1689" s="1942"/>
      <c r="AX1689" s="1942"/>
      <c r="AY1689" s="1942"/>
      <c r="AZ1689" s="1942"/>
      <c r="BA1689" s="1942"/>
      <c r="BB1689" s="244">
        <f>(BD1689+BD1690+BD1691+BD1692)/(BE1689+BE1690+BE1691+BE1692)</f>
        <v>1.3220394594007598</v>
      </c>
      <c r="BC1689" s="3115" t="str">
        <f t="shared" ref="BC1689:BC1752" si="185">CONCATENATE(G1689," ",J1689," Year EUL")</f>
        <v>Cooling Res 6 Year EUL</v>
      </c>
      <c r="BD1689" s="673">
        <f>(INDEX('Avoided Cost Benefits'!$C$4:$C$857,MATCH(BC1689,'Avoided Cost Benefits'!$A$4:$A$857,0)))*F1689</f>
        <v>599.06824402216205</v>
      </c>
      <c r="BE1689" s="1949">
        <f t="shared" si="183"/>
        <v>1590.4764523040749</v>
      </c>
      <c r="BF1689" s="1942"/>
      <c r="BG1689" s="691"/>
      <c r="BH1689" s="824"/>
      <c r="BI1689" s="691"/>
    </row>
    <row r="1690" spans="1:61" s="51" customFormat="1" x14ac:dyDescent="0.25">
      <c r="A1690" s="1267" t="str">
        <f t="shared" si="173"/>
        <v>354451_2019_12_Heating Res</v>
      </c>
      <c r="B1690" s="123"/>
      <c r="C1690" s="1471" t="str">
        <f>C1689</f>
        <v>354451_2019_12_</v>
      </c>
      <c r="D1690" s="1553" t="s">
        <v>317</v>
      </c>
      <c r="E1690" s="3007" t="s">
        <v>1470</v>
      </c>
      <c r="F1690" s="782">
        <f>ROUND((($K$1942*$K$2129*(1/$K$2316-1/$K$2503)*$K$3438)/1000)*$K$3484,2)</f>
        <v>2304.4699999999998</v>
      </c>
      <c r="G1690" s="214" t="str">
        <f>G1686</f>
        <v>Heating Res</v>
      </c>
      <c r="H1690" s="155">
        <f>VLOOKUP(G1690,'CP FACTORS'!$A$3:$B$38, 2, FALSE)</f>
        <v>0</v>
      </c>
      <c r="I1690" s="1554">
        <f t="shared" si="184"/>
        <v>0</v>
      </c>
      <c r="J1690" s="108">
        <f t="shared" si="180"/>
        <v>6</v>
      </c>
      <c r="K1690" s="1052">
        <f t="shared" si="181"/>
        <v>0</v>
      </c>
      <c r="L1690" s="1088"/>
      <c r="M1690" s="328"/>
      <c r="N1690" s="1587"/>
      <c r="O1690" s="1135"/>
      <c r="P1690" s="123"/>
      <c r="Q1690" s="123"/>
      <c r="R1690" s="1431"/>
      <c r="S1690" s="123"/>
      <c r="T1690" s="123"/>
      <c r="U1690" s="1589"/>
      <c r="V1690" s="1962" t="s">
        <v>31</v>
      </c>
      <c r="W1690" s="818"/>
      <c r="X1690" s="819"/>
      <c r="Y1690" s="742">
        <v>2304.4699999999998</v>
      </c>
      <c r="Z1690" s="737">
        <v>2304.4699999999998</v>
      </c>
      <c r="AA1690" s="737">
        <v>2304.4699999999998</v>
      </c>
      <c r="AB1690" s="2162">
        <v>2304.4699999999998</v>
      </c>
      <c r="AC1690" s="782">
        <v>2304.4699999999998</v>
      </c>
      <c r="AD1690" s="818"/>
      <c r="AE1690" s="818"/>
      <c r="AF1690" s="818"/>
      <c r="AG1690" s="818"/>
      <c r="AH1690" s="163"/>
      <c r="AI1690" s="1942"/>
      <c r="AJ1690" s="1942"/>
      <c r="AK1690" s="820"/>
      <c r="AL1690" s="1942"/>
      <c r="AM1690" s="1942"/>
      <c r="AN1690" s="1942"/>
      <c r="AO1690" s="1942"/>
      <c r="AP1690" s="1942"/>
      <c r="AQ1690" s="1942"/>
      <c r="AR1690" s="1942"/>
      <c r="AS1690" s="1942"/>
      <c r="AT1690" s="1942"/>
      <c r="AU1690" s="1942"/>
      <c r="AV1690" s="1942"/>
      <c r="AW1690" s="1942"/>
      <c r="AX1690" s="1942"/>
      <c r="AY1690" s="1942"/>
      <c r="AZ1690" s="1942"/>
      <c r="BA1690" s="1942"/>
      <c r="BB1690" s="734"/>
      <c r="BC1690" s="3130" t="str">
        <f t="shared" si="185"/>
        <v>Heating Res 6 Year EUL</v>
      </c>
      <c r="BD1690" s="673">
        <f>(INDEX('Avoided Cost Benefits'!$C$4:$C$857,MATCH(BC1690,'Avoided Cost Benefits'!$A$4:$A$857,0)))*F1690</f>
        <v>383.31057046649704</v>
      </c>
      <c r="BE1690" s="1949">
        <f t="shared" si="183"/>
        <v>0</v>
      </c>
      <c r="BF1690" s="1942"/>
      <c r="BG1690" s="691"/>
      <c r="BH1690" s="824"/>
      <c r="BI1690" s="691"/>
    </row>
    <row r="1691" spans="1:61" s="51" customFormat="1" x14ac:dyDescent="0.25">
      <c r="A1691" s="1267" t="str">
        <f t="shared" si="173"/>
        <v>354451_2019_12_Cooling Res ER2</v>
      </c>
      <c r="B1691" s="123"/>
      <c r="C1691" s="1471" t="str">
        <f>C1690</f>
        <v>354451_2019_12_</v>
      </c>
      <c r="D1691" s="1553" t="s">
        <v>317</v>
      </c>
      <c r="E1691" s="3007" t="s">
        <v>1471</v>
      </c>
      <c r="F1691" s="782">
        <f>ROUND((($K$2691*$K$2878*(1/$K$3065-1/$K$3252)*$K$3439)/1000)*$K$3484,2)</f>
        <v>371.22</v>
      </c>
      <c r="G1691" s="214" t="str">
        <f>G1687</f>
        <v>Cooling Res ER2</v>
      </c>
      <c r="H1691" s="155">
        <f>VLOOKUP(G1691,'CP FACTORS'!$A$3:$B$38, 2, FALSE)</f>
        <v>9.4741810000000004E-4</v>
      </c>
      <c r="I1691" s="1554">
        <f t="shared" si="184"/>
        <v>0.35170099999999999</v>
      </c>
      <c r="J1691" s="108">
        <f t="shared" si="180"/>
        <v>12</v>
      </c>
      <c r="K1691" s="1052">
        <f t="shared" si="181"/>
        <v>0</v>
      </c>
      <c r="L1691" s="1088"/>
      <c r="M1691" s="328"/>
      <c r="N1691" s="1587"/>
      <c r="O1691" s="1135"/>
      <c r="P1691" s="123"/>
      <c r="Q1691" s="123"/>
      <c r="R1691" s="1431"/>
      <c r="S1691" s="123"/>
      <c r="T1691" s="123"/>
      <c r="U1691" s="1589"/>
      <c r="V1691" s="1962" t="s">
        <v>31</v>
      </c>
      <c r="W1691" s="818"/>
      <c r="X1691" s="819"/>
      <c r="Y1691" s="742">
        <v>371.22</v>
      </c>
      <c r="Z1691" s="737">
        <v>371.22</v>
      </c>
      <c r="AA1691" s="737">
        <v>371.22</v>
      </c>
      <c r="AB1691" s="2162">
        <v>371.22</v>
      </c>
      <c r="AC1691" s="782">
        <v>371.22</v>
      </c>
      <c r="AD1691" s="818"/>
      <c r="AE1691" s="818"/>
      <c r="AF1691" s="818"/>
      <c r="AG1691" s="818"/>
      <c r="AH1691" s="163"/>
      <c r="AI1691" s="1942"/>
      <c r="AJ1691" s="1942"/>
      <c r="AK1691" s="820"/>
      <c r="AL1691" s="1942"/>
      <c r="AM1691" s="1942"/>
      <c r="AN1691" s="1942"/>
      <c r="AO1691" s="1942"/>
      <c r="AP1691" s="1942"/>
      <c r="AQ1691" s="1942"/>
      <c r="AR1691" s="1942"/>
      <c r="AS1691" s="1942"/>
      <c r="AT1691" s="1942"/>
      <c r="AU1691" s="1942"/>
      <c r="AV1691" s="1942"/>
      <c r="AW1691" s="1942"/>
      <c r="AX1691" s="1942"/>
      <c r="AY1691" s="1942"/>
      <c r="AZ1691" s="1942"/>
      <c r="BA1691" s="1942"/>
      <c r="BB1691" s="734"/>
      <c r="BC1691" s="3130" t="str">
        <f t="shared" si="185"/>
        <v>Cooling Res ER2 12 Year EUL</v>
      </c>
      <c r="BD1691" s="673">
        <f>(INDEX('Avoided Cost Benefits'!$C$4:$C$857,MATCH(BC1691,'Avoided Cost Benefits'!$A$4:$A$857,0)))*F1691</f>
        <v>438.90213462443961</v>
      </c>
      <c r="BE1691" s="1949">
        <f t="shared" si="183"/>
        <v>0</v>
      </c>
      <c r="BF1691" s="1942"/>
      <c r="BG1691" s="691"/>
      <c r="BH1691" s="824"/>
      <c r="BI1691" s="691"/>
    </row>
    <row r="1692" spans="1:61" s="51" customFormat="1" x14ac:dyDescent="0.25">
      <c r="A1692" s="1267" t="str">
        <f t="shared" si="173"/>
        <v>354451_2019_12_Heating Res ER2</v>
      </c>
      <c r="B1692" s="123"/>
      <c r="C1692" s="1471" t="str">
        <f>C1691</f>
        <v>354451_2019_12_</v>
      </c>
      <c r="D1692" s="1553" t="s">
        <v>317</v>
      </c>
      <c r="E1692" s="3005" t="s">
        <v>1471</v>
      </c>
      <c r="F1692" s="782">
        <f>ROUND((($K$1943*$K$2130*(1/$K$2317-1/$K$2504)*$K$3439)/1000)*$K$3484,2)</f>
        <v>2304.4699999999998</v>
      </c>
      <c r="G1692" s="214" t="str">
        <f>G1688</f>
        <v>Heating Res ER2</v>
      </c>
      <c r="H1692" s="155">
        <f>VLOOKUP(G1692,'CP FACTORS'!$A$3:$B$38, 2, FALSE)</f>
        <v>0</v>
      </c>
      <c r="I1692" s="1554">
        <f t="shared" si="184"/>
        <v>0</v>
      </c>
      <c r="J1692" s="108">
        <f t="shared" si="180"/>
        <v>12</v>
      </c>
      <c r="K1692" s="1052">
        <f t="shared" si="181"/>
        <v>0</v>
      </c>
      <c r="L1692" s="1088"/>
      <c r="M1692" s="328"/>
      <c r="N1692" s="1587"/>
      <c r="O1692" s="1135"/>
      <c r="P1692" s="123"/>
      <c r="Q1692" s="123"/>
      <c r="R1692" s="1431"/>
      <c r="S1692" s="123"/>
      <c r="T1692" s="123"/>
      <c r="U1692" s="1589"/>
      <c r="V1692" s="1962" t="s">
        <v>31</v>
      </c>
      <c r="W1692" s="818"/>
      <c r="X1692" s="819"/>
      <c r="Y1692" s="742">
        <v>2304.4699999999998</v>
      </c>
      <c r="Z1692" s="737">
        <v>2304.4699999999998</v>
      </c>
      <c r="AA1692" s="737">
        <v>2304.4699999999998</v>
      </c>
      <c r="AB1692" s="2162">
        <v>2304.4699999999998</v>
      </c>
      <c r="AC1692" s="782">
        <v>2304.4699999999998</v>
      </c>
      <c r="AD1692" s="818"/>
      <c r="AE1692" s="818"/>
      <c r="AF1692" s="818"/>
      <c r="AG1692" s="818"/>
      <c r="AH1692" s="163"/>
      <c r="AI1692" s="1942"/>
      <c r="AJ1692" s="1942"/>
      <c r="AK1692" s="820"/>
      <c r="AL1692" s="1942"/>
      <c r="AM1692" s="1942"/>
      <c r="AN1692" s="1942"/>
      <c r="AO1692" s="1942"/>
      <c r="AP1692" s="1942"/>
      <c r="AQ1692" s="1942"/>
      <c r="AR1692" s="1942"/>
      <c r="AS1692" s="1942"/>
      <c r="AT1692" s="1942"/>
      <c r="AU1692" s="1942"/>
      <c r="AV1692" s="1942"/>
      <c r="AW1692" s="1942"/>
      <c r="AX1692" s="1942"/>
      <c r="AY1692" s="1942"/>
      <c r="AZ1692" s="1942"/>
      <c r="BA1692" s="1942"/>
      <c r="BB1692" s="734"/>
      <c r="BC1692" s="3116" t="str">
        <f t="shared" si="185"/>
        <v>Heating Res ER2 12 Year EUL</v>
      </c>
      <c r="BD1692" s="673">
        <f>(INDEX('Avoided Cost Benefits'!$C$4:$C$857,MATCH(BC1692,'Avoided Cost Benefits'!$A$4:$A$857,0)))*F1692</f>
        <v>681.39168008061858</v>
      </c>
      <c r="BE1692" s="1949">
        <f t="shared" si="183"/>
        <v>0</v>
      </c>
      <c r="BF1692" s="1942"/>
      <c r="BG1692" s="691"/>
      <c r="BH1692" s="824"/>
      <c r="BI1692" s="691"/>
    </row>
    <row r="1693" spans="1:61" s="1942" customFormat="1" x14ac:dyDescent="0.25">
      <c r="A1693" s="1267"/>
      <c r="B1693" s="123"/>
      <c r="C1693" s="2038" t="s">
        <v>1472</v>
      </c>
      <c r="D1693" s="2695" t="s">
        <v>322</v>
      </c>
      <c r="E1693" s="3007" t="s">
        <v>1473</v>
      </c>
      <c r="F1693" s="742">
        <f>ROUND(((K2692*K2879*(1/K3066-1/K3253)*K3440)/1000)*$K$3484,2)</f>
        <v>1416.58</v>
      </c>
      <c r="G1693" s="2042" t="s">
        <v>1134</v>
      </c>
      <c r="H1693" s="2867">
        <f>VLOOKUP(G1693,'CP FACTORS'!$A$3:$B$38, 2, FALSE)</f>
        <v>9.4741810000000004E-4</v>
      </c>
      <c r="I1693" s="2757">
        <f t="shared" si="184"/>
        <v>1.3420939999999999</v>
      </c>
      <c r="J1693" s="116">
        <f t="shared" si="180"/>
        <v>6</v>
      </c>
      <c r="K1693" s="3294">
        <f t="shared" si="181"/>
        <v>1685.1098012161674</v>
      </c>
      <c r="L1693" s="3296">
        <f>L1944</f>
        <v>3.1</v>
      </c>
      <c r="M1693" s="328"/>
      <c r="N1693" s="1587"/>
      <c r="O1693" s="1135"/>
      <c r="P1693" s="123"/>
      <c r="Q1693" s="123"/>
      <c r="R1693" s="1431"/>
      <c r="S1693" s="123"/>
      <c r="T1693" s="123"/>
      <c r="U1693" s="1589"/>
      <c r="V1693" s="1958" t="s">
        <v>31</v>
      </c>
      <c r="W1693" s="818"/>
      <c r="X1693" s="819"/>
      <c r="Y1693" s="742"/>
      <c r="Z1693" s="737"/>
      <c r="AA1693" s="737"/>
      <c r="AB1693" s="2162"/>
      <c r="AC1693" s="742">
        <v>1416.58</v>
      </c>
      <c r="AD1693" s="818"/>
      <c r="AE1693" s="818"/>
      <c r="AF1693" s="818"/>
      <c r="AG1693" s="818"/>
      <c r="AH1693" s="163"/>
      <c r="AK1693" s="820"/>
      <c r="BB1693" s="244">
        <f>(BD1693+BD1694+BD1695+BD1696)/(BE1693+BE1694+BE1695+BE1696)</f>
        <v>0.89734142315982435</v>
      </c>
      <c r="BC1693" s="3130" t="str">
        <f t="shared" si="185"/>
        <v>Cooling Res 6 Year EUL</v>
      </c>
      <c r="BD1693" s="673">
        <f>(INDEX('Avoided Cost Benefits'!$C$4:$C$857,MATCH(BC1693,'Avoided Cost Benefits'!$A$4:$A$857,0)))*F1693</f>
        <v>823.71883553047269</v>
      </c>
      <c r="BE1693" s="1949">
        <f t="shared" si="183"/>
        <v>1590.4764523040749</v>
      </c>
      <c r="BG1693" s="691"/>
      <c r="BH1693" s="824"/>
      <c r="BI1693" s="691"/>
    </row>
    <row r="1694" spans="1:61" s="1942" customFormat="1" x14ac:dyDescent="0.25">
      <c r="A1694" s="1267"/>
      <c r="B1694" s="123"/>
      <c r="C1694" s="2038" t="s">
        <v>1472</v>
      </c>
      <c r="D1694" s="2695" t="s">
        <v>322</v>
      </c>
      <c r="E1694" s="3007" t="s">
        <v>1473</v>
      </c>
      <c r="F1694" s="742">
        <v>0</v>
      </c>
      <c r="G1694" s="2042" t="s">
        <v>1135</v>
      </c>
      <c r="H1694" s="2867">
        <f>VLOOKUP(G1694,'CP FACTORS'!$A$3:$B$38, 2, FALSE)</f>
        <v>0</v>
      </c>
      <c r="I1694" s="2757">
        <f t="shared" si="184"/>
        <v>0</v>
      </c>
      <c r="J1694" s="116">
        <f t="shared" si="180"/>
        <v>6</v>
      </c>
      <c r="K1694" s="3294">
        <f t="shared" si="181"/>
        <v>0</v>
      </c>
      <c r="L1694" s="3296"/>
      <c r="M1694" s="328"/>
      <c r="N1694" s="1587"/>
      <c r="O1694" s="1135"/>
      <c r="P1694" s="123"/>
      <c r="Q1694" s="123"/>
      <c r="R1694" s="1431"/>
      <c r="S1694" s="123"/>
      <c r="T1694" s="123"/>
      <c r="U1694" s="1589"/>
      <c r="V1694" s="1958" t="s">
        <v>31</v>
      </c>
      <c r="W1694" s="818"/>
      <c r="X1694" s="819"/>
      <c r="Y1694" s="742"/>
      <c r="Z1694" s="737"/>
      <c r="AA1694" s="737"/>
      <c r="AB1694" s="2162"/>
      <c r="AC1694" s="742">
        <v>0</v>
      </c>
      <c r="AD1694" s="818"/>
      <c r="AE1694" s="818"/>
      <c r="AF1694" s="818"/>
      <c r="AG1694" s="818"/>
      <c r="AH1694" s="163"/>
      <c r="AK1694" s="820"/>
      <c r="BB1694" s="734"/>
      <c r="BC1694" s="3130" t="str">
        <f t="shared" si="185"/>
        <v>Heating Res 6 Year EUL</v>
      </c>
      <c r="BD1694" s="673">
        <f>(INDEX('Avoided Cost Benefits'!$C$4:$C$857,MATCH(BC1694,'Avoided Cost Benefits'!$A$4:$A$857,0)))*F1694</f>
        <v>0</v>
      </c>
      <c r="BE1694" s="1949">
        <f t="shared" si="183"/>
        <v>0</v>
      </c>
      <c r="BG1694" s="691"/>
      <c r="BH1694" s="824"/>
      <c r="BI1694" s="691"/>
    </row>
    <row r="1695" spans="1:61" s="1942" customFormat="1" x14ac:dyDescent="0.25">
      <c r="A1695" s="1267"/>
      <c r="B1695" s="123"/>
      <c r="C1695" s="2038" t="s">
        <v>1472</v>
      </c>
      <c r="D1695" s="2695" t="s">
        <v>322</v>
      </c>
      <c r="E1695" s="3007" t="s">
        <v>1474</v>
      </c>
      <c r="F1695" s="742">
        <f>ROUND(((K2693*K2880*(1/K3067-1/K3254)*K3441)/1000)*$K$3484,2)</f>
        <v>510.42</v>
      </c>
      <c r="G1695" s="2042" t="s">
        <v>1176</v>
      </c>
      <c r="H1695" s="2867">
        <f>VLOOKUP(G1695,'CP FACTORS'!$A$3:$B$38, 2, FALSE)</f>
        <v>9.4741810000000004E-4</v>
      </c>
      <c r="I1695" s="2757">
        <f t="shared" si="184"/>
        <v>0.48358099999999998</v>
      </c>
      <c r="J1695" s="116">
        <f t="shared" si="180"/>
        <v>12</v>
      </c>
      <c r="K1695" s="3294">
        <f t="shared" si="181"/>
        <v>0</v>
      </c>
      <c r="L1695" s="3296"/>
      <c r="M1695" s="328"/>
      <c r="N1695" s="1587"/>
      <c r="O1695" s="1135"/>
      <c r="P1695" s="123"/>
      <c r="Q1695" s="123"/>
      <c r="R1695" s="1431"/>
      <c r="S1695" s="123"/>
      <c r="T1695" s="123"/>
      <c r="U1695" s="1589"/>
      <c r="V1695" s="1958" t="s">
        <v>31</v>
      </c>
      <c r="W1695" s="818"/>
      <c r="X1695" s="819"/>
      <c r="Y1695" s="742"/>
      <c r="Z1695" s="737"/>
      <c r="AA1695" s="737"/>
      <c r="AB1695" s="2162"/>
      <c r="AC1695" s="742">
        <v>510.42</v>
      </c>
      <c r="AD1695" s="818"/>
      <c r="AE1695" s="818"/>
      <c r="AF1695" s="818"/>
      <c r="AG1695" s="818"/>
      <c r="AH1695" s="163"/>
      <c r="AK1695" s="820"/>
      <c r="BB1695" s="734"/>
      <c r="BC1695" s="3130" t="str">
        <f t="shared" si="185"/>
        <v>Cooling Res ER2 12 Year EUL</v>
      </c>
      <c r="BD1695" s="673">
        <f>(INDEX('Avoided Cost Benefits'!$C$4:$C$857,MATCH(BC1695,'Avoided Cost Benefits'!$A$4:$A$857,0)))*F1695</f>
        <v>603.48156768225431</v>
      </c>
      <c r="BE1695" s="1949">
        <f t="shared" si="183"/>
        <v>0</v>
      </c>
      <c r="BG1695" s="691"/>
      <c r="BH1695" s="824"/>
      <c r="BI1695" s="691"/>
    </row>
    <row r="1696" spans="1:61" s="1942" customFormat="1" x14ac:dyDescent="0.25">
      <c r="A1696" s="1267"/>
      <c r="B1696" s="123"/>
      <c r="C1696" s="2038" t="s">
        <v>1472</v>
      </c>
      <c r="D1696" s="2695" t="s">
        <v>322</v>
      </c>
      <c r="E1696" s="3005" t="s">
        <v>1474</v>
      </c>
      <c r="F1696" s="742">
        <v>0</v>
      </c>
      <c r="G1696" s="2042" t="s">
        <v>1195</v>
      </c>
      <c r="H1696" s="2867">
        <f>VLOOKUP(G1696,'CP FACTORS'!$A$3:$B$38, 2, FALSE)</f>
        <v>0</v>
      </c>
      <c r="I1696" s="2757">
        <f t="shared" si="184"/>
        <v>0</v>
      </c>
      <c r="J1696" s="116">
        <f t="shared" si="180"/>
        <v>12</v>
      </c>
      <c r="K1696" s="3294">
        <f t="shared" si="181"/>
        <v>0</v>
      </c>
      <c r="L1696" s="3296"/>
      <c r="M1696" s="328"/>
      <c r="N1696" s="1587"/>
      <c r="O1696" s="1135"/>
      <c r="P1696" s="123"/>
      <c r="Q1696" s="123"/>
      <c r="R1696" s="1431"/>
      <c r="S1696" s="123"/>
      <c r="T1696" s="123"/>
      <c r="U1696" s="1589"/>
      <c r="V1696" s="1958" t="s">
        <v>31</v>
      </c>
      <c r="W1696" s="818"/>
      <c r="X1696" s="819"/>
      <c r="Y1696" s="742"/>
      <c r="Z1696" s="737"/>
      <c r="AA1696" s="737"/>
      <c r="AB1696" s="2162"/>
      <c r="AC1696" s="742">
        <v>0</v>
      </c>
      <c r="AD1696" s="818"/>
      <c r="AE1696" s="818"/>
      <c r="AF1696" s="818"/>
      <c r="AG1696" s="818"/>
      <c r="AH1696" s="163"/>
      <c r="AK1696" s="820"/>
      <c r="BB1696" s="734"/>
      <c r="BC1696" s="3383" t="str">
        <f t="shared" si="185"/>
        <v>Heating Res ER2 12 Year EUL</v>
      </c>
      <c r="BD1696" s="673">
        <f>(INDEX('Avoided Cost Benefits'!$C$4:$C$857,MATCH(BC1696,'Avoided Cost Benefits'!$A$4:$A$857,0)))*F1696</f>
        <v>0</v>
      </c>
      <c r="BE1696" s="1949">
        <f t="shared" si="183"/>
        <v>0</v>
      </c>
      <c r="BG1696" s="691"/>
      <c r="BH1696" s="824"/>
      <c r="BI1696" s="691"/>
    </row>
    <row r="1697" spans="1:61" s="1942" customFormat="1" x14ac:dyDescent="0.25">
      <c r="A1697" s="1267"/>
      <c r="B1697" s="123"/>
      <c r="C1697" s="2038" t="s">
        <v>1475</v>
      </c>
      <c r="D1697" s="2695" t="s">
        <v>317</v>
      </c>
      <c r="E1697" s="3007" t="s">
        <v>1476</v>
      </c>
      <c r="F1697" s="742">
        <f>ROUND(((K2694*K2881*(1/K3068-1/K3255)*K3442)/1000)*$K$3484,2)</f>
        <v>1030.24</v>
      </c>
      <c r="G1697" s="2042" t="s">
        <v>1134</v>
      </c>
      <c r="H1697" s="2867">
        <f>VLOOKUP(G1697,'CP FACTORS'!$A$3:$B$38, 2, FALSE)</f>
        <v>9.4741810000000004E-4</v>
      </c>
      <c r="I1697" s="2757">
        <f t="shared" si="184"/>
        <v>0.97606800000000005</v>
      </c>
      <c r="J1697" s="116">
        <f t="shared" si="180"/>
        <v>6</v>
      </c>
      <c r="K1697" s="3294">
        <f t="shared" si="181"/>
        <v>1685.1098012161674</v>
      </c>
      <c r="L1697" s="3296">
        <f>L1946</f>
        <v>3.1</v>
      </c>
      <c r="M1697" s="328"/>
      <c r="N1697" s="1587"/>
      <c r="O1697" s="1135"/>
      <c r="P1697" s="123"/>
      <c r="Q1697" s="123"/>
      <c r="R1697" s="1431"/>
      <c r="S1697" s="123"/>
      <c r="T1697" s="123"/>
      <c r="U1697" s="1589"/>
      <c r="V1697" s="1958" t="s">
        <v>31</v>
      </c>
      <c r="W1697" s="818"/>
      <c r="X1697" s="819"/>
      <c r="Y1697" s="742"/>
      <c r="Z1697" s="737"/>
      <c r="AA1697" s="737"/>
      <c r="AB1697" s="2162"/>
      <c r="AC1697" s="742">
        <v>1030.24</v>
      </c>
      <c r="AD1697" s="818"/>
      <c r="AE1697" s="818"/>
      <c r="AF1697" s="818"/>
      <c r="AG1697" s="818"/>
      <c r="AH1697" s="163"/>
      <c r="AK1697" s="820"/>
      <c r="BB1697" s="244">
        <f>(BD1697+BD1698+BD1699+BD1700)/(BE1697+BE1698+BE1699+BE1700)</f>
        <v>0.65261599889952815</v>
      </c>
      <c r="BC1697" s="3130" t="str">
        <f t="shared" si="185"/>
        <v>Cooling Res 6 Year EUL</v>
      </c>
      <c r="BD1697" s="673">
        <f>(INDEX('Avoided Cost Benefits'!$C$4:$C$857,MATCH(BC1697,'Avoided Cost Benefits'!$A$4:$A$857,0)))*F1697</f>
        <v>599.06824402216205</v>
      </c>
      <c r="BE1697" s="1949">
        <f t="shared" si="183"/>
        <v>1590.4764523040749</v>
      </c>
      <c r="BG1697" s="691"/>
      <c r="BH1697" s="824"/>
      <c r="BI1697" s="691"/>
    </row>
    <row r="1698" spans="1:61" s="1942" customFormat="1" x14ac:dyDescent="0.25">
      <c r="A1698" s="1267"/>
      <c r="B1698" s="123"/>
      <c r="C1698" s="2038" t="s">
        <v>1475</v>
      </c>
      <c r="D1698" s="2695" t="s">
        <v>317</v>
      </c>
      <c r="E1698" s="3007" t="s">
        <v>1476</v>
      </c>
      <c r="F1698" s="742">
        <v>0</v>
      </c>
      <c r="G1698" s="2042" t="s">
        <v>1135</v>
      </c>
      <c r="H1698" s="2867">
        <f>VLOOKUP(G1698,'CP FACTORS'!$A$3:$B$38, 2, FALSE)</f>
        <v>0</v>
      </c>
      <c r="I1698" s="2757">
        <f t="shared" si="184"/>
        <v>0</v>
      </c>
      <c r="J1698" s="116">
        <f t="shared" si="180"/>
        <v>6</v>
      </c>
      <c r="K1698" s="3294">
        <f t="shared" si="181"/>
        <v>0</v>
      </c>
      <c r="L1698" s="3296"/>
      <c r="M1698" s="328"/>
      <c r="N1698" s="1587"/>
      <c r="O1698" s="1135"/>
      <c r="P1698" s="123"/>
      <c r="Q1698" s="123"/>
      <c r="R1698" s="1431"/>
      <c r="S1698" s="123"/>
      <c r="T1698" s="123"/>
      <c r="U1698" s="1589"/>
      <c r="V1698" s="1958" t="s">
        <v>31</v>
      </c>
      <c r="W1698" s="818"/>
      <c r="X1698" s="819"/>
      <c r="Y1698" s="742"/>
      <c r="Z1698" s="737"/>
      <c r="AA1698" s="737"/>
      <c r="AB1698" s="2162"/>
      <c r="AC1698" s="742">
        <v>0</v>
      </c>
      <c r="AD1698" s="818"/>
      <c r="AE1698" s="818"/>
      <c r="AF1698" s="818"/>
      <c r="AG1698" s="818"/>
      <c r="AH1698" s="163"/>
      <c r="AK1698" s="820"/>
      <c r="BB1698" s="734"/>
      <c r="BC1698" s="3130" t="str">
        <f t="shared" si="185"/>
        <v>Heating Res 6 Year EUL</v>
      </c>
      <c r="BD1698" s="673">
        <f>(INDEX('Avoided Cost Benefits'!$C$4:$C$857,MATCH(BC1698,'Avoided Cost Benefits'!$A$4:$A$857,0)))*F1698</f>
        <v>0</v>
      </c>
      <c r="BE1698" s="1949">
        <f t="shared" si="183"/>
        <v>0</v>
      </c>
      <c r="BG1698" s="691"/>
      <c r="BH1698" s="824"/>
      <c r="BI1698" s="691"/>
    </row>
    <row r="1699" spans="1:61" s="1942" customFormat="1" x14ac:dyDescent="0.25">
      <c r="A1699" s="1267"/>
      <c r="B1699" s="123"/>
      <c r="C1699" s="2038" t="s">
        <v>1475</v>
      </c>
      <c r="D1699" s="2695" t="s">
        <v>317</v>
      </c>
      <c r="E1699" s="3007" t="s">
        <v>1477</v>
      </c>
      <c r="F1699" s="742">
        <f>ROUND(((K2695*K2882*(1/K3069-1/K3256)*K3443)/1000)*$K$3484,2)</f>
        <v>371.22</v>
      </c>
      <c r="G1699" s="2042" t="s">
        <v>1176</v>
      </c>
      <c r="H1699" s="2867">
        <f>VLOOKUP(G1699,'CP FACTORS'!$A$3:$B$38, 2, FALSE)</f>
        <v>9.4741810000000004E-4</v>
      </c>
      <c r="I1699" s="2757">
        <f t="shared" si="184"/>
        <v>0.35170099999999999</v>
      </c>
      <c r="J1699" s="116">
        <f t="shared" si="180"/>
        <v>12</v>
      </c>
      <c r="K1699" s="3294">
        <f t="shared" si="181"/>
        <v>0</v>
      </c>
      <c r="L1699" s="3296"/>
      <c r="M1699" s="328"/>
      <c r="N1699" s="1587"/>
      <c r="O1699" s="1135"/>
      <c r="P1699" s="123"/>
      <c r="Q1699" s="123"/>
      <c r="R1699" s="1431"/>
      <c r="S1699" s="123"/>
      <c r="T1699" s="123"/>
      <c r="U1699" s="1589"/>
      <c r="V1699" s="1958" t="s">
        <v>31</v>
      </c>
      <c r="W1699" s="818"/>
      <c r="X1699" s="819"/>
      <c r="Y1699" s="742"/>
      <c r="Z1699" s="737"/>
      <c r="AA1699" s="737"/>
      <c r="AB1699" s="2162"/>
      <c r="AC1699" s="742">
        <v>371.22</v>
      </c>
      <c r="AD1699" s="818"/>
      <c r="AE1699" s="818"/>
      <c r="AF1699" s="818"/>
      <c r="AG1699" s="818"/>
      <c r="AH1699" s="163"/>
      <c r="AK1699" s="820"/>
      <c r="BB1699" s="734"/>
      <c r="BC1699" s="3130" t="str">
        <f t="shared" si="185"/>
        <v>Cooling Res ER2 12 Year EUL</v>
      </c>
      <c r="BD1699" s="673">
        <f>(INDEX('Avoided Cost Benefits'!$C$4:$C$857,MATCH(BC1699,'Avoided Cost Benefits'!$A$4:$A$857,0)))*F1699</f>
        <v>438.90213462443961</v>
      </c>
      <c r="BE1699" s="1949">
        <f t="shared" si="183"/>
        <v>0</v>
      </c>
      <c r="BG1699" s="691"/>
      <c r="BH1699" s="824"/>
      <c r="BI1699" s="691"/>
    </row>
    <row r="1700" spans="1:61" s="1942" customFormat="1" x14ac:dyDescent="0.25">
      <c r="A1700" s="1267"/>
      <c r="B1700" s="123"/>
      <c r="C1700" s="2038" t="s">
        <v>1475</v>
      </c>
      <c r="D1700" s="2695" t="s">
        <v>317</v>
      </c>
      <c r="E1700" s="3007" t="s">
        <v>1477</v>
      </c>
      <c r="F1700" s="742">
        <f>0</f>
        <v>0</v>
      </c>
      <c r="G1700" s="2042" t="s">
        <v>1195</v>
      </c>
      <c r="H1700" s="2867">
        <f>VLOOKUP(G1700,'CP FACTORS'!$A$3:$B$38, 2, FALSE)</f>
        <v>0</v>
      </c>
      <c r="I1700" s="2757">
        <f t="shared" si="184"/>
        <v>0</v>
      </c>
      <c r="J1700" s="116">
        <f t="shared" si="180"/>
        <v>12</v>
      </c>
      <c r="K1700" s="3294">
        <f t="shared" si="181"/>
        <v>0</v>
      </c>
      <c r="L1700" s="3296"/>
      <c r="M1700" s="328"/>
      <c r="N1700" s="1587"/>
      <c r="O1700" s="1135"/>
      <c r="P1700" s="123"/>
      <c r="Q1700" s="123"/>
      <c r="R1700" s="1431"/>
      <c r="S1700" s="123"/>
      <c r="T1700" s="123"/>
      <c r="U1700" s="1589"/>
      <c r="V1700" s="1958" t="s">
        <v>31</v>
      </c>
      <c r="W1700" s="818"/>
      <c r="X1700" s="819"/>
      <c r="Y1700" s="742"/>
      <c r="Z1700" s="737"/>
      <c r="AA1700" s="737"/>
      <c r="AB1700" s="2162"/>
      <c r="AC1700" s="742">
        <v>0</v>
      </c>
      <c r="AD1700" s="818"/>
      <c r="AE1700" s="818"/>
      <c r="AF1700" s="818"/>
      <c r="AG1700" s="818"/>
      <c r="AH1700" s="163"/>
      <c r="AK1700" s="820"/>
      <c r="BB1700" s="734"/>
      <c r="BC1700" s="3130" t="str">
        <f t="shared" si="185"/>
        <v>Heating Res ER2 12 Year EUL</v>
      </c>
      <c r="BD1700" s="673">
        <f>(INDEX('Avoided Cost Benefits'!$C$4:$C$857,MATCH(BC1700,'Avoided Cost Benefits'!$A$4:$A$857,0)))*F1700</f>
        <v>0</v>
      </c>
      <c r="BE1700" s="1949">
        <f t="shared" si="183"/>
        <v>0</v>
      </c>
      <c r="BG1700" s="691"/>
      <c r="BH1700" s="824"/>
      <c r="BI1700" s="691"/>
    </row>
    <row r="1701" spans="1:61" s="51" customFormat="1" x14ac:dyDescent="0.25">
      <c r="A1701" s="1267" t="str">
        <f t="shared" si="173"/>
        <v>354500_2019_12_Cooling Res</v>
      </c>
      <c r="B1701" s="123"/>
      <c r="C1701" s="1471" t="s">
        <v>1478</v>
      </c>
      <c r="D1701" s="1553" t="s">
        <v>322</v>
      </c>
      <c r="E1701" s="2878" t="s">
        <v>1479</v>
      </c>
      <c r="F1701" s="782">
        <f>ROUND(((K2696*K2883*(1/K3070-1/K3257)*K3444)/1000)*$K$3484,2)</f>
        <v>1507.97</v>
      </c>
      <c r="G1701" s="214" t="s">
        <v>1134</v>
      </c>
      <c r="H1701" s="155">
        <f>VLOOKUP(G1701,'CP FACTORS'!$A$3:$B$38, 2, FALSE)</f>
        <v>9.4741810000000004E-4</v>
      </c>
      <c r="I1701" s="1554">
        <f t="shared" si="184"/>
        <v>1.4286779999999999</v>
      </c>
      <c r="J1701" s="108">
        <f t="shared" si="180"/>
        <v>6</v>
      </c>
      <c r="K1701" s="1052">
        <f t="shared" si="181"/>
        <v>1716.1717238752744</v>
      </c>
      <c r="L1701" s="1088">
        <f>L1948</f>
        <v>3.3</v>
      </c>
      <c r="M1701" s="328"/>
      <c r="N1701" s="1587"/>
      <c r="O1701" s="1135"/>
      <c r="P1701" s="123"/>
      <c r="Q1701" s="123"/>
      <c r="R1701" s="1431"/>
      <c r="S1701" s="123"/>
      <c r="T1701" s="123"/>
      <c r="U1701" s="1589"/>
      <c r="V1701" s="1962" t="s">
        <v>31</v>
      </c>
      <c r="W1701" s="818">
        <v>1929.4086842105264</v>
      </c>
      <c r="X1701" s="819">
        <v>1507.9749807291337</v>
      </c>
      <c r="Y1701" s="737">
        <v>1507.97</v>
      </c>
      <c r="Z1701" s="737">
        <v>1507.97</v>
      </c>
      <c r="AA1701" s="737">
        <v>1507.97</v>
      </c>
      <c r="AB1701" s="2162">
        <v>1507.97</v>
      </c>
      <c r="AC1701" s="782">
        <v>1507.97</v>
      </c>
      <c r="AD1701" s="818"/>
      <c r="AE1701" s="818"/>
      <c r="AF1701" s="818"/>
      <c r="AG1701" s="818"/>
      <c r="AH1701" s="163"/>
      <c r="AI1701" s="1942"/>
      <c r="AJ1701" s="1942"/>
      <c r="AK1701" s="820"/>
      <c r="AL1701" s="1942"/>
      <c r="AM1701" s="1942"/>
      <c r="AN1701" s="1942"/>
      <c r="AO1701" s="1942"/>
      <c r="AP1701" s="1942"/>
      <c r="AQ1701" s="1942"/>
      <c r="AR1701" s="1942"/>
      <c r="AS1701" s="1942"/>
      <c r="AT1701" s="1942"/>
      <c r="AU1701" s="1942"/>
      <c r="AV1701" s="1942"/>
      <c r="AW1701" s="1942"/>
      <c r="AX1701" s="1942"/>
      <c r="AY1701" s="1942"/>
      <c r="AZ1701" s="1942"/>
      <c r="BA1701" s="1942"/>
      <c r="BB1701" s="244">
        <f>(BD1701+BD1702+BD1703+BD1704)/(BE1701+BE1702+BE1703+BE1704)</f>
        <v>1.1502519854045077</v>
      </c>
      <c r="BC1701" s="3115" t="str">
        <f t="shared" si="185"/>
        <v>Cooling Res 6 Year EUL</v>
      </c>
      <c r="BD1701" s="673">
        <f>(INDEX('Avoided Cost Benefits'!$C$4:$C$857,MATCH(BC1701,'Avoided Cost Benefits'!$A$4:$A$857,0)))*F1701</f>
        <v>876.86067318110304</v>
      </c>
      <c r="BE1701" s="1949">
        <f t="shared" si="183"/>
        <v>1619.7939819492915</v>
      </c>
      <c r="BF1701" s="1942"/>
      <c r="BG1701" s="691"/>
      <c r="BH1701" s="821"/>
      <c r="BI1701" s="691"/>
    </row>
    <row r="1702" spans="1:61" s="51" customFormat="1" x14ac:dyDescent="0.25">
      <c r="A1702" s="1267" t="str">
        <f t="shared" si="173"/>
        <v>354500_2019_12_Heating Res</v>
      </c>
      <c r="B1702" s="123"/>
      <c r="C1702" s="1471" t="s">
        <v>1478</v>
      </c>
      <c r="D1702" s="1553" t="s">
        <v>322</v>
      </c>
      <c r="E1702" s="3007" t="s">
        <v>1479</v>
      </c>
      <c r="F1702" s="782">
        <f>ROUND(((K1948*K2135*(1/K2322-1/K2509)*K3444)/1000)*$K$3484,2)</f>
        <v>1798.76</v>
      </c>
      <c r="G1702" s="214" t="s">
        <v>1135</v>
      </c>
      <c r="H1702" s="155">
        <f>VLOOKUP(G1702,'CP FACTORS'!$A$3:$B$38, 2, FALSE)</f>
        <v>0</v>
      </c>
      <c r="I1702" s="1554">
        <f t="shared" si="184"/>
        <v>0</v>
      </c>
      <c r="J1702" s="108">
        <f t="shared" si="180"/>
        <v>6</v>
      </c>
      <c r="K1702" s="1052">
        <f t="shared" si="181"/>
        <v>0</v>
      </c>
      <c r="L1702" s="1088"/>
      <c r="M1702" s="328"/>
      <c r="N1702" s="1587"/>
      <c r="O1702" s="1135"/>
      <c r="P1702" s="123"/>
      <c r="Q1702" s="123"/>
      <c r="R1702" s="1431"/>
      <c r="S1702" s="123"/>
      <c r="T1702" s="123"/>
      <c r="U1702" s="1589"/>
      <c r="V1702" s="1962" t="s">
        <v>31</v>
      </c>
      <c r="W1702" s="818">
        <v>4062.4872213622284</v>
      </c>
      <c r="X1702" s="819">
        <v>1798.7611070228763</v>
      </c>
      <c r="Y1702" s="737">
        <v>1798.76</v>
      </c>
      <c r="Z1702" s="737">
        <v>1798.76</v>
      </c>
      <c r="AA1702" s="737">
        <v>1798.76</v>
      </c>
      <c r="AB1702" s="2162">
        <v>1798.76</v>
      </c>
      <c r="AC1702" s="782">
        <v>1798.76</v>
      </c>
      <c r="AD1702" s="818"/>
      <c r="AE1702" s="818"/>
      <c r="AF1702" s="818"/>
      <c r="AG1702" s="818"/>
      <c r="AH1702" s="163"/>
      <c r="AI1702" s="1942"/>
      <c r="AJ1702" s="1942"/>
      <c r="AK1702" s="820"/>
      <c r="AL1702" s="1942"/>
      <c r="AM1702" s="1942"/>
      <c r="AN1702" s="1942"/>
      <c r="AO1702" s="1942"/>
      <c r="AP1702" s="1942"/>
      <c r="AQ1702" s="1942"/>
      <c r="AR1702" s="1942"/>
      <c r="AS1702" s="1942"/>
      <c r="AT1702" s="1942"/>
      <c r="AU1702" s="1942"/>
      <c r="AV1702" s="1942"/>
      <c r="AW1702" s="1942"/>
      <c r="AX1702" s="1942"/>
      <c r="AY1702" s="1942"/>
      <c r="AZ1702" s="1942"/>
      <c r="BA1702" s="1942"/>
      <c r="BB1702" s="734"/>
      <c r="BC1702" s="3130" t="str">
        <f t="shared" si="185"/>
        <v>Heating Res 6 Year EUL</v>
      </c>
      <c r="BD1702" s="673">
        <f>(INDEX('Avoided Cost Benefits'!$C$4:$C$857,MATCH(BC1702,'Avoided Cost Benefits'!$A$4:$A$857,0)))*F1702</f>
        <v>299.19405404813961</v>
      </c>
      <c r="BE1702" s="1949">
        <f t="shared" si="183"/>
        <v>0</v>
      </c>
      <c r="BF1702" s="1942"/>
      <c r="BG1702" s="691"/>
      <c r="BH1702" s="821"/>
      <c r="BI1702" s="691"/>
    </row>
    <row r="1703" spans="1:61" s="51" customFormat="1" x14ac:dyDescent="0.25">
      <c r="A1703" s="1267" t="str">
        <f t="shared" si="173"/>
        <v>354500_2019_12_Cooling Res ER2</v>
      </c>
      <c r="B1703" s="123"/>
      <c r="C1703" s="1471" t="s">
        <v>1478</v>
      </c>
      <c r="D1703" s="1553" t="s">
        <v>322</v>
      </c>
      <c r="E1703" s="3007" t="s">
        <v>1480</v>
      </c>
      <c r="F1703" s="782">
        <f>ROUND(((K2697*K2884*(1/K3071-1/K3258)*K3445)/1000)*$K$3484,2)</f>
        <v>420.45</v>
      </c>
      <c r="G1703" s="1580" t="s">
        <v>1176</v>
      </c>
      <c r="H1703" s="155">
        <f>VLOOKUP(G1703,'CP FACTORS'!$A$3:$B$38, 2, FALSE)</f>
        <v>9.4741810000000004E-4</v>
      </c>
      <c r="I1703" s="1554">
        <f t="shared" si="184"/>
        <v>0.39834199999999997</v>
      </c>
      <c r="J1703" s="108">
        <f t="shared" si="180"/>
        <v>12</v>
      </c>
      <c r="K1703" s="1052">
        <f t="shared" si="181"/>
        <v>0</v>
      </c>
      <c r="L1703" s="1088"/>
      <c r="M1703" s="328"/>
      <c r="N1703" s="1587"/>
      <c r="O1703" s="1135"/>
      <c r="P1703" s="123"/>
      <c r="Q1703" s="123"/>
      <c r="R1703" s="1431"/>
      <c r="S1703" s="123"/>
      <c r="T1703" s="123"/>
      <c r="U1703" s="1589"/>
      <c r="V1703" s="1962" t="s">
        <v>31</v>
      </c>
      <c r="W1703" s="818">
        <v>420.45225563909776</v>
      </c>
      <c r="X1703" s="825">
        <v>420.45225563909776</v>
      </c>
      <c r="Y1703" s="737">
        <v>420.45</v>
      </c>
      <c r="Z1703" s="737">
        <v>420.45</v>
      </c>
      <c r="AA1703" s="737">
        <v>420.45</v>
      </c>
      <c r="AB1703" s="2162">
        <v>420.45</v>
      </c>
      <c r="AC1703" s="782">
        <v>420.45</v>
      </c>
      <c r="AD1703" s="818"/>
      <c r="AE1703" s="818"/>
      <c r="AF1703" s="818"/>
      <c r="AG1703" s="818"/>
      <c r="AH1703" s="163"/>
      <c r="AI1703" s="1942"/>
      <c r="AJ1703" s="1942"/>
      <c r="AK1703" s="820"/>
      <c r="AL1703" s="1942"/>
      <c r="AM1703" s="1942"/>
      <c r="AN1703" s="1942"/>
      <c r="AO1703" s="1942"/>
      <c r="AP1703" s="1942"/>
      <c r="AQ1703" s="1942"/>
      <c r="AR1703" s="1942"/>
      <c r="AS1703" s="1942"/>
      <c r="AT1703" s="1942"/>
      <c r="AU1703" s="1942"/>
      <c r="AV1703" s="1942"/>
      <c r="AW1703" s="1942"/>
      <c r="AX1703" s="1942"/>
      <c r="AY1703" s="1942"/>
      <c r="AZ1703" s="1942"/>
      <c r="BA1703" s="1942"/>
      <c r="BB1703" s="734"/>
      <c r="BC1703" s="3130" t="str">
        <f t="shared" si="185"/>
        <v>Cooling Res ER2 12 Year EUL</v>
      </c>
      <c r="BD1703" s="673">
        <f>(INDEX('Avoided Cost Benefits'!$C$4:$C$857,MATCH(BC1703,'Avoided Cost Benefits'!$A$4:$A$857,0)))*F1703</f>
        <v>497.10792118648141</v>
      </c>
      <c r="BE1703" s="1949">
        <f t="shared" si="183"/>
        <v>0</v>
      </c>
      <c r="BF1703" s="1942"/>
      <c r="BG1703" s="691"/>
      <c r="BH1703" s="821"/>
      <c r="BI1703" s="691"/>
    </row>
    <row r="1704" spans="1:61" s="51" customFormat="1" x14ac:dyDescent="0.25">
      <c r="A1704" s="1267" t="str">
        <f t="shared" si="173"/>
        <v>354500_2019_12_Heating Res ER2</v>
      </c>
      <c r="B1704" s="123"/>
      <c r="C1704" s="1471" t="s">
        <v>1478</v>
      </c>
      <c r="D1704" s="1553" t="s">
        <v>322</v>
      </c>
      <c r="E1704" s="3005" t="s">
        <v>1480</v>
      </c>
      <c r="F1704" s="782">
        <f>ROUND(((K1949*K2136*(1/K2323-1/K2510)*K3445)/1000)*$K$3484,2)</f>
        <v>642.61</v>
      </c>
      <c r="G1704" s="1580" t="s">
        <v>1195</v>
      </c>
      <c r="H1704" s="155">
        <f>VLOOKUP(G1704,'CP FACTORS'!$A$3:$B$38, 2, FALSE)</f>
        <v>0</v>
      </c>
      <c r="I1704" s="1554">
        <f t="shared" si="184"/>
        <v>0</v>
      </c>
      <c r="J1704" s="108">
        <f t="shared" si="180"/>
        <v>12</v>
      </c>
      <c r="K1704" s="1052">
        <f t="shared" si="181"/>
        <v>0</v>
      </c>
      <c r="L1704" s="1088"/>
      <c r="M1704" s="328"/>
      <c r="N1704" s="1587"/>
      <c r="O1704" s="1135"/>
      <c r="P1704" s="123"/>
      <c r="Q1704" s="123"/>
      <c r="R1704" s="1431"/>
      <c r="S1704" s="123"/>
      <c r="T1704" s="123"/>
      <c r="U1704" s="1589"/>
      <c r="V1704" s="1962" t="s">
        <v>31</v>
      </c>
      <c r="W1704" s="818">
        <v>862.96736842105349</v>
      </c>
      <c r="X1704" s="819">
        <v>642.6078562259313</v>
      </c>
      <c r="Y1704" s="737">
        <v>642.61</v>
      </c>
      <c r="Z1704" s="737">
        <v>642.61</v>
      </c>
      <c r="AA1704" s="737">
        <v>642.61</v>
      </c>
      <c r="AB1704" s="2162">
        <v>642.61</v>
      </c>
      <c r="AC1704" s="782">
        <v>642.61</v>
      </c>
      <c r="AD1704" s="818"/>
      <c r="AE1704" s="818"/>
      <c r="AF1704" s="818"/>
      <c r="AG1704" s="818"/>
      <c r="AH1704" s="163"/>
      <c r="AI1704" s="1942"/>
      <c r="AJ1704" s="1942"/>
      <c r="AK1704" s="820"/>
      <c r="AL1704" s="1942"/>
      <c r="AM1704" s="1942"/>
      <c r="AN1704" s="1942"/>
      <c r="AO1704" s="1942"/>
      <c r="AP1704" s="1942"/>
      <c r="AQ1704" s="1942"/>
      <c r="AR1704" s="1942"/>
      <c r="AS1704" s="1942"/>
      <c r="AT1704" s="1942"/>
      <c r="AU1704" s="1942"/>
      <c r="AV1704" s="1942"/>
      <c r="AW1704" s="1942"/>
      <c r="AX1704" s="1942"/>
      <c r="AY1704" s="1942"/>
      <c r="AZ1704" s="1942"/>
      <c r="BA1704" s="1942"/>
      <c r="BB1704" s="734"/>
      <c r="BC1704" s="3116" t="str">
        <f t="shared" si="185"/>
        <v>Heating Res ER2 12 Year EUL</v>
      </c>
      <c r="BD1704" s="673">
        <f>(INDEX('Avoided Cost Benefits'!$C$4:$C$857,MATCH(BC1704,'Avoided Cost Benefits'!$A$4:$A$857,0)))*F1704</f>
        <v>190.00859526772157</v>
      </c>
      <c r="BE1704" s="1949">
        <f t="shared" si="183"/>
        <v>0</v>
      </c>
      <c r="BF1704" s="1942"/>
      <c r="BG1704" s="691"/>
      <c r="BH1704" s="821"/>
      <c r="BI1704" s="691"/>
    </row>
    <row r="1705" spans="1:61" s="51" customFormat="1" x14ac:dyDescent="0.25">
      <c r="A1705" s="1267" t="str">
        <f t="shared" ref="A1705:A1780" si="186">C1705&amp;G1705</f>
        <v>354501_2019_12_Cooling Res</v>
      </c>
      <c r="B1705" s="123"/>
      <c r="C1705" s="1471" t="s">
        <v>1481</v>
      </c>
      <c r="D1705" s="1553" t="s">
        <v>317</v>
      </c>
      <c r="E1705" s="2878" t="s">
        <v>1482</v>
      </c>
      <c r="F1705" s="782">
        <f>ROUND((($K$2698*$K$2885*(1/$K$3072-1/$K$3259)*$K$3446)/1000)*$K$3484,2)</f>
        <v>1096.71</v>
      </c>
      <c r="G1705" s="214" t="str">
        <f t="shared" ref="G1705:G1708" si="187">G1701</f>
        <v>Cooling Res</v>
      </c>
      <c r="H1705" s="155">
        <f>VLOOKUP(G1705,'CP FACTORS'!$A$3:$B$38, 2, FALSE)</f>
        <v>9.4741810000000004E-4</v>
      </c>
      <c r="I1705" s="1554">
        <f t="shared" si="184"/>
        <v>1.0390429999999999</v>
      </c>
      <c r="J1705" s="108">
        <f t="shared" si="180"/>
        <v>6</v>
      </c>
      <c r="K1705" s="3294">
        <f t="shared" si="181"/>
        <v>1716.1717238752744</v>
      </c>
      <c r="L1705" s="3296">
        <f>L1950</f>
        <v>3.3</v>
      </c>
      <c r="M1705" s="328"/>
      <c r="N1705" s="1587"/>
      <c r="O1705" s="1135"/>
      <c r="P1705" s="123"/>
      <c r="Q1705" s="123"/>
      <c r="R1705" s="1431"/>
      <c r="S1705" s="123"/>
      <c r="T1705" s="123"/>
      <c r="U1705" s="1589"/>
      <c r="V1705" s="1962" t="s">
        <v>31</v>
      </c>
      <c r="W1705" s="818"/>
      <c r="X1705" s="819"/>
      <c r="Y1705" s="742">
        <v>1096.71</v>
      </c>
      <c r="Z1705" s="737">
        <v>1096.71</v>
      </c>
      <c r="AA1705" s="737">
        <v>1096.71</v>
      </c>
      <c r="AB1705" s="2162">
        <v>1096.71</v>
      </c>
      <c r="AC1705" s="782">
        <v>1096.71</v>
      </c>
      <c r="AD1705" s="818"/>
      <c r="AE1705" s="818"/>
      <c r="AF1705" s="818"/>
      <c r="AG1705" s="818"/>
      <c r="AH1705" s="163"/>
      <c r="AI1705" s="1942"/>
      <c r="AJ1705" s="1942"/>
      <c r="AK1705" s="820"/>
      <c r="AL1705" s="1942"/>
      <c r="AM1705" s="1942"/>
      <c r="AN1705" s="1942"/>
      <c r="AO1705" s="1942"/>
      <c r="AP1705" s="1942"/>
      <c r="AQ1705" s="1942"/>
      <c r="AR1705" s="1942"/>
      <c r="AS1705" s="1942"/>
      <c r="AT1705" s="1942"/>
      <c r="AU1705" s="1942"/>
      <c r="AV1705" s="1942"/>
      <c r="AW1705" s="1942"/>
      <c r="AX1705" s="1942"/>
      <c r="AY1705" s="1942"/>
      <c r="AZ1705" s="1942"/>
      <c r="BA1705" s="1942"/>
      <c r="BB1705" s="244">
        <f>(BD1705+BD1706+BD1707+BD1708)/(BE1705+BE1706+BE1707+BE1708)</f>
        <v>0.71985878971820694</v>
      </c>
      <c r="BC1705" s="3115" t="str">
        <f t="shared" si="185"/>
        <v>Cooling Res 6 Year EUL</v>
      </c>
      <c r="BD1705" s="673">
        <f>(INDEX('Avoided Cost Benefits'!$C$4:$C$857,MATCH(BC1705,'Avoided Cost Benefits'!$A$4:$A$857,0)))*F1705</f>
        <v>637.71949633245197</v>
      </c>
      <c r="BE1705" s="1949">
        <f t="shared" si="183"/>
        <v>1619.7939819492915</v>
      </c>
      <c r="BF1705" s="1942"/>
      <c r="BG1705" s="691"/>
      <c r="BH1705" s="824"/>
      <c r="BI1705" s="691"/>
    </row>
    <row r="1706" spans="1:61" s="51" customFormat="1" x14ac:dyDescent="0.25">
      <c r="A1706" s="1267" t="str">
        <f t="shared" si="186"/>
        <v>354501_2019_12_Heating Res</v>
      </c>
      <c r="B1706" s="123"/>
      <c r="C1706" s="1471" t="str">
        <f>C1705</f>
        <v>354501_2019_12_</v>
      </c>
      <c r="D1706" s="1553" t="s">
        <v>317</v>
      </c>
      <c r="E1706" s="3007" t="s">
        <v>1482</v>
      </c>
      <c r="F1706" s="782">
        <f>ROUND((($K$1950*$K$2137*(1/$K$2324-1/$K$2511)*$K$3446)/1000)*$K$3484,2)</f>
        <v>613.21</v>
      </c>
      <c r="G1706" s="214" t="str">
        <f t="shared" si="187"/>
        <v>Heating Res</v>
      </c>
      <c r="H1706" s="155">
        <f>VLOOKUP(G1706,'CP FACTORS'!$A$3:$B$38, 2, FALSE)</f>
        <v>0</v>
      </c>
      <c r="I1706" s="1554">
        <f t="shared" si="184"/>
        <v>0</v>
      </c>
      <c r="J1706" s="108">
        <f t="shared" si="180"/>
        <v>6</v>
      </c>
      <c r="K1706" s="1052">
        <f t="shared" si="181"/>
        <v>0</v>
      </c>
      <c r="L1706" s="1088"/>
      <c r="M1706" s="328"/>
      <c r="N1706" s="1587"/>
      <c r="O1706" s="1135"/>
      <c r="P1706" s="123"/>
      <c r="Q1706" s="123"/>
      <c r="R1706" s="1431"/>
      <c r="S1706" s="123"/>
      <c r="T1706" s="123"/>
      <c r="U1706" s="1589"/>
      <c r="V1706" s="1962" t="s">
        <v>31</v>
      </c>
      <c r="W1706" s="818"/>
      <c r="X1706" s="819"/>
      <c r="Y1706" s="742">
        <v>613.21</v>
      </c>
      <c r="Z1706" s="737">
        <v>613.21</v>
      </c>
      <c r="AA1706" s="737">
        <v>613.21</v>
      </c>
      <c r="AB1706" s="2162">
        <v>613.21</v>
      </c>
      <c r="AC1706" s="782">
        <v>613.21</v>
      </c>
      <c r="AD1706" s="818"/>
      <c r="AE1706" s="818"/>
      <c r="AF1706" s="818"/>
      <c r="AG1706" s="818"/>
      <c r="AH1706" s="163"/>
      <c r="AI1706" s="1942"/>
      <c r="AJ1706" s="1942"/>
      <c r="AK1706" s="820"/>
      <c r="AL1706" s="1942"/>
      <c r="AM1706" s="1942"/>
      <c r="AN1706" s="1942"/>
      <c r="AO1706" s="1942"/>
      <c r="AP1706" s="1942"/>
      <c r="AQ1706" s="1942"/>
      <c r="AR1706" s="1942"/>
      <c r="AS1706" s="1942"/>
      <c r="AT1706" s="1942"/>
      <c r="AU1706" s="1942"/>
      <c r="AV1706" s="1942"/>
      <c r="AW1706" s="1942"/>
      <c r="AX1706" s="1942"/>
      <c r="AY1706" s="1942"/>
      <c r="AZ1706" s="1942"/>
      <c r="BA1706" s="1942"/>
      <c r="BB1706" s="734"/>
      <c r="BC1706" s="3130" t="str">
        <f t="shared" si="185"/>
        <v>Heating Res 6 Year EUL</v>
      </c>
      <c r="BD1706" s="673">
        <f>(INDEX('Avoided Cost Benefits'!$C$4:$C$857,MATCH(BC1706,'Avoided Cost Benefits'!$A$4:$A$857,0)))*F1706</f>
        <v>101.99736812185043</v>
      </c>
      <c r="BE1706" s="1949">
        <f t="shared" si="183"/>
        <v>0</v>
      </c>
      <c r="BF1706" s="1942"/>
      <c r="BG1706" s="691"/>
      <c r="BH1706" s="824"/>
      <c r="BI1706" s="691"/>
    </row>
    <row r="1707" spans="1:61" s="51" customFormat="1" x14ac:dyDescent="0.25">
      <c r="A1707" s="1267" t="str">
        <f t="shared" si="186"/>
        <v>354501_2019_12_Cooling Res ER2</v>
      </c>
      <c r="B1707" s="123"/>
      <c r="C1707" s="1471" t="str">
        <f>C1706</f>
        <v>354501_2019_12_</v>
      </c>
      <c r="D1707" s="1553" t="s">
        <v>317</v>
      </c>
      <c r="E1707" s="3007" t="s">
        <v>1483</v>
      </c>
      <c r="F1707" s="782">
        <f>ROUND((($K$2699*$K$2886*(1/$K$3073-1/$K$3260)*$K$3447)/1000)*$K$3484,2)</f>
        <v>305.77999999999997</v>
      </c>
      <c r="G1707" s="214" t="str">
        <f t="shared" si="187"/>
        <v>Cooling Res ER2</v>
      </c>
      <c r="H1707" s="155">
        <f>VLOOKUP(G1707,'CP FACTORS'!$A$3:$B$38, 2, FALSE)</f>
        <v>9.4741810000000004E-4</v>
      </c>
      <c r="I1707" s="1554">
        <f t="shared" si="184"/>
        <v>0.28970200000000002</v>
      </c>
      <c r="J1707" s="108">
        <f t="shared" si="180"/>
        <v>12</v>
      </c>
      <c r="K1707" s="1052">
        <f t="shared" si="181"/>
        <v>0</v>
      </c>
      <c r="L1707" s="1088"/>
      <c r="M1707" s="328"/>
      <c r="N1707" s="1587"/>
      <c r="O1707" s="1135"/>
      <c r="P1707" s="123"/>
      <c r="Q1707" s="123"/>
      <c r="R1707" s="1431"/>
      <c r="S1707" s="123"/>
      <c r="T1707" s="123"/>
      <c r="U1707" s="1589"/>
      <c r="V1707" s="1962" t="s">
        <v>31</v>
      </c>
      <c r="W1707" s="818"/>
      <c r="X1707" s="819"/>
      <c r="Y1707" s="742">
        <v>305.77999999999997</v>
      </c>
      <c r="Z1707" s="737">
        <v>305.77999999999997</v>
      </c>
      <c r="AA1707" s="737">
        <v>305.77999999999997</v>
      </c>
      <c r="AB1707" s="2162">
        <v>305.77999999999997</v>
      </c>
      <c r="AC1707" s="782">
        <v>305.77999999999997</v>
      </c>
      <c r="AD1707" s="818"/>
      <c r="AE1707" s="818"/>
      <c r="AF1707" s="818"/>
      <c r="AG1707" s="818"/>
      <c r="AH1707" s="163"/>
      <c r="AI1707" s="1942"/>
      <c r="AJ1707" s="1942"/>
      <c r="AK1707" s="820"/>
      <c r="AL1707" s="1942"/>
      <c r="AM1707" s="1942"/>
      <c r="AN1707" s="1942"/>
      <c r="AO1707" s="1942"/>
      <c r="AP1707" s="1942"/>
      <c r="AQ1707" s="1942"/>
      <c r="AR1707" s="1942"/>
      <c r="AS1707" s="1942"/>
      <c r="AT1707" s="1942"/>
      <c r="AU1707" s="1942"/>
      <c r="AV1707" s="1942"/>
      <c r="AW1707" s="1942"/>
      <c r="AX1707" s="1942"/>
      <c r="AY1707" s="1942"/>
      <c r="AZ1707" s="1942"/>
      <c r="BA1707" s="1942"/>
      <c r="BB1707" s="734"/>
      <c r="BC1707" s="3130" t="str">
        <f t="shared" si="185"/>
        <v>Cooling Res ER2 12 Year EUL</v>
      </c>
      <c r="BD1707" s="673">
        <f>(INDEX('Avoided Cost Benefits'!$C$4:$C$857,MATCH(BC1707,'Avoided Cost Benefits'!$A$4:$A$857,0)))*F1707</f>
        <v>361.53088391105308</v>
      </c>
      <c r="BE1707" s="1949">
        <f t="shared" si="183"/>
        <v>0</v>
      </c>
      <c r="BF1707" s="1942"/>
      <c r="BG1707" s="691"/>
      <c r="BH1707" s="824"/>
      <c r="BI1707" s="691"/>
    </row>
    <row r="1708" spans="1:61" s="51" customFormat="1" x14ac:dyDescent="0.25">
      <c r="A1708" s="1267" t="str">
        <f t="shared" si="186"/>
        <v>354501_2019_12_Heating Res ER2</v>
      </c>
      <c r="B1708" s="123"/>
      <c r="C1708" s="1471" t="str">
        <f>C1707</f>
        <v>354501_2019_12_</v>
      </c>
      <c r="D1708" s="1553" t="s">
        <v>317</v>
      </c>
      <c r="E1708" s="3005" t="s">
        <v>1483</v>
      </c>
      <c r="F1708" s="782">
        <f>ROUND((($K$1951*$K$2138*(1/$K$2325-1/$K$2512)*$K$3447)/1000)*$K$3484,2)</f>
        <v>219.07</v>
      </c>
      <c r="G1708" s="214" t="str">
        <f t="shared" si="187"/>
        <v>Heating Res ER2</v>
      </c>
      <c r="H1708" s="155">
        <f>VLOOKUP(G1708,'CP FACTORS'!$A$3:$B$38, 2, FALSE)</f>
        <v>0</v>
      </c>
      <c r="I1708" s="1554">
        <f t="shared" si="184"/>
        <v>0</v>
      </c>
      <c r="J1708" s="108">
        <f t="shared" si="180"/>
        <v>12</v>
      </c>
      <c r="K1708" s="1052">
        <f t="shared" si="181"/>
        <v>0</v>
      </c>
      <c r="L1708" s="1088"/>
      <c r="M1708" s="328"/>
      <c r="N1708" s="1587"/>
      <c r="O1708" s="1135"/>
      <c r="P1708" s="123"/>
      <c r="Q1708" s="123"/>
      <c r="R1708" s="1431"/>
      <c r="S1708" s="123"/>
      <c r="T1708" s="123"/>
      <c r="U1708" s="1589"/>
      <c r="V1708" s="1962" t="s">
        <v>31</v>
      </c>
      <c r="W1708" s="818"/>
      <c r="X1708" s="819"/>
      <c r="Y1708" s="742">
        <v>219.07</v>
      </c>
      <c r="Z1708" s="737">
        <v>219.07</v>
      </c>
      <c r="AA1708" s="737">
        <v>219.07</v>
      </c>
      <c r="AB1708" s="2162">
        <v>219.07</v>
      </c>
      <c r="AC1708" s="782">
        <v>219.07</v>
      </c>
      <c r="AD1708" s="818"/>
      <c r="AE1708" s="818"/>
      <c r="AF1708" s="818"/>
      <c r="AG1708" s="818"/>
      <c r="AH1708" s="163"/>
      <c r="AI1708" s="1942"/>
      <c r="AJ1708" s="1942"/>
      <c r="AK1708" s="820"/>
      <c r="AL1708" s="1942"/>
      <c r="AM1708" s="1942"/>
      <c r="AN1708" s="1942"/>
      <c r="AO1708" s="1942"/>
      <c r="AP1708" s="1942"/>
      <c r="AQ1708" s="1942"/>
      <c r="AR1708" s="1942"/>
      <c r="AS1708" s="1942"/>
      <c r="AT1708" s="1942"/>
      <c r="AU1708" s="1942"/>
      <c r="AV1708" s="1942"/>
      <c r="AW1708" s="1942"/>
      <c r="AX1708" s="1942"/>
      <c r="AY1708" s="1942"/>
      <c r="AZ1708" s="1942"/>
      <c r="BA1708" s="1942"/>
      <c r="BB1708" s="734"/>
      <c r="BC1708" s="3116" t="str">
        <f t="shared" si="185"/>
        <v>Heating Res ER2 12 Year EUL</v>
      </c>
      <c r="BD1708" s="673">
        <f>(INDEX('Avoided Cost Benefits'!$C$4:$C$857,MATCH(BC1708,'Avoided Cost Benefits'!$A$4:$A$857,0)))*F1708</f>
        <v>64.775187073496781</v>
      </c>
      <c r="BE1708" s="1949">
        <f t="shared" si="183"/>
        <v>0</v>
      </c>
      <c r="BF1708" s="1942"/>
      <c r="BG1708" s="691"/>
      <c r="BH1708" s="824"/>
      <c r="BI1708" s="691"/>
    </row>
    <row r="1709" spans="1:61" s="51" customFormat="1" x14ac:dyDescent="0.25">
      <c r="A1709" s="1267" t="str">
        <f t="shared" si="186"/>
        <v>354550_2021_12_Cooling Res</v>
      </c>
      <c r="B1709" s="123"/>
      <c r="C1709" s="2038" t="s">
        <v>1485</v>
      </c>
      <c r="D1709" s="1553" t="s">
        <v>320</v>
      </c>
      <c r="E1709" s="2878" t="s">
        <v>1486</v>
      </c>
      <c r="F1709" s="742">
        <f>ROUND(((K2700*K2887*(1/K3074-1/K3261)*K3448)/1000)*$K$3484,2)</f>
        <v>3652.3</v>
      </c>
      <c r="G1709" s="214" t="s">
        <v>1134</v>
      </c>
      <c r="H1709" s="155">
        <f>VLOOKUP(G1709,'CP FACTORS'!$A$3:$B$38, 2, FALSE)</f>
        <v>9.4741810000000004E-4</v>
      </c>
      <c r="I1709" s="1554">
        <f t="shared" si="184"/>
        <v>3.4602550000000001</v>
      </c>
      <c r="J1709" s="108">
        <f t="shared" si="180"/>
        <v>6</v>
      </c>
      <c r="K1709" s="3294">
        <f t="shared" si="181"/>
        <v>2639.0693330425956</v>
      </c>
      <c r="L1709" s="1088">
        <f>L1952</f>
        <v>5</v>
      </c>
      <c r="M1709" s="328"/>
      <c r="N1709" s="1587"/>
      <c r="O1709" s="1135"/>
      <c r="P1709" s="123"/>
      <c r="Q1709" s="123"/>
      <c r="R1709" s="1431"/>
      <c r="S1709" s="123"/>
      <c r="T1709" s="123"/>
      <c r="U1709" s="1589"/>
      <c r="V1709" s="1962" t="s">
        <v>31</v>
      </c>
      <c r="W1709" s="818">
        <v>3058.88</v>
      </c>
      <c r="X1709" s="819">
        <v>2410.520456182473</v>
      </c>
      <c r="Y1709" s="737">
        <v>2410.52</v>
      </c>
      <c r="Z1709" s="737">
        <v>2410.52</v>
      </c>
      <c r="AA1709" s="737">
        <v>2410.52</v>
      </c>
      <c r="AB1709" s="2162">
        <v>2410.52</v>
      </c>
      <c r="AC1709" s="742">
        <v>3652.3</v>
      </c>
      <c r="AD1709" s="818"/>
      <c r="AE1709" s="818"/>
      <c r="AF1709" s="818"/>
      <c r="AG1709" s="818"/>
      <c r="AH1709" s="163"/>
      <c r="AI1709" s="1942"/>
      <c r="AJ1709" s="1942"/>
      <c r="AK1709" s="820"/>
      <c r="AL1709" s="1942"/>
      <c r="AM1709" s="1942"/>
      <c r="AN1709" s="1942"/>
      <c r="AO1709" s="1942"/>
      <c r="AP1709" s="1942"/>
      <c r="AQ1709" s="1942"/>
      <c r="AR1709" s="1942"/>
      <c r="AS1709" s="1942"/>
      <c r="AT1709" s="1942"/>
      <c r="AU1709" s="1942"/>
      <c r="AV1709" s="1942"/>
      <c r="AW1709" s="1942"/>
      <c r="AX1709" s="1942"/>
      <c r="AY1709" s="1942"/>
      <c r="AZ1709" s="1942"/>
      <c r="BA1709" s="1942"/>
      <c r="BB1709" s="244">
        <f>(BD1709+BD1710+BD1711+BD1712)/(BE1709+BE1710+BE1711+BE1712)</f>
        <v>2.0076696400798935</v>
      </c>
      <c r="BC1709" s="3115" t="str">
        <f t="shared" si="185"/>
        <v>Cooling Res 6 Year EUL</v>
      </c>
      <c r="BD1709" s="673">
        <f>(INDEX('Avoided Cost Benefits'!$C$4:$C$857,MATCH(BC1709,'Avoided Cost Benefits'!$A$4:$A$857,0)))*F1709</f>
        <v>2123.7546082875274</v>
      </c>
      <c r="BE1709" s="1949">
        <f t="shared" si="183"/>
        <v>2490.8629854106612</v>
      </c>
      <c r="BF1709" s="1942"/>
      <c r="BG1709" s="691"/>
      <c r="BH1709" s="821"/>
      <c r="BI1709" s="691"/>
    </row>
    <row r="1710" spans="1:61" s="51" customFormat="1" x14ac:dyDescent="0.25">
      <c r="A1710" s="1267" t="str">
        <f t="shared" si="186"/>
        <v>354550_2021_12_Heating Res</v>
      </c>
      <c r="B1710" s="123"/>
      <c r="C1710" s="2038" t="s">
        <v>1485</v>
      </c>
      <c r="D1710" s="1553" t="s">
        <v>320</v>
      </c>
      <c r="E1710" s="3007" t="s">
        <v>1486</v>
      </c>
      <c r="F1710" s="742">
        <f>ROUND(((K1952*K2139*(1/K2326-1/K2513)*K3448)/1000)*$K$3484,2)</f>
        <v>5092.7700000000004</v>
      </c>
      <c r="G1710" s="214" t="s">
        <v>1135</v>
      </c>
      <c r="H1710" s="155">
        <f>VLOOKUP(G1710,'CP FACTORS'!$A$3:$B$38, 2, FALSE)</f>
        <v>0</v>
      </c>
      <c r="I1710" s="1554">
        <f t="shared" si="184"/>
        <v>0</v>
      </c>
      <c r="J1710" s="108">
        <f t="shared" si="180"/>
        <v>6</v>
      </c>
      <c r="K1710" s="1052">
        <f t="shared" si="181"/>
        <v>0</v>
      </c>
      <c r="L1710" s="1088"/>
      <c r="M1710" s="328"/>
      <c r="N1710" s="1587"/>
      <c r="O1710" s="1135"/>
      <c r="P1710" s="123"/>
      <c r="Q1710" s="123"/>
      <c r="R1710" s="1431"/>
      <c r="S1710" s="123"/>
      <c r="T1710" s="123"/>
      <c r="U1710" s="1589"/>
      <c r="V1710" s="1962" t="s">
        <v>31</v>
      </c>
      <c r="W1710" s="818">
        <v>6249.9803405572748</v>
      </c>
      <c r="X1710" s="819">
        <v>2767.3247800351946</v>
      </c>
      <c r="Y1710" s="737">
        <v>2767.32</v>
      </c>
      <c r="Z1710" s="737">
        <v>2767.32</v>
      </c>
      <c r="AA1710" s="737">
        <v>2767.32</v>
      </c>
      <c r="AB1710" s="2162">
        <v>2767.32</v>
      </c>
      <c r="AC1710" s="742">
        <v>5092.7700000000004</v>
      </c>
      <c r="AD1710" s="818"/>
      <c r="AE1710" s="818"/>
      <c r="AF1710" s="818"/>
      <c r="AG1710" s="818"/>
      <c r="AH1710" s="163"/>
      <c r="AI1710" s="1942"/>
      <c r="AJ1710" s="1942"/>
      <c r="AK1710" s="820"/>
      <c r="AL1710" s="1942"/>
      <c r="AM1710" s="1942"/>
      <c r="AN1710" s="1942"/>
      <c r="AO1710" s="1942"/>
      <c r="AP1710" s="1942"/>
      <c r="AQ1710" s="1942"/>
      <c r="AR1710" s="1942"/>
      <c r="AS1710" s="1942"/>
      <c r="AT1710" s="1942"/>
      <c r="AU1710" s="1942"/>
      <c r="AV1710" s="1942"/>
      <c r="AW1710" s="1942"/>
      <c r="AX1710" s="1942"/>
      <c r="AY1710" s="1942"/>
      <c r="AZ1710" s="1942"/>
      <c r="BA1710" s="1942"/>
      <c r="BB1710" s="734"/>
      <c r="BC1710" s="3130" t="str">
        <f t="shared" si="185"/>
        <v>Heating Res 6 Year EUL</v>
      </c>
      <c r="BD1710" s="673">
        <f>(INDEX('Avoided Cost Benefits'!$C$4:$C$857,MATCH(BC1710,'Avoided Cost Benefits'!$A$4:$A$857,0)))*F1710</f>
        <v>847.09828027904996</v>
      </c>
      <c r="BE1710" s="1949">
        <f t="shared" si="183"/>
        <v>0</v>
      </c>
      <c r="BF1710" s="1942"/>
      <c r="BG1710" s="691"/>
      <c r="BH1710" s="821"/>
      <c r="BI1710" s="691"/>
    </row>
    <row r="1711" spans="1:61" s="51" customFormat="1" x14ac:dyDescent="0.25">
      <c r="A1711" s="1267" t="str">
        <f t="shared" si="186"/>
        <v>354550_2021_12_Cooling Res ER2</v>
      </c>
      <c r="B1711" s="123"/>
      <c r="C1711" s="2038" t="s">
        <v>1485</v>
      </c>
      <c r="D1711" s="1553" t="s">
        <v>320</v>
      </c>
      <c r="E1711" s="3007" t="s">
        <v>1487</v>
      </c>
      <c r="F1711" s="742">
        <f>ROUND(((K2701*K2888*(1/K3075-1/K3262)*K3449)/1000)*$K$3484,2)</f>
        <v>1117.29</v>
      </c>
      <c r="G1711" s="1580" t="s">
        <v>1176</v>
      </c>
      <c r="H1711" s="155">
        <f>VLOOKUP(G1711,'CP FACTORS'!$A$3:$B$38, 2, FALSE)</f>
        <v>9.4741810000000004E-4</v>
      </c>
      <c r="I1711" s="1554">
        <f t="shared" si="184"/>
        <v>1.058541</v>
      </c>
      <c r="J1711" s="108">
        <f t="shared" si="180"/>
        <v>12</v>
      </c>
      <c r="K1711" s="1052">
        <f t="shared" si="181"/>
        <v>0</v>
      </c>
      <c r="L1711" s="1088"/>
      <c r="M1711" s="328"/>
      <c r="N1711" s="1587"/>
      <c r="O1711" s="1135"/>
      <c r="P1711" s="123"/>
      <c r="Q1711" s="123"/>
      <c r="R1711" s="1431"/>
      <c r="S1711" s="123"/>
      <c r="T1711" s="123"/>
      <c r="U1711" s="1589"/>
      <c r="V1711" s="1962" t="s">
        <v>31</v>
      </c>
      <c r="W1711" s="818">
        <v>737.40857142857124</v>
      </c>
      <c r="X1711" s="825">
        <v>737.40857142857124</v>
      </c>
      <c r="Y1711" s="737">
        <v>737.41</v>
      </c>
      <c r="Z1711" s="737">
        <v>737.41</v>
      </c>
      <c r="AA1711" s="737">
        <v>737.41</v>
      </c>
      <c r="AB1711" s="2162">
        <v>737.41</v>
      </c>
      <c r="AC1711" s="742">
        <v>1117.29</v>
      </c>
      <c r="AD1711" s="818"/>
      <c r="AE1711" s="818"/>
      <c r="AF1711" s="818"/>
      <c r="AG1711" s="818"/>
      <c r="AH1711" s="163"/>
      <c r="AI1711" s="1942"/>
      <c r="AJ1711" s="1942"/>
      <c r="AK1711" s="820"/>
      <c r="AL1711" s="1942"/>
      <c r="AM1711" s="1942"/>
      <c r="AN1711" s="1942"/>
      <c r="AO1711" s="1942"/>
      <c r="AP1711" s="1942"/>
      <c r="AQ1711" s="1942"/>
      <c r="AR1711" s="1942"/>
      <c r="AS1711" s="1942"/>
      <c r="AT1711" s="1942"/>
      <c r="AU1711" s="1942"/>
      <c r="AV1711" s="1942"/>
      <c r="AW1711" s="1942"/>
      <c r="AX1711" s="1942"/>
      <c r="AY1711" s="1942"/>
      <c r="AZ1711" s="1942"/>
      <c r="BA1711" s="1942"/>
      <c r="BB1711" s="734"/>
      <c r="BC1711" s="3130" t="str">
        <f t="shared" si="185"/>
        <v>Cooling Res ER2 12 Year EUL</v>
      </c>
      <c r="BD1711" s="673">
        <f>(INDEX('Avoided Cost Benefits'!$C$4:$C$857,MATCH(BC1711,'Avoided Cost Benefits'!$A$4:$A$857,0)))*F1711</f>
        <v>1320.998238226766</v>
      </c>
      <c r="BE1711" s="1949">
        <f t="shared" si="183"/>
        <v>0</v>
      </c>
      <c r="BF1711" s="1942"/>
      <c r="BG1711" s="691"/>
      <c r="BH1711" s="821"/>
      <c r="BI1711" s="691"/>
    </row>
    <row r="1712" spans="1:61" s="51" customFormat="1" x14ac:dyDescent="0.25">
      <c r="A1712" s="1267" t="str">
        <f t="shared" si="186"/>
        <v>354550_2021_12_Heating Res ER2</v>
      </c>
      <c r="B1712" s="123"/>
      <c r="C1712" s="2038" t="s">
        <v>1485</v>
      </c>
      <c r="D1712" s="1553" t="s">
        <v>320</v>
      </c>
      <c r="E1712" s="3005" t="s">
        <v>1487</v>
      </c>
      <c r="F1712" s="742">
        <f>ROUND(((K1953*K2140*(1/K2327-1/K2514)*K3449)/1000)*$K$3484,2)</f>
        <v>2397.77</v>
      </c>
      <c r="G1712" s="1580" t="s">
        <v>1195</v>
      </c>
      <c r="H1712" s="155">
        <f>VLOOKUP(G1712,'CP FACTORS'!$A$3:$B$38, 2, FALSE)</f>
        <v>0</v>
      </c>
      <c r="I1712" s="1554">
        <f t="shared" si="184"/>
        <v>0</v>
      </c>
      <c r="J1712" s="108">
        <f t="shared" si="180"/>
        <v>12</v>
      </c>
      <c r="K1712" s="1052">
        <f t="shared" si="181"/>
        <v>0</v>
      </c>
      <c r="L1712" s="1088"/>
      <c r="M1712" s="328"/>
      <c r="N1712" s="1587"/>
      <c r="O1712" s="1135"/>
      <c r="P1712" s="123"/>
      <c r="Q1712" s="123"/>
      <c r="R1712" s="1431"/>
      <c r="S1712" s="123"/>
      <c r="T1712" s="123"/>
      <c r="U1712" s="1589"/>
      <c r="V1712" s="1962" t="s">
        <v>31</v>
      </c>
      <c r="W1712" s="818">
        <v>1327.6421052631592</v>
      </c>
      <c r="X1712" s="819">
        <v>988.62747111681745</v>
      </c>
      <c r="Y1712" s="737">
        <v>988.63</v>
      </c>
      <c r="Z1712" s="737">
        <v>988.63</v>
      </c>
      <c r="AA1712" s="737">
        <v>988.63</v>
      </c>
      <c r="AB1712" s="2162">
        <v>988.63</v>
      </c>
      <c r="AC1712" s="742">
        <v>2397.77</v>
      </c>
      <c r="AD1712" s="818"/>
      <c r="AE1712" s="818"/>
      <c r="AF1712" s="818"/>
      <c r="AG1712" s="818"/>
      <c r="AH1712" s="163"/>
      <c r="AI1712" s="1942"/>
      <c r="AJ1712" s="1942"/>
      <c r="AK1712" s="820"/>
      <c r="AL1712" s="1942"/>
      <c r="AM1712" s="1942"/>
      <c r="AN1712" s="1942"/>
      <c r="AO1712" s="1942"/>
      <c r="AP1712" s="1942"/>
      <c r="AQ1712" s="1942"/>
      <c r="AR1712" s="1942"/>
      <c r="AS1712" s="1942"/>
      <c r="AT1712" s="1942"/>
      <c r="AU1712" s="1942"/>
      <c r="AV1712" s="1942"/>
      <c r="AW1712" s="1942"/>
      <c r="AX1712" s="1942"/>
      <c r="AY1712" s="1942"/>
      <c r="AZ1712" s="1942"/>
      <c r="BA1712" s="1942"/>
      <c r="BB1712" s="734"/>
      <c r="BC1712" s="3116" t="str">
        <f t="shared" si="185"/>
        <v>Heating Res ER2 12 Year EUL</v>
      </c>
      <c r="BD1712" s="673">
        <f>(INDEX('Avoided Cost Benefits'!$C$4:$C$857,MATCH(BC1712,'Avoided Cost Benefits'!$A$4:$A$857,0)))*F1712</f>
        <v>708.97886661440805</v>
      </c>
      <c r="BE1712" s="1949">
        <f t="shared" si="183"/>
        <v>0</v>
      </c>
      <c r="BF1712" s="1942"/>
      <c r="BG1712" s="691"/>
      <c r="BH1712" s="821"/>
      <c r="BI1712" s="691"/>
    </row>
    <row r="1713" spans="1:61" s="51" customFormat="1" x14ac:dyDescent="0.25">
      <c r="A1713" s="1267" t="str">
        <f t="shared" si="186"/>
        <v>354600_2021_12_Cooling Res</v>
      </c>
      <c r="B1713" s="123"/>
      <c r="C1713" s="2038" t="s">
        <v>1489</v>
      </c>
      <c r="D1713" s="1553" t="s">
        <v>320</v>
      </c>
      <c r="E1713" s="2965" t="s">
        <v>1490</v>
      </c>
      <c r="F1713" s="742">
        <f>ROUND(((K2702*K2889*(1/K3076-1/K3263)*K3450)/1000)*$K$3484,2)</f>
        <v>675.57</v>
      </c>
      <c r="G1713" s="214" t="s">
        <v>1134</v>
      </c>
      <c r="H1713" s="155">
        <f>VLOOKUP(G1713,'CP FACTORS'!$A$3:$B$38, 2, FALSE)</f>
        <v>9.4741810000000004E-4</v>
      </c>
      <c r="I1713" s="1554">
        <f t="shared" si="184"/>
        <v>0.64004700000000003</v>
      </c>
      <c r="J1713" s="108">
        <f t="shared" si="180"/>
        <v>18</v>
      </c>
      <c r="K1713" s="1052">
        <f t="shared" si="181"/>
        <v>1444.3799999999994</v>
      </c>
      <c r="L1713" s="1088">
        <f>L1954</f>
        <v>3</v>
      </c>
      <c r="M1713" s="328"/>
      <c r="N1713" s="1587"/>
      <c r="O1713" s="1135"/>
      <c r="P1713" s="123"/>
      <c r="Q1713" s="123"/>
      <c r="R1713" s="1431"/>
      <c r="S1713" s="123"/>
      <c r="T1713" s="123"/>
      <c r="U1713" s="1589"/>
      <c r="V1713" s="1962" t="s">
        <v>31</v>
      </c>
      <c r="W1713" s="818">
        <v>737.40857142857124</v>
      </c>
      <c r="X1713" s="825">
        <v>737.40857142857124</v>
      </c>
      <c r="Y1713" s="737">
        <v>737.41</v>
      </c>
      <c r="Z1713" s="737">
        <v>737.41</v>
      </c>
      <c r="AA1713" s="737">
        <v>737.41</v>
      </c>
      <c r="AB1713" s="2162">
        <v>737.41</v>
      </c>
      <c r="AC1713" s="742">
        <v>675.57</v>
      </c>
      <c r="AD1713" s="818"/>
      <c r="AE1713" s="818"/>
      <c r="AF1713" s="818"/>
      <c r="AG1713" s="818"/>
      <c r="AH1713" s="163"/>
      <c r="AI1713" s="1942"/>
      <c r="AJ1713" s="1942"/>
      <c r="AK1713" s="820"/>
      <c r="AL1713" s="1942"/>
      <c r="AM1713" s="1942"/>
      <c r="AN1713" s="1942"/>
      <c r="AO1713" s="1942"/>
      <c r="AP1713" s="1942"/>
      <c r="AQ1713" s="1942"/>
      <c r="AR1713" s="1942"/>
      <c r="AS1713" s="1942"/>
      <c r="AT1713" s="1942"/>
      <c r="AU1713" s="1942"/>
      <c r="AV1713" s="1942"/>
      <c r="AW1713" s="1942"/>
      <c r="AX1713" s="1942"/>
      <c r="AY1713" s="1942"/>
      <c r="AZ1713" s="1942"/>
      <c r="BA1713" s="1942"/>
      <c r="BB1713" s="244">
        <f>(BD1713+BD1714)/(BE1713+BE1714)</f>
        <v>1.4202812987850018</v>
      </c>
      <c r="BC1713" s="710" t="str">
        <f t="shared" si="185"/>
        <v>Cooling Res 18 Year EUL</v>
      </c>
      <c r="BD1713" s="673">
        <f>(INDEX('Avoided Cost Benefits'!$C$4:$C$857,MATCH(BC1713,'Avoided Cost Benefits'!$A$4:$A$857,0)))*F1713</f>
        <v>1191.5755518654103</v>
      </c>
      <c r="BE1713" s="1949">
        <f t="shared" si="183"/>
        <v>1363.2656913638502</v>
      </c>
      <c r="BF1713" s="1942"/>
      <c r="BG1713" s="691"/>
      <c r="BH1713" s="821"/>
      <c r="BI1713" s="691"/>
    </row>
    <row r="1714" spans="1:61" s="51" customFormat="1" x14ac:dyDescent="0.25">
      <c r="A1714" s="1267" t="str">
        <f t="shared" si="186"/>
        <v>354600_2021_12_Heating Res</v>
      </c>
      <c r="B1714" s="123"/>
      <c r="C1714" s="2038" t="s">
        <v>1489</v>
      </c>
      <c r="D1714" s="1553" t="s">
        <v>320</v>
      </c>
      <c r="E1714" s="3008" t="s">
        <v>1490</v>
      </c>
      <c r="F1714" s="742">
        <f>ROUND(((K1954*K2141*(1/K2328-1/K2515)*K3450)/1000)*$K$3484,2)</f>
        <v>1611.73</v>
      </c>
      <c r="G1714" s="214" t="s">
        <v>1135</v>
      </c>
      <c r="H1714" s="155">
        <f>VLOOKUP(G1714,'CP FACTORS'!$A$3:$B$38, 2, FALSE)</f>
        <v>0</v>
      </c>
      <c r="I1714" s="1554">
        <f t="shared" si="184"/>
        <v>0</v>
      </c>
      <c r="J1714" s="108">
        <f t="shared" si="180"/>
        <v>18</v>
      </c>
      <c r="K1714" s="1052">
        <f t="shared" si="181"/>
        <v>0</v>
      </c>
      <c r="L1714" s="1088"/>
      <c r="M1714" s="328"/>
      <c r="N1714" s="1587"/>
      <c r="O1714" s="1135"/>
      <c r="P1714" s="123"/>
      <c r="Q1714" s="123"/>
      <c r="R1714" s="1431"/>
      <c r="S1714" s="123"/>
      <c r="T1714" s="123"/>
      <c r="U1714" s="1589"/>
      <c r="V1714" s="1962" t="s">
        <v>31</v>
      </c>
      <c r="W1714" s="818">
        <v>1584.0000000000018</v>
      </c>
      <c r="X1714" s="819">
        <v>1179.5241413638641</v>
      </c>
      <c r="Y1714" s="737">
        <v>1179.52</v>
      </c>
      <c r="Z1714" s="737">
        <v>1179.52</v>
      </c>
      <c r="AA1714" s="737">
        <v>1179.52</v>
      </c>
      <c r="AB1714" s="2162">
        <v>1179.52</v>
      </c>
      <c r="AC1714" s="742">
        <v>1611.73</v>
      </c>
      <c r="AD1714" s="818"/>
      <c r="AE1714" s="818"/>
      <c r="AF1714" s="818"/>
      <c r="AG1714" s="818"/>
      <c r="AH1714" s="163"/>
      <c r="AI1714" s="1942"/>
      <c r="AJ1714" s="1942"/>
      <c r="AK1714" s="820"/>
      <c r="AL1714" s="1942"/>
      <c r="AM1714" s="1942"/>
      <c r="AN1714" s="1942"/>
      <c r="AO1714" s="1942"/>
      <c r="AP1714" s="1942"/>
      <c r="AQ1714" s="1942"/>
      <c r="AR1714" s="1942"/>
      <c r="AS1714" s="1942"/>
      <c r="AT1714" s="1942"/>
      <c r="AU1714" s="1942"/>
      <c r="AV1714" s="1942"/>
      <c r="AW1714" s="1942"/>
      <c r="AX1714" s="1942"/>
      <c r="AY1714" s="1942"/>
      <c r="AZ1714" s="1942"/>
      <c r="BA1714" s="1942"/>
      <c r="BB1714" s="242"/>
      <c r="BC1714" s="822" t="str">
        <f t="shared" si="185"/>
        <v>Heating Res 18 Year EUL</v>
      </c>
      <c r="BD1714" s="673">
        <f>(INDEX('Avoided Cost Benefits'!$C$4:$C$857,MATCH(BC1714,'Avoided Cost Benefits'!$A$4:$A$857,0)))*F1714</f>
        <v>744.64521485387218</v>
      </c>
      <c r="BE1714" s="1949">
        <f t="shared" si="183"/>
        <v>0</v>
      </c>
      <c r="BF1714" s="1942"/>
      <c r="BG1714" s="691"/>
      <c r="BH1714" s="821"/>
      <c r="BI1714" s="691"/>
    </row>
    <row r="1715" spans="1:61" s="51" customFormat="1" x14ac:dyDescent="0.25">
      <c r="A1715" s="1267" t="str">
        <f t="shared" si="186"/>
        <v>354650_2019_12_Cooling Res</v>
      </c>
      <c r="B1715" s="123"/>
      <c r="C1715" s="1471" t="s">
        <v>1491</v>
      </c>
      <c r="D1715" s="1553" t="s">
        <v>322</v>
      </c>
      <c r="E1715" s="2878" t="s">
        <v>1492</v>
      </c>
      <c r="F1715" s="782">
        <f>ROUND(((K2703*K2890*(1/K3077-1/K3264)*K3451)/1000)*$K$3484,2)</f>
        <v>1471.88</v>
      </c>
      <c r="G1715" s="214" t="s">
        <v>1134</v>
      </c>
      <c r="H1715" s="155">
        <f>VLOOKUP(G1715,'CP FACTORS'!$A$3:$B$38, 2, FALSE)</f>
        <v>9.4741810000000004E-4</v>
      </c>
      <c r="I1715" s="1554">
        <f t="shared" si="184"/>
        <v>1.3944859999999999</v>
      </c>
      <c r="J1715" s="108">
        <f t="shared" si="180"/>
        <v>6</v>
      </c>
      <c r="K1715" s="1052">
        <f t="shared" si="181"/>
        <v>1925.8398012161661</v>
      </c>
      <c r="L1715" s="1088">
        <f>L1955</f>
        <v>3.1</v>
      </c>
      <c r="M1715" s="328"/>
      <c r="N1715" s="1587"/>
      <c r="O1715" s="1135"/>
      <c r="P1715" s="123"/>
      <c r="Q1715" s="123"/>
      <c r="R1715" s="1431"/>
      <c r="S1715" s="123"/>
      <c r="T1715" s="123"/>
      <c r="U1715" s="1589"/>
      <c r="V1715" s="1962" t="s">
        <v>31</v>
      </c>
      <c r="W1715" s="818">
        <v>2039.4407647058827</v>
      </c>
      <c r="X1715" s="819">
        <v>1471.8783997599039</v>
      </c>
      <c r="Y1715" s="737">
        <v>1471.88</v>
      </c>
      <c r="Z1715" s="737">
        <v>1471.88</v>
      </c>
      <c r="AA1715" s="737">
        <v>1471.88</v>
      </c>
      <c r="AB1715" s="2162">
        <v>1471.88</v>
      </c>
      <c r="AC1715" s="782">
        <v>1471.88</v>
      </c>
      <c r="AD1715" s="818"/>
      <c r="AE1715" s="818"/>
      <c r="AF1715" s="818"/>
      <c r="AG1715" s="818"/>
      <c r="AH1715" s="163"/>
      <c r="AI1715" s="1942"/>
      <c r="AJ1715" s="1942"/>
      <c r="AK1715" s="820"/>
      <c r="AL1715" s="1942"/>
      <c r="AM1715" s="1942"/>
      <c r="AN1715" s="1942"/>
      <c r="AO1715" s="1942"/>
      <c r="AP1715" s="1942"/>
      <c r="AQ1715" s="1942"/>
      <c r="AR1715" s="1942"/>
      <c r="AS1715" s="1942"/>
      <c r="AT1715" s="1942"/>
      <c r="AU1715" s="1942"/>
      <c r="AV1715" s="1942"/>
      <c r="AW1715" s="1942"/>
      <c r="AX1715" s="1942"/>
      <c r="AY1715" s="1942"/>
      <c r="AZ1715" s="1942"/>
      <c r="BA1715" s="1942"/>
      <c r="BB1715" s="244">
        <f>(BD1715+BD1716+BD1717+BD1718)/(BE1715+BE1716+BE1717+BE1718)</f>
        <v>2.5570217316389692</v>
      </c>
      <c r="BC1715" s="3115" t="str">
        <f t="shared" si="185"/>
        <v>Cooling Res 6 Year EUL</v>
      </c>
      <c r="BD1715" s="673">
        <f>(INDEX('Avoided Cost Benefits'!$C$4:$C$857,MATCH(BC1715,'Avoided Cost Benefits'!$A$4:$A$857,0)))*F1715</f>
        <v>855.87490974077878</v>
      </c>
      <c r="BE1715" s="1949">
        <f t="shared" si="183"/>
        <v>1817.6874008647153</v>
      </c>
      <c r="BF1715" s="1942"/>
      <c r="BG1715" s="691"/>
      <c r="BH1715" s="821"/>
      <c r="BI1715" s="691"/>
    </row>
    <row r="1716" spans="1:61" s="51" customFormat="1" x14ac:dyDescent="0.25">
      <c r="A1716" s="1267" t="str">
        <f t="shared" si="186"/>
        <v>354650_2019_12_Heating Res</v>
      </c>
      <c r="B1716" s="123"/>
      <c r="C1716" s="1471" t="s">
        <v>1491</v>
      </c>
      <c r="D1716" s="1553" t="s">
        <v>322</v>
      </c>
      <c r="E1716" s="3007" t="s">
        <v>1492</v>
      </c>
      <c r="F1716" s="782">
        <f>ROUND(((K1955*K2142*(1/K2329-1/K2516)*K3451)/1000)*$K$3484,2)</f>
        <v>6759.78</v>
      </c>
      <c r="G1716" s="214" t="s">
        <v>1135</v>
      </c>
      <c r="H1716" s="155">
        <f>VLOOKUP(G1716,'CP FACTORS'!$A$3:$B$38, 2, FALSE)</f>
        <v>0</v>
      </c>
      <c r="I1716" s="1554">
        <f t="shared" si="184"/>
        <v>0</v>
      </c>
      <c r="J1716" s="108">
        <f t="shared" si="180"/>
        <v>6</v>
      </c>
      <c r="K1716" s="1052">
        <f t="shared" si="181"/>
        <v>0</v>
      </c>
      <c r="L1716" s="1088"/>
      <c r="M1716" s="328"/>
      <c r="N1716" s="1587"/>
      <c r="O1716" s="1135"/>
      <c r="P1716" s="123"/>
      <c r="Q1716" s="123"/>
      <c r="R1716" s="1431"/>
      <c r="S1716" s="123"/>
      <c r="T1716" s="123"/>
      <c r="U1716" s="1589"/>
      <c r="V1716" s="1962" t="s">
        <v>31</v>
      </c>
      <c r="W1716" s="818">
        <v>9077.8044487427451</v>
      </c>
      <c r="X1716" s="819">
        <v>6759.7787234042544</v>
      </c>
      <c r="Y1716" s="737">
        <v>6759.78</v>
      </c>
      <c r="Z1716" s="737">
        <v>6759.78</v>
      </c>
      <c r="AA1716" s="737">
        <v>6759.78</v>
      </c>
      <c r="AB1716" s="2162">
        <v>6759.78</v>
      </c>
      <c r="AC1716" s="782">
        <v>6759.78</v>
      </c>
      <c r="AD1716" s="818"/>
      <c r="AE1716" s="818"/>
      <c r="AF1716" s="818"/>
      <c r="AG1716" s="818"/>
      <c r="AH1716" s="163"/>
      <c r="AI1716" s="1942"/>
      <c r="AJ1716" s="1942"/>
      <c r="AK1716" s="820"/>
      <c r="AL1716" s="1942"/>
      <c r="AM1716" s="1942"/>
      <c r="AN1716" s="1942"/>
      <c r="AO1716" s="1942"/>
      <c r="AP1716" s="1942"/>
      <c r="AQ1716" s="1942"/>
      <c r="AR1716" s="1942"/>
      <c r="AS1716" s="1942"/>
      <c r="AT1716" s="1942"/>
      <c r="AU1716" s="1942"/>
      <c r="AV1716" s="1942"/>
      <c r="AW1716" s="1942"/>
      <c r="AX1716" s="1942"/>
      <c r="AY1716" s="1942"/>
      <c r="AZ1716" s="1942"/>
      <c r="BA1716" s="1942"/>
      <c r="BB1716" s="734"/>
      <c r="BC1716" s="3130" t="str">
        <f t="shared" si="185"/>
        <v>Heating Res 6 Year EUL</v>
      </c>
      <c r="BD1716" s="673">
        <f>(INDEX('Avoided Cost Benefits'!$C$4:$C$857,MATCH(BC1716,'Avoided Cost Benefits'!$A$4:$A$857,0)))*F1716</f>
        <v>1124.3778951463969</v>
      </c>
      <c r="BE1716" s="1949">
        <f t="shared" si="183"/>
        <v>0</v>
      </c>
      <c r="BF1716" s="1942"/>
      <c r="BG1716" s="691"/>
      <c r="BH1716" s="821"/>
      <c r="BI1716" s="691"/>
    </row>
    <row r="1717" spans="1:61" s="51" customFormat="1" x14ac:dyDescent="0.25">
      <c r="A1717" s="1267" t="str">
        <f t="shared" si="186"/>
        <v>354650_2019_12_Cooling Res ER2</v>
      </c>
      <c r="B1717" s="123"/>
      <c r="C1717" s="1471" t="s">
        <v>1491</v>
      </c>
      <c r="D1717" s="1553" t="s">
        <v>322</v>
      </c>
      <c r="E1717" s="3007" t="s">
        <v>1493</v>
      </c>
      <c r="F1717" s="782">
        <f>ROUND(((K2704*K2891*(1/K3078-1/K3265)*K3452)/1000)*$K$3484,2)</f>
        <v>565.72</v>
      </c>
      <c r="G1717" s="1580" t="s">
        <v>1176</v>
      </c>
      <c r="H1717" s="155">
        <f>VLOOKUP(G1717,'CP FACTORS'!$A$3:$B$38, 2, FALSE)</f>
        <v>9.4741810000000004E-4</v>
      </c>
      <c r="I1717" s="1554">
        <f t="shared" si="184"/>
        <v>0.53597300000000003</v>
      </c>
      <c r="J1717" s="108">
        <f t="shared" si="180"/>
        <v>12</v>
      </c>
      <c r="K1717" s="1052">
        <f t="shared" si="181"/>
        <v>0</v>
      </c>
      <c r="L1717" s="1088"/>
      <c r="M1717" s="328"/>
      <c r="N1717" s="1587"/>
      <c r="O1717" s="1135"/>
      <c r="P1717" s="123"/>
      <c r="Q1717" s="123"/>
      <c r="R1717" s="1431"/>
      <c r="S1717" s="123"/>
      <c r="T1717" s="123"/>
      <c r="U1717" s="1589"/>
      <c r="V1717" s="1962" t="s">
        <v>31</v>
      </c>
      <c r="W1717" s="818">
        <v>565.71900000000005</v>
      </c>
      <c r="X1717" s="825">
        <v>565.71900000000005</v>
      </c>
      <c r="Y1717" s="737">
        <v>565.72</v>
      </c>
      <c r="Z1717" s="737">
        <v>565.72</v>
      </c>
      <c r="AA1717" s="737">
        <v>565.72</v>
      </c>
      <c r="AB1717" s="2162">
        <v>565.72</v>
      </c>
      <c r="AC1717" s="782">
        <v>565.72</v>
      </c>
      <c r="AD1717" s="818"/>
      <c r="AE1717" s="818"/>
      <c r="AF1717" s="818"/>
      <c r="AG1717" s="818"/>
      <c r="AH1717" s="163"/>
      <c r="AI1717" s="1942"/>
      <c r="AJ1717" s="1942"/>
      <c r="AK1717" s="820"/>
      <c r="AL1717" s="1942"/>
      <c r="AM1717" s="1942"/>
      <c r="AN1717" s="1942"/>
      <c r="AO1717" s="1942"/>
      <c r="AP1717" s="1942"/>
      <c r="AQ1717" s="1942"/>
      <c r="AR1717" s="1942"/>
      <c r="AS1717" s="1942"/>
      <c r="AT1717" s="1942"/>
      <c r="AU1717" s="1942"/>
      <c r="AV1717" s="1942"/>
      <c r="AW1717" s="1942"/>
      <c r="AX1717" s="1942"/>
      <c r="AY1717" s="1942"/>
      <c r="AZ1717" s="1942"/>
      <c r="BA1717" s="1942"/>
      <c r="BB1717" s="734"/>
      <c r="BC1717" s="3130" t="str">
        <f t="shared" si="185"/>
        <v>Cooling Res ER2 12 Year EUL</v>
      </c>
      <c r="BD1717" s="673">
        <f>(INDEX('Avoided Cost Benefits'!$C$4:$C$857,MATCH(BC1717,'Avoided Cost Benefits'!$A$4:$A$857,0)))*F1717</f>
        <v>668.86405797030864</v>
      </c>
      <c r="BE1717" s="1949">
        <f t="shared" si="183"/>
        <v>0</v>
      </c>
      <c r="BF1717" s="1942"/>
      <c r="BG1717" s="691"/>
      <c r="BH1717" s="821"/>
      <c r="BI1717" s="691"/>
    </row>
    <row r="1718" spans="1:61" s="51" customFormat="1" x14ac:dyDescent="0.25">
      <c r="A1718" s="1267" t="str">
        <f t="shared" si="186"/>
        <v>354650_2019_12_Heating Res ER2</v>
      </c>
      <c r="B1718" s="123"/>
      <c r="C1718" s="1471" t="s">
        <v>1491</v>
      </c>
      <c r="D1718" s="1553" t="s">
        <v>322</v>
      </c>
      <c r="E1718" s="3005" t="s">
        <v>1493</v>
      </c>
      <c r="F1718" s="782">
        <f>ROUND(((K1956*K2143*(1/K2330-1/K2517)*K3452)/1000)*$K$3484,2)</f>
        <v>6759.78</v>
      </c>
      <c r="G1718" s="1580" t="s">
        <v>1195</v>
      </c>
      <c r="H1718" s="155">
        <f>VLOOKUP(G1718,'CP FACTORS'!$A$3:$B$38, 2, FALSE)</f>
        <v>0</v>
      </c>
      <c r="I1718" s="1554">
        <f t="shared" si="184"/>
        <v>0</v>
      </c>
      <c r="J1718" s="108">
        <f t="shared" si="180"/>
        <v>12</v>
      </c>
      <c r="K1718" s="1052">
        <f t="shared" si="181"/>
        <v>0</v>
      </c>
      <c r="L1718" s="1088"/>
      <c r="M1718" s="328"/>
      <c r="N1718" s="1587"/>
      <c r="O1718" s="1135"/>
      <c r="P1718" s="123"/>
      <c r="Q1718" s="123"/>
      <c r="R1718" s="1431"/>
      <c r="S1718" s="123"/>
      <c r="T1718" s="123"/>
      <c r="U1718" s="1589"/>
      <c r="V1718" s="1962" t="s">
        <v>31</v>
      </c>
      <c r="W1718" s="818">
        <v>9077.8044487427451</v>
      </c>
      <c r="X1718" s="819">
        <v>6759.7787234042544</v>
      </c>
      <c r="Y1718" s="737">
        <v>6759.78</v>
      </c>
      <c r="Z1718" s="737">
        <v>6759.78</v>
      </c>
      <c r="AA1718" s="737">
        <v>6759.78</v>
      </c>
      <c r="AB1718" s="2162">
        <v>6759.78</v>
      </c>
      <c r="AC1718" s="782">
        <v>6759.78</v>
      </c>
      <c r="AD1718" s="818"/>
      <c r="AE1718" s="818"/>
      <c r="AF1718" s="818"/>
      <c r="AG1718" s="818"/>
      <c r="AH1718" s="163"/>
      <c r="AI1718" s="1942"/>
      <c r="AJ1718" s="1942"/>
      <c r="AK1718" s="820"/>
      <c r="AL1718" s="1942"/>
      <c r="AM1718" s="1942"/>
      <c r="AN1718" s="1942"/>
      <c r="AO1718" s="1942"/>
      <c r="AP1718" s="1942"/>
      <c r="AQ1718" s="1942"/>
      <c r="AR1718" s="1942"/>
      <c r="AS1718" s="1942"/>
      <c r="AT1718" s="1942"/>
      <c r="AU1718" s="1942"/>
      <c r="AV1718" s="1942"/>
      <c r="AW1718" s="1942"/>
      <c r="AX1718" s="1942"/>
      <c r="AY1718" s="1942"/>
      <c r="AZ1718" s="1942"/>
      <c r="BA1718" s="1942"/>
      <c r="BB1718" s="734"/>
      <c r="BC1718" s="3116" t="str">
        <f t="shared" si="185"/>
        <v>Heating Res ER2 12 Year EUL</v>
      </c>
      <c r="BD1718" s="673">
        <f>(INDEX('Avoided Cost Benefits'!$C$4:$C$857,MATCH(BC1718,'Avoided Cost Benefits'!$A$4:$A$857,0)))*F1718</f>
        <v>1998.7493224799473</v>
      </c>
      <c r="BE1718" s="1949">
        <f t="shared" si="183"/>
        <v>0</v>
      </c>
      <c r="BF1718" s="1942"/>
      <c r="BG1718" s="691"/>
      <c r="BH1718" s="821"/>
      <c r="BI1718" s="691"/>
    </row>
    <row r="1719" spans="1:61" s="51" customFormat="1" x14ac:dyDescent="0.25">
      <c r="A1719" s="1267" t="str">
        <f t="shared" si="186"/>
        <v>354651_2019_12_Cooling Res</v>
      </c>
      <c r="B1719" s="123"/>
      <c r="C1719" s="1471" t="s">
        <v>1494</v>
      </c>
      <c r="D1719" s="1553" t="s">
        <v>317</v>
      </c>
      <c r="E1719" s="2878" t="s">
        <v>1495</v>
      </c>
      <c r="F1719" s="782">
        <f>ROUND((($K$2705*$K$2892*(1/$K$3079-1/$K$3266)*$K$3453)/1000)*$K$3484,2)</f>
        <v>1070.46</v>
      </c>
      <c r="G1719" s="214" t="str">
        <f>G1715</f>
        <v>Cooling Res</v>
      </c>
      <c r="H1719" s="155">
        <f>VLOOKUP(G1719,'CP FACTORS'!$A$3:$B$38, 2, FALSE)</f>
        <v>9.4741810000000004E-4</v>
      </c>
      <c r="I1719" s="1554">
        <f t="shared" si="184"/>
        <v>1.014173</v>
      </c>
      <c r="J1719" s="108">
        <f t="shared" si="180"/>
        <v>6</v>
      </c>
      <c r="K1719" s="3294">
        <f t="shared" si="181"/>
        <v>1925.8398012161661</v>
      </c>
      <c r="L1719" s="3296">
        <f>L1957</f>
        <v>3.1</v>
      </c>
      <c r="M1719" s="328"/>
      <c r="N1719" s="1587"/>
      <c r="O1719" s="1135"/>
      <c r="P1719" s="123"/>
      <c r="Q1719" s="123"/>
      <c r="R1719" s="1431"/>
      <c r="S1719" s="123"/>
      <c r="T1719" s="123"/>
      <c r="U1719" s="1589"/>
      <c r="V1719" s="1962" t="s">
        <v>31</v>
      </c>
      <c r="W1719" s="818"/>
      <c r="X1719" s="819"/>
      <c r="Y1719" s="742">
        <v>1070.46</v>
      </c>
      <c r="Z1719" s="737">
        <v>1070.46</v>
      </c>
      <c r="AA1719" s="737">
        <v>1070.46</v>
      </c>
      <c r="AB1719" s="2162">
        <v>1070.46</v>
      </c>
      <c r="AC1719" s="782">
        <v>1070.46</v>
      </c>
      <c r="AD1719" s="818"/>
      <c r="AE1719" s="818"/>
      <c r="AF1719" s="818"/>
      <c r="AG1719" s="818"/>
      <c r="AH1719" s="163"/>
      <c r="AI1719" s="1942"/>
      <c r="AJ1719" s="1942"/>
      <c r="AK1719" s="820"/>
      <c r="AL1719" s="1942"/>
      <c r="AM1719" s="1942"/>
      <c r="AN1719" s="1942"/>
      <c r="AO1719" s="1942"/>
      <c r="AP1719" s="1942"/>
      <c r="AQ1719" s="1942"/>
      <c r="AR1719" s="1942"/>
      <c r="AS1719" s="1942"/>
      <c r="AT1719" s="1942"/>
      <c r="AU1719" s="1942"/>
      <c r="AV1719" s="1942"/>
      <c r="AW1719" s="1942"/>
      <c r="AX1719" s="1942"/>
      <c r="AY1719" s="1942"/>
      <c r="AZ1719" s="1942"/>
      <c r="BA1719" s="1942"/>
      <c r="BB1719" s="244">
        <f>(BD1719+BD1720+BD1721+BD1722)/(BE1719+BE1720+BE1721+BE1722)</f>
        <v>1.1958058077888361</v>
      </c>
      <c r="BC1719" s="3115" t="str">
        <f t="shared" si="185"/>
        <v>Cooling Res 6 Year EUL</v>
      </c>
      <c r="BD1719" s="673">
        <f>(INDEX('Avoided Cost Benefits'!$C$4:$C$857,MATCH(BC1719,'Avoided Cost Benefits'!$A$4:$A$857,0)))*F1719</f>
        <v>622.45553705540806</v>
      </c>
      <c r="BE1719" s="1949">
        <f t="shared" si="183"/>
        <v>1817.6874008647153</v>
      </c>
      <c r="BF1719" s="1942"/>
      <c r="BG1719" s="691"/>
      <c r="BH1719" s="824"/>
      <c r="BI1719" s="691"/>
    </row>
    <row r="1720" spans="1:61" s="51" customFormat="1" x14ac:dyDescent="0.25">
      <c r="A1720" s="1267" t="str">
        <f t="shared" si="186"/>
        <v>354651_2019_12_Heating Res</v>
      </c>
      <c r="B1720" s="123"/>
      <c r="C1720" s="1471" t="str">
        <f>C1719</f>
        <v>354651_2019_12_</v>
      </c>
      <c r="D1720" s="1553" t="s">
        <v>317</v>
      </c>
      <c r="E1720" s="3007" t="s">
        <v>1495</v>
      </c>
      <c r="F1720" s="782">
        <f>ROUND((($K$1957*$K$2144*(1/$K$2331-1/$K$2518)*$K$3453)/1000)*$K$3484,2)</f>
        <v>2304.4699999999998</v>
      </c>
      <c r="G1720" s="214" t="str">
        <f>G1716</f>
        <v>Heating Res</v>
      </c>
      <c r="H1720" s="155">
        <f>VLOOKUP(G1720,'CP FACTORS'!$A$3:$B$38, 2, FALSE)</f>
        <v>0</v>
      </c>
      <c r="I1720" s="1554">
        <f t="shared" si="184"/>
        <v>0</v>
      </c>
      <c r="J1720" s="108">
        <f t="shared" si="180"/>
        <v>6</v>
      </c>
      <c r="K1720" s="1052">
        <f t="shared" si="181"/>
        <v>0</v>
      </c>
      <c r="L1720" s="1088"/>
      <c r="M1720" s="328"/>
      <c r="N1720" s="1587"/>
      <c r="O1720" s="1135"/>
      <c r="P1720" s="123"/>
      <c r="Q1720" s="123"/>
      <c r="R1720" s="1431"/>
      <c r="S1720" s="123"/>
      <c r="T1720" s="123"/>
      <c r="U1720" s="1589"/>
      <c r="V1720" s="1962" t="s">
        <v>31</v>
      </c>
      <c r="W1720" s="818"/>
      <c r="X1720" s="819"/>
      <c r="Y1720" s="742">
        <v>2304.4699999999998</v>
      </c>
      <c r="Z1720" s="737">
        <v>2304.4699999999998</v>
      </c>
      <c r="AA1720" s="737">
        <v>2304.4699999999998</v>
      </c>
      <c r="AB1720" s="2162">
        <v>2304.4699999999998</v>
      </c>
      <c r="AC1720" s="782">
        <v>2304.4699999999998</v>
      </c>
      <c r="AD1720" s="818"/>
      <c r="AE1720" s="818"/>
      <c r="AF1720" s="818"/>
      <c r="AG1720" s="818"/>
      <c r="AH1720" s="163"/>
      <c r="AI1720" s="1942"/>
      <c r="AJ1720" s="1942"/>
      <c r="AK1720" s="820"/>
      <c r="AL1720" s="1942"/>
      <c r="AM1720" s="1942"/>
      <c r="AN1720" s="1942"/>
      <c r="AO1720" s="1942"/>
      <c r="AP1720" s="1942"/>
      <c r="AQ1720" s="1942"/>
      <c r="AR1720" s="1942"/>
      <c r="AS1720" s="1942"/>
      <c r="AT1720" s="1942"/>
      <c r="AU1720" s="1942"/>
      <c r="AV1720" s="1942"/>
      <c r="AW1720" s="1942"/>
      <c r="AX1720" s="1942"/>
      <c r="AY1720" s="1942"/>
      <c r="AZ1720" s="1942"/>
      <c r="BA1720" s="1942"/>
      <c r="BB1720" s="734"/>
      <c r="BC1720" s="3130" t="str">
        <f t="shared" si="185"/>
        <v>Heating Res 6 Year EUL</v>
      </c>
      <c r="BD1720" s="673">
        <f>(INDEX('Avoided Cost Benefits'!$C$4:$C$857,MATCH(BC1720,'Avoided Cost Benefits'!$A$4:$A$857,0)))*F1720</f>
        <v>383.31057046649704</v>
      </c>
      <c r="BE1720" s="1949">
        <f t="shared" si="183"/>
        <v>0</v>
      </c>
      <c r="BF1720" s="1942"/>
      <c r="BG1720" s="691"/>
      <c r="BH1720" s="824"/>
      <c r="BI1720" s="691"/>
    </row>
    <row r="1721" spans="1:61" s="51" customFormat="1" x14ac:dyDescent="0.25">
      <c r="A1721" s="1267" t="str">
        <f t="shared" si="186"/>
        <v>354651_2019_12_Cooling Res ER2</v>
      </c>
      <c r="B1721" s="123"/>
      <c r="C1721" s="1471" t="str">
        <f>C1720</f>
        <v>354651_2019_12_</v>
      </c>
      <c r="D1721" s="1553" t="s">
        <v>317</v>
      </c>
      <c r="E1721" s="3007" t="s">
        <v>1496</v>
      </c>
      <c r="F1721" s="782">
        <f>ROUND((($K$2706*$K$2893*(1/$K$3080-1/$K$3267)*$K$3454)/1000)*$K$3484,2)</f>
        <v>411.43</v>
      </c>
      <c r="G1721" s="214" t="str">
        <f>G1717</f>
        <v>Cooling Res ER2</v>
      </c>
      <c r="H1721" s="155">
        <f>VLOOKUP(G1721,'CP FACTORS'!$A$3:$B$38, 2, FALSE)</f>
        <v>9.4741810000000004E-4</v>
      </c>
      <c r="I1721" s="1554">
        <f t="shared" si="184"/>
        <v>0.38979599999999998</v>
      </c>
      <c r="J1721" s="108">
        <f t="shared" si="180"/>
        <v>12</v>
      </c>
      <c r="K1721" s="1052">
        <f t="shared" si="181"/>
        <v>0</v>
      </c>
      <c r="L1721" s="1088"/>
      <c r="M1721" s="328"/>
      <c r="N1721" s="1587"/>
      <c r="O1721" s="1135"/>
      <c r="P1721" s="123"/>
      <c r="Q1721" s="123"/>
      <c r="R1721" s="1431"/>
      <c r="S1721" s="123"/>
      <c r="T1721" s="123"/>
      <c r="U1721" s="1589"/>
      <c r="V1721" s="1962" t="s">
        <v>31</v>
      </c>
      <c r="W1721" s="818"/>
      <c r="X1721" s="819"/>
      <c r="Y1721" s="742">
        <v>411.43</v>
      </c>
      <c r="Z1721" s="737">
        <v>411.43</v>
      </c>
      <c r="AA1721" s="737">
        <v>411.43</v>
      </c>
      <c r="AB1721" s="2162">
        <v>411.43</v>
      </c>
      <c r="AC1721" s="782">
        <v>411.43</v>
      </c>
      <c r="AD1721" s="818"/>
      <c r="AE1721" s="818"/>
      <c r="AF1721" s="818"/>
      <c r="AG1721" s="818"/>
      <c r="AH1721" s="163"/>
      <c r="AI1721" s="1942"/>
      <c r="AJ1721" s="1942"/>
      <c r="AK1721" s="820"/>
      <c r="AL1721" s="1942"/>
      <c r="AM1721" s="1942"/>
      <c r="AN1721" s="1942"/>
      <c r="AO1721" s="1942"/>
      <c r="AP1721" s="1942"/>
      <c r="AQ1721" s="1942"/>
      <c r="AR1721" s="1942"/>
      <c r="AS1721" s="1942"/>
      <c r="AT1721" s="1942"/>
      <c r="AU1721" s="1942"/>
      <c r="AV1721" s="1942"/>
      <c r="AW1721" s="1942"/>
      <c r="AX1721" s="1942"/>
      <c r="AY1721" s="1942"/>
      <c r="AZ1721" s="1942"/>
      <c r="BA1721" s="1942"/>
      <c r="BB1721" s="734"/>
      <c r="BC1721" s="3130" t="str">
        <f t="shared" si="185"/>
        <v>Cooling Res ER2 12 Year EUL</v>
      </c>
      <c r="BD1721" s="673">
        <f>(INDEX('Avoided Cost Benefits'!$C$4:$C$857,MATCH(BC1721,'Avoided Cost Benefits'!$A$4:$A$857,0)))*F1721</f>
        <v>486.44336309609713</v>
      </c>
      <c r="BE1721" s="1949">
        <f t="shared" si="183"/>
        <v>0</v>
      </c>
      <c r="BF1721" s="1942"/>
      <c r="BG1721" s="691"/>
      <c r="BH1721" s="824"/>
      <c r="BI1721" s="691"/>
    </row>
    <row r="1722" spans="1:61" s="51" customFormat="1" x14ac:dyDescent="0.25">
      <c r="A1722" s="1267" t="str">
        <f t="shared" si="186"/>
        <v>354651_2019_12_Heating Res ER2</v>
      </c>
      <c r="B1722" s="123"/>
      <c r="C1722" s="1471" t="str">
        <f>C1721</f>
        <v>354651_2019_12_</v>
      </c>
      <c r="D1722" s="1553" t="s">
        <v>317</v>
      </c>
      <c r="E1722" s="3005" t="s">
        <v>1496</v>
      </c>
      <c r="F1722" s="782">
        <f>ROUND((($K$1958*$K$2145*(1/$K$2332-1/$K$2519)*$K$3454)/1000)*$K$3484,2)</f>
        <v>2304.4699999999998</v>
      </c>
      <c r="G1722" s="214" t="str">
        <f>G1718</f>
        <v>Heating Res ER2</v>
      </c>
      <c r="H1722" s="155">
        <f>VLOOKUP(G1722,'CP FACTORS'!$A$3:$B$38, 2, FALSE)</f>
        <v>0</v>
      </c>
      <c r="I1722" s="1554">
        <f t="shared" si="184"/>
        <v>0</v>
      </c>
      <c r="J1722" s="108">
        <f t="shared" si="180"/>
        <v>12</v>
      </c>
      <c r="K1722" s="1052">
        <f t="shared" si="181"/>
        <v>0</v>
      </c>
      <c r="L1722" s="1088"/>
      <c r="M1722" s="328"/>
      <c r="N1722" s="1587"/>
      <c r="O1722" s="1135"/>
      <c r="P1722" s="123"/>
      <c r="Q1722" s="123"/>
      <c r="R1722" s="1431"/>
      <c r="S1722" s="123"/>
      <c r="T1722" s="123"/>
      <c r="U1722" s="1589"/>
      <c r="V1722" s="1962" t="s">
        <v>31</v>
      </c>
      <c r="W1722" s="818"/>
      <c r="X1722" s="819"/>
      <c r="Y1722" s="742">
        <v>2304.4699999999998</v>
      </c>
      <c r="Z1722" s="737">
        <v>2304.4699999999998</v>
      </c>
      <c r="AA1722" s="737">
        <v>2304.4699999999998</v>
      </c>
      <c r="AB1722" s="2162">
        <v>2304.4699999999998</v>
      </c>
      <c r="AC1722" s="782">
        <v>2304.4699999999998</v>
      </c>
      <c r="AD1722" s="818"/>
      <c r="AE1722" s="818"/>
      <c r="AF1722" s="818"/>
      <c r="AG1722" s="818"/>
      <c r="AH1722" s="163"/>
      <c r="AI1722" s="1942"/>
      <c r="AJ1722" s="1942"/>
      <c r="AK1722" s="820"/>
      <c r="AL1722" s="1942"/>
      <c r="AM1722" s="1942"/>
      <c r="AN1722" s="1942"/>
      <c r="AO1722" s="1942"/>
      <c r="AP1722" s="1942"/>
      <c r="AQ1722" s="1942"/>
      <c r="AR1722" s="1942"/>
      <c r="AS1722" s="1942"/>
      <c r="AT1722" s="1942"/>
      <c r="AU1722" s="1942"/>
      <c r="AV1722" s="1942"/>
      <c r="AW1722" s="1942"/>
      <c r="AX1722" s="1942"/>
      <c r="AY1722" s="1942"/>
      <c r="AZ1722" s="1942"/>
      <c r="BA1722" s="1942"/>
      <c r="BB1722" s="734"/>
      <c r="BC1722" s="3116" t="str">
        <f t="shared" si="185"/>
        <v>Heating Res ER2 12 Year EUL</v>
      </c>
      <c r="BD1722" s="673">
        <f>(INDEX('Avoided Cost Benefits'!$C$4:$C$857,MATCH(BC1722,'Avoided Cost Benefits'!$A$4:$A$857,0)))*F1722</f>
        <v>681.39168008061858</v>
      </c>
      <c r="BE1722" s="1949">
        <f t="shared" si="183"/>
        <v>0</v>
      </c>
      <c r="BF1722" s="1942"/>
      <c r="BG1722" s="691"/>
      <c r="BH1722" s="824"/>
      <c r="BI1722" s="691"/>
    </row>
    <row r="1723" spans="1:61" s="1942" customFormat="1" x14ac:dyDescent="0.25">
      <c r="A1723" s="1267"/>
      <c r="B1723" s="123"/>
      <c r="C1723" s="2038" t="s">
        <v>1497</v>
      </c>
      <c r="D1723" s="2695" t="s">
        <v>322</v>
      </c>
      <c r="E1723" s="3007" t="s">
        <v>1498</v>
      </c>
      <c r="F1723" s="742">
        <f>ROUND(((K2707*K2894*(1/K3081-1/K3268)*K3455)/1000)*$K$3484,2)</f>
        <v>1471.88</v>
      </c>
      <c r="G1723" s="2042" t="s">
        <v>1134</v>
      </c>
      <c r="H1723" s="2867">
        <f>VLOOKUP(G1723,'CP FACTORS'!$A$3:$B$38, 2, FALSE)</f>
        <v>9.4741810000000004E-4</v>
      </c>
      <c r="I1723" s="2757">
        <f t="shared" si="184"/>
        <v>1.3944859999999999</v>
      </c>
      <c r="J1723" s="116">
        <f t="shared" si="180"/>
        <v>6</v>
      </c>
      <c r="K1723" s="3294">
        <f t="shared" si="181"/>
        <v>1925.8398012161661</v>
      </c>
      <c r="L1723" s="3296">
        <f>L1959</f>
        <v>3.1</v>
      </c>
      <c r="M1723" s="328"/>
      <c r="N1723" s="1587"/>
      <c r="O1723" s="1135"/>
      <c r="P1723" s="123"/>
      <c r="Q1723" s="123"/>
      <c r="R1723" s="1431"/>
      <c r="S1723" s="123"/>
      <c r="T1723" s="123"/>
      <c r="U1723" s="1589"/>
      <c r="V1723" s="1958" t="s">
        <v>31</v>
      </c>
      <c r="W1723" s="818"/>
      <c r="X1723" s="819"/>
      <c r="Y1723" s="742"/>
      <c r="Z1723" s="737"/>
      <c r="AA1723" s="737"/>
      <c r="AB1723" s="2162"/>
      <c r="AC1723" s="742">
        <v>1471.88</v>
      </c>
      <c r="AD1723" s="818"/>
      <c r="AE1723" s="818"/>
      <c r="AF1723" s="818"/>
      <c r="AG1723" s="818"/>
      <c r="AH1723" s="163"/>
      <c r="AK1723" s="820"/>
      <c r="BB1723" s="244">
        <f>(BD1723+BD1724+BD1725+BD1726)/(BE1723+BE1724+BE1725+BE1726)</f>
        <v>0.83883453611756031</v>
      </c>
      <c r="BC1723" s="3130" t="str">
        <f t="shared" si="185"/>
        <v>Cooling Res 6 Year EUL</v>
      </c>
      <c r="BD1723" s="673">
        <f>(INDEX('Avoided Cost Benefits'!$C$4:$C$857,MATCH(BC1723,'Avoided Cost Benefits'!$A$4:$A$857,0)))*F1723</f>
        <v>855.87490974077878</v>
      </c>
      <c r="BE1723" s="1949">
        <f t="shared" si="183"/>
        <v>1817.6874008647153</v>
      </c>
      <c r="BG1723" s="691"/>
      <c r="BH1723" s="824"/>
      <c r="BI1723" s="691"/>
    </row>
    <row r="1724" spans="1:61" s="1942" customFormat="1" x14ac:dyDescent="0.25">
      <c r="A1724" s="1267"/>
      <c r="B1724" s="123"/>
      <c r="C1724" s="2038" t="s">
        <v>1497</v>
      </c>
      <c r="D1724" s="2695" t="s">
        <v>322</v>
      </c>
      <c r="E1724" s="3007" t="s">
        <v>1498</v>
      </c>
      <c r="F1724" s="742">
        <v>0</v>
      </c>
      <c r="G1724" s="2042" t="s">
        <v>1135</v>
      </c>
      <c r="H1724" s="2867">
        <f>VLOOKUP(G1724,'CP FACTORS'!$A$3:$B$38, 2, FALSE)</f>
        <v>0</v>
      </c>
      <c r="I1724" s="2757">
        <f t="shared" si="184"/>
        <v>0</v>
      </c>
      <c r="J1724" s="116">
        <f t="shared" si="180"/>
        <v>6</v>
      </c>
      <c r="K1724" s="3294">
        <f t="shared" si="181"/>
        <v>0</v>
      </c>
      <c r="L1724" s="3296"/>
      <c r="M1724" s="328"/>
      <c r="N1724" s="1587"/>
      <c r="O1724" s="1135"/>
      <c r="P1724" s="123"/>
      <c r="Q1724" s="123"/>
      <c r="R1724" s="1431"/>
      <c r="S1724" s="123"/>
      <c r="T1724" s="123"/>
      <c r="U1724" s="1589"/>
      <c r="V1724" s="1958" t="s">
        <v>31</v>
      </c>
      <c r="W1724" s="818"/>
      <c r="X1724" s="819"/>
      <c r="Y1724" s="742"/>
      <c r="Z1724" s="737"/>
      <c r="AA1724" s="737"/>
      <c r="AB1724" s="2162"/>
      <c r="AC1724" s="742">
        <v>0</v>
      </c>
      <c r="AD1724" s="818"/>
      <c r="AE1724" s="818"/>
      <c r="AF1724" s="818"/>
      <c r="AG1724" s="818"/>
      <c r="AH1724" s="163"/>
      <c r="AK1724" s="820"/>
      <c r="BB1724" s="734"/>
      <c r="BC1724" s="3130" t="str">
        <f t="shared" si="185"/>
        <v>Heating Res 6 Year EUL</v>
      </c>
      <c r="BD1724" s="673">
        <f>(INDEX('Avoided Cost Benefits'!$C$4:$C$857,MATCH(BC1724,'Avoided Cost Benefits'!$A$4:$A$857,0)))*F1724</f>
        <v>0</v>
      </c>
      <c r="BE1724" s="1949">
        <f t="shared" si="183"/>
        <v>0</v>
      </c>
      <c r="BG1724" s="691"/>
      <c r="BH1724" s="824"/>
      <c r="BI1724" s="691"/>
    </row>
    <row r="1725" spans="1:61" s="1942" customFormat="1" x14ac:dyDescent="0.25">
      <c r="A1725" s="1267"/>
      <c r="B1725" s="123"/>
      <c r="C1725" s="2038" t="s">
        <v>1497</v>
      </c>
      <c r="D1725" s="2695" t="s">
        <v>322</v>
      </c>
      <c r="E1725" s="3007" t="s">
        <v>1499</v>
      </c>
      <c r="F1725" s="742">
        <f>ROUND(((K2708*K2895*(1/K3082-1/K3269)*K3456)/1000)*$K$3484,2)</f>
        <v>565.72</v>
      </c>
      <c r="G1725" s="2042" t="s">
        <v>1176</v>
      </c>
      <c r="H1725" s="2867">
        <f>VLOOKUP(G1725,'CP FACTORS'!$A$3:$B$38, 2, FALSE)</f>
        <v>9.4741810000000004E-4</v>
      </c>
      <c r="I1725" s="2757">
        <f t="shared" si="184"/>
        <v>0.53597300000000003</v>
      </c>
      <c r="J1725" s="116">
        <f t="shared" si="180"/>
        <v>12</v>
      </c>
      <c r="K1725" s="3294">
        <f t="shared" si="181"/>
        <v>0</v>
      </c>
      <c r="L1725" s="3296"/>
      <c r="M1725" s="328"/>
      <c r="N1725" s="1587"/>
      <c r="O1725" s="1135"/>
      <c r="P1725" s="123"/>
      <c r="Q1725" s="123"/>
      <c r="R1725" s="1431"/>
      <c r="S1725" s="123"/>
      <c r="T1725" s="123"/>
      <c r="U1725" s="1589"/>
      <c r="V1725" s="1958" t="s">
        <v>31</v>
      </c>
      <c r="W1725" s="818"/>
      <c r="X1725" s="819"/>
      <c r="Y1725" s="742"/>
      <c r="Z1725" s="737"/>
      <c r="AA1725" s="737"/>
      <c r="AB1725" s="2162"/>
      <c r="AC1725" s="742">
        <v>565.72</v>
      </c>
      <c r="AD1725" s="818"/>
      <c r="AE1725" s="818"/>
      <c r="AF1725" s="818"/>
      <c r="AG1725" s="818"/>
      <c r="AH1725" s="163"/>
      <c r="AK1725" s="820"/>
      <c r="BB1725" s="734"/>
      <c r="BC1725" s="3130" t="str">
        <f t="shared" si="185"/>
        <v>Cooling Res ER2 12 Year EUL</v>
      </c>
      <c r="BD1725" s="673">
        <f>(INDEX('Avoided Cost Benefits'!$C$4:$C$857,MATCH(BC1725,'Avoided Cost Benefits'!$A$4:$A$857,0)))*F1725</f>
        <v>668.86405797030864</v>
      </c>
      <c r="BE1725" s="1949">
        <f t="shared" si="183"/>
        <v>0</v>
      </c>
      <c r="BG1725" s="691"/>
      <c r="BH1725" s="824"/>
      <c r="BI1725" s="691"/>
    </row>
    <row r="1726" spans="1:61" s="1942" customFormat="1" x14ac:dyDescent="0.25">
      <c r="A1726" s="1267"/>
      <c r="B1726" s="123"/>
      <c r="C1726" s="2038" t="s">
        <v>1497</v>
      </c>
      <c r="D1726" s="2695" t="s">
        <v>322</v>
      </c>
      <c r="E1726" s="3005" t="s">
        <v>1499</v>
      </c>
      <c r="F1726" s="742">
        <v>0</v>
      </c>
      <c r="G1726" s="2042" t="s">
        <v>1195</v>
      </c>
      <c r="H1726" s="2867">
        <f>VLOOKUP(G1726,'CP FACTORS'!$A$3:$B$38, 2, FALSE)</f>
        <v>0</v>
      </c>
      <c r="I1726" s="2757">
        <f t="shared" si="184"/>
        <v>0</v>
      </c>
      <c r="J1726" s="116">
        <f t="shared" si="180"/>
        <v>12</v>
      </c>
      <c r="K1726" s="3294">
        <f t="shared" si="181"/>
        <v>0</v>
      </c>
      <c r="L1726" s="3296"/>
      <c r="M1726" s="328"/>
      <c r="N1726" s="1587"/>
      <c r="O1726" s="1135"/>
      <c r="P1726" s="123"/>
      <c r="Q1726" s="123"/>
      <c r="R1726" s="1431"/>
      <c r="S1726" s="123"/>
      <c r="T1726" s="123"/>
      <c r="U1726" s="1589"/>
      <c r="V1726" s="1958" t="s">
        <v>31</v>
      </c>
      <c r="W1726" s="818"/>
      <c r="X1726" s="819"/>
      <c r="Y1726" s="742"/>
      <c r="Z1726" s="737"/>
      <c r="AA1726" s="737"/>
      <c r="AB1726" s="2162"/>
      <c r="AC1726" s="742">
        <v>0</v>
      </c>
      <c r="AD1726" s="818"/>
      <c r="AE1726" s="818"/>
      <c r="AF1726" s="818"/>
      <c r="AG1726" s="818"/>
      <c r="AH1726" s="163"/>
      <c r="AK1726" s="820"/>
      <c r="BB1726" s="734"/>
      <c r="BC1726" s="3383" t="str">
        <f t="shared" si="185"/>
        <v>Heating Res ER2 12 Year EUL</v>
      </c>
      <c r="BD1726" s="673">
        <f>(INDEX('Avoided Cost Benefits'!$C$4:$C$857,MATCH(BC1726,'Avoided Cost Benefits'!$A$4:$A$857,0)))*F1726</f>
        <v>0</v>
      </c>
      <c r="BE1726" s="1949">
        <f t="shared" si="183"/>
        <v>0</v>
      </c>
      <c r="BG1726" s="691"/>
      <c r="BH1726" s="824"/>
      <c r="BI1726" s="691"/>
    </row>
    <row r="1727" spans="1:61" s="1942" customFormat="1" x14ac:dyDescent="0.25">
      <c r="A1727" s="1267"/>
      <c r="B1727" s="123"/>
      <c r="C1727" s="2038" t="s">
        <v>1500</v>
      </c>
      <c r="D1727" s="2695" t="s">
        <v>317</v>
      </c>
      <c r="E1727" s="3007" t="s">
        <v>1501</v>
      </c>
      <c r="F1727" s="742">
        <f>ROUND(((K2709*K2896*(1/K3083-1/K3270)*K3457)/1000)*$K$3484,2)</f>
        <v>1070.46</v>
      </c>
      <c r="G1727" s="2042" t="s">
        <v>1134</v>
      </c>
      <c r="H1727" s="2867">
        <f>VLOOKUP(G1727,'CP FACTORS'!$A$3:$B$38, 2, FALSE)</f>
        <v>9.4741810000000004E-4</v>
      </c>
      <c r="I1727" s="2757">
        <f t="shared" si="184"/>
        <v>1.014173</v>
      </c>
      <c r="J1727" s="116">
        <f t="shared" si="180"/>
        <v>6</v>
      </c>
      <c r="K1727" s="3294">
        <f t="shared" si="181"/>
        <v>1925.8398012161661</v>
      </c>
      <c r="L1727" s="3296">
        <f>L1961</f>
        <v>3.1</v>
      </c>
      <c r="M1727" s="328"/>
      <c r="N1727" s="1587"/>
      <c r="O1727" s="1135"/>
      <c r="P1727" s="123"/>
      <c r="Q1727" s="123"/>
      <c r="R1727" s="1431"/>
      <c r="S1727" s="123"/>
      <c r="T1727" s="123"/>
      <c r="U1727" s="1589"/>
      <c r="V1727" s="1958" t="s">
        <v>31</v>
      </c>
      <c r="W1727" s="818"/>
      <c r="X1727" s="819"/>
      <c r="Y1727" s="742"/>
      <c r="Z1727" s="737"/>
      <c r="AA1727" s="737"/>
      <c r="AB1727" s="2162"/>
      <c r="AC1727" s="742">
        <v>1070.46</v>
      </c>
      <c r="AD1727" s="818"/>
      <c r="AE1727" s="818"/>
      <c r="AF1727" s="818"/>
      <c r="AG1727" s="818"/>
      <c r="AH1727" s="163"/>
      <c r="AK1727" s="820"/>
      <c r="BB1727" s="244">
        <f>(BD1727+BD1728+BD1729+BD1730)/(BE1727+BE1728+BE1729+BE1730)</f>
        <v>0.61006028848743554</v>
      </c>
      <c r="BC1727" s="3130" t="str">
        <f t="shared" si="185"/>
        <v>Cooling Res 6 Year EUL</v>
      </c>
      <c r="BD1727" s="673">
        <f>(INDEX('Avoided Cost Benefits'!$C$4:$C$857,MATCH(BC1727,'Avoided Cost Benefits'!$A$4:$A$857,0)))*F1727</f>
        <v>622.45553705540806</v>
      </c>
      <c r="BE1727" s="1949">
        <f t="shared" si="183"/>
        <v>1817.6874008647153</v>
      </c>
      <c r="BG1727" s="691"/>
      <c r="BH1727" s="824"/>
      <c r="BI1727" s="691"/>
    </row>
    <row r="1728" spans="1:61" s="1942" customFormat="1" x14ac:dyDescent="0.25">
      <c r="A1728" s="1267"/>
      <c r="B1728" s="123"/>
      <c r="C1728" s="2038" t="s">
        <v>1500</v>
      </c>
      <c r="D1728" s="2695" t="s">
        <v>317</v>
      </c>
      <c r="E1728" s="3007" t="s">
        <v>1501</v>
      </c>
      <c r="F1728" s="742">
        <v>0</v>
      </c>
      <c r="G1728" s="2042" t="s">
        <v>1135</v>
      </c>
      <c r="H1728" s="2867">
        <f>VLOOKUP(G1728,'CP FACTORS'!$A$3:$B$38, 2, FALSE)</f>
        <v>0</v>
      </c>
      <c r="I1728" s="2757">
        <f t="shared" si="184"/>
        <v>0</v>
      </c>
      <c r="J1728" s="116">
        <f t="shared" ref="J1728:J1780" si="188">K3806</f>
        <v>6</v>
      </c>
      <c r="K1728" s="3294">
        <f t="shared" ref="K1728:K1780" si="189">K4180</f>
        <v>0</v>
      </c>
      <c r="L1728" s="3296"/>
      <c r="M1728" s="328"/>
      <c r="N1728" s="1587"/>
      <c r="O1728" s="1135"/>
      <c r="P1728" s="123"/>
      <c r="Q1728" s="123"/>
      <c r="R1728" s="1431"/>
      <c r="S1728" s="123"/>
      <c r="T1728" s="123"/>
      <c r="U1728" s="1589"/>
      <c r="V1728" s="1958" t="s">
        <v>31</v>
      </c>
      <c r="W1728" s="818"/>
      <c r="X1728" s="819"/>
      <c r="Y1728" s="742"/>
      <c r="Z1728" s="737"/>
      <c r="AA1728" s="737"/>
      <c r="AB1728" s="2162"/>
      <c r="AC1728" s="742">
        <v>0</v>
      </c>
      <c r="AD1728" s="818"/>
      <c r="AE1728" s="818"/>
      <c r="AF1728" s="818"/>
      <c r="AG1728" s="818"/>
      <c r="AH1728" s="163"/>
      <c r="AK1728" s="820"/>
      <c r="BB1728" s="734"/>
      <c r="BC1728" s="3130" t="str">
        <f t="shared" si="185"/>
        <v>Heating Res 6 Year EUL</v>
      </c>
      <c r="BD1728" s="673">
        <f>(INDEX('Avoided Cost Benefits'!$C$4:$C$857,MATCH(BC1728,'Avoided Cost Benefits'!$A$4:$A$857,0)))*F1728</f>
        <v>0</v>
      </c>
      <c r="BE1728" s="1949">
        <f t="shared" si="183"/>
        <v>0</v>
      </c>
      <c r="BG1728" s="691"/>
      <c r="BH1728" s="824"/>
      <c r="BI1728" s="691"/>
    </row>
    <row r="1729" spans="1:61" s="1942" customFormat="1" x14ac:dyDescent="0.25">
      <c r="A1729" s="1267"/>
      <c r="B1729" s="123"/>
      <c r="C1729" s="2038" t="s">
        <v>1500</v>
      </c>
      <c r="D1729" s="2695" t="s">
        <v>317</v>
      </c>
      <c r="E1729" s="3007" t="s">
        <v>1502</v>
      </c>
      <c r="F1729" s="742">
        <f>ROUND(((K2710*K2897*(1/K3084-1/K3271)*K3458)/1000)*$K$3484,2)</f>
        <v>411.43</v>
      </c>
      <c r="G1729" s="2042" t="s">
        <v>1176</v>
      </c>
      <c r="H1729" s="2867">
        <f>VLOOKUP(G1729,'CP FACTORS'!$A$3:$B$38, 2, FALSE)</f>
        <v>9.4741810000000004E-4</v>
      </c>
      <c r="I1729" s="2757">
        <f t="shared" si="184"/>
        <v>0.38979599999999998</v>
      </c>
      <c r="J1729" s="116">
        <f t="shared" si="188"/>
        <v>12</v>
      </c>
      <c r="K1729" s="3294">
        <f t="shared" si="189"/>
        <v>0</v>
      </c>
      <c r="L1729" s="3296"/>
      <c r="M1729" s="328"/>
      <c r="N1729" s="1587"/>
      <c r="O1729" s="1135"/>
      <c r="P1729" s="123"/>
      <c r="Q1729" s="123"/>
      <c r="R1729" s="1431"/>
      <c r="S1729" s="123"/>
      <c r="T1729" s="123"/>
      <c r="U1729" s="1589"/>
      <c r="V1729" s="1958" t="s">
        <v>31</v>
      </c>
      <c r="W1729" s="818"/>
      <c r="X1729" s="819"/>
      <c r="Y1729" s="742"/>
      <c r="Z1729" s="737"/>
      <c r="AA1729" s="737"/>
      <c r="AB1729" s="2162"/>
      <c r="AC1729" s="742">
        <v>411.43</v>
      </c>
      <c r="AD1729" s="818"/>
      <c r="AE1729" s="818"/>
      <c r="AF1729" s="818"/>
      <c r="AG1729" s="818"/>
      <c r="AH1729" s="163"/>
      <c r="AK1729" s="820"/>
      <c r="BB1729" s="734"/>
      <c r="BC1729" s="3130" t="str">
        <f t="shared" si="185"/>
        <v>Cooling Res ER2 12 Year EUL</v>
      </c>
      <c r="BD1729" s="673">
        <f>(INDEX('Avoided Cost Benefits'!$C$4:$C$857,MATCH(BC1729,'Avoided Cost Benefits'!$A$4:$A$857,0)))*F1729</f>
        <v>486.44336309609713</v>
      </c>
      <c r="BE1729" s="1949">
        <f t="shared" si="183"/>
        <v>0</v>
      </c>
      <c r="BG1729" s="691"/>
      <c r="BH1729" s="824"/>
      <c r="BI1729" s="691"/>
    </row>
    <row r="1730" spans="1:61" s="1942" customFormat="1" x14ac:dyDescent="0.25">
      <c r="A1730" s="1267"/>
      <c r="B1730" s="123"/>
      <c r="C1730" s="2038" t="s">
        <v>1500</v>
      </c>
      <c r="D1730" s="2695" t="s">
        <v>317</v>
      </c>
      <c r="E1730" s="3007" t="s">
        <v>1502</v>
      </c>
      <c r="F1730" s="742">
        <f>0</f>
        <v>0</v>
      </c>
      <c r="G1730" s="2042" t="s">
        <v>1195</v>
      </c>
      <c r="H1730" s="2867">
        <f>VLOOKUP(G1730,'CP FACTORS'!$A$3:$B$38, 2, FALSE)</f>
        <v>0</v>
      </c>
      <c r="I1730" s="2757">
        <f t="shared" si="184"/>
        <v>0</v>
      </c>
      <c r="J1730" s="116">
        <f t="shared" si="188"/>
        <v>12</v>
      </c>
      <c r="K1730" s="3294">
        <f t="shared" si="189"/>
        <v>0</v>
      </c>
      <c r="L1730" s="3296"/>
      <c r="M1730" s="328"/>
      <c r="N1730" s="1587"/>
      <c r="O1730" s="1135"/>
      <c r="P1730" s="123"/>
      <c r="Q1730" s="123"/>
      <c r="R1730" s="1431"/>
      <c r="S1730" s="123"/>
      <c r="T1730" s="123"/>
      <c r="U1730" s="1589"/>
      <c r="V1730" s="1958" t="s">
        <v>31</v>
      </c>
      <c r="W1730" s="818"/>
      <c r="X1730" s="819"/>
      <c r="Y1730" s="742"/>
      <c r="Z1730" s="737"/>
      <c r="AA1730" s="737"/>
      <c r="AB1730" s="2162"/>
      <c r="AC1730" s="742">
        <v>0</v>
      </c>
      <c r="AD1730" s="818"/>
      <c r="AE1730" s="818"/>
      <c r="AF1730" s="818"/>
      <c r="AG1730" s="818"/>
      <c r="AH1730" s="163"/>
      <c r="AK1730" s="820"/>
      <c r="BB1730" s="734"/>
      <c r="BC1730" s="3130" t="str">
        <f t="shared" si="185"/>
        <v>Heating Res ER2 12 Year EUL</v>
      </c>
      <c r="BD1730" s="673">
        <f>(INDEX('Avoided Cost Benefits'!$C$4:$C$857,MATCH(BC1730,'Avoided Cost Benefits'!$A$4:$A$857,0)))*F1730</f>
        <v>0</v>
      </c>
      <c r="BE1730" s="1949">
        <f t="shared" si="183"/>
        <v>0</v>
      </c>
      <c r="BG1730" s="691"/>
      <c r="BH1730" s="824"/>
      <c r="BI1730" s="691"/>
    </row>
    <row r="1731" spans="1:61" s="51" customFormat="1" x14ac:dyDescent="0.25">
      <c r="A1731" s="1267" t="str">
        <f t="shared" si="186"/>
        <v>354700_2019_12_Cooling Res</v>
      </c>
      <c r="B1731" s="123"/>
      <c r="C1731" s="1471" t="s">
        <v>1503</v>
      </c>
      <c r="D1731" s="1553" t="s">
        <v>322</v>
      </c>
      <c r="E1731" s="2878" t="s">
        <v>1504</v>
      </c>
      <c r="F1731" s="782">
        <f>ROUND(((K2711*K2898*(1/K3085-1/K3272)*K3459)/1000)*$K$3484,2)</f>
        <v>1566.84</v>
      </c>
      <c r="G1731" s="214" t="s">
        <v>1134</v>
      </c>
      <c r="H1731" s="155">
        <f>VLOOKUP(G1731,'CP FACTORS'!$A$3:$B$38, 2, FALSE)</f>
        <v>9.4741810000000004E-4</v>
      </c>
      <c r="I1731" s="1554">
        <f t="shared" si="184"/>
        <v>1.484453</v>
      </c>
      <c r="J1731" s="108">
        <f t="shared" si="188"/>
        <v>6</v>
      </c>
      <c r="K1731" s="1052">
        <f t="shared" si="189"/>
        <v>1956.9017238752731</v>
      </c>
      <c r="L1731" s="1088">
        <f>L1963</f>
        <v>3.3</v>
      </c>
      <c r="M1731" s="328"/>
      <c r="N1731" s="1587"/>
      <c r="O1731" s="1135"/>
      <c r="P1731" s="123"/>
      <c r="Q1731" s="123"/>
      <c r="R1731" s="1431"/>
      <c r="S1731" s="123"/>
      <c r="T1731" s="123"/>
      <c r="U1731" s="1589"/>
      <c r="V1731" s="1962" t="s">
        <v>31</v>
      </c>
      <c r="W1731" s="818">
        <v>1988.2719999999999</v>
      </c>
      <c r="X1731" s="819">
        <v>1566.8382965186074</v>
      </c>
      <c r="Y1731" s="737">
        <v>1566.84</v>
      </c>
      <c r="Z1731" s="737">
        <v>1566.84</v>
      </c>
      <c r="AA1731" s="737">
        <v>1566.84</v>
      </c>
      <c r="AB1731" s="2162">
        <v>1566.84</v>
      </c>
      <c r="AC1731" s="782">
        <v>1566.84</v>
      </c>
      <c r="AD1731" s="818"/>
      <c r="AE1731" s="818"/>
      <c r="AF1731" s="818"/>
      <c r="AG1731" s="818"/>
      <c r="AH1731" s="163"/>
      <c r="AI1731" s="1942"/>
      <c r="AJ1731" s="1942"/>
      <c r="AK1731" s="820"/>
      <c r="AL1731" s="1942"/>
      <c r="AM1731" s="1942"/>
      <c r="AN1731" s="1942"/>
      <c r="AO1731" s="1942"/>
      <c r="AP1731" s="1942"/>
      <c r="AQ1731" s="1942"/>
      <c r="AR1731" s="1942"/>
      <c r="AS1731" s="1942"/>
      <c r="AT1731" s="1942"/>
      <c r="AU1731" s="1942"/>
      <c r="AV1731" s="1942"/>
      <c r="AW1731" s="1942"/>
      <c r="AX1731" s="1942"/>
      <c r="AY1731" s="1942"/>
      <c r="AZ1731" s="1942"/>
      <c r="BA1731" s="1942"/>
      <c r="BB1731" s="244">
        <f>(BD1731+BD1732+BD1733+BD1734)/(BE1731+BE1732+BE1733+BE1734)</f>
        <v>1.0649709532952181</v>
      </c>
      <c r="BC1731" s="3115" t="str">
        <f t="shared" si="185"/>
        <v>Cooling Res 6 Year EUL</v>
      </c>
      <c r="BD1731" s="673">
        <f>(INDEX('Avoided Cost Benefits'!$C$4:$C$857,MATCH(BC1731,'Avoided Cost Benefits'!$A$4:$A$857,0)))*F1731</f>
        <v>911.09264585308688</v>
      </c>
      <c r="BE1731" s="1949">
        <f t="shared" si="183"/>
        <v>1847.0049305099319</v>
      </c>
      <c r="BF1731" s="1942"/>
      <c r="BG1731" s="691"/>
      <c r="BH1731" s="821"/>
      <c r="BI1731" s="691"/>
    </row>
    <row r="1732" spans="1:61" s="51" customFormat="1" x14ac:dyDescent="0.25">
      <c r="A1732" s="1267" t="str">
        <f t="shared" si="186"/>
        <v>354700_2019_12_Heating Res</v>
      </c>
      <c r="B1732" s="123"/>
      <c r="C1732" s="1471" t="s">
        <v>1503</v>
      </c>
      <c r="D1732" s="1553" t="s">
        <v>322</v>
      </c>
      <c r="E1732" s="3007" t="s">
        <v>1504</v>
      </c>
      <c r="F1732" s="782">
        <f>ROUND(((K1963*K2150*(1/K2337-1/K2524)*K3459)/1000)*$K$3484,2)</f>
        <v>1798.76</v>
      </c>
      <c r="G1732" s="214" t="s">
        <v>1135</v>
      </c>
      <c r="H1732" s="155">
        <f>VLOOKUP(G1732,'CP FACTORS'!$A$3:$B$38, 2, FALSE)</f>
        <v>0</v>
      </c>
      <c r="I1732" s="1554">
        <f t="shared" si="184"/>
        <v>0</v>
      </c>
      <c r="J1732" s="108">
        <f t="shared" si="188"/>
        <v>6</v>
      </c>
      <c r="K1732" s="1052">
        <f t="shared" si="189"/>
        <v>0</v>
      </c>
      <c r="L1732" s="1088"/>
      <c r="M1732" s="328"/>
      <c r="N1732" s="1587"/>
      <c r="O1732" s="1135"/>
      <c r="P1732" s="123"/>
      <c r="Q1732" s="123"/>
      <c r="R1732" s="1431"/>
      <c r="S1732" s="123"/>
      <c r="T1732" s="123"/>
      <c r="U1732" s="1589"/>
      <c r="V1732" s="1962" t="s">
        <v>31</v>
      </c>
      <c r="W1732" s="818">
        <v>4062.4872213622284</v>
      </c>
      <c r="X1732" s="819">
        <v>1798.7611070228763</v>
      </c>
      <c r="Y1732" s="737">
        <v>1798.76</v>
      </c>
      <c r="Z1732" s="737">
        <v>1798.76</v>
      </c>
      <c r="AA1732" s="737">
        <v>1798.76</v>
      </c>
      <c r="AB1732" s="2162">
        <v>1798.76</v>
      </c>
      <c r="AC1732" s="782">
        <v>1798.76</v>
      </c>
      <c r="AD1732" s="818"/>
      <c r="AE1732" s="818"/>
      <c r="AF1732" s="818"/>
      <c r="AG1732" s="818"/>
      <c r="AH1732" s="163"/>
      <c r="AI1732" s="1942"/>
      <c r="AJ1732" s="1942"/>
      <c r="AK1732" s="820"/>
      <c r="AL1732" s="1942"/>
      <c r="AM1732" s="1942"/>
      <c r="AN1732" s="1942"/>
      <c r="AO1732" s="1942"/>
      <c r="AP1732" s="1942"/>
      <c r="AQ1732" s="1942"/>
      <c r="AR1732" s="1942"/>
      <c r="AS1732" s="1942"/>
      <c r="AT1732" s="1942"/>
      <c r="AU1732" s="1942"/>
      <c r="AV1732" s="1942"/>
      <c r="AW1732" s="1942"/>
      <c r="AX1732" s="1942"/>
      <c r="AY1732" s="1942"/>
      <c r="AZ1732" s="1942"/>
      <c r="BA1732" s="1942"/>
      <c r="BB1732" s="734"/>
      <c r="BC1732" s="3130" t="str">
        <f t="shared" si="185"/>
        <v>Heating Res 6 Year EUL</v>
      </c>
      <c r="BD1732" s="673">
        <f>(INDEX('Avoided Cost Benefits'!$C$4:$C$857,MATCH(BC1732,'Avoided Cost Benefits'!$A$4:$A$857,0)))*F1732</f>
        <v>299.19405404813961</v>
      </c>
      <c r="BE1732" s="1949">
        <f t="shared" si="183"/>
        <v>0</v>
      </c>
      <c r="BF1732" s="1942"/>
      <c r="BG1732" s="691"/>
      <c r="BH1732" s="821"/>
      <c r="BI1732" s="691"/>
    </row>
    <row r="1733" spans="1:61" s="51" customFormat="1" x14ac:dyDescent="0.25">
      <c r="A1733" s="1267" t="str">
        <f t="shared" si="186"/>
        <v>354700_2019_12_Cooling Res ER2</v>
      </c>
      <c r="B1733" s="123"/>
      <c r="C1733" s="1471" t="s">
        <v>1503</v>
      </c>
      <c r="D1733" s="1553" t="s">
        <v>322</v>
      </c>
      <c r="E1733" s="3007" t="s">
        <v>1505</v>
      </c>
      <c r="F1733" s="782">
        <f>ROUND(((K2712*K2899*(1/K3086-1/K3273)*K3460)/1000)*$K$3484,2)</f>
        <v>479.32</v>
      </c>
      <c r="G1733" s="1580" t="s">
        <v>1176</v>
      </c>
      <c r="H1733" s="155">
        <f>VLOOKUP(G1733,'CP FACTORS'!$A$3:$B$38, 2, FALSE)</f>
        <v>9.4741810000000004E-4</v>
      </c>
      <c r="I1733" s="1554">
        <f t="shared" si="184"/>
        <v>0.45411600000000002</v>
      </c>
      <c r="J1733" s="108">
        <f t="shared" si="188"/>
        <v>12</v>
      </c>
      <c r="K1733" s="1052">
        <f t="shared" si="189"/>
        <v>0</v>
      </c>
      <c r="L1733" s="1088"/>
      <c r="M1733" s="328"/>
      <c r="N1733" s="1587"/>
      <c r="O1733" s="1135"/>
      <c r="P1733" s="123"/>
      <c r="Q1733" s="123"/>
      <c r="R1733" s="1431"/>
      <c r="S1733" s="123"/>
      <c r="T1733" s="123"/>
      <c r="U1733" s="1589"/>
      <c r="V1733" s="1962" t="s">
        <v>31</v>
      </c>
      <c r="W1733" s="818">
        <v>479.31557142857133</v>
      </c>
      <c r="X1733" s="825">
        <v>479.31557142857133</v>
      </c>
      <c r="Y1733" s="737">
        <v>479.32</v>
      </c>
      <c r="Z1733" s="737">
        <v>479.32</v>
      </c>
      <c r="AA1733" s="737">
        <v>479.32</v>
      </c>
      <c r="AB1733" s="2162">
        <v>479.32</v>
      </c>
      <c r="AC1733" s="782">
        <v>479.32</v>
      </c>
      <c r="AD1733" s="818"/>
      <c r="AE1733" s="818"/>
      <c r="AF1733" s="818"/>
      <c r="AG1733" s="818"/>
      <c r="AH1733" s="163"/>
      <c r="AI1733" s="1942"/>
      <c r="AJ1733" s="1942"/>
      <c r="AK1733" s="820"/>
      <c r="AL1733" s="1942"/>
      <c r="AM1733" s="1942"/>
      <c r="AN1733" s="1942"/>
      <c r="AO1733" s="1942"/>
      <c r="AP1733" s="1942"/>
      <c r="AQ1733" s="1942"/>
      <c r="AR1733" s="1942"/>
      <c r="AS1733" s="1942"/>
      <c r="AT1733" s="1942"/>
      <c r="AU1733" s="1942"/>
      <c r="AV1733" s="1942"/>
      <c r="AW1733" s="1942"/>
      <c r="AX1733" s="1942"/>
      <c r="AY1733" s="1942"/>
      <c r="AZ1733" s="1942"/>
      <c r="BA1733" s="1942"/>
      <c r="BB1733" s="734"/>
      <c r="BC1733" s="3130" t="str">
        <f t="shared" si="185"/>
        <v>Cooling Res ER2 12 Year EUL</v>
      </c>
      <c r="BD1733" s="673">
        <f>(INDEX('Avoided Cost Benefits'!$C$4:$C$857,MATCH(BC1733,'Avoided Cost Benefits'!$A$4:$A$857,0)))*F1733</f>
        <v>566.71130641718219</v>
      </c>
      <c r="BE1733" s="1949">
        <f t="shared" si="183"/>
        <v>0</v>
      </c>
      <c r="BF1733" s="1942"/>
      <c r="BG1733" s="691"/>
      <c r="BH1733" s="821"/>
      <c r="BI1733" s="691"/>
    </row>
    <row r="1734" spans="1:61" s="51" customFormat="1" x14ac:dyDescent="0.25">
      <c r="A1734" s="1267" t="str">
        <f t="shared" si="186"/>
        <v>354700_2019_12_Heating Res ER2</v>
      </c>
      <c r="B1734" s="123"/>
      <c r="C1734" s="1471" t="s">
        <v>1503</v>
      </c>
      <c r="D1734" s="1553" t="s">
        <v>322</v>
      </c>
      <c r="E1734" s="3005" t="s">
        <v>1505</v>
      </c>
      <c r="F1734" s="782">
        <f>ROUND(((K1964*K2151*(1/K2338-1/K2525)*K3460)/1000)*$K$3484,2)</f>
        <v>642.61</v>
      </c>
      <c r="G1734" s="1580" t="s">
        <v>1195</v>
      </c>
      <c r="H1734" s="155">
        <f>VLOOKUP(G1734,'CP FACTORS'!$A$3:$B$38, 2, FALSE)</f>
        <v>0</v>
      </c>
      <c r="I1734" s="1554">
        <f t="shared" si="184"/>
        <v>0</v>
      </c>
      <c r="J1734" s="108">
        <f t="shared" si="188"/>
        <v>12</v>
      </c>
      <c r="K1734" s="1052">
        <f t="shared" si="189"/>
        <v>0</v>
      </c>
      <c r="L1734" s="1088"/>
      <c r="M1734" s="328"/>
      <c r="N1734" s="1587"/>
      <c r="O1734" s="1135"/>
      <c r="P1734" s="123"/>
      <c r="Q1734" s="123"/>
      <c r="R1734" s="1431"/>
      <c r="S1734" s="123"/>
      <c r="T1734" s="123"/>
      <c r="U1734" s="1589"/>
      <c r="V1734" s="1962" t="s">
        <v>31</v>
      </c>
      <c r="W1734" s="818">
        <v>862.96736842105349</v>
      </c>
      <c r="X1734" s="819">
        <v>642.6078562259313</v>
      </c>
      <c r="Y1734" s="737">
        <v>642.61</v>
      </c>
      <c r="Z1734" s="737">
        <v>642.61</v>
      </c>
      <c r="AA1734" s="737">
        <v>642.61</v>
      </c>
      <c r="AB1734" s="2162">
        <v>642.61</v>
      </c>
      <c r="AC1734" s="782">
        <v>642.61</v>
      </c>
      <c r="AD1734" s="818"/>
      <c r="AE1734" s="818"/>
      <c r="AF1734" s="818"/>
      <c r="AG1734" s="818"/>
      <c r="AH1734" s="163"/>
      <c r="AI1734" s="1942"/>
      <c r="AJ1734" s="1942"/>
      <c r="AK1734" s="820"/>
      <c r="AL1734" s="1942"/>
      <c r="AM1734" s="1942"/>
      <c r="AN1734" s="1942"/>
      <c r="AO1734" s="1942"/>
      <c r="AP1734" s="1942"/>
      <c r="AQ1734" s="1942"/>
      <c r="AR1734" s="1942"/>
      <c r="AS1734" s="1942"/>
      <c r="AT1734" s="1942"/>
      <c r="AU1734" s="1942"/>
      <c r="AV1734" s="1942"/>
      <c r="AW1734" s="1942"/>
      <c r="AX1734" s="1942"/>
      <c r="AY1734" s="1942"/>
      <c r="AZ1734" s="1942"/>
      <c r="BA1734" s="1942"/>
      <c r="BB1734" s="734"/>
      <c r="BC1734" s="3116" t="str">
        <f t="shared" si="185"/>
        <v>Heating Res ER2 12 Year EUL</v>
      </c>
      <c r="BD1734" s="673">
        <f>(INDEX('Avoided Cost Benefits'!$C$4:$C$857,MATCH(BC1734,'Avoided Cost Benefits'!$A$4:$A$857,0)))*F1734</f>
        <v>190.00859526772157</v>
      </c>
      <c r="BE1734" s="1949">
        <f t="shared" si="183"/>
        <v>0</v>
      </c>
      <c r="BF1734" s="1942"/>
      <c r="BG1734" s="691"/>
      <c r="BH1734" s="821"/>
      <c r="BI1734" s="691"/>
    </row>
    <row r="1735" spans="1:61" s="51" customFormat="1" x14ac:dyDescent="0.25">
      <c r="A1735" s="1267" t="str">
        <f t="shared" si="186"/>
        <v>354701_2019_12_Cooling Res</v>
      </c>
      <c r="B1735" s="123"/>
      <c r="C1735" s="1471" t="s">
        <v>1506</v>
      </c>
      <c r="D1735" s="1553" t="s">
        <v>317</v>
      </c>
      <c r="E1735" s="2878" t="s">
        <v>1507</v>
      </c>
      <c r="F1735" s="782">
        <f>ROUND((($K$2713*$K$2900*(1/$K$3087-1/$K$3274)*$K$3461)/1000)*$K$3484,2)</f>
        <v>1139.52</v>
      </c>
      <c r="G1735" s="214" t="str">
        <f t="shared" ref="G1735:G1738" si="190">G1731</f>
        <v>Cooling Res</v>
      </c>
      <c r="H1735" s="155">
        <f>VLOOKUP(G1735,'CP FACTORS'!$A$3:$B$38, 2, FALSE)</f>
        <v>9.4741810000000004E-4</v>
      </c>
      <c r="I1735" s="1554">
        <f t="shared" si="184"/>
        <v>1.079602</v>
      </c>
      <c r="J1735" s="108">
        <f t="shared" si="188"/>
        <v>6</v>
      </c>
      <c r="K1735" s="3294">
        <f t="shared" si="189"/>
        <v>1956.9017238752731</v>
      </c>
      <c r="L1735" s="3296">
        <f>L1965</f>
        <v>3.3</v>
      </c>
      <c r="M1735" s="328"/>
      <c r="N1735" s="1587"/>
      <c r="O1735" s="1135"/>
      <c r="P1735" s="123"/>
      <c r="Q1735" s="123"/>
      <c r="R1735" s="1431"/>
      <c r="S1735" s="123"/>
      <c r="T1735" s="123"/>
      <c r="U1735" s="1589"/>
      <c r="V1735" s="1962" t="s">
        <v>31</v>
      </c>
      <c r="W1735" s="818"/>
      <c r="X1735" s="819"/>
      <c r="Y1735" s="742">
        <v>1139.52</v>
      </c>
      <c r="Z1735" s="737">
        <v>1139.52</v>
      </c>
      <c r="AA1735" s="737">
        <v>1139.52</v>
      </c>
      <c r="AB1735" s="2162">
        <v>1139.52</v>
      </c>
      <c r="AC1735" s="782">
        <v>1139.52</v>
      </c>
      <c r="AD1735" s="818"/>
      <c r="AE1735" s="818"/>
      <c r="AF1735" s="818"/>
      <c r="AG1735" s="818"/>
      <c r="AH1735" s="163"/>
      <c r="AI1735" s="1942"/>
      <c r="AJ1735" s="1942"/>
      <c r="AK1735" s="820"/>
      <c r="AL1735" s="1942"/>
      <c r="AM1735" s="1942"/>
      <c r="AN1735" s="1942"/>
      <c r="AO1735" s="1942"/>
      <c r="AP1735" s="1942"/>
      <c r="AQ1735" s="1942"/>
      <c r="AR1735" s="1942"/>
      <c r="AS1735" s="1942"/>
      <c r="AT1735" s="1942"/>
      <c r="AU1735" s="1942"/>
      <c r="AV1735" s="1942"/>
      <c r="AW1735" s="1942"/>
      <c r="AX1735" s="1942"/>
      <c r="AY1735" s="1942"/>
      <c r="AZ1735" s="1942"/>
      <c r="BA1735" s="1942"/>
      <c r="BB1735" s="244">
        <f>(BD1735+BD1736+BD1737+BD1738)/(BE1735+BE1736+BE1737+BE1738)</f>
        <v>0.67218637132586789</v>
      </c>
      <c r="BC1735" s="3115" t="str">
        <f t="shared" si="185"/>
        <v>Cooling Res 6 Year EUL</v>
      </c>
      <c r="BD1735" s="673">
        <f>(INDEX('Avoided Cost Benefits'!$C$4:$C$857,MATCH(BC1735,'Avoided Cost Benefits'!$A$4:$A$857,0)))*F1735</f>
        <v>662.61283334769962</v>
      </c>
      <c r="BE1735" s="1949">
        <f t="shared" si="183"/>
        <v>1847.0049305099319</v>
      </c>
      <c r="BF1735" s="1942"/>
      <c r="BG1735" s="691"/>
      <c r="BH1735" s="824"/>
      <c r="BI1735" s="691"/>
    </row>
    <row r="1736" spans="1:61" s="51" customFormat="1" x14ac:dyDescent="0.25">
      <c r="A1736" s="1267" t="str">
        <f t="shared" si="186"/>
        <v>354701_2019_12_Heating Res</v>
      </c>
      <c r="B1736" s="123"/>
      <c r="C1736" s="1471" t="str">
        <f>C1735</f>
        <v>354701_2019_12_</v>
      </c>
      <c r="D1736" s="1553" t="s">
        <v>317</v>
      </c>
      <c r="E1736" s="3007" t="s">
        <v>1507</v>
      </c>
      <c r="F1736" s="782">
        <f>ROUND((($K$1965*$K$2152*(1/$K$2339-1/$K$2526)*$K$3461)/1000)*$K$3484,2)</f>
        <v>613.21</v>
      </c>
      <c r="G1736" s="214" t="str">
        <f t="shared" si="190"/>
        <v>Heating Res</v>
      </c>
      <c r="H1736" s="155">
        <f>VLOOKUP(G1736,'CP FACTORS'!$A$3:$B$38, 2, FALSE)</f>
        <v>0</v>
      </c>
      <c r="I1736" s="1554">
        <f t="shared" si="184"/>
        <v>0</v>
      </c>
      <c r="J1736" s="108">
        <f t="shared" si="188"/>
        <v>6</v>
      </c>
      <c r="K1736" s="1052">
        <f t="shared" si="189"/>
        <v>0</v>
      </c>
      <c r="L1736" s="1088"/>
      <c r="M1736" s="328"/>
      <c r="N1736" s="1587"/>
      <c r="O1736" s="1135"/>
      <c r="P1736" s="123"/>
      <c r="Q1736" s="123"/>
      <c r="R1736" s="1431"/>
      <c r="S1736" s="123"/>
      <c r="T1736" s="123"/>
      <c r="U1736" s="1589"/>
      <c r="V1736" s="1962" t="s">
        <v>31</v>
      </c>
      <c r="W1736" s="818"/>
      <c r="X1736" s="819"/>
      <c r="Y1736" s="742">
        <v>613.21</v>
      </c>
      <c r="Z1736" s="737">
        <v>613.21</v>
      </c>
      <c r="AA1736" s="737">
        <v>613.21</v>
      </c>
      <c r="AB1736" s="2162">
        <v>613.21</v>
      </c>
      <c r="AC1736" s="782">
        <v>613.21</v>
      </c>
      <c r="AD1736" s="818"/>
      <c r="AE1736" s="818"/>
      <c r="AF1736" s="818"/>
      <c r="AG1736" s="818"/>
      <c r="AH1736" s="163"/>
      <c r="AI1736" s="1942"/>
      <c r="AJ1736" s="1942"/>
      <c r="AK1736" s="820"/>
      <c r="AL1736" s="1942"/>
      <c r="AM1736" s="1942"/>
      <c r="AN1736" s="1942"/>
      <c r="AO1736" s="1942"/>
      <c r="AP1736" s="1942"/>
      <c r="AQ1736" s="1942"/>
      <c r="AR1736" s="1942"/>
      <c r="AS1736" s="1942"/>
      <c r="AT1736" s="1942"/>
      <c r="AU1736" s="1942"/>
      <c r="AV1736" s="1942"/>
      <c r="AW1736" s="1942"/>
      <c r="AX1736" s="1942"/>
      <c r="AY1736" s="1942"/>
      <c r="AZ1736" s="1942"/>
      <c r="BA1736" s="1942"/>
      <c r="BB1736" s="734"/>
      <c r="BC1736" s="3130" t="str">
        <f t="shared" si="185"/>
        <v>Heating Res 6 Year EUL</v>
      </c>
      <c r="BD1736" s="673">
        <f>(INDEX('Avoided Cost Benefits'!$C$4:$C$857,MATCH(BC1736,'Avoided Cost Benefits'!$A$4:$A$857,0)))*F1736</f>
        <v>101.99736812185043</v>
      </c>
      <c r="BE1736" s="1949">
        <f t="shared" si="183"/>
        <v>0</v>
      </c>
      <c r="BF1736" s="1942"/>
      <c r="BG1736" s="691"/>
      <c r="BH1736" s="824"/>
      <c r="BI1736" s="691"/>
    </row>
    <row r="1737" spans="1:61" s="51" customFormat="1" x14ac:dyDescent="0.25">
      <c r="A1737" s="1267" t="str">
        <f t="shared" si="186"/>
        <v>354701_2019_12_Cooling Res ER2</v>
      </c>
      <c r="B1737" s="123"/>
      <c r="C1737" s="1471" t="str">
        <f>C1736</f>
        <v>354701_2019_12_</v>
      </c>
      <c r="D1737" s="1553" t="s">
        <v>317</v>
      </c>
      <c r="E1737" s="3007" t="s">
        <v>1508</v>
      </c>
      <c r="F1737" s="782">
        <f>ROUND((($K$2714*$K$2901*(1/$K$3088-1/$K$3275)*$K$3462)/1000)*$K$3484,2)</f>
        <v>348.59</v>
      </c>
      <c r="G1737" s="214" t="str">
        <f t="shared" si="190"/>
        <v>Cooling Res ER2</v>
      </c>
      <c r="H1737" s="155">
        <f>VLOOKUP(G1737,'CP FACTORS'!$A$3:$B$38, 2, FALSE)</f>
        <v>9.4741810000000004E-4</v>
      </c>
      <c r="I1737" s="1554">
        <f t="shared" si="184"/>
        <v>0.33026</v>
      </c>
      <c r="J1737" s="108">
        <f t="shared" si="188"/>
        <v>12</v>
      </c>
      <c r="K1737" s="1052">
        <f t="shared" si="189"/>
        <v>0</v>
      </c>
      <c r="L1737" s="1088"/>
      <c r="M1737" s="328"/>
      <c r="N1737" s="1587"/>
      <c r="O1737" s="1135"/>
      <c r="P1737" s="123"/>
      <c r="Q1737" s="123"/>
      <c r="R1737" s="1431"/>
      <c r="S1737" s="123"/>
      <c r="T1737" s="123"/>
      <c r="U1737" s="1589"/>
      <c r="V1737" s="1962" t="s">
        <v>31</v>
      </c>
      <c r="W1737" s="818"/>
      <c r="X1737" s="819"/>
      <c r="Y1737" s="742">
        <v>348.59</v>
      </c>
      <c r="Z1737" s="737">
        <v>348.59</v>
      </c>
      <c r="AA1737" s="737">
        <v>348.59</v>
      </c>
      <c r="AB1737" s="2162">
        <v>348.59</v>
      </c>
      <c r="AC1737" s="782">
        <v>348.59</v>
      </c>
      <c r="AD1737" s="818"/>
      <c r="AE1737" s="818"/>
      <c r="AF1737" s="818"/>
      <c r="AG1737" s="818"/>
      <c r="AH1737" s="163"/>
      <c r="AI1737" s="1942"/>
      <c r="AJ1737" s="1942"/>
      <c r="AK1737" s="820"/>
      <c r="AL1737" s="1942"/>
      <c r="AM1737" s="1942"/>
      <c r="AN1737" s="1942"/>
      <c r="AO1737" s="1942"/>
      <c r="AP1737" s="1942"/>
      <c r="AQ1737" s="1942"/>
      <c r="AR1737" s="1942"/>
      <c r="AS1737" s="1942"/>
      <c r="AT1737" s="1942"/>
      <c r="AU1737" s="1942"/>
      <c r="AV1737" s="1942"/>
      <c r="AW1737" s="1942"/>
      <c r="AX1737" s="1942"/>
      <c r="AY1737" s="1942"/>
      <c r="AZ1737" s="1942"/>
      <c r="BA1737" s="1942"/>
      <c r="BB1737" s="734"/>
      <c r="BC1737" s="3130" t="str">
        <f t="shared" si="185"/>
        <v>Cooling Res ER2 12 Year EUL</v>
      </c>
      <c r="BD1737" s="673">
        <f>(INDEX('Avoided Cost Benefits'!$C$4:$C$857,MATCH(BC1737,'Avoided Cost Benefits'!$A$4:$A$857,0)))*F1737</f>
        <v>412.14615351741122</v>
      </c>
      <c r="BE1737" s="1949">
        <f t="shared" si="183"/>
        <v>0</v>
      </c>
      <c r="BF1737" s="1942"/>
      <c r="BG1737" s="691"/>
      <c r="BH1737" s="824"/>
      <c r="BI1737" s="691"/>
    </row>
    <row r="1738" spans="1:61" s="51" customFormat="1" x14ac:dyDescent="0.25">
      <c r="A1738" s="1267" t="str">
        <f t="shared" si="186"/>
        <v>354701_2019_12_Heating Res ER2</v>
      </c>
      <c r="B1738" s="123"/>
      <c r="C1738" s="1471" t="str">
        <f>C1737</f>
        <v>354701_2019_12_</v>
      </c>
      <c r="D1738" s="1553" t="s">
        <v>317</v>
      </c>
      <c r="E1738" s="3005" t="s">
        <v>1508</v>
      </c>
      <c r="F1738" s="782">
        <f>ROUND((($K$1966*$K$2153*(1/$K$2340-1/$K$2527)*$K$3462)/1000)*$K$3484,2)</f>
        <v>219.07</v>
      </c>
      <c r="G1738" s="214" t="str">
        <f t="shared" si="190"/>
        <v>Heating Res ER2</v>
      </c>
      <c r="H1738" s="155">
        <f>VLOOKUP(G1738,'CP FACTORS'!$A$3:$B$38, 2, FALSE)</f>
        <v>0</v>
      </c>
      <c r="I1738" s="1554">
        <f t="shared" si="184"/>
        <v>0</v>
      </c>
      <c r="J1738" s="108">
        <f t="shared" si="188"/>
        <v>12</v>
      </c>
      <c r="K1738" s="1052">
        <f t="shared" si="189"/>
        <v>0</v>
      </c>
      <c r="L1738" s="1088"/>
      <c r="M1738" s="328"/>
      <c r="N1738" s="1587"/>
      <c r="O1738" s="1135"/>
      <c r="P1738" s="123"/>
      <c r="Q1738" s="123"/>
      <c r="R1738" s="1431"/>
      <c r="S1738" s="123"/>
      <c r="T1738" s="123"/>
      <c r="U1738" s="1589"/>
      <c r="V1738" s="1962" t="s">
        <v>31</v>
      </c>
      <c r="W1738" s="818"/>
      <c r="X1738" s="819"/>
      <c r="Y1738" s="742">
        <v>219.07</v>
      </c>
      <c r="Z1738" s="737">
        <v>219.07</v>
      </c>
      <c r="AA1738" s="737">
        <v>219.07</v>
      </c>
      <c r="AB1738" s="2162">
        <v>219.07</v>
      </c>
      <c r="AC1738" s="782">
        <v>219.07</v>
      </c>
      <c r="AD1738" s="818"/>
      <c r="AE1738" s="818"/>
      <c r="AF1738" s="818"/>
      <c r="AG1738" s="818"/>
      <c r="AH1738" s="163"/>
      <c r="AI1738" s="1942"/>
      <c r="AJ1738" s="1942"/>
      <c r="AK1738" s="820"/>
      <c r="AL1738" s="1942"/>
      <c r="AM1738" s="1942"/>
      <c r="AN1738" s="1942"/>
      <c r="AO1738" s="1942"/>
      <c r="AP1738" s="1942"/>
      <c r="AQ1738" s="1942"/>
      <c r="AR1738" s="1942"/>
      <c r="AS1738" s="1942"/>
      <c r="AT1738" s="1942"/>
      <c r="AU1738" s="1942"/>
      <c r="AV1738" s="1942"/>
      <c r="AW1738" s="1942"/>
      <c r="AX1738" s="1942"/>
      <c r="AY1738" s="1942"/>
      <c r="AZ1738" s="1942"/>
      <c r="BA1738" s="1942"/>
      <c r="BB1738" s="734"/>
      <c r="BC1738" s="3116" t="str">
        <f t="shared" si="185"/>
        <v>Heating Res ER2 12 Year EUL</v>
      </c>
      <c r="BD1738" s="673">
        <f>(INDEX('Avoided Cost Benefits'!$C$4:$C$857,MATCH(BC1738,'Avoided Cost Benefits'!$A$4:$A$857,0)))*F1738</f>
        <v>64.775187073496781</v>
      </c>
      <c r="BE1738" s="1949">
        <f t="shared" si="183"/>
        <v>0</v>
      </c>
      <c r="BF1738" s="1942"/>
      <c r="BG1738" s="691"/>
      <c r="BH1738" s="824"/>
      <c r="BI1738" s="691"/>
    </row>
    <row r="1739" spans="1:61" s="51" customFormat="1" x14ac:dyDescent="0.25">
      <c r="A1739" s="1267" t="str">
        <f t="shared" si="186"/>
        <v>354750_2021_12_Cooling Res</v>
      </c>
      <c r="B1739" s="123"/>
      <c r="C1739" s="2038" t="s">
        <v>1510</v>
      </c>
      <c r="D1739" s="1553" t="s">
        <v>320</v>
      </c>
      <c r="E1739" s="2878" t="s">
        <v>1511</v>
      </c>
      <c r="F1739" s="742">
        <f>ROUND(((K2715*K2902*(1/K3089-1/K3276)*K3463)/1000)*$K$3484,2)</f>
        <v>2550</v>
      </c>
      <c r="G1739" s="214" t="s">
        <v>1134</v>
      </c>
      <c r="H1739" s="155">
        <f>VLOOKUP(G1739,'CP FACTORS'!$A$3:$B$38, 2, FALSE)</f>
        <v>9.4741810000000004E-4</v>
      </c>
      <c r="I1739" s="1554">
        <f t="shared" si="184"/>
        <v>2.4159160000000002</v>
      </c>
      <c r="J1739" s="108">
        <f t="shared" si="188"/>
        <v>6</v>
      </c>
      <c r="K1739" s="3294">
        <f t="shared" si="189"/>
        <v>2498.6373792903719</v>
      </c>
      <c r="L1739" s="1088">
        <f>L1967</f>
        <v>3.3846153846153846</v>
      </c>
      <c r="M1739" s="328"/>
      <c r="N1739" s="1587"/>
      <c r="O1739" s="1135"/>
      <c r="P1739" s="123"/>
      <c r="Q1739" s="123"/>
      <c r="R1739" s="1431"/>
      <c r="S1739" s="123"/>
      <c r="T1739" s="123"/>
      <c r="U1739" s="1589"/>
      <c r="V1739" s="1962" t="s">
        <v>31</v>
      </c>
      <c r="W1739" s="818">
        <v>3140.8142857142857</v>
      </c>
      <c r="X1739" s="819">
        <v>2492.4547418967586</v>
      </c>
      <c r="Y1739" s="737">
        <v>2492.4499999999998</v>
      </c>
      <c r="Z1739" s="737">
        <v>2492.4499999999998</v>
      </c>
      <c r="AA1739" s="737">
        <v>2492.4499999999998</v>
      </c>
      <c r="AB1739" s="2162">
        <v>2492.4499999999998</v>
      </c>
      <c r="AC1739" s="742">
        <v>2550</v>
      </c>
      <c r="AD1739" s="818"/>
      <c r="AE1739" s="818"/>
      <c r="AF1739" s="818"/>
      <c r="AG1739" s="818"/>
      <c r="AH1739" s="163"/>
      <c r="AI1739" s="1942"/>
      <c r="AJ1739" s="1942"/>
      <c r="AK1739" s="820"/>
      <c r="AL1739" s="1942"/>
      <c r="AM1739" s="1942"/>
      <c r="AN1739" s="1942"/>
      <c r="AO1739" s="1942"/>
      <c r="AP1739" s="1942"/>
      <c r="AQ1739" s="1942"/>
      <c r="AR1739" s="1942"/>
      <c r="AS1739" s="1942"/>
      <c r="AT1739" s="1942"/>
      <c r="AU1739" s="1942"/>
      <c r="AV1739" s="1942"/>
      <c r="AW1739" s="1942"/>
      <c r="AX1739" s="1942"/>
      <c r="AY1739" s="1942"/>
      <c r="AZ1739" s="1942"/>
      <c r="BA1739" s="1942"/>
      <c r="BB1739" s="244">
        <f>(BD1739+BD1740+BD1741+BD1742)/(BE1739+BE1740+BE1741+BE1742)</f>
        <v>1.5616128126911444</v>
      </c>
      <c r="BC1739" s="3115" t="str">
        <f t="shared" si="185"/>
        <v>Cooling Res 6 Year EUL</v>
      </c>
      <c r="BD1739" s="673">
        <f>(INDEX('Avoided Cost Benefits'!$C$4:$C$857,MATCH(BC1739,'Avoided Cost Benefits'!$A$4:$A$857,0)))*F1739</f>
        <v>1482.7846154842689</v>
      </c>
      <c r="BE1739" s="1949">
        <f t="shared" si="183"/>
        <v>2358.3174887120072</v>
      </c>
      <c r="BF1739" s="1942"/>
      <c r="BG1739" s="691"/>
      <c r="BH1739" s="821"/>
      <c r="BI1739" s="691"/>
    </row>
    <row r="1740" spans="1:61" s="51" customFormat="1" x14ac:dyDescent="0.25">
      <c r="A1740" s="1267" t="str">
        <f t="shared" si="186"/>
        <v>354750_2021_12_Heating Res</v>
      </c>
      <c r="B1740" s="123"/>
      <c r="C1740" s="2038" t="s">
        <v>1510</v>
      </c>
      <c r="D1740" s="1553" t="s">
        <v>320</v>
      </c>
      <c r="E1740" s="3007" t="s">
        <v>1511</v>
      </c>
      <c r="F1740" s="742">
        <f>ROUND(((K1967*K2154*(1/K2341-1/K2528)*K3463)/1000)*$K$3484,2)</f>
        <v>3612.16</v>
      </c>
      <c r="G1740" s="214" t="s">
        <v>1135</v>
      </c>
      <c r="H1740" s="155">
        <f>VLOOKUP(G1740,'CP FACTORS'!$A$3:$B$38, 2, FALSE)</f>
        <v>0</v>
      </c>
      <c r="I1740" s="1554">
        <f t="shared" si="184"/>
        <v>0</v>
      </c>
      <c r="J1740" s="108">
        <f t="shared" si="188"/>
        <v>6</v>
      </c>
      <c r="K1740" s="1052">
        <f t="shared" si="189"/>
        <v>0</v>
      </c>
      <c r="L1740" s="1088"/>
      <c r="M1740" s="328"/>
      <c r="N1740" s="1587"/>
      <c r="O1740" s="1135"/>
      <c r="P1740" s="123"/>
      <c r="Q1740" s="123"/>
      <c r="R1740" s="1431"/>
      <c r="S1740" s="123"/>
      <c r="T1740" s="123"/>
      <c r="U1740" s="1589"/>
      <c r="V1740" s="1962" t="s">
        <v>31</v>
      </c>
      <c r="W1740" s="818">
        <v>6249.9803405572748</v>
      </c>
      <c r="X1740" s="819">
        <v>2767.3247800351946</v>
      </c>
      <c r="Y1740" s="737">
        <v>2767.32</v>
      </c>
      <c r="Z1740" s="737">
        <v>2767.32</v>
      </c>
      <c r="AA1740" s="737">
        <v>2767.32</v>
      </c>
      <c r="AB1740" s="2162">
        <v>2767.32</v>
      </c>
      <c r="AC1740" s="742">
        <v>3612.16</v>
      </c>
      <c r="AD1740" s="818"/>
      <c r="AE1740" s="818"/>
      <c r="AF1740" s="818"/>
      <c r="AG1740" s="818"/>
      <c r="AH1740" s="163"/>
      <c r="AI1740" s="1942"/>
      <c r="AJ1740" s="1942"/>
      <c r="AK1740" s="820"/>
      <c r="AL1740" s="1942"/>
      <c r="AM1740" s="1942"/>
      <c r="AN1740" s="1942"/>
      <c r="AO1740" s="1942"/>
      <c r="AP1740" s="1942"/>
      <c r="AQ1740" s="1942"/>
      <c r="AR1740" s="1942"/>
      <c r="AS1740" s="1942"/>
      <c r="AT1740" s="1942"/>
      <c r="AU1740" s="1942"/>
      <c r="AV1740" s="1942"/>
      <c r="AW1740" s="1942"/>
      <c r="AX1740" s="1942"/>
      <c r="AY1740" s="1942"/>
      <c r="AZ1740" s="1942"/>
      <c r="BA1740" s="1942"/>
      <c r="BB1740" s="734"/>
      <c r="BC1740" s="3130" t="str">
        <f t="shared" si="185"/>
        <v>Heating Res 6 Year EUL</v>
      </c>
      <c r="BD1740" s="673">
        <f>(INDEX('Avoided Cost Benefits'!$C$4:$C$857,MATCH(BC1740,'Avoided Cost Benefits'!$A$4:$A$857,0)))*F1740</f>
        <v>600.82323059803855</v>
      </c>
      <c r="BE1740" s="1949">
        <f t="shared" si="183"/>
        <v>0</v>
      </c>
      <c r="BF1740" s="1942"/>
      <c r="BG1740" s="691"/>
      <c r="BH1740" s="821"/>
      <c r="BI1740" s="691"/>
    </row>
    <row r="1741" spans="1:61" s="51" customFormat="1" x14ac:dyDescent="0.25">
      <c r="A1741" s="1267" t="str">
        <f t="shared" si="186"/>
        <v>354750_2021_12_Cooling Res ER2</v>
      </c>
      <c r="B1741" s="123"/>
      <c r="C1741" s="2038" t="s">
        <v>1510</v>
      </c>
      <c r="D1741" s="1553" t="s">
        <v>320</v>
      </c>
      <c r="E1741" s="3007" t="s">
        <v>1512</v>
      </c>
      <c r="F1741" s="742">
        <f>ROUND(((K2716*K2903*(1/K3090-1/K3277)*K3464)/1000)*$K$3484,2)</f>
        <v>905.45</v>
      </c>
      <c r="G1741" s="1580" t="s">
        <v>1176</v>
      </c>
      <c r="H1741" s="155">
        <f>VLOOKUP(G1741,'CP FACTORS'!$A$3:$B$38, 2, FALSE)</f>
        <v>9.4741810000000004E-4</v>
      </c>
      <c r="I1741" s="1554">
        <f t="shared" si="184"/>
        <v>0.85784000000000005</v>
      </c>
      <c r="J1741" s="108">
        <f t="shared" si="188"/>
        <v>12</v>
      </c>
      <c r="K1741" s="1052">
        <f t="shared" si="189"/>
        <v>0</v>
      </c>
      <c r="L1741" s="1088"/>
      <c r="M1741" s="328"/>
      <c r="N1741" s="1587"/>
      <c r="O1741" s="1135"/>
      <c r="P1741" s="123"/>
      <c r="Q1741" s="123"/>
      <c r="R1741" s="1431"/>
      <c r="S1741" s="123"/>
      <c r="T1741" s="123"/>
      <c r="U1741" s="1589"/>
      <c r="V1741" s="1962" t="s">
        <v>31</v>
      </c>
      <c r="W1741" s="818">
        <v>819.34285714285704</v>
      </c>
      <c r="X1741" s="825">
        <v>819.34285714285704</v>
      </c>
      <c r="Y1741" s="737">
        <v>819.34</v>
      </c>
      <c r="Z1741" s="737">
        <v>819.34</v>
      </c>
      <c r="AA1741" s="737">
        <v>819.34</v>
      </c>
      <c r="AB1741" s="2162">
        <v>819.34</v>
      </c>
      <c r="AC1741" s="742">
        <v>905.45</v>
      </c>
      <c r="AD1741" s="818"/>
      <c r="AE1741" s="818"/>
      <c r="AF1741" s="818"/>
      <c r="AG1741" s="818"/>
      <c r="AH1741" s="163"/>
      <c r="AI1741" s="1942"/>
      <c r="AJ1741" s="1942"/>
      <c r="AK1741" s="820"/>
      <c r="AL1741" s="1942"/>
      <c r="AM1741" s="1942"/>
      <c r="AN1741" s="1942"/>
      <c r="AO1741" s="1942"/>
      <c r="AP1741" s="1942"/>
      <c r="AQ1741" s="1942"/>
      <c r="AR1741" s="1942"/>
      <c r="AS1741" s="1942"/>
      <c r="AT1741" s="1942"/>
      <c r="AU1741" s="1942"/>
      <c r="AV1741" s="1942"/>
      <c r="AW1741" s="1942"/>
      <c r="AX1741" s="1942"/>
      <c r="AY1741" s="1942"/>
      <c r="AZ1741" s="1942"/>
      <c r="BA1741" s="1942"/>
      <c r="BB1741" s="734"/>
      <c r="BC1741" s="3130" t="str">
        <f t="shared" si="185"/>
        <v>Cooling Res ER2 12 Year EUL</v>
      </c>
      <c r="BD1741" s="673">
        <f>(INDEX('Avoided Cost Benefits'!$C$4:$C$857,MATCH(BC1741,'Avoided Cost Benefits'!$A$4:$A$857,0)))*F1741</f>
        <v>1070.534825159471</v>
      </c>
      <c r="BE1741" s="1949">
        <f t="shared" ref="BE1741:BE1780" si="191">K1741/(1.0595^(2020-2019))</f>
        <v>0</v>
      </c>
      <c r="BF1741" s="1942"/>
      <c r="BG1741" s="691"/>
      <c r="BH1741" s="821"/>
      <c r="BI1741" s="691"/>
    </row>
    <row r="1742" spans="1:61" s="51" customFormat="1" x14ac:dyDescent="0.25">
      <c r="A1742" s="1267" t="str">
        <f t="shared" si="186"/>
        <v>354750_2021_12_Heating Res ER2</v>
      </c>
      <c r="B1742" s="123"/>
      <c r="C1742" s="2038" t="s">
        <v>1510</v>
      </c>
      <c r="D1742" s="1553" t="s">
        <v>320</v>
      </c>
      <c r="E1742" s="3005" t="s">
        <v>1512</v>
      </c>
      <c r="F1742" s="742">
        <f>ROUND(((K1968*K2155*(1/K2342-1/K2529)*K3464)/1000)*$K$3484,2)</f>
        <v>1787.85</v>
      </c>
      <c r="G1742" s="1580" t="s">
        <v>1195</v>
      </c>
      <c r="H1742" s="155">
        <f>VLOOKUP(G1742,'CP FACTORS'!$A$3:$B$38, 2, FALSE)</f>
        <v>0</v>
      </c>
      <c r="I1742" s="1554">
        <f t="shared" si="184"/>
        <v>0</v>
      </c>
      <c r="J1742" s="108">
        <f t="shared" si="188"/>
        <v>12</v>
      </c>
      <c r="K1742" s="1052">
        <f t="shared" si="189"/>
        <v>0</v>
      </c>
      <c r="L1742" s="1088"/>
      <c r="M1742" s="328"/>
      <c r="N1742" s="1587"/>
      <c r="O1742" s="1135"/>
      <c r="P1742" s="123"/>
      <c r="Q1742" s="123"/>
      <c r="R1742" s="1431"/>
      <c r="S1742" s="123"/>
      <c r="T1742" s="123"/>
      <c r="U1742" s="1589"/>
      <c r="V1742" s="1962" t="s">
        <v>31</v>
      </c>
      <c r="W1742" s="818">
        <v>1327.6421052631592</v>
      </c>
      <c r="X1742" s="819">
        <v>988.62747111681745</v>
      </c>
      <c r="Y1742" s="737">
        <v>988.63</v>
      </c>
      <c r="Z1742" s="737">
        <v>988.63</v>
      </c>
      <c r="AA1742" s="737">
        <v>988.63</v>
      </c>
      <c r="AB1742" s="2162">
        <v>988.63</v>
      </c>
      <c r="AC1742" s="742">
        <v>1787.85</v>
      </c>
      <c r="AD1742" s="818"/>
      <c r="AE1742" s="818"/>
      <c r="AF1742" s="818"/>
      <c r="AG1742" s="818"/>
      <c r="AH1742" s="163"/>
      <c r="AI1742" s="1942"/>
      <c r="AJ1742" s="1942"/>
      <c r="AK1742" s="820"/>
      <c r="AL1742" s="1942"/>
      <c r="AM1742" s="1942"/>
      <c r="AN1742" s="1942"/>
      <c r="AO1742" s="1942"/>
      <c r="AP1742" s="1942"/>
      <c r="AQ1742" s="1942"/>
      <c r="AR1742" s="1942"/>
      <c r="AS1742" s="1942"/>
      <c r="AT1742" s="1942"/>
      <c r="AU1742" s="1942"/>
      <c r="AV1742" s="1942"/>
      <c r="AW1742" s="1942"/>
      <c r="AX1742" s="1942"/>
      <c r="AY1742" s="1942"/>
      <c r="AZ1742" s="1942"/>
      <c r="BA1742" s="1942"/>
      <c r="BB1742" s="734"/>
      <c r="BC1742" s="3116" t="str">
        <f t="shared" si="185"/>
        <v>Heating Res ER2 12 Year EUL</v>
      </c>
      <c r="BD1742" s="673">
        <f>(INDEX('Avoided Cost Benefits'!$C$4:$C$857,MATCH(BC1742,'Avoided Cost Benefits'!$A$4:$A$857,0)))*F1742</f>
        <v>528.63613552449544</v>
      </c>
      <c r="BE1742" s="1949">
        <f t="shared" si="191"/>
        <v>0</v>
      </c>
      <c r="BF1742" s="1942"/>
      <c r="BG1742" s="691"/>
      <c r="BH1742" s="821"/>
      <c r="BI1742" s="691"/>
    </row>
    <row r="1743" spans="1:61" s="51" customFormat="1" x14ac:dyDescent="0.25">
      <c r="A1743" s="1267" t="str">
        <f t="shared" si="186"/>
        <v>354800_2021_12_Cooling Res</v>
      </c>
      <c r="B1743" s="123"/>
      <c r="C1743" s="2038" t="s">
        <v>1514</v>
      </c>
      <c r="D1743" s="1553" t="s">
        <v>320</v>
      </c>
      <c r="E1743" s="2965" t="s">
        <v>1515</v>
      </c>
      <c r="F1743" s="742">
        <f>ROUND(((K2717*K2904*(1/K3091-1/K3278)*K3465)/1000)*$K$3484,2)</f>
        <v>995.87</v>
      </c>
      <c r="G1743" s="214" t="s">
        <v>1134</v>
      </c>
      <c r="H1743" s="155">
        <f>VLOOKUP(G1743,'CP FACTORS'!$A$3:$B$38, 2, FALSE)</f>
        <v>9.4741810000000004E-4</v>
      </c>
      <c r="I1743" s="1554">
        <f t="shared" si="184"/>
        <v>0.94350500000000004</v>
      </c>
      <c r="J1743" s="108">
        <f t="shared" si="188"/>
        <v>18</v>
      </c>
      <c r="K1743" s="1052">
        <f t="shared" si="189"/>
        <v>1689.9245999999991</v>
      </c>
      <c r="L1743" s="1088">
        <f>L1969</f>
        <v>3.875</v>
      </c>
      <c r="M1743" s="328"/>
      <c r="N1743" s="1587"/>
      <c r="O1743" s="1135"/>
      <c r="P1743" s="123"/>
      <c r="Q1743" s="123"/>
      <c r="R1743" s="1431"/>
      <c r="S1743" s="123"/>
      <c r="T1743" s="123"/>
      <c r="U1743" s="1589"/>
      <c r="V1743" s="1962" t="s">
        <v>31</v>
      </c>
      <c r="W1743" s="818">
        <v>819.34285714285704</v>
      </c>
      <c r="X1743" s="825">
        <v>819.34285714285704</v>
      </c>
      <c r="Y1743" s="737">
        <v>819.34</v>
      </c>
      <c r="Z1743" s="737">
        <v>819.34</v>
      </c>
      <c r="AA1743" s="737">
        <v>819.34</v>
      </c>
      <c r="AB1743" s="2162">
        <v>819.34</v>
      </c>
      <c r="AC1743" s="742">
        <v>995.87</v>
      </c>
      <c r="AD1743" s="818"/>
      <c r="AE1743" s="818"/>
      <c r="AF1743" s="818"/>
      <c r="AG1743" s="818"/>
      <c r="AH1743" s="163"/>
      <c r="AI1743" s="1942"/>
      <c r="AJ1743" s="1942"/>
      <c r="AK1743" s="820"/>
      <c r="AL1743" s="1942"/>
      <c r="AM1743" s="1942"/>
      <c r="AN1743" s="1942"/>
      <c r="AO1743" s="1942"/>
      <c r="AP1743" s="1942"/>
      <c r="AQ1743" s="1942"/>
      <c r="AR1743" s="1942"/>
      <c r="AS1743" s="1942"/>
      <c r="AT1743" s="1942"/>
      <c r="AU1743" s="1942"/>
      <c r="AV1743" s="1942"/>
      <c r="AW1743" s="1942"/>
      <c r="AX1743" s="1942"/>
      <c r="AY1743" s="1942"/>
      <c r="AZ1743" s="1942"/>
      <c r="BA1743" s="1942"/>
      <c r="BB1743" s="244">
        <f>(BD1743+BD1744)/(BE1743+BE1744)</f>
        <v>1.7056964361101248</v>
      </c>
      <c r="BC1743" s="710" t="str">
        <f t="shared" si="185"/>
        <v>Cooling Res 18 Year EUL</v>
      </c>
      <c r="BD1743" s="673">
        <f>(INDEX('Avoided Cost Benefits'!$C$4:$C$857,MATCH(BC1743,'Avoided Cost Benefits'!$A$4:$A$857,0)))*F1743</f>
        <v>1756.5231505783354</v>
      </c>
      <c r="BE1743" s="1949">
        <f t="shared" si="191"/>
        <v>1595.0208588957046</v>
      </c>
      <c r="BF1743" s="1942"/>
      <c r="BG1743" s="691"/>
      <c r="BH1743" s="821"/>
      <c r="BI1743" s="691"/>
    </row>
    <row r="1744" spans="1:61" s="51" customFormat="1" x14ac:dyDescent="0.25">
      <c r="A1744" s="1267" t="str">
        <f t="shared" si="186"/>
        <v>354800_2021_12_Heating Res</v>
      </c>
      <c r="B1744" s="123"/>
      <c r="C1744" s="2038" t="s">
        <v>1514</v>
      </c>
      <c r="D1744" s="1553" t="s">
        <v>320</v>
      </c>
      <c r="E1744" s="3008" t="s">
        <v>1515</v>
      </c>
      <c r="F1744" s="742">
        <f>ROUND(((K1969*K2156*(1/K2343-1/K2530)*K3465)/1000)*$K$3484,2)</f>
        <v>2086.7199999999998</v>
      </c>
      <c r="G1744" s="214" t="s">
        <v>1135</v>
      </c>
      <c r="H1744" s="155">
        <f>VLOOKUP(G1744,'CP FACTORS'!$A$3:$B$38, 2, FALSE)</f>
        <v>0</v>
      </c>
      <c r="I1744" s="1554">
        <f t="shared" si="184"/>
        <v>0</v>
      </c>
      <c r="J1744" s="108">
        <f t="shared" si="188"/>
        <v>18</v>
      </c>
      <c r="K1744" s="1052">
        <f t="shared" si="189"/>
        <v>0</v>
      </c>
      <c r="L1744" s="1088"/>
      <c r="M1744" s="328"/>
      <c r="N1744" s="1587"/>
      <c r="O1744" s="1135"/>
      <c r="P1744" s="123"/>
      <c r="Q1744" s="123"/>
      <c r="R1744" s="1431"/>
      <c r="S1744" s="123"/>
      <c r="T1744" s="123"/>
      <c r="U1744" s="1589"/>
      <c r="V1744" s="1962" t="s">
        <v>31</v>
      </c>
      <c r="W1744" s="818">
        <v>1584.0000000000018</v>
      </c>
      <c r="X1744" s="819">
        <v>1179.5241413638641</v>
      </c>
      <c r="Y1744" s="737">
        <v>1179.52</v>
      </c>
      <c r="Z1744" s="737">
        <v>1179.52</v>
      </c>
      <c r="AA1744" s="737">
        <v>1179.52</v>
      </c>
      <c r="AB1744" s="2162">
        <v>1179.52</v>
      </c>
      <c r="AC1744" s="742">
        <v>2086.7199999999998</v>
      </c>
      <c r="AD1744" s="818"/>
      <c r="AE1744" s="818"/>
      <c r="AF1744" s="818"/>
      <c r="AG1744" s="818"/>
      <c r="AH1744" s="163"/>
      <c r="AI1744" s="1942"/>
      <c r="AJ1744" s="1942"/>
      <c r="AK1744" s="820"/>
      <c r="AL1744" s="1942"/>
      <c r="AM1744" s="1942"/>
      <c r="AN1744" s="1942"/>
      <c r="AO1744" s="1942"/>
      <c r="AP1744" s="1942"/>
      <c r="AQ1744" s="1942"/>
      <c r="AR1744" s="1942"/>
      <c r="AS1744" s="1942"/>
      <c r="AT1744" s="1942"/>
      <c r="AU1744" s="1942"/>
      <c r="AV1744" s="1942"/>
      <c r="AW1744" s="1942"/>
      <c r="AX1744" s="1942"/>
      <c r="AY1744" s="1942"/>
      <c r="AZ1744" s="1942"/>
      <c r="BA1744" s="1942"/>
      <c r="BB1744" s="242"/>
      <c r="BC1744" s="822" t="str">
        <f t="shared" si="185"/>
        <v>Heating Res 18 Year EUL</v>
      </c>
      <c r="BD1744" s="673">
        <f>(INDEX('Avoided Cost Benefits'!$C$4:$C$857,MATCH(BC1744,'Avoided Cost Benefits'!$A$4:$A$857,0)))*F1744</f>
        <v>964.0982439613781</v>
      </c>
      <c r="BE1744" s="1949">
        <f t="shared" si="191"/>
        <v>0</v>
      </c>
      <c r="BF1744" s="1942"/>
      <c r="BG1744" s="691"/>
      <c r="BH1744" s="821"/>
      <c r="BI1744" s="691"/>
    </row>
    <row r="1745" spans="1:61" s="51" customFormat="1" x14ac:dyDescent="0.25">
      <c r="A1745" s="1267" t="str">
        <f t="shared" si="186"/>
        <v>354850_2019_12_Cooling Res</v>
      </c>
      <c r="B1745" s="123"/>
      <c r="C1745" s="1471" t="s">
        <v>1516</v>
      </c>
      <c r="D1745" s="1553" t="s">
        <v>322</v>
      </c>
      <c r="E1745" s="2965" t="s">
        <v>1517</v>
      </c>
      <c r="F1745" s="782">
        <f>ROUND((($K$2718*$K$2905*(1/$K$3092-1/$K$3279)*$K$3466)/1000)*$K$3484,2)</f>
        <v>556.16</v>
      </c>
      <c r="G1745" s="214" t="s">
        <v>1134</v>
      </c>
      <c r="H1745" s="155">
        <f>VLOOKUP(G1745,'CP FACTORS'!$A$3:$B$38, 2, FALSE)</f>
        <v>9.4741810000000004E-4</v>
      </c>
      <c r="I1745" s="1554">
        <f t="shared" si="184"/>
        <v>0.52691600000000005</v>
      </c>
      <c r="J1745" s="108">
        <f t="shared" si="188"/>
        <v>18</v>
      </c>
      <c r="K1745" s="1052">
        <f t="shared" si="189"/>
        <v>1689.9245999999991</v>
      </c>
      <c r="L1745" s="1088">
        <f>L1970</f>
        <v>2.8</v>
      </c>
      <c r="M1745" s="328"/>
      <c r="N1745" s="1587"/>
      <c r="O1745" s="1135"/>
      <c r="P1745" s="123"/>
      <c r="Q1745" s="123"/>
      <c r="R1745" s="1431"/>
      <c r="S1745" s="123"/>
      <c r="T1745" s="123"/>
      <c r="U1745" s="1589"/>
      <c r="V1745" s="1962" t="s">
        <v>31</v>
      </c>
      <c r="W1745" s="818">
        <v>556.1600000000002</v>
      </c>
      <c r="X1745" s="825">
        <v>556.1600000000002</v>
      </c>
      <c r="Y1745" s="737">
        <v>556.16</v>
      </c>
      <c r="Z1745" s="737">
        <v>556.16</v>
      </c>
      <c r="AA1745" s="737">
        <v>556.16</v>
      </c>
      <c r="AB1745" s="2162">
        <v>556.16</v>
      </c>
      <c r="AC1745" s="782">
        <v>556.16</v>
      </c>
      <c r="AD1745" s="818"/>
      <c r="AE1745" s="818"/>
      <c r="AF1745" s="818"/>
      <c r="AG1745" s="818"/>
      <c r="AH1745" s="163"/>
      <c r="AI1745" s="1942"/>
      <c r="AJ1745" s="1942"/>
      <c r="AK1745" s="820"/>
      <c r="AL1745" s="1942"/>
      <c r="AM1745" s="1942"/>
      <c r="AN1745" s="1942"/>
      <c r="AO1745" s="1942"/>
      <c r="AP1745" s="1942"/>
      <c r="AQ1745" s="1942"/>
      <c r="AR1745" s="1942"/>
      <c r="AS1745" s="1942"/>
      <c r="AT1745" s="1942"/>
      <c r="AU1745" s="1942"/>
      <c r="AV1745" s="1942"/>
      <c r="AW1745" s="1942"/>
      <c r="AX1745" s="1942"/>
      <c r="AY1745" s="1942"/>
      <c r="AZ1745" s="1942"/>
      <c r="BA1745" s="1942"/>
      <c r="BB1745" s="244">
        <f>(BD1745+BD1746)/(BE1745+BE1746)</f>
        <v>2.4147120897912031</v>
      </c>
      <c r="BC1745" s="710" t="str">
        <f t="shared" si="185"/>
        <v>Cooling Res 18 Year EUL</v>
      </c>
      <c r="BD1745" s="673">
        <f>(INDEX('Avoided Cost Benefits'!$C$4:$C$857,MATCH(BC1745,'Avoided Cost Benefits'!$A$4:$A$857,0)))*F1745</f>
        <v>980.95927724065086</v>
      </c>
      <c r="BE1745" s="1949">
        <f t="shared" si="191"/>
        <v>1595.0208588957046</v>
      </c>
      <c r="BF1745" s="1942"/>
      <c r="BG1745" s="691"/>
      <c r="BH1745" s="821"/>
      <c r="BI1745" s="691"/>
    </row>
    <row r="1746" spans="1:61" s="51" customFormat="1" x14ac:dyDescent="0.25">
      <c r="A1746" s="1267" t="str">
        <f t="shared" si="186"/>
        <v>354850_2019_12_Heating Res</v>
      </c>
      <c r="B1746" s="123"/>
      <c r="C1746" s="1471" t="s">
        <v>1516</v>
      </c>
      <c r="D1746" s="1553" t="s">
        <v>322</v>
      </c>
      <c r="E1746" s="3008" t="s">
        <v>1517</v>
      </c>
      <c r="F1746" s="782">
        <f>ROUND((($K$1970*$K$2157*(1/$K$2344-1/$K$2531)*$K$3466)/1000)*$K$3484,2)</f>
        <v>6213.11</v>
      </c>
      <c r="G1746" s="214" t="s">
        <v>1135</v>
      </c>
      <c r="H1746" s="155">
        <f>VLOOKUP(G1746,'CP FACTORS'!$A$3:$B$38, 2, FALSE)</f>
        <v>0</v>
      </c>
      <c r="I1746" s="1554">
        <f t="shared" si="184"/>
        <v>0</v>
      </c>
      <c r="J1746" s="108">
        <f t="shared" si="188"/>
        <v>18</v>
      </c>
      <c r="K1746" s="1052">
        <f t="shared" si="189"/>
        <v>0</v>
      </c>
      <c r="L1746" s="1088"/>
      <c r="M1746" s="328"/>
      <c r="N1746" s="1587"/>
      <c r="O1746" s="1135"/>
      <c r="P1746" s="123"/>
      <c r="Q1746" s="123"/>
      <c r="R1746" s="1431"/>
      <c r="S1746" s="123"/>
      <c r="T1746" s="123"/>
      <c r="U1746" s="1589"/>
      <c r="V1746" s="1962" t="s">
        <v>31</v>
      </c>
      <c r="W1746" s="818">
        <v>8343.6696919309452</v>
      </c>
      <c r="X1746" s="819">
        <v>6213.105952776853</v>
      </c>
      <c r="Y1746" s="737">
        <v>6213.11</v>
      </c>
      <c r="Z1746" s="737">
        <v>6213.11</v>
      </c>
      <c r="AA1746" s="737">
        <v>6213.11</v>
      </c>
      <c r="AB1746" s="2162">
        <v>6213.11</v>
      </c>
      <c r="AC1746" s="782">
        <v>6213.11</v>
      </c>
      <c r="AD1746" s="818"/>
      <c r="AE1746" s="818"/>
      <c r="AF1746" s="818"/>
      <c r="AG1746" s="818"/>
      <c r="AH1746" s="163"/>
      <c r="AI1746" s="1942"/>
      <c r="AJ1746" s="1942"/>
      <c r="AK1746" s="820"/>
      <c r="AL1746" s="1942"/>
      <c r="AM1746" s="1942"/>
      <c r="AN1746" s="1942"/>
      <c r="AO1746" s="1942"/>
      <c r="AP1746" s="1942"/>
      <c r="AQ1746" s="1942"/>
      <c r="AR1746" s="1942"/>
      <c r="AS1746" s="1942"/>
      <c r="AT1746" s="1942"/>
      <c r="AU1746" s="1942"/>
      <c r="AV1746" s="1942"/>
      <c r="AW1746" s="1942"/>
      <c r="AX1746" s="1942"/>
      <c r="AY1746" s="1942"/>
      <c r="AZ1746" s="1942"/>
      <c r="BA1746" s="1942"/>
      <c r="BB1746" s="242"/>
      <c r="BC1746" s="822" t="str">
        <f t="shared" si="185"/>
        <v>Heating Res 18 Year EUL</v>
      </c>
      <c r="BD1746" s="673">
        <f>(INDEX('Avoided Cost Benefits'!$C$4:$C$857,MATCH(BC1746,'Avoided Cost Benefits'!$A$4:$A$857,0)))*F1746</f>
        <v>2870.5568742039554</v>
      </c>
      <c r="BE1746" s="1949">
        <f t="shared" si="191"/>
        <v>0</v>
      </c>
      <c r="BF1746" s="1942"/>
      <c r="BG1746" s="691"/>
      <c r="BH1746" s="821"/>
      <c r="BI1746" s="691"/>
    </row>
    <row r="1747" spans="1:61" s="51" customFormat="1" x14ac:dyDescent="0.25">
      <c r="A1747" s="1267" t="str">
        <f t="shared" si="186"/>
        <v>354851_2019_12_Cooling Res</v>
      </c>
      <c r="B1747" s="123"/>
      <c r="C1747" s="1471" t="s">
        <v>1518</v>
      </c>
      <c r="D1747" s="1553" t="s">
        <v>317</v>
      </c>
      <c r="E1747" s="2878" t="s">
        <v>1519</v>
      </c>
      <c r="F1747" s="782">
        <f>ROUND((($K$2719*$K$2906*(1/$K$3093-1/$K$3280)*$K$3467)/1000)*$K$3484,2)</f>
        <v>404.48</v>
      </c>
      <c r="G1747" s="214" t="str">
        <f>G1745</f>
        <v>Cooling Res</v>
      </c>
      <c r="H1747" s="155">
        <f>VLOOKUP(G1747,'CP FACTORS'!$A$3:$B$38, 2, FALSE)</f>
        <v>9.4741810000000004E-4</v>
      </c>
      <c r="I1747" s="1554">
        <f t="shared" si="184"/>
        <v>0.383212</v>
      </c>
      <c r="J1747" s="108">
        <f t="shared" si="188"/>
        <v>18</v>
      </c>
      <c r="K1747" s="3294">
        <f t="shared" si="189"/>
        <v>1689.9245999999991</v>
      </c>
      <c r="L1747" s="3296">
        <f>L1971</f>
        <v>2.8</v>
      </c>
      <c r="M1747" s="328"/>
      <c r="N1747" s="1587"/>
      <c r="O1747" s="1135"/>
      <c r="P1747" s="123"/>
      <c r="Q1747" s="123"/>
      <c r="R1747" s="1431"/>
      <c r="S1747" s="123"/>
      <c r="T1747" s="123"/>
      <c r="U1747" s="1589"/>
      <c r="V1747" s="1962" t="s">
        <v>31</v>
      </c>
      <c r="W1747" s="818"/>
      <c r="X1747" s="819"/>
      <c r="Y1747" s="742">
        <v>404.48</v>
      </c>
      <c r="Z1747" s="737">
        <v>404.48</v>
      </c>
      <c r="AA1747" s="737">
        <v>404.48</v>
      </c>
      <c r="AB1747" s="2162">
        <v>404.48</v>
      </c>
      <c r="AC1747" s="782">
        <v>404.48</v>
      </c>
      <c r="AD1747" s="818"/>
      <c r="AE1747" s="818"/>
      <c r="AF1747" s="818"/>
      <c r="AG1747" s="818"/>
      <c r="AH1747" s="163"/>
      <c r="AI1747" s="1942"/>
      <c r="AJ1747" s="1942"/>
      <c r="AK1747" s="820"/>
      <c r="AL1747" s="1942"/>
      <c r="AM1747" s="1942"/>
      <c r="AN1747" s="1942"/>
      <c r="AO1747" s="1942"/>
      <c r="AP1747" s="1942"/>
      <c r="AQ1747" s="1942"/>
      <c r="AR1747" s="1942"/>
      <c r="AS1747" s="1942"/>
      <c r="AT1747" s="1942"/>
      <c r="AU1747" s="1942"/>
      <c r="AV1747" s="1942"/>
      <c r="AW1747" s="1942"/>
      <c r="AX1747" s="1942"/>
      <c r="AY1747" s="1942"/>
      <c r="AZ1747" s="1942"/>
      <c r="BA1747" s="1942"/>
      <c r="BB1747" s="244">
        <f>(BD1747+BD1748)/(BE1747+BE1748)</f>
        <v>1.0608144895170573</v>
      </c>
      <c r="BC1747" s="710" t="str">
        <f t="shared" si="185"/>
        <v>Cooling Res 18 Year EUL</v>
      </c>
      <c r="BD1747" s="673">
        <f>(INDEX('Avoided Cost Benefits'!$C$4:$C$857,MATCH(BC1747,'Avoided Cost Benefits'!$A$4:$A$857,0)))*F1747</f>
        <v>713.42492890229164</v>
      </c>
      <c r="BE1747" s="1949">
        <f t="shared" si="191"/>
        <v>1595.0208588957046</v>
      </c>
      <c r="BF1747" s="1942"/>
      <c r="BG1747" s="691"/>
      <c r="BH1747" s="824"/>
      <c r="BI1747" s="691"/>
    </row>
    <row r="1748" spans="1:61" s="51" customFormat="1" x14ac:dyDescent="0.25">
      <c r="A1748" s="1267" t="str">
        <f t="shared" si="186"/>
        <v>354851_2019_12_Heating Res</v>
      </c>
      <c r="B1748" s="123"/>
      <c r="C1748" s="1471" t="str">
        <f>C1747</f>
        <v>354851_2019_12_</v>
      </c>
      <c r="D1748" s="1553" t="s">
        <v>317</v>
      </c>
      <c r="E1748" s="3005" t="s">
        <v>1519</v>
      </c>
      <c r="F1748" s="782">
        <f>ROUND((($K$1971*$K$2158*(1/$K$2345-1/$K$2532)*$K$3467)/1000)*$K$3484,2)</f>
        <v>2118.1</v>
      </c>
      <c r="G1748" s="214" t="str">
        <f>G1746</f>
        <v>Heating Res</v>
      </c>
      <c r="H1748" s="155">
        <f>VLOOKUP(G1748,'CP FACTORS'!$A$3:$B$38, 2, FALSE)</f>
        <v>0</v>
      </c>
      <c r="I1748" s="1554">
        <f t="shared" si="184"/>
        <v>0</v>
      </c>
      <c r="J1748" s="108">
        <f t="shared" si="188"/>
        <v>18</v>
      </c>
      <c r="K1748" s="1052">
        <f t="shared" si="189"/>
        <v>0</v>
      </c>
      <c r="L1748" s="1088"/>
      <c r="M1748" s="328"/>
      <c r="N1748" s="1587"/>
      <c r="O1748" s="1135"/>
      <c r="P1748" s="123"/>
      <c r="Q1748" s="123"/>
      <c r="R1748" s="1431"/>
      <c r="S1748" s="123"/>
      <c r="T1748" s="123"/>
      <c r="U1748" s="1589"/>
      <c r="V1748" s="1962" t="s">
        <v>31</v>
      </c>
      <c r="W1748" s="818"/>
      <c r="X1748" s="819"/>
      <c r="Y1748" s="742">
        <v>2118.1</v>
      </c>
      <c r="Z1748" s="737">
        <v>2118.1</v>
      </c>
      <c r="AA1748" s="737">
        <v>2118.1</v>
      </c>
      <c r="AB1748" s="2162">
        <v>2118.1</v>
      </c>
      <c r="AC1748" s="782">
        <v>2118.1</v>
      </c>
      <c r="AD1748" s="818"/>
      <c r="AE1748" s="818"/>
      <c r="AF1748" s="818"/>
      <c r="AG1748" s="818"/>
      <c r="AH1748" s="163"/>
      <c r="AI1748" s="1942"/>
      <c r="AJ1748" s="1942"/>
      <c r="AK1748" s="820"/>
      <c r="AL1748" s="1942"/>
      <c r="AM1748" s="1942"/>
      <c r="AN1748" s="1942"/>
      <c r="AO1748" s="1942"/>
      <c r="AP1748" s="1942"/>
      <c r="AQ1748" s="1942"/>
      <c r="AR1748" s="1942"/>
      <c r="AS1748" s="1942"/>
      <c r="AT1748" s="1942"/>
      <c r="AU1748" s="1942"/>
      <c r="AV1748" s="1942"/>
      <c r="AW1748" s="1942"/>
      <c r="AX1748" s="1942"/>
      <c r="AY1748" s="1942"/>
      <c r="AZ1748" s="1942"/>
      <c r="BA1748" s="1942"/>
      <c r="BB1748" s="242"/>
      <c r="BC1748" s="822" t="str">
        <f t="shared" si="185"/>
        <v>Heating Res 18 Year EUL</v>
      </c>
      <c r="BD1748" s="673">
        <f>(INDEX('Avoided Cost Benefits'!$C$4:$C$857,MATCH(BC1748,'Avoided Cost Benefits'!$A$4:$A$857,0)))*F1748</f>
        <v>978.59630929621369</v>
      </c>
      <c r="BE1748" s="1949">
        <f t="shared" si="191"/>
        <v>0</v>
      </c>
      <c r="BF1748" s="1942"/>
      <c r="BG1748" s="691"/>
      <c r="BH1748" s="824"/>
      <c r="BI1748" s="691"/>
    </row>
    <row r="1749" spans="1:61" s="1942" customFormat="1" x14ac:dyDescent="0.25">
      <c r="A1749" s="1267"/>
      <c r="B1749" s="123"/>
      <c r="C1749" s="2038" t="s">
        <v>1520</v>
      </c>
      <c r="D1749" s="2695" t="s">
        <v>322</v>
      </c>
      <c r="E1749" s="3007" t="s">
        <v>1521</v>
      </c>
      <c r="F1749" s="742">
        <f>ROUND(((K2720*K2907*(1/K3094-1/K3281)*K3468)/1000)*$K$3484,2)</f>
        <v>556.16</v>
      </c>
      <c r="G1749" s="2042" t="s">
        <v>1134</v>
      </c>
      <c r="H1749" s="2867">
        <f>VLOOKUP(G1749,'CP FACTORS'!$A$3:$B$38, 2, FALSE)</f>
        <v>9.4741810000000004E-4</v>
      </c>
      <c r="I1749" s="2757">
        <f t="shared" si="184"/>
        <v>0.52691600000000005</v>
      </c>
      <c r="J1749" s="116">
        <f t="shared" si="188"/>
        <v>18</v>
      </c>
      <c r="K1749" s="3294">
        <f t="shared" si="189"/>
        <v>1689.9245999999991</v>
      </c>
      <c r="L1749" s="3296">
        <f>L1972</f>
        <v>2.8</v>
      </c>
      <c r="M1749" s="328"/>
      <c r="N1749" s="1587"/>
      <c r="O1749" s="1135"/>
      <c r="P1749" s="123"/>
      <c r="Q1749" s="123"/>
      <c r="R1749" s="1431"/>
      <c r="S1749" s="123"/>
      <c r="T1749" s="123"/>
      <c r="U1749" s="1589"/>
      <c r="V1749" s="1958" t="s">
        <v>31</v>
      </c>
      <c r="W1749" s="818"/>
      <c r="X1749" s="819"/>
      <c r="Y1749" s="742"/>
      <c r="Z1749" s="737"/>
      <c r="AA1749" s="737"/>
      <c r="AB1749" s="2162"/>
      <c r="AC1749" s="742">
        <v>556.16</v>
      </c>
      <c r="AD1749" s="818"/>
      <c r="AE1749" s="818"/>
      <c r="AF1749" s="818"/>
      <c r="AG1749" s="818"/>
      <c r="AH1749" s="163"/>
      <c r="AK1749" s="820"/>
      <c r="BB1749" s="244">
        <f>(BD1749+BD1750)/(BE1749+BE1750)</f>
        <v>0.61501344748545006</v>
      </c>
      <c r="BC1749" s="3049" t="str">
        <f t="shared" si="185"/>
        <v>Cooling Res 18 Year EUL</v>
      </c>
      <c r="BD1749" s="673">
        <f>(INDEX('Avoided Cost Benefits'!$C$4:$C$857,MATCH(BC1749,'Avoided Cost Benefits'!$A$4:$A$857,0)))*F1749</f>
        <v>980.95927724065086</v>
      </c>
      <c r="BE1749" s="1949">
        <f t="shared" si="191"/>
        <v>1595.0208588957046</v>
      </c>
      <c r="BG1749" s="691"/>
      <c r="BH1749" s="824"/>
      <c r="BI1749" s="691"/>
    </row>
    <row r="1750" spans="1:61" s="1942" customFormat="1" x14ac:dyDescent="0.25">
      <c r="A1750" s="1267"/>
      <c r="B1750" s="123"/>
      <c r="C1750" s="2038" t="s">
        <v>1520</v>
      </c>
      <c r="D1750" s="2695" t="s">
        <v>322</v>
      </c>
      <c r="E1750" s="3005" t="s">
        <v>1521</v>
      </c>
      <c r="F1750" s="742">
        <v>0</v>
      </c>
      <c r="G1750" s="2042" t="s">
        <v>1135</v>
      </c>
      <c r="H1750" s="2867">
        <f>VLOOKUP(G1750,'CP FACTORS'!$A$3:$B$38, 2, FALSE)</f>
        <v>0</v>
      </c>
      <c r="I1750" s="2757">
        <f t="shared" si="184"/>
        <v>0</v>
      </c>
      <c r="J1750" s="116">
        <f t="shared" si="188"/>
        <v>18</v>
      </c>
      <c r="K1750" s="3294">
        <f t="shared" si="189"/>
        <v>0</v>
      </c>
      <c r="L1750" s="3296"/>
      <c r="M1750" s="328"/>
      <c r="N1750" s="1587"/>
      <c r="O1750" s="1135"/>
      <c r="P1750" s="123"/>
      <c r="Q1750" s="123"/>
      <c r="R1750" s="1431"/>
      <c r="S1750" s="123"/>
      <c r="T1750" s="123"/>
      <c r="U1750" s="1589"/>
      <c r="V1750" s="1958" t="s">
        <v>31</v>
      </c>
      <c r="W1750" s="818"/>
      <c r="X1750" s="819"/>
      <c r="Y1750" s="742"/>
      <c r="Z1750" s="737"/>
      <c r="AA1750" s="737"/>
      <c r="AB1750" s="2162"/>
      <c r="AC1750" s="742">
        <v>0</v>
      </c>
      <c r="AD1750" s="818"/>
      <c r="AE1750" s="818"/>
      <c r="AF1750" s="818"/>
      <c r="AG1750" s="818"/>
      <c r="AH1750" s="163"/>
      <c r="AK1750" s="820"/>
      <c r="BB1750" s="242"/>
      <c r="BC1750" s="822" t="str">
        <f t="shared" si="185"/>
        <v>Heating Res 18 Year EUL</v>
      </c>
      <c r="BD1750" s="673">
        <f>(INDEX('Avoided Cost Benefits'!$C$4:$C$857,MATCH(BC1750,'Avoided Cost Benefits'!$A$4:$A$857,0)))*F1750</f>
        <v>0</v>
      </c>
      <c r="BE1750" s="1949">
        <f t="shared" si="191"/>
        <v>0</v>
      </c>
      <c r="BG1750" s="691"/>
      <c r="BH1750" s="824"/>
      <c r="BI1750" s="691"/>
    </row>
    <row r="1751" spans="1:61" s="1942" customFormat="1" x14ac:dyDescent="0.25">
      <c r="A1751" s="1267"/>
      <c r="B1751" s="123"/>
      <c r="C1751" s="2038" t="s">
        <v>1522</v>
      </c>
      <c r="D1751" s="2695" t="s">
        <v>317</v>
      </c>
      <c r="E1751" s="3007" t="s">
        <v>1523</v>
      </c>
      <c r="F1751" s="742">
        <f>ROUND(((K2721*K2908*(1/K3095-1/K3282)*K3469)/1000)*$K$3484,2)</f>
        <v>404.48</v>
      </c>
      <c r="G1751" s="2042" t="s">
        <v>1134</v>
      </c>
      <c r="H1751" s="2867">
        <f>VLOOKUP(G1751,'CP FACTORS'!$A$3:$B$38, 2, FALSE)</f>
        <v>9.4741810000000004E-4</v>
      </c>
      <c r="I1751" s="2757">
        <f t="shared" si="184"/>
        <v>0.383212</v>
      </c>
      <c r="J1751" s="116">
        <f t="shared" si="188"/>
        <v>18</v>
      </c>
      <c r="K1751" s="3294">
        <f t="shared" si="189"/>
        <v>1689.9245999999991</v>
      </c>
      <c r="L1751" s="3296">
        <f>L1973</f>
        <v>2.8</v>
      </c>
      <c r="M1751" s="328"/>
      <c r="N1751" s="1587"/>
      <c r="O1751" s="1135"/>
      <c r="P1751" s="123"/>
      <c r="Q1751" s="123"/>
      <c r="R1751" s="1431"/>
      <c r="S1751" s="123"/>
      <c r="T1751" s="123"/>
      <c r="U1751" s="1589"/>
      <c r="V1751" s="1958" t="s">
        <v>31</v>
      </c>
      <c r="W1751" s="818"/>
      <c r="X1751" s="819"/>
      <c r="Y1751" s="742"/>
      <c r="Z1751" s="737"/>
      <c r="AA1751" s="737"/>
      <c r="AB1751" s="2162"/>
      <c r="AC1751" s="742">
        <v>404.48</v>
      </c>
      <c r="AD1751" s="818"/>
      <c r="AE1751" s="818"/>
      <c r="AF1751" s="818"/>
      <c r="AG1751" s="818"/>
      <c r="AH1751" s="163"/>
      <c r="AK1751" s="820"/>
      <c r="BB1751" s="244">
        <f>(BD1751+BD1752)/(BE1751+BE1752)</f>
        <v>0.44728250726214558</v>
      </c>
      <c r="BC1751" s="3049" t="str">
        <f t="shared" si="185"/>
        <v>Cooling Res 18 Year EUL</v>
      </c>
      <c r="BD1751" s="673">
        <f>(INDEX('Avoided Cost Benefits'!$C$4:$C$857,MATCH(BC1751,'Avoided Cost Benefits'!$A$4:$A$857,0)))*F1751</f>
        <v>713.42492890229164</v>
      </c>
      <c r="BE1751" s="1949">
        <f t="shared" si="191"/>
        <v>1595.0208588957046</v>
      </c>
      <c r="BG1751" s="691"/>
      <c r="BH1751" s="824"/>
      <c r="BI1751" s="691"/>
    </row>
    <row r="1752" spans="1:61" s="1942" customFormat="1" x14ac:dyDescent="0.25">
      <c r="A1752" s="1267"/>
      <c r="B1752" s="123"/>
      <c r="C1752" s="2038" t="s">
        <v>1522</v>
      </c>
      <c r="D1752" s="2695" t="s">
        <v>317</v>
      </c>
      <c r="E1752" s="3007" t="s">
        <v>1523</v>
      </c>
      <c r="F1752" s="742">
        <f>0</f>
        <v>0</v>
      </c>
      <c r="G1752" s="2042" t="s">
        <v>1135</v>
      </c>
      <c r="H1752" s="2867">
        <f>VLOOKUP(G1752,'CP FACTORS'!$A$3:$B$38, 2, FALSE)</f>
        <v>0</v>
      </c>
      <c r="I1752" s="2757">
        <f t="shared" si="184"/>
        <v>0</v>
      </c>
      <c r="J1752" s="116">
        <f t="shared" si="188"/>
        <v>18</v>
      </c>
      <c r="K1752" s="3294">
        <f t="shared" si="189"/>
        <v>0</v>
      </c>
      <c r="L1752" s="3296"/>
      <c r="M1752" s="328"/>
      <c r="N1752" s="1587"/>
      <c r="O1752" s="1135"/>
      <c r="P1752" s="123"/>
      <c r="Q1752" s="123"/>
      <c r="R1752" s="1431"/>
      <c r="S1752" s="123"/>
      <c r="T1752" s="123"/>
      <c r="U1752" s="1589"/>
      <c r="V1752" s="1958" t="s">
        <v>31</v>
      </c>
      <c r="W1752" s="818"/>
      <c r="X1752" s="819"/>
      <c r="Y1752" s="742"/>
      <c r="Z1752" s="737"/>
      <c r="AA1752" s="737"/>
      <c r="AB1752" s="2162"/>
      <c r="AC1752" s="742">
        <v>0</v>
      </c>
      <c r="AD1752" s="818"/>
      <c r="AE1752" s="818"/>
      <c r="AF1752" s="818"/>
      <c r="AG1752" s="818"/>
      <c r="AH1752" s="163"/>
      <c r="AK1752" s="820"/>
      <c r="BB1752" s="242"/>
      <c r="BC1752" s="3049" t="str">
        <f t="shared" si="185"/>
        <v>Heating Res 18 Year EUL</v>
      </c>
      <c r="BD1752" s="673">
        <f>(INDEX('Avoided Cost Benefits'!$C$4:$C$857,MATCH(BC1752,'Avoided Cost Benefits'!$A$4:$A$857,0)))*F1752</f>
        <v>0</v>
      </c>
      <c r="BE1752" s="1949">
        <f t="shared" si="191"/>
        <v>0</v>
      </c>
      <c r="BG1752" s="691"/>
      <c r="BH1752" s="824"/>
      <c r="BI1752" s="691"/>
    </row>
    <row r="1753" spans="1:61" s="51" customFormat="1" x14ac:dyDescent="0.25">
      <c r="A1753" s="1267" t="str">
        <f t="shared" si="186"/>
        <v>354900_2019_12_Cooling Res</v>
      </c>
      <c r="B1753" s="123"/>
      <c r="C1753" s="1471" t="s">
        <v>1524</v>
      </c>
      <c r="D1753" s="1553" t="s">
        <v>322</v>
      </c>
      <c r="E1753" s="2878" t="s">
        <v>1525</v>
      </c>
      <c r="F1753" s="782">
        <f>ROUND(((K2722*K2909*(1/K3096-1/K3283)*K3470)/1000)*$K$3484,2)</f>
        <v>1620.1</v>
      </c>
      <c r="G1753" s="214" t="s">
        <v>1134</v>
      </c>
      <c r="H1753" s="155">
        <f>VLOOKUP(G1753,'CP FACTORS'!$A$3:$B$38, 2, FALSE)</f>
        <v>9.4741810000000004E-4</v>
      </c>
      <c r="I1753" s="1554">
        <f t="shared" ref="I1753:I1780" si="192">ROUND(F1753*H1753,6)</f>
        <v>1.5349120000000001</v>
      </c>
      <c r="J1753" s="108">
        <f t="shared" si="188"/>
        <v>6</v>
      </c>
      <c r="K1753" s="1052">
        <f t="shared" si="189"/>
        <v>2202.4463238752733</v>
      </c>
      <c r="L1753" s="1088">
        <f>L1974</f>
        <v>3.3</v>
      </c>
      <c r="M1753" s="328"/>
      <c r="N1753" s="1587"/>
      <c r="O1753" s="1135"/>
      <c r="P1753" s="123"/>
      <c r="Q1753" s="123"/>
      <c r="R1753" s="1431"/>
      <c r="S1753" s="123"/>
      <c r="T1753" s="123"/>
      <c r="U1753" s="1589"/>
      <c r="V1753" s="1962" t="s">
        <v>31</v>
      </c>
      <c r="W1753" s="818">
        <v>2041.5292857142858</v>
      </c>
      <c r="X1753" s="819">
        <v>1620.0955822328933</v>
      </c>
      <c r="Y1753" s="737">
        <v>1620.1</v>
      </c>
      <c r="Z1753" s="737">
        <v>1620.1</v>
      </c>
      <c r="AA1753" s="737">
        <v>1620.1</v>
      </c>
      <c r="AB1753" s="2162">
        <v>1620.1</v>
      </c>
      <c r="AC1753" s="782">
        <v>1620.1</v>
      </c>
      <c r="AD1753" s="818"/>
      <c r="AE1753" s="818"/>
      <c r="AF1753" s="818"/>
      <c r="AG1753" s="818"/>
      <c r="AH1753" s="163"/>
      <c r="AI1753" s="1942"/>
      <c r="AJ1753" s="1942"/>
      <c r="AK1753" s="820"/>
      <c r="AL1753" s="1942"/>
      <c r="AM1753" s="1942"/>
      <c r="AN1753" s="1942"/>
      <c r="AO1753" s="1942"/>
      <c r="AP1753" s="1942"/>
      <c r="AQ1753" s="1942"/>
      <c r="AR1753" s="1942"/>
      <c r="AS1753" s="1942"/>
      <c r="AT1753" s="1942"/>
      <c r="AU1753" s="1942"/>
      <c r="AV1753" s="1942"/>
      <c r="AW1753" s="1942"/>
      <c r="AX1753" s="1942"/>
      <c r="AY1753" s="1942"/>
      <c r="AZ1753" s="1942"/>
      <c r="BA1753" s="1942"/>
      <c r="BB1753" s="244">
        <f>(BD1753+BD1754+BD1755+BD1756)/(BE1753+BE1754+BE1755+BE1756)</f>
        <v>0.99142521406446316</v>
      </c>
      <c r="BC1753" s="3115" t="str">
        <f t="shared" ref="BC1753:BC1758" si="193">CONCATENATE(G1753," ",J1753," Year EUL")</f>
        <v>Cooling Res 6 Year EUL</v>
      </c>
      <c r="BD1753" s="673">
        <f>(INDEX('Avoided Cost Benefits'!$C$4:$C$857,MATCH(BC1753,'Avoided Cost Benefits'!$A$4:$A$857,0)))*F1753</f>
        <v>942.06249237100542</v>
      </c>
      <c r="BE1753" s="1949">
        <f t="shared" si="191"/>
        <v>2078.7600980417869</v>
      </c>
      <c r="BF1753" s="1942"/>
      <c r="BG1753" s="691"/>
      <c r="BH1753" s="821"/>
      <c r="BI1753" s="691"/>
    </row>
    <row r="1754" spans="1:61" s="51" customFormat="1" x14ac:dyDescent="0.25">
      <c r="A1754" s="1267" t="str">
        <f t="shared" si="186"/>
        <v>354900_2019_12_Heating Res</v>
      </c>
      <c r="B1754" s="123"/>
      <c r="C1754" s="1471" t="s">
        <v>1524</v>
      </c>
      <c r="D1754" s="1553" t="s">
        <v>322</v>
      </c>
      <c r="E1754" s="3007" t="s">
        <v>1525</v>
      </c>
      <c r="F1754" s="782">
        <f>ROUND(((K1974*K2161*(1/K2348-1/K2535)*K3470)/1000)*$K$3484,2)</f>
        <v>1798.76</v>
      </c>
      <c r="G1754" s="214" t="s">
        <v>1135</v>
      </c>
      <c r="H1754" s="155">
        <f>VLOOKUP(G1754,'CP FACTORS'!$A$3:$B$38, 2, FALSE)</f>
        <v>0</v>
      </c>
      <c r="I1754" s="1554">
        <f t="shared" si="192"/>
        <v>0</v>
      </c>
      <c r="J1754" s="108">
        <f t="shared" si="188"/>
        <v>6</v>
      </c>
      <c r="K1754" s="1052">
        <f t="shared" si="189"/>
        <v>0</v>
      </c>
      <c r="L1754" s="1088"/>
      <c r="M1754" s="328"/>
      <c r="N1754" s="1587"/>
      <c r="O1754" s="1135"/>
      <c r="P1754" s="123"/>
      <c r="Q1754" s="123"/>
      <c r="R1754" s="1431"/>
      <c r="S1754" s="123"/>
      <c r="T1754" s="123"/>
      <c r="U1754" s="1589"/>
      <c r="V1754" s="1962" t="s">
        <v>31</v>
      </c>
      <c r="W1754" s="818">
        <v>4062.4872213622284</v>
      </c>
      <c r="X1754" s="819">
        <v>1798.7611070228763</v>
      </c>
      <c r="Y1754" s="737">
        <v>1798.76</v>
      </c>
      <c r="Z1754" s="737">
        <v>1798.76</v>
      </c>
      <c r="AA1754" s="737">
        <v>1798.76</v>
      </c>
      <c r="AB1754" s="2162">
        <v>1798.76</v>
      </c>
      <c r="AC1754" s="782">
        <v>1798.76</v>
      </c>
      <c r="AD1754" s="818"/>
      <c r="AE1754" s="818"/>
      <c r="AF1754" s="818"/>
      <c r="AG1754" s="818"/>
      <c r="AH1754" s="163"/>
      <c r="AI1754" s="1942"/>
      <c r="AJ1754" s="1942"/>
      <c r="AK1754" s="820"/>
      <c r="AL1754" s="1942"/>
      <c r="AM1754" s="1942"/>
      <c r="AN1754" s="1942"/>
      <c r="AO1754" s="1942"/>
      <c r="AP1754" s="1942"/>
      <c r="AQ1754" s="1942"/>
      <c r="AR1754" s="1942"/>
      <c r="AS1754" s="1942"/>
      <c r="AT1754" s="1942"/>
      <c r="AU1754" s="1942"/>
      <c r="AV1754" s="1942"/>
      <c r="AW1754" s="1942"/>
      <c r="AX1754" s="1942"/>
      <c r="AY1754" s="1942"/>
      <c r="AZ1754" s="1942"/>
      <c r="BA1754" s="1942"/>
      <c r="BB1754" s="734"/>
      <c r="BC1754" s="3130" t="str">
        <f t="shared" si="193"/>
        <v>Heating Res 6 Year EUL</v>
      </c>
      <c r="BD1754" s="673">
        <f>(INDEX('Avoided Cost Benefits'!$C$4:$C$857,MATCH(BC1754,'Avoided Cost Benefits'!$A$4:$A$857,0)))*F1754</f>
        <v>299.19405404813961</v>
      </c>
      <c r="BE1754" s="1949">
        <f t="shared" si="191"/>
        <v>0</v>
      </c>
      <c r="BF1754" s="1942"/>
      <c r="BG1754" s="691"/>
      <c r="BH1754" s="821"/>
      <c r="BI1754" s="691"/>
    </row>
    <row r="1755" spans="1:61" s="51" customFormat="1" x14ac:dyDescent="0.25">
      <c r="A1755" s="1267" t="str">
        <f t="shared" si="186"/>
        <v>354900_2019_12_Cooling Res ER2</v>
      </c>
      <c r="B1755" s="123"/>
      <c r="C1755" s="1471" t="s">
        <v>1524</v>
      </c>
      <c r="D1755" s="1553" t="s">
        <v>322</v>
      </c>
      <c r="E1755" s="3007" t="s">
        <v>1526</v>
      </c>
      <c r="F1755" s="782">
        <f>ROUND(((K2723*K2910*(1/K3097-1/K3284)*K3471)/1000)*$K$3484,2)</f>
        <v>532.57000000000005</v>
      </c>
      <c r="G1755" s="1580" t="s">
        <v>1176</v>
      </c>
      <c r="H1755" s="155">
        <f>VLOOKUP(G1755,'CP FACTORS'!$A$3:$B$38, 2, FALSE)</f>
        <v>9.4741810000000004E-4</v>
      </c>
      <c r="I1755" s="1554">
        <f t="shared" si="192"/>
        <v>0.50456599999999996</v>
      </c>
      <c r="J1755" s="108">
        <f t="shared" si="188"/>
        <v>12</v>
      </c>
      <c r="K1755" s="1052">
        <f t="shared" si="189"/>
        <v>0</v>
      </c>
      <c r="L1755" s="1088"/>
      <c r="M1755" s="328"/>
      <c r="N1755" s="1587"/>
      <c r="O1755" s="1135"/>
      <c r="P1755" s="123"/>
      <c r="Q1755" s="123"/>
      <c r="R1755" s="1431"/>
      <c r="S1755" s="123"/>
      <c r="T1755" s="123"/>
      <c r="U1755" s="1589"/>
      <c r="V1755" s="1962" t="s">
        <v>31</v>
      </c>
      <c r="W1755" s="818">
        <v>532.57285714285706</v>
      </c>
      <c r="X1755" s="825">
        <v>532.57285714285706</v>
      </c>
      <c r="Y1755" s="737">
        <v>532.57000000000005</v>
      </c>
      <c r="Z1755" s="737">
        <v>532.57000000000005</v>
      </c>
      <c r="AA1755" s="737">
        <v>532.57000000000005</v>
      </c>
      <c r="AB1755" s="2162">
        <v>532.57000000000005</v>
      </c>
      <c r="AC1755" s="782">
        <v>532.57000000000005</v>
      </c>
      <c r="AD1755" s="818"/>
      <c r="AE1755" s="818"/>
      <c r="AF1755" s="818"/>
      <c r="AG1755" s="818"/>
      <c r="AH1755" s="163"/>
      <c r="AI1755" s="1942"/>
      <c r="AJ1755" s="1942"/>
      <c r="AK1755" s="820"/>
      <c r="AL1755" s="1942"/>
      <c r="AM1755" s="1942"/>
      <c r="AN1755" s="1942"/>
      <c r="AO1755" s="1942"/>
      <c r="AP1755" s="1942"/>
      <c r="AQ1755" s="1942"/>
      <c r="AR1755" s="1942"/>
      <c r="AS1755" s="1942"/>
      <c r="AT1755" s="1942"/>
      <c r="AU1755" s="1942"/>
      <c r="AV1755" s="1942"/>
      <c r="AW1755" s="1942"/>
      <c r="AX1755" s="1942"/>
      <c r="AY1755" s="1942"/>
      <c r="AZ1755" s="1942"/>
      <c r="BA1755" s="1942"/>
      <c r="BB1755" s="734"/>
      <c r="BC1755" s="3130" t="str">
        <f t="shared" si="193"/>
        <v>Cooling Res ER2 12 Year EUL</v>
      </c>
      <c r="BD1755" s="673">
        <f>(INDEX('Avoided Cost Benefits'!$C$4:$C$857,MATCH(BC1755,'Avoided Cost Benefits'!$A$4:$A$857,0)))*F1755</f>
        <v>629.67003350287655</v>
      </c>
      <c r="BE1755" s="1949">
        <f t="shared" si="191"/>
        <v>0</v>
      </c>
      <c r="BF1755" s="1942"/>
      <c r="BG1755" s="691"/>
      <c r="BH1755" s="821"/>
      <c r="BI1755" s="691"/>
    </row>
    <row r="1756" spans="1:61" s="51" customFormat="1" x14ac:dyDescent="0.25">
      <c r="A1756" s="1267" t="str">
        <f t="shared" si="186"/>
        <v>354900_2019_12_Heating Res ER2</v>
      </c>
      <c r="B1756" s="123"/>
      <c r="C1756" s="1471" t="s">
        <v>1524</v>
      </c>
      <c r="D1756" s="1553" t="s">
        <v>322</v>
      </c>
      <c r="E1756" s="3005" t="s">
        <v>1526</v>
      </c>
      <c r="F1756" s="782">
        <f>ROUND(((K1975*K2162*(1/K2349-1/K2536)*K3471)/1000)*$K$3484,2)</f>
        <v>642.61</v>
      </c>
      <c r="G1756" s="1580" t="s">
        <v>1195</v>
      </c>
      <c r="H1756" s="155">
        <f>VLOOKUP(G1756,'CP FACTORS'!$A$3:$B$38, 2, FALSE)</f>
        <v>0</v>
      </c>
      <c r="I1756" s="1554">
        <f t="shared" si="192"/>
        <v>0</v>
      </c>
      <c r="J1756" s="108">
        <f t="shared" si="188"/>
        <v>12</v>
      </c>
      <c r="K1756" s="1052">
        <f t="shared" si="189"/>
        <v>0</v>
      </c>
      <c r="L1756" s="1088"/>
      <c r="M1756" s="328"/>
      <c r="N1756" s="1587"/>
      <c r="O1756" s="1135"/>
      <c r="P1756" s="123"/>
      <c r="Q1756" s="123"/>
      <c r="R1756" s="1431"/>
      <c r="S1756" s="123"/>
      <c r="T1756" s="123"/>
      <c r="U1756" s="1589"/>
      <c r="V1756" s="1962" t="s">
        <v>31</v>
      </c>
      <c r="W1756" s="818">
        <v>862.96736842105349</v>
      </c>
      <c r="X1756" s="819">
        <v>642.6078562259313</v>
      </c>
      <c r="Y1756" s="737">
        <v>642.61</v>
      </c>
      <c r="Z1756" s="737">
        <v>642.61</v>
      </c>
      <c r="AA1756" s="737">
        <v>642.61</v>
      </c>
      <c r="AB1756" s="2162">
        <v>642.61</v>
      </c>
      <c r="AC1756" s="782">
        <v>642.61</v>
      </c>
      <c r="AD1756" s="818"/>
      <c r="AE1756" s="818"/>
      <c r="AF1756" s="818"/>
      <c r="AG1756" s="818"/>
      <c r="AH1756" s="163"/>
      <c r="AI1756" s="1942"/>
      <c r="AJ1756" s="1942"/>
      <c r="AK1756" s="820"/>
      <c r="AL1756" s="1942"/>
      <c r="AM1756" s="1942"/>
      <c r="AN1756" s="1942"/>
      <c r="AO1756" s="1942"/>
      <c r="AP1756" s="1942"/>
      <c r="AQ1756" s="1942"/>
      <c r="AR1756" s="1942"/>
      <c r="AS1756" s="1942"/>
      <c r="AT1756" s="1942"/>
      <c r="AU1756" s="1942"/>
      <c r="AV1756" s="1942"/>
      <c r="AW1756" s="1942"/>
      <c r="AX1756" s="1942"/>
      <c r="AY1756" s="1942"/>
      <c r="AZ1756" s="1942"/>
      <c r="BA1756" s="1942"/>
      <c r="BB1756" s="734"/>
      <c r="BC1756" s="3116" t="str">
        <f t="shared" si="193"/>
        <v>Heating Res ER2 12 Year EUL</v>
      </c>
      <c r="BD1756" s="673">
        <f>(INDEX('Avoided Cost Benefits'!$C$4:$C$857,MATCH(BC1756,'Avoided Cost Benefits'!$A$4:$A$857,0)))*F1756</f>
        <v>190.00859526772157</v>
      </c>
      <c r="BE1756" s="1949">
        <f t="shared" si="191"/>
        <v>0</v>
      </c>
      <c r="BF1756" s="1942"/>
      <c r="BG1756" s="691"/>
      <c r="BH1756" s="821"/>
      <c r="BI1756" s="691"/>
    </row>
    <row r="1757" spans="1:61" s="51" customFormat="1" x14ac:dyDescent="0.25">
      <c r="A1757" s="1267" t="str">
        <f t="shared" si="186"/>
        <v>354901_2019_12_Cooling Res</v>
      </c>
      <c r="B1757" s="123"/>
      <c r="C1757" s="1471" t="s">
        <v>1527</v>
      </c>
      <c r="D1757" s="1553" t="s">
        <v>317</v>
      </c>
      <c r="E1757" s="2878" t="s">
        <v>1528</v>
      </c>
      <c r="F1757" s="782">
        <f>ROUND((($K$2724*$K$2911*(1/$K$3098-1/$K$3285)*$K$3472)/1000)*$K$3484,2)</f>
        <v>1178.25</v>
      </c>
      <c r="G1757" s="214" t="str">
        <f t="shared" ref="G1757:G1760" si="194">G1753</f>
        <v>Cooling Res</v>
      </c>
      <c r="H1757" s="155">
        <f>VLOOKUP(G1757,'CP FACTORS'!$A$3:$B$38, 2, FALSE)</f>
        <v>9.4741810000000004E-4</v>
      </c>
      <c r="I1757" s="1554">
        <f t="shared" si="192"/>
        <v>1.116295</v>
      </c>
      <c r="J1757" s="108">
        <f t="shared" si="188"/>
        <v>6</v>
      </c>
      <c r="K1757" s="3294">
        <f t="shared" si="189"/>
        <v>2202.4463238752733</v>
      </c>
      <c r="L1757" s="3296">
        <f>L1976</f>
        <v>3.3</v>
      </c>
      <c r="M1757" s="328"/>
      <c r="N1757" s="1587"/>
      <c r="O1757" s="1135"/>
      <c r="P1757" s="123"/>
      <c r="Q1757" s="123"/>
      <c r="R1757" s="1431"/>
      <c r="S1757" s="123"/>
      <c r="T1757" s="123"/>
      <c r="U1757" s="1589"/>
      <c r="V1757" s="1962" t="s">
        <v>31</v>
      </c>
      <c r="W1757" s="818"/>
      <c r="X1757" s="819"/>
      <c r="Y1757" s="742">
        <v>1178.25</v>
      </c>
      <c r="Z1757" s="737">
        <v>1178.25</v>
      </c>
      <c r="AA1757" s="737">
        <v>1178.25</v>
      </c>
      <c r="AB1757" s="2162">
        <v>1178.25</v>
      </c>
      <c r="AC1757" s="782">
        <v>1178.25</v>
      </c>
      <c r="AD1757" s="818"/>
      <c r="AE1757" s="818"/>
      <c r="AF1757" s="818"/>
      <c r="AG1757" s="818"/>
      <c r="AH1757" s="163"/>
      <c r="AI1757" s="1942"/>
      <c r="AJ1757" s="1942"/>
      <c r="AK1757" s="820"/>
      <c r="AL1757" s="1942"/>
      <c r="AM1757" s="1942"/>
      <c r="AN1757" s="1942"/>
      <c r="AO1757" s="1942"/>
      <c r="AP1757" s="1942"/>
      <c r="AQ1757" s="1942"/>
      <c r="AR1757" s="1942"/>
      <c r="AS1757" s="1942"/>
      <c r="AT1757" s="1942"/>
      <c r="AU1757" s="1942"/>
      <c r="AV1757" s="1942"/>
      <c r="AW1757" s="1942"/>
      <c r="AX1757" s="1942"/>
      <c r="AY1757" s="1942"/>
      <c r="AZ1757" s="1942"/>
      <c r="BA1757" s="1942"/>
      <c r="BB1757" s="244">
        <f>(BD1757+BD1758+BD1759+BD1760)/(BE1757+BE1758+BE1759+BE1760)</f>
        <v>0.63011390195139227</v>
      </c>
      <c r="BC1757" s="3115" t="str">
        <f t="shared" si="193"/>
        <v>Cooling Res 6 Year EUL</v>
      </c>
      <c r="BD1757" s="673">
        <f>(INDEX('Avoided Cost Benefits'!$C$4:$C$857,MATCH(BC1757,'Avoided Cost Benefits'!$A$4:$A$857,0)))*F1757</f>
        <v>685.13371497817241</v>
      </c>
      <c r="BE1757" s="1949">
        <f t="shared" si="191"/>
        <v>2078.7600980417869</v>
      </c>
      <c r="BF1757" s="1942"/>
      <c r="BG1757" s="691"/>
      <c r="BH1757" s="824"/>
      <c r="BI1757" s="691"/>
    </row>
    <row r="1758" spans="1:61" s="51" customFormat="1" x14ac:dyDescent="0.25">
      <c r="A1758" s="1267" t="str">
        <f t="shared" si="186"/>
        <v>354901_2019_12_Heating Res</v>
      </c>
      <c r="B1758" s="123"/>
      <c r="C1758" s="1471" t="str">
        <f>C1757</f>
        <v>354901_2019_12_</v>
      </c>
      <c r="D1758" s="1553" t="s">
        <v>317</v>
      </c>
      <c r="E1758" s="3007" t="s">
        <v>1528</v>
      </c>
      <c r="F1758" s="782">
        <f>ROUND((($K$1976*$K$2163*(1/$K$2350-1/$K$2537)*$K$3472)/1000)*$K$3484,2)</f>
        <v>613.21</v>
      </c>
      <c r="G1758" s="214" t="str">
        <f t="shared" si="194"/>
        <v>Heating Res</v>
      </c>
      <c r="H1758" s="155">
        <f>VLOOKUP(G1758,'CP FACTORS'!$A$3:$B$38, 2, FALSE)</f>
        <v>0</v>
      </c>
      <c r="I1758" s="1554">
        <f t="shared" si="192"/>
        <v>0</v>
      </c>
      <c r="J1758" s="108">
        <f t="shared" si="188"/>
        <v>6</v>
      </c>
      <c r="K1758" s="1052">
        <f t="shared" si="189"/>
        <v>0</v>
      </c>
      <c r="L1758" s="1088"/>
      <c r="M1758" s="328"/>
      <c r="N1758" s="1587"/>
      <c r="O1758" s="1135"/>
      <c r="P1758" s="123"/>
      <c r="Q1758" s="123"/>
      <c r="R1758" s="1431"/>
      <c r="S1758" s="123"/>
      <c r="T1758" s="123"/>
      <c r="U1758" s="1589"/>
      <c r="V1758" s="1962" t="s">
        <v>31</v>
      </c>
      <c r="W1758" s="818"/>
      <c r="X1758" s="819"/>
      <c r="Y1758" s="742">
        <v>613.21</v>
      </c>
      <c r="Z1758" s="737">
        <v>613.21</v>
      </c>
      <c r="AA1758" s="737">
        <v>613.21</v>
      </c>
      <c r="AB1758" s="2162">
        <v>613.21</v>
      </c>
      <c r="AC1758" s="782">
        <v>613.21</v>
      </c>
      <c r="AD1758" s="818"/>
      <c r="AE1758" s="818"/>
      <c r="AF1758" s="818"/>
      <c r="AG1758" s="818"/>
      <c r="AH1758" s="163"/>
      <c r="AI1758" s="1942"/>
      <c r="AJ1758" s="1942"/>
      <c r="AK1758" s="820"/>
      <c r="AL1758" s="1942"/>
      <c r="AM1758" s="1942"/>
      <c r="AN1758" s="1942"/>
      <c r="AO1758" s="1942"/>
      <c r="AP1758" s="1942"/>
      <c r="AQ1758" s="1942"/>
      <c r="AR1758" s="1942"/>
      <c r="AS1758" s="1942"/>
      <c r="AT1758" s="1942"/>
      <c r="AU1758" s="1942"/>
      <c r="AV1758" s="1942"/>
      <c r="AW1758" s="1942"/>
      <c r="AX1758" s="1942"/>
      <c r="AY1758" s="1942"/>
      <c r="AZ1758" s="1942"/>
      <c r="BA1758" s="1942"/>
      <c r="BB1758" s="734"/>
      <c r="BC1758" s="3130" t="str">
        <f t="shared" si="193"/>
        <v>Heating Res 6 Year EUL</v>
      </c>
      <c r="BD1758" s="673">
        <f>(INDEX('Avoided Cost Benefits'!$C$4:$C$857,MATCH(BC1758,'Avoided Cost Benefits'!$A$4:$A$857,0)))*F1758</f>
        <v>101.99736812185043</v>
      </c>
      <c r="BE1758" s="1949">
        <f t="shared" si="191"/>
        <v>0</v>
      </c>
      <c r="BF1758" s="1942"/>
      <c r="BG1758" s="691"/>
      <c r="BH1758" s="824"/>
      <c r="BI1758" s="691"/>
    </row>
    <row r="1759" spans="1:61" s="51" customFormat="1" x14ac:dyDescent="0.25">
      <c r="A1759" s="1267" t="str">
        <f t="shared" si="186"/>
        <v>354901_2019_12_Cooling Res ER2</v>
      </c>
      <c r="B1759" s="123"/>
      <c r="C1759" s="1471" t="str">
        <f>C1758</f>
        <v>354901_2019_12_</v>
      </c>
      <c r="D1759" s="1553" t="s">
        <v>317</v>
      </c>
      <c r="E1759" s="3007" t="s">
        <v>1529</v>
      </c>
      <c r="F1759" s="782">
        <f>ROUND((($K$2725*$K$2912*(1/$K$3099-1/$K$3286)*$K$3473)/1000)*$K$3484,2)</f>
        <v>387.33</v>
      </c>
      <c r="G1759" s="214" t="str">
        <f t="shared" si="194"/>
        <v>Cooling Res ER2</v>
      </c>
      <c r="H1759" s="155">
        <f>VLOOKUP(G1759,'CP FACTORS'!$A$3:$B$38, 2, FALSE)</f>
        <v>9.4741810000000004E-4</v>
      </c>
      <c r="I1759" s="1554">
        <f t="shared" si="192"/>
        <v>0.36696299999999998</v>
      </c>
      <c r="J1759" s="108">
        <f t="shared" si="188"/>
        <v>12</v>
      </c>
      <c r="K1759" s="1052">
        <f t="shared" si="189"/>
        <v>0</v>
      </c>
      <c r="L1759" s="1088"/>
      <c r="M1759" s="328"/>
      <c r="N1759" s="1587"/>
      <c r="O1759" s="1135"/>
      <c r="P1759" s="123"/>
      <c r="Q1759" s="123"/>
      <c r="R1759" s="1431"/>
      <c r="S1759" s="123"/>
      <c r="T1759" s="123"/>
      <c r="U1759" s="1589"/>
      <c r="V1759" s="1962" t="s">
        <v>31</v>
      </c>
      <c r="W1759" s="818"/>
      <c r="X1759" s="819"/>
      <c r="Y1759" s="742">
        <v>387.33</v>
      </c>
      <c r="Z1759" s="737">
        <v>387.33</v>
      </c>
      <c r="AA1759" s="737">
        <v>387.33</v>
      </c>
      <c r="AB1759" s="2162">
        <v>387.33</v>
      </c>
      <c r="AC1759" s="782">
        <v>387.33</v>
      </c>
      <c r="AD1759" s="818"/>
      <c r="AE1759" s="818"/>
      <c r="AF1759" s="818"/>
      <c r="AG1759" s="818"/>
      <c r="AH1759" s="163"/>
      <c r="AI1759" s="1942"/>
      <c r="AJ1759" s="1942"/>
      <c r="AK1759" s="820"/>
      <c r="AL1759" s="1942"/>
      <c r="AM1759" s="1942"/>
      <c r="AN1759" s="1942"/>
      <c r="AO1759" s="1942"/>
      <c r="AP1759" s="1942"/>
      <c r="AQ1759" s="1942"/>
      <c r="AR1759" s="1942"/>
      <c r="AS1759" s="1942"/>
      <c r="AT1759" s="1942"/>
      <c r="AU1759" s="1942"/>
      <c r="AV1759" s="1942"/>
      <c r="AW1759" s="1942"/>
      <c r="AX1759" s="1942"/>
      <c r="AY1759" s="1942"/>
      <c r="AZ1759" s="1942"/>
      <c r="BA1759" s="1942"/>
      <c r="BB1759" s="734"/>
      <c r="BC1759" s="3130" t="str">
        <f t="shared" ref="BC1759:BC1780" si="195">CONCATENATE(G1759," ",J1759," Year EUL")</f>
        <v>Cooling Res ER2 12 Year EUL</v>
      </c>
      <c r="BD1759" s="673">
        <f>(INDEX('Avoided Cost Benefits'!$C$4:$C$857,MATCH(BC1759,'Avoided Cost Benefits'!$A$4:$A$857,0)))*F1759</f>
        <v>457.94936642444958</v>
      </c>
      <c r="BE1759" s="1949">
        <f t="shared" si="191"/>
        <v>0</v>
      </c>
      <c r="BF1759" s="1942"/>
      <c r="BG1759" s="691"/>
      <c r="BH1759" s="824"/>
      <c r="BI1759" s="691"/>
    </row>
    <row r="1760" spans="1:61" s="51" customFormat="1" x14ac:dyDescent="0.25">
      <c r="A1760" s="1267" t="str">
        <f t="shared" si="186"/>
        <v>354901_2019_12_Heating Res ER2</v>
      </c>
      <c r="B1760" s="123"/>
      <c r="C1760" s="1471" t="str">
        <f>C1759</f>
        <v>354901_2019_12_</v>
      </c>
      <c r="D1760" s="1553" t="s">
        <v>317</v>
      </c>
      <c r="E1760" s="3005" t="s">
        <v>1529</v>
      </c>
      <c r="F1760" s="782">
        <f>ROUND((($K$1977*$K$2164*(1/$K$2351-1/$K$2538)*$K$3473)/1000)*$K$3484,2)</f>
        <v>219.07</v>
      </c>
      <c r="G1760" s="214" t="str">
        <f t="shared" si="194"/>
        <v>Heating Res ER2</v>
      </c>
      <c r="H1760" s="155">
        <f>VLOOKUP(G1760,'CP FACTORS'!$A$3:$B$38, 2, FALSE)</f>
        <v>0</v>
      </c>
      <c r="I1760" s="1554">
        <f t="shared" si="192"/>
        <v>0</v>
      </c>
      <c r="J1760" s="108">
        <f t="shared" si="188"/>
        <v>12</v>
      </c>
      <c r="K1760" s="1052">
        <f t="shared" si="189"/>
        <v>0</v>
      </c>
      <c r="L1760" s="1088"/>
      <c r="M1760" s="328"/>
      <c r="N1760" s="1587"/>
      <c r="O1760" s="1135"/>
      <c r="P1760" s="123"/>
      <c r="Q1760" s="123"/>
      <c r="R1760" s="1431"/>
      <c r="S1760" s="123"/>
      <c r="T1760" s="123"/>
      <c r="U1760" s="1589"/>
      <c r="V1760" s="1962" t="s">
        <v>31</v>
      </c>
      <c r="W1760" s="818"/>
      <c r="X1760" s="819"/>
      <c r="Y1760" s="742">
        <v>219.07</v>
      </c>
      <c r="Z1760" s="737">
        <v>219.07</v>
      </c>
      <c r="AA1760" s="737">
        <v>219.07</v>
      </c>
      <c r="AB1760" s="2162">
        <v>219.07</v>
      </c>
      <c r="AC1760" s="782">
        <v>219.07</v>
      </c>
      <c r="AD1760" s="818"/>
      <c r="AE1760" s="818"/>
      <c r="AF1760" s="818"/>
      <c r="AG1760" s="818"/>
      <c r="AH1760" s="163"/>
      <c r="AI1760" s="1942"/>
      <c r="AJ1760" s="1942"/>
      <c r="AK1760" s="820"/>
      <c r="AL1760" s="1942"/>
      <c r="AM1760" s="1942"/>
      <c r="AN1760" s="1942"/>
      <c r="AO1760" s="1942"/>
      <c r="AP1760" s="1942"/>
      <c r="AQ1760" s="1942"/>
      <c r="AR1760" s="1942"/>
      <c r="AS1760" s="1942"/>
      <c r="AT1760" s="1942"/>
      <c r="AU1760" s="1942"/>
      <c r="AV1760" s="1942"/>
      <c r="AW1760" s="1942"/>
      <c r="AX1760" s="1942"/>
      <c r="AY1760" s="1942"/>
      <c r="AZ1760" s="1942"/>
      <c r="BA1760" s="1942"/>
      <c r="BB1760" s="734"/>
      <c r="BC1760" s="3116" t="str">
        <f t="shared" si="195"/>
        <v>Heating Res ER2 12 Year EUL</v>
      </c>
      <c r="BD1760" s="673">
        <f>(INDEX('Avoided Cost Benefits'!$C$4:$C$857,MATCH(BC1760,'Avoided Cost Benefits'!$A$4:$A$857,0)))*F1760</f>
        <v>64.775187073496781</v>
      </c>
      <c r="BE1760" s="1949">
        <f t="shared" si="191"/>
        <v>0</v>
      </c>
      <c r="BF1760" s="1942"/>
      <c r="BG1760" s="691"/>
      <c r="BH1760" s="824"/>
      <c r="BI1760" s="691"/>
    </row>
    <row r="1761" spans="1:61" s="51" customFormat="1" x14ac:dyDescent="0.25">
      <c r="A1761" s="1267" t="str">
        <f t="shared" si="186"/>
        <v>354950_2019_12_Cooling Res</v>
      </c>
      <c r="B1761" s="123"/>
      <c r="C1761" s="1471" t="s">
        <v>1530</v>
      </c>
      <c r="D1761" s="1553" t="s">
        <v>322</v>
      </c>
      <c r="E1761" s="2965" t="s">
        <v>1531</v>
      </c>
      <c r="F1761" s="782">
        <f>ROUND(((K2726*K2913*(1/K3100-1/K3287)*K3474)/1000)*$K$3484,2)</f>
        <v>281.95</v>
      </c>
      <c r="G1761" s="214" t="s">
        <v>1134</v>
      </c>
      <c r="H1761" s="155">
        <f>VLOOKUP(G1761,'CP FACTORS'!$A$3:$B$38, 2, FALSE)</f>
        <v>9.4741810000000004E-4</v>
      </c>
      <c r="I1761" s="1554">
        <f t="shared" si="192"/>
        <v>0.267125</v>
      </c>
      <c r="J1761" s="108">
        <f t="shared" si="188"/>
        <v>18</v>
      </c>
      <c r="K1761" s="1052">
        <f t="shared" si="189"/>
        <v>724</v>
      </c>
      <c r="L1761" s="1088">
        <f>L1978</f>
        <v>3.3</v>
      </c>
      <c r="M1761" s="328"/>
      <c r="N1761" s="1587"/>
      <c r="O1761" s="1135"/>
      <c r="P1761" s="123"/>
      <c r="Q1761" s="123"/>
      <c r="R1761" s="1431"/>
      <c r="S1761" s="123"/>
      <c r="T1761" s="123"/>
      <c r="U1761" s="1589"/>
      <c r="V1761" s="1962" t="s">
        <v>31</v>
      </c>
      <c r="W1761" s="818">
        <v>281.95033613445372</v>
      </c>
      <c r="X1761" s="825">
        <v>281.95033613445372</v>
      </c>
      <c r="Y1761" s="737">
        <v>281.95</v>
      </c>
      <c r="Z1761" s="737">
        <v>281.95</v>
      </c>
      <c r="AA1761" s="737">
        <v>281.95</v>
      </c>
      <c r="AB1761" s="2162">
        <v>281.95</v>
      </c>
      <c r="AC1761" s="782">
        <v>281.95</v>
      </c>
      <c r="AD1761" s="818"/>
      <c r="AE1761" s="818"/>
      <c r="AF1761" s="818"/>
      <c r="AG1761" s="818"/>
      <c r="AH1761" s="163"/>
      <c r="AI1761" s="1942"/>
      <c r="AJ1761" s="1942"/>
      <c r="AK1761" s="820"/>
      <c r="AL1761" s="1942"/>
      <c r="AM1761" s="1942"/>
      <c r="AN1761" s="1942"/>
      <c r="AO1761" s="1942"/>
      <c r="AP1761" s="1942"/>
      <c r="AQ1761" s="1942"/>
      <c r="AR1761" s="1942"/>
      <c r="AS1761" s="1942"/>
      <c r="AT1761" s="1942"/>
      <c r="AU1761" s="1942"/>
      <c r="AV1761" s="1942"/>
      <c r="AW1761" s="1942"/>
      <c r="AX1761" s="1942"/>
      <c r="AY1761" s="1942"/>
      <c r="AZ1761" s="1942"/>
      <c r="BA1761" s="1942"/>
      <c r="BB1761" s="244">
        <f>(BD1761+BD1762)/(BE1761+BE1762)</f>
        <v>1.2461252190526704</v>
      </c>
      <c r="BC1761" s="710" t="str">
        <f t="shared" si="195"/>
        <v>Cooling Res 18 Year EUL</v>
      </c>
      <c r="BD1761" s="673">
        <f>(INDEX('Avoided Cost Benefits'!$C$4:$C$857,MATCH(BC1761,'Avoided Cost Benefits'!$A$4:$A$857,0)))*F1761</f>
        <v>497.30557432753437</v>
      </c>
      <c r="BE1761" s="1949">
        <f t="shared" si="191"/>
        <v>683.34119867862194</v>
      </c>
      <c r="BF1761" s="1942"/>
      <c r="BG1761" s="691"/>
      <c r="BH1761" s="821"/>
      <c r="BI1761" s="691"/>
    </row>
    <row r="1762" spans="1:61" s="51" customFormat="1" x14ac:dyDescent="0.25">
      <c r="A1762" s="1267" t="str">
        <f t="shared" si="186"/>
        <v>354950_2019_12_Heating Res</v>
      </c>
      <c r="B1762" s="123"/>
      <c r="C1762" s="1471" t="s">
        <v>1530</v>
      </c>
      <c r="D1762" s="1553" t="s">
        <v>322</v>
      </c>
      <c r="E1762" s="3008" t="s">
        <v>1531</v>
      </c>
      <c r="F1762" s="782">
        <f>ROUND(((K1978*K2165*(1/K2352-1/K2539)*K3474)/1000)*$K$3484,2)</f>
        <v>766.69</v>
      </c>
      <c r="G1762" s="214" t="s">
        <v>1135</v>
      </c>
      <c r="H1762" s="155">
        <f>VLOOKUP(G1762,'CP FACTORS'!$A$3:$B$38, 2, FALSE)</f>
        <v>0</v>
      </c>
      <c r="I1762" s="1554">
        <f t="shared" si="192"/>
        <v>0</v>
      </c>
      <c r="J1762" s="108">
        <f t="shared" si="188"/>
        <v>18</v>
      </c>
      <c r="K1762" s="1052">
        <f t="shared" si="189"/>
        <v>0</v>
      </c>
      <c r="L1762" s="1088"/>
      <c r="M1762" s="328"/>
      <c r="N1762" s="1587"/>
      <c r="O1762" s="1135"/>
      <c r="P1762" s="123"/>
      <c r="Q1762" s="123"/>
      <c r="R1762" s="1431"/>
      <c r="S1762" s="123"/>
      <c r="T1762" s="123"/>
      <c r="U1762" s="1589"/>
      <c r="V1762" s="1962" t="s">
        <v>31</v>
      </c>
      <c r="W1762" s="818">
        <v>1029.6000000000013</v>
      </c>
      <c r="X1762" s="819">
        <v>766.69069188651167</v>
      </c>
      <c r="Y1762" s="737">
        <v>766.69</v>
      </c>
      <c r="Z1762" s="737">
        <v>766.69</v>
      </c>
      <c r="AA1762" s="737">
        <v>766.69</v>
      </c>
      <c r="AB1762" s="2162">
        <v>766.69</v>
      </c>
      <c r="AC1762" s="782">
        <v>766.69</v>
      </c>
      <c r="AD1762" s="818"/>
      <c r="AE1762" s="818"/>
      <c r="AF1762" s="818"/>
      <c r="AG1762" s="818"/>
      <c r="AH1762" s="163"/>
      <c r="AI1762" s="1942"/>
      <c r="AJ1762" s="1942"/>
      <c r="AK1762" s="820"/>
      <c r="AL1762" s="1942"/>
      <c r="AM1762" s="1942"/>
      <c r="AN1762" s="1942"/>
      <c r="AO1762" s="1942"/>
      <c r="AP1762" s="1942"/>
      <c r="AQ1762" s="1942"/>
      <c r="AR1762" s="1942"/>
      <c r="AS1762" s="1942"/>
      <c r="AT1762" s="1942"/>
      <c r="AU1762" s="1942"/>
      <c r="AV1762" s="1942"/>
      <c r="AW1762" s="1942"/>
      <c r="AX1762" s="1942"/>
      <c r="AY1762" s="1942"/>
      <c r="AZ1762" s="1942"/>
      <c r="BA1762" s="1942"/>
      <c r="BB1762" s="242"/>
      <c r="BC1762" s="822" t="str">
        <f t="shared" si="195"/>
        <v>Heating Res 18 Year EUL</v>
      </c>
      <c r="BD1762" s="673">
        <f>(INDEX('Avoided Cost Benefits'!$C$4:$C$857,MATCH(BC1762,'Avoided Cost Benefits'!$A$4:$A$857,0)))*F1762</f>
        <v>354.22312656357781</v>
      </c>
      <c r="BE1762" s="1949">
        <f t="shared" si="191"/>
        <v>0</v>
      </c>
      <c r="BF1762" s="1942"/>
      <c r="BG1762" s="691"/>
      <c r="BH1762" s="821"/>
      <c r="BI1762" s="691"/>
    </row>
    <row r="1763" spans="1:61" s="51" customFormat="1" x14ac:dyDescent="0.25">
      <c r="A1763" s="1267" t="str">
        <f t="shared" si="186"/>
        <v>354951_2019_12_Cooling Res</v>
      </c>
      <c r="B1763" s="123"/>
      <c r="C1763" s="1471" t="s">
        <v>1532</v>
      </c>
      <c r="D1763" s="1553" t="s">
        <v>317</v>
      </c>
      <c r="E1763" s="2878" t="s">
        <v>1533</v>
      </c>
      <c r="F1763" s="782">
        <f>ROUND((($K$2727*$K$2914*(1/$K$3101-1/$K$3288)*$K$3475)/1000)*$K$3484,2)</f>
        <v>205.05</v>
      </c>
      <c r="G1763" s="214" t="str">
        <f>G1761</f>
        <v>Cooling Res</v>
      </c>
      <c r="H1763" s="155">
        <f>VLOOKUP(G1763,'CP FACTORS'!$A$3:$B$38, 2, FALSE)</f>
        <v>9.4741810000000004E-4</v>
      </c>
      <c r="I1763" s="1554">
        <f t="shared" si="192"/>
        <v>0.194268</v>
      </c>
      <c r="J1763" s="108">
        <f t="shared" si="188"/>
        <v>18</v>
      </c>
      <c r="K1763" s="3294">
        <f t="shared" si="189"/>
        <v>724</v>
      </c>
      <c r="L1763" s="3296">
        <f>L1979</f>
        <v>3.3</v>
      </c>
      <c r="M1763" s="328"/>
      <c r="N1763" s="1587"/>
      <c r="O1763" s="1135"/>
      <c r="P1763" s="123"/>
      <c r="Q1763" s="123"/>
      <c r="R1763" s="1431"/>
      <c r="S1763" s="123"/>
      <c r="T1763" s="123"/>
      <c r="U1763" s="1589"/>
      <c r="V1763" s="1962" t="s">
        <v>31</v>
      </c>
      <c r="W1763" s="818"/>
      <c r="X1763" s="819"/>
      <c r="Y1763" s="742">
        <v>205.05</v>
      </c>
      <c r="Z1763" s="737">
        <v>205.05</v>
      </c>
      <c r="AA1763" s="737">
        <v>205.05</v>
      </c>
      <c r="AB1763" s="2162">
        <v>205.05</v>
      </c>
      <c r="AC1763" s="782">
        <v>205.05</v>
      </c>
      <c r="AD1763" s="818"/>
      <c r="AE1763" s="818"/>
      <c r="AF1763" s="818"/>
      <c r="AG1763" s="818"/>
      <c r="AH1763" s="163"/>
      <c r="AI1763" s="1942"/>
      <c r="AJ1763" s="1942"/>
      <c r="AK1763" s="820"/>
      <c r="AL1763" s="1942"/>
      <c r="AM1763" s="1942"/>
      <c r="AN1763" s="1942"/>
      <c r="AO1763" s="1942"/>
      <c r="AP1763" s="1942"/>
      <c r="AQ1763" s="1942"/>
      <c r="AR1763" s="1942"/>
      <c r="AS1763" s="1942"/>
      <c r="AT1763" s="1942"/>
      <c r="AU1763" s="1942"/>
      <c r="AV1763" s="1942"/>
      <c r="AW1763" s="1942"/>
      <c r="AX1763" s="1942"/>
      <c r="AY1763" s="1942"/>
      <c r="AZ1763" s="1942"/>
      <c r="BA1763" s="1942"/>
      <c r="BB1763" s="244">
        <f>(BD1763+BD1764)/(BE1763+BE1764)</f>
        <v>0.70598101502515853</v>
      </c>
      <c r="BC1763" s="710" t="str">
        <f t="shared" si="195"/>
        <v>Cooling Res 18 Year EUL</v>
      </c>
      <c r="BD1763" s="673">
        <f>(INDEX('Avoided Cost Benefits'!$C$4:$C$857,MATCH(BC1763,'Avoided Cost Benefits'!$A$4:$A$857,0)))*F1763</f>
        <v>361.66876402149649</v>
      </c>
      <c r="BE1763" s="1949">
        <f t="shared" si="191"/>
        <v>683.34119867862194</v>
      </c>
      <c r="BF1763" s="1942"/>
      <c r="BG1763" s="691"/>
      <c r="BH1763" s="824"/>
      <c r="BI1763" s="691"/>
    </row>
    <row r="1764" spans="1:61" s="51" customFormat="1" x14ac:dyDescent="0.25">
      <c r="A1764" s="1267" t="str">
        <f t="shared" si="186"/>
        <v>354951_2019_12_Heating Res</v>
      </c>
      <c r="B1764" s="123"/>
      <c r="C1764" s="1471" t="str">
        <f>C1763</f>
        <v>354951_2019_12_</v>
      </c>
      <c r="D1764" s="1553" t="s">
        <v>317</v>
      </c>
      <c r="E1764" s="3005" t="s">
        <v>1533</v>
      </c>
      <c r="F1764" s="782">
        <f>ROUND((($K$1979*$K$2166*(1/$K$2353-1/$K$2540)*$K$3475)/1000)*$K$3484,2)</f>
        <v>261.37</v>
      </c>
      <c r="G1764" s="214" t="str">
        <f>G1762</f>
        <v>Heating Res</v>
      </c>
      <c r="H1764" s="155">
        <f>VLOOKUP(G1764,'CP FACTORS'!$A$3:$B$38, 2, FALSE)</f>
        <v>0</v>
      </c>
      <c r="I1764" s="1554">
        <f t="shared" si="192"/>
        <v>0</v>
      </c>
      <c r="J1764" s="108">
        <f t="shared" si="188"/>
        <v>18</v>
      </c>
      <c r="K1764" s="1052">
        <f t="shared" si="189"/>
        <v>0</v>
      </c>
      <c r="L1764" s="1088"/>
      <c r="M1764" s="328"/>
      <c r="N1764" s="1587"/>
      <c r="O1764" s="1135"/>
      <c r="P1764" s="123"/>
      <c r="Q1764" s="123"/>
      <c r="R1764" s="1431"/>
      <c r="S1764" s="123"/>
      <c r="T1764" s="123"/>
      <c r="U1764" s="1589"/>
      <c r="V1764" s="1962" t="s">
        <v>31</v>
      </c>
      <c r="W1764" s="818"/>
      <c r="X1764" s="819"/>
      <c r="Y1764" s="742">
        <v>261.37</v>
      </c>
      <c r="Z1764" s="737">
        <v>261.37</v>
      </c>
      <c r="AA1764" s="737">
        <v>261.37</v>
      </c>
      <c r="AB1764" s="2162">
        <v>261.37</v>
      </c>
      <c r="AC1764" s="782">
        <v>261.37</v>
      </c>
      <c r="AD1764" s="818"/>
      <c r="AE1764" s="818"/>
      <c r="AF1764" s="818"/>
      <c r="AG1764" s="818"/>
      <c r="AH1764" s="163"/>
      <c r="AI1764" s="1942"/>
      <c r="AJ1764" s="1942"/>
      <c r="AK1764" s="820"/>
      <c r="AL1764" s="1942"/>
      <c r="AM1764" s="1942"/>
      <c r="AN1764" s="1942"/>
      <c r="AO1764" s="1942"/>
      <c r="AP1764" s="1942"/>
      <c r="AQ1764" s="1942"/>
      <c r="AR1764" s="1942"/>
      <c r="AS1764" s="1942"/>
      <c r="AT1764" s="1942"/>
      <c r="AU1764" s="1942"/>
      <c r="AV1764" s="1942"/>
      <c r="AW1764" s="1942"/>
      <c r="AX1764" s="1942"/>
      <c r="AY1764" s="1942"/>
      <c r="AZ1764" s="1942"/>
      <c r="BA1764" s="1942"/>
      <c r="BB1764" s="242"/>
      <c r="BC1764" s="822" t="str">
        <f t="shared" si="195"/>
        <v>Heating Res 18 Year EUL</v>
      </c>
      <c r="BD1764" s="673">
        <f>(INDEX('Avoided Cost Benefits'!$C$4:$C$857,MATCH(BC1764,'Avoided Cost Benefits'!$A$4:$A$857,0)))*F1764</f>
        <v>120.7571490301456</v>
      </c>
      <c r="BE1764" s="1949">
        <f t="shared" si="191"/>
        <v>0</v>
      </c>
      <c r="BF1764" s="1942"/>
      <c r="BG1764" s="691"/>
      <c r="BH1764" s="824"/>
      <c r="BI1764" s="691"/>
    </row>
    <row r="1765" spans="1:61" s="51" customFormat="1" x14ac:dyDescent="0.25">
      <c r="A1765" s="1267" t="str">
        <f t="shared" si="186"/>
        <v>355000_2019_12_Cooling Res</v>
      </c>
      <c r="B1765" s="123"/>
      <c r="C1765" s="1471" t="s">
        <v>1534</v>
      </c>
      <c r="D1765" s="1553" t="s">
        <v>322</v>
      </c>
      <c r="E1765" s="2965" t="s">
        <v>1535</v>
      </c>
      <c r="F1765" s="782">
        <f>ROUND(((K2728*K2915*(1/K3102-1/K3289)*K3476)/1000)*$K$3484,2)</f>
        <v>355.05</v>
      </c>
      <c r="G1765" s="214" t="s">
        <v>1134</v>
      </c>
      <c r="H1765" s="155">
        <f>VLOOKUP(G1765,'CP FACTORS'!$A$3:$B$38, 2, FALSE)</f>
        <v>9.4741810000000004E-4</v>
      </c>
      <c r="I1765" s="1554">
        <f t="shared" si="192"/>
        <v>0.33638099999999999</v>
      </c>
      <c r="J1765" s="108">
        <f t="shared" si="188"/>
        <v>18</v>
      </c>
      <c r="K1765" s="1052">
        <f t="shared" si="189"/>
        <v>962.92000000000007</v>
      </c>
      <c r="L1765" s="1088">
        <f>L1980</f>
        <v>3.3</v>
      </c>
      <c r="M1765" s="328"/>
      <c r="N1765" s="1587"/>
      <c r="O1765" s="1135"/>
      <c r="P1765" s="123"/>
      <c r="Q1765" s="123"/>
      <c r="R1765" s="1431"/>
      <c r="S1765" s="123"/>
      <c r="T1765" s="123"/>
      <c r="U1765" s="1589"/>
      <c r="V1765" s="1962" t="s">
        <v>31</v>
      </c>
      <c r="W1765" s="818">
        <v>355.04857142857139</v>
      </c>
      <c r="X1765" s="825">
        <v>355.04857142857139</v>
      </c>
      <c r="Y1765" s="737">
        <v>355.05</v>
      </c>
      <c r="Z1765" s="737">
        <v>355.05</v>
      </c>
      <c r="AA1765" s="737">
        <v>355.05</v>
      </c>
      <c r="AB1765" s="2162">
        <v>355.05</v>
      </c>
      <c r="AC1765" s="782">
        <v>355.05</v>
      </c>
      <c r="AD1765" s="818"/>
      <c r="AE1765" s="818"/>
      <c r="AF1765" s="818"/>
      <c r="AG1765" s="818"/>
      <c r="AH1765" s="163"/>
      <c r="AI1765" s="1942"/>
      <c r="AJ1765" s="1942"/>
      <c r="AK1765" s="820"/>
      <c r="AL1765" s="1942"/>
      <c r="AM1765" s="1942"/>
      <c r="AN1765" s="1942"/>
      <c r="AO1765" s="1942"/>
      <c r="AP1765" s="1942"/>
      <c r="AQ1765" s="1942"/>
      <c r="AR1765" s="1942"/>
      <c r="AS1765" s="1942"/>
      <c r="AT1765" s="1942"/>
      <c r="AU1765" s="1942"/>
      <c r="AV1765" s="1942"/>
      <c r="AW1765" s="1942"/>
      <c r="AX1765" s="1942"/>
      <c r="AY1765" s="1942"/>
      <c r="AZ1765" s="1942"/>
      <c r="BA1765" s="1942"/>
      <c r="BB1765" s="244">
        <f>(BD1765+BD1766)/(BE1765+BE1766)</f>
        <v>1.0788025931831349</v>
      </c>
      <c r="BC1765" s="710" t="str">
        <f t="shared" si="195"/>
        <v>Cooling Res 18 Year EUL</v>
      </c>
      <c r="BD1765" s="673">
        <f>(INDEX('Avoided Cost Benefits'!$C$4:$C$857,MATCH(BC1765,'Avoided Cost Benefits'!$A$4:$A$857,0)))*F1765</f>
        <v>626.23991546370314</v>
      </c>
      <c r="BE1765" s="1949">
        <f t="shared" si="191"/>
        <v>908.84379424256724</v>
      </c>
      <c r="BF1765" s="1942"/>
      <c r="BG1765" s="691"/>
      <c r="BH1765" s="821"/>
      <c r="BI1765" s="691"/>
    </row>
    <row r="1766" spans="1:61" s="51" customFormat="1" x14ac:dyDescent="0.25">
      <c r="A1766" s="1267" t="str">
        <f t="shared" si="186"/>
        <v>355000_2019_12_Heating Res</v>
      </c>
      <c r="B1766" s="123"/>
      <c r="C1766" s="1471" t="s">
        <v>1534</v>
      </c>
      <c r="D1766" s="1553" t="s">
        <v>322</v>
      </c>
      <c r="E1766" s="3008" t="s">
        <v>1535</v>
      </c>
      <c r="F1766" s="782">
        <f>ROUND(((K1980*K2167*(1/K2354-1/K2541)*K3476)/1000)*$K$3484,2)</f>
        <v>766.69</v>
      </c>
      <c r="G1766" s="214" t="s">
        <v>1135</v>
      </c>
      <c r="H1766" s="155">
        <f>VLOOKUP(G1766,'CP FACTORS'!$A$3:$B$38, 2, FALSE)</f>
        <v>0</v>
      </c>
      <c r="I1766" s="1554">
        <f t="shared" si="192"/>
        <v>0</v>
      </c>
      <c r="J1766" s="108">
        <f t="shared" si="188"/>
        <v>18</v>
      </c>
      <c r="K1766" s="1052">
        <f t="shared" si="189"/>
        <v>0</v>
      </c>
      <c r="L1766" s="1088"/>
      <c r="M1766" s="328"/>
      <c r="N1766" s="1587"/>
      <c r="O1766" s="1135"/>
      <c r="P1766" s="123"/>
      <c r="Q1766" s="123"/>
      <c r="R1766" s="1431"/>
      <c r="S1766" s="123"/>
      <c r="T1766" s="123"/>
      <c r="U1766" s="1589"/>
      <c r="V1766" s="1962" t="s">
        <v>31</v>
      </c>
      <c r="W1766" s="818">
        <v>1029.6000000000013</v>
      </c>
      <c r="X1766" s="819">
        <v>766.69069188651167</v>
      </c>
      <c r="Y1766" s="737">
        <v>766.69</v>
      </c>
      <c r="Z1766" s="737">
        <v>766.69</v>
      </c>
      <c r="AA1766" s="737">
        <v>766.69</v>
      </c>
      <c r="AB1766" s="2162">
        <v>766.69</v>
      </c>
      <c r="AC1766" s="782">
        <v>766.69</v>
      </c>
      <c r="AD1766" s="818"/>
      <c r="AE1766" s="818"/>
      <c r="AF1766" s="818"/>
      <c r="AG1766" s="818"/>
      <c r="AH1766" s="163"/>
      <c r="AI1766" s="1942"/>
      <c r="AJ1766" s="1942"/>
      <c r="AK1766" s="820"/>
      <c r="AL1766" s="1942"/>
      <c r="AM1766" s="1942"/>
      <c r="AN1766" s="1942"/>
      <c r="AO1766" s="1942"/>
      <c r="AP1766" s="1942"/>
      <c r="AQ1766" s="1942"/>
      <c r="AR1766" s="1942"/>
      <c r="AS1766" s="1942"/>
      <c r="AT1766" s="1942"/>
      <c r="AU1766" s="1942"/>
      <c r="AV1766" s="1942"/>
      <c r="AW1766" s="1942"/>
      <c r="AX1766" s="1942"/>
      <c r="AY1766" s="1942"/>
      <c r="AZ1766" s="1942"/>
      <c r="BA1766" s="1942"/>
      <c r="BB1766" s="242"/>
      <c r="BC1766" s="822" t="str">
        <f t="shared" si="195"/>
        <v>Heating Res 18 Year EUL</v>
      </c>
      <c r="BD1766" s="673">
        <f>(INDEX('Avoided Cost Benefits'!$C$4:$C$857,MATCH(BC1766,'Avoided Cost Benefits'!$A$4:$A$857,0)))*F1766</f>
        <v>354.22312656357781</v>
      </c>
      <c r="BE1766" s="1949">
        <f t="shared" si="191"/>
        <v>0</v>
      </c>
      <c r="BF1766" s="1942"/>
      <c r="BG1766" s="691"/>
      <c r="BH1766" s="821"/>
      <c r="BI1766" s="691"/>
    </row>
    <row r="1767" spans="1:61" s="51" customFormat="1" x14ac:dyDescent="0.25">
      <c r="A1767" s="1267" t="str">
        <f t="shared" si="186"/>
        <v>355001_2021_12_Cooling Res</v>
      </c>
      <c r="B1767" s="123"/>
      <c r="C1767" s="2038" t="s">
        <v>4288</v>
      </c>
      <c r="D1767" s="1553" t="s">
        <v>317</v>
      </c>
      <c r="E1767" s="2878" t="s">
        <v>1537</v>
      </c>
      <c r="F1767" s="782">
        <f>ROUND((($K$2729*$K$2916*(1/$K$3103-1/$K$3290)*$K$3477)/1000)*$K$3484,2)</f>
        <v>258.22000000000003</v>
      </c>
      <c r="G1767" s="214" t="str">
        <f>G1765</f>
        <v>Cooling Res</v>
      </c>
      <c r="H1767" s="155">
        <f>VLOOKUP(G1767,'CP FACTORS'!$A$3:$B$38, 2, FALSE)</f>
        <v>9.4741810000000004E-4</v>
      </c>
      <c r="I1767" s="1554">
        <f t="shared" si="192"/>
        <v>0.244642</v>
      </c>
      <c r="J1767" s="108">
        <f t="shared" si="188"/>
        <v>18</v>
      </c>
      <c r="K1767" s="3294">
        <f t="shared" si="189"/>
        <v>962.92000000000007</v>
      </c>
      <c r="L1767" s="3296">
        <f>L1981</f>
        <v>3.3</v>
      </c>
      <c r="M1767" s="328"/>
      <c r="N1767" s="1587"/>
      <c r="O1767" s="1135"/>
      <c r="P1767" s="123"/>
      <c r="Q1767" s="123"/>
      <c r="R1767" s="1431"/>
      <c r="S1767" s="123"/>
      <c r="T1767" s="123"/>
      <c r="U1767" s="1589"/>
      <c r="V1767" s="1962" t="s">
        <v>31</v>
      </c>
      <c r="W1767" s="818"/>
      <c r="X1767" s="819"/>
      <c r="Y1767" s="742">
        <v>397.26</v>
      </c>
      <c r="Z1767" s="737">
        <v>397.26</v>
      </c>
      <c r="AA1767" s="737">
        <v>397.26</v>
      </c>
      <c r="AB1767" s="2162">
        <v>397.26</v>
      </c>
      <c r="AC1767" s="742">
        <v>258.22000000000003</v>
      </c>
      <c r="AD1767" s="818"/>
      <c r="AE1767" s="818"/>
      <c r="AF1767" s="818"/>
      <c r="AG1767" s="818"/>
      <c r="AH1767" s="163"/>
      <c r="AI1767" s="1942"/>
      <c r="AJ1767" s="1942"/>
      <c r="AK1767" s="820"/>
      <c r="AL1767" s="1942"/>
      <c r="AM1767" s="1942"/>
      <c r="AN1767" s="1942"/>
      <c r="AO1767" s="1942"/>
      <c r="AP1767" s="1942"/>
      <c r="AQ1767" s="1942"/>
      <c r="AR1767" s="1942"/>
      <c r="AS1767" s="1942"/>
      <c r="AT1767" s="1942"/>
      <c r="AU1767" s="1942"/>
      <c r="AV1767" s="1942"/>
      <c r="AW1767" s="1942"/>
      <c r="AX1767" s="1942"/>
      <c r="AY1767" s="1942"/>
      <c r="AZ1767" s="1942"/>
      <c r="BA1767" s="1942"/>
      <c r="BB1767" s="244">
        <f>(BD1767+BD1768)/(BE1767+BE1768)</f>
        <v>0.63400066199465643</v>
      </c>
      <c r="BC1767" s="710" t="str">
        <f t="shared" si="195"/>
        <v>Cooling Res 18 Year EUL</v>
      </c>
      <c r="BD1767" s="673">
        <f>(INDEX('Avoided Cost Benefits'!$C$4:$C$857,MATCH(BC1767,'Avoided Cost Benefits'!$A$4:$A$857,0)))*F1767</f>
        <v>455.45041816937731</v>
      </c>
      <c r="BE1767" s="1949">
        <f t="shared" si="191"/>
        <v>908.84379424256724</v>
      </c>
      <c r="BF1767" s="1942"/>
      <c r="BG1767" s="691"/>
      <c r="BH1767" s="824"/>
      <c r="BI1767" s="691"/>
    </row>
    <row r="1768" spans="1:61" s="51" customFormat="1" x14ac:dyDescent="0.25">
      <c r="A1768" s="1267" t="str">
        <f t="shared" si="186"/>
        <v>355001_2021_12_Heating Res</v>
      </c>
      <c r="B1768" s="123"/>
      <c r="C1768" s="2038" t="str">
        <f>C1767</f>
        <v>355001_2021_12_</v>
      </c>
      <c r="D1768" s="1553" t="s">
        <v>317</v>
      </c>
      <c r="E1768" s="3005" t="s">
        <v>1537</v>
      </c>
      <c r="F1768" s="782">
        <f>ROUND((($K$1981*$K$2168*(1/$K$2355-1/$K$2542)*$K$3477)/1000)*$K$3484,2)</f>
        <v>261.37</v>
      </c>
      <c r="G1768" s="214" t="str">
        <f>G1766</f>
        <v>Heating Res</v>
      </c>
      <c r="H1768" s="155">
        <f>VLOOKUP(G1768,'CP FACTORS'!$A$3:$B$38, 2, FALSE)</f>
        <v>0</v>
      </c>
      <c r="I1768" s="1554">
        <f t="shared" si="192"/>
        <v>0</v>
      </c>
      <c r="J1768" s="108">
        <f t="shared" si="188"/>
        <v>18</v>
      </c>
      <c r="K1768" s="1052">
        <f t="shared" si="189"/>
        <v>0</v>
      </c>
      <c r="L1768" s="1088"/>
      <c r="M1768" s="328"/>
      <c r="N1768" s="1587"/>
      <c r="O1768" s="1135"/>
      <c r="P1768" s="123"/>
      <c r="Q1768" s="123"/>
      <c r="R1768" s="1431"/>
      <c r="S1768" s="123"/>
      <c r="T1768" s="123"/>
      <c r="U1768" s="1589"/>
      <c r="V1768" s="1962" t="s">
        <v>31</v>
      </c>
      <c r="W1768" s="818"/>
      <c r="X1768" s="819"/>
      <c r="Y1768" s="742">
        <v>402.11</v>
      </c>
      <c r="Z1768" s="737">
        <v>402.11</v>
      </c>
      <c r="AA1768" s="737">
        <v>402.11</v>
      </c>
      <c r="AB1768" s="2162">
        <v>402.11</v>
      </c>
      <c r="AC1768" s="742">
        <v>261.37</v>
      </c>
      <c r="AD1768" s="818"/>
      <c r="AE1768" s="818"/>
      <c r="AF1768" s="818"/>
      <c r="AG1768" s="818"/>
      <c r="AH1768" s="163"/>
      <c r="AI1768" s="1942"/>
      <c r="AJ1768" s="1942"/>
      <c r="AK1768" s="820"/>
      <c r="AL1768" s="1942"/>
      <c r="AM1768" s="1942"/>
      <c r="AN1768" s="1942"/>
      <c r="AO1768" s="1942"/>
      <c r="AP1768" s="1942"/>
      <c r="AQ1768" s="1942"/>
      <c r="AR1768" s="1942"/>
      <c r="AS1768" s="1942"/>
      <c r="AT1768" s="1942"/>
      <c r="AU1768" s="1942"/>
      <c r="AV1768" s="1942"/>
      <c r="AW1768" s="1942"/>
      <c r="AX1768" s="1942"/>
      <c r="AY1768" s="1942"/>
      <c r="AZ1768" s="1942"/>
      <c r="BA1768" s="1942"/>
      <c r="BB1768" s="242"/>
      <c r="BC1768" s="822" t="str">
        <f t="shared" si="195"/>
        <v>Heating Res 18 Year EUL</v>
      </c>
      <c r="BD1768" s="673">
        <f>(INDEX('Avoided Cost Benefits'!$C$4:$C$857,MATCH(BC1768,'Avoided Cost Benefits'!$A$4:$A$857,0)))*F1768</f>
        <v>120.7571490301456</v>
      </c>
      <c r="BE1768" s="1949">
        <f t="shared" si="191"/>
        <v>0</v>
      </c>
      <c r="BF1768" s="1942"/>
      <c r="BG1768" s="691"/>
      <c r="BH1768" s="824"/>
      <c r="BI1768" s="691"/>
    </row>
    <row r="1769" spans="1:61" s="51" customFormat="1" x14ac:dyDescent="0.25">
      <c r="A1769" s="1267" t="str">
        <f t="shared" si="186"/>
        <v>355050_2019_12_Cooling Res</v>
      </c>
      <c r="B1769" s="123"/>
      <c r="C1769" s="1471" t="s">
        <v>1538</v>
      </c>
      <c r="D1769" s="1553" t="s">
        <v>322</v>
      </c>
      <c r="E1769" s="2965" t="s">
        <v>1539</v>
      </c>
      <c r="F1769" s="782">
        <f>ROUND(((K2730*K2917*(1/K3104-1/K3291)*K3478)/1000)*$K$3484,2)</f>
        <v>420.45</v>
      </c>
      <c r="G1769" s="214" t="s">
        <v>1134</v>
      </c>
      <c r="H1769" s="155">
        <f>VLOOKUP(G1769,'CP FACTORS'!$A$3:$B$38, 2, FALSE)</f>
        <v>9.4741810000000004E-4</v>
      </c>
      <c r="I1769" s="1554">
        <f t="shared" si="192"/>
        <v>0.39834199999999997</v>
      </c>
      <c r="J1769" s="108">
        <f t="shared" si="188"/>
        <v>18</v>
      </c>
      <c r="K1769" s="1052">
        <f t="shared" si="189"/>
        <v>1203.6500000000003</v>
      </c>
      <c r="L1769" s="1088">
        <f>L1982</f>
        <v>3.3</v>
      </c>
      <c r="M1769" s="328"/>
      <c r="N1769" s="1587"/>
      <c r="O1769" s="1135"/>
      <c r="P1769" s="123"/>
      <c r="Q1769" s="123"/>
      <c r="R1769" s="1431"/>
      <c r="S1769" s="123"/>
      <c r="T1769" s="123"/>
      <c r="U1769" s="1589"/>
      <c r="V1769" s="1962" t="s">
        <v>31</v>
      </c>
      <c r="W1769" s="818">
        <v>420.45225563909776</v>
      </c>
      <c r="X1769" s="825">
        <v>420.45225563909776</v>
      </c>
      <c r="Y1769" s="737">
        <v>420.45</v>
      </c>
      <c r="Z1769" s="737">
        <v>420.45</v>
      </c>
      <c r="AA1769" s="737">
        <v>420.45</v>
      </c>
      <c r="AB1769" s="2162">
        <v>420.45</v>
      </c>
      <c r="AC1769" s="782">
        <v>420.45</v>
      </c>
      <c r="AD1769" s="818"/>
      <c r="AE1769" s="818"/>
      <c r="AF1769" s="818"/>
      <c r="AG1769" s="818"/>
      <c r="AH1769" s="163"/>
      <c r="AI1769" s="1942"/>
      <c r="AJ1769" s="1942"/>
      <c r="AK1769" s="820"/>
      <c r="AL1769" s="1942"/>
      <c r="AM1769" s="1942"/>
      <c r="AN1769" s="1942"/>
      <c r="AO1769" s="1942"/>
      <c r="AP1769" s="1942"/>
      <c r="AQ1769" s="1942"/>
      <c r="AR1769" s="1942"/>
      <c r="AS1769" s="1942"/>
      <c r="AT1769" s="1942"/>
      <c r="AU1769" s="1942"/>
      <c r="AV1769" s="1942"/>
      <c r="AW1769" s="1942"/>
      <c r="AX1769" s="1942"/>
      <c r="AY1769" s="1942"/>
      <c r="AZ1769" s="1942"/>
      <c r="BA1769" s="1942"/>
      <c r="BB1769" s="244">
        <f>(BD1769+BD1770)/(BE1769+BE1770)</f>
        <v>0.96458033470478943</v>
      </c>
      <c r="BC1769" s="710" t="str">
        <f t="shared" si="195"/>
        <v>Cooling Res 18 Year EUL</v>
      </c>
      <c r="BD1769" s="673">
        <f>(INDEX('Avoided Cost Benefits'!$C$4:$C$857,MATCH(BC1769,'Avoided Cost Benefits'!$A$4:$A$857,0)))*F1769</f>
        <v>741.59293749250514</v>
      </c>
      <c r="BE1769" s="1949">
        <f t="shared" si="191"/>
        <v>1136.0547428032091</v>
      </c>
      <c r="BF1769" s="1942"/>
      <c r="BG1769" s="691"/>
      <c r="BH1769" s="821"/>
      <c r="BI1769" s="691"/>
    </row>
    <row r="1770" spans="1:61" s="51" customFormat="1" x14ac:dyDescent="0.25">
      <c r="A1770" s="1267" t="str">
        <f t="shared" si="186"/>
        <v>355050_2019_12_Heating Res</v>
      </c>
      <c r="B1770" s="123"/>
      <c r="C1770" s="1471" t="s">
        <v>1538</v>
      </c>
      <c r="D1770" s="1553" t="s">
        <v>322</v>
      </c>
      <c r="E1770" s="3008" t="s">
        <v>1539</v>
      </c>
      <c r="F1770" s="782">
        <f>ROUND(((K1982*K2169*(1/K2356-1/K2543)*K3478)/1000)*$K$3484,2)</f>
        <v>766.69</v>
      </c>
      <c r="G1770" s="214" t="s">
        <v>1135</v>
      </c>
      <c r="H1770" s="155">
        <f>VLOOKUP(G1770,'CP FACTORS'!$A$3:$B$38, 2, FALSE)</f>
        <v>0</v>
      </c>
      <c r="I1770" s="1554">
        <f t="shared" si="192"/>
        <v>0</v>
      </c>
      <c r="J1770" s="108">
        <f t="shared" si="188"/>
        <v>18</v>
      </c>
      <c r="K1770" s="1052">
        <f t="shared" si="189"/>
        <v>0</v>
      </c>
      <c r="L1770" s="1088"/>
      <c r="M1770" s="328"/>
      <c r="N1770" s="1587"/>
      <c r="O1770" s="1135"/>
      <c r="P1770" s="123"/>
      <c r="Q1770" s="123"/>
      <c r="R1770" s="1431"/>
      <c r="S1770" s="123"/>
      <c r="T1770" s="123"/>
      <c r="U1770" s="1589"/>
      <c r="V1770" s="1962" t="s">
        <v>31</v>
      </c>
      <c r="W1770" s="818">
        <v>1029.6000000000013</v>
      </c>
      <c r="X1770" s="819">
        <v>766.69069188651167</v>
      </c>
      <c r="Y1770" s="737">
        <v>766.69</v>
      </c>
      <c r="Z1770" s="737">
        <v>766.69</v>
      </c>
      <c r="AA1770" s="737">
        <v>766.69</v>
      </c>
      <c r="AB1770" s="2162">
        <v>766.69</v>
      </c>
      <c r="AC1770" s="782">
        <v>766.69</v>
      </c>
      <c r="AD1770" s="818"/>
      <c r="AE1770" s="818"/>
      <c r="AF1770" s="818"/>
      <c r="AG1770" s="818"/>
      <c r="AH1770" s="163"/>
      <c r="AI1770" s="1942"/>
      <c r="AJ1770" s="1942"/>
      <c r="AK1770" s="820"/>
      <c r="AL1770" s="1942"/>
      <c r="AM1770" s="1942"/>
      <c r="AN1770" s="1942"/>
      <c r="AO1770" s="1942"/>
      <c r="AP1770" s="1942"/>
      <c r="AQ1770" s="1942"/>
      <c r="AR1770" s="1942"/>
      <c r="AS1770" s="1942"/>
      <c r="AT1770" s="1942"/>
      <c r="AU1770" s="1942"/>
      <c r="AV1770" s="1942"/>
      <c r="AW1770" s="1942"/>
      <c r="AX1770" s="1942"/>
      <c r="AY1770" s="1942"/>
      <c r="AZ1770" s="1942"/>
      <c r="BA1770" s="1942"/>
      <c r="BB1770" s="242"/>
      <c r="BC1770" s="822" t="str">
        <f t="shared" si="195"/>
        <v>Heating Res 18 Year EUL</v>
      </c>
      <c r="BD1770" s="673">
        <f>(INDEX('Avoided Cost Benefits'!$C$4:$C$857,MATCH(BC1770,'Avoided Cost Benefits'!$A$4:$A$857,0)))*F1770</f>
        <v>354.22312656357781</v>
      </c>
      <c r="BE1770" s="1949">
        <f t="shared" si="191"/>
        <v>0</v>
      </c>
      <c r="BF1770" s="1942"/>
      <c r="BG1770" s="691"/>
      <c r="BH1770" s="821"/>
      <c r="BI1770" s="691"/>
    </row>
    <row r="1771" spans="1:61" s="51" customFormat="1" x14ac:dyDescent="0.25">
      <c r="A1771" s="1267" t="str">
        <f t="shared" si="186"/>
        <v>355051_2019_12_Cooling Res</v>
      </c>
      <c r="B1771" s="123"/>
      <c r="C1771" s="1471" t="s">
        <v>1540</v>
      </c>
      <c r="D1771" s="1553" t="s">
        <v>317</v>
      </c>
      <c r="E1771" s="2878" t="s">
        <v>1541</v>
      </c>
      <c r="F1771" s="782">
        <f>ROUND((($K$2731*$K$2918*(1/$K$3105-1/$K$3292)*$K$3479)/1000)*$K$3484,2)</f>
        <v>305.77999999999997</v>
      </c>
      <c r="G1771" s="214" t="str">
        <f>G1769</f>
        <v>Cooling Res</v>
      </c>
      <c r="H1771" s="155">
        <f>VLOOKUP(G1771,'CP FACTORS'!$A$3:$B$38, 2, FALSE)</f>
        <v>9.4741810000000004E-4</v>
      </c>
      <c r="I1771" s="1554">
        <f t="shared" si="192"/>
        <v>0.28970200000000002</v>
      </c>
      <c r="J1771" s="108">
        <f t="shared" si="188"/>
        <v>18</v>
      </c>
      <c r="K1771" s="3294">
        <f t="shared" si="189"/>
        <v>1203.6500000000003</v>
      </c>
      <c r="L1771" s="3296">
        <f>L1983</f>
        <v>3.3</v>
      </c>
      <c r="M1771" s="328"/>
      <c r="N1771" s="1587"/>
      <c r="O1771" s="1135"/>
      <c r="P1771" s="123"/>
      <c r="Q1771" s="123"/>
      <c r="R1771" s="1431"/>
      <c r="S1771" s="123"/>
      <c r="T1771" s="123"/>
      <c r="U1771" s="1589"/>
      <c r="V1771" s="1962" t="s">
        <v>31</v>
      </c>
      <c r="W1771" s="818"/>
      <c r="X1771" s="819"/>
      <c r="Y1771" s="742">
        <v>305.77999999999997</v>
      </c>
      <c r="Z1771" s="737">
        <v>305.77999999999997</v>
      </c>
      <c r="AA1771" s="737">
        <v>305.77999999999997</v>
      </c>
      <c r="AB1771" s="2162">
        <v>305.77999999999997</v>
      </c>
      <c r="AC1771" s="782">
        <v>305.77999999999997</v>
      </c>
      <c r="AD1771" s="818"/>
      <c r="AE1771" s="818"/>
      <c r="AF1771" s="818"/>
      <c r="AG1771" s="818"/>
      <c r="AH1771" s="163"/>
      <c r="AI1771" s="1942"/>
      <c r="AJ1771" s="1942"/>
      <c r="AK1771" s="820"/>
      <c r="AL1771" s="1942"/>
      <c r="AM1771" s="1942"/>
      <c r="AN1771" s="1942"/>
      <c r="AO1771" s="1942"/>
      <c r="AP1771" s="1942"/>
      <c r="AQ1771" s="1942"/>
      <c r="AR1771" s="1942"/>
      <c r="AS1771" s="1942"/>
      <c r="AT1771" s="1942"/>
      <c r="AU1771" s="1942"/>
      <c r="AV1771" s="1942"/>
      <c r="AW1771" s="1942"/>
      <c r="AX1771" s="1942"/>
      <c r="AY1771" s="1942"/>
      <c r="AZ1771" s="1942"/>
      <c r="BA1771" s="1942"/>
      <c r="BB1771" s="244">
        <f>(BD1771+BD1772)/(BE1771+BE1772)</f>
        <v>0.58104089126434699</v>
      </c>
      <c r="BC1771" s="710" t="str">
        <f t="shared" si="195"/>
        <v>Cooling Res 18 Year EUL</v>
      </c>
      <c r="BD1771" s="673">
        <f>(INDEX('Avoided Cost Benefits'!$C$4:$C$857,MATCH(BC1771,'Avoided Cost Benefits'!$A$4:$A$857,0)))*F1771</f>
        <v>539.33711125331956</v>
      </c>
      <c r="BE1771" s="1949">
        <f t="shared" si="191"/>
        <v>1136.0547428032091</v>
      </c>
      <c r="BF1771" s="1942"/>
      <c r="BG1771" s="691"/>
      <c r="BH1771" s="824"/>
      <c r="BI1771" s="691"/>
    </row>
    <row r="1772" spans="1:61" s="51" customFormat="1" x14ac:dyDescent="0.25">
      <c r="A1772" s="1267" t="str">
        <f t="shared" si="186"/>
        <v>355051_2019_12_Heating Res</v>
      </c>
      <c r="B1772" s="123"/>
      <c r="C1772" s="1471" t="str">
        <f>C1771</f>
        <v>355051_2019_12_</v>
      </c>
      <c r="D1772" s="1553" t="s">
        <v>317</v>
      </c>
      <c r="E1772" s="3005" t="s">
        <v>1541</v>
      </c>
      <c r="F1772" s="782">
        <f>ROUND((($K$1983*$K$2170*(1/$K$2357-1/$K$2544)*$K$3479)/1000)*$K$3484,2)</f>
        <v>261.37</v>
      </c>
      <c r="G1772" s="214" t="str">
        <f>G1770</f>
        <v>Heating Res</v>
      </c>
      <c r="H1772" s="155">
        <f>VLOOKUP(G1772,'CP FACTORS'!$A$3:$B$38, 2, FALSE)</f>
        <v>0</v>
      </c>
      <c r="I1772" s="1554">
        <f t="shared" si="192"/>
        <v>0</v>
      </c>
      <c r="J1772" s="108">
        <f t="shared" si="188"/>
        <v>18</v>
      </c>
      <c r="K1772" s="1052">
        <f t="shared" si="189"/>
        <v>0</v>
      </c>
      <c r="L1772" s="1088"/>
      <c r="M1772" s="328"/>
      <c r="N1772" s="1587"/>
      <c r="O1772" s="1135"/>
      <c r="P1772" s="123"/>
      <c r="Q1772" s="123"/>
      <c r="R1772" s="1431"/>
      <c r="S1772" s="123"/>
      <c r="T1772" s="123"/>
      <c r="U1772" s="1589"/>
      <c r="V1772" s="1962" t="s">
        <v>31</v>
      </c>
      <c r="W1772" s="818"/>
      <c r="X1772" s="819"/>
      <c r="Y1772" s="742">
        <v>261.37</v>
      </c>
      <c r="Z1772" s="737">
        <v>261.37</v>
      </c>
      <c r="AA1772" s="737">
        <v>261.37</v>
      </c>
      <c r="AB1772" s="2162">
        <v>261.37</v>
      </c>
      <c r="AC1772" s="782">
        <v>261.37</v>
      </c>
      <c r="AD1772" s="818"/>
      <c r="AE1772" s="818"/>
      <c r="AF1772" s="818"/>
      <c r="AG1772" s="818"/>
      <c r="AH1772" s="163"/>
      <c r="AI1772" s="1942"/>
      <c r="AJ1772" s="1942"/>
      <c r="AK1772" s="820"/>
      <c r="AL1772" s="1942"/>
      <c r="AM1772" s="1942"/>
      <c r="AN1772" s="1942"/>
      <c r="AO1772" s="1942"/>
      <c r="AP1772" s="1942"/>
      <c r="AQ1772" s="1942"/>
      <c r="AR1772" s="1942"/>
      <c r="AS1772" s="1942"/>
      <c r="AT1772" s="1942"/>
      <c r="AU1772" s="1942"/>
      <c r="AV1772" s="1942"/>
      <c r="AW1772" s="1942"/>
      <c r="AX1772" s="1942"/>
      <c r="AY1772" s="1942"/>
      <c r="AZ1772" s="1942"/>
      <c r="BA1772" s="1942"/>
      <c r="BB1772" s="242"/>
      <c r="BC1772" s="822" t="str">
        <f t="shared" si="195"/>
        <v>Heating Res 18 Year EUL</v>
      </c>
      <c r="BD1772" s="673">
        <f>(INDEX('Avoided Cost Benefits'!$C$4:$C$857,MATCH(BC1772,'Avoided Cost Benefits'!$A$4:$A$857,0)))*F1772</f>
        <v>120.7571490301456</v>
      </c>
      <c r="BE1772" s="1949">
        <f t="shared" si="191"/>
        <v>0</v>
      </c>
      <c r="BF1772" s="1942"/>
      <c r="BG1772" s="691"/>
      <c r="BH1772" s="824"/>
      <c r="BI1772" s="691"/>
    </row>
    <row r="1773" spans="1:61" s="51" customFormat="1" x14ac:dyDescent="0.25">
      <c r="A1773" s="1267" t="str">
        <f t="shared" si="186"/>
        <v>355100_2019_12_Cooling Res</v>
      </c>
      <c r="B1773" s="123"/>
      <c r="C1773" s="1471" t="s">
        <v>1542</v>
      </c>
      <c r="D1773" s="1553" t="s">
        <v>322</v>
      </c>
      <c r="E1773" s="2965" t="s">
        <v>1543</v>
      </c>
      <c r="F1773" s="782">
        <f>ROUND(((K2732*K2919*(1/K3106-1/K3293)*K3480)/1000)*$K$3484,2)</f>
        <v>479.32</v>
      </c>
      <c r="G1773" s="214" t="s">
        <v>1134</v>
      </c>
      <c r="H1773" s="155">
        <f>VLOOKUP(G1773,'CP FACTORS'!$A$3:$B$38, 2, FALSE)</f>
        <v>9.4741810000000004E-4</v>
      </c>
      <c r="I1773" s="1554">
        <f t="shared" si="192"/>
        <v>0.45411600000000002</v>
      </c>
      <c r="J1773" s="108">
        <f t="shared" si="188"/>
        <v>18</v>
      </c>
      <c r="K1773" s="1052">
        <f t="shared" si="189"/>
        <v>1444.3799999999994</v>
      </c>
      <c r="L1773" s="1088">
        <f>L1984</f>
        <v>3.3</v>
      </c>
      <c r="M1773" s="328"/>
      <c r="N1773" s="1587"/>
      <c r="O1773" s="1135"/>
      <c r="P1773" s="123"/>
      <c r="Q1773" s="123"/>
      <c r="R1773" s="1431"/>
      <c r="S1773" s="123"/>
      <c r="T1773" s="123"/>
      <c r="U1773" s="1589"/>
      <c r="V1773" s="1962" t="s">
        <v>31</v>
      </c>
      <c r="W1773" s="818">
        <v>479.31557142857133</v>
      </c>
      <c r="X1773" s="825">
        <v>479.31557142857133</v>
      </c>
      <c r="Y1773" s="737">
        <v>479.32</v>
      </c>
      <c r="Z1773" s="737">
        <v>479.32</v>
      </c>
      <c r="AA1773" s="737">
        <v>479.32</v>
      </c>
      <c r="AB1773" s="2162">
        <v>479.32</v>
      </c>
      <c r="AC1773" s="782">
        <v>479.32</v>
      </c>
      <c r="AD1773" s="818"/>
      <c r="AE1773" s="818"/>
      <c r="AF1773" s="818"/>
      <c r="AG1773" s="818"/>
      <c r="AH1773" s="163"/>
      <c r="AI1773" s="1942"/>
      <c r="AJ1773" s="1942"/>
      <c r="AK1773" s="820"/>
      <c r="AL1773" s="1942"/>
      <c r="AM1773" s="1942"/>
      <c r="AN1773" s="1942"/>
      <c r="AO1773" s="1942"/>
      <c r="AP1773" s="1942"/>
      <c r="AQ1773" s="1942"/>
      <c r="AR1773" s="1942"/>
      <c r="AS1773" s="1942"/>
      <c r="AT1773" s="1942"/>
      <c r="AU1773" s="1942"/>
      <c r="AV1773" s="1942"/>
      <c r="AW1773" s="1942"/>
      <c r="AX1773" s="1942"/>
      <c r="AY1773" s="1942"/>
      <c r="AZ1773" s="1942"/>
      <c r="BA1773" s="1942"/>
      <c r="BB1773" s="244">
        <f>(BD1773+BD1774)/(BE1773+BE1774)</f>
        <v>0.87998357881258038</v>
      </c>
      <c r="BC1773" s="710" t="str">
        <f t="shared" si="195"/>
        <v>Cooling Res 18 Year EUL</v>
      </c>
      <c r="BD1773" s="673">
        <f>(INDEX('Avoided Cost Benefits'!$C$4:$C$857,MATCH(BC1773,'Avoided Cost Benefits'!$A$4:$A$857,0)))*F1773</f>
        <v>845.42829539518982</v>
      </c>
      <c r="BE1773" s="1949">
        <f t="shared" si="191"/>
        <v>1363.2656913638502</v>
      </c>
      <c r="BF1773" s="1942"/>
      <c r="BG1773" s="691"/>
      <c r="BH1773" s="821"/>
      <c r="BI1773" s="691"/>
    </row>
    <row r="1774" spans="1:61" s="51" customFormat="1" x14ac:dyDescent="0.25">
      <c r="A1774" s="1267" t="str">
        <f t="shared" si="186"/>
        <v>355100_2019_12_Heating Res</v>
      </c>
      <c r="B1774" s="123"/>
      <c r="C1774" s="1471" t="s">
        <v>1542</v>
      </c>
      <c r="D1774" s="1553" t="s">
        <v>322</v>
      </c>
      <c r="E1774" s="3008" t="s">
        <v>1543</v>
      </c>
      <c r="F1774" s="782">
        <f>ROUND(((K1984*K2171*(1/K2358-1/K2545)*K3480)/1000)*$K$3484,2)</f>
        <v>766.69</v>
      </c>
      <c r="G1774" s="214" t="s">
        <v>1135</v>
      </c>
      <c r="H1774" s="155">
        <f>VLOOKUP(G1774,'CP FACTORS'!$A$3:$B$38, 2, FALSE)</f>
        <v>0</v>
      </c>
      <c r="I1774" s="1554">
        <f t="shared" si="192"/>
        <v>0</v>
      </c>
      <c r="J1774" s="108">
        <f t="shared" si="188"/>
        <v>18</v>
      </c>
      <c r="K1774" s="1052">
        <f t="shared" si="189"/>
        <v>0</v>
      </c>
      <c r="L1774" s="1088"/>
      <c r="M1774" s="328"/>
      <c r="N1774" s="1587"/>
      <c r="O1774" s="1135"/>
      <c r="P1774" s="123"/>
      <c r="Q1774" s="123"/>
      <c r="R1774" s="1431"/>
      <c r="S1774" s="123"/>
      <c r="T1774" s="123"/>
      <c r="U1774" s="1589"/>
      <c r="V1774" s="1962" t="s">
        <v>31</v>
      </c>
      <c r="W1774" s="818">
        <v>1029.6000000000013</v>
      </c>
      <c r="X1774" s="819">
        <v>766.69069188651167</v>
      </c>
      <c r="Y1774" s="737">
        <v>766.69</v>
      </c>
      <c r="Z1774" s="737">
        <v>766.69</v>
      </c>
      <c r="AA1774" s="737">
        <v>766.69</v>
      </c>
      <c r="AB1774" s="2162">
        <v>766.69</v>
      </c>
      <c r="AC1774" s="782">
        <v>766.69</v>
      </c>
      <c r="AD1774" s="818"/>
      <c r="AE1774" s="818"/>
      <c r="AF1774" s="818"/>
      <c r="AG1774" s="818"/>
      <c r="AH1774" s="163"/>
      <c r="AI1774" s="1942"/>
      <c r="AJ1774" s="1942"/>
      <c r="AK1774" s="820"/>
      <c r="AL1774" s="1942"/>
      <c r="AM1774" s="1942"/>
      <c r="AN1774" s="1942"/>
      <c r="AO1774" s="1942"/>
      <c r="AP1774" s="1942"/>
      <c r="AQ1774" s="1942"/>
      <c r="AR1774" s="1942"/>
      <c r="AS1774" s="1942"/>
      <c r="AT1774" s="1942"/>
      <c r="AU1774" s="1942"/>
      <c r="AV1774" s="1942"/>
      <c r="AW1774" s="1942"/>
      <c r="AX1774" s="1942"/>
      <c r="AY1774" s="1942"/>
      <c r="AZ1774" s="1942"/>
      <c r="BA1774" s="1942"/>
      <c r="BB1774" s="242"/>
      <c r="BC1774" s="822" t="str">
        <f t="shared" si="195"/>
        <v>Heating Res 18 Year EUL</v>
      </c>
      <c r="BD1774" s="673">
        <f>(INDEX('Avoided Cost Benefits'!$C$4:$C$857,MATCH(BC1774,'Avoided Cost Benefits'!$A$4:$A$857,0)))*F1774</f>
        <v>354.22312656357781</v>
      </c>
      <c r="BE1774" s="1949">
        <f t="shared" si="191"/>
        <v>0</v>
      </c>
      <c r="BF1774" s="1942"/>
      <c r="BG1774" s="691"/>
      <c r="BH1774" s="821"/>
      <c r="BI1774" s="691"/>
    </row>
    <row r="1775" spans="1:61" s="51" customFormat="1" x14ac:dyDescent="0.25">
      <c r="A1775" s="1267" t="str">
        <f t="shared" si="186"/>
        <v>355101_2019_12_Cooling Res</v>
      </c>
      <c r="B1775" s="123"/>
      <c r="C1775" s="1471" t="s">
        <v>1544</v>
      </c>
      <c r="D1775" s="1553" t="s">
        <v>317</v>
      </c>
      <c r="E1775" s="2878" t="s">
        <v>1545</v>
      </c>
      <c r="F1775" s="782">
        <f>ROUND((($K$2733*$K$2920*(1/$K$3107-1/$K$3294)*$K$3481)/1000)*$K$3484,2)</f>
        <v>348.59</v>
      </c>
      <c r="G1775" s="214" t="str">
        <f>G1773</f>
        <v>Cooling Res</v>
      </c>
      <c r="H1775" s="155">
        <f>VLOOKUP(G1775,'CP FACTORS'!$A$3:$B$38, 2, FALSE)</f>
        <v>9.4741810000000004E-4</v>
      </c>
      <c r="I1775" s="1554">
        <f t="shared" si="192"/>
        <v>0.33026</v>
      </c>
      <c r="J1775" s="108">
        <f t="shared" si="188"/>
        <v>18</v>
      </c>
      <c r="K1775" s="3294">
        <f t="shared" si="189"/>
        <v>1444.3799999999994</v>
      </c>
      <c r="L1775" s="3296">
        <f>L1985</f>
        <v>3.3</v>
      </c>
      <c r="M1775" s="328"/>
      <c r="N1775" s="1587"/>
      <c r="O1775" s="1135"/>
      <c r="P1775" s="123"/>
      <c r="Q1775" s="123"/>
      <c r="R1775" s="1431"/>
      <c r="S1775" s="123"/>
      <c r="T1775" s="123"/>
      <c r="U1775" s="1589"/>
      <c r="V1775" s="1962" t="s">
        <v>31</v>
      </c>
      <c r="W1775" s="818"/>
      <c r="X1775" s="819"/>
      <c r="Y1775" s="742">
        <v>348.59</v>
      </c>
      <c r="Z1775" s="737">
        <v>348.59</v>
      </c>
      <c r="AA1775" s="737">
        <v>348.59</v>
      </c>
      <c r="AB1775" s="2162">
        <v>348.59</v>
      </c>
      <c r="AC1775" s="782">
        <v>348.59</v>
      </c>
      <c r="AD1775" s="818"/>
      <c r="AE1775" s="818"/>
      <c r="AF1775" s="818"/>
      <c r="AG1775" s="818"/>
      <c r="AH1775" s="163"/>
      <c r="AI1775" s="1942"/>
      <c r="AJ1775" s="1942"/>
      <c r="AK1775" s="820"/>
      <c r="AL1775" s="1942"/>
      <c r="AM1775" s="1942"/>
      <c r="AN1775" s="1942"/>
      <c r="AO1775" s="1942"/>
      <c r="AP1775" s="1942"/>
      <c r="AQ1775" s="1942"/>
      <c r="AR1775" s="1942"/>
      <c r="AS1775" s="1942"/>
      <c r="AT1775" s="1942"/>
      <c r="AU1775" s="1942"/>
      <c r="AV1775" s="1942"/>
      <c r="AW1775" s="1942"/>
      <c r="AX1775" s="1942"/>
      <c r="AY1775" s="1942"/>
      <c r="AZ1775" s="1942"/>
      <c r="BA1775" s="1942"/>
      <c r="BB1775" s="244">
        <f>(BD1775+BD1776)/(BE1775+BE1776)</f>
        <v>0.5395887768356824</v>
      </c>
      <c r="BC1775" s="710" t="str">
        <f t="shared" si="195"/>
        <v>Cooling Res 18 Year EUL</v>
      </c>
      <c r="BD1775" s="673">
        <f>(INDEX('Avoided Cost Benefits'!$C$4:$C$857,MATCH(BC1775,'Avoided Cost Benefits'!$A$4:$A$857,0)))*F1775</f>
        <v>614.8457178749253</v>
      </c>
      <c r="BE1775" s="1949">
        <f t="shared" si="191"/>
        <v>1363.2656913638502</v>
      </c>
      <c r="BF1775" s="1942"/>
      <c r="BG1775" s="691"/>
      <c r="BH1775" s="824"/>
      <c r="BI1775" s="691"/>
    </row>
    <row r="1776" spans="1:61" s="51" customFormat="1" x14ac:dyDescent="0.25">
      <c r="A1776" s="1267" t="str">
        <f t="shared" si="186"/>
        <v>355101_2019_12_Heating Res</v>
      </c>
      <c r="B1776" s="123"/>
      <c r="C1776" s="1471" t="str">
        <f>C1775</f>
        <v>355101_2019_12_</v>
      </c>
      <c r="D1776" s="1553" t="s">
        <v>317</v>
      </c>
      <c r="E1776" s="3005" t="s">
        <v>1545</v>
      </c>
      <c r="F1776" s="782">
        <f>ROUND((($K$1985*$K$2172*(1/$K$2359-1/$K$2546)*$K$3481)/1000)*$K$3484,2)</f>
        <v>261.37</v>
      </c>
      <c r="G1776" s="214" t="str">
        <f>G1774</f>
        <v>Heating Res</v>
      </c>
      <c r="H1776" s="155">
        <f>VLOOKUP(G1776,'CP FACTORS'!$A$3:$B$38, 2, FALSE)</f>
        <v>0</v>
      </c>
      <c r="I1776" s="1554">
        <f t="shared" si="192"/>
        <v>0</v>
      </c>
      <c r="J1776" s="108">
        <f t="shared" si="188"/>
        <v>18</v>
      </c>
      <c r="K1776" s="1052">
        <f t="shared" si="189"/>
        <v>0</v>
      </c>
      <c r="L1776" s="1088"/>
      <c r="M1776" s="328"/>
      <c r="N1776" s="1587"/>
      <c r="O1776" s="1135"/>
      <c r="P1776" s="123"/>
      <c r="Q1776" s="123"/>
      <c r="R1776" s="1431"/>
      <c r="S1776" s="123"/>
      <c r="T1776" s="123"/>
      <c r="U1776" s="1589"/>
      <c r="V1776" s="1962" t="s">
        <v>31</v>
      </c>
      <c r="W1776" s="818"/>
      <c r="X1776" s="819"/>
      <c r="Y1776" s="742">
        <v>261.37</v>
      </c>
      <c r="Z1776" s="737">
        <v>261.37</v>
      </c>
      <c r="AA1776" s="737">
        <v>261.37</v>
      </c>
      <c r="AB1776" s="2162">
        <v>261.37</v>
      </c>
      <c r="AC1776" s="782">
        <v>261.37</v>
      </c>
      <c r="AD1776" s="818"/>
      <c r="AE1776" s="818"/>
      <c r="AF1776" s="818"/>
      <c r="AG1776" s="818"/>
      <c r="AH1776" s="163"/>
      <c r="AI1776" s="1942"/>
      <c r="AJ1776" s="1942"/>
      <c r="AK1776" s="820"/>
      <c r="AL1776" s="1942"/>
      <c r="AM1776" s="1942"/>
      <c r="AN1776" s="1942"/>
      <c r="AO1776" s="1942"/>
      <c r="AP1776" s="1942"/>
      <c r="AQ1776" s="1942"/>
      <c r="AR1776" s="1942"/>
      <c r="AS1776" s="1942"/>
      <c r="AT1776" s="1942"/>
      <c r="AU1776" s="1942"/>
      <c r="AV1776" s="1942"/>
      <c r="AW1776" s="1942"/>
      <c r="AX1776" s="1942"/>
      <c r="AY1776" s="1942"/>
      <c r="AZ1776" s="1942"/>
      <c r="BA1776" s="1942"/>
      <c r="BB1776" s="242"/>
      <c r="BC1776" s="822" t="str">
        <f t="shared" si="195"/>
        <v>Heating Res 18 Year EUL</v>
      </c>
      <c r="BD1776" s="673">
        <f>(INDEX('Avoided Cost Benefits'!$C$4:$C$857,MATCH(BC1776,'Avoided Cost Benefits'!$A$4:$A$857,0)))*F1776</f>
        <v>120.7571490301456</v>
      </c>
      <c r="BE1776" s="1949">
        <f t="shared" si="191"/>
        <v>0</v>
      </c>
      <c r="BF1776" s="1942"/>
      <c r="BG1776" s="691"/>
      <c r="BH1776" s="824"/>
      <c r="BI1776" s="691"/>
    </row>
    <row r="1777" spans="1:61" s="51" customFormat="1" x14ac:dyDescent="0.25">
      <c r="A1777" s="1267" t="str">
        <f t="shared" si="186"/>
        <v>355150_2019_12_Cooling Res</v>
      </c>
      <c r="B1777" s="123"/>
      <c r="C1777" s="1471" t="s">
        <v>1546</v>
      </c>
      <c r="D1777" s="1553" t="s">
        <v>322</v>
      </c>
      <c r="E1777" s="2965" t="s">
        <v>1547</v>
      </c>
      <c r="F1777" s="782">
        <f>ROUND(((K2734*K2921*(1/K3108-1/K3295)*K3482)/1000)*$K$3484,2)</f>
        <v>532.57000000000005</v>
      </c>
      <c r="G1777" s="214" t="s">
        <v>1134</v>
      </c>
      <c r="H1777" s="155">
        <f>VLOOKUP(G1777,'CP FACTORS'!$A$3:$B$38, 2, FALSE)</f>
        <v>9.4741810000000004E-4</v>
      </c>
      <c r="I1777" s="1554">
        <f t="shared" si="192"/>
        <v>0.50456599999999996</v>
      </c>
      <c r="J1777" s="108">
        <f t="shared" si="188"/>
        <v>18</v>
      </c>
      <c r="K1777" s="1052">
        <f t="shared" si="189"/>
        <v>1689.9245999999991</v>
      </c>
      <c r="L1777" s="1088">
        <f>L1986</f>
        <v>3.3</v>
      </c>
      <c r="M1777" s="328"/>
      <c r="N1777" s="1587"/>
      <c r="O1777" s="1135"/>
      <c r="P1777" s="123"/>
      <c r="Q1777" s="123"/>
      <c r="R1777" s="1431"/>
      <c r="S1777" s="123"/>
      <c r="T1777" s="123"/>
      <c r="U1777" s="1589"/>
      <c r="V1777" s="1962" t="s">
        <v>31</v>
      </c>
      <c r="W1777" s="818">
        <v>532.57285714285706</v>
      </c>
      <c r="X1777" s="825">
        <v>532.57285714285706</v>
      </c>
      <c r="Y1777" s="737">
        <v>532.57000000000005</v>
      </c>
      <c r="Z1777" s="737">
        <v>532.57000000000005</v>
      </c>
      <c r="AA1777" s="737">
        <v>532.57000000000005</v>
      </c>
      <c r="AB1777" s="2162">
        <v>532.57000000000005</v>
      </c>
      <c r="AC1777" s="782">
        <v>532.57000000000005</v>
      </c>
      <c r="AD1777" s="818"/>
      <c r="AE1777" s="818"/>
      <c r="AF1777" s="818"/>
      <c r="AG1777" s="818"/>
      <c r="AH1777" s="163"/>
      <c r="AI1777" s="1942"/>
      <c r="AJ1777" s="1942"/>
      <c r="AK1777" s="820"/>
      <c r="AL1777" s="1942"/>
      <c r="AM1777" s="1942"/>
      <c r="AN1777" s="1942"/>
      <c r="AO1777" s="1942"/>
      <c r="AP1777" s="1942"/>
      <c r="AQ1777" s="1942"/>
      <c r="AR1777" s="1942"/>
      <c r="AS1777" s="1942"/>
      <c r="AT1777" s="1942"/>
      <c r="AU1777" s="1942"/>
      <c r="AV1777" s="1942"/>
      <c r="AW1777" s="1942"/>
      <c r="AX1777" s="1942"/>
      <c r="AY1777" s="1942"/>
      <c r="AZ1777" s="1942"/>
      <c r="BA1777" s="1942"/>
      <c r="BB1777" s="244">
        <f>(BD1777+BD1778)/(BE1777+BE1778)</f>
        <v>0.81100768902567399</v>
      </c>
      <c r="BC1777" s="710" t="str">
        <f t="shared" si="195"/>
        <v>Cooling Res 18 Year EUL</v>
      </c>
      <c r="BD1777" s="673">
        <f>(INDEX('Avoided Cost Benefits'!$C$4:$C$857,MATCH(BC1777,'Avoided Cost Benefits'!$A$4:$A$857,0)))*F1777</f>
        <v>939.35105415717328</v>
      </c>
      <c r="BE1777" s="1949">
        <f t="shared" si="191"/>
        <v>1595.0208588957046</v>
      </c>
      <c r="BF1777" s="1942"/>
      <c r="BG1777" s="691"/>
      <c r="BH1777" s="821"/>
      <c r="BI1777" s="691"/>
    </row>
    <row r="1778" spans="1:61" s="51" customFormat="1" x14ac:dyDescent="0.25">
      <c r="A1778" s="1267" t="str">
        <f t="shared" si="186"/>
        <v>355150_2019_12_Heating Res</v>
      </c>
      <c r="B1778" s="123"/>
      <c r="C1778" s="1471" t="s">
        <v>1546</v>
      </c>
      <c r="D1778" s="1553" t="s">
        <v>322</v>
      </c>
      <c r="E1778" s="3008" t="s">
        <v>1547</v>
      </c>
      <c r="F1778" s="782">
        <f>ROUND(((K1986*K2173*(1/K2360-1/K2547)*K3482)/1000)*$K$3484,2)</f>
        <v>766.69</v>
      </c>
      <c r="G1778" s="214" t="s">
        <v>1135</v>
      </c>
      <c r="H1778" s="155">
        <f>VLOOKUP(G1778,'CP FACTORS'!$A$3:$B$38, 2, FALSE)</f>
        <v>0</v>
      </c>
      <c r="I1778" s="1554">
        <f t="shared" si="192"/>
        <v>0</v>
      </c>
      <c r="J1778" s="108">
        <f t="shared" si="188"/>
        <v>18</v>
      </c>
      <c r="K1778" s="1052">
        <f t="shared" si="189"/>
        <v>0</v>
      </c>
      <c r="L1778" s="1088"/>
      <c r="M1778" s="328"/>
      <c r="N1778" s="1587"/>
      <c r="O1778" s="1135"/>
      <c r="P1778" s="123"/>
      <c r="Q1778" s="123"/>
      <c r="R1778" s="1431"/>
      <c r="S1778" s="123"/>
      <c r="T1778" s="123"/>
      <c r="U1778" s="1589"/>
      <c r="V1778" s="1962" t="s">
        <v>31</v>
      </c>
      <c r="W1778" s="818">
        <v>1029.6000000000013</v>
      </c>
      <c r="X1778" s="819">
        <v>766.69069188651167</v>
      </c>
      <c r="Y1778" s="737">
        <v>766.69</v>
      </c>
      <c r="Z1778" s="737">
        <v>766.69</v>
      </c>
      <c r="AA1778" s="737">
        <v>766.69</v>
      </c>
      <c r="AB1778" s="2162">
        <v>766.69</v>
      </c>
      <c r="AC1778" s="782">
        <v>766.69</v>
      </c>
      <c r="AD1778" s="818"/>
      <c r="AE1778" s="818"/>
      <c r="AF1778" s="818"/>
      <c r="AG1778" s="818"/>
      <c r="AH1778" s="163"/>
      <c r="AI1778" s="1942"/>
      <c r="AJ1778" s="1942"/>
      <c r="AK1778" s="820"/>
      <c r="AL1778" s="1942"/>
      <c r="AM1778" s="1942"/>
      <c r="AN1778" s="1942"/>
      <c r="AO1778" s="1942"/>
      <c r="AP1778" s="1942"/>
      <c r="AQ1778" s="1942"/>
      <c r="AR1778" s="1942"/>
      <c r="AS1778" s="1942"/>
      <c r="AT1778" s="1942"/>
      <c r="AU1778" s="1942"/>
      <c r="AV1778" s="1942"/>
      <c r="AW1778" s="1942"/>
      <c r="AX1778" s="1942"/>
      <c r="AY1778" s="1942"/>
      <c r="AZ1778" s="1942"/>
      <c r="BA1778" s="1942"/>
      <c r="BB1778" s="242"/>
      <c r="BC1778" s="822" t="str">
        <f t="shared" si="195"/>
        <v>Heating Res 18 Year EUL</v>
      </c>
      <c r="BD1778" s="673">
        <f>(INDEX('Avoided Cost Benefits'!$C$4:$C$857,MATCH(BC1778,'Avoided Cost Benefits'!$A$4:$A$857,0)))*F1778</f>
        <v>354.22312656357781</v>
      </c>
      <c r="BE1778" s="1949">
        <f t="shared" si="191"/>
        <v>0</v>
      </c>
      <c r="BF1778" s="1942"/>
      <c r="BG1778" s="691"/>
      <c r="BH1778" s="821"/>
      <c r="BI1778" s="691"/>
    </row>
    <row r="1779" spans="1:61" s="51" customFormat="1" x14ac:dyDescent="0.25">
      <c r="A1779" s="1267" t="str">
        <f t="shared" si="186"/>
        <v>355151_2019_12_Cooling Res</v>
      </c>
      <c r="B1779" s="1942"/>
      <c r="C1779" s="1471" t="s">
        <v>1548</v>
      </c>
      <c r="D1779" s="1553" t="s">
        <v>317</v>
      </c>
      <c r="E1779" s="2878" t="s">
        <v>1549</v>
      </c>
      <c r="F1779" s="782">
        <f>ROUND((($K$2735*$K$2922*(1/$K$3109-1/$K$3296)*$K$3483)/1000)*$K$3484,2)</f>
        <v>387.33</v>
      </c>
      <c r="G1779" s="214" t="str">
        <f>G1777</f>
        <v>Cooling Res</v>
      </c>
      <c r="H1779" s="155">
        <f>VLOOKUP(G1779,'CP FACTORS'!$A$3:$B$38, 2, FALSE)</f>
        <v>9.4741810000000004E-4</v>
      </c>
      <c r="I1779" s="1554">
        <f t="shared" si="192"/>
        <v>0.36696299999999998</v>
      </c>
      <c r="J1779" s="108">
        <f t="shared" si="188"/>
        <v>18</v>
      </c>
      <c r="K1779" s="3294">
        <f t="shared" si="189"/>
        <v>1689.9245999999991</v>
      </c>
      <c r="L1779" s="3296">
        <f>L1987</f>
        <v>3.3</v>
      </c>
      <c r="M1779" s="328"/>
      <c r="N1779" s="1587"/>
      <c r="O1779" s="1135"/>
      <c r="P1779" s="123"/>
      <c r="Q1779" s="123"/>
      <c r="R1779" s="1431"/>
      <c r="S1779" s="123"/>
      <c r="T1779" s="123"/>
      <c r="U1779" s="1589"/>
      <c r="V1779" s="1962" t="s">
        <v>31</v>
      </c>
      <c r="W1779" s="818"/>
      <c r="X1779" s="825"/>
      <c r="Y1779" s="742">
        <v>387.33</v>
      </c>
      <c r="Z1779" s="737">
        <v>387.33</v>
      </c>
      <c r="AA1779" s="737">
        <v>387.33</v>
      </c>
      <c r="AB1779" s="2162">
        <v>387.33</v>
      </c>
      <c r="AC1779" s="782">
        <v>387.33</v>
      </c>
      <c r="AD1779" s="818"/>
      <c r="AE1779" s="818"/>
      <c r="AF1779" s="818"/>
      <c r="AG1779" s="818"/>
      <c r="AH1779" s="163"/>
      <c r="AI1779" s="1942"/>
      <c r="AJ1779" s="1942"/>
      <c r="AK1779" s="820"/>
      <c r="AL1779" s="1942"/>
      <c r="AM1779" s="1942"/>
      <c r="AN1779" s="1942"/>
      <c r="AO1779" s="1942"/>
      <c r="AP1779" s="1942"/>
      <c r="AQ1779" s="1942"/>
      <c r="AR1779" s="1942"/>
      <c r="AS1779" s="1942"/>
      <c r="AT1779" s="1942"/>
      <c r="AU1779" s="1942"/>
      <c r="AV1779" s="1942"/>
      <c r="AW1779" s="1942"/>
      <c r="AX1779" s="1942"/>
      <c r="AY1779" s="1942"/>
      <c r="AZ1779" s="1942"/>
      <c r="BA1779" s="1942"/>
      <c r="BB1779" s="244">
        <f>(BD1779+BD1780)/(BE1779+BE1780)</f>
        <v>0.5040264970834335</v>
      </c>
      <c r="BC1779" s="710" t="str">
        <f t="shared" si="195"/>
        <v>Cooling Res 18 Year EUL</v>
      </c>
      <c r="BD1779" s="673">
        <f>(INDEX('Avoided Cost Benefits'!$C$4:$C$857,MATCH(BC1779,'Avoided Cost Benefits'!$A$4:$A$857,0)))*F1779</f>
        <v>683.17562725406594</v>
      </c>
      <c r="BE1779" s="1949">
        <f t="shared" si="191"/>
        <v>1595.0208588957046</v>
      </c>
      <c r="BF1779" s="1942"/>
      <c r="BG1779" s="691"/>
      <c r="BH1779" s="824"/>
      <c r="BI1779" s="691"/>
    </row>
    <row r="1780" spans="1:61" s="51" customFormat="1" x14ac:dyDescent="0.25">
      <c r="A1780" s="1267" t="str">
        <f t="shared" si="186"/>
        <v>355151_2019_12_Heating Res</v>
      </c>
      <c r="B1780" s="123"/>
      <c r="C1780" s="1471" t="str">
        <f>C1779</f>
        <v>355151_2019_12_</v>
      </c>
      <c r="D1780" s="1553" t="s">
        <v>317</v>
      </c>
      <c r="E1780" s="3005" t="s">
        <v>1549</v>
      </c>
      <c r="F1780" s="782">
        <f>ROUND((($K$1987*$K$2174*(1/$K$2361-1/$K$2548)*$K$3483)/1000)*$K$3484,2)</f>
        <v>261.37</v>
      </c>
      <c r="G1780" s="214" t="str">
        <f>G1778</f>
        <v>Heating Res</v>
      </c>
      <c r="H1780" s="155">
        <f>VLOOKUP(G1780,'CP FACTORS'!$A$3:$B$38, 2, FALSE)</f>
        <v>0</v>
      </c>
      <c r="I1780" s="1554">
        <f t="shared" si="192"/>
        <v>0</v>
      </c>
      <c r="J1780" s="108">
        <f t="shared" si="188"/>
        <v>18</v>
      </c>
      <c r="K1780" s="816">
        <f t="shared" si="189"/>
        <v>0</v>
      </c>
      <c r="L1780" s="817"/>
      <c r="M1780" s="328"/>
      <c r="N1780" s="1587"/>
      <c r="O1780" s="1135"/>
      <c r="P1780" s="123"/>
      <c r="Q1780" s="123"/>
      <c r="R1780" s="1431"/>
      <c r="S1780" s="123"/>
      <c r="T1780" s="123"/>
      <c r="U1780" s="1589"/>
      <c r="V1780" s="1962" t="s">
        <v>31</v>
      </c>
      <c r="W1780" s="818"/>
      <c r="X1780" s="819"/>
      <c r="Y1780" s="742">
        <v>261.37</v>
      </c>
      <c r="Z1780" s="737">
        <v>261.37</v>
      </c>
      <c r="AA1780" s="737">
        <v>261.37</v>
      </c>
      <c r="AB1780" s="2162">
        <v>261.37</v>
      </c>
      <c r="AC1780" s="782">
        <v>261.37</v>
      </c>
      <c r="AD1780" s="818"/>
      <c r="AE1780" s="818"/>
      <c r="AF1780" s="818"/>
      <c r="AG1780" s="818"/>
      <c r="AH1780" s="163"/>
      <c r="AI1780" s="1942"/>
      <c r="AJ1780" s="1942"/>
      <c r="AK1780" s="820"/>
      <c r="AL1780" s="1942"/>
      <c r="AM1780" s="1942"/>
      <c r="AN1780" s="1942"/>
      <c r="AO1780" s="1942"/>
      <c r="AP1780" s="1942"/>
      <c r="AQ1780" s="1942"/>
      <c r="AR1780" s="1942"/>
      <c r="AS1780" s="1942"/>
      <c r="AT1780" s="1942"/>
      <c r="AU1780" s="1942"/>
      <c r="AV1780" s="1942"/>
      <c r="AW1780" s="1942"/>
      <c r="AX1780" s="1942"/>
      <c r="AY1780" s="1942"/>
      <c r="AZ1780" s="1942"/>
      <c r="BA1780" s="1942"/>
      <c r="BB1780" s="246"/>
      <c r="BC1780" s="822" t="str">
        <f t="shared" si="195"/>
        <v>Heating Res 18 Year EUL</v>
      </c>
      <c r="BD1780" s="677">
        <f>(INDEX('Avoided Cost Benefits'!$C$4:$C$857,MATCH(BC1780,'Avoided Cost Benefits'!$A$4:$A$857,0)))*F1780</f>
        <v>120.7571490301456</v>
      </c>
      <c r="BE1780" s="1950">
        <f t="shared" si="191"/>
        <v>0</v>
      </c>
      <c r="BF1780" s="1942"/>
      <c r="BG1780" s="691"/>
      <c r="BH1780" s="824"/>
      <c r="BI1780" s="691"/>
    </row>
    <row r="1781" spans="1:61" s="51" customFormat="1" hidden="1" outlineLevel="1" x14ac:dyDescent="0.25">
      <c r="A1781" s="1267"/>
      <c r="B1781" s="123"/>
      <c r="C1781" s="328"/>
      <c r="D1781" s="329"/>
      <c r="E1781" s="329" t="s">
        <v>1127</v>
      </c>
      <c r="F1781" s="1492"/>
      <c r="G1781" s="1576"/>
      <c r="H1781" s="328"/>
      <c r="I1781" s="328"/>
      <c r="J1781" s="328"/>
      <c r="K1781" s="328"/>
      <c r="L1781" s="328"/>
      <c r="M1781" s="328"/>
      <c r="N1781" s="1590"/>
      <c r="O1781" s="123"/>
      <c r="P1781" s="123"/>
      <c r="Q1781" s="329"/>
      <c r="R1781" s="123"/>
      <c r="S1781" s="123"/>
      <c r="T1781" s="123"/>
      <c r="U1781" s="123"/>
      <c r="V1781" s="123"/>
      <c r="W1781" s="1942"/>
      <c r="X1781" s="1942"/>
      <c r="Y1781" s="1942"/>
      <c r="Z1781" s="1942"/>
      <c r="AA1781" s="1942"/>
      <c r="AB1781" s="1942"/>
      <c r="AC1781" s="1942"/>
      <c r="AD1781" s="1942"/>
      <c r="AE1781" s="1942"/>
      <c r="AF1781" s="1942"/>
      <c r="AG1781" s="1942"/>
      <c r="AH1781" s="1942"/>
      <c r="AI1781" s="1942"/>
      <c r="AJ1781" s="1942"/>
      <c r="AK1781" s="1942"/>
      <c r="AL1781" s="1942"/>
      <c r="AM1781" s="1942"/>
      <c r="AN1781" s="1942"/>
      <c r="AO1781" s="1942"/>
      <c r="AP1781" s="1942"/>
      <c r="AQ1781" s="1942"/>
      <c r="AR1781" s="1942"/>
      <c r="AS1781" s="1942"/>
      <c r="AT1781" s="1942"/>
      <c r="AU1781" s="1942"/>
      <c r="AV1781" s="1942"/>
      <c r="AW1781" s="1942"/>
      <c r="AX1781" s="1942"/>
      <c r="AY1781" s="1942"/>
      <c r="AZ1781" s="1942"/>
      <c r="BA1781" s="1942"/>
      <c r="BB1781" s="575"/>
      <c r="BC1781" s="828"/>
      <c r="BD1781" s="678"/>
      <c r="BE1781" s="585"/>
      <c r="BF1781" s="1942"/>
      <c r="BG1781" s="1942"/>
      <c r="BH1781" s="1942"/>
      <c r="BI1781" s="1942"/>
    </row>
    <row r="1782" spans="1:61" s="51" customFormat="1" hidden="1" outlineLevel="1" x14ac:dyDescent="0.25">
      <c r="A1782" s="1267"/>
      <c r="B1782" s="123"/>
      <c r="C1782" s="328"/>
      <c r="D1782" s="329"/>
      <c r="E1782" s="2984" t="s">
        <v>4319</v>
      </c>
      <c r="F1782" s="1492"/>
      <c r="G1782" s="1576"/>
      <c r="H1782" s="328"/>
      <c r="I1782" s="328"/>
      <c r="J1782" s="328"/>
      <c r="K1782" s="328"/>
      <c r="L1782" s="328"/>
      <c r="M1782" s="328"/>
      <c r="N1782" s="123"/>
      <c r="O1782" s="123"/>
      <c r="P1782" s="123"/>
      <c r="Q1782" s="329"/>
      <c r="R1782" s="123"/>
      <c r="S1782" s="123"/>
      <c r="T1782" s="123"/>
      <c r="U1782" s="123"/>
      <c r="V1782" s="123"/>
      <c r="W1782" s="1942"/>
      <c r="X1782" s="1942"/>
      <c r="Y1782" s="1942"/>
      <c r="Z1782" s="1942"/>
      <c r="AA1782" s="1942"/>
      <c r="AB1782" s="1942"/>
      <c r="AC1782" s="1942"/>
      <c r="AD1782" s="1942"/>
      <c r="AE1782" s="1942"/>
      <c r="AF1782" s="1942"/>
      <c r="AG1782" s="1942"/>
      <c r="AH1782" s="1942"/>
      <c r="AI1782" s="1942"/>
      <c r="AJ1782" s="1942"/>
      <c r="AK1782" s="1942"/>
      <c r="AL1782" s="1942"/>
      <c r="AM1782" s="1942"/>
      <c r="AN1782" s="1942"/>
      <c r="AO1782" s="1942"/>
      <c r="AP1782" s="1942"/>
      <c r="AQ1782" s="1942"/>
      <c r="AR1782" s="1942"/>
      <c r="AS1782" s="1942"/>
      <c r="AT1782" s="1942"/>
      <c r="AU1782" s="1942"/>
      <c r="AV1782" s="1942"/>
      <c r="AW1782" s="1942"/>
      <c r="AX1782" s="1942"/>
      <c r="AY1782" s="1942"/>
      <c r="AZ1782" s="1942"/>
      <c r="BA1782" s="1942"/>
      <c r="BB1782" s="575"/>
      <c r="BC1782" s="576"/>
      <c r="BD1782" s="678"/>
      <c r="BE1782" s="585"/>
      <c r="BF1782" s="1942"/>
      <c r="BG1782" s="1942"/>
      <c r="BH1782" s="1942"/>
      <c r="BI1782" s="1942"/>
    </row>
    <row r="1783" spans="1:61" s="51" customFormat="1" hidden="1" outlineLevel="1" x14ac:dyDescent="0.25">
      <c r="A1783" s="1267"/>
      <c r="B1783" s="123"/>
      <c r="C1783" s="328"/>
      <c r="D1783" s="174" t="s">
        <v>108</v>
      </c>
      <c r="E1783" s="679"/>
      <c r="F1783" s="123"/>
      <c r="G1783" s="329"/>
      <c r="H1783" s="123"/>
      <c r="I1783" s="353"/>
      <c r="J1783" s="123"/>
      <c r="K1783" s="123"/>
      <c r="L1783" s="123"/>
      <c r="M1783" s="123"/>
      <c r="N1783" s="123"/>
      <c r="O1783" s="123"/>
      <c r="P1783" s="123"/>
      <c r="Q1783" s="123"/>
      <c r="R1783" s="123"/>
      <c r="S1783" s="123"/>
      <c r="T1783" s="123"/>
      <c r="U1783" s="123"/>
      <c r="V1783" s="123"/>
      <c r="W1783" s="1942"/>
      <c r="X1783" s="1942"/>
      <c r="Y1783" s="1942"/>
      <c r="Z1783" s="1942"/>
      <c r="AA1783" s="1942"/>
      <c r="AB1783" s="1942"/>
      <c r="AC1783" s="1942"/>
      <c r="AD1783" s="1942"/>
      <c r="AE1783" s="1942"/>
      <c r="AF1783" s="1942"/>
      <c r="AG1783" s="1942"/>
      <c r="AH1783" s="1942"/>
      <c r="AI1783" s="1942"/>
      <c r="AJ1783" s="1942"/>
      <c r="AK1783" s="1942"/>
      <c r="AL1783" s="1942"/>
      <c r="AM1783" s="1942"/>
      <c r="AN1783" s="1942"/>
      <c r="AO1783" s="1942"/>
      <c r="AP1783" s="1942"/>
      <c r="AQ1783" s="1942"/>
      <c r="AR1783" s="1942"/>
      <c r="AS1783" s="1942"/>
      <c r="AT1783" s="1942"/>
      <c r="AU1783" s="1942"/>
      <c r="AV1783" s="1942"/>
      <c r="AW1783" s="1942"/>
      <c r="AX1783" s="1942"/>
      <c r="AY1783" s="1942"/>
      <c r="AZ1783" s="1942"/>
      <c r="BA1783" s="1942"/>
      <c r="BB1783" s="575"/>
      <c r="BC1783" s="576"/>
      <c r="BD1783" s="678"/>
      <c r="BE1783" s="585"/>
      <c r="BF1783" s="1942"/>
      <c r="BG1783" s="1942"/>
      <c r="BH1783" s="1942"/>
      <c r="BI1783" s="1942"/>
    </row>
    <row r="1784" spans="1:61" s="51" customFormat="1" hidden="1" outlineLevel="1" x14ac:dyDescent="0.25">
      <c r="A1784" s="1267"/>
      <c r="B1784" s="123"/>
      <c r="C1784" s="328"/>
      <c r="D1784" s="329"/>
      <c r="E1784" s="329"/>
      <c r="F1784" s="123"/>
      <c r="G1784" s="530"/>
      <c r="H1784" s="328"/>
      <c r="I1784" s="353"/>
      <c r="J1784" s="123"/>
      <c r="K1784" s="123"/>
      <c r="L1784" s="123"/>
      <c r="M1784" s="123"/>
      <c r="N1784" s="123"/>
      <c r="O1784" s="123"/>
      <c r="P1784" s="123"/>
      <c r="Q1784" s="123"/>
      <c r="R1784" s="123"/>
      <c r="S1784" s="123"/>
      <c r="T1784" s="123"/>
      <c r="U1784" s="123"/>
      <c r="V1784" s="123"/>
      <c r="W1784" s="1942"/>
      <c r="X1784" s="1942"/>
      <c r="Y1784" s="1942"/>
      <c r="Z1784" s="1942"/>
      <c r="AA1784" s="1942"/>
      <c r="AB1784" s="1942"/>
      <c r="AC1784" s="1942"/>
      <c r="AD1784" s="1942"/>
      <c r="AE1784" s="1942"/>
      <c r="AF1784" s="1942"/>
      <c r="AG1784" s="1942"/>
      <c r="AH1784" s="1942"/>
      <c r="AI1784" s="1942"/>
      <c r="AJ1784" s="1942"/>
      <c r="AK1784" s="1942"/>
      <c r="AL1784" s="1942"/>
      <c r="AM1784" s="1942"/>
      <c r="AN1784" s="1942"/>
      <c r="AO1784" s="1942"/>
      <c r="AP1784" s="1942"/>
      <c r="AQ1784" s="1942"/>
      <c r="AR1784" s="1942"/>
      <c r="AS1784" s="1942"/>
      <c r="AT1784" s="1942"/>
      <c r="AU1784" s="1942"/>
      <c r="AV1784" s="1942"/>
      <c r="AW1784" s="1942"/>
      <c r="AX1784" s="1942"/>
      <c r="AY1784" s="1942"/>
      <c r="AZ1784" s="1942"/>
      <c r="BA1784" s="1942"/>
      <c r="BB1784" s="575"/>
      <c r="BC1784" s="576"/>
      <c r="BD1784" s="678"/>
      <c r="BE1784" s="585"/>
      <c r="BF1784" s="1942"/>
      <c r="BG1784" s="1942"/>
      <c r="BH1784" s="1942"/>
      <c r="BI1784" s="1942"/>
    </row>
    <row r="1785" spans="1:61" s="51" customFormat="1" hidden="1" outlineLevel="1" x14ac:dyDescent="0.25">
      <c r="A1785" s="1267"/>
      <c r="B1785" s="123"/>
      <c r="C1785" s="328"/>
      <c r="D1785" s="329"/>
      <c r="E1785" s="679"/>
      <c r="F1785" s="685"/>
      <c r="G1785" s="530"/>
      <c r="H1785" s="328"/>
      <c r="I1785" s="353"/>
      <c r="J1785" s="123"/>
      <c r="K1785" s="123"/>
      <c r="L1785" s="123"/>
      <c r="M1785" s="123"/>
      <c r="N1785" s="123"/>
      <c r="O1785" s="123"/>
      <c r="P1785" s="123"/>
      <c r="Q1785" s="123"/>
      <c r="R1785" s="123"/>
      <c r="S1785" s="123"/>
      <c r="T1785" s="123"/>
      <c r="U1785" s="123"/>
      <c r="V1785" s="123"/>
      <c r="W1785" s="1942"/>
      <c r="X1785" s="1942"/>
      <c r="Y1785" s="1942"/>
      <c r="Z1785" s="1942"/>
      <c r="AA1785" s="1942"/>
      <c r="AB1785" s="1942"/>
      <c r="AC1785" s="1942"/>
      <c r="AD1785" s="1942"/>
      <c r="AE1785" s="1942"/>
      <c r="AF1785" s="1942"/>
      <c r="AG1785" s="1942"/>
      <c r="AH1785" s="1942"/>
      <c r="AI1785" s="1942"/>
      <c r="AJ1785" s="1942"/>
      <c r="AK1785" s="1942"/>
      <c r="AL1785" s="1942"/>
      <c r="AM1785" s="1942"/>
      <c r="AN1785" s="1942"/>
      <c r="AO1785" s="1942"/>
      <c r="AP1785" s="1942"/>
      <c r="AQ1785" s="1942"/>
      <c r="AR1785" s="1942"/>
      <c r="AS1785" s="1942"/>
      <c r="AT1785" s="1942"/>
      <c r="AU1785" s="1942"/>
      <c r="AV1785" s="1942"/>
      <c r="AW1785" s="1942"/>
      <c r="AX1785" s="1942"/>
      <c r="AY1785" s="1942"/>
      <c r="AZ1785" s="1942"/>
      <c r="BA1785" s="1942"/>
      <c r="BB1785" s="575"/>
      <c r="BC1785" s="576"/>
      <c r="BD1785" s="678"/>
      <c r="BE1785" s="585"/>
      <c r="BF1785" s="1942"/>
      <c r="BG1785" s="1942"/>
      <c r="BH1785" s="1942"/>
      <c r="BI1785" s="1942"/>
    </row>
    <row r="1786" spans="1:61" s="51" customFormat="1" hidden="1" outlineLevel="1" x14ac:dyDescent="0.25">
      <c r="A1786" s="1267"/>
      <c r="B1786" s="123"/>
      <c r="C1786" s="328"/>
      <c r="D1786" s="329"/>
      <c r="E1786" s="679"/>
      <c r="F1786" s="685"/>
      <c r="G1786" s="530"/>
      <c r="H1786" s="328"/>
      <c r="I1786" s="353"/>
      <c r="J1786" s="123"/>
      <c r="K1786" s="123"/>
      <c r="L1786" s="123"/>
      <c r="M1786" s="123"/>
      <c r="N1786" s="123"/>
      <c r="O1786" s="123"/>
      <c r="P1786" s="123"/>
      <c r="Q1786" s="517"/>
      <c r="R1786" s="517"/>
      <c r="S1786" s="517"/>
      <c r="T1786" s="517"/>
      <c r="U1786" s="123"/>
      <c r="V1786" s="123"/>
      <c r="W1786" s="1942"/>
      <c r="X1786" s="1942"/>
      <c r="Y1786" s="1942"/>
      <c r="Z1786" s="1942"/>
      <c r="AA1786" s="1942"/>
      <c r="AB1786" s="1942"/>
      <c r="AC1786" s="1942"/>
      <c r="AD1786" s="1942"/>
      <c r="AE1786" s="1942"/>
      <c r="AF1786" s="1942"/>
      <c r="AG1786" s="1942"/>
      <c r="AH1786" s="1942"/>
      <c r="AI1786" s="1942"/>
      <c r="AJ1786" s="1942"/>
      <c r="AK1786" s="1942"/>
      <c r="AL1786" s="1942"/>
      <c r="AM1786" s="1942"/>
      <c r="AN1786" s="1942"/>
      <c r="AO1786" s="1942"/>
      <c r="AP1786" s="1942"/>
      <c r="AQ1786" s="1942"/>
      <c r="AR1786" s="1942"/>
      <c r="AS1786" s="1942"/>
      <c r="AT1786" s="1942"/>
      <c r="AU1786" s="1942"/>
      <c r="AV1786" s="1942"/>
      <c r="AW1786" s="1942"/>
      <c r="AX1786" s="1942"/>
      <c r="AY1786" s="1942"/>
      <c r="AZ1786" s="1942"/>
      <c r="BA1786" s="1942"/>
      <c r="BB1786" s="575"/>
      <c r="BC1786" s="576"/>
      <c r="BD1786" s="678"/>
      <c r="BE1786" s="585"/>
      <c r="BF1786" s="1942"/>
      <c r="BG1786" s="1942"/>
      <c r="BH1786" s="1942"/>
      <c r="BI1786" s="1942"/>
    </row>
    <row r="1787" spans="1:61" s="51" customFormat="1" hidden="1" outlineLevel="1" x14ac:dyDescent="0.25">
      <c r="A1787" s="1267"/>
      <c r="B1787" s="123"/>
      <c r="C1787" s="328"/>
      <c r="D1787" s="329"/>
      <c r="E1787" s="679"/>
      <c r="F1787" s="685"/>
      <c r="G1787" s="530"/>
      <c r="H1787" s="328"/>
      <c r="I1787" s="353"/>
      <c r="J1787" s="123"/>
      <c r="K1787" s="123"/>
      <c r="L1787" s="123"/>
      <c r="M1787" s="123"/>
      <c r="N1787" s="123"/>
      <c r="O1787" s="123"/>
      <c r="P1787" s="123"/>
      <c r="Q1787" s="517"/>
      <c r="R1787" s="517"/>
      <c r="S1787" s="517"/>
      <c r="T1787" s="517"/>
      <c r="U1787" s="123"/>
      <c r="V1787" s="123"/>
      <c r="W1787" s="1942"/>
      <c r="X1787" s="1942"/>
      <c r="Y1787" s="1942"/>
      <c r="Z1787" s="1942"/>
      <c r="AA1787" s="1942"/>
      <c r="AB1787" s="1942"/>
      <c r="AC1787" s="1942"/>
      <c r="AD1787" s="1942"/>
      <c r="AE1787" s="1942"/>
      <c r="AF1787" s="1942"/>
      <c r="AG1787" s="1942"/>
      <c r="AH1787" s="1942"/>
      <c r="AI1787" s="1942"/>
      <c r="AJ1787" s="1942"/>
      <c r="AK1787" s="1942"/>
      <c r="AL1787" s="1942"/>
      <c r="AM1787" s="1942"/>
      <c r="AN1787" s="1942"/>
      <c r="AO1787" s="1942"/>
      <c r="AP1787" s="1942"/>
      <c r="AQ1787" s="1942"/>
      <c r="AR1787" s="1942"/>
      <c r="AS1787" s="1942"/>
      <c r="AT1787" s="1942"/>
      <c r="AU1787" s="1942"/>
      <c r="AV1787" s="1942"/>
      <c r="AW1787" s="1942"/>
      <c r="AX1787" s="1942"/>
      <c r="AY1787" s="1942"/>
      <c r="AZ1787" s="1942"/>
      <c r="BA1787" s="1942"/>
      <c r="BB1787" s="575"/>
      <c r="BC1787" s="576"/>
      <c r="BD1787" s="678"/>
      <c r="BE1787" s="585"/>
      <c r="BF1787" s="1942"/>
      <c r="BG1787" s="1942"/>
      <c r="BH1787" s="1942"/>
      <c r="BI1787" s="1942"/>
    </row>
    <row r="1788" spans="1:61" s="51" customFormat="1" hidden="1" outlineLevel="1" x14ac:dyDescent="0.25">
      <c r="A1788" s="1267"/>
      <c r="B1788" s="123"/>
      <c r="C1788" s="328"/>
      <c r="D1788" s="329"/>
      <c r="E1788" s="679"/>
      <c r="F1788" s="685"/>
      <c r="G1788" s="530"/>
      <c r="H1788" s="328"/>
      <c r="I1788" s="353"/>
      <c r="J1788" s="123"/>
      <c r="K1788" s="123"/>
      <c r="L1788" s="123"/>
      <c r="M1788" s="123"/>
      <c r="N1788" s="123"/>
      <c r="O1788" s="123"/>
      <c r="P1788" s="123"/>
      <c r="Q1788" s="517"/>
      <c r="R1788" s="517"/>
      <c r="S1788" s="517"/>
      <c r="T1788" s="517"/>
      <c r="U1788" s="123"/>
      <c r="V1788" s="123"/>
      <c r="W1788" s="1942"/>
      <c r="X1788" s="1942"/>
      <c r="Y1788" s="1942"/>
      <c r="Z1788" s="1942"/>
      <c r="AA1788" s="1942"/>
      <c r="AB1788" s="1942"/>
      <c r="AC1788" s="1942"/>
      <c r="AD1788" s="1942"/>
      <c r="AE1788" s="1942"/>
      <c r="AF1788" s="1942"/>
      <c r="AG1788" s="1942"/>
      <c r="AH1788" s="1942"/>
      <c r="AI1788" s="1942"/>
      <c r="AJ1788" s="1942"/>
      <c r="AK1788" s="1942"/>
      <c r="AL1788" s="1942"/>
      <c r="AM1788" s="1942"/>
      <c r="AN1788" s="1942"/>
      <c r="AO1788" s="1942"/>
      <c r="AP1788" s="1942"/>
      <c r="AQ1788" s="1942"/>
      <c r="AR1788" s="1942"/>
      <c r="AS1788" s="1942"/>
      <c r="AT1788" s="1942"/>
      <c r="AU1788" s="1942"/>
      <c r="AV1788" s="1942"/>
      <c r="AW1788" s="1942"/>
      <c r="AX1788" s="1942"/>
      <c r="AY1788" s="1942"/>
      <c r="AZ1788" s="1942"/>
      <c r="BA1788" s="1942"/>
      <c r="BB1788" s="575"/>
      <c r="BC1788" s="576"/>
      <c r="BD1788" s="678"/>
      <c r="BE1788" s="585"/>
      <c r="BF1788" s="1942"/>
      <c r="BG1788" s="1942"/>
      <c r="BH1788" s="1942"/>
      <c r="BI1788" s="1942"/>
    </row>
    <row r="1789" spans="1:61" s="51" customFormat="1" hidden="1" outlineLevel="1" x14ac:dyDescent="0.25">
      <c r="A1789" s="1267"/>
      <c r="B1789" s="123"/>
      <c r="C1789" s="328"/>
      <c r="D1789" s="329" t="s">
        <v>973</v>
      </c>
      <c r="E1789" s="679"/>
      <c r="F1789" s="685"/>
      <c r="G1789" s="530"/>
      <c r="H1789" s="328"/>
      <c r="I1789" s="353"/>
      <c r="J1789" s="123"/>
      <c r="K1789" s="123"/>
      <c r="L1789" s="123"/>
      <c r="M1789" s="123"/>
      <c r="N1789" s="123"/>
      <c r="O1789" s="123"/>
      <c r="P1789" s="123"/>
      <c r="Q1789" s="517"/>
      <c r="R1789" s="829"/>
      <c r="S1789" s="1847"/>
      <c r="T1789" s="517"/>
      <c r="U1789" s="123"/>
      <c r="V1789" s="123"/>
      <c r="W1789" s="1942"/>
      <c r="X1789" s="1942"/>
      <c r="Y1789" s="1942"/>
      <c r="Z1789" s="1942"/>
      <c r="AA1789" s="1942"/>
      <c r="AB1789" s="1942"/>
      <c r="AC1789" s="1942"/>
      <c r="AD1789" s="1942"/>
      <c r="AE1789" s="1942"/>
      <c r="AF1789" s="1942"/>
      <c r="AG1789" s="1942"/>
      <c r="AH1789" s="1942"/>
      <c r="AI1789" s="1942"/>
      <c r="AJ1789" s="1942"/>
      <c r="AK1789" s="1942"/>
      <c r="AL1789" s="1942"/>
      <c r="AM1789" s="1942"/>
      <c r="AN1789" s="1942"/>
      <c r="AO1789" s="1942"/>
      <c r="AP1789" s="1942"/>
      <c r="AQ1789" s="1942"/>
      <c r="AR1789" s="1942"/>
      <c r="AS1789" s="1942"/>
      <c r="AT1789" s="1942"/>
      <c r="AU1789" s="1942"/>
      <c r="AV1789" s="1942"/>
      <c r="AW1789" s="1942"/>
      <c r="AX1789" s="1942"/>
      <c r="AY1789" s="1942"/>
      <c r="AZ1789" s="1942"/>
      <c r="BA1789" s="1942"/>
      <c r="BB1789" s="575"/>
      <c r="BC1789" s="576"/>
      <c r="BD1789" s="678"/>
      <c r="BE1789" s="585"/>
      <c r="BF1789" s="1942"/>
      <c r="BG1789" s="1942"/>
      <c r="BH1789" s="1942"/>
      <c r="BI1789" s="1942"/>
    </row>
    <row r="1790" spans="1:61" s="51" customFormat="1" hidden="1" outlineLevel="1" x14ac:dyDescent="0.25">
      <c r="A1790" s="1267"/>
      <c r="B1790" s="123"/>
      <c r="C1790" s="328"/>
      <c r="D1790" s="329"/>
      <c r="E1790" s="679"/>
      <c r="F1790" s="685"/>
      <c r="G1790" s="530"/>
      <c r="H1790" s="328"/>
      <c r="I1790" s="353"/>
      <c r="J1790" s="123"/>
      <c r="K1790" s="123"/>
      <c r="L1790" s="123"/>
      <c r="M1790" s="123"/>
      <c r="N1790" s="123"/>
      <c r="O1790" s="123"/>
      <c r="P1790" s="123"/>
      <c r="Q1790" s="517"/>
      <c r="R1790" s="829"/>
      <c r="S1790" s="1591"/>
      <c r="T1790" s="517"/>
      <c r="U1790" s="123"/>
      <c r="V1790" s="123"/>
      <c r="W1790" s="1942"/>
      <c r="X1790" s="1942"/>
      <c r="Y1790" s="1942"/>
      <c r="Z1790" s="1942"/>
      <c r="AA1790" s="1942"/>
      <c r="AB1790" s="1942"/>
      <c r="AC1790" s="1942"/>
      <c r="AD1790" s="1942"/>
      <c r="AE1790" s="1942"/>
      <c r="AF1790" s="1942"/>
      <c r="AG1790" s="1942"/>
      <c r="AH1790" s="1942"/>
      <c r="AI1790" s="1942"/>
      <c r="AJ1790" s="1942"/>
      <c r="AK1790" s="1942"/>
      <c r="AL1790" s="1942"/>
      <c r="AM1790" s="1942"/>
      <c r="AN1790" s="1942"/>
      <c r="AO1790" s="1942"/>
      <c r="AP1790" s="1942"/>
      <c r="AQ1790" s="1942"/>
      <c r="AR1790" s="1942"/>
      <c r="AS1790" s="1942"/>
      <c r="AT1790" s="1942"/>
      <c r="AU1790" s="1942"/>
      <c r="AV1790" s="1942"/>
      <c r="AW1790" s="1942"/>
      <c r="AX1790" s="1942"/>
      <c r="AY1790" s="1942"/>
      <c r="AZ1790" s="1942"/>
      <c r="BA1790" s="1942"/>
      <c r="BB1790" s="575"/>
      <c r="BC1790" s="576"/>
      <c r="BD1790" s="678"/>
      <c r="BE1790" s="585"/>
      <c r="BF1790" s="1942"/>
      <c r="BG1790" s="1942"/>
      <c r="BH1790" s="1942"/>
      <c r="BI1790" s="1942"/>
    </row>
    <row r="1791" spans="1:61" s="51" customFormat="1" hidden="1" outlineLevel="1" x14ac:dyDescent="0.25">
      <c r="A1791" s="1267"/>
      <c r="B1791" s="123"/>
      <c r="C1791" s="328"/>
      <c r="D1791" s="329"/>
      <c r="E1791" s="679"/>
      <c r="F1791" s="685"/>
      <c r="G1791" s="530"/>
      <c r="H1791" s="328"/>
      <c r="I1791" s="353"/>
      <c r="J1791" s="123"/>
      <c r="K1791" s="123"/>
      <c r="L1791" s="123"/>
      <c r="M1791" s="123"/>
      <c r="N1791" s="123"/>
      <c r="O1791" s="123"/>
      <c r="P1791" s="123"/>
      <c r="Q1791" s="517"/>
      <c r="R1791" s="829"/>
      <c r="S1791" s="1591"/>
      <c r="T1791" s="517"/>
      <c r="U1791" s="123"/>
      <c r="V1791" s="123"/>
      <c r="W1791" s="1942"/>
      <c r="X1791" s="1942"/>
      <c r="Y1791" s="1942"/>
      <c r="Z1791" s="1942"/>
      <c r="AA1791" s="1942"/>
      <c r="AB1791" s="1942"/>
      <c r="AC1791" s="1942"/>
      <c r="AD1791" s="1942"/>
      <c r="AE1791" s="1942"/>
      <c r="AF1791" s="1942"/>
      <c r="AG1791" s="1942"/>
      <c r="AH1791" s="1942"/>
      <c r="AI1791" s="1942"/>
      <c r="AJ1791" s="1942"/>
      <c r="AK1791" s="1942"/>
      <c r="AL1791" s="1942"/>
      <c r="AM1791" s="1942"/>
      <c r="AN1791" s="1942"/>
      <c r="AO1791" s="1942"/>
      <c r="AP1791" s="1942"/>
      <c r="AQ1791" s="1942"/>
      <c r="AR1791" s="1942"/>
      <c r="AS1791" s="1942"/>
      <c r="AT1791" s="1942"/>
      <c r="AU1791" s="1942"/>
      <c r="AV1791" s="1942"/>
      <c r="AW1791" s="1942"/>
      <c r="AX1791" s="1942"/>
      <c r="AY1791" s="1942"/>
      <c r="AZ1791" s="1942"/>
      <c r="BA1791" s="1942"/>
      <c r="BB1791" s="575"/>
      <c r="BC1791" s="576"/>
      <c r="BD1791" s="678"/>
      <c r="BE1791" s="585"/>
      <c r="BF1791" s="1942"/>
      <c r="BG1791" s="1942"/>
      <c r="BH1791" s="1942"/>
      <c r="BI1791" s="1942"/>
    </row>
    <row r="1792" spans="1:61" s="51" customFormat="1" hidden="1" outlineLevel="1" x14ac:dyDescent="0.25">
      <c r="A1792" s="1267"/>
      <c r="B1792" s="123"/>
      <c r="C1792" s="328"/>
      <c r="D1792" s="329"/>
      <c r="E1792" s="679"/>
      <c r="F1792" s="685"/>
      <c r="G1792" s="530"/>
      <c r="H1792" s="328"/>
      <c r="I1792" s="353"/>
      <c r="J1792" s="123"/>
      <c r="K1792" s="123"/>
      <c r="L1792" s="123"/>
      <c r="M1792" s="123"/>
      <c r="N1792" s="123"/>
      <c r="O1792" s="123"/>
      <c r="P1792" s="123"/>
      <c r="Q1792" s="517"/>
      <c r="R1792" s="829"/>
      <c r="S1792" s="1591"/>
      <c r="T1792" s="517"/>
      <c r="U1792" s="123"/>
      <c r="V1792" s="123"/>
      <c r="W1792" s="1942"/>
      <c r="X1792" s="1942"/>
      <c r="Y1792" s="1942"/>
      <c r="Z1792" s="1942"/>
      <c r="AA1792" s="1942"/>
      <c r="AB1792" s="1942"/>
      <c r="AC1792" s="1942"/>
      <c r="AD1792" s="1942"/>
      <c r="AE1792" s="1942"/>
      <c r="AF1792" s="1942"/>
      <c r="AG1792" s="1942"/>
      <c r="AH1792" s="1942"/>
      <c r="AI1792" s="1942"/>
      <c r="AJ1792" s="1942"/>
      <c r="AK1792" s="1942"/>
      <c r="AL1792" s="1942"/>
      <c r="AM1792" s="1942"/>
      <c r="AN1792" s="1942"/>
      <c r="AO1792" s="1942"/>
      <c r="AP1792" s="1942"/>
      <c r="AQ1792" s="1942"/>
      <c r="AR1792" s="1942"/>
      <c r="AS1792" s="1942"/>
      <c r="AT1792" s="1942"/>
      <c r="AU1792" s="1942"/>
      <c r="AV1792" s="1942"/>
      <c r="AW1792" s="1942"/>
      <c r="AX1792" s="1942"/>
      <c r="AY1792" s="1942"/>
      <c r="AZ1792" s="1942"/>
      <c r="BA1792" s="1942"/>
      <c r="BB1792" s="575"/>
      <c r="BC1792" s="576"/>
      <c r="BD1792" s="678"/>
      <c r="BE1792" s="585"/>
      <c r="BF1792" s="1942"/>
      <c r="BG1792" s="1942"/>
      <c r="BH1792" s="1942"/>
      <c r="BI1792" s="1942"/>
    </row>
    <row r="1793" spans="1:61" s="51" customFormat="1" hidden="1" outlineLevel="1" x14ac:dyDescent="0.25">
      <c r="A1793" s="1267"/>
      <c r="B1793" s="123"/>
      <c r="C1793" s="328"/>
      <c r="D1793" s="329"/>
      <c r="E1793" s="679"/>
      <c r="F1793" s="685"/>
      <c r="G1793" s="530"/>
      <c r="H1793" s="328"/>
      <c r="I1793" s="353"/>
      <c r="J1793" s="123"/>
      <c r="K1793" s="123"/>
      <c r="L1793" s="123"/>
      <c r="M1793" s="123"/>
      <c r="N1793" s="123"/>
      <c r="O1793" s="123"/>
      <c r="P1793" s="123"/>
      <c r="Q1793" s="517"/>
      <c r="R1793" s="829"/>
      <c r="S1793" s="1591"/>
      <c r="T1793" s="517"/>
      <c r="U1793" s="123"/>
      <c r="V1793" s="123"/>
      <c r="W1793" s="1942"/>
      <c r="X1793" s="1942"/>
      <c r="Y1793" s="1942"/>
      <c r="Z1793" s="1942"/>
      <c r="AA1793" s="1942"/>
      <c r="AB1793" s="1942"/>
      <c r="AC1793" s="1942"/>
      <c r="AD1793" s="1942"/>
      <c r="AE1793" s="1942"/>
      <c r="AF1793" s="1942"/>
      <c r="AG1793" s="1942"/>
      <c r="AH1793" s="1942"/>
      <c r="AI1793" s="1942"/>
      <c r="AJ1793" s="1942"/>
      <c r="AK1793" s="1942"/>
      <c r="AL1793" s="1942"/>
      <c r="AM1793" s="1942"/>
      <c r="AN1793" s="1942"/>
      <c r="AO1793" s="1942"/>
      <c r="AP1793" s="1942"/>
      <c r="AQ1793" s="1942"/>
      <c r="AR1793" s="1942"/>
      <c r="AS1793" s="1942"/>
      <c r="AT1793" s="1942"/>
      <c r="AU1793" s="1942"/>
      <c r="AV1793" s="1942"/>
      <c r="AW1793" s="1942"/>
      <c r="AX1793" s="1942"/>
      <c r="AY1793" s="1942"/>
      <c r="AZ1793" s="1942"/>
      <c r="BA1793" s="1942"/>
      <c r="BB1793" s="575"/>
      <c r="BC1793" s="576"/>
      <c r="BD1793" s="678"/>
      <c r="BE1793" s="585"/>
      <c r="BF1793" s="1942"/>
      <c r="BG1793" s="1942"/>
      <c r="BH1793" s="1942"/>
      <c r="BI1793" s="1942"/>
    </row>
    <row r="1794" spans="1:61" s="51" customFormat="1" hidden="1" outlineLevel="1" x14ac:dyDescent="0.25">
      <c r="A1794" s="1267"/>
      <c r="B1794" s="123"/>
      <c r="C1794" s="328"/>
      <c r="D1794" s="329"/>
      <c r="E1794" s="329"/>
      <c r="F1794" s="685"/>
      <c r="G1794" s="530"/>
      <c r="H1794" s="328"/>
      <c r="I1794" s="353"/>
      <c r="J1794" s="123"/>
      <c r="K1794" s="123"/>
      <c r="L1794" s="123"/>
      <c r="M1794" s="123"/>
      <c r="N1794" s="123"/>
      <c r="O1794" s="123"/>
      <c r="P1794" s="123"/>
      <c r="Q1794" s="517"/>
      <c r="R1794" s="829"/>
      <c r="S1794" s="1591"/>
      <c r="T1794" s="517"/>
      <c r="U1794" s="123"/>
      <c r="V1794" s="2611"/>
      <c r="W1794" s="1942"/>
      <c r="X1794" s="1942"/>
      <c r="Y1794" s="1942"/>
      <c r="Z1794" s="1942"/>
      <c r="AA1794" s="1942"/>
      <c r="AB1794" s="1942"/>
      <c r="AC1794" s="1942"/>
      <c r="AD1794" s="1942"/>
      <c r="AE1794" s="1942"/>
      <c r="AF1794" s="1942"/>
      <c r="AG1794" s="1942"/>
      <c r="AH1794" s="1942"/>
      <c r="AI1794" s="1942"/>
      <c r="AJ1794" s="1942"/>
      <c r="AK1794" s="1942"/>
      <c r="AL1794" s="1942"/>
      <c r="AM1794" s="1942"/>
      <c r="AN1794" s="1942"/>
      <c r="AO1794" s="1942"/>
      <c r="AP1794" s="1942"/>
      <c r="AQ1794" s="1942"/>
      <c r="AR1794" s="1942"/>
      <c r="AS1794" s="1942"/>
      <c r="AT1794" s="1942"/>
      <c r="AU1794" s="1942"/>
      <c r="AV1794" s="1942"/>
      <c r="AW1794" s="1942"/>
      <c r="AX1794" s="1942"/>
      <c r="AY1794" s="1942"/>
      <c r="AZ1794" s="1942"/>
      <c r="BA1794" s="1942"/>
      <c r="BB1794" s="575"/>
      <c r="BC1794" s="576"/>
      <c r="BD1794" s="678"/>
      <c r="BE1794" s="585"/>
    </row>
    <row r="1795" spans="1:61" s="51" customFormat="1" hidden="1" outlineLevel="1" x14ac:dyDescent="0.25">
      <c r="A1795" s="1267"/>
      <c r="B1795" s="123"/>
      <c r="C1795" s="328"/>
      <c r="D1795" s="329" t="s">
        <v>1077</v>
      </c>
      <c r="E1795" s="329"/>
      <c r="F1795" s="685"/>
      <c r="G1795" s="530"/>
      <c r="H1795" s="328"/>
      <c r="I1795" s="353"/>
      <c r="J1795" s="123"/>
      <c r="K1795" s="123"/>
      <c r="L1795" s="123"/>
      <c r="M1795" s="123"/>
      <c r="N1795" s="123"/>
      <c r="O1795" s="123"/>
      <c r="P1795" s="123"/>
      <c r="Q1795" s="517"/>
      <c r="R1795" s="829"/>
      <c r="S1795" s="1591"/>
      <c r="T1795" s="517"/>
      <c r="U1795" s="123"/>
      <c r="V1795" s="123"/>
      <c r="W1795" s="1942"/>
      <c r="X1795" s="1942"/>
      <c r="Y1795" s="1942"/>
      <c r="Z1795" s="1942"/>
      <c r="AA1795" s="1942"/>
      <c r="AB1795" s="1942"/>
      <c r="AC1795" s="1942"/>
      <c r="AD1795" s="1942"/>
      <c r="AE1795" s="1942"/>
      <c r="AF1795" s="1942"/>
      <c r="AG1795" s="1942"/>
      <c r="AH1795" s="1942"/>
      <c r="AI1795" s="1942"/>
      <c r="AJ1795" s="1942"/>
      <c r="AK1795" s="1942"/>
      <c r="AL1795" s="1942"/>
      <c r="AM1795" s="1942"/>
      <c r="AN1795" s="1942"/>
      <c r="AO1795" s="1942"/>
      <c r="AP1795" s="1942"/>
      <c r="AQ1795" s="1942"/>
      <c r="AR1795" s="1942"/>
      <c r="AS1795" s="1942"/>
      <c r="AT1795" s="1942"/>
      <c r="AU1795" s="1942"/>
      <c r="AV1795" s="1942"/>
      <c r="AW1795" s="1942"/>
      <c r="AX1795" s="1942"/>
      <c r="AY1795" s="1942"/>
      <c r="AZ1795" s="1942"/>
      <c r="BA1795" s="1942"/>
      <c r="BB1795" s="575"/>
      <c r="BC1795" s="576"/>
      <c r="BD1795" s="678"/>
      <c r="BE1795" s="585"/>
    </row>
    <row r="1796" spans="1:61" s="51" customFormat="1" hidden="1" outlineLevel="1" x14ac:dyDescent="0.25">
      <c r="A1796" s="1267"/>
      <c r="B1796" s="123"/>
      <c r="C1796" s="328"/>
      <c r="D1796" s="329"/>
      <c r="E1796" s="329"/>
      <c r="F1796" s="685"/>
      <c r="G1796" s="530"/>
      <c r="H1796" s="328"/>
      <c r="I1796" s="353"/>
      <c r="J1796" s="123"/>
      <c r="K1796" s="123"/>
      <c r="L1796" s="123"/>
      <c r="M1796" s="123"/>
      <c r="N1796" s="123"/>
      <c r="O1796" s="123"/>
      <c r="P1796" s="123"/>
      <c r="Q1796" s="517"/>
      <c r="R1796" s="829"/>
      <c r="S1796" s="517"/>
      <c r="T1796" s="517"/>
      <c r="U1796" s="123"/>
      <c r="V1796" s="123"/>
      <c r="W1796" s="830"/>
      <c r="X1796" s="1942"/>
      <c r="Y1796" s="1942"/>
      <c r="Z1796" s="1942"/>
      <c r="AA1796" s="1942"/>
      <c r="AB1796" s="1942"/>
      <c r="AC1796" s="1942"/>
      <c r="AD1796" s="1942"/>
      <c r="AE1796" s="1942"/>
      <c r="AF1796" s="1942"/>
      <c r="AG1796" s="1942"/>
      <c r="AH1796" s="1942"/>
      <c r="AI1796" s="1942"/>
      <c r="AJ1796" s="1942"/>
      <c r="AK1796" s="1942"/>
      <c r="AL1796" s="1942"/>
      <c r="AM1796" s="1942"/>
      <c r="AN1796" s="1942"/>
      <c r="AO1796" s="1942"/>
      <c r="AP1796" s="1942"/>
      <c r="AQ1796" s="1942"/>
      <c r="AR1796" s="1942"/>
      <c r="AS1796" s="1942"/>
      <c r="AT1796" s="1942"/>
      <c r="AU1796" s="1942"/>
      <c r="AV1796" s="1942"/>
      <c r="AW1796" s="1942"/>
      <c r="AX1796" s="1942"/>
      <c r="AY1796" s="1942"/>
      <c r="AZ1796" s="1942"/>
      <c r="BA1796" s="1942"/>
      <c r="BB1796" s="575"/>
      <c r="BC1796" s="576"/>
      <c r="BD1796" s="678"/>
      <c r="BE1796" s="585"/>
    </row>
    <row r="1797" spans="1:61" s="51" customFormat="1" hidden="1" outlineLevel="1" x14ac:dyDescent="0.25">
      <c r="A1797" s="1267"/>
      <c r="B1797" s="123"/>
      <c r="C1797" s="328"/>
      <c r="D1797" s="329"/>
      <c r="E1797" s="329"/>
      <c r="F1797" s="685"/>
      <c r="G1797" s="123"/>
      <c r="H1797" s="123"/>
      <c r="I1797" s="123"/>
      <c r="J1797" s="123"/>
      <c r="K1797" s="123"/>
      <c r="L1797" s="123"/>
      <c r="M1797" s="123"/>
      <c r="N1797" s="123"/>
      <c r="O1797" s="123"/>
      <c r="P1797" s="123"/>
      <c r="Q1797" s="517"/>
      <c r="R1797" s="517"/>
      <c r="S1797" s="517"/>
      <c r="T1797" s="517"/>
      <c r="U1797" s="123"/>
      <c r="V1797" s="123"/>
      <c r="W1797" s="1942"/>
      <c r="X1797" s="1942"/>
      <c r="Y1797" s="1942"/>
      <c r="Z1797" s="1942"/>
      <c r="AA1797" s="1942"/>
      <c r="AB1797" s="1942"/>
      <c r="AC1797" s="1942"/>
      <c r="AD1797" s="1942"/>
      <c r="AE1797" s="1942"/>
      <c r="AF1797" s="1942"/>
      <c r="AG1797" s="1942"/>
      <c r="AH1797" s="1942"/>
      <c r="AI1797" s="1942"/>
      <c r="AJ1797" s="1942"/>
      <c r="AK1797" s="1942"/>
      <c r="AL1797" s="1942"/>
      <c r="AM1797" s="1942"/>
      <c r="AN1797" s="1942"/>
      <c r="AO1797" s="1942"/>
      <c r="AP1797" s="1942"/>
      <c r="AQ1797" s="1942"/>
      <c r="AR1797" s="1942"/>
      <c r="AS1797" s="1942"/>
      <c r="AT1797" s="1942"/>
      <c r="AU1797" s="1942"/>
      <c r="AV1797" s="1942"/>
      <c r="AW1797" s="1942"/>
      <c r="AX1797" s="1942"/>
      <c r="AY1797" s="1942"/>
      <c r="AZ1797" s="1942"/>
      <c r="BA1797" s="1942"/>
      <c r="BB1797" s="575"/>
      <c r="BC1797" s="576"/>
      <c r="BD1797" s="678"/>
      <c r="BE1797" s="585"/>
    </row>
    <row r="1798" spans="1:61" s="51" customFormat="1" hidden="1" outlineLevel="1" x14ac:dyDescent="0.25">
      <c r="A1798" s="1267"/>
      <c r="B1798" s="123"/>
      <c r="C1798" s="328"/>
      <c r="D1798" s="329"/>
      <c r="E1798" s="329"/>
      <c r="F1798" s="123"/>
      <c r="G1798" s="123"/>
      <c r="H1798" s="123"/>
      <c r="I1798" s="123"/>
      <c r="J1798" s="123"/>
      <c r="K1798" s="123"/>
      <c r="L1798" s="123"/>
      <c r="M1798" s="123"/>
      <c r="N1798" s="123"/>
      <c r="O1798" s="123"/>
      <c r="P1798" s="123"/>
      <c r="Q1798" s="123"/>
      <c r="R1798" s="123"/>
      <c r="S1798" s="123"/>
      <c r="T1798" s="123"/>
      <c r="U1798" s="123"/>
      <c r="V1798" s="123"/>
      <c r="W1798" s="1942"/>
      <c r="X1798" s="1942"/>
      <c r="Y1798" s="1942"/>
      <c r="Z1798" s="1942"/>
      <c r="AA1798" s="1942"/>
      <c r="AB1798" s="1942"/>
      <c r="AC1798" s="1942"/>
      <c r="AD1798" s="1942"/>
      <c r="AE1798" s="1942"/>
      <c r="AF1798" s="1942"/>
      <c r="AG1798" s="1942"/>
      <c r="AH1798" s="1942"/>
      <c r="AI1798" s="1942"/>
      <c r="AJ1798" s="1942"/>
      <c r="AK1798" s="1942"/>
      <c r="AL1798" s="1942"/>
      <c r="AM1798" s="1942"/>
      <c r="AN1798" s="1942"/>
      <c r="AO1798" s="1942"/>
      <c r="AP1798" s="1942"/>
      <c r="AQ1798" s="1942"/>
      <c r="AR1798" s="1942"/>
      <c r="AS1798" s="1942"/>
      <c r="AT1798" s="1942"/>
      <c r="AU1798" s="1942"/>
      <c r="AV1798" s="1942"/>
      <c r="AW1798" s="1942"/>
      <c r="AX1798" s="1942"/>
      <c r="AY1798" s="1942"/>
      <c r="AZ1798" s="1942"/>
      <c r="BA1798" s="1942"/>
      <c r="BB1798" s="575"/>
      <c r="BC1798" s="576"/>
      <c r="BD1798" s="678"/>
      <c r="BE1798" s="585"/>
    </row>
    <row r="1799" spans="1:61" s="51" customFormat="1" hidden="1" outlineLevel="1" x14ac:dyDescent="0.25">
      <c r="A1799" s="1267"/>
      <c r="B1799" s="123"/>
      <c r="C1799" s="328"/>
      <c r="D1799" s="329"/>
      <c r="E1799" s="329"/>
      <c r="F1799" s="123"/>
      <c r="G1799" s="123"/>
      <c r="H1799" s="123"/>
      <c r="I1799" s="123"/>
      <c r="J1799" s="123"/>
      <c r="K1799" s="328"/>
      <c r="L1799" s="328"/>
      <c r="M1799" s="328"/>
      <c r="N1799" s="123"/>
      <c r="O1799" s="123"/>
      <c r="P1799" s="123"/>
      <c r="Q1799" s="329"/>
      <c r="R1799" s="123"/>
      <c r="S1799" s="123"/>
      <c r="T1799" s="123"/>
      <c r="U1799" s="123"/>
      <c r="V1799" s="123"/>
      <c r="W1799" s="1942"/>
      <c r="X1799" s="1942"/>
      <c r="Y1799" s="1942"/>
      <c r="Z1799" s="1942"/>
      <c r="AA1799" s="1942"/>
      <c r="AB1799" s="1942"/>
      <c r="AC1799" s="1942"/>
      <c r="AD1799" s="1942"/>
      <c r="AE1799" s="1942"/>
      <c r="AF1799" s="1942"/>
      <c r="AG1799" s="1942"/>
      <c r="AH1799" s="1942"/>
      <c r="AI1799" s="1942"/>
      <c r="AJ1799" s="1942"/>
      <c r="AK1799" s="1942"/>
      <c r="AL1799" s="1942"/>
      <c r="AM1799" s="1942"/>
      <c r="AN1799" s="1942"/>
      <c r="AO1799" s="1942"/>
      <c r="AP1799" s="1942"/>
      <c r="AQ1799" s="1942"/>
      <c r="AR1799" s="1942"/>
      <c r="AS1799" s="1942"/>
      <c r="AT1799" s="1942"/>
      <c r="AU1799" s="1942"/>
      <c r="AV1799" s="1942"/>
      <c r="AW1799" s="1942"/>
      <c r="AX1799" s="1942"/>
      <c r="AY1799" s="1942"/>
      <c r="AZ1799" s="1942"/>
      <c r="BA1799" s="1942"/>
      <c r="BB1799" s="575"/>
      <c r="BC1799" s="576"/>
      <c r="BD1799" s="678"/>
      <c r="BE1799" s="585"/>
    </row>
    <row r="1800" spans="1:61" s="51" customFormat="1" ht="30" hidden="1" customHeight="1" outlineLevel="1" thickBot="1" x14ac:dyDescent="0.3">
      <c r="A1800" s="1267"/>
      <c r="B1800" s="123"/>
      <c r="C1800" s="328"/>
      <c r="D1800" s="380" t="s">
        <v>109</v>
      </c>
      <c r="E1800" s="380" t="s">
        <v>110</v>
      </c>
      <c r="F1800" s="3161" t="s">
        <v>186</v>
      </c>
      <c r="G1800" s="3251"/>
      <c r="H1800" s="3251"/>
      <c r="I1800" s="3251"/>
      <c r="J1800" s="3161" t="s">
        <v>28</v>
      </c>
      <c r="K1800" s="3161" t="s">
        <v>112</v>
      </c>
      <c r="L1800" s="3161" t="s">
        <v>977</v>
      </c>
      <c r="M1800" s="380" t="s">
        <v>410</v>
      </c>
      <c r="N1800" s="123"/>
      <c r="O1800" s="123"/>
      <c r="P1800" s="123" t="s">
        <v>1101</v>
      </c>
      <c r="Q1800" s="845"/>
      <c r="R1800" s="844"/>
      <c r="S1800" s="832"/>
      <c r="T1800" s="3082"/>
      <c r="U1800" s="123"/>
      <c r="V1800" s="551" t="s">
        <v>45</v>
      </c>
      <c r="W1800" s="1937">
        <v>43252</v>
      </c>
      <c r="X1800" s="1937">
        <f>$X$6</f>
        <v>43465</v>
      </c>
      <c r="Y1800" s="1937">
        <f>$Y$6</f>
        <v>43800</v>
      </c>
      <c r="Z1800" s="1937">
        <f>$Z$6</f>
        <v>43862</v>
      </c>
      <c r="AA1800" s="1937">
        <f>$AA$6</f>
        <v>44013</v>
      </c>
      <c r="AB1800" s="1937">
        <f>$AB$6</f>
        <v>44166</v>
      </c>
      <c r="AC1800" s="1937">
        <f>$AC$6</f>
        <v>44531</v>
      </c>
      <c r="AD1800" s="1937" t="str">
        <f>$AD$6</f>
        <v>-</v>
      </c>
      <c r="AE1800" s="1937" t="str">
        <f>$AE$6</f>
        <v>-</v>
      </c>
      <c r="AF1800" s="1937" t="str">
        <f>$AF$6</f>
        <v>-</v>
      </c>
      <c r="AG1800" s="1937" t="str">
        <f>$AG$6</f>
        <v>-</v>
      </c>
      <c r="AH1800" s="1942"/>
      <c r="AI1800" s="1942"/>
      <c r="AJ1800" s="1942"/>
      <c r="AK1800" s="1942"/>
      <c r="AL1800" s="1942"/>
      <c r="AM1800" s="1942"/>
      <c r="AN1800" s="1942"/>
      <c r="AO1800" s="1942"/>
      <c r="AP1800" s="1942"/>
      <c r="AQ1800" s="1942"/>
      <c r="AR1800" s="1942"/>
      <c r="AS1800" s="1942"/>
      <c r="AT1800" s="1942"/>
      <c r="AU1800" s="1942"/>
      <c r="AV1800" s="1942"/>
      <c r="AW1800" s="1942"/>
      <c r="AX1800" s="1942"/>
      <c r="AY1800" s="1942"/>
      <c r="AZ1800" s="1942"/>
      <c r="BA1800" s="1942"/>
      <c r="BB1800" s="575"/>
      <c r="BC1800" s="576"/>
      <c r="BD1800" s="678"/>
      <c r="BE1800" s="585"/>
    </row>
    <row r="1801" spans="1:61" s="51" customFormat="1" ht="15" hidden="1" customHeight="1" outlineLevel="1" x14ac:dyDescent="0.25">
      <c r="A1801" s="2061"/>
      <c r="B1801" s="123"/>
      <c r="C1801" s="328"/>
      <c r="D1801" s="3989" t="s">
        <v>1147</v>
      </c>
      <c r="E1801" s="4008" t="s">
        <v>1148</v>
      </c>
      <c r="F1801" s="3009" t="str">
        <f>$E$1407</f>
        <v>ASHP-SEER15-Replace_CAC_ElectricHeat_ER1_SF</v>
      </c>
      <c r="G1801" s="847"/>
      <c r="H1801" s="847"/>
      <c r="I1801" s="847"/>
      <c r="J1801" s="3297" t="str">
        <f>$C$1407</f>
        <v>352300_2021_12_</v>
      </c>
      <c r="K1801" s="2260">
        <v>34555.932203389835</v>
      </c>
      <c r="L1801" s="3069">
        <f t="shared" ref="L1801:L1864" si="196">K1801/12000</f>
        <v>2.8796610169491528</v>
      </c>
      <c r="M1801" s="2722" t="s">
        <v>1550</v>
      </c>
      <c r="N1801" s="123"/>
      <c r="O1801" s="123"/>
      <c r="P1801" s="3923" t="s">
        <v>976</v>
      </c>
      <c r="Q1801" s="4037"/>
      <c r="R1801" s="3931"/>
      <c r="S1801" s="123"/>
      <c r="T1801" s="123"/>
      <c r="U1801" s="123"/>
      <c r="V1801" s="3989" t="s">
        <v>1147</v>
      </c>
      <c r="W1801" s="2861">
        <v>33600</v>
      </c>
      <c r="X1801" s="3157">
        <f>3.06*12000</f>
        <v>36720</v>
      </c>
      <c r="Y1801" s="3157">
        <v>34800</v>
      </c>
      <c r="Z1801" s="2861">
        <v>34800</v>
      </c>
      <c r="AA1801" s="2861">
        <v>34800</v>
      </c>
      <c r="AB1801" s="2260">
        <v>34457.142857142855</v>
      </c>
      <c r="AC1801" s="2260">
        <v>34555.932203389835</v>
      </c>
      <c r="AD1801" s="2861"/>
      <c r="AE1801" s="2861"/>
      <c r="AF1801" s="2861"/>
      <c r="AG1801" s="2861"/>
      <c r="AH1801" s="1942"/>
      <c r="AI1801" s="1942"/>
      <c r="AJ1801" s="1942"/>
      <c r="AK1801" s="1942"/>
      <c r="AL1801" s="1942"/>
      <c r="AM1801" s="1942"/>
      <c r="AN1801" s="1942"/>
      <c r="AO1801" s="1942"/>
      <c r="AP1801" s="1942"/>
      <c r="AQ1801" s="1942"/>
      <c r="AR1801" s="1942"/>
      <c r="AS1801" s="1942"/>
      <c r="AT1801" s="1942"/>
      <c r="AU1801" s="1942"/>
      <c r="AV1801" s="1942"/>
      <c r="AW1801" s="1942"/>
      <c r="AX1801" s="1942"/>
      <c r="AY1801" s="1942"/>
      <c r="AZ1801" s="1942"/>
      <c r="BA1801" s="1942"/>
      <c r="BB1801" s="575"/>
      <c r="BC1801" s="576"/>
      <c r="BD1801" s="678"/>
      <c r="BE1801" s="585"/>
    </row>
    <row r="1802" spans="1:61" s="51" customFormat="1" ht="15" hidden="1" customHeight="1" outlineLevel="1" x14ac:dyDescent="0.25">
      <c r="A1802" s="2061"/>
      <c r="B1802" s="123"/>
      <c r="C1802" s="328"/>
      <c r="D1802" s="3990"/>
      <c r="E1802" s="4009"/>
      <c r="F1802" s="3010" t="str">
        <f>$E$1409</f>
        <v>ASHP-SEER15-Replace_CAC_ElectricHeat_ER2_SF</v>
      </c>
      <c r="G1802" s="2676"/>
      <c r="H1802" s="2676"/>
      <c r="I1802" s="2677"/>
      <c r="J1802" s="3298" t="str">
        <f>$C$1409</f>
        <v>352300_2021_12_</v>
      </c>
      <c r="K1802" s="2225">
        <f>K1801</f>
        <v>34555.932203389835</v>
      </c>
      <c r="L1802" s="3070">
        <f t="shared" si="196"/>
        <v>2.8796610169491528</v>
      </c>
      <c r="M1802" s="2723" t="s">
        <v>1551</v>
      </c>
      <c r="N1802" s="123"/>
      <c r="O1802" s="123"/>
      <c r="P1802" s="3205"/>
      <c r="Q1802" s="831" t="s">
        <v>1086</v>
      </c>
      <c r="R1802" s="3086" t="s">
        <v>979</v>
      </c>
      <c r="S1802" s="832"/>
      <c r="T1802" s="833"/>
      <c r="U1802" s="576"/>
      <c r="V1802" s="3990"/>
      <c r="W1802" s="2857">
        <v>33600</v>
      </c>
      <c r="X1802" s="3155">
        <f t="shared" ref="X1802:X1817" si="197">3.06*12000</f>
        <v>36720</v>
      </c>
      <c r="Y1802" s="3155">
        <v>34800</v>
      </c>
      <c r="Z1802" s="2857">
        <v>34800</v>
      </c>
      <c r="AA1802" s="2857">
        <v>34800</v>
      </c>
      <c r="AB1802" s="2225">
        <v>34457.142857142855</v>
      </c>
      <c r="AC1802" s="2225">
        <f>AC1801</f>
        <v>34555.932203389835</v>
      </c>
      <c r="AD1802" s="2857"/>
      <c r="AE1802" s="2857"/>
      <c r="AF1802" s="2857"/>
      <c r="AG1802" s="2857"/>
      <c r="AH1802" s="1942"/>
      <c r="AI1802" s="1942"/>
      <c r="AJ1802" s="1942"/>
      <c r="AK1802" s="1942"/>
      <c r="AL1802" s="1942"/>
      <c r="AM1802" s="1942"/>
      <c r="AN1802" s="1942"/>
      <c r="AO1802" s="1942"/>
      <c r="AP1802" s="1942"/>
      <c r="AQ1802" s="1942"/>
      <c r="AR1802" s="1942"/>
      <c r="AS1802" s="1942"/>
      <c r="AT1802" s="1942"/>
      <c r="AU1802" s="1942"/>
      <c r="AV1802" s="1942"/>
      <c r="AW1802" s="1942"/>
      <c r="AX1802" s="1942"/>
      <c r="AY1802" s="1942"/>
      <c r="AZ1802" s="1942"/>
      <c r="BA1802" s="1942"/>
      <c r="BB1802" s="575"/>
      <c r="BC1802" s="576"/>
      <c r="BD1802" s="678"/>
      <c r="BE1802" s="585"/>
    </row>
    <row r="1803" spans="1:61" s="1942" customFormat="1" ht="15" hidden="1" customHeight="1" outlineLevel="1" x14ac:dyDescent="0.25">
      <c r="A1803" s="2061"/>
      <c r="B1803" s="123"/>
      <c r="C1803" s="328"/>
      <c r="D1803" s="3990"/>
      <c r="E1803" s="4009"/>
      <c r="F1803" s="3010" t="str">
        <f>$E$1411</f>
        <v>ASHP-SEER15-Replace_CAC_NonElectricHeat_ER1_SF</v>
      </c>
      <c r="G1803" s="2676"/>
      <c r="H1803" s="2676"/>
      <c r="I1803" s="2677"/>
      <c r="J1803" s="3298" t="str">
        <f>$C$1411</f>
        <v>352310_2021_12_</v>
      </c>
      <c r="K1803" s="2276">
        <v>34555.932203389835</v>
      </c>
      <c r="L1803" s="3071">
        <f t="shared" si="196"/>
        <v>2.8796610169491528</v>
      </c>
      <c r="M1803" s="2723" t="s">
        <v>1125</v>
      </c>
      <c r="N1803" s="123"/>
      <c r="O1803" s="123"/>
      <c r="P1803" s="3205"/>
      <c r="Q1803" s="831"/>
      <c r="R1803" s="3086"/>
      <c r="S1803" s="832"/>
      <c r="T1803" s="833"/>
      <c r="U1803" s="576"/>
      <c r="V1803" s="3990"/>
      <c r="W1803" s="2857"/>
      <c r="X1803" s="3155"/>
      <c r="Y1803" s="3155"/>
      <c r="Z1803" s="2857"/>
      <c r="AA1803" s="2857"/>
      <c r="AB1803" s="2225"/>
      <c r="AC1803" s="2276">
        <v>34555.932203389835</v>
      </c>
      <c r="AD1803" s="2857"/>
      <c r="AE1803" s="2857"/>
      <c r="AF1803" s="2857"/>
      <c r="AG1803" s="2857"/>
      <c r="BB1803" s="575"/>
      <c r="BC1803" s="576"/>
      <c r="BD1803" s="678"/>
      <c r="BE1803" s="585"/>
    </row>
    <row r="1804" spans="1:61" s="1942" customFormat="1" ht="15" hidden="1" customHeight="1" outlineLevel="1" x14ac:dyDescent="0.25">
      <c r="A1804" s="2061"/>
      <c r="B1804" s="123"/>
      <c r="C1804" s="328"/>
      <c r="D1804" s="3990"/>
      <c r="E1804" s="4009"/>
      <c r="F1804" s="3010" t="str">
        <f>$E$1413</f>
        <v>ASHP-SEER15-Replace_CAC_NonElectricHeat_ER2_SF</v>
      </c>
      <c r="G1804" s="2676"/>
      <c r="H1804" s="2676"/>
      <c r="I1804" s="2677"/>
      <c r="J1804" s="3298" t="str">
        <f>$C$1413</f>
        <v>352310_2021_12_</v>
      </c>
      <c r="K1804" s="2225">
        <f>K1803</f>
        <v>34555.932203389835</v>
      </c>
      <c r="L1804" s="3070">
        <f t="shared" si="196"/>
        <v>2.8796610169491528</v>
      </c>
      <c r="M1804" s="2723" t="s">
        <v>1125</v>
      </c>
      <c r="N1804" s="123"/>
      <c r="O1804" s="123"/>
      <c r="P1804" s="3205"/>
      <c r="Q1804" s="831"/>
      <c r="R1804" s="3086"/>
      <c r="S1804" s="832"/>
      <c r="T1804" s="833"/>
      <c r="U1804" s="576"/>
      <c r="V1804" s="3990"/>
      <c r="W1804" s="2857"/>
      <c r="X1804" s="3155"/>
      <c r="Y1804" s="3155"/>
      <c r="Z1804" s="2857"/>
      <c r="AA1804" s="2857"/>
      <c r="AB1804" s="2225"/>
      <c r="AC1804" s="2225">
        <f>AC1803</f>
        <v>34555.932203389835</v>
      </c>
      <c r="AD1804" s="2857"/>
      <c r="AE1804" s="2857"/>
      <c r="AF1804" s="2857"/>
      <c r="AG1804" s="2857"/>
      <c r="BB1804" s="575"/>
      <c r="BC1804" s="576"/>
      <c r="BD1804" s="678"/>
      <c r="BE1804" s="585"/>
    </row>
    <row r="1805" spans="1:61" s="51" customFormat="1" ht="15" hidden="1" customHeight="1" outlineLevel="1" x14ac:dyDescent="0.25">
      <c r="A1805" s="2060"/>
      <c r="B1805" s="123"/>
      <c r="C1805" s="328"/>
      <c r="D1805" s="3990"/>
      <c r="E1805" s="4009"/>
      <c r="F1805" s="3010" t="str">
        <f>$E$1415</f>
        <v>ASHP-SEER15_ER1_SF</v>
      </c>
      <c r="G1805" s="2676"/>
      <c r="H1805" s="2676"/>
      <c r="I1805" s="2677"/>
      <c r="J1805" s="3298" t="str">
        <f>$C$1415</f>
        <v>352350_2021_12_</v>
      </c>
      <c r="K1805" s="2225">
        <v>37480.519480519484</v>
      </c>
      <c r="L1805" s="3070">
        <f t="shared" si="196"/>
        <v>3.1233766233766236</v>
      </c>
      <c r="M1805" s="2723" t="s">
        <v>1551</v>
      </c>
      <c r="N1805" s="123"/>
      <c r="O1805" s="123"/>
      <c r="P1805" s="834" t="s">
        <v>984</v>
      </c>
      <c r="Q1805" s="1592">
        <f t="shared" ref="Q1805:Q1811" si="198">(($R$1820*3)+R1805)-(($Q$1820*3)/((1+$R$1822)^($R$1823-1)))</f>
        <v>1019.813599825558</v>
      </c>
      <c r="R1805" s="835">
        <v>303</v>
      </c>
      <c r="S1805" s="123" t="s">
        <v>983</v>
      </c>
      <c r="T1805" s="833"/>
      <c r="U1805" s="576"/>
      <c r="V1805" s="3990"/>
      <c r="W1805" s="2857">
        <v>37200</v>
      </c>
      <c r="X1805" s="3155">
        <f t="shared" si="197"/>
        <v>36720</v>
      </c>
      <c r="Y1805" s="3155">
        <v>35160</v>
      </c>
      <c r="Z1805" s="2857">
        <v>35160</v>
      </c>
      <c r="AA1805" s="2857">
        <v>35160</v>
      </c>
      <c r="AB1805" s="2225">
        <v>37222.222222222219</v>
      </c>
      <c r="AC1805" s="2225">
        <v>37480.519480519484</v>
      </c>
      <c r="AD1805" s="2857"/>
      <c r="AE1805" s="2857"/>
      <c r="AF1805" s="2857"/>
      <c r="AG1805" s="2857"/>
      <c r="AH1805" s="1942"/>
      <c r="AI1805" s="1942"/>
      <c r="AJ1805" s="1942"/>
      <c r="AK1805" s="1942"/>
      <c r="AL1805" s="1942"/>
      <c r="AM1805" s="1942"/>
      <c r="AN1805" s="1942"/>
      <c r="AO1805" s="1942"/>
      <c r="AP1805" s="1942"/>
      <c r="AQ1805" s="1942"/>
      <c r="AR1805" s="1942"/>
      <c r="AS1805" s="1942"/>
      <c r="AT1805" s="1942"/>
      <c r="AU1805" s="1942"/>
      <c r="AV1805" s="1942"/>
      <c r="AW1805" s="1942"/>
      <c r="AX1805" s="1942"/>
      <c r="AY1805" s="1942"/>
      <c r="AZ1805" s="1942"/>
      <c r="BA1805" s="1942"/>
      <c r="BB1805" s="575"/>
      <c r="BC1805" s="576"/>
      <c r="BD1805" s="678"/>
      <c r="BE1805" s="585"/>
    </row>
    <row r="1806" spans="1:61" s="51" customFormat="1" ht="15" hidden="1" customHeight="1" outlineLevel="1" x14ac:dyDescent="0.25">
      <c r="A1806" s="2060"/>
      <c r="B1806" s="123"/>
      <c r="C1806" s="328"/>
      <c r="D1806" s="3990"/>
      <c r="E1806" s="4009"/>
      <c r="F1806" s="3010" t="str">
        <f>$E$1417</f>
        <v>ASHP-SEER15_ER2_SF</v>
      </c>
      <c r="G1806" s="2676"/>
      <c r="H1806" s="2676"/>
      <c r="I1806" s="2677"/>
      <c r="J1806" s="3298" t="str">
        <f>$C$1417</f>
        <v>352350_2021_12_</v>
      </c>
      <c r="K1806" s="2225">
        <f>K1805</f>
        <v>37480.519480519484</v>
      </c>
      <c r="L1806" s="3070">
        <f t="shared" si="196"/>
        <v>3.1233766233766236</v>
      </c>
      <c r="M1806" s="2723" t="s">
        <v>1551</v>
      </c>
      <c r="N1806" s="123"/>
      <c r="O1806" s="123"/>
      <c r="P1806" s="834" t="s">
        <v>985</v>
      </c>
      <c r="Q1806" s="1592">
        <f t="shared" si="198"/>
        <v>1154.813599825558</v>
      </c>
      <c r="R1806" s="835">
        <v>438</v>
      </c>
      <c r="S1806" s="123" t="s">
        <v>983</v>
      </c>
      <c r="T1806" s="833"/>
      <c r="U1806" s="576"/>
      <c r="V1806" s="3990"/>
      <c r="W1806" s="2857">
        <v>37200</v>
      </c>
      <c r="X1806" s="3155">
        <f t="shared" si="197"/>
        <v>36720</v>
      </c>
      <c r="Y1806" s="3155">
        <v>35160</v>
      </c>
      <c r="Z1806" s="2857">
        <v>35160</v>
      </c>
      <c r="AA1806" s="2857">
        <v>35160</v>
      </c>
      <c r="AB1806" s="2225">
        <v>37222.222222222219</v>
      </c>
      <c r="AC1806" s="2225">
        <f>AC1805</f>
        <v>37480.519480519484</v>
      </c>
      <c r="AD1806" s="2857"/>
      <c r="AE1806" s="2857"/>
      <c r="AF1806" s="2857"/>
      <c r="AG1806" s="2857"/>
      <c r="AH1806" s="1942"/>
      <c r="AI1806" s="1942"/>
      <c r="AJ1806" s="1942"/>
      <c r="AK1806" s="1942"/>
      <c r="AL1806" s="1942"/>
      <c r="AM1806" s="1942"/>
      <c r="AN1806" s="1942"/>
      <c r="AO1806" s="1942"/>
      <c r="AP1806" s="1942"/>
      <c r="AQ1806" s="1942"/>
      <c r="AR1806" s="1942"/>
      <c r="AS1806" s="1942"/>
      <c r="AT1806" s="1942"/>
      <c r="AU1806" s="1942"/>
      <c r="AV1806" s="1942"/>
      <c r="AW1806" s="1942"/>
      <c r="AX1806" s="1942"/>
      <c r="AY1806" s="1942"/>
      <c r="AZ1806" s="1942"/>
      <c r="BA1806" s="1942"/>
      <c r="BB1806" s="575"/>
      <c r="BC1806" s="576"/>
      <c r="BD1806" s="678"/>
      <c r="BE1806" s="585"/>
    </row>
    <row r="1807" spans="1:61" s="51" customFormat="1" ht="15" hidden="1" customHeight="1" outlineLevel="1" x14ac:dyDescent="0.25">
      <c r="A1807" s="2060"/>
      <c r="B1807" s="123"/>
      <c r="C1807" s="328"/>
      <c r="D1807" s="3990"/>
      <c r="E1807" s="4009"/>
      <c r="F1807" s="3010" t="str">
        <f>$E$1419</f>
        <v>ASHP-SEER15-Replace_CAC_ElectricHeat_ROF_SF</v>
      </c>
      <c r="G1807" s="2676"/>
      <c r="H1807" s="2676"/>
      <c r="I1807" s="2677"/>
      <c r="J1807" s="3298" t="str">
        <f>$C$1419</f>
        <v>352400_2021_12_</v>
      </c>
      <c r="K1807" s="2225">
        <v>37047.619047619046</v>
      </c>
      <c r="L1807" s="3070">
        <f t="shared" si="196"/>
        <v>3.087301587301587</v>
      </c>
      <c r="M1807" s="2723" t="s">
        <v>1551</v>
      </c>
      <c r="N1807" s="123"/>
      <c r="O1807" s="123"/>
      <c r="P1807" s="834" t="s">
        <v>986</v>
      </c>
      <c r="Q1807" s="1592">
        <f t="shared" si="198"/>
        <v>1440.813599825558</v>
      </c>
      <c r="R1807" s="835">
        <v>724</v>
      </c>
      <c r="S1807" s="123" t="s">
        <v>983</v>
      </c>
      <c r="T1807" s="833"/>
      <c r="U1807" s="576"/>
      <c r="V1807" s="3990"/>
      <c r="W1807" s="2857">
        <v>31200</v>
      </c>
      <c r="X1807" s="3155">
        <f t="shared" si="197"/>
        <v>36720</v>
      </c>
      <c r="Y1807" s="3155">
        <v>34320</v>
      </c>
      <c r="Z1807" s="2857">
        <v>34320</v>
      </c>
      <c r="AA1807" s="2857">
        <v>34320</v>
      </c>
      <c r="AB1807" s="2225">
        <v>35872.340425531918</v>
      </c>
      <c r="AC1807" s="2225">
        <v>37047.619047619046</v>
      </c>
      <c r="AD1807" s="2857"/>
      <c r="AE1807" s="2857"/>
      <c r="AF1807" s="2857"/>
      <c r="AG1807" s="2857"/>
      <c r="AH1807" s="1942"/>
      <c r="AI1807" s="1942"/>
      <c r="AJ1807" s="1942"/>
      <c r="AK1807" s="1942"/>
      <c r="AL1807" s="1942"/>
      <c r="AM1807" s="1942"/>
      <c r="AN1807" s="1942"/>
      <c r="AO1807" s="1942"/>
      <c r="AP1807" s="1942"/>
      <c r="AQ1807" s="1942"/>
      <c r="AR1807" s="1942"/>
      <c r="AS1807" s="1942"/>
      <c r="AT1807" s="1942"/>
      <c r="AU1807" s="1942"/>
      <c r="AV1807" s="1942"/>
      <c r="AW1807" s="1942"/>
      <c r="AX1807" s="1942"/>
      <c r="AY1807" s="1942"/>
      <c r="AZ1807" s="1942"/>
      <c r="BA1807" s="1942"/>
      <c r="BB1807" s="575"/>
      <c r="BC1807" s="576"/>
      <c r="BD1807" s="678"/>
      <c r="BE1807" s="585"/>
    </row>
    <row r="1808" spans="1:61" s="1942" customFormat="1" ht="15" hidden="1" customHeight="1" outlineLevel="1" thickBot="1" x14ac:dyDescent="0.3">
      <c r="A1808" s="2060"/>
      <c r="B1808" s="123"/>
      <c r="C1808" s="328"/>
      <c r="D1808" s="3990"/>
      <c r="E1808" s="4009"/>
      <c r="F1808" s="3010" t="str">
        <f>$E$1421</f>
        <v>ASHP-SEER15-Replace_CAC_NonElectricHeat_ROF_SF</v>
      </c>
      <c r="G1808" s="2676"/>
      <c r="H1808" s="2676"/>
      <c r="I1808" s="2677"/>
      <c r="J1808" s="3298" t="str">
        <f>$C$1421</f>
        <v>352410_2021_12_</v>
      </c>
      <c r="K1808" s="2276">
        <v>37047.619047619046</v>
      </c>
      <c r="L1808" s="3070">
        <f t="shared" si="196"/>
        <v>3.087301587301587</v>
      </c>
      <c r="M1808" s="2723" t="s">
        <v>1125</v>
      </c>
      <c r="N1808" s="123"/>
      <c r="O1808" s="123"/>
      <c r="P1808" s="834" t="s">
        <v>987</v>
      </c>
      <c r="Q1808" s="1592">
        <f t="shared" si="198"/>
        <v>1679.733599825558</v>
      </c>
      <c r="R1808" s="835">
        <f>R1807*S1808</f>
        <v>962.92000000000007</v>
      </c>
      <c r="S1808" s="1546">
        <v>1.33</v>
      </c>
      <c r="T1808" s="833"/>
      <c r="U1808" s="576"/>
      <c r="V1808" s="3990"/>
      <c r="W1808" s="2857"/>
      <c r="X1808" s="3155"/>
      <c r="Y1808" s="3155"/>
      <c r="Z1808" s="2857"/>
      <c r="AA1808" s="2857"/>
      <c r="AB1808" s="2225"/>
      <c r="AC1808" s="2276">
        <v>37047.619047619046</v>
      </c>
      <c r="AD1808" s="2857"/>
      <c r="AE1808" s="2857"/>
      <c r="AF1808" s="2857"/>
      <c r="AG1808" s="2857"/>
      <c r="BB1808" s="575"/>
      <c r="BC1808" s="576"/>
      <c r="BD1808" s="678"/>
      <c r="BE1808" s="585"/>
    </row>
    <row r="1809" spans="1:57" s="51" customFormat="1" ht="15" hidden="1" customHeight="1" outlineLevel="1" x14ac:dyDescent="0.25">
      <c r="A1809" s="2060"/>
      <c r="B1809" s="123"/>
      <c r="C1809" s="328"/>
      <c r="D1809" s="3990"/>
      <c r="E1809" s="4009"/>
      <c r="F1809" s="3010" t="str">
        <f>$E$1423</f>
        <v>ASHP-SEER15_ROF_SF</v>
      </c>
      <c r="G1809" s="2676"/>
      <c r="H1809" s="2676"/>
      <c r="I1809" s="2677"/>
      <c r="J1809" s="3298" t="str">
        <f>$C$1423</f>
        <v>352450_2021_12_</v>
      </c>
      <c r="K1809" s="2225">
        <v>35892.857142857138</v>
      </c>
      <c r="L1809" s="3070">
        <f t="shared" si="196"/>
        <v>2.9910714285714279</v>
      </c>
      <c r="M1809" s="2722" t="s">
        <v>1550</v>
      </c>
      <c r="N1809" s="123"/>
      <c r="O1809" s="123"/>
      <c r="P1809" s="834" t="s">
        <v>988</v>
      </c>
      <c r="Q1809" s="1592">
        <f t="shared" si="198"/>
        <v>1920.4635998255585</v>
      </c>
      <c r="R1809" s="835">
        <f>R1808*S1809</f>
        <v>1203.6500000000003</v>
      </c>
      <c r="S1809" s="1593">
        <v>1.2500000000000002</v>
      </c>
      <c r="T1809" s="833"/>
      <c r="U1809" s="576"/>
      <c r="V1809" s="3990"/>
      <c r="W1809" s="2857">
        <v>37200</v>
      </c>
      <c r="X1809" s="3155">
        <f t="shared" si="197"/>
        <v>36720</v>
      </c>
      <c r="Y1809" s="3155">
        <v>34680</v>
      </c>
      <c r="Z1809" s="2857">
        <v>34680</v>
      </c>
      <c r="AA1809" s="2857">
        <v>34680</v>
      </c>
      <c r="AB1809" s="2855">
        <v>34680</v>
      </c>
      <c r="AC1809" s="2225">
        <v>35892.857142857138</v>
      </c>
      <c r="AD1809" s="2857"/>
      <c r="AE1809" s="2857"/>
      <c r="AF1809" s="2857"/>
      <c r="AG1809" s="2857"/>
      <c r="AH1809" s="1942"/>
      <c r="AI1809" s="1942"/>
      <c r="AJ1809" s="1942"/>
      <c r="AK1809" s="1942"/>
      <c r="AL1809" s="1942"/>
      <c r="AM1809" s="1942"/>
      <c r="AN1809" s="1942"/>
      <c r="AO1809" s="1942"/>
      <c r="AP1809" s="1942"/>
      <c r="AQ1809" s="1942"/>
      <c r="AR1809" s="1942"/>
      <c r="AS1809" s="1942"/>
      <c r="AT1809" s="1942"/>
      <c r="AU1809" s="1942"/>
      <c r="AV1809" s="1942"/>
      <c r="AW1809" s="1942"/>
      <c r="AX1809" s="1942"/>
      <c r="AY1809" s="1942"/>
      <c r="AZ1809" s="1942"/>
      <c r="BA1809" s="1942"/>
      <c r="BB1809" s="575"/>
      <c r="BC1809" s="576"/>
      <c r="BD1809" s="678"/>
      <c r="BE1809" s="585"/>
    </row>
    <row r="1810" spans="1:57" s="51" customFormat="1" ht="15" hidden="1" customHeight="1" outlineLevel="1" x14ac:dyDescent="0.25">
      <c r="A1810" s="2060"/>
      <c r="B1810" s="123"/>
      <c r="C1810" s="328"/>
      <c r="D1810" s="3990"/>
      <c r="E1810" s="4009"/>
      <c r="F1810" s="3010" t="str">
        <f>$E$1425</f>
        <v>ASHP-SEER16-Replace_CAC_ElectricHeat_ER1_SF</v>
      </c>
      <c r="G1810" s="2676"/>
      <c r="H1810" s="2676"/>
      <c r="I1810" s="2677"/>
      <c r="J1810" s="3298" t="str">
        <f>$C$1425</f>
        <v>352500_2021_12_</v>
      </c>
      <c r="K1810" s="2225">
        <v>35069.908814589668</v>
      </c>
      <c r="L1810" s="3070">
        <f t="shared" si="196"/>
        <v>2.9224924012158056</v>
      </c>
      <c r="M1810" s="2723" t="s">
        <v>1551</v>
      </c>
      <c r="N1810" s="123"/>
      <c r="O1810" s="123"/>
      <c r="P1810" s="834" t="s">
        <v>989</v>
      </c>
      <c r="Q1810" s="1592">
        <f t="shared" si="198"/>
        <v>2161.1935998255572</v>
      </c>
      <c r="R1810" s="835">
        <f>R1809*S1810</f>
        <v>1444.3799999999994</v>
      </c>
      <c r="S1810" s="1593">
        <v>1.1999999999999993</v>
      </c>
      <c r="T1810" s="1547" t="s">
        <v>990</v>
      </c>
      <c r="U1810" s="576"/>
      <c r="V1810" s="3990"/>
      <c r="W1810" s="2857">
        <v>37200</v>
      </c>
      <c r="X1810" s="3155">
        <f t="shared" si="197"/>
        <v>36720</v>
      </c>
      <c r="Y1810" s="3155">
        <v>38160</v>
      </c>
      <c r="Z1810" s="2857">
        <v>38160</v>
      </c>
      <c r="AA1810" s="2857">
        <v>38160</v>
      </c>
      <c r="AB1810" s="2225">
        <v>35375.776397515532</v>
      </c>
      <c r="AC1810" s="2225">
        <v>35069.908814589668</v>
      </c>
      <c r="AD1810" s="2857"/>
      <c r="AE1810" s="2857"/>
      <c r="AF1810" s="2857"/>
      <c r="AG1810" s="2857"/>
      <c r="AH1810" s="1942"/>
      <c r="AI1810" s="1942"/>
      <c r="AJ1810" s="1942"/>
      <c r="AK1810" s="1942"/>
      <c r="AL1810" s="1942"/>
      <c r="AM1810" s="1942"/>
      <c r="AN1810" s="1942"/>
      <c r="AO1810" s="1942"/>
      <c r="AP1810" s="1942"/>
      <c r="AQ1810" s="1942"/>
      <c r="AR1810" s="1942"/>
      <c r="AS1810" s="1942"/>
      <c r="AT1810" s="1942"/>
      <c r="AU1810" s="1942"/>
      <c r="AV1810" s="1942"/>
      <c r="AW1810" s="1942"/>
      <c r="AX1810" s="1942"/>
      <c r="AY1810" s="1942"/>
      <c r="AZ1810" s="1942"/>
      <c r="BA1810" s="1942"/>
      <c r="BB1810" s="575"/>
      <c r="BC1810" s="576"/>
      <c r="BD1810" s="678"/>
      <c r="BE1810" s="585"/>
    </row>
    <row r="1811" spans="1:57" s="51" customFormat="1" ht="15" hidden="1" customHeight="1" outlineLevel="1" x14ac:dyDescent="0.25">
      <c r="A1811" s="2060"/>
      <c r="B1811" s="123"/>
      <c r="C1811" s="328"/>
      <c r="D1811" s="3990"/>
      <c r="E1811" s="4009"/>
      <c r="F1811" s="3010" t="str">
        <f>$E$1427</f>
        <v>ASHP-SEER16-Replace_CAC_ElectricHeat_ER2_SF</v>
      </c>
      <c r="G1811" s="2676"/>
      <c r="H1811" s="2676"/>
      <c r="I1811" s="2677"/>
      <c r="J1811" s="3298" t="str">
        <f>$C$1427</f>
        <v>352500_2021_12_</v>
      </c>
      <c r="K1811" s="2225">
        <f>K1810</f>
        <v>35069.908814589668</v>
      </c>
      <c r="L1811" s="3070">
        <f t="shared" si="196"/>
        <v>2.9224924012158056</v>
      </c>
      <c r="M1811" s="2723" t="s">
        <v>1551</v>
      </c>
      <c r="N1811" s="123"/>
      <c r="O1811" s="123"/>
      <c r="P1811" s="834" t="s">
        <v>991</v>
      </c>
      <c r="Q1811" s="1592">
        <f t="shared" si="198"/>
        <v>2406.7381998255573</v>
      </c>
      <c r="R1811" s="835">
        <f>R1810*S1811</f>
        <v>1689.9245999999991</v>
      </c>
      <c r="S1811" s="1593">
        <v>1.17</v>
      </c>
      <c r="T1811" s="3261"/>
      <c r="U1811" s="576"/>
      <c r="V1811" s="3990"/>
      <c r="W1811" s="2857">
        <v>37200</v>
      </c>
      <c r="X1811" s="3155">
        <f t="shared" si="197"/>
        <v>36720</v>
      </c>
      <c r="Y1811" s="3155">
        <v>38160</v>
      </c>
      <c r="Z1811" s="2857">
        <v>38160</v>
      </c>
      <c r="AA1811" s="2857">
        <v>38160</v>
      </c>
      <c r="AB1811" s="2225">
        <v>35375.776397515532</v>
      </c>
      <c r="AC1811" s="2225">
        <f>AC1810</f>
        <v>35069.908814589668</v>
      </c>
      <c r="AD1811" s="2857"/>
      <c r="AE1811" s="2857"/>
      <c r="AF1811" s="2857"/>
      <c r="AG1811" s="2857"/>
      <c r="AH1811" s="1942"/>
      <c r="AI1811" s="1942"/>
      <c r="AJ1811" s="1942"/>
      <c r="AK1811" s="1942"/>
      <c r="AL1811" s="1942"/>
      <c r="AM1811" s="1942"/>
      <c r="AN1811" s="1942"/>
      <c r="AO1811" s="1942"/>
      <c r="AP1811" s="1942"/>
      <c r="AQ1811" s="1942"/>
      <c r="AR1811" s="1942"/>
      <c r="AS1811" s="1942"/>
      <c r="AT1811" s="1942"/>
      <c r="AU1811" s="1942"/>
      <c r="AV1811" s="1942"/>
      <c r="AW1811" s="1942"/>
      <c r="AX1811" s="1942"/>
      <c r="AY1811" s="1942"/>
      <c r="AZ1811" s="1942"/>
      <c r="BA1811" s="1942"/>
      <c r="BB1811" s="575"/>
      <c r="BC1811" s="576"/>
      <c r="BD1811" s="678"/>
      <c r="BE1811" s="585"/>
    </row>
    <row r="1812" spans="1:57" s="1942" customFormat="1" ht="15" hidden="1" customHeight="1" outlineLevel="1" x14ac:dyDescent="0.25">
      <c r="A1812" s="2060"/>
      <c r="B1812" s="123"/>
      <c r="C1812" s="328"/>
      <c r="D1812" s="3990"/>
      <c r="E1812" s="4009"/>
      <c r="F1812" s="3010" t="str">
        <f>$E$1429</f>
        <v>ASHP-SEER16-Replace_CAC_NonElectricHeat_ER1_SF</v>
      </c>
      <c r="G1812" s="2676"/>
      <c r="H1812" s="2676"/>
      <c r="I1812" s="2677"/>
      <c r="J1812" s="3298" t="str">
        <f>$C$1429</f>
        <v>352510_2021_12_</v>
      </c>
      <c r="K1812" s="2225">
        <v>35069.908814589668</v>
      </c>
      <c r="L1812" s="3070">
        <f t="shared" si="196"/>
        <v>2.9224924012158056</v>
      </c>
      <c r="M1812" s="2723" t="s">
        <v>1125</v>
      </c>
      <c r="N1812" s="123"/>
      <c r="O1812" s="123"/>
      <c r="P1812" s="834" t="s">
        <v>426</v>
      </c>
      <c r="Q1812" s="1594">
        <f>AVERAGE(Q1805:Q1811)</f>
        <v>1683.367114111272</v>
      </c>
      <c r="R1812" s="835">
        <f>AVERAGE(R1805:R1811)</f>
        <v>966.55351428571419</v>
      </c>
      <c r="S1812" s="836"/>
      <c r="T1812" s="3261"/>
      <c r="U1812" s="576"/>
      <c r="V1812" s="3990"/>
      <c r="W1812" s="2857"/>
      <c r="X1812" s="3155"/>
      <c r="Y1812" s="3155"/>
      <c r="Z1812" s="2857"/>
      <c r="AA1812" s="2857"/>
      <c r="AB1812" s="2225"/>
      <c r="AC1812" s="2225">
        <v>35069.908814589668</v>
      </c>
      <c r="AD1812" s="2857"/>
      <c r="AE1812" s="2857"/>
      <c r="AF1812" s="2857"/>
      <c r="AG1812" s="2857"/>
      <c r="BB1812" s="575"/>
      <c r="BC1812" s="576"/>
      <c r="BD1812" s="678"/>
      <c r="BE1812" s="585"/>
    </row>
    <row r="1813" spans="1:57" s="1942" customFormat="1" ht="15" hidden="1" customHeight="1" outlineLevel="1" x14ac:dyDescent="0.25">
      <c r="A1813" s="2060"/>
      <c r="B1813" s="123"/>
      <c r="C1813" s="328"/>
      <c r="D1813" s="3990"/>
      <c r="E1813" s="4009"/>
      <c r="F1813" s="3010" t="str">
        <f>$E$1431</f>
        <v>ASHP-SEER16-Replace_CAC_NonElectricHeat_ER2_SF</v>
      </c>
      <c r="G1813" s="2676"/>
      <c r="H1813" s="2676"/>
      <c r="I1813" s="2677"/>
      <c r="J1813" s="3298" t="str">
        <f>$C$1431</f>
        <v>352510_2021_12_</v>
      </c>
      <c r="K1813" s="2225">
        <f>K1812</f>
        <v>35069.908814589668</v>
      </c>
      <c r="L1813" s="3070">
        <f t="shared" si="196"/>
        <v>2.9224924012158056</v>
      </c>
      <c r="M1813" s="2723" t="s">
        <v>1125</v>
      </c>
      <c r="N1813" s="123"/>
      <c r="O1813" s="123"/>
      <c r="P1813" s="1600" t="s">
        <v>992</v>
      </c>
      <c r="Q1813" s="123"/>
      <c r="R1813" s="328"/>
      <c r="S1813" s="832"/>
      <c r="T1813" s="3261"/>
      <c r="U1813" s="576"/>
      <c r="V1813" s="3990"/>
      <c r="W1813" s="2857"/>
      <c r="X1813" s="3155"/>
      <c r="Y1813" s="3155"/>
      <c r="Z1813" s="2857"/>
      <c r="AA1813" s="2857"/>
      <c r="AB1813" s="2225"/>
      <c r="AC1813" s="2225">
        <f>AC1812</f>
        <v>35069.908814589668</v>
      </c>
      <c r="AD1813" s="2857"/>
      <c r="AE1813" s="2857"/>
      <c r="AF1813" s="2857"/>
      <c r="AG1813" s="2857"/>
      <c r="BB1813" s="575"/>
      <c r="BC1813" s="576"/>
      <c r="BD1813" s="678"/>
      <c r="BE1813" s="585"/>
    </row>
    <row r="1814" spans="1:57" s="51" customFormat="1" ht="15" hidden="1" customHeight="1" outlineLevel="1" x14ac:dyDescent="0.25">
      <c r="A1814" s="2060"/>
      <c r="B1814" s="123"/>
      <c r="C1814" s="328"/>
      <c r="D1814" s="3990"/>
      <c r="E1814" s="4009"/>
      <c r="F1814" s="3010" t="str">
        <f>$E$1433</f>
        <v>ASHP-SEER16_ER1_SF</v>
      </c>
      <c r="G1814" s="2676"/>
      <c r="H1814" s="2676"/>
      <c r="I1814" s="2677"/>
      <c r="J1814" s="3298" t="str">
        <f>$C$1433</f>
        <v>352550_2021_12_</v>
      </c>
      <c r="K1814" s="2225">
        <v>36536.170212765959</v>
      </c>
      <c r="L1814" s="3070">
        <f t="shared" si="196"/>
        <v>3.0446808510638301</v>
      </c>
      <c r="M1814" s="2723" t="s">
        <v>1551</v>
      </c>
      <c r="N1814" s="123"/>
      <c r="O1814" s="123"/>
      <c r="U1814" s="576"/>
      <c r="V1814" s="3990"/>
      <c r="W1814" s="2857">
        <v>39600</v>
      </c>
      <c r="X1814" s="3155">
        <f t="shared" si="197"/>
        <v>36720</v>
      </c>
      <c r="Y1814" s="3155">
        <v>37800</v>
      </c>
      <c r="Z1814" s="2857">
        <v>37800</v>
      </c>
      <c r="AA1814" s="2857">
        <v>37800</v>
      </c>
      <c r="AB1814" s="2225">
        <v>37317.757009345798</v>
      </c>
      <c r="AC1814" s="2225">
        <v>36536.170212765959</v>
      </c>
      <c r="AD1814" s="2857"/>
      <c r="AE1814" s="2857"/>
      <c r="AF1814" s="2857"/>
      <c r="AG1814" s="2857"/>
      <c r="AH1814" s="1942"/>
      <c r="AI1814" s="1942"/>
      <c r="AJ1814" s="1942"/>
      <c r="AK1814" s="1942"/>
      <c r="AL1814" s="1942"/>
      <c r="AM1814" s="1942"/>
      <c r="AN1814" s="1942"/>
      <c r="AO1814" s="1942"/>
      <c r="AP1814" s="1942"/>
      <c r="AQ1814" s="1942"/>
      <c r="AR1814" s="1942"/>
      <c r="AS1814" s="1942"/>
      <c r="AT1814" s="1942"/>
      <c r="AU1814" s="1942"/>
      <c r="AV1814" s="1942"/>
      <c r="AW1814" s="1942"/>
      <c r="AX1814" s="1942"/>
      <c r="AY1814" s="1942"/>
      <c r="AZ1814" s="1942"/>
      <c r="BA1814" s="1942"/>
      <c r="BB1814" s="575"/>
      <c r="BC1814" s="576"/>
      <c r="BD1814" s="678"/>
      <c r="BE1814" s="585"/>
    </row>
    <row r="1815" spans="1:57" s="51" customFormat="1" ht="15" hidden="1" customHeight="1" outlineLevel="1" x14ac:dyDescent="0.25">
      <c r="A1815" s="2060"/>
      <c r="B1815" s="123"/>
      <c r="C1815" s="328"/>
      <c r="D1815" s="3990"/>
      <c r="E1815" s="4009"/>
      <c r="F1815" s="3010" t="str">
        <f>$E$1435</f>
        <v>ASHP-SEER16_ER2_SF</v>
      </c>
      <c r="G1815" s="2676"/>
      <c r="H1815" s="2676"/>
      <c r="I1815" s="2677"/>
      <c r="J1815" s="3298" t="str">
        <f>$C$1435</f>
        <v>352550_2021_12_</v>
      </c>
      <c r="K1815" s="2276">
        <f>K1814</f>
        <v>36536.170212765959</v>
      </c>
      <c r="L1815" s="3071">
        <f t="shared" si="196"/>
        <v>3.0446808510638301</v>
      </c>
      <c r="M1815" s="2723" t="s">
        <v>1551</v>
      </c>
      <c r="N1815" s="123"/>
      <c r="O1815" s="123"/>
      <c r="U1815" s="576"/>
      <c r="V1815" s="3990"/>
      <c r="W1815" s="2857">
        <v>39600</v>
      </c>
      <c r="X1815" s="3158">
        <f t="shared" si="197"/>
        <v>36720</v>
      </c>
      <c r="Y1815" s="3158">
        <v>37800</v>
      </c>
      <c r="Z1815" s="696">
        <v>37800</v>
      </c>
      <c r="AA1815" s="696">
        <v>37800</v>
      </c>
      <c r="AB1815" s="2276">
        <v>37317.757009345798</v>
      </c>
      <c r="AC1815" s="2276">
        <f>AC1814</f>
        <v>36536.170212765959</v>
      </c>
      <c r="AD1815" s="2857"/>
      <c r="AE1815" s="2857"/>
      <c r="AF1815" s="2857"/>
      <c r="AG1815" s="2857"/>
      <c r="AH1815" s="1942"/>
      <c r="AI1815" s="1942"/>
      <c r="AJ1815" s="1942"/>
      <c r="AK1815" s="1942"/>
      <c r="AL1815" s="1942"/>
      <c r="AM1815" s="1942"/>
      <c r="AN1815" s="1942"/>
      <c r="AO1815" s="1942"/>
      <c r="AP1815" s="1942"/>
      <c r="AQ1815" s="1942"/>
      <c r="AR1815" s="1942"/>
      <c r="AS1815" s="1942"/>
      <c r="AT1815" s="1942"/>
      <c r="AU1815" s="1942"/>
      <c r="AV1815" s="1942"/>
      <c r="AW1815" s="1942"/>
      <c r="AX1815" s="1942"/>
      <c r="AY1815" s="1942"/>
      <c r="AZ1815" s="1942"/>
      <c r="BA1815" s="1942"/>
      <c r="BB1815" s="575"/>
      <c r="BC1815" s="576"/>
      <c r="BD1815" s="678"/>
      <c r="BE1815" s="585"/>
    </row>
    <row r="1816" spans="1:57" s="51" customFormat="1" ht="15" hidden="1" customHeight="1" outlineLevel="1" thickBot="1" x14ac:dyDescent="0.3">
      <c r="A1816" s="2060"/>
      <c r="B1816" s="123"/>
      <c r="C1816" s="328"/>
      <c r="D1816" s="3990"/>
      <c r="E1816" s="4009"/>
      <c r="F1816" s="3010" t="str">
        <f>$E$1437</f>
        <v>ASHP-SEER16-Replace_CAC_ElectricHeat_ROF_SF</v>
      </c>
      <c r="G1816" s="2676"/>
      <c r="H1816" s="2676"/>
      <c r="I1816" s="2677"/>
      <c r="J1816" s="3298" t="str">
        <f>$C$1437</f>
        <v>352600_2021_12_</v>
      </c>
      <c r="K1816" s="2276">
        <v>35468.354430379746</v>
      </c>
      <c r="L1816" s="3071">
        <f t="shared" si="196"/>
        <v>2.9556962025316453</v>
      </c>
      <c r="M1816" s="2723" t="s">
        <v>1551</v>
      </c>
      <c r="N1816" s="123"/>
      <c r="O1816" s="123"/>
      <c r="U1816" s="123"/>
      <c r="V1816" s="3990"/>
      <c r="W1816" s="2857">
        <v>38400</v>
      </c>
      <c r="X1816" s="3158">
        <f t="shared" si="197"/>
        <v>36720</v>
      </c>
      <c r="Y1816" s="3158">
        <v>37320</v>
      </c>
      <c r="Z1816" s="696">
        <v>37320</v>
      </c>
      <c r="AA1816" s="696">
        <v>37320</v>
      </c>
      <c r="AB1816" s="2276">
        <v>35428.571428571428</v>
      </c>
      <c r="AC1816" s="2276">
        <v>35468.354430379746</v>
      </c>
      <c r="AD1816" s="2857"/>
      <c r="AE1816" s="2857"/>
      <c r="AF1816" s="2857"/>
      <c r="AG1816" s="2857"/>
      <c r="AH1816" s="1942"/>
      <c r="AI1816" s="1942"/>
      <c r="AJ1816" s="1942"/>
      <c r="AK1816" s="1942"/>
      <c r="AL1816" s="1942"/>
      <c r="AM1816" s="1942"/>
      <c r="AN1816" s="1942"/>
      <c r="AO1816" s="1942"/>
      <c r="AP1816" s="1942"/>
      <c r="AQ1816" s="1942"/>
      <c r="AR1816" s="1942"/>
      <c r="AS1816" s="1942"/>
      <c r="AT1816" s="1942"/>
      <c r="AU1816" s="1942"/>
      <c r="AV1816" s="1942"/>
      <c r="AW1816" s="1942"/>
      <c r="AX1816" s="1942"/>
      <c r="AY1816" s="1942"/>
      <c r="AZ1816" s="1942"/>
      <c r="BA1816" s="1942"/>
      <c r="BB1816" s="575"/>
      <c r="BC1816" s="576"/>
      <c r="BD1816" s="678"/>
      <c r="BE1816" s="585"/>
    </row>
    <row r="1817" spans="1:57" s="51" customFormat="1" ht="15" hidden="1" customHeight="1" outlineLevel="1" x14ac:dyDescent="0.25">
      <c r="A1817" s="2060"/>
      <c r="B1817" s="123"/>
      <c r="C1817" s="328"/>
      <c r="D1817" s="3990"/>
      <c r="E1817" s="4009"/>
      <c r="F1817" s="3010" t="str">
        <f>$E$1439</f>
        <v>ASHP-SEER16_ROF_SF</v>
      </c>
      <c r="G1817" s="2676"/>
      <c r="H1817" s="2676"/>
      <c r="I1817" s="2677"/>
      <c r="J1817" s="3298" t="str">
        <f>$C$1439</f>
        <v>352650_2021_12_</v>
      </c>
      <c r="K1817" s="2276">
        <v>37105.263157894733</v>
      </c>
      <c r="L1817" s="3071">
        <f t="shared" si="196"/>
        <v>3.0921052631578942</v>
      </c>
      <c r="M1817" s="2722" t="s">
        <v>1550</v>
      </c>
      <c r="N1817" s="123"/>
      <c r="O1817" s="123"/>
      <c r="P1817" s="1942"/>
      <c r="Q1817" s="1942"/>
      <c r="R1817" s="1942"/>
      <c r="S1817" s="1942"/>
      <c r="T1817" s="3082"/>
      <c r="U1817" s="123"/>
      <c r="V1817" s="3990"/>
      <c r="W1817" s="2857">
        <v>39600</v>
      </c>
      <c r="X1817" s="3158">
        <f t="shared" si="197"/>
        <v>36720</v>
      </c>
      <c r="Y1817" s="3158">
        <v>39000</v>
      </c>
      <c r="Z1817" s="696">
        <v>39000</v>
      </c>
      <c r="AA1817" s="696">
        <v>39000</v>
      </c>
      <c r="AB1817" s="2277">
        <v>39000</v>
      </c>
      <c r="AC1817" s="2276">
        <v>37105.263157894733</v>
      </c>
      <c r="AD1817" s="2857"/>
      <c r="AE1817" s="2857"/>
      <c r="AF1817" s="2857"/>
      <c r="AG1817" s="2857"/>
      <c r="AH1817" s="1942"/>
      <c r="AI1817" s="1942"/>
      <c r="AJ1817" s="1942"/>
      <c r="AK1817" s="1942"/>
      <c r="AL1817" s="1942"/>
      <c r="AM1817" s="1942"/>
      <c r="AN1817" s="1942"/>
      <c r="AO1817" s="1942"/>
      <c r="AP1817" s="1942"/>
      <c r="AQ1817" s="1942"/>
      <c r="AR1817" s="1942"/>
      <c r="AS1817" s="1942"/>
      <c r="AT1817" s="1942"/>
      <c r="AU1817" s="1942"/>
      <c r="AV1817" s="1942"/>
      <c r="AW1817" s="1942"/>
      <c r="AX1817" s="1942"/>
      <c r="AY1817" s="1942"/>
      <c r="AZ1817" s="1942"/>
      <c r="BA1817" s="1942"/>
      <c r="BB1817" s="575"/>
      <c r="BC1817" s="576"/>
      <c r="BD1817" s="678"/>
      <c r="BE1817" s="585"/>
    </row>
    <row r="1818" spans="1:57" s="51" customFormat="1" ht="15" hidden="1" customHeight="1" outlineLevel="1" x14ac:dyDescent="0.25">
      <c r="A1818" s="2060"/>
      <c r="B1818" s="123"/>
      <c r="C1818" s="328"/>
      <c r="D1818" s="3990"/>
      <c r="E1818" s="4009"/>
      <c r="F1818" s="3010" t="str">
        <f>$E$1441</f>
        <v>ASHP-SEER15_ER1_MF</v>
      </c>
      <c r="G1818" s="2676"/>
      <c r="H1818" s="2676"/>
      <c r="I1818" s="2677"/>
      <c r="J1818" s="3298" t="str">
        <f>$C$1441</f>
        <v>352700_2021_12_</v>
      </c>
      <c r="K1818" s="2225">
        <v>35000</v>
      </c>
      <c r="L1818" s="3070">
        <f t="shared" si="196"/>
        <v>2.9166666666666665</v>
      </c>
      <c r="M1818" s="2723" t="s">
        <v>1551</v>
      </c>
      <c r="N1818" s="123"/>
      <c r="O1818" s="123"/>
      <c r="P1818" s="3923" t="s">
        <v>1552</v>
      </c>
      <c r="Q1818" s="4037"/>
      <c r="R1818" s="3931"/>
      <c r="S1818" s="832"/>
      <c r="T1818" s="3082"/>
      <c r="U1818" s="123"/>
      <c r="V1818" s="3990"/>
      <c r="W1818" s="2857">
        <v>37200</v>
      </c>
      <c r="X1818" s="2857">
        <v>37200</v>
      </c>
      <c r="Y1818" s="2857">
        <v>37200</v>
      </c>
      <c r="Z1818" s="2857">
        <v>37200</v>
      </c>
      <c r="AA1818" s="2857">
        <v>37200</v>
      </c>
      <c r="AB1818" s="3150">
        <v>34500</v>
      </c>
      <c r="AC1818" s="2225">
        <v>35000</v>
      </c>
      <c r="AD1818" s="2857"/>
      <c r="AE1818" s="2857"/>
      <c r="AF1818" s="2857"/>
      <c r="AG1818" s="2857"/>
      <c r="AH1818" s="1942"/>
      <c r="AI1818" s="1942"/>
      <c r="AJ1818" s="1942"/>
      <c r="AK1818" s="1942"/>
      <c r="AL1818" s="1942"/>
      <c r="AM1818" s="1942"/>
      <c r="AN1818" s="1942"/>
      <c r="AO1818" s="1942"/>
      <c r="AP1818" s="1942"/>
      <c r="AQ1818" s="1942"/>
      <c r="AR1818" s="1942"/>
      <c r="AS1818" s="1942"/>
      <c r="AT1818" s="1942"/>
      <c r="AU1818" s="1942"/>
      <c r="AV1818" s="1942"/>
      <c r="AW1818" s="1942"/>
      <c r="AX1818" s="1942"/>
      <c r="AY1818" s="1942"/>
      <c r="AZ1818" s="1942"/>
      <c r="BA1818" s="1942"/>
      <c r="BB1818" s="575"/>
      <c r="BC1818" s="576"/>
      <c r="BD1818" s="678"/>
      <c r="BE1818" s="585"/>
    </row>
    <row r="1819" spans="1:57" s="51" customFormat="1" ht="15" hidden="1" customHeight="1" outlineLevel="1" x14ac:dyDescent="0.25">
      <c r="A1819" s="2060"/>
      <c r="B1819" s="123"/>
      <c r="C1819" s="328"/>
      <c r="D1819" s="3990"/>
      <c r="E1819" s="4009"/>
      <c r="F1819" s="3010" t="str">
        <f>$E$1443</f>
        <v>ASHP-SEER15_ER2_MF</v>
      </c>
      <c r="G1819" s="2676"/>
      <c r="H1819" s="2676"/>
      <c r="I1819" s="2677"/>
      <c r="J1819" s="3298" t="str">
        <f>$C$1443</f>
        <v>352700_2021_12_</v>
      </c>
      <c r="K1819" s="2225">
        <f>K1818</f>
        <v>35000</v>
      </c>
      <c r="L1819" s="3070">
        <f t="shared" si="196"/>
        <v>2.9166666666666665</v>
      </c>
      <c r="M1819" s="2723" t="s">
        <v>1551</v>
      </c>
      <c r="N1819" s="123"/>
      <c r="O1819" s="123"/>
      <c r="P1819" s="3205"/>
      <c r="Q1819" s="3205" t="s">
        <v>994</v>
      </c>
      <c r="R1819" s="3205" t="s">
        <v>995</v>
      </c>
      <c r="S1819" s="832"/>
      <c r="T1819" s="840"/>
      <c r="U1819" s="123"/>
      <c r="V1819" s="3990"/>
      <c r="W1819" s="2857">
        <v>37200</v>
      </c>
      <c r="X1819" s="2857">
        <v>37200</v>
      </c>
      <c r="Y1819" s="2857">
        <v>37200</v>
      </c>
      <c r="Z1819" s="2857">
        <v>37200</v>
      </c>
      <c r="AA1819" s="2857">
        <v>37200</v>
      </c>
      <c r="AB1819" s="3150">
        <v>34500</v>
      </c>
      <c r="AC1819" s="2225">
        <f>AC1818</f>
        <v>35000</v>
      </c>
      <c r="AD1819" s="2857"/>
      <c r="AE1819" s="2857"/>
      <c r="AF1819" s="2857"/>
      <c r="AG1819" s="2857"/>
      <c r="AH1819" s="1942"/>
      <c r="AI1819" s="1942"/>
      <c r="AJ1819" s="1942"/>
      <c r="AK1819" s="1942"/>
      <c r="AL1819" s="1942"/>
      <c r="AM1819" s="1942"/>
      <c r="AN1819" s="1942"/>
      <c r="AO1819" s="1942"/>
      <c r="AP1819" s="1942"/>
      <c r="AQ1819" s="1942"/>
      <c r="AR1819" s="1942"/>
      <c r="AS1819" s="1942"/>
      <c r="AT1819" s="1942"/>
      <c r="AU1819" s="1942"/>
      <c r="AV1819" s="1942"/>
      <c r="AW1819" s="1942"/>
      <c r="AX1819" s="1942"/>
      <c r="AY1819" s="1942"/>
      <c r="AZ1819" s="1942"/>
      <c r="BA1819" s="1942"/>
      <c r="BB1819" s="575"/>
      <c r="BC1819" s="576"/>
      <c r="BD1819" s="678"/>
      <c r="BE1819" s="585"/>
    </row>
    <row r="1820" spans="1:57" s="51" customFormat="1" ht="15" hidden="1" customHeight="1" outlineLevel="1" x14ac:dyDescent="0.25">
      <c r="A1820" s="2060"/>
      <c r="B1820" s="123"/>
      <c r="C1820" s="328"/>
      <c r="D1820" s="3990"/>
      <c r="E1820" s="4009"/>
      <c r="F1820" s="3010" t="str">
        <f>$E$1445</f>
        <v>ASHP-SEER15_ER1_MF_CompE</v>
      </c>
      <c r="G1820" s="2676"/>
      <c r="H1820" s="2676"/>
      <c r="I1820" s="2677"/>
      <c r="J1820" s="3298" t="str">
        <f>$C$1445</f>
        <v>352701_2021_12_</v>
      </c>
      <c r="K1820" s="2225">
        <f>K1818</f>
        <v>35000</v>
      </c>
      <c r="L1820" s="3070">
        <f t="shared" si="196"/>
        <v>2.9166666666666665</v>
      </c>
      <c r="M1820" s="2278" t="s">
        <v>1125</v>
      </c>
      <c r="N1820" s="123"/>
      <c r="O1820" s="123"/>
      <c r="P1820" s="834" t="s">
        <v>996</v>
      </c>
      <c r="Q1820" s="838">
        <f>(R1820)*(1+R1821)^(R1823-1)</f>
        <v>1524.7355892191999</v>
      </c>
      <c r="R1820" s="839">
        <v>1381</v>
      </c>
      <c r="S1820" s="123" t="s">
        <v>983</v>
      </c>
      <c r="T1820" s="3082"/>
      <c r="U1820" s="123"/>
      <c r="V1820" s="3990"/>
      <c r="W1820" s="2857"/>
      <c r="X1820" s="2857"/>
      <c r="Y1820" s="3155">
        <v>37200</v>
      </c>
      <c r="Z1820" s="2857">
        <v>37200</v>
      </c>
      <c r="AA1820" s="2857">
        <v>37200</v>
      </c>
      <c r="AB1820" s="3150">
        <v>34500</v>
      </c>
      <c r="AC1820" s="2225">
        <f>AC1818</f>
        <v>35000</v>
      </c>
      <c r="AD1820" s="2857"/>
      <c r="AE1820" s="2857"/>
      <c r="AF1820" s="2857"/>
      <c r="AG1820" s="2857"/>
      <c r="AH1820" s="1942"/>
      <c r="AI1820" s="1942"/>
      <c r="AJ1820" s="1942"/>
      <c r="AK1820" s="1942"/>
      <c r="AL1820" s="1942"/>
      <c r="AM1820" s="1942"/>
      <c r="AN1820" s="1942"/>
      <c r="AO1820" s="1942"/>
      <c r="AP1820" s="1942"/>
      <c r="AQ1820" s="1942"/>
      <c r="AR1820" s="1942"/>
      <c r="AS1820" s="1942"/>
      <c r="AT1820" s="1942"/>
      <c r="AU1820" s="1942"/>
      <c r="AV1820" s="1942"/>
      <c r="AW1820" s="1942"/>
      <c r="AX1820" s="1942"/>
      <c r="AY1820" s="1942"/>
      <c r="AZ1820" s="1942"/>
      <c r="BA1820" s="1942"/>
      <c r="BB1820" s="575"/>
      <c r="BC1820" s="576"/>
      <c r="BD1820" s="678"/>
      <c r="BE1820" s="585"/>
    </row>
    <row r="1821" spans="1:57" s="51" customFormat="1" ht="15" hidden="1" customHeight="1" outlineLevel="1" x14ac:dyDescent="0.25">
      <c r="A1821" s="2060"/>
      <c r="B1821" s="123"/>
      <c r="C1821" s="328"/>
      <c r="D1821" s="3990"/>
      <c r="E1821" s="4009"/>
      <c r="F1821" s="3010" t="str">
        <f>$E$1447</f>
        <v>ASHP-SEER15_ER2_MF_CompE</v>
      </c>
      <c r="G1821" s="2676"/>
      <c r="H1821" s="2676"/>
      <c r="I1821" s="2677"/>
      <c r="J1821" s="3298" t="str">
        <f>$C$1447</f>
        <v>352701_2021_12_</v>
      </c>
      <c r="K1821" s="2225">
        <f>K1819</f>
        <v>35000</v>
      </c>
      <c r="L1821" s="3070">
        <f t="shared" si="196"/>
        <v>2.9166666666666665</v>
      </c>
      <c r="M1821" s="2278" t="s">
        <v>1125</v>
      </c>
      <c r="N1821" s="123"/>
      <c r="O1821" s="123"/>
      <c r="P1821" s="834" t="s">
        <v>870</v>
      </c>
      <c r="Q1821" s="838"/>
      <c r="R1821" s="841">
        <f>$Q$104</f>
        <v>0.02</v>
      </c>
      <c r="S1821" s="842" t="s">
        <v>1106</v>
      </c>
      <c r="T1821" s="3082"/>
      <c r="U1821" s="123"/>
      <c r="V1821" s="3990"/>
      <c r="W1821" s="2857"/>
      <c r="X1821" s="2857"/>
      <c r="Y1821" s="3155">
        <v>37200</v>
      </c>
      <c r="Z1821" s="2857">
        <v>37200</v>
      </c>
      <c r="AA1821" s="2857">
        <v>37200</v>
      </c>
      <c r="AB1821" s="3150">
        <v>34500</v>
      </c>
      <c r="AC1821" s="2225">
        <f>AC1819</f>
        <v>35000</v>
      </c>
      <c r="AD1821" s="2857"/>
      <c r="AE1821" s="2857"/>
      <c r="AF1821" s="2857"/>
      <c r="AG1821" s="2857"/>
      <c r="AH1821" s="1942"/>
      <c r="AI1821" s="1942"/>
      <c r="AJ1821" s="1942"/>
      <c r="AK1821" s="1942"/>
      <c r="AL1821" s="1942"/>
      <c r="AM1821" s="1942"/>
      <c r="AN1821" s="1942"/>
      <c r="AO1821" s="1942"/>
      <c r="AP1821" s="1942"/>
      <c r="AQ1821" s="1942"/>
      <c r="AR1821" s="1942"/>
      <c r="AS1821" s="1942"/>
      <c r="AT1821" s="1942"/>
      <c r="AU1821" s="1942"/>
      <c r="AV1821" s="1942"/>
      <c r="AW1821" s="1942"/>
      <c r="AX1821" s="1942"/>
      <c r="AY1821" s="1942"/>
      <c r="AZ1821" s="1942"/>
      <c r="BA1821" s="1942"/>
      <c r="BB1821" s="575"/>
      <c r="BC1821" s="576"/>
      <c r="BD1821" s="678"/>
      <c r="BE1821" s="585"/>
    </row>
    <row r="1822" spans="1:57" s="51" customFormat="1" ht="15" hidden="1" customHeight="1" outlineLevel="1" x14ac:dyDescent="0.25">
      <c r="A1822" s="2060"/>
      <c r="B1822" s="123"/>
      <c r="C1822" s="328"/>
      <c r="D1822" s="3990"/>
      <c r="E1822" s="4009"/>
      <c r="F1822" s="3010" t="str">
        <f>$E$1449</f>
        <v>ASHP-SEER15-Replace_CAC_ElectricHeat_ER1_MF</v>
      </c>
      <c r="G1822" s="2676"/>
      <c r="H1822" s="2676"/>
      <c r="I1822" s="2677"/>
      <c r="J1822" s="3298" t="str">
        <f>$C$1449</f>
        <v>352750_2021_12_</v>
      </c>
      <c r="K1822" s="2225">
        <v>30000</v>
      </c>
      <c r="L1822" s="3070">
        <f t="shared" si="196"/>
        <v>2.5</v>
      </c>
      <c r="M1822" s="2723" t="s">
        <v>1551</v>
      </c>
      <c r="N1822" s="123"/>
      <c r="O1822" s="123"/>
      <c r="P1822" s="843" t="s">
        <v>871</v>
      </c>
      <c r="Q1822" s="843"/>
      <c r="R1822" s="841">
        <f>$Q$105</f>
        <v>5.9499999999999997E-2</v>
      </c>
      <c r="S1822" s="832" t="s">
        <v>1106</v>
      </c>
      <c r="T1822" s="3082"/>
      <c r="U1822" s="123"/>
      <c r="V1822" s="3990"/>
      <c r="W1822" s="2857">
        <v>33600</v>
      </c>
      <c r="X1822" s="2857">
        <v>33600</v>
      </c>
      <c r="Y1822" s="2857">
        <v>33600</v>
      </c>
      <c r="Z1822" s="2857">
        <v>33600</v>
      </c>
      <c r="AA1822" s="2857">
        <v>33600</v>
      </c>
      <c r="AB1822" s="3150">
        <v>33000</v>
      </c>
      <c r="AC1822" s="2225">
        <v>30000</v>
      </c>
      <c r="AD1822" s="2857"/>
      <c r="AE1822" s="2857"/>
      <c r="AF1822" s="2857"/>
      <c r="AG1822" s="2857"/>
      <c r="AH1822" s="1942"/>
      <c r="AI1822" s="1942"/>
      <c r="AJ1822" s="1942"/>
      <c r="AK1822" s="1942"/>
      <c r="AL1822" s="1942"/>
      <c r="AM1822" s="1942"/>
      <c r="AN1822" s="1942"/>
      <c r="AO1822" s="1942"/>
      <c r="AP1822" s="1942"/>
      <c r="AQ1822" s="1942"/>
      <c r="AR1822" s="1942"/>
      <c r="AS1822" s="1942"/>
      <c r="AT1822" s="1942"/>
      <c r="AU1822" s="1942"/>
      <c r="AV1822" s="1942"/>
      <c r="AW1822" s="1942"/>
      <c r="AX1822" s="1942"/>
      <c r="AY1822" s="1942"/>
      <c r="AZ1822" s="1942"/>
      <c r="BA1822" s="1942"/>
      <c r="BB1822" s="575"/>
      <c r="BC1822" s="576"/>
      <c r="BD1822" s="678"/>
      <c r="BE1822" s="585"/>
    </row>
    <row r="1823" spans="1:57" s="51" customFormat="1" ht="15" hidden="1" customHeight="1" outlineLevel="1" x14ac:dyDescent="0.25">
      <c r="A1823" s="2060"/>
      <c r="B1823" s="123"/>
      <c r="C1823" s="328"/>
      <c r="D1823" s="3990"/>
      <c r="E1823" s="4009"/>
      <c r="F1823" s="3010" t="str">
        <f>$E$1451</f>
        <v>ASHP-SEER15-Replace_CAC_ElectricHeat_ER2_MF</v>
      </c>
      <c r="G1823" s="2676"/>
      <c r="H1823" s="2676"/>
      <c r="I1823" s="2677"/>
      <c r="J1823" s="3298" t="str">
        <f>$C$1451</f>
        <v>352750_2021_12_</v>
      </c>
      <c r="K1823" s="2225">
        <f>K1822</f>
        <v>30000</v>
      </c>
      <c r="L1823" s="3070">
        <f t="shared" si="196"/>
        <v>2.5</v>
      </c>
      <c r="M1823" s="2723" t="s">
        <v>1551</v>
      </c>
      <c r="N1823" s="123"/>
      <c r="O1823" s="228"/>
      <c r="P1823" s="63" t="s">
        <v>872</v>
      </c>
      <c r="Q1823" s="63"/>
      <c r="R1823" s="1962">
        <v>6</v>
      </c>
      <c r="S1823" s="832" t="s">
        <v>1107</v>
      </c>
      <c r="T1823" s="123"/>
      <c r="U1823" s="123"/>
      <c r="V1823" s="3990"/>
      <c r="W1823" s="2857">
        <v>33600</v>
      </c>
      <c r="X1823" s="2857">
        <v>33600</v>
      </c>
      <c r="Y1823" s="2857">
        <v>33600</v>
      </c>
      <c r="Z1823" s="2857">
        <v>33600</v>
      </c>
      <c r="AA1823" s="2857">
        <v>33600</v>
      </c>
      <c r="AB1823" s="3150">
        <v>33000</v>
      </c>
      <c r="AC1823" s="2225">
        <f>AC1822</f>
        <v>30000</v>
      </c>
      <c r="AD1823" s="2857"/>
      <c r="AE1823" s="2857"/>
      <c r="AF1823" s="2857"/>
      <c r="AG1823" s="2857"/>
      <c r="AH1823" s="1942"/>
      <c r="AI1823" s="1942"/>
      <c r="AJ1823" s="1942"/>
      <c r="AK1823" s="1942"/>
      <c r="AL1823" s="1942"/>
      <c r="AM1823" s="1942"/>
      <c r="AN1823" s="1942"/>
      <c r="AO1823" s="1942"/>
      <c r="AP1823" s="1942"/>
      <c r="AQ1823" s="1942"/>
      <c r="AR1823" s="1942"/>
      <c r="AS1823" s="1942"/>
      <c r="AT1823" s="1942"/>
      <c r="AU1823" s="1942"/>
      <c r="AV1823" s="1942"/>
      <c r="AW1823" s="1942"/>
      <c r="AX1823" s="1942"/>
      <c r="AY1823" s="1942"/>
      <c r="AZ1823" s="1942"/>
      <c r="BA1823" s="1942"/>
      <c r="BB1823" s="575"/>
      <c r="BC1823" s="576"/>
      <c r="BD1823" s="678"/>
      <c r="BE1823" s="585"/>
    </row>
    <row r="1824" spans="1:57" s="51" customFormat="1" ht="15" hidden="1" customHeight="1" outlineLevel="1" x14ac:dyDescent="0.25">
      <c r="A1824" s="2060"/>
      <c r="B1824" s="123"/>
      <c r="C1824" s="328"/>
      <c r="D1824" s="3990"/>
      <c r="E1824" s="4009"/>
      <c r="F1824" s="3010" t="str">
        <f>$E$1453</f>
        <v>ASHP-SEER15-Replace_CAC_ElectricHeat_ER1_MF_CompE</v>
      </c>
      <c r="G1824" s="2676"/>
      <c r="H1824" s="2676"/>
      <c r="I1824" s="2677"/>
      <c r="J1824" s="3298" t="str">
        <f>$C$1453</f>
        <v>352751_2021_12_</v>
      </c>
      <c r="K1824" s="2225">
        <f>K1822</f>
        <v>30000</v>
      </c>
      <c r="L1824" s="3070">
        <f t="shared" si="196"/>
        <v>2.5</v>
      </c>
      <c r="M1824" s="2278" t="s">
        <v>1125</v>
      </c>
      <c r="N1824" s="123"/>
      <c r="O1824" s="228"/>
      <c r="P1824" s="123"/>
      <c r="Q1824" s="123"/>
      <c r="R1824" s="123"/>
      <c r="S1824" s="123"/>
      <c r="T1824" s="123"/>
      <c r="U1824" s="123"/>
      <c r="V1824" s="3990"/>
      <c r="W1824" s="2857"/>
      <c r="X1824" s="2857"/>
      <c r="Y1824" s="3155">
        <v>33600</v>
      </c>
      <c r="Z1824" s="2857">
        <v>33600</v>
      </c>
      <c r="AA1824" s="2857">
        <v>33600</v>
      </c>
      <c r="AB1824" s="3150">
        <v>33000</v>
      </c>
      <c r="AC1824" s="2225">
        <f>AC1822</f>
        <v>30000</v>
      </c>
      <c r="AD1824" s="2857"/>
      <c r="AE1824" s="2857"/>
      <c r="AF1824" s="2857"/>
      <c r="AG1824" s="2857"/>
      <c r="AH1824" s="1942"/>
      <c r="AI1824" s="1942"/>
      <c r="AJ1824" s="1942"/>
      <c r="AK1824" s="1942"/>
      <c r="AL1824" s="1942"/>
      <c r="AM1824" s="1942"/>
      <c r="AN1824" s="1942"/>
      <c r="AO1824" s="1942"/>
      <c r="AP1824" s="1942"/>
      <c r="AQ1824" s="1942"/>
      <c r="AR1824" s="1942"/>
      <c r="AS1824" s="1942"/>
      <c r="AT1824" s="1942"/>
      <c r="AU1824" s="1942"/>
      <c r="AV1824" s="1942"/>
      <c r="AW1824" s="1942"/>
      <c r="AX1824" s="1942"/>
      <c r="AY1824" s="1942"/>
      <c r="AZ1824" s="1942"/>
      <c r="BA1824" s="1942"/>
      <c r="BB1824" s="575"/>
      <c r="BC1824" s="576"/>
      <c r="BD1824" s="678"/>
      <c r="BE1824" s="585"/>
    </row>
    <row r="1825" spans="1:57" s="51" customFormat="1" ht="15" hidden="1" customHeight="1" outlineLevel="1" x14ac:dyDescent="0.25">
      <c r="A1825" s="2060"/>
      <c r="B1825" s="123"/>
      <c r="C1825" s="328"/>
      <c r="D1825" s="3990"/>
      <c r="E1825" s="4009"/>
      <c r="F1825" s="3010" t="str">
        <f>$E$1455</f>
        <v>ASHP-SEER15-Replace_CAC_ElectricHeat_ER2_MF_CompE</v>
      </c>
      <c r="G1825" s="2676"/>
      <c r="H1825" s="2676"/>
      <c r="I1825" s="2677"/>
      <c r="J1825" s="3298" t="str">
        <f>$C$1455</f>
        <v>352751_2021_12_</v>
      </c>
      <c r="K1825" s="2225">
        <f>K1823</f>
        <v>30000</v>
      </c>
      <c r="L1825" s="3070">
        <f t="shared" si="196"/>
        <v>2.5</v>
      </c>
      <c r="M1825" s="2278" t="s">
        <v>1125</v>
      </c>
      <c r="N1825" s="123"/>
      <c r="O1825" s="228"/>
      <c r="P1825" s="123"/>
      <c r="Q1825" s="123"/>
      <c r="R1825" s="123"/>
      <c r="S1825" s="123"/>
      <c r="T1825" s="123"/>
      <c r="U1825" s="123"/>
      <c r="V1825" s="3990"/>
      <c r="W1825" s="2857"/>
      <c r="X1825" s="2857"/>
      <c r="Y1825" s="3155">
        <v>33600</v>
      </c>
      <c r="Z1825" s="2857">
        <v>33600</v>
      </c>
      <c r="AA1825" s="2857">
        <v>33600</v>
      </c>
      <c r="AB1825" s="3150">
        <v>33000</v>
      </c>
      <c r="AC1825" s="2225">
        <f>AC1823</f>
        <v>30000</v>
      </c>
      <c r="AD1825" s="2857"/>
      <c r="AE1825" s="2857"/>
      <c r="AF1825" s="2857"/>
      <c r="AG1825" s="2857"/>
      <c r="AH1825" s="1942"/>
      <c r="AI1825" s="1942"/>
      <c r="AJ1825" s="1942"/>
      <c r="AK1825" s="1942"/>
      <c r="AL1825" s="1942"/>
      <c r="AM1825" s="1942"/>
      <c r="AN1825" s="1942"/>
      <c r="AO1825" s="1942"/>
      <c r="AP1825" s="1942"/>
      <c r="AQ1825" s="1942"/>
      <c r="AR1825" s="1942"/>
      <c r="AS1825" s="1942"/>
      <c r="AT1825" s="1942"/>
      <c r="AU1825" s="1942"/>
      <c r="AV1825" s="1942"/>
      <c r="AW1825" s="1942"/>
      <c r="AX1825" s="1942"/>
      <c r="AY1825" s="1942"/>
      <c r="AZ1825" s="1942"/>
      <c r="BA1825" s="1942"/>
      <c r="BB1825" s="575"/>
      <c r="BC1825" s="576"/>
      <c r="BD1825" s="678"/>
      <c r="BE1825" s="585"/>
    </row>
    <row r="1826" spans="1:57" s="1942" customFormat="1" ht="15" hidden="1" customHeight="1" outlineLevel="1" x14ac:dyDescent="0.25">
      <c r="A1826" s="2060"/>
      <c r="B1826" s="123"/>
      <c r="C1826" s="328"/>
      <c r="D1826" s="3990"/>
      <c r="E1826" s="4009"/>
      <c r="F1826" s="3010" t="str">
        <f>$E$1457</f>
        <v>ASHP-SEER15-Replace_CAC_NonElectricHeat_ER1_MF</v>
      </c>
      <c r="G1826" s="2676"/>
      <c r="H1826" s="2676"/>
      <c r="I1826" s="2677"/>
      <c r="J1826" s="3298" t="str">
        <f>$C$1457</f>
        <v>352760_2021_12_</v>
      </c>
      <c r="K1826" s="2225">
        <v>30000</v>
      </c>
      <c r="L1826" s="3070">
        <f t="shared" si="196"/>
        <v>2.5</v>
      </c>
      <c r="M1826" s="2723" t="s">
        <v>1125</v>
      </c>
      <c r="N1826" s="123"/>
      <c r="O1826" s="228"/>
      <c r="P1826" s="123"/>
      <c r="Q1826" s="123"/>
      <c r="R1826" s="123"/>
      <c r="S1826" s="123"/>
      <c r="T1826" s="123"/>
      <c r="U1826" s="123"/>
      <c r="V1826" s="3990"/>
      <c r="W1826" s="2857"/>
      <c r="X1826" s="2857"/>
      <c r="Y1826" s="3155"/>
      <c r="Z1826" s="2857"/>
      <c r="AA1826" s="2857"/>
      <c r="AB1826" s="3150"/>
      <c r="AC1826" s="2225">
        <v>30000</v>
      </c>
      <c r="AD1826" s="2857"/>
      <c r="AE1826" s="2857"/>
      <c r="AF1826" s="2857"/>
      <c r="AG1826" s="2857"/>
      <c r="BB1826" s="575"/>
      <c r="BC1826" s="576"/>
      <c r="BD1826" s="678"/>
      <c r="BE1826" s="585"/>
    </row>
    <row r="1827" spans="1:57" s="1942" customFormat="1" ht="15" hidden="1" customHeight="1" outlineLevel="1" x14ac:dyDescent="0.25">
      <c r="A1827" s="2060"/>
      <c r="B1827" s="123"/>
      <c r="C1827" s="328"/>
      <c r="D1827" s="3990"/>
      <c r="E1827" s="4009"/>
      <c r="F1827" s="3010" t="str">
        <f>$E$1459</f>
        <v>ASHP-SEER15-Replace_CAC_NonElectricHeat_ER2_MF</v>
      </c>
      <c r="G1827" s="2676"/>
      <c r="H1827" s="2676"/>
      <c r="I1827" s="2677"/>
      <c r="J1827" s="3298" t="str">
        <f>$C$1459</f>
        <v>352760_2021_12_</v>
      </c>
      <c r="K1827" s="2225">
        <f>K1826</f>
        <v>30000</v>
      </c>
      <c r="L1827" s="3070">
        <f t="shared" si="196"/>
        <v>2.5</v>
      </c>
      <c r="M1827" s="2723" t="s">
        <v>1125</v>
      </c>
      <c r="N1827" s="123"/>
      <c r="O1827" s="228"/>
      <c r="P1827" s="123"/>
      <c r="Q1827" s="123"/>
      <c r="R1827" s="123"/>
      <c r="S1827" s="123"/>
      <c r="T1827" s="123"/>
      <c r="U1827" s="123"/>
      <c r="V1827" s="3990"/>
      <c r="W1827" s="2857"/>
      <c r="X1827" s="2857"/>
      <c r="Y1827" s="3155"/>
      <c r="Z1827" s="2857"/>
      <c r="AA1827" s="2857"/>
      <c r="AB1827" s="3150"/>
      <c r="AC1827" s="2225">
        <f>AC1826</f>
        <v>30000</v>
      </c>
      <c r="AD1827" s="2857"/>
      <c r="AE1827" s="2857"/>
      <c r="AF1827" s="2857"/>
      <c r="AG1827" s="2857"/>
      <c r="BB1827" s="575"/>
      <c r="BC1827" s="576"/>
      <c r="BD1827" s="678"/>
      <c r="BE1827" s="585"/>
    </row>
    <row r="1828" spans="1:57" s="1942" customFormat="1" ht="15" hidden="1" customHeight="1" outlineLevel="1" x14ac:dyDescent="0.25">
      <c r="A1828" s="2060"/>
      <c r="B1828" s="123"/>
      <c r="C1828" s="328"/>
      <c r="D1828" s="3990"/>
      <c r="E1828" s="4009"/>
      <c r="F1828" s="3010" t="str">
        <f>$E$1461</f>
        <v>ASHP-SEER15-Replace_CAC_NonElectricHeat_ER1_MF_CompE</v>
      </c>
      <c r="G1828" s="2676"/>
      <c r="H1828" s="2676"/>
      <c r="I1828" s="2677"/>
      <c r="J1828" s="3298" t="str">
        <f>$C$1461</f>
        <v>352761_2021_12_</v>
      </c>
      <c r="K1828" s="2225">
        <f>K1826</f>
        <v>30000</v>
      </c>
      <c r="L1828" s="3070">
        <f t="shared" si="196"/>
        <v>2.5</v>
      </c>
      <c r="M1828" s="2723" t="s">
        <v>1125</v>
      </c>
      <c r="N1828" s="123"/>
      <c r="O1828" s="228"/>
      <c r="P1828" s="123"/>
      <c r="Q1828" s="123"/>
      <c r="R1828" s="123"/>
      <c r="S1828" s="123"/>
      <c r="T1828" s="123"/>
      <c r="U1828" s="123"/>
      <c r="V1828" s="3990"/>
      <c r="W1828" s="2857"/>
      <c r="X1828" s="2857"/>
      <c r="Y1828" s="3155"/>
      <c r="Z1828" s="2857"/>
      <c r="AA1828" s="2857"/>
      <c r="AB1828" s="3150"/>
      <c r="AC1828" s="2225">
        <f>AC1826</f>
        <v>30000</v>
      </c>
      <c r="AD1828" s="2857"/>
      <c r="AE1828" s="2857"/>
      <c r="AF1828" s="2857"/>
      <c r="AG1828" s="2857"/>
      <c r="BB1828" s="575"/>
      <c r="BC1828" s="576"/>
      <c r="BD1828" s="678"/>
      <c r="BE1828" s="585"/>
    </row>
    <row r="1829" spans="1:57" s="1942" customFormat="1" ht="15" hidden="1" customHeight="1" outlineLevel="1" x14ac:dyDescent="0.25">
      <c r="A1829" s="2060"/>
      <c r="B1829" s="123"/>
      <c r="C1829" s="328"/>
      <c r="D1829" s="3990"/>
      <c r="E1829" s="4009"/>
      <c r="F1829" s="3010" t="str">
        <f>$E$1463</f>
        <v>ASHP-SEER15-Replace_CAC_NonElectricHeat_ER2_MF_CompE</v>
      </c>
      <c r="G1829" s="2676"/>
      <c r="H1829" s="2676"/>
      <c r="I1829" s="2677"/>
      <c r="J1829" s="3298" t="str">
        <f>$C$1463</f>
        <v>352761_2021_12_</v>
      </c>
      <c r="K1829" s="2225">
        <f>K1827</f>
        <v>30000</v>
      </c>
      <c r="L1829" s="3070">
        <f t="shared" si="196"/>
        <v>2.5</v>
      </c>
      <c r="M1829" s="2723" t="s">
        <v>1125</v>
      </c>
      <c r="N1829" s="123"/>
      <c r="O1829" s="228"/>
      <c r="P1829" s="123"/>
      <c r="Q1829" s="123"/>
      <c r="R1829" s="123"/>
      <c r="S1829" s="123"/>
      <c r="T1829" s="123"/>
      <c r="U1829" s="123"/>
      <c r="V1829" s="3990"/>
      <c r="W1829" s="2857"/>
      <c r="X1829" s="2857"/>
      <c r="Y1829" s="3155"/>
      <c r="Z1829" s="2857"/>
      <c r="AA1829" s="2857"/>
      <c r="AB1829" s="3150"/>
      <c r="AC1829" s="2225">
        <f>AC1827</f>
        <v>30000</v>
      </c>
      <c r="AD1829" s="2857"/>
      <c r="AE1829" s="2857"/>
      <c r="AF1829" s="2857"/>
      <c r="AG1829" s="2857"/>
      <c r="BB1829" s="575"/>
      <c r="BC1829" s="576"/>
      <c r="BD1829" s="678"/>
      <c r="BE1829" s="585"/>
    </row>
    <row r="1830" spans="1:57" s="51" customFormat="1" ht="15" hidden="1" customHeight="1" outlineLevel="1" x14ac:dyDescent="0.25">
      <c r="A1830" s="2060"/>
      <c r="B1830" s="123"/>
      <c r="C1830" s="328"/>
      <c r="D1830" s="3990"/>
      <c r="E1830" s="4009"/>
      <c r="F1830" s="3010" t="str">
        <f>$E$1465</f>
        <v>ASHP-SEER15-Replace_CAC_ElectricHeat_ROF_MF</v>
      </c>
      <c r="G1830" s="2676"/>
      <c r="H1830" s="2676"/>
      <c r="I1830" s="2677"/>
      <c r="J1830" s="3299" t="str">
        <f>$C$1465</f>
        <v>352800_2019_12_</v>
      </c>
      <c r="K1830" s="2551">
        <v>31200</v>
      </c>
      <c r="L1830" s="3072">
        <f t="shared" si="196"/>
        <v>2.6</v>
      </c>
      <c r="M1830" s="2278" t="s">
        <v>1149</v>
      </c>
      <c r="N1830" s="123"/>
      <c r="O1830" s="228"/>
      <c r="P1830" s="123"/>
      <c r="Q1830" s="123"/>
      <c r="R1830" s="123"/>
      <c r="S1830" s="123"/>
      <c r="T1830" s="123"/>
      <c r="U1830" s="123"/>
      <c r="V1830" s="3990"/>
      <c r="W1830" s="2857">
        <v>31200</v>
      </c>
      <c r="X1830" s="2857">
        <v>31200</v>
      </c>
      <c r="Y1830" s="2857">
        <v>31200</v>
      </c>
      <c r="Z1830" s="2857">
        <v>31200</v>
      </c>
      <c r="AA1830" s="2857">
        <v>31200</v>
      </c>
      <c r="AB1830" s="2855">
        <v>31200</v>
      </c>
      <c r="AC1830" s="2551">
        <v>31200</v>
      </c>
      <c r="AD1830" s="2857"/>
      <c r="AE1830" s="2857"/>
      <c r="AF1830" s="2857"/>
      <c r="AG1830" s="2857"/>
      <c r="AH1830" s="1942"/>
      <c r="AI1830" s="1942"/>
      <c r="AJ1830" s="1942"/>
      <c r="AK1830" s="1942"/>
      <c r="AL1830" s="1942"/>
      <c r="AM1830" s="1942"/>
      <c r="AN1830" s="1942"/>
      <c r="AO1830" s="1942"/>
      <c r="AP1830" s="1942"/>
      <c r="AQ1830" s="1942"/>
      <c r="AR1830" s="1942"/>
      <c r="AS1830" s="1942"/>
      <c r="AT1830" s="1942"/>
      <c r="AU1830" s="1942"/>
      <c r="AV1830" s="1942"/>
      <c r="AW1830" s="1942"/>
      <c r="AX1830" s="1942"/>
      <c r="AY1830" s="1942"/>
      <c r="AZ1830" s="1942"/>
      <c r="BA1830" s="1942"/>
      <c r="BB1830" s="575"/>
      <c r="BC1830" s="576"/>
      <c r="BD1830" s="678"/>
      <c r="BE1830" s="585"/>
    </row>
    <row r="1831" spans="1:57" s="51" customFormat="1" ht="15" hidden="1" customHeight="1" outlineLevel="1" x14ac:dyDescent="0.25">
      <c r="A1831" s="2060"/>
      <c r="B1831" s="123"/>
      <c r="C1831" s="328"/>
      <c r="D1831" s="3990"/>
      <c r="E1831" s="4009"/>
      <c r="F1831" s="3010" t="str">
        <f>$E$1467</f>
        <v>ASHP-SEER15-Replace_CAC_ElectricHeat_ROF_MF_CompE</v>
      </c>
      <c r="G1831" s="2676"/>
      <c r="H1831" s="2676"/>
      <c r="I1831" s="2677"/>
      <c r="J1831" s="3299" t="str">
        <f>$C$1467</f>
        <v>352801_2021_12_</v>
      </c>
      <c r="K1831" s="2551">
        <f>K1830</f>
        <v>31200</v>
      </c>
      <c r="L1831" s="3072">
        <f t="shared" si="196"/>
        <v>2.6</v>
      </c>
      <c r="M1831" s="2278" t="s">
        <v>1149</v>
      </c>
      <c r="N1831" s="123"/>
      <c r="O1831" s="228"/>
      <c r="P1831" s="123"/>
      <c r="Q1831" s="123"/>
      <c r="R1831" s="123"/>
      <c r="S1831" s="123"/>
      <c r="T1831" s="123"/>
      <c r="U1831" s="123"/>
      <c r="V1831" s="3990"/>
      <c r="W1831" s="2857"/>
      <c r="X1831" s="2857"/>
      <c r="Y1831" s="3155">
        <v>31200</v>
      </c>
      <c r="Z1831" s="2857">
        <v>31200</v>
      </c>
      <c r="AA1831" s="2857">
        <v>31200</v>
      </c>
      <c r="AB1831" s="2855">
        <v>31200</v>
      </c>
      <c r="AC1831" s="2551">
        <f>AC1830</f>
        <v>31200</v>
      </c>
      <c r="AD1831" s="2857"/>
      <c r="AE1831" s="2857"/>
      <c r="AF1831" s="2857"/>
      <c r="AG1831" s="2857"/>
      <c r="AH1831" s="1942"/>
      <c r="AI1831" s="1942"/>
      <c r="AJ1831" s="1942"/>
      <c r="AK1831" s="1942"/>
      <c r="AL1831" s="1942"/>
      <c r="AM1831" s="1942"/>
      <c r="AN1831" s="1942"/>
      <c r="AO1831" s="1942"/>
      <c r="AP1831" s="1942"/>
      <c r="AQ1831" s="1942"/>
      <c r="AR1831" s="1942"/>
      <c r="AS1831" s="1942"/>
      <c r="AT1831" s="1942"/>
      <c r="AU1831" s="1942"/>
      <c r="AV1831" s="1942"/>
      <c r="AW1831" s="1942"/>
      <c r="AX1831" s="1942"/>
      <c r="AY1831" s="1942"/>
      <c r="AZ1831" s="1942"/>
      <c r="BA1831" s="1942"/>
      <c r="BB1831" s="575"/>
      <c r="BC1831" s="576"/>
      <c r="BD1831" s="678"/>
      <c r="BE1831" s="585"/>
    </row>
    <row r="1832" spans="1:57" s="1942" customFormat="1" ht="15" hidden="1" customHeight="1" outlineLevel="1" x14ac:dyDescent="0.25">
      <c r="A1832" s="2060"/>
      <c r="B1832" s="123"/>
      <c r="C1832" s="328"/>
      <c r="D1832" s="3990"/>
      <c r="E1832" s="4009"/>
      <c r="F1832" s="3010" t="str">
        <f>$E$1469</f>
        <v>ASHP-SEER15-Replace_CAC_NonElectricHeat_ROF_MF</v>
      </c>
      <c r="G1832" s="2676"/>
      <c r="H1832" s="2676"/>
      <c r="I1832" s="2677"/>
      <c r="J1832" s="3298" t="str">
        <f>$C$1469</f>
        <v>352810_2021_12_</v>
      </c>
      <c r="K1832" s="2225">
        <v>31200</v>
      </c>
      <c r="L1832" s="3070">
        <f t="shared" si="196"/>
        <v>2.6</v>
      </c>
      <c r="M1832" s="2723" t="s">
        <v>1125</v>
      </c>
      <c r="N1832" s="123"/>
      <c r="O1832" s="228"/>
      <c r="P1832" s="123"/>
      <c r="Q1832" s="123"/>
      <c r="R1832" s="123"/>
      <c r="S1832" s="123"/>
      <c r="T1832" s="123"/>
      <c r="U1832" s="123"/>
      <c r="V1832" s="3990"/>
      <c r="W1832" s="2857"/>
      <c r="X1832" s="2857"/>
      <c r="Y1832" s="3155"/>
      <c r="Z1832" s="2857"/>
      <c r="AA1832" s="2857"/>
      <c r="AB1832" s="2855"/>
      <c r="AC1832" s="2225">
        <v>31200</v>
      </c>
      <c r="AD1832" s="2857"/>
      <c r="AE1832" s="2857"/>
      <c r="AF1832" s="2857"/>
      <c r="AG1832" s="2857"/>
      <c r="BB1832" s="575"/>
      <c r="BC1832" s="576"/>
      <c r="BD1832" s="678"/>
      <c r="BE1832" s="585"/>
    </row>
    <row r="1833" spans="1:57" s="1942" customFormat="1" ht="15" hidden="1" customHeight="1" outlineLevel="1" x14ac:dyDescent="0.25">
      <c r="A1833" s="2060"/>
      <c r="B1833" s="123"/>
      <c r="C1833" s="328"/>
      <c r="D1833" s="3990"/>
      <c r="E1833" s="4009"/>
      <c r="F1833" s="3010" t="str">
        <f>$E$1471</f>
        <v>ASHP-SEER15-Replace_CAC_NonElectricHeat_ROF_MF_CompE</v>
      </c>
      <c r="G1833" s="2676"/>
      <c r="H1833" s="2676"/>
      <c r="I1833" s="2677"/>
      <c r="J1833" s="3298" t="str">
        <f>$C$1471</f>
        <v>352811_2021_12_</v>
      </c>
      <c r="K1833" s="2225">
        <f>K1832</f>
        <v>31200</v>
      </c>
      <c r="L1833" s="3070">
        <f t="shared" si="196"/>
        <v>2.6</v>
      </c>
      <c r="M1833" s="2723" t="s">
        <v>1125</v>
      </c>
      <c r="N1833" s="123"/>
      <c r="O1833" s="228"/>
      <c r="P1833" s="123"/>
      <c r="Q1833" s="123"/>
      <c r="R1833" s="123"/>
      <c r="S1833" s="123"/>
      <c r="T1833" s="123"/>
      <c r="U1833" s="123"/>
      <c r="V1833" s="3990"/>
      <c r="W1833" s="2857"/>
      <c r="X1833" s="2857"/>
      <c r="Y1833" s="3155"/>
      <c r="Z1833" s="2857"/>
      <c r="AA1833" s="2857"/>
      <c r="AB1833" s="2855"/>
      <c r="AC1833" s="2225">
        <f>AC1832</f>
        <v>31200</v>
      </c>
      <c r="AD1833" s="2857"/>
      <c r="AE1833" s="2857"/>
      <c r="AF1833" s="2857"/>
      <c r="AG1833" s="2857"/>
      <c r="BB1833" s="575"/>
      <c r="BC1833" s="576"/>
      <c r="BD1833" s="678"/>
      <c r="BE1833" s="585"/>
    </row>
    <row r="1834" spans="1:57" s="51" customFormat="1" ht="15" hidden="1" customHeight="1" outlineLevel="1" x14ac:dyDescent="0.25">
      <c r="A1834" s="2060"/>
      <c r="B1834" s="123"/>
      <c r="C1834" s="328"/>
      <c r="D1834" s="3990"/>
      <c r="E1834" s="4009"/>
      <c r="F1834" s="3010" t="str">
        <f>$E$1473</f>
        <v>ASHP-SEER16_ER1_MF</v>
      </c>
      <c r="G1834" s="2676"/>
      <c r="H1834" s="2676"/>
      <c r="I1834" s="2677"/>
      <c r="J1834" s="3298" t="str">
        <f>$C$1473</f>
        <v>352850_2021_12_</v>
      </c>
      <c r="K1834" s="2225">
        <v>36000</v>
      </c>
      <c r="L1834" s="3070">
        <f t="shared" si="196"/>
        <v>3</v>
      </c>
      <c r="M1834" s="2723" t="s">
        <v>1551</v>
      </c>
      <c r="N1834" s="123"/>
      <c r="O1834" s="228"/>
      <c r="P1834" s="844"/>
      <c r="Q1834" s="845"/>
      <c r="R1834" s="844"/>
      <c r="S1834" s="832"/>
      <c r="T1834" s="3082"/>
      <c r="U1834" s="123"/>
      <c r="V1834" s="3990"/>
      <c r="W1834" s="2857">
        <v>39600</v>
      </c>
      <c r="X1834" s="2857">
        <v>39600</v>
      </c>
      <c r="Y1834" s="2857">
        <v>39600</v>
      </c>
      <c r="Z1834" s="2857">
        <v>39600</v>
      </c>
      <c r="AA1834" s="2857">
        <v>39600</v>
      </c>
      <c r="AB1834" s="2855">
        <v>39600</v>
      </c>
      <c r="AC1834" s="2225">
        <v>36000</v>
      </c>
      <c r="AD1834" s="2857"/>
      <c r="AE1834" s="2857"/>
      <c r="AF1834" s="2857"/>
      <c r="AG1834" s="2857"/>
      <c r="AH1834" s="1942"/>
      <c r="AI1834" s="1942"/>
      <c r="AJ1834" s="1942"/>
      <c r="AK1834" s="1942"/>
      <c r="AL1834" s="1942"/>
      <c r="AM1834" s="1942"/>
      <c r="AN1834" s="1942"/>
      <c r="AO1834" s="1942"/>
      <c r="AP1834" s="1942"/>
      <c r="AQ1834" s="1942"/>
      <c r="AR1834" s="1942"/>
      <c r="AS1834" s="1942"/>
      <c r="AT1834" s="1942"/>
      <c r="AU1834" s="1942"/>
      <c r="AV1834" s="1942"/>
      <c r="AW1834" s="1942"/>
      <c r="AX1834" s="1942"/>
      <c r="AY1834" s="1942"/>
      <c r="AZ1834" s="1942"/>
      <c r="BA1834" s="1942"/>
      <c r="BB1834" s="575"/>
      <c r="BC1834" s="576"/>
      <c r="BD1834" s="678"/>
      <c r="BE1834" s="585"/>
    </row>
    <row r="1835" spans="1:57" s="51" customFormat="1" ht="15" hidden="1" customHeight="1" outlineLevel="1" x14ac:dyDescent="0.25">
      <c r="A1835" s="2060"/>
      <c r="B1835" s="123"/>
      <c r="C1835" s="328"/>
      <c r="D1835" s="3990"/>
      <c r="E1835" s="4009"/>
      <c r="F1835" s="3010" t="str">
        <f>$E$1475</f>
        <v>ASHP-SEER16_ER2_MF</v>
      </c>
      <c r="G1835" s="2676"/>
      <c r="H1835" s="2676"/>
      <c r="I1835" s="2677"/>
      <c r="J1835" s="3298" t="str">
        <f>$C$1475</f>
        <v>352850_2021_12_</v>
      </c>
      <c r="K1835" s="2225">
        <f>K1834</f>
        <v>36000</v>
      </c>
      <c r="L1835" s="3070">
        <f t="shared" si="196"/>
        <v>3</v>
      </c>
      <c r="M1835" s="2723" t="s">
        <v>1551</v>
      </c>
      <c r="N1835" s="123"/>
      <c r="O1835" s="228"/>
      <c r="P1835" s="844"/>
      <c r="Q1835" s="845"/>
      <c r="R1835" s="844"/>
      <c r="S1835" s="832"/>
      <c r="T1835" s="3082"/>
      <c r="U1835" s="123"/>
      <c r="V1835" s="3990"/>
      <c r="W1835" s="2857">
        <v>39600</v>
      </c>
      <c r="X1835" s="2857">
        <v>39600</v>
      </c>
      <c r="Y1835" s="2857">
        <v>39600</v>
      </c>
      <c r="Z1835" s="2857">
        <v>39600</v>
      </c>
      <c r="AA1835" s="2857">
        <v>39600</v>
      </c>
      <c r="AB1835" s="2855">
        <v>39600</v>
      </c>
      <c r="AC1835" s="2225">
        <f>AC1834</f>
        <v>36000</v>
      </c>
      <c r="AD1835" s="2857"/>
      <c r="AE1835" s="2857"/>
      <c r="AF1835" s="2857"/>
      <c r="AG1835" s="2857"/>
      <c r="AH1835" s="1942"/>
      <c r="AI1835" s="1942"/>
      <c r="AJ1835" s="1942"/>
      <c r="AK1835" s="1942"/>
      <c r="AL1835" s="1942"/>
      <c r="AM1835" s="1942"/>
      <c r="AN1835" s="1942"/>
      <c r="AO1835" s="1942"/>
      <c r="AP1835" s="1942"/>
      <c r="AQ1835" s="1942"/>
      <c r="AR1835" s="1942"/>
      <c r="AS1835" s="1942"/>
      <c r="AT1835" s="1942"/>
      <c r="AU1835" s="1942"/>
      <c r="AV1835" s="1942"/>
      <c r="AW1835" s="1942"/>
      <c r="AX1835" s="1942"/>
      <c r="AY1835" s="1942"/>
      <c r="AZ1835" s="1942"/>
      <c r="BA1835" s="1942"/>
      <c r="BB1835" s="575"/>
      <c r="BC1835" s="576"/>
      <c r="BD1835" s="678"/>
      <c r="BE1835" s="585"/>
    </row>
    <row r="1836" spans="1:57" s="51" customFormat="1" ht="15" hidden="1" customHeight="1" outlineLevel="1" x14ac:dyDescent="0.25">
      <c r="A1836" s="2060"/>
      <c r="B1836" s="123"/>
      <c r="C1836" s="328"/>
      <c r="D1836" s="3990"/>
      <c r="E1836" s="4009"/>
      <c r="F1836" s="3010" t="str">
        <f>$E$1477</f>
        <v>ASHP-SEER16_ER1_MF_CompE</v>
      </c>
      <c r="G1836" s="2676"/>
      <c r="H1836" s="2676"/>
      <c r="I1836" s="2677"/>
      <c r="J1836" s="3298" t="str">
        <f>$C$1477</f>
        <v>352851_2021_12_</v>
      </c>
      <c r="K1836" s="2225">
        <f>K1834</f>
        <v>36000</v>
      </c>
      <c r="L1836" s="3070">
        <f t="shared" si="196"/>
        <v>3</v>
      </c>
      <c r="M1836" s="2723" t="s">
        <v>1125</v>
      </c>
      <c r="N1836" s="123"/>
      <c r="O1836" s="228"/>
      <c r="P1836" s="844"/>
      <c r="Q1836" s="845"/>
      <c r="R1836" s="844"/>
      <c r="S1836" s="832"/>
      <c r="T1836" s="3082"/>
      <c r="U1836" s="123"/>
      <c r="V1836" s="3990"/>
      <c r="W1836" s="2857"/>
      <c r="X1836" s="2857"/>
      <c r="Y1836" s="3155">
        <v>39600</v>
      </c>
      <c r="Z1836" s="2857">
        <v>39600</v>
      </c>
      <c r="AA1836" s="2857">
        <v>39600</v>
      </c>
      <c r="AB1836" s="2855">
        <v>39600</v>
      </c>
      <c r="AC1836" s="2225">
        <f>AC1834</f>
        <v>36000</v>
      </c>
      <c r="AD1836" s="2857"/>
      <c r="AE1836" s="2857"/>
      <c r="AF1836" s="2857"/>
      <c r="AG1836" s="2857"/>
      <c r="AH1836" s="1942"/>
      <c r="AI1836" s="1942"/>
      <c r="AJ1836" s="1942"/>
      <c r="AK1836" s="1942"/>
      <c r="AL1836" s="1942"/>
      <c r="AM1836" s="1942"/>
      <c r="AN1836" s="1942"/>
      <c r="AO1836" s="1942"/>
      <c r="AP1836" s="1942"/>
      <c r="AQ1836" s="1942"/>
      <c r="AR1836" s="1942"/>
      <c r="AS1836" s="1942"/>
      <c r="AT1836" s="1942"/>
      <c r="AU1836" s="1942"/>
      <c r="AV1836" s="1942"/>
      <c r="AW1836" s="1942"/>
      <c r="AX1836" s="1942"/>
      <c r="AY1836" s="1942"/>
      <c r="AZ1836" s="1942"/>
      <c r="BA1836" s="1942"/>
      <c r="BB1836" s="575"/>
      <c r="BC1836" s="576"/>
      <c r="BD1836" s="678"/>
      <c r="BE1836" s="585"/>
    </row>
    <row r="1837" spans="1:57" s="51" customFormat="1" ht="15" hidden="1" customHeight="1" outlineLevel="1" x14ac:dyDescent="0.25">
      <c r="A1837" s="2060"/>
      <c r="B1837" s="123"/>
      <c r="C1837" s="328"/>
      <c r="D1837" s="3990"/>
      <c r="E1837" s="4009"/>
      <c r="F1837" s="3010" t="str">
        <f>$E$1479</f>
        <v>ASHP-SEER16_ER2_MF_CompE</v>
      </c>
      <c r="G1837" s="2676"/>
      <c r="H1837" s="2676"/>
      <c r="I1837" s="2677"/>
      <c r="J1837" s="3298" t="str">
        <f>$C$1479</f>
        <v>352851_2021_12_</v>
      </c>
      <c r="K1837" s="2225">
        <f>K1835</f>
        <v>36000</v>
      </c>
      <c r="L1837" s="3070">
        <f t="shared" si="196"/>
        <v>3</v>
      </c>
      <c r="M1837" s="2723" t="s">
        <v>1125</v>
      </c>
      <c r="N1837" s="123"/>
      <c r="O1837" s="228"/>
      <c r="P1837" s="844"/>
      <c r="Q1837" s="845"/>
      <c r="R1837" s="844"/>
      <c r="S1837" s="832"/>
      <c r="T1837" s="3082"/>
      <c r="U1837" s="123"/>
      <c r="V1837" s="3990"/>
      <c r="W1837" s="2857"/>
      <c r="X1837" s="2857"/>
      <c r="Y1837" s="3155">
        <v>39600</v>
      </c>
      <c r="Z1837" s="2857">
        <v>39600</v>
      </c>
      <c r="AA1837" s="2857">
        <v>39600</v>
      </c>
      <c r="AB1837" s="2855">
        <v>39600</v>
      </c>
      <c r="AC1837" s="2225">
        <f>AC1835</f>
        <v>36000</v>
      </c>
      <c r="AD1837" s="2857"/>
      <c r="AE1837" s="2857"/>
      <c r="AF1837" s="2857"/>
      <c r="AG1837" s="2857"/>
      <c r="AH1837" s="1942"/>
      <c r="AI1837" s="1942"/>
      <c r="AJ1837" s="1942"/>
      <c r="AK1837" s="1942"/>
      <c r="AL1837" s="1942"/>
      <c r="AM1837" s="1942"/>
      <c r="AN1837" s="1942"/>
      <c r="AO1837" s="1942"/>
      <c r="AP1837" s="1942"/>
      <c r="AQ1837" s="1942"/>
      <c r="AR1837" s="1942"/>
      <c r="AS1837" s="1942"/>
      <c r="AT1837" s="1942"/>
      <c r="AU1837" s="1942"/>
      <c r="AV1837" s="1942"/>
      <c r="AW1837" s="1942"/>
      <c r="AX1837" s="1942"/>
      <c r="AY1837" s="1942"/>
      <c r="AZ1837" s="1942"/>
      <c r="BA1837" s="1942"/>
      <c r="BB1837" s="575"/>
      <c r="BC1837" s="576"/>
      <c r="BD1837" s="678"/>
      <c r="BE1837" s="585"/>
    </row>
    <row r="1838" spans="1:57" s="51" customFormat="1" ht="15" hidden="1" customHeight="1" outlineLevel="1" x14ac:dyDescent="0.25">
      <c r="A1838" s="2060"/>
      <c r="B1838" s="123"/>
      <c r="C1838" s="328"/>
      <c r="D1838" s="3990"/>
      <c r="E1838" s="4009"/>
      <c r="F1838" s="3010" t="str">
        <f>$E$1481</f>
        <v>ASHP-SEER16_ROF_MF</v>
      </c>
      <c r="G1838" s="2676"/>
      <c r="H1838" s="2676"/>
      <c r="I1838" s="2677"/>
      <c r="J1838" s="3298" t="str">
        <f>$C$1481</f>
        <v>352900_2021_12_</v>
      </c>
      <c r="K1838" s="2225">
        <v>36000</v>
      </c>
      <c r="L1838" s="3070">
        <f t="shared" si="196"/>
        <v>3</v>
      </c>
      <c r="M1838" s="2723" t="s">
        <v>1551</v>
      </c>
      <c r="N1838" s="123"/>
      <c r="O1838" s="228"/>
      <c r="P1838" s="844"/>
      <c r="Q1838" s="845"/>
      <c r="R1838" s="844"/>
      <c r="S1838" s="832"/>
      <c r="T1838" s="3082"/>
      <c r="U1838" s="123"/>
      <c r="V1838" s="3990"/>
      <c r="W1838" s="2857">
        <v>39600</v>
      </c>
      <c r="X1838" s="2857">
        <v>39600</v>
      </c>
      <c r="Y1838" s="2857">
        <v>39600</v>
      </c>
      <c r="Z1838" s="2857">
        <v>39600</v>
      </c>
      <c r="AA1838" s="2857">
        <v>39600</v>
      </c>
      <c r="AB1838" s="2855">
        <v>39600</v>
      </c>
      <c r="AC1838" s="2225">
        <v>36000</v>
      </c>
      <c r="AD1838" s="2857"/>
      <c r="AE1838" s="2857"/>
      <c r="AF1838" s="2857"/>
      <c r="AG1838" s="2857"/>
      <c r="AH1838" s="1942"/>
      <c r="AI1838" s="1942"/>
      <c r="AJ1838" s="1942"/>
      <c r="AK1838" s="1942"/>
      <c r="AL1838" s="1942"/>
      <c r="AM1838" s="1942"/>
      <c r="AN1838" s="1942"/>
      <c r="AO1838" s="1942"/>
      <c r="AP1838" s="1942"/>
      <c r="AQ1838" s="1942"/>
      <c r="AR1838" s="1942"/>
      <c r="AS1838" s="1942"/>
      <c r="AT1838" s="1942"/>
      <c r="AU1838" s="1942"/>
      <c r="AV1838" s="1942"/>
      <c r="AW1838" s="1942"/>
      <c r="AX1838" s="1942"/>
      <c r="AY1838" s="1942"/>
      <c r="AZ1838" s="1942"/>
      <c r="BA1838" s="1942"/>
      <c r="BB1838" s="575"/>
      <c r="BC1838" s="576"/>
      <c r="BD1838" s="678"/>
      <c r="BE1838" s="585"/>
    </row>
    <row r="1839" spans="1:57" s="51" customFormat="1" ht="15" hidden="1" customHeight="1" outlineLevel="1" x14ac:dyDescent="0.25">
      <c r="A1839" s="2060"/>
      <c r="B1839" s="123"/>
      <c r="C1839" s="328"/>
      <c r="D1839" s="3990"/>
      <c r="E1839" s="4009"/>
      <c r="F1839" s="3010" t="str">
        <f>$E$1483</f>
        <v>ASHP-SEER16_ROF_MF_CompE</v>
      </c>
      <c r="G1839" s="2676"/>
      <c r="H1839" s="2676"/>
      <c r="I1839" s="2677"/>
      <c r="J1839" s="3298" t="str">
        <f>$C$1483</f>
        <v>352901_2021_12_</v>
      </c>
      <c r="K1839" s="2225">
        <f>K1838</f>
        <v>36000</v>
      </c>
      <c r="L1839" s="3070">
        <f t="shared" si="196"/>
        <v>3</v>
      </c>
      <c r="M1839" s="2723" t="s">
        <v>1125</v>
      </c>
      <c r="N1839" s="123"/>
      <c r="O1839" s="228"/>
      <c r="P1839" s="844"/>
      <c r="Q1839" s="845"/>
      <c r="R1839" s="844"/>
      <c r="S1839" s="832"/>
      <c r="T1839" s="3082"/>
      <c r="U1839" s="123"/>
      <c r="V1839" s="3990"/>
      <c r="W1839" s="2857"/>
      <c r="X1839" s="2857"/>
      <c r="Y1839" s="3155">
        <v>39600</v>
      </c>
      <c r="Z1839" s="2857">
        <v>39600</v>
      </c>
      <c r="AA1839" s="2857">
        <v>39600</v>
      </c>
      <c r="AB1839" s="2855">
        <v>39600</v>
      </c>
      <c r="AC1839" s="2225">
        <f>AC1838</f>
        <v>36000</v>
      </c>
      <c r="AD1839" s="2857"/>
      <c r="AE1839" s="2857"/>
      <c r="AF1839" s="2857"/>
      <c r="AG1839" s="2857"/>
      <c r="AH1839" s="1942"/>
      <c r="AI1839" s="1942"/>
      <c r="AJ1839" s="1942"/>
      <c r="AK1839" s="1942"/>
      <c r="AL1839" s="1942"/>
      <c r="AM1839" s="1942"/>
      <c r="AN1839" s="1942"/>
      <c r="AO1839" s="1942"/>
      <c r="AP1839" s="1942"/>
      <c r="AQ1839" s="1942"/>
      <c r="AR1839" s="1942"/>
      <c r="AS1839" s="1942"/>
      <c r="AT1839" s="1942"/>
      <c r="AU1839" s="1942"/>
      <c r="AV1839" s="1942"/>
      <c r="AW1839" s="1942"/>
      <c r="AX1839" s="1942"/>
      <c r="AY1839" s="1942"/>
      <c r="AZ1839" s="1942"/>
      <c r="BA1839" s="1942"/>
      <c r="BB1839" s="575"/>
      <c r="BC1839" s="576"/>
      <c r="BD1839" s="678"/>
      <c r="BE1839" s="585"/>
    </row>
    <row r="1840" spans="1:57" s="51" customFormat="1" ht="15" hidden="1" customHeight="1" outlineLevel="1" x14ac:dyDescent="0.25">
      <c r="A1840" s="2060"/>
      <c r="B1840" s="123"/>
      <c r="C1840" s="328"/>
      <c r="D1840" s="3990"/>
      <c r="E1840" s="4009"/>
      <c r="F1840" s="3010" t="str">
        <f>$E$1485</f>
        <v>ASHP-SEER16-Replace_CAC_ElectricHeat_ROF_MF</v>
      </c>
      <c r="G1840" s="2676"/>
      <c r="H1840" s="2676"/>
      <c r="I1840" s="2677"/>
      <c r="J1840" s="3299" t="str">
        <f>$C$1485</f>
        <v>352950_2019_12_</v>
      </c>
      <c r="K1840" s="2551">
        <v>24000</v>
      </c>
      <c r="L1840" s="3072">
        <f t="shared" si="196"/>
        <v>2</v>
      </c>
      <c r="M1840" s="2723" t="s">
        <v>1551</v>
      </c>
      <c r="N1840" s="123"/>
      <c r="O1840" s="228"/>
      <c r="P1840" s="844"/>
      <c r="Q1840" s="845"/>
      <c r="R1840" s="844"/>
      <c r="S1840" s="832"/>
      <c r="T1840" s="3082"/>
      <c r="U1840" s="123"/>
      <c r="V1840" s="3990"/>
      <c r="W1840" s="2857">
        <v>38400</v>
      </c>
      <c r="X1840" s="2857">
        <v>38400</v>
      </c>
      <c r="Y1840" s="2857">
        <v>38400</v>
      </c>
      <c r="Z1840" s="2857">
        <v>38400</v>
      </c>
      <c r="AA1840" s="2857">
        <v>38400</v>
      </c>
      <c r="AB1840" s="3150">
        <v>24000</v>
      </c>
      <c r="AC1840" s="2551">
        <v>24000</v>
      </c>
      <c r="AD1840" s="2857"/>
      <c r="AE1840" s="2857"/>
      <c r="AF1840" s="2857"/>
      <c r="AG1840" s="2857"/>
      <c r="AH1840" s="1942"/>
      <c r="AI1840" s="1942"/>
      <c r="AJ1840" s="1942"/>
      <c r="AK1840" s="1942"/>
      <c r="AL1840" s="1942"/>
      <c r="AM1840" s="1942"/>
      <c r="AN1840" s="1942"/>
      <c r="AO1840" s="1942"/>
      <c r="AP1840" s="1942"/>
      <c r="AQ1840" s="1942"/>
      <c r="AR1840" s="1942"/>
      <c r="AS1840" s="1942"/>
      <c r="AT1840" s="1942"/>
      <c r="AU1840" s="1942"/>
      <c r="AV1840" s="1942"/>
      <c r="AW1840" s="1942"/>
      <c r="AX1840" s="1942"/>
      <c r="AY1840" s="1942"/>
      <c r="AZ1840" s="1942"/>
      <c r="BA1840" s="1942"/>
      <c r="BB1840" s="575"/>
      <c r="BC1840" s="576"/>
      <c r="BD1840" s="678"/>
      <c r="BE1840" s="585"/>
    </row>
    <row r="1841" spans="1:57" s="51" customFormat="1" ht="15" hidden="1" customHeight="1" outlineLevel="1" x14ac:dyDescent="0.25">
      <c r="A1841" s="2060"/>
      <c r="B1841" s="123"/>
      <c r="C1841" s="328"/>
      <c r="D1841" s="3990"/>
      <c r="E1841" s="4009"/>
      <c r="F1841" s="3010" t="str">
        <f>$E$1487</f>
        <v>ASHP-SEER16-Replace_CAC_ElectricHeat_ROF_MF_CompE</v>
      </c>
      <c r="G1841" s="2676"/>
      <c r="H1841" s="2676"/>
      <c r="I1841" s="2677"/>
      <c r="J1841" s="3299" t="str">
        <f>$C$1487</f>
        <v>352951_2019_12_</v>
      </c>
      <c r="K1841" s="2551">
        <f>K1840</f>
        <v>24000</v>
      </c>
      <c r="L1841" s="3072">
        <f t="shared" si="196"/>
        <v>2</v>
      </c>
      <c r="M1841" s="2278" t="s">
        <v>1553</v>
      </c>
      <c r="N1841" s="123"/>
      <c r="O1841" s="228"/>
      <c r="P1841" s="844"/>
      <c r="Q1841" s="845"/>
      <c r="R1841" s="844"/>
      <c r="S1841" s="832"/>
      <c r="T1841" s="3082"/>
      <c r="U1841" s="123"/>
      <c r="V1841" s="3990"/>
      <c r="W1841" s="2857"/>
      <c r="X1841" s="2857"/>
      <c r="Y1841" s="3155">
        <v>38400</v>
      </c>
      <c r="Z1841" s="2857">
        <v>38400</v>
      </c>
      <c r="AA1841" s="2857">
        <v>38400</v>
      </c>
      <c r="AB1841" s="3150">
        <v>24000</v>
      </c>
      <c r="AC1841" s="2551">
        <f>AC1840</f>
        <v>24000</v>
      </c>
      <c r="AD1841" s="2857"/>
      <c r="AE1841" s="2857"/>
      <c r="AF1841" s="2857"/>
      <c r="AG1841" s="2857"/>
      <c r="AH1841" s="1942"/>
      <c r="AI1841" s="1942"/>
      <c r="AJ1841" s="1942"/>
      <c r="AK1841" s="1942"/>
      <c r="AL1841" s="1942"/>
      <c r="AM1841" s="1942"/>
      <c r="AN1841" s="1942"/>
      <c r="AO1841" s="1942"/>
      <c r="AP1841" s="1942"/>
      <c r="AQ1841" s="1942"/>
      <c r="AR1841" s="1942"/>
      <c r="AS1841" s="1942"/>
      <c r="AT1841" s="1942"/>
      <c r="AU1841" s="1942"/>
      <c r="AV1841" s="1942"/>
      <c r="AW1841" s="1942"/>
      <c r="AX1841" s="1942"/>
      <c r="AY1841" s="1942"/>
      <c r="AZ1841" s="1942"/>
      <c r="BA1841" s="1942"/>
      <c r="BB1841" s="575"/>
      <c r="BC1841" s="576"/>
      <c r="BD1841" s="678"/>
      <c r="BE1841" s="585"/>
    </row>
    <row r="1842" spans="1:57" s="1942" customFormat="1" ht="15" hidden="1" customHeight="1" outlineLevel="1" x14ac:dyDescent="0.25">
      <c r="A1842" s="2060"/>
      <c r="B1842" s="123"/>
      <c r="C1842" s="328"/>
      <c r="D1842" s="3990"/>
      <c r="E1842" s="4009"/>
      <c r="F1842" s="3010" t="str">
        <f>$E$1489</f>
        <v>ASHP-SEER16-Replace_CAC_NonElectricHeat_ROF_MF</v>
      </c>
      <c r="G1842" s="2676"/>
      <c r="H1842" s="2676"/>
      <c r="I1842" s="2677"/>
      <c r="J1842" s="3298" t="str">
        <f>$C$1489</f>
        <v>352960_2021_12_</v>
      </c>
      <c r="K1842" s="2225">
        <v>24000</v>
      </c>
      <c r="L1842" s="3070">
        <f t="shared" si="196"/>
        <v>2</v>
      </c>
      <c r="M1842" s="2723" t="s">
        <v>1125</v>
      </c>
      <c r="N1842" s="123"/>
      <c r="O1842" s="228"/>
      <c r="P1842" s="844"/>
      <c r="Q1842" s="845"/>
      <c r="R1842" s="844"/>
      <c r="S1842" s="832"/>
      <c r="T1842" s="3082"/>
      <c r="U1842" s="123"/>
      <c r="V1842" s="3990"/>
      <c r="W1842" s="2857"/>
      <c r="X1842" s="2857"/>
      <c r="Y1842" s="3155"/>
      <c r="Z1842" s="2857"/>
      <c r="AA1842" s="2857"/>
      <c r="AB1842" s="3150"/>
      <c r="AC1842" s="2225">
        <v>24000</v>
      </c>
      <c r="AD1842" s="2857"/>
      <c r="AE1842" s="2857"/>
      <c r="AF1842" s="2857"/>
      <c r="AG1842" s="2857"/>
      <c r="BB1842" s="575"/>
      <c r="BC1842" s="576"/>
      <c r="BD1842" s="678"/>
      <c r="BE1842" s="585"/>
    </row>
    <row r="1843" spans="1:57" s="1942" customFormat="1" ht="15" hidden="1" customHeight="1" outlineLevel="1" x14ac:dyDescent="0.25">
      <c r="A1843" s="2060"/>
      <c r="B1843" s="123"/>
      <c r="C1843" s="328"/>
      <c r="D1843" s="3990"/>
      <c r="E1843" s="4009"/>
      <c r="F1843" s="3010" t="str">
        <f>$E$1491</f>
        <v>ASHP-SEER16-Replace_CAC_NonElectricHeat_ROF_MF_CompE</v>
      </c>
      <c r="G1843" s="2676"/>
      <c r="H1843" s="2676"/>
      <c r="I1843" s="2677"/>
      <c r="J1843" s="3298" t="str">
        <f>$C$1491</f>
        <v>352961_2021_12_</v>
      </c>
      <c r="K1843" s="2225">
        <f>K1842</f>
        <v>24000</v>
      </c>
      <c r="L1843" s="3070">
        <f t="shared" si="196"/>
        <v>2</v>
      </c>
      <c r="M1843" s="2723" t="s">
        <v>1125</v>
      </c>
      <c r="N1843" s="123"/>
      <c r="O1843" s="228"/>
      <c r="P1843" s="844"/>
      <c r="Q1843" s="845"/>
      <c r="R1843" s="844"/>
      <c r="S1843" s="832"/>
      <c r="T1843" s="3082"/>
      <c r="U1843" s="123"/>
      <c r="V1843" s="3990"/>
      <c r="W1843" s="2857"/>
      <c r="X1843" s="2857"/>
      <c r="Y1843" s="3155"/>
      <c r="Z1843" s="2857"/>
      <c r="AA1843" s="2857"/>
      <c r="AB1843" s="3150"/>
      <c r="AC1843" s="2225">
        <f>AC1842</f>
        <v>24000</v>
      </c>
      <c r="AD1843" s="2857"/>
      <c r="AE1843" s="2857"/>
      <c r="AF1843" s="2857"/>
      <c r="AG1843" s="2857"/>
      <c r="BB1843" s="575"/>
      <c r="BC1843" s="576"/>
      <c r="BD1843" s="678"/>
      <c r="BE1843" s="585"/>
    </row>
    <row r="1844" spans="1:57" s="51" customFormat="1" ht="15" hidden="1" customHeight="1" outlineLevel="1" x14ac:dyDescent="0.25">
      <c r="A1844" s="2060"/>
      <c r="B1844" s="123"/>
      <c r="C1844" s="328"/>
      <c r="D1844" s="3990"/>
      <c r="E1844" s="4009"/>
      <c r="F1844" s="3010" t="str">
        <f>$E$1493</f>
        <v>ASHP-SEER16-Replace_CAC_ElectricHeat_ER1_MF</v>
      </c>
      <c r="G1844" s="2676"/>
      <c r="H1844" s="2676"/>
      <c r="I1844" s="2677"/>
      <c r="J1844" s="3298" t="str">
        <f>$C$1493</f>
        <v>353000_2021_12_</v>
      </c>
      <c r="K1844" s="2225">
        <v>24000</v>
      </c>
      <c r="L1844" s="3070">
        <f t="shared" si="196"/>
        <v>2</v>
      </c>
      <c r="M1844" s="2723" t="s">
        <v>1551</v>
      </c>
      <c r="N1844" s="123"/>
      <c r="O1844" s="228"/>
      <c r="P1844" s="844"/>
      <c r="Q1844" s="845"/>
      <c r="R1844" s="844"/>
      <c r="S1844" s="832"/>
      <c r="T1844" s="3082"/>
      <c r="U1844" s="123"/>
      <c r="V1844" s="3990"/>
      <c r="W1844" s="2857">
        <v>37200</v>
      </c>
      <c r="X1844" s="2857">
        <v>37200</v>
      </c>
      <c r="Y1844" s="2857">
        <v>37200</v>
      </c>
      <c r="Z1844" s="2857">
        <v>37200</v>
      </c>
      <c r="AA1844" s="2857">
        <v>37200</v>
      </c>
      <c r="AB1844" s="3150">
        <v>39600</v>
      </c>
      <c r="AC1844" s="2225">
        <v>24000</v>
      </c>
      <c r="AD1844" s="2857"/>
      <c r="AE1844" s="2857"/>
      <c r="AF1844" s="2857"/>
      <c r="AG1844" s="2857"/>
      <c r="AH1844" s="1942"/>
      <c r="AI1844" s="1942"/>
      <c r="AJ1844" s="1942"/>
      <c r="AK1844" s="1942"/>
      <c r="AL1844" s="1942"/>
      <c r="AM1844" s="1942"/>
      <c r="AN1844" s="1942"/>
      <c r="AO1844" s="1942"/>
      <c r="AP1844" s="1942"/>
      <c r="AQ1844" s="1942"/>
      <c r="AR1844" s="1942"/>
      <c r="AS1844" s="1942"/>
      <c r="AT1844" s="1942"/>
      <c r="AU1844" s="1942"/>
      <c r="AV1844" s="1942"/>
      <c r="AW1844" s="1942"/>
      <c r="AX1844" s="1942"/>
      <c r="AY1844" s="1942"/>
      <c r="AZ1844" s="1942"/>
      <c r="BA1844" s="1942"/>
      <c r="BB1844" s="575"/>
      <c r="BC1844" s="576"/>
      <c r="BD1844" s="678"/>
      <c r="BE1844" s="585"/>
    </row>
    <row r="1845" spans="1:57" s="51" customFormat="1" ht="15" hidden="1" customHeight="1" outlineLevel="1" x14ac:dyDescent="0.25">
      <c r="A1845" s="2060"/>
      <c r="B1845" s="123"/>
      <c r="C1845" s="328"/>
      <c r="D1845" s="3990"/>
      <c r="E1845" s="4009"/>
      <c r="F1845" s="3010" t="str">
        <f>$E$1495</f>
        <v>ASHP-SEER16-Replace_CAC_ElectricHeat_ER2_MF</v>
      </c>
      <c r="G1845" s="2676"/>
      <c r="H1845" s="2676"/>
      <c r="I1845" s="2677"/>
      <c r="J1845" s="3298" t="str">
        <f>$C$1495</f>
        <v>353000_2021_12_</v>
      </c>
      <c r="K1845" s="2225">
        <f>K1844</f>
        <v>24000</v>
      </c>
      <c r="L1845" s="3070">
        <f t="shared" si="196"/>
        <v>2</v>
      </c>
      <c r="M1845" s="2723" t="s">
        <v>1551</v>
      </c>
      <c r="N1845" s="123"/>
      <c r="O1845" s="228"/>
      <c r="P1845" s="844"/>
      <c r="Q1845" s="845"/>
      <c r="R1845" s="844"/>
      <c r="S1845" s="832"/>
      <c r="T1845" s="3082"/>
      <c r="U1845" s="123"/>
      <c r="V1845" s="3990"/>
      <c r="W1845" s="2857">
        <v>37200</v>
      </c>
      <c r="X1845" s="2857">
        <v>37200</v>
      </c>
      <c r="Y1845" s="2857">
        <v>37200</v>
      </c>
      <c r="Z1845" s="2857">
        <v>37200</v>
      </c>
      <c r="AA1845" s="2857">
        <v>37200</v>
      </c>
      <c r="AB1845" s="3150">
        <v>39600</v>
      </c>
      <c r="AC1845" s="2225">
        <f>AC1844</f>
        <v>24000</v>
      </c>
      <c r="AD1845" s="2857"/>
      <c r="AE1845" s="2857"/>
      <c r="AF1845" s="2857"/>
      <c r="AG1845" s="2857"/>
      <c r="AH1845" s="1942"/>
      <c r="AI1845" s="1942"/>
      <c r="AJ1845" s="1942"/>
      <c r="AK1845" s="1942"/>
      <c r="AL1845" s="1942"/>
      <c r="AM1845" s="1942"/>
      <c r="AN1845" s="1942"/>
      <c r="AO1845" s="1942"/>
      <c r="AP1845" s="1942"/>
      <c r="AQ1845" s="1942"/>
      <c r="AR1845" s="1942"/>
      <c r="AS1845" s="1942"/>
      <c r="AT1845" s="1942"/>
      <c r="AU1845" s="1942"/>
      <c r="AV1845" s="1942"/>
      <c r="AW1845" s="1942"/>
      <c r="AX1845" s="1942"/>
      <c r="AY1845" s="1942"/>
      <c r="AZ1845" s="1942"/>
      <c r="BA1845" s="1942"/>
      <c r="BB1845" s="575"/>
      <c r="BC1845" s="576"/>
      <c r="BD1845" s="678"/>
      <c r="BE1845" s="585"/>
    </row>
    <row r="1846" spans="1:57" s="51" customFormat="1" ht="15" hidden="1" customHeight="1" outlineLevel="1" x14ac:dyDescent="0.25">
      <c r="A1846" s="2060"/>
      <c r="B1846" s="123"/>
      <c r="C1846" s="328"/>
      <c r="D1846" s="3990"/>
      <c r="E1846" s="4009"/>
      <c r="F1846" s="3010" t="str">
        <f>$E$1497</f>
        <v>ASHP-SEER16-Replace_CAC_ElectricHeat_ER1_MF_CompE</v>
      </c>
      <c r="G1846" s="2676"/>
      <c r="H1846" s="2676"/>
      <c r="I1846" s="2677"/>
      <c r="J1846" s="3298" t="str">
        <f>$C$1497</f>
        <v>353001_2021_12_</v>
      </c>
      <c r="K1846" s="2225">
        <f>K1844</f>
        <v>24000</v>
      </c>
      <c r="L1846" s="3070">
        <f t="shared" si="196"/>
        <v>2</v>
      </c>
      <c r="M1846" s="2278" t="s">
        <v>1125</v>
      </c>
      <c r="N1846" s="123"/>
      <c r="O1846" s="228"/>
      <c r="P1846" s="844"/>
      <c r="Q1846" s="845"/>
      <c r="R1846" s="844"/>
      <c r="S1846" s="832"/>
      <c r="T1846" s="3082"/>
      <c r="U1846" s="123"/>
      <c r="V1846" s="3990"/>
      <c r="W1846" s="2857"/>
      <c r="X1846" s="2857"/>
      <c r="Y1846" s="3155">
        <v>37200</v>
      </c>
      <c r="Z1846" s="2857">
        <v>37200</v>
      </c>
      <c r="AA1846" s="2857">
        <v>37200</v>
      </c>
      <c r="AB1846" s="3150">
        <v>39600</v>
      </c>
      <c r="AC1846" s="2225">
        <f>AC1844</f>
        <v>24000</v>
      </c>
      <c r="AD1846" s="2857"/>
      <c r="AE1846" s="2857"/>
      <c r="AF1846" s="2857"/>
      <c r="AG1846" s="2857"/>
      <c r="AH1846" s="1942"/>
      <c r="AI1846" s="1942"/>
      <c r="AJ1846" s="1942"/>
      <c r="AK1846" s="1942"/>
      <c r="AL1846" s="1942"/>
      <c r="AM1846" s="1942"/>
      <c r="AN1846" s="1942"/>
      <c r="AO1846" s="1942"/>
      <c r="AP1846" s="1942"/>
      <c r="AQ1846" s="1942"/>
      <c r="AR1846" s="1942"/>
      <c r="AS1846" s="1942"/>
      <c r="AT1846" s="1942"/>
      <c r="AU1846" s="1942"/>
      <c r="AV1846" s="1942"/>
      <c r="AW1846" s="1942"/>
      <c r="AX1846" s="1942"/>
      <c r="AY1846" s="1942"/>
      <c r="AZ1846" s="1942"/>
      <c r="BA1846" s="1942"/>
      <c r="BB1846" s="575"/>
      <c r="BC1846" s="576"/>
      <c r="BD1846" s="678"/>
      <c r="BE1846" s="585"/>
    </row>
    <row r="1847" spans="1:57" s="51" customFormat="1" ht="15" hidden="1" customHeight="1" outlineLevel="1" x14ac:dyDescent="0.25">
      <c r="A1847" s="2060"/>
      <c r="B1847" s="123"/>
      <c r="C1847" s="328"/>
      <c r="D1847" s="3990"/>
      <c r="E1847" s="4009"/>
      <c r="F1847" s="3010" t="str">
        <f>$E$1499</f>
        <v>ASHP-SEER16-Replace_CAC_ElectricHeat_ER2_MF_CompE</v>
      </c>
      <c r="G1847" s="2676"/>
      <c r="H1847" s="2676"/>
      <c r="I1847" s="2677"/>
      <c r="J1847" s="3298" t="str">
        <f>$C$1499</f>
        <v>353001_2021_12_</v>
      </c>
      <c r="K1847" s="2225">
        <f>K1845</f>
        <v>24000</v>
      </c>
      <c r="L1847" s="3070">
        <f t="shared" si="196"/>
        <v>2</v>
      </c>
      <c r="M1847" s="2278" t="s">
        <v>1125</v>
      </c>
      <c r="N1847" s="123"/>
      <c r="O1847" s="228"/>
      <c r="P1847" s="844"/>
      <c r="Q1847" s="845"/>
      <c r="R1847" s="844"/>
      <c r="S1847" s="832"/>
      <c r="T1847" s="3082"/>
      <c r="U1847" s="123"/>
      <c r="V1847" s="3990"/>
      <c r="W1847" s="2857"/>
      <c r="X1847" s="2857"/>
      <c r="Y1847" s="3155">
        <v>37200</v>
      </c>
      <c r="Z1847" s="2857">
        <v>37200</v>
      </c>
      <c r="AA1847" s="2857">
        <v>37200</v>
      </c>
      <c r="AB1847" s="3150">
        <v>39600</v>
      </c>
      <c r="AC1847" s="2225">
        <f>AC1845</f>
        <v>24000</v>
      </c>
      <c r="AD1847" s="2857"/>
      <c r="AE1847" s="2857"/>
      <c r="AF1847" s="2857"/>
      <c r="AG1847" s="2857"/>
      <c r="AH1847" s="1942"/>
      <c r="AI1847" s="1942"/>
      <c r="AJ1847" s="1942"/>
      <c r="AK1847" s="1942"/>
      <c r="AL1847" s="1942"/>
      <c r="AM1847" s="1942"/>
      <c r="AN1847" s="1942"/>
      <c r="AO1847" s="1942"/>
      <c r="AP1847" s="1942"/>
      <c r="AQ1847" s="1942"/>
      <c r="AR1847" s="1942"/>
      <c r="AS1847" s="1942"/>
      <c r="AT1847" s="1942"/>
      <c r="AU1847" s="1942"/>
      <c r="AV1847" s="1942"/>
      <c r="AW1847" s="1942"/>
      <c r="AX1847" s="1942"/>
      <c r="AY1847" s="1942"/>
      <c r="AZ1847" s="1942"/>
      <c r="BA1847" s="1942"/>
      <c r="BB1847" s="575"/>
      <c r="BC1847" s="576"/>
      <c r="BD1847" s="678"/>
      <c r="BE1847" s="585"/>
    </row>
    <row r="1848" spans="1:57" s="1942" customFormat="1" ht="15" hidden="1" customHeight="1" outlineLevel="1" x14ac:dyDescent="0.25">
      <c r="A1848" s="2060"/>
      <c r="B1848" s="123"/>
      <c r="C1848" s="328"/>
      <c r="D1848" s="3990"/>
      <c r="E1848" s="4009"/>
      <c r="F1848" s="3010" t="str">
        <f>$E$1501</f>
        <v>ASHP-SEER16-Replace_CAC_NonElectricHeat_ER1_MF</v>
      </c>
      <c r="G1848" s="2676"/>
      <c r="H1848" s="2676"/>
      <c r="I1848" s="2677"/>
      <c r="J1848" s="3298" t="str">
        <f>$C$1501</f>
        <v>353010_2021_12_</v>
      </c>
      <c r="K1848" s="2225">
        <v>24000</v>
      </c>
      <c r="L1848" s="3070">
        <f t="shared" si="196"/>
        <v>2</v>
      </c>
      <c r="M1848" s="2723" t="s">
        <v>1125</v>
      </c>
      <c r="N1848" s="123"/>
      <c r="O1848" s="228"/>
      <c r="P1848" s="844"/>
      <c r="Q1848" s="845"/>
      <c r="R1848" s="844"/>
      <c r="S1848" s="832"/>
      <c r="T1848" s="3082"/>
      <c r="U1848" s="123"/>
      <c r="V1848" s="3990"/>
      <c r="W1848" s="2857"/>
      <c r="X1848" s="2857"/>
      <c r="Y1848" s="3155"/>
      <c r="Z1848" s="2857"/>
      <c r="AA1848" s="2857"/>
      <c r="AB1848" s="3150"/>
      <c r="AC1848" s="2225">
        <v>24000</v>
      </c>
      <c r="AD1848" s="2857"/>
      <c r="AE1848" s="2857"/>
      <c r="AF1848" s="2857"/>
      <c r="AG1848" s="2857"/>
      <c r="BB1848" s="575"/>
      <c r="BC1848" s="576"/>
      <c r="BD1848" s="678"/>
      <c r="BE1848" s="585"/>
    </row>
    <row r="1849" spans="1:57" s="1942" customFormat="1" ht="15" hidden="1" customHeight="1" outlineLevel="1" x14ac:dyDescent="0.25">
      <c r="A1849" s="2060"/>
      <c r="B1849" s="123"/>
      <c r="C1849" s="328"/>
      <c r="D1849" s="3990"/>
      <c r="E1849" s="4009"/>
      <c r="F1849" s="3010" t="str">
        <f>$E$1503</f>
        <v>ASHP-SEER16-Replace_CAC_NonElectricHeat_ER2_MF</v>
      </c>
      <c r="G1849" s="2676"/>
      <c r="H1849" s="2676"/>
      <c r="I1849" s="2677"/>
      <c r="J1849" s="3298" t="str">
        <f>$C$1503</f>
        <v>353010_2021_12_</v>
      </c>
      <c r="K1849" s="2225">
        <f>K1848</f>
        <v>24000</v>
      </c>
      <c r="L1849" s="3070">
        <f t="shared" si="196"/>
        <v>2</v>
      </c>
      <c r="M1849" s="2723" t="s">
        <v>1125</v>
      </c>
      <c r="N1849" s="123"/>
      <c r="O1849" s="228"/>
      <c r="P1849" s="844"/>
      <c r="Q1849" s="845"/>
      <c r="R1849" s="844"/>
      <c r="S1849" s="832"/>
      <c r="T1849" s="3082"/>
      <c r="U1849" s="123"/>
      <c r="V1849" s="3990"/>
      <c r="W1849" s="2857"/>
      <c r="X1849" s="2857"/>
      <c r="Y1849" s="3155"/>
      <c r="Z1849" s="2857"/>
      <c r="AA1849" s="2857"/>
      <c r="AB1849" s="3150"/>
      <c r="AC1849" s="2225">
        <f>AC1848</f>
        <v>24000</v>
      </c>
      <c r="AD1849" s="2857"/>
      <c r="AE1849" s="2857"/>
      <c r="AF1849" s="2857"/>
      <c r="AG1849" s="2857"/>
      <c r="BB1849" s="575"/>
      <c r="BC1849" s="576"/>
      <c r="BD1849" s="678"/>
      <c r="BE1849" s="585"/>
    </row>
    <row r="1850" spans="1:57" s="1942" customFormat="1" ht="15" hidden="1" customHeight="1" outlineLevel="1" x14ac:dyDescent="0.25">
      <c r="A1850" s="2060"/>
      <c r="B1850" s="123"/>
      <c r="C1850" s="328"/>
      <c r="D1850" s="3990"/>
      <c r="E1850" s="4009"/>
      <c r="F1850" s="3010" t="str">
        <f>$E$1505</f>
        <v>ASHP-SEER16-Replace_CAC_NonElectricHeat_ER1_MF_CompE</v>
      </c>
      <c r="G1850" s="2676"/>
      <c r="H1850" s="2676"/>
      <c r="I1850" s="2677"/>
      <c r="J1850" s="3298" t="str">
        <f>$C$1505</f>
        <v>353011_2021_12_</v>
      </c>
      <c r="K1850" s="2225">
        <f>K1848</f>
        <v>24000</v>
      </c>
      <c r="L1850" s="3070">
        <f t="shared" si="196"/>
        <v>2</v>
      </c>
      <c r="M1850" s="2723" t="s">
        <v>1125</v>
      </c>
      <c r="N1850" s="123"/>
      <c r="O1850" s="228"/>
      <c r="P1850" s="844"/>
      <c r="Q1850" s="845"/>
      <c r="R1850" s="844"/>
      <c r="S1850" s="832"/>
      <c r="T1850" s="3082"/>
      <c r="U1850" s="123"/>
      <c r="V1850" s="3990"/>
      <c r="W1850" s="2857"/>
      <c r="X1850" s="2857"/>
      <c r="Y1850" s="3155"/>
      <c r="Z1850" s="2857"/>
      <c r="AA1850" s="2857"/>
      <c r="AB1850" s="3150"/>
      <c r="AC1850" s="2225">
        <f>AC1848</f>
        <v>24000</v>
      </c>
      <c r="AD1850" s="2857"/>
      <c r="AE1850" s="2857"/>
      <c r="AF1850" s="2857"/>
      <c r="AG1850" s="2857"/>
      <c r="BB1850" s="575"/>
      <c r="BC1850" s="576"/>
      <c r="BD1850" s="678"/>
      <c r="BE1850" s="585"/>
    </row>
    <row r="1851" spans="1:57" s="1942" customFormat="1" ht="15" hidden="1" customHeight="1" outlineLevel="1" x14ac:dyDescent="0.25">
      <c r="A1851" s="2060"/>
      <c r="B1851" s="123"/>
      <c r="C1851" s="328"/>
      <c r="D1851" s="3990"/>
      <c r="E1851" s="4009"/>
      <c r="F1851" s="3010" t="str">
        <f>$E$1507</f>
        <v>ASHP-SEER16-Replace_CAC_NonElectricHeat_ER2_MF_CompE</v>
      </c>
      <c r="G1851" s="2676"/>
      <c r="H1851" s="2676"/>
      <c r="I1851" s="2677"/>
      <c r="J1851" s="3298" t="str">
        <f>$C$1507</f>
        <v>353011_2021_12_</v>
      </c>
      <c r="K1851" s="2225">
        <f>K1849</f>
        <v>24000</v>
      </c>
      <c r="L1851" s="3070">
        <f t="shared" si="196"/>
        <v>2</v>
      </c>
      <c r="M1851" s="2723" t="s">
        <v>1125</v>
      </c>
      <c r="N1851" s="123"/>
      <c r="O1851" s="228"/>
      <c r="P1851" s="844"/>
      <c r="Q1851" s="845"/>
      <c r="R1851" s="844"/>
      <c r="S1851" s="832"/>
      <c r="T1851" s="3082"/>
      <c r="U1851" s="123"/>
      <c r="V1851" s="3990"/>
      <c r="W1851" s="2857"/>
      <c r="X1851" s="2857"/>
      <c r="Y1851" s="3155"/>
      <c r="Z1851" s="2857"/>
      <c r="AA1851" s="2857"/>
      <c r="AB1851" s="3150"/>
      <c r="AC1851" s="2225">
        <f>AC1849</f>
        <v>24000</v>
      </c>
      <c r="AD1851" s="2857"/>
      <c r="AE1851" s="2857"/>
      <c r="AF1851" s="2857"/>
      <c r="AG1851" s="2857"/>
      <c r="BB1851" s="575"/>
      <c r="BC1851" s="576"/>
      <c r="BD1851" s="678"/>
      <c r="BE1851" s="585"/>
    </row>
    <row r="1852" spans="1:57" s="51" customFormat="1" ht="15" hidden="1" customHeight="1" outlineLevel="1" x14ac:dyDescent="0.25">
      <c r="A1852" s="2060"/>
      <c r="B1852" s="123"/>
      <c r="C1852" s="328"/>
      <c r="D1852" s="3990"/>
      <c r="E1852" s="4009"/>
      <c r="F1852" s="3011" t="str">
        <f>$E$1509</f>
        <v>ASHP-SEER15_ROF_MF</v>
      </c>
      <c r="G1852" s="2678"/>
      <c r="H1852" s="2678"/>
      <c r="I1852" s="2679"/>
      <c r="J1852" s="3298" t="str">
        <f>$C$1509</f>
        <v>353050_2021_12_</v>
      </c>
      <c r="K1852" s="2225">
        <v>24157.894736842103</v>
      </c>
      <c r="L1852" s="3070">
        <f t="shared" si="196"/>
        <v>2.013157894736842</v>
      </c>
      <c r="M1852" s="2723" t="s">
        <v>1554</v>
      </c>
      <c r="N1852" s="123"/>
      <c r="O1852" s="228"/>
      <c r="P1852" s="844"/>
      <c r="Q1852" s="845"/>
      <c r="R1852" s="844"/>
      <c r="S1852" s="832"/>
      <c r="T1852" s="3082"/>
      <c r="U1852" s="123"/>
      <c r="V1852" s="3990"/>
      <c r="W1852" s="2857">
        <v>37200</v>
      </c>
      <c r="X1852" s="2857">
        <v>37200</v>
      </c>
      <c r="Y1852" s="2857">
        <v>37200</v>
      </c>
      <c r="Z1852" s="2857">
        <v>37200</v>
      </c>
      <c r="AA1852" s="2857">
        <v>37200</v>
      </c>
      <c r="AB1852" s="2855">
        <v>37200</v>
      </c>
      <c r="AC1852" s="2225">
        <v>24157.894736842103</v>
      </c>
      <c r="AD1852" s="2857"/>
      <c r="AE1852" s="2857"/>
      <c r="AF1852" s="2857"/>
      <c r="AG1852" s="2857"/>
      <c r="AH1852" s="1942"/>
      <c r="AI1852" s="1942"/>
      <c r="AJ1852" s="1942"/>
      <c r="AK1852" s="1942"/>
      <c r="AL1852" s="1942"/>
      <c r="AM1852" s="1942"/>
      <c r="AN1852" s="1942"/>
      <c r="AO1852" s="1942"/>
      <c r="AP1852" s="1942"/>
      <c r="AQ1852" s="1942"/>
      <c r="AR1852" s="1942"/>
      <c r="AS1852" s="1942"/>
      <c r="AT1852" s="1942"/>
      <c r="AU1852" s="1942"/>
      <c r="AV1852" s="1942"/>
      <c r="AW1852" s="1942"/>
      <c r="AX1852" s="1942"/>
      <c r="AY1852" s="1942"/>
      <c r="AZ1852" s="1942"/>
      <c r="BA1852" s="1942"/>
      <c r="BB1852" s="575"/>
      <c r="BC1852" s="576"/>
      <c r="BD1852" s="678"/>
      <c r="BE1852" s="585"/>
    </row>
    <row r="1853" spans="1:57" s="51" customFormat="1" ht="15" hidden="1" customHeight="1" outlineLevel="1" x14ac:dyDescent="0.25">
      <c r="A1853" s="2060"/>
      <c r="B1853" s="123"/>
      <c r="C1853" s="328"/>
      <c r="D1853" s="3990"/>
      <c r="E1853" s="4009"/>
      <c r="F1853" s="3011" t="str">
        <f>$E$1511</f>
        <v>ASHP-SEER15_ROF_MF_CompE</v>
      </c>
      <c r="G1853" s="2678"/>
      <c r="H1853" s="2678"/>
      <c r="I1853" s="2679"/>
      <c r="J1853" s="3298" t="str">
        <f>$C$1511</f>
        <v>353051_2021_12_</v>
      </c>
      <c r="K1853" s="2225">
        <f>K1852</f>
        <v>24157.894736842103</v>
      </c>
      <c r="L1853" s="3070">
        <f t="shared" si="196"/>
        <v>2.013157894736842</v>
      </c>
      <c r="M1853" s="2723" t="s">
        <v>1125</v>
      </c>
      <c r="N1853" s="123"/>
      <c r="O1853" s="228"/>
      <c r="P1853" s="844"/>
      <c r="Q1853" s="845"/>
      <c r="R1853" s="844"/>
      <c r="S1853" s="832"/>
      <c r="T1853" s="3082"/>
      <c r="U1853" s="123"/>
      <c r="V1853" s="3990"/>
      <c r="W1853" s="2857"/>
      <c r="X1853" s="2857"/>
      <c r="Y1853" s="3155">
        <v>37200</v>
      </c>
      <c r="Z1853" s="2857">
        <v>37200</v>
      </c>
      <c r="AA1853" s="2857">
        <v>37200</v>
      </c>
      <c r="AB1853" s="2855">
        <v>37200</v>
      </c>
      <c r="AC1853" s="2225">
        <f>AC1852</f>
        <v>24157.894736842103</v>
      </c>
      <c r="AD1853" s="2857"/>
      <c r="AE1853" s="2857"/>
      <c r="AF1853" s="2857"/>
      <c r="AG1853" s="2857"/>
      <c r="AH1853" s="1942"/>
      <c r="AI1853" s="1942"/>
      <c r="AJ1853" s="1942"/>
      <c r="AK1853" s="1942"/>
      <c r="AL1853" s="1942"/>
      <c r="AM1853" s="1942"/>
      <c r="AN1853" s="1942"/>
      <c r="AO1853" s="1942"/>
      <c r="AP1853" s="1942"/>
      <c r="AQ1853" s="1942"/>
      <c r="AR1853" s="1942"/>
      <c r="AS1853" s="1942"/>
      <c r="AT1853" s="1942"/>
      <c r="AU1853" s="1942"/>
      <c r="AV1853" s="1942"/>
      <c r="AW1853" s="1942"/>
      <c r="AX1853" s="1942"/>
      <c r="AY1853" s="1942"/>
      <c r="AZ1853" s="1942"/>
      <c r="BA1853" s="1942"/>
      <c r="BB1853" s="575"/>
      <c r="BC1853" s="576"/>
      <c r="BD1853" s="678"/>
      <c r="BE1853" s="585"/>
    </row>
    <row r="1854" spans="1:57" s="51" customFormat="1" ht="15" hidden="1" customHeight="1" outlineLevel="1" x14ac:dyDescent="0.25">
      <c r="A1854" s="2060"/>
      <c r="B1854" s="123"/>
      <c r="C1854" s="328"/>
      <c r="D1854" s="3990"/>
      <c r="E1854" s="4009"/>
      <c r="F1854" s="3010" t="str">
        <f>$E$1513</f>
        <v>ASHP-SEER17-Replace_CAC_ElectricHeat_ROF_SF</v>
      </c>
      <c r="G1854" s="2676"/>
      <c r="H1854" s="2676"/>
      <c r="I1854" s="2677"/>
      <c r="J1854" s="3298" t="str">
        <f>$C$1513</f>
        <v>353100_2021_12_</v>
      </c>
      <c r="K1854" s="2225">
        <v>32400.000000000004</v>
      </c>
      <c r="L1854" s="3070">
        <f t="shared" si="196"/>
        <v>2.7</v>
      </c>
      <c r="M1854" s="2723" t="s">
        <v>1555</v>
      </c>
      <c r="N1854" s="123"/>
      <c r="O1854" s="228"/>
      <c r="P1854" s="844"/>
      <c r="Q1854" s="845"/>
      <c r="R1854" s="844"/>
      <c r="S1854" s="832"/>
      <c r="T1854" s="3082"/>
      <c r="U1854" s="123"/>
      <c r="V1854" s="3990"/>
      <c r="W1854" s="2857">
        <v>33600</v>
      </c>
      <c r="X1854" s="2857">
        <v>33600</v>
      </c>
      <c r="Y1854" s="2857">
        <v>33600</v>
      </c>
      <c r="Z1854" s="2857">
        <v>33600</v>
      </c>
      <c r="AA1854" s="2857">
        <v>33600</v>
      </c>
      <c r="AB1854" s="2855">
        <v>33600</v>
      </c>
      <c r="AC1854" s="2225">
        <v>32400.000000000004</v>
      </c>
      <c r="AD1854" s="2857"/>
      <c r="AE1854" s="2857"/>
      <c r="AF1854" s="2857"/>
      <c r="AG1854" s="2857"/>
      <c r="AH1854" s="1942"/>
      <c r="AI1854" s="1942"/>
      <c r="AJ1854" s="1942"/>
      <c r="AK1854" s="1942"/>
      <c r="AL1854" s="1942"/>
      <c r="AM1854" s="1942"/>
      <c r="AN1854" s="1942"/>
      <c r="AO1854" s="1942"/>
      <c r="AP1854" s="1942"/>
      <c r="AQ1854" s="1942"/>
      <c r="AR1854" s="1942"/>
      <c r="AS1854" s="1942"/>
      <c r="AT1854" s="1942"/>
      <c r="AU1854" s="1942"/>
      <c r="AV1854" s="1942"/>
      <c r="AW1854" s="1942"/>
      <c r="AX1854" s="1942"/>
      <c r="AY1854" s="1942"/>
      <c r="AZ1854" s="1942"/>
      <c r="BA1854" s="1942"/>
      <c r="BB1854" s="575"/>
      <c r="BC1854" s="576"/>
      <c r="BD1854" s="678"/>
      <c r="BE1854" s="585"/>
    </row>
    <row r="1855" spans="1:57" s="51" customFormat="1" ht="15" hidden="1" customHeight="1" outlineLevel="1" x14ac:dyDescent="0.25">
      <c r="A1855" s="2060"/>
      <c r="B1855" s="123"/>
      <c r="C1855" s="328"/>
      <c r="D1855" s="3990"/>
      <c r="E1855" s="4009"/>
      <c r="F1855" s="3010" t="str">
        <f>$E$1515</f>
        <v>ASHP-SEER17-Replace_CAC_ElectricHeat_ROF_MF</v>
      </c>
      <c r="G1855" s="2676"/>
      <c r="H1855" s="2676"/>
      <c r="I1855" s="2677"/>
      <c r="J1855" s="3299" t="str">
        <f>$C$1515</f>
        <v>353150_2019_12_</v>
      </c>
      <c r="K1855" s="2551">
        <v>33600</v>
      </c>
      <c r="L1855" s="3072">
        <f t="shared" si="196"/>
        <v>2.8</v>
      </c>
      <c r="M1855" s="2278" t="s">
        <v>1556</v>
      </c>
      <c r="N1855" s="123"/>
      <c r="O1855" s="228"/>
      <c r="P1855" s="844"/>
      <c r="Q1855" s="845"/>
      <c r="R1855" s="844"/>
      <c r="S1855" s="832"/>
      <c r="T1855" s="3082"/>
      <c r="U1855" s="123"/>
      <c r="V1855" s="3990"/>
      <c r="W1855" s="2857">
        <v>33600</v>
      </c>
      <c r="X1855" s="2857">
        <v>33600</v>
      </c>
      <c r="Y1855" s="2857">
        <v>33600</v>
      </c>
      <c r="Z1855" s="2857">
        <v>33600</v>
      </c>
      <c r="AA1855" s="2857">
        <v>33600</v>
      </c>
      <c r="AB1855" s="2855">
        <v>33600</v>
      </c>
      <c r="AC1855" s="2551">
        <v>33600</v>
      </c>
      <c r="AD1855" s="2857"/>
      <c r="AE1855" s="2857"/>
      <c r="AF1855" s="2857"/>
      <c r="AG1855" s="2857"/>
      <c r="AH1855" s="1942"/>
      <c r="AI1855" s="1942"/>
      <c r="AJ1855" s="1942"/>
      <c r="AK1855" s="1942"/>
      <c r="AL1855" s="1942"/>
      <c r="AM1855" s="1942"/>
      <c r="AN1855" s="1942"/>
      <c r="AO1855" s="1942"/>
      <c r="AP1855" s="1942"/>
      <c r="AQ1855" s="1942"/>
      <c r="AR1855" s="1942"/>
      <c r="AS1855" s="1942"/>
      <c r="AT1855" s="1942"/>
      <c r="AU1855" s="1942"/>
      <c r="AV1855" s="1942"/>
      <c r="AW1855" s="1942"/>
      <c r="AX1855" s="1942"/>
      <c r="AY1855" s="1942"/>
      <c r="AZ1855" s="1942"/>
      <c r="BA1855" s="1942"/>
      <c r="BB1855" s="575"/>
      <c r="BC1855" s="576"/>
      <c r="BD1855" s="678"/>
      <c r="BE1855" s="585"/>
    </row>
    <row r="1856" spans="1:57" s="51" customFormat="1" ht="15" hidden="1" customHeight="1" outlineLevel="1" x14ac:dyDescent="0.25">
      <c r="A1856" s="2060"/>
      <c r="B1856" s="123"/>
      <c r="C1856" s="328"/>
      <c r="D1856" s="3990"/>
      <c r="E1856" s="4009"/>
      <c r="F1856" s="3010" t="str">
        <f>$E$1517</f>
        <v>ASHP-SEER17-Replace_CAC_ElectricHeat_ROF_MF_CompE</v>
      </c>
      <c r="G1856" s="2676"/>
      <c r="H1856" s="2676"/>
      <c r="I1856" s="2677"/>
      <c r="J1856" s="3299" t="str">
        <f>$C$1517</f>
        <v>353151_2019_12_</v>
      </c>
      <c r="K1856" s="2551">
        <f>K1855</f>
        <v>33600</v>
      </c>
      <c r="L1856" s="3072">
        <f t="shared" si="196"/>
        <v>2.8</v>
      </c>
      <c r="M1856" s="2278" t="s">
        <v>1556</v>
      </c>
      <c r="N1856" s="123"/>
      <c r="O1856" s="228"/>
      <c r="P1856" s="844"/>
      <c r="Q1856" s="845"/>
      <c r="R1856" s="844"/>
      <c r="S1856" s="832"/>
      <c r="T1856" s="3082"/>
      <c r="U1856" s="123"/>
      <c r="V1856" s="3990"/>
      <c r="W1856" s="2857"/>
      <c r="X1856" s="2857"/>
      <c r="Y1856" s="3155">
        <v>33600</v>
      </c>
      <c r="Z1856" s="2857">
        <v>33600</v>
      </c>
      <c r="AA1856" s="2857">
        <v>33600</v>
      </c>
      <c r="AB1856" s="2855">
        <v>33600</v>
      </c>
      <c r="AC1856" s="2551">
        <f>AC1855</f>
        <v>33600</v>
      </c>
      <c r="AD1856" s="2857"/>
      <c r="AE1856" s="2857"/>
      <c r="AF1856" s="2857"/>
      <c r="AG1856" s="2857"/>
      <c r="AH1856" s="1942"/>
      <c r="AI1856" s="1942"/>
      <c r="AJ1856" s="1942"/>
      <c r="AK1856" s="1942"/>
      <c r="AL1856" s="1942"/>
      <c r="AM1856" s="1942"/>
      <c r="AN1856" s="1942"/>
      <c r="AO1856" s="1942"/>
      <c r="AP1856" s="1942"/>
      <c r="AQ1856" s="1942"/>
      <c r="AR1856" s="1942"/>
      <c r="AS1856" s="1942"/>
      <c r="AT1856" s="1942"/>
      <c r="AU1856" s="1942"/>
      <c r="AV1856" s="1942"/>
      <c r="AW1856" s="1942"/>
      <c r="AX1856" s="1942"/>
      <c r="AY1856" s="1942"/>
      <c r="AZ1856" s="1942"/>
      <c r="BA1856" s="1942"/>
      <c r="BB1856" s="575"/>
      <c r="BC1856" s="576"/>
      <c r="BD1856" s="678"/>
      <c r="BE1856" s="585"/>
    </row>
    <row r="1857" spans="1:57" s="1942" customFormat="1" ht="15" hidden="1" customHeight="1" outlineLevel="1" x14ac:dyDescent="0.25">
      <c r="A1857" s="2060"/>
      <c r="B1857" s="123"/>
      <c r="C1857" s="328"/>
      <c r="D1857" s="3990"/>
      <c r="E1857" s="4009"/>
      <c r="F1857" s="3010" t="str">
        <f>$E$1519</f>
        <v>ASHP-SEER17-Replace_CAC_NonElectricHeat_ROF_MF</v>
      </c>
      <c r="G1857" s="2676"/>
      <c r="H1857" s="2676"/>
      <c r="I1857" s="2677"/>
      <c r="J1857" s="3298" t="str">
        <f>$C$1519</f>
        <v>353160_2021_12_</v>
      </c>
      <c r="K1857" s="2225">
        <v>33600</v>
      </c>
      <c r="L1857" s="3070">
        <f t="shared" si="196"/>
        <v>2.8</v>
      </c>
      <c r="M1857" s="2723" t="s">
        <v>1125</v>
      </c>
      <c r="N1857" s="123"/>
      <c r="O1857" s="228"/>
      <c r="P1857" s="844"/>
      <c r="Q1857" s="845"/>
      <c r="R1857" s="844"/>
      <c r="S1857" s="832"/>
      <c r="T1857" s="3082"/>
      <c r="U1857" s="123"/>
      <c r="V1857" s="3990"/>
      <c r="W1857" s="2857"/>
      <c r="X1857" s="2857"/>
      <c r="Y1857" s="3155"/>
      <c r="Z1857" s="2857"/>
      <c r="AA1857" s="2857"/>
      <c r="AB1857" s="2855"/>
      <c r="AC1857" s="2225">
        <v>33600</v>
      </c>
      <c r="AD1857" s="2857"/>
      <c r="AE1857" s="2857"/>
      <c r="AF1857" s="2857"/>
      <c r="AG1857" s="2857"/>
      <c r="BB1857" s="575"/>
      <c r="BC1857" s="576"/>
      <c r="BD1857" s="678"/>
      <c r="BE1857" s="585"/>
    </row>
    <row r="1858" spans="1:57" s="1942" customFormat="1" ht="15" hidden="1" customHeight="1" outlineLevel="1" x14ac:dyDescent="0.25">
      <c r="A1858" s="2060"/>
      <c r="B1858" s="123"/>
      <c r="C1858" s="328"/>
      <c r="D1858" s="3990"/>
      <c r="E1858" s="4009"/>
      <c r="F1858" s="3010" t="str">
        <f>$E$1521</f>
        <v>ASHP-SEER17-Replace_CAC_NonElectricHeat_ROF_MF_CompE</v>
      </c>
      <c r="G1858" s="2676"/>
      <c r="H1858" s="2676"/>
      <c r="I1858" s="2677"/>
      <c r="J1858" s="3298" t="str">
        <f>$C$1521</f>
        <v>353161_2021_12_</v>
      </c>
      <c r="K1858" s="2225">
        <f>K1857</f>
        <v>33600</v>
      </c>
      <c r="L1858" s="3070">
        <f t="shared" si="196"/>
        <v>2.8</v>
      </c>
      <c r="M1858" s="2723" t="s">
        <v>1125</v>
      </c>
      <c r="N1858" s="123"/>
      <c r="O1858" s="228"/>
      <c r="P1858" s="844"/>
      <c r="Q1858" s="845"/>
      <c r="R1858" s="844"/>
      <c r="S1858" s="832"/>
      <c r="T1858" s="3082"/>
      <c r="U1858" s="123"/>
      <c r="V1858" s="3990"/>
      <c r="W1858" s="2857"/>
      <c r="X1858" s="2857"/>
      <c r="Y1858" s="3155"/>
      <c r="Z1858" s="2857"/>
      <c r="AA1858" s="2857"/>
      <c r="AB1858" s="2855"/>
      <c r="AC1858" s="2225">
        <f>AC1857</f>
        <v>33600</v>
      </c>
      <c r="AD1858" s="2857"/>
      <c r="AE1858" s="2857"/>
      <c r="AF1858" s="2857"/>
      <c r="AG1858" s="2857"/>
      <c r="BB1858" s="575"/>
      <c r="BC1858" s="576"/>
      <c r="BD1858" s="678"/>
      <c r="BE1858" s="585"/>
    </row>
    <row r="1859" spans="1:57" s="51" customFormat="1" ht="15" hidden="1" customHeight="1" outlineLevel="1" x14ac:dyDescent="0.25">
      <c r="A1859" s="2060"/>
      <c r="B1859" s="123"/>
      <c r="C1859" s="328"/>
      <c r="D1859" s="3990"/>
      <c r="E1859" s="4009"/>
      <c r="F1859" s="3010" t="str">
        <f>$E$1523</f>
        <v>ASHP-SEER18-Replace_CAC_ElectricHeat_ROF_SF</v>
      </c>
      <c r="G1859" s="2676"/>
      <c r="H1859" s="2676"/>
      <c r="I1859" s="2677"/>
      <c r="J1859" s="3298" t="str">
        <f>$C$1523</f>
        <v>353200_2021_12_</v>
      </c>
      <c r="K1859" s="2225">
        <v>36486.486486486487</v>
      </c>
      <c r="L1859" s="3070">
        <f t="shared" si="196"/>
        <v>3.0405405405405403</v>
      </c>
      <c r="M1859" s="2723" t="s">
        <v>1551</v>
      </c>
      <c r="N1859" s="123"/>
      <c r="O1859" s="228"/>
      <c r="P1859" s="844"/>
      <c r="Q1859" s="845"/>
      <c r="R1859" s="844"/>
      <c r="S1859" s="832"/>
      <c r="T1859" s="3082"/>
      <c r="U1859" s="123"/>
      <c r="V1859" s="3990"/>
      <c r="W1859" s="2857">
        <v>33600</v>
      </c>
      <c r="X1859" s="2857">
        <v>33600</v>
      </c>
      <c r="Y1859" s="2857">
        <v>33600</v>
      </c>
      <c r="Z1859" s="2857">
        <v>33600</v>
      </c>
      <c r="AA1859" s="2857">
        <v>33600</v>
      </c>
      <c r="AB1859" s="3150">
        <v>36000</v>
      </c>
      <c r="AC1859" s="2225">
        <v>36486.486486486487</v>
      </c>
      <c r="AD1859" s="2857"/>
      <c r="AE1859" s="2857"/>
      <c r="AF1859" s="2857"/>
      <c r="AG1859" s="2857"/>
      <c r="AH1859" s="1942"/>
      <c r="AI1859" s="1942"/>
      <c r="AJ1859" s="1942"/>
      <c r="AK1859" s="1942"/>
      <c r="AL1859" s="1942"/>
      <c r="AM1859" s="1942"/>
      <c r="AN1859" s="1942"/>
      <c r="AO1859" s="1942"/>
      <c r="AP1859" s="1942"/>
      <c r="AQ1859" s="1942"/>
      <c r="AR1859" s="1942"/>
      <c r="AS1859" s="1942"/>
      <c r="AT1859" s="1942"/>
      <c r="AU1859" s="1942"/>
      <c r="AV1859" s="1942"/>
      <c r="AW1859" s="1942"/>
      <c r="AX1859" s="1942"/>
      <c r="AY1859" s="1942"/>
      <c r="AZ1859" s="1942"/>
      <c r="BA1859" s="1942"/>
      <c r="BB1859" s="575"/>
      <c r="BC1859" s="576"/>
      <c r="BD1859" s="678"/>
      <c r="BE1859" s="585"/>
    </row>
    <row r="1860" spans="1:57" s="51" customFormat="1" ht="15" hidden="1" customHeight="1" outlineLevel="1" x14ac:dyDescent="0.25">
      <c r="A1860" s="2060"/>
      <c r="B1860" s="123"/>
      <c r="C1860" s="328"/>
      <c r="D1860" s="3990"/>
      <c r="E1860" s="4009"/>
      <c r="F1860" s="3010" t="str">
        <f>$E$1525</f>
        <v>ASHP-SEER18-Replace_CAC_ElectricHeat_ROF_MF</v>
      </c>
      <c r="G1860" s="2676"/>
      <c r="H1860" s="2676"/>
      <c r="I1860" s="2677"/>
      <c r="J1860" s="3298" t="str">
        <f>$C$1525</f>
        <v>353250_2021_12_</v>
      </c>
      <c r="K1860" s="2225">
        <v>36000</v>
      </c>
      <c r="L1860" s="3070">
        <f t="shared" si="196"/>
        <v>3</v>
      </c>
      <c r="M1860" s="2723" t="s">
        <v>1551</v>
      </c>
      <c r="N1860" s="123"/>
      <c r="O1860" s="228"/>
      <c r="P1860" s="844"/>
      <c r="Q1860" s="845"/>
      <c r="R1860" s="844"/>
      <c r="S1860" s="832"/>
      <c r="T1860" s="3082"/>
      <c r="U1860" s="123"/>
      <c r="V1860" s="3990"/>
      <c r="W1860" s="2857">
        <v>33600</v>
      </c>
      <c r="X1860" s="2857">
        <v>33600</v>
      </c>
      <c r="Y1860" s="2857">
        <v>33600</v>
      </c>
      <c r="Z1860" s="2857">
        <v>33600</v>
      </c>
      <c r="AA1860" s="2857">
        <v>33600</v>
      </c>
      <c r="AB1860" s="3150">
        <v>48000</v>
      </c>
      <c r="AC1860" s="2225">
        <v>36000</v>
      </c>
      <c r="AD1860" s="2857"/>
      <c r="AE1860" s="2857"/>
      <c r="AF1860" s="2857"/>
      <c r="AG1860" s="2857"/>
      <c r="AH1860" s="1942"/>
      <c r="AI1860" s="1942"/>
      <c r="AJ1860" s="1942"/>
      <c r="AK1860" s="1942"/>
      <c r="AL1860" s="1942"/>
      <c r="AM1860" s="1942"/>
      <c r="AN1860" s="1942"/>
      <c r="AO1860" s="1942"/>
      <c r="AP1860" s="1942"/>
      <c r="AQ1860" s="1942"/>
      <c r="AR1860" s="1942"/>
      <c r="AS1860" s="1942"/>
      <c r="AT1860" s="1942"/>
      <c r="AU1860" s="1942"/>
      <c r="AV1860" s="1942"/>
      <c r="AW1860" s="1942"/>
      <c r="AX1860" s="1942"/>
      <c r="AY1860" s="1942"/>
      <c r="AZ1860" s="1942"/>
      <c r="BA1860" s="1942"/>
      <c r="BB1860" s="575"/>
      <c r="BC1860" s="576"/>
      <c r="BD1860" s="678"/>
      <c r="BE1860" s="585"/>
    </row>
    <row r="1861" spans="1:57" s="51" customFormat="1" ht="15" hidden="1" customHeight="1" outlineLevel="1" x14ac:dyDescent="0.25">
      <c r="A1861" s="2060"/>
      <c r="B1861" s="123"/>
      <c r="C1861" s="328"/>
      <c r="D1861" s="3990"/>
      <c r="E1861" s="4009"/>
      <c r="F1861" s="3010" t="str">
        <f>$E$1527</f>
        <v>ASHP-SEER18-Replace_CAC_ElectricHeat_ROF_MF_CompE</v>
      </c>
      <c r="G1861" s="2676"/>
      <c r="H1861" s="2676"/>
      <c r="I1861" s="2677"/>
      <c r="J1861" s="3298" t="str">
        <f>$C$1527</f>
        <v>353251_2021_12_</v>
      </c>
      <c r="K1861" s="2225">
        <f>K1860</f>
        <v>36000</v>
      </c>
      <c r="L1861" s="3070">
        <f t="shared" si="196"/>
        <v>3</v>
      </c>
      <c r="M1861" s="2723" t="s">
        <v>1551</v>
      </c>
      <c r="N1861" s="123"/>
      <c r="O1861" s="228"/>
      <c r="P1861" s="844"/>
      <c r="Q1861" s="845"/>
      <c r="R1861" s="844"/>
      <c r="S1861" s="832"/>
      <c r="T1861" s="3082"/>
      <c r="U1861" s="123"/>
      <c r="V1861" s="3990"/>
      <c r="W1861" s="2857"/>
      <c r="X1861" s="2857"/>
      <c r="Y1861" s="3155">
        <v>33600</v>
      </c>
      <c r="Z1861" s="2857">
        <v>33600</v>
      </c>
      <c r="AA1861" s="2857">
        <v>33600</v>
      </c>
      <c r="AB1861" s="3150">
        <v>48000</v>
      </c>
      <c r="AC1861" s="2225">
        <f>AC1860</f>
        <v>36000</v>
      </c>
      <c r="AD1861" s="2857"/>
      <c r="AE1861" s="2857"/>
      <c r="AF1861" s="2857"/>
      <c r="AG1861" s="2857"/>
      <c r="AH1861" s="1942"/>
      <c r="AI1861" s="1942"/>
      <c r="AJ1861" s="1942"/>
      <c r="AK1861" s="1942"/>
      <c r="AL1861" s="1942"/>
      <c r="AM1861" s="1942"/>
      <c r="AN1861" s="1942"/>
      <c r="AO1861" s="1942"/>
      <c r="AP1861" s="1942"/>
      <c r="AQ1861" s="1942"/>
      <c r="AR1861" s="1942"/>
      <c r="AS1861" s="1942"/>
      <c r="AT1861" s="1942"/>
      <c r="AU1861" s="1942"/>
      <c r="AV1861" s="1942"/>
      <c r="AW1861" s="1942"/>
      <c r="AX1861" s="1942"/>
      <c r="AY1861" s="1942"/>
      <c r="AZ1861" s="1942"/>
      <c r="BA1861" s="1942"/>
      <c r="BB1861" s="575"/>
      <c r="BC1861" s="576"/>
      <c r="BD1861" s="678"/>
      <c r="BE1861" s="585"/>
    </row>
    <row r="1862" spans="1:57" s="1942" customFormat="1" ht="15" hidden="1" customHeight="1" outlineLevel="1" x14ac:dyDescent="0.25">
      <c r="A1862" s="2060"/>
      <c r="B1862" s="123"/>
      <c r="C1862" s="328"/>
      <c r="D1862" s="3990"/>
      <c r="E1862" s="4009"/>
      <c r="F1862" s="3010" t="str">
        <f>$E$1529</f>
        <v>ASHP-SEER18-Replace_CAC_NonElectricHeat_ROF_MF</v>
      </c>
      <c r="G1862" s="2676"/>
      <c r="H1862" s="2676"/>
      <c r="I1862" s="2677"/>
      <c r="J1862" s="3298" t="str">
        <f>$C$1529</f>
        <v>353260_2021_12_</v>
      </c>
      <c r="K1862" s="2225">
        <v>36000</v>
      </c>
      <c r="L1862" s="3070">
        <f t="shared" si="196"/>
        <v>3</v>
      </c>
      <c r="M1862" s="2723" t="s">
        <v>1125</v>
      </c>
      <c r="N1862" s="123"/>
      <c r="O1862" s="228"/>
      <c r="P1862" s="844"/>
      <c r="Q1862" s="845"/>
      <c r="R1862" s="844"/>
      <c r="S1862" s="832"/>
      <c r="T1862" s="3082"/>
      <c r="U1862" s="123"/>
      <c r="V1862" s="3990"/>
      <c r="W1862" s="2857"/>
      <c r="X1862" s="2857"/>
      <c r="Y1862" s="3155"/>
      <c r="Z1862" s="2857"/>
      <c r="AA1862" s="2857"/>
      <c r="AB1862" s="3150"/>
      <c r="AC1862" s="2225">
        <v>36000</v>
      </c>
      <c r="AD1862" s="2857"/>
      <c r="AE1862" s="2857"/>
      <c r="AF1862" s="2857"/>
      <c r="AG1862" s="2857"/>
      <c r="BB1862" s="575"/>
      <c r="BC1862" s="576"/>
      <c r="BD1862" s="678"/>
      <c r="BE1862" s="585"/>
    </row>
    <row r="1863" spans="1:57" s="1942" customFormat="1" ht="15" hidden="1" customHeight="1" outlineLevel="1" x14ac:dyDescent="0.25">
      <c r="A1863" s="2060"/>
      <c r="B1863" s="123"/>
      <c r="C1863" s="328"/>
      <c r="D1863" s="3990"/>
      <c r="E1863" s="4009"/>
      <c r="F1863" s="3010" t="str">
        <f>$E$1531</f>
        <v>ASHP-SEER18-Replace_CAC_NonElectricHeat_ROF_MF_CompE</v>
      </c>
      <c r="G1863" s="2676"/>
      <c r="H1863" s="2676"/>
      <c r="I1863" s="2677"/>
      <c r="J1863" s="3298" t="str">
        <f>$C$1531</f>
        <v>353261_2021_12_</v>
      </c>
      <c r="K1863" s="2225">
        <f>K1862</f>
        <v>36000</v>
      </c>
      <c r="L1863" s="3070">
        <f t="shared" si="196"/>
        <v>3</v>
      </c>
      <c r="M1863" s="2723" t="s">
        <v>1125</v>
      </c>
      <c r="N1863" s="123"/>
      <c r="O1863" s="228"/>
      <c r="P1863" s="844"/>
      <c r="Q1863" s="845"/>
      <c r="R1863" s="844"/>
      <c r="S1863" s="832"/>
      <c r="T1863" s="3082"/>
      <c r="U1863" s="123"/>
      <c r="V1863" s="3990"/>
      <c r="W1863" s="2857"/>
      <c r="X1863" s="2857"/>
      <c r="Y1863" s="3155"/>
      <c r="Z1863" s="2857"/>
      <c r="AA1863" s="2857"/>
      <c r="AB1863" s="3150"/>
      <c r="AC1863" s="2225">
        <f>AC1862</f>
        <v>36000</v>
      </c>
      <c r="AD1863" s="2857"/>
      <c r="AE1863" s="2857"/>
      <c r="AF1863" s="2857"/>
      <c r="AG1863" s="2857"/>
      <c r="BB1863" s="575"/>
      <c r="BC1863" s="576"/>
      <c r="BD1863" s="678"/>
      <c r="BE1863" s="585"/>
    </row>
    <row r="1864" spans="1:57" s="51" customFormat="1" ht="15" hidden="1" customHeight="1" outlineLevel="1" x14ac:dyDescent="0.25">
      <c r="A1864" s="2060"/>
      <c r="B1864" s="123"/>
      <c r="C1864" s="328"/>
      <c r="D1864" s="3990"/>
      <c r="E1864" s="4009"/>
      <c r="F1864" s="3010" t="str">
        <f>$E$1533</f>
        <v>ASHP-SEER19-Replace_CAC_ElectricHeat_ROF_SF</v>
      </c>
      <c r="G1864" s="2676"/>
      <c r="H1864" s="2676"/>
      <c r="I1864" s="2677"/>
      <c r="J1864" s="3298" t="str">
        <f>$C$1533</f>
        <v>353300_2021_12_</v>
      </c>
      <c r="K1864" s="2225">
        <v>48000</v>
      </c>
      <c r="L1864" s="3070">
        <f t="shared" si="196"/>
        <v>4</v>
      </c>
      <c r="M1864" s="2723" t="s">
        <v>1555</v>
      </c>
      <c r="N1864" s="123"/>
      <c r="O1864" s="228"/>
      <c r="P1864" s="844"/>
      <c r="Q1864" s="845"/>
      <c r="R1864" s="844"/>
      <c r="S1864" s="832"/>
      <c r="T1864" s="3082"/>
      <c r="U1864" s="123"/>
      <c r="V1864" s="3990"/>
      <c r="W1864" s="2857">
        <v>33600</v>
      </c>
      <c r="X1864" s="2857">
        <v>33600</v>
      </c>
      <c r="Y1864" s="2857">
        <v>33600</v>
      </c>
      <c r="Z1864" s="2857">
        <v>33600</v>
      </c>
      <c r="AA1864" s="2857">
        <v>33600</v>
      </c>
      <c r="AB1864" s="2855">
        <v>33600</v>
      </c>
      <c r="AC1864" s="2225">
        <v>48000</v>
      </c>
      <c r="AD1864" s="2857"/>
      <c r="AE1864" s="2857"/>
      <c r="AF1864" s="2857"/>
      <c r="AG1864" s="2857"/>
      <c r="AH1864" s="1942"/>
      <c r="AI1864" s="1942"/>
      <c r="AJ1864" s="1942"/>
      <c r="AK1864" s="1942"/>
      <c r="AL1864" s="1942"/>
      <c r="AM1864" s="1942"/>
      <c r="AN1864" s="1942"/>
      <c r="AO1864" s="1942"/>
      <c r="AP1864" s="1942"/>
      <c r="AQ1864" s="1942"/>
      <c r="AR1864" s="1942"/>
      <c r="AS1864" s="1942"/>
      <c r="AT1864" s="1942"/>
      <c r="AU1864" s="1942"/>
      <c r="AV1864" s="1942"/>
      <c r="AW1864" s="1942"/>
      <c r="AX1864" s="1942"/>
      <c r="AY1864" s="1942"/>
      <c r="AZ1864" s="1942"/>
      <c r="BA1864" s="1942"/>
      <c r="BB1864" s="575"/>
      <c r="BC1864" s="576"/>
      <c r="BD1864" s="678"/>
      <c r="BE1864" s="585"/>
    </row>
    <row r="1865" spans="1:57" s="51" customFormat="1" ht="15" hidden="1" customHeight="1" outlineLevel="1" x14ac:dyDescent="0.25">
      <c r="A1865" s="2060"/>
      <c r="B1865" s="123"/>
      <c r="C1865" s="328"/>
      <c r="D1865" s="3990"/>
      <c r="E1865" s="4009"/>
      <c r="F1865" s="3010" t="str">
        <f>$E$1535</f>
        <v>ASHP-SEER19-Replace_CAC_ElectricHeat_ROF_MF</v>
      </c>
      <c r="G1865" s="2676"/>
      <c r="H1865" s="2676"/>
      <c r="I1865" s="2677"/>
      <c r="J1865" s="3298" t="str">
        <f>$C$1535</f>
        <v>353350_2021_12_</v>
      </c>
      <c r="K1865" s="2551">
        <v>33600</v>
      </c>
      <c r="L1865" s="3072">
        <f t="shared" ref="L1865:L1928" si="199">K1865/12000</f>
        <v>2.8</v>
      </c>
      <c r="M1865" s="2278" t="s">
        <v>1556</v>
      </c>
      <c r="N1865" s="123"/>
      <c r="O1865" s="228"/>
      <c r="P1865" s="844"/>
      <c r="Q1865" s="845"/>
      <c r="R1865" s="844"/>
      <c r="S1865" s="832"/>
      <c r="T1865" s="3082"/>
      <c r="U1865" s="123"/>
      <c r="V1865" s="3990"/>
      <c r="W1865" s="2857">
        <v>33600</v>
      </c>
      <c r="X1865" s="2857">
        <v>33600</v>
      </c>
      <c r="Y1865" s="2857">
        <v>33600</v>
      </c>
      <c r="Z1865" s="2857">
        <v>33600</v>
      </c>
      <c r="AA1865" s="2857">
        <v>33600</v>
      </c>
      <c r="AB1865" s="2855">
        <v>33600</v>
      </c>
      <c r="AC1865" s="2551">
        <v>33600</v>
      </c>
      <c r="AD1865" s="2857"/>
      <c r="AE1865" s="2857"/>
      <c r="AF1865" s="2857"/>
      <c r="AG1865" s="2857"/>
      <c r="AH1865" s="1942"/>
      <c r="AI1865" s="1942"/>
      <c r="AJ1865" s="1942"/>
      <c r="AK1865" s="1942"/>
      <c r="AL1865" s="1942"/>
      <c r="AM1865" s="1942"/>
      <c r="AN1865" s="1942"/>
      <c r="AO1865" s="1942"/>
      <c r="AP1865" s="1942"/>
      <c r="AQ1865" s="1942"/>
      <c r="AR1865" s="1942"/>
      <c r="AS1865" s="1942"/>
      <c r="AT1865" s="1942"/>
      <c r="AU1865" s="1942"/>
      <c r="AV1865" s="1942"/>
      <c r="AW1865" s="1942"/>
      <c r="AX1865" s="1942"/>
      <c r="AY1865" s="1942"/>
      <c r="AZ1865" s="1942"/>
      <c r="BA1865" s="1942"/>
      <c r="BB1865" s="575"/>
      <c r="BC1865" s="576"/>
      <c r="BD1865" s="678"/>
      <c r="BE1865" s="585"/>
    </row>
    <row r="1866" spans="1:57" s="51" customFormat="1" ht="15" hidden="1" customHeight="1" outlineLevel="1" x14ac:dyDescent="0.25">
      <c r="A1866" s="2060"/>
      <c r="B1866" s="123"/>
      <c r="C1866" s="328"/>
      <c r="D1866" s="3990"/>
      <c r="E1866" s="4009"/>
      <c r="F1866" s="3010" t="str">
        <f>$E$1537</f>
        <v>ASHP-SEER19-Replace_CAC_ElectricHeat_ROF_MF_CompE</v>
      </c>
      <c r="G1866" s="2676"/>
      <c r="H1866" s="2676"/>
      <c r="I1866" s="2677"/>
      <c r="J1866" s="3299" t="str">
        <f>$C$1537</f>
        <v>353351_2019_12_</v>
      </c>
      <c r="K1866" s="2551">
        <f>K1865</f>
        <v>33600</v>
      </c>
      <c r="L1866" s="3072">
        <f t="shared" si="199"/>
        <v>2.8</v>
      </c>
      <c r="M1866" s="2278" t="s">
        <v>1556</v>
      </c>
      <c r="N1866" s="123"/>
      <c r="O1866" s="228"/>
      <c r="P1866" s="844"/>
      <c r="Q1866" s="845"/>
      <c r="R1866" s="844"/>
      <c r="S1866" s="832"/>
      <c r="T1866" s="3082"/>
      <c r="U1866" s="123"/>
      <c r="V1866" s="3990"/>
      <c r="W1866" s="2857"/>
      <c r="X1866" s="2857"/>
      <c r="Y1866" s="3155">
        <v>33600</v>
      </c>
      <c r="Z1866" s="2857">
        <v>33600</v>
      </c>
      <c r="AA1866" s="2857">
        <v>33600</v>
      </c>
      <c r="AB1866" s="2855">
        <v>33600</v>
      </c>
      <c r="AC1866" s="2551">
        <f>AC1865</f>
        <v>33600</v>
      </c>
      <c r="AD1866" s="2857"/>
      <c r="AE1866" s="2857"/>
      <c r="AF1866" s="2857"/>
      <c r="AG1866" s="2857"/>
      <c r="AH1866" s="1942"/>
      <c r="AI1866" s="1942"/>
      <c r="AJ1866" s="1942"/>
      <c r="AK1866" s="1942"/>
      <c r="AL1866" s="1942"/>
      <c r="AM1866" s="1942"/>
      <c r="AN1866" s="1942"/>
      <c r="AO1866" s="1942"/>
      <c r="AP1866" s="1942"/>
      <c r="AQ1866" s="1942"/>
      <c r="AR1866" s="1942"/>
      <c r="AS1866" s="1942"/>
      <c r="AT1866" s="1942"/>
      <c r="AU1866" s="1942"/>
      <c r="AV1866" s="1942"/>
      <c r="AW1866" s="1942"/>
      <c r="AX1866" s="1942"/>
      <c r="AY1866" s="1942"/>
      <c r="AZ1866" s="1942"/>
      <c r="BA1866" s="1942"/>
      <c r="BB1866" s="575"/>
      <c r="BC1866" s="576"/>
      <c r="BD1866" s="678"/>
      <c r="BE1866" s="585"/>
    </row>
    <row r="1867" spans="1:57" s="1942" customFormat="1" ht="15" hidden="1" customHeight="1" outlineLevel="1" x14ac:dyDescent="0.25">
      <c r="A1867" s="2060"/>
      <c r="B1867" s="123"/>
      <c r="C1867" s="328"/>
      <c r="D1867" s="3990"/>
      <c r="E1867" s="4009"/>
      <c r="F1867" s="3010" t="str">
        <f>$E$1539</f>
        <v>ASHP-SEER19-Replace_CAC_NonElectricHeat_ROF_MF</v>
      </c>
      <c r="G1867" s="2676"/>
      <c r="H1867" s="2676"/>
      <c r="I1867" s="2677"/>
      <c r="J1867" s="3298" t="str">
        <f>$C$1539</f>
        <v>353360_2021_12_</v>
      </c>
      <c r="K1867" s="2225">
        <v>33600</v>
      </c>
      <c r="L1867" s="3070">
        <f t="shared" si="199"/>
        <v>2.8</v>
      </c>
      <c r="M1867" s="2723" t="s">
        <v>1125</v>
      </c>
      <c r="N1867" s="123"/>
      <c r="O1867" s="228"/>
      <c r="P1867" s="844"/>
      <c r="Q1867" s="845"/>
      <c r="R1867" s="844"/>
      <c r="S1867" s="832"/>
      <c r="T1867" s="3082"/>
      <c r="U1867" s="123"/>
      <c r="V1867" s="3990"/>
      <c r="W1867" s="2857"/>
      <c r="X1867" s="2857"/>
      <c r="Y1867" s="3155"/>
      <c r="Z1867" s="2857"/>
      <c r="AA1867" s="2857"/>
      <c r="AB1867" s="2855"/>
      <c r="AC1867" s="2225">
        <v>33600</v>
      </c>
      <c r="AD1867" s="2857"/>
      <c r="AE1867" s="2857"/>
      <c r="AF1867" s="2857"/>
      <c r="AG1867" s="2857"/>
      <c r="BB1867" s="575"/>
      <c r="BC1867" s="576"/>
      <c r="BD1867" s="678"/>
      <c r="BE1867" s="585"/>
    </row>
    <row r="1868" spans="1:57" s="1942" customFormat="1" ht="15" hidden="1" customHeight="1" outlineLevel="1" x14ac:dyDescent="0.25">
      <c r="A1868" s="2060"/>
      <c r="B1868" s="123"/>
      <c r="C1868" s="328"/>
      <c r="D1868" s="3990"/>
      <c r="E1868" s="4009"/>
      <c r="F1868" s="3010" t="str">
        <f>$E$1541</f>
        <v>ASHP-SEER19-Replace_CAC_NonElectricHeat_ROF_MF_CompE</v>
      </c>
      <c r="G1868" s="2676"/>
      <c r="H1868" s="2676"/>
      <c r="I1868" s="2677"/>
      <c r="J1868" s="3298" t="str">
        <f>$C$1541</f>
        <v>353361_2021_12_</v>
      </c>
      <c r="K1868" s="2225">
        <f>K1867</f>
        <v>33600</v>
      </c>
      <c r="L1868" s="3070">
        <f t="shared" si="199"/>
        <v>2.8</v>
      </c>
      <c r="M1868" s="2723" t="s">
        <v>1125</v>
      </c>
      <c r="N1868" s="123"/>
      <c r="O1868" s="228"/>
      <c r="P1868" s="844"/>
      <c r="Q1868" s="845"/>
      <c r="R1868" s="844"/>
      <c r="S1868" s="832"/>
      <c r="T1868" s="3082"/>
      <c r="U1868" s="123"/>
      <c r="V1868" s="3990"/>
      <c r="W1868" s="2857"/>
      <c r="X1868" s="2857"/>
      <c r="Y1868" s="3155"/>
      <c r="Z1868" s="2857"/>
      <c r="AA1868" s="2857"/>
      <c r="AB1868" s="2855"/>
      <c r="AC1868" s="2225">
        <f>AC1867</f>
        <v>33600</v>
      </c>
      <c r="AD1868" s="2857"/>
      <c r="AE1868" s="2857"/>
      <c r="AF1868" s="2857"/>
      <c r="AG1868" s="2857"/>
      <c r="BB1868" s="575"/>
      <c r="BC1868" s="576"/>
      <c r="BD1868" s="678"/>
      <c r="BE1868" s="585"/>
    </row>
    <row r="1869" spans="1:57" s="51" customFormat="1" ht="15" hidden="1" customHeight="1" outlineLevel="1" x14ac:dyDescent="0.25">
      <c r="A1869" s="2060"/>
      <c r="B1869" s="123"/>
      <c r="C1869" s="328"/>
      <c r="D1869" s="3990"/>
      <c r="E1869" s="4009"/>
      <c r="F1869" s="3010" t="str">
        <f>$E$1543</f>
        <v>ASHP-SEER20-Replace_CAC_ElectricHeat_ER1_SF</v>
      </c>
      <c r="G1869" s="2676"/>
      <c r="H1869" s="2676"/>
      <c r="I1869" s="2677"/>
      <c r="J1869" s="3298" t="str">
        <f>$C$1543</f>
        <v>353400_2021_12_</v>
      </c>
      <c r="K1869" s="2225">
        <v>36000</v>
      </c>
      <c r="L1869" s="3070">
        <f t="shared" si="199"/>
        <v>3</v>
      </c>
      <c r="M1869" s="2723" t="s">
        <v>1555</v>
      </c>
      <c r="N1869" s="123"/>
      <c r="O1869" s="228"/>
      <c r="P1869" s="844"/>
      <c r="Q1869" s="845"/>
      <c r="R1869" s="844"/>
      <c r="S1869" s="832"/>
      <c r="T1869" s="3082"/>
      <c r="U1869" s="123"/>
      <c r="V1869" s="3990"/>
      <c r="W1869" s="2857">
        <v>37200</v>
      </c>
      <c r="X1869" s="2857">
        <v>37200</v>
      </c>
      <c r="Y1869" s="2857">
        <v>37200</v>
      </c>
      <c r="Z1869" s="2857">
        <v>37200</v>
      </c>
      <c r="AA1869" s="2857">
        <v>37200</v>
      </c>
      <c r="AB1869" s="2855">
        <v>37200</v>
      </c>
      <c r="AC1869" s="2225">
        <v>36000</v>
      </c>
      <c r="AD1869" s="2857"/>
      <c r="AE1869" s="2857"/>
      <c r="AF1869" s="2857"/>
      <c r="AG1869" s="2857"/>
      <c r="AH1869" s="1942"/>
      <c r="AI1869" s="1942"/>
      <c r="AJ1869" s="1942"/>
      <c r="AK1869" s="1942"/>
      <c r="AL1869" s="1942"/>
      <c r="AM1869" s="1942"/>
      <c r="AN1869" s="1942"/>
      <c r="AO1869" s="1942"/>
      <c r="AP1869" s="1942"/>
      <c r="AQ1869" s="1942"/>
      <c r="AR1869" s="1942"/>
      <c r="AS1869" s="1942"/>
      <c r="AT1869" s="1942"/>
      <c r="AU1869" s="1942"/>
      <c r="AV1869" s="1942"/>
      <c r="AW1869" s="1942"/>
      <c r="AX1869" s="1942"/>
      <c r="AY1869" s="1942"/>
      <c r="AZ1869" s="1942"/>
      <c r="BA1869" s="1942"/>
      <c r="BB1869" s="575"/>
      <c r="BC1869" s="576"/>
      <c r="BD1869" s="678"/>
      <c r="BE1869" s="585"/>
    </row>
    <row r="1870" spans="1:57" s="51" customFormat="1" ht="15" hidden="1" customHeight="1" outlineLevel="1" x14ac:dyDescent="0.25">
      <c r="A1870" s="2060"/>
      <c r="B1870" s="123"/>
      <c r="C1870" s="328"/>
      <c r="D1870" s="3990"/>
      <c r="E1870" s="4009"/>
      <c r="F1870" s="3010" t="str">
        <f>$E$1545</f>
        <v>ASHP-SEER20-Replace_CAC_ElectricHeat_ER2_SF</v>
      </c>
      <c r="G1870" s="2676"/>
      <c r="H1870" s="2676"/>
      <c r="I1870" s="2677"/>
      <c r="J1870" s="3298" t="str">
        <f>$C$1545</f>
        <v>353400_2021_12_</v>
      </c>
      <c r="K1870" s="2225">
        <f>K1869</f>
        <v>36000</v>
      </c>
      <c r="L1870" s="3070">
        <f t="shared" si="199"/>
        <v>3</v>
      </c>
      <c r="M1870" s="2723" t="s">
        <v>1555</v>
      </c>
      <c r="N1870" s="123"/>
      <c r="O1870" s="228"/>
      <c r="P1870" s="844"/>
      <c r="Q1870" s="845"/>
      <c r="R1870" s="844"/>
      <c r="S1870" s="832"/>
      <c r="T1870" s="3082"/>
      <c r="U1870" s="123"/>
      <c r="V1870" s="3990"/>
      <c r="W1870" s="2857">
        <v>37200</v>
      </c>
      <c r="X1870" s="2857">
        <v>37200</v>
      </c>
      <c r="Y1870" s="2857">
        <v>37200</v>
      </c>
      <c r="Z1870" s="2857">
        <v>37200</v>
      </c>
      <c r="AA1870" s="2857">
        <v>37200</v>
      </c>
      <c r="AB1870" s="2855">
        <v>37200</v>
      </c>
      <c r="AC1870" s="2225">
        <f>AC1869</f>
        <v>36000</v>
      </c>
      <c r="AD1870" s="2857"/>
      <c r="AE1870" s="2857"/>
      <c r="AF1870" s="2857"/>
      <c r="AG1870" s="2857"/>
      <c r="AH1870" s="1942"/>
      <c r="AI1870" s="1942"/>
      <c r="AJ1870" s="1942"/>
      <c r="AK1870" s="1942"/>
      <c r="AL1870" s="1942"/>
      <c r="AM1870" s="1942"/>
      <c r="AN1870" s="1942"/>
      <c r="AO1870" s="1942"/>
      <c r="AP1870" s="1942"/>
      <c r="AQ1870" s="1942"/>
      <c r="AR1870" s="1942"/>
      <c r="AS1870" s="1942"/>
      <c r="AT1870" s="1942"/>
      <c r="AU1870" s="1942"/>
      <c r="AV1870" s="1942"/>
      <c r="AW1870" s="1942"/>
      <c r="AX1870" s="1942"/>
      <c r="AY1870" s="1942"/>
      <c r="AZ1870" s="1942"/>
      <c r="BA1870" s="1942"/>
      <c r="BB1870" s="575"/>
      <c r="BC1870" s="576"/>
      <c r="BD1870" s="678"/>
      <c r="BE1870" s="585"/>
    </row>
    <row r="1871" spans="1:57" s="1942" customFormat="1" ht="15" hidden="1" customHeight="1" outlineLevel="1" x14ac:dyDescent="0.25">
      <c r="A1871" s="2060"/>
      <c r="B1871" s="123"/>
      <c r="C1871" s="328"/>
      <c r="D1871" s="3990"/>
      <c r="E1871" s="4009"/>
      <c r="F1871" s="3010" t="str">
        <f>$E$1547</f>
        <v>ASHP-SEER20-Replace_CAC_NonElectricHeat_ER1_SF</v>
      </c>
      <c r="G1871" s="2676"/>
      <c r="H1871" s="2676"/>
      <c r="I1871" s="2677"/>
      <c r="J1871" s="3298" t="str">
        <f>$C$1547</f>
        <v>353410_2021_12_</v>
      </c>
      <c r="K1871" s="2225">
        <v>36000</v>
      </c>
      <c r="L1871" s="3070">
        <f t="shared" si="199"/>
        <v>3</v>
      </c>
      <c r="M1871" s="2723" t="s">
        <v>1125</v>
      </c>
      <c r="N1871" s="123"/>
      <c r="O1871" s="228"/>
      <c r="P1871" s="844"/>
      <c r="Q1871" s="845"/>
      <c r="R1871" s="844"/>
      <c r="S1871" s="832"/>
      <c r="T1871" s="3082"/>
      <c r="U1871" s="123"/>
      <c r="V1871" s="3990"/>
      <c r="W1871" s="2857"/>
      <c r="X1871" s="2857"/>
      <c r="Y1871" s="2857"/>
      <c r="Z1871" s="2857"/>
      <c r="AA1871" s="2857"/>
      <c r="AB1871" s="2855"/>
      <c r="AC1871" s="2225">
        <v>36000</v>
      </c>
      <c r="AD1871" s="2857"/>
      <c r="AE1871" s="2857"/>
      <c r="AF1871" s="2857"/>
      <c r="AG1871" s="2857"/>
      <c r="BB1871" s="575"/>
      <c r="BC1871" s="576"/>
      <c r="BD1871" s="678"/>
      <c r="BE1871" s="585"/>
    </row>
    <row r="1872" spans="1:57" s="1942" customFormat="1" ht="15" hidden="1" customHeight="1" outlineLevel="1" x14ac:dyDescent="0.25">
      <c r="A1872" s="2060"/>
      <c r="B1872" s="123"/>
      <c r="C1872" s="328"/>
      <c r="D1872" s="3990"/>
      <c r="E1872" s="4009"/>
      <c r="F1872" s="3010" t="str">
        <f>$E$1549</f>
        <v>ASHP-SEER20-Replace_CAC_NonElectricHeat_ER2_SF</v>
      </c>
      <c r="G1872" s="2676"/>
      <c r="H1872" s="2676"/>
      <c r="I1872" s="2677"/>
      <c r="J1872" s="3298" t="str">
        <f>$C$1549</f>
        <v>353410_2021_12_</v>
      </c>
      <c r="K1872" s="2225">
        <f>K1871</f>
        <v>36000</v>
      </c>
      <c r="L1872" s="3070">
        <f t="shared" si="199"/>
        <v>3</v>
      </c>
      <c r="M1872" s="2723" t="s">
        <v>1125</v>
      </c>
      <c r="N1872" s="123"/>
      <c r="O1872" s="228"/>
      <c r="P1872" s="844"/>
      <c r="Q1872" s="845"/>
      <c r="R1872" s="844"/>
      <c r="S1872" s="832"/>
      <c r="T1872" s="3082"/>
      <c r="U1872" s="123"/>
      <c r="V1872" s="3990"/>
      <c r="W1872" s="2857"/>
      <c r="X1872" s="2857"/>
      <c r="Y1872" s="2857"/>
      <c r="Z1872" s="2857"/>
      <c r="AA1872" s="2857"/>
      <c r="AB1872" s="2855"/>
      <c r="AC1872" s="2225">
        <f>AC1871</f>
        <v>36000</v>
      </c>
      <c r="AD1872" s="2857"/>
      <c r="AE1872" s="2857"/>
      <c r="AF1872" s="2857"/>
      <c r="AG1872" s="2857"/>
      <c r="BB1872" s="575"/>
      <c r="BC1872" s="576"/>
      <c r="BD1872" s="678"/>
      <c r="BE1872" s="585"/>
    </row>
    <row r="1873" spans="1:57" s="51" customFormat="1" ht="15" hidden="1" customHeight="1" outlineLevel="1" x14ac:dyDescent="0.25">
      <c r="A1873" s="2060"/>
      <c r="B1873" s="123"/>
      <c r="C1873" s="328"/>
      <c r="D1873" s="3990"/>
      <c r="E1873" s="4009"/>
      <c r="F1873" s="3010" t="str">
        <f>$E$1551</f>
        <v>ASHP-SEER20-Replace_CAC_ElectricHeat_ROF_SF</v>
      </c>
      <c r="G1873" s="2676"/>
      <c r="H1873" s="2676"/>
      <c r="I1873" s="2677"/>
      <c r="J1873" s="3298" t="str">
        <f>$C$1551</f>
        <v>353450_2021_12_</v>
      </c>
      <c r="K1873" s="2225">
        <v>30000</v>
      </c>
      <c r="L1873" s="3070">
        <f t="shared" si="199"/>
        <v>2.5</v>
      </c>
      <c r="M1873" s="2723" t="s">
        <v>1555</v>
      </c>
      <c r="N1873" s="123"/>
      <c r="O1873" s="228"/>
      <c r="P1873" s="844"/>
      <c r="Q1873" s="845"/>
      <c r="R1873" s="844"/>
      <c r="S1873" s="832"/>
      <c r="T1873" s="3082"/>
      <c r="U1873" s="123"/>
      <c r="V1873" s="3990"/>
      <c r="W1873" s="2857">
        <v>38400</v>
      </c>
      <c r="X1873" s="2857">
        <v>38400</v>
      </c>
      <c r="Y1873" s="2857">
        <v>38400</v>
      </c>
      <c r="Z1873" s="2857">
        <v>38400</v>
      </c>
      <c r="AA1873" s="2857">
        <v>38400</v>
      </c>
      <c r="AB1873" s="2855">
        <v>38400</v>
      </c>
      <c r="AC1873" s="2225">
        <v>30000</v>
      </c>
      <c r="AD1873" s="2857"/>
      <c r="AE1873" s="2857"/>
      <c r="AF1873" s="2857"/>
      <c r="AG1873" s="2857"/>
      <c r="AH1873" s="1942"/>
      <c r="AI1873" s="1942"/>
      <c r="AJ1873" s="1942"/>
      <c r="AK1873" s="1942"/>
      <c r="AL1873" s="1942"/>
      <c r="AM1873" s="1942"/>
      <c r="AN1873" s="1942"/>
      <c r="AO1873" s="1942"/>
      <c r="AP1873" s="1942"/>
      <c r="AQ1873" s="1942"/>
      <c r="AR1873" s="1942"/>
      <c r="AS1873" s="1942"/>
      <c r="AT1873" s="1942"/>
      <c r="AU1873" s="1942"/>
      <c r="AV1873" s="1942"/>
      <c r="AW1873" s="1942"/>
      <c r="AX1873" s="1942"/>
      <c r="AY1873" s="1942"/>
      <c r="AZ1873" s="1942"/>
      <c r="BA1873" s="1942"/>
      <c r="BB1873" s="575"/>
      <c r="BC1873" s="576"/>
      <c r="BD1873" s="678"/>
      <c r="BE1873" s="585"/>
    </row>
    <row r="1874" spans="1:57" s="51" customFormat="1" ht="15" hidden="1" customHeight="1" outlineLevel="1" x14ac:dyDescent="0.25">
      <c r="A1874" s="2060"/>
      <c r="B1874" s="123"/>
      <c r="C1874" s="328"/>
      <c r="D1874" s="3990"/>
      <c r="E1874" s="4009"/>
      <c r="F1874" s="3010" t="str">
        <f>$E$1553</f>
        <v>ASHP-SEER20-Replace_CAC_ElectricHeat_ROF_MF</v>
      </c>
      <c r="G1874" s="2676"/>
      <c r="H1874" s="2676"/>
      <c r="I1874" s="2677"/>
      <c r="J1874" s="3299" t="str">
        <f>$C$1553</f>
        <v>353500_2019_12_</v>
      </c>
      <c r="K1874" s="2551">
        <v>38400</v>
      </c>
      <c r="L1874" s="3072">
        <f t="shared" si="199"/>
        <v>3.2</v>
      </c>
      <c r="M1874" s="2278" t="s">
        <v>1556</v>
      </c>
      <c r="N1874" s="123"/>
      <c r="O1874" s="228"/>
      <c r="P1874" s="844"/>
      <c r="Q1874" s="845"/>
      <c r="R1874" s="844"/>
      <c r="S1874" s="832"/>
      <c r="T1874" s="3082"/>
      <c r="U1874" s="123"/>
      <c r="V1874" s="3990"/>
      <c r="W1874" s="2857">
        <v>38400</v>
      </c>
      <c r="X1874" s="2857">
        <v>38400</v>
      </c>
      <c r="Y1874" s="2857">
        <v>38400</v>
      </c>
      <c r="Z1874" s="2857">
        <v>38400</v>
      </c>
      <c r="AA1874" s="2857">
        <v>38400</v>
      </c>
      <c r="AB1874" s="2855">
        <v>38400</v>
      </c>
      <c r="AC1874" s="2551">
        <v>38400</v>
      </c>
      <c r="AD1874" s="2857"/>
      <c r="AE1874" s="2857"/>
      <c r="AF1874" s="2857"/>
      <c r="AG1874" s="2857"/>
      <c r="AH1874" s="1942"/>
      <c r="AI1874" s="1942"/>
      <c r="AJ1874" s="1942"/>
      <c r="AK1874" s="1942"/>
      <c r="AL1874" s="1942"/>
      <c r="AM1874" s="1942"/>
      <c r="AN1874" s="1942"/>
      <c r="AO1874" s="1942"/>
      <c r="AP1874" s="1942"/>
      <c r="AQ1874" s="1942"/>
      <c r="AR1874" s="1942"/>
      <c r="AS1874" s="1942"/>
      <c r="AT1874" s="1942"/>
      <c r="AU1874" s="1942"/>
      <c r="AV1874" s="1942"/>
      <c r="AW1874" s="1942"/>
      <c r="AX1874" s="1942"/>
      <c r="AY1874" s="1942"/>
      <c r="AZ1874" s="1942"/>
      <c r="BA1874" s="1942"/>
      <c r="BB1874" s="575"/>
      <c r="BC1874" s="576"/>
      <c r="BD1874" s="678"/>
      <c r="BE1874" s="585"/>
    </row>
    <row r="1875" spans="1:57" s="51" customFormat="1" ht="15" hidden="1" customHeight="1" outlineLevel="1" x14ac:dyDescent="0.25">
      <c r="A1875" s="2060"/>
      <c r="B1875" s="123"/>
      <c r="C1875" s="328"/>
      <c r="D1875" s="3990"/>
      <c r="E1875" s="4009"/>
      <c r="F1875" s="3010" t="str">
        <f>$E$1555</f>
        <v>ASHP-SEER20-Replace_CAC_ElectricHeat_ROF_MF_CompE</v>
      </c>
      <c r="G1875" s="2676"/>
      <c r="H1875" s="2676"/>
      <c r="I1875" s="2677"/>
      <c r="J1875" s="3299" t="str">
        <f>$C$1555</f>
        <v>353501_2019_12_</v>
      </c>
      <c r="K1875" s="2551">
        <f>K1874</f>
        <v>38400</v>
      </c>
      <c r="L1875" s="3072">
        <f t="shared" si="199"/>
        <v>3.2</v>
      </c>
      <c r="M1875" s="2278"/>
      <c r="N1875" s="123"/>
      <c r="O1875" s="228"/>
      <c r="P1875" s="844"/>
      <c r="Q1875" s="845"/>
      <c r="R1875" s="844"/>
      <c r="S1875" s="832"/>
      <c r="T1875" s="3082"/>
      <c r="U1875" s="123"/>
      <c r="V1875" s="3990"/>
      <c r="W1875" s="2857"/>
      <c r="X1875" s="2857"/>
      <c r="Y1875" s="3155">
        <v>38400</v>
      </c>
      <c r="Z1875" s="2857">
        <v>38400</v>
      </c>
      <c r="AA1875" s="2857">
        <v>38400</v>
      </c>
      <c r="AB1875" s="2855">
        <v>38400</v>
      </c>
      <c r="AC1875" s="2551">
        <f>AC1874</f>
        <v>38400</v>
      </c>
      <c r="AD1875" s="2857"/>
      <c r="AE1875" s="2857"/>
      <c r="AF1875" s="2857"/>
      <c r="AG1875" s="2857"/>
      <c r="AH1875" s="1942"/>
      <c r="AI1875" s="1942"/>
      <c r="AJ1875" s="1942"/>
      <c r="AK1875" s="1942"/>
      <c r="AL1875" s="1942"/>
      <c r="AM1875" s="1942"/>
      <c r="AN1875" s="1942"/>
      <c r="AO1875" s="1942"/>
      <c r="AP1875" s="1942"/>
      <c r="AQ1875" s="1942"/>
      <c r="AR1875" s="1942"/>
      <c r="AS1875" s="1942"/>
      <c r="AT1875" s="1942"/>
      <c r="AU1875" s="1942"/>
      <c r="AV1875" s="1942"/>
      <c r="AW1875" s="1942"/>
      <c r="AX1875" s="1942"/>
      <c r="AY1875" s="1942"/>
      <c r="AZ1875" s="1942"/>
      <c r="BA1875" s="1942"/>
      <c r="BB1875" s="575"/>
      <c r="BC1875" s="576"/>
      <c r="BD1875" s="678"/>
      <c r="BE1875" s="585"/>
    </row>
    <row r="1876" spans="1:57" s="1942" customFormat="1" ht="15" hidden="1" customHeight="1" outlineLevel="1" x14ac:dyDescent="0.25">
      <c r="A1876" s="2060"/>
      <c r="B1876" s="123"/>
      <c r="C1876" s="328"/>
      <c r="D1876" s="3990"/>
      <c r="E1876" s="4009"/>
      <c r="F1876" s="3010" t="str">
        <f>$E$1557</f>
        <v>ASHP-SEER20-Replace_CAC_NonElectricHeat_ROF_MF</v>
      </c>
      <c r="G1876" s="2676"/>
      <c r="H1876" s="2676"/>
      <c r="I1876" s="2677"/>
      <c r="J1876" s="3298" t="str">
        <f>$C$1557</f>
        <v>353510_2021_12_</v>
      </c>
      <c r="K1876" s="2225">
        <v>38400</v>
      </c>
      <c r="L1876" s="3070">
        <f t="shared" si="199"/>
        <v>3.2</v>
      </c>
      <c r="M1876" s="2723" t="s">
        <v>1125</v>
      </c>
      <c r="N1876" s="123"/>
      <c r="O1876" s="228"/>
      <c r="P1876" s="844"/>
      <c r="Q1876" s="845"/>
      <c r="R1876" s="844"/>
      <c r="S1876" s="832"/>
      <c r="T1876" s="3082"/>
      <c r="U1876" s="123"/>
      <c r="V1876" s="3990"/>
      <c r="W1876" s="2857"/>
      <c r="X1876" s="2857"/>
      <c r="Y1876" s="3155"/>
      <c r="Z1876" s="2857"/>
      <c r="AA1876" s="2857"/>
      <c r="AB1876" s="2855"/>
      <c r="AC1876" s="2225">
        <v>38400</v>
      </c>
      <c r="AD1876" s="2857"/>
      <c r="AE1876" s="2857"/>
      <c r="AF1876" s="2857"/>
      <c r="AG1876" s="2857"/>
      <c r="BB1876" s="575"/>
      <c r="BC1876" s="576"/>
      <c r="BD1876" s="678"/>
      <c r="BE1876" s="585"/>
    </row>
    <row r="1877" spans="1:57" s="1942" customFormat="1" ht="15" hidden="1" customHeight="1" outlineLevel="1" x14ac:dyDescent="0.25">
      <c r="A1877" s="2060"/>
      <c r="B1877" s="123"/>
      <c r="C1877" s="328"/>
      <c r="D1877" s="3990"/>
      <c r="E1877" s="4009"/>
      <c r="F1877" s="3010" t="str">
        <f>$E$1559</f>
        <v>ASHP-SEER20-Replace_CAC_NonElectricHeat_ROF_MF_CompE</v>
      </c>
      <c r="G1877" s="2676"/>
      <c r="H1877" s="2676"/>
      <c r="I1877" s="2677"/>
      <c r="J1877" s="3298" t="str">
        <f>$C$1559</f>
        <v>353511_2021_12_</v>
      </c>
      <c r="K1877" s="2225">
        <f>K1876</f>
        <v>38400</v>
      </c>
      <c r="L1877" s="3070">
        <f t="shared" si="199"/>
        <v>3.2</v>
      </c>
      <c r="M1877" s="2723" t="s">
        <v>1125</v>
      </c>
      <c r="N1877" s="123"/>
      <c r="O1877" s="228"/>
      <c r="P1877" s="844"/>
      <c r="Q1877" s="845"/>
      <c r="R1877" s="844"/>
      <c r="S1877" s="832"/>
      <c r="T1877" s="3082"/>
      <c r="U1877" s="123"/>
      <c r="V1877" s="3990"/>
      <c r="W1877" s="2857"/>
      <c r="X1877" s="2857"/>
      <c r="Y1877" s="3155"/>
      <c r="Z1877" s="2857"/>
      <c r="AA1877" s="2857"/>
      <c r="AB1877" s="2855"/>
      <c r="AC1877" s="2225">
        <f>AC1876</f>
        <v>38400</v>
      </c>
      <c r="AD1877" s="2857"/>
      <c r="AE1877" s="2857"/>
      <c r="AF1877" s="2857"/>
      <c r="AG1877" s="2857"/>
      <c r="BB1877" s="575"/>
      <c r="BC1877" s="576"/>
      <c r="BD1877" s="678"/>
      <c r="BE1877" s="585"/>
    </row>
    <row r="1878" spans="1:57" s="51" customFormat="1" ht="15" hidden="1" customHeight="1" outlineLevel="1" x14ac:dyDescent="0.25">
      <c r="A1878" s="2060"/>
      <c r="B1878" s="123"/>
      <c r="C1878" s="328"/>
      <c r="D1878" s="3990"/>
      <c r="E1878" s="4009"/>
      <c r="F1878" s="3010" t="str">
        <f>$E$1561</f>
        <v>ASHP-SEER21-Replace_CAC_ElectricHeat_ER1_SF</v>
      </c>
      <c r="G1878" s="2676"/>
      <c r="H1878" s="2676"/>
      <c r="I1878" s="2677"/>
      <c r="J1878" s="3298" t="str">
        <f>$C$1561</f>
        <v>353550_2021_12_</v>
      </c>
      <c r="K1878" s="2225">
        <v>43090.909090909088</v>
      </c>
      <c r="L1878" s="3070">
        <f t="shared" si="199"/>
        <v>3.5909090909090908</v>
      </c>
      <c r="M1878" s="2723" t="s">
        <v>1555</v>
      </c>
      <c r="N1878" s="123"/>
      <c r="O1878" s="228"/>
      <c r="P1878" s="123"/>
      <c r="Q1878" s="123"/>
      <c r="R1878" s="123"/>
      <c r="S1878" s="123"/>
      <c r="T1878" s="123"/>
      <c r="U1878" s="123"/>
      <c r="V1878" s="3990"/>
      <c r="W1878" s="2857">
        <v>37200</v>
      </c>
      <c r="X1878" s="2857">
        <v>37200</v>
      </c>
      <c r="Y1878" s="2857">
        <v>37200</v>
      </c>
      <c r="Z1878" s="2857">
        <v>37200</v>
      </c>
      <c r="AA1878" s="2857">
        <v>37200</v>
      </c>
      <c r="AB1878" s="2855">
        <v>37200</v>
      </c>
      <c r="AC1878" s="2225">
        <v>43090.909090909088</v>
      </c>
      <c r="AD1878" s="2857"/>
      <c r="AE1878" s="2857"/>
      <c r="AF1878" s="2857"/>
      <c r="AG1878" s="2857"/>
      <c r="AH1878" s="1942"/>
      <c r="AI1878" s="1942"/>
      <c r="AJ1878" s="1942"/>
      <c r="AK1878" s="1942"/>
      <c r="AL1878" s="1942"/>
      <c r="AM1878" s="1942"/>
      <c r="AN1878" s="1942"/>
      <c r="AO1878" s="1942"/>
      <c r="AP1878" s="1942"/>
      <c r="AQ1878" s="1942"/>
      <c r="AR1878" s="1942"/>
      <c r="AS1878" s="1942"/>
      <c r="AT1878" s="1942"/>
      <c r="AU1878" s="1942"/>
      <c r="AV1878" s="1942"/>
      <c r="AW1878" s="1942"/>
      <c r="AX1878" s="1942"/>
      <c r="AY1878" s="1942"/>
      <c r="AZ1878" s="1942"/>
      <c r="BA1878" s="1942"/>
      <c r="BB1878" s="575"/>
      <c r="BC1878" s="576"/>
      <c r="BD1878" s="678"/>
      <c r="BE1878" s="585"/>
    </row>
    <row r="1879" spans="1:57" s="51" customFormat="1" ht="15" hidden="1" customHeight="1" outlineLevel="1" x14ac:dyDescent="0.25">
      <c r="A1879" s="2060"/>
      <c r="B1879" s="123"/>
      <c r="C1879" s="328"/>
      <c r="D1879" s="3990"/>
      <c r="E1879" s="4009"/>
      <c r="F1879" s="3010" t="str">
        <f>$E$1563</f>
        <v>ASHP-SEER21-Replace_CAC_ElectricHeat_ER2_SF</v>
      </c>
      <c r="G1879" s="2676"/>
      <c r="H1879" s="2676"/>
      <c r="I1879" s="2677"/>
      <c r="J1879" s="3298" t="str">
        <f>$C$1563</f>
        <v>353550_2021_12_</v>
      </c>
      <c r="K1879" s="2225">
        <f>K1878</f>
        <v>43090.909090909088</v>
      </c>
      <c r="L1879" s="3070">
        <f t="shared" si="199"/>
        <v>3.5909090909090908</v>
      </c>
      <c r="M1879" s="2723" t="s">
        <v>1555</v>
      </c>
      <c r="N1879" s="123"/>
      <c r="O1879" s="228"/>
      <c r="P1879" s="123"/>
      <c r="Q1879" s="123"/>
      <c r="R1879" s="123"/>
      <c r="S1879" s="123"/>
      <c r="T1879" s="123"/>
      <c r="U1879" s="123"/>
      <c r="V1879" s="3990"/>
      <c r="W1879" s="2857">
        <v>37200</v>
      </c>
      <c r="X1879" s="2857">
        <v>37200</v>
      </c>
      <c r="Y1879" s="2857">
        <v>37200</v>
      </c>
      <c r="Z1879" s="2857">
        <v>37200</v>
      </c>
      <c r="AA1879" s="2857">
        <v>37200</v>
      </c>
      <c r="AB1879" s="2855">
        <v>37200</v>
      </c>
      <c r="AC1879" s="2225">
        <f>AC1878</f>
        <v>43090.909090909088</v>
      </c>
      <c r="AD1879" s="2857"/>
      <c r="AE1879" s="2857"/>
      <c r="AF1879" s="2857"/>
      <c r="AG1879" s="2857"/>
      <c r="AH1879" s="1942"/>
      <c r="AI1879" s="1942"/>
      <c r="AJ1879" s="1942"/>
      <c r="AK1879" s="1942"/>
      <c r="AL1879" s="1942"/>
      <c r="AM1879" s="1942"/>
      <c r="AN1879" s="1942"/>
      <c r="AO1879" s="1942"/>
      <c r="AP1879" s="1942"/>
      <c r="AQ1879" s="1942"/>
      <c r="AR1879" s="1942"/>
      <c r="AS1879" s="1942"/>
      <c r="AT1879" s="1942"/>
      <c r="AU1879" s="1942"/>
      <c r="AV1879" s="1942"/>
      <c r="AW1879" s="1942"/>
      <c r="AX1879" s="1942"/>
      <c r="AY1879" s="1942"/>
      <c r="AZ1879" s="1942"/>
      <c r="BA1879" s="1942"/>
      <c r="BB1879" s="575"/>
      <c r="BC1879" s="576"/>
      <c r="BD1879" s="678"/>
      <c r="BE1879" s="585"/>
    </row>
    <row r="1880" spans="1:57" s="1942" customFormat="1" ht="15" hidden="1" customHeight="1" outlineLevel="1" x14ac:dyDescent="0.25">
      <c r="A1880" s="2060"/>
      <c r="B1880" s="123"/>
      <c r="C1880" s="328"/>
      <c r="D1880" s="3990"/>
      <c r="E1880" s="4009"/>
      <c r="F1880" s="3010" t="str">
        <f>$E$1565</f>
        <v>ASHP-SEER21-Replace_CAC_NonElectricHeat_ER1_SF</v>
      </c>
      <c r="G1880" s="2676"/>
      <c r="H1880" s="2676"/>
      <c r="I1880" s="2677"/>
      <c r="J1880" s="3298" t="str">
        <f>$C$1565</f>
        <v>353560_2021_12_</v>
      </c>
      <c r="K1880" s="2225">
        <v>43090.909090909088</v>
      </c>
      <c r="L1880" s="3070">
        <f t="shared" si="199"/>
        <v>3.5909090909090908</v>
      </c>
      <c r="M1880" s="2723" t="s">
        <v>1125</v>
      </c>
      <c r="N1880" s="123"/>
      <c r="O1880" s="228"/>
      <c r="P1880" s="123"/>
      <c r="Q1880" s="123"/>
      <c r="R1880" s="123"/>
      <c r="S1880" s="123"/>
      <c r="T1880" s="123"/>
      <c r="U1880" s="123"/>
      <c r="V1880" s="3990"/>
      <c r="W1880" s="2857"/>
      <c r="X1880" s="2857"/>
      <c r="Y1880" s="2857"/>
      <c r="Z1880" s="2857"/>
      <c r="AA1880" s="2857"/>
      <c r="AB1880" s="2855"/>
      <c r="AC1880" s="2225">
        <v>43090.909090909088</v>
      </c>
      <c r="AD1880" s="2857"/>
      <c r="AE1880" s="2857"/>
      <c r="AF1880" s="2857"/>
      <c r="AG1880" s="2857"/>
      <c r="BB1880" s="575"/>
      <c r="BC1880" s="576"/>
      <c r="BD1880" s="678"/>
      <c r="BE1880" s="585"/>
    </row>
    <row r="1881" spans="1:57" s="1942" customFormat="1" ht="15" hidden="1" customHeight="1" outlineLevel="1" x14ac:dyDescent="0.25">
      <c r="A1881" s="2060"/>
      <c r="B1881" s="123"/>
      <c r="C1881" s="328"/>
      <c r="D1881" s="3990"/>
      <c r="E1881" s="4009"/>
      <c r="F1881" s="3010" t="str">
        <f>$E$1567</f>
        <v>ASHP-SEER21-Replace_CAC_NonElectricHeat_ER2_SF</v>
      </c>
      <c r="G1881" s="2676"/>
      <c r="H1881" s="2676"/>
      <c r="I1881" s="2677"/>
      <c r="J1881" s="3298" t="str">
        <f>$C$1567</f>
        <v>353560_2021_12_</v>
      </c>
      <c r="K1881" s="2225">
        <f>K1880</f>
        <v>43090.909090909088</v>
      </c>
      <c r="L1881" s="3070">
        <f t="shared" si="199"/>
        <v>3.5909090909090908</v>
      </c>
      <c r="M1881" s="2723" t="s">
        <v>1125</v>
      </c>
      <c r="N1881" s="123"/>
      <c r="O1881" s="228"/>
      <c r="P1881" s="123"/>
      <c r="Q1881" s="123"/>
      <c r="R1881" s="123"/>
      <c r="S1881" s="123"/>
      <c r="T1881" s="123"/>
      <c r="U1881" s="123"/>
      <c r="V1881" s="3990"/>
      <c r="W1881" s="2857"/>
      <c r="X1881" s="2857"/>
      <c r="Y1881" s="2857"/>
      <c r="Z1881" s="2857"/>
      <c r="AA1881" s="2857"/>
      <c r="AB1881" s="2855"/>
      <c r="AC1881" s="2225">
        <f>AC1880</f>
        <v>43090.909090909088</v>
      </c>
      <c r="AD1881" s="2857"/>
      <c r="AE1881" s="2857"/>
      <c r="AF1881" s="2857"/>
      <c r="AG1881" s="2857"/>
      <c r="BB1881" s="575"/>
      <c r="BC1881" s="576"/>
      <c r="BD1881" s="678"/>
      <c r="BE1881" s="585"/>
    </row>
    <row r="1882" spans="1:57" s="51" customFormat="1" ht="15" hidden="1" customHeight="1" outlineLevel="1" x14ac:dyDescent="0.25">
      <c r="A1882" s="2060"/>
      <c r="B1882" s="123"/>
      <c r="C1882" s="328"/>
      <c r="D1882" s="3990"/>
      <c r="E1882" s="4009"/>
      <c r="F1882" s="3010" t="str">
        <f>$E$1569</f>
        <v>ASHP-SEER21-Replace_CAC_ElectricHeat_ER1_MF</v>
      </c>
      <c r="G1882" s="2676"/>
      <c r="H1882" s="2676"/>
      <c r="I1882" s="2677"/>
      <c r="J1882" s="3299" t="str">
        <f>$C$1569</f>
        <v>353600_2019_12_</v>
      </c>
      <c r="K1882" s="2551">
        <v>37200</v>
      </c>
      <c r="L1882" s="3072">
        <f t="shared" si="199"/>
        <v>3.1</v>
      </c>
      <c r="M1882" s="2278" t="s">
        <v>1556</v>
      </c>
      <c r="N1882" s="123"/>
      <c r="O1882" s="228"/>
      <c r="P1882" s="123"/>
      <c r="Q1882" s="123"/>
      <c r="R1882" s="123"/>
      <c r="S1882" s="123"/>
      <c r="T1882" s="123"/>
      <c r="U1882" s="123"/>
      <c r="V1882" s="3990"/>
      <c r="W1882" s="2857">
        <v>37200</v>
      </c>
      <c r="X1882" s="2857">
        <v>37200</v>
      </c>
      <c r="Y1882" s="2857">
        <v>37200</v>
      </c>
      <c r="Z1882" s="2857">
        <v>37200</v>
      </c>
      <c r="AA1882" s="2857">
        <v>37200</v>
      </c>
      <c r="AB1882" s="2855">
        <v>37200</v>
      </c>
      <c r="AC1882" s="2551">
        <v>37200</v>
      </c>
      <c r="AD1882" s="2857"/>
      <c r="AE1882" s="2857"/>
      <c r="AF1882" s="2857"/>
      <c r="AG1882" s="2857"/>
      <c r="AH1882" s="1942"/>
      <c r="AI1882" s="1942"/>
      <c r="AJ1882" s="1942"/>
      <c r="AK1882" s="1942"/>
      <c r="AL1882" s="1942"/>
      <c r="AM1882" s="1942"/>
      <c r="AN1882" s="1942"/>
      <c r="AO1882" s="1942"/>
      <c r="AP1882" s="1942"/>
      <c r="AQ1882" s="1942"/>
      <c r="AR1882" s="1942"/>
      <c r="AS1882" s="1942"/>
      <c r="AT1882" s="1942"/>
      <c r="AU1882" s="1942"/>
      <c r="AV1882" s="1942"/>
      <c r="AW1882" s="1942"/>
      <c r="AX1882" s="1942"/>
      <c r="AY1882" s="1942"/>
      <c r="AZ1882" s="1942"/>
      <c r="BA1882" s="1942"/>
      <c r="BB1882" s="575"/>
      <c r="BC1882" s="576"/>
      <c r="BD1882" s="678"/>
      <c r="BE1882" s="585"/>
    </row>
    <row r="1883" spans="1:57" s="51" customFormat="1" ht="15" hidden="1" customHeight="1" outlineLevel="1" x14ac:dyDescent="0.25">
      <c r="A1883" s="2060"/>
      <c r="B1883" s="123"/>
      <c r="C1883" s="328"/>
      <c r="D1883" s="3990"/>
      <c r="E1883" s="4009"/>
      <c r="F1883" s="3010" t="str">
        <f>$E$1571</f>
        <v>ASHP-SEER21-Replace_CAC_ElectricHeat_ER2_MF</v>
      </c>
      <c r="G1883" s="2676"/>
      <c r="H1883" s="2676"/>
      <c r="I1883" s="2677"/>
      <c r="J1883" s="3299" t="str">
        <f>$C$1571</f>
        <v>353600_2019_12_</v>
      </c>
      <c r="K1883" s="2551">
        <v>37200</v>
      </c>
      <c r="L1883" s="3072">
        <f t="shared" si="199"/>
        <v>3.1</v>
      </c>
      <c r="M1883" s="2278" t="s">
        <v>1556</v>
      </c>
      <c r="N1883" s="123"/>
      <c r="O1883" s="228"/>
      <c r="P1883" s="123"/>
      <c r="Q1883" s="123"/>
      <c r="R1883" s="123"/>
      <c r="S1883" s="123"/>
      <c r="T1883" s="123"/>
      <c r="U1883" s="123"/>
      <c r="V1883" s="3990"/>
      <c r="W1883" s="2857">
        <v>37200</v>
      </c>
      <c r="X1883" s="2857">
        <v>37200</v>
      </c>
      <c r="Y1883" s="2857">
        <v>37200</v>
      </c>
      <c r="Z1883" s="2857">
        <v>37200</v>
      </c>
      <c r="AA1883" s="2857">
        <v>37200</v>
      </c>
      <c r="AB1883" s="2855">
        <v>37200</v>
      </c>
      <c r="AC1883" s="2551">
        <v>37200</v>
      </c>
      <c r="AD1883" s="2857"/>
      <c r="AE1883" s="2857"/>
      <c r="AF1883" s="2857"/>
      <c r="AG1883" s="2857"/>
      <c r="AH1883" s="1942"/>
      <c r="AI1883" s="1942"/>
      <c r="AJ1883" s="1942"/>
      <c r="AK1883" s="1942"/>
      <c r="AL1883" s="1942"/>
      <c r="AM1883" s="1942"/>
      <c r="AN1883" s="1942"/>
      <c r="AO1883" s="1942"/>
      <c r="AP1883" s="1942"/>
      <c r="AQ1883" s="1942"/>
      <c r="AR1883" s="1942"/>
      <c r="AS1883" s="1942"/>
      <c r="AT1883" s="1942"/>
      <c r="AU1883" s="1942"/>
      <c r="AV1883" s="1942"/>
      <c r="AW1883" s="1942"/>
      <c r="AX1883" s="1942"/>
      <c r="AY1883" s="1942"/>
      <c r="AZ1883" s="1942"/>
      <c r="BA1883" s="1942"/>
      <c r="BB1883" s="575"/>
      <c r="BC1883" s="576"/>
      <c r="BD1883" s="678"/>
      <c r="BE1883" s="585"/>
    </row>
    <row r="1884" spans="1:57" s="51" customFormat="1" ht="15" hidden="1" customHeight="1" outlineLevel="1" x14ac:dyDescent="0.25">
      <c r="A1884" s="2060"/>
      <c r="B1884" s="123"/>
      <c r="C1884" s="328"/>
      <c r="D1884" s="3990"/>
      <c r="E1884" s="4009"/>
      <c r="F1884" s="3010" t="str">
        <f>$E$1573</f>
        <v>ASHP-SEER21-Replace_CAC_ElectricHeat_ER1_MF_CompE</v>
      </c>
      <c r="G1884" s="2676"/>
      <c r="H1884" s="2676"/>
      <c r="I1884" s="2677"/>
      <c r="J1884" s="3299" t="str">
        <f>$C$1573</f>
        <v>353601_2019_12_</v>
      </c>
      <c r="K1884" s="2551">
        <f>K1882</f>
        <v>37200</v>
      </c>
      <c r="L1884" s="3072">
        <f t="shared" si="199"/>
        <v>3.1</v>
      </c>
      <c r="M1884" s="2278"/>
      <c r="N1884" s="123"/>
      <c r="O1884" s="228"/>
      <c r="P1884" s="123"/>
      <c r="Q1884" s="123"/>
      <c r="R1884" s="123"/>
      <c r="S1884" s="123"/>
      <c r="T1884" s="123"/>
      <c r="U1884" s="123"/>
      <c r="V1884" s="3990"/>
      <c r="W1884" s="2857"/>
      <c r="X1884" s="2857"/>
      <c r="Y1884" s="3155">
        <v>37200</v>
      </c>
      <c r="Z1884" s="2857">
        <v>37200</v>
      </c>
      <c r="AA1884" s="2857">
        <v>37200</v>
      </c>
      <c r="AB1884" s="2855">
        <v>37200</v>
      </c>
      <c r="AC1884" s="2551">
        <f>AC1882</f>
        <v>37200</v>
      </c>
      <c r="AD1884" s="2857"/>
      <c r="AE1884" s="2857"/>
      <c r="AF1884" s="2857"/>
      <c r="AG1884" s="2857"/>
      <c r="AH1884" s="1942"/>
      <c r="AI1884" s="1942"/>
      <c r="AJ1884" s="1942"/>
      <c r="AK1884" s="1942"/>
      <c r="AL1884" s="1942"/>
      <c r="AM1884" s="1942"/>
      <c r="AN1884" s="1942"/>
      <c r="AO1884" s="1942"/>
      <c r="AP1884" s="1942"/>
      <c r="AQ1884" s="1942"/>
      <c r="AR1884" s="1942"/>
      <c r="AS1884" s="1942"/>
      <c r="AT1884" s="1942"/>
      <c r="AU1884" s="1942"/>
      <c r="AV1884" s="1942"/>
      <c r="AW1884" s="1942"/>
      <c r="AX1884" s="1942"/>
      <c r="AY1884" s="1942"/>
      <c r="AZ1884" s="1942"/>
      <c r="BA1884" s="1942"/>
      <c r="BB1884" s="575"/>
      <c r="BC1884" s="576"/>
      <c r="BD1884" s="678"/>
      <c r="BE1884" s="585"/>
    </row>
    <row r="1885" spans="1:57" s="51" customFormat="1" ht="15" hidden="1" customHeight="1" outlineLevel="1" x14ac:dyDescent="0.25">
      <c r="A1885" s="2060"/>
      <c r="B1885" s="123"/>
      <c r="C1885" s="328"/>
      <c r="D1885" s="3990"/>
      <c r="E1885" s="4009"/>
      <c r="F1885" s="3010" t="str">
        <f>$E$1575</f>
        <v>ASHP-SEER21-Replace_CAC_ElectricHeat_ER2_MF_CompE</v>
      </c>
      <c r="G1885" s="2676"/>
      <c r="H1885" s="2676"/>
      <c r="I1885" s="2677"/>
      <c r="J1885" s="3299" t="str">
        <f>$C$1575</f>
        <v>353601_2019_12_</v>
      </c>
      <c r="K1885" s="2551">
        <f>K1883</f>
        <v>37200</v>
      </c>
      <c r="L1885" s="3072">
        <f t="shared" si="199"/>
        <v>3.1</v>
      </c>
      <c r="M1885" s="2278"/>
      <c r="N1885" s="123"/>
      <c r="O1885" s="228"/>
      <c r="P1885" s="123"/>
      <c r="Q1885" s="123"/>
      <c r="R1885" s="123"/>
      <c r="S1885" s="123"/>
      <c r="T1885" s="123"/>
      <c r="U1885" s="123"/>
      <c r="V1885" s="3990"/>
      <c r="W1885" s="2857"/>
      <c r="X1885" s="2857"/>
      <c r="Y1885" s="3155">
        <v>37200</v>
      </c>
      <c r="Z1885" s="2857">
        <v>37200</v>
      </c>
      <c r="AA1885" s="2857">
        <v>37200</v>
      </c>
      <c r="AB1885" s="2855">
        <v>37200</v>
      </c>
      <c r="AC1885" s="2551">
        <f>AC1883</f>
        <v>37200</v>
      </c>
      <c r="AD1885" s="2857"/>
      <c r="AE1885" s="2857"/>
      <c r="AF1885" s="2857"/>
      <c r="AG1885" s="2857"/>
      <c r="AH1885" s="1942"/>
      <c r="AI1885" s="1942"/>
      <c r="AJ1885" s="1942"/>
      <c r="AK1885" s="1942"/>
      <c r="AL1885" s="1942"/>
      <c r="AM1885" s="1942"/>
      <c r="AN1885" s="1942"/>
      <c r="AO1885" s="1942"/>
      <c r="AP1885" s="1942"/>
      <c r="AQ1885" s="1942"/>
      <c r="AR1885" s="1942"/>
      <c r="AS1885" s="1942"/>
      <c r="AT1885" s="1942"/>
      <c r="AU1885" s="1942"/>
      <c r="AV1885" s="1942"/>
      <c r="AW1885" s="1942"/>
      <c r="AX1885" s="1942"/>
      <c r="AY1885" s="1942"/>
      <c r="AZ1885" s="1942"/>
      <c r="BA1885" s="1942"/>
      <c r="BB1885" s="575"/>
      <c r="BC1885" s="576"/>
      <c r="BD1885" s="678"/>
      <c r="BE1885" s="585"/>
    </row>
    <row r="1886" spans="1:57" s="1942" customFormat="1" ht="15" hidden="1" customHeight="1" outlineLevel="1" x14ac:dyDescent="0.25">
      <c r="A1886" s="2060"/>
      <c r="B1886" s="123"/>
      <c r="C1886" s="328"/>
      <c r="D1886" s="3990"/>
      <c r="E1886" s="4009"/>
      <c r="F1886" s="3010" t="str">
        <f>$E$1577</f>
        <v>ASHP-SEER21-Replace_CAC_NonElectricHeat_ER1_MF</v>
      </c>
      <c r="G1886" s="2676"/>
      <c r="H1886" s="2676"/>
      <c r="I1886" s="2677"/>
      <c r="J1886" s="3298" t="str">
        <f>$C$1577</f>
        <v>353610_2021_12_</v>
      </c>
      <c r="K1886" s="2225">
        <v>37200</v>
      </c>
      <c r="L1886" s="3070">
        <f t="shared" si="199"/>
        <v>3.1</v>
      </c>
      <c r="M1886" s="2723" t="s">
        <v>1125</v>
      </c>
      <c r="N1886" s="123"/>
      <c r="O1886" s="228"/>
      <c r="P1886" s="123"/>
      <c r="Q1886" s="123"/>
      <c r="R1886" s="123"/>
      <c r="S1886" s="123"/>
      <c r="T1886" s="123"/>
      <c r="U1886" s="123"/>
      <c r="V1886" s="3990"/>
      <c r="W1886" s="2857"/>
      <c r="X1886" s="2857"/>
      <c r="Y1886" s="3155"/>
      <c r="Z1886" s="2857"/>
      <c r="AA1886" s="2857"/>
      <c r="AB1886" s="2855"/>
      <c r="AC1886" s="2225">
        <v>37200</v>
      </c>
      <c r="AD1886" s="2857"/>
      <c r="AE1886" s="2857"/>
      <c r="AF1886" s="2857"/>
      <c r="AG1886" s="2857"/>
      <c r="BB1886" s="575"/>
      <c r="BC1886" s="576"/>
      <c r="BD1886" s="678"/>
      <c r="BE1886" s="585"/>
    </row>
    <row r="1887" spans="1:57" s="1942" customFormat="1" ht="15" hidden="1" customHeight="1" outlineLevel="1" x14ac:dyDescent="0.25">
      <c r="A1887" s="2060"/>
      <c r="B1887" s="123"/>
      <c r="C1887" s="328"/>
      <c r="D1887" s="3990"/>
      <c r="E1887" s="4009"/>
      <c r="F1887" s="3010" t="str">
        <f>$E$1579</f>
        <v>ASHP-SEER21-Replace_CAC_NonElectricHeat_ER2_MF</v>
      </c>
      <c r="G1887" s="2676"/>
      <c r="H1887" s="2676"/>
      <c r="I1887" s="2677"/>
      <c r="J1887" s="3298" t="str">
        <f>$C$1579</f>
        <v>353610_2021_12_</v>
      </c>
      <c r="K1887" s="2225">
        <v>37200</v>
      </c>
      <c r="L1887" s="3070">
        <f t="shared" si="199"/>
        <v>3.1</v>
      </c>
      <c r="M1887" s="2723" t="s">
        <v>1125</v>
      </c>
      <c r="N1887" s="123"/>
      <c r="O1887" s="228"/>
      <c r="P1887" s="123"/>
      <c r="Q1887" s="123"/>
      <c r="R1887" s="123"/>
      <c r="S1887" s="123"/>
      <c r="T1887" s="123"/>
      <c r="U1887" s="123"/>
      <c r="V1887" s="3990"/>
      <c r="W1887" s="2857"/>
      <c r="X1887" s="2857"/>
      <c r="Y1887" s="3155"/>
      <c r="Z1887" s="2857"/>
      <c r="AA1887" s="2857"/>
      <c r="AB1887" s="2855"/>
      <c r="AC1887" s="2225">
        <v>37200</v>
      </c>
      <c r="AD1887" s="2857"/>
      <c r="AE1887" s="2857"/>
      <c r="AF1887" s="2857"/>
      <c r="AG1887" s="2857"/>
      <c r="BB1887" s="575"/>
      <c r="BC1887" s="576"/>
      <c r="BD1887" s="678"/>
      <c r="BE1887" s="585"/>
    </row>
    <row r="1888" spans="1:57" s="1942" customFormat="1" ht="15" hidden="1" customHeight="1" outlineLevel="1" x14ac:dyDescent="0.25">
      <c r="A1888" s="2060"/>
      <c r="B1888" s="123"/>
      <c r="C1888" s="328"/>
      <c r="D1888" s="3990"/>
      <c r="E1888" s="4009"/>
      <c r="F1888" s="3010" t="str">
        <f>$E$1581</f>
        <v>ASHP-SEER21-Replace_CAC_NonElectricHeat_ER1_MF_CompE</v>
      </c>
      <c r="G1888" s="2676"/>
      <c r="H1888" s="2676"/>
      <c r="I1888" s="2677"/>
      <c r="J1888" s="3298" t="str">
        <f>$C$1581</f>
        <v>353611_2021_12_</v>
      </c>
      <c r="K1888" s="2225">
        <f>K1886</f>
        <v>37200</v>
      </c>
      <c r="L1888" s="3070">
        <f t="shared" si="199"/>
        <v>3.1</v>
      </c>
      <c r="M1888" s="2723" t="s">
        <v>1125</v>
      </c>
      <c r="N1888" s="123"/>
      <c r="O1888" s="228"/>
      <c r="P1888" s="123"/>
      <c r="Q1888" s="123"/>
      <c r="R1888" s="123"/>
      <c r="S1888" s="123"/>
      <c r="T1888" s="123"/>
      <c r="U1888" s="123"/>
      <c r="V1888" s="3990"/>
      <c r="W1888" s="2857"/>
      <c r="X1888" s="2857"/>
      <c r="Y1888" s="3155"/>
      <c r="Z1888" s="2857"/>
      <c r="AA1888" s="2857"/>
      <c r="AB1888" s="2855"/>
      <c r="AC1888" s="2225">
        <f>AC1886</f>
        <v>37200</v>
      </c>
      <c r="AD1888" s="2857"/>
      <c r="AE1888" s="2857"/>
      <c r="AF1888" s="2857"/>
      <c r="AG1888" s="2857"/>
      <c r="BB1888" s="575"/>
      <c r="BC1888" s="576"/>
      <c r="BD1888" s="678"/>
      <c r="BE1888" s="585"/>
    </row>
    <row r="1889" spans="1:57" s="1942" customFormat="1" ht="15" hidden="1" customHeight="1" outlineLevel="1" x14ac:dyDescent="0.25">
      <c r="A1889" s="2060"/>
      <c r="B1889" s="123"/>
      <c r="C1889" s="328"/>
      <c r="D1889" s="3990"/>
      <c r="E1889" s="4009"/>
      <c r="F1889" s="3010" t="str">
        <f>$E$1583</f>
        <v>ASHP-SEER21-Replace_CAC_NonElectricHeat_ER2_MF_CompE</v>
      </c>
      <c r="G1889" s="2676"/>
      <c r="H1889" s="2676"/>
      <c r="I1889" s="2677"/>
      <c r="J1889" s="3298" t="str">
        <f>$C$1583</f>
        <v>353611_2021_12_</v>
      </c>
      <c r="K1889" s="2225">
        <f>K1887</f>
        <v>37200</v>
      </c>
      <c r="L1889" s="3070">
        <f t="shared" si="199"/>
        <v>3.1</v>
      </c>
      <c r="M1889" s="2723" t="s">
        <v>1125</v>
      </c>
      <c r="N1889" s="123"/>
      <c r="O1889" s="228"/>
      <c r="P1889" s="123"/>
      <c r="Q1889" s="123"/>
      <c r="R1889" s="123"/>
      <c r="S1889" s="123"/>
      <c r="T1889" s="123"/>
      <c r="U1889" s="123"/>
      <c r="V1889" s="3990"/>
      <c r="W1889" s="2857"/>
      <c r="X1889" s="2857"/>
      <c r="Y1889" s="3155"/>
      <c r="Z1889" s="2857"/>
      <c r="AA1889" s="2857"/>
      <c r="AB1889" s="2855"/>
      <c r="AC1889" s="2225">
        <f>AC1887</f>
        <v>37200</v>
      </c>
      <c r="AD1889" s="2857"/>
      <c r="AE1889" s="2857"/>
      <c r="AF1889" s="2857"/>
      <c r="AG1889" s="2857"/>
      <c r="BB1889" s="575"/>
      <c r="BC1889" s="576"/>
      <c r="BD1889" s="678"/>
      <c r="BE1889" s="585"/>
    </row>
    <row r="1890" spans="1:57" s="51" customFormat="1" ht="15" hidden="1" customHeight="1" outlineLevel="1" x14ac:dyDescent="0.25">
      <c r="A1890" s="2060"/>
      <c r="B1890" s="123"/>
      <c r="C1890" s="328"/>
      <c r="D1890" s="3990"/>
      <c r="E1890" s="4009"/>
      <c r="F1890" s="3010" t="str">
        <f>$E$1585</f>
        <v>ASHP-SEER21-Replace_CAC_ElectricHeat_ROF_SF</v>
      </c>
      <c r="G1890" s="2676"/>
      <c r="H1890" s="2676"/>
      <c r="I1890" s="2677"/>
      <c r="J1890" s="3298" t="str">
        <f>$C$1585</f>
        <v>353650_2021_12_</v>
      </c>
      <c r="K1890" s="2225">
        <v>42000</v>
      </c>
      <c r="L1890" s="3070">
        <f t="shared" si="199"/>
        <v>3.5</v>
      </c>
      <c r="M1890" s="2723" t="s">
        <v>1555</v>
      </c>
      <c r="N1890" s="123"/>
      <c r="O1890" s="228"/>
      <c r="P1890" s="123"/>
      <c r="Q1890" s="123"/>
      <c r="R1890" s="123"/>
      <c r="S1890" s="123"/>
      <c r="T1890" s="123"/>
      <c r="U1890" s="123"/>
      <c r="V1890" s="3990"/>
      <c r="W1890" s="2857">
        <v>38400</v>
      </c>
      <c r="X1890" s="2857">
        <v>38400</v>
      </c>
      <c r="Y1890" s="2857">
        <v>38400</v>
      </c>
      <c r="Z1890" s="2857">
        <v>38400</v>
      </c>
      <c r="AA1890" s="2857">
        <v>38400</v>
      </c>
      <c r="AB1890" s="2855">
        <v>38400</v>
      </c>
      <c r="AC1890" s="2225">
        <v>42000</v>
      </c>
      <c r="AD1890" s="2857"/>
      <c r="AE1890" s="2857"/>
      <c r="AF1890" s="2857"/>
      <c r="AG1890" s="2857"/>
      <c r="AH1890" s="1942"/>
      <c r="AI1890" s="1942"/>
      <c r="AJ1890" s="1942"/>
      <c r="AK1890" s="1942"/>
      <c r="AL1890" s="1942"/>
      <c r="AM1890" s="1942"/>
      <c r="AN1890" s="1942"/>
      <c r="AO1890" s="1942"/>
      <c r="AP1890" s="1942"/>
      <c r="AQ1890" s="1942"/>
      <c r="AR1890" s="1942"/>
      <c r="AS1890" s="1942"/>
      <c r="AT1890" s="1942"/>
      <c r="AU1890" s="1942"/>
      <c r="AV1890" s="1942"/>
      <c r="AW1890" s="1942"/>
      <c r="AX1890" s="1942"/>
      <c r="AY1890" s="1942"/>
      <c r="AZ1890" s="1942"/>
      <c r="BA1890" s="1942"/>
      <c r="BB1890" s="575"/>
      <c r="BC1890" s="576"/>
      <c r="BD1890" s="678"/>
      <c r="BE1890" s="585"/>
    </row>
    <row r="1891" spans="1:57" s="51" customFormat="1" ht="15" hidden="1" customHeight="1" outlineLevel="1" x14ac:dyDescent="0.25">
      <c r="A1891" s="1267"/>
      <c r="B1891" s="123"/>
      <c r="C1891" s="328"/>
      <c r="D1891" s="3990"/>
      <c r="E1891" s="4009"/>
      <c r="F1891" s="3010" t="str">
        <f>$E$1587</f>
        <v>ASHP-SEER21+-Replace_CAC_ElectricHeat_ROF_MF</v>
      </c>
      <c r="G1891" s="2676"/>
      <c r="H1891" s="2676"/>
      <c r="I1891" s="2677"/>
      <c r="J1891" s="3299" t="str">
        <f>$C$1587</f>
        <v>353700_2019_12_</v>
      </c>
      <c r="K1891" s="2551">
        <v>38400</v>
      </c>
      <c r="L1891" s="3072">
        <f t="shared" si="199"/>
        <v>3.2</v>
      </c>
      <c r="M1891" s="2278" t="s">
        <v>1556</v>
      </c>
      <c r="N1891" s="123"/>
      <c r="O1891" s="228"/>
      <c r="P1891" s="123"/>
      <c r="Q1891" s="123"/>
      <c r="R1891" s="123"/>
      <c r="S1891" s="123"/>
      <c r="T1891" s="123"/>
      <c r="U1891" s="123"/>
      <c r="V1891" s="3990"/>
      <c r="W1891" s="2857">
        <v>38400</v>
      </c>
      <c r="X1891" s="2857">
        <v>38400</v>
      </c>
      <c r="Y1891" s="2857">
        <v>38400</v>
      </c>
      <c r="Z1891" s="2857">
        <v>38400</v>
      </c>
      <c r="AA1891" s="2857">
        <v>38400</v>
      </c>
      <c r="AB1891" s="2855">
        <v>38400</v>
      </c>
      <c r="AC1891" s="2551">
        <v>38400</v>
      </c>
      <c r="AD1891" s="2857"/>
      <c r="AE1891" s="2857"/>
      <c r="AF1891" s="2857"/>
      <c r="AG1891" s="2857"/>
      <c r="AH1891" s="1942"/>
      <c r="AI1891" s="1942"/>
      <c r="AJ1891" s="1942"/>
      <c r="AK1891" s="1942"/>
      <c r="AL1891" s="1942"/>
      <c r="AM1891" s="1942"/>
      <c r="AN1891" s="1942"/>
      <c r="AO1891" s="1942"/>
      <c r="AP1891" s="1942"/>
      <c r="AQ1891" s="1942"/>
      <c r="AR1891" s="1942"/>
      <c r="AS1891" s="1942"/>
      <c r="AT1891" s="1942"/>
      <c r="AU1891" s="1942"/>
      <c r="AV1891" s="1942"/>
      <c r="AW1891" s="1942"/>
      <c r="AX1891" s="1942"/>
      <c r="AY1891" s="1942"/>
      <c r="AZ1891" s="1942"/>
      <c r="BA1891" s="1942"/>
      <c r="BB1891" s="575"/>
      <c r="BC1891" s="576"/>
      <c r="BD1891" s="678"/>
      <c r="BE1891" s="585"/>
    </row>
    <row r="1892" spans="1:57" s="51" customFormat="1" ht="15" hidden="1" customHeight="1" outlineLevel="1" x14ac:dyDescent="0.25">
      <c r="A1892" s="1267"/>
      <c r="B1892" s="123"/>
      <c r="C1892" s="328"/>
      <c r="D1892" s="3990"/>
      <c r="E1892" s="4009"/>
      <c r="F1892" s="3010" t="str">
        <f>$E$1589</f>
        <v>ASHP-SEER21+-Replace_CAC_ElectricHeat_ROF_MF_CompE</v>
      </c>
      <c r="G1892" s="2676"/>
      <c r="H1892" s="2676"/>
      <c r="I1892" s="2677"/>
      <c r="J1892" s="3299" t="str">
        <f>$C$1589</f>
        <v>353701_2019_12_</v>
      </c>
      <c r="K1892" s="2551">
        <v>38400</v>
      </c>
      <c r="L1892" s="3072">
        <f t="shared" si="199"/>
        <v>3.2</v>
      </c>
      <c r="M1892" s="2278"/>
      <c r="N1892" s="123"/>
      <c r="O1892" s="228"/>
      <c r="P1892" s="123"/>
      <c r="Q1892" s="123"/>
      <c r="R1892" s="123"/>
      <c r="S1892" s="123"/>
      <c r="T1892" s="123"/>
      <c r="U1892" s="123"/>
      <c r="V1892" s="3990"/>
      <c r="W1892" s="2857"/>
      <c r="X1892" s="2857"/>
      <c r="Y1892" s="3155">
        <v>38400</v>
      </c>
      <c r="Z1892" s="2857">
        <v>38400</v>
      </c>
      <c r="AA1892" s="2857">
        <v>38400</v>
      </c>
      <c r="AB1892" s="2855">
        <v>38400</v>
      </c>
      <c r="AC1892" s="2551">
        <v>38400</v>
      </c>
      <c r="AD1892" s="2857"/>
      <c r="AE1892" s="2857"/>
      <c r="AF1892" s="2857"/>
      <c r="AG1892" s="2857"/>
      <c r="AH1892" s="1942"/>
      <c r="AI1892" s="1942"/>
      <c r="AJ1892" s="1942"/>
      <c r="AK1892" s="1942"/>
      <c r="AL1892" s="1942"/>
      <c r="AM1892" s="1942"/>
      <c r="AN1892" s="1942"/>
      <c r="AO1892" s="1942"/>
      <c r="AP1892" s="1942"/>
      <c r="AQ1892" s="1942"/>
      <c r="AR1892" s="1942"/>
      <c r="AS1892" s="1942"/>
      <c r="AT1892" s="1942"/>
      <c r="AU1892" s="1942"/>
      <c r="AV1892" s="1942"/>
      <c r="AW1892" s="1942"/>
      <c r="AX1892" s="1942"/>
      <c r="AY1892" s="1942"/>
      <c r="AZ1892" s="1942"/>
      <c r="BA1892" s="1942"/>
      <c r="BB1892" s="575"/>
      <c r="BC1892" s="576"/>
      <c r="BD1892" s="678"/>
      <c r="BE1892" s="585"/>
    </row>
    <row r="1893" spans="1:57" s="1942" customFormat="1" ht="15" hidden="1" customHeight="1" outlineLevel="1" x14ac:dyDescent="0.25">
      <c r="A1893" s="1267"/>
      <c r="B1893" s="123"/>
      <c r="C1893" s="328"/>
      <c r="D1893" s="3990"/>
      <c r="E1893" s="4009"/>
      <c r="F1893" s="3010" t="str">
        <f>$E$1591</f>
        <v>ASHP-SEER21+-Replace_CAC_NonElectricHeat_ROF_MF</v>
      </c>
      <c r="G1893" s="2676"/>
      <c r="H1893" s="2676"/>
      <c r="I1893" s="2677"/>
      <c r="J1893" s="3298" t="str">
        <f>$C$1591</f>
        <v>353710_2021_12_</v>
      </c>
      <c r="K1893" s="2225">
        <v>38400</v>
      </c>
      <c r="L1893" s="3070">
        <f t="shared" si="199"/>
        <v>3.2</v>
      </c>
      <c r="M1893" s="2723" t="s">
        <v>1125</v>
      </c>
      <c r="N1893" s="123"/>
      <c r="O1893" s="228"/>
      <c r="P1893" s="123"/>
      <c r="Q1893" s="123"/>
      <c r="R1893" s="123"/>
      <c r="S1893" s="123"/>
      <c r="T1893" s="123"/>
      <c r="U1893" s="123"/>
      <c r="V1893" s="3990"/>
      <c r="W1893" s="2857"/>
      <c r="X1893" s="2857"/>
      <c r="Y1893" s="3155"/>
      <c r="Z1893" s="2857"/>
      <c r="AA1893" s="2857"/>
      <c r="AB1893" s="2855"/>
      <c r="AC1893" s="2225">
        <v>38400</v>
      </c>
      <c r="AD1893" s="2857"/>
      <c r="AE1893" s="2857"/>
      <c r="AF1893" s="2857"/>
      <c r="AG1893" s="2857"/>
      <c r="BB1893" s="575"/>
      <c r="BC1893" s="576"/>
      <c r="BD1893" s="678"/>
      <c r="BE1893" s="585"/>
    </row>
    <row r="1894" spans="1:57" s="1942" customFormat="1" ht="15" hidden="1" customHeight="1" outlineLevel="1" x14ac:dyDescent="0.25">
      <c r="A1894" s="1267"/>
      <c r="B1894" s="123"/>
      <c r="C1894" s="328"/>
      <c r="D1894" s="3990"/>
      <c r="E1894" s="4009"/>
      <c r="F1894" s="3010" t="str">
        <f>$E$1593</f>
        <v>ASHP-SEER21+-Replace_CAC_NonElectricHeat_ROF_MF_CompE</v>
      </c>
      <c r="G1894" s="2676"/>
      <c r="H1894" s="2676"/>
      <c r="I1894" s="2677"/>
      <c r="J1894" s="3298" t="str">
        <f>$C$1593</f>
        <v>353711_2021_12_</v>
      </c>
      <c r="K1894" s="2225">
        <v>38400</v>
      </c>
      <c r="L1894" s="3070">
        <f t="shared" si="199"/>
        <v>3.2</v>
      </c>
      <c r="M1894" s="2723" t="s">
        <v>1125</v>
      </c>
      <c r="N1894" s="123"/>
      <c r="O1894" s="228"/>
      <c r="P1894" s="123"/>
      <c r="Q1894" s="123"/>
      <c r="R1894" s="123"/>
      <c r="S1894" s="123"/>
      <c r="T1894" s="123"/>
      <c r="U1894" s="123"/>
      <c r="V1894" s="3990"/>
      <c r="W1894" s="2857"/>
      <c r="X1894" s="2857"/>
      <c r="Y1894" s="3155"/>
      <c r="Z1894" s="2857"/>
      <c r="AA1894" s="2857"/>
      <c r="AB1894" s="2855"/>
      <c r="AC1894" s="2225">
        <v>38400</v>
      </c>
      <c r="AD1894" s="2857"/>
      <c r="AE1894" s="2857"/>
      <c r="AF1894" s="2857"/>
      <c r="AG1894" s="2857"/>
      <c r="BB1894" s="575"/>
      <c r="BC1894" s="576"/>
      <c r="BD1894" s="678"/>
      <c r="BE1894" s="585"/>
    </row>
    <row r="1895" spans="1:57" s="51" customFormat="1" ht="15" hidden="1" customHeight="1" outlineLevel="1" x14ac:dyDescent="0.25">
      <c r="A1895" s="1267"/>
      <c r="B1895" s="123"/>
      <c r="C1895" s="328"/>
      <c r="D1895" s="3990"/>
      <c r="E1895" s="4009"/>
      <c r="F1895" s="3010" t="str">
        <f>$E$1595</f>
        <v>ASHP-SEER17_ER1_SF</v>
      </c>
      <c r="G1895" s="2676"/>
      <c r="H1895" s="2676"/>
      <c r="I1895" s="2677"/>
      <c r="J1895" s="3298" t="str">
        <f>$C$1595</f>
        <v>353750_2021_12_</v>
      </c>
      <c r="K1895" s="2225">
        <v>35142.857142857138</v>
      </c>
      <c r="L1895" s="3070">
        <f t="shared" si="199"/>
        <v>2.9285714285714279</v>
      </c>
      <c r="M1895" s="2723" t="s">
        <v>1555</v>
      </c>
      <c r="N1895" s="123"/>
      <c r="O1895" s="228"/>
      <c r="P1895" s="123"/>
      <c r="Q1895" s="123"/>
      <c r="R1895" s="123"/>
      <c r="S1895" s="123"/>
      <c r="T1895" s="123"/>
      <c r="U1895" s="123"/>
      <c r="V1895" s="3990"/>
      <c r="W1895" s="2857">
        <v>39600</v>
      </c>
      <c r="X1895" s="2857">
        <v>39600</v>
      </c>
      <c r="Y1895" s="2857">
        <v>39600</v>
      </c>
      <c r="Z1895" s="2857">
        <v>39600</v>
      </c>
      <c r="AA1895" s="2857">
        <v>39600</v>
      </c>
      <c r="AB1895" s="2855">
        <v>39600</v>
      </c>
      <c r="AC1895" s="2225">
        <v>35142.857142857138</v>
      </c>
      <c r="AD1895" s="2857"/>
      <c r="AE1895" s="2857"/>
      <c r="AF1895" s="2857"/>
      <c r="AG1895" s="2857"/>
      <c r="AH1895" s="1942"/>
      <c r="AI1895" s="1942"/>
      <c r="AJ1895" s="1942"/>
      <c r="AK1895" s="1942"/>
      <c r="AL1895" s="1942"/>
      <c r="AM1895" s="1942"/>
      <c r="AN1895" s="1942"/>
      <c r="AO1895" s="1942"/>
      <c r="AP1895" s="1942"/>
      <c r="AQ1895" s="1942"/>
      <c r="AR1895" s="1942"/>
      <c r="AS1895" s="1942"/>
      <c r="AT1895" s="1942"/>
      <c r="AU1895" s="1942"/>
      <c r="AV1895" s="1942"/>
      <c r="AW1895" s="1942"/>
      <c r="AX1895" s="1942"/>
      <c r="AY1895" s="1942"/>
      <c r="AZ1895" s="1942"/>
      <c r="BA1895" s="1942"/>
      <c r="BB1895" s="575"/>
      <c r="BC1895" s="576"/>
      <c r="BD1895" s="678"/>
      <c r="BE1895" s="585"/>
    </row>
    <row r="1896" spans="1:57" s="51" customFormat="1" ht="15" hidden="1" customHeight="1" outlineLevel="1" x14ac:dyDescent="0.25">
      <c r="A1896" s="1267"/>
      <c r="B1896" s="123"/>
      <c r="C1896" s="328"/>
      <c r="D1896" s="3990"/>
      <c r="E1896" s="4009"/>
      <c r="F1896" s="3010" t="str">
        <f>$E$1597</f>
        <v>ASHP-SEER17_ER2_SF</v>
      </c>
      <c r="G1896" s="2676"/>
      <c r="H1896" s="2676"/>
      <c r="I1896" s="2677"/>
      <c r="J1896" s="3298" t="str">
        <f>$C$1597</f>
        <v>353750_2021_12_</v>
      </c>
      <c r="K1896" s="2225">
        <f>K1895</f>
        <v>35142.857142857138</v>
      </c>
      <c r="L1896" s="3070">
        <f t="shared" si="199"/>
        <v>2.9285714285714279</v>
      </c>
      <c r="M1896" s="2723" t="s">
        <v>1555</v>
      </c>
      <c r="N1896" s="123"/>
      <c r="O1896" s="228"/>
      <c r="P1896" s="123"/>
      <c r="Q1896" s="123"/>
      <c r="R1896" s="123"/>
      <c r="S1896" s="123"/>
      <c r="T1896" s="123"/>
      <c r="U1896" s="123"/>
      <c r="V1896" s="3990"/>
      <c r="W1896" s="2857">
        <v>39600</v>
      </c>
      <c r="X1896" s="2857">
        <v>39600</v>
      </c>
      <c r="Y1896" s="2857">
        <v>39600</v>
      </c>
      <c r="Z1896" s="2857">
        <v>39600</v>
      </c>
      <c r="AA1896" s="2857">
        <v>39600</v>
      </c>
      <c r="AB1896" s="2855">
        <v>39600</v>
      </c>
      <c r="AC1896" s="2225">
        <f>AC1895</f>
        <v>35142.857142857138</v>
      </c>
      <c r="AD1896" s="2857"/>
      <c r="AE1896" s="2857"/>
      <c r="AF1896" s="2857"/>
      <c r="AG1896" s="2857"/>
      <c r="AH1896" s="1942"/>
      <c r="AI1896" s="1942"/>
      <c r="AJ1896" s="1942"/>
      <c r="AK1896" s="1942"/>
      <c r="AL1896" s="1942"/>
      <c r="AM1896" s="1942"/>
      <c r="AN1896" s="1942"/>
      <c r="AO1896" s="1942"/>
      <c r="AP1896" s="1942"/>
      <c r="AQ1896" s="1942"/>
      <c r="AR1896" s="1942"/>
      <c r="AS1896" s="1942"/>
      <c r="AT1896" s="1942"/>
      <c r="AU1896" s="1942"/>
      <c r="AV1896" s="1942"/>
      <c r="AW1896" s="1942"/>
      <c r="AX1896" s="1942"/>
      <c r="AY1896" s="1942"/>
      <c r="AZ1896" s="1942"/>
      <c r="BA1896" s="1942"/>
      <c r="BB1896" s="575"/>
      <c r="BC1896" s="576"/>
      <c r="BD1896" s="678"/>
      <c r="BE1896" s="585"/>
    </row>
    <row r="1897" spans="1:57" s="51" customFormat="1" ht="15" hidden="1" customHeight="1" outlineLevel="1" x14ac:dyDescent="0.25">
      <c r="A1897" s="2060"/>
      <c r="B1897" s="123"/>
      <c r="C1897" s="328"/>
      <c r="D1897" s="3990"/>
      <c r="E1897" s="4009"/>
      <c r="F1897" s="3010" t="str">
        <f>$E$1599</f>
        <v>ASHP-SEER17_ROF_SF</v>
      </c>
      <c r="G1897" s="2676"/>
      <c r="H1897" s="2676"/>
      <c r="I1897" s="2677"/>
      <c r="J1897" s="3298" t="str">
        <f>$C$1599</f>
        <v>353800_2021_12_</v>
      </c>
      <c r="K1897" s="2225">
        <v>46285.71428571429</v>
      </c>
      <c r="L1897" s="3070">
        <f t="shared" si="199"/>
        <v>3.8571428571428577</v>
      </c>
      <c r="M1897" s="2723" t="s">
        <v>1555</v>
      </c>
      <c r="N1897" s="123"/>
      <c r="O1897" s="228"/>
      <c r="P1897" s="123"/>
      <c r="Q1897" s="123"/>
      <c r="R1897" s="123"/>
      <c r="S1897" s="123"/>
      <c r="T1897" s="123"/>
      <c r="U1897" s="123"/>
      <c r="V1897" s="3990"/>
      <c r="W1897" s="2857">
        <v>39600</v>
      </c>
      <c r="X1897" s="2857">
        <v>39600</v>
      </c>
      <c r="Y1897" s="2857">
        <v>39600</v>
      </c>
      <c r="Z1897" s="2857">
        <v>39600</v>
      </c>
      <c r="AA1897" s="2857">
        <v>39600</v>
      </c>
      <c r="AB1897" s="2855">
        <v>39600</v>
      </c>
      <c r="AC1897" s="2225">
        <v>46285.71428571429</v>
      </c>
      <c r="AD1897" s="2857"/>
      <c r="AE1897" s="2857"/>
      <c r="AF1897" s="2857"/>
      <c r="AG1897" s="2857"/>
      <c r="AH1897" s="1942"/>
      <c r="AI1897" s="1942"/>
      <c r="AJ1897" s="1942"/>
      <c r="AK1897" s="1942"/>
      <c r="AL1897" s="1942"/>
      <c r="AM1897" s="1942"/>
      <c r="AN1897" s="1942"/>
      <c r="AO1897" s="1942"/>
      <c r="AP1897" s="1942"/>
      <c r="AQ1897" s="1942"/>
      <c r="AR1897" s="1942"/>
      <c r="AS1897" s="1942"/>
      <c r="AT1897" s="1942"/>
      <c r="AU1897" s="1942"/>
      <c r="AV1897" s="1942"/>
      <c r="AW1897" s="1942"/>
      <c r="AX1897" s="1942"/>
      <c r="AY1897" s="1942"/>
      <c r="AZ1897" s="1942"/>
      <c r="BA1897" s="1942"/>
      <c r="BB1897" s="575"/>
      <c r="BC1897" s="576"/>
      <c r="BD1897" s="678"/>
      <c r="BE1897" s="585"/>
    </row>
    <row r="1898" spans="1:57" s="51" customFormat="1" ht="15" hidden="1" customHeight="1" outlineLevel="1" x14ac:dyDescent="0.25">
      <c r="A1898" s="1267"/>
      <c r="B1898" s="123"/>
      <c r="C1898" s="328"/>
      <c r="D1898" s="3990"/>
      <c r="E1898" s="4009"/>
      <c r="F1898" s="3010" t="str">
        <f>$E$1601</f>
        <v>ASHP-SEER18_ER1_SF</v>
      </c>
      <c r="G1898" s="2676"/>
      <c r="H1898" s="2676"/>
      <c r="I1898" s="2677"/>
      <c r="J1898" s="3298" t="str">
        <f>$C$1601</f>
        <v>353850_2021_12_</v>
      </c>
      <c r="K1898" s="2225">
        <v>38521.739130434784</v>
      </c>
      <c r="L1898" s="3070">
        <f t="shared" si="199"/>
        <v>3.2101449275362319</v>
      </c>
      <c r="M1898" s="2723" t="s">
        <v>1551</v>
      </c>
      <c r="N1898" s="123"/>
      <c r="O1898" s="228"/>
      <c r="P1898" s="123"/>
      <c r="Q1898" s="123"/>
      <c r="R1898" s="123"/>
      <c r="S1898" s="123"/>
      <c r="T1898" s="123"/>
      <c r="U1898" s="123"/>
      <c r="V1898" s="3990"/>
      <c r="W1898" s="2857">
        <v>39600</v>
      </c>
      <c r="X1898" s="2857">
        <v>39600</v>
      </c>
      <c r="Y1898" s="2857">
        <v>39600</v>
      </c>
      <c r="Z1898" s="2857">
        <v>39600</v>
      </c>
      <c r="AA1898" s="2857">
        <v>39600</v>
      </c>
      <c r="AB1898" s="3150">
        <v>42600</v>
      </c>
      <c r="AC1898" s="2225">
        <v>38521.739130434784</v>
      </c>
      <c r="AD1898" s="2857"/>
      <c r="AE1898" s="2857"/>
      <c r="AF1898" s="2857"/>
      <c r="AG1898" s="2857"/>
      <c r="AH1898" s="1942"/>
      <c r="AI1898" s="1942"/>
      <c r="AJ1898" s="1942"/>
      <c r="AK1898" s="1942"/>
      <c r="AL1898" s="1942"/>
      <c r="AM1898" s="1942"/>
      <c r="AN1898" s="1942"/>
      <c r="AO1898" s="1942"/>
      <c r="AP1898" s="1942"/>
      <c r="AQ1898" s="1942"/>
      <c r="AR1898" s="1942"/>
      <c r="AS1898" s="1942"/>
      <c r="AT1898" s="1942"/>
      <c r="AU1898" s="1942"/>
      <c r="AV1898" s="1942"/>
      <c r="AW1898" s="1942"/>
      <c r="AX1898" s="1942"/>
      <c r="AY1898" s="1942"/>
      <c r="AZ1898" s="1942"/>
      <c r="BA1898" s="1942"/>
      <c r="BB1898" s="575"/>
      <c r="BC1898" s="576"/>
      <c r="BD1898" s="678"/>
      <c r="BE1898" s="585"/>
    </row>
    <row r="1899" spans="1:57" s="51" customFormat="1" ht="15" hidden="1" customHeight="1" outlineLevel="1" x14ac:dyDescent="0.25">
      <c r="A1899" s="2060"/>
      <c r="B1899" s="123"/>
      <c r="C1899" s="328"/>
      <c r="D1899" s="3990"/>
      <c r="E1899" s="4009"/>
      <c r="F1899" s="3010" t="str">
        <f>$E$1603</f>
        <v>ASHP-SEER18_ER2_SF</v>
      </c>
      <c r="G1899" s="2676"/>
      <c r="H1899" s="2676"/>
      <c r="I1899" s="2677"/>
      <c r="J1899" s="3298" t="str">
        <f>$C$1603</f>
        <v>353850_2021_12_</v>
      </c>
      <c r="K1899" s="2225">
        <f>K1898</f>
        <v>38521.739130434784</v>
      </c>
      <c r="L1899" s="3070">
        <f t="shared" si="199"/>
        <v>3.2101449275362319</v>
      </c>
      <c r="M1899" s="2723" t="s">
        <v>1551</v>
      </c>
      <c r="N1899" s="123"/>
      <c r="O1899" s="228"/>
      <c r="P1899" s="123"/>
      <c r="Q1899" s="123"/>
      <c r="R1899" s="123"/>
      <c r="S1899" s="123"/>
      <c r="T1899" s="123"/>
      <c r="U1899" s="123"/>
      <c r="V1899" s="3990"/>
      <c r="W1899" s="2857">
        <v>39600</v>
      </c>
      <c r="X1899" s="2857">
        <v>39600</v>
      </c>
      <c r="Y1899" s="2857">
        <v>39600</v>
      </c>
      <c r="Z1899" s="2857">
        <v>39600</v>
      </c>
      <c r="AA1899" s="2857">
        <v>39600</v>
      </c>
      <c r="AB1899" s="3150">
        <v>42600</v>
      </c>
      <c r="AC1899" s="2225">
        <f>AC1898</f>
        <v>38521.739130434784</v>
      </c>
      <c r="AD1899" s="2857"/>
      <c r="AE1899" s="2857"/>
      <c r="AF1899" s="2857"/>
      <c r="AG1899" s="2857"/>
      <c r="AH1899" s="1942"/>
      <c r="AI1899" s="1942"/>
      <c r="AJ1899" s="1942"/>
      <c r="AK1899" s="1942"/>
      <c r="AL1899" s="1942"/>
      <c r="AM1899" s="1942"/>
      <c r="AN1899" s="1942"/>
      <c r="AO1899" s="1942"/>
      <c r="AP1899" s="1942"/>
      <c r="AQ1899" s="1942"/>
      <c r="AR1899" s="1942"/>
      <c r="AS1899" s="1942"/>
      <c r="AT1899" s="1942"/>
      <c r="AU1899" s="1942"/>
      <c r="AV1899" s="1942"/>
      <c r="AW1899" s="1942"/>
      <c r="AX1899" s="1942"/>
      <c r="AY1899" s="1942"/>
      <c r="AZ1899" s="1942"/>
      <c r="BA1899" s="1942"/>
      <c r="BB1899" s="575"/>
      <c r="BC1899" s="576"/>
      <c r="BD1899" s="678"/>
      <c r="BE1899" s="585"/>
    </row>
    <row r="1900" spans="1:57" s="51" customFormat="1" ht="15" hidden="1" customHeight="1" outlineLevel="1" x14ac:dyDescent="0.25">
      <c r="A1900" s="1267"/>
      <c r="B1900" s="123"/>
      <c r="C1900" s="328"/>
      <c r="D1900" s="3990"/>
      <c r="E1900" s="4009"/>
      <c r="F1900" s="3010" t="str">
        <f>$E$1605</f>
        <v>ASHP-SEER18_ROF_SF</v>
      </c>
      <c r="G1900" s="2676"/>
      <c r="H1900" s="2676"/>
      <c r="I1900" s="2677"/>
      <c r="J1900" s="3298" t="str">
        <f>$C$1605</f>
        <v>353950_2021_12_</v>
      </c>
      <c r="K1900" s="2225">
        <v>41250</v>
      </c>
      <c r="L1900" s="3070">
        <f t="shared" si="199"/>
        <v>3.4375</v>
      </c>
      <c r="M1900" s="2723" t="s">
        <v>1555</v>
      </c>
      <c r="N1900" s="123"/>
      <c r="O1900" s="228"/>
      <c r="P1900" s="123"/>
      <c r="Q1900" s="123"/>
      <c r="R1900" s="123"/>
      <c r="S1900" s="123"/>
      <c r="T1900" s="123"/>
      <c r="U1900" s="123"/>
      <c r="V1900" s="3990"/>
      <c r="W1900" s="2857">
        <v>39600</v>
      </c>
      <c r="X1900" s="2857">
        <v>39600</v>
      </c>
      <c r="Y1900" s="2857">
        <v>39600</v>
      </c>
      <c r="Z1900" s="2857">
        <v>39600</v>
      </c>
      <c r="AA1900" s="2857">
        <v>39600</v>
      </c>
      <c r="AB1900" s="2855">
        <v>39600</v>
      </c>
      <c r="AC1900" s="2225">
        <v>41250</v>
      </c>
      <c r="AD1900" s="2857"/>
      <c r="AE1900" s="2857"/>
      <c r="AF1900" s="2857"/>
      <c r="AG1900" s="2857"/>
      <c r="AH1900" s="1942"/>
      <c r="AI1900" s="1942"/>
      <c r="AJ1900" s="1942"/>
      <c r="AK1900" s="1942"/>
      <c r="AL1900" s="1942"/>
      <c r="AM1900" s="1942"/>
      <c r="AN1900" s="1942"/>
      <c r="AO1900" s="1942"/>
      <c r="AP1900" s="1942"/>
      <c r="AQ1900" s="1942"/>
      <c r="AR1900" s="1942"/>
      <c r="AS1900" s="1942"/>
      <c r="AT1900" s="1942"/>
      <c r="AU1900" s="1942"/>
      <c r="AV1900" s="1942"/>
      <c r="AW1900" s="1942"/>
      <c r="AX1900" s="1942"/>
      <c r="AY1900" s="1942"/>
      <c r="AZ1900" s="1942"/>
      <c r="BA1900" s="1942"/>
      <c r="BB1900" s="575"/>
      <c r="BC1900" s="576"/>
      <c r="BD1900" s="678"/>
      <c r="BE1900" s="585"/>
    </row>
    <row r="1901" spans="1:57" s="51" customFormat="1" ht="15" hidden="1" customHeight="1" outlineLevel="1" x14ac:dyDescent="0.25">
      <c r="A1901" s="2060"/>
      <c r="B1901" s="123"/>
      <c r="C1901" s="328"/>
      <c r="D1901" s="3990"/>
      <c r="E1901" s="4009"/>
      <c r="F1901" s="3010" t="str">
        <f>$E$1607</f>
        <v>ASHP-SEER19_ER1_SF</v>
      </c>
      <c r="G1901" s="2676"/>
      <c r="H1901" s="2676"/>
      <c r="I1901" s="2677"/>
      <c r="J1901" s="3298" t="str">
        <f>$C$1607</f>
        <v>354000_2021_12_</v>
      </c>
      <c r="K1901" s="2225">
        <v>48000</v>
      </c>
      <c r="L1901" s="3070">
        <f t="shared" si="199"/>
        <v>4</v>
      </c>
      <c r="M1901" s="2723" t="s">
        <v>1555</v>
      </c>
      <c r="N1901" s="123"/>
      <c r="O1901" s="228"/>
      <c r="P1901" s="123"/>
      <c r="Q1901" s="123"/>
      <c r="R1901" s="123"/>
      <c r="S1901" s="123"/>
      <c r="T1901" s="123"/>
      <c r="U1901" s="123"/>
      <c r="V1901" s="3990"/>
      <c r="W1901" s="2857">
        <v>39600</v>
      </c>
      <c r="X1901" s="2857">
        <v>39600</v>
      </c>
      <c r="Y1901" s="2857">
        <v>39600</v>
      </c>
      <c r="Z1901" s="2857">
        <v>39600</v>
      </c>
      <c r="AA1901" s="2857">
        <v>39600</v>
      </c>
      <c r="AB1901" s="2855">
        <v>39600</v>
      </c>
      <c r="AC1901" s="2225">
        <v>48000</v>
      </c>
      <c r="AD1901" s="2857"/>
      <c r="AE1901" s="2857"/>
      <c r="AF1901" s="2857"/>
      <c r="AG1901" s="2857"/>
      <c r="AH1901" s="1942"/>
      <c r="AI1901" s="1942"/>
      <c r="AJ1901" s="1942"/>
      <c r="AK1901" s="1942"/>
      <c r="AL1901" s="1942"/>
      <c r="AM1901" s="1942"/>
      <c r="AN1901" s="1942"/>
      <c r="AO1901" s="1942"/>
      <c r="AP1901" s="1942"/>
      <c r="AQ1901" s="1942"/>
      <c r="AR1901" s="1942"/>
      <c r="AS1901" s="1942"/>
      <c r="AT1901" s="1942"/>
      <c r="AU1901" s="1942"/>
      <c r="AV1901" s="1942"/>
      <c r="AW1901" s="1942"/>
      <c r="AX1901" s="1942"/>
      <c r="AY1901" s="1942"/>
      <c r="AZ1901" s="1942"/>
      <c r="BA1901" s="1942"/>
      <c r="BB1901" s="575"/>
      <c r="BC1901" s="576"/>
      <c r="BD1901" s="678"/>
      <c r="BE1901" s="585"/>
    </row>
    <row r="1902" spans="1:57" s="51" customFormat="1" ht="15" hidden="1" customHeight="1" outlineLevel="1" x14ac:dyDescent="0.25">
      <c r="A1902" s="2060"/>
      <c r="B1902" s="123"/>
      <c r="C1902" s="328"/>
      <c r="D1902" s="3990"/>
      <c r="E1902" s="4009"/>
      <c r="F1902" s="3010" t="str">
        <f>$E$1609</f>
        <v>ASHP-SEER19_ER2_SF</v>
      </c>
      <c r="G1902" s="2676"/>
      <c r="H1902" s="2676"/>
      <c r="I1902" s="2677"/>
      <c r="J1902" s="3298" t="str">
        <f>$C$1609</f>
        <v>354000_2021_12_</v>
      </c>
      <c r="K1902" s="2225">
        <f>K1901</f>
        <v>48000</v>
      </c>
      <c r="L1902" s="3070">
        <f t="shared" si="199"/>
        <v>4</v>
      </c>
      <c r="M1902" s="2723" t="s">
        <v>1555</v>
      </c>
      <c r="N1902" s="123"/>
      <c r="O1902" s="228"/>
      <c r="P1902" s="123"/>
      <c r="Q1902" s="123"/>
      <c r="R1902" s="123"/>
      <c r="S1902" s="123"/>
      <c r="T1902" s="123"/>
      <c r="U1902" s="123"/>
      <c r="V1902" s="3990"/>
      <c r="W1902" s="2857">
        <v>39600</v>
      </c>
      <c r="X1902" s="2857">
        <v>39600</v>
      </c>
      <c r="Y1902" s="2857">
        <v>39600</v>
      </c>
      <c r="Z1902" s="2857">
        <v>39600</v>
      </c>
      <c r="AA1902" s="2857">
        <v>39600</v>
      </c>
      <c r="AB1902" s="2855">
        <v>39600</v>
      </c>
      <c r="AC1902" s="2225">
        <f>AC1901</f>
        <v>48000</v>
      </c>
      <c r="AD1902" s="2857"/>
      <c r="AE1902" s="2857"/>
      <c r="AF1902" s="2857"/>
      <c r="AG1902" s="2857"/>
      <c r="AH1902" s="1942"/>
      <c r="AI1902" s="1942"/>
      <c r="AJ1902" s="1942"/>
      <c r="AK1902" s="1942"/>
      <c r="AL1902" s="1942"/>
      <c r="AM1902" s="1942"/>
      <c r="AN1902" s="1942"/>
      <c r="AO1902" s="1942"/>
      <c r="AP1902" s="1942"/>
      <c r="AQ1902" s="1942"/>
      <c r="AR1902" s="1942"/>
      <c r="AS1902" s="1942"/>
      <c r="AT1902" s="1942"/>
      <c r="AU1902" s="1942"/>
      <c r="AV1902" s="1942"/>
      <c r="AW1902" s="1942"/>
      <c r="AX1902" s="1942"/>
      <c r="AY1902" s="1942"/>
      <c r="AZ1902" s="1942"/>
      <c r="BA1902" s="1942"/>
      <c r="BB1902" s="575"/>
      <c r="BC1902" s="576"/>
      <c r="BD1902" s="678"/>
      <c r="BE1902" s="585"/>
    </row>
    <row r="1903" spans="1:57" s="51" customFormat="1" ht="15" hidden="1" customHeight="1" outlineLevel="1" x14ac:dyDescent="0.25">
      <c r="A1903" s="1267"/>
      <c r="B1903" s="123"/>
      <c r="C1903" s="328"/>
      <c r="D1903" s="3990"/>
      <c r="E1903" s="4009"/>
      <c r="F1903" s="3010" t="str">
        <f>$E$1611</f>
        <v>ASHP-SEER19_ROF_SF</v>
      </c>
      <c r="G1903" s="2676"/>
      <c r="H1903" s="2676"/>
      <c r="I1903" s="2677"/>
      <c r="J1903" s="3298" t="str">
        <f>$C$1611</f>
        <v>354050_2021_12_</v>
      </c>
      <c r="K1903" s="2225">
        <v>26133.333333333332</v>
      </c>
      <c r="L1903" s="3070">
        <f t="shared" si="199"/>
        <v>2.1777777777777776</v>
      </c>
      <c r="M1903" s="2723" t="s">
        <v>1555</v>
      </c>
      <c r="N1903" s="123"/>
      <c r="O1903" s="228"/>
      <c r="P1903" s="123"/>
      <c r="Q1903" s="123"/>
      <c r="R1903" s="123"/>
      <c r="S1903" s="123"/>
      <c r="T1903" s="123"/>
      <c r="U1903" s="123"/>
      <c r="V1903" s="3990"/>
      <c r="W1903" s="2857">
        <v>39600</v>
      </c>
      <c r="X1903" s="2857">
        <v>39600</v>
      </c>
      <c r="Y1903" s="2857">
        <v>39600</v>
      </c>
      <c r="Z1903" s="2857">
        <v>39600</v>
      </c>
      <c r="AA1903" s="2857">
        <v>39600</v>
      </c>
      <c r="AB1903" s="2855">
        <v>39600</v>
      </c>
      <c r="AC1903" s="2225">
        <v>26133.333333333332</v>
      </c>
      <c r="AD1903" s="2857"/>
      <c r="AE1903" s="2857"/>
      <c r="AF1903" s="2857"/>
      <c r="AG1903" s="2857"/>
      <c r="AH1903" s="1942"/>
      <c r="AI1903" s="1942"/>
      <c r="AJ1903" s="1942"/>
      <c r="AK1903" s="1942"/>
      <c r="AL1903" s="1942"/>
      <c r="AM1903" s="1942"/>
      <c r="AN1903" s="1942"/>
      <c r="AO1903" s="1942"/>
      <c r="AP1903" s="1942"/>
      <c r="AQ1903" s="1942"/>
      <c r="AR1903" s="1942"/>
      <c r="AS1903" s="1942"/>
      <c r="AT1903" s="1942"/>
      <c r="AU1903" s="1942"/>
      <c r="AV1903" s="1942"/>
      <c r="AW1903" s="1942"/>
      <c r="AX1903" s="1942"/>
      <c r="AY1903" s="1942"/>
      <c r="AZ1903" s="1942"/>
      <c r="BA1903" s="1942"/>
      <c r="BB1903" s="575"/>
      <c r="BC1903" s="576"/>
      <c r="BD1903" s="678"/>
      <c r="BE1903" s="585"/>
    </row>
    <row r="1904" spans="1:57" s="51" customFormat="1" ht="15" hidden="1" customHeight="1" outlineLevel="1" x14ac:dyDescent="0.25">
      <c r="A1904" s="1267"/>
      <c r="B1904" s="123"/>
      <c r="C1904" s="328"/>
      <c r="D1904" s="3990"/>
      <c r="E1904" s="4009"/>
      <c r="F1904" s="3010" t="str">
        <f>$E$1613</f>
        <v>ASHP-SEER17-Replace_CAC_ElectricHeat_ER1_SF</v>
      </c>
      <c r="G1904" s="2676"/>
      <c r="H1904" s="2676"/>
      <c r="I1904" s="2677"/>
      <c r="J1904" s="3298" t="str">
        <f>$C$1613</f>
        <v>354100_2021_12_</v>
      </c>
      <c r="K1904" s="2225">
        <v>34090.909090909088</v>
      </c>
      <c r="L1904" s="3070">
        <f t="shared" si="199"/>
        <v>2.8409090909090908</v>
      </c>
      <c r="M1904" s="2723" t="s">
        <v>1008</v>
      </c>
      <c r="N1904" s="123"/>
      <c r="O1904" s="228"/>
      <c r="P1904" s="123"/>
      <c r="Q1904" s="123"/>
      <c r="R1904" s="123"/>
      <c r="S1904" s="123"/>
      <c r="T1904" s="123"/>
      <c r="U1904" s="123"/>
      <c r="V1904" s="3990"/>
      <c r="W1904" s="2857">
        <v>37200</v>
      </c>
      <c r="X1904" s="2857">
        <v>37200</v>
      </c>
      <c r="Y1904" s="2857">
        <v>37200</v>
      </c>
      <c r="Z1904" s="2857">
        <v>37200</v>
      </c>
      <c r="AA1904" s="2857">
        <v>37200</v>
      </c>
      <c r="AB1904" s="2855">
        <v>37200</v>
      </c>
      <c r="AC1904" s="2225">
        <v>34090.909090909088</v>
      </c>
      <c r="AD1904" s="2857"/>
      <c r="AE1904" s="2857"/>
      <c r="AF1904" s="2857"/>
      <c r="AG1904" s="2857"/>
      <c r="AH1904" s="1942"/>
      <c r="AI1904" s="1942"/>
      <c r="AJ1904" s="1942"/>
      <c r="AK1904" s="1942"/>
      <c r="AL1904" s="1942"/>
      <c r="AM1904" s="1942"/>
      <c r="AN1904" s="1942"/>
      <c r="AO1904" s="1942"/>
      <c r="AP1904" s="1942"/>
      <c r="AQ1904" s="1942"/>
      <c r="AR1904" s="1942"/>
      <c r="AS1904" s="1942"/>
      <c r="AT1904" s="1942"/>
      <c r="AU1904" s="1942"/>
      <c r="AV1904" s="1942"/>
      <c r="AW1904" s="1942"/>
      <c r="AX1904" s="1942"/>
      <c r="AY1904" s="1942"/>
      <c r="AZ1904" s="1942"/>
      <c r="BA1904" s="1942"/>
      <c r="BB1904" s="575"/>
      <c r="BC1904" s="576"/>
      <c r="BD1904" s="678"/>
      <c r="BE1904" s="585"/>
    </row>
    <row r="1905" spans="1:57" s="51" customFormat="1" ht="15" hidden="1" customHeight="1" outlineLevel="1" x14ac:dyDescent="0.25">
      <c r="A1905" s="1267"/>
      <c r="B1905" s="123"/>
      <c r="C1905" s="328"/>
      <c r="D1905" s="3990"/>
      <c r="E1905" s="4009"/>
      <c r="F1905" s="3010" t="str">
        <f>$E$1615</f>
        <v>ASHP-SEER17-Replace_CAC_ElectricHeat_ER2_SF</v>
      </c>
      <c r="G1905" s="2676"/>
      <c r="H1905" s="2676"/>
      <c r="I1905" s="2677"/>
      <c r="J1905" s="3298" t="str">
        <f>$C$1615</f>
        <v>354100_2021_12_</v>
      </c>
      <c r="K1905" s="2225">
        <v>34090.909090909088</v>
      </c>
      <c r="L1905" s="3070">
        <f t="shared" si="199"/>
        <v>2.8409090909090908</v>
      </c>
      <c r="M1905" s="2723" t="s">
        <v>1008</v>
      </c>
      <c r="N1905" s="123"/>
      <c r="O1905" s="228"/>
      <c r="P1905" s="123"/>
      <c r="Q1905" s="123"/>
      <c r="R1905" s="123"/>
      <c r="S1905" s="123"/>
      <c r="T1905" s="123"/>
      <c r="U1905" s="123"/>
      <c r="V1905" s="3990"/>
      <c r="W1905" s="2857">
        <v>37200</v>
      </c>
      <c r="X1905" s="2857">
        <v>37200</v>
      </c>
      <c r="Y1905" s="2857">
        <v>37200</v>
      </c>
      <c r="Z1905" s="2857">
        <v>37200</v>
      </c>
      <c r="AA1905" s="2857">
        <v>37200</v>
      </c>
      <c r="AB1905" s="2855">
        <v>37200</v>
      </c>
      <c r="AC1905" s="2225">
        <v>34090.909090909088</v>
      </c>
      <c r="AD1905" s="2857"/>
      <c r="AE1905" s="2857"/>
      <c r="AF1905" s="2857"/>
      <c r="AG1905" s="2857"/>
      <c r="AH1905" s="1942"/>
      <c r="AI1905" s="1942"/>
      <c r="AJ1905" s="1942"/>
      <c r="AK1905" s="1942"/>
      <c r="AL1905" s="1942"/>
      <c r="AM1905" s="1942"/>
      <c r="AN1905" s="1942"/>
      <c r="AO1905" s="1942"/>
      <c r="AP1905" s="1942"/>
      <c r="AQ1905" s="1942"/>
      <c r="AR1905" s="1942"/>
      <c r="AS1905" s="1942"/>
      <c r="AT1905" s="1942"/>
      <c r="AU1905" s="1942"/>
      <c r="AV1905" s="1942"/>
      <c r="AW1905" s="1942"/>
      <c r="AX1905" s="1942"/>
      <c r="AY1905" s="1942"/>
      <c r="AZ1905" s="1942"/>
      <c r="BA1905" s="1942"/>
      <c r="BB1905" s="575"/>
      <c r="BC1905" s="576"/>
      <c r="BD1905" s="678"/>
      <c r="BE1905" s="585"/>
    </row>
    <row r="1906" spans="1:57" s="1942" customFormat="1" ht="15" hidden="1" customHeight="1" outlineLevel="1" x14ac:dyDescent="0.25">
      <c r="A1906" s="1267"/>
      <c r="B1906" s="123"/>
      <c r="C1906" s="328"/>
      <c r="D1906" s="3990"/>
      <c r="E1906" s="4009"/>
      <c r="F1906" s="3010" t="str">
        <f>$E$1617</f>
        <v>ASHP-SEER17-Replace_CAC_NonElectricHeat_ER1_SF</v>
      </c>
      <c r="G1906" s="2676"/>
      <c r="H1906" s="2676"/>
      <c r="I1906" s="2677"/>
      <c r="J1906" s="3298" t="str">
        <f>$C$1617</f>
        <v>354110_2021_12_</v>
      </c>
      <c r="K1906" s="2225">
        <v>34090.909090909088</v>
      </c>
      <c r="L1906" s="3070">
        <f t="shared" si="199"/>
        <v>2.8409090909090908</v>
      </c>
      <c r="M1906" s="2723" t="s">
        <v>1125</v>
      </c>
      <c r="N1906" s="123"/>
      <c r="O1906" s="228"/>
      <c r="P1906" s="123"/>
      <c r="Q1906" s="123"/>
      <c r="R1906" s="123"/>
      <c r="S1906" s="123"/>
      <c r="T1906" s="123"/>
      <c r="U1906" s="123"/>
      <c r="V1906" s="3990"/>
      <c r="W1906" s="2857"/>
      <c r="X1906" s="2857"/>
      <c r="Y1906" s="2857"/>
      <c r="Z1906" s="2857"/>
      <c r="AA1906" s="2857"/>
      <c r="AB1906" s="2855"/>
      <c r="AC1906" s="2225">
        <v>34090.909090909088</v>
      </c>
      <c r="AD1906" s="2857"/>
      <c r="AE1906" s="2857"/>
      <c r="AF1906" s="2857"/>
      <c r="AG1906" s="2857"/>
      <c r="BB1906" s="575"/>
      <c r="BC1906" s="576"/>
      <c r="BD1906" s="678"/>
      <c r="BE1906" s="585"/>
    </row>
    <row r="1907" spans="1:57" s="1942" customFormat="1" ht="15" hidden="1" customHeight="1" outlineLevel="1" x14ac:dyDescent="0.25">
      <c r="A1907" s="1267"/>
      <c r="B1907" s="123"/>
      <c r="C1907" s="328"/>
      <c r="D1907" s="3990"/>
      <c r="E1907" s="4009"/>
      <c r="F1907" s="3010" t="str">
        <f>$E$1619</f>
        <v>ASHP-SEER17-Replace_CAC_NonElectricHeat_ER2_SF</v>
      </c>
      <c r="G1907" s="2676"/>
      <c r="H1907" s="2676"/>
      <c r="I1907" s="2677"/>
      <c r="J1907" s="3298" t="str">
        <f>$C$1619</f>
        <v>354110_2021_12_</v>
      </c>
      <c r="K1907" s="2225">
        <v>34090.909090909088</v>
      </c>
      <c r="L1907" s="3070">
        <f t="shared" si="199"/>
        <v>2.8409090909090908</v>
      </c>
      <c r="M1907" s="2723" t="s">
        <v>1125</v>
      </c>
      <c r="N1907" s="123"/>
      <c r="O1907" s="228"/>
      <c r="P1907" s="123"/>
      <c r="Q1907" s="123"/>
      <c r="R1907" s="123"/>
      <c r="S1907" s="123"/>
      <c r="T1907" s="123"/>
      <c r="U1907" s="123"/>
      <c r="V1907" s="3990"/>
      <c r="W1907" s="2857"/>
      <c r="X1907" s="2857"/>
      <c r="Y1907" s="2857"/>
      <c r="Z1907" s="2857"/>
      <c r="AA1907" s="2857"/>
      <c r="AB1907" s="2855"/>
      <c r="AC1907" s="2225">
        <v>34090.909090909088</v>
      </c>
      <c r="AD1907" s="2857"/>
      <c r="AE1907" s="2857"/>
      <c r="AF1907" s="2857"/>
      <c r="AG1907" s="2857"/>
      <c r="BB1907" s="575"/>
      <c r="BC1907" s="576"/>
      <c r="BD1907" s="678"/>
      <c r="BE1907" s="585"/>
    </row>
    <row r="1908" spans="1:57" s="51" customFormat="1" ht="15" hidden="1" customHeight="1" outlineLevel="1" x14ac:dyDescent="0.25">
      <c r="A1908" s="1267"/>
      <c r="B1908" s="123"/>
      <c r="C1908" s="328"/>
      <c r="D1908" s="3990"/>
      <c r="E1908" s="4009"/>
      <c r="F1908" s="3010" t="str">
        <f>$E$1621</f>
        <v>ASHP-SEER17-Replace_CAC_ElectricHeat_ER1_MF</v>
      </c>
      <c r="G1908" s="2676"/>
      <c r="H1908" s="2676"/>
      <c r="I1908" s="2677"/>
      <c r="J1908" s="3299" t="str">
        <f>$C$1621</f>
        <v>354150_2019_12_</v>
      </c>
      <c r="K1908" s="2551">
        <v>37200</v>
      </c>
      <c r="L1908" s="3072">
        <f t="shared" si="199"/>
        <v>3.1</v>
      </c>
      <c r="M1908" s="2278"/>
      <c r="N1908" s="123"/>
      <c r="O1908" s="228"/>
      <c r="P1908" s="844"/>
      <c r="Q1908" s="845"/>
      <c r="R1908" s="844"/>
      <c r="S1908" s="832"/>
      <c r="T1908" s="3082"/>
      <c r="U1908" s="123"/>
      <c r="V1908" s="3990"/>
      <c r="W1908" s="2857">
        <v>37200</v>
      </c>
      <c r="X1908" s="2857">
        <v>37200</v>
      </c>
      <c r="Y1908" s="2857">
        <v>37200</v>
      </c>
      <c r="Z1908" s="2857">
        <v>37200</v>
      </c>
      <c r="AA1908" s="2857">
        <v>37200</v>
      </c>
      <c r="AB1908" s="2855">
        <v>37200</v>
      </c>
      <c r="AC1908" s="2551">
        <v>37200</v>
      </c>
      <c r="AD1908" s="2857"/>
      <c r="AE1908" s="2857"/>
      <c r="AF1908" s="2857"/>
      <c r="AG1908" s="2857"/>
      <c r="AH1908" s="1942"/>
      <c r="AI1908" s="1942"/>
      <c r="AJ1908" s="1942"/>
      <c r="AK1908" s="1942"/>
      <c r="AL1908" s="1942"/>
      <c r="AM1908" s="1942"/>
      <c r="AN1908" s="1942"/>
      <c r="AO1908" s="1942"/>
      <c r="AP1908" s="1942"/>
      <c r="AQ1908" s="1942"/>
      <c r="AR1908" s="1942"/>
      <c r="AS1908" s="1942"/>
      <c r="AT1908" s="1942"/>
      <c r="AU1908" s="1942"/>
      <c r="AV1908" s="1942"/>
      <c r="AW1908" s="1942"/>
      <c r="AX1908" s="1942"/>
      <c r="AY1908" s="1942"/>
      <c r="AZ1908" s="1942"/>
      <c r="BA1908" s="1942"/>
      <c r="BB1908" s="575"/>
      <c r="BC1908" s="576"/>
      <c r="BD1908" s="678"/>
      <c r="BE1908" s="585"/>
    </row>
    <row r="1909" spans="1:57" s="51" customFormat="1" ht="15" hidden="1" customHeight="1" outlineLevel="1" x14ac:dyDescent="0.25">
      <c r="A1909" s="1267"/>
      <c r="B1909" s="123"/>
      <c r="C1909" s="328"/>
      <c r="D1909" s="3990"/>
      <c r="E1909" s="4009"/>
      <c r="F1909" s="3010" t="str">
        <f>$E$1623</f>
        <v>ASHP-SEER17-Replace_CAC_ElectricHeat_ER2_MF</v>
      </c>
      <c r="G1909" s="2676"/>
      <c r="H1909" s="2676"/>
      <c r="I1909" s="2677"/>
      <c r="J1909" s="3299" t="str">
        <f>$C$1623</f>
        <v>354150_2019_12_</v>
      </c>
      <c r="K1909" s="2551">
        <v>37200</v>
      </c>
      <c r="L1909" s="3072">
        <f t="shared" si="199"/>
        <v>3.1</v>
      </c>
      <c r="M1909" s="2278"/>
      <c r="N1909" s="123"/>
      <c r="O1909" s="228"/>
      <c r="P1909" s="228"/>
      <c r="Q1909" s="228"/>
      <c r="R1909" s="228"/>
      <c r="S1909" s="123"/>
      <c r="T1909" s="123"/>
      <c r="U1909" s="123"/>
      <c r="V1909" s="3990"/>
      <c r="W1909" s="2857">
        <v>37200</v>
      </c>
      <c r="X1909" s="2857">
        <v>37200</v>
      </c>
      <c r="Y1909" s="2857">
        <v>37200</v>
      </c>
      <c r="Z1909" s="2857">
        <v>37200</v>
      </c>
      <c r="AA1909" s="2857">
        <v>37200</v>
      </c>
      <c r="AB1909" s="2855">
        <v>37200</v>
      </c>
      <c r="AC1909" s="2551">
        <v>37200</v>
      </c>
      <c r="AD1909" s="2857"/>
      <c r="AE1909" s="2857"/>
      <c r="AF1909" s="2857"/>
      <c r="AG1909" s="2857"/>
      <c r="AH1909" s="1942"/>
      <c r="AI1909" s="1942"/>
      <c r="AJ1909" s="1942"/>
      <c r="AK1909" s="1942"/>
      <c r="AL1909" s="1942"/>
      <c r="AM1909" s="1942"/>
      <c r="AN1909" s="1942"/>
      <c r="AO1909" s="1942"/>
      <c r="AP1909" s="1942"/>
      <c r="AQ1909" s="1942"/>
      <c r="AR1909" s="1942"/>
      <c r="AS1909" s="1942"/>
      <c r="AT1909" s="1942"/>
      <c r="AU1909" s="1942"/>
      <c r="AV1909" s="1942"/>
      <c r="AW1909" s="1942"/>
      <c r="AX1909" s="1942"/>
      <c r="AY1909" s="1942"/>
      <c r="AZ1909" s="1942"/>
      <c r="BA1909" s="1942"/>
      <c r="BB1909" s="575"/>
      <c r="BC1909" s="576"/>
      <c r="BD1909" s="678"/>
      <c r="BE1909" s="585"/>
    </row>
    <row r="1910" spans="1:57" s="51" customFormat="1" ht="15" hidden="1" customHeight="1" outlineLevel="1" x14ac:dyDescent="0.25">
      <c r="A1910" s="1267"/>
      <c r="B1910" s="123"/>
      <c r="C1910" s="328"/>
      <c r="D1910" s="3990"/>
      <c r="E1910" s="4009"/>
      <c r="F1910" s="3010" t="str">
        <f>$E$1625</f>
        <v>ASHP-SEER17-Replace_CAC_ElectricHeat_ER1_MF_CompE</v>
      </c>
      <c r="G1910" s="2676"/>
      <c r="H1910" s="2676"/>
      <c r="I1910" s="2677"/>
      <c r="J1910" s="3299" t="str">
        <f>$C$1625</f>
        <v>354151_2019_12_</v>
      </c>
      <c r="K1910" s="2551">
        <f>K1908</f>
        <v>37200</v>
      </c>
      <c r="L1910" s="3072">
        <f t="shared" si="199"/>
        <v>3.1</v>
      </c>
      <c r="M1910" s="2278"/>
      <c r="N1910" s="123"/>
      <c r="O1910" s="228"/>
      <c r="P1910" s="228"/>
      <c r="Q1910" s="228"/>
      <c r="R1910" s="228"/>
      <c r="S1910" s="123"/>
      <c r="T1910" s="123"/>
      <c r="U1910" s="123"/>
      <c r="V1910" s="3990"/>
      <c r="W1910" s="2857"/>
      <c r="X1910" s="2857"/>
      <c r="Y1910" s="3155">
        <v>37200</v>
      </c>
      <c r="Z1910" s="2857">
        <v>37200</v>
      </c>
      <c r="AA1910" s="2857">
        <v>37200</v>
      </c>
      <c r="AB1910" s="2855">
        <v>37200</v>
      </c>
      <c r="AC1910" s="2551">
        <f>AC1908</f>
        <v>37200</v>
      </c>
      <c r="AD1910" s="2857"/>
      <c r="AE1910" s="2857"/>
      <c r="AF1910" s="2857"/>
      <c r="AG1910" s="2857"/>
      <c r="AH1910" s="1942"/>
      <c r="AI1910" s="1942"/>
      <c r="AJ1910" s="1942"/>
      <c r="AK1910" s="1942"/>
      <c r="AL1910" s="1942"/>
      <c r="AM1910" s="1942"/>
      <c r="AN1910" s="1942"/>
      <c r="AO1910" s="1942"/>
      <c r="AP1910" s="1942"/>
      <c r="AQ1910" s="1942"/>
      <c r="AR1910" s="1942"/>
      <c r="AS1910" s="1942"/>
      <c r="AT1910" s="1942"/>
      <c r="AU1910" s="1942"/>
      <c r="AV1910" s="1942"/>
      <c r="AW1910" s="1942"/>
      <c r="AX1910" s="1942"/>
      <c r="AY1910" s="1942"/>
      <c r="AZ1910" s="1942"/>
      <c r="BA1910" s="1942"/>
      <c r="BB1910" s="575"/>
      <c r="BC1910" s="576"/>
      <c r="BD1910" s="678"/>
      <c r="BE1910" s="585"/>
    </row>
    <row r="1911" spans="1:57" s="51" customFormat="1" ht="15" hidden="1" customHeight="1" outlineLevel="1" x14ac:dyDescent="0.25">
      <c r="A1911" s="1267"/>
      <c r="B1911" s="123"/>
      <c r="C1911" s="328"/>
      <c r="D1911" s="3990"/>
      <c r="E1911" s="4009"/>
      <c r="F1911" s="3010" t="str">
        <f>$E$1627</f>
        <v>ASHP-SEER17-Replace_CAC_ElectricHeat_ER2_MF_CompE</v>
      </c>
      <c r="G1911" s="2676"/>
      <c r="H1911" s="2676"/>
      <c r="I1911" s="2677"/>
      <c r="J1911" s="3299" t="str">
        <f>$C$1627</f>
        <v>354151_2019_12_</v>
      </c>
      <c r="K1911" s="2551">
        <f>K1909</f>
        <v>37200</v>
      </c>
      <c r="L1911" s="3072">
        <f t="shared" si="199"/>
        <v>3.1</v>
      </c>
      <c r="M1911" s="2278"/>
      <c r="N1911" s="123"/>
      <c r="O1911" s="228"/>
      <c r="P1911" s="228"/>
      <c r="Q1911" s="228"/>
      <c r="R1911" s="228"/>
      <c r="S1911" s="123"/>
      <c r="T1911" s="123"/>
      <c r="U1911" s="123"/>
      <c r="V1911" s="3990"/>
      <c r="W1911" s="2857"/>
      <c r="X1911" s="2857"/>
      <c r="Y1911" s="3155">
        <v>37200</v>
      </c>
      <c r="Z1911" s="2857">
        <v>37200</v>
      </c>
      <c r="AA1911" s="2857">
        <v>37200</v>
      </c>
      <c r="AB1911" s="2855">
        <v>37200</v>
      </c>
      <c r="AC1911" s="2551">
        <f>AC1909</f>
        <v>37200</v>
      </c>
      <c r="AD1911" s="2857"/>
      <c r="AE1911" s="2857"/>
      <c r="AF1911" s="2857"/>
      <c r="AG1911" s="2857"/>
      <c r="AH1911" s="1942"/>
      <c r="AI1911" s="1942"/>
      <c r="AJ1911" s="1942"/>
      <c r="AK1911" s="1942"/>
      <c r="AL1911" s="1942"/>
      <c r="AM1911" s="1942"/>
      <c r="AN1911" s="1942"/>
      <c r="AO1911" s="1942"/>
      <c r="AP1911" s="1942"/>
      <c r="AQ1911" s="1942"/>
      <c r="AR1911" s="1942"/>
      <c r="AS1911" s="1942"/>
      <c r="AT1911" s="1942"/>
      <c r="AU1911" s="1942"/>
      <c r="AV1911" s="1942"/>
      <c r="AW1911" s="1942"/>
      <c r="AX1911" s="1942"/>
      <c r="AY1911" s="1942"/>
      <c r="AZ1911" s="1942"/>
      <c r="BA1911" s="1942"/>
      <c r="BB1911" s="575"/>
      <c r="BC1911" s="576"/>
      <c r="BD1911" s="678"/>
      <c r="BE1911" s="585"/>
    </row>
    <row r="1912" spans="1:57" s="1942" customFormat="1" ht="15" hidden="1" customHeight="1" outlineLevel="1" x14ac:dyDescent="0.25">
      <c r="A1912" s="1267"/>
      <c r="B1912" s="123"/>
      <c r="C1912" s="328"/>
      <c r="D1912" s="3990"/>
      <c r="E1912" s="4009"/>
      <c r="F1912" s="3010" t="str">
        <f>$E$1629</f>
        <v>ASHP-SEER17-Replace_CAC_NonElectricHeat_ER1_MF</v>
      </c>
      <c r="G1912" s="2676"/>
      <c r="H1912" s="2676"/>
      <c r="I1912" s="2677"/>
      <c r="J1912" s="3298" t="str">
        <f>$C$1629</f>
        <v>354160_2021_12_</v>
      </c>
      <c r="K1912" s="2225">
        <v>37200</v>
      </c>
      <c r="L1912" s="3070">
        <f t="shared" si="199"/>
        <v>3.1</v>
      </c>
      <c r="M1912" s="2723" t="s">
        <v>1125</v>
      </c>
      <c r="N1912" s="123"/>
      <c r="O1912" s="228"/>
      <c r="P1912" s="228"/>
      <c r="Q1912" s="228"/>
      <c r="R1912" s="228"/>
      <c r="S1912" s="123"/>
      <c r="T1912" s="123"/>
      <c r="U1912" s="123"/>
      <c r="V1912" s="3990"/>
      <c r="W1912" s="2857"/>
      <c r="X1912" s="2857"/>
      <c r="Y1912" s="3155"/>
      <c r="Z1912" s="2857"/>
      <c r="AA1912" s="2857"/>
      <c r="AB1912" s="2855"/>
      <c r="AC1912" s="2225">
        <v>37200</v>
      </c>
      <c r="AD1912" s="2857"/>
      <c r="AE1912" s="2857"/>
      <c r="AF1912" s="2857"/>
      <c r="AG1912" s="2857"/>
      <c r="BB1912" s="575"/>
      <c r="BC1912" s="576"/>
      <c r="BD1912" s="678"/>
      <c r="BE1912" s="585"/>
    </row>
    <row r="1913" spans="1:57" s="1942" customFormat="1" ht="15" hidden="1" customHeight="1" outlineLevel="1" x14ac:dyDescent="0.25">
      <c r="A1913" s="1267"/>
      <c r="B1913" s="123"/>
      <c r="C1913" s="328"/>
      <c r="D1913" s="3990"/>
      <c r="E1913" s="4009"/>
      <c r="F1913" s="3010" t="str">
        <f>$E$1631</f>
        <v>ASHP-SEER17-Replace_CAC_NonElectricHeat_ER2_MF</v>
      </c>
      <c r="G1913" s="2676"/>
      <c r="H1913" s="2676"/>
      <c r="I1913" s="2677"/>
      <c r="J1913" s="3298" t="str">
        <f>$C$1631</f>
        <v>354160_2021_12_</v>
      </c>
      <c r="K1913" s="2225">
        <v>37200</v>
      </c>
      <c r="L1913" s="3070">
        <f t="shared" si="199"/>
        <v>3.1</v>
      </c>
      <c r="M1913" s="2723" t="s">
        <v>1125</v>
      </c>
      <c r="N1913" s="123"/>
      <c r="O1913" s="228"/>
      <c r="P1913" s="228"/>
      <c r="Q1913" s="228"/>
      <c r="R1913" s="228"/>
      <c r="S1913" s="123"/>
      <c r="T1913" s="123"/>
      <c r="U1913" s="123"/>
      <c r="V1913" s="3990"/>
      <c r="W1913" s="2857"/>
      <c r="X1913" s="2857"/>
      <c r="Y1913" s="3155"/>
      <c r="Z1913" s="2857"/>
      <c r="AA1913" s="2857"/>
      <c r="AB1913" s="2855"/>
      <c r="AC1913" s="2225">
        <v>37200</v>
      </c>
      <c r="AD1913" s="2857"/>
      <c r="AE1913" s="2857"/>
      <c r="AF1913" s="2857"/>
      <c r="AG1913" s="2857"/>
      <c r="BB1913" s="575"/>
      <c r="BC1913" s="576"/>
      <c r="BD1913" s="678"/>
      <c r="BE1913" s="585"/>
    </row>
    <row r="1914" spans="1:57" s="1942" customFormat="1" ht="15" hidden="1" customHeight="1" outlineLevel="1" x14ac:dyDescent="0.25">
      <c r="A1914" s="1267"/>
      <c r="B1914" s="123"/>
      <c r="C1914" s="328"/>
      <c r="D1914" s="3990"/>
      <c r="E1914" s="4009"/>
      <c r="F1914" s="3010" t="str">
        <f>$E$1633</f>
        <v>ASHP-SEER17-Replace_CAC_NonElectricHeat_ER1_MF_CompE</v>
      </c>
      <c r="G1914" s="2676"/>
      <c r="H1914" s="2676"/>
      <c r="I1914" s="2677"/>
      <c r="J1914" s="3298" t="str">
        <f>$C$1633</f>
        <v>354161_2021_12_</v>
      </c>
      <c r="K1914" s="2225">
        <f>K1912</f>
        <v>37200</v>
      </c>
      <c r="L1914" s="3070">
        <f t="shared" si="199"/>
        <v>3.1</v>
      </c>
      <c r="M1914" s="2723" t="s">
        <v>1125</v>
      </c>
      <c r="N1914" s="123"/>
      <c r="O1914" s="228"/>
      <c r="P1914" s="228"/>
      <c r="Q1914" s="228"/>
      <c r="R1914" s="228"/>
      <c r="S1914" s="123"/>
      <c r="T1914" s="123"/>
      <c r="U1914" s="123"/>
      <c r="V1914" s="3990"/>
      <c r="W1914" s="2857"/>
      <c r="X1914" s="2857"/>
      <c r="Y1914" s="3155"/>
      <c r="Z1914" s="2857"/>
      <c r="AA1914" s="2857"/>
      <c r="AB1914" s="2855"/>
      <c r="AC1914" s="2225">
        <f>AC1912</f>
        <v>37200</v>
      </c>
      <c r="AD1914" s="2857"/>
      <c r="AE1914" s="2857"/>
      <c r="AF1914" s="2857"/>
      <c r="AG1914" s="2857"/>
      <c r="BB1914" s="575"/>
      <c r="BC1914" s="576"/>
      <c r="BD1914" s="678"/>
      <c r="BE1914" s="585"/>
    </row>
    <row r="1915" spans="1:57" s="1942" customFormat="1" ht="15" hidden="1" customHeight="1" outlineLevel="1" x14ac:dyDescent="0.25">
      <c r="A1915" s="1267"/>
      <c r="B1915" s="123"/>
      <c r="C1915" s="328"/>
      <c r="D1915" s="3990"/>
      <c r="E1915" s="4009"/>
      <c r="F1915" s="3010" t="str">
        <f>$E$1635</f>
        <v>ASHP-SEER17-Replace_CAC_NonElectricHeat_ER2_MF_CompE</v>
      </c>
      <c r="G1915" s="2676"/>
      <c r="H1915" s="2676"/>
      <c r="I1915" s="2677"/>
      <c r="J1915" s="3298" t="str">
        <f>$C$1635</f>
        <v>354161_2021_12_</v>
      </c>
      <c r="K1915" s="2225">
        <f>K1913</f>
        <v>37200</v>
      </c>
      <c r="L1915" s="3070">
        <f t="shared" si="199"/>
        <v>3.1</v>
      </c>
      <c r="M1915" s="2723" t="s">
        <v>1125</v>
      </c>
      <c r="N1915" s="123"/>
      <c r="O1915" s="228"/>
      <c r="P1915" s="228"/>
      <c r="Q1915" s="228"/>
      <c r="R1915" s="228"/>
      <c r="S1915" s="123"/>
      <c r="T1915" s="123"/>
      <c r="U1915" s="123"/>
      <c r="V1915" s="3990"/>
      <c r="W1915" s="2857"/>
      <c r="X1915" s="2857"/>
      <c r="Y1915" s="3155"/>
      <c r="Z1915" s="2857"/>
      <c r="AA1915" s="2857"/>
      <c r="AB1915" s="2855"/>
      <c r="AC1915" s="2225">
        <f>AC1913</f>
        <v>37200</v>
      </c>
      <c r="AD1915" s="2857"/>
      <c r="AE1915" s="2857"/>
      <c r="AF1915" s="2857"/>
      <c r="AG1915" s="2857"/>
      <c r="BB1915" s="575"/>
      <c r="BC1915" s="576"/>
      <c r="BD1915" s="678"/>
      <c r="BE1915" s="585"/>
    </row>
    <row r="1916" spans="1:57" s="51" customFormat="1" ht="15" hidden="1" customHeight="1" outlineLevel="1" x14ac:dyDescent="0.25">
      <c r="A1916" s="1267"/>
      <c r="B1916" s="123"/>
      <c r="C1916" s="328"/>
      <c r="D1916" s="3990"/>
      <c r="E1916" s="4009"/>
      <c r="F1916" s="3010" t="str">
        <f>$E$1637</f>
        <v>ASHP-SEER17_ER1_MF</v>
      </c>
      <c r="G1916" s="2676"/>
      <c r="H1916" s="2676"/>
      <c r="I1916" s="2677"/>
      <c r="J1916" s="3299" t="str">
        <f>$C$1637</f>
        <v>354200_2019_12_</v>
      </c>
      <c r="K1916" s="2551">
        <v>39600</v>
      </c>
      <c r="L1916" s="3072">
        <f t="shared" si="199"/>
        <v>3.3</v>
      </c>
      <c r="M1916" s="2278"/>
      <c r="N1916" s="123"/>
      <c r="O1916" s="228"/>
      <c r="P1916" s="228"/>
      <c r="Q1916" s="228"/>
      <c r="R1916" s="228"/>
      <c r="S1916" s="123"/>
      <c r="T1916" s="123"/>
      <c r="U1916" s="123"/>
      <c r="V1916" s="3990"/>
      <c r="W1916" s="2857">
        <v>39600</v>
      </c>
      <c r="X1916" s="2857">
        <v>39600</v>
      </c>
      <c r="Y1916" s="2857">
        <v>39600</v>
      </c>
      <c r="Z1916" s="2857">
        <v>39600</v>
      </c>
      <c r="AA1916" s="2857">
        <v>39600</v>
      </c>
      <c r="AB1916" s="2855">
        <v>39600</v>
      </c>
      <c r="AC1916" s="2551">
        <v>39600</v>
      </c>
      <c r="AD1916" s="2857"/>
      <c r="AE1916" s="2857"/>
      <c r="AF1916" s="2857"/>
      <c r="AG1916" s="2857"/>
      <c r="AH1916" s="1942"/>
      <c r="AI1916" s="1942"/>
      <c r="AJ1916" s="1942"/>
      <c r="AK1916" s="1942"/>
      <c r="AL1916" s="1942"/>
      <c r="AM1916" s="1942"/>
      <c r="AN1916" s="1942"/>
      <c r="AO1916" s="1942"/>
      <c r="AP1916" s="1942"/>
      <c r="AQ1916" s="1942"/>
      <c r="AR1916" s="1942"/>
      <c r="AS1916" s="1942"/>
      <c r="AT1916" s="1942"/>
      <c r="AU1916" s="1942"/>
      <c r="AV1916" s="1942"/>
      <c r="AW1916" s="1942"/>
      <c r="AX1916" s="1942"/>
      <c r="AY1916" s="1942"/>
      <c r="AZ1916" s="1942"/>
      <c r="BA1916" s="1942"/>
      <c r="BB1916" s="575"/>
      <c r="BC1916" s="576"/>
      <c r="BD1916" s="678"/>
      <c r="BE1916" s="585"/>
    </row>
    <row r="1917" spans="1:57" s="51" customFormat="1" ht="15" hidden="1" customHeight="1" outlineLevel="1" x14ac:dyDescent="0.25">
      <c r="A1917" s="1267"/>
      <c r="B1917" s="123"/>
      <c r="C1917" s="328"/>
      <c r="D1917" s="3990"/>
      <c r="E1917" s="4009"/>
      <c r="F1917" s="3010" t="str">
        <f>$E$1639</f>
        <v>ASHP-SEER17_ER2_MF</v>
      </c>
      <c r="G1917" s="2676"/>
      <c r="H1917" s="2676"/>
      <c r="I1917" s="2677"/>
      <c r="J1917" s="3299" t="str">
        <f>$C$1639</f>
        <v>354200_2019_12_</v>
      </c>
      <c r="K1917" s="2551">
        <v>39600</v>
      </c>
      <c r="L1917" s="3072">
        <f t="shared" si="199"/>
        <v>3.3</v>
      </c>
      <c r="M1917" s="2278"/>
      <c r="N1917" s="123"/>
      <c r="O1917" s="228"/>
      <c r="P1917" s="228"/>
      <c r="Q1917" s="228"/>
      <c r="R1917" s="228"/>
      <c r="S1917" s="123"/>
      <c r="T1917" s="123"/>
      <c r="U1917" s="123"/>
      <c r="V1917" s="3990"/>
      <c r="W1917" s="2857">
        <v>39600</v>
      </c>
      <c r="X1917" s="2857">
        <v>39600</v>
      </c>
      <c r="Y1917" s="2857">
        <v>39600</v>
      </c>
      <c r="Z1917" s="2857">
        <v>39600</v>
      </c>
      <c r="AA1917" s="2857">
        <v>39600</v>
      </c>
      <c r="AB1917" s="2855">
        <v>39600</v>
      </c>
      <c r="AC1917" s="2551">
        <v>39600</v>
      </c>
      <c r="AD1917" s="2857"/>
      <c r="AE1917" s="2857"/>
      <c r="AF1917" s="2857"/>
      <c r="AG1917" s="2857"/>
      <c r="AH1917" s="1942"/>
      <c r="AI1917" s="1942"/>
      <c r="AJ1917" s="1942"/>
      <c r="AK1917" s="1942"/>
      <c r="AL1917" s="1942"/>
      <c r="AM1917" s="1942"/>
      <c r="AN1917" s="1942"/>
      <c r="AO1917" s="1942"/>
      <c r="AP1917" s="1942"/>
      <c r="AQ1917" s="1942"/>
      <c r="AR1917" s="1942"/>
      <c r="AS1917" s="1942"/>
      <c r="AT1917" s="1942"/>
      <c r="AU1917" s="1942"/>
      <c r="AV1917" s="1942"/>
      <c r="AW1917" s="1942"/>
      <c r="AX1917" s="1942"/>
      <c r="AY1917" s="1942"/>
      <c r="AZ1917" s="1942"/>
      <c r="BA1917" s="1942"/>
      <c r="BB1917" s="575"/>
      <c r="BC1917" s="576"/>
      <c r="BD1917" s="678"/>
      <c r="BE1917" s="585"/>
    </row>
    <row r="1918" spans="1:57" s="51" customFormat="1" ht="15" hidden="1" customHeight="1" outlineLevel="1" x14ac:dyDescent="0.25">
      <c r="A1918" s="1267"/>
      <c r="B1918" s="123"/>
      <c r="C1918" s="328"/>
      <c r="D1918" s="3990"/>
      <c r="E1918" s="4009"/>
      <c r="F1918" s="3010" t="str">
        <f>$E$1641</f>
        <v>ASHP-SEER17_ER1_MF_CompE</v>
      </c>
      <c r="G1918" s="2676"/>
      <c r="H1918" s="2676"/>
      <c r="I1918" s="2677"/>
      <c r="J1918" s="3299" t="str">
        <f>$C$1641</f>
        <v>354201_2019_12_</v>
      </c>
      <c r="K1918" s="2551">
        <f>K1916</f>
        <v>39600</v>
      </c>
      <c r="L1918" s="3072">
        <f t="shared" si="199"/>
        <v>3.3</v>
      </c>
      <c r="M1918" s="2278"/>
      <c r="N1918" s="123"/>
      <c r="O1918" s="228"/>
      <c r="P1918" s="228"/>
      <c r="Q1918" s="228"/>
      <c r="R1918" s="228"/>
      <c r="S1918" s="123"/>
      <c r="T1918" s="123"/>
      <c r="U1918" s="123"/>
      <c r="V1918" s="3990"/>
      <c r="W1918" s="2857"/>
      <c r="X1918" s="2857"/>
      <c r="Y1918" s="3155">
        <v>39600</v>
      </c>
      <c r="Z1918" s="2857">
        <v>39600</v>
      </c>
      <c r="AA1918" s="2857">
        <v>39600</v>
      </c>
      <c r="AB1918" s="2855">
        <v>39600</v>
      </c>
      <c r="AC1918" s="2551">
        <f>AC1916</f>
        <v>39600</v>
      </c>
      <c r="AD1918" s="2857"/>
      <c r="AE1918" s="2857"/>
      <c r="AF1918" s="2857"/>
      <c r="AG1918" s="2857"/>
      <c r="AH1918" s="1942"/>
      <c r="AI1918" s="1942"/>
      <c r="AJ1918" s="1942"/>
      <c r="AK1918" s="1942"/>
      <c r="AL1918" s="1942"/>
      <c r="AM1918" s="1942"/>
      <c r="AN1918" s="1942"/>
      <c r="AO1918" s="1942"/>
      <c r="AP1918" s="1942"/>
      <c r="AQ1918" s="1942"/>
      <c r="AR1918" s="1942"/>
      <c r="AS1918" s="1942"/>
      <c r="AT1918" s="1942"/>
      <c r="AU1918" s="1942"/>
      <c r="AV1918" s="1942"/>
      <c r="AW1918" s="1942"/>
      <c r="AX1918" s="1942"/>
      <c r="AY1918" s="1942"/>
      <c r="AZ1918" s="1942"/>
      <c r="BA1918" s="1942"/>
      <c r="BB1918" s="575"/>
      <c r="BC1918" s="576"/>
      <c r="BD1918" s="678"/>
      <c r="BE1918" s="585"/>
    </row>
    <row r="1919" spans="1:57" s="51" customFormat="1" ht="15" hidden="1" customHeight="1" outlineLevel="1" x14ac:dyDescent="0.25">
      <c r="A1919" s="1267"/>
      <c r="B1919" s="123"/>
      <c r="C1919" s="328"/>
      <c r="D1919" s="3990"/>
      <c r="E1919" s="4009"/>
      <c r="F1919" s="3010" t="str">
        <f>$E$1643</f>
        <v>ASHP-SEER17_ER2_MF_CompE</v>
      </c>
      <c r="G1919" s="2676"/>
      <c r="H1919" s="2676"/>
      <c r="I1919" s="2677"/>
      <c r="J1919" s="3299" t="str">
        <f>$C$1643</f>
        <v>354201_2019_12_</v>
      </c>
      <c r="K1919" s="2551">
        <f>K1917</f>
        <v>39600</v>
      </c>
      <c r="L1919" s="3072">
        <f t="shared" si="199"/>
        <v>3.3</v>
      </c>
      <c r="M1919" s="2278"/>
      <c r="N1919" s="123"/>
      <c r="O1919" s="228"/>
      <c r="P1919" s="228"/>
      <c r="Q1919" s="228"/>
      <c r="R1919" s="228"/>
      <c r="S1919" s="123"/>
      <c r="T1919" s="123"/>
      <c r="U1919" s="123"/>
      <c r="V1919" s="3990"/>
      <c r="W1919" s="2857"/>
      <c r="X1919" s="2857"/>
      <c r="Y1919" s="3155">
        <v>39600</v>
      </c>
      <c r="Z1919" s="2857">
        <v>39600</v>
      </c>
      <c r="AA1919" s="2857">
        <v>39600</v>
      </c>
      <c r="AB1919" s="2855">
        <v>39600</v>
      </c>
      <c r="AC1919" s="2551">
        <f>AC1917</f>
        <v>39600</v>
      </c>
      <c r="AD1919" s="2857"/>
      <c r="AE1919" s="2857"/>
      <c r="AF1919" s="2857"/>
      <c r="AG1919" s="2857"/>
      <c r="AH1919" s="1942"/>
      <c r="AI1919" s="1942"/>
      <c r="AJ1919" s="1942"/>
      <c r="AK1919" s="1942"/>
      <c r="AL1919" s="1942"/>
      <c r="AM1919" s="1942"/>
      <c r="AN1919" s="1942"/>
      <c r="AO1919" s="1942"/>
      <c r="AP1919" s="1942"/>
      <c r="AQ1919" s="1942"/>
      <c r="AR1919" s="1942"/>
      <c r="AS1919" s="1942"/>
      <c r="AT1919" s="1942"/>
      <c r="AU1919" s="1942"/>
      <c r="AV1919" s="1942"/>
      <c r="AW1919" s="1942"/>
      <c r="AX1919" s="1942"/>
      <c r="AY1919" s="1942"/>
      <c r="AZ1919" s="1942"/>
      <c r="BA1919" s="1942"/>
      <c r="BB1919" s="575"/>
      <c r="BC1919" s="576"/>
      <c r="BD1919" s="678"/>
      <c r="BE1919" s="585"/>
    </row>
    <row r="1920" spans="1:57" s="51" customFormat="1" ht="15" hidden="1" customHeight="1" outlineLevel="1" x14ac:dyDescent="0.25">
      <c r="A1920" s="1267"/>
      <c r="B1920" s="123"/>
      <c r="C1920" s="328"/>
      <c r="D1920" s="3990"/>
      <c r="E1920" s="4009"/>
      <c r="F1920" s="3010" t="str">
        <f>$E$1645</f>
        <v>ASHP-SEER18-Replace_CAC_ElectricHeat_ER1_SF</v>
      </c>
      <c r="G1920" s="2676"/>
      <c r="H1920" s="2676"/>
      <c r="I1920" s="2677"/>
      <c r="J1920" s="3298" t="str">
        <f>$C$1645</f>
        <v>354250_2021_12_</v>
      </c>
      <c r="K1920" s="2225">
        <v>37721.739130434784</v>
      </c>
      <c r="L1920" s="3070">
        <f t="shared" si="199"/>
        <v>3.1434782608695655</v>
      </c>
      <c r="M1920" s="2723" t="s">
        <v>1551</v>
      </c>
      <c r="N1920" s="123"/>
      <c r="O1920" s="228"/>
      <c r="P1920" s="228"/>
      <c r="Q1920" s="228"/>
      <c r="R1920" s="228"/>
      <c r="S1920" s="123"/>
      <c r="T1920" s="123"/>
      <c r="U1920" s="123"/>
      <c r="V1920" s="3990"/>
      <c r="W1920" s="2857">
        <v>37200</v>
      </c>
      <c r="X1920" s="2857">
        <v>37200</v>
      </c>
      <c r="Y1920" s="2857">
        <v>37200</v>
      </c>
      <c r="Z1920" s="2857">
        <v>37200</v>
      </c>
      <c r="AA1920" s="2857">
        <v>37200</v>
      </c>
      <c r="AB1920" s="2225">
        <v>40965.517241379312</v>
      </c>
      <c r="AC1920" s="2225">
        <v>37721.739130434784</v>
      </c>
      <c r="AD1920" s="2857"/>
      <c r="AE1920" s="2857"/>
      <c r="AF1920" s="2857"/>
      <c r="AG1920" s="2857"/>
      <c r="AH1920" s="1942"/>
      <c r="AI1920" s="1942"/>
      <c r="AJ1920" s="1942"/>
      <c r="AK1920" s="1942"/>
      <c r="AL1920" s="1942"/>
      <c r="AM1920" s="1942"/>
      <c r="AN1920" s="1942"/>
      <c r="AO1920" s="1942"/>
      <c r="AP1920" s="1942"/>
      <c r="AQ1920" s="1942"/>
      <c r="AR1920" s="1942"/>
      <c r="AS1920" s="1942"/>
      <c r="AT1920" s="1942"/>
      <c r="AU1920" s="1942"/>
      <c r="AV1920" s="1942"/>
      <c r="AW1920" s="1942"/>
      <c r="AX1920" s="1942"/>
      <c r="AY1920" s="1942"/>
      <c r="AZ1920" s="1942"/>
      <c r="BA1920" s="1942"/>
      <c r="BB1920" s="575"/>
      <c r="BC1920" s="576"/>
      <c r="BD1920" s="678"/>
      <c r="BE1920" s="585"/>
    </row>
    <row r="1921" spans="1:57" s="51" customFormat="1" ht="15" hidden="1" customHeight="1" outlineLevel="1" x14ac:dyDescent="0.25">
      <c r="A1921" s="1267"/>
      <c r="B1921" s="123"/>
      <c r="C1921" s="328"/>
      <c r="D1921" s="3990"/>
      <c r="E1921" s="4009"/>
      <c r="F1921" s="3010" t="str">
        <f>$E$1647</f>
        <v>ASHP-SEER18-Replace_CAC_ElectricHeat_ER2_SF</v>
      </c>
      <c r="G1921" s="2676"/>
      <c r="H1921" s="2676"/>
      <c r="I1921" s="2677"/>
      <c r="J1921" s="3298" t="str">
        <f>$C$1647</f>
        <v>354250_2021_12_</v>
      </c>
      <c r="K1921" s="2225">
        <f>K1920</f>
        <v>37721.739130434784</v>
      </c>
      <c r="L1921" s="3070">
        <f t="shared" si="199"/>
        <v>3.1434782608695655</v>
      </c>
      <c r="M1921" s="2723" t="s">
        <v>1551</v>
      </c>
      <c r="N1921" s="123"/>
      <c r="O1921" s="228"/>
      <c r="P1921" s="228"/>
      <c r="Q1921" s="228"/>
      <c r="R1921" s="228"/>
      <c r="S1921" s="123"/>
      <c r="T1921" s="123"/>
      <c r="U1921" s="123"/>
      <c r="V1921" s="3990"/>
      <c r="W1921" s="2857">
        <v>37200</v>
      </c>
      <c r="X1921" s="2857">
        <v>37200</v>
      </c>
      <c r="Y1921" s="2857">
        <v>37200</v>
      </c>
      <c r="Z1921" s="2857">
        <v>37200</v>
      </c>
      <c r="AA1921" s="2857">
        <v>37200</v>
      </c>
      <c r="AB1921" s="2225">
        <v>40965.517241379312</v>
      </c>
      <c r="AC1921" s="2225">
        <f>AC1920</f>
        <v>37721.739130434784</v>
      </c>
      <c r="AD1921" s="2857"/>
      <c r="AE1921" s="2857"/>
      <c r="AF1921" s="2857"/>
      <c r="AG1921" s="2857"/>
      <c r="AH1921" s="1942"/>
      <c r="AI1921" s="1942"/>
      <c r="AJ1921" s="1942"/>
      <c r="AK1921" s="1942"/>
      <c r="AL1921" s="1942"/>
      <c r="AM1921" s="1942"/>
      <c r="AN1921" s="1942"/>
      <c r="AO1921" s="1942"/>
      <c r="AP1921" s="1942"/>
      <c r="AQ1921" s="1942"/>
      <c r="AR1921" s="1942"/>
      <c r="AS1921" s="1942"/>
      <c r="AT1921" s="1942"/>
      <c r="AU1921" s="1942"/>
      <c r="AV1921" s="1942"/>
      <c r="AW1921" s="1942"/>
      <c r="AX1921" s="1942"/>
      <c r="AY1921" s="1942"/>
      <c r="AZ1921" s="1942"/>
      <c r="BA1921" s="1942"/>
      <c r="BB1921" s="575"/>
      <c r="BC1921" s="576"/>
      <c r="BD1921" s="678"/>
      <c r="BE1921" s="585"/>
    </row>
    <row r="1922" spans="1:57" s="1942" customFormat="1" ht="15" hidden="1" customHeight="1" outlineLevel="1" x14ac:dyDescent="0.25">
      <c r="A1922" s="1267"/>
      <c r="B1922" s="123"/>
      <c r="C1922" s="328"/>
      <c r="D1922" s="3990"/>
      <c r="E1922" s="4009"/>
      <c r="F1922" s="3010" t="str">
        <f>$E$1649</f>
        <v>ASHP-SEER18-Replace_CAC_NonElectricHeat_ER1_SF</v>
      </c>
      <c r="G1922" s="2676"/>
      <c r="H1922" s="2676"/>
      <c r="I1922" s="2677"/>
      <c r="J1922" s="3298" t="str">
        <f>$C$1649</f>
        <v>354260_2021_12_</v>
      </c>
      <c r="K1922" s="2225">
        <v>37721.739130434784</v>
      </c>
      <c r="L1922" s="3070">
        <f t="shared" si="199"/>
        <v>3.1434782608695655</v>
      </c>
      <c r="M1922" s="2723" t="s">
        <v>1125</v>
      </c>
      <c r="N1922" s="123"/>
      <c r="O1922" s="228"/>
      <c r="P1922" s="228"/>
      <c r="Q1922" s="228"/>
      <c r="R1922" s="228"/>
      <c r="S1922" s="123"/>
      <c r="T1922" s="123"/>
      <c r="U1922" s="123"/>
      <c r="V1922" s="3990"/>
      <c r="W1922" s="2857"/>
      <c r="X1922" s="2857"/>
      <c r="Y1922" s="2857"/>
      <c r="Z1922" s="2857"/>
      <c r="AA1922" s="2857"/>
      <c r="AB1922" s="2225"/>
      <c r="AC1922" s="2225">
        <v>37721.739130434784</v>
      </c>
      <c r="AD1922" s="2857"/>
      <c r="AE1922" s="2857"/>
      <c r="AF1922" s="2857"/>
      <c r="AG1922" s="2857"/>
      <c r="BB1922" s="575"/>
      <c r="BC1922" s="576"/>
      <c r="BD1922" s="678"/>
      <c r="BE1922" s="585"/>
    </row>
    <row r="1923" spans="1:57" s="1942" customFormat="1" ht="15" hidden="1" customHeight="1" outlineLevel="1" x14ac:dyDescent="0.25">
      <c r="A1923" s="1267"/>
      <c r="B1923" s="123"/>
      <c r="C1923" s="328"/>
      <c r="D1923" s="3990"/>
      <c r="E1923" s="4009"/>
      <c r="F1923" s="3010" t="str">
        <f>$E$1651</f>
        <v>ASHP-SEER18-Replace_CAC_NonElectricHeat_ER2_SF</v>
      </c>
      <c r="G1923" s="2676"/>
      <c r="H1923" s="2676"/>
      <c r="I1923" s="2677"/>
      <c r="J1923" s="3298" t="str">
        <f>$C$1651</f>
        <v>354260_2021_12_</v>
      </c>
      <c r="K1923" s="2225">
        <f>K1922</f>
        <v>37721.739130434784</v>
      </c>
      <c r="L1923" s="3070">
        <f t="shared" si="199"/>
        <v>3.1434782608695655</v>
      </c>
      <c r="M1923" s="2723" t="s">
        <v>1125</v>
      </c>
      <c r="N1923" s="123"/>
      <c r="O1923" s="228"/>
      <c r="P1923" s="228"/>
      <c r="Q1923" s="228"/>
      <c r="R1923" s="228"/>
      <c r="S1923" s="123"/>
      <c r="T1923" s="123"/>
      <c r="U1923" s="123"/>
      <c r="V1923" s="3990"/>
      <c r="W1923" s="2857"/>
      <c r="X1923" s="2857"/>
      <c r="Y1923" s="2857"/>
      <c r="Z1923" s="2857"/>
      <c r="AA1923" s="2857"/>
      <c r="AB1923" s="2225"/>
      <c r="AC1923" s="2225">
        <f>AC1922</f>
        <v>37721.739130434784</v>
      </c>
      <c r="AD1923" s="2857"/>
      <c r="AE1923" s="2857"/>
      <c r="AF1923" s="2857"/>
      <c r="AG1923" s="2857"/>
      <c r="BB1923" s="575"/>
      <c r="BC1923" s="576"/>
      <c r="BD1923" s="678"/>
      <c r="BE1923" s="585"/>
    </row>
    <row r="1924" spans="1:57" s="51" customFormat="1" ht="15" hidden="1" customHeight="1" outlineLevel="1" x14ac:dyDescent="0.25">
      <c r="A1924" s="1267"/>
      <c r="B1924" s="123"/>
      <c r="C1924" s="328"/>
      <c r="D1924" s="3990"/>
      <c r="E1924" s="4009"/>
      <c r="F1924" s="3010" t="str">
        <f>$E$1653</f>
        <v>ASHP-SEER18-Replace_CAC_ElectricHeat_ER1_MF</v>
      </c>
      <c r="G1924" s="2676"/>
      <c r="H1924" s="2676"/>
      <c r="I1924" s="2677"/>
      <c r="J1924" s="3298" t="str">
        <f>$C$1653</f>
        <v>354300_2021_12_</v>
      </c>
      <c r="K1924" s="2225">
        <v>18000</v>
      </c>
      <c r="L1924" s="3070">
        <f t="shared" si="199"/>
        <v>1.5</v>
      </c>
      <c r="M1924" s="2723" t="s">
        <v>1551</v>
      </c>
      <c r="N1924" s="123"/>
      <c r="O1924" s="228"/>
      <c r="P1924" s="228"/>
      <c r="Q1924" s="228"/>
      <c r="R1924" s="228"/>
      <c r="S1924" s="123"/>
      <c r="T1924" s="123"/>
      <c r="U1924" s="123"/>
      <c r="V1924" s="3990"/>
      <c r="W1924" s="2857">
        <v>37200</v>
      </c>
      <c r="X1924" s="2857">
        <v>37200</v>
      </c>
      <c r="Y1924" s="2857">
        <v>37200</v>
      </c>
      <c r="Z1924" s="2857">
        <v>37200</v>
      </c>
      <c r="AA1924" s="2857">
        <v>37200</v>
      </c>
      <c r="AB1924" s="2225">
        <v>48000</v>
      </c>
      <c r="AC1924" s="2225">
        <v>18000</v>
      </c>
      <c r="AD1924" s="2857"/>
      <c r="AE1924" s="2857"/>
      <c r="AF1924" s="2857"/>
      <c r="AG1924" s="2857"/>
      <c r="AH1924" s="1942"/>
      <c r="AI1924" s="1942"/>
      <c r="AJ1924" s="1942"/>
      <c r="AK1924" s="1942"/>
      <c r="AL1924" s="1942"/>
      <c r="AM1924" s="1942"/>
      <c r="AN1924" s="1942"/>
      <c r="AO1924" s="1942"/>
      <c r="AP1924" s="1942"/>
      <c r="AQ1924" s="1942"/>
      <c r="AR1924" s="1942"/>
      <c r="AS1924" s="1942"/>
      <c r="AT1924" s="1942"/>
      <c r="AU1924" s="1942"/>
      <c r="AV1924" s="1942"/>
      <c r="AW1924" s="1942"/>
      <c r="AX1924" s="1942"/>
      <c r="AY1924" s="1942"/>
      <c r="AZ1924" s="1942"/>
      <c r="BA1924" s="1942"/>
      <c r="BB1924" s="575"/>
      <c r="BC1924" s="576"/>
      <c r="BD1924" s="678"/>
      <c r="BE1924" s="585"/>
    </row>
    <row r="1925" spans="1:57" s="51" customFormat="1" ht="15" hidden="1" customHeight="1" outlineLevel="1" x14ac:dyDescent="0.25">
      <c r="A1925" s="1267"/>
      <c r="B1925" s="123"/>
      <c r="C1925" s="328"/>
      <c r="D1925" s="3990"/>
      <c r="E1925" s="4009"/>
      <c r="F1925" s="3010" t="str">
        <f>$E$1655</f>
        <v>ASHP-SEER18-Replace_CAC_ElectricHeat_ER2_MF</v>
      </c>
      <c r="G1925" s="2676"/>
      <c r="H1925" s="2676"/>
      <c r="I1925" s="2677"/>
      <c r="J1925" s="3298" t="str">
        <f>$C$1655</f>
        <v>354300_2021_12_</v>
      </c>
      <c r="K1925" s="2225">
        <f>K1924</f>
        <v>18000</v>
      </c>
      <c r="L1925" s="3070">
        <f t="shared" si="199"/>
        <v>1.5</v>
      </c>
      <c r="M1925" s="2723" t="s">
        <v>1551</v>
      </c>
      <c r="N1925" s="123"/>
      <c r="O1925" s="228"/>
      <c r="P1925" s="228"/>
      <c r="Q1925" s="228"/>
      <c r="R1925" s="228"/>
      <c r="S1925" s="123"/>
      <c r="T1925" s="123"/>
      <c r="U1925" s="123"/>
      <c r="V1925" s="3990"/>
      <c r="W1925" s="2857">
        <v>37200</v>
      </c>
      <c r="X1925" s="2857">
        <v>37200</v>
      </c>
      <c r="Y1925" s="2857">
        <v>37200</v>
      </c>
      <c r="Z1925" s="2857">
        <v>37200</v>
      </c>
      <c r="AA1925" s="2857">
        <v>37200</v>
      </c>
      <c r="AB1925" s="2225">
        <v>48000</v>
      </c>
      <c r="AC1925" s="2225">
        <f>AC1924</f>
        <v>18000</v>
      </c>
      <c r="AD1925" s="2857"/>
      <c r="AE1925" s="2857"/>
      <c r="AF1925" s="2857"/>
      <c r="AG1925" s="2857"/>
      <c r="AH1925" s="1942"/>
      <c r="AI1925" s="1942"/>
      <c r="AJ1925" s="1942"/>
      <c r="AK1925" s="1942"/>
      <c r="AL1925" s="1942"/>
      <c r="AM1925" s="1942"/>
      <c r="AN1925" s="1942"/>
      <c r="AO1925" s="1942"/>
      <c r="AP1925" s="1942"/>
      <c r="AQ1925" s="1942"/>
      <c r="AR1925" s="1942"/>
      <c r="AS1925" s="1942"/>
      <c r="AT1925" s="1942"/>
      <c r="AU1925" s="1942"/>
      <c r="AV1925" s="1942"/>
      <c r="AW1925" s="1942"/>
      <c r="AX1925" s="1942"/>
      <c r="AY1925" s="1942"/>
      <c r="AZ1925" s="1942"/>
      <c r="BA1925" s="1942"/>
      <c r="BB1925" s="575"/>
      <c r="BC1925" s="576"/>
      <c r="BD1925" s="678"/>
      <c r="BE1925" s="585"/>
    </row>
    <row r="1926" spans="1:57" s="51" customFormat="1" ht="15" hidden="1" customHeight="1" outlineLevel="1" x14ac:dyDescent="0.25">
      <c r="A1926" s="1267"/>
      <c r="B1926" s="123"/>
      <c r="C1926" s="328"/>
      <c r="D1926" s="3990"/>
      <c r="E1926" s="4009"/>
      <c r="F1926" s="3010" t="str">
        <f>$E$1657</f>
        <v>ASHP-SEER18-Replace_CAC_ElectricHeat_ER1_MF_CompE</v>
      </c>
      <c r="G1926" s="2676"/>
      <c r="H1926" s="2676"/>
      <c r="I1926" s="2677"/>
      <c r="J1926" s="3298" t="str">
        <f>$C$1657</f>
        <v>354301_2021_12_</v>
      </c>
      <c r="K1926" s="2225">
        <f>K1924</f>
        <v>18000</v>
      </c>
      <c r="L1926" s="3070">
        <f t="shared" si="199"/>
        <v>1.5</v>
      </c>
      <c r="M1926" s="2278" t="s">
        <v>1125</v>
      </c>
      <c r="N1926" s="123"/>
      <c r="O1926" s="228"/>
      <c r="P1926" s="228"/>
      <c r="Q1926" s="228"/>
      <c r="R1926" s="228"/>
      <c r="S1926" s="123"/>
      <c r="T1926" s="123"/>
      <c r="U1926" s="123"/>
      <c r="V1926" s="3990"/>
      <c r="W1926" s="2857"/>
      <c r="X1926" s="2857"/>
      <c r="Y1926" s="3155">
        <v>37200</v>
      </c>
      <c r="Z1926" s="2857">
        <v>37200</v>
      </c>
      <c r="AA1926" s="2857">
        <v>37200</v>
      </c>
      <c r="AB1926" s="3150">
        <v>48000</v>
      </c>
      <c r="AC1926" s="2225">
        <f>AC1924</f>
        <v>18000</v>
      </c>
      <c r="AD1926" s="2857"/>
      <c r="AE1926" s="2857"/>
      <c r="AF1926" s="2857"/>
      <c r="AG1926" s="2857"/>
      <c r="AH1926" s="1942"/>
      <c r="AI1926" s="1942"/>
      <c r="AJ1926" s="1942"/>
      <c r="AK1926" s="1942"/>
      <c r="AL1926" s="1942"/>
      <c r="AM1926" s="1942"/>
      <c r="AN1926" s="1942"/>
      <c r="AO1926" s="1942"/>
      <c r="AP1926" s="1942"/>
      <c r="AQ1926" s="1942"/>
      <c r="AR1926" s="1942"/>
      <c r="AS1926" s="1942"/>
      <c r="AT1926" s="1942"/>
      <c r="AU1926" s="1942"/>
      <c r="AV1926" s="1942"/>
      <c r="AW1926" s="1942"/>
      <c r="AX1926" s="1942"/>
      <c r="AY1926" s="1942"/>
      <c r="AZ1926" s="1942"/>
      <c r="BA1926" s="1942"/>
      <c r="BB1926" s="575"/>
      <c r="BC1926" s="576"/>
      <c r="BD1926" s="678"/>
      <c r="BE1926" s="585"/>
    </row>
    <row r="1927" spans="1:57" s="51" customFormat="1" ht="15" hidden="1" customHeight="1" outlineLevel="1" x14ac:dyDescent="0.25">
      <c r="A1927" s="1267"/>
      <c r="B1927" s="123"/>
      <c r="C1927" s="328"/>
      <c r="D1927" s="3990"/>
      <c r="E1927" s="4009"/>
      <c r="F1927" s="3010" t="str">
        <f>$E$1659</f>
        <v>ASHP-SEER18-Replace_CAC_ElectricHeat_ER2_MF_CompE</v>
      </c>
      <c r="G1927" s="2676"/>
      <c r="H1927" s="2676"/>
      <c r="I1927" s="2677"/>
      <c r="J1927" s="3298" t="str">
        <f>$C$1659</f>
        <v>354301_2021_12_</v>
      </c>
      <c r="K1927" s="2225">
        <f>K1925</f>
        <v>18000</v>
      </c>
      <c r="L1927" s="3070">
        <f t="shared" si="199"/>
        <v>1.5</v>
      </c>
      <c r="M1927" s="2278" t="s">
        <v>1125</v>
      </c>
      <c r="N1927" s="123"/>
      <c r="O1927" s="228"/>
      <c r="P1927" s="228"/>
      <c r="Q1927" s="228"/>
      <c r="R1927" s="228"/>
      <c r="S1927" s="123"/>
      <c r="T1927" s="123"/>
      <c r="U1927" s="123"/>
      <c r="V1927" s="3990"/>
      <c r="W1927" s="2857"/>
      <c r="X1927" s="2857"/>
      <c r="Y1927" s="3155">
        <v>37200</v>
      </c>
      <c r="Z1927" s="2857">
        <v>37200</v>
      </c>
      <c r="AA1927" s="2857">
        <v>37200</v>
      </c>
      <c r="AB1927" s="3150">
        <v>48000</v>
      </c>
      <c r="AC1927" s="2225">
        <f>AC1925</f>
        <v>18000</v>
      </c>
      <c r="AD1927" s="2857"/>
      <c r="AE1927" s="2857"/>
      <c r="AF1927" s="2857"/>
      <c r="AG1927" s="2857"/>
      <c r="AH1927" s="1942"/>
      <c r="AI1927" s="1942"/>
      <c r="AJ1927" s="1942"/>
      <c r="AK1927" s="1942"/>
      <c r="AL1927" s="1942"/>
      <c r="AM1927" s="1942"/>
      <c r="AN1927" s="1942"/>
      <c r="AO1927" s="1942"/>
      <c r="AP1927" s="1942"/>
      <c r="AQ1927" s="1942"/>
      <c r="AR1927" s="1942"/>
      <c r="AS1927" s="1942"/>
      <c r="AT1927" s="1942"/>
      <c r="AU1927" s="1942"/>
      <c r="AV1927" s="1942"/>
      <c r="AW1927" s="1942"/>
      <c r="AX1927" s="1942"/>
      <c r="AY1927" s="1942"/>
      <c r="AZ1927" s="1942"/>
      <c r="BA1927" s="1942"/>
      <c r="BB1927" s="575"/>
      <c r="BC1927" s="576"/>
      <c r="BD1927" s="678"/>
      <c r="BE1927" s="585"/>
    </row>
    <row r="1928" spans="1:57" s="1942" customFormat="1" ht="15" hidden="1" customHeight="1" outlineLevel="1" x14ac:dyDescent="0.25">
      <c r="A1928" s="1267"/>
      <c r="B1928" s="123"/>
      <c r="C1928" s="328"/>
      <c r="D1928" s="3990"/>
      <c r="E1928" s="4009"/>
      <c r="F1928" s="3010" t="str">
        <f>$E$1661</f>
        <v>ASHP-SEER18-Replace_CAC_NonElectricHeat_ER1_MF</v>
      </c>
      <c r="G1928" s="2676"/>
      <c r="H1928" s="2676"/>
      <c r="I1928" s="2677"/>
      <c r="J1928" s="3298" t="str">
        <f>$C$1661</f>
        <v>354310_2021_12_</v>
      </c>
      <c r="K1928" s="2225">
        <v>18000</v>
      </c>
      <c r="L1928" s="3070">
        <f t="shared" si="199"/>
        <v>1.5</v>
      </c>
      <c r="M1928" s="2723" t="s">
        <v>1125</v>
      </c>
      <c r="N1928" s="123"/>
      <c r="O1928" s="228"/>
      <c r="P1928" s="228"/>
      <c r="Q1928" s="228"/>
      <c r="R1928" s="228"/>
      <c r="S1928" s="123"/>
      <c r="T1928" s="123"/>
      <c r="U1928" s="123"/>
      <c r="V1928" s="3990"/>
      <c r="W1928" s="2857"/>
      <c r="X1928" s="2857"/>
      <c r="Y1928" s="3155"/>
      <c r="Z1928" s="2857"/>
      <c r="AA1928" s="2857"/>
      <c r="AB1928" s="3150"/>
      <c r="AC1928" s="2225">
        <v>18000</v>
      </c>
      <c r="AD1928" s="2857"/>
      <c r="AE1928" s="2857"/>
      <c r="AF1928" s="2857"/>
      <c r="AG1928" s="2857"/>
      <c r="BB1928" s="575"/>
      <c r="BC1928" s="576"/>
      <c r="BD1928" s="678"/>
      <c r="BE1928" s="585"/>
    </row>
    <row r="1929" spans="1:57" s="1942" customFormat="1" ht="15" hidden="1" customHeight="1" outlineLevel="1" x14ac:dyDescent="0.25">
      <c r="A1929" s="1267"/>
      <c r="B1929" s="123"/>
      <c r="C1929" s="328"/>
      <c r="D1929" s="3990"/>
      <c r="E1929" s="4009"/>
      <c r="F1929" s="3010" t="str">
        <f>$E$1663</f>
        <v>ASHP-SEER18-Replace_CAC_NonElectricHeat_ER2_MF</v>
      </c>
      <c r="G1929" s="2676"/>
      <c r="H1929" s="2676"/>
      <c r="I1929" s="2677"/>
      <c r="J1929" s="3298" t="str">
        <f>$C$1663</f>
        <v>354310_2021_12_</v>
      </c>
      <c r="K1929" s="2225">
        <f>K1928</f>
        <v>18000</v>
      </c>
      <c r="L1929" s="3070">
        <f t="shared" ref="L1929:L1987" si="200">K1929/12000</f>
        <v>1.5</v>
      </c>
      <c r="M1929" s="2723" t="s">
        <v>1125</v>
      </c>
      <c r="N1929" s="123"/>
      <c r="O1929" s="228"/>
      <c r="P1929" s="228"/>
      <c r="Q1929" s="228"/>
      <c r="R1929" s="228"/>
      <c r="S1929" s="123"/>
      <c r="T1929" s="123"/>
      <c r="U1929" s="123"/>
      <c r="V1929" s="3990"/>
      <c r="W1929" s="2857"/>
      <c r="X1929" s="2857"/>
      <c r="Y1929" s="3155"/>
      <c r="Z1929" s="2857"/>
      <c r="AA1929" s="2857"/>
      <c r="AB1929" s="3150"/>
      <c r="AC1929" s="2225">
        <f>AC1928</f>
        <v>18000</v>
      </c>
      <c r="AD1929" s="2857"/>
      <c r="AE1929" s="2857"/>
      <c r="AF1929" s="2857"/>
      <c r="AG1929" s="2857"/>
      <c r="BB1929" s="575"/>
      <c r="BC1929" s="576"/>
      <c r="BD1929" s="678"/>
      <c r="BE1929" s="585"/>
    </row>
    <row r="1930" spans="1:57" s="1942" customFormat="1" ht="15" hidden="1" customHeight="1" outlineLevel="1" x14ac:dyDescent="0.25">
      <c r="A1930" s="1267"/>
      <c r="B1930" s="123"/>
      <c r="C1930" s="328"/>
      <c r="D1930" s="3990"/>
      <c r="E1930" s="4009"/>
      <c r="F1930" s="3010" t="str">
        <f>$E$1665</f>
        <v>ASHP-SEER18-Replace_CAC_NonElectricHeat_ER1_MF_CompE</v>
      </c>
      <c r="G1930" s="2676"/>
      <c r="H1930" s="2676"/>
      <c r="I1930" s="2677"/>
      <c r="J1930" s="3298" t="str">
        <f>$C$1665</f>
        <v>354311_2021_12_</v>
      </c>
      <c r="K1930" s="2225">
        <f>K1928</f>
        <v>18000</v>
      </c>
      <c r="L1930" s="3070">
        <f t="shared" si="200"/>
        <v>1.5</v>
      </c>
      <c r="M1930" s="2723" t="s">
        <v>1125</v>
      </c>
      <c r="N1930" s="123"/>
      <c r="O1930" s="228"/>
      <c r="P1930" s="228"/>
      <c r="Q1930" s="228"/>
      <c r="R1930" s="228"/>
      <c r="S1930" s="123"/>
      <c r="T1930" s="123"/>
      <c r="U1930" s="123"/>
      <c r="V1930" s="3990"/>
      <c r="W1930" s="2857"/>
      <c r="X1930" s="2857"/>
      <c r="Y1930" s="3155"/>
      <c r="Z1930" s="2857"/>
      <c r="AA1930" s="2857"/>
      <c r="AB1930" s="3150"/>
      <c r="AC1930" s="2225">
        <f>AC1928</f>
        <v>18000</v>
      </c>
      <c r="AD1930" s="2857"/>
      <c r="AE1930" s="2857"/>
      <c r="AF1930" s="2857"/>
      <c r="AG1930" s="2857"/>
      <c r="BB1930" s="575"/>
      <c r="BC1930" s="576"/>
      <c r="BD1930" s="678"/>
      <c r="BE1930" s="585"/>
    </row>
    <row r="1931" spans="1:57" s="1942" customFormat="1" ht="15" hidden="1" customHeight="1" outlineLevel="1" x14ac:dyDescent="0.25">
      <c r="A1931" s="1267"/>
      <c r="B1931" s="123"/>
      <c r="C1931" s="328"/>
      <c r="D1931" s="3990"/>
      <c r="E1931" s="4009"/>
      <c r="F1931" s="3010" t="str">
        <f>$E$1667</f>
        <v>ASHP-SEER18-Replace_CAC_NonElectricHeat_ER2_MF_CompE</v>
      </c>
      <c r="G1931" s="2676"/>
      <c r="H1931" s="2676"/>
      <c r="I1931" s="2677"/>
      <c r="J1931" s="3298" t="str">
        <f>$C$1667</f>
        <v>354311_2021_12_</v>
      </c>
      <c r="K1931" s="2225">
        <f>K1929</f>
        <v>18000</v>
      </c>
      <c r="L1931" s="3070">
        <f t="shared" si="200"/>
        <v>1.5</v>
      </c>
      <c r="M1931" s="2723" t="s">
        <v>1125</v>
      </c>
      <c r="N1931" s="123"/>
      <c r="O1931" s="228"/>
      <c r="P1931" s="228"/>
      <c r="Q1931" s="228"/>
      <c r="R1931" s="228"/>
      <c r="S1931" s="123"/>
      <c r="T1931" s="123"/>
      <c r="U1931" s="123"/>
      <c r="V1931" s="3990"/>
      <c r="W1931" s="2857"/>
      <c r="X1931" s="2857"/>
      <c r="Y1931" s="3155"/>
      <c r="Z1931" s="2857"/>
      <c r="AA1931" s="2857"/>
      <c r="AB1931" s="3150"/>
      <c r="AC1931" s="2225">
        <f>AC1929</f>
        <v>18000</v>
      </c>
      <c r="AD1931" s="2857"/>
      <c r="AE1931" s="2857"/>
      <c r="AF1931" s="2857"/>
      <c r="AG1931" s="2857"/>
      <c r="BB1931" s="575"/>
      <c r="BC1931" s="576"/>
      <c r="BD1931" s="678"/>
      <c r="BE1931" s="585"/>
    </row>
    <row r="1932" spans="1:57" s="51" customFormat="1" ht="15" hidden="1" customHeight="1" outlineLevel="1" x14ac:dyDescent="0.25">
      <c r="A1932" s="1267"/>
      <c r="B1932" s="123"/>
      <c r="C1932" s="328"/>
      <c r="D1932" s="3990"/>
      <c r="E1932" s="4009"/>
      <c r="F1932" s="3010" t="str">
        <f>$E$1669</f>
        <v>ASHP-SEER18_ER1_MF</v>
      </c>
      <c r="G1932" s="2676"/>
      <c r="H1932" s="2676"/>
      <c r="I1932" s="2677"/>
      <c r="J1932" s="3298" t="str">
        <f>$C$1669</f>
        <v>354350_2021_12_</v>
      </c>
      <c r="K1932" s="2225">
        <v>60000</v>
      </c>
      <c r="L1932" s="3070">
        <f t="shared" si="200"/>
        <v>5</v>
      </c>
      <c r="M1932" s="2723" t="s">
        <v>1008</v>
      </c>
      <c r="N1932" s="123"/>
      <c r="O1932" s="228"/>
      <c r="P1932" s="228"/>
      <c r="Q1932" s="228"/>
      <c r="R1932" s="228"/>
      <c r="S1932" s="123"/>
      <c r="T1932" s="123"/>
      <c r="U1932" s="123"/>
      <c r="V1932" s="3990"/>
      <c r="W1932" s="2857">
        <v>39600</v>
      </c>
      <c r="X1932" s="2857">
        <v>39600</v>
      </c>
      <c r="Y1932" s="2857">
        <v>39600</v>
      </c>
      <c r="Z1932" s="2857">
        <v>39600</v>
      </c>
      <c r="AA1932" s="2857">
        <v>39600</v>
      </c>
      <c r="AB1932" s="2855">
        <v>39600</v>
      </c>
      <c r="AC1932" s="2225">
        <v>60000</v>
      </c>
      <c r="AD1932" s="2857"/>
      <c r="AE1932" s="2857"/>
      <c r="AF1932" s="2857"/>
      <c r="AG1932" s="2857"/>
      <c r="AH1932" s="1942"/>
      <c r="AI1932" s="1942"/>
      <c r="AJ1932" s="1942"/>
      <c r="AK1932" s="1942"/>
      <c r="AL1932" s="1942"/>
      <c r="AM1932" s="1942"/>
      <c r="AN1932" s="1942"/>
      <c r="AO1932" s="1942"/>
      <c r="AP1932" s="1942"/>
      <c r="AQ1932" s="1942"/>
      <c r="AR1932" s="1942"/>
      <c r="AS1932" s="1942"/>
      <c r="AT1932" s="1942"/>
      <c r="AU1932" s="1942"/>
      <c r="AV1932" s="1942"/>
      <c r="AW1932" s="1942"/>
      <c r="AX1932" s="1942"/>
      <c r="AY1932" s="1942"/>
      <c r="AZ1932" s="1942"/>
      <c r="BA1932" s="1942"/>
      <c r="BB1932" s="575"/>
      <c r="BC1932" s="576"/>
      <c r="BD1932" s="678"/>
      <c r="BE1932" s="585"/>
    </row>
    <row r="1933" spans="1:57" s="51" customFormat="1" ht="15" hidden="1" customHeight="1" outlineLevel="1" x14ac:dyDescent="0.25">
      <c r="A1933" s="1267"/>
      <c r="B1933" s="123"/>
      <c r="C1933" s="328"/>
      <c r="D1933" s="3990"/>
      <c r="E1933" s="4009"/>
      <c r="F1933" s="3010" t="str">
        <f>$E$1671</f>
        <v>ASHP-SEER18_ER2_MF</v>
      </c>
      <c r="G1933" s="2676"/>
      <c r="H1933" s="2676"/>
      <c r="I1933" s="2677"/>
      <c r="J1933" s="3298" t="str">
        <f>$C$1671</f>
        <v>354350_2021_12_</v>
      </c>
      <c r="K1933" s="2225">
        <f>K1932</f>
        <v>60000</v>
      </c>
      <c r="L1933" s="3070">
        <f t="shared" si="200"/>
        <v>5</v>
      </c>
      <c r="M1933" s="2723" t="s">
        <v>1008</v>
      </c>
      <c r="N1933" s="123"/>
      <c r="O1933" s="228"/>
      <c r="P1933" s="228"/>
      <c r="Q1933" s="228"/>
      <c r="R1933" s="228"/>
      <c r="S1933" s="123"/>
      <c r="T1933" s="123"/>
      <c r="U1933" s="123"/>
      <c r="V1933" s="3990"/>
      <c r="W1933" s="2857">
        <v>39600</v>
      </c>
      <c r="X1933" s="2857">
        <v>39600</v>
      </c>
      <c r="Y1933" s="2857">
        <v>39600</v>
      </c>
      <c r="Z1933" s="2857">
        <v>39600</v>
      </c>
      <c r="AA1933" s="2857">
        <v>39600</v>
      </c>
      <c r="AB1933" s="2855">
        <v>39600</v>
      </c>
      <c r="AC1933" s="2225">
        <f>AC1932</f>
        <v>60000</v>
      </c>
      <c r="AD1933" s="2857"/>
      <c r="AE1933" s="2857"/>
      <c r="AF1933" s="2857"/>
      <c r="AG1933" s="2857"/>
      <c r="AH1933" s="1942"/>
      <c r="AI1933" s="1942"/>
      <c r="AJ1933" s="1942"/>
      <c r="AK1933" s="1942"/>
      <c r="AL1933" s="1942"/>
      <c r="AM1933" s="1942"/>
      <c r="AN1933" s="1942"/>
      <c r="AO1933" s="1942"/>
      <c r="AP1933" s="1942"/>
      <c r="AQ1933" s="1942"/>
      <c r="AR1933" s="1942"/>
      <c r="AS1933" s="1942"/>
      <c r="AT1933" s="1942"/>
      <c r="AU1933" s="1942"/>
      <c r="AV1933" s="1942"/>
      <c r="AW1933" s="1942"/>
      <c r="AX1933" s="1942"/>
      <c r="AY1933" s="1942"/>
      <c r="AZ1933" s="1942"/>
      <c r="BA1933" s="1942"/>
      <c r="BB1933" s="575"/>
      <c r="BC1933" s="576"/>
      <c r="BD1933" s="678"/>
      <c r="BE1933" s="585"/>
    </row>
    <row r="1934" spans="1:57" s="51" customFormat="1" ht="15" hidden="1" customHeight="1" outlineLevel="1" x14ac:dyDescent="0.25">
      <c r="A1934" s="1267"/>
      <c r="B1934" s="123"/>
      <c r="C1934" s="328"/>
      <c r="D1934" s="3990"/>
      <c r="E1934" s="4009"/>
      <c r="F1934" s="3010" t="str">
        <f>$E$1673</f>
        <v>ASHP-SEER18_ER1_MF_CompE</v>
      </c>
      <c r="G1934" s="2676"/>
      <c r="H1934" s="2676"/>
      <c r="I1934" s="2677"/>
      <c r="J1934" s="3298" t="str">
        <f>$C$1673</f>
        <v>354351_2021_12_</v>
      </c>
      <c r="K1934" s="2225">
        <f>K1932</f>
        <v>60000</v>
      </c>
      <c r="L1934" s="3070">
        <f t="shared" si="200"/>
        <v>5</v>
      </c>
      <c r="M1934" s="2723" t="s">
        <v>1125</v>
      </c>
      <c r="N1934" s="123"/>
      <c r="O1934" s="228"/>
      <c r="P1934" s="228"/>
      <c r="Q1934" s="228"/>
      <c r="R1934" s="228"/>
      <c r="S1934" s="123"/>
      <c r="T1934" s="123"/>
      <c r="U1934" s="123"/>
      <c r="V1934" s="3990"/>
      <c r="W1934" s="2857"/>
      <c r="X1934" s="2857"/>
      <c r="Y1934" s="3155">
        <v>39600</v>
      </c>
      <c r="Z1934" s="2857">
        <v>39600</v>
      </c>
      <c r="AA1934" s="2857">
        <v>39600</v>
      </c>
      <c r="AB1934" s="2855">
        <v>39600</v>
      </c>
      <c r="AC1934" s="2225">
        <f>AC1932</f>
        <v>60000</v>
      </c>
      <c r="AD1934" s="2857"/>
      <c r="AE1934" s="2857"/>
      <c r="AF1934" s="2857"/>
      <c r="AG1934" s="2857"/>
      <c r="AH1934" s="1942"/>
      <c r="AI1934" s="1942"/>
      <c r="AJ1934" s="1942"/>
      <c r="AK1934" s="1942"/>
      <c r="AL1934" s="1942"/>
      <c r="AM1934" s="1942"/>
      <c r="AN1934" s="1942"/>
      <c r="AO1934" s="1942"/>
      <c r="AP1934" s="1942"/>
      <c r="AQ1934" s="1942"/>
      <c r="AR1934" s="1942"/>
      <c r="AS1934" s="1942"/>
      <c r="AT1934" s="1942"/>
      <c r="AU1934" s="1942"/>
      <c r="AV1934" s="1942"/>
      <c r="AW1934" s="1942"/>
      <c r="AX1934" s="1942"/>
      <c r="AY1934" s="1942"/>
      <c r="AZ1934" s="1942"/>
      <c r="BA1934" s="1942"/>
      <c r="BB1934" s="575"/>
      <c r="BC1934" s="576"/>
      <c r="BD1934" s="678"/>
      <c r="BE1934" s="585"/>
    </row>
    <row r="1935" spans="1:57" s="51" customFormat="1" ht="15" hidden="1" customHeight="1" outlineLevel="1" x14ac:dyDescent="0.25">
      <c r="A1935" s="1267"/>
      <c r="B1935" s="123"/>
      <c r="C1935" s="328"/>
      <c r="D1935" s="3990"/>
      <c r="E1935" s="4009"/>
      <c r="F1935" s="3010" t="str">
        <f>$E$1675</f>
        <v>ASHP-SEER18_ER2_MF_CompE</v>
      </c>
      <c r="G1935" s="2676"/>
      <c r="H1935" s="2676"/>
      <c r="I1935" s="2677"/>
      <c r="J1935" s="3298" t="str">
        <f>$C$1675</f>
        <v>354351_2021_12_</v>
      </c>
      <c r="K1935" s="2225">
        <f>K1933</f>
        <v>60000</v>
      </c>
      <c r="L1935" s="3070">
        <f t="shared" si="200"/>
        <v>5</v>
      </c>
      <c r="M1935" s="2723" t="s">
        <v>1125</v>
      </c>
      <c r="N1935" s="123"/>
      <c r="O1935" s="228"/>
      <c r="P1935" s="228"/>
      <c r="Q1935" s="228"/>
      <c r="R1935" s="228"/>
      <c r="S1935" s="123"/>
      <c r="T1935" s="123"/>
      <c r="U1935" s="123"/>
      <c r="V1935" s="3990"/>
      <c r="W1935" s="2857"/>
      <c r="X1935" s="2857"/>
      <c r="Y1935" s="3155">
        <v>39600</v>
      </c>
      <c r="Z1935" s="2857">
        <v>39600</v>
      </c>
      <c r="AA1935" s="2857">
        <v>39600</v>
      </c>
      <c r="AB1935" s="2855">
        <v>39600</v>
      </c>
      <c r="AC1935" s="2225">
        <f>AC1933</f>
        <v>60000</v>
      </c>
      <c r="AD1935" s="2857"/>
      <c r="AE1935" s="2857"/>
      <c r="AF1935" s="2857"/>
      <c r="AG1935" s="2857"/>
      <c r="AH1935" s="1942"/>
      <c r="AI1935" s="1942"/>
      <c r="AJ1935" s="1942"/>
      <c r="AK1935" s="1942"/>
      <c r="AL1935" s="1942"/>
      <c r="AM1935" s="1942"/>
      <c r="AN1935" s="1942"/>
      <c r="AO1935" s="1942"/>
      <c r="AP1935" s="1942"/>
      <c r="AQ1935" s="1942"/>
      <c r="AR1935" s="1942"/>
      <c r="AS1935" s="1942"/>
      <c r="AT1935" s="1942"/>
      <c r="AU1935" s="1942"/>
      <c r="AV1935" s="1942"/>
      <c r="AW1935" s="1942"/>
      <c r="AX1935" s="1942"/>
      <c r="AY1935" s="1942"/>
      <c r="AZ1935" s="1942"/>
      <c r="BA1935" s="1942"/>
      <c r="BB1935" s="575"/>
      <c r="BC1935" s="576"/>
      <c r="BD1935" s="678"/>
      <c r="BE1935" s="585"/>
    </row>
    <row r="1936" spans="1:57" s="51" customFormat="1" ht="15" hidden="1" customHeight="1" outlineLevel="1" x14ac:dyDescent="0.25">
      <c r="A1936" s="1267"/>
      <c r="B1936" s="123"/>
      <c r="C1936" s="328"/>
      <c r="D1936" s="3990"/>
      <c r="E1936" s="4009"/>
      <c r="F1936" s="3010" t="str">
        <f>$E$1677</f>
        <v>ASHP-SEER19-Replace_CAC_ElectricHeat_ER1_SF</v>
      </c>
      <c r="G1936" s="2676"/>
      <c r="H1936" s="2676"/>
      <c r="I1936" s="2677"/>
      <c r="J1936" s="3298" t="str">
        <f>$C$1677</f>
        <v>354400_2021_12_</v>
      </c>
      <c r="K1936" s="2225">
        <v>43200</v>
      </c>
      <c r="L1936" s="3070">
        <f t="shared" si="200"/>
        <v>3.6</v>
      </c>
      <c r="M1936" s="2723" t="s">
        <v>1008</v>
      </c>
      <c r="N1936" s="123"/>
      <c r="O1936" s="228"/>
      <c r="P1936" s="228"/>
      <c r="Q1936" s="228"/>
      <c r="R1936" s="228"/>
      <c r="S1936" s="123"/>
      <c r="T1936" s="123"/>
      <c r="U1936" s="123"/>
      <c r="V1936" s="3990"/>
      <c r="W1936" s="2857">
        <v>37200</v>
      </c>
      <c r="X1936" s="2857">
        <v>37200</v>
      </c>
      <c r="Y1936" s="2857">
        <v>37200</v>
      </c>
      <c r="Z1936" s="2857">
        <v>37200</v>
      </c>
      <c r="AA1936" s="2857">
        <v>37200</v>
      </c>
      <c r="AB1936" s="2855">
        <v>37200</v>
      </c>
      <c r="AC1936" s="2225">
        <v>43200</v>
      </c>
      <c r="AD1936" s="2857"/>
      <c r="AE1936" s="2857"/>
      <c r="AF1936" s="2857"/>
      <c r="AG1936" s="2857"/>
      <c r="AH1936" s="1942"/>
      <c r="AI1936" s="1942"/>
      <c r="AJ1936" s="1942"/>
      <c r="AK1936" s="1942"/>
      <c r="AL1936" s="1942"/>
      <c r="AM1936" s="1942"/>
      <c r="AN1936" s="1942"/>
      <c r="AO1936" s="1942"/>
      <c r="AP1936" s="1942"/>
      <c r="AQ1936" s="1942"/>
      <c r="AR1936" s="1942"/>
      <c r="AS1936" s="1942"/>
      <c r="AT1936" s="1942"/>
      <c r="AU1936" s="1942"/>
      <c r="AV1936" s="1942"/>
      <c r="AW1936" s="1942"/>
      <c r="AX1936" s="1942"/>
      <c r="AY1936" s="1942"/>
      <c r="AZ1936" s="1942"/>
      <c r="BA1936" s="1942"/>
      <c r="BB1936" s="575"/>
      <c r="BC1936" s="576"/>
      <c r="BD1936" s="678"/>
      <c r="BE1936" s="585"/>
    </row>
    <row r="1937" spans="1:57" s="51" customFormat="1" ht="15" hidden="1" customHeight="1" outlineLevel="1" x14ac:dyDescent="0.25">
      <c r="A1937" s="1267"/>
      <c r="B1937" s="123"/>
      <c r="C1937" s="328"/>
      <c r="D1937" s="3990"/>
      <c r="E1937" s="4009"/>
      <c r="F1937" s="3010" t="str">
        <f>$E$1679</f>
        <v>ASHP-SEER19-Replace_CAC_ElectricHeat_ER2_SF</v>
      </c>
      <c r="G1937" s="2676"/>
      <c r="H1937" s="2676"/>
      <c r="I1937" s="2677"/>
      <c r="J1937" s="3298" t="str">
        <f>$C$1679</f>
        <v>354400_2021_12_</v>
      </c>
      <c r="K1937" s="2225">
        <f>K1936</f>
        <v>43200</v>
      </c>
      <c r="L1937" s="3070">
        <f t="shared" si="200"/>
        <v>3.6</v>
      </c>
      <c r="M1937" s="2723" t="s">
        <v>1008</v>
      </c>
      <c r="N1937" s="123"/>
      <c r="O1937" s="228"/>
      <c r="P1937" s="228"/>
      <c r="Q1937" s="228"/>
      <c r="R1937" s="228"/>
      <c r="S1937" s="123"/>
      <c r="T1937" s="123"/>
      <c r="U1937" s="123"/>
      <c r="V1937" s="3990"/>
      <c r="W1937" s="2857">
        <v>37200</v>
      </c>
      <c r="X1937" s="2857">
        <v>37200</v>
      </c>
      <c r="Y1937" s="2857">
        <v>37200</v>
      </c>
      <c r="Z1937" s="2857">
        <v>37200</v>
      </c>
      <c r="AA1937" s="2857">
        <v>37200</v>
      </c>
      <c r="AB1937" s="2855">
        <v>37200</v>
      </c>
      <c r="AC1937" s="2225">
        <f>AC1936</f>
        <v>43200</v>
      </c>
      <c r="AD1937" s="2857"/>
      <c r="AE1937" s="2857"/>
      <c r="AF1937" s="2857"/>
      <c r="AG1937" s="2857"/>
      <c r="AH1937" s="1942"/>
      <c r="AI1937" s="1942"/>
      <c r="AJ1937" s="1942"/>
      <c r="AK1937" s="1942"/>
      <c r="AL1937" s="1942"/>
      <c r="AM1937" s="1942"/>
      <c r="AN1937" s="1942"/>
      <c r="AO1937" s="1942"/>
      <c r="AP1937" s="1942"/>
      <c r="AQ1937" s="1942"/>
      <c r="AR1937" s="1942"/>
      <c r="AS1937" s="1942"/>
      <c r="AT1937" s="1942"/>
      <c r="AU1937" s="1942"/>
      <c r="AV1937" s="1942"/>
      <c r="AW1937" s="1942"/>
      <c r="AX1937" s="1942"/>
      <c r="AY1937" s="1942"/>
      <c r="AZ1937" s="1942"/>
      <c r="BA1937" s="1942"/>
      <c r="BB1937" s="575"/>
      <c r="BC1937" s="576"/>
      <c r="BD1937" s="678"/>
      <c r="BE1937" s="585"/>
    </row>
    <row r="1938" spans="1:57" s="1942" customFormat="1" ht="15" hidden="1" customHeight="1" outlineLevel="1" x14ac:dyDescent="0.25">
      <c r="A1938" s="1267"/>
      <c r="B1938" s="123"/>
      <c r="C1938" s="328"/>
      <c r="D1938" s="3990"/>
      <c r="E1938" s="4009"/>
      <c r="F1938" s="3010" t="str">
        <f>$E$1681</f>
        <v>ASHP-SEER19-Replace_CAC_NonElectricHeat_ER1_SF</v>
      </c>
      <c r="G1938" s="2676"/>
      <c r="H1938" s="2676"/>
      <c r="I1938" s="2677"/>
      <c r="J1938" s="3298" t="str">
        <f>$C$1681</f>
        <v>354410_2021_12_</v>
      </c>
      <c r="K1938" s="2225">
        <v>43200</v>
      </c>
      <c r="L1938" s="3070">
        <f t="shared" si="200"/>
        <v>3.6</v>
      </c>
      <c r="M1938" s="2723" t="s">
        <v>1125</v>
      </c>
      <c r="N1938" s="123"/>
      <c r="O1938" s="228"/>
      <c r="P1938" s="228"/>
      <c r="Q1938" s="228"/>
      <c r="R1938" s="228"/>
      <c r="S1938" s="123"/>
      <c r="T1938" s="123"/>
      <c r="U1938" s="123"/>
      <c r="V1938" s="3990"/>
      <c r="W1938" s="2857"/>
      <c r="X1938" s="2857"/>
      <c r="Y1938" s="2857"/>
      <c r="Z1938" s="2857"/>
      <c r="AA1938" s="2857"/>
      <c r="AB1938" s="2855"/>
      <c r="AC1938" s="2225">
        <v>43200</v>
      </c>
      <c r="AD1938" s="2857"/>
      <c r="AE1938" s="2857"/>
      <c r="AF1938" s="2857"/>
      <c r="AG1938" s="2857"/>
      <c r="BB1938" s="575"/>
      <c r="BC1938" s="576"/>
      <c r="BD1938" s="678"/>
      <c r="BE1938" s="585"/>
    </row>
    <row r="1939" spans="1:57" s="1942" customFormat="1" ht="15" hidden="1" customHeight="1" outlineLevel="1" x14ac:dyDescent="0.25">
      <c r="A1939" s="1267"/>
      <c r="B1939" s="123"/>
      <c r="C1939" s="328"/>
      <c r="D1939" s="3990"/>
      <c r="E1939" s="4009"/>
      <c r="F1939" s="3010" t="str">
        <f>$E$1683</f>
        <v>ASHP-SEER19-Replace_CAC_NonElectricHeat_ER2_SF</v>
      </c>
      <c r="G1939" s="2676"/>
      <c r="H1939" s="2676"/>
      <c r="I1939" s="2677"/>
      <c r="J1939" s="3298" t="str">
        <f>$C$1683</f>
        <v>354410_2021_12_</v>
      </c>
      <c r="K1939" s="2225">
        <f>K1938</f>
        <v>43200</v>
      </c>
      <c r="L1939" s="3070">
        <f t="shared" si="200"/>
        <v>3.6</v>
      </c>
      <c r="M1939" s="2723" t="s">
        <v>1125</v>
      </c>
      <c r="N1939" s="123"/>
      <c r="O1939" s="228"/>
      <c r="P1939" s="228"/>
      <c r="Q1939" s="228"/>
      <c r="R1939" s="228"/>
      <c r="S1939" s="123"/>
      <c r="T1939" s="123"/>
      <c r="U1939" s="123"/>
      <c r="V1939" s="3990"/>
      <c r="W1939" s="2857"/>
      <c r="X1939" s="2857"/>
      <c r="Y1939" s="2857"/>
      <c r="Z1939" s="2857"/>
      <c r="AA1939" s="2857"/>
      <c r="AB1939" s="2855"/>
      <c r="AC1939" s="2225">
        <f>AC1938</f>
        <v>43200</v>
      </c>
      <c r="AD1939" s="2857"/>
      <c r="AE1939" s="2857"/>
      <c r="AF1939" s="2857"/>
      <c r="AG1939" s="2857"/>
      <c r="BB1939" s="575"/>
      <c r="BC1939" s="576"/>
      <c r="BD1939" s="678"/>
      <c r="BE1939" s="585"/>
    </row>
    <row r="1940" spans="1:57" s="51" customFormat="1" ht="15" hidden="1" customHeight="1" outlineLevel="1" x14ac:dyDescent="0.25">
      <c r="A1940" s="1267"/>
      <c r="B1940" s="123"/>
      <c r="C1940" s="328"/>
      <c r="D1940" s="3990"/>
      <c r="E1940" s="4009"/>
      <c r="F1940" s="3010" t="str">
        <f>$E$1685</f>
        <v>ASHP-SEER19-Replace_CAC_ElectricHeat_ER1_MF</v>
      </c>
      <c r="G1940" s="2676"/>
      <c r="H1940" s="2676"/>
      <c r="I1940" s="2677"/>
      <c r="J1940" s="3299" t="str">
        <f>$C$1685</f>
        <v>354450_2019_12_</v>
      </c>
      <c r="K1940" s="2551">
        <v>37200</v>
      </c>
      <c r="L1940" s="3072">
        <f t="shared" si="200"/>
        <v>3.1</v>
      </c>
      <c r="M1940" s="2278"/>
      <c r="N1940" s="123"/>
      <c r="O1940" s="228"/>
      <c r="P1940" s="228"/>
      <c r="Q1940" s="228"/>
      <c r="R1940" s="228"/>
      <c r="S1940" s="123"/>
      <c r="T1940" s="123"/>
      <c r="U1940" s="123"/>
      <c r="V1940" s="3990"/>
      <c r="W1940" s="2857">
        <v>37200</v>
      </c>
      <c r="X1940" s="2857">
        <v>37200</v>
      </c>
      <c r="Y1940" s="2857">
        <v>37200</v>
      </c>
      <c r="Z1940" s="2857">
        <v>37200</v>
      </c>
      <c r="AA1940" s="2857">
        <v>37200</v>
      </c>
      <c r="AB1940" s="2855">
        <v>37200</v>
      </c>
      <c r="AC1940" s="2551">
        <v>37200</v>
      </c>
      <c r="AD1940" s="2857"/>
      <c r="AE1940" s="2857"/>
      <c r="AF1940" s="2857"/>
      <c r="AG1940" s="2857"/>
      <c r="AH1940" s="1942"/>
      <c r="AI1940" s="1942"/>
      <c r="AJ1940" s="1942"/>
      <c r="AK1940" s="1942"/>
      <c r="AL1940" s="1942"/>
      <c r="AM1940" s="1942"/>
      <c r="AN1940" s="1942"/>
      <c r="AO1940" s="1942"/>
      <c r="AP1940" s="1942"/>
      <c r="AQ1940" s="1942"/>
      <c r="AR1940" s="1942"/>
      <c r="AS1940" s="1942"/>
      <c r="AT1940" s="1942"/>
      <c r="AU1940" s="1942"/>
      <c r="AV1940" s="1942"/>
      <c r="AW1940" s="1942"/>
      <c r="AX1940" s="1942"/>
      <c r="AY1940" s="1942"/>
      <c r="AZ1940" s="1942"/>
      <c r="BA1940" s="1942"/>
      <c r="BB1940" s="575"/>
      <c r="BC1940" s="576"/>
      <c r="BD1940" s="678"/>
      <c r="BE1940" s="585"/>
    </row>
    <row r="1941" spans="1:57" s="51" customFormat="1" ht="15" hidden="1" customHeight="1" outlineLevel="1" x14ac:dyDescent="0.25">
      <c r="A1941" s="1267"/>
      <c r="B1941" s="123"/>
      <c r="C1941" s="328"/>
      <c r="D1941" s="3990"/>
      <c r="E1941" s="4009"/>
      <c r="F1941" s="3010" t="str">
        <f>$E$1687</f>
        <v>ASHP-SEER19-Replace_CAC_ElectricHeat_ER2_MF</v>
      </c>
      <c r="G1941" s="2676"/>
      <c r="H1941" s="2676"/>
      <c r="I1941" s="2677"/>
      <c r="J1941" s="3299" t="str">
        <f>$C$1687</f>
        <v>354450_2019_12_</v>
      </c>
      <c r="K1941" s="2551">
        <v>37200</v>
      </c>
      <c r="L1941" s="3072">
        <f t="shared" si="200"/>
        <v>3.1</v>
      </c>
      <c r="M1941" s="2278"/>
      <c r="N1941" s="123"/>
      <c r="O1941" s="228"/>
      <c r="P1941" s="228"/>
      <c r="Q1941" s="228"/>
      <c r="R1941" s="228"/>
      <c r="S1941" s="123"/>
      <c r="T1941" s="123"/>
      <c r="U1941" s="123"/>
      <c r="V1941" s="3990"/>
      <c r="W1941" s="2857">
        <v>37200</v>
      </c>
      <c r="X1941" s="2857">
        <v>37200</v>
      </c>
      <c r="Y1941" s="2857">
        <v>37200</v>
      </c>
      <c r="Z1941" s="2857">
        <v>37200</v>
      </c>
      <c r="AA1941" s="2857">
        <v>37200</v>
      </c>
      <c r="AB1941" s="2855">
        <v>37200</v>
      </c>
      <c r="AC1941" s="2551">
        <v>37200</v>
      </c>
      <c r="AD1941" s="2857"/>
      <c r="AE1941" s="2857"/>
      <c r="AF1941" s="2857"/>
      <c r="AG1941" s="2857"/>
      <c r="AH1941" s="1942"/>
      <c r="AI1941" s="1942"/>
      <c r="AJ1941" s="1942"/>
      <c r="AK1941" s="1942"/>
      <c r="AL1941" s="1942"/>
      <c r="AM1941" s="1942"/>
      <c r="AN1941" s="1942"/>
      <c r="AO1941" s="1942"/>
      <c r="AP1941" s="1942"/>
      <c r="AQ1941" s="1942"/>
      <c r="AR1941" s="1942"/>
      <c r="AS1941" s="1942"/>
      <c r="AT1941" s="1942"/>
      <c r="AU1941" s="1942"/>
      <c r="AV1941" s="1942"/>
      <c r="AW1941" s="1942"/>
      <c r="AX1941" s="1942"/>
      <c r="AY1941" s="1942"/>
      <c r="AZ1941" s="1942"/>
      <c r="BA1941" s="1942"/>
      <c r="BB1941" s="575"/>
      <c r="BC1941" s="576"/>
      <c r="BD1941" s="678"/>
      <c r="BE1941" s="585"/>
    </row>
    <row r="1942" spans="1:57" s="51" customFormat="1" ht="15" hidden="1" customHeight="1" outlineLevel="1" x14ac:dyDescent="0.25">
      <c r="A1942" s="1267"/>
      <c r="B1942" s="123"/>
      <c r="C1942" s="328"/>
      <c r="D1942" s="3990"/>
      <c r="E1942" s="4009"/>
      <c r="F1942" s="3010" t="str">
        <f>$E$1689</f>
        <v>ASHP-SEER19-Replace_CAC_ElectricHeat_ER1_MF_CompE</v>
      </c>
      <c r="G1942" s="2676"/>
      <c r="H1942" s="2676"/>
      <c r="I1942" s="2677"/>
      <c r="J1942" s="3299" t="str">
        <f>$C$1689</f>
        <v>354451_2019_12_</v>
      </c>
      <c r="K1942" s="2551">
        <f>K1940</f>
        <v>37200</v>
      </c>
      <c r="L1942" s="3072">
        <f t="shared" si="200"/>
        <v>3.1</v>
      </c>
      <c r="M1942" s="2278"/>
      <c r="N1942" s="123"/>
      <c r="O1942" s="228"/>
      <c r="P1942" s="228"/>
      <c r="Q1942" s="228"/>
      <c r="R1942" s="228"/>
      <c r="S1942" s="123"/>
      <c r="T1942" s="123"/>
      <c r="U1942" s="123"/>
      <c r="V1942" s="3990"/>
      <c r="W1942" s="2857"/>
      <c r="X1942" s="2857"/>
      <c r="Y1942" s="3155">
        <v>37200</v>
      </c>
      <c r="Z1942" s="2857">
        <v>37200</v>
      </c>
      <c r="AA1942" s="2857">
        <v>37200</v>
      </c>
      <c r="AB1942" s="2855">
        <v>37200</v>
      </c>
      <c r="AC1942" s="2551">
        <f>AC1940</f>
        <v>37200</v>
      </c>
      <c r="AD1942" s="2857"/>
      <c r="AE1942" s="2857"/>
      <c r="AF1942" s="2857"/>
      <c r="AG1942" s="2857"/>
      <c r="AH1942" s="1942"/>
      <c r="AI1942" s="1942"/>
      <c r="AJ1942" s="1942"/>
      <c r="AK1942" s="1942"/>
      <c r="AL1942" s="1942"/>
      <c r="AM1942" s="1942"/>
      <c r="AN1942" s="1942"/>
      <c r="AO1942" s="1942"/>
      <c r="AP1942" s="1942"/>
      <c r="AQ1942" s="1942"/>
      <c r="AR1942" s="1942"/>
      <c r="AS1942" s="1942"/>
      <c r="AT1942" s="1942"/>
      <c r="AU1942" s="1942"/>
      <c r="AV1942" s="1942"/>
      <c r="AW1942" s="1942"/>
      <c r="AX1942" s="1942"/>
      <c r="AY1942" s="1942"/>
      <c r="AZ1942" s="1942"/>
      <c r="BA1942" s="1942"/>
      <c r="BB1942" s="575"/>
      <c r="BC1942" s="576"/>
      <c r="BD1942" s="678"/>
      <c r="BE1942" s="585"/>
    </row>
    <row r="1943" spans="1:57" s="51" customFormat="1" ht="15" hidden="1" customHeight="1" outlineLevel="1" x14ac:dyDescent="0.25">
      <c r="A1943" s="1267"/>
      <c r="B1943" s="123"/>
      <c r="C1943" s="328"/>
      <c r="D1943" s="3990"/>
      <c r="E1943" s="4009"/>
      <c r="F1943" s="3010" t="str">
        <f>$E$1691</f>
        <v>ASHP-SEER19-Replace_CAC_ElectricHeat_ER2_MF_CompE</v>
      </c>
      <c r="G1943" s="2676"/>
      <c r="H1943" s="2676"/>
      <c r="I1943" s="2677"/>
      <c r="J1943" s="3299" t="str">
        <f>$C$1691</f>
        <v>354451_2019_12_</v>
      </c>
      <c r="K1943" s="2551">
        <f>K1941</f>
        <v>37200</v>
      </c>
      <c r="L1943" s="3072">
        <f t="shared" si="200"/>
        <v>3.1</v>
      </c>
      <c r="M1943" s="2278"/>
      <c r="N1943" s="123"/>
      <c r="O1943" s="228"/>
      <c r="P1943" s="228"/>
      <c r="Q1943" s="228"/>
      <c r="R1943" s="228"/>
      <c r="S1943" s="123"/>
      <c r="T1943" s="123"/>
      <c r="U1943" s="123"/>
      <c r="V1943" s="3990"/>
      <c r="W1943" s="2857"/>
      <c r="X1943" s="2857"/>
      <c r="Y1943" s="3155">
        <v>37200</v>
      </c>
      <c r="Z1943" s="2857">
        <v>37200</v>
      </c>
      <c r="AA1943" s="2857">
        <v>37200</v>
      </c>
      <c r="AB1943" s="2855">
        <v>37200</v>
      </c>
      <c r="AC1943" s="2551">
        <f>AC1941</f>
        <v>37200</v>
      </c>
      <c r="AD1943" s="2857"/>
      <c r="AE1943" s="2857"/>
      <c r="AF1943" s="2857"/>
      <c r="AG1943" s="2857"/>
      <c r="AH1943" s="1942"/>
      <c r="AI1943" s="1942"/>
      <c r="AJ1943" s="1942"/>
      <c r="AK1943" s="1942"/>
      <c r="AL1943" s="1942"/>
      <c r="AM1943" s="1942"/>
      <c r="AN1943" s="1942"/>
      <c r="AO1943" s="1942"/>
      <c r="AP1943" s="1942"/>
      <c r="AQ1943" s="1942"/>
      <c r="AR1943" s="1942"/>
      <c r="AS1943" s="1942"/>
      <c r="AT1943" s="1942"/>
      <c r="AU1943" s="1942"/>
      <c r="AV1943" s="1942"/>
      <c r="AW1943" s="1942"/>
      <c r="AX1943" s="1942"/>
      <c r="AY1943" s="1942"/>
      <c r="AZ1943" s="1942"/>
      <c r="BA1943" s="1942"/>
      <c r="BB1943" s="575"/>
      <c r="BC1943" s="576"/>
      <c r="BD1943" s="678"/>
      <c r="BE1943" s="585"/>
    </row>
    <row r="1944" spans="1:57" s="1942" customFormat="1" ht="15" hidden="1" customHeight="1" outlineLevel="1" x14ac:dyDescent="0.25">
      <c r="A1944" s="1267"/>
      <c r="B1944" s="123"/>
      <c r="C1944" s="328"/>
      <c r="D1944" s="3990"/>
      <c r="E1944" s="4009"/>
      <c r="F1944" s="3010" t="str">
        <f>$E$1693</f>
        <v>ASHP-SEER19-Replace_CAC_NonElectricHeat_ER1_MF</v>
      </c>
      <c r="G1944" s="2676"/>
      <c r="H1944" s="2676"/>
      <c r="I1944" s="2677"/>
      <c r="J1944" s="3298" t="str">
        <f>$C$1693</f>
        <v>354460_2021_12_</v>
      </c>
      <c r="K1944" s="2225">
        <v>37200</v>
      </c>
      <c r="L1944" s="3070">
        <f t="shared" si="200"/>
        <v>3.1</v>
      </c>
      <c r="M1944" s="2723" t="s">
        <v>1125</v>
      </c>
      <c r="N1944" s="123"/>
      <c r="O1944" s="228"/>
      <c r="P1944" s="228"/>
      <c r="Q1944" s="228"/>
      <c r="R1944" s="228"/>
      <c r="S1944" s="123"/>
      <c r="T1944" s="123"/>
      <c r="U1944" s="123"/>
      <c r="V1944" s="3990"/>
      <c r="W1944" s="2857"/>
      <c r="X1944" s="2857"/>
      <c r="Y1944" s="3155"/>
      <c r="Z1944" s="2857"/>
      <c r="AA1944" s="2857"/>
      <c r="AB1944" s="2855"/>
      <c r="AC1944" s="2225">
        <v>37200</v>
      </c>
      <c r="AD1944" s="2857"/>
      <c r="AE1944" s="2857"/>
      <c r="AF1944" s="2857"/>
      <c r="AG1944" s="2857"/>
      <c r="BB1944" s="575"/>
      <c r="BC1944" s="576"/>
      <c r="BD1944" s="678"/>
      <c r="BE1944" s="585"/>
    </row>
    <row r="1945" spans="1:57" s="1942" customFormat="1" ht="15" hidden="1" customHeight="1" outlineLevel="1" x14ac:dyDescent="0.25">
      <c r="A1945" s="1267"/>
      <c r="B1945" s="123"/>
      <c r="C1945" s="328"/>
      <c r="D1945" s="3990"/>
      <c r="E1945" s="4009"/>
      <c r="F1945" s="3010" t="str">
        <f>$E$1695</f>
        <v>ASHP-SEER19-Replace_CAC_NonElectricHeat_ER2_MF</v>
      </c>
      <c r="G1945" s="2676"/>
      <c r="H1945" s="2676"/>
      <c r="I1945" s="2677"/>
      <c r="J1945" s="3298" t="str">
        <f>$C$1695</f>
        <v>354460_2021_12_</v>
      </c>
      <c r="K1945" s="2225">
        <v>37200</v>
      </c>
      <c r="L1945" s="3070">
        <f t="shared" si="200"/>
        <v>3.1</v>
      </c>
      <c r="M1945" s="2723" t="s">
        <v>1125</v>
      </c>
      <c r="N1945" s="123"/>
      <c r="O1945" s="228"/>
      <c r="P1945" s="228"/>
      <c r="Q1945" s="228"/>
      <c r="R1945" s="228"/>
      <c r="S1945" s="123"/>
      <c r="T1945" s="123"/>
      <c r="U1945" s="123"/>
      <c r="V1945" s="3990"/>
      <c r="W1945" s="2857"/>
      <c r="X1945" s="2857"/>
      <c r="Y1945" s="3155"/>
      <c r="Z1945" s="2857"/>
      <c r="AA1945" s="2857"/>
      <c r="AB1945" s="2855"/>
      <c r="AC1945" s="2225">
        <v>37200</v>
      </c>
      <c r="AD1945" s="2857"/>
      <c r="AE1945" s="2857"/>
      <c r="AF1945" s="2857"/>
      <c r="AG1945" s="2857"/>
      <c r="BB1945" s="575"/>
      <c r="BC1945" s="576"/>
      <c r="BD1945" s="678"/>
      <c r="BE1945" s="585"/>
    </row>
    <row r="1946" spans="1:57" s="1942" customFormat="1" ht="15" hidden="1" customHeight="1" outlineLevel="1" x14ac:dyDescent="0.25">
      <c r="A1946" s="1267"/>
      <c r="B1946" s="123"/>
      <c r="C1946" s="328"/>
      <c r="D1946" s="3990"/>
      <c r="E1946" s="4009"/>
      <c r="F1946" s="3010" t="str">
        <f>$E$1697</f>
        <v>ASHP-SEER19-Replace_CAC_NonElectricHeat_ER1_MF_CompE</v>
      </c>
      <c r="G1946" s="2676"/>
      <c r="H1946" s="2676"/>
      <c r="I1946" s="2677"/>
      <c r="J1946" s="3298" t="str">
        <f>$C$1697</f>
        <v>354461_2021_12_</v>
      </c>
      <c r="K1946" s="2225">
        <f>K1944</f>
        <v>37200</v>
      </c>
      <c r="L1946" s="3070">
        <f t="shared" si="200"/>
        <v>3.1</v>
      </c>
      <c r="M1946" s="2723" t="s">
        <v>1125</v>
      </c>
      <c r="N1946" s="123"/>
      <c r="O1946" s="228"/>
      <c r="P1946" s="228"/>
      <c r="Q1946" s="228"/>
      <c r="R1946" s="228"/>
      <c r="S1946" s="123"/>
      <c r="T1946" s="123"/>
      <c r="U1946" s="123"/>
      <c r="V1946" s="3990"/>
      <c r="W1946" s="2857"/>
      <c r="X1946" s="2857"/>
      <c r="Y1946" s="3155"/>
      <c r="Z1946" s="2857"/>
      <c r="AA1946" s="2857"/>
      <c r="AB1946" s="2855"/>
      <c r="AC1946" s="2225">
        <f>AC1944</f>
        <v>37200</v>
      </c>
      <c r="AD1946" s="2857"/>
      <c r="AE1946" s="2857"/>
      <c r="AF1946" s="2857"/>
      <c r="AG1946" s="2857"/>
      <c r="BB1946" s="575"/>
      <c r="BC1946" s="576"/>
      <c r="BD1946" s="678"/>
      <c r="BE1946" s="585"/>
    </row>
    <row r="1947" spans="1:57" s="1942" customFormat="1" ht="15" hidden="1" customHeight="1" outlineLevel="1" x14ac:dyDescent="0.25">
      <c r="A1947" s="1267"/>
      <c r="B1947" s="123"/>
      <c r="C1947" s="328"/>
      <c r="D1947" s="3990"/>
      <c r="E1947" s="4009"/>
      <c r="F1947" s="3010" t="str">
        <f>$E$1699</f>
        <v>ASHP-SEER19-Replace_CAC_NonElectricHeat_ER2_MF_CompE</v>
      </c>
      <c r="G1947" s="2676"/>
      <c r="H1947" s="2676"/>
      <c r="I1947" s="2677"/>
      <c r="J1947" s="3298" t="str">
        <f>$C$1699</f>
        <v>354461_2021_12_</v>
      </c>
      <c r="K1947" s="2225">
        <f>K1945</f>
        <v>37200</v>
      </c>
      <c r="L1947" s="3070">
        <f t="shared" si="200"/>
        <v>3.1</v>
      </c>
      <c r="M1947" s="2723" t="s">
        <v>1125</v>
      </c>
      <c r="N1947" s="123"/>
      <c r="O1947" s="228"/>
      <c r="P1947" s="228"/>
      <c r="Q1947" s="228"/>
      <c r="R1947" s="228"/>
      <c r="S1947" s="123"/>
      <c r="T1947" s="123"/>
      <c r="U1947" s="123"/>
      <c r="V1947" s="3990"/>
      <c r="W1947" s="2857"/>
      <c r="X1947" s="2857"/>
      <c r="Y1947" s="3155"/>
      <c r="Z1947" s="2857"/>
      <c r="AA1947" s="2857"/>
      <c r="AB1947" s="2855"/>
      <c r="AC1947" s="2225">
        <f>AC1945</f>
        <v>37200</v>
      </c>
      <c r="AD1947" s="2857"/>
      <c r="AE1947" s="2857"/>
      <c r="AF1947" s="2857"/>
      <c r="AG1947" s="2857"/>
      <c r="BB1947" s="575"/>
      <c r="BC1947" s="576"/>
      <c r="BD1947" s="678"/>
      <c r="BE1947" s="585"/>
    </row>
    <row r="1948" spans="1:57" s="51" customFormat="1" ht="15" hidden="1" customHeight="1" outlineLevel="1" x14ac:dyDescent="0.25">
      <c r="A1948" s="1267"/>
      <c r="B1948" s="123"/>
      <c r="C1948" s="328"/>
      <c r="D1948" s="3990"/>
      <c r="E1948" s="4009"/>
      <c r="F1948" s="3010" t="str">
        <f>$E$1701</f>
        <v>ASHP-SEER19_ER1_MF</v>
      </c>
      <c r="G1948" s="2676"/>
      <c r="H1948" s="2676"/>
      <c r="I1948" s="2677"/>
      <c r="J1948" s="3299" t="str">
        <f>$C$1701</f>
        <v>354500_2019_12_</v>
      </c>
      <c r="K1948" s="2551">
        <v>39600</v>
      </c>
      <c r="L1948" s="3072">
        <f t="shared" si="200"/>
        <v>3.3</v>
      </c>
      <c r="M1948" s="2278"/>
      <c r="N1948" s="123"/>
      <c r="O1948" s="228"/>
      <c r="P1948" s="228"/>
      <c r="Q1948" s="228"/>
      <c r="R1948" s="228"/>
      <c r="S1948" s="123"/>
      <c r="T1948" s="123"/>
      <c r="U1948" s="123"/>
      <c r="V1948" s="3990"/>
      <c r="W1948" s="2857">
        <v>39600</v>
      </c>
      <c r="X1948" s="2857">
        <v>39600</v>
      </c>
      <c r="Y1948" s="2857">
        <v>39600</v>
      </c>
      <c r="Z1948" s="2857">
        <v>39600</v>
      </c>
      <c r="AA1948" s="2857">
        <v>39600</v>
      </c>
      <c r="AB1948" s="2855">
        <v>39600</v>
      </c>
      <c r="AC1948" s="2551">
        <v>39600</v>
      </c>
      <c r="AD1948" s="2857"/>
      <c r="AE1948" s="2857"/>
      <c r="AF1948" s="2857"/>
      <c r="AG1948" s="2857"/>
      <c r="AH1948" s="1942"/>
      <c r="AI1948" s="1942"/>
      <c r="AJ1948" s="1942"/>
      <c r="AK1948" s="1942"/>
      <c r="AL1948" s="1942"/>
      <c r="AM1948" s="1942"/>
      <c r="AN1948" s="1942"/>
      <c r="AO1948" s="1942"/>
      <c r="AP1948" s="1942"/>
      <c r="AQ1948" s="1942"/>
      <c r="AR1948" s="1942"/>
      <c r="AS1948" s="1942"/>
      <c r="AT1948" s="1942"/>
      <c r="AU1948" s="1942"/>
      <c r="AV1948" s="1942"/>
      <c r="AW1948" s="1942"/>
      <c r="AX1948" s="1942"/>
      <c r="AY1948" s="1942"/>
      <c r="AZ1948" s="1942"/>
      <c r="BA1948" s="1942"/>
      <c r="BB1948" s="575"/>
      <c r="BC1948" s="576"/>
      <c r="BD1948" s="678"/>
      <c r="BE1948" s="585"/>
    </row>
    <row r="1949" spans="1:57" s="51" customFormat="1" ht="15" hidden="1" customHeight="1" outlineLevel="1" x14ac:dyDescent="0.25">
      <c r="A1949" s="1267"/>
      <c r="B1949" s="123"/>
      <c r="C1949" s="328"/>
      <c r="D1949" s="3990"/>
      <c r="E1949" s="4009"/>
      <c r="F1949" s="3010" t="str">
        <f>$E$1703</f>
        <v>ASHP-SEER19_ER2_MF</v>
      </c>
      <c r="G1949" s="2676"/>
      <c r="H1949" s="2676"/>
      <c r="I1949" s="2677"/>
      <c r="J1949" s="3299" t="str">
        <f>$C$1703</f>
        <v>354500_2019_12_</v>
      </c>
      <c r="K1949" s="2551">
        <v>39600</v>
      </c>
      <c r="L1949" s="3072">
        <f t="shared" si="200"/>
        <v>3.3</v>
      </c>
      <c r="M1949" s="2278"/>
      <c r="N1949" s="123"/>
      <c r="O1949" s="228"/>
      <c r="P1949" s="228"/>
      <c r="Q1949" s="228"/>
      <c r="R1949" s="228"/>
      <c r="S1949" s="123"/>
      <c r="T1949" s="123"/>
      <c r="U1949" s="123"/>
      <c r="V1949" s="3990"/>
      <c r="W1949" s="2857">
        <v>39600</v>
      </c>
      <c r="X1949" s="2857">
        <v>39600</v>
      </c>
      <c r="Y1949" s="2857">
        <v>39600</v>
      </c>
      <c r="Z1949" s="2857">
        <v>39600</v>
      </c>
      <c r="AA1949" s="2857">
        <v>39600</v>
      </c>
      <c r="AB1949" s="2855">
        <v>39600</v>
      </c>
      <c r="AC1949" s="2551">
        <v>39600</v>
      </c>
      <c r="AD1949" s="2857"/>
      <c r="AE1949" s="2857"/>
      <c r="AF1949" s="2857"/>
      <c r="AG1949" s="2857"/>
      <c r="AH1949" s="1942"/>
      <c r="AI1949" s="1942"/>
      <c r="AJ1949" s="1942"/>
      <c r="AK1949" s="1942"/>
      <c r="AL1949" s="1942"/>
      <c r="AM1949" s="1942"/>
      <c r="AN1949" s="1942"/>
      <c r="AO1949" s="1942"/>
      <c r="AP1949" s="1942"/>
      <c r="AQ1949" s="1942"/>
      <c r="AR1949" s="1942"/>
      <c r="AS1949" s="1942"/>
      <c r="AT1949" s="1942"/>
      <c r="AU1949" s="1942"/>
      <c r="AV1949" s="1942"/>
      <c r="AW1949" s="1942"/>
      <c r="AX1949" s="1942"/>
      <c r="AY1949" s="1942"/>
      <c r="AZ1949" s="1942"/>
      <c r="BA1949" s="1942"/>
      <c r="BB1949" s="575"/>
      <c r="BC1949" s="576"/>
      <c r="BD1949" s="678"/>
      <c r="BE1949" s="585"/>
    </row>
    <row r="1950" spans="1:57" s="51" customFormat="1" ht="15" hidden="1" customHeight="1" outlineLevel="1" x14ac:dyDescent="0.25">
      <c r="A1950" s="1267"/>
      <c r="B1950" s="123"/>
      <c r="C1950" s="328"/>
      <c r="D1950" s="3990"/>
      <c r="E1950" s="4009"/>
      <c r="F1950" s="3010" t="str">
        <f>$E$1705</f>
        <v>ASHP-SEER19_ER1_MF_CompE</v>
      </c>
      <c r="G1950" s="2676"/>
      <c r="H1950" s="2676"/>
      <c r="I1950" s="2677"/>
      <c r="J1950" s="3299" t="str">
        <f>$C$1705</f>
        <v>354501_2019_12_</v>
      </c>
      <c r="K1950" s="2551">
        <f>K1948</f>
        <v>39600</v>
      </c>
      <c r="L1950" s="3072">
        <f t="shared" si="200"/>
        <v>3.3</v>
      </c>
      <c r="M1950" s="2278"/>
      <c r="N1950" s="123"/>
      <c r="O1950" s="228"/>
      <c r="P1950" s="228"/>
      <c r="Q1950" s="228"/>
      <c r="R1950" s="228"/>
      <c r="S1950" s="123"/>
      <c r="T1950" s="123"/>
      <c r="U1950" s="123"/>
      <c r="V1950" s="3990"/>
      <c r="W1950" s="2857"/>
      <c r="X1950" s="2857"/>
      <c r="Y1950" s="3155">
        <v>39600</v>
      </c>
      <c r="Z1950" s="2857">
        <v>39600</v>
      </c>
      <c r="AA1950" s="2857">
        <v>39600</v>
      </c>
      <c r="AB1950" s="2855">
        <v>39600</v>
      </c>
      <c r="AC1950" s="2551">
        <f>AC1948</f>
        <v>39600</v>
      </c>
      <c r="AD1950" s="2857"/>
      <c r="AE1950" s="2857"/>
      <c r="AF1950" s="2857"/>
      <c r="AG1950" s="2857"/>
      <c r="AH1950" s="1942"/>
      <c r="AI1950" s="1942"/>
      <c r="AJ1950" s="1942"/>
      <c r="AK1950" s="1942"/>
      <c r="AL1950" s="1942"/>
      <c r="AM1950" s="1942"/>
      <c r="AN1950" s="1942"/>
      <c r="AO1950" s="1942"/>
      <c r="AP1950" s="1942"/>
      <c r="AQ1950" s="1942"/>
      <c r="AR1950" s="1942"/>
      <c r="AS1950" s="1942"/>
      <c r="AT1950" s="1942"/>
      <c r="AU1950" s="1942"/>
      <c r="AV1950" s="1942"/>
      <c r="AW1950" s="1942"/>
      <c r="AX1950" s="1942"/>
      <c r="AY1950" s="1942"/>
      <c r="AZ1950" s="1942"/>
      <c r="BA1950" s="1942"/>
      <c r="BB1950" s="575"/>
      <c r="BC1950" s="576"/>
      <c r="BD1950" s="678"/>
      <c r="BE1950" s="585"/>
    </row>
    <row r="1951" spans="1:57" s="51" customFormat="1" ht="15" hidden="1" customHeight="1" outlineLevel="1" x14ac:dyDescent="0.25">
      <c r="A1951" s="1267"/>
      <c r="B1951" s="123"/>
      <c r="C1951" s="328"/>
      <c r="D1951" s="3990"/>
      <c r="E1951" s="4009"/>
      <c r="F1951" s="3010" t="str">
        <f>$E$1707</f>
        <v>ASHP-SEER19_ER2_MF_CompE</v>
      </c>
      <c r="G1951" s="2676"/>
      <c r="H1951" s="2676"/>
      <c r="I1951" s="2677"/>
      <c r="J1951" s="3299" t="str">
        <f>$C$1707</f>
        <v>354501_2019_12_</v>
      </c>
      <c r="K1951" s="2551">
        <f>K1949</f>
        <v>39600</v>
      </c>
      <c r="L1951" s="3072">
        <f t="shared" si="200"/>
        <v>3.3</v>
      </c>
      <c r="M1951" s="2278"/>
      <c r="N1951" s="123"/>
      <c r="O1951" s="228"/>
      <c r="P1951" s="228"/>
      <c r="Q1951" s="228"/>
      <c r="R1951" s="228"/>
      <c r="S1951" s="123"/>
      <c r="T1951" s="123"/>
      <c r="U1951" s="123"/>
      <c r="V1951" s="3990"/>
      <c r="W1951" s="2857"/>
      <c r="X1951" s="2857"/>
      <c r="Y1951" s="3155">
        <v>39600</v>
      </c>
      <c r="Z1951" s="2857">
        <v>39600</v>
      </c>
      <c r="AA1951" s="2857">
        <v>39600</v>
      </c>
      <c r="AB1951" s="2855">
        <v>39600</v>
      </c>
      <c r="AC1951" s="2551">
        <f>AC1949</f>
        <v>39600</v>
      </c>
      <c r="AD1951" s="2857"/>
      <c r="AE1951" s="2857"/>
      <c r="AF1951" s="2857"/>
      <c r="AG1951" s="2857"/>
      <c r="AH1951" s="1942"/>
      <c r="AI1951" s="1942"/>
      <c r="AJ1951" s="1942"/>
      <c r="AK1951" s="1942"/>
      <c r="AL1951" s="1942"/>
      <c r="AM1951" s="1942"/>
      <c r="AN1951" s="1942"/>
      <c r="AO1951" s="1942"/>
      <c r="AP1951" s="1942"/>
      <c r="AQ1951" s="1942"/>
      <c r="AR1951" s="1942"/>
      <c r="AS1951" s="1942"/>
      <c r="AT1951" s="1942"/>
      <c r="AU1951" s="1942"/>
      <c r="AV1951" s="1942"/>
      <c r="AW1951" s="1942"/>
      <c r="AX1951" s="1942"/>
      <c r="AY1951" s="1942"/>
      <c r="AZ1951" s="1942"/>
      <c r="BA1951" s="1942"/>
      <c r="BB1951" s="575"/>
      <c r="BC1951" s="576"/>
      <c r="BD1951" s="678"/>
      <c r="BE1951" s="585"/>
    </row>
    <row r="1952" spans="1:57" s="51" customFormat="1" ht="15" hidden="1" customHeight="1" outlineLevel="1" x14ac:dyDescent="0.25">
      <c r="A1952" s="1267"/>
      <c r="B1952" s="123"/>
      <c r="C1952" s="328"/>
      <c r="D1952" s="3990"/>
      <c r="E1952" s="4009"/>
      <c r="F1952" s="3010" t="str">
        <f>$E$1709</f>
        <v>ASHP-SEER20_ER1_SF</v>
      </c>
      <c r="G1952" s="2676"/>
      <c r="H1952" s="2676"/>
      <c r="I1952" s="2677"/>
      <c r="J1952" s="3298" t="str">
        <f>$C$1709</f>
        <v>354550_2021_12_</v>
      </c>
      <c r="K1952" s="2225">
        <v>60000</v>
      </c>
      <c r="L1952" s="3070">
        <f t="shared" si="200"/>
        <v>5</v>
      </c>
      <c r="M1952" s="2723" t="s">
        <v>1008</v>
      </c>
      <c r="N1952" s="123"/>
      <c r="O1952" s="228"/>
      <c r="P1952" s="228"/>
      <c r="Q1952" s="228"/>
      <c r="R1952" s="228"/>
      <c r="S1952" s="123"/>
      <c r="T1952" s="123"/>
      <c r="U1952" s="123"/>
      <c r="V1952" s="3990"/>
      <c r="W1952" s="2857">
        <v>39600</v>
      </c>
      <c r="X1952" s="2857">
        <v>39600</v>
      </c>
      <c r="Y1952" s="2857">
        <v>39600</v>
      </c>
      <c r="Z1952" s="2857">
        <v>39600</v>
      </c>
      <c r="AA1952" s="2857">
        <v>39600</v>
      </c>
      <c r="AB1952" s="2855">
        <v>39600</v>
      </c>
      <c r="AC1952" s="2225">
        <v>60000</v>
      </c>
      <c r="AD1952" s="2857"/>
      <c r="AE1952" s="2857"/>
      <c r="AF1952" s="2857"/>
      <c r="AG1952" s="2857"/>
      <c r="AH1952" s="1942"/>
      <c r="AI1952" s="1942"/>
      <c r="AJ1952" s="1942"/>
      <c r="AK1952" s="1942"/>
      <c r="AL1952" s="1942"/>
      <c r="AM1952" s="1942"/>
      <c r="AN1952" s="1942"/>
      <c r="AO1952" s="1942"/>
      <c r="AP1952" s="1942"/>
      <c r="AQ1952" s="1942"/>
      <c r="AR1952" s="1942"/>
      <c r="AS1952" s="1942"/>
      <c r="AT1952" s="1942"/>
      <c r="AU1952" s="1942"/>
      <c r="AV1952" s="1942"/>
      <c r="AW1952" s="1942"/>
      <c r="AX1952" s="1942"/>
      <c r="AY1952" s="1942"/>
      <c r="AZ1952" s="1942"/>
      <c r="BA1952" s="1942"/>
      <c r="BB1952" s="575"/>
      <c r="BC1952" s="576"/>
      <c r="BD1952" s="678"/>
      <c r="BE1952" s="585"/>
    </row>
    <row r="1953" spans="1:57" s="51" customFormat="1" ht="15" hidden="1" customHeight="1" outlineLevel="1" x14ac:dyDescent="0.25">
      <c r="A1953" s="1267"/>
      <c r="B1953" s="123"/>
      <c r="C1953" s="328"/>
      <c r="D1953" s="3990"/>
      <c r="E1953" s="4009"/>
      <c r="F1953" s="3010" t="str">
        <f>$E$1711</f>
        <v>ASHP-SEER20_ER2_SF</v>
      </c>
      <c r="G1953" s="2676"/>
      <c r="H1953" s="2676"/>
      <c r="I1953" s="2677"/>
      <c r="J1953" s="3298" t="str">
        <f>$C$1711</f>
        <v>354550_2021_12_</v>
      </c>
      <c r="K1953" s="2225">
        <f>K1952</f>
        <v>60000</v>
      </c>
      <c r="L1953" s="3070">
        <f t="shared" si="200"/>
        <v>5</v>
      </c>
      <c r="M1953" s="2723" t="s">
        <v>1008</v>
      </c>
      <c r="N1953" s="123"/>
      <c r="O1953" s="228"/>
      <c r="P1953" s="228"/>
      <c r="Q1953" s="228"/>
      <c r="R1953" s="228"/>
      <c r="S1953" s="123"/>
      <c r="T1953" s="123"/>
      <c r="U1953" s="123"/>
      <c r="V1953" s="3990"/>
      <c r="W1953" s="2857">
        <v>39600</v>
      </c>
      <c r="X1953" s="2857">
        <v>39600</v>
      </c>
      <c r="Y1953" s="2857">
        <v>39600</v>
      </c>
      <c r="Z1953" s="2857">
        <v>39600</v>
      </c>
      <c r="AA1953" s="2857">
        <v>39600</v>
      </c>
      <c r="AB1953" s="2855">
        <v>39600</v>
      </c>
      <c r="AC1953" s="2225">
        <f>AC1952</f>
        <v>60000</v>
      </c>
      <c r="AD1953" s="2857"/>
      <c r="AE1953" s="2857"/>
      <c r="AF1953" s="2857"/>
      <c r="AG1953" s="2857"/>
      <c r="AH1953" s="1942"/>
      <c r="AI1953" s="1942"/>
      <c r="AJ1953" s="1942"/>
      <c r="AK1953" s="1942"/>
      <c r="AL1953" s="1942"/>
      <c r="AM1953" s="1942"/>
      <c r="AN1953" s="1942"/>
      <c r="AO1953" s="1942"/>
      <c r="AP1953" s="1942"/>
      <c r="AQ1953" s="1942"/>
      <c r="AR1953" s="1942"/>
      <c r="AS1953" s="1942"/>
      <c r="AT1953" s="1942"/>
      <c r="AU1953" s="1942"/>
      <c r="AV1953" s="1942"/>
      <c r="AW1953" s="1942"/>
      <c r="AX1953" s="1942"/>
      <c r="AY1953" s="1942"/>
      <c r="AZ1953" s="1942"/>
      <c r="BA1953" s="1942"/>
      <c r="BB1953" s="575"/>
      <c r="BC1953" s="576"/>
      <c r="BD1953" s="678"/>
      <c r="BE1953" s="585"/>
    </row>
    <row r="1954" spans="1:57" s="51" customFormat="1" ht="15" hidden="1" customHeight="1" outlineLevel="1" x14ac:dyDescent="0.25">
      <c r="A1954" s="1267"/>
      <c r="B1954" s="123"/>
      <c r="C1954" s="328"/>
      <c r="D1954" s="3990"/>
      <c r="E1954" s="4009"/>
      <c r="F1954" s="3010" t="str">
        <f>$E$1713</f>
        <v>ASHP-SEER20_ROF_SF</v>
      </c>
      <c r="G1954" s="2676"/>
      <c r="H1954" s="2676"/>
      <c r="I1954" s="2677"/>
      <c r="J1954" s="3298" t="str">
        <f>$C$1713</f>
        <v>354600_2021_12_</v>
      </c>
      <c r="K1954" s="2225">
        <v>36000</v>
      </c>
      <c r="L1954" s="3070">
        <f t="shared" si="200"/>
        <v>3</v>
      </c>
      <c r="M1954" s="2723" t="s">
        <v>1008</v>
      </c>
      <c r="N1954" s="123"/>
      <c r="O1954" s="228"/>
      <c r="P1954" s="228"/>
      <c r="Q1954" s="228"/>
      <c r="R1954" s="228"/>
      <c r="S1954" s="123"/>
      <c r="T1954" s="123"/>
      <c r="U1954" s="123"/>
      <c r="V1954" s="3990"/>
      <c r="W1954" s="2857">
        <v>39600</v>
      </c>
      <c r="X1954" s="2857">
        <v>39600</v>
      </c>
      <c r="Y1954" s="2857">
        <v>39600</v>
      </c>
      <c r="Z1954" s="2857">
        <v>39600</v>
      </c>
      <c r="AA1954" s="2857">
        <v>39600</v>
      </c>
      <c r="AB1954" s="2855">
        <v>39600</v>
      </c>
      <c r="AC1954" s="2225">
        <v>36000</v>
      </c>
      <c r="AD1954" s="2857"/>
      <c r="AE1954" s="2857"/>
      <c r="AF1954" s="2857"/>
      <c r="AG1954" s="2857"/>
      <c r="AH1954" s="1942"/>
      <c r="AI1954" s="1942"/>
      <c r="AJ1954" s="1942"/>
      <c r="AK1954" s="1942"/>
      <c r="AL1954" s="1942"/>
      <c r="AM1954" s="1942"/>
      <c r="AN1954" s="1942"/>
      <c r="AO1954" s="1942"/>
      <c r="AP1954" s="1942"/>
      <c r="AQ1954" s="1942"/>
      <c r="AR1954" s="1942"/>
      <c r="AS1954" s="1942"/>
      <c r="AT1954" s="1942"/>
      <c r="AU1954" s="1942"/>
      <c r="AV1954" s="1942"/>
      <c r="AW1954" s="1942"/>
      <c r="AX1954" s="1942"/>
      <c r="AY1954" s="1942"/>
      <c r="AZ1954" s="1942"/>
      <c r="BA1954" s="1942"/>
      <c r="BB1954" s="575"/>
      <c r="BC1954" s="576"/>
      <c r="BD1954" s="678"/>
      <c r="BE1954" s="585"/>
    </row>
    <row r="1955" spans="1:57" s="51" customFormat="1" ht="15" hidden="1" customHeight="1" outlineLevel="1" x14ac:dyDescent="0.25">
      <c r="A1955" s="1267"/>
      <c r="B1955" s="123"/>
      <c r="C1955" s="328"/>
      <c r="D1955" s="3990"/>
      <c r="E1955" s="4009"/>
      <c r="F1955" s="3010" t="str">
        <f>$E$1715</f>
        <v>ASHP-SEER20-Replace_CAC_ElectricHeat_ER1_MF</v>
      </c>
      <c r="G1955" s="2676"/>
      <c r="H1955" s="2676"/>
      <c r="I1955" s="2677"/>
      <c r="J1955" s="3299" t="str">
        <f>$C$1715</f>
        <v>354650_2019_12_</v>
      </c>
      <c r="K1955" s="2551">
        <v>37200</v>
      </c>
      <c r="L1955" s="3072">
        <f t="shared" si="200"/>
        <v>3.1</v>
      </c>
      <c r="M1955" s="2278"/>
      <c r="N1955" s="123"/>
      <c r="O1955" s="228"/>
      <c r="P1955" s="228"/>
      <c r="Q1955" s="228"/>
      <c r="R1955" s="228"/>
      <c r="S1955" s="123"/>
      <c r="T1955" s="123"/>
      <c r="U1955" s="123"/>
      <c r="V1955" s="3990"/>
      <c r="W1955" s="2857">
        <v>37200</v>
      </c>
      <c r="X1955" s="2857">
        <v>37200</v>
      </c>
      <c r="Y1955" s="2857">
        <v>37200</v>
      </c>
      <c r="Z1955" s="2857">
        <v>37200</v>
      </c>
      <c r="AA1955" s="2857">
        <v>37200</v>
      </c>
      <c r="AB1955" s="2855">
        <v>37200</v>
      </c>
      <c r="AC1955" s="2551">
        <v>37200</v>
      </c>
      <c r="AD1955" s="2857"/>
      <c r="AE1955" s="2857"/>
      <c r="AF1955" s="2857"/>
      <c r="AG1955" s="2857"/>
      <c r="AH1955" s="1942"/>
      <c r="AI1955" s="1942"/>
      <c r="AJ1955" s="1942"/>
      <c r="AK1955" s="1942"/>
      <c r="AL1955" s="1942"/>
      <c r="AM1955" s="1942"/>
      <c r="AN1955" s="1942"/>
      <c r="AO1955" s="1942"/>
      <c r="AP1955" s="1942"/>
      <c r="AQ1955" s="1942"/>
      <c r="AR1955" s="1942"/>
      <c r="AS1955" s="1942"/>
      <c r="AT1955" s="1942"/>
      <c r="AU1955" s="1942"/>
      <c r="AV1955" s="1942"/>
      <c r="AW1955" s="1942"/>
      <c r="AX1955" s="1942"/>
      <c r="AY1955" s="1942"/>
      <c r="AZ1955" s="1942"/>
      <c r="BA1955" s="1942"/>
      <c r="BB1955" s="575"/>
      <c r="BC1955" s="576"/>
      <c r="BD1955" s="678"/>
      <c r="BE1955" s="585"/>
    </row>
    <row r="1956" spans="1:57" s="51" customFormat="1" ht="15" hidden="1" customHeight="1" outlineLevel="1" x14ac:dyDescent="0.25">
      <c r="A1956" s="1267"/>
      <c r="B1956" s="123"/>
      <c r="C1956" s="328"/>
      <c r="D1956" s="3990"/>
      <c r="E1956" s="4009"/>
      <c r="F1956" s="3010" t="str">
        <f>$E$1717</f>
        <v>ASHP-SEER20-Replace_CAC_ElectricHeat_ER2_MF</v>
      </c>
      <c r="G1956" s="2676"/>
      <c r="H1956" s="2676"/>
      <c r="I1956" s="2677"/>
      <c r="J1956" s="3299" t="str">
        <f>$C$1717</f>
        <v>354650_2019_12_</v>
      </c>
      <c r="K1956" s="2551">
        <v>37200</v>
      </c>
      <c r="L1956" s="3072">
        <f t="shared" si="200"/>
        <v>3.1</v>
      </c>
      <c r="M1956" s="2278"/>
      <c r="N1956" s="123"/>
      <c r="O1956" s="228"/>
      <c r="P1956" s="228"/>
      <c r="Q1956" s="228"/>
      <c r="R1956" s="228"/>
      <c r="S1956" s="123"/>
      <c r="T1956" s="123"/>
      <c r="U1956" s="123"/>
      <c r="V1956" s="3990"/>
      <c r="W1956" s="2857">
        <v>37200</v>
      </c>
      <c r="X1956" s="2857">
        <v>37200</v>
      </c>
      <c r="Y1956" s="2857">
        <v>37200</v>
      </c>
      <c r="Z1956" s="2857">
        <v>37200</v>
      </c>
      <c r="AA1956" s="2857">
        <v>37200</v>
      </c>
      <c r="AB1956" s="2855">
        <v>37200</v>
      </c>
      <c r="AC1956" s="2551">
        <v>37200</v>
      </c>
      <c r="AD1956" s="2857"/>
      <c r="AE1956" s="2857"/>
      <c r="AF1956" s="2857"/>
      <c r="AG1956" s="2857"/>
      <c r="AH1956" s="1942"/>
      <c r="AI1956" s="1942"/>
      <c r="AJ1956" s="1942"/>
      <c r="AK1956" s="1942"/>
      <c r="AL1956" s="1942"/>
      <c r="AM1956" s="1942"/>
      <c r="AN1956" s="1942"/>
      <c r="AO1956" s="1942"/>
      <c r="AP1956" s="1942"/>
      <c r="AQ1956" s="1942"/>
      <c r="AR1956" s="1942"/>
      <c r="AS1956" s="1942"/>
      <c r="AT1956" s="1942"/>
      <c r="AU1956" s="1942"/>
      <c r="AV1956" s="1942"/>
      <c r="AW1956" s="1942"/>
      <c r="AX1956" s="1942"/>
      <c r="AY1956" s="1942"/>
      <c r="AZ1956" s="1942"/>
      <c r="BA1956" s="1942"/>
      <c r="BB1956" s="575"/>
      <c r="BC1956" s="576"/>
      <c r="BD1956" s="678"/>
      <c r="BE1956" s="585"/>
    </row>
    <row r="1957" spans="1:57" s="51" customFormat="1" ht="15" hidden="1" customHeight="1" outlineLevel="1" x14ac:dyDescent="0.25">
      <c r="A1957" s="1267"/>
      <c r="B1957" s="123"/>
      <c r="C1957" s="328"/>
      <c r="D1957" s="3990"/>
      <c r="E1957" s="4009"/>
      <c r="F1957" s="3010" t="str">
        <f>$E$1719</f>
        <v>ASHP-SEER20-Replace_CAC_ElectricHeat_ER1_MF_CompE</v>
      </c>
      <c r="G1957" s="2676"/>
      <c r="H1957" s="2676"/>
      <c r="I1957" s="2677"/>
      <c r="J1957" s="3299" t="str">
        <f>$C$1719</f>
        <v>354651_2019_12_</v>
      </c>
      <c r="K1957" s="2551">
        <f>K1955</f>
        <v>37200</v>
      </c>
      <c r="L1957" s="3072">
        <f t="shared" si="200"/>
        <v>3.1</v>
      </c>
      <c r="M1957" s="2278"/>
      <c r="N1957" s="123"/>
      <c r="O1957" s="228"/>
      <c r="P1957" s="228"/>
      <c r="Q1957" s="228"/>
      <c r="R1957" s="228"/>
      <c r="S1957" s="123"/>
      <c r="T1957" s="123"/>
      <c r="U1957" s="123"/>
      <c r="V1957" s="3990"/>
      <c r="W1957" s="2857"/>
      <c r="X1957" s="2857"/>
      <c r="Y1957" s="3155">
        <v>37200</v>
      </c>
      <c r="Z1957" s="2857">
        <v>37200</v>
      </c>
      <c r="AA1957" s="2857">
        <v>37200</v>
      </c>
      <c r="AB1957" s="2855">
        <v>37200</v>
      </c>
      <c r="AC1957" s="2551">
        <f>AC1955</f>
        <v>37200</v>
      </c>
      <c r="AD1957" s="2857"/>
      <c r="AE1957" s="2857"/>
      <c r="AF1957" s="2857"/>
      <c r="AG1957" s="2857"/>
      <c r="AH1957" s="1942"/>
      <c r="AI1957" s="1942"/>
      <c r="AJ1957" s="1942"/>
      <c r="AK1957" s="1942"/>
      <c r="AL1957" s="1942"/>
      <c r="AM1957" s="1942"/>
      <c r="AN1957" s="1942"/>
      <c r="AO1957" s="1942"/>
      <c r="AP1957" s="1942"/>
      <c r="AQ1957" s="1942"/>
      <c r="AR1957" s="1942"/>
      <c r="AS1957" s="1942"/>
      <c r="AT1957" s="1942"/>
      <c r="AU1957" s="1942"/>
      <c r="AV1957" s="1942"/>
      <c r="AW1957" s="1942"/>
      <c r="AX1957" s="1942"/>
      <c r="AY1957" s="1942"/>
      <c r="AZ1957" s="1942"/>
      <c r="BA1957" s="1942"/>
      <c r="BB1957" s="575"/>
      <c r="BC1957" s="576"/>
      <c r="BD1957" s="678"/>
      <c r="BE1957" s="585"/>
    </row>
    <row r="1958" spans="1:57" s="51" customFormat="1" ht="15" hidden="1" customHeight="1" outlineLevel="1" x14ac:dyDescent="0.25">
      <c r="A1958" s="1267"/>
      <c r="B1958" s="123"/>
      <c r="C1958" s="328"/>
      <c r="D1958" s="3990"/>
      <c r="E1958" s="4009"/>
      <c r="F1958" s="3010" t="str">
        <f>$E$1721</f>
        <v>ASHP-SEER20-Replace_CAC_ElectricHeat_ER2_MF_CompE</v>
      </c>
      <c r="G1958" s="2676"/>
      <c r="H1958" s="2676"/>
      <c r="I1958" s="2677"/>
      <c r="J1958" s="3299" t="str">
        <f>$C$1721</f>
        <v>354651_2019_12_</v>
      </c>
      <c r="K1958" s="2551">
        <f>K1956</f>
        <v>37200</v>
      </c>
      <c r="L1958" s="3072">
        <f t="shared" si="200"/>
        <v>3.1</v>
      </c>
      <c r="M1958" s="2278"/>
      <c r="N1958" s="123"/>
      <c r="O1958" s="228"/>
      <c r="P1958" s="228"/>
      <c r="Q1958" s="228"/>
      <c r="R1958" s="228"/>
      <c r="S1958" s="123"/>
      <c r="T1958" s="123"/>
      <c r="U1958" s="123"/>
      <c r="V1958" s="3990"/>
      <c r="W1958" s="2857"/>
      <c r="X1958" s="2857"/>
      <c r="Y1958" s="3155">
        <v>37200</v>
      </c>
      <c r="Z1958" s="2857">
        <v>37200</v>
      </c>
      <c r="AA1958" s="2857">
        <v>37200</v>
      </c>
      <c r="AB1958" s="2855">
        <v>37200</v>
      </c>
      <c r="AC1958" s="2551">
        <f>AC1956</f>
        <v>37200</v>
      </c>
      <c r="AD1958" s="2857"/>
      <c r="AE1958" s="2857"/>
      <c r="AF1958" s="2857"/>
      <c r="AG1958" s="2857"/>
      <c r="AH1958" s="1942"/>
      <c r="AI1958" s="1942"/>
      <c r="AJ1958" s="1942"/>
      <c r="AK1958" s="1942"/>
      <c r="AL1958" s="1942"/>
      <c r="AM1958" s="1942"/>
      <c r="AN1958" s="1942"/>
      <c r="AO1958" s="1942"/>
      <c r="AP1958" s="1942"/>
      <c r="AQ1958" s="1942"/>
      <c r="AR1958" s="1942"/>
      <c r="AS1958" s="1942"/>
      <c r="AT1958" s="1942"/>
      <c r="AU1958" s="1942"/>
      <c r="AV1958" s="1942"/>
      <c r="AW1958" s="1942"/>
      <c r="AX1958" s="1942"/>
      <c r="AY1958" s="1942"/>
      <c r="AZ1958" s="1942"/>
      <c r="BA1958" s="1942"/>
      <c r="BB1958" s="575"/>
      <c r="BC1958" s="576"/>
      <c r="BD1958" s="678"/>
      <c r="BE1958" s="585"/>
    </row>
    <row r="1959" spans="1:57" s="1942" customFormat="1" ht="15" hidden="1" customHeight="1" outlineLevel="1" x14ac:dyDescent="0.25">
      <c r="A1959" s="1267"/>
      <c r="B1959" s="123"/>
      <c r="C1959" s="328"/>
      <c r="D1959" s="3990"/>
      <c r="E1959" s="4009"/>
      <c r="F1959" s="3010" t="str">
        <f>$E$1723</f>
        <v>ASHP-SEER20-Replace_CAC_NonElectricHeat_ER1_MF</v>
      </c>
      <c r="G1959" s="2676"/>
      <c r="H1959" s="2676"/>
      <c r="I1959" s="2677"/>
      <c r="J1959" s="3298" t="str">
        <f>$C$1723</f>
        <v>354660_2021_12_</v>
      </c>
      <c r="K1959" s="2225">
        <v>37200</v>
      </c>
      <c r="L1959" s="3070">
        <f t="shared" si="200"/>
        <v>3.1</v>
      </c>
      <c r="M1959" s="2723" t="s">
        <v>1125</v>
      </c>
      <c r="N1959" s="123"/>
      <c r="O1959" s="228"/>
      <c r="P1959" s="228"/>
      <c r="Q1959" s="228"/>
      <c r="R1959" s="228"/>
      <c r="S1959" s="123"/>
      <c r="T1959" s="123"/>
      <c r="U1959" s="123"/>
      <c r="V1959" s="3990"/>
      <c r="W1959" s="2857"/>
      <c r="X1959" s="2857"/>
      <c r="Y1959" s="3155"/>
      <c r="Z1959" s="2857"/>
      <c r="AA1959" s="2857"/>
      <c r="AB1959" s="2855"/>
      <c r="AC1959" s="2225">
        <v>37200</v>
      </c>
      <c r="AD1959" s="2857"/>
      <c r="AE1959" s="2857"/>
      <c r="AF1959" s="2857"/>
      <c r="AG1959" s="2857"/>
      <c r="BB1959" s="575"/>
      <c r="BC1959" s="576"/>
      <c r="BD1959" s="678"/>
      <c r="BE1959" s="585"/>
    </row>
    <row r="1960" spans="1:57" s="1942" customFormat="1" ht="15" hidden="1" customHeight="1" outlineLevel="1" x14ac:dyDescent="0.25">
      <c r="A1960" s="1267"/>
      <c r="B1960" s="123"/>
      <c r="C1960" s="328"/>
      <c r="D1960" s="3990"/>
      <c r="E1960" s="4009"/>
      <c r="F1960" s="3010" t="str">
        <f>$E$1725</f>
        <v>ASHP-SEER20-Replace_CAC_NonElectricHeat_ER2_MF</v>
      </c>
      <c r="G1960" s="2676"/>
      <c r="H1960" s="2676"/>
      <c r="I1960" s="2677"/>
      <c r="J1960" s="3298" t="str">
        <f>$C$1725</f>
        <v>354660_2021_12_</v>
      </c>
      <c r="K1960" s="2225">
        <v>37200</v>
      </c>
      <c r="L1960" s="3070">
        <f t="shared" si="200"/>
        <v>3.1</v>
      </c>
      <c r="M1960" s="2723" t="s">
        <v>1125</v>
      </c>
      <c r="N1960" s="123"/>
      <c r="O1960" s="228"/>
      <c r="P1960" s="228"/>
      <c r="Q1960" s="228"/>
      <c r="R1960" s="228"/>
      <c r="S1960" s="123"/>
      <c r="T1960" s="123"/>
      <c r="U1960" s="123"/>
      <c r="V1960" s="3990"/>
      <c r="W1960" s="2857"/>
      <c r="X1960" s="2857"/>
      <c r="Y1960" s="3155"/>
      <c r="Z1960" s="2857"/>
      <c r="AA1960" s="2857"/>
      <c r="AB1960" s="2855"/>
      <c r="AC1960" s="2225">
        <v>37200</v>
      </c>
      <c r="AD1960" s="2857"/>
      <c r="AE1960" s="2857"/>
      <c r="AF1960" s="2857"/>
      <c r="AG1960" s="2857"/>
      <c r="BB1960" s="575"/>
      <c r="BC1960" s="576"/>
      <c r="BD1960" s="678"/>
      <c r="BE1960" s="585"/>
    </row>
    <row r="1961" spans="1:57" s="1942" customFormat="1" ht="15" hidden="1" customHeight="1" outlineLevel="1" x14ac:dyDescent="0.25">
      <c r="A1961" s="1267"/>
      <c r="B1961" s="123"/>
      <c r="C1961" s="328"/>
      <c r="D1961" s="3990"/>
      <c r="E1961" s="4009"/>
      <c r="F1961" s="3010" t="str">
        <f>$E$1727</f>
        <v>ASHP-SEER20-Replace_CAC_NonElectricHeat_ER1_MF_CompE</v>
      </c>
      <c r="G1961" s="2676"/>
      <c r="H1961" s="2676"/>
      <c r="I1961" s="2677"/>
      <c r="J1961" s="3298" t="str">
        <f>$C$1727</f>
        <v>354661_2021_12_</v>
      </c>
      <c r="K1961" s="2225">
        <f>K1959</f>
        <v>37200</v>
      </c>
      <c r="L1961" s="3070">
        <f t="shared" si="200"/>
        <v>3.1</v>
      </c>
      <c r="M1961" s="2723" t="s">
        <v>1125</v>
      </c>
      <c r="N1961" s="123"/>
      <c r="O1961" s="228"/>
      <c r="P1961" s="228"/>
      <c r="Q1961" s="228"/>
      <c r="R1961" s="228"/>
      <c r="S1961" s="123"/>
      <c r="T1961" s="123"/>
      <c r="U1961" s="123"/>
      <c r="V1961" s="3990"/>
      <c r="W1961" s="2857"/>
      <c r="X1961" s="2857"/>
      <c r="Y1961" s="3155"/>
      <c r="Z1961" s="2857"/>
      <c r="AA1961" s="2857"/>
      <c r="AB1961" s="2855"/>
      <c r="AC1961" s="2225">
        <f>AC1959</f>
        <v>37200</v>
      </c>
      <c r="AD1961" s="2857"/>
      <c r="AE1961" s="2857"/>
      <c r="AF1961" s="2857"/>
      <c r="AG1961" s="2857"/>
      <c r="BB1961" s="575"/>
      <c r="BC1961" s="576"/>
      <c r="BD1961" s="678"/>
      <c r="BE1961" s="585"/>
    </row>
    <row r="1962" spans="1:57" s="1942" customFormat="1" ht="15" hidden="1" customHeight="1" outlineLevel="1" x14ac:dyDescent="0.25">
      <c r="A1962" s="1267"/>
      <c r="B1962" s="123"/>
      <c r="C1962" s="328"/>
      <c r="D1962" s="3990"/>
      <c r="E1962" s="4009"/>
      <c r="F1962" s="3010" t="str">
        <f>$E$1729</f>
        <v>ASHP-SEER20-Replace_CAC_NonElectricHeat_ER2_MF_CompE</v>
      </c>
      <c r="G1962" s="2676"/>
      <c r="H1962" s="2676"/>
      <c r="I1962" s="2677"/>
      <c r="J1962" s="3298" t="str">
        <f>$C$1729</f>
        <v>354661_2021_12_</v>
      </c>
      <c r="K1962" s="2225">
        <f>K1960</f>
        <v>37200</v>
      </c>
      <c r="L1962" s="3070">
        <f t="shared" si="200"/>
        <v>3.1</v>
      </c>
      <c r="M1962" s="2723" t="s">
        <v>1125</v>
      </c>
      <c r="N1962" s="123"/>
      <c r="O1962" s="228"/>
      <c r="P1962" s="228"/>
      <c r="Q1962" s="228"/>
      <c r="R1962" s="228"/>
      <c r="S1962" s="123"/>
      <c r="T1962" s="123"/>
      <c r="U1962" s="123"/>
      <c r="V1962" s="3990"/>
      <c r="W1962" s="2857"/>
      <c r="X1962" s="2857"/>
      <c r="Y1962" s="3155"/>
      <c r="Z1962" s="2857"/>
      <c r="AA1962" s="2857"/>
      <c r="AB1962" s="2855"/>
      <c r="AC1962" s="2225">
        <f>AC1960</f>
        <v>37200</v>
      </c>
      <c r="AD1962" s="2857"/>
      <c r="AE1962" s="2857"/>
      <c r="AF1962" s="2857"/>
      <c r="AG1962" s="2857"/>
      <c r="BB1962" s="575"/>
      <c r="BC1962" s="576"/>
      <c r="BD1962" s="678"/>
      <c r="BE1962" s="585"/>
    </row>
    <row r="1963" spans="1:57" s="51" customFormat="1" ht="15" hidden="1" customHeight="1" outlineLevel="1" x14ac:dyDescent="0.25">
      <c r="A1963" s="1267"/>
      <c r="B1963" s="123"/>
      <c r="C1963" s="328"/>
      <c r="D1963" s="3990"/>
      <c r="E1963" s="4009"/>
      <c r="F1963" s="3010" t="str">
        <f>$E$1731</f>
        <v>ASHP-SEER20_ER1_MF</v>
      </c>
      <c r="G1963" s="2676"/>
      <c r="H1963" s="2676"/>
      <c r="I1963" s="2677"/>
      <c r="J1963" s="3299" t="str">
        <f>$C$1731</f>
        <v>354700_2019_12_</v>
      </c>
      <c r="K1963" s="2551">
        <v>39600</v>
      </c>
      <c r="L1963" s="3072">
        <f t="shared" si="200"/>
        <v>3.3</v>
      </c>
      <c r="M1963" s="2278"/>
      <c r="N1963" s="123"/>
      <c r="O1963" s="228"/>
      <c r="P1963" s="228"/>
      <c r="Q1963" s="228"/>
      <c r="R1963" s="228"/>
      <c r="S1963" s="123"/>
      <c r="T1963" s="123"/>
      <c r="U1963" s="123"/>
      <c r="V1963" s="3990"/>
      <c r="W1963" s="2857">
        <v>39600</v>
      </c>
      <c r="X1963" s="2857">
        <v>39600</v>
      </c>
      <c r="Y1963" s="2857">
        <v>39600</v>
      </c>
      <c r="Z1963" s="2857">
        <v>39600</v>
      </c>
      <c r="AA1963" s="2857">
        <v>39600</v>
      </c>
      <c r="AB1963" s="2855">
        <v>39600</v>
      </c>
      <c r="AC1963" s="2551">
        <v>39600</v>
      </c>
      <c r="AD1963" s="2857"/>
      <c r="AE1963" s="2857"/>
      <c r="AF1963" s="2857"/>
      <c r="AG1963" s="2857"/>
      <c r="AH1963" s="1942"/>
      <c r="AI1963" s="1942"/>
      <c r="AJ1963" s="1942"/>
      <c r="AK1963" s="1942"/>
      <c r="AL1963" s="1942"/>
      <c r="AM1963" s="1942"/>
      <c r="AN1963" s="1942"/>
      <c r="AO1963" s="1942"/>
      <c r="AP1963" s="1942"/>
      <c r="AQ1963" s="1942"/>
      <c r="AR1963" s="1942"/>
      <c r="AS1963" s="1942"/>
      <c r="AT1963" s="1942"/>
      <c r="AU1963" s="1942"/>
      <c r="AV1963" s="1942"/>
      <c r="AW1963" s="1942"/>
      <c r="AX1963" s="1942"/>
      <c r="AY1963" s="1942"/>
      <c r="AZ1963" s="1942"/>
      <c r="BA1963" s="1942"/>
      <c r="BB1963" s="575"/>
      <c r="BC1963" s="576"/>
      <c r="BD1963" s="678"/>
      <c r="BE1963" s="585"/>
    </row>
    <row r="1964" spans="1:57" s="51" customFormat="1" ht="15" hidden="1" customHeight="1" outlineLevel="1" x14ac:dyDescent="0.25">
      <c r="A1964" s="1267"/>
      <c r="B1964" s="123"/>
      <c r="C1964" s="328"/>
      <c r="D1964" s="3990"/>
      <c r="E1964" s="4009"/>
      <c r="F1964" s="3010" t="str">
        <f>$E$1733</f>
        <v>ASHP-SEER20_ER2_MF</v>
      </c>
      <c r="G1964" s="2676"/>
      <c r="H1964" s="2676"/>
      <c r="I1964" s="2677"/>
      <c r="J1964" s="3299" t="str">
        <f>$C$1733</f>
        <v>354700_2019_12_</v>
      </c>
      <c r="K1964" s="2551">
        <v>39600</v>
      </c>
      <c r="L1964" s="3072">
        <f t="shared" si="200"/>
        <v>3.3</v>
      </c>
      <c r="M1964" s="2278"/>
      <c r="N1964" s="123"/>
      <c r="O1964" s="228"/>
      <c r="P1964" s="228"/>
      <c r="Q1964" s="228"/>
      <c r="R1964" s="228"/>
      <c r="S1964" s="123"/>
      <c r="T1964" s="123"/>
      <c r="U1964" s="123"/>
      <c r="V1964" s="3990"/>
      <c r="W1964" s="2857">
        <v>39600</v>
      </c>
      <c r="X1964" s="2857">
        <v>39600</v>
      </c>
      <c r="Y1964" s="2857">
        <v>39600</v>
      </c>
      <c r="Z1964" s="2857">
        <v>39600</v>
      </c>
      <c r="AA1964" s="2857">
        <v>39600</v>
      </c>
      <c r="AB1964" s="2855">
        <v>39600</v>
      </c>
      <c r="AC1964" s="2551">
        <v>39600</v>
      </c>
      <c r="AD1964" s="2857"/>
      <c r="AE1964" s="2857"/>
      <c r="AF1964" s="2857"/>
      <c r="AG1964" s="2857"/>
      <c r="AH1964" s="1942"/>
      <c r="AI1964" s="1942"/>
      <c r="AJ1964" s="1942"/>
      <c r="AK1964" s="1942"/>
      <c r="AL1964" s="1942"/>
      <c r="AM1964" s="1942"/>
      <c r="AN1964" s="1942"/>
      <c r="AO1964" s="1942"/>
      <c r="AP1964" s="1942"/>
      <c r="AQ1964" s="1942"/>
      <c r="AR1964" s="1942"/>
      <c r="AS1964" s="1942"/>
      <c r="AT1964" s="1942"/>
      <c r="AU1964" s="1942"/>
      <c r="AV1964" s="1942"/>
      <c r="AW1964" s="1942"/>
      <c r="AX1964" s="1942"/>
      <c r="AY1964" s="1942"/>
      <c r="AZ1964" s="1942"/>
      <c r="BA1964" s="1942"/>
      <c r="BB1964" s="575"/>
      <c r="BC1964" s="576"/>
      <c r="BD1964" s="678"/>
      <c r="BE1964" s="585"/>
    </row>
    <row r="1965" spans="1:57" s="51" customFormat="1" ht="15" hidden="1" customHeight="1" outlineLevel="1" x14ac:dyDescent="0.25">
      <c r="A1965" s="1267"/>
      <c r="B1965" s="123"/>
      <c r="C1965" s="328"/>
      <c r="D1965" s="3990"/>
      <c r="E1965" s="4009"/>
      <c r="F1965" s="3010" t="str">
        <f>$E$1735</f>
        <v>ASHP-SEER20_ER1_MF_CompE</v>
      </c>
      <c r="G1965" s="2676"/>
      <c r="H1965" s="2676"/>
      <c r="I1965" s="2677"/>
      <c r="J1965" s="3299" t="str">
        <f>$C$1735</f>
        <v>354701_2019_12_</v>
      </c>
      <c r="K1965" s="2551">
        <f>K1963</f>
        <v>39600</v>
      </c>
      <c r="L1965" s="3072">
        <f t="shared" si="200"/>
        <v>3.3</v>
      </c>
      <c r="M1965" s="2278"/>
      <c r="N1965" s="123"/>
      <c r="O1965" s="228"/>
      <c r="P1965" s="228"/>
      <c r="Q1965" s="228"/>
      <c r="R1965" s="228"/>
      <c r="S1965" s="123"/>
      <c r="T1965" s="123"/>
      <c r="U1965" s="123"/>
      <c r="V1965" s="3990"/>
      <c r="W1965" s="2857"/>
      <c r="X1965" s="2857"/>
      <c r="Y1965" s="3155">
        <v>39600</v>
      </c>
      <c r="Z1965" s="2857">
        <v>39600</v>
      </c>
      <c r="AA1965" s="2857">
        <v>39600</v>
      </c>
      <c r="AB1965" s="2855">
        <v>39600</v>
      </c>
      <c r="AC1965" s="2551">
        <f>AC1963</f>
        <v>39600</v>
      </c>
      <c r="AD1965" s="2857"/>
      <c r="AE1965" s="2857"/>
      <c r="AF1965" s="2857"/>
      <c r="AG1965" s="2857"/>
      <c r="AH1965" s="1942"/>
      <c r="AI1965" s="1942"/>
      <c r="AJ1965" s="1942"/>
      <c r="AK1965" s="1942"/>
      <c r="AL1965" s="1942"/>
      <c r="AM1965" s="1942"/>
      <c r="AN1965" s="1942"/>
      <c r="AO1965" s="1942"/>
      <c r="AP1965" s="1942"/>
      <c r="AQ1965" s="1942"/>
      <c r="AR1965" s="1942"/>
      <c r="AS1965" s="1942"/>
      <c r="AT1965" s="1942"/>
      <c r="AU1965" s="1942"/>
      <c r="AV1965" s="1942"/>
      <c r="AW1965" s="1942"/>
      <c r="AX1965" s="1942"/>
      <c r="AY1965" s="1942"/>
      <c r="AZ1965" s="1942"/>
      <c r="BA1965" s="1942"/>
      <c r="BB1965" s="575"/>
      <c r="BC1965" s="576"/>
      <c r="BD1965" s="678"/>
      <c r="BE1965" s="585"/>
    </row>
    <row r="1966" spans="1:57" s="51" customFormat="1" ht="15" hidden="1" customHeight="1" outlineLevel="1" x14ac:dyDescent="0.25">
      <c r="A1966" s="1267"/>
      <c r="B1966" s="123"/>
      <c r="C1966" s="328"/>
      <c r="D1966" s="3990"/>
      <c r="E1966" s="4009"/>
      <c r="F1966" s="3010" t="str">
        <f>$E$1737</f>
        <v>ASHP-SEER20_ER2_MF_CompE</v>
      </c>
      <c r="G1966" s="2676"/>
      <c r="H1966" s="2676"/>
      <c r="I1966" s="2677"/>
      <c r="J1966" s="3299" t="str">
        <f>$C$1737</f>
        <v>354701_2019_12_</v>
      </c>
      <c r="K1966" s="2551">
        <f>K1964</f>
        <v>39600</v>
      </c>
      <c r="L1966" s="3072">
        <f t="shared" si="200"/>
        <v>3.3</v>
      </c>
      <c r="M1966" s="2278"/>
      <c r="N1966" s="123"/>
      <c r="O1966" s="228"/>
      <c r="P1966" s="228"/>
      <c r="Q1966" s="228"/>
      <c r="R1966" s="228"/>
      <c r="S1966" s="123"/>
      <c r="T1966" s="123"/>
      <c r="U1966" s="123"/>
      <c r="V1966" s="3990"/>
      <c r="W1966" s="2857"/>
      <c r="X1966" s="2857"/>
      <c r="Y1966" s="3155">
        <v>39600</v>
      </c>
      <c r="Z1966" s="2857">
        <v>39600</v>
      </c>
      <c r="AA1966" s="2857">
        <v>39600</v>
      </c>
      <c r="AB1966" s="2855">
        <v>39600</v>
      </c>
      <c r="AC1966" s="2551">
        <f>AC1964</f>
        <v>39600</v>
      </c>
      <c r="AD1966" s="2857"/>
      <c r="AE1966" s="2857"/>
      <c r="AF1966" s="2857"/>
      <c r="AG1966" s="2857"/>
      <c r="AH1966" s="1942"/>
      <c r="AI1966" s="1942"/>
      <c r="AJ1966" s="1942"/>
      <c r="AK1966" s="1942"/>
      <c r="AL1966" s="1942"/>
      <c r="AM1966" s="1942"/>
      <c r="AN1966" s="1942"/>
      <c r="AO1966" s="1942"/>
      <c r="AP1966" s="1942"/>
      <c r="AQ1966" s="1942"/>
      <c r="AR1966" s="1942"/>
      <c r="AS1966" s="1942"/>
      <c r="AT1966" s="1942"/>
      <c r="AU1966" s="1942"/>
      <c r="AV1966" s="1942"/>
      <c r="AW1966" s="1942"/>
      <c r="AX1966" s="1942"/>
      <c r="AY1966" s="1942"/>
      <c r="AZ1966" s="1942"/>
      <c r="BA1966" s="1942"/>
      <c r="BB1966" s="575"/>
      <c r="BC1966" s="576"/>
      <c r="BD1966" s="678"/>
      <c r="BE1966" s="585"/>
    </row>
    <row r="1967" spans="1:57" s="51" customFormat="1" ht="15" hidden="1" customHeight="1" outlineLevel="1" x14ac:dyDescent="0.25">
      <c r="A1967" s="1267"/>
      <c r="B1967" s="123"/>
      <c r="C1967" s="328"/>
      <c r="D1967" s="3990"/>
      <c r="E1967" s="4009"/>
      <c r="F1967" s="3010" t="str">
        <f>$E$1739</f>
        <v>ASHP-SEER21_ER1_SF</v>
      </c>
      <c r="G1967" s="2676"/>
      <c r="H1967" s="2676"/>
      <c r="I1967" s="2677"/>
      <c r="J1967" s="3298" t="str">
        <f>$C$1739</f>
        <v>354750_2021_12_</v>
      </c>
      <c r="K1967" s="2225">
        <v>40615.384615384617</v>
      </c>
      <c r="L1967" s="3070">
        <f t="shared" si="200"/>
        <v>3.3846153846153846</v>
      </c>
      <c r="M1967" s="2723" t="s">
        <v>1008</v>
      </c>
      <c r="N1967" s="123"/>
      <c r="O1967" s="228"/>
      <c r="P1967" s="228"/>
      <c r="Q1967" s="228"/>
      <c r="R1967" s="228"/>
      <c r="S1967" s="123"/>
      <c r="T1967" s="123"/>
      <c r="U1967" s="123"/>
      <c r="V1967" s="3990"/>
      <c r="W1967" s="2857">
        <v>39600</v>
      </c>
      <c r="X1967" s="2857">
        <v>39600</v>
      </c>
      <c r="Y1967" s="2857">
        <v>39600</v>
      </c>
      <c r="Z1967" s="2857">
        <v>39600</v>
      </c>
      <c r="AA1967" s="2857">
        <v>39600</v>
      </c>
      <c r="AB1967" s="2855">
        <v>39600</v>
      </c>
      <c r="AC1967" s="2225">
        <v>40615.384615384617</v>
      </c>
      <c r="AD1967" s="2857"/>
      <c r="AE1967" s="2857"/>
      <c r="AF1967" s="2857"/>
      <c r="AG1967" s="2857"/>
      <c r="AH1967" s="1942"/>
      <c r="AI1967" s="1942"/>
      <c r="AJ1967" s="1942"/>
      <c r="AK1967" s="1942"/>
      <c r="AL1967" s="1942"/>
      <c r="AM1967" s="1942"/>
      <c r="AN1967" s="1942"/>
      <c r="AO1967" s="1942"/>
      <c r="AP1967" s="1942"/>
      <c r="AQ1967" s="1942"/>
      <c r="AR1967" s="1942"/>
      <c r="AS1967" s="1942"/>
      <c r="AT1967" s="1942"/>
      <c r="AU1967" s="1942"/>
      <c r="AV1967" s="1942"/>
      <c r="AW1967" s="1942"/>
      <c r="AX1967" s="1942"/>
      <c r="AY1967" s="1942"/>
      <c r="AZ1967" s="1942"/>
      <c r="BA1967" s="1942"/>
      <c r="BB1967" s="575"/>
      <c r="BC1967" s="576"/>
      <c r="BD1967" s="678"/>
      <c r="BE1967" s="585"/>
    </row>
    <row r="1968" spans="1:57" s="51" customFormat="1" ht="15" hidden="1" customHeight="1" outlineLevel="1" x14ac:dyDescent="0.25">
      <c r="A1968" s="1267"/>
      <c r="B1968" s="123"/>
      <c r="C1968" s="328"/>
      <c r="D1968" s="3990"/>
      <c r="E1968" s="4009"/>
      <c r="F1968" s="3010" t="str">
        <f>$E$1741</f>
        <v>ASHP-SEER21_ER2_SF</v>
      </c>
      <c r="G1968" s="2676"/>
      <c r="H1968" s="2676"/>
      <c r="I1968" s="2677"/>
      <c r="J1968" s="3298" t="str">
        <f>$C$1741</f>
        <v>354750_2021_12_</v>
      </c>
      <c r="K1968" s="2225">
        <f>K1967</f>
        <v>40615.384615384617</v>
      </c>
      <c r="L1968" s="3070">
        <f t="shared" si="200"/>
        <v>3.3846153846153846</v>
      </c>
      <c r="M1968" s="2723" t="s">
        <v>1008</v>
      </c>
      <c r="N1968" s="123"/>
      <c r="O1968" s="228"/>
      <c r="P1968" s="228"/>
      <c r="Q1968" s="228"/>
      <c r="R1968" s="228"/>
      <c r="S1968" s="123"/>
      <c r="T1968" s="123"/>
      <c r="U1968" s="123"/>
      <c r="V1968" s="3990"/>
      <c r="W1968" s="2857">
        <v>39600</v>
      </c>
      <c r="X1968" s="2857">
        <v>39600</v>
      </c>
      <c r="Y1968" s="2857">
        <v>39600</v>
      </c>
      <c r="Z1968" s="2857">
        <v>39600</v>
      </c>
      <c r="AA1968" s="2857">
        <v>39600</v>
      </c>
      <c r="AB1968" s="2855">
        <v>39600</v>
      </c>
      <c r="AC1968" s="2225">
        <f>AC1967</f>
        <v>40615.384615384617</v>
      </c>
      <c r="AD1968" s="2857"/>
      <c r="AE1968" s="2857"/>
      <c r="AF1968" s="2857"/>
      <c r="AG1968" s="2857"/>
      <c r="AH1968" s="1942"/>
      <c r="AI1968" s="1942"/>
      <c r="AJ1968" s="1942"/>
      <c r="AK1968" s="1942"/>
      <c r="AL1968" s="1942"/>
      <c r="AM1968" s="1942"/>
      <c r="AN1968" s="1942"/>
      <c r="AO1968" s="1942"/>
      <c r="AP1968" s="1942"/>
      <c r="AQ1968" s="1942"/>
      <c r="AR1968" s="1942"/>
      <c r="AS1968" s="1942"/>
      <c r="AT1968" s="1942"/>
      <c r="AU1968" s="1942"/>
      <c r="AV1968" s="1942"/>
      <c r="AW1968" s="1942"/>
      <c r="AX1968" s="1942"/>
      <c r="AY1968" s="1942"/>
      <c r="AZ1968" s="1942"/>
      <c r="BA1968" s="1942"/>
      <c r="BB1968" s="575"/>
      <c r="BC1968" s="576"/>
      <c r="BD1968" s="678"/>
      <c r="BE1968" s="585"/>
    </row>
    <row r="1969" spans="1:57" s="51" customFormat="1" ht="15" hidden="1" customHeight="1" outlineLevel="1" x14ac:dyDescent="0.25">
      <c r="A1969" s="1267"/>
      <c r="B1969" s="123"/>
      <c r="C1969" s="328"/>
      <c r="D1969" s="3990"/>
      <c r="E1969" s="4009"/>
      <c r="F1969" s="3010" t="str">
        <f>$E$1743</f>
        <v>ASHP-SEER21_ROF_SF</v>
      </c>
      <c r="G1969" s="2676"/>
      <c r="H1969" s="2676"/>
      <c r="I1969" s="2677"/>
      <c r="J1969" s="3298" t="str">
        <f>$C$1743</f>
        <v>354800_2021_12_</v>
      </c>
      <c r="K1969" s="2225">
        <v>46500</v>
      </c>
      <c r="L1969" s="3070">
        <f t="shared" si="200"/>
        <v>3.875</v>
      </c>
      <c r="M1969" s="2723" t="s">
        <v>1008</v>
      </c>
      <c r="N1969" s="123"/>
      <c r="O1969" s="228"/>
      <c r="P1969" s="228"/>
      <c r="Q1969" s="228"/>
      <c r="R1969" s="228"/>
      <c r="S1969" s="123"/>
      <c r="T1969" s="123"/>
      <c r="U1969" s="123"/>
      <c r="V1969" s="3990"/>
      <c r="W1969" s="2857">
        <v>39600</v>
      </c>
      <c r="X1969" s="2857">
        <v>39600</v>
      </c>
      <c r="Y1969" s="2857">
        <v>39600</v>
      </c>
      <c r="Z1969" s="2857">
        <v>39600</v>
      </c>
      <c r="AA1969" s="2857">
        <v>39600</v>
      </c>
      <c r="AB1969" s="2855">
        <v>39600</v>
      </c>
      <c r="AC1969" s="2225">
        <v>46500</v>
      </c>
      <c r="AD1969" s="2857"/>
      <c r="AE1969" s="2857"/>
      <c r="AF1969" s="2857"/>
      <c r="AG1969" s="2857"/>
      <c r="AH1969" s="1942"/>
      <c r="AI1969" s="1942"/>
      <c r="AJ1969" s="1942"/>
      <c r="AK1969" s="1942"/>
      <c r="AL1969" s="1942"/>
      <c r="AM1969" s="1942"/>
      <c r="AN1969" s="1942"/>
      <c r="AO1969" s="1942"/>
      <c r="AP1969" s="1942"/>
      <c r="AQ1969" s="1942"/>
      <c r="AR1969" s="1942"/>
      <c r="AS1969" s="1942"/>
      <c r="AT1969" s="1942"/>
      <c r="AU1969" s="1942"/>
      <c r="AV1969" s="1942"/>
      <c r="AW1969" s="1942"/>
      <c r="AX1969" s="1942"/>
      <c r="AY1969" s="1942"/>
      <c r="AZ1969" s="1942"/>
      <c r="BA1969" s="1942"/>
      <c r="BB1969" s="575"/>
      <c r="BC1969" s="576"/>
      <c r="BD1969" s="678"/>
      <c r="BE1969" s="585"/>
    </row>
    <row r="1970" spans="1:57" s="51" customFormat="1" ht="15" hidden="1" customHeight="1" outlineLevel="1" x14ac:dyDescent="0.25">
      <c r="A1970" s="1267"/>
      <c r="B1970" s="123"/>
      <c r="C1970" s="328"/>
      <c r="D1970" s="3990"/>
      <c r="E1970" s="4009"/>
      <c r="F1970" s="3010" t="str">
        <f>$E$1745</f>
        <v>ASHP-SEER21-Replace_CAC_ElectricHeat_ROF_MF</v>
      </c>
      <c r="G1970" s="2676"/>
      <c r="H1970" s="2676"/>
      <c r="I1970" s="2677"/>
      <c r="J1970" s="3299" t="str">
        <f>$C$1745</f>
        <v>354850_2019_12_</v>
      </c>
      <c r="K1970" s="2551">
        <v>33600</v>
      </c>
      <c r="L1970" s="3072">
        <f t="shared" si="200"/>
        <v>2.8</v>
      </c>
      <c r="M1970" s="2278"/>
      <c r="N1970" s="123"/>
      <c r="O1970" s="228"/>
      <c r="P1970" s="228"/>
      <c r="Q1970" s="228"/>
      <c r="R1970" s="228"/>
      <c r="S1970" s="123"/>
      <c r="T1970" s="123"/>
      <c r="U1970" s="123"/>
      <c r="V1970" s="3990"/>
      <c r="W1970" s="2857">
        <v>33600</v>
      </c>
      <c r="X1970" s="2857">
        <v>33600</v>
      </c>
      <c r="Y1970" s="2857">
        <v>33600</v>
      </c>
      <c r="Z1970" s="2857">
        <v>33600</v>
      </c>
      <c r="AA1970" s="2857">
        <v>33600</v>
      </c>
      <c r="AB1970" s="2855">
        <v>33600</v>
      </c>
      <c r="AC1970" s="2551">
        <v>33600</v>
      </c>
      <c r="AD1970" s="2857"/>
      <c r="AE1970" s="2857"/>
      <c r="AF1970" s="2857"/>
      <c r="AG1970" s="2857"/>
      <c r="AH1970" s="1942"/>
      <c r="AI1970" s="1942"/>
      <c r="AJ1970" s="1942"/>
      <c r="AK1970" s="1942"/>
      <c r="AL1970" s="1942"/>
      <c r="AM1970" s="1942"/>
      <c r="AN1970" s="1942"/>
      <c r="AO1970" s="1942"/>
      <c r="AP1970" s="1942"/>
      <c r="AQ1970" s="1942"/>
      <c r="AR1970" s="1942"/>
      <c r="AS1970" s="1942"/>
      <c r="AT1970" s="1942"/>
      <c r="AU1970" s="1942"/>
      <c r="AV1970" s="1942"/>
      <c r="AW1970" s="1942"/>
      <c r="AX1970" s="1942"/>
      <c r="AY1970" s="1942"/>
      <c r="AZ1970" s="1942"/>
      <c r="BA1970" s="1942"/>
      <c r="BB1970" s="575"/>
      <c r="BC1970" s="576"/>
      <c r="BD1970" s="678"/>
      <c r="BE1970" s="585"/>
    </row>
    <row r="1971" spans="1:57" s="51" customFormat="1" ht="15" hidden="1" customHeight="1" outlineLevel="1" x14ac:dyDescent="0.25">
      <c r="A1971" s="1267"/>
      <c r="B1971" s="123"/>
      <c r="C1971" s="328"/>
      <c r="D1971" s="3990"/>
      <c r="E1971" s="4009"/>
      <c r="F1971" s="3010" t="str">
        <f>$E$1747</f>
        <v>ASHP-SEER21-Replace_CAC_ElectricHeat_ROF_MF_CompE</v>
      </c>
      <c r="G1971" s="2676"/>
      <c r="H1971" s="2676"/>
      <c r="I1971" s="2677"/>
      <c r="J1971" s="3299" t="str">
        <f>$C$1747</f>
        <v>354851_2019_12_</v>
      </c>
      <c r="K1971" s="2551">
        <f>K1970</f>
        <v>33600</v>
      </c>
      <c r="L1971" s="3072">
        <f t="shared" si="200"/>
        <v>2.8</v>
      </c>
      <c r="M1971" s="2278"/>
      <c r="N1971" s="123"/>
      <c r="O1971" s="228"/>
      <c r="P1971" s="228"/>
      <c r="Q1971" s="228"/>
      <c r="R1971" s="228"/>
      <c r="S1971" s="123"/>
      <c r="T1971" s="123"/>
      <c r="U1971" s="123"/>
      <c r="V1971" s="3990"/>
      <c r="W1971" s="2857"/>
      <c r="X1971" s="2857"/>
      <c r="Y1971" s="3155">
        <v>33600</v>
      </c>
      <c r="Z1971" s="2857">
        <v>33600</v>
      </c>
      <c r="AA1971" s="2857">
        <v>33600</v>
      </c>
      <c r="AB1971" s="2855">
        <v>33600</v>
      </c>
      <c r="AC1971" s="2551">
        <f>AC1970</f>
        <v>33600</v>
      </c>
      <c r="AD1971" s="2857"/>
      <c r="AE1971" s="2857"/>
      <c r="AF1971" s="2857"/>
      <c r="AG1971" s="2857"/>
      <c r="AH1971" s="1942"/>
      <c r="AI1971" s="1942"/>
      <c r="AJ1971" s="1942"/>
      <c r="AK1971" s="1942"/>
      <c r="AL1971" s="1942"/>
      <c r="AM1971" s="1942"/>
      <c r="AN1971" s="1942"/>
      <c r="AO1971" s="1942"/>
      <c r="AP1971" s="1942"/>
      <c r="AQ1971" s="1942"/>
      <c r="AR1971" s="1942"/>
      <c r="AS1971" s="1942"/>
      <c r="AT1971" s="1942"/>
      <c r="AU1971" s="1942"/>
      <c r="AV1971" s="1942"/>
      <c r="AW1971" s="1942"/>
      <c r="AX1971" s="1942"/>
      <c r="AY1971" s="1942"/>
      <c r="AZ1971" s="1942"/>
      <c r="BA1971" s="1942"/>
      <c r="BB1971" s="575"/>
      <c r="BC1971" s="576"/>
      <c r="BD1971" s="678"/>
      <c r="BE1971" s="585"/>
    </row>
    <row r="1972" spans="1:57" s="1942" customFormat="1" ht="15" hidden="1" customHeight="1" outlineLevel="1" x14ac:dyDescent="0.25">
      <c r="A1972" s="1267"/>
      <c r="B1972" s="123"/>
      <c r="C1972" s="328"/>
      <c r="D1972" s="3990"/>
      <c r="E1972" s="4009"/>
      <c r="F1972" s="3010" t="str">
        <f>$E$1749</f>
        <v>ASHP-SEER21-Replace_CAC_NonElectricHeat_ROF_MF</v>
      </c>
      <c r="G1972" s="2676"/>
      <c r="H1972" s="2676"/>
      <c r="I1972" s="2677"/>
      <c r="J1972" s="3298" t="str">
        <f>$C$1749</f>
        <v>354860_2021_12_</v>
      </c>
      <c r="K1972" s="2225">
        <v>33600</v>
      </c>
      <c r="L1972" s="3070">
        <f t="shared" si="200"/>
        <v>2.8</v>
      </c>
      <c r="M1972" s="2723" t="s">
        <v>1125</v>
      </c>
      <c r="N1972" s="123"/>
      <c r="O1972" s="228"/>
      <c r="P1972" s="228"/>
      <c r="Q1972" s="228"/>
      <c r="R1972" s="228"/>
      <c r="S1972" s="123"/>
      <c r="T1972" s="123"/>
      <c r="U1972" s="123"/>
      <c r="V1972" s="3990"/>
      <c r="W1972" s="2857"/>
      <c r="X1972" s="2857"/>
      <c r="Y1972" s="3155"/>
      <c r="Z1972" s="2857"/>
      <c r="AA1972" s="2857"/>
      <c r="AB1972" s="2855"/>
      <c r="AC1972" s="2225">
        <v>33600</v>
      </c>
      <c r="AD1972" s="2857"/>
      <c r="AE1972" s="2857"/>
      <c r="AF1972" s="2857"/>
      <c r="AG1972" s="2857"/>
      <c r="BB1972" s="575"/>
      <c r="BC1972" s="576"/>
      <c r="BD1972" s="678"/>
      <c r="BE1972" s="585"/>
    </row>
    <row r="1973" spans="1:57" s="1942" customFormat="1" ht="15" hidden="1" customHeight="1" outlineLevel="1" x14ac:dyDescent="0.25">
      <c r="A1973" s="1267"/>
      <c r="B1973" s="123"/>
      <c r="C1973" s="328"/>
      <c r="D1973" s="3990"/>
      <c r="E1973" s="4009"/>
      <c r="F1973" s="3010" t="str">
        <f>$E$1751</f>
        <v>ASHP-SEER21-Replace_CAC_NonElectricHeat_ROF_MF_CompE</v>
      </c>
      <c r="G1973" s="2676"/>
      <c r="H1973" s="2676"/>
      <c r="I1973" s="2677"/>
      <c r="J1973" s="3298" t="str">
        <f>$C$1751</f>
        <v>354861_2021_12_</v>
      </c>
      <c r="K1973" s="2225">
        <f>K1972</f>
        <v>33600</v>
      </c>
      <c r="L1973" s="3070">
        <f t="shared" si="200"/>
        <v>2.8</v>
      </c>
      <c r="M1973" s="2723" t="s">
        <v>1125</v>
      </c>
      <c r="N1973" s="123"/>
      <c r="O1973" s="228"/>
      <c r="P1973" s="228"/>
      <c r="Q1973" s="228"/>
      <c r="R1973" s="228"/>
      <c r="S1973" s="123"/>
      <c r="T1973" s="123"/>
      <c r="U1973" s="123"/>
      <c r="V1973" s="3990"/>
      <c r="W1973" s="2857"/>
      <c r="X1973" s="2857"/>
      <c r="Y1973" s="3155"/>
      <c r="Z1973" s="2857"/>
      <c r="AA1973" s="2857"/>
      <c r="AB1973" s="2855"/>
      <c r="AC1973" s="2225">
        <f>AC1972</f>
        <v>33600</v>
      </c>
      <c r="AD1973" s="2857"/>
      <c r="AE1973" s="2857"/>
      <c r="AF1973" s="2857"/>
      <c r="AG1973" s="2857"/>
      <c r="BB1973" s="575"/>
      <c r="BC1973" s="576"/>
      <c r="BD1973" s="678"/>
      <c r="BE1973" s="585"/>
    </row>
    <row r="1974" spans="1:57" s="51" customFormat="1" ht="15" hidden="1" customHeight="1" outlineLevel="1" x14ac:dyDescent="0.25">
      <c r="A1974" s="1267"/>
      <c r="B1974" s="123"/>
      <c r="C1974" s="328"/>
      <c r="D1974" s="3990"/>
      <c r="E1974" s="4009"/>
      <c r="F1974" s="3010" t="str">
        <f>$E$1753</f>
        <v>ASHP-SEER21_ER1_MF</v>
      </c>
      <c r="G1974" s="2676"/>
      <c r="H1974" s="2676"/>
      <c r="I1974" s="2677"/>
      <c r="J1974" s="3299" t="str">
        <f>$C$1753</f>
        <v>354900_2019_12_</v>
      </c>
      <c r="K1974" s="2551">
        <v>39600</v>
      </c>
      <c r="L1974" s="3072">
        <f t="shared" si="200"/>
        <v>3.3</v>
      </c>
      <c r="M1974" s="2278"/>
      <c r="N1974" s="123"/>
      <c r="O1974" s="228"/>
      <c r="P1974" s="228"/>
      <c r="Q1974" s="228"/>
      <c r="R1974" s="228"/>
      <c r="S1974" s="123"/>
      <c r="T1974" s="123"/>
      <c r="U1974" s="123"/>
      <c r="V1974" s="3990"/>
      <c r="W1974" s="2857">
        <v>39600</v>
      </c>
      <c r="X1974" s="2857">
        <v>39600</v>
      </c>
      <c r="Y1974" s="2857">
        <v>39600</v>
      </c>
      <c r="Z1974" s="2857">
        <v>39600</v>
      </c>
      <c r="AA1974" s="2857">
        <v>39600</v>
      </c>
      <c r="AB1974" s="2855">
        <v>39600</v>
      </c>
      <c r="AC1974" s="2551">
        <v>39600</v>
      </c>
      <c r="AD1974" s="2857"/>
      <c r="AE1974" s="2857"/>
      <c r="AF1974" s="2857"/>
      <c r="AG1974" s="2857"/>
      <c r="AH1974" s="1942"/>
      <c r="AI1974" s="1942"/>
      <c r="AJ1974" s="1942"/>
      <c r="AK1974" s="1942"/>
      <c r="AL1974" s="1942"/>
      <c r="AM1974" s="1942"/>
      <c r="AN1974" s="1942"/>
      <c r="AO1974" s="1942"/>
      <c r="AP1974" s="1942"/>
      <c r="AQ1974" s="1942"/>
      <c r="AR1974" s="1942"/>
      <c r="AS1974" s="1942"/>
      <c r="AT1974" s="1942"/>
      <c r="AU1974" s="1942"/>
      <c r="AV1974" s="1942"/>
      <c r="AW1974" s="1942"/>
      <c r="AX1974" s="1942"/>
      <c r="AY1974" s="1942"/>
      <c r="AZ1974" s="1942"/>
      <c r="BA1974" s="1942"/>
      <c r="BB1974" s="575"/>
      <c r="BC1974" s="576"/>
      <c r="BD1974" s="678"/>
      <c r="BE1974" s="585"/>
    </row>
    <row r="1975" spans="1:57" s="51" customFormat="1" ht="15" hidden="1" customHeight="1" outlineLevel="1" x14ac:dyDescent="0.25">
      <c r="A1975" s="1267"/>
      <c r="B1975" s="123"/>
      <c r="C1975" s="328"/>
      <c r="D1975" s="3990"/>
      <c r="E1975" s="4009"/>
      <c r="F1975" s="3010" t="str">
        <f>$E$1755</f>
        <v>ASHP-SEER21_ER2_MF</v>
      </c>
      <c r="G1975" s="2676"/>
      <c r="H1975" s="2676"/>
      <c r="I1975" s="2677"/>
      <c r="J1975" s="3299" t="str">
        <f>$C$1755</f>
        <v>354900_2019_12_</v>
      </c>
      <c r="K1975" s="2551">
        <v>39600</v>
      </c>
      <c r="L1975" s="3072">
        <f t="shared" si="200"/>
        <v>3.3</v>
      </c>
      <c r="M1975" s="2278"/>
      <c r="N1975" s="123"/>
      <c r="O1975" s="228"/>
      <c r="P1975" s="228"/>
      <c r="Q1975" s="228"/>
      <c r="R1975" s="228"/>
      <c r="S1975" s="123"/>
      <c r="T1975" s="123"/>
      <c r="U1975" s="123"/>
      <c r="V1975" s="3990"/>
      <c r="W1975" s="2857">
        <v>39600</v>
      </c>
      <c r="X1975" s="2857">
        <v>39600</v>
      </c>
      <c r="Y1975" s="2857">
        <v>39600</v>
      </c>
      <c r="Z1975" s="2857">
        <v>39600</v>
      </c>
      <c r="AA1975" s="2857">
        <v>39600</v>
      </c>
      <c r="AB1975" s="2855">
        <v>39600</v>
      </c>
      <c r="AC1975" s="2551">
        <v>39600</v>
      </c>
      <c r="AD1975" s="2857"/>
      <c r="AE1975" s="2857"/>
      <c r="AF1975" s="2857"/>
      <c r="AG1975" s="2857"/>
      <c r="AH1975" s="1942"/>
      <c r="AI1975" s="1942"/>
      <c r="AJ1975" s="1942"/>
      <c r="AK1975" s="1942"/>
      <c r="AL1975" s="1942"/>
      <c r="AM1975" s="1942"/>
      <c r="AN1975" s="1942"/>
      <c r="AO1975" s="1942"/>
      <c r="AP1975" s="1942"/>
      <c r="AQ1975" s="1942"/>
      <c r="AR1975" s="1942"/>
      <c r="AS1975" s="1942"/>
      <c r="AT1975" s="1942"/>
      <c r="AU1975" s="1942"/>
      <c r="AV1975" s="1942"/>
      <c r="AW1975" s="1942"/>
      <c r="AX1975" s="1942"/>
      <c r="AY1975" s="1942"/>
      <c r="AZ1975" s="1942"/>
      <c r="BA1975" s="1942"/>
      <c r="BB1975" s="575"/>
      <c r="BC1975" s="576"/>
      <c r="BD1975" s="678"/>
      <c r="BE1975" s="585"/>
    </row>
    <row r="1976" spans="1:57" s="51" customFormat="1" ht="15" hidden="1" customHeight="1" outlineLevel="1" x14ac:dyDescent="0.25">
      <c r="A1976" s="1267"/>
      <c r="B1976" s="123"/>
      <c r="C1976" s="328"/>
      <c r="D1976" s="3990"/>
      <c r="E1976" s="4009"/>
      <c r="F1976" s="3010" t="str">
        <f>$E$1757</f>
        <v>ASHP-SEER21_ER1_MF_CompE</v>
      </c>
      <c r="G1976" s="2676"/>
      <c r="H1976" s="2676"/>
      <c r="I1976" s="2677"/>
      <c r="J1976" s="3299" t="str">
        <f>$C$1757</f>
        <v>354901_2019_12_</v>
      </c>
      <c r="K1976" s="2551">
        <f>K1974</f>
        <v>39600</v>
      </c>
      <c r="L1976" s="3072">
        <f t="shared" si="200"/>
        <v>3.3</v>
      </c>
      <c r="M1976" s="2278"/>
      <c r="N1976" s="123"/>
      <c r="O1976" s="228"/>
      <c r="P1976" s="228"/>
      <c r="Q1976" s="228"/>
      <c r="R1976" s="228"/>
      <c r="S1976" s="123"/>
      <c r="T1976" s="123"/>
      <c r="U1976" s="123"/>
      <c r="V1976" s="3990"/>
      <c r="W1976" s="2857"/>
      <c r="X1976" s="2857"/>
      <c r="Y1976" s="3155">
        <v>39600</v>
      </c>
      <c r="Z1976" s="2857">
        <v>39600</v>
      </c>
      <c r="AA1976" s="2857">
        <v>39600</v>
      </c>
      <c r="AB1976" s="2855">
        <v>39600</v>
      </c>
      <c r="AC1976" s="2551">
        <f>AC1974</f>
        <v>39600</v>
      </c>
      <c r="AD1976" s="2857"/>
      <c r="AE1976" s="2857"/>
      <c r="AF1976" s="2857"/>
      <c r="AG1976" s="2857"/>
      <c r="AH1976" s="1942"/>
      <c r="AI1976" s="1942"/>
      <c r="AJ1976" s="1942"/>
      <c r="AK1976" s="1942"/>
      <c r="AL1976" s="1942"/>
      <c r="AM1976" s="1942"/>
      <c r="AN1976" s="1942"/>
      <c r="AO1976" s="1942"/>
      <c r="AP1976" s="1942"/>
      <c r="AQ1976" s="1942"/>
      <c r="AR1976" s="1942"/>
      <c r="AS1976" s="1942"/>
      <c r="AT1976" s="1942"/>
      <c r="AU1976" s="1942"/>
      <c r="AV1976" s="1942"/>
      <c r="AW1976" s="1942"/>
      <c r="AX1976" s="1942"/>
      <c r="AY1976" s="1942"/>
      <c r="AZ1976" s="1942"/>
      <c r="BA1976" s="1942"/>
      <c r="BB1976" s="575"/>
      <c r="BC1976" s="576"/>
      <c r="BD1976" s="678"/>
      <c r="BE1976" s="585"/>
    </row>
    <row r="1977" spans="1:57" s="51" customFormat="1" ht="15" hidden="1" customHeight="1" outlineLevel="1" x14ac:dyDescent="0.25">
      <c r="A1977" s="1267"/>
      <c r="B1977" s="123"/>
      <c r="C1977" s="328"/>
      <c r="D1977" s="3990"/>
      <c r="E1977" s="4009"/>
      <c r="F1977" s="3010" t="str">
        <f>$E$1759</f>
        <v>ASHP-SEER21_ER2_MF_CompE</v>
      </c>
      <c r="G1977" s="2676"/>
      <c r="H1977" s="2676"/>
      <c r="I1977" s="2677"/>
      <c r="J1977" s="3299" t="str">
        <f>$C$1759</f>
        <v>354901_2019_12_</v>
      </c>
      <c r="K1977" s="2551">
        <f>K1975</f>
        <v>39600</v>
      </c>
      <c r="L1977" s="3072">
        <f t="shared" si="200"/>
        <v>3.3</v>
      </c>
      <c r="M1977" s="2278"/>
      <c r="N1977" s="123"/>
      <c r="O1977" s="228"/>
      <c r="P1977" s="228"/>
      <c r="Q1977" s="228"/>
      <c r="R1977" s="228"/>
      <c r="S1977" s="123"/>
      <c r="T1977" s="123"/>
      <c r="U1977" s="123"/>
      <c r="V1977" s="3990"/>
      <c r="W1977" s="2857"/>
      <c r="X1977" s="2857"/>
      <c r="Y1977" s="3155">
        <v>39600</v>
      </c>
      <c r="Z1977" s="2857">
        <v>39600</v>
      </c>
      <c r="AA1977" s="2857">
        <v>39600</v>
      </c>
      <c r="AB1977" s="2855">
        <v>39600</v>
      </c>
      <c r="AC1977" s="2551">
        <f>AC1975</f>
        <v>39600</v>
      </c>
      <c r="AD1977" s="2857"/>
      <c r="AE1977" s="2857"/>
      <c r="AF1977" s="2857"/>
      <c r="AG1977" s="2857"/>
      <c r="AH1977" s="1942"/>
      <c r="AI1977" s="1942"/>
      <c r="AJ1977" s="1942"/>
      <c r="AK1977" s="1942"/>
      <c r="AL1977" s="1942"/>
      <c r="AM1977" s="1942"/>
      <c r="AN1977" s="1942"/>
      <c r="AO1977" s="1942"/>
      <c r="AP1977" s="1942"/>
      <c r="AQ1977" s="1942"/>
      <c r="AR1977" s="1942"/>
      <c r="AS1977" s="1942"/>
      <c r="AT1977" s="1942"/>
      <c r="AU1977" s="1942"/>
      <c r="AV1977" s="1942"/>
      <c r="AW1977" s="1942"/>
      <c r="AX1977" s="1942"/>
      <c r="AY1977" s="1942"/>
      <c r="AZ1977" s="1942"/>
      <c r="BA1977" s="1942"/>
      <c r="BB1977" s="575"/>
      <c r="BC1977" s="576"/>
      <c r="BD1977" s="678"/>
      <c r="BE1977" s="585"/>
    </row>
    <row r="1978" spans="1:57" s="51" customFormat="1" ht="15" hidden="1" customHeight="1" outlineLevel="1" x14ac:dyDescent="0.25">
      <c r="A1978" s="1267"/>
      <c r="B1978" s="123"/>
      <c r="C1978" s="328"/>
      <c r="D1978" s="3990"/>
      <c r="E1978" s="4009"/>
      <c r="F1978" s="3010" t="str">
        <f>$E$1761</f>
        <v>ASHP-SEER17_ROF_MF</v>
      </c>
      <c r="G1978" s="2676"/>
      <c r="H1978" s="2676"/>
      <c r="I1978" s="2677"/>
      <c r="J1978" s="3299" t="str">
        <f>$C$1761</f>
        <v>354950_2019_12_</v>
      </c>
      <c r="K1978" s="2551">
        <v>39600</v>
      </c>
      <c r="L1978" s="3072">
        <f t="shared" si="200"/>
        <v>3.3</v>
      </c>
      <c r="M1978" s="2278" t="s">
        <v>1556</v>
      </c>
      <c r="N1978" s="123"/>
      <c r="O1978" s="228"/>
      <c r="P1978" s="228"/>
      <c r="Q1978" s="228"/>
      <c r="R1978" s="228"/>
      <c r="S1978" s="123"/>
      <c r="T1978" s="123"/>
      <c r="U1978" s="123"/>
      <c r="V1978" s="3990"/>
      <c r="W1978" s="2857">
        <v>39600</v>
      </c>
      <c r="X1978" s="2857">
        <v>39600</v>
      </c>
      <c r="Y1978" s="2857">
        <v>39600</v>
      </c>
      <c r="Z1978" s="2857">
        <v>39600</v>
      </c>
      <c r="AA1978" s="2857">
        <v>39600</v>
      </c>
      <c r="AB1978" s="2855">
        <v>39600</v>
      </c>
      <c r="AC1978" s="2551">
        <v>39600</v>
      </c>
      <c r="AD1978" s="2857"/>
      <c r="AE1978" s="2857"/>
      <c r="AF1978" s="2857"/>
      <c r="AG1978" s="2857"/>
      <c r="AH1978" s="1942"/>
      <c r="AI1978" s="1942"/>
      <c r="AJ1978" s="1942"/>
      <c r="AK1978" s="1942"/>
      <c r="AL1978" s="1942"/>
      <c r="AM1978" s="1942"/>
      <c r="AN1978" s="1942"/>
      <c r="AO1978" s="1942"/>
      <c r="AP1978" s="1942"/>
      <c r="AQ1978" s="1942"/>
      <c r="AR1978" s="1942"/>
      <c r="AS1978" s="1942"/>
      <c r="AT1978" s="1942"/>
      <c r="AU1978" s="1942"/>
      <c r="AV1978" s="1942"/>
      <c r="AW1978" s="1942"/>
      <c r="AX1978" s="1942"/>
      <c r="AY1978" s="1942"/>
      <c r="AZ1978" s="1942"/>
      <c r="BA1978" s="1942"/>
      <c r="BB1978" s="575"/>
      <c r="BC1978" s="576"/>
      <c r="BD1978" s="678"/>
      <c r="BE1978" s="585"/>
    </row>
    <row r="1979" spans="1:57" s="51" customFormat="1" ht="15" hidden="1" customHeight="1" outlineLevel="1" x14ac:dyDescent="0.25">
      <c r="A1979" s="1267"/>
      <c r="B1979" s="123"/>
      <c r="C1979" s="328"/>
      <c r="D1979" s="3990"/>
      <c r="E1979" s="4009"/>
      <c r="F1979" s="3010" t="str">
        <f>$E$1763</f>
        <v>ASHP-SEER17_ROF_MF_CompE</v>
      </c>
      <c r="G1979" s="2676"/>
      <c r="H1979" s="2676"/>
      <c r="I1979" s="2677"/>
      <c r="J1979" s="3299" t="str">
        <f>$C$1763</f>
        <v>354951_2019_12_</v>
      </c>
      <c r="K1979" s="2551">
        <f>K1978</f>
        <v>39600</v>
      </c>
      <c r="L1979" s="3072">
        <f t="shared" si="200"/>
        <v>3.3</v>
      </c>
      <c r="M1979" s="2278"/>
      <c r="N1979" s="123"/>
      <c r="O1979" s="228"/>
      <c r="P1979" s="228"/>
      <c r="Q1979" s="228"/>
      <c r="R1979" s="228"/>
      <c r="S1979" s="123"/>
      <c r="T1979" s="123"/>
      <c r="U1979" s="123"/>
      <c r="V1979" s="3990"/>
      <c r="W1979" s="2857"/>
      <c r="X1979" s="2857"/>
      <c r="Y1979" s="3155">
        <v>39600</v>
      </c>
      <c r="Z1979" s="2857">
        <v>39600</v>
      </c>
      <c r="AA1979" s="2857">
        <v>39600</v>
      </c>
      <c r="AB1979" s="2855">
        <v>39600</v>
      </c>
      <c r="AC1979" s="2551">
        <f>AC1978</f>
        <v>39600</v>
      </c>
      <c r="AD1979" s="2857"/>
      <c r="AE1979" s="2857"/>
      <c r="AF1979" s="2857"/>
      <c r="AG1979" s="2857"/>
      <c r="AH1979" s="1942"/>
      <c r="AI1979" s="1942"/>
      <c r="AJ1979" s="1942"/>
      <c r="AK1979" s="1942"/>
      <c r="AL1979" s="1942"/>
      <c r="AM1979" s="1942"/>
      <c r="AN1979" s="1942"/>
      <c r="AO1979" s="1942"/>
      <c r="AP1979" s="1942"/>
      <c r="AQ1979" s="1942"/>
      <c r="AR1979" s="1942"/>
      <c r="AS1979" s="1942"/>
      <c r="AT1979" s="1942"/>
      <c r="AU1979" s="1942"/>
      <c r="AV1979" s="1942"/>
      <c r="AW1979" s="1942"/>
      <c r="AX1979" s="1942"/>
      <c r="AY1979" s="1942"/>
      <c r="AZ1979" s="1942"/>
      <c r="BA1979" s="1942"/>
      <c r="BB1979" s="575"/>
      <c r="BC1979" s="576"/>
      <c r="BD1979" s="678"/>
      <c r="BE1979" s="585"/>
    </row>
    <row r="1980" spans="1:57" s="51" customFormat="1" ht="15" hidden="1" customHeight="1" outlineLevel="1" x14ac:dyDescent="0.25">
      <c r="A1980" s="2060"/>
      <c r="B1980" s="123"/>
      <c r="C1980" s="328"/>
      <c r="D1980" s="3990"/>
      <c r="E1980" s="4009"/>
      <c r="F1980" s="3010" t="str">
        <f>$E$1765</f>
        <v>ASHP-SEER18_ROF_MF</v>
      </c>
      <c r="G1980" s="2676"/>
      <c r="H1980" s="2676"/>
      <c r="I1980" s="2677"/>
      <c r="J1980" s="3299" t="str">
        <f>$C$1765</f>
        <v>355000_2019_12_</v>
      </c>
      <c r="K1980" s="2551">
        <v>39600</v>
      </c>
      <c r="L1980" s="3072">
        <f t="shared" si="200"/>
        <v>3.3</v>
      </c>
      <c r="M1980" s="2278" t="s">
        <v>1556</v>
      </c>
      <c r="N1980" s="123"/>
      <c r="O1980" s="228"/>
      <c r="P1980" s="844"/>
      <c r="Q1980" s="845"/>
      <c r="R1980" s="844"/>
      <c r="S1980" s="832"/>
      <c r="T1980" s="3082"/>
      <c r="U1980" s="123"/>
      <c r="V1980" s="3990"/>
      <c r="W1980" s="2857">
        <v>39600</v>
      </c>
      <c r="X1980" s="2857">
        <v>39600</v>
      </c>
      <c r="Y1980" s="2857">
        <v>39600</v>
      </c>
      <c r="Z1980" s="2857">
        <v>39600</v>
      </c>
      <c r="AA1980" s="2857">
        <v>39600</v>
      </c>
      <c r="AB1980" s="2855">
        <v>39600</v>
      </c>
      <c r="AC1980" s="2551">
        <v>39600</v>
      </c>
      <c r="AD1980" s="2857"/>
      <c r="AE1980" s="2857"/>
      <c r="AF1980" s="2857"/>
      <c r="AG1980" s="2857"/>
      <c r="AH1980" s="1942"/>
      <c r="AI1980" s="1942"/>
      <c r="AJ1980" s="1942"/>
      <c r="AK1980" s="1942"/>
      <c r="AL1980" s="1942"/>
      <c r="AM1980" s="1942"/>
      <c r="AN1980" s="1942"/>
      <c r="AO1980" s="1942"/>
      <c r="AP1980" s="1942"/>
      <c r="AQ1980" s="1942"/>
      <c r="AR1980" s="1942"/>
      <c r="AS1980" s="1942"/>
      <c r="AT1980" s="1942"/>
      <c r="AU1980" s="1942"/>
      <c r="AV1980" s="1942"/>
      <c r="AW1980" s="1942"/>
      <c r="AX1980" s="1942"/>
      <c r="AY1980" s="1942"/>
      <c r="AZ1980" s="1942"/>
      <c r="BA1980" s="1942"/>
      <c r="BB1980" s="575"/>
      <c r="BC1980" s="576"/>
      <c r="BD1980" s="678"/>
      <c r="BE1980" s="585"/>
    </row>
    <row r="1981" spans="1:57" s="51" customFormat="1" ht="15" hidden="1" customHeight="1" outlineLevel="1" x14ac:dyDescent="0.25">
      <c r="A1981" s="2060"/>
      <c r="B1981" s="123"/>
      <c r="C1981" s="328"/>
      <c r="D1981" s="3990"/>
      <c r="E1981" s="4009"/>
      <c r="F1981" s="3010" t="str">
        <f>$E$1767</f>
        <v>ASHP-SEER18_ROF_MF_CompE</v>
      </c>
      <c r="G1981" s="2676"/>
      <c r="H1981" s="2676"/>
      <c r="I1981" s="2677"/>
      <c r="J1981" s="3299" t="str">
        <f>$C$1767</f>
        <v>355001_2021_12_</v>
      </c>
      <c r="K1981" s="2551">
        <f>K1980</f>
        <v>39600</v>
      </c>
      <c r="L1981" s="3072">
        <f t="shared" si="200"/>
        <v>3.3</v>
      </c>
      <c r="M1981" s="2278"/>
      <c r="N1981" s="123"/>
      <c r="O1981" s="228"/>
      <c r="P1981" s="844"/>
      <c r="Q1981" s="845"/>
      <c r="R1981" s="844"/>
      <c r="S1981" s="832"/>
      <c r="T1981" s="3082"/>
      <c r="U1981" s="123"/>
      <c r="V1981" s="3990"/>
      <c r="W1981" s="2857"/>
      <c r="X1981" s="2857"/>
      <c r="Y1981" s="3155">
        <v>39600</v>
      </c>
      <c r="Z1981" s="2857">
        <v>39600</v>
      </c>
      <c r="AA1981" s="2857">
        <v>39600</v>
      </c>
      <c r="AB1981" s="2855">
        <v>39600</v>
      </c>
      <c r="AC1981" s="2551">
        <f>AC1980</f>
        <v>39600</v>
      </c>
      <c r="AD1981" s="2857"/>
      <c r="AE1981" s="2857"/>
      <c r="AF1981" s="2857"/>
      <c r="AG1981" s="2857"/>
      <c r="AH1981" s="1942"/>
      <c r="AI1981" s="1942"/>
      <c r="AJ1981" s="1942"/>
      <c r="AK1981" s="1942"/>
      <c r="AL1981" s="1942"/>
      <c r="AM1981" s="1942"/>
      <c r="AN1981" s="1942"/>
      <c r="AO1981" s="1942"/>
      <c r="AP1981" s="1942"/>
      <c r="AQ1981" s="1942"/>
      <c r="AR1981" s="1942"/>
      <c r="AS1981" s="1942"/>
      <c r="AT1981" s="1942"/>
      <c r="AU1981" s="1942"/>
      <c r="AV1981" s="1942"/>
      <c r="AW1981" s="1942"/>
      <c r="AX1981" s="1942"/>
      <c r="AY1981" s="1942"/>
      <c r="AZ1981" s="1942"/>
      <c r="BA1981" s="1942"/>
      <c r="BB1981" s="575"/>
      <c r="BC1981" s="576"/>
      <c r="BD1981" s="678"/>
      <c r="BE1981" s="585"/>
    </row>
    <row r="1982" spans="1:57" s="51" customFormat="1" ht="15" hidden="1" customHeight="1" outlineLevel="1" x14ac:dyDescent="0.25">
      <c r="A1982" s="2060"/>
      <c r="B1982" s="123"/>
      <c r="C1982" s="328"/>
      <c r="D1982" s="3990"/>
      <c r="E1982" s="4009"/>
      <c r="F1982" s="3010" t="str">
        <f>$E$1769</f>
        <v>ASHP-SEER19_ROF_MF</v>
      </c>
      <c r="G1982" s="2676"/>
      <c r="H1982" s="2676"/>
      <c r="I1982" s="2677"/>
      <c r="J1982" s="3299" t="str">
        <f>$C$1769</f>
        <v>355050_2019_12_</v>
      </c>
      <c r="K1982" s="2551">
        <v>39600</v>
      </c>
      <c r="L1982" s="3072">
        <f t="shared" si="200"/>
        <v>3.3</v>
      </c>
      <c r="M1982" s="2278" t="s">
        <v>1556</v>
      </c>
      <c r="N1982" s="123"/>
      <c r="O1982" s="228"/>
      <c r="P1982" s="844"/>
      <c r="Q1982" s="845"/>
      <c r="R1982" s="844"/>
      <c r="S1982" s="832"/>
      <c r="T1982" s="3082"/>
      <c r="U1982" s="123"/>
      <c r="V1982" s="3990"/>
      <c r="W1982" s="2857">
        <v>39600</v>
      </c>
      <c r="X1982" s="2857">
        <v>39600</v>
      </c>
      <c r="Y1982" s="2857">
        <v>39600</v>
      </c>
      <c r="Z1982" s="2857">
        <v>39600</v>
      </c>
      <c r="AA1982" s="2857">
        <v>39600</v>
      </c>
      <c r="AB1982" s="2855">
        <v>39600</v>
      </c>
      <c r="AC1982" s="2551">
        <v>39600</v>
      </c>
      <c r="AD1982" s="2857"/>
      <c r="AE1982" s="2857"/>
      <c r="AF1982" s="2857"/>
      <c r="AG1982" s="2857"/>
      <c r="AH1982" s="1942"/>
      <c r="AI1982" s="1942"/>
      <c r="AJ1982" s="1942"/>
      <c r="AK1982" s="1942"/>
      <c r="AL1982" s="1942"/>
      <c r="AM1982" s="1942"/>
      <c r="AN1982" s="1942"/>
      <c r="AO1982" s="1942"/>
      <c r="AP1982" s="1942"/>
      <c r="AQ1982" s="1942"/>
      <c r="AR1982" s="1942"/>
      <c r="AS1982" s="1942"/>
      <c r="AT1982" s="1942"/>
      <c r="AU1982" s="1942"/>
      <c r="AV1982" s="1942"/>
      <c r="AW1982" s="1942"/>
      <c r="AX1982" s="1942"/>
      <c r="AY1982" s="1942"/>
      <c r="AZ1982" s="1942"/>
      <c r="BA1982" s="1942"/>
      <c r="BB1982" s="575"/>
      <c r="BC1982" s="576"/>
      <c r="BD1982" s="678"/>
      <c r="BE1982" s="585"/>
    </row>
    <row r="1983" spans="1:57" s="51" customFormat="1" ht="15" hidden="1" customHeight="1" outlineLevel="1" x14ac:dyDescent="0.25">
      <c r="A1983" s="2060"/>
      <c r="B1983" s="123"/>
      <c r="C1983" s="328"/>
      <c r="D1983" s="3990"/>
      <c r="E1983" s="4009"/>
      <c r="F1983" s="3010" t="str">
        <f>$E$1771</f>
        <v>ASHP-SEER19_ROF_MF_CompE</v>
      </c>
      <c r="G1983" s="2676"/>
      <c r="H1983" s="2676"/>
      <c r="I1983" s="2677"/>
      <c r="J1983" s="3299" t="str">
        <f>$C$1771</f>
        <v>355051_2019_12_</v>
      </c>
      <c r="K1983" s="2551">
        <f>K1982</f>
        <v>39600</v>
      </c>
      <c r="L1983" s="3072">
        <f t="shared" si="200"/>
        <v>3.3</v>
      </c>
      <c r="M1983" s="2278"/>
      <c r="N1983" s="123"/>
      <c r="O1983" s="228"/>
      <c r="P1983" s="844"/>
      <c r="Q1983" s="845"/>
      <c r="R1983" s="844"/>
      <c r="S1983" s="832"/>
      <c r="T1983" s="3082"/>
      <c r="U1983" s="123"/>
      <c r="V1983" s="3990"/>
      <c r="W1983" s="2857"/>
      <c r="X1983" s="2857"/>
      <c r="Y1983" s="3155">
        <v>39600</v>
      </c>
      <c r="Z1983" s="2857">
        <v>39600</v>
      </c>
      <c r="AA1983" s="2857">
        <v>39600</v>
      </c>
      <c r="AB1983" s="2855">
        <v>39600</v>
      </c>
      <c r="AC1983" s="2551">
        <f>AC1982</f>
        <v>39600</v>
      </c>
      <c r="AD1983" s="2857"/>
      <c r="AE1983" s="2857"/>
      <c r="AF1983" s="2857"/>
      <c r="AG1983" s="2857"/>
      <c r="AH1983" s="1942"/>
      <c r="AI1983" s="1942"/>
      <c r="AJ1983" s="1942"/>
      <c r="AK1983" s="1942"/>
      <c r="AL1983" s="1942"/>
      <c r="AM1983" s="1942"/>
      <c r="AN1983" s="1942"/>
      <c r="AO1983" s="1942"/>
      <c r="AP1983" s="1942"/>
      <c r="AQ1983" s="1942"/>
      <c r="AR1983" s="1942"/>
      <c r="AS1983" s="1942"/>
      <c r="AT1983" s="1942"/>
      <c r="AU1983" s="1942"/>
      <c r="AV1983" s="1942"/>
      <c r="AW1983" s="1942"/>
      <c r="AX1983" s="1942"/>
      <c r="AY1983" s="1942"/>
      <c r="AZ1983" s="1942"/>
      <c r="BA1983" s="1942"/>
      <c r="BB1983" s="575"/>
      <c r="BC1983" s="576"/>
      <c r="BD1983" s="678"/>
      <c r="BE1983" s="585"/>
    </row>
    <row r="1984" spans="1:57" s="51" customFormat="1" ht="15" hidden="1" customHeight="1" outlineLevel="1" x14ac:dyDescent="0.25">
      <c r="A1984" s="1267"/>
      <c r="B1984" s="123"/>
      <c r="C1984" s="328"/>
      <c r="D1984" s="3990"/>
      <c r="E1984" s="4009"/>
      <c r="F1984" s="3010" t="str">
        <f>$E$1773</f>
        <v>ASHP-SEER20_ROF_MF</v>
      </c>
      <c r="G1984" s="2676"/>
      <c r="H1984" s="2676"/>
      <c r="I1984" s="2677"/>
      <c r="J1984" s="3299" t="str">
        <f>$C$1773</f>
        <v>355100_2019_12_</v>
      </c>
      <c r="K1984" s="2551">
        <v>39600</v>
      </c>
      <c r="L1984" s="3072">
        <f t="shared" si="200"/>
        <v>3.3</v>
      </c>
      <c r="M1984" s="2278" t="s">
        <v>1556</v>
      </c>
      <c r="N1984" s="123"/>
      <c r="O1984" s="228"/>
      <c r="P1984" s="228"/>
      <c r="Q1984" s="228"/>
      <c r="R1984" s="228"/>
      <c r="S1984" s="123"/>
      <c r="T1984" s="123"/>
      <c r="U1984" s="123"/>
      <c r="V1984" s="3990"/>
      <c r="W1984" s="2857">
        <v>39600</v>
      </c>
      <c r="X1984" s="2857">
        <v>39600</v>
      </c>
      <c r="Y1984" s="2857">
        <v>39600</v>
      </c>
      <c r="Z1984" s="2857">
        <v>39600</v>
      </c>
      <c r="AA1984" s="2857">
        <v>39600</v>
      </c>
      <c r="AB1984" s="2855">
        <v>39600</v>
      </c>
      <c r="AC1984" s="2551">
        <v>39600</v>
      </c>
      <c r="AD1984" s="2857"/>
      <c r="AE1984" s="2857"/>
      <c r="AF1984" s="2857"/>
      <c r="AG1984" s="2857"/>
      <c r="AH1984" s="1942"/>
      <c r="AI1984" s="1942"/>
      <c r="AJ1984" s="1942"/>
      <c r="AK1984" s="1942"/>
      <c r="AL1984" s="1942"/>
      <c r="AM1984" s="1942"/>
      <c r="AN1984" s="1942"/>
      <c r="AO1984" s="1942"/>
      <c r="AP1984" s="1942"/>
      <c r="AQ1984" s="1942"/>
      <c r="AR1984" s="1942"/>
      <c r="AS1984" s="1942"/>
      <c r="AT1984" s="1942"/>
      <c r="AU1984" s="1942"/>
      <c r="AV1984" s="1942"/>
      <c r="AW1984" s="1942"/>
      <c r="AX1984" s="1942"/>
      <c r="AY1984" s="1942"/>
      <c r="AZ1984" s="1942"/>
      <c r="BA1984" s="1942"/>
      <c r="BB1984" s="575"/>
      <c r="BC1984" s="576"/>
      <c r="BD1984" s="678"/>
      <c r="BE1984" s="585"/>
    </row>
    <row r="1985" spans="1:57" s="51" customFormat="1" ht="15" hidden="1" customHeight="1" outlineLevel="1" x14ac:dyDescent="0.25">
      <c r="A1985" s="1267"/>
      <c r="B1985" s="123"/>
      <c r="C1985" s="328"/>
      <c r="D1985" s="3990"/>
      <c r="E1985" s="4009"/>
      <c r="F1985" s="3010" t="str">
        <f>$E$1775</f>
        <v>ASHP-SEER20_ROF_MF_CompE</v>
      </c>
      <c r="G1985" s="2676"/>
      <c r="H1985" s="2676"/>
      <c r="I1985" s="2677"/>
      <c r="J1985" s="3299" t="str">
        <f>$C$1775</f>
        <v>355101_2019_12_</v>
      </c>
      <c r="K1985" s="2551">
        <f>K1984</f>
        <v>39600</v>
      </c>
      <c r="L1985" s="3072">
        <f t="shared" si="200"/>
        <v>3.3</v>
      </c>
      <c r="M1985" s="2279"/>
      <c r="N1985" s="123"/>
      <c r="O1985" s="228"/>
      <c r="P1985" s="228"/>
      <c r="Q1985" s="228"/>
      <c r="R1985" s="228"/>
      <c r="S1985" s="123"/>
      <c r="T1985" s="123"/>
      <c r="U1985" s="123"/>
      <c r="V1985" s="3990"/>
      <c r="W1985" s="693"/>
      <c r="X1985" s="693"/>
      <c r="Y1985" s="3155">
        <v>39600</v>
      </c>
      <c r="Z1985" s="2857">
        <v>39600</v>
      </c>
      <c r="AA1985" s="2857">
        <v>39600</v>
      </c>
      <c r="AB1985" s="2855">
        <v>39600</v>
      </c>
      <c r="AC1985" s="2551">
        <f>AC1984</f>
        <v>39600</v>
      </c>
      <c r="AD1985" s="693"/>
      <c r="AE1985" s="693"/>
      <c r="AF1985" s="693"/>
      <c r="AG1985" s="693"/>
      <c r="AH1985" s="1942"/>
      <c r="AI1985" s="1942"/>
      <c r="AJ1985" s="1942"/>
      <c r="AK1985" s="1942"/>
      <c r="AL1985" s="1942"/>
      <c r="AM1985" s="1942"/>
      <c r="AN1985" s="1942"/>
      <c r="AO1985" s="1942"/>
      <c r="AP1985" s="1942"/>
      <c r="AQ1985" s="1942"/>
      <c r="AR1985" s="1942"/>
      <c r="AS1985" s="1942"/>
      <c r="AT1985" s="1942"/>
      <c r="AU1985" s="1942"/>
      <c r="AV1985" s="1942"/>
      <c r="AW1985" s="1942"/>
      <c r="AX1985" s="1942"/>
      <c r="AY1985" s="1942"/>
      <c r="AZ1985" s="1942"/>
      <c r="BA1985" s="1942"/>
      <c r="BB1985" s="575"/>
      <c r="BC1985" s="576"/>
      <c r="BD1985" s="678"/>
      <c r="BE1985" s="585"/>
    </row>
    <row r="1986" spans="1:57" s="51" customFormat="1" ht="15.75" hidden="1" customHeight="1" outlineLevel="1" x14ac:dyDescent="0.25">
      <c r="A1986" s="1267"/>
      <c r="B1986" s="123"/>
      <c r="C1986" s="328"/>
      <c r="D1986" s="3990"/>
      <c r="E1986" s="4009"/>
      <c r="F1986" s="3010" t="str">
        <f>$E$1777</f>
        <v>ASHP-SEER21_ROF_MF</v>
      </c>
      <c r="G1986" s="2676"/>
      <c r="H1986" s="2676"/>
      <c r="I1986" s="2677"/>
      <c r="J1986" s="3299" t="str">
        <f>$C$1777</f>
        <v>355150_2019_12_</v>
      </c>
      <c r="K1986" s="2551">
        <v>39600</v>
      </c>
      <c r="L1986" s="3072">
        <f t="shared" si="200"/>
        <v>3.3</v>
      </c>
      <c r="M1986" s="2278" t="s">
        <v>1556</v>
      </c>
      <c r="N1986" s="123"/>
      <c r="O1986" s="228"/>
      <c r="P1986" s="228"/>
      <c r="Q1986" s="228"/>
      <c r="R1986" s="228"/>
      <c r="S1986" s="123"/>
      <c r="T1986" s="123"/>
      <c r="U1986" s="123"/>
      <c r="V1986" s="3990"/>
      <c r="W1986" s="2857">
        <v>39600</v>
      </c>
      <c r="X1986" s="2857">
        <v>39600</v>
      </c>
      <c r="Y1986" s="2857">
        <v>39600</v>
      </c>
      <c r="Z1986" s="2857">
        <v>39600</v>
      </c>
      <c r="AA1986" s="2857">
        <v>39600</v>
      </c>
      <c r="AB1986" s="2855">
        <v>39600</v>
      </c>
      <c r="AC1986" s="2551">
        <v>39600</v>
      </c>
      <c r="AD1986" s="2857"/>
      <c r="AE1986" s="2857"/>
      <c r="AF1986" s="2857"/>
      <c r="AG1986" s="2857"/>
      <c r="AH1986" s="1942"/>
      <c r="AI1986" s="1942"/>
      <c r="AJ1986" s="1942"/>
      <c r="AK1986" s="1942"/>
      <c r="AL1986" s="1942"/>
      <c r="AM1986" s="1942"/>
      <c r="AN1986" s="1942"/>
      <c r="AO1986" s="1942"/>
      <c r="AP1986" s="1942"/>
      <c r="AQ1986" s="1942"/>
      <c r="AR1986" s="1942"/>
      <c r="AS1986" s="1942"/>
      <c r="AT1986" s="1942"/>
      <c r="AU1986" s="1942"/>
      <c r="AV1986" s="1942"/>
      <c r="AW1986" s="1942"/>
      <c r="AX1986" s="1942"/>
      <c r="AY1986" s="1942"/>
      <c r="AZ1986" s="1942"/>
      <c r="BA1986" s="1942"/>
      <c r="BB1986" s="575"/>
      <c r="BC1986" s="576"/>
      <c r="BD1986" s="678"/>
      <c r="BE1986" s="585"/>
    </row>
    <row r="1987" spans="1:57" s="51" customFormat="1" ht="15.75" hidden="1" customHeight="1" outlineLevel="1" thickBot="1" x14ac:dyDescent="0.3">
      <c r="A1987" s="1267"/>
      <c r="B1987" s="123"/>
      <c r="C1987" s="328"/>
      <c r="D1987" s="4035"/>
      <c r="E1987" s="4036"/>
      <c r="F1987" s="3012" t="str">
        <f>$E$1779</f>
        <v>ASHP-SEER21_ROF_MF_CompE</v>
      </c>
      <c r="G1987" s="847"/>
      <c r="H1987" s="847"/>
      <c r="I1987" s="848"/>
      <c r="J1987" s="2607" t="str">
        <f>$C$1779</f>
        <v>355151_2019_12_</v>
      </c>
      <c r="K1987" s="2551">
        <f>K1986</f>
        <v>39600</v>
      </c>
      <c r="L1987" s="3072">
        <f t="shared" si="200"/>
        <v>3.3</v>
      </c>
      <c r="M1987" s="2280"/>
      <c r="N1987" s="123"/>
      <c r="O1987" s="228"/>
      <c r="P1987" s="228"/>
      <c r="Q1987" s="228"/>
      <c r="R1987" s="228"/>
      <c r="S1987" s="123"/>
      <c r="T1987" s="123"/>
      <c r="U1987" s="123"/>
      <c r="V1987" s="4035"/>
      <c r="W1987" s="695"/>
      <c r="X1987" s="695"/>
      <c r="Y1987" s="3158">
        <v>39600</v>
      </c>
      <c r="Z1987" s="696">
        <v>39600</v>
      </c>
      <c r="AA1987" s="696">
        <v>39600</v>
      </c>
      <c r="AB1987" s="2855">
        <v>39600</v>
      </c>
      <c r="AC1987" s="2551">
        <f>AC1986</f>
        <v>39600</v>
      </c>
      <c r="AD1987" s="695"/>
      <c r="AE1987" s="695"/>
      <c r="AF1987" s="695"/>
      <c r="AG1987" s="695"/>
      <c r="AH1987" s="1942"/>
      <c r="AI1987" s="1942"/>
      <c r="AJ1987" s="1942"/>
      <c r="AK1987" s="1942"/>
      <c r="AL1987" s="1942"/>
      <c r="AM1987" s="1942"/>
      <c r="AN1987" s="1942"/>
      <c r="AO1987" s="1942"/>
      <c r="AP1987" s="1942"/>
      <c r="AQ1987" s="1942"/>
      <c r="AR1987" s="1942"/>
      <c r="AS1987" s="1942"/>
      <c r="AT1987" s="1942"/>
      <c r="AU1987" s="1942"/>
      <c r="AV1987" s="1942"/>
      <c r="AW1987" s="1942"/>
      <c r="AX1987" s="1942"/>
      <c r="AY1987" s="1942"/>
      <c r="AZ1987" s="1942"/>
      <c r="BA1987" s="1942"/>
      <c r="BB1987" s="575"/>
      <c r="BC1987" s="576"/>
      <c r="BD1987" s="678"/>
      <c r="BE1987" s="585"/>
    </row>
    <row r="1988" spans="1:57" s="51" customFormat="1" ht="15" hidden="1" customHeight="1" outlineLevel="1" thickBot="1" x14ac:dyDescent="0.3">
      <c r="A1988" s="1267"/>
      <c r="B1988" s="123"/>
      <c r="C1988" s="328"/>
      <c r="D1988" s="3989" t="s">
        <v>1150</v>
      </c>
      <c r="E1988" s="4008" t="s">
        <v>1151</v>
      </c>
      <c r="F1988" s="3009" t="str">
        <f>$E$1407</f>
        <v>ASHP-SEER15-Replace_CAC_ElectricHeat_ER1_SF</v>
      </c>
      <c r="G1988" s="2675"/>
      <c r="H1988" s="2675"/>
      <c r="I1988" s="2675"/>
      <c r="J1988" s="3297" t="str">
        <f>$C$1407</f>
        <v>352300_2021_12_</v>
      </c>
      <c r="K1988" s="2861">
        <v>1496</v>
      </c>
      <c r="L1988" s="745"/>
      <c r="M1988" s="849" t="s">
        <v>1557</v>
      </c>
      <c r="N1988" s="123"/>
      <c r="O1988" s="228"/>
      <c r="P1988" s="228"/>
      <c r="Q1988" s="228"/>
      <c r="R1988" s="228"/>
      <c r="S1988" s="123"/>
      <c r="T1988" s="123"/>
      <c r="U1988" s="123"/>
      <c r="V1988" s="3989" t="s">
        <v>1150</v>
      </c>
      <c r="W1988" s="2861">
        <v>2009</v>
      </c>
      <c r="X1988" s="3157">
        <v>1496</v>
      </c>
      <c r="Y1988" s="2861">
        <v>1496</v>
      </c>
      <c r="Z1988" s="2861">
        <v>1496</v>
      </c>
      <c r="AA1988" s="2861">
        <v>1496</v>
      </c>
      <c r="AB1988" s="2861">
        <v>1496</v>
      </c>
      <c r="AC1988" s="2861">
        <v>1496</v>
      </c>
      <c r="AD1988" s="2861"/>
      <c r="AE1988" s="2861"/>
      <c r="AF1988" s="2861"/>
      <c r="AG1988" s="2861"/>
      <c r="AH1988" s="1942"/>
      <c r="AI1988" s="1942"/>
      <c r="AJ1988" s="1942"/>
      <c r="AK1988" s="1942"/>
      <c r="AL1988" s="1942"/>
      <c r="AM1988" s="1942"/>
      <c r="AN1988" s="1942"/>
      <c r="AO1988" s="1942"/>
      <c r="AP1988" s="1942"/>
      <c r="AQ1988" s="1942"/>
      <c r="AR1988" s="1942"/>
      <c r="AS1988" s="1942"/>
      <c r="AT1988" s="1942"/>
      <c r="AU1988" s="1942"/>
      <c r="AV1988" s="1942"/>
      <c r="AW1988" s="1942"/>
      <c r="AX1988" s="1942"/>
      <c r="AY1988" s="1942"/>
      <c r="AZ1988" s="1942"/>
      <c r="BA1988" s="1942"/>
      <c r="BB1988" s="575"/>
      <c r="BC1988" s="576"/>
      <c r="BD1988" s="678"/>
      <c r="BE1988" s="585"/>
    </row>
    <row r="1989" spans="1:57" s="51" customFormat="1" ht="15" hidden="1" customHeight="1" outlineLevel="1" x14ac:dyDescent="0.25">
      <c r="A1989" s="1267"/>
      <c r="B1989" s="123"/>
      <c r="C1989" s="328"/>
      <c r="D1989" s="3990"/>
      <c r="E1989" s="4009"/>
      <c r="F1989" s="3010" t="str">
        <f>$E$1409</f>
        <v>ASHP-SEER15-Replace_CAC_ElectricHeat_ER2_SF</v>
      </c>
      <c r="G1989" s="2676"/>
      <c r="H1989" s="2676"/>
      <c r="I1989" s="2677"/>
      <c r="J1989" s="3298" t="str">
        <f>$C$1409</f>
        <v>352300_2021_12_</v>
      </c>
      <c r="K1989" s="2857">
        <v>1496</v>
      </c>
      <c r="L1989" s="850"/>
      <c r="M1989" s="1595"/>
      <c r="N1989" s="123"/>
      <c r="O1989" s="228"/>
      <c r="P1989" s="228"/>
      <c r="Q1989" s="228"/>
      <c r="R1989" s="228"/>
      <c r="S1989" s="123"/>
      <c r="T1989" s="123"/>
      <c r="U1989" s="123"/>
      <c r="V1989" s="3990"/>
      <c r="W1989" s="2857">
        <v>2009</v>
      </c>
      <c r="X1989" s="3157">
        <v>1496</v>
      </c>
      <c r="Y1989" s="2857">
        <v>1496</v>
      </c>
      <c r="Z1989" s="2857">
        <v>1496</v>
      </c>
      <c r="AA1989" s="2857">
        <v>1496</v>
      </c>
      <c r="AB1989" s="2857">
        <v>1496</v>
      </c>
      <c r="AC1989" s="2857">
        <v>1496</v>
      </c>
      <c r="AD1989" s="2857"/>
      <c r="AE1989" s="2857"/>
      <c r="AF1989" s="2857"/>
      <c r="AG1989" s="2857"/>
      <c r="AH1989" s="1942"/>
      <c r="AI1989" s="1942"/>
      <c r="AJ1989" s="1942"/>
      <c r="AK1989" s="1942"/>
      <c r="AL1989" s="1942"/>
      <c r="AM1989" s="1942"/>
      <c r="AN1989" s="1942"/>
      <c r="AO1989" s="1942"/>
      <c r="AP1989" s="1942"/>
      <c r="AQ1989" s="1942"/>
      <c r="AR1989" s="1942"/>
      <c r="AS1989" s="1942"/>
      <c r="AT1989" s="1942"/>
      <c r="AU1989" s="1942"/>
      <c r="AV1989" s="1942"/>
      <c r="AW1989" s="1942"/>
      <c r="AX1989" s="1942"/>
      <c r="AY1989" s="1942"/>
      <c r="AZ1989" s="1942"/>
      <c r="BA1989" s="1942"/>
      <c r="BB1989" s="575"/>
      <c r="BC1989" s="576"/>
      <c r="BD1989" s="678"/>
      <c r="BE1989" s="585"/>
    </row>
    <row r="1990" spans="1:57" s="1942" customFormat="1" ht="15" hidden="1" customHeight="1" outlineLevel="1" x14ac:dyDescent="0.25">
      <c r="A1990" s="1267"/>
      <c r="B1990" s="123"/>
      <c r="C1990" s="328"/>
      <c r="D1990" s="3990"/>
      <c r="E1990" s="4009"/>
      <c r="F1990" s="3010" t="str">
        <f>$E$1411</f>
        <v>ASHP-SEER15-Replace_CAC_NonElectricHeat_ER1_SF</v>
      </c>
      <c r="G1990" s="2676"/>
      <c r="H1990" s="2676"/>
      <c r="I1990" s="2677"/>
      <c r="J1990" s="3298" t="str">
        <f>$C$1411</f>
        <v>352310_2021_12_</v>
      </c>
      <c r="K1990" s="2225">
        <v>1496</v>
      </c>
      <c r="L1990" s="850"/>
      <c r="M1990" s="1595"/>
      <c r="N1990" s="123"/>
      <c r="O1990" s="228"/>
      <c r="P1990" s="228"/>
      <c r="Q1990" s="228"/>
      <c r="R1990" s="228"/>
      <c r="S1990" s="123"/>
      <c r="T1990" s="123"/>
      <c r="U1990" s="123"/>
      <c r="V1990" s="3990"/>
      <c r="W1990" s="2857"/>
      <c r="X1990" s="3158"/>
      <c r="Y1990" s="2857"/>
      <c r="Z1990" s="2857"/>
      <c r="AA1990" s="2857"/>
      <c r="AB1990" s="2857"/>
      <c r="AC1990" s="2225">
        <v>1496</v>
      </c>
      <c r="AD1990" s="2857"/>
      <c r="AE1990" s="2857"/>
      <c r="AF1990" s="2857"/>
      <c r="AG1990" s="2857"/>
      <c r="BB1990" s="575"/>
      <c r="BC1990" s="576"/>
      <c r="BD1990" s="678"/>
      <c r="BE1990" s="585"/>
    </row>
    <row r="1991" spans="1:57" s="1942" customFormat="1" ht="15" hidden="1" customHeight="1" outlineLevel="1" x14ac:dyDescent="0.25">
      <c r="A1991" s="1267"/>
      <c r="B1991" s="123"/>
      <c r="C1991" s="328"/>
      <c r="D1991" s="3990"/>
      <c r="E1991" s="4009"/>
      <c r="F1991" s="3010" t="str">
        <f>$E$1413</f>
        <v>ASHP-SEER15-Replace_CAC_NonElectricHeat_ER2_SF</v>
      </c>
      <c r="G1991" s="2676"/>
      <c r="H1991" s="2676"/>
      <c r="I1991" s="2677"/>
      <c r="J1991" s="3298" t="str">
        <f>$C$1413</f>
        <v>352310_2021_12_</v>
      </c>
      <c r="K1991" s="2225">
        <v>1496</v>
      </c>
      <c r="L1991" s="850"/>
      <c r="M1991" s="1595"/>
      <c r="N1991" s="123"/>
      <c r="O1991" s="228"/>
      <c r="P1991" s="228"/>
      <c r="Q1991" s="228"/>
      <c r="R1991" s="228"/>
      <c r="S1991" s="123"/>
      <c r="T1991" s="123"/>
      <c r="U1991" s="123"/>
      <c r="V1991" s="3990"/>
      <c r="W1991" s="2857"/>
      <c r="X1991" s="3158"/>
      <c r="Y1991" s="2857"/>
      <c r="Z1991" s="2857"/>
      <c r="AA1991" s="2857"/>
      <c r="AB1991" s="2857"/>
      <c r="AC1991" s="2225">
        <v>1496</v>
      </c>
      <c r="AD1991" s="2857"/>
      <c r="AE1991" s="2857"/>
      <c r="AF1991" s="2857"/>
      <c r="AG1991" s="2857"/>
      <c r="BB1991" s="575"/>
      <c r="BC1991" s="576"/>
      <c r="BD1991" s="678"/>
      <c r="BE1991" s="585"/>
    </row>
    <row r="1992" spans="1:57" s="51" customFormat="1" ht="15" hidden="1" customHeight="1" outlineLevel="1" x14ac:dyDescent="0.25">
      <c r="A1992" s="1267"/>
      <c r="B1992" s="123"/>
      <c r="C1992" s="328"/>
      <c r="D1992" s="3990"/>
      <c r="E1992" s="4009"/>
      <c r="F1992" s="3010" t="str">
        <f>$E$1415</f>
        <v>ASHP-SEER15_ER1_SF</v>
      </c>
      <c r="G1992" s="2676"/>
      <c r="H1992" s="2676"/>
      <c r="I1992" s="2677"/>
      <c r="J1992" s="3298" t="str">
        <f>$C$1415</f>
        <v>352350_2021_12_</v>
      </c>
      <c r="K1992" s="2857">
        <v>1496</v>
      </c>
      <c r="L1992" s="850"/>
      <c r="M1992" s="1595"/>
      <c r="N1992" s="123"/>
      <c r="O1992" s="228"/>
      <c r="P1992" s="228"/>
      <c r="Q1992" s="228"/>
      <c r="R1992" s="228"/>
      <c r="S1992" s="123"/>
      <c r="T1992" s="123"/>
      <c r="U1992" s="123"/>
      <c r="V1992" s="3990"/>
      <c r="W1992" s="2857">
        <v>2009</v>
      </c>
      <c r="X1992" s="3155">
        <v>1496</v>
      </c>
      <c r="Y1992" s="2857">
        <v>1496</v>
      </c>
      <c r="Z1992" s="2857">
        <v>1496</v>
      </c>
      <c r="AA1992" s="2857">
        <v>1496</v>
      </c>
      <c r="AB1992" s="2857">
        <v>1496</v>
      </c>
      <c r="AC1992" s="2857">
        <v>1496</v>
      </c>
      <c r="AD1992" s="2857"/>
      <c r="AE1992" s="2857"/>
      <c r="AF1992" s="2857"/>
      <c r="AG1992" s="2857"/>
      <c r="AH1992" s="1942"/>
      <c r="AI1992" s="1942"/>
      <c r="AJ1992" s="1942"/>
      <c r="AK1992" s="1942"/>
      <c r="AL1992" s="1942"/>
      <c r="AM1992" s="1942"/>
      <c r="AN1992" s="1942"/>
      <c r="AO1992" s="1942"/>
      <c r="AP1992" s="1942"/>
      <c r="AQ1992" s="1942"/>
      <c r="AR1992" s="1942"/>
      <c r="AS1992" s="1942"/>
      <c r="AT1992" s="1942"/>
      <c r="AU1992" s="1942"/>
      <c r="AV1992" s="1942"/>
      <c r="AW1992" s="1942"/>
      <c r="AX1992" s="1942"/>
      <c r="AY1992" s="1942"/>
      <c r="AZ1992" s="1942"/>
      <c r="BA1992" s="1942"/>
      <c r="BB1992" s="575"/>
      <c r="BC1992" s="576"/>
      <c r="BD1992" s="678"/>
      <c r="BE1992" s="585"/>
    </row>
    <row r="1993" spans="1:57" s="51" customFormat="1" ht="15" hidden="1" customHeight="1" outlineLevel="1" x14ac:dyDescent="0.25">
      <c r="A1993" s="2060"/>
      <c r="B1993" s="123"/>
      <c r="C1993" s="328"/>
      <c r="D1993" s="3990"/>
      <c r="E1993" s="4009"/>
      <c r="F1993" s="3010" t="str">
        <f>$E$1417</f>
        <v>ASHP-SEER15_ER2_SF</v>
      </c>
      <c r="G1993" s="2676"/>
      <c r="H1993" s="2676"/>
      <c r="I1993" s="2677"/>
      <c r="J1993" s="3298" t="str">
        <f>$C$1417</f>
        <v>352350_2021_12_</v>
      </c>
      <c r="K1993" s="2857">
        <v>1496</v>
      </c>
      <c r="L1993" s="850"/>
      <c r="M1993" s="1595"/>
      <c r="N1993" s="123"/>
      <c r="O1993" s="228"/>
      <c r="P1993" s="844"/>
      <c r="Q1993" s="844"/>
      <c r="R1993" s="844"/>
      <c r="S1993" s="832"/>
      <c r="T1993" s="3082"/>
      <c r="U1993" s="123"/>
      <c r="V1993" s="3990"/>
      <c r="W1993" s="2857">
        <v>2009</v>
      </c>
      <c r="X1993" s="3155">
        <v>1496</v>
      </c>
      <c r="Y1993" s="2857">
        <v>1496</v>
      </c>
      <c r="Z1993" s="2857">
        <v>1496</v>
      </c>
      <c r="AA1993" s="2857">
        <v>1496</v>
      </c>
      <c r="AB1993" s="2857">
        <v>1496</v>
      </c>
      <c r="AC1993" s="2857">
        <v>1496</v>
      </c>
      <c r="AD1993" s="2857"/>
      <c r="AE1993" s="2857"/>
      <c r="AF1993" s="2857"/>
      <c r="AG1993" s="2857"/>
      <c r="AH1993" s="1942"/>
      <c r="AI1993" s="1942"/>
      <c r="AJ1993" s="1942"/>
      <c r="AK1993" s="1942"/>
      <c r="AL1993" s="1942"/>
      <c r="AM1993" s="1942"/>
      <c r="AN1993" s="1942"/>
      <c r="AO1993" s="1942"/>
      <c r="AP1993" s="1942"/>
      <c r="AQ1993" s="1942"/>
      <c r="AR1993" s="1942"/>
      <c r="AS1993" s="1942"/>
      <c r="AT1993" s="1942"/>
      <c r="AU1993" s="1942"/>
      <c r="AV1993" s="1942"/>
      <c r="AW1993" s="1942"/>
      <c r="AX1993" s="1942"/>
      <c r="AY1993" s="1942"/>
      <c r="AZ1993" s="1942"/>
      <c r="BA1993" s="1942"/>
      <c r="BB1993" s="575"/>
      <c r="BC1993" s="576"/>
      <c r="BD1993" s="678"/>
      <c r="BE1993" s="585"/>
    </row>
    <row r="1994" spans="1:57" s="51" customFormat="1" ht="15" hidden="1" customHeight="1" outlineLevel="1" x14ac:dyDescent="0.25">
      <c r="A1994" s="2060"/>
      <c r="B1994" s="123"/>
      <c r="C1994" s="328"/>
      <c r="D1994" s="3990"/>
      <c r="E1994" s="4009"/>
      <c r="F1994" s="3010" t="str">
        <f>$E$1419</f>
        <v>ASHP-SEER15-Replace_CAC_ElectricHeat_ROF_SF</v>
      </c>
      <c r="G1994" s="2676"/>
      <c r="H1994" s="2676"/>
      <c r="I1994" s="2677"/>
      <c r="J1994" s="3298" t="str">
        <f>$C$1419</f>
        <v>352400_2021_12_</v>
      </c>
      <c r="K1994" s="2857">
        <v>1496</v>
      </c>
      <c r="L1994" s="850"/>
      <c r="M1994" s="1595"/>
      <c r="N1994" s="123"/>
      <c r="O1994" s="228"/>
      <c r="P1994" s="844"/>
      <c r="Q1994" s="844"/>
      <c r="R1994" s="844"/>
      <c r="S1994" s="832"/>
      <c r="T1994" s="3082"/>
      <c r="U1994" s="123"/>
      <c r="V1994" s="3990"/>
      <c r="W1994" s="2857">
        <v>2009</v>
      </c>
      <c r="X1994" s="3155">
        <v>1496</v>
      </c>
      <c r="Y1994" s="2857">
        <v>1496</v>
      </c>
      <c r="Z1994" s="2857">
        <v>1496</v>
      </c>
      <c r="AA1994" s="2857">
        <v>1496</v>
      </c>
      <c r="AB1994" s="2857">
        <v>1496</v>
      </c>
      <c r="AC1994" s="2857">
        <v>1496</v>
      </c>
      <c r="AD1994" s="2857"/>
      <c r="AE1994" s="2857"/>
      <c r="AF1994" s="2857"/>
      <c r="AG1994" s="2857"/>
      <c r="AH1994" s="1942"/>
      <c r="AI1994" s="1942"/>
      <c r="AJ1994" s="1942"/>
      <c r="AK1994" s="1942"/>
      <c r="AL1994" s="1942"/>
      <c r="AM1994" s="1942"/>
      <c r="AN1994" s="1942"/>
      <c r="AO1994" s="1942"/>
      <c r="AP1994" s="1942"/>
      <c r="AQ1994" s="1942"/>
      <c r="AR1994" s="1942"/>
      <c r="AS1994" s="1942"/>
      <c r="AT1994" s="1942"/>
      <c r="AU1994" s="1942"/>
      <c r="AV1994" s="1942"/>
      <c r="AW1994" s="1942"/>
      <c r="AX1994" s="1942"/>
      <c r="AY1994" s="1942"/>
      <c r="AZ1994" s="1942"/>
      <c r="BA1994" s="1942"/>
      <c r="BB1994" s="575"/>
      <c r="BC1994" s="576"/>
      <c r="BD1994" s="678"/>
      <c r="BE1994" s="585"/>
    </row>
    <row r="1995" spans="1:57" s="1942" customFormat="1" ht="15" hidden="1" customHeight="1" outlineLevel="1" x14ac:dyDescent="0.25">
      <c r="A1995" s="2060"/>
      <c r="B1995" s="123"/>
      <c r="C1995" s="328"/>
      <c r="D1995" s="3990"/>
      <c r="E1995" s="4009"/>
      <c r="F1995" s="3010" t="str">
        <f>$E$1421</f>
        <v>ASHP-SEER15-Replace_CAC_NonElectricHeat_ROF_SF</v>
      </c>
      <c r="G1995" s="2676"/>
      <c r="H1995" s="2676"/>
      <c r="I1995" s="2677"/>
      <c r="J1995" s="3298" t="str">
        <f>$C$1421</f>
        <v>352410_2021_12_</v>
      </c>
      <c r="K1995" s="2225">
        <v>1496</v>
      </c>
      <c r="L1995" s="850"/>
      <c r="M1995" s="1595"/>
      <c r="N1995" s="123"/>
      <c r="O1995" s="228"/>
      <c r="P1995" s="844"/>
      <c r="Q1995" s="844"/>
      <c r="R1995" s="844"/>
      <c r="S1995" s="832"/>
      <c r="T1995" s="3082"/>
      <c r="U1995" s="123"/>
      <c r="V1995" s="3990"/>
      <c r="W1995" s="2857"/>
      <c r="X1995" s="3155"/>
      <c r="Y1995" s="2857"/>
      <c r="Z1995" s="2857"/>
      <c r="AA1995" s="2857"/>
      <c r="AB1995" s="2857"/>
      <c r="AC1995" s="2225">
        <v>1496</v>
      </c>
      <c r="AD1995" s="2857"/>
      <c r="AE1995" s="2857"/>
      <c r="AF1995" s="2857"/>
      <c r="AG1995" s="2857"/>
      <c r="BB1995" s="575"/>
      <c r="BC1995" s="576"/>
      <c r="BD1995" s="678"/>
      <c r="BE1995" s="585"/>
    </row>
    <row r="1996" spans="1:57" s="51" customFormat="1" ht="15" hidden="1" customHeight="1" outlineLevel="1" x14ac:dyDescent="0.25">
      <c r="A1996" s="2060"/>
      <c r="B1996" s="123"/>
      <c r="C1996" s="328"/>
      <c r="D1996" s="3990"/>
      <c r="E1996" s="4009"/>
      <c r="F1996" s="3010" t="str">
        <f>$E$1423</f>
        <v>ASHP-SEER15_ROF_SF</v>
      </c>
      <c r="G1996" s="2676"/>
      <c r="H1996" s="2676"/>
      <c r="I1996" s="2677"/>
      <c r="J1996" s="3298" t="str">
        <f>$C$1423</f>
        <v>352450_2021_12_</v>
      </c>
      <c r="K1996" s="2857">
        <v>1496</v>
      </c>
      <c r="L1996" s="850"/>
      <c r="M1996" s="1595"/>
      <c r="N1996" s="123"/>
      <c r="O1996" s="228"/>
      <c r="P1996" s="844"/>
      <c r="Q1996" s="844"/>
      <c r="R1996" s="844"/>
      <c r="S1996" s="832"/>
      <c r="T1996" s="3082"/>
      <c r="U1996" s="123"/>
      <c r="V1996" s="3990"/>
      <c r="W1996" s="2857">
        <v>2009</v>
      </c>
      <c r="X1996" s="3155">
        <v>1496</v>
      </c>
      <c r="Y1996" s="2857">
        <v>1496</v>
      </c>
      <c r="Z1996" s="2857">
        <v>1496</v>
      </c>
      <c r="AA1996" s="2857">
        <v>1496</v>
      </c>
      <c r="AB1996" s="2857">
        <v>1496</v>
      </c>
      <c r="AC1996" s="2857">
        <v>1496</v>
      </c>
      <c r="AD1996" s="2857"/>
      <c r="AE1996" s="2857"/>
      <c r="AF1996" s="2857"/>
      <c r="AG1996" s="2857"/>
      <c r="AH1996" s="1942"/>
      <c r="AI1996" s="1942"/>
      <c r="AJ1996" s="1942"/>
      <c r="AK1996" s="1942"/>
      <c r="AL1996" s="1942"/>
      <c r="AM1996" s="1942"/>
      <c r="AN1996" s="1942"/>
      <c r="AO1996" s="1942"/>
      <c r="AP1996" s="1942"/>
      <c r="AQ1996" s="1942"/>
      <c r="AR1996" s="1942"/>
      <c r="AS1996" s="1942"/>
      <c r="AT1996" s="1942"/>
      <c r="AU1996" s="1942"/>
      <c r="AV1996" s="1942"/>
      <c r="AW1996" s="1942"/>
      <c r="AX1996" s="1942"/>
      <c r="AY1996" s="1942"/>
      <c r="AZ1996" s="1942"/>
      <c r="BA1996" s="1942"/>
      <c r="BB1996" s="575"/>
      <c r="BC1996" s="576"/>
      <c r="BD1996" s="678"/>
      <c r="BE1996" s="585"/>
    </row>
    <row r="1997" spans="1:57" s="51" customFormat="1" ht="15" hidden="1" customHeight="1" outlineLevel="1" x14ac:dyDescent="0.25">
      <c r="A1997" s="2060"/>
      <c r="B1997" s="123"/>
      <c r="C1997" s="328"/>
      <c r="D1997" s="3990"/>
      <c r="E1997" s="4009"/>
      <c r="F1997" s="3010" t="str">
        <f>$E$1425</f>
        <v>ASHP-SEER16-Replace_CAC_ElectricHeat_ER1_SF</v>
      </c>
      <c r="G1997" s="2676"/>
      <c r="H1997" s="2676"/>
      <c r="I1997" s="2677"/>
      <c r="J1997" s="3298" t="str">
        <f>$C$1425</f>
        <v>352500_2021_12_</v>
      </c>
      <c r="K1997" s="2857">
        <v>1496</v>
      </c>
      <c r="L1997" s="850"/>
      <c r="M1997" s="1595"/>
      <c r="N1997" s="123"/>
      <c r="O1997" s="228"/>
      <c r="P1997" s="844"/>
      <c r="Q1997" s="844"/>
      <c r="R1997" s="844"/>
      <c r="S1997" s="832"/>
      <c r="T1997" s="3082"/>
      <c r="U1997" s="123"/>
      <c r="V1997" s="3990"/>
      <c r="W1997" s="2857">
        <v>2009</v>
      </c>
      <c r="X1997" s="3155">
        <v>1496</v>
      </c>
      <c r="Y1997" s="2857">
        <v>1496</v>
      </c>
      <c r="Z1997" s="2857">
        <v>1496</v>
      </c>
      <c r="AA1997" s="2857">
        <v>1496</v>
      </c>
      <c r="AB1997" s="2857">
        <v>1496</v>
      </c>
      <c r="AC1997" s="2857">
        <v>1496</v>
      </c>
      <c r="AD1997" s="2857"/>
      <c r="AE1997" s="2857"/>
      <c r="AF1997" s="2857"/>
      <c r="AG1997" s="2857"/>
      <c r="AH1997" s="1942"/>
      <c r="AI1997" s="1942"/>
      <c r="AJ1997" s="1942"/>
      <c r="AK1997" s="1942"/>
      <c r="AL1997" s="1942"/>
      <c r="AM1997" s="1942"/>
      <c r="AN1997" s="1942"/>
      <c r="AO1997" s="1942"/>
      <c r="AP1997" s="1942"/>
      <c r="AQ1997" s="1942"/>
      <c r="AR1997" s="1942"/>
      <c r="AS1997" s="1942"/>
      <c r="AT1997" s="1942"/>
      <c r="AU1997" s="1942"/>
      <c r="AV1997" s="1942"/>
      <c r="AW1997" s="1942"/>
      <c r="AX1997" s="1942"/>
      <c r="AY1997" s="1942"/>
      <c r="AZ1997" s="1942"/>
      <c r="BA1997" s="1942"/>
      <c r="BB1997" s="575"/>
      <c r="BC1997" s="576"/>
      <c r="BD1997" s="678"/>
      <c r="BE1997" s="585"/>
    </row>
    <row r="1998" spans="1:57" s="51" customFormat="1" ht="15" hidden="1" customHeight="1" outlineLevel="1" x14ac:dyDescent="0.25">
      <c r="A1998" s="1267"/>
      <c r="B1998" s="123"/>
      <c r="C1998" s="328"/>
      <c r="D1998" s="3990"/>
      <c r="E1998" s="4009"/>
      <c r="F1998" s="3010" t="str">
        <f>$E$1427</f>
        <v>ASHP-SEER16-Replace_CAC_ElectricHeat_ER2_SF</v>
      </c>
      <c r="G1998" s="2676"/>
      <c r="H1998" s="2676"/>
      <c r="I1998" s="2677"/>
      <c r="J1998" s="3298" t="str">
        <f>$C$1427</f>
        <v>352500_2021_12_</v>
      </c>
      <c r="K1998" s="2857">
        <v>1496</v>
      </c>
      <c r="L1998" s="850"/>
      <c r="M1998" s="1595"/>
      <c r="N1998" s="123"/>
      <c r="O1998" s="228"/>
      <c r="P1998" s="228"/>
      <c r="Q1998" s="228"/>
      <c r="R1998" s="228"/>
      <c r="S1998" s="123"/>
      <c r="T1998" s="123"/>
      <c r="U1998" s="123"/>
      <c r="V1998" s="3990"/>
      <c r="W1998" s="2857">
        <v>2009</v>
      </c>
      <c r="X1998" s="3155">
        <v>1496</v>
      </c>
      <c r="Y1998" s="2857">
        <v>1496</v>
      </c>
      <c r="Z1998" s="2857">
        <v>1496</v>
      </c>
      <c r="AA1998" s="2857">
        <v>1496</v>
      </c>
      <c r="AB1998" s="2857">
        <v>1496</v>
      </c>
      <c r="AC1998" s="2857">
        <v>1496</v>
      </c>
      <c r="AD1998" s="2857"/>
      <c r="AE1998" s="2857"/>
      <c r="AF1998" s="2857"/>
      <c r="AG1998" s="2857"/>
      <c r="AH1998" s="1942"/>
      <c r="AI1998" s="1942"/>
      <c r="AJ1998" s="1942"/>
      <c r="AK1998" s="1942"/>
      <c r="AL1998" s="1942"/>
      <c r="AM1998" s="1942"/>
      <c r="AN1998" s="1942"/>
      <c r="AO1998" s="1942"/>
      <c r="AP1998" s="1942"/>
      <c r="AQ1998" s="1942"/>
      <c r="AR1998" s="1942"/>
      <c r="AS1998" s="1942"/>
      <c r="AT1998" s="1942"/>
      <c r="AU1998" s="1942"/>
      <c r="AV1998" s="1942"/>
      <c r="AW1998" s="1942"/>
      <c r="AX1998" s="1942"/>
      <c r="AY1998" s="1942"/>
      <c r="AZ1998" s="1942"/>
      <c r="BA1998" s="1942"/>
      <c r="BB1998" s="575"/>
      <c r="BC1998" s="576"/>
      <c r="BD1998" s="678"/>
      <c r="BE1998" s="585"/>
    </row>
    <row r="1999" spans="1:57" s="1942" customFormat="1" ht="15" hidden="1" customHeight="1" outlineLevel="1" x14ac:dyDescent="0.25">
      <c r="A1999" s="1267"/>
      <c r="B1999" s="123"/>
      <c r="C1999" s="328"/>
      <c r="D1999" s="3990"/>
      <c r="E1999" s="4009"/>
      <c r="F1999" s="3010" t="str">
        <f>$E$1429</f>
        <v>ASHP-SEER16-Replace_CAC_NonElectricHeat_ER1_SF</v>
      </c>
      <c r="G1999" s="2676"/>
      <c r="H1999" s="2676"/>
      <c r="I1999" s="2677"/>
      <c r="J1999" s="3298" t="str">
        <f>$C$1429</f>
        <v>352510_2021_12_</v>
      </c>
      <c r="K1999" s="2225">
        <v>1496</v>
      </c>
      <c r="L1999" s="850"/>
      <c r="M1999" s="1595"/>
      <c r="N1999" s="123"/>
      <c r="O1999" s="228"/>
      <c r="P1999" s="228"/>
      <c r="Q1999" s="228"/>
      <c r="R1999" s="228"/>
      <c r="S1999" s="123"/>
      <c r="T1999" s="123"/>
      <c r="U1999" s="123"/>
      <c r="V1999" s="3990"/>
      <c r="W1999" s="2857"/>
      <c r="X1999" s="3155"/>
      <c r="Y1999" s="2857"/>
      <c r="Z1999" s="2857"/>
      <c r="AA1999" s="2857"/>
      <c r="AB1999" s="2857"/>
      <c r="AC1999" s="2225">
        <v>1496</v>
      </c>
      <c r="AD1999" s="2857"/>
      <c r="AE1999" s="2857"/>
      <c r="AF1999" s="2857"/>
      <c r="AG1999" s="2857"/>
      <c r="BB1999" s="575"/>
      <c r="BC1999" s="576"/>
      <c r="BD1999" s="678"/>
      <c r="BE1999" s="585"/>
    </row>
    <row r="2000" spans="1:57" s="1942" customFormat="1" ht="15" hidden="1" customHeight="1" outlineLevel="1" x14ac:dyDescent="0.25">
      <c r="A2000" s="1267"/>
      <c r="B2000" s="123"/>
      <c r="C2000" s="328"/>
      <c r="D2000" s="3990"/>
      <c r="E2000" s="4009"/>
      <c r="F2000" s="3010" t="str">
        <f>$E$1431</f>
        <v>ASHP-SEER16-Replace_CAC_NonElectricHeat_ER2_SF</v>
      </c>
      <c r="G2000" s="2676"/>
      <c r="H2000" s="2676"/>
      <c r="I2000" s="2677"/>
      <c r="J2000" s="3298" t="str">
        <f>$C$1431</f>
        <v>352510_2021_12_</v>
      </c>
      <c r="K2000" s="2225">
        <v>1496</v>
      </c>
      <c r="L2000" s="850"/>
      <c r="M2000" s="1595"/>
      <c r="N2000" s="123"/>
      <c r="O2000" s="228"/>
      <c r="P2000" s="228"/>
      <c r="Q2000" s="228"/>
      <c r="R2000" s="228"/>
      <c r="S2000" s="123"/>
      <c r="T2000" s="123"/>
      <c r="U2000" s="123"/>
      <c r="V2000" s="3990"/>
      <c r="W2000" s="2857"/>
      <c r="X2000" s="3155"/>
      <c r="Y2000" s="2857"/>
      <c r="Z2000" s="2857"/>
      <c r="AA2000" s="2857"/>
      <c r="AB2000" s="2857"/>
      <c r="AC2000" s="2225">
        <v>1496</v>
      </c>
      <c r="AD2000" s="2857"/>
      <c r="AE2000" s="2857"/>
      <c r="AF2000" s="2857"/>
      <c r="AG2000" s="2857"/>
      <c r="BB2000" s="575"/>
      <c r="BC2000" s="576"/>
      <c r="BD2000" s="678"/>
      <c r="BE2000" s="585"/>
    </row>
    <row r="2001" spans="1:57" s="51" customFormat="1" ht="15" hidden="1" customHeight="1" outlineLevel="1" x14ac:dyDescent="0.25">
      <c r="A2001" s="1267"/>
      <c r="B2001" s="123"/>
      <c r="C2001" s="328"/>
      <c r="D2001" s="3990"/>
      <c r="E2001" s="4009"/>
      <c r="F2001" s="3010" t="str">
        <f>$E$1433</f>
        <v>ASHP-SEER16_ER1_SF</v>
      </c>
      <c r="G2001" s="2676"/>
      <c r="H2001" s="2676"/>
      <c r="I2001" s="2677"/>
      <c r="J2001" s="3298" t="str">
        <f>$C$1433</f>
        <v>352550_2021_12_</v>
      </c>
      <c r="K2001" s="2857">
        <v>1496</v>
      </c>
      <c r="L2001" s="850"/>
      <c r="M2001" s="1595"/>
      <c r="N2001" s="123"/>
      <c r="O2001" s="228"/>
      <c r="P2001" s="228"/>
      <c r="Q2001" s="228"/>
      <c r="R2001" s="228"/>
      <c r="S2001" s="123"/>
      <c r="T2001" s="123"/>
      <c r="U2001" s="123"/>
      <c r="V2001" s="3990"/>
      <c r="W2001" s="2857">
        <v>2009</v>
      </c>
      <c r="X2001" s="3155">
        <v>1496</v>
      </c>
      <c r="Y2001" s="2857">
        <v>1496</v>
      </c>
      <c r="Z2001" s="2857">
        <v>1496</v>
      </c>
      <c r="AA2001" s="2857">
        <v>1496</v>
      </c>
      <c r="AB2001" s="2857">
        <v>1496</v>
      </c>
      <c r="AC2001" s="2857">
        <v>1496</v>
      </c>
      <c r="AD2001" s="2857"/>
      <c r="AE2001" s="2857"/>
      <c r="AF2001" s="2857"/>
      <c r="AG2001" s="2857"/>
      <c r="AH2001" s="1942"/>
      <c r="AI2001" s="1942"/>
      <c r="AJ2001" s="1942"/>
      <c r="AK2001" s="1942"/>
      <c r="AL2001" s="1942"/>
      <c r="AM2001" s="1942"/>
      <c r="AN2001" s="1942"/>
      <c r="AO2001" s="1942"/>
      <c r="AP2001" s="1942"/>
      <c r="AQ2001" s="1942"/>
      <c r="AR2001" s="1942"/>
      <c r="AS2001" s="1942"/>
      <c r="AT2001" s="1942"/>
      <c r="AU2001" s="1942"/>
      <c r="AV2001" s="1942"/>
      <c r="AW2001" s="1942"/>
      <c r="AX2001" s="1942"/>
      <c r="AY2001" s="1942"/>
      <c r="AZ2001" s="1942"/>
      <c r="BA2001" s="1942"/>
      <c r="BB2001" s="575"/>
      <c r="BC2001" s="576"/>
      <c r="BD2001" s="678"/>
      <c r="BE2001" s="585"/>
    </row>
    <row r="2002" spans="1:57" s="51" customFormat="1" ht="15" hidden="1" customHeight="1" outlineLevel="1" x14ac:dyDescent="0.25">
      <c r="A2002" s="1267"/>
      <c r="B2002" s="123"/>
      <c r="C2002" s="328"/>
      <c r="D2002" s="3990"/>
      <c r="E2002" s="4009"/>
      <c r="F2002" s="3010" t="str">
        <f>$E$1435</f>
        <v>ASHP-SEER16_ER2_SF</v>
      </c>
      <c r="G2002" s="2676"/>
      <c r="H2002" s="2676"/>
      <c r="I2002" s="2677"/>
      <c r="J2002" s="3298" t="str">
        <f>$C$1435</f>
        <v>352550_2021_12_</v>
      </c>
      <c r="K2002" s="2857">
        <v>1496</v>
      </c>
      <c r="L2002" s="851"/>
      <c r="M2002" s="1595"/>
      <c r="N2002" s="123"/>
      <c r="O2002" s="228"/>
      <c r="P2002" s="228"/>
      <c r="Q2002" s="228"/>
      <c r="R2002" s="228"/>
      <c r="S2002" s="123"/>
      <c r="T2002" s="123"/>
      <c r="U2002" s="123"/>
      <c r="V2002" s="3990"/>
      <c r="W2002" s="2857">
        <v>2009</v>
      </c>
      <c r="X2002" s="3155">
        <v>1496</v>
      </c>
      <c r="Y2002" s="2857">
        <v>1496</v>
      </c>
      <c r="Z2002" s="2857">
        <v>1496</v>
      </c>
      <c r="AA2002" s="2857">
        <v>1496</v>
      </c>
      <c r="AB2002" s="2857">
        <v>1496</v>
      </c>
      <c r="AC2002" s="2857">
        <v>1496</v>
      </c>
      <c r="AD2002" s="2857"/>
      <c r="AE2002" s="2857"/>
      <c r="AF2002" s="2857"/>
      <c r="AG2002" s="2857"/>
      <c r="AH2002" s="1942"/>
      <c r="AI2002" s="1942"/>
      <c r="AJ2002" s="1942"/>
      <c r="AK2002" s="1942"/>
      <c r="AL2002" s="1942"/>
      <c r="AM2002" s="1942"/>
      <c r="AN2002" s="1942"/>
      <c r="AO2002" s="1942"/>
      <c r="AP2002" s="1942"/>
      <c r="AQ2002" s="1942"/>
      <c r="AR2002" s="1942"/>
      <c r="AS2002" s="1942"/>
      <c r="AT2002" s="1942"/>
      <c r="AU2002" s="1942"/>
      <c r="AV2002" s="1942"/>
      <c r="AW2002" s="1942"/>
      <c r="AX2002" s="1942"/>
      <c r="AY2002" s="1942"/>
      <c r="AZ2002" s="1942"/>
      <c r="BA2002" s="1942"/>
      <c r="BB2002" s="575"/>
      <c r="BC2002" s="576"/>
      <c r="BD2002" s="678"/>
      <c r="BE2002" s="585"/>
    </row>
    <row r="2003" spans="1:57" s="51" customFormat="1" ht="15" hidden="1" customHeight="1" outlineLevel="1" x14ac:dyDescent="0.25">
      <c r="A2003" s="1267"/>
      <c r="B2003" s="123"/>
      <c r="C2003" s="328"/>
      <c r="D2003" s="3990"/>
      <c r="E2003" s="4009"/>
      <c r="F2003" s="3010" t="str">
        <f>$E$1437</f>
        <v>ASHP-SEER16-Replace_CAC_ElectricHeat_ROF_SF</v>
      </c>
      <c r="G2003" s="2676"/>
      <c r="H2003" s="2676"/>
      <c r="I2003" s="2677"/>
      <c r="J2003" s="3298" t="str">
        <f>$C$1437</f>
        <v>352600_2021_12_</v>
      </c>
      <c r="K2003" s="2857">
        <v>1496</v>
      </c>
      <c r="L2003" s="851"/>
      <c r="M2003" s="1595"/>
      <c r="N2003" s="123"/>
      <c r="O2003" s="228"/>
      <c r="P2003" s="228"/>
      <c r="Q2003" s="228"/>
      <c r="R2003" s="228"/>
      <c r="S2003" s="123"/>
      <c r="T2003" s="123"/>
      <c r="U2003" s="123"/>
      <c r="V2003" s="3990"/>
      <c r="W2003" s="2857">
        <v>2009</v>
      </c>
      <c r="X2003" s="3155">
        <v>1496</v>
      </c>
      <c r="Y2003" s="2857">
        <v>1496</v>
      </c>
      <c r="Z2003" s="2857">
        <v>1496</v>
      </c>
      <c r="AA2003" s="2857">
        <v>1496</v>
      </c>
      <c r="AB2003" s="2857">
        <v>1496</v>
      </c>
      <c r="AC2003" s="2857">
        <v>1496</v>
      </c>
      <c r="AD2003" s="2857"/>
      <c r="AE2003" s="2857"/>
      <c r="AF2003" s="2857"/>
      <c r="AG2003" s="2857"/>
      <c r="AH2003" s="1942"/>
      <c r="AI2003" s="1942"/>
      <c r="AJ2003" s="1942"/>
      <c r="AK2003" s="1942"/>
      <c r="AL2003" s="1942"/>
      <c r="AM2003" s="1942"/>
      <c r="AN2003" s="1942"/>
      <c r="AO2003" s="1942"/>
      <c r="AP2003" s="1942"/>
      <c r="AQ2003" s="1942"/>
      <c r="AR2003" s="1942"/>
      <c r="AS2003" s="1942"/>
      <c r="AT2003" s="1942"/>
      <c r="AU2003" s="1942"/>
      <c r="AV2003" s="1942"/>
      <c r="AW2003" s="1942"/>
      <c r="AX2003" s="1942"/>
      <c r="AY2003" s="1942"/>
      <c r="AZ2003" s="1942"/>
      <c r="BA2003" s="1942"/>
      <c r="BB2003" s="575"/>
      <c r="BC2003" s="576"/>
      <c r="BD2003" s="678"/>
      <c r="BE2003" s="585"/>
    </row>
    <row r="2004" spans="1:57" s="51" customFormat="1" ht="15" hidden="1" customHeight="1" outlineLevel="1" x14ac:dyDescent="0.25">
      <c r="A2004" s="1267"/>
      <c r="B2004" s="123"/>
      <c r="C2004" s="328"/>
      <c r="D2004" s="3990"/>
      <c r="E2004" s="4009"/>
      <c r="F2004" s="3010" t="str">
        <f>$E$1439</f>
        <v>ASHP-SEER16_ROF_SF</v>
      </c>
      <c r="G2004" s="2676"/>
      <c r="H2004" s="2676"/>
      <c r="I2004" s="2677"/>
      <c r="J2004" s="3298" t="str">
        <f>$C$1439</f>
        <v>352650_2021_12_</v>
      </c>
      <c r="K2004" s="2857">
        <v>1496</v>
      </c>
      <c r="L2004" s="851"/>
      <c r="M2004" s="1595"/>
      <c r="N2004" s="123"/>
      <c r="O2004" s="228"/>
      <c r="P2004" s="228"/>
      <c r="Q2004" s="228"/>
      <c r="R2004" s="228"/>
      <c r="S2004" s="123"/>
      <c r="T2004" s="123"/>
      <c r="U2004" s="123"/>
      <c r="V2004" s="3990"/>
      <c r="W2004" s="2857">
        <v>2009</v>
      </c>
      <c r="X2004" s="3155">
        <v>1496</v>
      </c>
      <c r="Y2004" s="2857">
        <v>1496</v>
      </c>
      <c r="Z2004" s="2857">
        <v>1496</v>
      </c>
      <c r="AA2004" s="2857">
        <v>1496</v>
      </c>
      <c r="AB2004" s="2857">
        <v>1496</v>
      </c>
      <c r="AC2004" s="2857">
        <v>1496</v>
      </c>
      <c r="AD2004" s="2857"/>
      <c r="AE2004" s="2857"/>
      <c r="AF2004" s="2857"/>
      <c r="AG2004" s="2857"/>
      <c r="AH2004" s="1942"/>
      <c r="AI2004" s="1942"/>
      <c r="AJ2004" s="1942"/>
      <c r="AK2004" s="1942"/>
      <c r="AL2004" s="1942"/>
      <c r="AM2004" s="1942"/>
      <c r="AN2004" s="1942"/>
      <c r="AO2004" s="1942"/>
      <c r="AP2004" s="1942"/>
      <c r="AQ2004" s="1942"/>
      <c r="AR2004" s="1942"/>
      <c r="AS2004" s="1942"/>
      <c r="AT2004" s="1942"/>
      <c r="AU2004" s="1942"/>
      <c r="AV2004" s="1942"/>
      <c r="AW2004" s="1942"/>
      <c r="AX2004" s="1942"/>
      <c r="AY2004" s="1942"/>
      <c r="AZ2004" s="1942"/>
      <c r="BA2004" s="1942"/>
      <c r="BB2004" s="575"/>
      <c r="BC2004" s="576"/>
      <c r="BD2004" s="678"/>
      <c r="BE2004" s="585"/>
    </row>
    <row r="2005" spans="1:57" s="51" customFormat="1" ht="15" hidden="1" customHeight="1" outlineLevel="1" x14ac:dyDescent="0.25">
      <c r="A2005" s="1267"/>
      <c r="B2005" s="123"/>
      <c r="C2005" s="328"/>
      <c r="D2005" s="3990"/>
      <c r="E2005" s="4009"/>
      <c r="F2005" s="3010" t="str">
        <f>$E$1441</f>
        <v>ASHP-SEER15_ER1_MF</v>
      </c>
      <c r="G2005" s="2676"/>
      <c r="H2005" s="2676"/>
      <c r="I2005" s="2677"/>
      <c r="J2005" s="3298" t="str">
        <f>$C$1441</f>
        <v>352700_2021_12_</v>
      </c>
      <c r="K2005" s="2857">
        <v>1496</v>
      </c>
      <c r="L2005" s="851"/>
      <c r="M2005" s="1595"/>
      <c r="N2005" s="123"/>
      <c r="O2005" s="228"/>
      <c r="P2005" s="228"/>
      <c r="Q2005" s="228"/>
      <c r="R2005" s="228"/>
      <c r="S2005" s="123"/>
      <c r="T2005" s="123"/>
      <c r="U2005" s="123"/>
      <c r="V2005" s="3990"/>
      <c r="W2005" s="2857">
        <v>2009</v>
      </c>
      <c r="X2005" s="3155">
        <v>1496</v>
      </c>
      <c r="Y2005" s="2857">
        <v>1496</v>
      </c>
      <c r="Z2005" s="2857">
        <v>1496</v>
      </c>
      <c r="AA2005" s="2857">
        <v>1496</v>
      </c>
      <c r="AB2005" s="2857">
        <v>1496</v>
      </c>
      <c r="AC2005" s="2857">
        <v>1496</v>
      </c>
      <c r="AD2005" s="2857"/>
      <c r="AE2005" s="2857"/>
      <c r="AF2005" s="2857"/>
      <c r="AG2005" s="2857"/>
      <c r="AH2005" s="1942"/>
      <c r="AI2005" s="1942"/>
      <c r="AJ2005" s="1942"/>
      <c r="AK2005" s="1942"/>
      <c r="AL2005" s="1942"/>
      <c r="AM2005" s="1942"/>
      <c r="AN2005" s="1942"/>
      <c r="AO2005" s="1942"/>
      <c r="AP2005" s="1942"/>
      <c r="AQ2005" s="1942"/>
      <c r="AR2005" s="1942"/>
      <c r="AS2005" s="1942"/>
      <c r="AT2005" s="1942"/>
      <c r="AU2005" s="1942"/>
      <c r="AV2005" s="1942"/>
      <c r="AW2005" s="1942"/>
      <c r="AX2005" s="1942"/>
      <c r="AY2005" s="1942"/>
      <c r="AZ2005" s="1942"/>
      <c r="BA2005" s="1942"/>
      <c r="BB2005" s="575"/>
      <c r="BC2005" s="576"/>
      <c r="BD2005" s="678"/>
      <c r="BE2005" s="585"/>
    </row>
    <row r="2006" spans="1:57" s="51" customFormat="1" ht="15" hidden="1" customHeight="1" outlineLevel="1" x14ac:dyDescent="0.25">
      <c r="A2006" s="2060"/>
      <c r="B2006" s="123"/>
      <c r="C2006" s="328"/>
      <c r="D2006" s="3990"/>
      <c r="E2006" s="4009"/>
      <c r="F2006" s="3010" t="str">
        <f>$E$1443</f>
        <v>ASHP-SEER15_ER2_MF</v>
      </c>
      <c r="G2006" s="2676"/>
      <c r="H2006" s="2676"/>
      <c r="I2006" s="2677"/>
      <c r="J2006" s="3298" t="str">
        <f>$C$1443</f>
        <v>352700_2021_12_</v>
      </c>
      <c r="K2006" s="2857">
        <v>1496</v>
      </c>
      <c r="L2006" s="851"/>
      <c r="M2006" s="1595"/>
      <c r="N2006" s="123"/>
      <c r="O2006" s="228"/>
      <c r="P2006" s="844"/>
      <c r="Q2006" s="844"/>
      <c r="R2006" s="844"/>
      <c r="S2006" s="832"/>
      <c r="T2006" s="3082"/>
      <c r="U2006" s="123"/>
      <c r="V2006" s="3990"/>
      <c r="W2006" s="2857">
        <v>2009</v>
      </c>
      <c r="X2006" s="3155">
        <v>1496</v>
      </c>
      <c r="Y2006" s="2857">
        <v>1496</v>
      </c>
      <c r="Z2006" s="2857">
        <v>1496</v>
      </c>
      <c r="AA2006" s="2857">
        <v>1496</v>
      </c>
      <c r="AB2006" s="2857">
        <v>1496</v>
      </c>
      <c r="AC2006" s="2857">
        <v>1496</v>
      </c>
      <c r="AD2006" s="2857"/>
      <c r="AE2006" s="2857"/>
      <c r="AF2006" s="2857"/>
      <c r="AG2006" s="2857"/>
      <c r="AH2006" s="1942"/>
      <c r="AI2006" s="1942"/>
      <c r="AJ2006" s="1942"/>
      <c r="AK2006" s="1942"/>
      <c r="AL2006" s="1942"/>
      <c r="AM2006" s="1942"/>
      <c r="AN2006" s="1942"/>
      <c r="AO2006" s="1942"/>
      <c r="AP2006" s="1942"/>
      <c r="AQ2006" s="1942"/>
      <c r="AR2006" s="1942"/>
      <c r="AS2006" s="1942"/>
      <c r="AT2006" s="1942"/>
      <c r="AU2006" s="1942"/>
      <c r="AV2006" s="1942"/>
      <c r="AW2006" s="1942"/>
      <c r="AX2006" s="1942"/>
      <c r="AY2006" s="1942"/>
      <c r="AZ2006" s="1942"/>
      <c r="BA2006" s="1942"/>
      <c r="BB2006" s="575"/>
      <c r="BC2006" s="576"/>
      <c r="BD2006" s="678"/>
      <c r="BE2006" s="585"/>
    </row>
    <row r="2007" spans="1:57" s="51" customFormat="1" ht="15" hidden="1" customHeight="1" outlineLevel="1" x14ac:dyDescent="0.25">
      <c r="A2007" s="2060"/>
      <c r="B2007" s="123"/>
      <c r="C2007" s="328"/>
      <c r="D2007" s="3990"/>
      <c r="E2007" s="4009"/>
      <c r="F2007" s="3010" t="str">
        <f>$E$1445</f>
        <v>ASHP-SEER15_ER1_MF_CompE</v>
      </c>
      <c r="G2007" s="2676"/>
      <c r="H2007" s="2676"/>
      <c r="I2007" s="2677"/>
      <c r="J2007" s="3298" t="str">
        <f>$C$1445</f>
        <v>352701_2021_12_</v>
      </c>
      <c r="K2007" s="2857">
        <v>510</v>
      </c>
      <c r="L2007" s="851"/>
      <c r="M2007" s="1595" t="s">
        <v>1558</v>
      </c>
      <c r="N2007" s="123"/>
      <c r="O2007" s="228"/>
      <c r="P2007" s="844"/>
      <c r="Q2007" s="844"/>
      <c r="R2007" s="844"/>
      <c r="S2007" s="832"/>
      <c r="T2007" s="3082"/>
      <c r="U2007" s="123"/>
      <c r="V2007" s="3990"/>
      <c r="W2007" s="2857"/>
      <c r="X2007" s="3155"/>
      <c r="Y2007" s="3155">
        <v>510</v>
      </c>
      <c r="Z2007" s="2857">
        <v>510</v>
      </c>
      <c r="AA2007" s="2857">
        <v>510</v>
      </c>
      <c r="AB2007" s="2857">
        <v>510</v>
      </c>
      <c r="AC2007" s="2857">
        <v>510</v>
      </c>
      <c r="AD2007" s="2857"/>
      <c r="AE2007" s="2857"/>
      <c r="AF2007" s="2857"/>
      <c r="AG2007" s="2857"/>
      <c r="AH2007" s="1942"/>
      <c r="AI2007" s="1942"/>
      <c r="AJ2007" s="1942"/>
      <c r="AK2007" s="1942"/>
      <c r="AL2007" s="1942"/>
      <c r="AM2007" s="1942"/>
      <c r="AN2007" s="1942"/>
      <c r="AO2007" s="1942"/>
      <c r="AP2007" s="1942"/>
      <c r="AQ2007" s="1942"/>
      <c r="AR2007" s="1942"/>
      <c r="AS2007" s="1942"/>
      <c r="AT2007" s="1942"/>
      <c r="AU2007" s="1942"/>
      <c r="AV2007" s="1942"/>
      <c r="AW2007" s="1942"/>
      <c r="AX2007" s="1942"/>
      <c r="AY2007" s="1942"/>
      <c r="AZ2007" s="1942"/>
      <c r="BA2007" s="1942"/>
      <c r="BB2007" s="575"/>
      <c r="BC2007" s="576"/>
      <c r="BD2007" s="678"/>
      <c r="BE2007" s="585"/>
    </row>
    <row r="2008" spans="1:57" s="51" customFormat="1" ht="15" hidden="1" customHeight="1" outlineLevel="1" x14ac:dyDescent="0.25">
      <c r="A2008" s="2060"/>
      <c r="B2008" s="123"/>
      <c r="C2008" s="328"/>
      <c r="D2008" s="3990"/>
      <c r="E2008" s="4009"/>
      <c r="F2008" s="3010" t="str">
        <f>$E$1447</f>
        <v>ASHP-SEER15_ER2_MF_CompE</v>
      </c>
      <c r="G2008" s="2676"/>
      <c r="H2008" s="2676"/>
      <c r="I2008" s="2677"/>
      <c r="J2008" s="3298" t="str">
        <f>$C$1447</f>
        <v>352701_2021_12_</v>
      </c>
      <c r="K2008" s="2857">
        <v>510</v>
      </c>
      <c r="L2008" s="851"/>
      <c r="M2008" s="1595" t="s">
        <v>1558</v>
      </c>
      <c r="N2008" s="123"/>
      <c r="O2008" s="228"/>
      <c r="P2008" s="844"/>
      <c r="Q2008" s="844"/>
      <c r="R2008" s="844"/>
      <c r="S2008" s="832"/>
      <c r="T2008" s="3082"/>
      <c r="U2008" s="123"/>
      <c r="V2008" s="3990"/>
      <c r="W2008" s="2857"/>
      <c r="X2008" s="3155"/>
      <c r="Y2008" s="3155">
        <v>510</v>
      </c>
      <c r="Z2008" s="2857">
        <v>510</v>
      </c>
      <c r="AA2008" s="2857">
        <v>510</v>
      </c>
      <c r="AB2008" s="2857">
        <v>510</v>
      </c>
      <c r="AC2008" s="2857">
        <v>510</v>
      </c>
      <c r="AD2008" s="2857"/>
      <c r="AE2008" s="2857"/>
      <c r="AF2008" s="2857"/>
      <c r="AG2008" s="2857"/>
      <c r="AH2008" s="1942"/>
      <c r="AI2008" s="1942"/>
      <c r="AJ2008" s="1942"/>
      <c r="AK2008" s="1942"/>
      <c r="AL2008" s="1942"/>
      <c r="AM2008" s="1942"/>
      <c r="AN2008" s="1942"/>
      <c r="AO2008" s="1942"/>
      <c r="AP2008" s="1942"/>
      <c r="AQ2008" s="1942"/>
      <c r="AR2008" s="1942"/>
      <c r="AS2008" s="1942"/>
      <c r="AT2008" s="1942"/>
      <c r="AU2008" s="1942"/>
      <c r="AV2008" s="1942"/>
      <c r="AW2008" s="1942"/>
      <c r="AX2008" s="1942"/>
      <c r="AY2008" s="1942"/>
      <c r="AZ2008" s="1942"/>
      <c r="BA2008" s="1942"/>
      <c r="BB2008" s="575"/>
      <c r="BC2008" s="576"/>
      <c r="BD2008" s="678"/>
      <c r="BE2008" s="585"/>
    </row>
    <row r="2009" spans="1:57" s="51" customFormat="1" ht="15" hidden="1" customHeight="1" outlineLevel="1" x14ac:dyDescent="0.25">
      <c r="A2009" s="2060"/>
      <c r="B2009" s="123"/>
      <c r="C2009" s="328"/>
      <c r="D2009" s="3990"/>
      <c r="E2009" s="4009"/>
      <c r="F2009" s="3010" t="str">
        <f>$E$1449</f>
        <v>ASHP-SEER15-Replace_CAC_ElectricHeat_ER1_MF</v>
      </c>
      <c r="G2009" s="2676"/>
      <c r="H2009" s="2676"/>
      <c r="I2009" s="2677"/>
      <c r="J2009" s="3298" t="str">
        <f>$C$1449</f>
        <v>352750_2021_12_</v>
      </c>
      <c r="K2009" s="2857">
        <v>1496</v>
      </c>
      <c r="L2009" s="851"/>
      <c r="M2009" s="1595"/>
      <c r="N2009" s="123"/>
      <c r="O2009" s="228"/>
      <c r="P2009" s="844"/>
      <c r="Q2009" s="844"/>
      <c r="R2009" s="844"/>
      <c r="S2009" s="832"/>
      <c r="T2009" s="3082"/>
      <c r="U2009" s="123"/>
      <c r="V2009" s="3990"/>
      <c r="W2009" s="2857">
        <v>2009</v>
      </c>
      <c r="X2009" s="3155">
        <v>1496</v>
      </c>
      <c r="Y2009" s="2857">
        <v>1496</v>
      </c>
      <c r="Z2009" s="2857">
        <v>1496</v>
      </c>
      <c r="AA2009" s="2857">
        <v>1496</v>
      </c>
      <c r="AB2009" s="2857">
        <v>1496</v>
      </c>
      <c r="AC2009" s="2857">
        <v>1496</v>
      </c>
      <c r="AD2009" s="2857"/>
      <c r="AE2009" s="2857"/>
      <c r="AF2009" s="2857"/>
      <c r="AG2009" s="2857"/>
      <c r="AH2009" s="1942"/>
      <c r="AI2009" s="1942"/>
      <c r="AJ2009" s="1942"/>
      <c r="AK2009" s="1942"/>
      <c r="AL2009" s="1942"/>
      <c r="AM2009" s="1942"/>
      <c r="AN2009" s="1942"/>
      <c r="AO2009" s="1942"/>
      <c r="AP2009" s="1942"/>
      <c r="AQ2009" s="1942"/>
      <c r="AR2009" s="1942"/>
      <c r="AS2009" s="1942"/>
      <c r="AT2009" s="1942"/>
      <c r="AU2009" s="1942"/>
      <c r="AV2009" s="1942"/>
      <c r="AW2009" s="1942"/>
      <c r="AX2009" s="1942"/>
      <c r="AY2009" s="1942"/>
      <c r="AZ2009" s="1942"/>
      <c r="BA2009" s="1942"/>
      <c r="BB2009" s="575"/>
      <c r="BC2009" s="576"/>
      <c r="BD2009" s="678"/>
      <c r="BE2009" s="585"/>
    </row>
    <row r="2010" spans="1:57" s="51" customFormat="1" ht="15" hidden="1" customHeight="1" outlineLevel="1" x14ac:dyDescent="0.25">
      <c r="A2010" s="2060"/>
      <c r="B2010" s="123"/>
      <c r="C2010" s="328"/>
      <c r="D2010" s="3990"/>
      <c r="E2010" s="4009"/>
      <c r="F2010" s="3010" t="str">
        <f>$E$1451</f>
        <v>ASHP-SEER15-Replace_CAC_ElectricHeat_ER2_MF</v>
      </c>
      <c r="G2010" s="2676"/>
      <c r="H2010" s="2676"/>
      <c r="I2010" s="2677"/>
      <c r="J2010" s="3298" t="str">
        <f>$C$1451</f>
        <v>352750_2021_12_</v>
      </c>
      <c r="K2010" s="2857">
        <v>1496</v>
      </c>
      <c r="L2010" s="851"/>
      <c r="M2010" s="1595"/>
      <c r="N2010" s="123"/>
      <c r="O2010" s="228"/>
      <c r="P2010" s="844"/>
      <c r="Q2010" s="844"/>
      <c r="R2010" s="844"/>
      <c r="S2010" s="832"/>
      <c r="T2010" s="3082"/>
      <c r="U2010" s="123"/>
      <c r="V2010" s="3990"/>
      <c r="W2010" s="2857">
        <v>2009</v>
      </c>
      <c r="X2010" s="3155">
        <v>1496</v>
      </c>
      <c r="Y2010" s="2857">
        <v>1496</v>
      </c>
      <c r="Z2010" s="2857">
        <v>1496</v>
      </c>
      <c r="AA2010" s="2857">
        <v>1496</v>
      </c>
      <c r="AB2010" s="2857">
        <v>1496</v>
      </c>
      <c r="AC2010" s="2857">
        <v>1496</v>
      </c>
      <c r="AD2010" s="2857"/>
      <c r="AE2010" s="2857"/>
      <c r="AF2010" s="2857"/>
      <c r="AG2010" s="2857"/>
      <c r="AH2010" s="1942"/>
      <c r="AI2010" s="1942"/>
      <c r="AJ2010" s="1942"/>
      <c r="AK2010" s="1942"/>
      <c r="AL2010" s="1942"/>
      <c r="AM2010" s="1942"/>
      <c r="AN2010" s="1942"/>
      <c r="AO2010" s="1942"/>
      <c r="AP2010" s="1942"/>
      <c r="AQ2010" s="1942"/>
      <c r="AR2010" s="1942"/>
      <c r="AS2010" s="1942"/>
      <c r="AT2010" s="1942"/>
      <c r="AU2010" s="1942"/>
      <c r="AV2010" s="1942"/>
      <c r="AW2010" s="1942"/>
      <c r="AX2010" s="1942"/>
      <c r="AY2010" s="1942"/>
      <c r="AZ2010" s="1942"/>
      <c r="BA2010" s="1942"/>
      <c r="BB2010" s="575"/>
      <c r="BC2010" s="576"/>
      <c r="BD2010" s="678"/>
      <c r="BE2010" s="585"/>
    </row>
    <row r="2011" spans="1:57" s="51" customFormat="1" ht="15" hidden="1" customHeight="1" outlineLevel="1" x14ac:dyDescent="0.25">
      <c r="A2011" s="2060"/>
      <c r="B2011" s="123"/>
      <c r="C2011" s="328"/>
      <c r="D2011" s="3990"/>
      <c r="E2011" s="4009"/>
      <c r="F2011" s="3010" t="str">
        <f>$E$1453</f>
        <v>ASHP-SEER15-Replace_CAC_ElectricHeat_ER1_MF_CompE</v>
      </c>
      <c r="G2011" s="2676"/>
      <c r="H2011" s="2676"/>
      <c r="I2011" s="2677"/>
      <c r="J2011" s="3298" t="str">
        <f>$C$1453</f>
        <v>352751_2021_12_</v>
      </c>
      <c r="K2011" s="2857">
        <v>510</v>
      </c>
      <c r="L2011" s="851"/>
      <c r="M2011" s="1595" t="s">
        <v>1558</v>
      </c>
      <c r="N2011" s="123"/>
      <c r="O2011" s="228"/>
      <c r="P2011" s="844"/>
      <c r="Q2011" s="844"/>
      <c r="R2011" s="844"/>
      <c r="S2011" s="832"/>
      <c r="T2011" s="3082"/>
      <c r="U2011" s="123"/>
      <c r="V2011" s="3990"/>
      <c r="W2011" s="2857"/>
      <c r="X2011" s="3155"/>
      <c r="Y2011" s="3155">
        <v>510</v>
      </c>
      <c r="Z2011" s="2857">
        <v>510</v>
      </c>
      <c r="AA2011" s="2857">
        <v>510</v>
      </c>
      <c r="AB2011" s="2857">
        <v>510</v>
      </c>
      <c r="AC2011" s="2857">
        <v>510</v>
      </c>
      <c r="AD2011" s="2857"/>
      <c r="AE2011" s="2857"/>
      <c r="AF2011" s="2857"/>
      <c r="AG2011" s="2857"/>
      <c r="AH2011" s="1942"/>
      <c r="AI2011" s="1942"/>
      <c r="AJ2011" s="1942"/>
      <c r="AK2011" s="1942"/>
      <c r="AL2011" s="1942"/>
      <c r="AM2011" s="1942"/>
      <c r="AN2011" s="1942"/>
      <c r="AO2011" s="1942"/>
      <c r="AP2011" s="1942"/>
      <c r="AQ2011" s="1942"/>
      <c r="AR2011" s="1942"/>
      <c r="AS2011" s="1942"/>
      <c r="AT2011" s="1942"/>
      <c r="AU2011" s="1942"/>
      <c r="AV2011" s="1942"/>
      <c r="AW2011" s="1942"/>
      <c r="AX2011" s="1942"/>
      <c r="AY2011" s="1942"/>
      <c r="AZ2011" s="1942"/>
      <c r="BA2011" s="1942"/>
      <c r="BB2011" s="575"/>
      <c r="BC2011" s="576"/>
      <c r="BD2011" s="678"/>
      <c r="BE2011" s="585"/>
    </row>
    <row r="2012" spans="1:57" s="51" customFormat="1" ht="15" hidden="1" customHeight="1" outlineLevel="1" x14ac:dyDescent="0.25">
      <c r="A2012" s="2060"/>
      <c r="B2012" s="123"/>
      <c r="C2012" s="328"/>
      <c r="D2012" s="3990"/>
      <c r="E2012" s="4009"/>
      <c r="F2012" s="3010" t="str">
        <f>$E$1455</f>
        <v>ASHP-SEER15-Replace_CAC_ElectricHeat_ER2_MF_CompE</v>
      </c>
      <c r="G2012" s="2676"/>
      <c r="H2012" s="2676"/>
      <c r="I2012" s="2677"/>
      <c r="J2012" s="3298" t="str">
        <f>$C$1455</f>
        <v>352751_2021_12_</v>
      </c>
      <c r="K2012" s="2857">
        <v>510</v>
      </c>
      <c r="L2012" s="851"/>
      <c r="M2012" s="1595"/>
      <c r="N2012" s="123"/>
      <c r="O2012" s="228"/>
      <c r="P2012" s="844"/>
      <c r="Q2012" s="844"/>
      <c r="R2012" s="844"/>
      <c r="S2012" s="832"/>
      <c r="T2012" s="3082"/>
      <c r="U2012" s="123"/>
      <c r="V2012" s="3990"/>
      <c r="W2012" s="2857"/>
      <c r="X2012" s="3155"/>
      <c r="Y2012" s="3155">
        <v>510</v>
      </c>
      <c r="Z2012" s="2857">
        <v>510</v>
      </c>
      <c r="AA2012" s="2857">
        <v>510</v>
      </c>
      <c r="AB2012" s="2857">
        <v>510</v>
      </c>
      <c r="AC2012" s="2857">
        <v>510</v>
      </c>
      <c r="AD2012" s="2857"/>
      <c r="AE2012" s="2857"/>
      <c r="AF2012" s="2857"/>
      <c r="AG2012" s="2857"/>
      <c r="AH2012" s="1942"/>
      <c r="AI2012" s="1942"/>
      <c r="AJ2012" s="1942"/>
      <c r="AK2012" s="1942"/>
      <c r="AL2012" s="1942"/>
      <c r="AM2012" s="1942"/>
      <c r="AN2012" s="1942"/>
      <c r="AO2012" s="1942"/>
      <c r="AP2012" s="1942"/>
      <c r="AQ2012" s="1942"/>
      <c r="AR2012" s="1942"/>
      <c r="AS2012" s="1942"/>
      <c r="AT2012" s="1942"/>
      <c r="AU2012" s="1942"/>
      <c r="AV2012" s="1942"/>
      <c r="AW2012" s="1942"/>
      <c r="AX2012" s="1942"/>
      <c r="AY2012" s="1942"/>
      <c r="AZ2012" s="1942"/>
      <c r="BA2012" s="1942"/>
      <c r="BB2012" s="575"/>
      <c r="BC2012" s="576"/>
      <c r="BD2012" s="678"/>
      <c r="BE2012" s="585"/>
    </row>
    <row r="2013" spans="1:57" s="1942" customFormat="1" ht="15" hidden="1" customHeight="1" outlineLevel="1" x14ac:dyDescent="0.25">
      <c r="A2013" s="2060"/>
      <c r="B2013" s="123"/>
      <c r="C2013" s="328"/>
      <c r="D2013" s="3990"/>
      <c r="E2013" s="4009"/>
      <c r="F2013" s="3010" t="str">
        <f>$E$1457</f>
        <v>ASHP-SEER15-Replace_CAC_NonElectricHeat_ER1_MF</v>
      </c>
      <c r="G2013" s="2676"/>
      <c r="H2013" s="2676"/>
      <c r="I2013" s="2677"/>
      <c r="J2013" s="3298" t="str">
        <f>$C$1457</f>
        <v>352760_2021_12_</v>
      </c>
      <c r="K2013" s="2225">
        <v>1496</v>
      </c>
      <c r="L2013" s="851"/>
      <c r="M2013" s="1595"/>
      <c r="N2013" s="123"/>
      <c r="O2013" s="228"/>
      <c r="P2013" s="844"/>
      <c r="Q2013" s="844"/>
      <c r="R2013" s="844"/>
      <c r="S2013" s="832"/>
      <c r="T2013" s="3082"/>
      <c r="U2013" s="123"/>
      <c r="V2013" s="3990"/>
      <c r="W2013" s="2857"/>
      <c r="X2013" s="3155"/>
      <c r="Y2013" s="3155"/>
      <c r="Z2013" s="2857"/>
      <c r="AA2013" s="2857"/>
      <c r="AB2013" s="2857"/>
      <c r="AC2013" s="2225">
        <v>1496</v>
      </c>
      <c r="AD2013" s="2857"/>
      <c r="AE2013" s="2857"/>
      <c r="AF2013" s="2857"/>
      <c r="AG2013" s="2857"/>
      <c r="BB2013" s="575"/>
      <c r="BC2013" s="576"/>
      <c r="BD2013" s="678"/>
      <c r="BE2013" s="585"/>
    </row>
    <row r="2014" spans="1:57" s="1942" customFormat="1" ht="15" hidden="1" customHeight="1" outlineLevel="1" x14ac:dyDescent="0.25">
      <c r="A2014" s="2060"/>
      <c r="B2014" s="123"/>
      <c r="C2014" s="328"/>
      <c r="D2014" s="3990"/>
      <c r="E2014" s="4009"/>
      <c r="F2014" s="3010" t="str">
        <f>$E$1459</f>
        <v>ASHP-SEER15-Replace_CAC_NonElectricHeat_ER2_MF</v>
      </c>
      <c r="G2014" s="2676"/>
      <c r="H2014" s="2676"/>
      <c r="I2014" s="2677"/>
      <c r="J2014" s="3298" t="str">
        <f>$C$1459</f>
        <v>352760_2021_12_</v>
      </c>
      <c r="K2014" s="2225">
        <v>1496</v>
      </c>
      <c r="L2014" s="851"/>
      <c r="M2014" s="1595"/>
      <c r="N2014" s="123"/>
      <c r="O2014" s="228"/>
      <c r="P2014" s="844"/>
      <c r="Q2014" s="844"/>
      <c r="R2014" s="844"/>
      <c r="S2014" s="832"/>
      <c r="T2014" s="3082"/>
      <c r="U2014" s="123"/>
      <c r="V2014" s="3990"/>
      <c r="W2014" s="2857"/>
      <c r="X2014" s="3155"/>
      <c r="Y2014" s="3155"/>
      <c r="Z2014" s="2857"/>
      <c r="AA2014" s="2857"/>
      <c r="AB2014" s="2857"/>
      <c r="AC2014" s="2225">
        <v>1496</v>
      </c>
      <c r="AD2014" s="2857"/>
      <c r="AE2014" s="2857"/>
      <c r="AF2014" s="2857"/>
      <c r="AG2014" s="2857"/>
      <c r="BB2014" s="575"/>
      <c r="BC2014" s="576"/>
      <c r="BD2014" s="678"/>
      <c r="BE2014" s="585"/>
    </row>
    <row r="2015" spans="1:57" s="1942" customFormat="1" ht="15" hidden="1" customHeight="1" outlineLevel="1" x14ac:dyDescent="0.25">
      <c r="A2015" s="2060"/>
      <c r="B2015" s="123"/>
      <c r="C2015" s="328"/>
      <c r="D2015" s="3990"/>
      <c r="E2015" s="4009"/>
      <c r="F2015" s="3010" t="str">
        <f>$E$1461</f>
        <v>ASHP-SEER15-Replace_CAC_NonElectricHeat_ER1_MF_CompE</v>
      </c>
      <c r="G2015" s="2676"/>
      <c r="H2015" s="2676"/>
      <c r="I2015" s="2677"/>
      <c r="J2015" s="3298" t="str">
        <f>$C$1461</f>
        <v>352761_2021_12_</v>
      </c>
      <c r="K2015" s="2225">
        <v>510</v>
      </c>
      <c r="L2015" s="851"/>
      <c r="M2015" s="1595"/>
      <c r="N2015" s="123"/>
      <c r="O2015" s="228"/>
      <c r="P2015" s="844"/>
      <c r="Q2015" s="844"/>
      <c r="R2015" s="844"/>
      <c r="S2015" s="832"/>
      <c r="T2015" s="3082"/>
      <c r="U2015" s="123"/>
      <c r="V2015" s="3990"/>
      <c r="W2015" s="2857"/>
      <c r="X2015" s="3155"/>
      <c r="Y2015" s="3155"/>
      <c r="Z2015" s="2857"/>
      <c r="AA2015" s="2857"/>
      <c r="AB2015" s="2857"/>
      <c r="AC2015" s="2225">
        <v>510</v>
      </c>
      <c r="AD2015" s="2857"/>
      <c r="AE2015" s="2857"/>
      <c r="AF2015" s="2857"/>
      <c r="AG2015" s="2857"/>
      <c r="BB2015" s="575"/>
      <c r="BC2015" s="576"/>
      <c r="BD2015" s="678"/>
      <c r="BE2015" s="585"/>
    </row>
    <row r="2016" spans="1:57" s="1942" customFormat="1" ht="15" hidden="1" customHeight="1" outlineLevel="1" x14ac:dyDescent="0.25">
      <c r="A2016" s="2060"/>
      <c r="B2016" s="123"/>
      <c r="C2016" s="328"/>
      <c r="D2016" s="3990"/>
      <c r="E2016" s="4009"/>
      <c r="F2016" s="3010" t="str">
        <f>$E$1463</f>
        <v>ASHP-SEER15-Replace_CAC_NonElectricHeat_ER2_MF_CompE</v>
      </c>
      <c r="G2016" s="2676"/>
      <c r="H2016" s="2676"/>
      <c r="I2016" s="2677"/>
      <c r="J2016" s="3298" t="str">
        <f>$C$1463</f>
        <v>352761_2021_12_</v>
      </c>
      <c r="K2016" s="2225">
        <v>510</v>
      </c>
      <c r="L2016" s="851"/>
      <c r="M2016" s="1595"/>
      <c r="N2016" s="123"/>
      <c r="O2016" s="228"/>
      <c r="P2016" s="844"/>
      <c r="Q2016" s="844"/>
      <c r="R2016" s="844"/>
      <c r="S2016" s="832"/>
      <c r="T2016" s="3082"/>
      <c r="U2016" s="123"/>
      <c r="V2016" s="3990"/>
      <c r="W2016" s="2857"/>
      <c r="X2016" s="3155"/>
      <c r="Y2016" s="3155"/>
      <c r="Z2016" s="2857"/>
      <c r="AA2016" s="2857"/>
      <c r="AB2016" s="2857"/>
      <c r="AC2016" s="2225">
        <v>510</v>
      </c>
      <c r="AD2016" s="2857"/>
      <c r="AE2016" s="2857"/>
      <c r="AF2016" s="2857"/>
      <c r="AG2016" s="2857"/>
      <c r="BB2016" s="575"/>
      <c r="BC2016" s="576"/>
      <c r="BD2016" s="678"/>
      <c r="BE2016" s="585"/>
    </row>
    <row r="2017" spans="1:57" s="51" customFormat="1" ht="15" hidden="1" customHeight="1" outlineLevel="1" x14ac:dyDescent="0.25">
      <c r="A2017" s="2060"/>
      <c r="B2017" s="123"/>
      <c r="C2017" s="328"/>
      <c r="D2017" s="3990"/>
      <c r="E2017" s="4009"/>
      <c r="F2017" s="3010" t="str">
        <f>$E$1465</f>
        <v>ASHP-SEER15-Replace_CAC_ElectricHeat_ROF_MF</v>
      </c>
      <c r="G2017" s="2676"/>
      <c r="H2017" s="2676"/>
      <c r="I2017" s="2677"/>
      <c r="J2017" s="3299" t="str">
        <f>$C$1465</f>
        <v>352800_2019_12_</v>
      </c>
      <c r="K2017" s="2857">
        <v>1496</v>
      </c>
      <c r="L2017" s="851"/>
      <c r="M2017" s="1595"/>
      <c r="N2017" s="123"/>
      <c r="O2017" s="228"/>
      <c r="P2017" s="844"/>
      <c r="Q2017" s="844"/>
      <c r="R2017" s="844"/>
      <c r="S2017" s="832"/>
      <c r="T2017" s="3082"/>
      <c r="U2017" s="123"/>
      <c r="V2017" s="3990"/>
      <c r="W2017" s="2857">
        <v>2009</v>
      </c>
      <c r="X2017" s="3155">
        <v>1496</v>
      </c>
      <c r="Y2017" s="2857">
        <v>1496</v>
      </c>
      <c r="Z2017" s="2857">
        <v>1496</v>
      </c>
      <c r="AA2017" s="2857">
        <v>1496</v>
      </c>
      <c r="AB2017" s="2857">
        <v>1496</v>
      </c>
      <c r="AC2017" s="2857">
        <v>1496</v>
      </c>
      <c r="AD2017" s="2857"/>
      <c r="AE2017" s="2857"/>
      <c r="AF2017" s="2857"/>
      <c r="AG2017" s="2857"/>
      <c r="AH2017" s="1942"/>
      <c r="AI2017" s="1942"/>
      <c r="AJ2017" s="1942"/>
      <c r="AK2017" s="1942"/>
      <c r="AL2017" s="1942"/>
      <c r="AM2017" s="1942"/>
      <c r="AN2017" s="1942"/>
      <c r="AO2017" s="1942"/>
      <c r="AP2017" s="1942"/>
      <c r="AQ2017" s="1942"/>
      <c r="AR2017" s="1942"/>
      <c r="AS2017" s="1942"/>
      <c r="AT2017" s="1942"/>
      <c r="AU2017" s="1942"/>
      <c r="AV2017" s="1942"/>
      <c r="AW2017" s="1942"/>
      <c r="AX2017" s="1942"/>
      <c r="AY2017" s="1942"/>
      <c r="AZ2017" s="1942"/>
      <c r="BA2017" s="1942"/>
      <c r="BB2017" s="575"/>
      <c r="BC2017" s="576"/>
      <c r="BD2017" s="678"/>
      <c r="BE2017" s="585"/>
    </row>
    <row r="2018" spans="1:57" s="51" customFormat="1" ht="15" hidden="1" customHeight="1" outlineLevel="1" x14ac:dyDescent="0.25">
      <c r="A2018" s="2060"/>
      <c r="B2018" s="123"/>
      <c r="C2018" s="328"/>
      <c r="D2018" s="3990"/>
      <c r="E2018" s="4009"/>
      <c r="F2018" s="3010" t="str">
        <f>$E$1467</f>
        <v>ASHP-SEER15-Replace_CAC_ElectricHeat_ROF_MF_CompE</v>
      </c>
      <c r="G2018" s="2676"/>
      <c r="H2018" s="2676"/>
      <c r="I2018" s="2677"/>
      <c r="J2018" s="3299" t="str">
        <f>$C$1467</f>
        <v>352801_2021_12_</v>
      </c>
      <c r="K2018" s="2857">
        <v>510</v>
      </c>
      <c r="L2018" s="851"/>
      <c r="M2018" s="1595" t="s">
        <v>1558</v>
      </c>
      <c r="N2018" s="123"/>
      <c r="O2018" s="228"/>
      <c r="P2018" s="844"/>
      <c r="Q2018" s="844"/>
      <c r="R2018" s="844"/>
      <c r="S2018" s="832"/>
      <c r="T2018" s="3082"/>
      <c r="U2018" s="123"/>
      <c r="V2018" s="3990"/>
      <c r="W2018" s="2857"/>
      <c r="X2018" s="3155"/>
      <c r="Y2018" s="3155">
        <v>510</v>
      </c>
      <c r="Z2018" s="2857">
        <v>510</v>
      </c>
      <c r="AA2018" s="2857">
        <v>510</v>
      </c>
      <c r="AB2018" s="2857">
        <v>510</v>
      </c>
      <c r="AC2018" s="2857">
        <v>510</v>
      </c>
      <c r="AD2018" s="2857"/>
      <c r="AE2018" s="2857"/>
      <c r="AF2018" s="2857"/>
      <c r="AG2018" s="2857"/>
      <c r="AH2018" s="1942"/>
      <c r="AI2018" s="1942"/>
      <c r="AJ2018" s="1942"/>
      <c r="AK2018" s="1942"/>
      <c r="AL2018" s="1942"/>
      <c r="AM2018" s="1942"/>
      <c r="AN2018" s="1942"/>
      <c r="AO2018" s="1942"/>
      <c r="AP2018" s="1942"/>
      <c r="AQ2018" s="1942"/>
      <c r="AR2018" s="1942"/>
      <c r="AS2018" s="1942"/>
      <c r="AT2018" s="1942"/>
      <c r="AU2018" s="1942"/>
      <c r="AV2018" s="1942"/>
      <c r="AW2018" s="1942"/>
      <c r="AX2018" s="1942"/>
      <c r="AY2018" s="1942"/>
      <c r="AZ2018" s="1942"/>
      <c r="BA2018" s="1942"/>
      <c r="BB2018" s="575"/>
      <c r="BC2018" s="576"/>
      <c r="BD2018" s="678"/>
      <c r="BE2018" s="585"/>
    </row>
    <row r="2019" spans="1:57" s="1942" customFormat="1" ht="15" hidden="1" customHeight="1" outlineLevel="1" x14ac:dyDescent="0.25">
      <c r="A2019" s="2060"/>
      <c r="B2019" s="123"/>
      <c r="C2019" s="328"/>
      <c r="D2019" s="3990"/>
      <c r="E2019" s="4009"/>
      <c r="F2019" s="3010" t="str">
        <f>$E$1469</f>
        <v>ASHP-SEER15-Replace_CAC_NonElectricHeat_ROF_MF</v>
      </c>
      <c r="G2019" s="2676"/>
      <c r="H2019" s="2676"/>
      <c r="I2019" s="2677"/>
      <c r="J2019" s="3298" t="str">
        <f>$C$1469</f>
        <v>352810_2021_12_</v>
      </c>
      <c r="K2019" s="2225">
        <v>1496</v>
      </c>
      <c r="L2019" s="851"/>
      <c r="M2019" s="1595"/>
      <c r="N2019" s="123"/>
      <c r="O2019" s="228"/>
      <c r="P2019" s="844"/>
      <c r="Q2019" s="844"/>
      <c r="R2019" s="844"/>
      <c r="S2019" s="832"/>
      <c r="T2019" s="3082"/>
      <c r="U2019" s="123"/>
      <c r="V2019" s="3990"/>
      <c r="W2019" s="2857"/>
      <c r="X2019" s="3155"/>
      <c r="Y2019" s="3155"/>
      <c r="Z2019" s="2857"/>
      <c r="AA2019" s="2857"/>
      <c r="AB2019" s="2857"/>
      <c r="AC2019" s="2225">
        <v>1496</v>
      </c>
      <c r="AD2019" s="2857"/>
      <c r="AE2019" s="2857"/>
      <c r="AF2019" s="2857"/>
      <c r="AG2019" s="2857"/>
      <c r="BB2019" s="575"/>
      <c r="BC2019" s="576"/>
      <c r="BD2019" s="678"/>
      <c r="BE2019" s="585"/>
    </row>
    <row r="2020" spans="1:57" s="1942" customFormat="1" ht="15" hidden="1" customHeight="1" outlineLevel="1" x14ac:dyDescent="0.25">
      <c r="A2020" s="2060"/>
      <c r="B2020" s="123"/>
      <c r="C2020" s="328"/>
      <c r="D2020" s="3990"/>
      <c r="E2020" s="4009"/>
      <c r="F2020" s="3010" t="str">
        <f>$E$1471</f>
        <v>ASHP-SEER15-Replace_CAC_NonElectricHeat_ROF_MF_CompE</v>
      </c>
      <c r="G2020" s="2676"/>
      <c r="H2020" s="2676"/>
      <c r="I2020" s="2677"/>
      <c r="J2020" s="3298" t="str">
        <f>$C$1471</f>
        <v>352811_2021_12_</v>
      </c>
      <c r="K2020" s="2225">
        <v>510</v>
      </c>
      <c r="L2020" s="851"/>
      <c r="M2020" s="1595"/>
      <c r="N2020" s="123"/>
      <c r="O2020" s="228"/>
      <c r="P2020" s="844"/>
      <c r="Q2020" s="844"/>
      <c r="R2020" s="844"/>
      <c r="S2020" s="832"/>
      <c r="T2020" s="3082"/>
      <c r="U2020" s="123"/>
      <c r="V2020" s="3990"/>
      <c r="W2020" s="2857"/>
      <c r="X2020" s="3155"/>
      <c r="Y2020" s="3155"/>
      <c r="Z2020" s="2857"/>
      <c r="AA2020" s="2857"/>
      <c r="AB2020" s="2857"/>
      <c r="AC2020" s="2225">
        <v>510</v>
      </c>
      <c r="AD2020" s="2857"/>
      <c r="AE2020" s="2857"/>
      <c r="AF2020" s="2857"/>
      <c r="AG2020" s="2857"/>
      <c r="BB2020" s="575"/>
      <c r="BC2020" s="576"/>
      <c r="BD2020" s="678"/>
      <c r="BE2020" s="585"/>
    </row>
    <row r="2021" spans="1:57" s="51" customFormat="1" ht="15" hidden="1" customHeight="1" outlineLevel="1" x14ac:dyDescent="0.25">
      <c r="A2021" s="2060"/>
      <c r="B2021" s="123"/>
      <c r="C2021" s="328"/>
      <c r="D2021" s="3990"/>
      <c r="E2021" s="4009"/>
      <c r="F2021" s="3010" t="str">
        <f>$E$1473</f>
        <v>ASHP-SEER16_ER1_MF</v>
      </c>
      <c r="G2021" s="2676"/>
      <c r="H2021" s="2676"/>
      <c r="I2021" s="2677"/>
      <c r="J2021" s="3298" t="str">
        <f>$C$1473</f>
        <v>352850_2021_12_</v>
      </c>
      <c r="K2021" s="2857">
        <v>1496</v>
      </c>
      <c r="L2021" s="851"/>
      <c r="M2021" s="1595"/>
      <c r="N2021" s="123"/>
      <c r="O2021" s="228"/>
      <c r="P2021" s="844"/>
      <c r="Q2021" s="844"/>
      <c r="R2021" s="844"/>
      <c r="S2021" s="832"/>
      <c r="T2021" s="3082"/>
      <c r="U2021" s="123"/>
      <c r="V2021" s="3990"/>
      <c r="W2021" s="2857">
        <v>2009</v>
      </c>
      <c r="X2021" s="3155">
        <v>1496</v>
      </c>
      <c r="Y2021" s="2857">
        <v>1496</v>
      </c>
      <c r="Z2021" s="2857">
        <v>1496</v>
      </c>
      <c r="AA2021" s="2857">
        <v>1496</v>
      </c>
      <c r="AB2021" s="2857">
        <v>1496</v>
      </c>
      <c r="AC2021" s="2857">
        <v>1496</v>
      </c>
      <c r="AD2021" s="2857"/>
      <c r="AE2021" s="2857"/>
      <c r="AF2021" s="2857"/>
      <c r="AG2021" s="2857"/>
      <c r="AH2021" s="1942"/>
      <c r="AI2021" s="1942"/>
      <c r="AJ2021" s="1942"/>
      <c r="AK2021" s="1942"/>
      <c r="AL2021" s="1942"/>
      <c r="AM2021" s="1942"/>
      <c r="AN2021" s="1942"/>
      <c r="AO2021" s="1942"/>
      <c r="AP2021" s="1942"/>
      <c r="AQ2021" s="1942"/>
      <c r="AR2021" s="1942"/>
      <c r="AS2021" s="1942"/>
      <c r="AT2021" s="1942"/>
      <c r="AU2021" s="1942"/>
      <c r="AV2021" s="1942"/>
      <c r="AW2021" s="1942"/>
      <c r="AX2021" s="1942"/>
      <c r="AY2021" s="1942"/>
      <c r="AZ2021" s="1942"/>
      <c r="BA2021" s="1942"/>
      <c r="BB2021" s="575"/>
      <c r="BC2021" s="576"/>
      <c r="BD2021" s="678"/>
      <c r="BE2021" s="585"/>
    </row>
    <row r="2022" spans="1:57" s="51" customFormat="1" ht="15" hidden="1" customHeight="1" outlineLevel="1" x14ac:dyDescent="0.25">
      <c r="A2022" s="2060"/>
      <c r="B2022" s="123"/>
      <c r="C2022" s="328"/>
      <c r="D2022" s="3990"/>
      <c r="E2022" s="4009"/>
      <c r="F2022" s="3010" t="str">
        <f>$E$1475</f>
        <v>ASHP-SEER16_ER2_MF</v>
      </c>
      <c r="G2022" s="2676"/>
      <c r="H2022" s="2676"/>
      <c r="I2022" s="2677"/>
      <c r="J2022" s="3298" t="str">
        <f>$C$1475</f>
        <v>352850_2021_12_</v>
      </c>
      <c r="K2022" s="2857">
        <v>1496</v>
      </c>
      <c r="L2022" s="851"/>
      <c r="M2022" s="1595"/>
      <c r="N2022" s="123"/>
      <c r="O2022" s="228"/>
      <c r="P2022" s="844"/>
      <c r="Q2022" s="844"/>
      <c r="R2022" s="844"/>
      <c r="S2022" s="832"/>
      <c r="T2022" s="3082"/>
      <c r="U2022" s="123"/>
      <c r="V2022" s="3990"/>
      <c r="W2022" s="2857">
        <v>2009</v>
      </c>
      <c r="X2022" s="3155">
        <v>1496</v>
      </c>
      <c r="Y2022" s="2857">
        <v>1496</v>
      </c>
      <c r="Z2022" s="2857">
        <v>1496</v>
      </c>
      <c r="AA2022" s="2857">
        <v>1496</v>
      </c>
      <c r="AB2022" s="2857">
        <v>1496</v>
      </c>
      <c r="AC2022" s="2857">
        <v>1496</v>
      </c>
      <c r="AD2022" s="2857"/>
      <c r="AE2022" s="2857"/>
      <c r="AF2022" s="2857"/>
      <c r="AG2022" s="2857"/>
      <c r="AH2022" s="1942"/>
      <c r="AI2022" s="1942"/>
      <c r="AJ2022" s="1942"/>
      <c r="AK2022" s="1942"/>
      <c r="AL2022" s="1942"/>
      <c r="AM2022" s="1942"/>
      <c r="AN2022" s="1942"/>
      <c r="AO2022" s="1942"/>
      <c r="AP2022" s="1942"/>
      <c r="AQ2022" s="1942"/>
      <c r="AR2022" s="1942"/>
      <c r="AS2022" s="1942"/>
      <c r="AT2022" s="1942"/>
      <c r="AU2022" s="1942"/>
      <c r="AV2022" s="1942"/>
      <c r="AW2022" s="1942"/>
      <c r="AX2022" s="1942"/>
      <c r="AY2022" s="1942"/>
      <c r="AZ2022" s="1942"/>
      <c r="BA2022" s="1942"/>
      <c r="BB2022" s="575"/>
      <c r="BC2022" s="576"/>
      <c r="BD2022" s="678"/>
      <c r="BE2022" s="585"/>
    </row>
    <row r="2023" spans="1:57" s="51" customFormat="1" ht="15" hidden="1" customHeight="1" outlineLevel="1" x14ac:dyDescent="0.25">
      <c r="A2023" s="2060"/>
      <c r="B2023" s="123"/>
      <c r="C2023" s="328"/>
      <c r="D2023" s="3990"/>
      <c r="E2023" s="4009"/>
      <c r="F2023" s="3010" t="str">
        <f>$E$1477</f>
        <v>ASHP-SEER16_ER1_MF_CompE</v>
      </c>
      <c r="G2023" s="2676"/>
      <c r="H2023" s="2676"/>
      <c r="I2023" s="2677"/>
      <c r="J2023" s="3298" t="str">
        <f>$C$1477</f>
        <v>352851_2021_12_</v>
      </c>
      <c r="K2023" s="2857">
        <v>510</v>
      </c>
      <c r="L2023" s="851"/>
      <c r="M2023" s="1595" t="s">
        <v>1558</v>
      </c>
      <c r="N2023" s="123"/>
      <c r="O2023" s="228"/>
      <c r="P2023" s="844"/>
      <c r="Q2023" s="844"/>
      <c r="R2023" s="844"/>
      <c r="S2023" s="832"/>
      <c r="T2023" s="3082"/>
      <c r="U2023" s="123"/>
      <c r="V2023" s="3990"/>
      <c r="W2023" s="2857"/>
      <c r="X2023" s="3155"/>
      <c r="Y2023" s="3155">
        <v>510</v>
      </c>
      <c r="Z2023" s="2857">
        <v>510</v>
      </c>
      <c r="AA2023" s="2857">
        <v>510</v>
      </c>
      <c r="AB2023" s="2857">
        <v>510</v>
      </c>
      <c r="AC2023" s="2857">
        <v>510</v>
      </c>
      <c r="AD2023" s="2857"/>
      <c r="AE2023" s="2857"/>
      <c r="AF2023" s="2857"/>
      <c r="AG2023" s="2857"/>
      <c r="AH2023" s="1942"/>
      <c r="AI2023" s="1942"/>
      <c r="AJ2023" s="1942"/>
      <c r="AK2023" s="1942"/>
      <c r="AL2023" s="1942"/>
      <c r="AM2023" s="1942"/>
      <c r="AN2023" s="1942"/>
      <c r="AO2023" s="1942"/>
      <c r="AP2023" s="1942"/>
      <c r="AQ2023" s="1942"/>
      <c r="AR2023" s="1942"/>
      <c r="AS2023" s="1942"/>
      <c r="AT2023" s="1942"/>
      <c r="AU2023" s="1942"/>
      <c r="AV2023" s="1942"/>
      <c r="AW2023" s="1942"/>
      <c r="AX2023" s="1942"/>
      <c r="AY2023" s="1942"/>
      <c r="AZ2023" s="1942"/>
      <c r="BA2023" s="1942"/>
      <c r="BB2023" s="575"/>
      <c r="BC2023" s="576"/>
      <c r="BD2023" s="678"/>
      <c r="BE2023" s="585"/>
    </row>
    <row r="2024" spans="1:57" s="51" customFormat="1" ht="15" hidden="1" customHeight="1" outlineLevel="1" x14ac:dyDescent="0.25">
      <c r="A2024" s="2060"/>
      <c r="B2024" s="123"/>
      <c r="C2024" s="328"/>
      <c r="D2024" s="3990"/>
      <c r="E2024" s="4009"/>
      <c r="F2024" s="3010" t="str">
        <f>$E$1479</f>
        <v>ASHP-SEER16_ER2_MF_CompE</v>
      </c>
      <c r="G2024" s="2676"/>
      <c r="H2024" s="2676"/>
      <c r="I2024" s="2677"/>
      <c r="J2024" s="3298" t="str">
        <f>$C$1479</f>
        <v>352851_2021_12_</v>
      </c>
      <c r="K2024" s="2857">
        <v>510</v>
      </c>
      <c r="L2024" s="851"/>
      <c r="M2024" s="1595" t="s">
        <v>1558</v>
      </c>
      <c r="N2024" s="123"/>
      <c r="O2024" s="228"/>
      <c r="P2024" s="844"/>
      <c r="Q2024" s="844"/>
      <c r="R2024" s="844"/>
      <c r="S2024" s="832"/>
      <c r="T2024" s="3082"/>
      <c r="U2024" s="123"/>
      <c r="V2024" s="3990"/>
      <c r="W2024" s="2857"/>
      <c r="X2024" s="3155"/>
      <c r="Y2024" s="3155">
        <v>510</v>
      </c>
      <c r="Z2024" s="2857">
        <v>510</v>
      </c>
      <c r="AA2024" s="2857">
        <v>510</v>
      </c>
      <c r="AB2024" s="2857">
        <v>510</v>
      </c>
      <c r="AC2024" s="2857">
        <v>510</v>
      </c>
      <c r="AD2024" s="2857"/>
      <c r="AE2024" s="2857"/>
      <c r="AF2024" s="2857"/>
      <c r="AG2024" s="2857"/>
      <c r="AH2024" s="1942"/>
      <c r="AI2024" s="1942"/>
      <c r="AJ2024" s="1942"/>
      <c r="AK2024" s="1942"/>
      <c r="AL2024" s="1942"/>
      <c r="AM2024" s="1942"/>
      <c r="AN2024" s="1942"/>
      <c r="AO2024" s="1942"/>
      <c r="AP2024" s="1942"/>
      <c r="AQ2024" s="1942"/>
      <c r="AR2024" s="1942"/>
      <c r="AS2024" s="1942"/>
      <c r="AT2024" s="1942"/>
      <c r="AU2024" s="1942"/>
      <c r="AV2024" s="1942"/>
      <c r="AW2024" s="1942"/>
      <c r="AX2024" s="1942"/>
      <c r="AY2024" s="1942"/>
      <c r="AZ2024" s="1942"/>
      <c r="BA2024" s="1942"/>
      <c r="BB2024" s="575"/>
      <c r="BC2024" s="576"/>
      <c r="BD2024" s="678"/>
      <c r="BE2024" s="585"/>
    </row>
    <row r="2025" spans="1:57" s="51" customFormat="1" ht="15" hidden="1" customHeight="1" outlineLevel="1" x14ac:dyDescent="0.25">
      <c r="A2025" s="2060"/>
      <c r="B2025" s="123"/>
      <c r="C2025" s="328"/>
      <c r="D2025" s="3990"/>
      <c r="E2025" s="4009"/>
      <c r="F2025" s="3010" t="str">
        <f>$E$1481</f>
        <v>ASHP-SEER16_ROF_MF</v>
      </c>
      <c r="G2025" s="2676"/>
      <c r="H2025" s="2676"/>
      <c r="I2025" s="2677"/>
      <c r="J2025" s="3298" t="str">
        <f>$C$1481</f>
        <v>352900_2021_12_</v>
      </c>
      <c r="K2025" s="2857">
        <v>1496</v>
      </c>
      <c r="L2025" s="851"/>
      <c r="M2025" s="1595"/>
      <c r="N2025" s="123"/>
      <c r="O2025" s="228"/>
      <c r="P2025" s="844"/>
      <c r="Q2025" s="844"/>
      <c r="R2025" s="844"/>
      <c r="S2025" s="832"/>
      <c r="T2025" s="3082"/>
      <c r="U2025" s="123"/>
      <c r="V2025" s="3990"/>
      <c r="W2025" s="2857">
        <v>2009</v>
      </c>
      <c r="X2025" s="3155">
        <v>1496</v>
      </c>
      <c r="Y2025" s="2857">
        <v>1496</v>
      </c>
      <c r="Z2025" s="2857">
        <v>1496</v>
      </c>
      <c r="AA2025" s="2857">
        <v>1496</v>
      </c>
      <c r="AB2025" s="2857">
        <v>1496</v>
      </c>
      <c r="AC2025" s="2857">
        <v>1496</v>
      </c>
      <c r="AD2025" s="2857"/>
      <c r="AE2025" s="2857"/>
      <c r="AF2025" s="2857"/>
      <c r="AG2025" s="2857"/>
      <c r="AH2025" s="1942"/>
      <c r="AI2025" s="1942"/>
      <c r="AJ2025" s="1942"/>
      <c r="AK2025" s="1942"/>
      <c r="AL2025" s="1942"/>
      <c r="AM2025" s="1942"/>
      <c r="AN2025" s="1942"/>
      <c r="AO2025" s="1942"/>
      <c r="AP2025" s="1942"/>
      <c r="AQ2025" s="1942"/>
      <c r="AR2025" s="1942"/>
      <c r="AS2025" s="1942"/>
      <c r="AT2025" s="1942"/>
      <c r="AU2025" s="1942"/>
      <c r="AV2025" s="1942"/>
      <c r="AW2025" s="1942"/>
      <c r="AX2025" s="1942"/>
      <c r="AY2025" s="1942"/>
      <c r="AZ2025" s="1942"/>
      <c r="BA2025" s="1942"/>
      <c r="BB2025" s="575"/>
      <c r="BC2025" s="576"/>
      <c r="BD2025" s="678"/>
      <c r="BE2025" s="585"/>
    </row>
    <row r="2026" spans="1:57" s="51" customFormat="1" ht="15" hidden="1" customHeight="1" outlineLevel="1" x14ac:dyDescent="0.25">
      <c r="A2026" s="2060"/>
      <c r="B2026" s="123"/>
      <c r="C2026" s="328"/>
      <c r="D2026" s="3990"/>
      <c r="E2026" s="4009"/>
      <c r="F2026" s="3010" t="str">
        <f>$E$1483</f>
        <v>ASHP-SEER16_ROF_MF_CompE</v>
      </c>
      <c r="G2026" s="2676"/>
      <c r="H2026" s="2676"/>
      <c r="I2026" s="2677"/>
      <c r="J2026" s="3298" t="str">
        <f>$C$1483</f>
        <v>352901_2021_12_</v>
      </c>
      <c r="K2026" s="2857">
        <v>510</v>
      </c>
      <c r="L2026" s="851"/>
      <c r="M2026" s="1595" t="s">
        <v>1558</v>
      </c>
      <c r="N2026" s="123"/>
      <c r="O2026" s="228"/>
      <c r="P2026" s="844"/>
      <c r="Q2026" s="844"/>
      <c r="R2026" s="844"/>
      <c r="S2026" s="832"/>
      <c r="T2026" s="3082"/>
      <c r="U2026" s="123"/>
      <c r="V2026" s="3990"/>
      <c r="W2026" s="2857"/>
      <c r="X2026" s="3155"/>
      <c r="Y2026" s="3155">
        <v>510</v>
      </c>
      <c r="Z2026" s="2857">
        <v>510</v>
      </c>
      <c r="AA2026" s="2857">
        <v>510</v>
      </c>
      <c r="AB2026" s="2857">
        <v>510</v>
      </c>
      <c r="AC2026" s="2857">
        <v>510</v>
      </c>
      <c r="AD2026" s="2857"/>
      <c r="AE2026" s="2857"/>
      <c r="AF2026" s="2857"/>
      <c r="AG2026" s="2857"/>
      <c r="AH2026" s="1942"/>
      <c r="AI2026" s="1942"/>
      <c r="AJ2026" s="1942"/>
      <c r="AK2026" s="1942"/>
      <c r="AL2026" s="1942"/>
      <c r="AM2026" s="1942"/>
      <c r="AN2026" s="1942"/>
      <c r="AO2026" s="1942"/>
      <c r="AP2026" s="1942"/>
      <c r="AQ2026" s="1942"/>
      <c r="AR2026" s="1942"/>
      <c r="AS2026" s="1942"/>
      <c r="AT2026" s="1942"/>
      <c r="AU2026" s="1942"/>
      <c r="AV2026" s="1942"/>
      <c r="AW2026" s="1942"/>
      <c r="AX2026" s="1942"/>
      <c r="AY2026" s="1942"/>
      <c r="AZ2026" s="1942"/>
      <c r="BA2026" s="1942"/>
      <c r="BB2026" s="575"/>
      <c r="BC2026" s="576"/>
      <c r="BD2026" s="678"/>
      <c r="BE2026" s="585"/>
    </row>
    <row r="2027" spans="1:57" s="51" customFormat="1" ht="15" hidden="1" customHeight="1" outlineLevel="1" x14ac:dyDescent="0.25">
      <c r="A2027" s="2060"/>
      <c r="B2027" s="123"/>
      <c r="C2027" s="328"/>
      <c r="D2027" s="3990"/>
      <c r="E2027" s="4009"/>
      <c r="F2027" s="3010" t="str">
        <f>$E$1485</f>
        <v>ASHP-SEER16-Replace_CAC_ElectricHeat_ROF_MF</v>
      </c>
      <c r="G2027" s="2676"/>
      <c r="H2027" s="2676"/>
      <c r="I2027" s="2677"/>
      <c r="J2027" s="3299" t="str">
        <f>$C$1485</f>
        <v>352950_2019_12_</v>
      </c>
      <c r="K2027" s="2857">
        <v>1496</v>
      </c>
      <c r="L2027" s="851"/>
      <c r="M2027" s="1595"/>
      <c r="N2027" s="123"/>
      <c r="O2027" s="228"/>
      <c r="P2027" s="844"/>
      <c r="Q2027" s="844"/>
      <c r="R2027" s="844"/>
      <c r="S2027" s="832"/>
      <c r="T2027" s="3082"/>
      <c r="U2027" s="123"/>
      <c r="V2027" s="3990"/>
      <c r="W2027" s="2857">
        <v>2009</v>
      </c>
      <c r="X2027" s="3155">
        <v>1496</v>
      </c>
      <c r="Y2027" s="2857">
        <v>1496</v>
      </c>
      <c r="Z2027" s="2857">
        <v>1496</v>
      </c>
      <c r="AA2027" s="2857">
        <v>1496</v>
      </c>
      <c r="AB2027" s="2857">
        <v>1496</v>
      </c>
      <c r="AC2027" s="2857">
        <v>1496</v>
      </c>
      <c r="AD2027" s="2857"/>
      <c r="AE2027" s="2857"/>
      <c r="AF2027" s="2857"/>
      <c r="AG2027" s="2857"/>
      <c r="AH2027" s="1942"/>
      <c r="AI2027" s="1942"/>
      <c r="AJ2027" s="1942"/>
      <c r="AK2027" s="1942"/>
      <c r="AL2027" s="1942"/>
      <c r="AM2027" s="1942"/>
      <c r="AN2027" s="1942"/>
      <c r="AO2027" s="1942"/>
      <c r="AP2027" s="1942"/>
      <c r="AQ2027" s="1942"/>
      <c r="AR2027" s="1942"/>
      <c r="AS2027" s="1942"/>
      <c r="AT2027" s="1942"/>
      <c r="AU2027" s="1942"/>
      <c r="AV2027" s="1942"/>
      <c r="AW2027" s="1942"/>
      <c r="AX2027" s="1942"/>
      <c r="AY2027" s="1942"/>
      <c r="AZ2027" s="1942"/>
      <c r="BA2027" s="1942"/>
      <c r="BB2027" s="575"/>
      <c r="BC2027" s="576"/>
      <c r="BD2027" s="678"/>
      <c r="BE2027" s="585"/>
    </row>
    <row r="2028" spans="1:57" s="51" customFormat="1" ht="15" hidden="1" customHeight="1" outlineLevel="1" x14ac:dyDescent="0.25">
      <c r="A2028" s="2060"/>
      <c r="B2028" s="123"/>
      <c r="C2028" s="328"/>
      <c r="D2028" s="3990"/>
      <c r="E2028" s="4009"/>
      <c r="F2028" s="3010" t="str">
        <f>$E$1487</f>
        <v>ASHP-SEER16-Replace_CAC_ElectricHeat_ROF_MF_CompE</v>
      </c>
      <c r="G2028" s="2676"/>
      <c r="H2028" s="2676"/>
      <c r="I2028" s="2677"/>
      <c r="J2028" s="3299" t="str">
        <f>$C$1487</f>
        <v>352951_2019_12_</v>
      </c>
      <c r="K2028" s="2857">
        <v>510</v>
      </c>
      <c r="L2028" s="851"/>
      <c r="M2028" s="1595" t="s">
        <v>1558</v>
      </c>
      <c r="N2028" s="123"/>
      <c r="O2028" s="228"/>
      <c r="P2028" s="844"/>
      <c r="Q2028" s="844"/>
      <c r="R2028" s="844"/>
      <c r="S2028" s="832"/>
      <c r="T2028" s="3082"/>
      <c r="U2028" s="123"/>
      <c r="V2028" s="3990"/>
      <c r="W2028" s="2857"/>
      <c r="X2028" s="3155"/>
      <c r="Y2028" s="3155">
        <v>510</v>
      </c>
      <c r="Z2028" s="2857">
        <v>510</v>
      </c>
      <c r="AA2028" s="2857">
        <v>510</v>
      </c>
      <c r="AB2028" s="2857">
        <v>510</v>
      </c>
      <c r="AC2028" s="2857">
        <v>510</v>
      </c>
      <c r="AD2028" s="2857"/>
      <c r="AE2028" s="2857"/>
      <c r="AF2028" s="2857"/>
      <c r="AG2028" s="2857"/>
      <c r="AH2028" s="1942"/>
      <c r="AI2028" s="1942"/>
      <c r="AJ2028" s="1942"/>
      <c r="AK2028" s="1942"/>
      <c r="AL2028" s="1942"/>
      <c r="AM2028" s="1942"/>
      <c r="AN2028" s="1942"/>
      <c r="AO2028" s="1942"/>
      <c r="AP2028" s="1942"/>
      <c r="AQ2028" s="1942"/>
      <c r="AR2028" s="1942"/>
      <c r="AS2028" s="1942"/>
      <c r="AT2028" s="1942"/>
      <c r="AU2028" s="1942"/>
      <c r="AV2028" s="1942"/>
      <c r="AW2028" s="1942"/>
      <c r="AX2028" s="1942"/>
      <c r="AY2028" s="1942"/>
      <c r="AZ2028" s="1942"/>
      <c r="BA2028" s="1942"/>
      <c r="BB2028" s="575"/>
      <c r="BC2028" s="576"/>
      <c r="BD2028" s="678"/>
      <c r="BE2028" s="585"/>
    </row>
    <row r="2029" spans="1:57" s="1942" customFormat="1" ht="15" hidden="1" customHeight="1" outlineLevel="1" x14ac:dyDescent="0.25">
      <c r="A2029" s="2060"/>
      <c r="B2029" s="123"/>
      <c r="C2029" s="328"/>
      <c r="D2029" s="3990"/>
      <c r="E2029" s="4009"/>
      <c r="F2029" s="3010" t="str">
        <f>$E$1489</f>
        <v>ASHP-SEER16-Replace_CAC_NonElectricHeat_ROF_MF</v>
      </c>
      <c r="G2029" s="2676"/>
      <c r="H2029" s="2676"/>
      <c r="I2029" s="2677"/>
      <c r="J2029" s="3298" t="str">
        <f>$C$1489</f>
        <v>352960_2021_12_</v>
      </c>
      <c r="K2029" s="2225">
        <v>1496</v>
      </c>
      <c r="L2029" s="851"/>
      <c r="M2029" s="1595"/>
      <c r="N2029" s="123"/>
      <c r="O2029" s="228"/>
      <c r="P2029" s="844"/>
      <c r="Q2029" s="844"/>
      <c r="R2029" s="844"/>
      <c r="S2029" s="832"/>
      <c r="T2029" s="3082"/>
      <c r="U2029" s="123"/>
      <c r="V2029" s="3990"/>
      <c r="W2029" s="2857"/>
      <c r="X2029" s="3155"/>
      <c r="Y2029" s="3155"/>
      <c r="Z2029" s="2857"/>
      <c r="AA2029" s="2857"/>
      <c r="AB2029" s="2857"/>
      <c r="AC2029" s="2225">
        <v>1496</v>
      </c>
      <c r="AD2029" s="2857"/>
      <c r="AE2029" s="2857"/>
      <c r="AF2029" s="2857"/>
      <c r="AG2029" s="2857"/>
      <c r="BB2029" s="575"/>
      <c r="BC2029" s="576"/>
      <c r="BD2029" s="678"/>
      <c r="BE2029" s="585"/>
    </row>
    <row r="2030" spans="1:57" s="1942" customFormat="1" ht="15" hidden="1" customHeight="1" outlineLevel="1" x14ac:dyDescent="0.25">
      <c r="A2030" s="2060"/>
      <c r="B2030" s="123"/>
      <c r="C2030" s="328"/>
      <c r="D2030" s="3990"/>
      <c r="E2030" s="4009"/>
      <c r="F2030" s="3010" t="str">
        <f>$E$1491</f>
        <v>ASHP-SEER16-Replace_CAC_NonElectricHeat_ROF_MF_CompE</v>
      </c>
      <c r="G2030" s="2676"/>
      <c r="H2030" s="2676"/>
      <c r="I2030" s="2677"/>
      <c r="J2030" s="3298" t="str">
        <f>$C$1491</f>
        <v>352961_2021_12_</v>
      </c>
      <c r="K2030" s="2225">
        <v>510</v>
      </c>
      <c r="L2030" s="851"/>
      <c r="M2030" s="1595"/>
      <c r="N2030" s="123"/>
      <c r="O2030" s="228"/>
      <c r="P2030" s="844"/>
      <c r="Q2030" s="844"/>
      <c r="R2030" s="844"/>
      <c r="S2030" s="832"/>
      <c r="T2030" s="3082"/>
      <c r="U2030" s="123"/>
      <c r="V2030" s="3990"/>
      <c r="W2030" s="2857"/>
      <c r="X2030" s="3155"/>
      <c r="Y2030" s="3155"/>
      <c r="Z2030" s="2857"/>
      <c r="AA2030" s="2857"/>
      <c r="AB2030" s="2857"/>
      <c r="AC2030" s="2225">
        <v>510</v>
      </c>
      <c r="AD2030" s="2857"/>
      <c r="AE2030" s="2857"/>
      <c r="AF2030" s="2857"/>
      <c r="AG2030" s="2857"/>
      <c r="BB2030" s="575"/>
      <c r="BC2030" s="576"/>
      <c r="BD2030" s="678"/>
      <c r="BE2030" s="585"/>
    </row>
    <row r="2031" spans="1:57" s="51" customFormat="1" ht="15" hidden="1" customHeight="1" outlineLevel="1" x14ac:dyDescent="0.25">
      <c r="A2031" s="2060"/>
      <c r="B2031" s="123"/>
      <c r="C2031" s="328"/>
      <c r="D2031" s="3990"/>
      <c r="E2031" s="4009"/>
      <c r="F2031" s="3010" t="str">
        <f>$E$1493</f>
        <v>ASHP-SEER16-Replace_CAC_ElectricHeat_ER1_MF</v>
      </c>
      <c r="G2031" s="2676"/>
      <c r="H2031" s="2676"/>
      <c r="I2031" s="2677"/>
      <c r="J2031" s="3298" t="str">
        <f>$C$1493</f>
        <v>353000_2021_12_</v>
      </c>
      <c r="K2031" s="2857">
        <v>1496</v>
      </c>
      <c r="L2031" s="851"/>
      <c r="M2031" s="1595"/>
      <c r="N2031" s="123"/>
      <c r="O2031" s="228"/>
      <c r="P2031" s="844"/>
      <c r="Q2031" s="844"/>
      <c r="R2031" s="844"/>
      <c r="S2031" s="832"/>
      <c r="T2031" s="3082"/>
      <c r="U2031" s="123"/>
      <c r="V2031" s="3990"/>
      <c r="W2031" s="2857">
        <v>2009</v>
      </c>
      <c r="X2031" s="3155">
        <v>1496</v>
      </c>
      <c r="Y2031" s="2857">
        <v>1496</v>
      </c>
      <c r="Z2031" s="2857">
        <v>1496</v>
      </c>
      <c r="AA2031" s="2857">
        <v>1496</v>
      </c>
      <c r="AB2031" s="2857">
        <v>1496</v>
      </c>
      <c r="AC2031" s="2857">
        <v>1496</v>
      </c>
      <c r="AD2031" s="2857"/>
      <c r="AE2031" s="2857"/>
      <c r="AF2031" s="2857"/>
      <c r="AG2031" s="2857"/>
      <c r="AH2031" s="1942"/>
      <c r="AI2031" s="1942"/>
      <c r="AJ2031" s="1942"/>
      <c r="AK2031" s="1942"/>
      <c r="AL2031" s="1942"/>
      <c r="AM2031" s="1942"/>
      <c r="AN2031" s="1942"/>
      <c r="AO2031" s="1942"/>
      <c r="AP2031" s="1942"/>
      <c r="AQ2031" s="1942"/>
      <c r="AR2031" s="1942"/>
      <c r="AS2031" s="1942"/>
      <c r="AT2031" s="1942"/>
      <c r="AU2031" s="1942"/>
      <c r="AV2031" s="1942"/>
      <c r="AW2031" s="1942"/>
      <c r="AX2031" s="1942"/>
      <c r="AY2031" s="1942"/>
      <c r="AZ2031" s="1942"/>
      <c r="BA2031" s="1942"/>
      <c r="BB2031" s="575"/>
      <c r="BC2031" s="576"/>
      <c r="BD2031" s="678"/>
      <c r="BE2031" s="585"/>
    </row>
    <row r="2032" spans="1:57" s="51" customFormat="1" ht="15" hidden="1" customHeight="1" outlineLevel="1" x14ac:dyDescent="0.25">
      <c r="A2032" s="2060"/>
      <c r="B2032" s="123"/>
      <c r="C2032" s="328"/>
      <c r="D2032" s="3990"/>
      <c r="E2032" s="4009"/>
      <c r="F2032" s="3010" t="str">
        <f>$E$1495</f>
        <v>ASHP-SEER16-Replace_CAC_ElectricHeat_ER2_MF</v>
      </c>
      <c r="G2032" s="2676"/>
      <c r="H2032" s="2676"/>
      <c r="I2032" s="2677"/>
      <c r="J2032" s="3298" t="str">
        <f>$C$1495</f>
        <v>353000_2021_12_</v>
      </c>
      <c r="K2032" s="2857">
        <v>1496</v>
      </c>
      <c r="L2032" s="851"/>
      <c r="M2032" s="1595"/>
      <c r="N2032" s="123"/>
      <c r="O2032" s="228"/>
      <c r="P2032" s="844"/>
      <c r="Q2032" s="844"/>
      <c r="R2032" s="844"/>
      <c r="S2032" s="832"/>
      <c r="T2032" s="3082"/>
      <c r="U2032" s="123"/>
      <c r="V2032" s="3990"/>
      <c r="W2032" s="2857">
        <v>2009</v>
      </c>
      <c r="X2032" s="3155">
        <v>1496</v>
      </c>
      <c r="Y2032" s="2857">
        <v>1496</v>
      </c>
      <c r="Z2032" s="2857">
        <v>1496</v>
      </c>
      <c r="AA2032" s="2857">
        <v>1496</v>
      </c>
      <c r="AB2032" s="2857">
        <v>1496</v>
      </c>
      <c r="AC2032" s="2857">
        <v>1496</v>
      </c>
      <c r="AD2032" s="2857"/>
      <c r="AE2032" s="2857"/>
      <c r="AF2032" s="2857"/>
      <c r="AG2032" s="2857"/>
      <c r="AH2032" s="1942"/>
      <c r="AI2032" s="1942"/>
      <c r="AJ2032" s="1942"/>
      <c r="AK2032" s="1942"/>
      <c r="AL2032" s="1942"/>
      <c r="AM2032" s="1942"/>
      <c r="AN2032" s="1942"/>
      <c r="AO2032" s="1942"/>
      <c r="AP2032" s="1942"/>
      <c r="AQ2032" s="1942"/>
      <c r="AR2032" s="1942"/>
      <c r="AS2032" s="1942"/>
      <c r="AT2032" s="1942"/>
      <c r="AU2032" s="1942"/>
      <c r="AV2032" s="1942"/>
      <c r="AW2032" s="1942"/>
      <c r="AX2032" s="1942"/>
      <c r="AY2032" s="1942"/>
      <c r="AZ2032" s="1942"/>
      <c r="BA2032" s="1942"/>
      <c r="BB2032" s="575"/>
      <c r="BC2032" s="576"/>
      <c r="BD2032" s="678"/>
      <c r="BE2032" s="585"/>
    </row>
    <row r="2033" spans="1:57" s="51" customFormat="1" ht="15" hidden="1" customHeight="1" outlineLevel="1" x14ac:dyDescent="0.25">
      <c r="A2033" s="2060"/>
      <c r="B2033" s="123"/>
      <c r="C2033" s="328"/>
      <c r="D2033" s="3990"/>
      <c r="E2033" s="4009"/>
      <c r="F2033" s="3010" t="str">
        <f>$E$1497</f>
        <v>ASHP-SEER16-Replace_CAC_ElectricHeat_ER1_MF_CompE</v>
      </c>
      <c r="G2033" s="2676"/>
      <c r="H2033" s="2676"/>
      <c r="I2033" s="2677"/>
      <c r="J2033" s="3298" t="str">
        <f>$C$1497</f>
        <v>353001_2021_12_</v>
      </c>
      <c r="K2033" s="2857">
        <v>510</v>
      </c>
      <c r="L2033" s="851"/>
      <c r="M2033" s="1595" t="s">
        <v>1558</v>
      </c>
      <c r="N2033" s="123"/>
      <c r="O2033" s="228"/>
      <c r="P2033" s="844"/>
      <c r="Q2033" s="844"/>
      <c r="R2033" s="844"/>
      <c r="S2033" s="832"/>
      <c r="T2033" s="3082"/>
      <c r="U2033" s="123"/>
      <c r="V2033" s="3990"/>
      <c r="W2033" s="2857"/>
      <c r="X2033" s="3155"/>
      <c r="Y2033" s="3155">
        <v>510</v>
      </c>
      <c r="Z2033" s="2857">
        <v>510</v>
      </c>
      <c r="AA2033" s="2857">
        <v>510</v>
      </c>
      <c r="AB2033" s="2857">
        <v>510</v>
      </c>
      <c r="AC2033" s="2857">
        <v>510</v>
      </c>
      <c r="AD2033" s="2857"/>
      <c r="AE2033" s="2857"/>
      <c r="AF2033" s="2857"/>
      <c r="AG2033" s="2857"/>
      <c r="AH2033" s="1942"/>
      <c r="AI2033" s="1942"/>
      <c r="AJ2033" s="1942"/>
      <c r="AK2033" s="1942"/>
      <c r="AL2033" s="1942"/>
      <c r="AM2033" s="1942"/>
      <c r="AN2033" s="1942"/>
      <c r="AO2033" s="1942"/>
      <c r="AP2033" s="1942"/>
      <c r="AQ2033" s="1942"/>
      <c r="AR2033" s="1942"/>
      <c r="AS2033" s="1942"/>
      <c r="AT2033" s="1942"/>
      <c r="AU2033" s="1942"/>
      <c r="AV2033" s="1942"/>
      <c r="AW2033" s="1942"/>
      <c r="AX2033" s="1942"/>
      <c r="AY2033" s="1942"/>
      <c r="AZ2033" s="1942"/>
      <c r="BA2033" s="1942"/>
      <c r="BB2033" s="575"/>
      <c r="BC2033" s="576"/>
      <c r="BD2033" s="678"/>
      <c r="BE2033" s="585"/>
    </row>
    <row r="2034" spans="1:57" s="51" customFormat="1" ht="15" hidden="1" customHeight="1" outlineLevel="1" x14ac:dyDescent="0.25">
      <c r="A2034" s="2060"/>
      <c r="B2034" s="123"/>
      <c r="C2034" s="328"/>
      <c r="D2034" s="3990"/>
      <c r="E2034" s="4009"/>
      <c r="F2034" s="3010" t="str">
        <f>$E$1499</f>
        <v>ASHP-SEER16-Replace_CAC_ElectricHeat_ER2_MF_CompE</v>
      </c>
      <c r="G2034" s="2676"/>
      <c r="H2034" s="2676"/>
      <c r="I2034" s="2677"/>
      <c r="J2034" s="3298" t="str">
        <f>$C$1499</f>
        <v>353001_2021_12_</v>
      </c>
      <c r="K2034" s="2857">
        <v>510</v>
      </c>
      <c r="L2034" s="851"/>
      <c r="M2034" s="1595" t="s">
        <v>1558</v>
      </c>
      <c r="N2034" s="123"/>
      <c r="O2034" s="228"/>
      <c r="P2034" s="844"/>
      <c r="Q2034" s="844"/>
      <c r="R2034" s="844"/>
      <c r="S2034" s="832"/>
      <c r="T2034" s="3082"/>
      <c r="U2034" s="123"/>
      <c r="V2034" s="3990"/>
      <c r="W2034" s="2857"/>
      <c r="X2034" s="3155"/>
      <c r="Y2034" s="3155">
        <v>510</v>
      </c>
      <c r="Z2034" s="2857">
        <v>510</v>
      </c>
      <c r="AA2034" s="2857">
        <v>510</v>
      </c>
      <c r="AB2034" s="2857">
        <v>510</v>
      </c>
      <c r="AC2034" s="2857">
        <v>510</v>
      </c>
      <c r="AD2034" s="2857"/>
      <c r="AE2034" s="2857"/>
      <c r="AF2034" s="2857"/>
      <c r="AG2034" s="2857"/>
      <c r="AH2034" s="1942"/>
      <c r="AI2034" s="1942"/>
      <c r="AJ2034" s="1942"/>
      <c r="AK2034" s="1942"/>
      <c r="AL2034" s="1942"/>
      <c r="AM2034" s="1942"/>
      <c r="AN2034" s="1942"/>
      <c r="AO2034" s="1942"/>
      <c r="AP2034" s="1942"/>
      <c r="AQ2034" s="1942"/>
      <c r="AR2034" s="1942"/>
      <c r="AS2034" s="1942"/>
      <c r="AT2034" s="1942"/>
      <c r="AU2034" s="1942"/>
      <c r="AV2034" s="1942"/>
      <c r="AW2034" s="1942"/>
      <c r="AX2034" s="1942"/>
      <c r="AY2034" s="1942"/>
      <c r="AZ2034" s="1942"/>
      <c r="BA2034" s="1942"/>
      <c r="BB2034" s="575"/>
      <c r="BC2034" s="576"/>
      <c r="BD2034" s="678"/>
      <c r="BE2034" s="585"/>
    </row>
    <row r="2035" spans="1:57" s="1942" customFormat="1" ht="15" hidden="1" customHeight="1" outlineLevel="1" x14ac:dyDescent="0.25">
      <c r="A2035" s="2060"/>
      <c r="B2035" s="123"/>
      <c r="C2035" s="328"/>
      <c r="D2035" s="3990"/>
      <c r="E2035" s="4009"/>
      <c r="F2035" s="3010" t="str">
        <f>$E$1501</f>
        <v>ASHP-SEER16-Replace_CAC_NonElectricHeat_ER1_MF</v>
      </c>
      <c r="G2035" s="2676"/>
      <c r="H2035" s="2676"/>
      <c r="I2035" s="2677"/>
      <c r="J2035" s="3298" t="str">
        <f>$C$1501</f>
        <v>353010_2021_12_</v>
      </c>
      <c r="K2035" s="2225">
        <v>1496</v>
      </c>
      <c r="L2035" s="851"/>
      <c r="M2035" s="1595"/>
      <c r="N2035" s="123"/>
      <c r="O2035" s="228"/>
      <c r="P2035" s="844"/>
      <c r="Q2035" s="844"/>
      <c r="R2035" s="844"/>
      <c r="S2035" s="832"/>
      <c r="T2035" s="3082"/>
      <c r="U2035" s="123"/>
      <c r="V2035" s="3990"/>
      <c r="W2035" s="2857"/>
      <c r="X2035" s="3155"/>
      <c r="Y2035" s="3155"/>
      <c r="Z2035" s="2857"/>
      <c r="AA2035" s="2857"/>
      <c r="AB2035" s="2857"/>
      <c r="AC2035" s="2225">
        <v>1496</v>
      </c>
      <c r="AD2035" s="2857"/>
      <c r="AE2035" s="2857"/>
      <c r="AF2035" s="2857"/>
      <c r="AG2035" s="2857"/>
      <c r="BB2035" s="575"/>
      <c r="BC2035" s="576"/>
      <c r="BD2035" s="678"/>
      <c r="BE2035" s="585"/>
    </row>
    <row r="2036" spans="1:57" s="1942" customFormat="1" ht="15" hidden="1" customHeight="1" outlineLevel="1" x14ac:dyDescent="0.25">
      <c r="A2036" s="2060"/>
      <c r="B2036" s="123"/>
      <c r="C2036" s="328"/>
      <c r="D2036" s="3990"/>
      <c r="E2036" s="4009"/>
      <c r="F2036" s="3010" t="str">
        <f>$E$1503</f>
        <v>ASHP-SEER16-Replace_CAC_NonElectricHeat_ER2_MF</v>
      </c>
      <c r="G2036" s="2676"/>
      <c r="H2036" s="2676"/>
      <c r="I2036" s="2677"/>
      <c r="J2036" s="3298" t="str">
        <f>$C$1503</f>
        <v>353010_2021_12_</v>
      </c>
      <c r="K2036" s="2225">
        <v>1496</v>
      </c>
      <c r="L2036" s="851"/>
      <c r="M2036" s="1595"/>
      <c r="N2036" s="123"/>
      <c r="O2036" s="228"/>
      <c r="P2036" s="844"/>
      <c r="Q2036" s="844"/>
      <c r="R2036" s="844"/>
      <c r="S2036" s="832"/>
      <c r="T2036" s="3082"/>
      <c r="U2036" s="123"/>
      <c r="V2036" s="3990"/>
      <c r="W2036" s="2857"/>
      <c r="X2036" s="3155"/>
      <c r="Y2036" s="3155"/>
      <c r="Z2036" s="2857"/>
      <c r="AA2036" s="2857"/>
      <c r="AB2036" s="2857"/>
      <c r="AC2036" s="2225">
        <v>1496</v>
      </c>
      <c r="AD2036" s="2857"/>
      <c r="AE2036" s="2857"/>
      <c r="AF2036" s="2857"/>
      <c r="AG2036" s="2857"/>
      <c r="BB2036" s="575"/>
      <c r="BC2036" s="576"/>
      <c r="BD2036" s="678"/>
      <c r="BE2036" s="585"/>
    </row>
    <row r="2037" spans="1:57" s="1942" customFormat="1" ht="15" hidden="1" customHeight="1" outlineLevel="1" x14ac:dyDescent="0.25">
      <c r="A2037" s="2060"/>
      <c r="B2037" s="123"/>
      <c r="C2037" s="328"/>
      <c r="D2037" s="3990"/>
      <c r="E2037" s="4009"/>
      <c r="F2037" s="3010" t="str">
        <f>$E$1505</f>
        <v>ASHP-SEER16-Replace_CAC_NonElectricHeat_ER1_MF_CompE</v>
      </c>
      <c r="G2037" s="2676"/>
      <c r="H2037" s="2676"/>
      <c r="I2037" s="2677"/>
      <c r="J2037" s="3298" t="str">
        <f>$C$1505</f>
        <v>353011_2021_12_</v>
      </c>
      <c r="K2037" s="2225">
        <v>510</v>
      </c>
      <c r="L2037" s="851"/>
      <c r="M2037" s="1595"/>
      <c r="N2037" s="123"/>
      <c r="O2037" s="228"/>
      <c r="P2037" s="844"/>
      <c r="Q2037" s="844"/>
      <c r="R2037" s="844"/>
      <c r="S2037" s="832"/>
      <c r="T2037" s="3082"/>
      <c r="U2037" s="123"/>
      <c r="V2037" s="3990"/>
      <c r="W2037" s="2857"/>
      <c r="X2037" s="3155"/>
      <c r="Y2037" s="3155"/>
      <c r="Z2037" s="2857"/>
      <c r="AA2037" s="2857"/>
      <c r="AB2037" s="2857"/>
      <c r="AC2037" s="2225">
        <v>510</v>
      </c>
      <c r="AD2037" s="2857"/>
      <c r="AE2037" s="2857"/>
      <c r="AF2037" s="2857"/>
      <c r="AG2037" s="2857"/>
      <c r="BB2037" s="575"/>
      <c r="BC2037" s="576"/>
      <c r="BD2037" s="678"/>
      <c r="BE2037" s="585"/>
    </row>
    <row r="2038" spans="1:57" s="1942" customFormat="1" ht="15" hidden="1" customHeight="1" outlineLevel="1" x14ac:dyDescent="0.25">
      <c r="A2038" s="2060"/>
      <c r="B2038" s="123"/>
      <c r="C2038" s="328"/>
      <c r="D2038" s="3990"/>
      <c r="E2038" s="4009"/>
      <c r="F2038" s="3010" t="str">
        <f>$E$1507</f>
        <v>ASHP-SEER16-Replace_CAC_NonElectricHeat_ER2_MF_CompE</v>
      </c>
      <c r="G2038" s="2676"/>
      <c r="H2038" s="2676"/>
      <c r="I2038" s="2677"/>
      <c r="J2038" s="3298" t="str">
        <f>$C$1507</f>
        <v>353011_2021_12_</v>
      </c>
      <c r="K2038" s="2225">
        <v>510</v>
      </c>
      <c r="L2038" s="851"/>
      <c r="M2038" s="1595"/>
      <c r="N2038" s="123"/>
      <c r="O2038" s="228"/>
      <c r="P2038" s="844"/>
      <c r="Q2038" s="844"/>
      <c r="R2038" s="844"/>
      <c r="S2038" s="832"/>
      <c r="T2038" s="3082"/>
      <c r="U2038" s="123"/>
      <c r="V2038" s="3990"/>
      <c r="W2038" s="2857"/>
      <c r="X2038" s="3155"/>
      <c r="Y2038" s="3155"/>
      <c r="Z2038" s="2857"/>
      <c r="AA2038" s="2857"/>
      <c r="AB2038" s="2857"/>
      <c r="AC2038" s="2225">
        <v>510</v>
      </c>
      <c r="AD2038" s="2857"/>
      <c r="AE2038" s="2857"/>
      <c r="AF2038" s="2857"/>
      <c r="AG2038" s="2857"/>
      <c r="BB2038" s="575"/>
      <c r="BC2038" s="576"/>
      <c r="BD2038" s="678"/>
      <c r="BE2038" s="585"/>
    </row>
    <row r="2039" spans="1:57" s="51" customFormat="1" ht="15" hidden="1" customHeight="1" outlineLevel="1" x14ac:dyDescent="0.25">
      <c r="A2039" s="2060"/>
      <c r="B2039" s="123"/>
      <c r="C2039" s="328"/>
      <c r="D2039" s="3990"/>
      <c r="E2039" s="4009"/>
      <c r="F2039" s="3011" t="str">
        <f>$E$1509</f>
        <v>ASHP-SEER15_ROF_MF</v>
      </c>
      <c r="G2039" s="2678"/>
      <c r="H2039" s="2678"/>
      <c r="I2039" s="2679"/>
      <c r="J2039" s="3298" t="str">
        <f>$C$1509</f>
        <v>353050_2021_12_</v>
      </c>
      <c r="K2039" s="2857">
        <v>1496</v>
      </c>
      <c r="L2039" s="851"/>
      <c r="M2039" s="1595"/>
      <c r="N2039" s="123"/>
      <c r="O2039" s="228"/>
      <c r="P2039" s="844"/>
      <c r="Q2039" s="844"/>
      <c r="R2039" s="844"/>
      <c r="S2039" s="832"/>
      <c r="T2039" s="3082"/>
      <c r="U2039" s="123"/>
      <c r="V2039" s="3990"/>
      <c r="W2039" s="2857">
        <v>2009</v>
      </c>
      <c r="X2039" s="3155">
        <v>1496</v>
      </c>
      <c r="Y2039" s="2857">
        <v>1496</v>
      </c>
      <c r="Z2039" s="2857">
        <v>1496</v>
      </c>
      <c r="AA2039" s="2857">
        <v>1496</v>
      </c>
      <c r="AB2039" s="2857">
        <v>1496</v>
      </c>
      <c r="AC2039" s="2857">
        <v>1496</v>
      </c>
      <c r="AD2039" s="2857"/>
      <c r="AE2039" s="2857"/>
      <c r="AF2039" s="2857"/>
      <c r="AG2039" s="2857"/>
      <c r="AH2039" s="1942"/>
      <c r="AI2039" s="1942"/>
      <c r="AJ2039" s="1942"/>
      <c r="AK2039" s="1942"/>
      <c r="AL2039" s="1942"/>
      <c r="AM2039" s="1942"/>
      <c r="AN2039" s="1942"/>
      <c r="AO2039" s="1942"/>
      <c r="AP2039" s="1942"/>
      <c r="AQ2039" s="1942"/>
      <c r="AR2039" s="1942"/>
      <c r="AS2039" s="1942"/>
      <c r="AT2039" s="1942"/>
      <c r="AU2039" s="1942"/>
      <c r="AV2039" s="1942"/>
      <c r="AW2039" s="1942"/>
      <c r="AX2039" s="1942"/>
      <c r="AY2039" s="1942"/>
      <c r="AZ2039" s="1942"/>
      <c r="BA2039" s="1942"/>
      <c r="BB2039" s="575"/>
      <c r="BC2039" s="576"/>
      <c r="BD2039" s="678"/>
      <c r="BE2039" s="585"/>
    </row>
    <row r="2040" spans="1:57" s="51" customFormat="1" ht="15" hidden="1" customHeight="1" outlineLevel="1" x14ac:dyDescent="0.25">
      <c r="A2040" s="2060"/>
      <c r="B2040" s="123"/>
      <c r="C2040" s="328"/>
      <c r="D2040" s="3990"/>
      <c r="E2040" s="4009"/>
      <c r="F2040" s="3011" t="str">
        <f>$E$1511</f>
        <v>ASHP-SEER15_ROF_MF_CompE</v>
      </c>
      <c r="G2040" s="2678"/>
      <c r="H2040" s="2678"/>
      <c r="I2040" s="2679"/>
      <c r="J2040" s="3298" t="str">
        <f>$C$1511</f>
        <v>353051_2021_12_</v>
      </c>
      <c r="K2040" s="2857">
        <v>510</v>
      </c>
      <c r="L2040" s="851"/>
      <c r="M2040" s="1595" t="s">
        <v>1558</v>
      </c>
      <c r="N2040" s="123"/>
      <c r="O2040" s="228"/>
      <c r="P2040" s="844"/>
      <c r="Q2040" s="844"/>
      <c r="R2040" s="844"/>
      <c r="S2040" s="832"/>
      <c r="T2040" s="3082"/>
      <c r="U2040" s="123"/>
      <c r="V2040" s="3990"/>
      <c r="W2040" s="2857"/>
      <c r="X2040" s="3155"/>
      <c r="Y2040" s="3155">
        <v>510</v>
      </c>
      <c r="Z2040" s="2857">
        <v>510</v>
      </c>
      <c r="AA2040" s="2857">
        <v>510</v>
      </c>
      <c r="AB2040" s="2857">
        <v>510</v>
      </c>
      <c r="AC2040" s="2857">
        <v>510</v>
      </c>
      <c r="AD2040" s="2857"/>
      <c r="AE2040" s="2857"/>
      <c r="AF2040" s="2857"/>
      <c r="AG2040" s="2857"/>
      <c r="AH2040" s="1942"/>
      <c r="AI2040" s="1942"/>
      <c r="AJ2040" s="1942"/>
      <c r="AK2040" s="1942"/>
      <c r="AL2040" s="1942"/>
      <c r="AM2040" s="1942"/>
      <c r="AN2040" s="1942"/>
      <c r="AO2040" s="1942"/>
      <c r="AP2040" s="1942"/>
      <c r="AQ2040" s="1942"/>
      <c r="AR2040" s="1942"/>
      <c r="AS2040" s="1942"/>
      <c r="AT2040" s="1942"/>
      <c r="AU2040" s="1942"/>
      <c r="AV2040" s="1942"/>
      <c r="AW2040" s="1942"/>
      <c r="AX2040" s="1942"/>
      <c r="AY2040" s="1942"/>
      <c r="AZ2040" s="1942"/>
      <c r="BA2040" s="1942"/>
      <c r="BB2040" s="575"/>
      <c r="BC2040" s="576"/>
      <c r="BD2040" s="678"/>
      <c r="BE2040" s="585"/>
    </row>
    <row r="2041" spans="1:57" s="51" customFormat="1" ht="15" hidden="1" customHeight="1" outlineLevel="1" x14ac:dyDescent="0.25">
      <c r="A2041" s="2060"/>
      <c r="B2041" s="123"/>
      <c r="C2041" s="328"/>
      <c r="D2041" s="3990"/>
      <c r="E2041" s="4009"/>
      <c r="F2041" s="3010" t="str">
        <f>$E$1513</f>
        <v>ASHP-SEER17-Replace_CAC_ElectricHeat_ROF_SF</v>
      </c>
      <c r="G2041" s="2676"/>
      <c r="H2041" s="2676"/>
      <c r="I2041" s="2677"/>
      <c r="J2041" s="3298" t="str">
        <f>$C$1513</f>
        <v>353100_2021_12_</v>
      </c>
      <c r="K2041" s="2857">
        <v>1496</v>
      </c>
      <c r="L2041" s="851"/>
      <c r="M2041" s="1595"/>
      <c r="N2041" s="123"/>
      <c r="O2041" s="228"/>
      <c r="P2041" s="844"/>
      <c r="Q2041" s="844"/>
      <c r="R2041" s="844"/>
      <c r="S2041" s="832"/>
      <c r="T2041" s="3082"/>
      <c r="U2041" s="123"/>
      <c r="V2041" s="3990"/>
      <c r="W2041" s="2857">
        <v>2009</v>
      </c>
      <c r="X2041" s="3155">
        <v>1496</v>
      </c>
      <c r="Y2041" s="2857">
        <v>1496</v>
      </c>
      <c r="Z2041" s="2857">
        <v>1496</v>
      </c>
      <c r="AA2041" s="2857">
        <v>1496</v>
      </c>
      <c r="AB2041" s="2857">
        <v>1496</v>
      </c>
      <c r="AC2041" s="2857">
        <v>1496</v>
      </c>
      <c r="AD2041" s="2857"/>
      <c r="AE2041" s="2857"/>
      <c r="AF2041" s="2857"/>
      <c r="AG2041" s="2857"/>
      <c r="AH2041" s="1942"/>
      <c r="AI2041" s="1942"/>
      <c r="AJ2041" s="1942"/>
      <c r="AK2041" s="1942"/>
      <c r="AL2041" s="1942"/>
      <c r="AM2041" s="1942"/>
      <c r="AN2041" s="1942"/>
      <c r="AO2041" s="1942"/>
      <c r="AP2041" s="1942"/>
      <c r="AQ2041" s="1942"/>
      <c r="AR2041" s="1942"/>
      <c r="AS2041" s="1942"/>
      <c r="AT2041" s="1942"/>
      <c r="AU2041" s="1942"/>
      <c r="AV2041" s="1942"/>
      <c r="AW2041" s="1942"/>
      <c r="AX2041" s="1942"/>
      <c r="AY2041" s="1942"/>
      <c r="AZ2041" s="1942"/>
      <c r="BA2041" s="1942"/>
      <c r="BB2041" s="575"/>
      <c r="BC2041" s="576"/>
      <c r="BD2041" s="678"/>
      <c r="BE2041" s="585"/>
    </row>
    <row r="2042" spans="1:57" s="51" customFormat="1" ht="15" hidden="1" customHeight="1" outlineLevel="1" x14ac:dyDescent="0.25">
      <c r="A2042" s="2060"/>
      <c r="B2042" s="123"/>
      <c r="C2042" s="328"/>
      <c r="D2042" s="3990"/>
      <c r="E2042" s="4009"/>
      <c r="F2042" s="3010" t="str">
        <f>$E$1515</f>
        <v>ASHP-SEER17-Replace_CAC_ElectricHeat_ROF_MF</v>
      </c>
      <c r="G2042" s="2676"/>
      <c r="H2042" s="2676"/>
      <c r="I2042" s="2677"/>
      <c r="J2042" s="3299" t="str">
        <f>$C$1515</f>
        <v>353150_2019_12_</v>
      </c>
      <c r="K2042" s="2857">
        <v>1496</v>
      </c>
      <c r="L2042" s="851"/>
      <c r="M2042" s="1595"/>
      <c r="N2042" s="123"/>
      <c r="O2042" s="228"/>
      <c r="P2042" s="844"/>
      <c r="Q2042" s="844"/>
      <c r="R2042" s="844"/>
      <c r="S2042" s="832"/>
      <c r="T2042" s="3082"/>
      <c r="U2042" s="123"/>
      <c r="V2042" s="3990"/>
      <c r="W2042" s="2857">
        <v>2009</v>
      </c>
      <c r="X2042" s="3155">
        <v>1496</v>
      </c>
      <c r="Y2042" s="2857">
        <v>1496</v>
      </c>
      <c r="Z2042" s="2857">
        <v>1496</v>
      </c>
      <c r="AA2042" s="2857">
        <v>1496</v>
      </c>
      <c r="AB2042" s="2857">
        <v>1496</v>
      </c>
      <c r="AC2042" s="2857">
        <v>1496</v>
      </c>
      <c r="AD2042" s="2857"/>
      <c r="AE2042" s="2857"/>
      <c r="AF2042" s="2857"/>
      <c r="AG2042" s="2857"/>
      <c r="AH2042" s="1942"/>
      <c r="AI2042" s="1942"/>
      <c r="AJ2042" s="1942"/>
      <c r="AK2042" s="1942"/>
      <c r="AL2042" s="1942"/>
      <c r="AM2042" s="1942"/>
      <c r="AN2042" s="1942"/>
      <c r="AO2042" s="1942"/>
      <c r="AP2042" s="1942"/>
      <c r="AQ2042" s="1942"/>
      <c r="AR2042" s="1942"/>
      <c r="AS2042" s="1942"/>
      <c r="AT2042" s="1942"/>
      <c r="AU2042" s="1942"/>
      <c r="AV2042" s="1942"/>
      <c r="AW2042" s="1942"/>
      <c r="AX2042" s="1942"/>
      <c r="AY2042" s="1942"/>
      <c r="AZ2042" s="1942"/>
      <c r="BA2042" s="1942"/>
      <c r="BB2042" s="575"/>
      <c r="BC2042" s="576"/>
      <c r="BD2042" s="678"/>
      <c r="BE2042" s="585"/>
    </row>
    <row r="2043" spans="1:57" s="51" customFormat="1" ht="15" hidden="1" customHeight="1" outlineLevel="1" x14ac:dyDescent="0.25">
      <c r="A2043" s="2060"/>
      <c r="B2043" s="123"/>
      <c r="C2043" s="328"/>
      <c r="D2043" s="3990"/>
      <c r="E2043" s="4009"/>
      <c r="F2043" s="3010" t="str">
        <f>$E$1517</f>
        <v>ASHP-SEER17-Replace_CAC_ElectricHeat_ROF_MF_CompE</v>
      </c>
      <c r="G2043" s="2676"/>
      <c r="H2043" s="2676"/>
      <c r="I2043" s="2677"/>
      <c r="J2043" s="3299" t="str">
        <f>$C$1517</f>
        <v>353151_2019_12_</v>
      </c>
      <c r="K2043" s="2857">
        <v>510</v>
      </c>
      <c r="L2043" s="851"/>
      <c r="M2043" s="1595" t="s">
        <v>1558</v>
      </c>
      <c r="N2043" s="123"/>
      <c r="O2043" s="228"/>
      <c r="P2043" s="844"/>
      <c r="Q2043" s="844"/>
      <c r="R2043" s="844"/>
      <c r="S2043" s="832"/>
      <c r="T2043" s="3082"/>
      <c r="U2043" s="123"/>
      <c r="V2043" s="3990"/>
      <c r="W2043" s="2857"/>
      <c r="X2043" s="3155"/>
      <c r="Y2043" s="3155">
        <v>510</v>
      </c>
      <c r="Z2043" s="2857">
        <v>510</v>
      </c>
      <c r="AA2043" s="2857">
        <v>510</v>
      </c>
      <c r="AB2043" s="2857">
        <v>510</v>
      </c>
      <c r="AC2043" s="2857">
        <v>510</v>
      </c>
      <c r="AD2043" s="2857"/>
      <c r="AE2043" s="2857"/>
      <c r="AF2043" s="2857"/>
      <c r="AG2043" s="2857"/>
      <c r="AH2043" s="1942"/>
      <c r="AI2043" s="1942"/>
      <c r="AJ2043" s="1942"/>
      <c r="AK2043" s="1942"/>
      <c r="AL2043" s="1942"/>
      <c r="AM2043" s="1942"/>
      <c r="AN2043" s="1942"/>
      <c r="AO2043" s="1942"/>
      <c r="AP2043" s="1942"/>
      <c r="AQ2043" s="1942"/>
      <c r="AR2043" s="1942"/>
      <c r="AS2043" s="1942"/>
      <c r="AT2043" s="1942"/>
      <c r="AU2043" s="1942"/>
      <c r="AV2043" s="1942"/>
      <c r="AW2043" s="1942"/>
      <c r="AX2043" s="1942"/>
      <c r="AY2043" s="1942"/>
      <c r="AZ2043" s="1942"/>
      <c r="BA2043" s="1942"/>
      <c r="BB2043" s="575"/>
      <c r="BC2043" s="576"/>
      <c r="BD2043" s="678"/>
      <c r="BE2043" s="585"/>
    </row>
    <row r="2044" spans="1:57" s="1942" customFormat="1" ht="15" hidden="1" customHeight="1" outlineLevel="1" x14ac:dyDescent="0.25">
      <c r="A2044" s="2060"/>
      <c r="B2044" s="123"/>
      <c r="C2044" s="328"/>
      <c r="D2044" s="3990"/>
      <c r="E2044" s="4009"/>
      <c r="F2044" s="3010" t="str">
        <f>$E$1519</f>
        <v>ASHP-SEER17-Replace_CAC_NonElectricHeat_ROF_MF</v>
      </c>
      <c r="G2044" s="2676"/>
      <c r="H2044" s="2676"/>
      <c r="I2044" s="2677"/>
      <c r="J2044" s="3298" t="str">
        <f>$C$1519</f>
        <v>353160_2021_12_</v>
      </c>
      <c r="K2044" s="2225">
        <v>1496</v>
      </c>
      <c r="L2044" s="851"/>
      <c r="M2044" s="1595"/>
      <c r="N2044" s="123"/>
      <c r="O2044" s="228"/>
      <c r="P2044" s="844"/>
      <c r="Q2044" s="844"/>
      <c r="R2044" s="844"/>
      <c r="S2044" s="832"/>
      <c r="T2044" s="3082"/>
      <c r="U2044" s="123"/>
      <c r="V2044" s="3990"/>
      <c r="W2044" s="2857"/>
      <c r="X2044" s="3155"/>
      <c r="Y2044" s="3155"/>
      <c r="Z2044" s="2857"/>
      <c r="AA2044" s="2857"/>
      <c r="AB2044" s="2857"/>
      <c r="AC2044" s="2225">
        <v>1496</v>
      </c>
      <c r="AD2044" s="2857"/>
      <c r="AE2044" s="2857"/>
      <c r="AF2044" s="2857"/>
      <c r="AG2044" s="2857"/>
      <c r="BB2044" s="575"/>
      <c r="BC2044" s="576"/>
      <c r="BD2044" s="678"/>
      <c r="BE2044" s="585"/>
    </row>
    <row r="2045" spans="1:57" s="1942" customFormat="1" ht="15" hidden="1" customHeight="1" outlineLevel="1" x14ac:dyDescent="0.25">
      <c r="A2045" s="2060"/>
      <c r="B2045" s="123"/>
      <c r="C2045" s="328"/>
      <c r="D2045" s="3990"/>
      <c r="E2045" s="4009"/>
      <c r="F2045" s="3010" t="str">
        <f>$E$1521</f>
        <v>ASHP-SEER17-Replace_CAC_NonElectricHeat_ROF_MF_CompE</v>
      </c>
      <c r="G2045" s="2676"/>
      <c r="H2045" s="2676"/>
      <c r="I2045" s="2677"/>
      <c r="J2045" s="3298" t="str">
        <f>$C$1521</f>
        <v>353161_2021_12_</v>
      </c>
      <c r="K2045" s="2225">
        <v>510</v>
      </c>
      <c r="L2045" s="851"/>
      <c r="M2045" s="1595"/>
      <c r="N2045" s="123"/>
      <c r="O2045" s="228"/>
      <c r="P2045" s="844"/>
      <c r="Q2045" s="844"/>
      <c r="R2045" s="844"/>
      <c r="S2045" s="832"/>
      <c r="T2045" s="3082"/>
      <c r="U2045" s="123"/>
      <c r="V2045" s="3990"/>
      <c r="W2045" s="2857"/>
      <c r="X2045" s="3155"/>
      <c r="Y2045" s="3155"/>
      <c r="Z2045" s="2857"/>
      <c r="AA2045" s="2857"/>
      <c r="AB2045" s="2857"/>
      <c r="AC2045" s="2225">
        <v>510</v>
      </c>
      <c r="AD2045" s="2857"/>
      <c r="AE2045" s="2857"/>
      <c r="AF2045" s="2857"/>
      <c r="AG2045" s="2857"/>
      <c r="BB2045" s="575"/>
      <c r="BC2045" s="576"/>
      <c r="BD2045" s="678"/>
      <c r="BE2045" s="585"/>
    </row>
    <row r="2046" spans="1:57" s="51" customFormat="1" ht="15" hidden="1" customHeight="1" outlineLevel="1" x14ac:dyDescent="0.25">
      <c r="A2046" s="2060"/>
      <c r="B2046" s="123"/>
      <c r="C2046" s="328"/>
      <c r="D2046" s="3990"/>
      <c r="E2046" s="4009"/>
      <c r="F2046" s="3010" t="str">
        <f>$E$1523</f>
        <v>ASHP-SEER18-Replace_CAC_ElectricHeat_ROF_SF</v>
      </c>
      <c r="G2046" s="2676"/>
      <c r="H2046" s="2676"/>
      <c r="I2046" s="2677"/>
      <c r="J2046" s="3298" t="str">
        <f>$C$1523</f>
        <v>353200_2021_12_</v>
      </c>
      <c r="K2046" s="2857">
        <v>1496</v>
      </c>
      <c r="L2046" s="851"/>
      <c r="M2046" s="1595"/>
      <c r="N2046" s="123"/>
      <c r="O2046" s="228"/>
      <c r="P2046" s="844"/>
      <c r="Q2046" s="844"/>
      <c r="R2046" s="844"/>
      <c r="S2046" s="832"/>
      <c r="T2046" s="3082"/>
      <c r="U2046" s="123"/>
      <c r="V2046" s="3990"/>
      <c r="W2046" s="2857">
        <v>2009</v>
      </c>
      <c r="X2046" s="3155">
        <v>1496</v>
      </c>
      <c r="Y2046" s="2857">
        <v>1496</v>
      </c>
      <c r="Z2046" s="2857">
        <v>1496</v>
      </c>
      <c r="AA2046" s="2857">
        <v>1496</v>
      </c>
      <c r="AB2046" s="2857">
        <v>1496</v>
      </c>
      <c r="AC2046" s="2857">
        <v>1496</v>
      </c>
      <c r="AD2046" s="2857"/>
      <c r="AE2046" s="2857"/>
      <c r="AF2046" s="2857"/>
      <c r="AG2046" s="2857"/>
      <c r="AH2046" s="1942"/>
      <c r="AI2046" s="1942"/>
      <c r="AJ2046" s="1942"/>
      <c r="AK2046" s="1942"/>
      <c r="AL2046" s="1942"/>
      <c r="AM2046" s="1942"/>
      <c r="AN2046" s="1942"/>
      <c r="AO2046" s="1942"/>
      <c r="AP2046" s="1942"/>
      <c r="AQ2046" s="1942"/>
      <c r="AR2046" s="1942"/>
      <c r="AS2046" s="1942"/>
      <c r="AT2046" s="1942"/>
      <c r="AU2046" s="1942"/>
      <c r="AV2046" s="1942"/>
      <c r="AW2046" s="1942"/>
      <c r="AX2046" s="1942"/>
      <c r="AY2046" s="1942"/>
      <c r="AZ2046" s="1942"/>
      <c r="BA2046" s="1942"/>
      <c r="BB2046" s="575"/>
      <c r="BC2046" s="576"/>
      <c r="BD2046" s="678"/>
      <c r="BE2046" s="585"/>
    </row>
    <row r="2047" spans="1:57" s="51" customFormat="1" ht="15" hidden="1" customHeight="1" outlineLevel="1" x14ac:dyDescent="0.25">
      <c r="A2047" s="2060"/>
      <c r="B2047" s="123"/>
      <c r="C2047" s="328"/>
      <c r="D2047" s="3990"/>
      <c r="E2047" s="4009"/>
      <c r="F2047" s="3010" t="str">
        <f>$E$1525</f>
        <v>ASHP-SEER18-Replace_CAC_ElectricHeat_ROF_MF</v>
      </c>
      <c r="G2047" s="2676"/>
      <c r="H2047" s="2676"/>
      <c r="I2047" s="2677"/>
      <c r="J2047" s="3298" t="str">
        <f>$C$1525</f>
        <v>353250_2021_12_</v>
      </c>
      <c r="K2047" s="2857">
        <v>1496</v>
      </c>
      <c r="L2047" s="851"/>
      <c r="M2047" s="1595"/>
      <c r="N2047" s="123"/>
      <c r="O2047" s="228"/>
      <c r="P2047" s="844"/>
      <c r="Q2047" s="844"/>
      <c r="R2047" s="844"/>
      <c r="S2047" s="832"/>
      <c r="T2047" s="3082"/>
      <c r="U2047" s="123"/>
      <c r="V2047" s="3990"/>
      <c r="W2047" s="2857">
        <v>2009</v>
      </c>
      <c r="X2047" s="3155">
        <v>1496</v>
      </c>
      <c r="Y2047" s="2857">
        <v>1496</v>
      </c>
      <c r="Z2047" s="2857">
        <v>1496</v>
      </c>
      <c r="AA2047" s="2857">
        <v>1496</v>
      </c>
      <c r="AB2047" s="2857">
        <v>1496</v>
      </c>
      <c r="AC2047" s="2857">
        <v>1496</v>
      </c>
      <c r="AD2047" s="2857"/>
      <c r="AE2047" s="2857"/>
      <c r="AF2047" s="2857"/>
      <c r="AG2047" s="2857"/>
      <c r="AH2047" s="1942"/>
      <c r="AI2047" s="1942"/>
      <c r="AJ2047" s="1942"/>
      <c r="AK2047" s="1942"/>
      <c r="AL2047" s="1942"/>
      <c r="AM2047" s="1942"/>
      <c r="AN2047" s="1942"/>
      <c r="AO2047" s="1942"/>
      <c r="AP2047" s="1942"/>
      <c r="AQ2047" s="1942"/>
      <c r="AR2047" s="1942"/>
      <c r="AS2047" s="1942"/>
      <c r="AT2047" s="1942"/>
      <c r="AU2047" s="1942"/>
      <c r="AV2047" s="1942"/>
      <c r="AW2047" s="1942"/>
      <c r="AX2047" s="1942"/>
      <c r="AY2047" s="1942"/>
      <c r="AZ2047" s="1942"/>
      <c r="BA2047" s="1942"/>
      <c r="BB2047" s="575"/>
      <c r="BC2047" s="576"/>
      <c r="BD2047" s="678"/>
      <c r="BE2047" s="585"/>
    </row>
    <row r="2048" spans="1:57" s="51" customFormat="1" ht="15" hidden="1" customHeight="1" outlineLevel="1" x14ac:dyDescent="0.25">
      <c r="A2048" s="2060"/>
      <c r="B2048" s="123"/>
      <c r="C2048" s="328"/>
      <c r="D2048" s="3990"/>
      <c r="E2048" s="4009"/>
      <c r="F2048" s="3010" t="str">
        <f>$E$1527</f>
        <v>ASHP-SEER18-Replace_CAC_ElectricHeat_ROF_MF_CompE</v>
      </c>
      <c r="G2048" s="2676"/>
      <c r="H2048" s="2676"/>
      <c r="I2048" s="2677"/>
      <c r="J2048" s="3298" t="str">
        <f>$C$1527</f>
        <v>353251_2021_12_</v>
      </c>
      <c r="K2048" s="2857">
        <v>510</v>
      </c>
      <c r="L2048" s="851"/>
      <c r="M2048" s="1595" t="s">
        <v>1558</v>
      </c>
      <c r="N2048" s="123"/>
      <c r="O2048" s="228"/>
      <c r="P2048" s="844"/>
      <c r="Q2048" s="844"/>
      <c r="R2048" s="844"/>
      <c r="S2048" s="832"/>
      <c r="T2048" s="3082"/>
      <c r="U2048" s="123"/>
      <c r="V2048" s="3990"/>
      <c r="W2048" s="2857"/>
      <c r="X2048" s="3155"/>
      <c r="Y2048" s="3155">
        <v>510</v>
      </c>
      <c r="Z2048" s="2857">
        <v>510</v>
      </c>
      <c r="AA2048" s="2857">
        <v>510</v>
      </c>
      <c r="AB2048" s="2857">
        <v>510</v>
      </c>
      <c r="AC2048" s="2857">
        <v>510</v>
      </c>
      <c r="AD2048" s="2857"/>
      <c r="AE2048" s="2857"/>
      <c r="AF2048" s="2857"/>
      <c r="AG2048" s="2857"/>
      <c r="AH2048" s="1942"/>
      <c r="AI2048" s="1942"/>
      <c r="AJ2048" s="1942"/>
      <c r="AK2048" s="1942"/>
      <c r="AL2048" s="1942"/>
      <c r="AM2048" s="1942"/>
      <c r="AN2048" s="1942"/>
      <c r="AO2048" s="1942"/>
      <c r="AP2048" s="1942"/>
      <c r="AQ2048" s="1942"/>
      <c r="AR2048" s="1942"/>
      <c r="AS2048" s="1942"/>
      <c r="AT2048" s="1942"/>
      <c r="AU2048" s="1942"/>
      <c r="AV2048" s="1942"/>
      <c r="AW2048" s="1942"/>
      <c r="AX2048" s="1942"/>
      <c r="AY2048" s="1942"/>
      <c r="AZ2048" s="1942"/>
      <c r="BA2048" s="1942"/>
      <c r="BB2048" s="575"/>
      <c r="BC2048" s="576"/>
      <c r="BD2048" s="678"/>
      <c r="BE2048" s="585"/>
    </row>
    <row r="2049" spans="1:57" s="1942" customFormat="1" ht="15" hidden="1" customHeight="1" outlineLevel="1" x14ac:dyDescent="0.25">
      <c r="A2049" s="2060"/>
      <c r="B2049" s="123"/>
      <c r="C2049" s="328"/>
      <c r="D2049" s="3990"/>
      <c r="E2049" s="4009"/>
      <c r="F2049" s="3010" t="str">
        <f>$E$1529</f>
        <v>ASHP-SEER18-Replace_CAC_NonElectricHeat_ROF_MF</v>
      </c>
      <c r="G2049" s="2676"/>
      <c r="H2049" s="2676"/>
      <c r="I2049" s="2677"/>
      <c r="J2049" s="3298" t="str">
        <f>$C$1529</f>
        <v>353260_2021_12_</v>
      </c>
      <c r="K2049" s="2225">
        <v>1496</v>
      </c>
      <c r="L2049" s="851"/>
      <c r="M2049" s="1595"/>
      <c r="N2049" s="123"/>
      <c r="O2049" s="228"/>
      <c r="P2049" s="844"/>
      <c r="Q2049" s="844"/>
      <c r="R2049" s="844"/>
      <c r="S2049" s="832"/>
      <c r="T2049" s="3082"/>
      <c r="U2049" s="123"/>
      <c r="V2049" s="3990"/>
      <c r="W2049" s="2857"/>
      <c r="X2049" s="3155"/>
      <c r="Y2049" s="3155"/>
      <c r="Z2049" s="2857"/>
      <c r="AA2049" s="2857"/>
      <c r="AB2049" s="2857"/>
      <c r="AC2049" s="2225">
        <v>1496</v>
      </c>
      <c r="AD2049" s="2857"/>
      <c r="AE2049" s="2857"/>
      <c r="AF2049" s="2857"/>
      <c r="AG2049" s="2857"/>
      <c r="BB2049" s="575"/>
      <c r="BC2049" s="576"/>
      <c r="BD2049" s="678"/>
      <c r="BE2049" s="585"/>
    </row>
    <row r="2050" spans="1:57" s="1942" customFormat="1" ht="15" hidden="1" customHeight="1" outlineLevel="1" x14ac:dyDescent="0.25">
      <c r="A2050" s="2060"/>
      <c r="B2050" s="123"/>
      <c r="C2050" s="328"/>
      <c r="D2050" s="3990"/>
      <c r="E2050" s="4009"/>
      <c r="F2050" s="3010" t="str">
        <f>$E$1531</f>
        <v>ASHP-SEER18-Replace_CAC_NonElectricHeat_ROF_MF_CompE</v>
      </c>
      <c r="G2050" s="2676"/>
      <c r="H2050" s="2676"/>
      <c r="I2050" s="2677"/>
      <c r="J2050" s="3298" t="str">
        <f>$C$1531</f>
        <v>353261_2021_12_</v>
      </c>
      <c r="K2050" s="2225">
        <v>510</v>
      </c>
      <c r="L2050" s="851"/>
      <c r="M2050" s="1595"/>
      <c r="N2050" s="123"/>
      <c r="O2050" s="228"/>
      <c r="P2050" s="844"/>
      <c r="Q2050" s="844"/>
      <c r="R2050" s="844"/>
      <c r="S2050" s="832"/>
      <c r="T2050" s="3082"/>
      <c r="U2050" s="123"/>
      <c r="V2050" s="3990"/>
      <c r="W2050" s="2857"/>
      <c r="X2050" s="3155"/>
      <c r="Y2050" s="3155"/>
      <c r="Z2050" s="2857"/>
      <c r="AA2050" s="2857"/>
      <c r="AB2050" s="2857"/>
      <c r="AC2050" s="2225">
        <v>510</v>
      </c>
      <c r="AD2050" s="2857"/>
      <c r="AE2050" s="2857"/>
      <c r="AF2050" s="2857"/>
      <c r="AG2050" s="2857"/>
      <c r="BB2050" s="575"/>
      <c r="BC2050" s="576"/>
      <c r="BD2050" s="678"/>
      <c r="BE2050" s="585"/>
    </row>
    <row r="2051" spans="1:57" s="51" customFormat="1" ht="15" hidden="1" customHeight="1" outlineLevel="1" x14ac:dyDescent="0.25">
      <c r="A2051" s="2060"/>
      <c r="B2051" s="123"/>
      <c r="C2051" s="328"/>
      <c r="D2051" s="3990"/>
      <c r="E2051" s="4009"/>
      <c r="F2051" s="3010" t="str">
        <f>$E$1533</f>
        <v>ASHP-SEER19-Replace_CAC_ElectricHeat_ROF_SF</v>
      </c>
      <c r="G2051" s="2676"/>
      <c r="H2051" s="2676"/>
      <c r="I2051" s="2677"/>
      <c r="J2051" s="3298" t="str">
        <f>$C$1533</f>
        <v>353300_2021_12_</v>
      </c>
      <c r="K2051" s="2857">
        <v>1496</v>
      </c>
      <c r="L2051" s="851"/>
      <c r="M2051" s="1595"/>
      <c r="N2051" s="123"/>
      <c r="O2051" s="228"/>
      <c r="P2051" s="844"/>
      <c r="Q2051" s="844"/>
      <c r="R2051" s="844"/>
      <c r="S2051" s="832"/>
      <c r="T2051" s="3082"/>
      <c r="U2051" s="123"/>
      <c r="V2051" s="3990"/>
      <c r="W2051" s="2857">
        <v>2009</v>
      </c>
      <c r="X2051" s="3155">
        <v>1496</v>
      </c>
      <c r="Y2051" s="2857">
        <v>1496</v>
      </c>
      <c r="Z2051" s="2857">
        <v>1496</v>
      </c>
      <c r="AA2051" s="2857">
        <v>1496</v>
      </c>
      <c r="AB2051" s="2857">
        <v>1496</v>
      </c>
      <c r="AC2051" s="2857">
        <v>1496</v>
      </c>
      <c r="AD2051" s="2857"/>
      <c r="AE2051" s="2857"/>
      <c r="AF2051" s="2857"/>
      <c r="AG2051" s="2857"/>
      <c r="AH2051" s="1942"/>
      <c r="AI2051" s="1942"/>
      <c r="AJ2051" s="1942"/>
      <c r="AK2051" s="1942"/>
      <c r="AL2051" s="1942"/>
      <c r="AM2051" s="1942"/>
      <c r="AN2051" s="1942"/>
      <c r="AO2051" s="1942"/>
      <c r="AP2051" s="1942"/>
      <c r="AQ2051" s="1942"/>
      <c r="AR2051" s="1942"/>
      <c r="AS2051" s="1942"/>
      <c r="AT2051" s="1942"/>
      <c r="AU2051" s="1942"/>
      <c r="AV2051" s="1942"/>
      <c r="AW2051" s="1942"/>
      <c r="AX2051" s="1942"/>
      <c r="AY2051" s="1942"/>
      <c r="AZ2051" s="1942"/>
      <c r="BA2051" s="1942"/>
      <c r="BB2051" s="575"/>
      <c r="BC2051" s="576"/>
      <c r="BD2051" s="678"/>
      <c r="BE2051" s="585"/>
    </row>
    <row r="2052" spans="1:57" s="51" customFormat="1" ht="15" hidden="1" customHeight="1" outlineLevel="1" x14ac:dyDescent="0.25">
      <c r="A2052" s="2060"/>
      <c r="B2052" s="123"/>
      <c r="C2052" s="328"/>
      <c r="D2052" s="3990"/>
      <c r="E2052" s="4009"/>
      <c r="F2052" s="3010" t="str">
        <f>$E$1535</f>
        <v>ASHP-SEER19-Replace_CAC_ElectricHeat_ROF_MF</v>
      </c>
      <c r="G2052" s="2676"/>
      <c r="H2052" s="2676"/>
      <c r="I2052" s="2677"/>
      <c r="J2052" s="3298" t="str">
        <f>$C$1535</f>
        <v>353350_2021_12_</v>
      </c>
      <c r="K2052" s="2857">
        <v>1496</v>
      </c>
      <c r="L2052" s="851"/>
      <c r="M2052" s="1595"/>
      <c r="N2052" s="123"/>
      <c r="O2052" s="228"/>
      <c r="P2052" s="844"/>
      <c r="Q2052" s="844"/>
      <c r="R2052" s="844"/>
      <c r="S2052" s="832"/>
      <c r="T2052" s="3082"/>
      <c r="U2052" s="123"/>
      <c r="V2052" s="3990"/>
      <c r="W2052" s="2857">
        <v>2009</v>
      </c>
      <c r="X2052" s="3155">
        <v>1496</v>
      </c>
      <c r="Y2052" s="2857">
        <v>1496</v>
      </c>
      <c r="Z2052" s="2857">
        <v>1496</v>
      </c>
      <c r="AA2052" s="2857">
        <v>1496</v>
      </c>
      <c r="AB2052" s="2857">
        <v>1496</v>
      </c>
      <c r="AC2052" s="2857">
        <v>1496</v>
      </c>
      <c r="AD2052" s="2857"/>
      <c r="AE2052" s="2857"/>
      <c r="AF2052" s="2857"/>
      <c r="AG2052" s="2857"/>
      <c r="AH2052" s="1942"/>
      <c r="AI2052" s="1942"/>
      <c r="AJ2052" s="1942"/>
      <c r="AK2052" s="1942"/>
      <c r="AL2052" s="1942"/>
      <c r="AM2052" s="1942"/>
      <c r="AN2052" s="1942"/>
      <c r="AO2052" s="1942"/>
      <c r="AP2052" s="1942"/>
      <c r="AQ2052" s="1942"/>
      <c r="AR2052" s="1942"/>
      <c r="AS2052" s="1942"/>
      <c r="AT2052" s="1942"/>
      <c r="AU2052" s="1942"/>
      <c r="AV2052" s="1942"/>
      <c r="AW2052" s="1942"/>
      <c r="AX2052" s="1942"/>
      <c r="AY2052" s="1942"/>
      <c r="AZ2052" s="1942"/>
      <c r="BA2052" s="1942"/>
      <c r="BB2052" s="575"/>
      <c r="BC2052" s="576"/>
      <c r="BD2052" s="678"/>
      <c r="BE2052" s="585"/>
    </row>
    <row r="2053" spans="1:57" s="51" customFormat="1" ht="15" hidden="1" customHeight="1" outlineLevel="1" x14ac:dyDescent="0.25">
      <c r="A2053" s="2060"/>
      <c r="B2053" s="123"/>
      <c r="C2053" s="328"/>
      <c r="D2053" s="3990"/>
      <c r="E2053" s="4009"/>
      <c r="F2053" s="3010" t="str">
        <f>$E$1537</f>
        <v>ASHP-SEER19-Replace_CAC_ElectricHeat_ROF_MF_CompE</v>
      </c>
      <c r="G2053" s="2676"/>
      <c r="H2053" s="2676"/>
      <c r="I2053" s="2677"/>
      <c r="J2053" s="3299" t="str">
        <f>$C$1537</f>
        <v>353351_2019_12_</v>
      </c>
      <c r="K2053" s="2857">
        <v>510</v>
      </c>
      <c r="L2053" s="851"/>
      <c r="M2053" s="1595" t="s">
        <v>1558</v>
      </c>
      <c r="N2053" s="123"/>
      <c r="O2053" s="228"/>
      <c r="P2053" s="844"/>
      <c r="Q2053" s="844"/>
      <c r="R2053" s="844"/>
      <c r="S2053" s="832"/>
      <c r="T2053" s="3082"/>
      <c r="U2053" s="123"/>
      <c r="V2053" s="3990"/>
      <c r="W2053" s="2857"/>
      <c r="X2053" s="3155"/>
      <c r="Y2053" s="3155">
        <v>510</v>
      </c>
      <c r="Z2053" s="2857">
        <v>510</v>
      </c>
      <c r="AA2053" s="2857">
        <v>510</v>
      </c>
      <c r="AB2053" s="2857">
        <v>510</v>
      </c>
      <c r="AC2053" s="2857">
        <v>510</v>
      </c>
      <c r="AD2053" s="2857"/>
      <c r="AE2053" s="2857"/>
      <c r="AF2053" s="2857"/>
      <c r="AG2053" s="2857"/>
      <c r="AH2053" s="1942"/>
      <c r="AI2053" s="1942"/>
      <c r="AJ2053" s="1942"/>
      <c r="AK2053" s="1942"/>
      <c r="AL2053" s="1942"/>
      <c r="AM2053" s="1942"/>
      <c r="AN2053" s="1942"/>
      <c r="AO2053" s="1942"/>
      <c r="AP2053" s="1942"/>
      <c r="AQ2053" s="1942"/>
      <c r="AR2053" s="1942"/>
      <c r="AS2053" s="1942"/>
      <c r="AT2053" s="1942"/>
      <c r="AU2053" s="1942"/>
      <c r="AV2053" s="1942"/>
      <c r="AW2053" s="1942"/>
      <c r="AX2053" s="1942"/>
      <c r="AY2053" s="1942"/>
      <c r="AZ2053" s="1942"/>
      <c r="BA2053" s="1942"/>
      <c r="BB2053" s="575"/>
      <c r="BC2053" s="576"/>
      <c r="BD2053" s="678"/>
      <c r="BE2053" s="585"/>
    </row>
    <row r="2054" spans="1:57" s="1942" customFormat="1" ht="15" hidden="1" customHeight="1" outlineLevel="1" x14ac:dyDescent="0.25">
      <c r="A2054" s="2060"/>
      <c r="B2054" s="123"/>
      <c r="C2054" s="328"/>
      <c r="D2054" s="3990"/>
      <c r="E2054" s="4009"/>
      <c r="F2054" s="3010" t="str">
        <f>$E$1539</f>
        <v>ASHP-SEER19-Replace_CAC_NonElectricHeat_ROF_MF</v>
      </c>
      <c r="G2054" s="2676"/>
      <c r="H2054" s="2676"/>
      <c r="I2054" s="2677"/>
      <c r="J2054" s="3298" t="str">
        <f>$C$1539</f>
        <v>353360_2021_12_</v>
      </c>
      <c r="K2054" s="2225">
        <v>1496</v>
      </c>
      <c r="L2054" s="851"/>
      <c r="M2054" s="1595"/>
      <c r="N2054" s="123"/>
      <c r="O2054" s="228"/>
      <c r="P2054" s="844"/>
      <c r="Q2054" s="844"/>
      <c r="R2054" s="844"/>
      <c r="S2054" s="832"/>
      <c r="T2054" s="3082"/>
      <c r="U2054" s="123"/>
      <c r="V2054" s="3990"/>
      <c r="W2054" s="2857"/>
      <c r="X2054" s="3155"/>
      <c r="Y2054" s="3155"/>
      <c r="Z2054" s="2857"/>
      <c r="AA2054" s="2857"/>
      <c r="AB2054" s="2857"/>
      <c r="AC2054" s="2225">
        <v>1496</v>
      </c>
      <c r="AD2054" s="2857"/>
      <c r="AE2054" s="2857"/>
      <c r="AF2054" s="2857"/>
      <c r="AG2054" s="2857"/>
      <c r="BB2054" s="575"/>
      <c r="BC2054" s="576"/>
      <c r="BD2054" s="678"/>
      <c r="BE2054" s="585"/>
    </row>
    <row r="2055" spans="1:57" s="1942" customFormat="1" ht="15" hidden="1" customHeight="1" outlineLevel="1" x14ac:dyDescent="0.25">
      <c r="A2055" s="2060"/>
      <c r="B2055" s="123"/>
      <c r="C2055" s="328"/>
      <c r="D2055" s="3990"/>
      <c r="E2055" s="4009"/>
      <c r="F2055" s="3010" t="str">
        <f>$E$1541</f>
        <v>ASHP-SEER19-Replace_CAC_NonElectricHeat_ROF_MF_CompE</v>
      </c>
      <c r="G2055" s="2676"/>
      <c r="H2055" s="2676"/>
      <c r="I2055" s="2677"/>
      <c r="J2055" s="3298" t="str">
        <f>$C$1541</f>
        <v>353361_2021_12_</v>
      </c>
      <c r="K2055" s="2225">
        <v>510</v>
      </c>
      <c r="L2055" s="851"/>
      <c r="M2055" s="1595"/>
      <c r="N2055" s="123"/>
      <c r="O2055" s="228"/>
      <c r="P2055" s="844"/>
      <c r="Q2055" s="844"/>
      <c r="R2055" s="844"/>
      <c r="S2055" s="832"/>
      <c r="T2055" s="3082"/>
      <c r="U2055" s="123"/>
      <c r="V2055" s="3990"/>
      <c r="W2055" s="2857"/>
      <c r="X2055" s="3155"/>
      <c r="Y2055" s="3155"/>
      <c r="Z2055" s="2857"/>
      <c r="AA2055" s="2857"/>
      <c r="AB2055" s="2857"/>
      <c r="AC2055" s="2225">
        <v>510</v>
      </c>
      <c r="AD2055" s="2857"/>
      <c r="AE2055" s="2857"/>
      <c r="AF2055" s="2857"/>
      <c r="AG2055" s="2857"/>
      <c r="BB2055" s="575"/>
      <c r="BC2055" s="576"/>
      <c r="BD2055" s="678"/>
      <c r="BE2055" s="585"/>
    </row>
    <row r="2056" spans="1:57" s="51" customFormat="1" ht="15" hidden="1" customHeight="1" outlineLevel="1" x14ac:dyDescent="0.25">
      <c r="A2056" s="2060"/>
      <c r="B2056" s="123"/>
      <c r="C2056" s="328"/>
      <c r="D2056" s="3990"/>
      <c r="E2056" s="4009"/>
      <c r="F2056" s="3010" t="str">
        <f>$E$1543</f>
        <v>ASHP-SEER20-Replace_CAC_ElectricHeat_ER1_SF</v>
      </c>
      <c r="G2056" s="2676"/>
      <c r="H2056" s="2676"/>
      <c r="I2056" s="2677"/>
      <c r="J2056" s="3298" t="str">
        <f>$C$1543</f>
        <v>353400_2021_12_</v>
      </c>
      <c r="K2056" s="2857">
        <v>1496</v>
      </c>
      <c r="L2056" s="851"/>
      <c r="M2056" s="1595"/>
      <c r="N2056" s="123"/>
      <c r="O2056" s="228"/>
      <c r="P2056" s="844"/>
      <c r="Q2056" s="844"/>
      <c r="R2056" s="844"/>
      <c r="S2056" s="832"/>
      <c r="T2056" s="3082"/>
      <c r="U2056" s="123"/>
      <c r="V2056" s="3990"/>
      <c r="W2056" s="2857">
        <v>2009</v>
      </c>
      <c r="X2056" s="3155">
        <v>1496</v>
      </c>
      <c r="Y2056" s="2857">
        <v>1496</v>
      </c>
      <c r="Z2056" s="2857">
        <v>1496</v>
      </c>
      <c r="AA2056" s="2857">
        <v>1496</v>
      </c>
      <c r="AB2056" s="2857">
        <v>1496</v>
      </c>
      <c r="AC2056" s="2857">
        <v>1496</v>
      </c>
      <c r="AD2056" s="2857"/>
      <c r="AE2056" s="2857"/>
      <c r="AF2056" s="2857"/>
      <c r="AG2056" s="2857"/>
      <c r="AH2056" s="1942"/>
      <c r="AI2056" s="1942"/>
      <c r="AJ2056" s="1942"/>
      <c r="AK2056" s="1942"/>
      <c r="AL2056" s="1942"/>
      <c r="AM2056" s="1942"/>
      <c r="AN2056" s="1942"/>
      <c r="AO2056" s="1942"/>
      <c r="AP2056" s="1942"/>
      <c r="AQ2056" s="1942"/>
      <c r="AR2056" s="1942"/>
      <c r="AS2056" s="1942"/>
      <c r="AT2056" s="1942"/>
      <c r="AU2056" s="1942"/>
      <c r="AV2056" s="1942"/>
      <c r="AW2056" s="1942"/>
      <c r="AX2056" s="1942"/>
      <c r="AY2056" s="1942"/>
      <c r="AZ2056" s="1942"/>
      <c r="BA2056" s="1942"/>
      <c r="BB2056" s="575"/>
      <c r="BC2056" s="576"/>
      <c r="BD2056" s="678"/>
      <c r="BE2056" s="585"/>
    </row>
    <row r="2057" spans="1:57" s="51" customFormat="1" ht="15" hidden="1" customHeight="1" outlineLevel="1" x14ac:dyDescent="0.25">
      <c r="A2057" s="2060"/>
      <c r="B2057" s="123"/>
      <c r="C2057" s="328"/>
      <c r="D2057" s="3990"/>
      <c r="E2057" s="4009"/>
      <c r="F2057" s="3010" t="str">
        <f>$E$1545</f>
        <v>ASHP-SEER20-Replace_CAC_ElectricHeat_ER2_SF</v>
      </c>
      <c r="G2057" s="2676"/>
      <c r="H2057" s="2676"/>
      <c r="I2057" s="2677"/>
      <c r="J2057" s="3298" t="str">
        <f>$C$1545</f>
        <v>353400_2021_12_</v>
      </c>
      <c r="K2057" s="2857">
        <v>1496</v>
      </c>
      <c r="L2057" s="851"/>
      <c r="M2057" s="1595"/>
      <c r="N2057" s="123"/>
      <c r="O2057" s="228"/>
      <c r="P2057" s="844"/>
      <c r="Q2057" s="844"/>
      <c r="R2057" s="844"/>
      <c r="S2057" s="832"/>
      <c r="T2057" s="3082"/>
      <c r="U2057" s="123"/>
      <c r="V2057" s="3990"/>
      <c r="W2057" s="2857">
        <v>2009</v>
      </c>
      <c r="X2057" s="3155">
        <v>1496</v>
      </c>
      <c r="Y2057" s="2857">
        <v>1496</v>
      </c>
      <c r="Z2057" s="2857">
        <v>1496</v>
      </c>
      <c r="AA2057" s="2857">
        <v>1496</v>
      </c>
      <c r="AB2057" s="2857">
        <v>1496</v>
      </c>
      <c r="AC2057" s="2857">
        <v>1496</v>
      </c>
      <c r="AD2057" s="2857"/>
      <c r="AE2057" s="2857"/>
      <c r="AF2057" s="2857"/>
      <c r="AG2057" s="2857"/>
      <c r="AH2057" s="1942"/>
      <c r="AI2057" s="1942"/>
      <c r="AJ2057" s="1942"/>
      <c r="AK2057" s="1942"/>
      <c r="AL2057" s="1942"/>
      <c r="AM2057" s="1942"/>
      <c r="AN2057" s="1942"/>
      <c r="AO2057" s="1942"/>
      <c r="AP2057" s="1942"/>
      <c r="AQ2057" s="1942"/>
      <c r="AR2057" s="1942"/>
      <c r="AS2057" s="1942"/>
      <c r="AT2057" s="1942"/>
      <c r="AU2057" s="1942"/>
      <c r="AV2057" s="1942"/>
      <c r="AW2057" s="1942"/>
      <c r="AX2057" s="1942"/>
      <c r="AY2057" s="1942"/>
      <c r="AZ2057" s="1942"/>
      <c r="BA2057" s="1942"/>
      <c r="BB2057" s="575"/>
      <c r="BC2057" s="576"/>
      <c r="BD2057" s="678"/>
      <c r="BE2057" s="585"/>
    </row>
    <row r="2058" spans="1:57" s="1942" customFormat="1" ht="15" hidden="1" customHeight="1" outlineLevel="1" x14ac:dyDescent="0.25">
      <c r="A2058" s="2060"/>
      <c r="B2058" s="123"/>
      <c r="C2058" s="328"/>
      <c r="D2058" s="3990"/>
      <c r="E2058" s="4009"/>
      <c r="F2058" s="3010" t="str">
        <f>$E$1547</f>
        <v>ASHP-SEER20-Replace_CAC_NonElectricHeat_ER1_SF</v>
      </c>
      <c r="G2058" s="2676"/>
      <c r="H2058" s="2676"/>
      <c r="I2058" s="2677"/>
      <c r="J2058" s="3298" t="str">
        <f>$C$1547</f>
        <v>353410_2021_12_</v>
      </c>
      <c r="K2058" s="2225">
        <v>1496</v>
      </c>
      <c r="L2058" s="851"/>
      <c r="M2058" s="1595"/>
      <c r="N2058" s="123"/>
      <c r="O2058" s="228"/>
      <c r="P2058" s="844"/>
      <c r="Q2058" s="844"/>
      <c r="R2058" s="844"/>
      <c r="S2058" s="832"/>
      <c r="T2058" s="3082"/>
      <c r="U2058" s="123"/>
      <c r="V2058" s="3990"/>
      <c r="W2058" s="2857"/>
      <c r="X2058" s="3155"/>
      <c r="Y2058" s="2857"/>
      <c r="Z2058" s="2857"/>
      <c r="AA2058" s="2857"/>
      <c r="AB2058" s="2857"/>
      <c r="AC2058" s="2225">
        <v>1496</v>
      </c>
      <c r="AD2058" s="2857"/>
      <c r="AE2058" s="2857"/>
      <c r="AF2058" s="2857"/>
      <c r="AG2058" s="2857"/>
      <c r="BB2058" s="575"/>
      <c r="BC2058" s="576"/>
      <c r="BD2058" s="678"/>
      <c r="BE2058" s="585"/>
    </row>
    <row r="2059" spans="1:57" s="1942" customFormat="1" ht="15" hidden="1" customHeight="1" outlineLevel="1" x14ac:dyDescent="0.25">
      <c r="A2059" s="2060"/>
      <c r="B2059" s="123"/>
      <c r="C2059" s="328"/>
      <c r="D2059" s="3990"/>
      <c r="E2059" s="4009"/>
      <c r="F2059" s="3010" t="str">
        <f>$E$1549</f>
        <v>ASHP-SEER20-Replace_CAC_NonElectricHeat_ER2_SF</v>
      </c>
      <c r="G2059" s="2676"/>
      <c r="H2059" s="2676"/>
      <c r="I2059" s="2677"/>
      <c r="J2059" s="3298" t="str">
        <f>$C$1549</f>
        <v>353410_2021_12_</v>
      </c>
      <c r="K2059" s="2225">
        <v>1496</v>
      </c>
      <c r="L2059" s="851"/>
      <c r="M2059" s="1595"/>
      <c r="N2059" s="123"/>
      <c r="O2059" s="228"/>
      <c r="P2059" s="844"/>
      <c r="Q2059" s="844"/>
      <c r="R2059" s="844"/>
      <c r="S2059" s="832"/>
      <c r="T2059" s="3082"/>
      <c r="U2059" s="123"/>
      <c r="V2059" s="3990"/>
      <c r="W2059" s="2857"/>
      <c r="X2059" s="3155"/>
      <c r="Y2059" s="2857"/>
      <c r="Z2059" s="2857"/>
      <c r="AA2059" s="2857"/>
      <c r="AB2059" s="2857"/>
      <c r="AC2059" s="2225">
        <v>1496</v>
      </c>
      <c r="AD2059" s="2857"/>
      <c r="AE2059" s="2857"/>
      <c r="AF2059" s="2857"/>
      <c r="AG2059" s="2857"/>
      <c r="BB2059" s="575"/>
      <c r="BC2059" s="576"/>
      <c r="BD2059" s="678"/>
      <c r="BE2059" s="585"/>
    </row>
    <row r="2060" spans="1:57" s="51" customFormat="1" ht="15" hidden="1" customHeight="1" outlineLevel="1" x14ac:dyDescent="0.25">
      <c r="A2060" s="2060"/>
      <c r="B2060" s="123"/>
      <c r="C2060" s="328"/>
      <c r="D2060" s="3990"/>
      <c r="E2060" s="4009"/>
      <c r="F2060" s="3010" t="str">
        <f>$E$1551</f>
        <v>ASHP-SEER20-Replace_CAC_ElectricHeat_ROF_SF</v>
      </c>
      <c r="G2060" s="2676"/>
      <c r="H2060" s="2676"/>
      <c r="I2060" s="2677"/>
      <c r="J2060" s="3298" t="str">
        <f>$C$1551</f>
        <v>353450_2021_12_</v>
      </c>
      <c r="K2060" s="2857">
        <v>1496</v>
      </c>
      <c r="L2060" s="851"/>
      <c r="M2060" s="1595"/>
      <c r="N2060" s="123"/>
      <c r="O2060" s="228"/>
      <c r="P2060" s="844"/>
      <c r="Q2060" s="844"/>
      <c r="R2060" s="844"/>
      <c r="S2060" s="832"/>
      <c r="T2060" s="3082"/>
      <c r="U2060" s="123"/>
      <c r="V2060" s="3990"/>
      <c r="W2060" s="2857">
        <v>2009</v>
      </c>
      <c r="X2060" s="3155">
        <v>1496</v>
      </c>
      <c r="Y2060" s="2857">
        <v>1496</v>
      </c>
      <c r="Z2060" s="2857">
        <v>1496</v>
      </c>
      <c r="AA2060" s="2857">
        <v>1496</v>
      </c>
      <c r="AB2060" s="2857">
        <v>1496</v>
      </c>
      <c r="AC2060" s="2857">
        <v>1496</v>
      </c>
      <c r="AD2060" s="2857"/>
      <c r="AE2060" s="2857"/>
      <c r="AF2060" s="2857"/>
      <c r="AG2060" s="2857"/>
      <c r="AH2060" s="1942"/>
      <c r="AI2060" s="1942"/>
      <c r="AJ2060" s="1942"/>
      <c r="AK2060" s="1942"/>
      <c r="AL2060" s="1942"/>
      <c r="AM2060" s="1942"/>
      <c r="AN2060" s="1942"/>
      <c r="AO2060" s="1942"/>
      <c r="AP2060" s="1942"/>
      <c r="AQ2060" s="1942"/>
      <c r="AR2060" s="1942"/>
      <c r="AS2060" s="1942"/>
      <c r="AT2060" s="1942"/>
      <c r="AU2060" s="1942"/>
      <c r="AV2060" s="1942"/>
      <c r="AW2060" s="1942"/>
      <c r="AX2060" s="1942"/>
      <c r="AY2060" s="1942"/>
      <c r="AZ2060" s="1942"/>
      <c r="BA2060" s="1942"/>
      <c r="BB2060" s="575"/>
      <c r="BC2060" s="576"/>
      <c r="BD2060" s="678"/>
      <c r="BE2060" s="585"/>
    </row>
    <row r="2061" spans="1:57" s="51" customFormat="1" ht="15" hidden="1" customHeight="1" outlineLevel="1" x14ac:dyDescent="0.25">
      <c r="A2061" s="2060"/>
      <c r="B2061" s="123"/>
      <c r="C2061" s="328"/>
      <c r="D2061" s="3990"/>
      <c r="E2061" s="4009"/>
      <c r="F2061" s="3010" t="str">
        <f>$E$1553</f>
        <v>ASHP-SEER20-Replace_CAC_ElectricHeat_ROF_MF</v>
      </c>
      <c r="G2061" s="2676"/>
      <c r="H2061" s="2676"/>
      <c r="I2061" s="2677"/>
      <c r="J2061" s="3299" t="str">
        <f>$C$1553</f>
        <v>353500_2019_12_</v>
      </c>
      <c r="K2061" s="2857">
        <v>1496</v>
      </c>
      <c r="L2061" s="851"/>
      <c r="M2061" s="1595"/>
      <c r="N2061" s="123"/>
      <c r="O2061" s="228"/>
      <c r="P2061" s="844"/>
      <c r="Q2061" s="844"/>
      <c r="R2061" s="844"/>
      <c r="S2061" s="832"/>
      <c r="T2061" s="3082"/>
      <c r="U2061" s="123"/>
      <c r="V2061" s="3990"/>
      <c r="W2061" s="2857">
        <v>2009</v>
      </c>
      <c r="X2061" s="3155">
        <v>1496</v>
      </c>
      <c r="Y2061" s="2857">
        <v>1496</v>
      </c>
      <c r="Z2061" s="2857">
        <v>1496</v>
      </c>
      <c r="AA2061" s="2857">
        <v>1496</v>
      </c>
      <c r="AB2061" s="2857">
        <v>1496</v>
      </c>
      <c r="AC2061" s="2857">
        <v>1496</v>
      </c>
      <c r="AD2061" s="2857"/>
      <c r="AE2061" s="2857"/>
      <c r="AF2061" s="2857"/>
      <c r="AG2061" s="2857"/>
      <c r="AH2061" s="1942"/>
      <c r="AI2061" s="1942"/>
      <c r="AJ2061" s="1942"/>
      <c r="AK2061" s="1942"/>
      <c r="AL2061" s="1942"/>
      <c r="AM2061" s="1942"/>
      <c r="AN2061" s="1942"/>
      <c r="AO2061" s="1942"/>
      <c r="AP2061" s="1942"/>
      <c r="AQ2061" s="1942"/>
      <c r="AR2061" s="1942"/>
      <c r="AS2061" s="1942"/>
      <c r="AT2061" s="1942"/>
      <c r="AU2061" s="1942"/>
      <c r="AV2061" s="1942"/>
      <c r="AW2061" s="1942"/>
      <c r="AX2061" s="1942"/>
      <c r="AY2061" s="1942"/>
      <c r="AZ2061" s="1942"/>
      <c r="BA2061" s="1942"/>
      <c r="BB2061" s="575"/>
      <c r="BC2061" s="576"/>
      <c r="BD2061" s="678"/>
      <c r="BE2061" s="585"/>
    </row>
    <row r="2062" spans="1:57" s="51" customFormat="1" ht="15" hidden="1" customHeight="1" outlineLevel="1" x14ac:dyDescent="0.25">
      <c r="A2062" s="2060"/>
      <c r="B2062" s="123"/>
      <c r="C2062" s="328"/>
      <c r="D2062" s="3990"/>
      <c r="E2062" s="4009"/>
      <c r="F2062" s="3010" t="str">
        <f>$E$1555</f>
        <v>ASHP-SEER20-Replace_CAC_ElectricHeat_ROF_MF_CompE</v>
      </c>
      <c r="G2062" s="2676"/>
      <c r="H2062" s="2676"/>
      <c r="I2062" s="2677"/>
      <c r="J2062" s="3299" t="str">
        <f>$C$1555</f>
        <v>353501_2019_12_</v>
      </c>
      <c r="K2062" s="2857">
        <v>510</v>
      </c>
      <c r="L2062" s="851"/>
      <c r="M2062" s="1595" t="s">
        <v>1558</v>
      </c>
      <c r="N2062" s="123"/>
      <c r="O2062" s="228"/>
      <c r="P2062" s="844"/>
      <c r="Q2062" s="844"/>
      <c r="R2062" s="844"/>
      <c r="S2062" s="832"/>
      <c r="T2062" s="3082"/>
      <c r="U2062" s="123"/>
      <c r="V2062" s="3990"/>
      <c r="W2062" s="2857"/>
      <c r="X2062" s="3155"/>
      <c r="Y2062" s="3155">
        <v>510</v>
      </c>
      <c r="Z2062" s="2857">
        <v>510</v>
      </c>
      <c r="AA2062" s="2857">
        <v>510</v>
      </c>
      <c r="AB2062" s="2857">
        <v>510</v>
      </c>
      <c r="AC2062" s="2857">
        <v>510</v>
      </c>
      <c r="AD2062" s="2857"/>
      <c r="AE2062" s="2857"/>
      <c r="AF2062" s="2857"/>
      <c r="AG2062" s="2857"/>
      <c r="AH2062" s="1942"/>
      <c r="AI2062" s="1942"/>
      <c r="AJ2062" s="1942"/>
      <c r="AK2062" s="1942"/>
      <c r="AL2062" s="1942"/>
      <c r="AM2062" s="1942"/>
      <c r="AN2062" s="1942"/>
      <c r="AO2062" s="1942"/>
      <c r="AP2062" s="1942"/>
      <c r="AQ2062" s="1942"/>
      <c r="AR2062" s="1942"/>
      <c r="AS2062" s="1942"/>
      <c r="AT2062" s="1942"/>
      <c r="AU2062" s="1942"/>
      <c r="AV2062" s="1942"/>
      <c r="AW2062" s="1942"/>
      <c r="AX2062" s="1942"/>
      <c r="AY2062" s="1942"/>
      <c r="AZ2062" s="1942"/>
      <c r="BA2062" s="1942"/>
      <c r="BB2062" s="575"/>
      <c r="BC2062" s="576"/>
      <c r="BD2062" s="678"/>
      <c r="BE2062" s="585"/>
    </row>
    <row r="2063" spans="1:57" s="1942" customFormat="1" ht="15" hidden="1" customHeight="1" outlineLevel="1" x14ac:dyDescent="0.25">
      <c r="A2063" s="2060"/>
      <c r="B2063" s="123"/>
      <c r="C2063" s="328"/>
      <c r="D2063" s="3990"/>
      <c r="E2063" s="4009"/>
      <c r="F2063" s="3010" t="str">
        <f>$E$1557</f>
        <v>ASHP-SEER20-Replace_CAC_NonElectricHeat_ROF_MF</v>
      </c>
      <c r="G2063" s="2676"/>
      <c r="H2063" s="2676"/>
      <c r="I2063" s="2677"/>
      <c r="J2063" s="3298" t="str">
        <f>$C$1557</f>
        <v>353510_2021_12_</v>
      </c>
      <c r="K2063" s="2225">
        <v>1496</v>
      </c>
      <c r="L2063" s="851"/>
      <c r="M2063" s="1595"/>
      <c r="N2063" s="123"/>
      <c r="O2063" s="228"/>
      <c r="P2063" s="844"/>
      <c r="Q2063" s="844"/>
      <c r="R2063" s="844"/>
      <c r="S2063" s="832"/>
      <c r="T2063" s="3082"/>
      <c r="U2063" s="123"/>
      <c r="V2063" s="3990"/>
      <c r="W2063" s="2857"/>
      <c r="X2063" s="3155"/>
      <c r="Y2063" s="3155"/>
      <c r="Z2063" s="2857"/>
      <c r="AA2063" s="2857"/>
      <c r="AB2063" s="2857"/>
      <c r="AC2063" s="2225">
        <v>1496</v>
      </c>
      <c r="AD2063" s="2857"/>
      <c r="AE2063" s="2857"/>
      <c r="AF2063" s="2857"/>
      <c r="AG2063" s="2857"/>
      <c r="BB2063" s="575"/>
      <c r="BC2063" s="576"/>
      <c r="BD2063" s="678"/>
      <c r="BE2063" s="585"/>
    </row>
    <row r="2064" spans="1:57" s="1942" customFormat="1" ht="15" hidden="1" customHeight="1" outlineLevel="1" x14ac:dyDescent="0.25">
      <c r="A2064" s="2060"/>
      <c r="B2064" s="123"/>
      <c r="C2064" s="328"/>
      <c r="D2064" s="3990"/>
      <c r="E2064" s="4009"/>
      <c r="F2064" s="3010" t="str">
        <f>$E$1559</f>
        <v>ASHP-SEER20-Replace_CAC_NonElectricHeat_ROF_MF_CompE</v>
      </c>
      <c r="G2064" s="2676"/>
      <c r="H2064" s="2676"/>
      <c r="I2064" s="2677"/>
      <c r="J2064" s="3298" t="str">
        <f>$C$1559</f>
        <v>353511_2021_12_</v>
      </c>
      <c r="K2064" s="2225">
        <v>510</v>
      </c>
      <c r="L2064" s="851"/>
      <c r="M2064" s="1595"/>
      <c r="N2064" s="123"/>
      <c r="O2064" s="228"/>
      <c r="P2064" s="844"/>
      <c r="Q2064" s="844"/>
      <c r="R2064" s="844"/>
      <c r="S2064" s="832"/>
      <c r="T2064" s="3082"/>
      <c r="U2064" s="123"/>
      <c r="V2064" s="3990"/>
      <c r="W2064" s="2857"/>
      <c r="X2064" s="3155"/>
      <c r="Y2064" s="3155"/>
      <c r="Z2064" s="2857"/>
      <c r="AA2064" s="2857"/>
      <c r="AB2064" s="2857"/>
      <c r="AC2064" s="2225">
        <v>510</v>
      </c>
      <c r="AD2064" s="2857"/>
      <c r="AE2064" s="2857"/>
      <c r="AF2064" s="2857"/>
      <c r="AG2064" s="2857"/>
      <c r="BB2064" s="575"/>
      <c r="BC2064" s="576"/>
      <c r="BD2064" s="678"/>
      <c r="BE2064" s="585"/>
    </row>
    <row r="2065" spans="1:57" s="51" customFormat="1" ht="15" hidden="1" customHeight="1" outlineLevel="1" x14ac:dyDescent="0.25">
      <c r="A2065" s="2060"/>
      <c r="B2065" s="123"/>
      <c r="C2065" s="328"/>
      <c r="D2065" s="3990"/>
      <c r="E2065" s="4009"/>
      <c r="F2065" s="3010" t="str">
        <f>$E$1561</f>
        <v>ASHP-SEER21-Replace_CAC_ElectricHeat_ER1_SF</v>
      </c>
      <c r="G2065" s="2676"/>
      <c r="H2065" s="2676"/>
      <c r="I2065" s="2677"/>
      <c r="J2065" s="3298" t="str">
        <f>$C$1561</f>
        <v>353550_2021_12_</v>
      </c>
      <c r="K2065" s="2857">
        <v>1496</v>
      </c>
      <c r="L2065" s="851"/>
      <c r="M2065" s="1595"/>
      <c r="N2065" s="123"/>
      <c r="O2065" s="228"/>
      <c r="P2065" s="844"/>
      <c r="Q2065" s="844"/>
      <c r="R2065" s="844"/>
      <c r="S2065" s="832"/>
      <c r="T2065" s="3082"/>
      <c r="U2065" s="123"/>
      <c r="V2065" s="3990"/>
      <c r="W2065" s="2857">
        <v>2009</v>
      </c>
      <c r="X2065" s="3155">
        <v>1496</v>
      </c>
      <c r="Y2065" s="2857">
        <v>1496</v>
      </c>
      <c r="Z2065" s="2857">
        <v>1496</v>
      </c>
      <c r="AA2065" s="2857">
        <v>1496</v>
      </c>
      <c r="AB2065" s="2857">
        <v>1496</v>
      </c>
      <c r="AC2065" s="2857">
        <v>1496</v>
      </c>
      <c r="AD2065" s="2857"/>
      <c r="AE2065" s="2857"/>
      <c r="AF2065" s="2857"/>
      <c r="AG2065" s="2857"/>
      <c r="AH2065" s="1942"/>
      <c r="AI2065" s="1942"/>
      <c r="AJ2065" s="1942"/>
      <c r="AK2065" s="1942"/>
      <c r="AL2065" s="1942"/>
      <c r="AM2065" s="1942"/>
      <c r="AN2065" s="1942"/>
      <c r="AO2065" s="1942"/>
      <c r="AP2065" s="1942"/>
      <c r="AQ2065" s="1942"/>
      <c r="AR2065" s="1942"/>
      <c r="AS2065" s="1942"/>
      <c r="AT2065" s="1942"/>
      <c r="AU2065" s="1942"/>
      <c r="AV2065" s="1942"/>
      <c r="AW2065" s="1942"/>
      <c r="AX2065" s="1942"/>
      <c r="AY2065" s="1942"/>
      <c r="AZ2065" s="1942"/>
      <c r="BA2065" s="1942"/>
      <c r="BB2065" s="575"/>
      <c r="BC2065" s="576"/>
      <c r="BD2065" s="678"/>
      <c r="BE2065" s="585"/>
    </row>
    <row r="2066" spans="1:57" s="51" customFormat="1" ht="15" hidden="1" customHeight="1" outlineLevel="1" x14ac:dyDescent="0.25">
      <c r="A2066" s="2060"/>
      <c r="B2066" s="123"/>
      <c r="C2066" s="328"/>
      <c r="D2066" s="3990"/>
      <c r="E2066" s="4009"/>
      <c r="F2066" s="3010" t="str">
        <f>$E$1563</f>
        <v>ASHP-SEER21-Replace_CAC_ElectricHeat_ER2_SF</v>
      </c>
      <c r="G2066" s="2676"/>
      <c r="H2066" s="2676"/>
      <c r="I2066" s="2677"/>
      <c r="J2066" s="3298" t="str">
        <f>$C$1563</f>
        <v>353550_2021_12_</v>
      </c>
      <c r="K2066" s="2857">
        <v>1496</v>
      </c>
      <c r="L2066" s="851"/>
      <c r="M2066" s="1595"/>
      <c r="N2066" s="123"/>
      <c r="O2066" s="228"/>
      <c r="P2066" s="844"/>
      <c r="Q2066" s="845"/>
      <c r="R2066" s="844"/>
      <c r="S2066" s="832"/>
      <c r="T2066" s="3082"/>
      <c r="U2066" s="123"/>
      <c r="V2066" s="3990"/>
      <c r="W2066" s="2857">
        <v>2009</v>
      </c>
      <c r="X2066" s="3155">
        <v>1496</v>
      </c>
      <c r="Y2066" s="2857">
        <v>1496</v>
      </c>
      <c r="Z2066" s="2857">
        <v>1496</v>
      </c>
      <c r="AA2066" s="2857">
        <v>1496</v>
      </c>
      <c r="AB2066" s="2857">
        <v>1496</v>
      </c>
      <c r="AC2066" s="2857">
        <v>1496</v>
      </c>
      <c r="AD2066" s="2857"/>
      <c r="AE2066" s="2857"/>
      <c r="AF2066" s="2857"/>
      <c r="AG2066" s="2857"/>
      <c r="AH2066" s="1942"/>
      <c r="AI2066" s="1942"/>
      <c r="AJ2066" s="1942"/>
      <c r="AK2066" s="1942"/>
      <c r="AL2066" s="1942"/>
      <c r="AM2066" s="1942"/>
      <c r="AN2066" s="1942"/>
      <c r="AO2066" s="1942"/>
      <c r="AP2066" s="1942"/>
      <c r="AQ2066" s="1942"/>
      <c r="AR2066" s="1942"/>
      <c r="AS2066" s="1942"/>
      <c r="AT2066" s="1942"/>
      <c r="AU2066" s="1942"/>
      <c r="AV2066" s="1942"/>
      <c r="AW2066" s="1942"/>
      <c r="AX2066" s="1942"/>
      <c r="AY2066" s="1942"/>
      <c r="AZ2066" s="1942"/>
      <c r="BA2066" s="1942"/>
      <c r="BB2066" s="575"/>
      <c r="BC2066" s="576"/>
      <c r="BD2066" s="678"/>
      <c r="BE2066" s="585"/>
    </row>
    <row r="2067" spans="1:57" s="1942" customFormat="1" ht="15" hidden="1" customHeight="1" outlineLevel="1" x14ac:dyDescent="0.25">
      <c r="A2067" s="2060"/>
      <c r="B2067" s="123"/>
      <c r="C2067" s="328"/>
      <c r="D2067" s="3990"/>
      <c r="E2067" s="4009"/>
      <c r="F2067" s="3010" t="str">
        <f>$E$1565</f>
        <v>ASHP-SEER21-Replace_CAC_NonElectricHeat_ER1_SF</v>
      </c>
      <c r="G2067" s="2676"/>
      <c r="H2067" s="2676"/>
      <c r="I2067" s="2677"/>
      <c r="J2067" s="3298" t="str">
        <f>$C$1565</f>
        <v>353560_2021_12_</v>
      </c>
      <c r="K2067" s="2225">
        <v>1496</v>
      </c>
      <c r="L2067" s="851"/>
      <c r="M2067" s="1595"/>
      <c r="N2067" s="123"/>
      <c r="O2067" s="228"/>
      <c r="P2067" s="844"/>
      <c r="Q2067" s="845"/>
      <c r="R2067" s="844"/>
      <c r="S2067" s="832"/>
      <c r="T2067" s="3082"/>
      <c r="U2067" s="123"/>
      <c r="V2067" s="3990"/>
      <c r="W2067" s="2857"/>
      <c r="X2067" s="3155"/>
      <c r="Y2067" s="2857"/>
      <c r="Z2067" s="2857"/>
      <c r="AA2067" s="2857"/>
      <c r="AB2067" s="2857"/>
      <c r="AC2067" s="2225">
        <v>1496</v>
      </c>
      <c r="AD2067" s="2857"/>
      <c r="AE2067" s="2857"/>
      <c r="AF2067" s="2857"/>
      <c r="AG2067" s="2857"/>
      <c r="BB2067" s="575"/>
      <c r="BC2067" s="576"/>
      <c r="BD2067" s="678"/>
      <c r="BE2067" s="585"/>
    </row>
    <row r="2068" spans="1:57" s="1942" customFormat="1" ht="15" hidden="1" customHeight="1" outlineLevel="1" x14ac:dyDescent="0.25">
      <c r="A2068" s="2060"/>
      <c r="B2068" s="123"/>
      <c r="C2068" s="328"/>
      <c r="D2068" s="3990"/>
      <c r="E2068" s="4009"/>
      <c r="F2068" s="3010" t="str">
        <f>$E$1567</f>
        <v>ASHP-SEER21-Replace_CAC_NonElectricHeat_ER2_SF</v>
      </c>
      <c r="G2068" s="2676"/>
      <c r="H2068" s="2676"/>
      <c r="I2068" s="2677"/>
      <c r="J2068" s="3298" t="str">
        <f>$C$1567</f>
        <v>353560_2021_12_</v>
      </c>
      <c r="K2068" s="2225">
        <v>1496</v>
      </c>
      <c r="L2068" s="851"/>
      <c r="M2068" s="1595"/>
      <c r="N2068" s="123"/>
      <c r="O2068" s="228"/>
      <c r="P2068" s="844"/>
      <c r="Q2068" s="845"/>
      <c r="R2068" s="844"/>
      <c r="S2068" s="832"/>
      <c r="T2068" s="3082"/>
      <c r="U2068" s="123"/>
      <c r="V2068" s="3990"/>
      <c r="W2068" s="2857"/>
      <c r="X2068" s="3155"/>
      <c r="Y2068" s="2857"/>
      <c r="Z2068" s="2857"/>
      <c r="AA2068" s="2857"/>
      <c r="AB2068" s="2857"/>
      <c r="AC2068" s="2225">
        <v>1496</v>
      </c>
      <c r="AD2068" s="2857"/>
      <c r="AE2068" s="2857"/>
      <c r="AF2068" s="2857"/>
      <c r="AG2068" s="2857"/>
      <c r="BB2068" s="575"/>
      <c r="BC2068" s="576"/>
      <c r="BD2068" s="678"/>
      <c r="BE2068" s="585"/>
    </row>
    <row r="2069" spans="1:57" s="51" customFormat="1" ht="15" hidden="1" customHeight="1" outlineLevel="1" x14ac:dyDescent="0.25">
      <c r="A2069" s="2060"/>
      <c r="B2069" s="123"/>
      <c r="C2069" s="328"/>
      <c r="D2069" s="3990"/>
      <c r="E2069" s="4009"/>
      <c r="F2069" s="3010" t="str">
        <f>$E$1569</f>
        <v>ASHP-SEER21-Replace_CAC_ElectricHeat_ER1_MF</v>
      </c>
      <c r="G2069" s="2676"/>
      <c r="H2069" s="2676"/>
      <c r="I2069" s="2677"/>
      <c r="J2069" s="3299" t="str">
        <f>$C$1569</f>
        <v>353600_2019_12_</v>
      </c>
      <c r="K2069" s="2857">
        <v>1496</v>
      </c>
      <c r="L2069" s="851"/>
      <c r="M2069" s="1595"/>
      <c r="N2069" s="123"/>
      <c r="O2069" s="228"/>
      <c r="P2069" s="844"/>
      <c r="Q2069" s="845"/>
      <c r="R2069" s="844"/>
      <c r="S2069" s="832"/>
      <c r="T2069" s="3082"/>
      <c r="U2069" s="123"/>
      <c r="V2069" s="3990"/>
      <c r="W2069" s="2857">
        <v>2009</v>
      </c>
      <c r="X2069" s="3155">
        <v>1496</v>
      </c>
      <c r="Y2069" s="2857">
        <v>1496</v>
      </c>
      <c r="Z2069" s="2857">
        <v>1496</v>
      </c>
      <c r="AA2069" s="2857">
        <v>1496</v>
      </c>
      <c r="AB2069" s="2857">
        <v>1496</v>
      </c>
      <c r="AC2069" s="2857">
        <v>1496</v>
      </c>
      <c r="AD2069" s="2857"/>
      <c r="AE2069" s="2857"/>
      <c r="AF2069" s="2857"/>
      <c r="AG2069" s="2857"/>
      <c r="AH2069" s="1942"/>
      <c r="AI2069" s="1942"/>
      <c r="AJ2069" s="1942"/>
      <c r="AK2069" s="1942"/>
      <c r="AL2069" s="1942"/>
      <c r="AM2069" s="1942"/>
      <c r="AN2069" s="1942"/>
      <c r="AO2069" s="1942"/>
      <c r="AP2069" s="1942"/>
      <c r="AQ2069" s="1942"/>
      <c r="AR2069" s="1942"/>
      <c r="AS2069" s="1942"/>
      <c r="AT2069" s="1942"/>
      <c r="AU2069" s="1942"/>
      <c r="AV2069" s="1942"/>
      <c r="AW2069" s="1942"/>
      <c r="AX2069" s="1942"/>
      <c r="AY2069" s="1942"/>
      <c r="AZ2069" s="1942"/>
      <c r="BA2069" s="1942"/>
      <c r="BB2069" s="575"/>
      <c r="BC2069" s="576"/>
      <c r="BD2069" s="678"/>
      <c r="BE2069" s="585"/>
    </row>
    <row r="2070" spans="1:57" s="51" customFormat="1" ht="15" hidden="1" customHeight="1" outlineLevel="1" x14ac:dyDescent="0.25">
      <c r="A2070" s="2060"/>
      <c r="B2070" s="123"/>
      <c r="C2070" s="328"/>
      <c r="D2070" s="3990"/>
      <c r="E2070" s="4009"/>
      <c r="F2070" s="3010" t="str">
        <f>$E$1571</f>
        <v>ASHP-SEER21-Replace_CAC_ElectricHeat_ER2_MF</v>
      </c>
      <c r="G2070" s="2676"/>
      <c r="H2070" s="2676"/>
      <c r="I2070" s="2677"/>
      <c r="J2070" s="3299" t="str">
        <f>$C$1571</f>
        <v>353600_2019_12_</v>
      </c>
      <c r="K2070" s="2857">
        <v>1496</v>
      </c>
      <c r="L2070" s="851"/>
      <c r="M2070" s="1595"/>
      <c r="N2070" s="123"/>
      <c r="O2070" s="228"/>
      <c r="P2070" s="844"/>
      <c r="Q2070" s="845"/>
      <c r="R2070" s="844"/>
      <c r="S2070" s="832"/>
      <c r="T2070" s="3082"/>
      <c r="U2070" s="123"/>
      <c r="V2070" s="3990"/>
      <c r="W2070" s="2857">
        <v>2009</v>
      </c>
      <c r="X2070" s="3155">
        <v>1496</v>
      </c>
      <c r="Y2070" s="2857">
        <v>1496</v>
      </c>
      <c r="Z2070" s="2857">
        <v>1496</v>
      </c>
      <c r="AA2070" s="2857">
        <v>1496</v>
      </c>
      <c r="AB2070" s="2857">
        <v>1496</v>
      </c>
      <c r="AC2070" s="2857">
        <v>1496</v>
      </c>
      <c r="AD2070" s="2857"/>
      <c r="AE2070" s="2857"/>
      <c r="AF2070" s="2857"/>
      <c r="AG2070" s="2857"/>
      <c r="AH2070" s="1942"/>
      <c r="AI2070" s="1942"/>
      <c r="AJ2070" s="1942"/>
      <c r="AK2070" s="1942"/>
      <c r="AL2070" s="1942"/>
      <c r="AM2070" s="1942"/>
      <c r="AN2070" s="1942"/>
      <c r="AO2070" s="1942"/>
      <c r="AP2070" s="1942"/>
      <c r="AQ2070" s="1942"/>
      <c r="AR2070" s="1942"/>
      <c r="AS2070" s="1942"/>
      <c r="AT2070" s="1942"/>
      <c r="AU2070" s="1942"/>
      <c r="AV2070" s="1942"/>
      <c r="AW2070" s="1942"/>
      <c r="AX2070" s="1942"/>
      <c r="AY2070" s="1942"/>
      <c r="AZ2070" s="1942"/>
      <c r="BA2070" s="1942"/>
      <c r="BB2070" s="575"/>
      <c r="BC2070" s="576"/>
      <c r="BD2070" s="678"/>
      <c r="BE2070" s="585"/>
    </row>
    <row r="2071" spans="1:57" s="51" customFormat="1" ht="15" hidden="1" customHeight="1" outlineLevel="1" x14ac:dyDescent="0.25">
      <c r="A2071" s="2060"/>
      <c r="B2071" s="123"/>
      <c r="C2071" s="328"/>
      <c r="D2071" s="3990"/>
      <c r="E2071" s="4009"/>
      <c r="F2071" s="3010" t="str">
        <f>$E$1573</f>
        <v>ASHP-SEER21-Replace_CAC_ElectricHeat_ER1_MF_CompE</v>
      </c>
      <c r="G2071" s="2676"/>
      <c r="H2071" s="2676"/>
      <c r="I2071" s="2677"/>
      <c r="J2071" s="3299" t="str">
        <f>$C$1573</f>
        <v>353601_2019_12_</v>
      </c>
      <c r="K2071" s="2857">
        <v>510</v>
      </c>
      <c r="L2071" s="851"/>
      <c r="M2071" s="1595" t="s">
        <v>1558</v>
      </c>
      <c r="N2071" s="123"/>
      <c r="O2071" s="228"/>
      <c r="P2071" s="844"/>
      <c r="Q2071" s="845"/>
      <c r="R2071" s="844"/>
      <c r="S2071" s="832"/>
      <c r="T2071" s="3082"/>
      <c r="U2071" s="123"/>
      <c r="V2071" s="3990"/>
      <c r="W2071" s="2857"/>
      <c r="X2071" s="3155"/>
      <c r="Y2071" s="3155">
        <v>510</v>
      </c>
      <c r="Z2071" s="2857">
        <v>510</v>
      </c>
      <c r="AA2071" s="2857">
        <v>510</v>
      </c>
      <c r="AB2071" s="2857">
        <v>510</v>
      </c>
      <c r="AC2071" s="2857">
        <v>510</v>
      </c>
      <c r="AD2071" s="2857"/>
      <c r="AE2071" s="2857"/>
      <c r="AF2071" s="2857"/>
      <c r="AG2071" s="2857"/>
      <c r="AH2071" s="1942"/>
      <c r="AI2071" s="1942"/>
      <c r="AJ2071" s="1942"/>
      <c r="AK2071" s="1942"/>
      <c r="AL2071" s="1942"/>
      <c r="AM2071" s="1942"/>
      <c r="AN2071" s="1942"/>
      <c r="AO2071" s="1942"/>
      <c r="AP2071" s="1942"/>
      <c r="AQ2071" s="1942"/>
      <c r="AR2071" s="1942"/>
      <c r="AS2071" s="1942"/>
      <c r="AT2071" s="1942"/>
      <c r="AU2071" s="1942"/>
      <c r="AV2071" s="1942"/>
      <c r="AW2071" s="1942"/>
      <c r="AX2071" s="1942"/>
      <c r="AY2071" s="1942"/>
      <c r="AZ2071" s="1942"/>
      <c r="BA2071" s="1942"/>
      <c r="BB2071" s="575"/>
      <c r="BC2071" s="576"/>
      <c r="BD2071" s="678"/>
      <c r="BE2071" s="585"/>
    </row>
    <row r="2072" spans="1:57" s="51" customFormat="1" ht="15" hidden="1" customHeight="1" outlineLevel="1" x14ac:dyDescent="0.25">
      <c r="A2072" s="2060"/>
      <c r="B2072" s="123"/>
      <c r="C2072" s="328"/>
      <c r="D2072" s="3990"/>
      <c r="E2072" s="4009"/>
      <c r="F2072" s="3010" t="str">
        <f>$E$1575</f>
        <v>ASHP-SEER21-Replace_CAC_ElectricHeat_ER2_MF_CompE</v>
      </c>
      <c r="G2072" s="2676"/>
      <c r="H2072" s="2676"/>
      <c r="I2072" s="2677"/>
      <c r="J2072" s="3299" t="str">
        <f>$C$1575</f>
        <v>353601_2019_12_</v>
      </c>
      <c r="K2072" s="2857">
        <v>510</v>
      </c>
      <c r="L2072" s="851"/>
      <c r="M2072" s="1595" t="s">
        <v>1558</v>
      </c>
      <c r="N2072" s="123"/>
      <c r="O2072" s="228"/>
      <c r="P2072" s="844"/>
      <c r="Q2072" s="845"/>
      <c r="R2072" s="844"/>
      <c r="S2072" s="832"/>
      <c r="T2072" s="3082"/>
      <c r="U2072" s="123"/>
      <c r="V2072" s="3990"/>
      <c r="W2072" s="2857"/>
      <c r="X2072" s="3155"/>
      <c r="Y2072" s="3155">
        <v>510</v>
      </c>
      <c r="Z2072" s="2857">
        <v>510</v>
      </c>
      <c r="AA2072" s="2857">
        <v>510</v>
      </c>
      <c r="AB2072" s="2857">
        <v>510</v>
      </c>
      <c r="AC2072" s="2857">
        <v>510</v>
      </c>
      <c r="AD2072" s="2857"/>
      <c r="AE2072" s="2857"/>
      <c r="AF2072" s="2857"/>
      <c r="AG2072" s="2857"/>
      <c r="AH2072" s="1942"/>
      <c r="AI2072" s="1942"/>
      <c r="AJ2072" s="1942"/>
      <c r="AK2072" s="1942"/>
      <c r="AL2072" s="1942"/>
      <c r="AM2072" s="1942"/>
      <c r="AN2072" s="1942"/>
      <c r="AO2072" s="1942"/>
      <c r="AP2072" s="1942"/>
      <c r="AQ2072" s="1942"/>
      <c r="AR2072" s="1942"/>
      <c r="AS2072" s="1942"/>
      <c r="AT2072" s="1942"/>
      <c r="AU2072" s="1942"/>
      <c r="AV2072" s="1942"/>
      <c r="AW2072" s="1942"/>
      <c r="AX2072" s="1942"/>
      <c r="AY2072" s="1942"/>
      <c r="AZ2072" s="1942"/>
      <c r="BA2072" s="1942"/>
      <c r="BB2072" s="575"/>
      <c r="BC2072" s="576"/>
      <c r="BD2072" s="678"/>
      <c r="BE2072" s="585"/>
    </row>
    <row r="2073" spans="1:57" s="1942" customFormat="1" ht="15" hidden="1" customHeight="1" outlineLevel="1" x14ac:dyDescent="0.25">
      <c r="A2073" s="2060"/>
      <c r="B2073" s="123"/>
      <c r="C2073" s="328"/>
      <c r="D2073" s="3990"/>
      <c r="E2073" s="4009"/>
      <c r="F2073" s="3010" t="str">
        <f>$E$1577</f>
        <v>ASHP-SEER21-Replace_CAC_NonElectricHeat_ER1_MF</v>
      </c>
      <c r="G2073" s="2676"/>
      <c r="H2073" s="2676"/>
      <c r="I2073" s="2677"/>
      <c r="J2073" s="3298" t="str">
        <f>$C$1577</f>
        <v>353610_2021_12_</v>
      </c>
      <c r="K2073" s="2225">
        <v>1496</v>
      </c>
      <c r="L2073" s="851"/>
      <c r="M2073" s="1595"/>
      <c r="N2073" s="123"/>
      <c r="O2073" s="228"/>
      <c r="P2073" s="844"/>
      <c r="Q2073" s="845"/>
      <c r="R2073" s="844"/>
      <c r="S2073" s="832"/>
      <c r="T2073" s="3082"/>
      <c r="U2073" s="123"/>
      <c r="V2073" s="3990"/>
      <c r="W2073" s="2857"/>
      <c r="X2073" s="3155"/>
      <c r="Y2073" s="3155"/>
      <c r="Z2073" s="2857"/>
      <c r="AA2073" s="2857"/>
      <c r="AB2073" s="2857"/>
      <c r="AC2073" s="2225">
        <v>1496</v>
      </c>
      <c r="AD2073" s="2857"/>
      <c r="AE2073" s="2857"/>
      <c r="AF2073" s="2857"/>
      <c r="AG2073" s="2857"/>
      <c r="BB2073" s="575"/>
      <c r="BC2073" s="576"/>
      <c r="BD2073" s="678"/>
      <c r="BE2073" s="585"/>
    </row>
    <row r="2074" spans="1:57" s="1942" customFormat="1" ht="15" hidden="1" customHeight="1" outlineLevel="1" x14ac:dyDescent="0.25">
      <c r="A2074" s="2060"/>
      <c r="B2074" s="123"/>
      <c r="C2074" s="328"/>
      <c r="D2074" s="3990"/>
      <c r="E2074" s="4009"/>
      <c r="F2074" s="3010" t="str">
        <f>$E$1579</f>
        <v>ASHP-SEER21-Replace_CAC_NonElectricHeat_ER2_MF</v>
      </c>
      <c r="G2074" s="2676"/>
      <c r="H2074" s="2676"/>
      <c r="I2074" s="2677"/>
      <c r="J2074" s="3298" t="str">
        <f>$C$1579</f>
        <v>353610_2021_12_</v>
      </c>
      <c r="K2074" s="2225">
        <v>1496</v>
      </c>
      <c r="L2074" s="851"/>
      <c r="M2074" s="1595"/>
      <c r="N2074" s="123"/>
      <c r="O2074" s="228"/>
      <c r="P2074" s="844"/>
      <c r="Q2074" s="845"/>
      <c r="R2074" s="844"/>
      <c r="S2074" s="832"/>
      <c r="T2074" s="3082"/>
      <c r="U2074" s="123"/>
      <c r="V2074" s="3990"/>
      <c r="W2074" s="2857"/>
      <c r="X2074" s="3155"/>
      <c r="Y2074" s="3155"/>
      <c r="Z2074" s="2857"/>
      <c r="AA2074" s="2857"/>
      <c r="AB2074" s="2857"/>
      <c r="AC2074" s="2225">
        <v>1496</v>
      </c>
      <c r="AD2074" s="2857"/>
      <c r="AE2074" s="2857"/>
      <c r="AF2074" s="2857"/>
      <c r="AG2074" s="2857"/>
      <c r="BB2074" s="575"/>
      <c r="BC2074" s="576"/>
      <c r="BD2074" s="678"/>
      <c r="BE2074" s="585"/>
    </row>
    <row r="2075" spans="1:57" s="1942" customFormat="1" ht="15" hidden="1" customHeight="1" outlineLevel="1" x14ac:dyDescent="0.25">
      <c r="A2075" s="2060"/>
      <c r="B2075" s="123"/>
      <c r="C2075" s="328"/>
      <c r="D2075" s="3990"/>
      <c r="E2075" s="4009"/>
      <c r="F2075" s="3010" t="str">
        <f>$E$1581</f>
        <v>ASHP-SEER21-Replace_CAC_NonElectricHeat_ER1_MF_CompE</v>
      </c>
      <c r="G2075" s="2676"/>
      <c r="H2075" s="2676"/>
      <c r="I2075" s="2677"/>
      <c r="J2075" s="3298" t="str">
        <f>$C$1581</f>
        <v>353611_2021_12_</v>
      </c>
      <c r="K2075" s="2225">
        <v>510</v>
      </c>
      <c r="L2075" s="851"/>
      <c r="M2075" s="1595"/>
      <c r="N2075" s="123"/>
      <c r="O2075" s="228"/>
      <c r="P2075" s="844"/>
      <c r="Q2075" s="845"/>
      <c r="R2075" s="844"/>
      <c r="S2075" s="832"/>
      <c r="T2075" s="3082"/>
      <c r="U2075" s="123"/>
      <c r="V2075" s="3990"/>
      <c r="W2075" s="2857"/>
      <c r="X2075" s="3155"/>
      <c r="Y2075" s="3155"/>
      <c r="Z2075" s="2857"/>
      <c r="AA2075" s="2857"/>
      <c r="AB2075" s="2857"/>
      <c r="AC2075" s="2225">
        <v>510</v>
      </c>
      <c r="AD2075" s="2857"/>
      <c r="AE2075" s="2857"/>
      <c r="AF2075" s="2857"/>
      <c r="AG2075" s="2857"/>
      <c r="BB2075" s="575"/>
      <c r="BC2075" s="576"/>
      <c r="BD2075" s="678"/>
      <c r="BE2075" s="585"/>
    </row>
    <row r="2076" spans="1:57" s="1942" customFormat="1" ht="15" hidden="1" customHeight="1" outlineLevel="1" x14ac:dyDescent="0.25">
      <c r="A2076" s="2060"/>
      <c r="B2076" s="123"/>
      <c r="C2076" s="328"/>
      <c r="D2076" s="3990"/>
      <c r="E2076" s="4009"/>
      <c r="F2076" s="3010" t="str">
        <f>$E$1583</f>
        <v>ASHP-SEER21-Replace_CAC_NonElectricHeat_ER2_MF_CompE</v>
      </c>
      <c r="G2076" s="2676"/>
      <c r="H2076" s="2676"/>
      <c r="I2076" s="2677"/>
      <c r="J2076" s="3298" t="str">
        <f>$C$1583</f>
        <v>353611_2021_12_</v>
      </c>
      <c r="K2076" s="2225">
        <v>510</v>
      </c>
      <c r="L2076" s="851"/>
      <c r="M2076" s="1595"/>
      <c r="N2076" s="123"/>
      <c r="O2076" s="228"/>
      <c r="P2076" s="844"/>
      <c r="Q2076" s="845"/>
      <c r="R2076" s="844"/>
      <c r="S2076" s="832"/>
      <c r="T2076" s="3082"/>
      <c r="U2076" s="123"/>
      <c r="V2076" s="3990"/>
      <c r="W2076" s="2857"/>
      <c r="X2076" s="3155"/>
      <c r="Y2076" s="3155"/>
      <c r="Z2076" s="2857"/>
      <c r="AA2076" s="2857"/>
      <c r="AB2076" s="2857"/>
      <c r="AC2076" s="2225">
        <v>510</v>
      </c>
      <c r="AD2076" s="2857"/>
      <c r="AE2076" s="2857"/>
      <c r="AF2076" s="2857"/>
      <c r="AG2076" s="2857"/>
      <c r="BB2076" s="575"/>
      <c r="BC2076" s="576"/>
      <c r="BD2076" s="678"/>
      <c r="BE2076" s="585"/>
    </row>
    <row r="2077" spans="1:57" s="51" customFormat="1" ht="15" hidden="1" customHeight="1" outlineLevel="1" x14ac:dyDescent="0.25">
      <c r="A2077" s="2060"/>
      <c r="B2077" s="123"/>
      <c r="C2077" s="328"/>
      <c r="D2077" s="3990"/>
      <c r="E2077" s="4009"/>
      <c r="F2077" s="3010" t="str">
        <f>$E$1585</f>
        <v>ASHP-SEER21-Replace_CAC_ElectricHeat_ROF_SF</v>
      </c>
      <c r="G2077" s="2676"/>
      <c r="H2077" s="2676"/>
      <c r="I2077" s="2677"/>
      <c r="J2077" s="3298" t="str">
        <f>$C$1585</f>
        <v>353650_2021_12_</v>
      </c>
      <c r="K2077" s="2857">
        <v>1496</v>
      </c>
      <c r="L2077" s="851"/>
      <c r="M2077" s="1595"/>
      <c r="N2077" s="123"/>
      <c r="O2077" s="228"/>
      <c r="P2077" s="844"/>
      <c r="Q2077" s="845"/>
      <c r="R2077" s="844"/>
      <c r="S2077" s="832"/>
      <c r="T2077" s="3082"/>
      <c r="U2077" s="123"/>
      <c r="V2077" s="3990"/>
      <c r="W2077" s="2857">
        <v>2009</v>
      </c>
      <c r="X2077" s="3155">
        <v>1496</v>
      </c>
      <c r="Y2077" s="2857">
        <v>1496</v>
      </c>
      <c r="Z2077" s="2857">
        <v>1496</v>
      </c>
      <c r="AA2077" s="2857">
        <v>1496</v>
      </c>
      <c r="AB2077" s="2857">
        <v>1496</v>
      </c>
      <c r="AC2077" s="2857">
        <v>1496</v>
      </c>
      <c r="AD2077" s="2857"/>
      <c r="AE2077" s="2857"/>
      <c r="AF2077" s="2857"/>
      <c r="AG2077" s="2857"/>
      <c r="AH2077" s="1942"/>
      <c r="AI2077" s="1942"/>
      <c r="AJ2077" s="1942"/>
      <c r="AK2077" s="1942"/>
      <c r="AL2077" s="1942"/>
      <c r="AM2077" s="1942"/>
      <c r="AN2077" s="1942"/>
      <c r="AO2077" s="1942"/>
      <c r="AP2077" s="1942"/>
      <c r="AQ2077" s="1942"/>
      <c r="AR2077" s="1942"/>
      <c r="AS2077" s="1942"/>
      <c r="AT2077" s="1942"/>
      <c r="AU2077" s="1942"/>
      <c r="AV2077" s="1942"/>
      <c r="AW2077" s="1942"/>
      <c r="AX2077" s="1942"/>
      <c r="AY2077" s="1942"/>
      <c r="AZ2077" s="1942"/>
      <c r="BA2077" s="1942"/>
      <c r="BB2077" s="575"/>
      <c r="BC2077" s="576"/>
      <c r="BD2077" s="678"/>
      <c r="BE2077" s="585"/>
    </row>
    <row r="2078" spans="1:57" s="51" customFormat="1" ht="15" hidden="1" customHeight="1" outlineLevel="1" x14ac:dyDescent="0.25">
      <c r="A2078" s="2060"/>
      <c r="B2078" s="123"/>
      <c r="C2078" s="328"/>
      <c r="D2078" s="3990"/>
      <c r="E2078" s="4009"/>
      <c r="F2078" s="3010" t="str">
        <f>$E$1587</f>
        <v>ASHP-SEER21+-Replace_CAC_ElectricHeat_ROF_MF</v>
      </c>
      <c r="G2078" s="2676"/>
      <c r="H2078" s="2676"/>
      <c r="I2078" s="2677"/>
      <c r="J2078" s="3299" t="str">
        <f>$C$1587</f>
        <v>353700_2019_12_</v>
      </c>
      <c r="K2078" s="2857">
        <v>1496</v>
      </c>
      <c r="L2078" s="851"/>
      <c r="M2078" s="1595"/>
      <c r="N2078" s="123"/>
      <c r="O2078" s="228"/>
      <c r="P2078" s="844"/>
      <c r="Q2078" s="845"/>
      <c r="R2078" s="844"/>
      <c r="S2078" s="832"/>
      <c r="T2078" s="3082"/>
      <c r="U2078" s="123"/>
      <c r="V2078" s="3990"/>
      <c r="W2078" s="2857">
        <v>2009</v>
      </c>
      <c r="X2078" s="3155">
        <v>1496</v>
      </c>
      <c r="Y2078" s="2857">
        <v>1496</v>
      </c>
      <c r="Z2078" s="2857">
        <v>1496</v>
      </c>
      <c r="AA2078" s="2857">
        <v>1496</v>
      </c>
      <c r="AB2078" s="2857">
        <v>1496</v>
      </c>
      <c r="AC2078" s="2857">
        <v>1496</v>
      </c>
      <c r="AD2078" s="2857"/>
      <c r="AE2078" s="2857"/>
      <c r="AF2078" s="2857"/>
      <c r="AG2078" s="2857"/>
      <c r="AH2078" s="1942"/>
      <c r="AI2078" s="1942"/>
      <c r="AJ2078" s="1942"/>
      <c r="AK2078" s="1942"/>
      <c r="AL2078" s="1942"/>
      <c r="AM2078" s="1942"/>
      <c r="AN2078" s="1942"/>
      <c r="AO2078" s="1942"/>
      <c r="AP2078" s="1942"/>
      <c r="AQ2078" s="1942"/>
      <c r="AR2078" s="1942"/>
      <c r="AS2078" s="1942"/>
      <c r="AT2078" s="1942"/>
      <c r="AU2078" s="1942"/>
      <c r="AV2078" s="1942"/>
      <c r="AW2078" s="1942"/>
      <c r="AX2078" s="1942"/>
      <c r="AY2078" s="1942"/>
      <c r="AZ2078" s="1942"/>
      <c r="BA2078" s="1942"/>
      <c r="BB2078" s="575"/>
      <c r="BC2078" s="576"/>
      <c r="BD2078" s="678"/>
      <c r="BE2078" s="585"/>
    </row>
    <row r="2079" spans="1:57" s="51" customFormat="1" ht="15" hidden="1" customHeight="1" outlineLevel="1" x14ac:dyDescent="0.25">
      <c r="A2079" s="2060"/>
      <c r="B2079" s="123"/>
      <c r="C2079" s="328"/>
      <c r="D2079" s="3990"/>
      <c r="E2079" s="4009"/>
      <c r="F2079" s="3010" t="str">
        <f>$E$1589</f>
        <v>ASHP-SEER21+-Replace_CAC_ElectricHeat_ROF_MF_CompE</v>
      </c>
      <c r="G2079" s="2676"/>
      <c r="H2079" s="2676"/>
      <c r="I2079" s="2677"/>
      <c r="J2079" s="3299" t="str">
        <f>$C$1589</f>
        <v>353701_2019_12_</v>
      </c>
      <c r="K2079" s="2857">
        <v>510</v>
      </c>
      <c r="L2079" s="851"/>
      <c r="M2079" s="1595" t="s">
        <v>1558</v>
      </c>
      <c r="N2079" s="123"/>
      <c r="O2079" s="228"/>
      <c r="P2079" s="844"/>
      <c r="Q2079" s="845"/>
      <c r="R2079" s="844"/>
      <c r="S2079" s="832"/>
      <c r="T2079" s="3082"/>
      <c r="U2079" s="123"/>
      <c r="V2079" s="3990"/>
      <c r="W2079" s="2857"/>
      <c r="X2079" s="3155"/>
      <c r="Y2079" s="2857">
        <v>510</v>
      </c>
      <c r="Z2079" s="2857">
        <v>510</v>
      </c>
      <c r="AA2079" s="2857">
        <v>510</v>
      </c>
      <c r="AB2079" s="2857">
        <v>510</v>
      </c>
      <c r="AC2079" s="2857">
        <v>510</v>
      </c>
      <c r="AD2079" s="2857"/>
      <c r="AE2079" s="2857"/>
      <c r="AF2079" s="2857"/>
      <c r="AG2079" s="2857"/>
      <c r="AH2079" s="1942"/>
      <c r="AI2079" s="1942"/>
      <c r="AJ2079" s="1942"/>
      <c r="AK2079" s="1942"/>
      <c r="AL2079" s="1942"/>
      <c r="AM2079" s="1942"/>
      <c r="AN2079" s="1942"/>
      <c r="AO2079" s="1942"/>
      <c r="AP2079" s="1942"/>
      <c r="AQ2079" s="1942"/>
      <c r="AR2079" s="1942"/>
      <c r="AS2079" s="1942"/>
      <c r="AT2079" s="1942"/>
      <c r="AU2079" s="1942"/>
      <c r="AV2079" s="1942"/>
      <c r="AW2079" s="1942"/>
      <c r="AX2079" s="1942"/>
      <c r="AY2079" s="1942"/>
      <c r="AZ2079" s="1942"/>
      <c r="BA2079" s="1942"/>
      <c r="BB2079" s="575"/>
      <c r="BC2079" s="576"/>
      <c r="BD2079" s="678"/>
      <c r="BE2079" s="585"/>
    </row>
    <row r="2080" spans="1:57" s="1942" customFormat="1" ht="15" hidden="1" customHeight="1" outlineLevel="1" x14ac:dyDescent="0.25">
      <c r="A2080" s="2060"/>
      <c r="B2080" s="123"/>
      <c r="C2080" s="328"/>
      <c r="D2080" s="3990"/>
      <c r="E2080" s="4009"/>
      <c r="F2080" s="3010" t="str">
        <f>$E$1591</f>
        <v>ASHP-SEER21+-Replace_CAC_NonElectricHeat_ROF_MF</v>
      </c>
      <c r="G2080" s="2676"/>
      <c r="H2080" s="2676"/>
      <c r="I2080" s="2677"/>
      <c r="J2080" s="3298" t="str">
        <f>$C$1591</f>
        <v>353710_2021_12_</v>
      </c>
      <c r="K2080" s="2225">
        <v>1496</v>
      </c>
      <c r="L2080" s="851"/>
      <c r="M2080" s="1595"/>
      <c r="N2080" s="123"/>
      <c r="O2080" s="228"/>
      <c r="P2080" s="844"/>
      <c r="Q2080" s="845"/>
      <c r="R2080" s="844"/>
      <c r="S2080" s="832"/>
      <c r="T2080" s="3082"/>
      <c r="U2080" s="123"/>
      <c r="V2080" s="3990"/>
      <c r="W2080" s="2857"/>
      <c r="X2080" s="3155"/>
      <c r="Y2080" s="2857"/>
      <c r="Z2080" s="2857"/>
      <c r="AA2080" s="2857"/>
      <c r="AB2080" s="2857"/>
      <c r="AC2080" s="2225">
        <v>1496</v>
      </c>
      <c r="AD2080" s="2857"/>
      <c r="AE2080" s="2857"/>
      <c r="AF2080" s="2857"/>
      <c r="AG2080" s="2857"/>
      <c r="BB2080" s="575"/>
      <c r="BC2080" s="576"/>
      <c r="BD2080" s="678"/>
      <c r="BE2080" s="585"/>
    </row>
    <row r="2081" spans="1:57" s="1942" customFormat="1" ht="15" hidden="1" customHeight="1" outlineLevel="1" x14ac:dyDescent="0.25">
      <c r="A2081" s="2060"/>
      <c r="B2081" s="123"/>
      <c r="C2081" s="328"/>
      <c r="D2081" s="3990"/>
      <c r="E2081" s="4009"/>
      <c r="F2081" s="3010" t="str">
        <f>$E$1593</f>
        <v>ASHP-SEER21+-Replace_CAC_NonElectricHeat_ROF_MF_CompE</v>
      </c>
      <c r="G2081" s="2676"/>
      <c r="H2081" s="2676"/>
      <c r="I2081" s="2677"/>
      <c r="J2081" s="3298" t="str">
        <f>$C$1593</f>
        <v>353711_2021_12_</v>
      </c>
      <c r="K2081" s="2225">
        <v>510</v>
      </c>
      <c r="L2081" s="851"/>
      <c r="M2081" s="1595"/>
      <c r="N2081" s="123"/>
      <c r="O2081" s="228"/>
      <c r="P2081" s="844"/>
      <c r="Q2081" s="845"/>
      <c r="R2081" s="844"/>
      <c r="S2081" s="832"/>
      <c r="T2081" s="3082"/>
      <c r="U2081" s="123"/>
      <c r="V2081" s="3990"/>
      <c r="W2081" s="2857"/>
      <c r="X2081" s="3155"/>
      <c r="Y2081" s="2857"/>
      <c r="Z2081" s="2857"/>
      <c r="AA2081" s="2857"/>
      <c r="AB2081" s="2857"/>
      <c r="AC2081" s="2225">
        <v>510</v>
      </c>
      <c r="AD2081" s="2857"/>
      <c r="AE2081" s="2857"/>
      <c r="AF2081" s="2857"/>
      <c r="AG2081" s="2857"/>
      <c r="BB2081" s="575"/>
      <c r="BC2081" s="576"/>
      <c r="BD2081" s="678"/>
      <c r="BE2081" s="585"/>
    </row>
    <row r="2082" spans="1:57" s="51" customFormat="1" ht="15" hidden="1" customHeight="1" outlineLevel="1" x14ac:dyDescent="0.25">
      <c r="A2082" s="2060"/>
      <c r="B2082" s="123"/>
      <c r="C2082" s="328"/>
      <c r="D2082" s="3990"/>
      <c r="E2082" s="4009"/>
      <c r="F2082" s="3010" t="str">
        <f>$E$1595</f>
        <v>ASHP-SEER17_ER1_SF</v>
      </c>
      <c r="G2082" s="2676"/>
      <c r="H2082" s="2676"/>
      <c r="I2082" s="2677"/>
      <c r="J2082" s="3298" t="str">
        <f>$C$1595</f>
        <v>353750_2021_12_</v>
      </c>
      <c r="K2082" s="2857">
        <v>1496</v>
      </c>
      <c r="L2082" s="851"/>
      <c r="M2082" s="1595"/>
      <c r="N2082" s="123"/>
      <c r="O2082" s="228"/>
      <c r="P2082" s="844"/>
      <c r="Q2082" s="845"/>
      <c r="R2082" s="844"/>
      <c r="S2082" s="832"/>
      <c r="T2082" s="3082"/>
      <c r="U2082" s="123"/>
      <c r="V2082" s="3990"/>
      <c r="W2082" s="2857">
        <v>2009</v>
      </c>
      <c r="X2082" s="3155">
        <v>1496</v>
      </c>
      <c r="Y2082" s="2857">
        <v>1496</v>
      </c>
      <c r="Z2082" s="2857">
        <v>1496</v>
      </c>
      <c r="AA2082" s="2857">
        <v>1496</v>
      </c>
      <c r="AB2082" s="2857">
        <v>1496</v>
      </c>
      <c r="AC2082" s="2857">
        <v>1496</v>
      </c>
      <c r="AD2082" s="2857"/>
      <c r="AE2082" s="2857"/>
      <c r="AF2082" s="2857"/>
      <c r="AG2082" s="2857"/>
      <c r="AH2082" s="1942"/>
      <c r="AI2082" s="1942"/>
      <c r="AJ2082" s="1942"/>
      <c r="AK2082" s="1942"/>
      <c r="AL2082" s="1942"/>
      <c r="AM2082" s="1942"/>
      <c r="AN2082" s="1942"/>
      <c r="AO2082" s="1942"/>
      <c r="AP2082" s="1942"/>
      <c r="AQ2082" s="1942"/>
      <c r="AR2082" s="1942"/>
      <c r="AS2082" s="1942"/>
      <c r="AT2082" s="1942"/>
      <c r="AU2082" s="1942"/>
      <c r="AV2082" s="1942"/>
      <c r="AW2082" s="1942"/>
      <c r="AX2082" s="1942"/>
      <c r="AY2082" s="1942"/>
      <c r="AZ2082" s="1942"/>
      <c r="BA2082" s="1942"/>
      <c r="BB2082" s="575"/>
      <c r="BC2082" s="576"/>
      <c r="BD2082" s="678"/>
      <c r="BE2082" s="585"/>
    </row>
    <row r="2083" spans="1:57" s="51" customFormat="1" ht="15" hidden="1" customHeight="1" outlineLevel="1" x14ac:dyDescent="0.25">
      <c r="A2083" s="1267"/>
      <c r="B2083" s="123"/>
      <c r="C2083" s="328"/>
      <c r="D2083" s="3990"/>
      <c r="E2083" s="4009"/>
      <c r="F2083" s="3010" t="str">
        <f>$E$1597</f>
        <v>ASHP-SEER17_ER2_SF</v>
      </c>
      <c r="G2083" s="2676"/>
      <c r="H2083" s="2676"/>
      <c r="I2083" s="2677"/>
      <c r="J2083" s="3298" t="str">
        <f>$C$1597</f>
        <v>353750_2021_12_</v>
      </c>
      <c r="K2083" s="2857">
        <v>1496</v>
      </c>
      <c r="L2083" s="851"/>
      <c r="M2083" s="1595"/>
      <c r="N2083" s="123"/>
      <c r="O2083" s="228"/>
      <c r="P2083" s="228"/>
      <c r="Q2083" s="228"/>
      <c r="R2083" s="228"/>
      <c r="S2083" s="123"/>
      <c r="T2083" s="123"/>
      <c r="U2083" s="123"/>
      <c r="V2083" s="3990"/>
      <c r="W2083" s="2857">
        <v>2009</v>
      </c>
      <c r="X2083" s="3155">
        <v>1496</v>
      </c>
      <c r="Y2083" s="2857">
        <v>1496</v>
      </c>
      <c r="Z2083" s="2857">
        <v>1496</v>
      </c>
      <c r="AA2083" s="2857">
        <v>1496</v>
      </c>
      <c r="AB2083" s="2857">
        <v>1496</v>
      </c>
      <c r="AC2083" s="2857">
        <v>1496</v>
      </c>
      <c r="AD2083" s="2857"/>
      <c r="AE2083" s="2857"/>
      <c r="AF2083" s="2857"/>
      <c r="AG2083" s="2857"/>
      <c r="AH2083" s="1942"/>
      <c r="AI2083" s="1942"/>
      <c r="AJ2083" s="1942"/>
      <c r="AK2083" s="1942"/>
      <c r="AL2083" s="1942"/>
      <c r="AM2083" s="1942"/>
      <c r="AN2083" s="1942"/>
      <c r="AO2083" s="1942"/>
      <c r="AP2083" s="1942"/>
      <c r="AQ2083" s="1942"/>
      <c r="AR2083" s="1942"/>
      <c r="AS2083" s="1942"/>
      <c r="AT2083" s="1942"/>
      <c r="AU2083" s="1942"/>
      <c r="AV2083" s="1942"/>
      <c r="AW2083" s="1942"/>
      <c r="AX2083" s="1942"/>
      <c r="AY2083" s="1942"/>
      <c r="AZ2083" s="1942"/>
      <c r="BA2083" s="1942"/>
      <c r="BB2083" s="575"/>
      <c r="BC2083" s="576"/>
      <c r="BD2083" s="678"/>
      <c r="BE2083" s="585"/>
    </row>
    <row r="2084" spans="1:57" s="51" customFormat="1" ht="15" hidden="1" customHeight="1" outlineLevel="1" x14ac:dyDescent="0.25">
      <c r="A2084" s="2060"/>
      <c r="B2084" s="123"/>
      <c r="C2084" s="328"/>
      <c r="D2084" s="3990"/>
      <c r="E2084" s="4009"/>
      <c r="F2084" s="3010" t="str">
        <f>$E$1599</f>
        <v>ASHP-SEER17_ROF_SF</v>
      </c>
      <c r="G2084" s="2676"/>
      <c r="H2084" s="2676"/>
      <c r="I2084" s="2677"/>
      <c r="J2084" s="3298" t="str">
        <f>$C$1599</f>
        <v>353800_2021_12_</v>
      </c>
      <c r="K2084" s="2857">
        <v>1496</v>
      </c>
      <c r="L2084" s="851"/>
      <c r="M2084" s="1595"/>
      <c r="N2084" s="123"/>
      <c r="O2084" s="228"/>
      <c r="P2084" s="844"/>
      <c r="Q2084" s="845"/>
      <c r="R2084" s="844"/>
      <c r="S2084" s="832"/>
      <c r="T2084" s="3082"/>
      <c r="U2084" s="123"/>
      <c r="V2084" s="3990"/>
      <c r="W2084" s="2857">
        <v>2009</v>
      </c>
      <c r="X2084" s="3155">
        <v>1496</v>
      </c>
      <c r="Y2084" s="2857">
        <v>1496</v>
      </c>
      <c r="Z2084" s="2857">
        <v>1496</v>
      </c>
      <c r="AA2084" s="2857">
        <v>1496</v>
      </c>
      <c r="AB2084" s="2857">
        <v>1496</v>
      </c>
      <c r="AC2084" s="2857">
        <v>1496</v>
      </c>
      <c r="AD2084" s="2857"/>
      <c r="AE2084" s="2857"/>
      <c r="AF2084" s="2857"/>
      <c r="AG2084" s="2857"/>
      <c r="AH2084" s="1942"/>
      <c r="AI2084" s="1942"/>
      <c r="AJ2084" s="1942"/>
      <c r="AK2084" s="1942"/>
      <c r="AL2084" s="1942"/>
      <c r="AM2084" s="1942"/>
      <c r="AN2084" s="1942"/>
      <c r="AO2084" s="1942"/>
      <c r="AP2084" s="1942"/>
      <c r="AQ2084" s="1942"/>
      <c r="AR2084" s="1942"/>
      <c r="AS2084" s="1942"/>
      <c r="AT2084" s="1942"/>
      <c r="AU2084" s="1942"/>
      <c r="AV2084" s="1942"/>
      <c r="AW2084" s="1942"/>
      <c r="AX2084" s="1942"/>
      <c r="AY2084" s="1942"/>
      <c r="AZ2084" s="1942"/>
      <c r="BA2084" s="1942"/>
      <c r="BB2084" s="575"/>
      <c r="BC2084" s="576"/>
      <c r="BD2084" s="678"/>
      <c r="BE2084" s="585"/>
    </row>
    <row r="2085" spans="1:57" s="51" customFormat="1" ht="15" hidden="1" customHeight="1" outlineLevel="1" x14ac:dyDescent="0.25">
      <c r="A2085" s="1267"/>
      <c r="B2085" s="123"/>
      <c r="C2085" s="328"/>
      <c r="D2085" s="3990"/>
      <c r="E2085" s="4009"/>
      <c r="F2085" s="3010" t="str">
        <f>$E$1601</f>
        <v>ASHP-SEER18_ER1_SF</v>
      </c>
      <c r="G2085" s="2676"/>
      <c r="H2085" s="2676"/>
      <c r="I2085" s="2677"/>
      <c r="J2085" s="3298" t="str">
        <f>$C$1601</f>
        <v>353850_2021_12_</v>
      </c>
      <c r="K2085" s="2857">
        <v>1496</v>
      </c>
      <c r="L2085" s="851"/>
      <c r="M2085" s="1595"/>
      <c r="N2085" s="123"/>
      <c r="O2085" s="228"/>
      <c r="P2085" s="228"/>
      <c r="Q2085" s="228"/>
      <c r="R2085" s="228"/>
      <c r="S2085" s="123"/>
      <c r="T2085" s="123"/>
      <c r="U2085" s="123"/>
      <c r="V2085" s="3990"/>
      <c r="W2085" s="2857">
        <v>2009</v>
      </c>
      <c r="X2085" s="3155">
        <v>1496</v>
      </c>
      <c r="Y2085" s="2857">
        <v>1496</v>
      </c>
      <c r="Z2085" s="2857">
        <v>1496</v>
      </c>
      <c r="AA2085" s="2857">
        <v>1496</v>
      </c>
      <c r="AB2085" s="2857">
        <v>1496</v>
      </c>
      <c r="AC2085" s="2857">
        <v>1496</v>
      </c>
      <c r="AD2085" s="2857"/>
      <c r="AE2085" s="2857"/>
      <c r="AF2085" s="2857"/>
      <c r="AG2085" s="2857"/>
      <c r="AH2085" s="1942"/>
      <c r="AI2085" s="1942"/>
      <c r="AJ2085" s="1942"/>
      <c r="AK2085" s="1942"/>
      <c r="AL2085" s="1942"/>
      <c r="AM2085" s="1942"/>
      <c r="AN2085" s="1942"/>
      <c r="AO2085" s="1942"/>
      <c r="AP2085" s="1942"/>
      <c r="AQ2085" s="1942"/>
      <c r="AR2085" s="1942"/>
      <c r="AS2085" s="1942"/>
      <c r="AT2085" s="1942"/>
      <c r="AU2085" s="1942"/>
      <c r="AV2085" s="1942"/>
      <c r="AW2085" s="1942"/>
      <c r="AX2085" s="1942"/>
      <c r="AY2085" s="1942"/>
      <c r="AZ2085" s="1942"/>
      <c r="BA2085" s="1942"/>
      <c r="BB2085" s="575"/>
      <c r="BC2085" s="576"/>
      <c r="BD2085" s="678"/>
      <c r="BE2085" s="585"/>
    </row>
    <row r="2086" spans="1:57" s="51" customFormat="1" ht="15" hidden="1" customHeight="1" outlineLevel="1" x14ac:dyDescent="0.25">
      <c r="A2086" s="2060"/>
      <c r="B2086" s="123"/>
      <c r="C2086" s="328"/>
      <c r="D2086" s="3990"/>
      <c r="E2086" s="4009"/>
      <c r="F2086" s="3010" t="str">
        <f>$E$1603</f>
        <v>ASHP-SEER18_ER2_SF</v>
      </c>
      <c r="G2086" s="2676"/>
      <c r="H2086" s="2676"/>
      <c r="I2086" s="2677"/>
      <c r="J2086" s="3298" t="str">
        <f>$C$1603</f>
        <v>353850_2021_12_</v>
      </c>
      <c r="K2086" s="2857">
        <v>1496</v>
      </c>
      <c r="L2086" s="851"/>
      <c r="M2086" s="1595"/>
      <c r="N2086" s="123"/>
      <c r="O2086" s="228"/>
      <c r="P2086" s="844"/>
      <c r="Q2086" s="845"/>
      <c r="R2086" s="844"/>
      <c r="S2086" s="832"/>
      <c r="T2086" s="3082"/>
      <c r="U2086" s="123"/>
      <c r="V2086" s="3990"/>
      <c r="W2086" s="2857">
        <v>2009</v>
      </c>
      <c r="X2086" s="3155">
        <v>1496</v>
      </c>
      <c r="Y2086" s="2857">
        <v>1496</v>
      </c>
      <c r="Z2086" s="2857">
        <v>1496</v>
      </c>
      <c r="AA2086" s="2857">
        <v>1496</v>
      </c>
      <c r="AB2086" s="2857">
        <v>1496</v>
      </c>
      <c r="AC2086" s="2857">
        <v>1496</v>
      </c>
      <c r="AD2086" s="2857"/>
      <c r="AE2086" s="2857"/>
      <c r="AF2086" s="2857"/>
      <c r="AG2086" s="2857"/>
      <c r="AH2086" s="1942"/>
      <c r="AI2086" s="1942"/>
      <c r="AJ2086" s="1942"/>
      <c r="AK2086" s="1942"/>
      <c r="AL2086" s="1942"/>
      <c r="AM2086" s="1942"/>
      <c r="AN2086" s="1942"/>
      <c r="AO2086" s="1942"/>
      <c r="AP2086" s="1942"/>
      <c r="AQ2086" s="1942"/>
      <c r="AR2086" s="1942"/>
      <c r="AS2086" s="1942"/>
      <c r="AT2086" s="1942"/>
      <c r="AU2086" s="1942"/>
      <c r="AV2086" s="1942"/>
      <c r="AW2086" s="1942"/>
      <c r="AX2086" s="1942"/>
      <c r="AY2086" s="1942"/>
      <c r="AZ2086" s="1942"/>
      <c r="BA2086" s="1942"/>
      <c r="BB2086" s="575"/>
      <c r="BC2086" s="576"/>
      <c r="BD2086" s="678"/>
      <c r="BE2086" s="585"/>
    </row>
    <row r="2087" spans="1:57" s="51" customFormat="1" ht="15" hidden="1" customHeight="1" outlineLevel="1" x14ac:dyDescent="0.25">
      <c r="A2087" s="1267"/>
      <c r="B2087" s="123"/>
      <c r="C2087" s="328"/>
      <c r="D2087" s="3990"/>
      <c r="E2087" s="4009"/>
      <c r="F2087" s="3010" t="str">
        <f>$E$1605</f>
        <v>ASHP-SEER18_ROF_SF</v>
      </c>
      <c r="G2087" s="2676"/>
      <c r="H2087" s="2676"/>
      <c r="I2087" s="2677"/>
      <c r="J2087" s="3298" t="str">
        <f>$C$1605</f>
        <v>353950_2021_12_</v>
      </c>
      <c r="K2087" s="2857">
        <v>1496</v>
      </c>
      <c r="L2087" s="851"/>
      <c r="M2087" s="1595"/>
      <c r="N2087" s="123"/>
      <c r="O2087" s="228"/>
      <c r="P2087" s="228"/>
      <c r="Q2087" s="228"/>
      <c r="R2087" s="228"/>
      <c r="S2087" s="123"/>
      <c r="T2087" s="123"/>
      <c r="U2087" s="123"/>
      <c r="V2087" s="3990"/>
      <c r="W2087" s="2857">
        <v>2009</v>
      </c>
      <c r="X2087" s="3155">
        <v>1496</v>
      </c>
      <c r="Y2087" s="2857">
        <v>1496</v>
      </c>
      <c r="Z2087" s="2857">
        <v>1496</v>
      </c>
      <c r="AA2087" s="2857">
        <v>1496</v>
      </c>
      <c r="AB2087" s="2857">
        <v>1496</v>
      </c>
      <c r="AC2087" s="2857">
        <v>1496</v>
      </c>
      <c r="AD2087" s="2857"/>
      <c r="AE2087" s="2857"/>
      <c r="AF2087" s="2857"/>
      <c r="AG2087" s="2857"/>
      <c r="AH2087" s="1942"/>
      <c r="AI2087" s="1942"/>
      <c r="AJ2087" s="1942"/>
      <c r="AK2087" s="1942"/>
      <c r="AL2087" s="1942"/>
      <c r="AM2087" s="1942"/>
      <c r="AN2087" s="1942"/>
      <c r="AO2087" s="1942"/>
      <c r="AP2087" s="1942"/>
      <c r="AQ2087" s="1942"/>
      <c r="AR2087" s="1942"/>
      <c r="AS2087" s="1942"/>
      <c r="AT2087" s="1942"/>
      <c r="AU2087" s="1942"/>
      <c r="AV2087" s="1942"/>
      <c r="AW2087" s="1942"/>
      <c r="AX2087" s="1942"/>
      <c r="AY2087" s="1942"/>
      <c r="AZ2087" s="1942"/>
      <c r="BA2087" s="1942"/>
      <c r="BB2087" s="575"/>
      <c r="BC2087" s="576"/>
      <c r="BD2087" s="678"/>
      <c r="BE2087" s="585"/>
    </row>
    <row r="2088" spans="1:57" s="51" customFormat="1" ht="15" hidden="1" customHeight="1" outlineLevel="1" x14ac:dyDescent="0.25">
      <c r="A2088" s="2060"/>
      <c r="B2088" s="123"/>
      <c r="C2088" s="328"/>
      <c r="D2088" s="3990"/>
      <c r="E2088" s="4009"/>
      <c r="F2088" s="3010" t="str">
        <f>$E$1607</f>
        <v>ASHP-SEER19_ER1_SF</v>
      </c>
      <c r="G2088" s="2676"/>
      <c r="H2088" s="2676"/>
      <c r="I2088" s="2677"/>
      <c r="J2088" s="3298" t="str">
        <f>$C$1607</f>
        <v>354000_2021_12_</v>
      </c>
      <c r="K2088" s="2857">
        <v>1496</v>
      </c>
      <c r="L2088" s="851"/>
      <c r="M2088" s="1595"/>
      <c r="N2088" s="123"/>
      <c r="O2088" s="228"/>
      <c r="P2088" s="844"/>
      <c r="Q2088" s="845"/>
      <c r="R2088" s="844"/>
      <c r="S2088" s="832"/>
      <c r="T2088" s="3082"/>
      <c r="U2088" s="123"/>
      <c r="V2088" s="3990"/>
      <c r="W2088" s="2857">
        <v>2009</v>
      </c>
      <c r="X2088" s="3155">
        <v>1496</v>
      </c>
      <c r="Y2088" s="2857">
        <v>1496</v>
      </c>
      <c r="Z2088" s="2857">
        <v>1496</v>
      </c>
      <c r="AA2088" s="2857">
        <v>1496</v>
      </c>
      <c r="AB2088" s="2857">
        <v>1496</v>
      </c>
      <c r="AC2088" s="2857">
        <v>1496</v>
      </c>
      <c r="AD2088" s="2857"/>
      <c r="AE2088" s="2857"/>
      <c r="AF2088" s="2857"/>
      <c r="AG2088" s="2857"/>
      <c r="AH2088" s="1942"/>
      <c r="AI2088" s="1942"/>
      <c r="AJ2088" s="1942"/>
      <c r="AK2088" s="1942"/>
      <c r="AL2088" s="1942"/>
      <c r="AM2088" s="1942"/>
      <c r="AN2088" s="1942"/>
      <c r="AO2088" s="1942"/>
      <c r="AP2088" s="1942"/>
      <c r="AQ2088" s="1942"/>
      <c r="AR2088" s="1942"/>
      <c r="AS2088" s="1942"/>
      <c r="AT2088" s="1942"/>
      <c r="AU2088" s="1942"/>
      <c r="AV2088" s="1942"/>
      <c r="AW2088" s="1942"/>
      <c r="AX2088" s="1942"/>
      <c r="AY2088" s="1942"/>
      <c r="AZ2088" s="1942"/>
      <c r="BA2088" s="1942"/>
      <c r="BB2088" s="575"/>
      <c r="BC2088" s="576"/>
      <c r="BD2088" s="678"/>
      <c r="BE2088" s="585"/>
    </row>
    <row r="2089" spans="1:57" s="51" customFormat="1" ht="15" hidden="1" customHeight="1" outlineLevel="1" x14ac:dyDescent="0.25">
      <c r="A2089" s="2060"/>
      <c r="B2089" s="123"/>
      <c r="C2089" s="328"/>
      <c r="D2089" s="3990"/>
      <c r="E2089" s="4009"/>
      <c r="F2089" s="3010" t="str">
        <f>$E$1609</f>
        <v>ASHP-SEER19_ER2_SF</v>
      </c>
      <c r="G2089" s="2676"/>
      <c r="H2089" s="2676"/>
      <c r="I2089" s="2677"/>
      <c r="J2089" s="3298" t="str">
        <f>$C$1609</f>
        <v>354000_2021_12_</v>
      </c>
      <c r="K2089" s="2857">
        <v>1496</v>
      </c>
      <c r="L2089" s="851"/>
      <c r="M2089" s="1595"/>
      <c r="N2089" s="123"/>
      <c r="O2089" s="228"/>
      <c r="P2089" s="844"/>
      <c r="Q2089" s="845"/>
      <c r="R2089" s="844"/>
      <c r="S2089" s="832"/>
      <c r="T2089" s="3082"/>
      <c r="U2089" s="123"/>
      <c r="V2089" s="3990"/>
      <c r="W2089" s="2857">
        <v>2009</v>
      </c>
      <c r="X2089" s="3155">
        <v>1496</v>
      </c>
      <c r="Y2089" s="2857">
        <v>1496</v>
      </c>
      <c r="Z2089" s="2857">
        <v>1496</v>
      </c>
      <c r="AA2089" s="2857">
        <v>1496</v>
      </c>
      <c r="AB2089" s="2857">
        <v>1496</v>
      </c>
      <c r="AC2089" s="2857">
        <v>1496</v>
      </c>
      <c r="AD2089" s="2857"/>
      <c r="AE2089" s="2857"/>
      <c r="AF2089" s="2857"/>
      <c r="AG2089" s="2857"/>
      <c r="AH2089" s="1942"/>
      <c r="AI2089" s="1942"/>
      <c r="AJ2089" s="1942"/>
      <c r="AK2089" s="1942"/>
      <c r="AL2089" s="1942"/>
      <c r="AM2089" s="1942"/>
      <c r="AN2089" s="1942"/>
      <c r="AO2089" s="1942"/>
      <c r="AP2089" s="1942"/>
      <c r="AQ2089" s="1942"/>
      <c r="AR2089" s="1942"/>
      <c r="AS2089" s="1942"/>
      <c r="AT2089" s="1942"/>
      <c r="AU2089" s="1942"/>
      <c r="AV2089" s="1942"/>
      <c r="AW2089" s="1942"/>
      <c r="AX2089" s="1942"/>
      <c r="AY2089" s="1942"/>
      <c r="AZ2089" s="1942"/>
      <c r="BA2089" s="1942"/>
      <c r="BB2089" s="575"/>
      <c r="BC2089" s="576"/>
      <c r="BD2089" s="678"/>
      <c r="BE2089" s="585"/>
    </row>
    <row r="2090" spans="1:57" s="51" customFormat="1" ht="15" hidden="1" customHeight="1" outlineLevel="1" x14ac:dyDescent="0.25">
      <c r="A2090" s="1267"/>
      <c r="B2090" s="123"/>
      <c r="C2090" s="328"/>
      <c r="D2090" s="3990"/>
      <c r="E2090" s="4009"/>
      <c r="F2090" s="3010" t="str">
        <f>$E$1611</f>
        <v>ASHP-SEER19_ROF_SF</v>
      </c>
      <c r="G2090" s="2676"/>
      <c r="H2090" s="2676"/>
      <c r="I2090" s="2677"/>
      <c r="J2090" s="3298" t="str">
        <f>$C$1611</f>
        <v>354050_2021_12_</v>
      </c>
      <c r="K2090" s="2857">
        <v>1496</v>
      </c>
      <c r="L2090" s="851"/>
      <c r="M2090" s="1595"/>
      <c r="N2090" s="123"/>
      <c r="O2090" s="228"/>
      <c r="P2090" s="228"/>
      <c r="Q2090" s="228"/>
      <c r="R2090" s="228"/>
      <c r="S2090" s="123"/>
      <c r="T2090" s="123"/>
      <c r="U2090" s="123"/>
      <c r="V2090" s="3990"/>
      <c r="W2090" s="2857">
        <v>2009</v>
      </c>
      <c r="X2090" s="3155">
        <v>1496</v>
      </c>
      <c r="Y2090" s="2857">
        <v>1496</v>
      </c>
      <c r="Z2090" s="2857">
        <v>1496</v>
      </c>
      <c r="AA2090" s="2857">
        <v>1496</v>
      </c>
      <c r="AB2090" s="2857">
        <v>1496</v>
      </c>
      <c r="AC2090" s="2857">
        <v>1496</v>
      </c>
      <c r="AD2090" s="2857"/>
      <c r="AE2090" s="2857"/>
      <c r="AF2090" s="2857"/>
      <c r="AG2090" s="2857"/>
      <c r="AH2090" s="1942"/>
      <c r="AI2090" s="1942"/>
      <c r="AJ2090" s="1942"/>
      <c r="AK2090" s="1942"/>
      <c r="AL2090" s="1942"/>
      <c r="AM2090" s="1942"/>
      <c r="AN2090" s="1942"/>
      <c r="AO2090" s="1942"/>
      <c r="AP2090" s="1942"/>
      <c r="AQ2090" s="1942"/>
      <c r="AR2090" s="1942"/>
      <c r="AS2090" s="1942"/>
      <c r="AT2090" s="1942"/>
      <c r="AU2090" s="1942"/>
      <c r="AV2090" s="1942"/>
      <c r="AW2090" s="1942"/>
      <c r="AX2090" s="1942"/>
      <c r="AY2090" s="1942"/>
      <c r="AZ2090" s="1942"/>
      <c r="BA2090" s="1942"/>
      <c r="BB2090" s="575"/>
      <c r="BC2090" s="576"/>
      <c r="BD2090" s="678"/>
      <c r="BE2090" s="585"/>
    </row>
    <row r="2091" spans="1:57" s="51" customFormat="1" ht="15" hidden="1" customHeight="1" outlineLevel="1" x14ac:dyDescent="0.25">
      <c r="A2091" s="1267"/>
      <c r="B2091" s="123"/>
      <c r="C2091" s="328"/>
      <c r="D2091" s="3990"/>
      <c r="E2091" s="4009"/>
      <c r="F2091" s="3010" t="str">
        <f>$E$1613</f>
        <v>ASHP-SEER17-Replace_CAC_ElectricHeat_ER1_SF</v>
      </c>
      <c r="G2091" s="2676"/>
      <c r="H2091" s="2676"/>
      <c r="I2091" s="2677"/>
      <c r="J2091" s="3298" t="str">
        <f>$C$1613</f>
        <v>354100_2021_12_</v>
      </c>
      <c r="K2091" s="2857">
        <v>1496</v>
      </c>
      <c r="L2091" s="851"/>
      <c r="M2091" s="1595"/>
      <c r="N2091" s="123"/>
      <c r="O2091" s="228"/>
      <c r="P2091" s="228"/>
      <c r="Q2091" s="228"/>
      <c r="R2091" s="228"/>
      <c r="S2091" s="123"/>
      <c r="T2091" s="123"/>
      <c r="U2091" s="123"/>
      <c r="V2091" s="3990"/>
      <c r="W2091" s="2857">
        <v>2009</v>
      </c>
      <c r="X2091" s="3155">
        <v>1496</v>
      </c>
      <c r="Y2091" s="2857">
        <v>1496</v>
      </c>
      <c r="Z2091" s="2857">
        <v>1496</v>
      </c>
      <c r="AA2091" s="2857">
        <v>1496</v>
      </c>
      <c r="AB2091" s="2857">
        <v>1496</v>
      </c>
      <c r="AC2091" s="2857">
        <v>1496</v>
      </c>
      <c r="AD2091" s="2857"/>
      <c r="AE2091" s="2857"/>
      <c r="AF2091" s="2857"/>
      <c r="AG2091" s="2857"/>
      <c r="AH2091" s="1942"/>
      <c r="AI2091" s="1942"/>
      <c r="AJ2091" s="1942"/>
      <c r="AK2091" s="1942"/>
      <c r="AL2091" s="1942"/>
      <c r="AM2091" s="1942"/>
      <c r="AN2091" s="1942"/>
      <c r="AO2091" s="1942"/>
      <c r="AP2091" s="1942"/>
      <c r="AQ2091" s="1942"/>
      <c r="AR2091" s="1942"/>
      <c r="AS2091" s="1942"/>
      <c r="AT2091" s="1942"/>
      <c r="AU2091" s="1942"/>
      <c r="AV2091" s="1942"/>
      <c r="AW2091" s="1942"/>
      <c r="AX2091" s="1942"/>
      <c r="AY2091" s="1942"/>
      <c r="AZ2091" s="1942"/>
      <c r="BA2091" s="1942"/>
      <c r="BB2091" s="575"/>
      <c r="BC2091" s="576"/>
      <c r="BD2091" s="678"/>
      <c r="BE2091" s="585"/>
    </row>
    <row r="2092" spans="1:57" s="51" customFormat="1" ht="15" hidden="1" customHeight="1" outlineLevel="1" x14ac:dyDescent="0.25">
      <c r="A2092" s="1267"/>
      <c r="B2092" s="123"/>
      <c r="C2092" s="328"/>
      <c r="D2092" s="3990"/>
      <c r="E2092" s="4009"/>
      <c r="F2092" s="3010" t="str">
        <f>$E$1615</f>
        <v>ASHP-SEER17-Replace_CAC_ElectricHeat_ER2_SF</v>
      </c>
      <c r="G2092" s="2676"/>
      <c r="H2092" s="2676"/>
      <c r="I2092" s="2677"/>
      <c r="J2092" s="3298" t="str">
        <f>$C$1615</f>
        <v>354100_2021_12_</v>
      </c>
      <c r="K2092" s="2857">
        <v>1496</v>
      </c>
      <c r="L2092" s="851"/>
      <c r="M2092" s="1595"/>
      <c r="N2092" s="123"/>
      <c r="O2092" s="228"/>
      <c r="P2092" s="228"/>
      <c r="Q2092" s="228"/>
      <c r="R2092" s="228"/>
      <c r="S2092" s="123"/>
      <c r="T2092" s="123"/>
      <c r="U2092" s="123"/>
      <c r="V2092" s="3990"/>
      <c r="W2092" s="2857">
        <v>2009</v>
      </c>
      <c r="X2092" s="3155">
        <v>1496</v>
      </c>
      <c r="Y2092" s="2857">
        <v>1496</v>
      </c>
      <c r="Z2092" s="2857">
        <v>1496</v>
      </c>
      <c r="AA2092" s="2857">
        <v>1496</v>
      </c>
      <c r="AB2092" s="2857">
        <v>1496</v>
      </c>
      <c r="AC2092" s="2857">
        <v>1496</v>
      </c>
      <c r="AD2092" s="2857"/>
      <c r="AE2092" s="2857"/>
      <c r="AF2092" s="2857"/>
      <c r="AG2092" s="2857"/>
      <c r="AH2092" s="1942"/>
      <c r="AI2092" s="1942"/>
      <c r="AJ2092" s="1942"/>
      <c r="AK2092" s="1942"/>
      <c r="AL2092" s="1942"/>
      <c r="AM2092" s="1942"/>
      <c r="AN2092" s="1942"/>
      <c r="AO2092" s="1942"/>
      <c r="AP2092" s="1942"/>
      <c r="AQ2092" s="1942"/>
      <c r="AR2092" s="1942"/>
      <c r="AS2092" s="1942"/>
      <c r="AT2092" s="1942"/>
      <c r="AU2092" s="1942"/>
      <c r="AV2092" s="1942"/>
      <c r="AW2092" s="1942"/>
      <c r="AX2092" s="1942"/>
      <c r="AY2092" s="1942"/>
      <c r="AZ2092" s="1942"/>
      <c r="BA2092" s="1942"/>
      <c r="BB2092" s="575"/>
      <c r="BC2092" s="576"/>
      <c r="BD2092" s="678"/>
      <c r="BE2092" s="585"/>
    </row>
    <row r="2093" spans="1:57" s="1942" customFormat="1" ht="15" hidden="1" customHeight="1" outlineLevel="1" x14ac:dyDescent="0.25">
      <c r="A2093" s="1267"/>
      <c r="B2093" s="123"/>
      <c r="C2093" s="328"/>
      <c r="D2093" s="3990"/>
      <c r="E2093" s="4009"/>
      <c r="F2093" s="3010" t="str">
        <f>$E$1617</f>
        <v>ASHP-SEER17-Replace_CAC_NonElectricHeat_ER1_SF</v>
      </c>
      <c r="G2093" s="2676"/>
      <c r="H2093" s="2676"/>
      <c r="I2093" s="2677"/>
      <c r="J2093" s="3298" t="str">
        <f>$C$1617</f>
        <v>354110_2021_12_</v>
      </c>
      <c r="K2093" s="2225">
        <v>1496</v>
      </c>
      <c r="L2093" s="851"/>
      <c r="M2093" s="1595"/>
      <c r="N2093" s="123"/>
      <c r="O2093" s="228"/>
      <c r="P2093" s="228"/>
      <c r="Q2093" s="228"/>
      <c r="R2093" s="228"/>
      <c r="S2093" s="123"/>
      <c r="T2093" s="123"/>
      <c r="U2093" s="123"/>
      <c r="V2093" s="3990"/>
      <c r="W2093" s="2857"/>
      <c r="X2093" s="3155"/>
      <c r="Y2093" s="2857"/>
      <c r="Z2093" s="2857"/>
      <c r="AA2093" s="2857"/>
      <c r="AB2093" s="2857"/>
      <c r="AC2093" s="2225">
        <v>1496</v>
      </c>
      <c r="AD2093" s="2857"/>
      <c r="AE2093" s="2857"/>
      <c r="AF2093" s="2857"/>
      <c r="AG2093" s="2857"/>
      <c r="BB2093" s="575"/>
      <c r="BC2093" s="576"/>
      <c r="BD2093" s="678"/>
      <c r="BE2093" s="585"/>
    </row>
    <row r="2094" spans="1:57" s="1942" customFormat="1" ht="15" hidden="1" customHeight="1" outlineLevel="1" x14ac:dyDescent="0.25">
      <c r="A2094" s="1267"/>
      <c r="B2094" s="123"/>
      <c r="C2094" s="328"/>
      <c r="D2094" s="3990"/>
      <c r="E2094" s="4009"/>
      <c r="F2094" s="3010" t="str">
        <f>$E$1619</f>
        <v>ASHP-SEER17-Replace_CAC_NonElectricHeat_ER2_SF</v>
      </c>
      <c r="G2094" s="2676"/>
      <c r="H2094" s="2676"/>
      <c r="I2094" s="2677"/>
      <c r="J2094" s="3298" t="str">
        <f>$C$1619</f>
        <v>354110_2021_12_</v>
      </c>
      <c r="K2094" s="2225">
        <v>1496</v>
      </c>
      <c r="L2094" s="851"/>
      <c r="M2094" s="1595"/>
      <c r="N2094" s="123"/>
      <c r="O2094" s="228"/>
      <c r="P2094" s="228"/>
      <c r="Q2094" s="228"/>
      <c r="R2094" s="228"/>
      <c r="S2094" s="123"/>
      <c r="T2094" s="123"/>
      <c r="U2094" s="123"/>
      <c r="V2094" s="3990"/>
      <c r="W2094" s="2857"/>
      <c r="X2094" s="3155"/>
      <c r="Y2094" s="2857"/>
      <c r="Z2094" s="2857"/>
      <c r="AA2094" s="2857"/>
      <c r="AB2094" s="2857"/>
      <c r="AC2094" s="2225">
        <v>1496</v>
      </c>
      <c r="AD2094" s="2857"/>
      <c r="AE2094" s="2857"/>
      <c r="AF2094" s="2857"/>
      <c r="AG2094" s="2857"/>
      <c r="BB2094" s="575"/>
      <c r="BC2094" s="576"/>
      <c r="BD2094" s="678"/>
      <c r="BE2094" s="585"/>
    </row>
    <row r="2095" spans="1:57" s="51" customFormat="1" ht="15" hidden="1" customHeight="1" outlineLevel="1" x14ac:dyDescent="0.25">
      <c r="A2095" s="1267"/>
      <c r="B2095" s="123"/>
      <c r="C2095" s="328"/>
      <c r="D2095" s="3990"/>
      <c r="E2095" s="4009"/>
      <c r="F2095" s="3010" t="str">
        <f>$E$1621</f>
        <v>ASHP-SEER17-Replace_CAC_ElectricHeat_ER1_MF</v>
      </c>
      <c r="G2095" s="2676"/>
      <c r="H2095" s="2676"/>
      <c r="I2095" s="2677"/>
      <c r="J2095" s="3299" t="str">
        <f>$C$1621</f>
        <v>354150_2019_12_</v>
      </c>
      <c r="K2095" s="2857">
        <v>1496</v>
      </c>
      <c r="L2095" s="851"/>
      <c r="M2095" s="1595"/>
      <c r="N2095" s="123"/>
      <c r="O2095" s="228"/>
      <c r="P2095" s="228"/>
      <c r="Q2095" s="228"/>
      <c r="R2095" s="228"/>
      <c r="S2095" s="123"/>
      <c r="T2095" s="123"/>
      <c r="U2095" s="123"/>
      <c r="V2095" s="3990"/>
      <c r="W2095" s="2857">
        <v>2009</v>
      </c>
      <c r="X2095" s="3155">
        <v>1496</v>
      </c>
      <c r="Y2095" s="2857">
        <v>1496</v>
      </c>
      <c r="Z2095" s="2857">
        <v>1496</v>
      </c>
      <c r="AA2095" s="2857">
        <v>1496</v>
      </c>
      <c r="AB2095" s="2857">
        <v>1496</v>
      </c>
      <c r="AC2095" s="2857">
        <v>1496</v>
      </c>
      <c r="AD2095" s="2857"/>
      <c r="AE2095" s="2857"/>
      <c r="AF2095" s="2857"/>
      <c r="AG2095" s="2857"/>
      <c r="AH2095" s="1942"/>
      <c r="AI2095" s="1942"/>
      <c r="AJ2095" s="1942"/>
      <c r="AK2095" s="1942"/>
      <c r="AL2095" s="1942"/>
      <c r="AM2095" s="1942"/>
      <c r="AN2095" s="1942"/>
      <c r="AO2095" s="1942"/>
      <c r="AP2095" s="1942"/>
      <c r="AQ2095" s="1942"/>
      <c r="AR2095" s="1942"/>
      <c r="AS2095" s="1942"/>
      <c r="AT2095" s="1942"/>
      <c r="AU2095" s="1942"/>
      <c r="AV2095" s="1942"/>
      <c r="AW2095" s="1942"/>
      <c r="AX2095" s="1942"/>
      <c r="AY2095" s="1942"/>
      <c r="AZ2095" s="1942"/>
      <c r="BA2095" s="1942"/>
      <c r="BB2095" s="575"/>
      <c r="BC2095" s="576"/>
      <c r="BD2095" s="678"/>
      <c r="BE2095" s="585"/>
    </row>
    <row r="2096" spans="1:57" s="51" customFormat="1" ht="15" hidden="1" customHeight="1" outlineLevel="1" x14ac:dyDescent="0.25">
      <c r="A2096" s="1267"/>
      <c r="B2096" s="123"/>
      <c r="C2096" s="328"/>
      <c r="D2096" s="3990"/>
      <c r="E2096" s="4009"/>
      <c r="F2096" s="3010" t="str">
        <f>$E$1623</f>
        <v>ASHP-SEER17-Replace_CAC_ElectricHeat_ER2_MF</v>
      </c>
      <c r="G2096" s="2676"/>
      <c r="H2096" s="2676"/>
      <c r="I2096" s="2677"/>
      <c r="J2096" s="3299" t="str">
        <f>$C$1623</f>
        <v>354150_2019_12_</v>
      </c>
      <c r="K2096" s="2857">
        <v>1496</v>
      </c>
      <c r="L2096" s="851"/>
      <c r="M2096" s="1595"/>
      <c r="N2096" s="123"/>
      <c r="O2096" s="228"/>
      <c r="P2096" s="228"/>
      <c r="Q2096" s="228"/>
      <c r="R2096" s="228"/>
      <c r="S2096" s="123"/>
      <c r="T2096" s="123"/>
      <c r="U2096" s="123"/>
      <c r="V2096" s="3990"/>
      <c r="W2096" s="2857">
        <v>2009</v>
      </c>
      <c r="X2096" s="3155">
        <v>1496</v>
      </c>
      <c r="Y2096" s="2857">
        <v>1496</v>
      </c>
      <c r="Z2096" s="2857">
        <v>1496</v>
      </c>
      <c r="AA2096" s="2857">
        <v>1496</v>
      </c>
      <c r="AB2096" s="2857">
        <v>1496</v>
      </c>
      <c r="AC2096" s="2857">
        <v>1496</v>
      </c>
      <c r="AD2096" s="2857"/>
      <c r="AE2096" s="2857"/>
      <c r="AF2096" s="2857"/>
      <c r="AG2096" s="2857"/>
      <c r="AH2096" s="1942"/>
      <c r="AI2096" s="1942"/>
      <c r="AJ2096" s="1942"/>
      <c r="AK2096" s="1942"/>
      <c r="AL2096" s="1942"/>
      <c r="AM2096" s="1942"/>
      <c r="AN2096" s="1942"/>
      <c r="AO2096" s="1942"/>
      <c r="AP2096" s="1942"/>
      <c r="AQ2096" s="1942"/>
      <c r="AR2096" s="1942"/>
      <c r="AS2096" s="1942"/>
      <c r="AT2096" s="1942"/>
      <c r="AU2096" s="1942"/>
      <c r="AV2096" s="1942"/>
      <c r="AW2096" s="1942"/>
      <c r="AX2096" s="1942"/>
      <c r="AY2096" s="1942"/>
      <c r="AZ2096" s="1942"/>
      <c r="BA2096" s="1942"/>
      <c r="BB2096" s="575"/>
      <c r="BC2096" s="576"/>
      <c r="BD2096" s="678"/>
      <c r="BE2096" s="585"/>
    </row>
    <row r="2097" spans="1:57" s="51" customFormat="1" ht="15" hidden="1" customHeight="1" outlineLevel="1" x14ac:dyDescent="0.25">
      <c r="A2097" s="1267"/>
      <c r="B2097" s="123"/>
      <c r="C2097" s="328"/>
      <c r="D2097" s="3990"/>
      <c r="E2097" s="4009"/>
      <c r="F2097" s="3010" t="str">
        <f>$E$1625</f>
        <v>ASHP-SEER17-Replace_CAC_ElectricHeat_ER1_MF_CompE</v>
      </c>
      <c r="G2097" s="2676"/>
      <c r="H2097" s="2676"/>
      <c r="I2097" s="2677"/>
      <c r="J2097" s="3299" t="str">
        <f>$C$1625</f>
        <v>354151_2019_12_</v>
      </c>
      <c r="K2097" s="2857">
        <v>510</v>
      </c>
      <c r="L2097" s="851"/>
      <c r="M2097" s="1595" t="s">
        <v>1558</v>
      </c>
      <c r="N2097" s="123"/>
      <c r="O2097" s="228"/>
      <c r="P2097" s="228"/>
      <c r="Q2097" s="228"/>
      <c r="R2097" s="228"/>
      <c r="S2097" s="123"/>
      <c r="T2097" s="123"/>
      <c r="U2097" s="123"/>
      <c r="V2097" s="3990"/>
      <c r="W2097" s="2857"/>
      <c r="X2097" s="3155"/>
      <c r="Y2097" s="3155">
        <v>510</v>
      </c>
      <c r="Z2097" s="2857">
        <v>510</v>
      </c>
      <c r="AA2097" s="2857">
        <v>510</v>
      </c>
      <c r="AB2097" s="2857">
        <v>510</v>
      </c>
      <c r="AC2097" s="2857">
        <v>510</v>
      </c>
      <c r="AD2097" s="2857"/>
      <c r="AE2097" s="2857"/>
      <c r="AF2097" s="2857"/>
      <c r="AG2097" s="2857"/>
      <c r="AH2097" s="1942"/>
      <c r="AI2097" s="1942"/>
      <c r="AJ2097" s="1942"/>
      <c r="AK2097" s="1942"/>
      <c r="AL2097" s="1942"/>
      <c r="AM2097" s="1942"/>
      <c r="AN2097" s="1942"/>
      <c r="AO2097" s="1942"/>
      <c r="AP2097" s="1942"/>
      <c r="AQ2097" s="1942"/>
      <c r="AR2097" s="1942"/>
      <c r="AS2097" s="1942"/>
      <c r="AT2097" s="1942"/>
      <c r="AU2097" s="1942"/>
      <c r="AV2097" s="1942"/>
      <c r="AW2097" s="1942"/>
      <c r="AX2097" s="1942"/>
      <c r="AY2097" s="1942"/>
      <c r="AZ2097" s="1942"/>
      <c r="BA2097" s="1942"/>
      <c r="BB2097" s="575"/>
      <c r="BC2097" s="576"/>
      <c r="BD2097" s="678"/>
      <c r="BE2097" s="585"/>
    </row>
    <row r="2098" spans="1:57" s="51" customFormat="1" ht="15" hidden="1" customHeight="1" outlineLevel="1" x14ac:dyDescent="0.25">
      <c r="A2098" s="1267"/>
      <c r="B2098" s="123"/>
      <c r="C2098" s="328"/>
      <c r="D2098" s="3990"/>
      <c r="E2098" s="4009"/>
      <c r="F2098" s="3010" t="str">
        <f>$E$1627</f>
        <v>ASHP-SEER17-Replace_CAC_ElectricHeat_ER2_MF_CompE</v>
      </c>
      <c r="G2098" s="2676"/>
      <c r="H2098" s="2676"/>
      <c r="I2098" s="2677"/>
      <c r="J2098" s="3299" t="str">
        <f>$C$1627</f>
        <v>354151_2019_12_</v>
      </c>
      <c r="K2098" s="2857">
        <v>510</v>
      </c>
      <c r="L2098" s="851"/>
      <c r="M2098" s="1595" t="s">
        <v>1558</v>
      </c>
      <c r="N2098" s="123"/>
      <c r="O2098" s="228"/>
      <c r="P2098" s="228"/>
      <c r="Q2098" s="228"/>
      <c r="R2098" s="228"/>
      <c r="S2098" s="123"/>
      <c r="T2098" s="123"/>
      <c r="U2098" s="123"/>
      <c r="V2098" s="3990"/>
      <c r="W2098" s="2857"/>
      <c r="X2098" s="3155"/>
      <c r="Y2098" s="3155">
        <v>510</v>
      </c>
      <c r="Z2098" s="2857">
        <v>510</v>
      </c>
      <c r="AA2098" s="2857">
        <v>510</v>
      </c>
      <c r="AB2098" s="2857">
        <v>510</v>
      </c>
      <c r="AC2098" s="2857">
        <v>510</v>
      </c>
      <c r="AD2098" s="2857"/>
      <c r="AE2098" s="2857"/>
      <c r="AF2098" s="2857"/>
      <c r="AG2098" s="2857"/>
      <c r="AH2098" s="1942"/>
      <c r="AI2098" s="1942"/>
      <c r="AJ2098" s="1942"/>
      <c r="AK2098" s="1942"/>
      <c r="AL2098" s="1942"/>
      <c r="AM2098" s="1942"/>
      <c r="AN2098" s="1942"/>
      <c r="AO2098" s="1942"/>
      <c r="AP2098" s="1942"/>
      <c r="AQ2098" s="1942"/>
      <c r="AR2098" s="1942"/>
      <c r="AS2098" s="1942"/>
      <c r="AT2098" s="1942"/>
      <c r="AU2098" s="1942"/>
      <c r="AV2098" s="1942"/>
      <c r="AW2098" s="1942"/>
      <c r="AX2098" s="1942"/>
      <c r="AY2098" s="1942"/>
      <c r="AZ2098" s="1942"/>
      <c r="BA2098" s="1942"/>
      <c r="BB2098" s="575"/>
      <c r="BC2098" s="576"/>
      <c r="BD2098" s="678"/>
      <c r="BE2098" s="585"/>
    </row>
    <row r="2099" spans="1:57" s="1942" customFormat="1" ht="15" hidden="1" customHeight="1" outlineLevel="1" x14ac:dyDescent="0.25">
      <c r="A2099" s="1267"/>
      <c r="B2099" s="123"/>
      <c r="C2099" s="328"/>
      <c r="D2099" s="3990"/>
      <c r="E2099" s="4009"/>
      <c r="F2099" s="3010" t="str">
        <f>$E$1629</f>
        <v>ASHP-SEER17-Replace_CAC_NonElectricHeat_ER1_MF</v>
      </c>
      <c r="G2099" s="2676"/>
      <c r="H2099" s="2676"/>
      <c r="I2099" s="2677"/>
      <c r="J2099" s="3298" t="str">
        <f>$C$1629</f>
        <v>354160_2021_12_</v>
      </c>
      <c r="K2099" s="2225">
        <v>1496</v>
      </c>
      <c r="L2099" s="851"/>
      <c r="M2099" s="1595"/>
      <c r="N2099" s="123"/>
      <c r="O2099" s="228"/>
      <c r="P2099" s="228"/>
      <c r="Q2099" s="228"/>
      <c r="R2099" s="228"/>
      <c r="S2099" s="123"/>
      <c r="T2099" s="123"/>
      <c r="U2099" s="123"/>
      <c r="V2099" s="3990"/>
      <c r="W2099" s="2857"/>
      <c r="X2099" s="3155"/>
      <c r="Y2099" s="3155"/>
      <c r="Z2099" s="2857"/>
      <c r="AA2099" s="2857"/>
      <c r="AB2099" s="2857"/>
      <c r="AC2099" s="2225">
        <v>1496</v>
      </c>
      <c r="AD2099" s="2857"/>
      <c r="AE2099" s="2857"/>
      <c r="AF2099" s="2857"/>
      <c r="AG2099" s="2857"/>
      <c r="BB2099" s="575"/>
      <c r="BC2099" s="576"/>
      <c r="BD2099" s="678"/>
      <c r="BE2099" s="585"/>
    </row>
    <row r="2100" spans="1:57" s="1942" customFormat="1" ht="15" hidden="1" customHeight="1" outlineLevel="1" x14ac:dyDescent="0.25">
      <c r="A2100" s="1267"/>
      <c r="B2100" s="123"/>
      <c r="C2100" s="328"/>
      <c r="D2100" s="3990"/>
      <c r="E2100" s="4009"/>
      <c r="F2100" s="3010" t="str">
        <f>$E$1631</f>
        <v>ASHP-SEER17-Replace_CAC_NonElectricHeat_ER2_MF</v>
      </c>
      <c r="G2100" s="2676"/>
      <c r="H2100" s="2676"/>
      <c r="I2100" s="2677"/>
      <c r="J2100" s="3298" t="str">
        <f>$C$1631</f>
        <v>354160_2021_12_</v>
      </c>
      <c r="K2100" s="2225">
        <v>1496</v>
      </c>
      <c r="L2100" s="851"/>
      <c r="M2100" s="1595"/>
      <c r="N2100" s="123"/>
      <c r="O2100" s="228"/>
      <c r="P2100" s="228"/>
      <c r="Q2100" s="228"/>
      <c r="R2100" s="228"/>
      <c r="S2100" s="123"/>
      <c r="T2100" s="123"/>
      <c r="U2100" s="123"/>
      <c r="V2100" s="3990"/>
      <c r="W2100" s="2857"/>
      <c r="X2100" s="3155"/>
      <c r="Y2100" s="3155"/>
      <c r="Z2100" s="2857"/>
      <c r="AA2100" s="2857"/>
      <c r="AB2100" s="2857"/>
      <c r="AC2100" s="2225">
        <v>1496</v>
      </c>
      <c r="AD2100" s="2857"/>
      <c r="AE2100" s="2857"/>
      <c r="AF2100" s="2857"/>
      <c r="AG2100" s="2857"/>
      <c r="BB2100" s="575"/>
      <c r="BC2100" s="576"/>
      <c r="BD2100" s="678"/>
      <c r="BE2100" s="585"/>
    </row>
    <row r="2101" spans="1:57" s="1942" customFormat="1" ht="15" hidden="1" customHeight="1" outlineLevel="1" x14ac:dyDescent="0.25">
      <c r="A2101" s="1267"/>
      <c r="B2101" s="123"/>
      <c r="C2101" s="328"/>
      <c r="D2101" s="3990"/>
      <c r="E2101" s="4009"/>
      <c r="F2101" s="3010" t="str">
        <f>$E$1633</f>
        <v>ASHP-SEER17-Replace_CAC_NonElectricHeat_ER1_MF_CompE</v>
      </c>
      <c r="G2101" s="2676"/>
      <c r="H2101" s="2676"/>
      <c r="I2101" s="2677"/>
      <c r="J2101" s="3298" t="str">
        <f>$C$1633</f>
        <v>354161_2021_12_</v>
      </c>
      <c r="K2101" s="2225">
        <v>510</v>
      </c>
      <c r="L2101" s="851"/>
      <c r="M2101" s="1595"/>
      <c r="N2101" s="123"/>
      <c r="O2101" s="228"/>
      <c r="P2101" s="228"/>
      <c r="Q2101" s="228"/>
      <c r="R2101" s="228"/>
      <c r="S2101" s="123"/>
      <c r="T2101" s="123"/>
      <c r="U2101" s="123"/>
      <c r="V2101" s="3990"/>
      <c r="W2101" s="2857"/>
      <c r="X2101" s="3155"/>
      <c r="Y2101" s="3155"/>
      <c r="Z2101" s="2857"/>
      <c r="AA2101" s="2857"/>
      <c r="AB2101" s="2857"/>
      <c r="AC2101" s="2225">
        <v>510</v>
      </c>
      <c r="AD2101" s="2857"/>
      <c r="AE2101" s="2857"/>
      <c r="AF2101" s="2857"/>
      <c r="AG2101" s="2857"/>
      <c r="BB2101" s="575"/>
      <c r="BC2101" s="576"/>
      <c r="BD2101" s="678"/>
      <c r="BE2101" s="585"/>
    </row>
    <row r="2102" spans="1:57" s="1942" customFormat="1" ht="15" hidden="1" customHeight="1" outlineLevel="1" x14ac:dyDescent="0.25">
      <c r="A2102" s="1267"/>
      <c r="B2102" s="123"/>
      <c r="C2102" s="328"/>
      <c r="D2102" s="3990"/>
      <c r="E2102" s="4009"/>
      <c r="F2102" s="3010" t="str">
        <f>$E$1635</f>
        <v>ASHP-SEER17-Replace_CAC_NonElectricHeat_ER2_MF_CompE</v>
      </c>
      <c r="G2102" s="2676"/>
      <c r="H2102" s="2676"/>
      <c r="I2102" s="2677"/>
      <c r="J2102" s="3298" t="str">
        <f>$C$1635</f>
        <v>354161_2021_12_</v>
      </c>
      <c r="K2102" s="2225">
        <v>510</v>
      </c>
      <c r="L2102" s="851"/>
      <c r="M2102" s="1595"/>
      <c r="N2102" s="123"/>
      <c r="O2102" s="228"/>
      <c r="P2102" s="228"/>
      <c r="Q2102" s="228"/>
      <c r="R2102" s="228"/>
      <c r="S2102" s="123"/>
      <c r="T2102" s="123"/>
      <c r="U2102" s="123"/>
      <c r="V2102" s="3990"/>
      <c r="W2102" s="2857"/>
      <c r="X2102" s="3155"/>
      <c r="Y2102" s="3155"/>
      <c r="Z2102" s="2857"/>
      <c r="AA2102" s="2857"/>
      <c r="AB2102" s="2857"/>
      <c r="AC2102" s="2225">
        <v>510</v>
      </c>
      <c r="AD2102" s="2857"/>
      <c r="AE2102" s="2857"/>
      <c r="AF2102" s="2857"/>
      <c r="AG2102" s="2857"/>
      <c r="BB2102" s="575"/>
      <c r="BC2102" s="576"/>
      <c r="BD2102" s="678"/>
      <c r="BE2102" s="585"/>
    </row>
    <row r="2103" spans="1:57" s="51" customFormat="1" ht="15" hidden="1" customHeight="1" outlineLevel="1" x14ac:dyDescent="0.25">
      <c r="A2103" s="1267"/>
      <c r="B2103" s="123"/>
      <c r="C2103" s="328"/>
      <c r="D2103" s="3990"/>
      <c r="E2103" s="4009"/>
      <c r="F2103" s="3010" t="str">
        <f>$E$1637</f>
        <v>ASHP-SEER17_ER1_MF</v>
      </c>
      <c r="G2103" s="2676"/>
      <c r="H2103" s="2676"/>
      <c r="I2103" s="2677"/>
      <c r="J2103" s="3299" t="str">
        <f>$C$1637</f>
        <v>354200_2019_12_</v>
      </c>
      <c r="K2103" s="2857">
        <v>1496</v>
      </c>
      <c r="L2103" s="851"/>
      <c r="M2103" s="1595"/>
      <c r="N2103" s="123"/>
      <c r="O2103" s="228"/>
      <c r="P2103" s="228"/>
      <c r="Q2103" s="228"/>
      <c r="R2103" s="228"/>
      <c r="S2103" s="123"/>
      <c r="T2103" s="123"/>
      <c r="U2103" s="123"/>
      <c r="V2103" s="3990"/>
      <c r="W2103" s="2857">
        <v>2009</v>
      </c>
      <c r="X2103" s="3155">
        <v>1496</v>
      </c>
      <c r="Y2103" s="2857">
        <v>1496</v>
      </c>
      <c r="Z2103" s="2857">
        <v>1496</v>
      </c>
      <c r="AA2103" s="2857">
        <v>1496</v>
      </c>
      <c r="AB2103" s="2857">
        <v>1496</v>
      </c>
      <c r="AC2103" s="2857">
        <v>1496</v>
      </c>
      <c r="AD2103" s="2857"/>
      <c r="AE2103" s="2857"/>
      <c r="AF2103" s="2857"/>
      <c r="AG2103" s="2857"/>
      <c r="AH2103" s="1942"/>
      <c r="AI2103" s="1942"/>
      <c r="AJ2103" s="1942"/>
      <c r="AK2103" s="1942"/>
      <c r="AL2103" s="1942"/>
      <c r="AM2103" s="1942"/>
      <c r="AN2103" s="1942"/>
      <c r="AO2103" s="1942"/>
      <c r="AP2103" s="1942"/>
      <c r="AQ2103" s="1942"/>
      <c r="AR2103" s="1942"/>
      <c r="AS2103" s="1942"/>
      <c r="AT2103" s="1942"/>
      <c r="AU2103" s="1942"/>
      <c r="AV2103" s="1942"/>
      <c r="AW2103" s="1942"/>
      <c r="AX2103" s="1942"/>
      <c r="AY2103" s="1942"/>
      <c r="AZ2103" s="1942"/>
      <c r="BA2103" s="1942"/>
      <c r="BB2103" s="575"/>
      <c r="BC2103" s="576"/>
      <c r="BD2103" s="678"/>
      <c r="BE2103" s="585"/>
    </row>
    <row r="2104" spans="1:57" s="51" customFormat="1" ht="15" hidden="1" customHeight="1" outlineLevel="1" x14ac:dyDescent="0.25">
      <c r="A2104" s="1267"/>
      <c r="B2104" s="123"/>
      <c r="C2104" s="328"/>
      <c r="D2104" s="3990"/>
      <c r="E2104" s="4009"/>
      <c r="F2104" s="3010" t="str">
        <f>$E$1639</f>
        <v>ASHP-SEER17_ER2_MF</v>
      </c>
      <c r="G2104" s="2676"/>
      <c r="H2104" s="2676"/>
      <c r="I2104" s="2677"/>
      <c r="J2104" s="3299" t="str">
        <f>$C$1639</f>
        <v>354200_2019_12_</v>
      </c>
      <c r="K2104" s="2857">
        <v>1496</v>
      </c>
      <c r="L2104" s="851"/>
      <c r="M2104" s="1595"/>
      <c r="N2104" s="123"/>
      <c r="O2104" s="228"/>
      <c r="P2104" s="228"/>
      <c r="Q2104" s="228"/>
      <c r="R2104" s="228"/>
      <c r="S2104" s="123"/>
      <c r="T2104" s="123"/>
      <c r="U2104" s="123"/>
      <c r="V2104" s="3990"/>
      <c r="W2104" s="2857">
        <v>2009</v>
      </c>
      <c r="X2104" s="3155">
        <v>1496</v>
      </c>
      <c r="Y2104" s="2857">
        <v>1496</v>
      </c>
      <c r="Z2104" s="2857">
        <v>1496</v>
      </c>
      <c r="AA2104" s="2857">
        <v>1496</v>
      </c>
      <c r="AB2104" s="2857">
        <v>1496</v>
      </c>
      <c r="AC2104" s="2857">
        <v>1496</v>
      </c>
      <c r="AD2104" s="2857"/>
      <c r="AE2104" s="2857"/>
      <c r="AF2104" s="2857"/>
      <c r="AG2104" s="2857"/>
      <c r="AH2104" s="1942"/>
      <c r="AI2104" s="1942"/>
      <c r="AJ2104" s="1942"/>
      <c r="AK2104" s="1942"/>
      <c r="AL2104" s="1942"/>
      <c r="AM2104" s="1942"/>
      <c r="AN2104" s="1942"/>
      <c r="AO2104" s="1942"/>
      <c r="AP2104" s="1942"/>
      <c r="AQ2104" s="1942"/>
      <c r="AR2104" s="1942"/>
      <c r="AS2104" s="1942"/>
      <c r="AT2104" s="1942"/>
      <c r="AU2104" s="1942"/>
      <c r="AV2104" s="1942"/>
      <c r="AW2104" s="1942"/>
      <c r="AX2104" s="1942"/>
      <c r="AY2104" s="1942"/>
      <c r="AZ2104" s="1942"/>
      <c r="BA2104" s="1942"/>
      <c r="BB2104" s="575"/>
      <c r="BC2104" s="576"/>
      <c r="BD2104" s="678"/>
      <c r="BE2104" s="585"/>
    </row>
    <row r="2105" spans="1:57" s="51" customFormat="1" ht="15" hidden="1" customHeight="1" outlineLevel="1" x14ac:dyDescent="0.25">
      <c r="A2105" s="1267"/>
      <c r="B2105" s="123"/>
      <c r="C2105" s="328"/>
      <c r="D2105" s="3990"/>
      <c r="E2105" s="4009"/>
      <c r="F2105" s="3010" t="str">
        <f>$E$1641</f>
        <v>ASHP-SEER17_ER1_MF_CompE</v>
      </c>
      <c r="G2105" s="2676"/>
      <c r="H2105" s="2676"/>
      <c r="I2105" s="2677"/>
      <c r="J2105" s="3299" t="str">
        <f>$C$1641</f>
        <v>354201_2019_12_</v>
      </c>
      <c r="K2105" s="2857">
        <v>510</v>
      </c>
      <c r="L2105" s="851"/>
      <c r="M2105" s="1595" t="s">
        <v>1558</v>
      </c>
      <c r="N2105" s="123"/>
      <c r="O2105" s="228"/>
      <c r="P2105" s="228"/>
      <c r="Q2105" s="228"/>
      <c r="R2105" s="228"/>
      <c r="S2105" s="123"/>
      <c r="T2105" s="123"/>
      <c r="U2105" s="123"/>
      <c r="V2105" s="3990"/>
      <c r="W2105" s="2857"/>
      <c r="X2105" s="3155"/>
      <c r="Y2105" s="3155">
        <v>510</v>
      </c>
      <c r="Z2105" s="2857">
        <v>510</v>
      </c>
      <c r="AA2105" s="2857">
        <v>510</v>
      </c>
      <c r="AB2105" s="2857">
        <v>510</v>
      </c>
      <c r="AC2105" s="2857">
        <v>510</v>
      </c>
      <c r="AD2105" s="2857"/>
      <c r="AE2105" s="2857"/>
      <c r="AF2105" s="2857"/>
      <c r="AG2105" s="2857"/>
      <c r="AH2105" s="1942"/>
      <c r="AI2105" s="1942"/>
      <c r="AJ2105" s="1942"/>
      <c r="AK2105" s="1942"/>
      <c r="AL2105" s="1942"/>
      <c r="AM2105" s="1942"/>
      <c r="AN2105" s="1942"/>
      <c r="AO2105" s="1942"/>
      <c r="AP2105" s="1942"/>
      <c r="AQ2105" s="1942"/>
      <c r="AR2105" s="1942"/>
      <c r="AS2105" s="1942"/>
      <c r="AT2105" s="1942"/>
      <c r="AU2105" s="1942"/>
      <c r="AV2105" s="1942"/>
      <c r="AW2105" s="1942"/>
      <c r="AX2105" s="1942"/>
      <c r="AY2105" s="1942"/>
      <c r="AZ2105" s="1942"/>
      <c r="BA2105" s="1942"/>
      <c r="BB2105" s="575"/>
      <c r="BC2105" s="576"/>
      <c r="BD2105" s="678"/>
      <c r="BE2105" s="585"/>
    </row>
    <row r="2106" spans="1:57" s="51" customFormat="1" ht="15" hidden="1" customHeight="1" outlineLevel="1" x14ac:dyDescent="0.25">
      <c r="A2106" s="1267"/>
      <c r="B2106" s="123"/>
      <c r="C2106" s="328"/>
      <c r="D2106" s="3990"/>
      <c r="E2106" s="4009"/>
      <c r="F2106" s="3010" t="str">
        <f>$E$1643</f>
        <v>ASHP-SEER17_ER2_MF_CompE</v>
      </c>
      <c r="G2106" s="2676"/>
      <c r="H2106" s="2676"/>
      <c r="I2106" s="2677"/>
      <c r="J2106" s="3299" t="str">
        <f>$C$1643</f>
        <v>354201_2019_12_</v>
      </c>
      <c r="K2106" s="2857">
        <v>510</v>
      </c>
      <c r="L2106" s="851"/>
      <c r="M2106" s="1595" t="s">
        <v>1558</v>
      </c>
      <c r="N2106" s="123"/>
      <c r="O2106" s="228"/>
      <c r="P2106" s="228"/>
      <c r="Q2106" s="228"/>
      <c r="R2106" s="228"/>
      <c r="S2106" s="123"/>
      <c r="T2106" s="123"/>
      <c r="U2106" s="123"/>
      <c r="V2106" s="3990"/>
      <c r="W2106" s="2857"/>
      <c r="X2106" s="3155"/>
      <c r="Y2106" s="3155">
        <v>510</v>
      </c>
      <c r="Z2106" s="2857">
        <v>510</v>
      </c>
      <c r="AA2106" s="2857">
        <v>510</v>
      </c>
      <c r="AB2106" s="2857">
        <v>510</v>
      </c>
      <c r="AC2106" s="2857">
        <v>510</v>
      </c>
      <c r="AD2106" s="2857"/>
      <c r="AE2106" s="2857"/>
      <c r="AF2106" s="2857"/>
      <c r="AG2106" s="2857"/>
      <c r="AH2106" s="1942"/>
      <c r="AI2106" s="1942"/>
      <c r="AJ2106" s="1942"/>
      <c r="AK2106" s="1942"/>
      <c r="AL2106" s="1942"/>
      <c r="AM2106" s="1942"/>
      <c r="AN2106" s="1942"/>
      <c r="AO2106" s="1942"/>
      <c r="AP2106" s="1942"/>
      <c r="AQ2106" s="1942"/>
      <c r="AR2106" s="1942"/>
      <c r="AS2106" s="1942"/>
      <c r="AT2106" s="1942"/>
      <c r="AU2106" s="1942"/>
      <c r="AV2106" s="1942"/>
      <c r="AW2106" s="1942"/>
      <c r="AX2106" s="1942"/>
      <c r="AY2106" s="1942"/>
      <c r="AZ2106" s="1942"/>
      <c r="BA2106" s="1942"/>
      <c r="BB2106" s="575"/>
      <c r="BC2106" s="576"/>
      <c r="BD2106" s="678"/>
      <c r="BE2106" s="585"/>
    </row>
    <row r="2107" spans="1:57" s="51" customFormat="1" ht="15" hidden="1" customHeight="1" outlineLevel="1" x14ac:dyDescent="0.25">
      <c r="A2107" s="1267"/>
      <c r="B2107" s="123"/>
      <c r="C2107" s="328"/>
      <c r="D2107" s="3990"/>
      <c r="E2107" s="4009"/>
      <c r="F2107" s="3010" t="str">
        <f>$E$1645</f>
        <v>ASHP-SEER18-Replace_CAC_ElectricHeat_ER1_SF</v>
      </c>
      <c r="G2107" s="2676"/>
      <c r="H2107" s="2676"/>
      <c r="I2107" s="2677"/>
      <c r="J2107" s="3298" t="str">
        <f>$C$1645</f>
        <v>354250_2021_12_</v>
      </c>
      <c r="K2107" s="2857">
        <v>1496</v>
      </c>
      <c r="L2107" s="851"/>
      <c r="M2107" s="1595"/>
      <c r="N2107" s="123"/>
      <c r="O2107" s="228"/>
      <c r="P2107" s="228"/>
      <c r="Q2107" s="228"/>
      <c r="R2107" s="228"/>
      <c r="S2107" s="123"/>
      <c r="T2107" s="123"/>
      <c r="U2107" s="123"/>
      <c r="V2107" s="3990"/>
      <c r="W2107" s="2857">
        <v>2009</v>
      </c>
      <c r="X2107" s="3155">
        <v>1496</v>
      </c>
      <c r="Y2107" s="2857">
        <v>1496</v>
      </c>
      <c r="Z2107" s="2857">
        <v>1496</v>
      </c>
      <c r="AA2107" s="2857">
        <v>1496</v>
      </c>
      <c r="AB2107" s="2857">
        <v>1496</v>
      </c>
      <c r="AC2107" s="2857">
        <v>1496</v>
      </c>
      <c r="AD2107" s="2857"/>
      <c r="AE2107" s="2857"/>
      <c r="AF2107" s="2857"/>
      <c r="AG2107" s="2857"/>
      <c r="AH2107" s="1942"/>
      <c r="AI2107" s="1942"/>
      <c r="AJ2107" s="1942"/>
      <c r="AK2107" s="1942"/>
      <c r="AL2107" s="1942"/>
      <c r="AM2107" s="1942"/>
      <c r="AN2107" s="1942"/>
      <c r="AO2107" s="1942"/>
      <c r="AP2107" s="1942"/>
      <c r="AQ2107" s="1942"/>
      <c r="AR2107" s="1942"/>
      <c r="AS2107" s="1942"/>
      <c r="AT2107" s="1942"/>
      <c r="AU2107" s="1942"/>
      <c r="AV2107" s="1942"/>
      <c r="AW2107" s="1942"/>
      <c r="AX2107" s="1942"/>
      <c r="AY2107" s="1942"/>
      <c r="AZ2107" s="1942"/>
      <c r="BA2107" s="1942"/>
      <c r="BB2107" s="575"/>
      <c r="BC2107" s="576"/>
      <c r="BD2107" s="678"/>
      <c r="BE2107" s="585"/>
    </row>
    <row r="2108" spans="1:57" s="51" customFormat="1" ht="15" hidden="1" customHeight="1" outlineLevel="1" x14ac:dyDescent="0.25">
      <c r="A2108" s="1267"/>
      <c r="B2108" s="123"/>
      <c r="C2108" s="328"/>
      <c r="D2108" s="3990"/>
      <c r="E2108" s="4009"/>
      <c r="F2108" s="3010" t="str">
        <f>$E$1647</f>
        <v>ASHP-SEER18-Replace_CAC_ElectricHeat_ER2_SF</v>
      </c>
      <c r="G2108" s="2676"/>
      <c r="H2108" s="2676"/>
      <c r="I2108" s="2677"/>
      <c r="J2108" s="3298" t="str">
        <f>$C$1647</f>
        <v>354250_2021_12_</v>
      </c>
      <c r="K2108" s="2857">
        <v>1496</v>
      </c>
      <c r="L2108" s="851"/>
      <c r="M2108" s="1595"/>
      <c r="N2108" s="123"/>
      <c r="O2108" s="228"/>
      <c r="P2108" s="228"/>
      <c r="Q2108" s="228"/>
      <c r="R2108" s="228"/>
      <c r="S2108" s="123"/>
      <c r="T2108" s="123"/>
      <c r="U2108" s="123"/>
      <c r="V2108" s="3990"/>
      <c r="W2108" s="2857">
        <v>2009</v>
      </c>
      <c r="X2108" s="3155">
        <v>1496</v>
      </c>
      <c r="Y2108" s="2857">
        <v>1496</v>
      </c>
      <c r="Z2108" s="2857">
        <v>1496</v>
      </c>
      <c r="AA2108" s="2857">
        <v>1496</v>
      </c>
      <c r="AB2108" s="2857">
        <v>1496</v>
      </c>
      <c r="AC2108" s="2857">
        <v>1496</v>
      </c>
      <c r="AD2108" s="2857"/>
      <c r="AE2108" s="2857"/>
      <c r="AF2108" s="2857"/>
      <c r="AG2108" s="2857"/>
      <c r="AH2108" s="1942"/>
      <c r="AI2108" s="1942"/>
      <c r="AJ2108" s="1942"/>
      <c r="AK2108" s="1942"/>
      <c r="AL2108" s="1942"/>
      <c r="AM2108" s="1942"/>
      <c r="AN2108" s="1942"/>
      <c r="AO2108" s="1942"/>
      <c r="AP2108" s="1942"/>
      <c r="AQ2108" s="1942"/>
      <c r="AR2108" s="1942"/>
      <c r="AS2108" s="1942"/>
      <c r="AT2108" s="1942"/>
      <c r="AU2108" s="1942"/>
      <c r="AV2108" s="1942"/>
      <c r="AW2108" s="1942"/>
      <c r="AX2108" s="1942"/>
      <c r="AY2108" s="1942"/>
      <c r="AZ2108" s="1942"/>
      <c r="BA2108" s="1942"/>
      <c r="BB2108" s="575"/>
      <c r="BC2108" s="576"/>
      <c r="BD2108" s="678"/>
      <c r="BE2108" s="585"/>
    </row>
    <row r="2109" spans="1:57" s="1942" customFormat="1" ht="15" hidden="1" customHeight="1" outlineLevel="1" x14ac:dyDescent="0.25">
      <c r="A2109" s="1267"/>
      <c r="B2109" s="123"/>
      <c r="C2109" s="328"/>
      <c r="D2109" s="3990"/>
      <c r="E2109" s="4009"/>
      <c r="F2109" s="3010" t="str">
        <f>$E$1649</f>
        <v>ASHP-SEER18-Replace_CAC_NonElectricHeat_ER1_SF</v>
      </c>
      <c r="G2109" s="2676"/>
      <c r="H2109" s="2676"/>
      <c r="I2109" s="2677"/>
      <c r="J2109" s="3298" t="str">
        <f>$C$1649</f>
        <v>354260_2021_12_</v>
      </c>
      <c r="K2109" s="2225">
        <v>1496</v>
      </c>
      <c r="L2109" s="851"/>
      <c r="M2109" s="1595"/>
      <c r="N2109" s="123"/>
      <c r="O2109" s="228"/>
      <c r="P2109" s="228"/>
      <c r="Q2109" s="228"/>
      <c r="R2109" s="228"/>
      <c r="S2109" s="123"/>
      <c r="T2109" s="123"/>
      <c r="U2109" s="123"/>
      <c r="V2109" s="3990"/>
      <c r="W2109" s="2857"/>
      <c r="X2109" s="3155"/>
      <c r="Y2109" s="2857"/>
      <c r="Z2109" s="2857"/>
      <c r="AA2109" s="2857"/>
      <c r="AB2109" s="2857"/>
      <c r="AC2109" s="2225">
        <v>1496</v>
      </c>
      <c r="AD2109" s="2857"/>
      <c r="AE2109" s="2857"/>
      <c r="AF2109" s="2857"/>
      <c r="AG2109" s="2857"/>
      <c r="BB2109" s="575"/>
      <c r="BC2109" s="576"/>
      <c r="BD2109" s="678"/>
      <c r="BE2109" s="585"/>
    </row>
    <row r="2110" spans="1:57" s="1942" customFormat="1" ht="15" hidden="1" customHeight="1" outlineLevel="1" x14ac:dyDescent="0.25">
      <c r="A2110" s="1267"/>
      <c r="B2110" s="123"/>
      <c r="C2110" s="328"/>
      <c r="D2110" s="3990"/>
      <c r="E2110" s="4009"/>
      <c r="F2110" s="3010" t="str">
        <f>$E$1651</f>
        <v>ASHP-SEER18-Replace_CAC_NonElectricHeat_ER2_SF</v>
      </c>
      <c r="G2110" s="2676"/>
      <c r="H2110" s="2676"/>
      <c r="I2110" s="2677"/>
      <c r="J2110" s="3298" t="str">
        <f>$C$1651</f>
        <v>354260_2021_12_</v>
      </c>
      <c r="K2110" s="2225">
        <v>1496</v>
      </c>
      <c r="L2110" s="851"/>
      <c r="M2110" s="1595"/>
      <c r="N2110" s="123"/>
      <c r="O2110" s="228"/>
      <c r="P2110" s="228"/>
      <c r="Q2110" s="228"/>
      <c r="R2110" s="228"/>
      <c r="S2110" s="123"/>
      <c r="T2110" s="123"/>
      <c r="U2110" s="123"/>
      <c r="V2110" s="3990"/>
      <c r="W2110" s="2857"/>
      <c r="X2110" s="3155"/>
      <c r="Y2110" s="2857"/>
      <c r="Z2110" s="2857"/>
      <c r="AA2110" s="2857"/>
      <c r="AB2110" s="2857"/>
      <c r="AC2110" s="2225">
        <v>1496</v>
      </c>
      <c r="AD2110" s="2857"/>
      <c r="AE2110" s="2857"/>
      <c r="AF2110" s="2857"/>
      <c r="AG2110" s="2857"/>
      <c r="BB2110" s="575"/>
      <c r="BC2110" s="576"/>
      <c r="BD2110" s="678"/>
      <c r="BE2110" s="585"/>
    </row>
    <row r="2111" spans="1:57" s="51" customFormat="1" ht="15" hidden="1" customHeight="1" outlineLevel="1" x14ac:dyDescent="0.25">
      <c r="A2111" s="1267"/>
      <c r="B2111" s="123"/>
      <c r="C2111" s="328"/>
      <c r="D2111" s="3990"/>
      <c r="E2111" s="4009"/>
      <c r="F2111" s="3010" t="str">
        <f>$E$1653</f>
        <v>ASHP-SEER18-Replace_CAC_ElectricHeat_ER1_MF</v>
      </c>
      <c r="G2111" s="2676"/>
      <c r="H2111" s="2676"/>
      <c r="I2111" s="2677"/>
      <c r="J2111" s="3298" t="str">
        <f>$C$1653</f>
        <v>354300_2021_12_</v>
      </c>
      <c r="K2111" s="2857">
        <v>1496</v>
      </c>
      <c r="L2111" s="851"/>
      <c r="M2111" s="1595"/>
      <c r="N2111" s="123"/>
      <c r="O2111" s="228"/>
      <c r="P2111" s="228"/>
      <c r="Q2111" s="228"/>
      <c r="R2111" s="228"/>
      <c r="S2111" s="123"/>
      <c r="T2111" s="123"/>
      <c r="U2111" s="123"/>
      <c r="V2111" s="3990"/>
      <c r="W2111" s="2857">
        <v>2009</v>
      </c>
      <c r="X2111" s="3155">
        <v>1496</v>
      </c>
      <c r="Y2111" s="2857">
        <v>1496</v>
      </c>
      <c r="Z2111" s="2857">
        <v>1496</v>
      </c>
      <c r="AA2111" s="2857">
        <v>1496</v>
      </c>
      <c r="AB2111" s="2857">
        <v>1496</v>
      </c>
      <c r="AC2111" s="2857">
        <v>1496</v>
      </c>
      <c r="AD2111" s="2857"/>
      <c r="AE2111" s="2857"/>
      <c r="AF2111" s="2857"/>
      <c r="AG2111" s="2857"/>
      <c r="AH2111" s="1942"/>
      <c r="AI2111" s="1942"/>
      <c r="AJ2111" s="1942"/>
      <c r="AK2111" s="1942"/>
      <c r="AL2111" s="1942"/>
      <c r="AM2111" s="1942"/>
      <c r="AN2111" s="1942"/>
      <c r="AO2111" s="1942"/>
      <c r="AP2111" s="1942"/>
      <c r="AQ2111" s="1942"/>
      <c r="AR2111" s="1942"/>
      <c r="AS2111" s="1942"/>
      <c r="AT2111" s="1942"/>
      <c r="AU2111" s="1942"/>
      <c r="AV2111" s="1942"/>
      <c r="AW2111" s="1942"/>
      <c r="AX2111" s="1942"/>
      <c r="AY2111" s="1942"/>
      <c r="AZ2111" s="1942"/>
      <c r="BA2111" s="1942"/>
      <c r="BB2111" s="575"/>
      <c r="BC2111" s="576"/>
      <c r="BD2111" s="678"/>
      <c r="BE2111" s="585"/>
    </row>
    <row r="2112" spans="1:57" s="51" customFormat="1" ht="15" hidden="1" customHeight="1" outlineLevel="1" x14ac:dyDescent="0.25">
      <c r="A2112" s="1267"/>
      <c r="B2112" s="123"/>
      <c r="C2112" s="328"/>
      <c r="D2112" s="3990"/>
      <c r="E2112" s="4009"/>
      <c r="F2112" s="3010" t="str">
        <f>$E$1655</f>
        <v>ASHP-SEER18-Replace_CAC_ElectricHeat_ER2_MF</v>
      </c>
      <c r="G2112" s="2676"/>
      <c r="H2112" s="2676"/>
      <c r="I2112" s="2677"/>
      <c r="J2112" s="3298" t="str">
        <f>$C$1655</f>
        <v>354300_2021_12_</v>
      </c>
      <c r="K2112" s="2857">
        <v>1496</v>
      </c>
      <c r="L2112" s="851"/>
      <c r="M2112" s="1595"/>
      <c r="N2112" s="123"/>
      <c r="O2112" s="228"/>
      <c r="P2112" s="228"/>
      <c r="Q2112" s="228"/>
      <c r="R2112" s="228"/>
      <c r="S2112" s="123"/>
      <c r="T2112" s="123"/>
      <c r="U2112" s="123"/>
      <c r="V2112" s="3990"/>
      <c r="W2112" s="2857">
        <v>2009</v>
      </c>
      <c r="X2112" s="3155">
        <v>1496</v>
      </c>
      <c r="Y2112" s="2857">
        <v>1496</v>
      </c>
      <c r="Z2112" s="2857">
        <v>1496</v>
      </c>
      <c r="AA2112" s="2857">
        <v>1496</v>
      </c>
      <c r="AB2112" s="2857">
        <v>1496</v>
      </c>
      <c r="AC2112" s="2857">
        <v>1496</v>
      </c>
      <c r="AD2112" s="2857"/>
      <c r="AE2112" s="2857"/>
      <c r="AF2112" s="2857"/>
      <c r="AG2112" s="2857"/>
      <c r="AH2112" s="1942"/>
      <c r="AI2112" s="1942"/>
      <c r="AJ2112" s="1942"/>
      <c r="AK2112" s="1942"/>
      <c r="AL2112" s="1942"/>
      <c r="AM2112" s="1942"/>
      <c r="AN2112" s="1942"/>
      <c r="AO2112" s="1942"/>
      <c r="AP2112" s="1942"/>
      <c r="AQ2112" s="1942"/>
      <c r="AR2112" s="1942"/>
      <c r="AS2112" s="1942"/>
      <c r="AT2112" s="1942"/>
      <c r="AU2112" s="1942"/>
      <c r="AV2112" s="1942"/>
      <c r="AW2112" s="1942"/>
      <c r="AX2112" s="1942"/>
      <c r="AY2112" s="1942"/>
      <c r="AZ2112" s="1942"/>
      <c r="BA2112" s="1942"/>
      <c r="BB2112" s="575"/>
      <c r="BC2112" s="576"/>
      <c r="BD2112" s="678"/>
      <c r="BE2112" s="585"/>
    </row>
    <row r="2113" spans="1:57" s="51" customFormat="1" ht="15" hidden="1" customHeight="1" outlineLevel="1" x14ac:dyDescent="0.25">
      <c r="A2113" s="1267"/>
      <c r="B2113" s="123"/>
      <c r="C2113" s="328"/>
      <c r="D2113" s="3990"/>
      <c r="E2113" s="4009"/>
      <c r="F2113" s="3010" t="str">
        <f>$E$1657</f>
        <v>ASHP-SEER18-Replace_CAC_ElectricHeat_ER1_MF_CompE</v>
      </c>
      <c r="G2113" s="2676"/>
      <c r="H2113" s="2676"/>
      <c r="I2113" s="2677"/>
      <c r="J2113" s="3298" t="str">
        <f>$C$1657</f>
        <v>354301_2021_12_</v>
      </c>
      <c r="K2113" s="2857">
        <v>510</v>
      </c>
      <c r="L2113" s="851"/>
      <c r="M2113" s="1595" t="s">
        <v>1558</v>
      </c>
      <c r="N2113" s="123"/>
      <c r="O2113" s="228"/>
      <c r="P2113" s="228"/>
      <c r="Q2113" s="228"/>
      <c r="R2113" s="228"/>
      <c r="S2113" s="123"/>
      <c r="T2113" s="123"/>
      <c r="U2113" s="123"/>
      <c r="V2113" s="3990"/>
      <c r="W2113" s="2857"/>
      <c r="X2113" s="3155"/>
      <c r="Y2113" s="3155">
        <v>510</v>
      </c>
      <c r="Z2113" s="2857">
        <v>510</v>
      </c>
      <c r="AA2113" s="2857">
        <v>510</v>
      </c>
      <c r="AB2113" s="2857">
        <v>510</v>
      </c>
      <c r="AC2113" s="2857">
        <v>510</v>
      </c>
      <c r="AD2113" s="2857"/>
      <c r="AE2113" s="2857"/>
      <c r="AF2113" s="2857"/>
      <c r="AG2113" s="2857"/>
      <c r="AH2113" s="1942"/>
      <c r="AI2113" s="1942"/>
      <c r="AJ2113" s="1942"/>
      <c r="AK2113" s="1942"/>
      <c r="AL2113" s="1942"/>
      <c r="AM2113" s="1942"/>
      <c r="AN2113" s="1942"/>
      <c r="AO2113" s="1942"/>
      <c r="AP2113" s="1942"/>
      <c r="AQ2113" s="1942"/>
      <c r="AR2113" s="1942"/>
      <c r="AS2113" s="1942"/>
      <c r="AT2113" s="1942"/>
      <c r="AU2113" s="1942"/>
      <c r="AV2113" s="1942"/>
      <c r="AW2113" s="1942"/>
      <c r="AX2113" s="1942"/>
      <c r="AY2113" s="1942"/>
      <c r="AZ2113" s="1942"/>
      <c r="BA2113" s="1942"/>
      <c r="BB2113" s="575"/>
      <c r="BC2113" s="576"/>
      <c r="BD2113" s="678"/>
      <c r="BE2113" s="585"/>
    </row>
    <row r="2114" spans="1:57" s="51" customFormat="1" ht="15" hidden="1" customHeight="1" outlineLevel="1" x14ac:dyDescent="0.25">
      <c r="A2114" s="1267"/>
      <c r="B2114" s="123"/>
      <c r="C2114" s="328"/>
      <c r="D2114" s="3990"/>
      <c r="E2114" s="4009"/>
      <c r="F2114" s="3010" t="str">
        <f>$E$1659</f>
        <v>ASHP-SEER18-Replace_CAC_ElectricHeat_ER2_MF_CompE</v>
      </c>
      <c r="G2114" s="2676"/>
      <c r="H2114" s="2676"/>
      <c r="I2114" s="2677"/>
      <c r="J2114" s="3298" t="str">
        <f>$C$1659</f>
        <v>354301_2021_12_</v>
      </c>
      <c r="K2114" s="2857">
        <v>510</v>
      </c>
      <c r="L2114" s="851"/>
      <c r="M2114" s="1595" t="s">
        <v>1558</v>
      </c>
      <c r="N2114" s="123"/>
      <c r="O2114" s="228"/>
      <c r="P2114" s="228"/>
      <c r="Q2114" s="228"/>
      <c r="R2114" s="228"/>
      <c r="S2114" s="123"/>
      <c r="T2114" s="123"/>
      <c r="U2114" s="123"/>
      <c r="V2114" s="3990"/>
      <c r="W2114" s="2857"/>
      <c r="X2114" s="3155"/>
      <c r="Y2114" s="3155">
        <v>510</v>
      </c>
      <c r="Z2114" s="2857">
        <v>510</v>
      </c>
      <c r="AA2114" s="2857">
        <v>510</v>
      </c>
      <c r="AB2114" s="2857">
        <v>510</v>
      </c>
      <c r="AC2114" s="2857">
        <v>510</v>
      </c>
      <c r="AD2114" s="2857"/>
      <c r="AE2114" s="2857"/>
      <c r="AF2114" s="2857"/>
      <c r="AG2114" s="2857"/>
      <c r="AH2114" s="1942"/>
      <c r="AI2114" s="1942"/>
      <c r="AJ2114" s="1942"/>
      <c r="AK2114" s="1942"/>
      <c r="AL2114" s="1942"/>
      <c r="AM2114" s="1942"/>
      <c r="AN2114" s="1942"/>
      <c r="AO2114" s="1942"/>
      <c r="AP2114" s="1942"/>
      <c r="AQ2114" s="1942"/>
      <c r="AR2114" s="1942"/>
      <c r="AS2114" s="1942"/>
      <c r="AT2114" s="1942"/>
      <c r="AU2114" s="1942"/>
      <c r="AV2114" s="1942"/>
      <c r="AW2114" s="1942"/>
      <c r="AX2114" s="1942"/>
      <c r="AY2114" s="1942"/>
      <c r="AZ2114" s="1942"/>
      <c r="BA2114" s="1942"/>
      <c r="BB2114" s="575"/>
      <c r="BC2114" s="576"/>
      <c r="BD2114" s="678"/>
      <c r="BE2114" s="585"/>
    </row>
    <row r="2115" spans="1:57" s="1942" customFormat="1" ht="15" hidden="1" customHeight="1" outlineLevel="1" x14ac:dyDescent="0.25">
      <c r="A2115" s="1267"/>
      <c r="B2115" s="123"/>
      <c r="C2115" s="328"/>
      <c r="D2115" s="3990"/>
      <c r="E2115" s="4009"/>
      <c r="F2115" s="3010" t="str">
        <f>$E$1661</f>
        <v>ASHP-SEER18-Replace_CAC_NonElectricHeat_ER1_MF</v>
      </c>
      <c r="G2115" s="2676"/>
      <c r="H2115" s="2676"/>
      <c r="I2115" s="2677"/>
      <c r="J2115" s="3298" t="str">
        <f>$C$1661</f>
        <v>354310_2021_12_</v>
      </c>
      <c r="K2115" s="2225">
        <v>1496</v>
      </c>
      <c r="L2115" s="851"/>
      <c r="M2115" s="1595"/>
      <c r="N2115" s="123"/>
      <c r="O2115" s="228"/>
      <c r="P2115" s="228"/>
      <c r="Q2115" s="228"/>
      <c r="R2115" s="228"/>
      <c r="S2115" s="123"/>
      <c r="T2115" s="123"/>
      <c r="U2115" s="123"/>
      <c r="V2115" s="3990"/>
      <c r="W2115" s="2857"/>
      <c r="X2115" s="3155"/>
      <c r="Y2115" s="3155"/>
      <c r="Z2115" s="2857"/>
      <c r="AA2115" s="2857"/>
      <c r="AB2115" s="2857"/>
      <c r="AC2115" s="2225">
        <v>1496</v>
      </c>
      <c r="AD2115" s="2857"/>
      <c r="AE2115" s="2857"/>
      <c r="AF2115" s="2857"/>
      <c r="AG2115" s="2857"/>
      <c r="BB2115" s="575"/>
      <c r="BC2115" s="576"/>
      <c r="BD2115" s="678"/>
      <c r="BE2115" s="585"/>
    </row>
    <row r="2116" spans="1:57" s="1942" customFormat="1" ht="15" hidden="1" customHeight="1" outlineLevel="1" x14ac:dyDescent="0.25">
      <c r="A2116" s="1267"/>
      <c r="B2116" s="123"/>
      <c r="C2116" s="328"/>
      <c r="D2116" s="3990"/>
      <c r="E2116" s="4009"/>
      <c r="F2116" s="3010" t="str">
        <f>$E$1663</f>
        <v>ASHP-SEER18-Replace_CAC_NonElectricHeat_ER2_MF</v>
      </c>
      <c r="G2116" s="2676"/>
      <c r="H2116" s="2676"/>
      <c r="I2116" s="2677"/>
      <c r="J2116" s="3298" t="str">
        <f>$C$1663</f>
        <v>354310_2021_12_</v>
      </c>
      <c r="K2116" s="2225">
        <v>1496</v>
      </c>
      <c r="L2116" s="851"/>
      <c r="M2116" s="1595"/>
      <c r="N2116" s="123"/>
      <c r="O2116" s="228"/>
      <c r="P2116" s="228"/>
      <c r="Q2116" s="228"/>
      <c r="R2116" s="228"/>
      <c r="S2116" s="123"/>
      <c r="T2116" s="123"/>
      <c r="U2116" s="123"/>
      <c r="V2116" s="3990"/>
      <c r="W2116" s="2857"/>
      <c r="X2116" s="3155"/>
      <c r="Y2116" s="3155"/>
      <c r="Z2116" s="2857"/>
      <c r="AA2116" s="2857"/>
      <c r="AB2116" s="2857"/>
      <c r="AC2116" s="2225">
        <v>1496</v>
      </c>
      <c r="AD2116" s="2857"/>
      <c r="AE2116" s="2857"/>
      <c r="AF2116" s="2857"/>
      <c r="AG2116" s="2857"/>
      <c r="BB2116" s="575"/>
      <c r="BC2116" s="576"/>
      <c r="BD2116" s="678"/>
      <c r="BE2116" s="585"/>
    </row>
    <row r="2117" spans="1:57" s="1942" customFormat="1" ht="15" hidden="1" customHeight="1" outlineLevel="1" x14ac:dyDescent="0.25">
      <c r="A2117" s="1267"/>
      <c r="B2117" s="123"/>
      <c r="C2117" s="328"/>
      <c r="D2117" s="3990"/>
      <c r="E2117" s="4009"/>
      <c r="F2117" s="3010" t="str">
        <f>$E$1665</f>
        <v>ASHP-SEER18-Replace_CAC_NonElectricHeat_ER1_MF_CompE</v>
      </c>
      <c r="G2117" s="2676"/>
      <c r="H2117" s="2676"/>
      <c r="I2117" s="2677"/>
      <c r="J2117" s="3298" t="str">
        <f>$C$1665</f>
        <v>354311_2021_12_</v>
      </c>
      <c r="K2117" s="2225">
        <v>510</v>
      </c>
      <c r="L2117" s="851"/>
      <c r="M2117" s="1595"/>
      <c r="N2117" s="123"/>
      <c r="O2117" s="228"/>
      <c r="P2117" s="228"/>
      <c r="Q2117" s="228"/>
      <c r="R2117" s="228"/>
      <c r="S2117" s="123"/>
      <c r="T2117" s="123"/>
      <c r="U2117" s="123"/>
      <c r="V2117" s="3990"/>
      <c r="W2117" s="2857"/>
      <c r="X2117" s="3155"/>
      <c r="Y2117" s="3155"/>
      <c r="Z2117" s="2857"/>
      <c r="AA2117" s="2857"/>
      <c r="AB2117" s="2857"/>
      <c r="AC2117" s="2225">
        <v>510</v>
      </c>
      <c r="AD2117" s="2857"/>
      <c r="AE2117" s="2857"/>
      <c r="AF2117" s="2857"/>
      <c r="AG2117" s="2857"/>
      <c r="BB2117" s="575"/>
      <c r="BC2117" s="576"/>
      <c r="BD2117" s="678"/>
      <c r="BE2117" s="585"/>
    </row>
    <row r="2118" spans="1:57" s="1942" customFormat="1" ht="15" hidden="1" customHeight="1" outlineLevel="1" x14ac:dyDescent="0.25">
      <c r="A2118" s="1267"/>
      <c r="B2118" s="123"/>
      <c r="C2118" s="328"/>
      <c r="D2118" s="3990"/>
      <c r="E2118" s="4009"/>
      <c r="F2118" s="3010" t="str">
        <f>$E$1667</f>
        <v>ASHP-SEER18-Replace_CAC_NonElectricHeat_ER2_MF_CompE</v>
      </c>
      <c r="G2118" s="2676"/>
      <c r="H2118" s="2676"/>
      <c r="I2118" s="2677"/>
      <c r="J2118" s="3298" t="str">
        <f>$C$1667</f>
        <v>354311_2021_12_</v>
      </c>
      <c r="K2118" s="2225">
        <v>510</v>
      </c>
      <c r="L2118" s="851"/>
      <c r="M2118" s="1595"/>
      <c r="N2118" s="123"/>
      <c r="O2118" s="228"/>
      <c r="P2118" s="228"/>
      <c r="Q2118" s="228"/>
      <c r="R2118" s="228"/>
      <c r="S2118" s="123"/>
      <c r="T2118" s="123"/>
      <c r="U2118" s="123"/>
      <c r="V2118" s="3990"/>
      <c r="W2118" s="2857"/>
      <c r="X2118" s="3155"/>
      <c r="Y2118" s="3155"/>
      <c r="Z2118" s="2857"/>
      <c r="AA2118" s="2857"/>
      <c r="AB2118" s="2857"/>
      <c r="AC2118" s="2225">
        <v>510</v>
      </c>
      <c r="AD2118" s="2857"/>
      <c r="AE2118" s="2857"/>
      <c r="AF2118" s="2857"/>
      <c r="AG2118" s="2857"/>
      <c r="BB2118" s="575"/>
      <c r="BC2118" s="576"/>
      <c r="BD2118" s="678"/>
      <c r="BE2118" s="585"/>
    </row>
    <row r="2119" spans="1:57" s="51" customFormat="1" ht="15" hidden="1" customHeight="1" outlineLevel="1" x14ac:dyDescent="0.25">
      <c r="A2119" s="1267"/>
      <c r="B2119" s="123"/>
      <c r="C2119" s="328"/>
      <c r="D2119" s="3990"/>
      <c r="E2119" s="4009"/>
      <c r="F2119" s="3010" t="str">
        <f>$E$1669</f>
        <v>ASHP-SEER18_ER1_MF</v>
      </c>
      <c r="G2119" s="2676"/>
      <c r="H2119" s="2676"/>
      <c r="I2119" s="2677"/>
      <c r="J2119" s="3298" t="str">
        <f>$C$1669</f>
        <v>354350_2021_12_</v>
      </c>
      <c r="K2119" s="2857">
        <v>1496</v>
      </c>
      <c r="L2119" s="851"/>
      <c r="M2119" s="1595"/>
      <c r="N2119" s="123"/>
      <c r="O2119" s="228"/>
      <c r="P2119" s="228"/>
      <c r="Q2119" s="228"/>
      <c r="R2119" s="228"/>
      <c r="S2119" s="123"/>
      <c r="T2119" s="123"/>
      <c r="U2119" s="123"/>
      <c r="V2119" s="3990"/>
      <c r="W2119" s="2857">
        <v>2009</v>
      </c>
      <c r="X2119" s="3155">
        <v>1496</v>
      </c>
      <c r="Y2119" s="2857">
        <v>1496</v>
      </c>
      <c r="Z2119" s="2857">
        <v>1496</v>
      </c>
      <c r="AA2119" s="2857">
        <v>1496</v>
      </c>
      <c r="AB2119" s="2857">
        <v>1496</v>
      </c>
      <c r="AC2119" s="2857">
        <v>1496</v>
      </c>
      <c r="AD2119" s="2857"/>
      <c r="AE2119" s="2857"/>
      <c r="AF2119" s="2857"/>
      <c r="AG2119" s="2857"/>
      <c r="AH2119" s="1942"/>
      <c r="AI2119" s="1942"/>
      <c r="AJ2119" s="1942"/>
      <c r="AK2119" s="1942"/>
      <c r="AL2119" s="1942"/>
      <c r="AM2119" s="1942"/>
      <c r="AN2119" s="1942"/>
      <c r="AO2119" s="1942"/>
      <c r="AP2119" s="1942"/>
      <c r="AQ2119" s="1942"/>
      <c r="AR2119" s="1942"/>
      <c r="AS2119" s="1942"/>
      <c r="AT2119" s="1942"/>
      <c r="AU2119" s="1942"/>
      <c r="AV2119" s="1942"/>
      <c r="AW2119" s="1942"/>
      <c r="AX2119" s="1942"/>
      <c r="AY2119" s="1942"/>
      <c r="AZ2119" s="1942"/>
      <c r="BA2119" s="1942"/>
      <c r="BB2119" s="575"/>
      <c r="BC2119" s="576"/>
      <c r="BD2119" s="678"/>
      <c r="BE2119" s="585"/>
    </row>
    <row r="2120" spans="1:57" s="51" customFormat="1" ht="15" hidden="1" customHeight="1" outlineLevel="1" x14ac:dyDescent="0.25">
      <c r="A2120" s="1267"/>
      <c r="B2120" s="123"/>
      <c r="C2120" s="328"/>
      <c r="D2120" s="3990"/>
      <c r="E2120" s="4009"/>
      <c r="F2120" s="3010" t="str">
        <f>$E$1671</f>
        <v>ASHP-SEER18_ER2_MF</v>
      </c>
      <c r="G2120" s="2676"/>
      <c r="H2120" s="2676"/>
      <c r="I2120" s="2677"/>
      <c r="J2120" s="3298" t="str">
        <f>$C$1671</f>
        <v>354350_2021_12_</v>
      </c>
      <c r="K2120" s="2857">
        <v>1496</v>
      </c>
      <c r="L2120" s="851"/>
      <c r="M2120" s="1595"/>
      <c r="N2120" s="123"/>
      <c r="O2120" s="228"/>
      <c r="P2120" s="228"/>
      <c r="Q2120" s="228"/>
      <c r="R2120" s="228"/>
      <c r="S2120" s="123"/>
      <c r="T2120" s="123"/>
      <c r="U2120" s="123"/>
      <c r="V2120" s="3990"/>
      <c r="W2120" s="2857">
        <v>2009</v>
      </c>
      <c r="X2120" s="3155">
        <v>1496</v>
      </c>
      <c r="Y2120" s="2857">
        <v>1496</v>
      </c>
      <c r="Z2120" s="2857">
        <v>1496</v>
      </c>
      <c r="AA2120" s="2857">
        <v>1496</v>
      </c>
      <c r="AB2120" s="2857">
        <v>1496</v>
      </c>
      <c r="AC2120" s="2857">
        <v>1496</v>
      </c>
      <c r="AD2120" s="2857"/>
      <c r="AE2120" s="2857"/>
      <c r="AF2120" s="2857"/>
      <c r="AG2120" s="2857"/>
      <c r="AH2120" s="1942"/>
      <c r="AI2120" s="1942"/>
      <c r="AJ2120" s="1942"/>
      <c r="AK2120" s="1942"/>
      <c r="AL2120" s="1942"/>
      <c r="AM2120" s="1942"/>
      <c r="AN2120" s="1942"/>
      <c r="AO2120" s="1942"/>
      <c r="AP2120" s="1942"/>
      <c r="AQ2120" s="1942"/>
      <c r="AR2120" s="1942"/>
      <c r="AS2120" s="1942"/>
      <c r="AT2120" s="1942"/>
      <c r="AU2120" s="1942"/>
      <c r="AV2120" s="1942"/>
      <c r="AW2120" s="1942"/>
      <c r="AX2120" s="1942"/>
      <c r="AY2120" s="1942"/>
      <c r="AZ2120" s="1942"/>
      <c r="BA2120" s="1942"/>
      <c r="BB2120" s="575"/>
      <c r="BC2120" s="576"/>
      <c r="BD2120" s="678"/>
      <c r="BE2120" s="585"/>
    </row>
    <row r="2121" spans="1:57" s="51" customFormat="1" ht="15" hidden="1" customHeight="1" outlineLevel="1" x14ac:dyDescent="0.25">
      <c r="A2121" s="1267"/>
      <c r="B2121" s="123"/>
      <c r="C2121" s="328"/>
      <c r="D2121" s="3990"/>
      <c r="E2121" s="4009"/>
      <c r="F2121" s="3010" t="str">
        <f>$E$1673</f>
        <v>ASHP-SEER18_ER1_MF_CompE</v>
      </c>
      <c r="G2121" s="2676"/>
      <c r="H2121" s="2676"/>
      <c r="I2121" s="2677"/>
      <c r="J2121" s="3298" t="str">
        <f>$C$1673</f>
        <v>354351_2021_12_</v>
      </c>
      <c r="K2121" s="2857">
        <v>510</v>
      </c>
      <c r="L2121" s="851"/>
      <c r="M2121" s="1595" t="s">
        <v>1558</v>
      </c>
      <c r="N2121" s="123"/>
      <c r="O2121" s="228"/>
      <c r="P2121" s="228"/>
      <c r="Q2121" s="228"/>
      <c r="R2121" s="228"/>
      <c r="S2121" s="123"/>
      <c r="T2121" s="123"/>
      <c r="U2121" s="123"/>
      <c r="V2121" s="3990"/>
      <c r="W2121" s="2857"/>
      <c r="X2121" s="3155"/>
      <c r="Y2121" s="3155">
        <v>510</v>
      </c>
      <c r="Z2121" s="2857">
        <v>510</v>
      </c>
      <c r="AA2121" s="2857">
        <v>510</v>
      </c>
      <c r="AB2121" s="2857">
        <v>510</v>
      </c>
      <c r="AC2121" s="2857">
        <v>510</v>
      </c>
      <c r="AD2121" s="2857"/>
      <c r="AE2121" s="2857"/>
      <c r="AF2121" s="2857"/>
      <c r="AG2121" s="2857"/>
      <c r="AH2121" s="1942"/>
      <c r="AI2121" s="1942"/>
      <c r="AJ2121" s="1942"/>
      <c r="AK2121" s="1942"/>
      <c r="AL2121" s="1942"/>
      <c r="AM2121" s="1942"/>
      <c r="AN2121" s="1942"/>
      <c r="AO2121" s="1942"/>
      <c r="AP2121" s="1942"/>
      <c r="AQ2121" s="1942"/>
      <c r="AR2121" s="1942"/>
      <c r="AS2121" s="1942"/>
      <c r="AT2121" s="1942"/>
      <c r="AU2121" s="1942"/>
      <c r="AV2121" s="1942"/>
      <c r="AW2121" s="1942"/>
      <c r="AX2121" s="1942"/>
      <c r="AY2121" s="1942"/>
      <c r="AZ2121" s="1942"/>
      <c r="BA2121" s="1942"/>
      <c r="BB2121" s="575"/>
      <c r="BC2121" s="576"/>
      <c r="BD2121" s="678"/>
      <c r="BE2121" s="585"/>
    </row>
    <row r="2122" spans="1:57" s="51" customFormat="1" ht="15" hidden="1" customHeight="1" outlineLevel="1" x14ac:dyDescent="0.25">
      <c r="A2122" s="1267"/>
      <c r="B2122" s="123"/>
      <c r="C2122" s="328"/>
      <c r="D2122" s="3990"/>
      <c r="E2122" s="4009"/>
      <c r="F2122" s="3010" t="str">
        <f>$E$1675</f>
        <v>ASHP-SEER18_ER2_MF_CompE</v>
      </c>
      <c r="G2122" s="2676"/>
      <c r="H2122" s="2676"/>
      <c r="I2122" s="2677"/>
      <c r="J2122" s="3298" t="str">
        <f>$C$1675</f>
        <v>354351_2021_12_</v>
      </c>
      <c r="K2122" s="2857">
        <v>510</v>
      </c>
      <c r="L2122" s="851"/>
      <c r="M2122" s="1595" t="s">
        <v>1558</v>
      </c>
      <c r="N2122" s="123"/>
      <c r="O2122" s="228"/>
      <c r="P2122" s="228"/>
      <c r="Q2122" s="228"/>
      <c r="R2122" s="228"/>
      <c r="S2122" s="123"/>
      <c r="T2122" s="123"/>
      <c r="U2122" s="123"/>
      <c r="V2122" s="3990"/>
      <c r="W2122" s="2857"/>
      <c r="X2122" s="3155"/>
      <c r="Y2122" s="3155">
        <v>510</v>
      </c>
      <c r="Z2122" s="2857">
        <v>510</v>
      </c>
      <c r="AA2122" s="2857">
        <v>510</v>
      </c>
      <c r="AB2122" s="2857">
        <v>510</v>
      </c>
      <c r="AC2122" s="2857">
        <v>510</v>
      </c>
      <c r="AD2122" s="2857"/>
      <c r="AE2122" s="2857"/>
      <c r="AF2122" s="2857"/>
      <c r="AG2122" s="2857"/>
      <c r="AH2122" s="1942"/>
      <c r="AI2122" s="1942"/>
      <c r="AJ2122" s="1942"/>
      <c r="AK2122" s="1942"/>
      <c r="AL2122" s="1942"/>
      <c r="AM2122" s="1942"/>
      <c r="AN2122" s="1942"/>
      <c r="AO2122" s="1942"/>
      <c r="AP2122" s="1942"/>
      <c r="AQ2122" s="1942"/>
      <c r="AR2122" s="1942"/>
      <c r="AS2122" s="1942"/>
      <c r="AT2122" s="1942"/>
      <c r="AU2122" s="1942"/>
      <c r="AV2122" s="1942"/>
      <c r="AW2122" s="1942"/>
      <c r="AX2122" s="1942"/>
      <c r="AY2122" s="1942"/>
      <c r="AZ2122" s="1942"/>
      <c r="BA2122" s="1942"/>
      <c r="BB2122" s="575"/>
      <c r="BC2122" s="576"/>
      <c r="BD2122" s="678"/>
      <c r="BE2122" s="585"/>
    </row>
    <row r="2123" spans="1:57" s="51" customFormat="1" ht="15" hidden="1" customHeight="1" outlineLevel="1" x14ac:dyDescent="0.25">
      <c r="A2123" s="1267"/>
      <c r="B2123" s="123"/>
      <c r="C2123" s="328"/>
      <c r="D2123" s="3990"/>
      <c r="E2123" s="4009"/>
      <c r="F2123" s="3010" t="str">
        <f>$E$1677</f>
        <v>ASHP-SEER19-Replace_CAC_ElectricHeat_ER1_SF</v>
      </c>
      <c r="G2123" s="2676"/>
      <c r="H2123" s="2676"/>
      <c r="I2123" s="2677"/>
      <c r="J2123" s="3298" t="str">
        <f>$C$1677</f>
        <v>354400_2021_12_</v>
      </c>
      <c r="K2123" s="2857">
        <v>1496</v>
      </c>
      <c r="L2123" s="851"/>
      <c r="M2123" s="1595"/>
      <c r="N2123" s="123"/>
      <c r="O2123" s="228"/>
      <c r="P2123" s="228"/>
      <c r="Q2123" s="228"/>
      <c r="R2123" s="228"/>
      <c r="S2123" s="123"/>
      <c r="T2123" s="123"/>
      <c r="U2123" s="123"/>
      <c r="V2123" s="3990"/>
      <c r="W2123" s="2857">
        <v>2009</v>
      </c>
      <c r="X2123" s="3155">
        <v>1496</v>
      </c>
      <c r="Y2123" s="2857">
        <v>1496</v>
      </c>
      <c r="Z2123" s="2857">
        <v>1496</v>
      </c>
      <c r="AA2123" s="2857">
        <v>1496</v>
      </c>
      <c r="AB2123" s="2857">
        <v>1496</v>
      </c>
      <c r="AC2123" s="2857">
        <v>1496</v>
      </c>
      <c r="AD2123" s="2857"/>
      <c r="AE2123" s="2857"/>
      <c r="AF2123" s="2857"/>
      <c r="AG2123" s="2857"/>
      <c r="AH2123" s="1942"/>
      <c r="AI2123" s="1942"/>
      <c r="AJ2123" s="1942"/>
      <c r="AK2123" s="1942"/>
      <c r="AL2123" s="1942"/>
      <c r="AM2123" s="1942"/>
      <c r="AN2123" s="1942"/>
      <c r="AO2123" s="1942"/>
      <c r="AP2123" s="1942"/>
      <c r="AQ2123" s="1942"/>
      <c r="AR2123" s="1942"/>
      <c r="AS2123" s="1942"/>
      <c r="AT2123" s="1942"/>
      <c r="AU2123" s="1942"/>
      <c r="AV2123" s="1942"/>
      <c r="AW2123" s="1942"/>
      <c r="AX2123" s="1942"/>
      <c r="AY2123" s="1942"/>
      <c r="AZ2123" s="1942"/>
      <c r="BA2123" s="1942"/>
      <c r="BB2123" s="575"/>
      <c r="BC2123" s="576"/>
      <c r="BD2123" s="678"/>
      <c r="BE2123" s="585"/>
    </row>
    <row r="2124" spans="1:57" s="51" customFormat="1" ht="15" hidden="1" customHeight="1" outlineLevel="1" x14ac:dyDescent="0.25">
      <c r="A2124" s="1267"/>
      <c r="B2124" s="123"/>
      <c r="C2124" s="328"/>
      <c r="D2124" s="3990"/>
      <c r="E2124" s="4009"/>
      <c r="F2124" s="3010" t="str">
        <f>$E$1679</f>
        <v>ASHP-SEER19-Replace_CAC_ElectricHeat_ER2_SF</v>
      </c>
      <c r="G2124" s="2676"/>
      <c r="H2124" s="2676"/>
      <c r="I2124" s="2677"/>
      <c r="J2124" s="3298" t="str">
        <f>$C$1679</f>
        <v>354400_2021_12_</v>
      </c>
      <c r="K2124" s="2857">
        <v>1496</v>
      </c>
      <c r="L2124" s="851"/>
      <c r="M2124" s="1595"/>
      <c r="N2124" s="123"/>
      <c r="O2124" s="228"/>
      <c r="P2124" s="228"/>
      <c r="Q2124" s="228"/>
      <c r="R2124" s="228"/>
      <c r="S2124" s="123"/>
      <c r="T2124" s="123"/>
      <c r="U2124" s="123"/>
      <c r="V2124" s="3990"/>
      <c r="W2124" s="2857">
        <v>2009</v>
      </c>
      <c r="X2124" s="3155">
        <v>1496</v>
      </c>
      <c r="Y2124" s="2857">
        <v>1496</v>
      </c>
      <c r="Z2124" s="2857">
        <v>1496</v>
      </c>
      <c r="AA2124" s="2857">
        <v>1496</v>
      </c>
      <c r="AB2124" s="2857">
        <v>1496</v>
      </c>
      <c r="AC2124" s="2857">
        <v>1496</v>
      </c>
      <c r="AD2124" s="2857"/>
      <c r="AE2124" s="2857"/>
      <c r="AF2124" s="2857"/>
      <c r="AG2124" s="2857"/>
      <c r="AH2124" s="1942"/>
      <c r="AI2124" s="1942"/>
      <c r="AJ2124" s="1942"/>
      <c r="AK2124" s="1942"/>
      <c r="AL2124" s="1942"/>
      <c r="AM2124" s="1942"/>
      <c r="AN2124" s="1942"/>
      <c r="AO2124" s="1942"/>
      <c r="AP2124" s="1942"/>
      <c r="AQ2124" s="1942"/>
      <c r="AR2124" s="1942"/>
      <c r="AS2124" s="1942"/>
      <c r="AT2124" s="1942"/>
      <c r="AU2124" s="1942"/>
      <c r="AV2124" s="1942"/>
      <c r="AW2124" s="1942"/>
      <c r="AX2124" s="1942"/>
      <c r="AY2124" s="1942"/>
      <c r="AZ2124" s="1942"/>
      <c r="BA2124" s="1942"/>
      <c r="BB2124" s="575"/>
      <c r="BC2124" s="576"/>
      <c r="BD2124" s="678"/>
      <c r="BE2124" s="585"/>
    </row>
    <row r="2125" spans="1:57" s="1942" customFormat="1" ht="15" hidden="1" customHeight="1" outlineLevel="1" x14ac:dyDescent="0.25">
      <c r="A2125" s="1267"/>
      <c r="B2125" s="123"/>
      <c r="C2125" s="328"/>
      <c r="D2125" s="3990"/>
      <c r="E2125" s="4009"/>
      <c r="F2125" s="3010" t="str">
        <f>$E$1681</f>
        <v>ASHP-SEER19-Replace_CAC_NonElectricHeat_ER1_SF</v>
      </c>
      <c r="G2125" s="2676"/>
      <c r="H2125" s="2676"/>
      <c r="I2125" s="2677"/>
      <c r="J2125" s="3298" t="str">
        <f>$C$1681</f>
        <v>354410_2021_12_</v>
      </c>
      <c r="K2125" s="2225">
        <v>1496</v>
      </c>
      <c r="L2125" s="851"/>
      <c r="M2125" s="1595"/>
      <c r="N2125" s="123"/>
      <c r="O2125" s="228"/>
      <c r="P2125" s="228"/>
      <c r="Q2125" s="228"/>
      <c r="R2125" s="228"/>
      <c r="S2125" s="123"/>
      <c r="T2125" s="123"/>
      <c r="U2125" s="123"/>
      <c r="V2125" s="3990"/>
      <c r="W2125" s="2857"/>
      <c r="X2125" s="3155"/>
      <c r="Y2125" s="2857"/>
      <c r="Z2125" s="2857"/>
      <c r="AA2125" s="2857"/>
      <c r="AB2125" s="2857"/>
      <c r="AC2125" s="2225">
        <v>1496</v>
      </c>
      <c r="AD2125" s="2857"/>
      <c r="AE2125" s="2857"/>
      <c r="AF2125" s="2857"/>
      <c r="AG2125" s="2857"/>
      <c r="BB2125" s="575"/>
      <c r="BC2125" s="576"/>
      <c r="BD2125" s="678"/>
      <c r="BE2125" s="585"/>
    </row>
    <row r="2126" spans="1:57" s="1942" customFormat="1" ht="15" hidden="1" customHeight="1" outlineLevel="1" x14ac:dyDescent="0.25">
      <c r="A2126" s="1267"/>
      <c r="B2126" s="123"/>
      <c r="C2126" s="328"/>
      <c r="D2126" s="3990"/>
      <c r="E2126" s="4009"/>
      <c r="F2126" s="3010" t="str">
        <f>$E$1683</f>
        <v>ASHP-SEER19-Replace_CAC_NonElectricHeat_ER2_SF</v>
      </c>
      <c r="G2126" s="2676"/>
      <c r="H2126" s="2676"/>
      <c r="I2126" s="2677"/>
      <c r="J2126" s="3298" t="str">
        <f>$C$1683</f>
        <v>354410_2021_12_</v>
      </c>
      <c r="K2126" s="2225">
        <v>1496</v>
      </c>
      <c r="L2126" s="851"/>
      <c r="M2126" s="1595"/>
      <c r="N2126" s="123"/>
      <c r="O2126" s="228"/>
      <c r="P2126" s="228"/>
      <c r="Q2126" s="228"/>
      <c r="R2126" s="228"/>
      <c r="S2126" s="123"/>
      <c r="T2126" s="123"/>
      <c r="U2126" s="123"/>
      <c r="V2126" s="3990"/>
      <c r="W2126" s="2857"/>
      <c r="X2126" s="3155"/>
      <c r="Y2126" s="2857"/>
      <c r="Z2126" s="2857"/>
      <c r="AA2126" s="2857"/>
      <c r="AB2126" s="2857"/>
      <c r="AC2126" s="2225">
        <v>1496</v>
      </c>
      <c r="AD2126" s="2857"/>
      <c r="AE2126" s="2857"/>
      <c r="AF2126" s="2857"/>
      <c r="AG2126" s="2857"/>
      <c r="BB2126" s="575"/>
      <c r="BC2126" s="576"/>
      <c r="BD2126" s="678"/>
      <c r="BE2126" s="585"/>
    </row>
    <row r="2127" spans="1:57" s="51" customFormat="1" ht="15" hidden="1" customHeight="1" outlineLevel="1" x14ac:dyDescent="0.25">
      <c r="A2127" s="1267"/>
      <c r="B2127" s="123"/>
      <c r="C2127" s="328"/>
      <c r="D2127" s="3990"/>
      <c r="E2127" s="4009"/>
      <c r="F2127" s="3010" t="str">
        <f>$E$1685</f>
        <v>ASHP-SEER19-Replace_CAC_ElectricHeat_ER1_MF</v>
      </c>
      <c r="G2127" s="2676"/>
      <c r="H2127" s="2676"/>
      <c r="I2127" s="2677"/>
      <c r="J2127" s="3299" t="str">
        <f>$C$1685</f>
        <v>354450_2019_12_</v>
      </c>
      <c r="K2127" s="2857">
        <v>1496</v>
      </c>
      <c r="L2127" s="851"/>
      <c r="M2127" s="1595"/>
      <c r="N2127" s="123"/>
      <c r="O2127" s="228"/>
      <c r="P2127" s="228"/>
      <c r="Q2127" s="228"/>
      <c r="R2127" s="228"/>
      <c r="S2127" s="123"/>
      <c r="T2127" s="123"/>
      <c r="U2127" s="123"/>
      <c r="V2127" s="3990"/>
      <c r="W2127" s="2857">
        <v>2009</v>
      </c>
      <c r="X2127" s="3155">
        <v>1496</v>
      </c>
      <c r="Y2127" s="2857">
        <v>1496</v>
      </c>
      <c r="Z2127" s="2857">
        <v>1496</v>
      </c>
      <c r="AA2127" s="2857">
        <v>1496</v>
      </c>
      <c r="AB2127" s="2857">
        <v>1496</v>
      </c>
      <c r="AC2127" s="2857">
        <v>1496</v>
      </c>
      <c r="AD2127" s="2857"/>
      <c r="AE2127" s="2857"/>
      <c r="AF2127" s="2857"/>
      <c r="AG2127" s="2857"/>
      <c r="AH2127" s="1942"/>
      <c r="AI2127" s="1942"/>
      <c r="AJ2127" s="1942"/>
      <c r="AK2127" s="1942"/>
      <c r="AL2127" s="1942"/>
      <c r="AM2127" s="1942"/>
      <c r="AN2127" s="1942"/>
      <c r="AO2127" s="1942"/>
      <c r="AP2127" s="1942"/>
      <c r="AQ2127" s="1942"/>
      <c r="AR2127" s="1942"/>
      <c r="AS2127" s="1942"/>
      <c r="AT2127" s="1942"/>
      <c r="AU2127" s="1942"/>
      <c r="AV2127" s="1942"/>
      <c r="AW2127" s="1942"/>
      <c r="AX2127" s="1942"/>
      <c r="AY2127" s="1942"/>
      <c r="AZ2127" s="1942"/>
      <c r="BA2127" s="1942"/>
      <c r="BB2127" s="575"/>
      <c r="BC2127" s="576"/>
      <c r="BD2127" s="678"/>
      <c r="BE2127" s="585"/>
    </row>
    <row r="2128" spans="1:57" s="51" customFormat="1" ht="15" hidden="1" customHeight="1" outlineLevel="1" x14ac:dyDescent="0.25">
      <c r="A2128" s="1267"/>
      <c r="B2128" s="123"/>
      <c r="C2128" s="328"/>
      <c r="D2128" s="3990"/>
      <c r="E2128" s="4009"/>
      <c r="F2128" s="3010" t="str">
        <f>$E$1687</f>
        <v>ASHP-SEER19-Replace_CAC_ElectricHeat_ER2_MF</v>
      </c>
      <c r="G2128" s="2676"/>
      <c r="H2128" s="2676"/>
      <c r="I2128" s="2677"/>
      <c r="J2128" s="3299" t="str">
        <f>$C$1687</f>
        <v>354450_2019_12_</v>
      </c>
      <c r="K2128" s="2857">
        <v>1496</v>
      </c>
      <c r="L2128" s="851"/>
      <c r="M2128" s="1595"/>
      <c r="N2128" s="123"/>
      <c r="O2128" s="228"/>
      <c r="P2128" s="228"/>
      <c r="Q2128" s="228"/>
      <c r="R2128" s="228"/>
      <c r="S2128" s="123"/>
      <c r="T2128" s="123"/>
      <c r="U2128" s="123"/>
      <c r="V2128" s="3990"/>
      <c r="W2128" s="2857">
        <v>2009</v>
      </c>
      <c r="X2128" s="3155">
        <v>1496</v>
      </c>
      <c r="Y2128" s="2857">
        <v>1496</v>
      </c>
      <c r="Z2128" s="2857">
        <v>1496</v>
      </c>
      <c r="AA2128" s="2857">
        <v>1496</v>
      </c>
      <c r="AB2128" s="2857">
        <v>1496</v>
      </c>
      <c r="AC2128" s="2857">
        <v>1496</v>
      </c>
      <c r="AD2128" s="2857"/>
      <c r="AE2128" s="2857"/>
      <c r="AF2128" s="2857"/>
      <c r="AG2128" s="2857"/>
      <c r="AH2128" s="1942"/>
      <c r="AI2128" s="1942"/>
      <c r="AJ2128" s="1942"/>
      <c r="AK2128" s="1942"/>
      <c r="AL2128" s="1942"/>
      <c r="AM2128" s="1942"/>
      <c r="AN2128" s="1942"/>
      <c r="AO2128" s="1942"/>
      <c r="AP2128" s="1942"/>
      <c r="AQ2128" s="1942"/>
      <c r="AR2128" s="1942"/>
      <c r="AS2128" s="1942"/>
      <c r="AT2128" s="1942"/>
      <c r="AU2128" s="1942"/>
      <c r="AV2128" s="1942"/>
      <c r="AW2128" s="1942"/>
      <c r="AX2128" s="1942"/>
      <c r="AY2128" s="1942"/>
      <c r="AZ2128" s="1942"/>
      <c r="BA2128" s="1942"/>
      <c r="BB2128" s="575"/>
      <c r="BC2128" s="576"/>
      <c r="BD2128" s="678"/>
      <c r="BE2128" s="585"/>
    </row>
    <row r="2129" spans="1:57" s="51" customFormat="1" ht="15" hidden="1" customHeight="1" outlineLevel="1" x14ac:dyDescent="0.25">
      <c r="A2129" s="1267"/>
      <c r="B2129" s="123"/>
      <c r="C2129" s="328"/>
      <c r="D2129" s="3990"/>
      <c r="E2129" s="4009"/>
      <c r="F2129" s="3010" t="str">
        <f>$E$1689</f>
        <v>ASHP-SEER19-Replace_CAC_ElectricHeat_ER1_MF_CompE</v>
      </c>
      <c r="G2129" s="2676"/>
      <c r="H2129" s="2676"/>
      <c r="I2129" s="2677"/>
      <c r="J2129" s="3299" t="str">
        <f>$C$1689</f>
        <v>354451_2019_12_</v>
      </c>
      <c r="K2129" s="2857">
        <v>510</v>
      </c>
      <c r="L2129" s="851"/>
      <c r="M2129" s="1595" t="s">
        <v>1558</v>
      </c>
      <c r="N2129" s="123"/>
      <c r="O2129" s="228"/>
      <c r="P2129" s="228"/>
      <c r="Q2129" s="228"/>
      <c r="R2129" s="228"/>
      <c r="S2129" s="123"/>
      <c r="T2129" s="123"/>
      <c r="U2129" s="123"/>
      <c r="V2129" s="3990"/>
      <c r="W2129" s="2857"/>
      <c r="X2129" s="3155"/>
      <c r="Y2129" s="3155">
        <v>510</v>
      </c>
      <c r="Z2129" s="2857">
        <v>510</v>
      </c>
      <c r="AA2129" s="2857">
        <v>510</v>
      </c>
      <c r="AB2129" s="2857">
        <v>510</v>
      </c>
      <c r="AC2129" s="2857">
        <v>510</v>
      </c>
      <c r="AD2129" s="2857"/>
      <c r="AE2129" s="2857"/>
      <c r="AF2129" s="2857"/>
      <c r="AG2129" s="2857"/>
      <c r="AH2129" s="1942"/>
      <c r="AI2129" s="1942"/>
      <c r="AJ2129" s="1942"/>
      <c r="AK2129" s="1942"/>
      <c r="AL2129" s="1942"/>
      <c r="AM2129" s="1942"/>
      <c r="AN2129" s="1942"/>
      <c r="AO2129" s="1942"/>
      <c r="AP2129" s="1942"/>
      <c r="AQ2129" s="1942"/>
      <c r="AR2129" s="1942"/>
      <c r="AS2129" s="1942"/>
      <c r="AT2129" s="1942"/>
      <c r="AU2129" s="1942"/>
      <c r="AV2129" s="1942"/>
      <c r="AW2129" s="1942"/>
      <c r="AX2129" s="1942"/>
      <c r="AY2129" s="1942"/>
      <c r="AZ2129" s="1942"/>
      <c r="BA2129" s="1942"/>
      <c r="BB2129" s="575"/>
      <c r="BC2129" s="576"/>
      <c r="BD2129" s="678"/>
      <c r="BE2129" s="585"/>
    </row>
    <row r="2130" spans="1:57" s="51" customFormat="1" ht="15" hidden="1" customHeight="1" outlineLevel="1" x14ac:dyDescent="0.25">
      <c r="A2130" s="1267"/>
      <c r="B2130" s="123"/>
      <c r="C2130" s="328"/>
      <c r="D2130" s="3990"/>
      <c r="E2130" s="4009"/>
      <c r="F2130" s="3010" t="str">
        <f>$E$1691</f>
        <v>ASHP-SEER19-Replace_CAC_ElectricHeat_ER2_MF_CompE</v>
      </c>
      <c r="G2130" s="2676"/>
      <c r="H2130" s="2676"/>
      <c r="I2130" s="2677"/>
      <c r="J2130" s="3299" t="str">
        <f>$C$1691</f>
        <v>354451_2019_12_</v>
      </c>
      <c r="K2130" s="2857">
        <v>510</v>
      </c>
      <c r="L2130" s="851"/>
      <c r="M2130" s="1595" t="s">
        <v>1558</v>
      </c>
      <c r="N2130" s="123"/>
      <c r="O2130" s="228"/>
      <c r="P2130" s="228"/>
      <c r="Q2130" s="228"/>
      <c r="R2130" s="228"/>
      <c r="S2130" s="123"/>
      <c r="T2130" s="123"/>
      <c r="U2130" s="123"/>
      <c r="V2130" s="3990"/>
      <c r="W2130" s="2857"/>
      <c r="X2130" s="3155"/>
      <c r="Y2130" s="3155">
        <v>510</v>
      </c>
      <c r="Z2130" s="2857">
        <v>510</v>
      </c>
      <c r="AA2130" s="2857">
        <v>510</v>
      </c>
      <c r="AB2130" s="2857">
        <v>510</v>
      </c>
      <c r="AC2130" s="2857">
        <v>510</v>
      </c>
      <c r="AD2130" s="2857"/>
      <c r="AE2130" s="2857"/>
      <c r="AF2130" s="2857"/>
      <c r="AG2130" s="2857"/>
      <c r="AH2130" s="1942"/>
      <c r="AI2130" s="1942"/>
      <c r="AJ2130" s="1942"/>
      <c r="AK2130" s="1942"/>
      <c r="AL2130" s="1942"/>
      <c r="AM2130" s="1942"/>
      <c r="AN2130" s="1942"/>
      <c r="AO2130" s="1942"/>
      <c r="AP2130" s="1942"/>
      <c r="AQ2130" s="1942"/>
      <c r="AR2130" s="1942"/>
      <c r="AS2130" s="1942"/>
      <c r="AT2130" s="1942"/>
      <c r="AU2130" s="1942"/>
      <c r="AV2130" s="1942"/>
      <c r="AW2130" s="1942"/>
      <c r="AX2130" s="1942"/>
      <c r="AY2130" s="1942"/>
      <c r="AZ2130" s="1942"/>
      <c r="BA2130" s="1942"/>
      <c r="BB2130" s="575"/>
      <c r="BC2130" s="576"/>
      <c r="BD2130" s="678"/>
      <c r="BE2130" s="585"/>
    </row>
    <row r="2131" spans="1:57" s="1942" customFormat="1" ht="15" hidden="1" customHeight="1" outlineLevel="1" x14ac:dyDescent="0.25">
      <c r="A2131" s="1267"/>
      <c r="B2131" s="123"/>
      <c r="C2131" s="328"/>
      <c r="D2131" s="3990"/>
      <c r="E2131" s="4009"/>
      <c r="F2131" s="3010" t="str">
        <f>$E$1693</f>
        <v>ASHP-SEER19-Replace_CAC_NonElectricHeat_ER1_MF</v>
      </c>
      <c r="G2131" s="2676"/>
      <c r="H2131" s="2676"/>
      <c r="I2131" s="2677"/>
      <c r="J2131" s="3298" t="str">
        <f>$C$1693</f>
        <v>354460_2021_12_</v>
      </c>
      <c r="K2131" s="2225">
        <v>1496</v>
      </c>
      <c r="L2131" s="851"/>
      <c r="M2131" s="1595"/>
      <c r="N2131" s="123"/>
      <c r="O2131" s="228"/>
      <c r="P2131" s="228"/>
      <c r="Q2131" s="228"/>
      <c r="R2131" s="228"/>
      <c r="S2131" s="123"/>
      <c r="T2131" s="123"/>
      <c r="U2131" s="123"/>
      <c r="V2131" s="3990"/>
      <c r="W2131" s="2857"/>
      <c r="X2131" s="3155"/>
      <c r="Y2131" s="3155"/>
      <c r="Z2131" s="2857"/>
      <c r="AA2131" s="2857"/>
      <c r="AB2131" s="2857"/>
      <c r="AC2131" s="2225">
        <v>1496</v>
      </c>
      <c r="AD2131" s="2857"/>
      <c r="AE2131" s="2857"/>
      <c r="AF2131" s="2857"/>
      <c r="AG2131" s="2857"/>
      <c r="BB2131" s="575"/>
      <c r="BC2131" s="576"/>
      <c r="BD2131" s="678"/>
      <c r="BE2131" s="585"/>
    </row>
    <row r="2132" spans="1:57" s="1942" customFormat="1" ht="15" hidden="1" customHeight="1" outlineLevel="1" x14ac:dyDescent="0.25">
      <c r="A2132" s="1267"/>
      <c r="B2132" s="123"/>
      <c r="C2132" s="328"/>
      <c r="D2132" s="3990"/>
      <c r="E2132" s="4009"/>
      <c r="F2132" s="3010" t="str">
        <f>$E$1695</f>
        <v>ASHP-SEER19-Replace_CAC_NonElectricHeat_ER2_MF</v>
      </c>
      <c r="G2132" s="2676"/>
      <c r="H2132" s="2676"/>
      <c r="I2132" s="2677"/>
      <c r="J2132" s="3298" t="str">
        <f>$C$1695</f>
        <v>354460_2021_12_</v>
      </c>
      <c r="K2132" s="2225">
        <v>1496</v>
      </c>
      <c r="L2132" s="851"/>
      <c r="M2132" s="1595"/>
      <c r="N2132" s="123"/>
      <c r="O2132" s="228"/>
      <c r="P2132" s="228"/>
      <c r="Q2132" s="228"/>
      <c r="R2132" s="228"/>
      <c r="S2132" s="123"/>
      <c r="T2132" s="123"/>
      <c r="U2132" s="123"/>
      <c r="V2132" s="3990"/>
      <c r="W2132" s="2857"/>
      <c r="X2132" s="3155"/>
      <c r="Y2132" s="3155"/>
      <c r="Z2132" s="2857"/>
      <c r="AA2132" s="2857"/>
      <c r="AB2132" s="2857"/>
      <c r="AC2132" s="2225">
        <v>1496</v>
      </c>
      <c r="AD2132" s="2857"/>
      <c r="AE2132" s="2857"/>
      <c r="AF2132" s="2857"/>
      <c r="AG2132" s="2857"/>
      <c r="BB2132" s="575"/>
      <c r="BC2132" s="576"/>
      <c r="BD2132" s="678"/>
      <c r="BE2132" s="585"/>
    </row>
    <row r="2133" spans="1:57" s="1942" customFormat="1" ht="15" hidden="1" customHeight="1" outlineLevel="1" x14ac:dyDescent="0.25">
      <c r="A2133" s="1267"/>
      <c r="B2133" s="123"/>
      <c r="C2133" s="328"/>
      <c r="D2133" s="3990"/>
      <c r="E2133" s="4009"/>
      <c r="F2133" s="3010" t="str">
        <f>$E$1697</f>
        <v>ASHP-SEER19-Replace_CAC_NonElectricHeat_ER1_MF_CompE</v>
      </c>
      <c r="G2133" s="2676"/>
      <c r="H2133" s="2676"/>
      <c r="I2133" s="2677"/>
      <c r="J2133" s="3298" t="str">
        <f>$C$1697</f>
        <v>354461_2021_12_</v>
      </c>
      <c r="K2133" s="2225">
        <v>510</v>
      </c>
      <c r="L2133" s="851"/>
      <c r="M2133" s="1595"/>
      <c r="N2133" s="123"/>
      <c r="O2133" s="228"/>
      <c r="P2133" s="228"/>
      <c r="Q2133" s="228"/>
      <c r="R2133" s="228"/>
      <c r="S2133" s="123"/>
      <c r="T2133" s="123"/>
      <c r="U2133" s="123"/>
      <c r="V2133" s="3990"/>
      <c r="W2133" s="2857"/>
      <c r="X2133" s="3155"/>
      <c r="Y2133" s="3155"/>
      <c r="Z2133" s="2857"/>
      <c r="AA2133" s="2857"/>
      <c r="AB2133" s="2857"/>
      <c r="AC2133" s="2225">
        <v>510</v>
      </c>
      <c r="AD2133" s="2857"/>
      <c r="AE2133" s="2857"/>
      <c r="AF2133" s="2857"/>
      <c r="AG2133" s="2857"/>
      <c r="BB2133" s="575"/>
      <c r="BC2133" s="576"/>
      <c r="BD2133" s="678"/>
      <c r="BE2133" s="585"/>
    </row>
    <row r="2134" spans="1:57" s="1942" customFormat="1" ht="15" hidden="1" customHeight="1" outlineLevel="1" x14ac:dyDescent="0.25">
      <c r="A2134" s="1267"/>
      <c r="B2134" s="123"/>
      <c r="C2134" s="328"/>
      <c r="D2134" s="3990"/>
      <c r="E2134" s="4009"/>
      <c r="F2134" s="3010" t="str">
        <f>$E$1699</f>
        <v>ASHP-SEER19-Replace_CAC_NonElectricHeat_ER2_MF_CompE</v>
      </c>
      <c r="G2134" s="2676"/>
      <c r="H2134" s="2676"/>
      <c r="I2134" s="2677"/>
      <c r="J2134" s="3298" t="str">
        <f>$C$1699</f>
        <v>354461_2021_12_</v>
      </c>
      <c r="K2134" s="2225">
        <v>510</v>
      </c>
      <c r="L2134" s="851"/>
      <c r="M2134" s="1595"/>
      <c r="N2134" s="123"/>
      <c r="O2134" s="228"/>
      <c r="P2134" s="228"/>
      <c r="Q2134" s="228"/>
      <c r="R2134" s="228"/>
      <c r="S2134" s="123"/>
      <c r="T2134" s="123"/>
      <c r="U2134" s="123"/>
      <c r="V2134" s="3990"/>
      <c r="W2134" s="2857"/>
      <c r="X2134" s="3155"/>
      <c r="Y2134" s="3155"/>
      <c r="Z2134" s="2857"/>
      <c r="AA2134" s="2857"/>
      <c r="AB2134" s="2857"/>
      <c r="AC2134" s="2225">
        <v>510</v>
      </c>
      <c r="AD2134" s="2857"/>
      <c r="AE2134" s="2857"/>
      <c r="AF2134" s="2857"/>
      <c r="AG2134" s="2857"/>
      <c r="BB2134" s="575"/>
      <c r="BC2134" s="576"/>
      <c r="BD2134" s="678"/>
      <c r="BE2134" s="585"/>
    </row>
    <row r="2135" spans="1:57" s="51" customFormat="1" ht="15" hidden="1" customHeight="1" outlineLevel="1" x14ac:dyDescent="0.25">
      <c r="A2135" s="1267"/>
      <c r="B2135" s="123"/>
      <c r="C2135" s="328"/>
      <c r="D2135" s="3990"/>
      <c r="E2135" s="4009"/>
      <c r="F2135" s="3010" t="str">
        <f>$E$1701</f>
        <v>ASHP-SEER19_ER1_MF</v>
      </c>
      <c r="G2135" s="2676"/>
      <c r="H2135" s="2676"/>
      <c r="I2135" s="2677"/>
      <c r="J2135" s="3299" t="str">
        <f>$C$1701</f>
        <v>354500_2019_12_</v>
      </c>
      <c r="K2135" s="2857">
        <v>1496</v>
      </c>
      <c r="L2135" s="851"/>
      <c r="M2135" s="1595"/>
      <c r="N2135" s="123"/>
      <c r="O2135" s="228"/>
      <c r="P2135" s="228"/>
      <c r="Q2135" s="228"/>
      <c r="R2135" s="228"/>
      <c r="S2135" s="123"/>
      <c r="T2135" s="123"/>
      <c r="U2135" s="123"/>
      <c r="V2135" s="3990"/>
      <c r="W2135" s="2857">
        <v>2009</v>
      </c>
      <c r="X2135" s="3155">
        <v>1496</v>
      </c>
      <c r="Y2135" s="2857">
        <v>1496</v>
      </c>
      <c r="Z2135" s="2857">
        <v>1496</v>
      </c>
      <c r="AA2135" s="2857">
        <v>1496</v>
      </c>
      <c r="AB2135" s="2857">
        <v>1496</v>
      </c>
      <c r="AC2135" s="2857">
        <v>1496</v>
      </c>
      <c r="AD2135" s="2857"/>
      <c r="AE2135" s="2857"/>
      <c r="AF2135" s="2857"/>
      <c r="AG2135" s="2857"/>
      <c r="AH2135" s="1942"/>
      <c r="AI2135" s="1942"/>
      <c r="AJ2135" s="1942"/>
      <c r="AK2135" s="1942"/>
      <c r="AL2135" s="1942"/>
      <c r="AM2135" s="1942"/>
      <c r="AN2135" s="1942"/>
      <c r="AO2135" s="1942"/>
      <c r="AP2135" s="1942"/>
      <c r="AQ2135" s="1942"/>
      <c r="AR2135" s="1942"/>
      <c r="AS2135" s="1942"/>
      <c r="AT2135" s="1942"/>
      <c r="AU2135" s="1942"/>
      <c r="AV2135" s="1942"/>
      <c r="AW2135" s="1942"/>
      <c r="AX2135" s="1942"/>
      <c r="AY2135" s="1942"/>
      <c r="AZ2135" s="1942"/>
      <c r="BA2135" s="1942"/>
      <c r="BB2135" s="575"/>
      <c r="BC2135" s="576"/>
      <c r="BD2135" s="678"/>
      <c r="BE2135" s="585"/>
    </row>
    <row r="2136" spans="1:57" s="51" customFormat="1" ht="15" hidden="1" customHeight="1" outlineLevel="1" x14ac:dyDescent="0.25">
      <c r="A2136" s="1267"/>
      <c r="B2136" s="123"/>
      <c r="C2136" s="328"/>
      <c r="D2136" s="3990"/>
      <c r="E2136" s="4009"/>
      <c r="F2136" s="3010" t="str">
        <f>$E$1703</f>
        <v>ASHP-SEER19_ER2_MF</v>
      </c>
      <c r="G2136" s="2676"/>
      <c r="H2136" s="2676"/>
      <c r="I2136" s="2677"/>
      <c r="J2136" s="3299" t="str">
        <f>$C$1703</f>
        <v>354500_2019_12_</v>
      </c>
      <c r="K2136" s="2857">
        <v>1496</v>
      </c>
      <c r="L2136" s="851"/>
      <c r="M2136" s="1595"/>
      <c r="N2136" s="123"/>
      <c r="O2136" s="228"/>
      <c r="P2136" s="228"/>
      <c r="Q2136" s="228"/>
      <c r="R2136" s="228"/>
      <c r="S2136" s="123"/>
      <c r="T2136" s="123"/>
      <c r="U2136" s="123"/>
      <c r="V2136" s="3990"/>
      <c r="W2136" s="2857">
        <v>2009</v>
      </c>
      <c r="X2136" s="3155">
        <v>1496</v>
      </c>
      <c r="Y2136" s="2857">
        <v>1496</v>
      </c>
      <c r="Z2136" s="2857">
        <v>1496</v>
      </c>
      <c r="AA2136" s="2857">
        <v>1496</v>
      </c>
      <c r="AB2136" s="2857">
        <v>1496</v>
      </c>
      <c r="AC2136" s="2857">
        <v>1496</v>
      </c>
      <c r="AD2136" s="2857"/>
      <c r="AE2136" s="2857"/>
      <c r="AF2136" s="2857"/>
      <c r="AG2136" s="2857"/>
      <c r="AH2136" s="1942"/>
      <c r="AI2136" s="1942"/>
      <c r="AJ2136" s="1942"/>
      <c r="AK2136" s="1942"/>
      <c r="AL2136" s="1942"/>
      <c r="AM2136" s="1942"/>
      <c r="AN2136" s="1942"/>
      <c r="AO2136" s="1942"/>
      <c r="AP2136" s="1942"/>
      <c r="AQ2136" s="1942"/>
      <c r="AR2136" s="1942"/>
      <c r="AS2136" s="1942"/>
      <c r="AT2136" s="1942"/>
      <c r="AU2136" s="1942"/>
      <c r="AV2136" s="1942"/>
      <c r="AW2136" s="1942"/>
      <c r="AX2136" s="1942"/>
      <c r="AY2136" s="1942"/>
      <c r="AZ2136" s="1942"/>
      <c r="BA2136" s="1942"/>
      <c r="BB2136" s="575"/>
      <c r="BC2136" s="576"/>
      <c r="BD2136" s="678"/>
      <c r="BE2136" s="585"/>
    </row>
    <row r="2137" spans="1:57" s="51" customFormat="1" ht="15" hidden="1" customHeight="1" outlineLevel="1" x14ac:dyDescent="0.25">
      <c r="A2137" s="1267"/>
      <c r="B2137" s="123"/>
      <c r="C2137" s="328"/>
      <c r="D2137" s="3990"/>
      <c r="E2137" s="4009"/>
      <c r="F2137" s="3010" t="str">
        <f>$E$1705</f>
        <v>ASHP-SEER19_ER1_MF_CompE</v>
      </c>
      <c r="G2137" s="2676"/>
      <c r="H2137" s="2676"/>
      <c r="I2137" s="2677"/>
      <c r="J2137" s="3299" t="str">
        <f>$C$1705</f>
        <v>354501_2019_12_</v>
      </c>
      <c r="K2137" s="2857">
        <v>510</v>
      </c>
      <c r="L2137" s="851"/>
      <c r="M2137" s="1595" t="s">
        <v>1558</v>
      </c>
      <c r="N2137" s="123"/>
      <c r="O2137" s="228"/>
      <c r="P2137" s="228"/>
      <c r="Q2137" s="228"/>
      <c r="R2137" s="228"/>
      <c r="S2137" s="123"/>
      <c r="T2137" s="123"/>
      <c r="U2137" s="123"/>
      <c r="V2137" s="3990"/>
      <c r="W2137" s="2857"/>
      <c r="X2137" s="3155"/>
      <c r="Y2137" s="3155">
        <v>510</v>
      </c>
      <c r="Z2137" s="2857">
        <v>510</v>
      </c>
      <c r="AA2137" s="2857">
        <v>510</v>
      </c>
      <c r="AB2137" s="2857">
        <v>510</v>
      </c>
      <c r="AC2137" s="2857">
        <v>510</v>
      </c>
      <c r="AD2137" s="2857"/>
      <c r="AE2137" s="2857"/>
      <c r="AF2137" s="2857"/>
      <c r="AG2137" s="2857"/>
      <c r="AH2137" s="1942"/>
      <c r="AI2137" s="1942"/>
      <c r="AJ2137" s="1942"/>
      <c r="AK2137" s="1942"/>
      <c r="AL2137" s="1942"/>
      <c r="AM2137" s="1942"/>
      <c r="AN2137" s="1942"/>
      <c r="AO2137" s="1942"/>
      <c r="AP2137" s="1942"/>
      <c r="AQ2137" s="1942"/>
      <c r="AR2137" s="1942"/>
      <c r="AS2137" s="1942"/>
      <c r="AT2137" s="1942"/>
      <c r="AU2137" s="1942"/>
      <c r="AV2137" s="1942"/>
      <c r="AW2137" s="1942"/>
      <c r="AX2137" s="1942"/>
      <c r="AY2137" s="1942"/>
      <c r="AZ2137" s="1942"/>
      <c r="BA2137" s="1942"/>
      <c r="BB2137" s="575"/>
      <c r="BC2137" s="576"/>
      <c r="BD2137" s="678"/>
      <c r="BE2137" s="585"/>
    </row>
    <row r="2138" spans="1:57" s="51" customFormat="1" ht="15" hidden="1" customHeight="1" outlineLevel="1" x14ac:dyDescent="0.25">
      <c r="A2138" s="1267"/>
      <c r="B2138" s="123"/>
      <c r="C2138" s="328"/>
      <c r="D2138" s="3990"/>
      <c r="E2138" s="4009"/>
      <c r="F2138" s="3010" t="str">
        <f>$E$1707</f>
        <v>ASHP-SEER19_ER2_MF_CompE</v>
      </c>
      <c r="G2138" s="2676"/>
      <c r="H2138" s="2676"/>
      <c r="I2138" s="2677"/>
      <c r="J2138" s="3299" t="str">
        <f>$C$1707</f>
        <v>354501_2019_12_</v>
      </c>
      <c r="K2138" s="2857">
        <v>510</v>
      </c>
      <c r="L2138" s="851"/>
      <c r="M2138" s="1595" t="s">
        <v>1558</v>
      </c>
      <c r="N2138" s="123"/>
      <c r="O2138" s="228"/>
      <c r="P2138" s="228"/>
      <c r="Q2138" s="228"/>
      <c r="R2138" s="228"/>
      <c r="S2138" s="123"/>
      <c r="T2138" s="123"/>
      <c r="U2138" s="123"/>
      <c r="V2138" s="3990"/>
      <c r="W2138" s="2857"/>
      <c r="X2138" s="3155"/>
      <c r="Y2138" s="3155">
        <v>510</v>
      </c>
      <c r="Z2138" s="2857">
        <v>510</v>
      </c>
      <c r="AA2138" s="2857">
        <v>510</v>
      </c>
      <c r="AB2138" s="2857">
        <v>510</v>
      </c>
      <c r="AC2138" s="2857">
        <v>510</v>
      </c>
      <c r="AD2138" s="2857"/>
      <c r="AE2138" s="2857"/>
      <c r="AF2138" s="2857"/>
      <c r="AG2138" s="2857"/>
      <c r="AH2138" s="1942"/>
      <c r="AI2138" s="1942"/>
      <c r="AJ2138" s="1942"/>
      <c r="AK2138" s="1942"/>
      <c r="AL2138" s="1942"/>
      <c r="AM2138" s="1942"/>
      <c r="AN2138" s="1942"/>
      <c r="AO2138" s="1942"/>
      <c r="AP2138" s="1942"/>
      <c r="AQ2138" s="1942"/>
      <c r="AR2138" s="1942"/>
      <c r="AS2138" s="1942"/>
      <c r="AT2138" s="1942"/>
      <c r="AU2138" s="1942"/>
      <c r="AV2138" s="1942"/>
      <c r="AW2138" s="1942"/>
      <c r="AX2138" s="1942"/>
      <c r="AY2138" s="1942"/>
      <c r="AZ2138" s="1942"/>
      <c r="BA2138" s="1942"/>
      <c r="BB2138" s="575"/>
      <c r="BC2138" s="576"/>
      <c r="BD2138" s="678"/>
      <c r="BE2138" s="585"/>
    </row>
    <row r="2139" spans="1:57" s="51" customFormat="1" ht="15" hidden="1" customHeight="1" outlineLevel="1" x14ac:dyDescent="0.25">
      <c r="A2139" s="1267"/>
      <c r="B2139" s="123"/>
      <c r="C2139" s="328"/>
      <c r="D2139" s="3990"/>
      <c r="E2139" s="4009"/>
      <c r="F2139" s="3010" t="str">
        <f>$E$1709</f>
        <v>ASHP-SEER20_ER1_SF</v>
      </c>
      <c r="G2139" s="2676"/>
      <c r="H2139" s="2676"/>
      <c r="I2139" s="2677"/>
      <c r="J2139" s="3298" t="str">
        <f>$C$1709</f>
        <v>354550_2021_12_</v>
      </c>
      <c r="K2139" s="2857">
        <v>1496</v>
      </c>
      <c r="L2139" s="851"/>
      <c r="M2139" s="1595"/>
      <c r="N2139" s="123"/>
      <c r="O2139" s="228"/>
      <c r="P2139" s="228"/>
      <c r="Q2139" s="228"/>
      <c r="R2139" s="228"/>
      <c r="S2139" s="123"/>
      <c r="T2139" s="123"/>
      <c r="U2139" s="123"/>
      <c r="V2139" s="3990"/>
      <c r="W2139" s="2857">
        <v>2009</v>
      </c>
      <c r="X2139" s="3155">
        <v>1496</v>
      </c>
      <c r="Y2139" s="2857">
        <v>1496</v>
      </c>
      <c r="Z2139" s="2857">
        <v>1496</v>
      </c>
      <c r="AA2139" s="2857">
        <v>1496</v>
      </c>
      <c r="AB2139" s="2857">
        <v>1496</v>
      </c>
      <c r="AC2139" s="2857">
        <v>1496</v>
      </c>
      <c r="AD2139" s="2857"/>
      <c r="AE2139" s="2857"/>
      <c r="AF2139" s="2857"/>
      <c r="AG2139" s="2857"/>
      <c r="AH2139" s="1942"/>
      <c r="AI2139" s="1942"/>
      <c r="AJ2139" s="1942"/>
      <c r="AK2139" s="1942"/>
      <c r="AL2139" s="1942"/>
      <c r="AM2139" s="1942"/>
      <c r="AN2139" s="1942"/>
      <c r="AO2139" s="1942"/>
      <c r="AP2139" s="1942"/>
      <c r="AQ2139" s="1942"/>
      <c r="AR2139" s="1942"/>
      <c r="AS2139" s="1942"/>
      <c r="AT2139" s="1942"/>
      <c r="AU2139" s="1942"/>
      <c r="AV2139" s="1942"/>
      <c r="AW2139" s="1942"/>
      <c r="AX2139" s="1942"/>
      <c r="AY2139" s="1942"/>
      <c r="AZ2139" s="1942"/>
      <c r="BA2139" s="1942"/>
      <c r="BB2139" s="575"/>
      <c r="BC2139" s="576"/>
      <c r="BD2139" s="678"/>
      <c r="BE2139" s="585"/>
    </row>
    <row r="2140" spans="1:57" s="51" customFormat="1" ht="15" hidden="1" customHeight="1" outlineLevel="1" x14ac:dyDescent="0.25">
      <c r="A2140" s="1267"/>
      <c r="B2140" s="123"/>
      <c r="C2140" s="328"/>
      <c r="D2140" s="3990"/>
      <c r="E2140" s="4009"/>
      <c r="F2140" s="3010" t="str">
        <f>$E$1711</f>
        <v>ASHP-SEER20_ER2_SF</v>
      </c>
      <c r="G2140" s="2676"/>
      <c r="H2140" s="2676"/>
      <c r="I2140" s="2677"/>
      <c r="J2140" s="3298" t="str">
        <f>$C$1711</f>
        <v>354550_2021_12_</v>
      </c>
      <c r="K2140" s="2857">
        <v>1496</v>
      </c>
      <c r="L2140" s="851"/>
      <c r="M2140" s="1595"/>
      <c r="N2140" s="123"/>
      <c r="O2140" s="228"/>
      <c r="P2140" s="228"/>
      <c r="Q2140" s="228"/>
      <c r="R2140" s="228"/>
      <c r="S2140" s="123"/>
      <c r="T2140" s="123"/>
      <c r="U2140" s="123"/>
      <c r="V2140" s="3990"/>
      <c r="W2140" s="2857">
        <v>2009</v>
      </c>
      <c r="X2140" s="3155">
        <v>1496</v>
      </c>
      <c r="Y2140" s="2857">
        <v>1496</v>
      </c>
      <c r="Z2140" s="2857">
        <v>1496</v>
      </c>
      <c r="AA2140" s="2857">
        <v>1496</v>
      </c>
      <c r="AB2140" s="2857">
        <v>1496</v>
      </c>
      <c r="AC2140" s="2857">
        <v>1496</v>
      </c>
      <c r="AD2140" s="2857"/>
      <c r="AE2140" s="2857"/>
      <c r="AF2140" s="2857"/>
      <c r="AG2140" s="2857"/>
      <c r="AH2140" s="1942"/>
      <c r="AI2140" s="1942"/>
      <c r="AJ2140" s="1942"/>
      <c r="AK2140" s="1942"/>
      <c r="AL2140" s="1942"/>
      <c r="AM2140" s="1942"/>
      <c r="AN2140" s="1942"/>
      <c r="AO2140" s="1942"/>
      <c r="AP2140" s="1942"/>
      <c r="AQ2140" s="1942"/>
      <c r="AR2140" s="1942"/>
      <c r="AS2140" s="1942"/>
      <c r="AT2140" s="1942"/>
      <c r="AU2140" s="1942"/>
      <c r="AV2140" s="1942"/>
      <c r="AW2140" s="1942"/>
      <c r="AX2140" s="1942"/>
      <c r="AY2140" s="1942"/>
      <c r="AZ2140" s="1942"/>
      <c r="BA2140" s="1942"/>
      <c r="BB2140" s="575"/>
      <c r="BC2140" s="576"/>
      <c r="BD2140" s="678"/>
      <c r="BE2140" s="585"/>
    </row>
    <row r="2141" spans="1:57" s="51" customFormat="1" ht="15" hidden="1" customHeight="1" outlineLevel="1" x14ac:dyDescent="0.25">
      <c r="A2141" s="1267"/>
      <c r="B2141" s="123"/>
      <c r="C2141" s="328"/>
      <c r="D2141" s="3990"/>
      <c r="E2141" s="4009"/>
      <c r="F2141" s="3010" t="str">
        <f>$E$1713</f>
        <v>ASHP-SEER20_ROF_SF</v>
      </c>
      <c r="G2141" s="2676"/>
      <c r="H2141" s="2676"/>
      <c r="I2141" s="2677"/>
      <c r="J2141" s="3298" t="str">
        <f>$C$1713</f>
        <v>354600_2021_12_</v>
      </c>
      <c r="K2141" s="2857">
        <v>1496</v>
      </c>
      <c r="L2141" s="851"/>
      <c r="M2141" s="1595"/>
      <c r="N2141" s="123"/>
      <c r="O2141" s="228"/>
      <c r="P2141" s="228"/>
      <c r="Q2141" s="228"/>
      <c r="R2141" s="228"/>
      <c r="S2141" s="123"/>
      <c r="T2141" s="123"/>
      <c r="U2141" s="123"/>
      <c r="V2141" s="3990"/>
      <c r="W2141" s="2857">
        <v>2009</v>
      </c>
      <c r="X2141" s="3155">
        <v>1496</v>
      </c>
      <c r="Y2141" s="2857">
        <v>1496</v>
      </c>
      <c r="Z2141" s="2857">
        <v>1496</v>
      </c>
      <c r="AA2141" s="2857">
        <v>1496</v>
      </c>
      <c r="AB2141" s="2857">
        <v>1496</v>
      </c>
      <c r="AC2141" s="2857">
        <v>1496</v>
      </c>
      <c r="AD2141" s="2857"/>
      <c r="AE2141" s="2857"/>
      <c r="AF2141" s="2857"/>
      <c r="AG2141" s="2857"/>
      <c r="AH2141" s="1942"/>
      <c r="AI2141" s="1942"/>
      <c r="AJ2141" s="1942"/>
      <c r="AK2141" s="1942"/>
      <c r="AL2141" s="1942"/>
      <c r="AM2141" s="1942"/>
      <c r="AN2141" s="1942"/>
      <c r="AO2141" s="1942"/>
      <c r="AP2141" s="1942"/>
      <c r="AQ2141" s="1942"/>
      <c r="AR2141" s="1942"/>
      <c r="AS2141" s="1942"/>
      <c r="AT2141" s="1942"/>
      <c r="AU2141" s="1942"/>
      <c r="AV2141" s="1942"/>
      <c r="AW2141" s="1942"/>
      <c r="AX2141" s="1942"/>
      <c r="AY2141" s="1942"/>
      <c r="AZ2141" s="1942"/>
      <c r="BA2141" s="1942"/>
      <c r="BB2141" s="575"/>
      <c r="BC2141" s="576"/>
      <c r="BD2141" s="678"/>
      <c r="BE2141" s="585"/>
    </row>
    <row r="2142" spans="1:57" s="51" customFormat="1" ht="15" hidden="1" customHeight="1" outlineLevel="1" x14ac:dyDescent="0.25">
      <c r="A2142" s="1267"/>
      <c r="B2142" s="123"/>
      <c r="C2142" s="328"/>
      <c r="D2142" s="3990"/>
      <c r="E2142" s="4009"/>
      <c r="F2142" s="3010" t="str">
        <f>$E$1715</f>
        <v>ASHP-SEER20-Replace_CAC_ElectricHeat_ER1_MF</v>
      </c>
      <c r="G2142" s="2676"/>
      <c r="H2142" s="2676"/>
      <c r="I2142" s="2677"/>
      <c r="J2142" s="3299" t="str">
        <f>$C$1715</f>
        <v>354650_2019_12_</v>
      </c>
      <c r="K2142" s="2857">
        <v>1496</v>
      </c>
      <c r="L2142" s="851"/>
      <c r="M2142" s="1595"/>
      <c r="N2142" s="123"/>
      <c r="O2142" s="228"/>
      <c r="P2142" s="228"/>
      <c r="Q2142" s="228"/>
      <c r="R2142" s="228"/>
      <c r="S2142" s="123"/>
      <c r="T2142" s="123"/>
      <c r="U2142" s="123"/>
      <c r="V2142" s="3990"/>
      <c r="W2142" s="2857">
        <v>2009</v>
      </c>
      <c r="X2142" s="3155">
        <v>1496</v>
      </c>
      <c r="Y2142" s="2857">
        <v>1496</v>
      </c>
      <c r="Z2142" s="2857">
        <v>1496</v>
      </c>
      <c r="AA2142" s="2857">
        <v>1496</v>
      </c>
      <c r="AB2142" s="2857">
        <v>1496</v>
      </c>
      <c r="AC2142" s="2857">
        <v>1496</v>
      </c>
      <c r="AD2142" s="2857"/>
      <c r="AE2142" s="2857"/>
      <c r="AF2142" s="2857"/>
      <c r="AG2142" s="2857"/>
      <c r="AH2142" s="1942"/>
      <c r="AI2142" s="1942"/>
      <c r="AJ2142" s="1942"/>
      <c r="AK2142" s="1942"/>
      <c r="AL2142" s="1942"/>
      <c r="AM2142" s="1942"/>
      <c r="AN2142" s="1942"/>
      <c r="AO2142" s="1942"/>
      <c r="AP2142" s="1942"/>
      <c r="AQ2142" s="1942"/>
      <c r="AR2142" s="1942"/>
      <c r="AS2142" s="1942"/>
      <c r="AT2142" s="1942"/>
      <c r="AU2142" s="1942"/>
      <c r="AV2142" s="1942"/>
      <c r="AW2142" s="1942"/>
      <c r="AX2142" s="1942"/>
      <c r="AY2142" s="1942"/>
      <c r="AZ2142" s="1942"/>
      <c r="BA2142" s="1942"/>
      <c r="BB2142" s="575"/>
      <c r="BC2142" s="576"/>
      <c r="BD2142" s="678"/>
      <c r="BE2142" s="585"/>
    </row>
    <row r="2143" spans="1:57" s="51" customFormat="1" ht="15" hidden="1" customHeight="1" outlineLevel="1" x14ac:dyDescent="0.25">
      <c r="A2143" s="1267"/>
      <c r="B2143" s="123"/>
      <c r="C2143" s="328"/>
      <c r="D2143" s="3990"/>
      <c r="E2143" s="4009"/>
      <c r="F2143" s="3010" t="str">
        <f>$E$1717</f>
        <v>ASHP-SEER20-Replace_CAC_ElectricHeat_ER2_MF</v>
      </c>
      <c r="G2143" s="2676"/>
      <c r="H2143" s="2676"/>
      <c r="I2143" s="2677"/>
      <c r="J2143" s="3299" t="str">
        <f>$C$1717</f>
        <v>354650_2019_12_</v>
      </c>
      <c r="K2143" s="2857">
        <v>1496</v>
      </c>
      <c r="L2143" s="851"/>
      <c r="M2143" s="1595"/>
      <c r="N2143" s="123"/>
      <c r="O2143" s="228"/>
      <c r="P2143" s="228"/>
      <c r="Q2143" s="228"/>
      <c r="R2143" s="228"/>
      <c r="S2143" s="123"/>
      <c r="T2143" s="123"/>
      <c r="U2143" s="123"/>
      <c r="V2143" s="3990"/>
      <c r="W2143" s="2857">
        <v>2009</v>
      </c>
      <c r="X2143" s="3155">
        <v>1496</v>
      </c>
      <c r="Y2143" s="2857">
        <v>1496</v>
      </c>
      <c r="Z2143" s="2857">
        <v>1496</v>
      </c>
      <c r="AA2143" s="2857">
        <v>1496</v>
      </c>
      <c r="AB2143" s="2857">
        <v>1496</v>
      </c>
      <c r="AC2143" s="2857">
        <v>1496</v>
      </c>
      <c r="AD2143" s="2857"/>
      <c r="AE2143" s="2857"/>
      <c r="AF2143" s="2857"/>
      <c r="AG2143" s="2857"/>
      <c r="AH2143" s="1942"/>
      <c r="AI2143" s="1942"/>
      <c r="AJ2143" s="1942"/>
      <c r="AK2143" s="1942"/>
      <c r="AL2143" s="1942"/>
      <c r="AM2143" s="1942"/>
      <c r="AN2143" s="1942"/>
      <c r="AO2143" s="1942"/>
      <c r="AP2143" s="1942"/>
      <c r="AQ2143" s="1942"/>
      <c r="AR2143" s="1942"/>
      <c r="AS2143" s="1942"/>
      <c r="AT2143" s="1942"/>
      <c r="AU2143" s="1942"/>
      <c r="AV2143" s="1942"/>
      <c r="AW2143" s="1942"/>
      <c r="AX2143" s="1942"/>
      <c r="AY2143" s="1942"/>
      <c r="AZ2143" s="1942"/>
      <c r="BA2143" s="1942"/>
      <c r="BB2143" s="575"/>
      <c r="BC2143" s="576"/>
      <c r="BD2143" s="678"/>
      <c r="BE2143" s="585"/>
    </row>
    <row r="2144" spans="1:57" s="51" customFormat="1" ht="15" hidden="1" customHeight="1" outlineLevel="1" x14ac:dyDescent="0.25">
      <c r="A2144" s="1267"/>
      <c r="B2144" s="123"/>
      <c r="C2144" s="328"/>
      <c r="D2144" s="3990"/>
      <c r="E2144" s="4009"/>
      <c r="F2144" s="3010" t="str">
        <f>$E$1719</f>
        <v>ASHP-SEER20-Replace_CAC_ElectricHeat_ER1_MF_CompE</v>
      </c>
      <c r="G2144" s="2676"/>
      <c r="H2144" s="2676"/>
      <c r="I2144" s="2677"/>
      <c r="J2144" s="3299" t="str">
        <f>$C$1719</f>
        <v>354651_2019_12_</v>
      </c>
      <c r="K2144" s="2857">
        <v>510</v>
      </c>
      <c r="L2144" s="851"/>
      <c r="M2144" s="1595" t="s">
        <v>1558</v>
      </c>
      <c r="N2144" s="123"/>
      <c r="O2144" s="228"/>
      <c r="P2144" s="228"/>
      <c r="Q2144" s="228"/>
      <c r="R2144" s="228"/>
      <c r="S2144" s="123"/>
      <c r="T2144" s="123"/>
      <c r="U2144" s="123"/>
      <c r="V2144" s="3990"/>
      <c r="W2144" s="2857"/>
      <c r="X2144" s="3155"/>
      <c r="Y2144" s="3155">
        <v>510</v>
      </c>
      <c r="Z2144" s="2857">
        <v>510</v>
      </c>
      <c r="AA2144" s="2857">
        <v>510</v>
      </c>
      <c r="AB2144" s="2857">
        <v>510</v>
      </c>
      <c r="AC2144" s="2857">
        <v>510</v>
      </c>
      <c r="AD2144" s="2857"/>
      <c r="AE2144" s="2857"/>
      <c r="AF2144" s="2857"/>
      <c r="AG2144" s="2857"/>
      <c r="AH2144" s="1942"/>
      <c r="AI2144" s="1942"/>
      <c r="AJ2144" s="1942"/>
      <c r="AK2144" s="1942"/>
      <c r="AL2144" s="1942"/>
      <c r="AM2144" s="1942"/>
      <c r="AN2144" s="1942"/>
      <c r="AO2144" s="1942"/>
      <c r="AP2144" s="1942"/>
      <c r="AQ2144" s="1942"/>
      <c r="AR2144" s="1942"/>
      <c r="AS2144" s="1942"/>
      <c r="AT2144" s="1942"/>
      <c r="AU2144" s="1942"/>
      <c r="AV2144" s="1942"/>
      <c r="AW2144" s="1942"/>
      <c r="AX2144" s="1942"/>
      <c r="AY2144" s="1942"/>
      <c r="AZ2144" s="1942"/>
      <c r="BA2144" s="1942"/>
      <c r="BB2144" s="575"/>
      <c r="BC2144" s="576"/>
      <c r="BD2144" s="678"/>
      <c r="BE2144" s="585"/>
    </row>
    <row r="2145" spans="1:57" s="51" customFormat="1" ht="15" hidden="1" customHeight="1" outlineLevel="1" x14ac:dyDescent="0.25">
      <c r="A2145" s="1267"/>
      <c r="B2145" s="123"/>
      <c r="C2145" s="328"/>
      <c r="D2145" s="3990"/>
      <c r="E2145" s="4009"/>
      <c r="F2145" s="3010" t="str">
        <f>$E$1721</f>
        <v>ASHP-SEER20-Replace_CAC_ElectricHeat_ER2_MF_CompE</v>
      </c>
      <c r="G2145" s="2676"/>
      <c r="H2145" s="2676"/>
      <c r="I2145" s="2677"/>
      <c r="J2145" s="3299" t="str">
        <f>$C$1721</f>
        <v>354651_2019_12_</v>
      </c>
      <c r="K2145" s="2857">
        <v>510</v>
      </c>
      <c r="L2145" s="851"/>
      <c r="M2145" s="1595" t="s">
        <v>1558</v>
      </c>
      <c r="N2145" s="123"/>
      <c r="O2145" s="228"/>
      <c r="P2145" s="228"/>
      <c r="Q2145" s="228"/>
      <c r="R2145" s="228"/>
      <c r="S2145" s="123"/>
      <c r="T2145" s="123"/>
      <c r="U2145" s="123"/>
      <c r="V2145" s="3990"/>
      <c r="W2145" s="2857"/>
      <c r="X2145" s="3155"/>
      <c r="Y2145" s="3155">
        <v>510</v>
      </c>
      <c r="Z2145" s="2857">
        <v>510</v>
      </c>
      <c r="AA2145" s="2857">
        <v>510</v>
      </c>
      <c r="AB2145" s="2857">
        <v>510</v>
      </c>
      <c r="AC2145" s="2857">
        <v>510</v>
      </c>
      <c r="AD2145" s="2857"/>
      <c r="AE2145" s="2857"/>
      <c r="AF2145" s="2857"/>
      <c r="AG2145" s="2857"/>
      <c r="AH2145" s="1942"/>
      <c r="AI2145" s="1942"/>
      <c r="AJ2145" s="1942"/>
      <c r="AK2145" s="1942"/>
      <c r="AL2145" s="1942"/>
      <c r="AM2145" s="1942"/>
      <c r="AN2145" s="1942"/>
      <c r="AO2145" s="1942"/>
      <c r="AP2145" s="1942"/>
      <c r="AQ2145" s="1942"/>
      <c r="AR2145" s="1942"/>
      <c r="AS2145" s="1942"/>
      <c r="AT2145" s="1942"/>
      <c r="AU2145" s="1942"/>
      <c r="AV2145" s="1942"/>
      <c r="AW2145" s="1942"/>
      <c r="AX2145" s="1942"/>
      <c r="AY2145" s="1942"/>
      <c r="AZ2145" s="1942"/>
      <c r="BA2145" s="1942"/>
      <c r="BB2145" s="575"/>
      <c r="BC2145" s="576"/>
      <c r="BD2145" s="678"/>
      <c r="BE2145" s="585"/>
    </row>
    <row r="2146" spans="1:57" s="1942" customFormat="1" ht="15" hidden="1" customHeight="1" outlineLevel="1" x14ac:dyDescent="0.25">
      <c r="A2146" s="1267"/>
      <c r="B2146" s="123"/>
      <c r="C2146" s="328"/>
      <c r="D2146" s="3990"/>
      <c r="E2146" s="4009"/>
      <c r="F2146" s="3010" t="str">
        <f>$E$1723</f>
        <v>ASHP-SEER20-Replace_CAC_NonElectricHeat_ER1_MF</v>
      </c>
      <c r="G2146" s="2676"/>
      <c r="H2146" s="2676"/>
      <c r="I2146" s="2677"/>
      <c r="J2146" s="3298" t="str">
        <f>$C$1723</f>
        <v>354660_2021_12_</v>
      </c>
      <c r="K2146" s="2225">
        <v>1496</v>
      </c>
      <c r="L2146" s="851"/>
      <c r="M2146" s="1595"/>
      <c r="N2146" s="123"/>
      <c r="O2146" s="228"/>
      <c r="P2146" s="228"/>
      <c r="Q2146" s="228"/>
      <c r="R2146" s="228"/>
      <c r="S2146" s="123"/>
      <c r="T2146" s="123"/>
      <c r="U2146" s="123"/>
      <c r="V2146" s="3990"/>
      <c r="W2146" s="2857"/>
      <c r="X2146" s="3155"/>
      <c r="Y2146" s="3155"/>
      <c r="Z2146" s="2857"/>
      <c r="AA2146" s="2857"/>
      <c r="AB2146" s="2857"/>
      <c r="AC2146" s="2225">
        <v>1496</v>
      </c>
      <c r="AD2146" s="2857"/>
      <c r="AE2146" s="2857"/>
      <c r="AF2146" s="2857"/>
      <c r="AG2146" s="2857"/>
      <c r="BB2146" s="575"/>
      <c r="BC2146" s="576"/>
      <c r="BD2146" s="678"/>
      <c r="BE2146" s="585"/>
    </row>
    <row r="2147" spans="1:57" s="1942" customFormat="1" ht="15" hidden="1" customHeight="1" outlineLevel="1" x14ac:dyDescent="0.25">
      <c r="A2147" s="1267"/>
      <c r="B2147" s="123"/>
      <c r="C2147" s="328"/>
      <c r="D2147" s="3990"/>
      <c r="E2147" s="4009"/>
      <c r="F2147" s="3010" t="str">
        <f>$E$1725</f>
        <v>ASHP-SEER20-Replace_CAC_NonElectricHeat_ER2_MF</v>
      </c>
      <c r="G2147" s="2676"/>
      <c r="H2147" s="2676"/>
      <c r="I2147" s="2677"/>
      <c r="J2147" s="3298" t="str">
        <f>$C$1725</f>
        <v>354660_2021_12_</v>
      </c>
      <c r="K2147" s="2225">
        <v>1496</v>
      </c>
      <c r="L2147" s="851"/>
      <c r="M2147" s="1595"/>
      <c r="N2147" s="123"/>
      <c r="O2147" s="228"/>
      <c r="P2147" s="228"/>
      <c r="Q2147" s="228"/>
      <c r="R2147" s="228"/>
      <c r="S2147" s="123"/>
      <c r="T2147" s="123"/>
      <c r="U2147" s="123"/>
      <c r="V2147" s="3990"/>
      <c r="W2147" s="2857"/>
      <c r="X2147" s="3155"/>
      <c r="Y2147" s="3155"/>
      <c r="Z2147" s="2857"/>
      <c r="AA2147" s="2857"/>
      <c r="AB2147" s="2857"/>
      <c r="AC2147" s="2225">
        <v>1496</v>
      </c>
      <c r="AD2147" s="2857"/>
      <c r="AE2147" s="2857"/>
      <c r="AF2147" s="2857"/>
      <c r="AG2147" s="2857"/>
      <c r="BB2147" s="575"/>
      <c r="BC2147" s="576"/>
      <c r="BD2147" s="678"/>
      <c r="BE2147" s="585"/>
    </row>
    <row r="2148" spans="1:57" s="1942" customFormat="1" ht="15" hidden="1" customHeight="1" outlineLevel="1" x14ac:dyDescent="0.25">
      <c r="A2148" s="1267"/>
      <c r="B2148" s="123"/>
      <c r="C2148" s="328"/>
      <c r="D2148" s="3990"/>
      <c r="E2148" s="4009"/>
      <c r="F2148" s="3010" t="str">
        <f>$E$1727</f>
        <v>ASHP-SEER20-Replace_CAC_NonElectricHeat_ER1_MF_CompE</v>
      </c>
      <c r="G2148" s="2676"/>
      <c r="H2148" s="2676"/>
      <c r="I2148" s="2677"/>
      <c r="J2148" s="3298" t="str">
        <f>$C$1727</f>
        <v>354661_2021_12_</v>
      </c>
      <c r="K2148" s="2225">
        <v>510</v>
      </c>
      <c r="L2148" s="851"/>
      <c r="M2148" s="1595"/>
      <c r="N2148" s="123"/>
      <c r="O2148" s="228"/>
      <c r="P2148" s="228"/>
      <c r="Q2148" s="228"/>
      <c r="R2148" s="228"/>
      <c r="S2148" s="123"/>
      <c r="T2148" s="123"/>
      <c r="U2148" s="123"/>
      <c r="V2148" s="3990"/>
      <c r="W2148" s="2857"/>
      <c r="X2148" s="3155"/>
      <c r="Y2148" s="3155"/>
      <c r="Z2148" s="2857"/>
      <c r="AA2148" s="2857"/>
      <c r="AB2148" s="2857"/>
      <c r="AC2148" s="2225">
        <v>510</v>
      </c>
      <c r="AD2148" s="2857"/>
      <c r="AE2148" s="2857"/>
      <c r="AF2148" s="2857"/>
      <c r="AG2148" s="2857"/>
      <c r="BB2148" s="575"/>
      <c r="BC2148" s="576"/>
      <c r="BD2148" s="678"/>
      <c r="BE2148" s="585"/>
    </row>
    <row r="2149" spans="1:57" s="1942" customFormat="1" ht="15" hidden="1" customHeight="1" outlineLevel="1" x14ac:dyDescent="0.25">
      <c r="A2149" s="1267"/>
      <c r="B2149" s="123"/>
      <c r="C2149" s="328"/>
      <c r="D2149" s="3990"/>
      <c r="E2149" s="4009"/>
      <c r="F2149" s="3010" t="str">
        <f>$E$1729</f>
        <v>ASHP-SEER20-Replace_CAC_NonElectricHeat_ER2_MF_CompE</v>
      </c>
      <c r="G2149" s="2676"/>
      <c r="H2149" s="2676"/>
      <c r="I2149" s="2677"/>
      <c r="J2149" s="3298" t="str">
        <f>$C$1729</f>
        <v>354661_2021_12_</v>
      </c>
      <c r="K2149" s="2225">
        <v>510</v>
      </c>
      <c r="L2149" s="851"/>
      <c r="M2149" s="1595"/>
      <c r="N2149" s="123"/>
      <c r="O2149" s="228"/>
      <c r="P2149" s="228"/>
      <c r="Q2149" s="228"/>
      <c r="R2149" s="228"/>
      <c r="S2149" s="123"/>
      <c r="T2149" s="123"/>
      <c r="U2149" s="123"/>
      <c r="V2149" s="3990"/>
      <c r="W2149" s="2857"/>
      <c r="X2149" s="3155"/>
      <c r="Y2149" s="3155"/>
      <c r="Z2149" s="2857"/>
      <c r="AA2149" s="2857"/>
      <c r="AB2149" s="2857"/>
      <c r="AC2149" s="2225">
        <v>510</v>
      </c>
      <c r="AD2149" s="2857"/>
      <c r="AE2149" s="2857"/>
      <c r="AF2149" s="2857"/>
      <c r="AG2149" s="2857"/>
      <c r="BB2149" s="575"/>
      <c r="BC2149" s="576"/>
      <c r="BD2149" s="678"/>
      <c r="BE2149" s="585"/>
    </row>
    <row r="2150" spans="1:57" s="51" customFormat="1" ht="15" hidden="1" customHeight="1" outlineLevel="1" x14ac:dyDescent="0.25">
      <c r="A2150" s="1267"/>
      <c r="B2150" s="123"/>
      <c r="C2150" s="328"/>
      <c r="D2150" s="3990"/>
      <c r="E2150" s="4009"/>
      <c r="F2150" s="3010" t="str">
        <f>$E$1731</f>
        <v>ASHP-SEER20_ER1_MF</v>
      </c>
      <c r="G2150" s="2676"/>
      <c r="H2150" s="2676"/>
      <c r="I2150" s="2677"/>
      <c r="J2150" s="3299" t="str">
        <f>$C$1731</f>
        <v>354700_2019_12_</v>
      </c>
      <c r="K2150" s="2857">
        <v>1496</v>
      </c>
      <c r="L2150" s="851"/>
      <c r="M2150" s="1595"/>
      <c r="N2150" s="123"/>
      <c r="O2150" s="228"/>
      <c r="P2150" s="228"/>
      <c r="Q2150" s="228"/>
      <c r="R2150" s="228"/>
      <c r="S2150" s="123"/>
      <c r="T2150" s="123"/>
      <c r="U2150" s="123"/>
      <c r="V2150" s="3990"/>
      <c r="W2150" s="2857">
        <v>2009</v>
      </c>
      <c r="X2150" s="3155">
        <v>1496</v>
      </c>
      <c r="Y2150" s="2857">
        <v>1496</v>
      </c>
      <c r="Z2150" s="2857">
        <v>1496</v>
      </c>
      <c r="AA2150" s="2857">
        <v>1496</v>
      </c>
      <c r="AB2150" s="2857">
        <v>1496</v>
      </c>
      <c r="AC2150" s="2857">
        <v>1496</v>
      </c>
      <c r="AD2150" s="2857"/>
      <c r="AE2150" s="2857"/>
      <c r="AF2150" s="2857"/>
      <c r="AG2150" s="2857"/>
      <c r="AH2150" s="1942"/>
      <c r="AI2150" s="1942"/>
      <c r="AJ2150" s="1942"/>
      <c r="AK2150" s="1942"/>
      <c r="AL2150" s="1942"/>
      <c r="AM2150" s="1942"/>
      <c r="AN2150" s="1942"/>
      <c r="AO2150" s="1942"/>
      <c r="AP2150" s="1942"/>
      <c r="AQ2150" s="1942"/>
      <c r="AR2150" s="1942"/>
      <c r="AS2150" s="1942"/>
      <c r="AT2150" s="1942"/>
      <c r="AU2150" s="1942"/>
      <c r="AV2150" s="1942"/>
      <c r="AW2150" s="1942"/>
      <c r="AX2150" s="1942"/>
      <c r="AY2150" s="1942"/>
      <c r="AZ2150" s="1942"/>
      <c r="BA2150" s="1942"/>
      <c r="BB2150" s="575"/>
      <c r="BC2150" s="576"/>
      <c r="BD2150" s="678"/>
      <c r="BE2150" s="585"/>
    </row>
    <row r="2151" spans="1:57" s="51" customFormat="1" ht="15" hidden="1" customHeight="1" outlineLevel="1" x14ac:dyDescent="0.25">
      <c r="A2151" s="1267"/>
      <c r="B2151" s="123"/>
      <c r="C2151" s="328"/>
      <c r="D2151" s="3990"/>
      <c r="E2151" s="4009"/>
      <c r="F2151" s="3010" t="str">
        <f>$E$1733</f>
        <v>ASHP-SEER20_ER2_MF</v>
      </c>
      <c r="G2151" s="2676"/>
      <c r="H2151" s="2676"/>
      <c r="I2151" s="2677"/>
      <c r="J2151" s="3299" t="str">
        <f>$C$1733</f>
        <v>354700_2019_12_</v>
      </c>
      <c r="K2151" s="2857">
        <v>1496</v>
      </c>
      <c r="L2151" s="851"/>
      <c r="M2151" s="1595"/>
      <c r="N2151" s="123"/>
      <c r="O2151" s="228"/>
      <c r="P2151" s="228"/>
      <c r="Q2151" s="228"/>
      <c r="R2151" s="228"/>
      <c r="S2151" s="123"/>
      <c r="T2151" s="123"/>
      <c r="U2151" s="123"/>
      <c r="V2151" s="3990"/>
      <c r="W2151" s="2857">
        <v>2009</v>
      </c>
      <c r="X2151" s="3155">
        <v>1496</v>
      </c>
      <c r="Y2151" s="2857">
        <v>1496</v>
      </c>
      <c r="Z2151" s="2857">
        <v>1496</v>
      </c>
      <c r="AA2151" s="2857">
        <v>1496</v>
      </c>
      <c r="AB2151" s="2857">
        <v>1496</v>
      </c>
      <c r="AC2151" s="2857">
        <v>1496</v>
      </c>
      <c r="AD2151" s="2857"/>
      <c r="AE2151" s="2857"/>
      <c r="AF2151" s="2857"/>
      <c r="AG2151" s="2857"/>
      <c r="AH2151" s="1942"/>
      <c r="AI2151" s="1942"/>
      <c r="AJ2151" s="1942"/>
      <c r="AK2151" s="1942"/>
      <c r="AL2151" s="1942"/>
      <c r="AM2151" s="1942"/>
      <c r="AN2151" s="1942"/>
      <c r="AO2151" s="1942"/>
      <c r="AP2151" s="1942"/>
      <c r="AQ2151" s="1942"/>
      <c r="AR2151" s="1942"/>
      <c r="AS2151" s="1942"/>
      <c r="AT2151" s="1942"/>
      <c r="AU2151" s="1942"/>
      <c r="AV2151" s="1942"/>
      <c r="AW2151" s="1942"/>
      <c r="AX2151" s="1942"/>
      <c r="AY2151" s="1942"/>
      <c r="AZ2151" s="1942"/>
      <c r="BA2151" s="1942"/>
      <c r="BB2151" s="575"/>
      <c r="BC2151" s="576"/>
      <c r="BD2151" s="678"/>
      <c r="BE2151" s="585"/>
    </row>
    <row r="2152" spans="1:57" s="51" customFormat="1" ht="15" hidden="1" customHeight="1" outlineLevel="1" x14ac:dyDescent="0.25">
      <c r="A2152" s="1267"/>
      <c r="B2152" s="123"/>
      <c r="C2152" s="328"/>
      <c r="D2152" s="3990"/>
      <c r="E2152" s="4009"/>
      <c r="F2152" s="3010" t="str">
        <f>$E$1735</f>
        <v>ASHP-SEER20_ER1_MF_CompE</v>
      </c>
      <c r="G2152" s="2676"/>
      <c r="H2152" s="2676"/>
      <c r="I2152" s="2677"/>
      <c r="J2152" s="3299" t="str">
        <f>$C$1735</f>
        <v>354701_2019_12_</v>
      </c>
      <c r="K2152" s="2857">
        <v>510</v>
      </c>
      <c r="L2152" s="851"/>
      <c r="M2152" s="1595" t="s">
        <v>1558</v>
      </c>
      <c r="N2152" s="123"/>
      <c r="O2152" s="228"/>
      <c r="P2152" s="228"/>
      <c r="Q2152" s="228"/>
      <c r="R2152" s="228"/>
      <c r="S2152" s="123"/>
      <c r="T2152" s="123"/>
      <c r="U2152" s="123"/>
      <c r="V2152" s="3990"/>
      <c r="W2152" s="2857"/>
      <c r="X2152" s="3155"/>
      <c r="Y2152" s="3155">
        <v>510</v>
      </c>
      <c r="Z2152" s="2857">
        <v>510</v>
      </c>
      <c r="AA2152" s="2857">
        <v>510</v>
      </c>
      <c r="AB2152" s="2857">
        <v>510</v>
      </c>
      <c r="AC2152" s="2857">
        <v>510</v>
      </c>
      <c r="AD2152" s="2857"/>
      <c r="AE2152" s="2857"/>
      <c r="AF2152" s="2857"/>
      <c r="AG2152" s="2857"/>
      <c r="AH2152" s="1942"/>
      <c r="AI2152" s="1942"/>
      <c r="AJ2152" s="1942"/>
      <c r="AK2152" s="1942"/>
      <c r="AL2152" s="1942"/>
      <c r="AM2152" s="1942"/>
      <c r="AN2152" s="1942"/>
      <c r="AO2152" s="1942"/>
      <c r="AP2152" s="1942"/>
      <c r="AQ2152" s="1942"/>
      <c r="AR2152" s="1942"/>
      <c r="AS2152" s="1942"/>
      <c r="AT2152" s="1942"/>
      <c r="AU2152" s="1942"/>
      <c r="AV2152" s="1942"/>
      <c r="AW2152" s="1942"/>
      <c r="AX2152" s="1942"/>
      <c r="AY2152" s="1942"/>
      <c r="AZ2152" s="1942"/>
      <c r="BA2152" s="1942"/>
      <c r="BB2152" s="575"/>
      <c r="BC2152" s="576"/>
      <c r="BD2152" s="678"/>
      <c r="BE2152" s="585"/>
    </row>
    <row r="2153" spans="1:57" s="51" customFormat="1" ht="15" hidden="1" customHeight="1" outlineLevel="1" x14ac:dyDescent="0.25">
      <c r="A2153" s="1267"/>
      <c r="B2153" s="123"/>
      <c r="C2153" s="328"/>
      <c r="D2153" s="3990"/>
      <c r="E2153" s="4009"/>
      <c r="F2153" s="3010" t="str">
        <f>$E$1737</f>
        <v>ASHP-SEER20_ER2_MF_CompE</v>
      </c>
      <c r="G2153" s="2676"/>
      <c r="H2153" s="2676"/>
      <c r="I2153" s="2677"/>
      <c r="J2153" s="3299" t="str">
        <f>$C$1737</f>
        <v>354701_2019_12_</v>
      </c>
      <c r="K2153" s="2857">
        <v>510</v>
      </c>
      <c r="L2153" s="851"/>
      <c r="M2153" s="1595" t="s">
        <v>1558</v>
      </c>
      <c r="N2153" s="123"/>
      <c r="O2153" s="228"/>
      <c r="P2153" s="228"/>
      <c r="Q2153" s="228"/>
      <c r="R2153" s="228"/>
      <c r="S2153" s="123"/>
      <c r="T2153" s="123"/>
      <c r="U2153" s="123"/>
      <c r="V2153" s="3990"/>
      <c r="W2153" s="2857"/>
      <c r="X2153" s="3155"/>
      <c r="Y2153" s="3155">
        <v>510</v>
      </c>
      <c r="Z2153" s="2857">
        <v>510</v>
      </c>
      <c r="AA2153" s="2857">
        <v>510</v>
      </c>
      <c r="AB2153" s="2857">
        <v>510</v>
      </c>
      <c r="AC2153" s="2857">
        <v>510</v>
      </c>
      <c r="AD2153" s="2857"/>
      <c r="AE2153" s="2857"/>
      <c r="AF2153" s="2857"/>
      <c r="AG2153" s="2857"/>
      <c r="AH2153" s="1942"/>
      <c r="AI2153" s="1942"/>
      <c r="AJ2153" s="1942"/>
      <c r="AK2153" s="1942"/>
      <c r="AL2153" s="1942"/>
      <c r="AM2153" s="1942"/>
      <c r="AN2153" s="1942"/>
      <c r="AO2153" s="1942"/>
      <c r="AP2153" s="1942"/>
      <c r="AQ2153" s="1942"/>
      <c r="AR2153" s="1942"/>
      <c r="AS2153" s="1942"/>
      <c r="AT2153" s="1942"/>
      <c r="AU2153" s="1942"/>
      <c r="AV2153" s="1942"/>
      <c r="AW2153" s="1942"/>
      <c r="AX2153" s="1942"/>
      <c r="AY2153" s="1942"/>
      <c r="AZ2153" s="1942"/>
      <c r="BA2153" s="1942"/>
      <c r="BB2153" s="575"/>
      <c r="BC2153" s="576"/>
      <c r="BD2153" s="678"/>
      <c r="BE2153" s="585"/>
    </row>
    <row r="2154" spans="1:57" s="51" customFormat="1" ht="15" hidden="1" customHeight="1" outlineLevel="1" x14ac:dyDescent="0.25">
      <c r="A2154" s="1267"/>
      <c r="B2154" s="123"/>
      <c r="C2154" s="328"/>
      <c r="D2154" s="3990"/>
      <c r="E2154" s="4009"/>
      <c r="F2154" s="3010" t="str">
        <f>$E$1739</f>
        <v>ASHP-SEER21_ER1_SF</v>
      </c>
      <c r="G2154" s="2676"/>
      <c r="H2154" s="2676"/>
      <c r="I2154" s="2677"/>
      <c r="J2154" s="3298" t="str">
        <f>$C$1739</f>
        <v>354750_2021_12_</v>
      </c>
      <c r="K2154" s="2857">
        <v>1496</v>
      </c>
      <c r="L2154" s="851"/>
      <c r="M2154" s="1595"/>
      <c r="N2154" s="123"/>
      <c r="O2154" s="228"/>
      <c r="P2154" s="228"/>
      <c r="Q2154" s="228"/>
      <c r="R2154" s="228"/>
      <c r="S2154" s="123"/>
      <c r="T2154" s="123"/>
      <c r="U2154" s="123"/>
      <c r="V2154" s="3990"/>
      <c r="W2154" s="2857">
        <v>2009</v>
      </c>
      <c r="X2154" s="3155">
        <v>1496</v>
      </c>
      <c r="Y2154" s="2857">
        <v>1496</v>
      </c>
      <c r="Z2154" s="2857">
        <v>1496</v>
      </c>
      <c r="AA2154" s="2857">
        <v>1496</v>
      </c>
      <c r="AB2154" s="2857">
        <v>1496</v>
      </c>
      <c r="AC2154" s="2857">
        <v>1496</v>
      </c>
      <c r="AD2154" s="2857"/>
      <c r="AE2154" s="2857"/>
      <c r="AF2154" s="2857"/>
      <c r="AG2154" s="2857"/>
      <c r="AH2154" s="1942"/>
      <c r="AI2154" s="1942"/>
      <c r="AJ2154" s="1942"/>
      <c r="AK2154" s="1942"/>
      <c r="AL2154" s="1942"/>
      <c r="AM2154" s="1942"/>
      <c r="AN2154" s="1942"/>
      <c r="AO2154" s="1942"/>
      <c r="AP2154" s="1942"/>
      <c r="AQ2154" s="1942"/>
      <c r="AR2154" s="1942"/>
      <c r="AS2154" s="1942"/>
      <c r="AT2154" s="1942"/>
      <c r="AU2154" s="1942"/>
      <c r="AV2154" s="1942"/>
      <c r="AW2154" s="1942"/>
      <c r="AX2154" s="1942"/>
      <c r="AY2154" s="1942"/>
      <c r="AZ2154" s="1942"/>
      <c r="BA2154" s="1942"/>
      <c r="BB2154" s="575"/>
      <c r="BC2154" s="576"/>
      <c r="BD2154" s="678"/>
      <c r="BE2154" s="585"/>
    </row>
    <row r="2155" spans="1:57" s="51" customFormat="1" ht="15" hidden="1" customHeight="1" outlineLevel="1" x14ac:dyDescent="0.25">
      <c r="A2155" s="1267"/>
      <c r="B2155" s="123"/>
      <c r="C2155" s="328"/>
      <c r="D2155" s="3990"/>
      <c r="E2155" s="4009"/>
      <c r="F2155" s="3010" t="str">
        <f>$E$1741</f>
        <v>ASHP-SEER21_ER2_SF</v>
      </c>
      <c r="G2155" s="2676"/>
      <c r="H2155" s="2676"/>
      <c r="I2155" s="2677"/>
      <c r="J2155" s="3298" t="str">
        <f>$C$1741</f>
        <v>354750_2021_12_</v>
      </c>
      <c r="K2155" s="2857">
        <v>1496</v>
      </c>
      <c r="L2155" s="851"/>
      <c r="M2155" s="1595"/>
      <c r="N2155" s="123"/>
      <c r="O2155" s="228"/>
      <c r="P2155" s="228"/>
      <c r="Q2155" s="228"/>
      <c r="R2155" s="228"/>
      <c r="S2155" s="123"/>
      <c r="T2155" s="123"/>
      <c r="U2155" s="123"/>
      <c r="V2155" s="3990"/>
      <c r="W2155" s="2857">
        <v>2009</v>
      </c>
      <c r="X2155" s="3155">
        <v>1496</v>
      </c>
      <c r="Y2155" s="2857">
        <v>1496</v>
      </c>
      <c r="Z2155" s="2857">
        <v>1496</v>
      </c>
      <c r="AA2155" s="2857">
        <v>1496</v>
      </c>
      <c r="AB2155" s="2857">
        <v>1496</v>
      </c>
      <c r="AC2155" s="2857">
        <v>1496</v>
      </c>
      <c r="AD2155" s="2857"/>
      <c r="AE2155" s="2857"/>
      <c r="AF2155" s="2857"/>
      <c r="AG2155" s="2857"/>
      <c r="AH2155" s="1942"/>
      <c r="AI2155" s="1942"/>
      <c r="AJ2155" s="1942"/>
      <c r="AK2155" s="1942"/>
      <c r="AL2155" s="1942"/>
      <c r="AM2155" s="1942"/>
      <c r="AN2155" s="1942"/>
      <c r="AO2155" s="1942"/>
      <c r="AP2155" s="1942"/>
      <c r="AQ2155" s="1942"/>
      <c r="AR2155" s="1942"/>
      <c r="AS2155" s="1942"/>
      <c r="AT2155" s="1942"/>
      <c r="AU2155" s="1942"/>
      <c r="AV2155" s="1942"/>
      <c r="AW2155" s="1942"/>
      <c r="AX2155" s="1942"/>
      <c r="AY2155" s="1942"/>
      <c r="AZ2155" s="1942"/>
      <c r="BA2155" s="1942"/>
      <c r="BB2155" s="575"/>
      <c r="BC2155" s="576"/>
      <c r="BD2155" s="678"/>
      <c r="BE2155" s="585"/>
    </row>
    <row r="2156" spans="1:57" s="51" customFormat="1" ht="15" hidden="1" customHeight="1" outlineLevel="1" x14ac:dyDescent="0.25">
      <c r="A2156" s="1267"/>
      <c r="B2156" s="123"/>
      <c r="C2156" s="328"/>
      <c r="D2156" s="3990"/>
      <c r="E2156" s="4009"/>
      <c r="F2156" s="3010" t="str">
        <f>$E$1743</f>
        <v>ASHP-SEER21_ROF_SF</v>
      </c>
      <c r="G2156" s="2676"/>
      <c r="H2156" s="2676"/>
      <c r="I2156" s="2677"/>
      <c r="J2156" s="3298" t="str">
        <f>$C$1743</f>
        <v>354800_2021_12_</v>
      </c>
      <c r="K2156" s="2857">
        <v>1496</v>
      </c>
      <c r="L2156" s="851"/>
      <c r="M2156" s="1595"/>
      <c r="N2156" s="123"/>
      <c r="O2156" s="228"/>
      <c r="P2156" s="228"/>
      <c r="Q2156" s="228"/>
      <c r="R2156" s="228"/>
      <c r="S2156" s="123"/>
      <c r="T2156" s="123"/>
      <c r="U2156" s="123"/>
      <c r="V2156" s="3990"/>
      <c r="W2156" s="2857">
        <v>2009</v>
      </c>
      <c r="X2156" s="3155">
        <v>1496</v>
      </c>
      <c r="Y2156" s="2857">
        <v>1496</v>
      </c>
      <c r="Z2156" s="2857">
        <v>1496</v>
      </c>
      <c r="AA2156" s="2857">
        <v>1496</v>
      </c>
      <c r="AB2156" s="2857">
        <v>1496</v>
      </c>
      <c r="AC2156" s="2857">
        <v>1496</v>
      </c>
      <c r="AD2156" s="2857"/>
      <c r="AE2156" s="2857"/>
      <c r="AF2156" s="2857"/>
      <c r="AG2156" s="2857"/>
      <c r="AH2156" s="1942"/>
      <c r="AI2156" s="1942"/>
      <c r="AJ2156" s="1942"/>
      <c r="AK2156" s="1942"/>
      <c r="AL2156" s="1942"/>
      <c r="AM2156" s="1942"/>
      <c r="AN2156" s="1942"/>
      <c r="AO2156" s="1942"/>
      <c r="AP2156" s="1942"/>
      <c r="AQ2156" s="1942"/>
      <c r="AR2156" s="1942"/>
      <c r="AS2156" s="1942"/>
      <c r="AT2156" s="1942"/>
      <c r="AU2156" s="1942"/>
      <c r="AV2156" s="1942"/>
      <c r="AW2156" s="1942"/>
      <c r="AX2156" s="1942"/>
      <c r="AY2156" s="1942"/>
      <c r="AZ2156" s="1942"/>
      <c r="BA2156" s="1942"/>
      <c r="BB2156" s="575"/>
      <c r="BC2156" s="576"/>
      <c r="BD2156" s="678"/>
      <c r="BE2156" s="585"/>
    </row>
    <row r="2157" spans="1:57" s="51" customFormat="1" ht="15" hidden="1" customHeight="1" outlineLevel="1" x14ac:dyDescent="0.25">
      <c r="A2157" s="1267"/>
      <c r="B2157" s="123"/>
      <c r="C2157" s="328"/>
      <c r="D2157" s="3990"/>
      <c r="E2157" s="4009"/>
      <c r="F2157" s="3010" t="str">
        <f>$E$1745</f>
        <v>ASHP-SEER21-Replace_CAC_ElectricHeat_ROF_MF</v>
      </c>
      <c r="G2157" s="2676"/>
      <c r="H2157" s="2676"/>
      <c r="I2157" s="2677"/>
      <c r="J2157" s="3299" t="str">
        <f>$C$1745</f>
        <v>354850_2019_12_</v>
      </c>
      <c r="K2157" s="2857">
        <v>1496</v>
      </c>
      <c r="L2157" s="851"/>
      <c r="M2157" s="1595"/>
      <c r="N2157" s="123"/>
      <c r="O2157" s="228"/>
      <c r="P2157" s="228"/>
      <c r="Q2157" s="228"/>
      <c r="R2157" s="228"/>
      <c r="S2157" s="123"/>
      <c r="T2157" s="123"/>
      <c r="U2157" s="123"/>
      <c r="V2157" s="3990"/>
      <c r="W2157" s="2857">
        <v>2009</v>
      </c>
      <c r="X2157" s="3155">
        <v>1496</v>
      </c>
      <c r="Y2157" s="2857">
        <v>1496</v>
      </c>
      <c r="Z2157" s="2857">
        <v>1496</v>
      </c>
      <c r="AA2157" s="2857">
        <v>1496</v>
      </c>
      <c r="AB2157" s="2857">
        <v>1496</v>
      </c>
      <c r="AC2157" s="2857">
        <v>1496</v>
      </c>
      <c r="AD2157" s="2857"/>
      <c r="AE2157" s="2857"/>
      <c r="AF2157" s="2857"/>
      <c r="AG2157" s="2857"/>
      <c r="AH2157" s="1942"/>
      <c r="AI2157" s="1942"/>
      <c r="AJ2157" s="1942"/>
      <c r="AK2157" s="1942"/>
      <c r="AL2157" s="1942"/>
      <c r="AM2157" s="1942"/>
      <c r="AN2157" s="1942"/>
      <c r="AO2157" s="1942"/>
      <c r="AP2157" s="1942"/>
      <c r="AQ2157" s="1942"/>
      <c r="AR2157" s="1942"/>
      <c r="AS2157" s="1942"/>
      <c r="AT2157" s="1942"/>
      <c r="AU2157" s="1942"/>
      <c r="AV2157" s="1942"/>
      <c r="AW2157" s="1942"/>
      <c r="AX2157" s="1942"/>
      <c r="AY2157" s="1942"/>
      <c r="AZ2157" s="1942"/>
      <c r="BA2157" s="1942"/>
      <c r="BB2157" s="575"/>
      <c r="BC2157" s="576"/>
      <c r="BD2157" s="678"/>
      <c r="BE2157" s="585"/>
    </row>
    <row r="2158" spans="1:57" s="51" customFormat="1" ht="15" hidden="1" customHeight="1" outlineLevel="1" x14ac:dyDescent="0.25">
      <c r="A2158" s="1267"/>
      <c r="B2158" s="123"/>
      <c r="C2158" s="328"/>
      <c r="D2158" s="3990"/>
      <c r="E2158" s="4009"/>
      <c r="F2158" s="3010" t="str">
        <f>$E$1747</f>
        <v>ASHP-SEER21-Replace_CAC_ElectricHeat_ROF_MF_CompE</v>
      </c>
      <c r="G2158" s="2676"/>
      <c r="H2158" s="2676"/>
      <c r="I2158" s="2677"/>
      <c r="J2158" s="3299" t="str">
        <f>$C$1747</f>
        <v>354851_2019_12_</v>
      </c>
      <c r="K2158" s="2857">
        <v>510</v>
      </c>
      <c r="L2158" s="851"/>
      <c r="M2158" s="1595" t="s">
        <v>1558</v>
      </c>
      <c r="N2158" s="123"/>
      <c r="O2158" s="228"/>
      <c r="P2158" s="228"/>
      <c r="Q2158" s="228"/>
      <c r="R2158" s="228"/>
      <c r="S2158" s="123"/>
      <c r="T2158" s="123"/>
      <c r="U2158" s="123"/>
      <c r="V2158" s="3990"/>
      <c r="W2158" s="2857"/>
      <c r="X2158" s="3155"/>
      <c r="Y2158" s="3155">
        <v>510</v>
      </c>
      <c r="Z2158" s="2857">
        <v>510</v>
      </c>
      <c r="AA2158" s="2857">
        <v>510</v>
      </c>
      <c r="AB2158" s="2857">
        <v>510</v>
      </c>
      <c r="AC2158" s="2857">
        <v>510</v>
      </c>
      <c r="AD2158" s="2857"/>
      <c r="AE2158" s="2857"/>
      <c r="AF2158" s="2857"/>
      <c r="AG2158" s="2857"/>
      <c r="AH2158" s="1942"/>
      <c r="AI2158" s="1942"/>
      <c r="AJ2158" s="1942"/>
      <c r="AK2158" s="1942"/>
      <c r="AL2158" s="1942"/>
      <c r="AM2158" s="1942"/>
      <c r="AN2158" s="1942"/>
      <c r="AO2158" s="1942"/>
      <c r="AP2158" s="1942"/>
      <c r="AQ2158" s="1942"/>
      <c r="AR2158" s="1942"/>
      <c r="AS2158" s="1942"/>
      <c r="AT2158" s="1942"/>
      <c r="AU2158" s="1942"/>
      <c r="AV2158" s="1942"/>
      <c r="AW2158" s="1942"/>
      <c r="AX2158" s="1942"/>
      <c r="AY2158" s="1942"/>
      <c r="AZ2158" s="1942"/>
      <c r="BA2158" s="1942"/>
      <c r="BB2158" s="575"/>
      <c r="BC2158" s="576"/>
      <c r="BD2158" s="678"/>
      <c r="BE2158" s="585"/>
    </row>
    <row r="2159" spans="1:57" s="1942" customFormat="1" ht="15" hidden="1" customHeight="1" outlineLevel="1" x14ac:dyDescent="0.25">
      <c r="A2159" s="1267"/>
      <c r="B2159" s="123"/>
      <c r="C2159" s="328"/>
      <c r="D2159" s="3990"/>
      <c r="E2159" s="4009"/>
      <c r="F2159" s="3010" t="str">
        <f>$E$1749</f>
        <v>ASHP-SEER21-Replace_CAC_NonElectricHeat_ROF_MF</v>
      </c>
      <c r="G2159" s="2676"/>
      <c r="H2159" s="2676"/>
      <c r="I2159" s="2677"/>
      <c r="J2159" s="3298" t="str">
        <f>$C$1749</f>
        <v>354860_2021_12_</v>
      </c>
      <c r="K2159" s="2225">
        <v>1496</v>
      </c>
      <c r="L2159" s="851"/>
      <c r="M2159" s="1595"/>
      <c r="N2159" s="123"/>
      <c r="O2159" s="228"/>
      <c r="P2159" s="228"/>
      <c r="Q2159" s="228"/>
      <c r="R2159" s="228"/>
      <c r="S2159" s="123"/>
      <c r="T2159" s="123"/>
      <c r="U2159" s="123"/>
      <c r="V2159" s="3990"/>
      <c r="W2159" s="2857"/>
      <c r="X2159" s="3155"/>
      <c r="Y2159" s="3155"/>
      <c r="Z2159" s="2857"/>
      <c r="AA2159" s="2857"/>
      <c r="AB2159" s="2857"/>
      <c r="AC2159" s="2225">
        <v>1496</v>
      </c>
      <c r="AD2159" s="2857"/>
      <c r="AE2159" s="2857"/>
      <c r="AF2159" s="2857"/>
      <c r="AG2159" s="2857"/>
      <c r="BB2159" s="575"/>
      <c r="BC2159" s="576"/>
      <c r="BD2159" s="678"/>
      <c r="BE2159" s="585"/>
    </row>
    <row r="2160" spans="1:57" s="1942" customFormat="1" ht="15" hidden="1" customHeight="1" outlineLevel="1" x14ac:dyDescent="0.25">
      <c r="A2160" s="1267"/>
      <c r="B2160" s="123"/>
      <c r="C2160" s="328"/>
      <c r="D2160" s="3990"/>
      <c r="E2160" s="4009"/>
      <c r="F2160" s="3010" t="str">
        <f>$E$1751</f>
        <v>ASHP-SEER21-Replace_CAC_NonElectricHeat_ROF_MF_CompE</v>
      </c>
      <c r="G2160" s="2676"/>
      <c r="H2160" s="2676"/>
      <c r="I2160" s="2677"/>
      <c r="J2160" s="3298" t="str">
        <f>$C$1751</f>
        <v>354861_2021_12_</v>
      </c>
      <c r="K2160" s="2225">
        <v>510</v>
      </c>
      <c r="L2160" s="851"/>
      <c r="M2160" s="1595"/>
      <c r="N2160" s="123"/>
      <c r="O2160" s="228"/>
      <c r="P2160" s="228"/>
      <c r="Q2160" s="228"/>
      <c r="R2160" s="228"/>
      <c r="S2160" s="123"/>
      <c r="T2160" s="123"/>
      <c r="U2160" s="123"/>
      <c r="V2160" s="3990"/>
      <c r="W2160" s="2857"/>
      <c r="X2160" s="3155"/>
      <c r="Y2160" s="3155"/>
      <c r="Z2160" s="2857"/>
      <c r="AA2160" s="2857"/>
      <c r="AB2160" s="2857"/>
      <c r="AC2160" s="2225">
        <v>510</v>
      </c>
      <c r="AD2160" s="2857"/>
      <c r="AE2160" s="2857"/>
      <c r="AF2160" s="2857"/>
      <c r="AG2160" s="2857"/>
      <c r="BB2160" s="575"/>
      <c r="BC2160" s="576"/>
      <c r="BD2160" s="678"/>
      <c r="BE2160" s="585"/>
    </row>
    <row r="2161" spans="1:57" s="51" customFormat="1" ht="15" hidden="1" customHeight="1" outlineLevel="1" x14ac:dyDescent="0.25">
      <c r="A2161" s="1267"/>
      <c r="B2161" s="123"/>
      <c r="C2161" s="328"/>
      <c r="D2161" s="3990"/>
      <c r="E2161" s="4009"/>
      <c r="F2161" s="3010" t="str">
        <f>$E$1753</f>
        <v>ASHP-SEER21_ER1_MF</v>
      </c>
      <c r="G2161" s="2676"/>
      <c r="H2161" s="2676"/>
      <c r="I2161" s="2677"/>
      <c r="J2161" s="3299" t="str">
        <f>$C$1753</f>
        <v>354900_2019_12_</v>
      </c>
      <c r="K2161" s="2857">
        <v>1496</v>
      </c>
      <c r="L2161" s="851"/>
      <c r="M2161" s="1595"/>
      <c r="N2161" s="123"/>
      <c r="O2161" s="228"/>
      <c r="P2161" s="228"/>
      <c r="Q2161" s="228"/>
      <c r="R2161" s="228"/>
      <c r="S2161" s="123"/>
      <c r="T2161" s="123"/>
      <c r="U2161" s="123"/>
      <c r="V2161" s="3990"/>
      <c r="W2161" s="2857">
        <v>2009</v>
      </c>
      <c r="X2161" s="3155">
        <v>1496</v>
      </c>
      <c r="Y2161" s="2857">
        <v>1496</v>
      </c>
      <c r="Z2161" s="2857">
        <v>1496</v>
      </c>
      <c r="AA2161" s="2857">
        <v>1496</v>
      </c>
      <c r="AB2161" s="2857">
        <v>1496</v>
      </c>
      <c r="AC2161" s="2857">
        <v>1496</v>
      </c>
      <c r="AD2161" s="2857"/>
      <c r="AE2161" s="2857"/>
      <c r="AF2161" s="2857"/>
      <c r="AG2161" s="2857"/>
      <c r="AH2161" s="1942"/>
      <c r="AI2161" s="1942"/>
      <c r="AJ2161" s="1942"/>
      <c r="AK2161" s="1942"/>
      <c r="AL2161" s="1942"/>
      <c r="AM2161" s="1942"/>
      <c r="AN2161" s="1942"/>
      <c r="AO2161" s="1942"/>
      <c r="AP2161" s="1942"/>
      <c r="AQ2161" s="1942"/>
      <c r="AR2161" s="1942"/>
      <c r="AS2161" s="1942"/>
      <c r="AT2161" s="1942"/>
      <c r="AU2161" s="1942"/>
      <c r="AV2161" s="1942"/>
      <c r="AW2161" s="1942"/>
      <c r="AX2161" s="1942"/>
      <c r="AY2161" s="1942"/>
      <c r="AZ2161" s="1942"/>
      <c r="BA2161" s="1942"/>
      <c r="BB2161" s="575"/>
      <c r="BC2161" s="576"/>
      <c r="BD2161" s="678"/>
      <c r="BE2161" s="585"/>
    </row>
    <row r="2162" spans="1:57" s="51" customFormat="1" ht="15" hidden="1" customHeight="1" outlineLevel="1" x14ac:dyDescent="0.25">
      <c r="A2162" s="1267"/>
      <c r="B2162" s="123"/>
      <c r="C2162" s="328"/>
      <c r="D2162" s="3990"/>
      <c r="E2162" s="4009"/>
      <c r="F2162" s="3010" t="str">
        <f>$E$1755</f>
        <v>ASHP-SEER21_ER2_MF</v>
      </c>
      <c r="G2162" s="2676"/>
      <c r="H2162" s="2676"/>
      <c r="I2162" s="2677"/>
      <c r="J2162" s="3299" t="str">
        <f>$C$1755</f>
        <v>354900_2019_12_</v>
      </c>
      <c r="K2162" s="2857">
        <v>1496</v>
      </c>
      <c r="L2162" s="851"/>
      <c r="M2162" s="1595"/>
      <c r="N2162" s="123"/>
      <c r="O2162" s="228"/>
      <c r="P2162" s="228"/>
      <c r="Q2162" s="228"/>
      <c r="R2162" s="228"/>
      <c r="S2162" s="123"/>
      <c r="T2162" s="123"/>
      <c r="U2162" s="123"/>
      <c r="V2162" s="3990"/>
      <c r="W2162" s="2857">
        <v>2009</v>
      </c>
      <c r="X2162" s="3155">
        <v>1496</v>
      </c>
      <c r="Y2162" s="2857">
        <v>1496</v>
      </c>
      <c r="Z2162" s="2857">
        <v>1496</v>
      </c>
      <c r="AA2162" s="2857">
        <v>1496</v>
      </c>
      <c r="AB2162" s="2857">
        <v>1496</v>
      </c>
      <c r="AC2162" s="2857">
        <v>1496</v>
      </c>
      <c r="AD2162" s="2857"/>
      <c r="AE2162" s="2857"/>
      <c r="AF2162" s="2857"/>
      <c r="AG2162" s="2857"/>
      <c r="AH2162" s="1942"/>
      <c r="AI2162" s="1942"/>
      <c r="AJ2162" s="1942"/>
      <c r="AK2162" s="1942"/>
      <c r="AL2162" s="1942"/>
      <c r="AM2162" s="1942"/>
      <c r="AN2162" s="1942"/>
      <c r="AO2162" s="1942"/>
      <c r="AP2162" s="1942"/>
      <c r="AQ2162" s="1942"/>
      <c r="AR2162" s="1942"/>
      <c r="AS2162" s="1942"/>
      <c r="AT2162" s="1942"/>
      <c r="AU2162" s="1942"/>
      <c r="AV2162" s="1942"/>
      <c r="AW2162" s="1942"/>
      <c r="AX2162" s="1942"/>
      <c r="AY2162" s="1942"/>
      <c r="AZ2162" s="1942"/>
      <c r="BA2162" s="1942"/>
      <c r="BB2162" s="575"/>
      <c r="BC2162" s="576"/>
      <c r="BD2162" s="678"/>
      <c r="BE2162" s="585"/>
    </row>
    <row r="2163" spans="1:57" s="51" customFormat="1" ht="15" hidden="1" customHeight="1" outlineLevel="1" x14ac:dyDescent="0.25">
      <c r="A2163" s="1267"/>
      <c r="B2163" s="123"/>
      <c r="C2163" s="328"/>
      <c r="D2163" s="3990"/>
      <c r="E2163" s="4009"/>
      <c r="F2163" s="3010" t="str">
        <f>$E$1757</f>
        <v>ASHP-SEER21_ER1_MF_CompE</v>
      </c>
      <c r="G2163" s="2676"/>
      <c r="H2163" s="2676"/>
      <c r="I2163" s="2677"/>
      <c r="J2163" s="3299" t="str">
        <f>$C$1757</f>
        <v>354901_2019_12_</v>
      </c>
      <c r="K2163" s="2857">
        <v>510</v>
      </c>
      <c r="L2163" s="851"/>
      <c r="M2163" s="1595" t="s">
        <v>1558</v>
      </c>
      <c r="N2163" s="123"/>
      <c r="O2163" s="228"/>
      <c r="P2163" s="228"/>
      <c r="Q2163" s="228"/>
      <c r="R2163" s="228"/>
      <c r="S2163" s="123"/>
      <c r="T2163" s="123"/>
      <c r="U2163" s="123"/>
      <c r="V2163" s="3990"/>
      <c r="W2163" s="2857"/>
      <c r="X2163" s="3155"/>
      <c r="Y2163" s="3155">
        <v>510</v>
      </c>
      <c r="Z2163" s="2857">
        <v>510</v>
      </c>
      <c r="AA2163" s="2857">
        <v>510</v>
      </c>
      <c r="AB2163" s="2857">
        <v>510</v>
      </c>
      <c r="AC2163" s="2857">
        <v>510</v>
      </c>
      <c r="AD2163" s="2857"/>
      <c r="AE2163" s="2857"/>
      <c r="AF2163" s="2857"/>
      <c r="AG2163" s="2857"/>
      <c r="AH2163" s="1942"/>
      <c r="AI2163" s="1942"/>
      <c r="AJ2163" s="1942"/>
      <c r="AK2163" s="1942"/>
      <c r="AL2163" s="1942"/>
      <c r="AM2163" s="1942"/>
      <c r="AN2163" s="1942"/>
      <c r="AO2163" s="1942"/>
      <c r="AP2163" s="1942"/>
      <c r="AQ2163" s="1942"/>
      <c r="AR2163" s="1942"/>
      <c r="AS2163" s="1942"/>
      <c r="AT2163" s="1942"/>
      <c r="AU2163" s="1942"/>
      <c r="AV2163" s="1942"/>
      <c r="AW2163" s="1942"/>
      <c r="AX2163" s="1942"/>
      <c r="AY2163" s="1942"/>
      <c r="AZ2163" s="1942"/>
      <c r="BA2163" s="1942"/>
      <c r="BB2163" s="575"/>
      <c r="BC2163" s="576"/>
      <c r="BD2163" s="678"/>
      <c r="BE2163" s="585"/>
    </row>
    <row r="2164" spans="1:57" s="51" customFormat="1" ht="15" hidden="1" customHeight="1" outlineLevel="1" x14ac:dyDescent="0.25">
      <c r="A2164" s="1267"/>
      <c r="B2164" s="123"/>
      <c r="C2164" s="328"/>
      <c r="D2164" s="3990"/>
      <c r="E2164" s="4009"/>
      <c r="F2164" s="3010" t="str">
        <f>$E$1759</f>
        <v>ASHP-SEER21_ER2_MF_CompE</v>
      </c>
      <c r="G2164" s="2676"/>
      <c r="H2164" s="2676"/>
      <c r="I2164" s="2677"/>
      <c r="J2164" s="3299" t="str">
        <f>$C$1759</f>
        <v>354901_2019_12_</v>
      </c>
      <c r="K2164" s="2857">
        <v>510</v>
      </c>
      <c r="L2164" s="851"/>
      <c r="M2164" s="1595" t="s">
        <v>1558</v>
      </c>
      <c r="N2164" s="123"/>
      <c r="O2164" s="228"/>
      <c r="P2164" s="228"/>
      <c r="Q2164" s="228"/>
      <c r="R2164" s="228"/>
      <c r="S2164" s="123"/>
      <c r="T2164" s="123"/>
      <c r="U2164" s="123"/>
      <c r="V2164" s="3990"/>
      <c r="W2164" s="2857"/>
      <c r="X2164" s="3155"/>
      <c r="Y2164" s="3155">
        <v>510</v>
      </c>
      <c r="Z2164" s="2857">
        <v>510</v>
      </c>
      <c r="AA2164" s="2857">
        <v>510</v>
      </c>
      <c r="AB2164" s="2857">
        <v>510</v>
      </c>
      <c r="AC2164" s="2857">
        <v>510</v>
      </c>
      <c r="AD2164" s="2857"/>
      <c r="AE2164" s="2857"/>
      <c r="AF2164" s="2857"/>
      <c r="AG2164" s="2857"/>
      <c r="AH2164" s="1942"/>
      <c r="AI2164" s="1942"/>
      <c r="AJ2164" s="1942"/>
      <c r="AK2164" s="1942"/>
      <c r="AL2164" s="1942"/>
      <c r="AM2164" s="1942"/>
      <c r="AN2164" s="1942"/>
      <c r="AO2164" s="1942"/>
      <c r="AP2164" s="1942"/>
      <c r="AQ2164" s="1942"/>
      <c r="AR2164" s="1942"/>
      <c r="AS2164" s="1942"/>
      <c r="AT2164" s="1942"/>
      <c r="AU2164" s="1942"/>
      <c r="AV2164" s="1942"/>
      <c r="AW2164" s="1942"/>
      <c r="AX2164" s="1942"/>
      <c r="AY2164" s="1942"/>
      <c r="AZ2164" s="1942"/>
      <c r="BA2164" s="1942"/>
      <c r="BB2164" s="575"/>
      <c r="BC2164" s="576"/>
      <c r="BD2164" s="678"/>
      <c r="BE2164" s="585"/>
    </row>
    <row r="2165" spans="1:57" s="51" customFormat="1" ht="15" hidden="1" customHeight="1" outlineLevel="1" x14ac:dyDescent="0.25">
      <c r="A2165" s="1267"/>
      <c r="B2165" s="123"/>
      <c r="C2165" s="328"/>
      <c r="D2165" s="3990"/>
      <c r="E2165" s="4009"/>
      <c r="F2165" s="3010" t="str">
        <f>$E$1761</f>
        <v>ASHP-SEER17_ROF_MF</v>
      </c>
      <c r="G2165" s="2676"/>
      <c r="H2165" s="2676"/>
      <c r="I2165" s="2677"/>
      <c r="J2165" s="3299" t="str">
        <f>$C$1761</f>
        <v>354950_2019_12_</v>
      </c>
      <c r="K2165" s="2857">
        <v>1496</v>
      </c>
      <c r="L2165" s="851"/>
      <c r="M2165" s="1595"/>
      <c r="N2165" s="123"/>
      <c r="O2165" s="228"/>
      <c r="P2165" s="228"/>
      <c r="Q2165" s="228"/>
      <c r="R2165" s="228"/>
      <c r="S2165" s="123"/>
      <c r="T2165" s="123"/>
      <c r="U2165" s="123"/>
      <c r="V2165" s="3990"/>
      <c r="W2165" s="2857">
        <v>2009</v>
      </c>
      <c r="X2165" s="3155">
        <v>1496</v>
      </c>
      <c r="Y2165" s="2857">
        <v>1496</v>
      </c>
      <c r="Z2165" s="2857">
        <v>1496</v>
      </c>
      <c r="AA2165" s="2857">
        <v>1496</v>
      </c>
      <c r="AB2165" s="2857">
        <v>1496</v>
      </c>
      <c r="AC2165" s="2857">
        <v>1496</v>
      </c>
      <c r="AD2165" s="2857"/>
      <c r="AE2165" s="2857"/>
      <c r="AF2165" s="2857"/>
      <c r="AG2165" s="2857"/>
      <c r="AH2165" s="1942"/>
      <c r="AI2165" s="1942"/>
      <c r="AJ2165" s="1942"/>
      <c r="AK2165" s="1942"/>
      <c r="AL2165" s="1942"/>
      <c r="AM2165" s="1942"/>
      <c r="AN2165" s="1942"/>
      <c r="AO2165" s="1942"/>
      <c r="AP2165" s="1942"/>
      <c r="AQ2165" s="1942"/>
      <c r="AR2165" s="1942"/>
      <c r="AS2165" s="1942"/>
      <c r="AT2165" s="1942"/>
      <c r="AU2165" s="1942"/>
      <c r="AV2165" s="1942"/>
      <c r="AW2165" s="1942"/>
      <c r="AX2165" s="1942"/>
      <c r="AY2165" s="1942"/>
      <c r="AZ2165" s="1942"/>
      <c r="BA2165" s="1942"/>
      <c r="BB2165" s="575"/>
      <c r="BC2165" s="576"/>
      <c r="BD2165" s="678"/>
      <c r="BE2165" s="585"/>
    </row>
    <row r="2166" spans="1:57" s="51" customFormat="1" ht="15" hidden="1" customHeight="1" outlineLevel="1" x14ac:dyDescent="0.25">
      <c r="A2166" s="1267"/>
      <c r="B2166" s="123"/>
      <c r="C2166" s="328"/>
      <c r="D2166" s="3990"/>
      <c r="E2166" s="4009"/>
      <c r="F2166" s="3010" t="str">
        <f>$E$1763</f>
        <v>ASHP-SEER17_ROF_MF_CompE</v>
      </c>
      <c r="G2166" s="2676"/>
      <c r="H2166" s="2676"/>
      <c r="I2166" s="2677"/>
      <c r="J2166" s="3299" t="str">
        <f>$C$1763</f>
        <v>354951_2019_12_</v>
      </c>
      <c r="K2166" s="2857">
        <v>510</v>
      </c>
      <c r="L2166" s="851"/>
      <c r="M2166" s="1595" t="s">
        <v>1558</v>
      </c>
      <c r="N2166" s="123"/>
      <c r="O2166" s="228"/>
      <c r="P2166" s="228"/>
      <c r="Q2166" s="228"/>
      <c r="R2166" s="228"/>
      <c r="S2166" s="123"/>
      <c r="T2166" s="123"/>
      <c r="U2166" s="123"/>
      <c r="V2166" s="3990"/>
      <c r="W2166" s="2857"/>
      <c r="X2166" s="3155"/>
      <c r="Y2166" s="3155">
        <v>510</v>
      </c>
      <c r="Z2166" s="2857">
        <v>510</v>
      </c>
      <c r="AA2166" s="2857">
        <v>510</v>
      </c>
      <c r="AB2166" s="2857">
        <v>510</v>
      </c>
      <c r="AC2166" s="2857">
        <v>510</v>
      </c>
      <c r="AD2166" s="2857"/>
      <c r="AE2166" s="2857"/>
      <c r="AF2166" s="2857"/>
      <c r="AG2166" s="2857"/>
      <c r="AH2166" s="1942"/>
      <c r="AI2166" s="1942"/>
      <c r="AJ2166" s="1942"/>
      <c r="AK2166" s="1942"/>
      <c r="AL2166" s="1942"/>
      <c r="AM2166" s="1942"/>
      <c r="AN2166" s="1942"/>
      <c r="AO2166" s="1942"/>
      <c r="AP2166" s="1942"/>
      <c r="AQ2166" s="1942"/>
      <c r="AR2166" s="1942"/>
      <c r="AS2166" s="1942"/>
      <c r="AT2166" s="1942"/>
      <c r="AU2166" s="1942"/>
      <c r="AV2166" s="1942"/>
      <c r="AW2166" s="1942"/>
      <c r="AX2166" s="1942"/>
      <c r="AY2166" s="1942"/>
      <c r="AZ2166" s="1942"/>
      <c r="BA2166" s="1942"/>
      <c r="BB2166" s="575"/>
      <c r="BC2166" s="576"/>
      <c r="BD2166" s="678"/>
      <c r="BE2166" s="585"/>
    </row>
    <row r="2167" spans="1:57" s="51" customFormat="1" ht="15" hidden="1" customHeight="1" outlineLevel="1" x14ac:dyDescent="0.25">
      <c r="A2167" s="2060"/>
      <c r="B2167" s="123"/>
      <c r="C2167" s="328"/>
      <c r="D2167" s="3990"/>
      <c r="E2167" s="4009"/>
      <c r="F2167" s="3010" t="str">
        <f>$E$1765</f>
        <v>ASHP-SEER18_ROF_MF</v>
      </c>
      <c r="G2167" s="2676"/>
      <c r="H2167" s="2676"/>
      <c r="I2167" s="2677"/>
      <c r="J2167" s="3299" t="str">
        <f>$C$1765</f>
        <v>355000_2019_12_</v>
      </c>
      <c r="K2167" s="2857">
        <v>1496</v>
      </c>
      <c r="L2167" s="851"/>
      <c r="M2167" s="1595"/>
      <c r="N2167" s="123"/>
      <c r="O2167" s="228"/>
      <c r="P2167" s="844"/>
      <c r="Q2167" s="845"/>
      <c r="R2167" s="844"/>
      <c r="S2167" s="832"/>
      <c r="T2167" s="3082"/>
      <c r="U2167" s="123"/>
      <c r="V2167" s="3990"/>
      <c r="W2167" s="2857">
        <v>2009</v>
      </c>
      <c r="X2167" s="3155">
        <v>1496</v>
      </c>
      <c r="Y2167" s="2857">
        <v>1496</v>
      </c>
      <c r="Z2167" s="2857">
        <v>1496</v>
      </c>
      <c r="AA2167" s="2857">
        <v>1496</v>
      </c>
      <c r="AB2167" s="2857">
        <v>1496</v>
      </c>
      <c r="AC2167" s="2857">
        <v>1496</v>
      </c>
      <c r="AD2167" s="2857"/>
      <c r="AE2167" s="2857"/>
      <c r="AF2167" s="2857"/>
      <c r="AG2167" s="2857"/>
      <c r="AH2167" s="1942"/>
      <c r="AI2167" s="1942"/>
      <c r="AJ2167" s="1942"/>
      <c r="AK2167" s="1942"/>
      <c r="AL2167" s="1942"/>
      <c r="AM2167" s="1942"/>
      <c r="AN2167" s="1942"/>
      <c r="AO2167" s="1942"/>
      <c r="AP2167" s="1942"/>
      <c r="AQ2167" s="1942"/>
      <c r="AR2167" s="1942"/>
      <c r="AS2167" s="1942"/>
      <c r="AT2167" s="1942"/>
      <c r="AU2167" s="1942"/>
      <c r="AV2167" s="1942"/>
      <c r="AW2167" s="1942"/>
      <c r="AX2167" s="1942"/>
      <c r="AY2167" s="1942"/>
      <c r="AZ2167" s="1942"/>
      <c r="BA2167" s="1942"/>
      <c r="BB2167" s="575"/>
      <c r="BC2167" s="576"/>
      <c r="BD2167" s="678"/>
      <c r="BE2167" s="585"/>
    </row>
    <row r="2168" spans="1:57" s="51" customFormat="1" ht="15" hidden="1" customHeight="1" outlineLevel="1" x14ac:dyDescent="0.25">
      <c r="A2168" s="2060"/>
      <c r="B2168" s="123"/>
      <c r="C2168" s="328"/>
      <c r="D2168" s="3990"/>
      <c r="E2168" s="4009"/>
      <c r="F2168" s="3010" t="str">
        <f>$E$1767</f>
        <v>ASHP-SEER18_ROF_MF_CompE</v>
      </c>
      <c r="G2168" s="2676"/>
      <c r="H2168" s="2676"/>
      <c r="I2168" s="2677"/>
      <c r="J2168" s="3299" t="str">
        <f>$C$1767</f>
        <v>355001_2021_12_</v>
      </c>
      <c r="K2168" s="2857">
        <v>510</v>
      </c>
      <c r="L2168" s="851"/>
      <c r="M2168" s="1595" t="s">
        <v>1558</v>
      </c>
      <c r="N2168" s="123"/>
      <c r="O2168" s="228"/>
      <c r="P2168" s="844"/>
      <c r="Q2168" s="845"/>
      <c r="R2168" s="844"/>
      <c r="S2168" s="832"/>
      <c r="T2168" s="3082"/>
      <c r="U2168" s="123"/>
      <c r="V2168" s="3990"/>
      <c r="W2168" s="2857"/>
      <c r="X2168" s="3155"/>
      <c r="Y2168" s="3155">
        <v>510</v>
      </c>
      <c r="Z2168" s="2857">
        <v>510</v>
      </c>
      <c r="AA2168" s="2857">
        <v>510</v>
      </c>
      <c r="AB2168" s="2857">
        <v>510</v>
      </c>
      <c r="AC2168" s="2857">
        <v>510</v>
      </c>
      <c r="AD2168" s="2857"/>
      <c r="AE2168" s="2857"/>
      <c r="AF2168" s="2857"/>
      <c r="AG2168" s="2857"/>
      <c r="AH2168" s="1942"/>
      <c r="AI2168" s="1942"/>
      <c r="AJ2168" s="1942"/>
      <c r="AK2168" s="1942"/>
      <c r="AL2168" s="1942"/>
      <c r="AM2168" s="1942"/>
      <c r="AN2168" s="1942"/>
      <c r="AO2168" s="1942"/>
      <c r="AP2168" s="1942"/>
      <c r="AQ2168" s="1942"/>
      <c r="AR2168" s="1942"/>
      <c r="AS2168" s="1942"/>
      <c r="AT2168" s="1942"/>
      <c r="AU2168" s="1942"/>
      <c r="AV2168" s="1942"/>
      <c r="AW2168" s="1942"/>
      <c r="AX2168" s="1942"/>
      <c r="AY2168" s="1942"/>
      <c r="AZ2168" s="1942"/>
      <c r="BA2168" s="1942"/>
      <c r="BB2168" s="575"/>
      <c r="BC2168" s="576"/>
      <c r="BD2168" s="678"/>
      <c r="BE2168" s="585"/>
    </row>
    <row r="2169" spans="1:57" s="51" customFormat="1" ht="15" hidden="1" customHeight="1" outlineLevel="1" x14ac:dyDescent="0.25">
      <c r="A2169" s="2060"/>
      <c r="B2169" s="123"/>
      <c r="C2169" s="328"/>
      <c r="D2169" s="3990"/>
      <c r="E2169" s="4009"/>
      <c r="F2169" s="3010" t="str">
        <f>$E$1769</f>
        <v>ASHP-SEER19_ROF_MF</v>
      </c>
      <c r="G2169" s="2676"/>
      <c r="H2169" s="2676"/>
      <c r="I2169" s="2677"/>
      <c r="J2169" s="3299" t="str">
        <f>$C$1769</f>
        <v>355050_2019_12_</v>
      </c>
      <c r="K2169" s="2857">
        <v>1496</v>
      </c>
      <c r="L2169" s="851"/>
      <c r="M2169" s="1595"/>
      <c r="N2169" s="123"/>
      <c r="O2169" s="228"/>
      <c r="P2169" s="844"/>
      <c r="Q2169" s="845"/>
      <c r="R2169" s="844"/>
      <c r="S2169" s="832"/>
      <c r="T2169" s="3082"/>
      <c r="U2169" s="123"/>
      <c r="V2169" s="3990"/>
      <c r="W2169" s="2857">
        <v>2009</v>
      </c>
      <c r="X2169" s="3155">
        <v>1496</v>
      </c>
      <c r="Y2169" s="2857">
        <v>1496</v>
      </c>
      <c r="Z2169" s="2857">
        <v>1496</v>
      </c>
      <c r="AA2169" s="2857">
        <v>1496</v>
      </c>
      <c r="AB2169" s="2857">
        <v>1496</v>
      </c>
      <c r="AC2169" s="2857">
        <v>1496</v>
      </c>
      <c r="AD2169" s="2857"/>
      <c r="AE2169" s="2857"/>
      <c r="AF2169" s="2857"/>
      <c r="AG2169" s="2857"/>
      <c r="AH2169" s="1942"/>
      <c r="AI2169" s="1942"/>
      <c r="AJ2169" s="1942"/>
      <c r="AK2169" s="1942"/>
      <c r="AL2169" s="1942"/>
      <c r="AM2169" s="1942"/>
      <c r="AN2169" s="1942"/>
      <c r="AO2169" s="1942"/>
      <c r="AP2169" s="1942"/>
      <c r="AQ2169" s="1942"/>
      <c r="AR2169" s="1942"/>
      <c r="AS2169" s="1942"/>
      <c r="AT2169" s="1942"/>
      <c r="AU2169" s="1942"/>
      <c r="AV2169" s="1942"/>
      <c r="AW2169" s="1942"/>
      <c r="AX2169" s="1942"/>
      <c r="AY2169" s="1942"/>
      <c r="AZ2169" s="1942"/>
      <c r="BA2169" s="1942"/>
      <c r="BB2169" s="575"/>
      <c r="BC2169" s="576"/>
      <c r="BD2169" s="678"/>
      <c r="BE2169" s="585"/>
    </row>
    <row r="2170" spans="1:57" s="51" customFormat="1" ht="15" hidden="1" customHeight="1" outlineLevel="1" x14ac:dyDescent="0.25">
      <c r="A2170" s="2060"/>
      <c r="B2170" s="123"/>
      <c r="C2170" s="328"/>
      <c r="D2170" s="3990"/>
      <c r="E2170" s="4009"/>
      <c r="F2170" s="3010" t="str">
        <f>$E$1771</f>
        <v>ASHP-SEER19_ROF_MF_CompE</v>
      </c>
      <c r="G2170" s="2676"/>
      <c r="H2170" s="2676"/>
      <c r="I2170" s="2677"/>
      <c r="J2170" s="3299" t="str">
        <f>$C$1771</f>
        <v>355051_2019_12_</v>
      </c>
      <c r="K2170" s="2857">
        <v>510</v>
      </c>
      <c r="L2170" s="851"/>
      <c r="M2170" s="1595" t="s">
        <v>1558</v>
      </c>
      <c r="N2170" s="123"/>
      <c r="O2170" s="228"/>
      <c r="P2170" s="844"/>
      <c r="Q2170" s="845"/>
      <c r="R2170" s="844"/>
      <c r="S2170" s="832"/>
      <c r="T2170" s="3082"/>
      <c r="U2170" s="123"/>
      <c r="V2170" s="3990"/>
      <c r="W2170" s="2857"/>
      <c r="X2170" s="3155"/>
      <c r="Y2170" s="3155">
        <v>510</v>
      </c>
      <c r="Z2170" s="2857">
        <v>510</v>
      </c>
      <c r="AA2170" s="2857">
        <v>510</v>
      </c>
      <c r="AB2170" s="2857">
        <v>510</v>
      </c>
      <c r="AC2170" s="2857">
        <v>510</v>
      </c>
      <c r="AD2170" s="2857"/>
      <c r="AE2170" s="2857"/>
      <c r="AF2170" s="2857"/>
      <c r="AG2170" s="2857"/>
      <c r="AH2170" s="1942"/>
      <c r="AI2170" s="1942"/>
      <c r="AJ2170" s="1942"/>
      <c r="AK2170" s="1942"/>
      <c r="AL2170" s="1942"/>
      <c r="AM2170" s="1942"/>
      <c r="AN2170" s="1942"/>
      <c r="AO2170" s="1942"/>
      <c r="AP2170" s="1942"/>
      <c r="AQ2170" s="1942"/>
      <c r="AR2170" s="1942"/>
      <c r="AS2170" s="1942"/>
      <c r="AT2170" s="1942"/>
      <c r="AU2170" s="1942"/>
      <c r="AV2170" s="1942"/>
      <c r="AW2170" s="1942"/>
      <c r="AX2170" s="1942"/>
      <c r="AY2170" s="1942"/>
      <c r="AZ2170" s="1942"/>
      <c r="BA2170" s="1942"/>
      <c r="BB2170" s="575"/>
      <c r="BC2170" s="576"/>
      <c r="BD2170" s="678"/>
      <c r="BE2170" s="585"/>
    </row>
    <row r="2171" spans="1:57" s="51" customFormat="1" ht="15" hidden="1" customHeight="1" outlineLevel="1" x14ac:dyDescent="0.25">
      <c r="A2171" s="1267"/>
      <c r="B2171" s="123"/>
      <c r="C2171" s="328"/>
      <c r="D2171" s="3990"/>
      <c r="E2171" s="4009"/>
      <c r="F2171" s="3010" t="str">
        <f>$E$1773</f>
        <v>ASHP-SEER20_ROF_MF</v>
      </c>
      <c r="G2171" s="2676"/>
      <c r="H2171" s="2676"/>
      <c r="I2171" s="2677"/>
      <c r="J2171" s="3299" t="str">
        <f>$C$1773</f>
        <v>355100_2019_12_</v>
      </c>
      <c r="K2171" s="2857">
        <v>1496</v>
      </c>
      <c r="L2171" s="851"/>
      <c r="M2171" s="1595"/>
      <c r="N2171" s="123"/>
      <c r="O2171" s="228"/>
      <c r="P2171" s="228"/>
      <c r="Q2171" s="228"/>
      <c r="R2171" s="228"/>
      <c r="S2171" s="123"/>
      <c r="T2171" s="123"/>
      <c r="U2171" s="123"/>
      <c r="V2171" s="3990"/>
      <c r="W2171" s="2857">
        <v>2009</v>
      </c>
      <c r="X2171" s="3155">
        <v>1496</v>
      </c>
      <c r="Y2171" s="2857">
        <v>1496</v>
      </c>
      <c r="Z2171" s="2857">
        <v>1496</v>
      </c>
      <c r="AA2171" s="2857">
        <v>1496</v>
      </c>
      <c r="AB2171" s="2857">
        <v>1496</v>
      </c>
      <c r="AC2171" s="2857">
        <v>1496</v>
      </c>
      <c r="AD2171" s="2857"/>
      <c r="AE2171" s="2857"/>
      <c r="AF2171" s="2857"/>
      <c r="AG2171" s="2857"/>
      <c r="AH2171" s="1942"/>
      <c r="AI2171" s="1942"/>
      <c r="AJ2171" s="1942"/>
      <c r="AK2171" s="1942"/>
      <c r="AL2171" s="1942"/>
      <c r="AM2171" s="1942"/>
      <c r="AN2171" s="1942"/>
      <c r="AO2171" s="1942"/>
      <c r="AP2171" s="1942"/>
      <c r="AQ2171" s="1942"/>
      <c r="AR2171" s="1942"/>
      <c r="AS2171" s="1942"/>
      <c r="AT2171" s="1942"/>
      <c r="AU2171" s="1942"/>
      <c r="AV2171" s="1942"/>
      <c r="AW2171" s="1942"/>
      <c r="AX2171" s="1942"/>
      <c r="AY2171" s="1942"/>
      <c r="AZ2171" s="1942"/>
      <c r="BA2171" s="1942"/>
      <c r="BB2171" s="575"/>
      <c r="BC2171" s="576"/>
      <c r="BD2171" s="678"/>
      <c r="BE2171" s="585"/>
    </row>
    <row r="2172" spans="1:57" s="51" customFormat="1" ht="15" hidden="1" customHeight="1" outlineLevel="1" x14ac:dyDescent="0.25">
      <c r="A2172" s="1267"/>
      <c r="B2172" s="123"/>
      <c r="C2172" s="328"/>
      <c r="D2172" s="3990"/>
      <c r="E2172" s="4009"/>
      <c r="F2172" s="3010" t="str">
        <f>$E$1775</f>
        <v>ASHP-SEER20_ROF_MF_CompE</v>
      </c>
      <c r="G2172" s="2676"/>
      <c r="H2172" s="2676"/>
      <c r="I2172" s="2677"/>
      <c r="J2172" s="3299" t="str">
        <f>$C$1775</f>
        <v>355101_2019_12_</v>
      </c>
      <c r="K2172" s="2857">
        <v>510</v>
      </c>
      <c r="L2172" s="852"/>
      <c r="M2172" s="1595" t="s">
        <v>1558</v>
      </c>
      <c r="N2172" s="123"/>
      <c r="O2172" s="228"/>
      <c r="P2172" s="228"/>
      <c r="Q2172" s="228"/>
      <c r="R2172" s="228"/>
      <c r="S2172" s="123"/>
      <c r="T2172" s="123"/>
      <c r="U2172" s="123"/>
      <c r="V2172" s="3990"/>
      <c r="W2172" s="693"/>
      <c r="X2172" s="692"/>
      <c r="Y2172" s="3155">
        <v>510</v>
      </c>
      <c r="Z2172" s="2857">
        <v>510</v>
      </c>
      <c r="AA2172" s="2857">
        <v>510</v>
      </c>
      <c r="AB2172" s="2857">
        <v>510</v>
      </c>
      <c r="AC2172" s="2857">
        <v>510</v>
      </c>
      <c r="AD2172" s="693"/>
      <c r="AE2172" s="693"/>
      <c r="AF2172" s="693"/>
      <c r="AG2172" s="693"/>
      <c r="AH2172" s="1942"/>
      <c r="AI2172" s="1942"/>
      <c r="AJ2172" s="1942"/>
      <c r="AK2172" s="1942"/>
      <c r="AL2172" s="1942"/>
      <c r="AM2172" s="1942"/>
      <c r="AN2172" s="1942"/>
      <c r="AO2172" s="1942"/>
      <c r="AP2172" s="1942"/>
      <c r="AQ2172" s="1942"/>
      <c r="AR2172" s="1942"/>
      <c r="AS2172" s="1942"/>
      <c r="AT2172" s="1942"/>
      <c r="AU2172" s="1942"/>
      <c r="AV2172" s="1942"/>
      <c r="AW2172" s="1942"/>
      <c r="AX2172" s="1942"/>
      <c r="AY2172" s="1942"/>
      <c r="AZ2172" s="1942"/>
      <c r="BA2172" s="1942"/>
      <c r="BB2172" s="575"/>
      <c r="BC2172" s="576"/>
      <c r="BD2172" s="678"/>
      <c r="BE2172" s="585"/>
    </row>
    <row r="2173" spans="1:57" s="51" customFormat="1" ht="15.75" hidden="1" customHeight="1" outlineLevel="1" x14ac:dyDescent="0.25">
      <c r="A2173" s="1267"/>
      <c r="B2173" s="123"/>
      <c r="C2173" s="328"/>
      <c r="D2173" s="3990"/>
      <c r="E2173" s="4009"/>
      <c r="F2173" s="3010" t="str">
        <f>$E$1777</f>
        <v>ASHP-SEER21_ROF_MF</v>
      </c>
      <c r="G2173" s="2676"/>
      <c r="H2173" s="2676"/>
      <c r="I2173" s="2677"/>
      <c r="J2173" s="3299" t="str">
        <f>$C$1777</f>
        <v>355150_2019_12_</v>
      </c>
      <c r="K2173" s="2857">
        <v>1496</v>
      </c>
      <c r="L2173" s="851"/>
      <c r="M2173" s="1595"/>
      <c r="N2173" s="123"/>
      <c r="O2173" s="228"/>
      <c r="P2173" s="228"/>
      <c r="Q2173" s="228"/>
      <c r="R2173" s="228"/>
      <c r="S2173" s="123"/>
      <c r="T2173" s="123"/>
      <c r="U2173" s="123"/>
      <c r="V2173" s="3990"/>
      <c r="W2173" s="2857">
        <v>2009</v>
      </c>
      <c r="X2173" s="3155">
        <v>1496</v>
      </c>
      <c r="Y2173" s="2857">
        <v>1496</v>
      </c>
      <c r="Z2173" s="2857">
        <v>1496</v>
      </c>
      <c r="AA2173" s="2857">
        <v>1496</v>
      </c>
      <c r="AB2173" s="2857">
        <v>1496</v>
      </c>
      <c r="AC2173" s="2857">
        <v>1496</v>
      </c>
      <c r="AD2173" s="2857"/>
      <c r="AE2173" s="2857"/>
      <c r="AF2173" s="2857"/>
      <c r="AG2173" s="2857"/>
      <c r="AH2173" s="1942"/>
      <c r="AI2173" s="1942"/>
      <c r="AJ2173" s="1942"/>
      <c r="AK2173" s="1942"/>
      <c r="AL2173" s="1942"/>
      <c r="AM2173" s="1942"/>
      <c r="AN2173" s="1942"/>
      <c r="AO2173" s="1942"/>
      <c r="AP2173" s="1942"/>
      <c r="AQ2173" s="1942"/>
      <c r="AR2173" s="1942"/>
      <c r="AS2173" s="1942"/>
      <c r="AT2173" s="1942"/>
      <c r="AU2173" s="1942"/>
      <c r="AV2173" s="1942"/>
      <c r="AW2173" s="1942"/>
      <c r="AX2173" s="1942"/>
      <c r="AY2173" s="1942"/>
      <c r="AZ2173" s="1942"/>
      <c r="BA2173" s="1942"/>
      <c r="BB2173" s="575"/>
      <c r="BC2173" s="576"/>
      <c r="BD2173" s="678"/>
      <c r="BE2173" s="585"/>
    </row>
    <row r="2174" spans="1:57" s="51" customFormat="1" ht="30.75" hidden="1" outlineLevel="1" thickBot="1" x14ac:dyDescent="0.3">
      <c r="A2174" s="1267"/>
      <c r="B2174" s="123"/>
      <c r="C2174" s="328"/>
      <c r="D2174" s="4035"/>
      <c r="E2174" s="4036"/>
      <c r="F2174" s="3012" t="str">
        <f>$E$1779</f>
        <v>ASHP-SEER21_ROF_MF_CompE</v>
      </c>
      <c r="G2174" s="847"/>
      <c r="H2174" s="847"/>
      <c r="I2174" s="848"/>
      <c r="J2174" s="2607" t="str">
        <f>$C$1779</f>
        <v>355151_2019_12_</v>
      </c>
      <c r="K2174" s="855">
        <v>510</v>
      </c>
      <c r="L2174" s="854"/>
      <c r="M2174" s="1595" t="s">
        <v>1558</v>
      </c>
      <c r="N2174" s="123"/>
      <c r="O2174" s="228"/>
      <c r="P2174" s="228"/>
      <c r="Q2174" s="228"/>
      <c r="R2174" s="228"/>
      <c r="S2174" s="123"/>
      <c r="T2174" s="123"/>
      <c r="U2174" s="123"/>
      <c r="V2174" s="4035"/>
      <c r="W2174" s="695"/>
      <c r="X2174" s="694"/>
      <c r="Y2174" s="853">
        <v>510</v>
      </c>
      <c r="Z2174" s="855">
        <v>510</v>
      </c>
      <c r="AA2174" s="855">
        <v>510</v>
      </c>
      <c r="AB2174" s="855">
        <v>510</v>
      </c>
      <c r="AC2174" s="855">
        <v>510</v>
      </c>
      <c r="AD2174" s="695"/>
      <c r="AE2174" s="695"/>
      <c r="AF2174" s="695"/>
      <c r="AG2174" s="695"/>
      <c r="AH2174" s="1942"/>
      <c r="AI2174" s="1942"/>
      <c r="AJ2174" s="1942"/>
      <c r="AK2174" s="1942"/>
      <c r="AL2174" s="1942"/>
      <c r="AM2174" s="1942"/>
      <c r="AN2174" s="1942"/>
      <c r="AO2174" s="1942"/>
      <c r="AP2174" s="1942"/>
      <c r="AQ2174" s="1942"/>
      <c r="AR2174" s="1942"/>
      <c r="AS2174" s="1942"/>
      <c r="AT2174" s="1942"/>
      <c r="AU2174" s="1942"/>
      <c r="AV2174" s="1942"/>
      <c r="AW2174" s="1942"/>
      <c r="AX2174" s="1942"/>
      <c r="AY2174" s="1942"/>
      <c r="AZ2174" s="1942"/>
      <c r="BA2174" s="1942"/>
      <c r="BB2174" s="575"/>
      <c r="BC2174" s="576"/>
      <c r="BD2174" s="678"/>
      <c r="BE2174" s="585"/>
    </row>
    <row r="2175" spans="1:57" s="51" customFormat="1" ht="15" hidden="1" customHeight="1" outlineLevel="1" x14ac:dyDescent="0.25">
      <c r="A2175" s="2060"/>
      <c r="B2175" s="123"/>
      <c r="C2175" s="328"/>
      <c r="D2175" s="3989" t="s">
        <v>1154</v>
      </c>
      <c r="E2175" s="4008" t="s">
        <v>1155</v>
      </c>
      <c r="F2175" s="3013" t="str">
        <f>$E$1407</f>
        <v>ASHP-SEER15-Replace_CAC_ElectricHeat_ER1_SF</v>
      </c>
      <c r="G2175" s="2816"/>
      <c r="H2175" s="2816"/>
      <c r="I2175" s="2818"/>
      <c r="J2175" s="3297" t="str">
        <f>$C$1407</f>
        <v>352300_2021_12_</v>
      </c>
      <c r="K2175" s="2861">
        <v>3.41</v>
      </c>
      <c r="L2175" s="745"/>
      <c r="M2175" s="857" t="s">
        <v>838</v>
      </c>
      <c r="N2175" s="123"/>
      <c r="O2175" s="228"/>
      <c r="P2175" s="844"/>
      <c r="Q2175" s="844"/>
      <c r="R2175" s="844"/>
      <c r="S2175" s="832"/>
      <c r="T2175" s="3082"/>
      <c r="U2175" s="123"/>
      <c r="V2175" s="3989" t="s">
        <v>1154</v>
      </c>
      <c r="W2175" s="2861">
        <v>3.41</v>
      </c>
      <c r="X2175" s="2861">
        <v>3.41</v>
      </c>
      <c r="Y2175" s="2861">
        <v>3.41</v>
      </c>
      <c r="Z2175" s="2861">
        <v>3.41</v>
      </c>
      <c r="AA2175" s="2861">
        <v>3.41</v>
      </c>
      <c r="AB2175" s="2861">
        <v>3.41</v>
      </c>
      <c r="AC2175" s="2861">
        <v>3.41</v>
      </c>
      <c r="AD2175" s="2861"/>
      <c r="AE2175" s="2861"/>
      <c r="AF2175" s="2861"/>
      <c r="AG2175" s="2861"/>
      <c r="AH2175" s="1942"/>
      <c r="AI2175" s="1942"/>
      <c r="AJ2175" s="1942"/>
      <c r="AK2175" s="1942"/>
      <c r="AL2175" s="1942"/>
      <c r="AM2175" s="1942"/>
      <c r="AN2175" s="1942"/>
      <c r="AO2175" s="1942"/>
      <c r="AP2175" s="1942"/>
      <c r="AQ2175" s="1942"/>
      <c r="AR2175" s="1942"/>
      <c r="AS2175" s="1942"/>
      <c r="AT2175" s="1942"/>
      <c r="AU2175" s="1942"/>
      <c r="AV2175" s="1942"/>
      <c r="AW2175" s="1942"/>
      <c r="AX2175" s="1942"/>
      <c r="AY2175" s="1942"/>
      <c r="AZ2175" s="1942"/>
      <c r="BA2175" s="1942"/>
      <c r="BB2175" s="575"/>
      <c r="BC2175" s="576"/>
      <c r="BD2175" s="678"/>
      <c r="BE2175" s="585"/>
    </row>
    <row r="2176" spans="1:57" s="51" customFormat="1" ht="15" hidden="1" customHeight="1" outlineLevel="1" x14ac:dyDescent="0.25">
      <c r="A2176" s="2060"/>
      <c r="B2176" s="123"/>
      <c r="C2176" s="328"/>
      <c r="D2176" s="3990"/>
      <c r="E2176" s="4009"/>
      <c r="F2176" s="3010" t="str">
        <f>$E$1409</f>
        <v>ASHP-SEER15-Replace_CAC_ElectricHeat_ER2_SF</v>
      </c>
      <c r="G2176" s="2676"/>
      <c r="H2176" s="2676"/>
      <c r="I2176" s="2677"/>
      <c r="J2176" s="3298" t="str">
        <f>$C$1409</f>
        <v>352300_2021_12_</v>
      </c>
      <c r="K2176" s="2857">
        <v>3.41</v>
      </c>
      <c r="L2176" s="850"/>
      <c r="M2176" s="698" t="s">
        <v>838</v>
      </c>
      <c r="N2176" s="123"/>
      <c r="O2176" s="228"/>
      <c r="P2176" s="844"/>
      <c r="Q2176" s="844"/>
      <c r="R2176" s="844"/>
      <c r="S2176" s="832"/>
      <c r="T2176" s="3082"/>
      <c r="U2176" s="123"/>
      <c r="V2176" s="3990"/>
      <c r="W2176" s="2857">
        <v>3.41</v>
      </c>
      <c r="X2176" s="2857">
        <v>3.41</v>
      </c>
      <c r="Y2176" s="2857">
        <v>3.41</v>
      </c>
      <c r="Z2176" s="2857">
        <v>3.41</v>
      </c>
      <c r="AA2176" s="2857">
        <v>3.41</v>
      </c>
      <c r="AB2176" s="2857">
        <v>3.41</v>
      </c>
      <c r="AC2176" s="2857">
        <v>3.41</v>
      </c>
      <c r="AD2176" s="2857"/>
      <c r="AE2176" s="2857"/>
      <c r="AF2176" s="2857"/>
      <c r="AG2176" s="2857"/>
      <c r="AH2176" s="1942"/>
      <c r="AI2176" s="1942"/>
      <c r="AJ2176" s="1942"/>
      <c r="AK2176" s="1942"/>
      <c r="AL2176" s="1942"/>
      <c r="AM2176" s="1942"/>
      <c r="AN2176" s="1942"/>
      <c r="AO2176" s="1942"/>
      <c r="AP2176" s="1942"/>
      <c r="AQ2176" s="1942"/>
      <c r="AR2176" s="1942"/>
      <c r="AS2176" s="1942"/>
      <c r="AT2176" s="1942"/>
      <c r="AU2176" s="1942"/>
      <c r="AV2176" s="1942"/>
      <c r="AW2176" s="1942"/>
      <c r="AX2176" s="1942"/>
      <c r="AY2176" s="1942"/>
      <c r="AZ2176" s="1942"/>
      <c r="BA2176" s="1942"/>
      <c r="BB2176" s="575"/>
      <c r="BC2176" s="576"/>
      <c r="BD2176" s="678"/>
      <c r="BE2176" s="585"/>
    </row>
    <row r="2177" spans="1:57" s="1942" customFormat="1" ht="15" hidden="1" customHeight="1" outlineLevel="1" x14ac:dyDescent="0.25">
      <c r="A2177" s="2060"/>
      <c r="B2177" s="123"/>
      <c r="C2177" s="328"/>
      <c r="D2177" s="3990"/>
      <c r="E2177" s="4009"/>
      <c r="F2177" s="3010" t="str">
        <f>$E$1411</f>
        <v>ASHP-SEER15-Replace_CAC_NonElectricHeat_ER1_SF</v>
      </c>
      <c r="G2177" s="2676"/>
      <c r="H2177" s="2676"/>
      <c r="I2177" s="2677"/>
      <c r="J2177" s="3298" t="str">
        <f>$C$1411</f>
        <v>352310_2021_12_</v>
      </c>
      <c r="K2177" s="2225">
        <v>0</v>
      </c>
      <c r="L2177" s="850"/>
      <c r="M2177" s="3252" t="s">
        <v>1559</v>
      </c>
      <c r="N2177" s="123"/>
      <c r="O2177" s="228"/>
      <c r="P2177" s="844"/>
      <c r="Q2177" s="844"/>
      <c r="R2177" s="844"/>
      <c r="S2177" s="832"/>
      <c r="T2177" s="3082"/>
      <c r="U2177" s="123"/>
      <c r="V2177" s="3990"/>
      <c r="W2177" s="2857"/>
      <c r="X2177" s="2857"/>
      <c r="Y2177" s="2857"/>
      <c r="Z2177" s="2857"/>
      <c r="AA2177" s="2857"/>
      <c r="AB2177" s="2857"/>
      <c r="AC2177" s="2225">
        <v>0</v>
      </c>
      <c r="AD2177" s="2857"/>
      <c r="AE2177" s="2857"/>
      <c r="AF2177" s="2857"/>
      <c r="AG2177" s="2857"/>
      <c r="BB2177" s="575"/>
      <c r="BC2177" s="576"/>
      <c r="BD2177" s="678"/>
      <c r="BE2177" s="585"/>
    </row>
    <row r="2178" spans="1:57" s="1942" customFormat="1" ht="15" hidden="1" customHeight="1" outlineLevel="1" x14ac:dyDescent="0.25">
      <c r="A2178" s="2060"/>
      <c r="B2178" s="123"/>
      <c r="C2178" s="328"/>
      <c r="D2178" s="3990"/>
      <c r="E2178" s="4009"/>
      <c r="F2178" s="3010" t="str">
        <f>$E$1413</f>
        <v>ASHP-SEER15-Replace_CAC_NonElectricHeat_ER2_SF</v>
      </c>
      <c r="G2178" s="2676"/>
      <c r="H2178" s="2676"/>
      <c r="I2178" s="2677"/>
      <c r="J2178" s="3298" t="str">
        <f>$C$1413</f>
        <v>352310_2021_12_</v>
      </c>
      <c r="K2178" s="2225">
        <v>0</v>
      </c>
      <c r="L2178" s="850"/>
      <c r="M2178" s="3252" t="s">
        <v>1559</v>
      </c>
      <c r="N2178" s="123"/>
      <c r="O2178" s="228"/>
      <c r="P2178" s="844"/>
      <c r="Q2178" s="844"/>
      <c r="R2178" s="844"/>
      <c r="S2178" s="832"/>
      <c r="T2178" s="3082"/>
      <c r="U2178" s="123"/>
      <c r="V2178" s="3990"/>
      <c r="W2178" s="2857"/>
      <c r="X2178" s="2857"/>
      <c r="Y2178" s="2857"/>
      <c r="Z2178" s="2857"/>
      <c r="AA2178" s="2857"/>
      <c r="AB2178" s="2857"/>
      <c r="AC2178" s="2225">
        <v>0</v>
      </c>
      <c r="AD2178" s="2857"/>
      <c r="AE2178" s="2857"/>
      <c r="AF2178" s="2857"/>
      <c r="AG2178" s="2857"/>
      <c r="BB2178" s="575"/>
      <c r="BC2178" s="576"/>
      <c r="BD2178" s="678"/>
      <c r="BE2178" s="585"/>
    </row>
    <row r="2179" spans="1:57" s="51" customFormat="1" ht="15" hidden="1" customHeight="1" outlineLevel="1" x14ac:dyDescent="0.25">
      <c r="A2179" s="2060"/>
      <c r="B2179" s="123"/>
      <c r="C2179" s="328"/>
      <c r="D2179" s="3990"/>
      <c r="E2179" s="4009"/>
      <c r="F2179" s="3010" t="str">
        <f>$E$1415</f>
        <v>ASHP-SEER15_ER1_SF</v>
      </c>
      <c r="G2179" s="2676"/>
      <c r="H2179" s="2676"/>
      <c r="I2179" s="2677"/>
      <c r="J2179" s="3298" t="str">
        <f>$C$1415</f>
        <v>352350_2021_12_</v>
      </c>
      <c r="K2179" s="2857">
        <v>6.58</v>
      </c>
      <c r="L2179" s="850"/>
      <c r="M2179" s="698" t="s">
        <v>838</v>
      </c>
      <c r="N2179" s="123"/>
      <c r="O2179" s="228"/>
      <c r="P2179" s="844"/>
      <c r="Q2179" s="844"/>
      <c r="R2179" s="844"/>
      <c r="S2179" s="832"/>
      <c r="T2179" s="3082"/>
      <c r="U2179" s="123"/>
      <c r="V2179" s="3990"/>
      <c r="W2179" s="2857">
        <v>5.44</v>
      </c>
      <c r="X2179" s="3155">
        <v>6.58</v>
      </c>
      <c r="Y2179" s="2857">
        <v>6.58</v>
      </c>
      <c r="Z2179" s="2857">
        <v>6.58</v>
      </c>
      <c r="AA2179" s="2857">
        <v>6.58</v>
      </c>
      <c r="AB2179" s="2857">
        <v>6.58</v>
      </c>
      <c r="AC2179" s="2857">
        <v>6.58</v>
      </c>
      <c r="AD2179" s="2857"/>
      <c r="AE2179" s="2857"/>
      <c r="AF2179" s="2857"/>
      <c r="AG2179" s="2857"/>
      <c r="AH2179" s="1942"/>
      <c r="AI2179" s="1942"/>
      <c r="AJ2179" s="1942"/>
      <c r="AK2179" s="1942"/>
      <c r="AL2179" s="1942"/>
      <c r="AM2179" s="1942"/>
      <c r="AN2179" s="1942"/>
      <c r="AO2179" s="1942"/>
      <c r="AP2179" s="1942"/>
      <c r="AQ2179" s="1942"/>
      <c r="AR2179" s="1942"/>
      <c r="AS2179" s="1942"/>
      <c r="AT2179" s="1942"/>
      <c r="AU2179" s="1942"/>
      <c r="AV2179" s="1942"/>
      <c r="AW2179" s="1942"/>
      <c r="AX2179" s="1942"/>
      <c r="AY2179" s="1942"/>
      <c r="AZ2179" s="1942"/>
      <c r="BA2179" s="1942"/>
      <c r="BB2179" s="575"/>
      <c r="BC2179" s="576"/>
      <c r="BD2179" s="678"/>
      <c r="BE2179" s="585"/>
    </row>
    <row r="2180" spans="1:57" s="51" customFormat="1" ht="15" hidden="1" customHeight="1" outlineLevel="1" x14ac:dyDescent="0.25">
      <c r="A2180" s="2060"/>
      <c r="B2180" s="123"/>
      <c r="C2180" s="328"/>
      <c r="D2180" s="3990"/>
      <c r="E2180" s="4009"/>
      <c r="F2180" s="3010" t="str">
        <f>$E$1417</f>
        <v>ASHP-SEER15_ER2_SF</v>
      </c>
      <c r="G2180" s="2676"/>
      <c r="H2180" s="2676"/>
      <c r="I2180" s="2677"/>
      <c r="J2180" s="3298" t="str">
        <f>$C$1417</f>
        <v>352350_2021_12_</v>
      </c>
      <c r="K2180" s="2857">
        <v>8.1999999999999993</v>
      </c>
      <c r="L2180" s="850"/>
      <c r="M2180" s="698" t="s">
        <v>838</v>
      </c>
      <c r="N2180" s="123"/>
      <c r="O2180" s="228"/>
      <c r="P2180" s="844"/>
      <c r="Q2180" s="844"/>
      <c r="R2180" s="844"/>
      <c r="S2180" s="832"/>
      <c r="T2180" s="3082"/>
      <c r="U2180" s="123"/>
      <c r="V2180" s="3990"/>
      <c r="W2180" s="2857">
        <v>8.1999999999999993</v>
      </c>
      <c r="X2180" s="2857">
        <v>8.1999999999999993</v>
      </c>
      <c r="Y2180" s="2857">
        <v>8.1999999999999993</v>
      </c>
      <c r="Z2180" s="2857">
        <v>8.1999999999999993</v>
      </c>
      <c r="AA2180" s="2857">
        <v>8.1999999999999993</v>
      </c>
      <c r="AB2180" s="2857">
        <v>8.1999999999999993</v>
      </c>
      <c r="AC2180" s="2857">
        <v>8.1999999999999993</v>
      </c>
      <c r="AD2180" s="2857"/>
      <c r="AE2180" s="2857"/>
      <c r="AF2180" s="2857"/>
      <c r="AG2180" s="2857"/>
      <c r="AH2180" s="1942"/>
      <c r="AI2180" s="1942"/>
      <c r="AJ2180" s="1942"/>
      <c r="AK2180" s="1942"/>
      <c r="AL2180" s="1942"/>
      <c r="AM2180" s="1942"/>
      <c r="AN2180" s="1942"/>
      <c r="AO2180" s="1942"/>
      <c r="AP2180" s="1942"/>
      <c r="AQ2180" s="1942"/>
      <c r="AR2180" s="1942"/>
      <c r="AS2180" s="1942"/>
      <c r="AT2180" s="1942"/>
      <c r="AU2180" s="1942"/>
      <c r="AV2180" s="1942"/>
      <c r="AW2180" s="1942"/>
      <c r="AX2180" s="1942"/>
      <c r="AY2180" s="1942"/>
      <c r="AZ2180" s="1942"/>
      <c r="BA2180" s="1942"/>
      <c r="BB2180" s="575"/>
      <c r="BC2180" s="576"/>
      <c r="BD2180" s="678"/>
      <c r="BE2180" s="585"/>
    </row>
    <row r="2181" spans="1:57" s="51" customFormat="1" ht="15" hidden="1" customHeight="1" outlineLevel="1" x14ac:dyDescent="0.25">
      <c r="A2181" s="2060"/>
      <c r="B2181" s="123"/>
      <c r="C2181" s="328"/>
      <c r="D2181" s="3990"/>
      <c r="E2181" s="4009"/>
      <c r="F2181" s="3010" t="str">
        <f>$E$1419</f>
        <v>ASHP-SEER15-Replace_CAC_ElectricHeat_ROF_SF</v>
      </c>
      <c r="G2181" s="2676"/>
      <c r="H2181" s="2676"/>
      <c r="I2181" s="2677"/>
      <c r="J2181" s="3298" t="str">
        <f>$C$1419</f>
        <v>352400_2021_12_</v>
      </c>
      <c r="K2181" s="2857">
        <v>3.41</v>
      </c>
      <c r="L2181" s="850"/>
      <c r="M2181" s="698" t="s">
        <v>838</v>
      </c>
      <c r="N2181" s="123"/>
      <c r="O2181" s="228"/>
      <c r="P2181" s="844"/>
      <c r="Q2181" s="844"/>
      <c r="R2181" s="844"/>
      <c r="S2181" s="832"/>
      <c r="T2181" s="3082"/>
      <c r="U2181" s="123"/>
      <c r="V2181" s="3990"/>
      <c r="W2181" s="2857">
        <v>3.41</v>
      </c>
      <c r="X2181" s="2857">
        <v>3.41</v>
      </c>
      <c r="Y2181" s="2857">
        <v>3.41</v>
      </c>
      <c r="Z2181" s="2857">
        <v>3.41</v>
      </c>
      <c r="AA2181" s="2857">
        <v>3.41</v>
      </c>
      <c r="AB2181" s="2857">
        <v>3.41</v>
      </c>
      <c r="AC2181" s="2857">
        <v>3.41</v>
      </c>
      <c r="AD2181" s="2857"/>
      <c r="AE2181" s="2857"/>
      <c r="AF2181" s="2857"/>
      <c r="AG2181" s="2857"/>
      <c r="AH2181" s="1942"/>
      <c r="AI2181" s="1942"/>
      <c r="AJ2181" s="1942"/>
      <c r="AK2181" s="1942"/>
      <c r="AL2181" s="1942"/>
      <c r="AM2181" s="1942"/>
      <c r="AN2181" s="1942"/>
      <c r="AO2181" s="1942"/>
      <c r="AP2181" s="1942"/>
      <c r="AQ2181" s="1942"/>
      <c r="AR2181" s="1942"/>
      <c r="AS2181" s="1942"/>
      <c r="AT2181" s="1942"/>
      <c r="AU2181" s="1942"/>
      <c r="AV2181" s="1942"/>
      <c r="AW2181" s="1942"/>
      <c r="AX2181" s="1942"/>
      <c r="AY2181" s="1942"/>
      <c r="AZ2181" s="1942"/>
      <c r="BA2181" s="1942"/>
      <c r="BB2181" s="575"/>
      <c r="BC2181" s="576"/>
      <c r="BD2181" s="678"/>
      <c r="BE2181" s="585"/>
    </row>
    <row r="2182" spans="1:57" s="1942" customFormat="1" ht="15" hidden="1" customHeight="1" outlineLevel="1" x14ac:dyDescent="0.25">
      <c r="A2182" s="2060"/>
      <c r="B2182" s="123"/>
      <c r="C2182" s="328"/>
      <c r="D2182" s="3990"/>
      <c r="E2182" s="4009"/>
      <c r="F2182" s="3010" t="str">
        <f>$E$1421</f>
        <v>ASHP-SEER15-Replace_CAC_NonElectricHeat_ROF_SF</v>
      </c>
      <c r="G2182" s="2676"/>
      <c r="H2182" s="2676"/>
      <c r="I2182" s="2677"/>
      <c r="J2182" s="3298" t="str">
        <f>$C$1421</f>
        <v>352410_2021_12_</v>
      </c>
      <c r="K2182" s="2225">
        <v>0</v>
      </c>
      <c r="L2182" s="850"/>
      <c r="M2182" s="3252" t="s">
        <v>1559</v>
      </c>
      <c r="N2182" s="123"/>
      <c r="O2182" s="228"/>
      <c r="P2182" s="844"/>
      <c r="Q2182" s="844"/>
      <c r="R2182" s="844"/>
      <c r="S2182" s="832"/>
      <c r="T2182" s="3082"/>
      <c r="U2182" s="123"/>
      <c r="V2182" s="3990"/>
      <c r="W2182" s="2857"/>
      <c r="X2182" s="2857"/>
      <c r="Y2182" s="2857"/>
      <c r="Z2182" s="2857"/>
      <c r="AA2182" s="2857"/>
      <c r="AB2182" s="2857"/>
      <c r="AC2182" s="2225">
        <v>0</v>
      </c>
      <c r="AD2182" s="2857"/>
      <c r="AE2182" s="2857"/>
      <c r="AF2182" s="2857"/>
      <c r="AG2182" s="2857"/>
      <c r="BB2182" s="575"/>
      <c r="BC2182" s="576"/>
      <c r="BD2182" s="678"/>
      <c r="BE2182" s="585"/>
    </row>
    <row r="2183" spans="1:57" s="51" customFormat="1" ht="15" hidden="1" customHeight="1" outlineLevel="1" x14ac:dyDescent="0.25">
      <c r="A2183" s="2060"/>
      <c r="B2183" s="123"/>
      <c r="C2183" s="328"/>
      <c r="D2183" s="3990"/>
      <c r="E2183" s="4009"/>
      <c r="F2183" s="3010" t="str">
        <f>$E$1423</f>
        <v>ASHP-SEER15_ROF_SF</v>
      </c>
      <c r="G2183" s="2676"/>
      <c r="H2183" s="2676"/>
      <c r="I2183" s="2677"/>
      <c r="J2183" s="3298" t="str">
        <f>$C$1423</f>
        <v>352450_2021_12_</v>
      </c>
      <c r="K2183" s="2857">
        <v>8.1999999999999993</v>
      </c>
      <c r="L2183" s="850"/>
      <c r="M2183" s="698" t="s">
        <v>838</v>
      </c>
      <c r="N2183" s="123"/>
      <c r="O2183" s="228"/>
      <c r="P2183" s="844"/>
      <c r="Q2183" s="844"/>
      <c r="R2183" s="844"/>
      <c r="S2183" s="832"/>
      <c r="T2183" s="3082"/>
      <c r="U2183" s="123"/>
      <c r="V2183" s="3990"/>
      <c r="W2183" s="2857">
        <v>8.1999999999999993</v>
      </c>
      <c r="X2183" s="2857">
        <v>8.1999999999999993</v>
      </c>
      <c r="Y2183" s="2857">
        <v>8.1999999999999993</v>
      </c>
      <c r="Z2183" s="2857">
        <v>8.1999999999999993</v>
      </c>
      <c r="AA2183" s="2857">
        <v>8.1999999999999993</v>
      </c>
      <c r="AB2183" s="2857">
        <v>8.1999999999999993</v>
      </c>
      <c r="AC2183" s="2857">
        <v>8.1999999999999993</v>
      </c>
      <c r="AD2183" s="2857"/>
      <c r="AE2183" s="2857"/>
      <c r="AF2183" s="2857"/>
      <c r="AG2183" s="2857"/>
      <c r="AH2183" s="1942"/>
      <c r="AI2183" s="1942"/>
      <c r="AJ2183" s="1942"/>
      <c r="AK2183" s="1942"/>
      <c r="AL2183" s="1942"/>
      <c r="AM2183" s="1942"/>
      <c r="AN2183" s="1942"/>
      <c r="AO2183" s="1942"/>
      <c r="AP2183" s="1942"/>
      <c r="AQ2183" s="1942"/>
      <c r="AR2183" s="1942"/>
      <c r="AS2183" s="1942"/>
      <c r="AT2183" s="1942"/>
      <c r="AU2183" s="1942"/>
      <c r="AV2183" s="1942"/>
      <c r="AW2183" s="1942"/>
      <c r="AX2183" s="1942"/>
      <c r="AY2183" s="1942"/>
      <c r="AZ2183" s="1942"/>
      <c r="BA2183" s="1942"/>
      <c r="BB2183" s="575"/>
      <c r="BC2183" s="576"/>
      <c r="BD2183" s="678"/>
      <c r="BE2183" s="585"/>
    </row>
    <row r="2184" spans="1:57" s="51" customFormat="1" ht="15" hidden="1" customHeight="1" outlineLevel="1" x14ac:dyDescent="0.25">
      <c r="A2184" s="2060"/>
      <c r="B2184" s="123"/>
      <c r="C2184" s="328"/>
      <c r="D2184" s="3990"/>
      <c r="E2184" s="4009"/>
      <c r="F2184" s="3010" t="str">
        <f>$E$1425</f>
        <v>ASHP-SEER16-Replace_CAC_ElectricHeat_ER1_SF</v>
      </c>
      <c r="G2184" s="2676"/>
      <c r="H2184" s="2676"/>
      <c r="I2184" s="2677"/>
      <c r="J2184" s="3298" t="str">
        <f>$C$1425</f>
        <v>352500_2021_12_</v>
      </c>
      <c r="K2184" s="2857">
        <v>3.41</v>
      </c>
      <c r="L2184" s="850"/>
      <c r="M2184" s="698" t="s">
        <v>838</v>
      </c>
      <c r="N2184" s="123"/>
      <c r="O2184" s="228"/>
      <c r="P2184" s="844"/>
      <c r="Q2184" s="844"/>
      <c r="R2184" s="844"/>
      <c r="S2184" s="832"/>
      <c r="T2184" s="3082"/>
      <c r="U2184" s="123"/>
      <c r="V2184" s="3990"/>
      <c r="W2184" s="2857">
        <v>3.41</v>
      </c>
      <c r="X2184" s="2857">
        <v>3.41</v>
      </c>
      <c r="Y2184" s="2857">
        <v>3.41</v>
      </c>
      <c r="Z2184" s="2857">
        <v>3.41</v>
      </c>
      <c r="AA2184" s="2857">
        <v>3.41</v>
      </c>
      <c r="AB2184" s="2857">
        <v>3.41</v>
      </c>
      <c r="AC2184" s="2857">
        <v>3.41</v>
      </c>
      <c r="AD2184" s="2857"/>
      <c r="AE2184" s="2857"/>
      <c r="AF2184" s="2857"/>
      <c r="AG2184" s="2857"/>
      <c r="AH2184" s="1942"/>
      <c r="AI2184" s="1942"/>
      <c r="AJ2184" s="1942"/>
      <c r="AK2184" s="1942"/>
      <c r="AL2184" s="1942"/>
      <c r="AM2184" s="1942"/>
      <c r="AN2184" s="1942"/>
      <c r="AO2184" s="1942"/>
      <c r="AP2184" s="1942"/>
      <c r="AQ2184" s="1942"/>
      <c r="AR2184" s="1942"/>
      <c r="AS2184" s="1942"/>
      <c r="AT2184" s="1942"/>
      <c r="AU2184" s="1942"/>
      <c r="AV2184" s="1942"/>
      <c r="AW2184" s="1942"/>
      <c r="AX2184" s="1942"/>
      <c r="AY2184" s="1942"/>
      <c r="AZ2184" s="1942"/>
      <c r="BA2184" s="1942"/>
      <c r="BB2184" s="575"/>
      <c r="BC2184" s="576"/>
      <c r="BD2184" s="678"/>
      <c r="BE2184" s="585"/>
    </row>
    <row r="2185" spans="1:57" s="51" customFormat="1" ht="15" hidden="1" customHeight="1" outlineLevel="1" x14ac:dyDescent="0.25">
      <c r="A2185" s="2060"/>
      <c r="B2185" s="123"/>
      <c r="C2185" s="328"/>
      <c r="D2185" s="3990"/>
      <c r="E2185" s="4009"/>
      <c r="F2185" s="3010" t="str">
        <f>$E$1427</f>
        <v>ASHP-SEER16-Replace_CAC_ElectricHeat_ER2_SF</v>
      </c>
      <c r="G2185" s="2676"/>
      <c r="H2185" s="2676"/>
      <c r="I2185" s="2677"/>
      <c r="J2185" s="3298" t="str">
        <f>$C$1427</f>
        <v>352500_2021_12_</v>
      </c>
      <c r="K2185" s="2857">
        <v>3.41</v>
      </c>
      <c r="L2185" s="850"/>
      <c r="M2185" s="698" t="s">
        <v>838</v>
      </c>
      <c r="N2185" s="123"/>
      <c r="O2185" s="228"/>
      <c r="P2185" s="844"/>
      <c r="Q2185" s="844"/>
      <c r="R2185" s="844"/>
      <c r="S2185" s="832"/>
      <c r="T2185" s="3082"/>
      <c r="U2185" s="123"/>
      <c r="V2185" s="3990"/>
      <c r="W2185" s="2857">
        <v>3.41</v>
      </c>
      <c r="X2185" s="2857">
        <v>3.41</v>
      </c>
      <c r="Y2185" s="2857">
        <v>3.41</v>
      </c>
      <c r="Z2185" s="2857">
        <v>3.41</v>
      </c>
      <c r="AA2185" s="2857">
        <v>3.41</v>
      </c>
      <c r="AB2185" s="2857">
        <v>3.41</v>
      </c>
      <c r="AC2185" s="2857">
        <v>3.41</v>
      </c>
      <c r="AD2185" s="2857"/>
      <c r="AE2185" s="2857"/>
      <c r="AF2185" s="2857"/>
      <c r="AG2185" s="2857"/>
      <c r="AH2185" s="1942"/>
      <c r="AI2185" s="1942"/>
      <c r="AJ2185" s="1942"/>
      <c r="AK2185" s="1942"/>
      <c r="AL2185" s="1942"/>
      <c r="AM2185" s="1942"/>
      <c r="AN2185" s="1942"/>
      <c r="AO2185" s="1942"/>
      <c r="AP2185" s="1942"/>
      <c r="AQ2185" s="1942"/>
      <c r="AR2185" s="1942"/>
      <c r="AS2185" s="1942"/>
      <c r="AT2185" s="1942"/>
      <c r="AU2185" s="1942"/>
      <c r="AV2185" s="1942"/>
      <c r="AW2185" s="1942"/>
      <c r="AX2185" s="1942"/>
      <c r="AY2185" s="1942"/>
      <c r="AZ2185" s="1942"/>
      <c r="BA2185" s="1942"/>
      <c r="BB2185" s="575"/>
      <c r="BC2185" s="576"/>
      <c r="BD2185" s="678"/>
      <c r="BE2185" s="585"/>
    </row>
    <row r="2186" spans="1:57" s="1942" customFormat="1" ht="15" hidden="1" customHeight="1" outlineLevel="1" x14ac:dyDescent="0.25">
      <c r="A2186" s="2060"/>
      <c r="B2186" s="123"/>
      <c r="C2186" s="328"/>
      <c r="D2186" s="3990"/>
      <c r="E2186" s="4009"/>
      <c r="F2186" s="3010" t="str">
        <f>$E$1429</f>
        <v>ASHP-SEER16-Replace_CAC_NonElectricHeat_ER1_SF</v>
      </c>
      <c r="G2186" s="2676"/>
      <c r="H2186" s="2676"/>
      <c r="I2186" s="2677"/>
      <c r="J2186" s="3298" t="str">
        <f>$C$1429</f>
        <v>352510_2021_12_</v>
      </c>
      <c r="K2186" s="2225">
        <v>0</v>
      </c>
      <c r="L2186" s="850"/>
      <c r="M2186" s="3252" t="s">
        <v>1559</v>
      </c>
      <c r="N2186" s="123"/>
      <c r="O2186" s="228"/>
      <c r="P2186" s="844"/>
      <c r="Q2186" s="844"/>
      <c r="R2186" s="844"/>
      <c r="S2186" s="832"/>
      <c r="T2186" s="3082"/>
      <c r="U2186" s="123"/>
      <c r="V2186" s="3990"/>
      <c r="W2186" s="2857"/>
      <c r="X2186" s="2857"/>
      <c r="Y2186" s="2857"/>
      <c r="Z2186" s="2857"/>
      <c r="AA2186" s="2857"/>
      <c r="AB2186" s="2857"/>
      <c r="AC2186" s="2225">
        <v>0</v>
      </c>
      <c r="AD2186" s="2857"/>
      <c r="AE2186" s="2857"/>
      <c r="AF2186" s="2857"/>
      <c r="AG2186" s="2857"/>
      <c r="BB2186" s="575"/>
      <c r="BC2186" s="576"/>
      <c r="BD2186" s="678"/>
      <c r="BE2186" s="585"/>
    </row>
    <row r="2187" spans="1:57" s="1942" customFormat="1" ht="15" hidden="1" customHeight="1" outlineLevel="1" x14ac:dyDescent="0.25">
      <c r="A2187" s="2060"/>
      <c r="B2187" s="123"/>
      <c r="C2187" s="328"/>
      <c r="D2187" s="3990"/>
      <c r="E2187" s="4009"/>
      <c r="F2187" s="3010" t="str">
        <f>$E$1431</f>
        <v>ASHP-SEER16-Replace_CAC_NonElectricHeat_ER2_SF</v>
      </c>
      <c r="G2187" s="2676"/>
      <c r="H2187" s="2676"/>
      <c r="I2187" s="2677"/>
      <c r="J2187" s="3298" t="str">
        <f>$C$1431</f>
        <v>352510_2021_12_</v>
      </c>
      <c r="K2187" s="2225">
        <v>0</v>
      </c>
      <c r="L2187" s="850"/>
      <c r="M2187" s="3252" t="s">
        <v>1559</v>
      </c>
      <c r="N2187" s="123"/>
      <c r="O2187" s="228"/>
      <c r="P2187" s="844"/>
      <c r="Q2187" s="844"/>
      <c r="R2187" s="844"/>
      <c r="S2187" s="832"/>
      <c r="T2187" s="3082"/>
      <c r="U2187" s="123"/>
      <c r="V2187" s="3990"/>
      <c r="W2187" s="2857"/>
      <c r="X2187" s="2857"/>
      <c r="Y2187" s="2857"/>
      <c r="Z2187" s="2857"/>
      <c r="AA2187" s="2857"/>
      <c r="AB2187" s="2857"/>
      <c r="AC2187" s="2225">
        <v>0</v>
      </c>
      <c r="AD2187" s="2857"/>
      <c r="AE2187" s="2857"/>
      <c r="AF2187" s="2857"/>
      <c r="AG2187" s="2857"/>
      <c r="BB2187" s="575"/>
      <c r="BC2187" s="576"/>
      <c r="BD2187" s="678"/>
      <c r="BE2187" s="585"/>
    </row>
    <row r="2188" spans="1:57" s="51" customFormat="1" ht="15" hidden="1" customHeight="1" outlineLevel="1" x14ac:dyDescent="0.25">
      <c r="A2188" s="2060"/>
      <c r="B2188" s="123"/>
      <c r="C2188" s="328"/>
      <c r="D2188" s="3990"/>
      <c r="E2188" s="4009"/>
      <c r="F2188" s="3010" t="str">
        <f>$E$1433</f>
        <v>ASHP-SEER16_ER1_SF</v>
      </c>
      <c r="G2188" s="2676"/>
      <c r="H2188" s="2676"/>
      <c r="I2188" s="2677"/>
      <c r="J2188" s="3298" t="str">
        <f>$C$1433</f>
        <v>352550_2021_12_</v>
      </c>
      <c r="K2188" s="2857">
        <v>6.58</v>
      </c>
      <c r="L2188" s="850"/>
      <c r="M2188" s="698" t="s">
        <v>838</v>
      </c>
      <c r="N2188" s="123"/>
      <c r="O2188" s="228"/>
      <c r="P2188" s="844"/>
      <c r="Q2188" s="844"/>
      <c r="R2188" s="844"/>
      <c r="S2188" s="832"/>
      <c r="T2188" s="3082"/>
      <c r="U2188" s="123"/>
      <c r="V2188" s="3990"/>
      <c r="W2188" s="2857">
        <v>5.44</v>
      </c>
      <c r="X2188" s="3155">
        <v>6.58</v>
      </c>
      <c r="Y2188" s="2857">
        <v>6.58</v>
      </c>
      <c r="Z2188" s="2857">
        <v>6.58</v>
      </c>
      <c r="AA2188" s="2857">
        <v>6.58</v>
      </c>
      <c r="AB2188" s="2857">
        <v>6.58</v>
      </c>
      <c r="AC2188" s="2857">
        <v>6.58</v>
      </c>
      <c r="AD2188" s="2857"/>
      <c r="AE2188" s="2857"/>
      <c r="AF2188" s="2857"/>
      <c r="AG2188" s="2857"/>
      <c r="AH2188" s="1942"/>
      <c r="AI2188" s="1942"/>
      <c r="AJ2188" s="1942"/>
      <c r="AK2188" s="1942"/>
      <c r="AL2188" s="1942"/>
      <c r="AM2188" s="1942"/>
      <c r="AN2188" s="1942"/>
      <c r="AO2188" s="1942"/>
      <c r="AP2188" s="1942"/>
      <c r="AQ2188" s="1942"/>
      <c r="AR2188" s="1942"/>
      <c r="AS2188" s="1942"/>
      <c r="AT2188" s="1942"/>
      <c r="AU2188" s="1942"/>
      <c r="AV2188" s="1942"/>
      <c r="AW2188" s="1942"/>
      <c r="AX2188" s="1942"/>
      <c r="AY2188" s="1942"/>
      <c r="AZ2188" s="1942"/>
      <c r="BA2188" s="1942"/>
      <c r="BB2188" s="575"/>
      <c r="BC2188" s="576"/>
      <c r="BD2188" s="678"/>
      <c r="BE2188" s="585"/>
    </row>
    <row r="2189" spans="1:57" s="51" customFormat="1" ht="15" hidden="1" customHeight="1" outlineLevel="1" x14ac:dyDescent="0.25">
      <c r="A2189" s="1267"/>
      <c r="B2189" s="123"/>
      <c r="C2189" s="328"/>
      <c r="D2189" s="3990"/>
      <c r="E2189" s="4009"/>
      <c r="F2189" s="3010" t="str">
        <f>$E$1435</f>
        <v>ASHP-SEER16_ER2_SF</v>
      </c>
      <c r="G2189" s="2676"/>
      <c r="H2189" s="2676"/>
      <c r="I2189" s="2677"/>
      <c r="J2189" s="3298" t="str">
        <f>$C$1435</f>
        <v>352550_2021_12_</v>
      </c>
      <c r="K2189" s="2857">
        <v>8.1999999999999993</v>
      </c>
      <c r="L2189" s="851"/>
      <c r="M2189" s="698" t="s">
        <v>838</v>
      </c>
      <c r="N2189" s="123"/>
      <c r="O2189" s="228"/>
      <c r="P2189" s="844"/>
      <c r="Q2189" s="844"/>
      <c r="R2189" s="844"/>
      <c r="S2189" s="832"/>
      <c r="T2189" s="3082"/>
      <c r="U2189" s="123"/>
      <c r="V2189" s="3990"/>
      <c r="W2189" s="2857">
        <v>8.1999999999999993</v>
      </c>
      <c r="X2189" s="2857">
        <v>8.1999999999999993</v>
      </c>
      <c r="Y2189" s="2857">
        <v>8.1999999999999993</v>
      </c>
      <c r="Z2189" s="2857">
        <v>8.1999999999999993</v>
      </c>
      <c r="AA2189" s="2857">
        <v>8.1999999999999993</v>
      </c>
      <c r="AB2189" s="2857">
        <v>8.1999999999999993</v>
      </c>
      <c r="AC2189" s="2857">
        <v>8.1999999999999993</v>
      </c>
      <c r="AD2189" s="2857"/>
      <c r="AE2189" s="2857"/>
      <c r="AF2189" s="2857"/>
      <c r="AG2189" s="2857"/>
      <c r="AH2189" s="1942"/>
      <c r="AI2189" s="1942"/>
      <c r="AJ2189" s="1942"/>
      <c r="AK2189" s="1942"/>
      <c r="AL2189" s="1942"/>
      <c r="AM2189" s="1942"/>
      <c r="AN2189" s="1942"/>
      <c r="AO2189" s="1942"/>
      <c r="AP2189" s="1942"/>
      <c r="AQ2189" s="1942"/>
      <c r="AR2189" s="1942"/>
      <c r="AS2189" s="1942"/>
      <c r="AT2189" s="1942"/>
      <c r="AU2189" s="1942"/>
      <c r="AV2189" s="1942"/>
      <c r="AW2189" s="1942"/>
      <c r="AX2189" s="1942"/>
      <c r="AY2189" s="1942"/>
      <c r="AZ2189" s="1942"/>
      <c r="BA2189" s="1942"/>
      <c r="BB2189" s="575"/>
      <c r="BC2189" s="576"/>
      <c r="BD2189" s="678"/>
      <c r="BE2189" s="585"/>
    </row>
    <row r="2190" spans="1:57" s="51" customFormat="1" ht="15" hidden="1" customHeight="1" outlineLevel="1" x14ac:dyDescent="0.25">
      <c r="A2190" s="2060"/>
      <c r="B2190" s="123"/>
      <c r="C2190" s="328"/>
      <c r="D2190" s="3990"/>
      <c r="E2190" s="4009"/>
      <c r="F2190" s="3010" t="str">
        <f>$E$1437</f>
        <v>ASHP-SEER16-Replace_CAC_ElectricHeat_ROF_SF</v>
      </c>
      <c r="G2190" s="2676"/>
      <c r="H2190" s="2676"/>
      <c r="I2190" s="2677"/>
      <c r="J2190" s="3298" t="str">
        <f>$C$1437</f>
        <v>352600_2021_12_</v>
      </c>
      <c r="K2190" s="2857">
        <v>3.41</v>
      </c>
      <c r="L2190" s="851"/>
      <c r="M2190" s="698" t="s">
        <v>838</v>
      </c>
      <c r="N2190" s="123"/>
      <c r="O2190" s="228"/>
      <c r="P2190" s="844"/>
      <c r="Q2190" s="844"/>
      <c r="R2190" s="844"/>
      <c r="S2190" s="832"/>
      <c r="T2190" s="3082"/>
      <c r="U2190" s="123"/>
      <c r="V2190" s="3990"/>
      <c r="W2190" s="2857">
        <v>3.41</v>
      </c>
      <c r="X2190" s="2857">
        <v>3.41</v>
      </c>
      <c r="Y2190" s="2857">
        <v>3.41</v>
      </c>
      <c r="Z2190" s="2857">
        <v>3.41</v>
      </c>
      <c r="AA2190" s="2857">
        <v>3.41</v>
      </c>
      <c r="AB2190" s="2857">
        <v>3.41</v>
      </c>
      <c r="AC2190" s="2857">
        <v>3.41</v>
      </c>
      <c r="AD2190" s="2857"/>
      <c r="AE2190" s="2857"/>
      <c r="AF2190" s="2857"/>
      <c r="AG2190" s="2857"/>
      <c r="AH2190" s="1942"/>
      <c r="AI2190" s="1942"/>
      <c r="AJ2190" s="1942"/>
      <c r="AK2190" s="1942"/>
      <c r="AL2190" s="1942"/>
      <c r="AM2190" s="1942"/>
      <c r="AN2190" s="1942"/>
      <c r="AO2190" s="1942"/>
      <c r="AP2190" s="1942"/>
      <c r="AQ2190" s="1942"/>
      <c r="AR2190" s="1942"/>
      <c r="AS2190" s="1942"/>
      <c r="AT2190" s="1942"/>
      <c r="AU2190" s="1942"/>
      <c r="AV2190" s="1942"/>
      <c r="AW2190" s="1942"/>
      <c r="AX2190" s="1942"/>
      <c r="AY2190" s="1942"/>
      <c r="AZ2190" s="1942"/>
      <c r="BA2190" s="1942"/>
      <c r="BB2190" s="575"/>
      <c r="BC2190" s="576"/>
      <c r="BD2190" s="678"/>
      <c r="BE2190" s="585"/>
    </row>
    <row r="2191" spans="1:57" s="51" customFormat="1" ht="15" hidden="1" customHeight="1" outlineLevel="1" x14ac:dyDescent="0.25">
      <c r="A2191" s="2060"/>
      <c r="B2191" s="123"/>
      <c r="C2191" s="328"/>
      <c r="D2191" s="3990"/>
      <c r="E2191" s="4009"/>
      <c r="F2191" s="3010" t="str">
        <f>$E$1439</f>
        <v>ASHP-SEER16_ROF_SF</v>
      </c>
      <c r="G2191" s="2676"/>
      <c r="H2191" s="2676"/>
      <c r="I2191" s="2677"/>
      <c r="J2191" s="3298" t="str">
        <f>$C$1439</f>
        <v>352650_2021_12_</v>
      </c>
      <c r="K2191" s="2857">
        <v>8.1999999999999993</v>
      </c>
      <c r="L2191" s="851"/>
      <c r="M2191" s="698" t="s">
        <v>838</v>
      </c>
      <c r="N2191" s="123"/>
      <c r="O2191" s="228"/>
      <c r="P2191" s="844"/>
      <c r="Q2191" s="844"/>
      <c r="R2191" s="844"/>
      <c r="S2191" s="832"/>
      <c r="T2191" s="3082"/>
      <c r="U2191" s="123"/>
      <c r="V2191" s="3990"/>
      <c r="W2191" s="2857">
        <v>8.1999999999999993</v>
      </c>
      <c r="X2191" s="2857">
        <v>8.1999999999999993</v>
      </c>
      <c r="Y2191" s="2857">
        <v>8.1999999999999993</v>
      </c>
      <c r="Z2191" s="2857">
        <v>8.1999999999999993</v>
      </c>
      <c r="AA2191" s="2857">
        <v>8.1999999999999993</v>
      </c>
      <c r="AB2191" s="2857">
        <v>8.1999999999999993</v>
      </c>
      <c r="AC2191" s="2857">
        <v>8.1999999999999993</v>
      </c>
      <c r="AD2191" s="2857"/>
      <c r="AE2191" s="2857"/>
      <c r="AF2191" s="2857"/>
      <c r="AG2191" s="2857"/>
      <c r="AH2191" s="1942"/>
      <c r="AI2191" s="1942"/>
      <c r="AJ2191" s="1942"/>
      <c r="AK2191" s="1942"/>
      <c r="AL2191" s="1942"/>
      <c r="AM2191" s="1942"/>
      <c r="AN2191" s="1942"/>
      <c r="AO2191" s="1942"/>
      <c r="AP2191" s="1942"/>
      <c r="AQ2191" s="1942"/>
      <c r="AR2191" s="1942"/>
      <c r="AS2191" s="1942"/>
      <c r="AT2191" s="1942"/>
      <c r="AU2191" s="1942"/>
      <c r="AV2191" s="1942"/>
      <c r="AW2191" s="1942"/>
      <c r="AX2191" s="1942"/>
      <c r="AY2191" s="1942"/>
      <c r="AZ2191" s="1942"/>
      <c r="BA2191" s="1942"/>
      <c r="BB2191" s="575"/>
      <c r="BC2191" s="576"/>
      <c r="BD2191" s="678"/>
      <c r="BE2191" s="585"/>
    </row>
    <row r="2192" spans="1:57" s="51" customFormat="1" ht="15" hidden="1" customHeight="1" outlineLevel="1" x14ac:dyDescent="0.25">
      <c r="A2192" s="2060"/>
      <c r="B2192" s="123"/>
      <c r="C2192" s="328"/>
      <c r="D2192" s="3990"/>
      <c r="E2192" s="4009"/>
      <c r="F2192" s="3010" t="str">
        <f>$E$1441</f>
        <v>ASHP-SEER15_ER1_MF</v>
      </c>
      <c r="G2192" s="2676"/>
      <c r="H2192" s="2676"/>
      <c r="I2192" s="2677"/>
      <c r="J2192" s="3298" t="str">
        <f>$C$1441</f>
        <v>352700_2021_12_</v>
      </c>
      <c r="K2192" s="2857">
        <v>6.58</v>
      </c>
      <c r="L2192" s="851"/>
      <c r="M2192" s="698" t="s">
        <v>1560</v>
      </c>
      <c r="N2192" s="123"/>
      <c r="O2192" s="228"/>
      <c r="P2192" s="844"/>
      <c r="Q2192" s="844"/>
      <c r="R2192" s="844"/>
      <c r="S2192" s="832"/>
      <c r="T2192" s="3082"/>
      <c r="U2192" s="123"/>
      <c r="V2192" s="3990"/>
      <c r="W2192" s="2857">
        <v>5.44</v>
      </c>
      <c r="X2192" s="3155">
        <v>5.44</v>
      </c>
      <c r="Y2192" s="3155">
        <v>6.58</v>
      </c>
      <c r="Z2192" s="2857">
        <v>6.58</v>
      </c>
      <c r="AA2192" s="2857">
        <v>6.58</v>
      </c>
      <c r="AB2192" s="2857">
        <v>6.58</v>
      </c>
      <c r="AC2192" s="2857">
        <v>6.58</v>
      </c>
      <c r="AD2192" s="2857"/>
      <c r="AE2192" s="2857"/>
      <c r="AF2192" s="2857"/>
      <c r="AG2192" s="2857"/>
      <c r="AH2192" s="1942"/>
      <c r="AI2192" s="1942"/>
      <c r="AJ2192" s="1942"/>
      <c r="AK2192" s="1942"/>
      <c r="AL2192" s="1942"/>
      <c r="AM2192" s="1942"/>
      <c r="AN2192" s="1942"/>
      <c r="AO2192" s="1942"/>
      <c r="AP2192" s="1942"/>
      <c r="AQ2192" s="1942"/>
      <c r="AR2192" s="1942"/>
      <c r="AS2192" s="1942"/>
      <c r="AT2192" s="1942"/>
      <c r="AU2192" s="1942"/>
      <c r="AV2192" s="1942"/>
      <c r="AW2192" s="1942"/>
      <c r="AX2192" s="1942"/>
      <c r="AY2192" s="1942"/>
      <c r="AZ2192" s="1942"/>
      <c r="BA2192" s="1942"/>
      <c r="BB2192" s="575"/>
      <c r="BC2192" s="576"/>
      <c r="BD2192" s="678"/>
      <c r="BE2192" s="585"/>
    </row>
    <row r="2193" spans="1:57" s="51" customFormat="1" ht="15" hidden="1" customHeight="1" outlineLevel="1" x14ac:dyDescent="0.25">
      <c r="A2193" s="2060"/>
      <c r="B2193" s="123"/>
      <c r="C2193" s="328"/>
      <c r="D2193" s="3990"/>
      <c r="E2193" s="4009"/>
      <c r="F2193" s="3010" t="str">
        <f>$E$1443</f>
        <v>ASHP-SEER15_ER2_MF</v>
      </c>
      <c r="G2193" s="2676"/>
      <c r="H2193" s="2676"/>
      <c r="I2193" s="2677"/>
      <c r="J2193" s="3298" t="str">
        <f>$C$1443</f>
        <v>352700_2021_12_</v>
      </c>
      <c r="K2193" s="2857">
        <v>8.1999999999999993</v>
      </c>
      <c r="L2193" s="851"/>
      <c r="M2193" s="698" t="s">
        <v>1560</v>
      </c>
      <c r="N2193" s="123"/>
      <c r="O2193" s="228"/>
      <c r="P2193" s="844"/>
      <c r="Q2193" s="844"/>
      <c r="R2193" s="844"/>
      <c r="S2193" s="832"/>
      <c r="T2193" s="3082"/>
      <c r="U2193" s="123"/>
      <c r="V2193" s="3990"/>
      <c r="W2193" s="2857">
        <v>8.1999999999999993</v>
      </c>
      <c r="X2193" s="2857">
        <v>8.1999999999999993</v>
      </c>
      <c r="Y2193" s="2857">
        <v>8.1999999999999993</v>
      </c>
      <c r="Z2193" s="2857">
        <v>8.1999999999999993</v>
      </c>
      <c r="AA2193" s="2857">
        <v>8.1999999999999993</v>
      </c>
      <c r="AB2193" s="2857">
        <v>8.1999999999999993</v>
      </c>
      <c r="AC2193" s="2857">
        <v>8.1999999999999993</v>
      </c>
      <c r="AD2193" s="2857"/>
      <c r="AE2193" s="2857"/>
      <c r="AF2193" s="2857"/>
      <c r="AG2193" s="2857"/>
      <c r="AH2193" s="1942"/>
      <c r="AI2193" s="1942"/>
      <c r="AJ2193" s="1942"/>
      <c r="AK2193" s="1942"/>
      <c r="AL2193" s="1942"/>
      <c r="AM2193" s="1942"/>
      <c r="AN2193" s="1942"/>
      <c r="AO2193" s="1942"/>
      <c r="AP2193" s="1942"/>
      <c r="AQ2193" s="1942"/>
      <c r="AR2193" s="1942"/>
      <c r="AS2193" s="1942"/>
      <c r="AT2193" s="1942"/>
      <c r="AU2193" s="1942"/>
      <c r="AV2193" s="1942"/>
      <c r="AW2193" s="1942"/>
      <c r="AX2193" s="1942"/>
      <c r="AY2193" s="1942"/>
      <c r="AZ2193" s="1942"/>
      <c r="BA2193" s="1942"/>
      <c r="BB2193" s="575"/>
      <c r="BC2193" s="576"/>
      <c r="BD2193" s="678"/>
      <c r="BE2193" s="585"/>
    </row>
    <row r="2194" spans="1:57" s="51" customFormat="1" ht="15" hidden="1" customHeight="1" outlineLevel="1" x14ac:dyDescent="0.25">
      <c r="A2194" s="2060"/>
      <c r="B2194" s="123"/>
      <c r="C2194" s="328"/>
      <c r="D2194" s="3990"/>
      <c r="E2194" s="4009"/>
      <c r="F2194" s="3010" t="str">
        <f>$E$1445</f>
        <v>ASHP-SEER15_ER1_MF_CompE</v>
      </c>
      <c r="G2194" s="2676"/>
      <c r="H2194" s="2676"/>
      <c r="I2194" s="2677"/>
      <c r="J2194" s="3298" t="str">
        <f>$C$1445</f>
        <v>352701_2021_12_</v>
      </c>
      <c r="K2194" s="2857">
        <v>6.58</v>
      </c>
      <c r="L2194" s="851"/>
      <c r="M2194" s="698" t="s">
        <v>1560</v>
      </c>
      <c r="N2194" s="123"/>
      <c r="O2194" s="228"/>
      <c r="P2194" s="844"/>
      <c r="Q2194" s="844"/>
      <c r="R2194" s="844"/>
      <c r="S2194" s="832"/>
      <c r="T2194" s="3082"/>
      <c r="U2194" s="123"/>
      <c r="V2194" s="3990"/>
      <c r="W2194" s="2857"/>
      <c r="X2194" s="2857"/>
      <c r="Y2194" s="3155">
        <v>6.58</v>
      </c>
      <c r="Z2194" s="2857">
        <v>6.58</v>
      </c>
      <c r="AA2194" s="2857">
        <v>6.58</v>
      </c>
      <c r="AB2194" s="2857">
        <v>6.58</v>
      </c>
      <c r="AC2194" s="2857">
        <v>6.58</v>
      </c>
      <c r="AD2194" s="2857"/>
      <c r="AE2194" s="2857"/>
      <c r="AF2194" s="2857"/>
      <c r="AG2194" s="2857"/>
      <c r="AH2194" s="1942"/>
      <c r="AI2194" s="1942"/>
      <c r="AJ2194" s="1942"/>
      <c r="AK2194" s="1942"/>
      <c r="AL2194" s="1942"/>
      <c r="AM2194" s="1942"/>
      <c r="AN2194" s="1942"/>
      <c r="AO2194" s="1942"/>
      <c r="AP2194" s="1942"/>
      <c r="AQ2194" s="1942"/>
      <c r="AR2194" s="1942"/>
      <c r="AS2194" s="1942"/>
      <c r="AT2194" s="1942"/>
      <c r="AU2194" s="1942"/>
      <c r="AV2194" s="1942"/>
      <c r="AW2194" s="1942"/>
      <c r="AX2194" s="1942"/>
      <c r="AY2194" s="1942"/>
      <c r="AZ2194" s="1942"/>
      <c r="BA2194" s="1942"/>
      <c r="BB2194" s="575"/>
      <c r="BC2194" s="576"/>
      <c r="BD2194" s="678"/>
      <c r="BE2194" s="585"/>
    </row>
    <row r="2195" spans="1:57" s="51" customFormat="1" ht="15" hidden="1" customHeight="1" outlineLevel="1" x14ac:dyDescent="0.25">
      <c r="A2195" s="2060"/>
      <c r="B2195" s="123"/>
      <c r="C2195" s="328"/>
      <c r="D2195" s="3990"/>
      <c r="E2195" s="4009"/>
      <c r="F2195" s="3010" t="str">
        <f>$E$1447</f>
        <v>ASHP-SEER15_ER2_MF_CompE</v>
      </c>
      <c r="G2195" s="2676"/>
      <c r="H2195" s="2676"/>
      <c r="I2195" s="2677"/>
      <c r="J2195" s="3298" t="str">
        <f>$C$1447</f>
        <v>352701_2021_12_</v>
      </c>
      <c r="K2195" s="2857">
        <v>8.1999999999999993</v>
      </c>
      <c r="L2195" s="851"/>
      <c r="M2195" s="698" t="s">
        <v>1560</v>
      </c>
      <c r="N2195" s="123"/>
      <c r="O2195" s="228"/>
      <c r="P2195" s="844"/>
      <c r="Q2195" s="844"/>
      <c r="R2195" s="844"/>
      <c r="S2195" s="832"/>
      <c r="T2195" s="3082"/>
      <c r="U2195" s="123"/>
      <c r="V2195" s="3990"/>
      <c r="W2195" s="2857"/>
      <c r="X2195" s="2857"/>
      <c r="Y2195" s="3155">
        <v>8.1999999999999993</v>
      </c>
      <c r="Z2195" s="2857">
        <v>8.1999999999999993</v>
      </c>
      <c r="AA2195" s="2857">
        <v>8.1999999999999993</v>
      </c>
      <c r="AB2195" s="2857">
        <v>8.1999999999999993</v>
      </c>
      <c r="AC2195" s="2857">
        <v>8.1999999999999993</v>
      </c>
      <c r="AD2195" s="2857"/>
      <c r="AE2195" s="2857"/>
      <c r="AF2195" s="2857"/>
      <c r="AG2195" s="2857"/>
      <c r="AH2195" s="1942"/>
      <c r="AI2195" s="1942"/>
      <c r="AJ2195" s="1942"/>
      <c r="AK2195" s="1942"/>
      <c r="AL2195" s="1942"/>
      <c r="AM2195" s="1942"/>
      <c r="AN2195" s="1942"/>
      <c r="AO2195" s="1942"/>
      <c r="AP2195" s="1942"/>
      <c r="AQ2195" s="1942"/>
      <c r="AR2195" s="1942"/>
      <c r="AS2195" s="1942"/>
      <c r="AT2195" s="1942"/>
      <c r="AU2195" s="1942"/>
      <c r="AV2195" s="1942"/>
      <c r="AW2195" s="1942"/>
      <c r="AX2195" s="1942"/>
      <c r="AY2195" s="1942"/>
      <c r="AZ2195" s="1942"/>
      <c r="BA2195" s="1942"/>
      <c r="BB2195" s="575"/>
      <c r="BC2195" s="576"/>
      <c r="BD2195" s="678"/>
      <c r="BE2195" s="585"/>
    </row>
    <row r="2196" spans="1:57" s="51" customFormat="1" ht="15" hidden="1" customHeight="1" outlineLevel="1" x14ac:dyDescent="0.25">
      <c r="A2196" s="1267"/>
      <c r="B2196" s="123"/>
      <c r="C2196" s="328"/>
      <c r="D2196" s="3990"/>
      <c r="E2196" s="4009"/>
      <c r="F2196" s="3010" t="str">
        <f>$E$1449</f>
        <v>ASHP-SEER15-Replace_CAC_ElectricHeat_ER1_MF</v>
      </c>
      <c r="G2196" s="2676"/>
      <c r="H2196" s="2676"/>
      <c r="I2196" s="2677"/>
      <c r="J2196" s="3298" t="str">
        <f>$C$1449</f>
        <v>352750_2021_12_</v>
      </c>
      <c r="K2196" s="2857">
        <v>3.41</v>
      </c>
      <c r="L2196" s="851"/>
      <c r="M2196" s="698" t="s">
        <v>1560</v>
      </c>
      <c r="N2196" s="123"/>
      <c r="O2196" s="228"/>
      <c r="P2196" s="844"/>
      <c r="Q2196" s="844"/>
      <c r="R2196" s="844"/>
      <c r="S2196" s="832"/>
      <c r="T2196" s="3082"/>
      <c r="U2196" s="123"/>
      <c r="V2196" s="3990"/>
      <c r="W2196" s="2857">
        <v>3.41</v>
      </c>
      <c r="X2196" s="2857">
        <v>3.41</v>
      </c>
      <c r="Y2196" s="2857">
        <v>3.41</v>
      </c>
      <c r="Z2196" s="2857">
        <v>3.41</v>
      </c>
      <c r="AA2196" s="2857">
        <v>3.41</v>
      </c>
      <c r="AB2196" s="2857">
        <v>3.41</v>
      </c>
      <c r="AC2196" s="2857">
        <v>3.41</v>
      </c>
      <c r="AD2196" s="2857"/>
      <c r="AE2196" s="2857"/>
      <c r="AF2196" s="2857"/>
      <c r="AG2196" s="2857"/>
      <c r="AH2196" s="1942"/>
      <c r="AI2196" s="1942"/>
      <c r="AJ2196" s="1942"/>
      <c r="AK2196" s="1942"/>
      <c r="AL2196" s="1942"/>
      <c r="AM2196" s="1942"/>
      <c r="AN2196" s="1942"/>
      <c r="AO2196" s="1942"/>
      <c r="AP2196" s="1942"/>
      <c r="AQ2196" s="1942"/>
      <c r="AR2196" s="1942"/>
      <c r="AS2196" s="1942"/>
      <c r="AT2196" s="1942"/>
      <c r="AU2196" s="1942"/>
      <c r="AV2196" s="1942"/>
      <c r="AW2196" s="1942"/>
      <c r="AX2196" s="1942"/>
      <c r="AY2196" s="1942"/>
      <c r="AZ2196" s="1942"/>
      <c r="BA2196" s="1942"/>
      <c r="BB2196" s="575"/>
      <c r="BC2196" s="576"/>
      <c r="BD2196" s="678"/>
      <c r="BE2196" s="585"/>
    </row>
    <row r="2197" spans="1:57" s="51" customFormat="1" ht="15" hidden="1" customHeight="1" outlineLevel="1" x14ac:dyDescent="0.25">
      <c r="A2197" s="2060"/>
      <c r="B2197" s="123"/>
      <c r="C2197" s="328"/>
      <c r="D2197" s="3990"/>
      <c r="E2197" s="4009"/>
      <c r="F2197" s="3010" t="str">
        <f>$E$1451</f>
        <v>ASHP-SEER15-Replace_CAC_ElectricHeat_ER2_MF</v>
      </c>
      <c r="G2197" s="2676"/>
      <c r="H2197" s="2676"/>
      <c r="I2197" s="2677"/>
      <c r="J2197" s="3298" t="str">
        <f>$C$1451</f>
        <v>352750_2021_12_</v>
      </c>
      <c r="K2197" s="2857">
        <v>3.41</v>
      </c>
      <c r="L2197" s="851"/>
      <c r="M2197" s="698" t="s">
        <v>1560</v>
      </c>
      <c r="N2197" s="123"/>
      <c r="O2197" s="228"/>
      <c r="P2197" s="844"/>
      <c r="Q2197" s="844"/>
      <c r="R2197" s="844"/>
      <c r="S2197" s="832"/>
      <c r="T2197" s="3082"/>
      <c r="U2197" s="123"/>
      <c r="V2197" s="3990"/>
      <c r="W2197" s="2857">
        <v>3.41</v>
      </c>
      <c r="X2197" s="2857">
        <v>3.41</v>
      </c>
      <c r="Y2197" s="2857">
        <v>3.41</v>
      </c>
      <c r="Z2197" s="2857">
        <v>3.41</v>
      </c>
      <c r="AA2197" s="2857">
        <v>3.41</v>
      </c>
      <c r="AB2197" s="2857">
        <v>3.41</v>
      </c>
      <c r="AC2197" s="2857">
        <v>3.41</v>
      </c>
      <c r="AD2197" s="2857"/>
      <c r="AE2197" s="2857"/>
      <c r="AF2197" s="2857"/>
      <c r="AG2197" s="2857"/>
      <c r="AH2197" s="1942"/>
      <c r="AI2197" s="1942"/>
      <c r="AJ2197" s="1942"/>
      <c r="AK2197" s="1942"/>
      <c r="AL2197" s="1942"/>
      <c r="AM2197" s="1942"/>
      <c r="AN2197" s="1942"/>
      <c r="AO2197" s="1942"/>
      <c r="AP2197" s="1942"/>
      <c r="AQ2197" s="1942"/>
      <c r="AR2197" s="1942"/>
      <c r="AS2197" s="1942"/>
      <c r="AT2197" s="1942"/>
      <c r="AU2197" s="1942"/>
      <c r="AV2197" s="1942"/>
      <c r="AW2197" s="1942"/>
      <c r="AX2197" s="1942"/>
      <c r="AY2197" s="1942"/>
      <c r="AZ2197" s="1942"/>
      <c r="BA2197" s="1942"/>
      <c r="BB2197" s="575"/>
      <c r="BC2197" s="576"/>
      <c r="BD2197" s="678"/>
      <c r="BE2197" s="585"/>
    </row>
    <row r="2198" spans="1:57" s="51" customFormat="1" ht="15" hidden="1" customHeight="1" outlineLevel="1" x14ac:dyDescent="0.25">
      <c r="A2198" s="2060"/>
      <c r="B2198" s="123"/>
      <c r="C2198" s="328"/>
      <c r="D2198" s="3990"/>
      <c r="E2198" s="4009"/>
      <c r="F2198" s="3010" t="str">
        <f>$E$1453</f>
        <v>ASHP-SEER15-Replace_CAC_ElectricHeat_ER1_MF_CompE</v>
      </c>
      <c r="G2198" s="2676"/>
      <c r="H2198" s="2676"/>
      <c r="I2198" s="2677"/>
      <c r="J2198" s="3298" t="str">
        <f>$C$1453</f>
        <v>352751_2021_12_</v>
      </c>
      <c r="K2198" s="2857">
        <v>3.41</v>
      </c>
      <c r="L2198" s="851"/>
      <c r="M2198" s="698" t="s">
        <v>1560</v>
      </c>
      <c r="N2198" s="123"/>
      <c r="O2198" s="228"/>
      <c r="P2198" s="844"/>
      <c r="Q2198" s="844"/>
      <c r="R2198" s="844"/>
      <c r="S2198" s="832"/>
      <c r="T2198" s="3082"/>
      <c r="U2198" s="123"/>
      <c r="V2198" s="3990"/>
      <c r="W2198" s="2857"/>
      <c r="X2198" s="2857"/>
      <c r="Y2198" s="3155">
        <v>3.41</v>
      </c>
      <c r="Z2198" s="2857">
        <v>3.41</v>
      </c>
      <c r="AA2198" s="2857">
        <v>3.41</v>
      </c>
      <c r="AB2198" s="2857">
        <v>3.41</v>
      </c>
      <c r="AC2198" s="2857">
        <v>3.41</v>
      </c>
      <c r="AD2198" s="2857"/>
      <c r="AE2198" s="2857"/>
      <c r="AF2198" s="2857"/>
      <c r="AG2198" s="2857"/>
      <c r="AH2198" s="1942"/>
      <c r="AI2198" s="1942"/>
      <c r="AJ2198" s="1942"/>
      <c r="AK2198" s="1942"/>
      <c r="AL2198" s="1942"/>
      <c r="AM2198" s="1942"/>
      <c r="AN2198" s="1942"/>
      <c r="AO2198" s="1942"/>
      <c r="AP2198" s="1942"/>
      <c r="AQ2198" s="1942"/>
      <c r="AR2198" s="1942"/>
      <c r="AS2198" s="1942"/>
      <c r="AT2198" s="1942"/>
      <c r="AU2198" s="1942"/>
      <c r="AV2198" s="1942"/>
      <c r="AW2198" s="1942"/>
      <c r="AX2198" s="1942"/>
      <c r="AY2198" s="1942"/>
      <c r="AZ2198" s="1942"/>
      <c r="BA2198" s="1942"/>
      <c r="BB2198" s="575"/>
      <c r="BC2198" s="576"/>
      <c r="BD2198" s="678"/>
      <c r="BE2198" s="585"/>
    </row>
    <row r="2199" spans="1:57" s="51" customFormat="1" ht="15" hidden="1" customHeight="1" outlineLevel="1" x14ac:dyDescent="0.25">
      <c r="A2199" s="2060"/>
      <c r="B2199" s="123"/>
      <c r="C2199" s="328"/>
      <c r="D2199" s="3990"/>
      <c r="E2199" s="4009"/>
      <c r="F2199" s="3010" t="str">
        <f>$E$1455</f>
        <v>ASHP-SEER15-Replace_CAC_ElectricHeat_ER2_MF_CompE</v>
      </c>
      <c r="G2199" s="2676"/>
      <c r="H2199" s="2676"/>
      <c r="I2199" s="2677"/>
      <c r="J2199" s="3298" t="str">
        <f>$C$1455</f>
        <v>352751_2021_12_</v>
      </c>
      <c r="K2199" s="2857">
        <v>3.41</v>
      </c>
      <c r="L2199" s="851"/>
      <c r="M2199" s="698" t="s">
        <v>1560</v>
      </c>
      <c r="N2199" s="123"/>
      <c r="O2199" s="228"/>
      <c r="P2199" s="844"/>
      <c r="Q2199" s="844"/>
      <c r="R2199" s="844"/>
      <c r="S2199" s="832"/>
      <c r="T2199" s="3082"/>
      <c r="U2199" s="123"/>
      <c r="V2199" s="3990"/>
      <c r="W2199" s="2857"/>
      <c r="X2199" s="2857"/>
      <c r="Y2199" s="3155">
        <v>3.41</v>
      </c>
      <c r="Z2199" s="2857">
        <v>3.41</v>
      </c>
      <c r="AA2199" s="2857">
        <v>3.41</v>
      </c>
      <c r="AB2199" s="2857">
        <v>3.41</v>
      </c>
      <c r="AC2199" s="2857">
        <v>3.41</v>
      </c>
      <c r="AD2199" s="2857"/>
      <c r="AE2199" s="2857"/>
      <c r="AF2199" s="2857"/>
      <c r="AG2199" s="2857"/>
      <c r="AH2199" s="1942"/>
      <c r="AI2199" s="1942"/>
      <c r="AJ2199" s="1942"/>
      <c r="AK2199" s="1942"/>
      <c r="AL2199" s="1942"/>
      <c r="AM2199" s="1942"/>
      <c r="AN2199" s="1942"/>
      <c r="AO2199" s="1942"/>
      <c r="AP2199" s="1942"/>
      <c r="AQ2199" s="1942"/>
      <c r="AR2199" s="1942"/>
      <c r="AS2199" s="1942"/>
      <c r="AT2199" s="1942"/>
      <c r="AU2199" s="1942"/>
      <c r="AV2199" s="1942"/>
      <c r="AW2199" s="1942"/>
      <c r="AX2199" s="1942"/>
      <c r="AY2199" s="1942"/>
      <c r="AZ2199" s="1942"/>
      <c r="BA2199" s="1942"/>
      <c r="BB2199" s="575"/>
      <c r="BC2199" s="576"/>
      <c r="BD2199" s="678"/>
      <c r="BE2199" s="585"/>
    </row>
    <row r="2200" spans="1:57" s="1942" customFormat="1" ht="15" hidden="1" customHeight="1" outlineLevel="1" x14ac:dyDescent="0.25">
      <c r="A2200" s="2060"/>
      <c r="B2200" s="123"/>
      <c r="C2200" s="328"/>
      <c r="D2200" s="3990"/>
      <c r="E2200" s="4009"/>
      <c r="F2200" s="3010" t="str">
        <f>$E$1457</f>
        <v>ASHP-SEER15-Replace_CAC_NonElectricHeat_ER1_MF</v>
      </c>
      <c r="G2200" s="2676"/>
      <c r="H2200" s="2676"/>
      <c r="I2200" s="2677"/>
      <c r="J2200" s="3298" t="str">
        <f>$C$1457</f>
        <v>352760_2021_12_</v>
      </c>
      <c r="K2200" s="2225">
        <v>0</v>
      </c>
      <c r="L2200" s="851"/>
      <c r="M2200" s="3252" t="s">
        <v>1559</v>
      </c>
      <c r="N2200" s="123"/>
      <c r="O2200" s="228"/>
      <c r="P2200" s="844"/>
      <c r="Q2200" s="844"/>
      <c r="R2200" s="844"/>
      <c r="S2200" s="832"/>
      <c r="T2200" s="3082"/>
      <c r="U2200" s="123"/>
      <c r="V2200" s="3990"/>
      <c r="W2200" s="2857"/>
      <c r="X2200" s="2857"/>
      <c r="Y2200" s="3155"/>
      <c r="Z2200" s="2857"/>
      <c r="AA2200" s="2857"/>
      <c r="AB2200" s="2857"/>
      <c r="AC2200" s="2225">
        <v>0</v>
      </c>
      <c r="AD2200" s="2857"/>
      <c r="AE2200" s="2857"/>
      <c r="AF2200" s="2857"/>
      <c r="AG2200" s="2857"/>
      <c r="BB2200" s="575"/>
      <c r="BC2200" s="576"/>
      <c r="BD2200" s="678"/>
      <c r="BE2200" s="585"/>
    </row>
    <row r="2201" spans="1:57" s="1942" customFormat="1" ht="15" hidden="1" customHeight="1" outlineLevel="1" x14ac:dyDescent="0.25">
      <c r="A2201" s="2060"/>
      <c r="B2201" s="123"/>
      <c r="C2201" s="328"/>
      <c r="D2201" s="3990"/>
      <c r="E2201" s="4009"/>
      <c r="F2201" s="3010" t="str">
        <f>$E$1459</f>
        <v>ASHP-SEER15-Replace_CAC_NonElectricHeat_ER2_MF</v>
      </c>
      <c r="G2201" s="2676"/>
      <c r="H2201" s="2676"/>
      <c r="I2201" s="2677"/>
      <c r="J2201" s="3298" t="str">
        <f>$C$1459</f>
        <v>352760_2021_12_</v>
      </c>
      <c r="K2201" s="2225">
        <v>0</v>
      </c>
      <c r="L2201" s="851"/>
      <c r="M2201" s="3252" t="s">
        <v>1559</v>
      </c>
      <c r="N2201" s="123"/>
      <c r="O2201" s="228"/>
      <c r="P2201" s="844"/>
      <c r="Q2201" s="844"/>
      <c r="R2201" s="844"/>
      <c r="S2201" s="832"/>
      <c r="T2201" s="3082"/>
      <c r="U2201" s="123"/>
      <c r="V2201" s="3990"/>
      <c r="W2201" s="2857"/>
      <c r="X2201" s="2857"/>
      <c r="Y2201" s="3155"/>
      <c r="Z2201" s="2857"/>
      <c r="AA2201" s="2857"/>
      <c r="AB2201" s="2857"/>
      <c r="AC2201" s="2225">
        <v>0</v>
      </c>
      <c r="AD2201" s="2857"/>
      <c r="AE2201" s="2857"/>
      <c r="AF2201" s="2857"/>
      <c r="AG2201" s="2857"/>
      <c r="BB2201" s="575"/>
      <c r="BC2201" s="576"/>
      <c r="BD2201" s="678"/>
      <c r="BE2201" s="585"/>
    </row>
    <row r="2202" spans="1:57" s="1942" customFormat="1" ht="15" hidden="1" customHeight="1" outlineLevel="1" x14ac:dyDescent="0.25">
      <c r="A2202" s="2060"/>
      <c r="B2202" s="123"/>
      <c r="C2202" s="328"/>
      <c r="D2202" s="3990"/>
      <c r="E2202" s="4009"/>
      <c r="F2202" s="3010" t="str">
        <f>$E$1461</f>
        <v>ASHP-SEER15-Replace_CAC_NonElectricHeat_ER1_MF_CompE</v>
      </c>
      <c r="G2202" s="2676"/>
      <c r="H2202" s="2676"/>
      <c r="I2202" s="2677"/>
      <c r="J2202" s="3298" t="str">
        <f>$C$1461</f>
        <v>352761_2021_12_</v>
      </c>
      <c r="K2202" s="2225">
        <v>0</v>
      </c>
      <c r="L2202" s="851"/>
      <c r="M2202" s="3252" t="s">
        <v>1559</v>
      </c>
      <c r="N2202" s="123"/>
      <c r="O2202" s="228"/>
      <c r="P2202" s="844"/>
      <c r="Q2202" s="844"/>
      <c r="R2202" s="844"/>
      <c r="S2202" s="832"/>
      <c r="T2202" s="3082"/>
      <c r="U2202" s="123"/>
      <c r="V2202" s="3990"/>
      <c r="W2202" s="2857"/>
      <c r="X2202" s="2857"/>
      <c r="Y2202" s="3155"/>
      <c r="Z2202" s="2857"/>
      <c r="AA2202" s="2857"/>
      <c r="AB2202" s="2857"/>
      <c r="AC2202" s="2225">
        <v>0</v>
      </c>
      <c r="AD2202" s="2857"/>
      <c r="AE2202" s="2857"/>
      <c r="AF2202" s="2857"/>
      <c r="AG2202" s="2857"/>
      <c r="BB2202" s="575"/>
      <c r="BC2202" s="576"/>
      <c r="BD2202" s="678"/>
      <c r="BE2202" s="585"/>
    </row>
    <row r="2203" spans="1:57" s="1942" customFormat="1" ht="15" hidden="1" customHeight="1" outlineLevel="1" x14ac:dyDescent="0.25">
      <c r="A2203" s="2060"/>
      <c r="B2203" s="123"/>
      <c r="C2203" s="328"/>
      <c r="D2203" s="3990"/>
      <c r="E2203" s="4009"/>
      <c r="F2203" s="3010" t="str">
        <f>$E$1463</f>
        <v>ASHP-SEER15-Replace_CAC_NonElectricHeat_ER2_MF_CompE</v>
      </c>
      <c r="G2203" s="2676"/>
      <c r="H2203" s="2676"/>
      <c r="I2203" s="2677"/>
      <c r="J2203" s="3298" t="str">
        <f>$C$1463</f>
        <v>352761_2021_12_</v>
      </c>
      <c r="K2203" s="2225">
        <v>0</v>
      </c>
      <c r="L2203" s="851"/>
      <c r="M2203" s="3252" t="s">
        <v>1559</v>
      </c>
      <c r="N2203" s="123"/>
      <c r="O2203" s="228"/>
      <c r="P2203" s="844"/>
      <c r="Q2203" s="844"/>
      <c r="R2203" s="844"/>
      <c r="S2203" s="832"/>
      <c r="T2203" s="3082"/>
      <c r="U2203" s="123"/>
      <c r="V2203" s="3990"/>
      <c r="W2203" s="2857"/>
      <c r="X2203" s="2857"/>
      <c r="Y2203" s="3155"/>
      <c r="Z2203" s="2857"/>
      <c r="AA2203" s="2857"/>
      <c r="AB2203" s="2857"/>
      <c r="AC2203" s="2225">
        <v>0</v>
      </c>
      <c r="AD2203" s="2857"/>
      <c r="AE2203" s="2857"/>
      <c r="AF2203" s="2857"/>
      <c r="AG2203" s="2857"/>
      <c r="BB2203" s="575"/>
      <c r="BC2203" s="576"/>
      <c r="BD2203" s="678"/>
      <c r="BE2203" s="585"/>
    </row>
    <row r="2204" spans="1:57" s="51" customFormat="1" ht="15" hidden="1" customHeight="1" outlineLevel="1" x14ac:dyDescent="0.25">
      <c r="A2204" s="2060"/>
      <c r="B2204" s="123"/>
      <c r="C2204" s="328"/>
      <c r="D2204" s="3990"/>
      <c r="E2204" s="4009"/>
      <c r="F2204" s="3010" t="str">
        <f>$E$1465</f>
        <v>ASHP-SEER15-Replace_CAC_ElectricHeat_ROF_MF</v>
      </c>
      <c r="G2204" s="2676"/>
      <c r="H2204" s="2676"/>
      <c r="I2204" s="2677"/>
      <c r="J2204" s="3299" t="str">
        <f>$C$1465</f>
        <v>352800_2019_12_</v>
      </c>
      <c r="K2204" s="2857">
        <v>3.41</v>
      </c>
      <c r="L2204" s="851"/>
      <c r="M2204" s="698" t="s">
        <v>1560</v>
      </c>
      <c r="N2204" s="123"/>
      <c r="O2204" s="228"/>
      <c r="P2204" s="844"/>
      <c r="Q2204" s="844"/>
      <c r="R2204" s="844"/>
      <c r="S2204" s="832"/>
      <c r="T2204" s="3082"/>
      <c r="U2204" s="123"/>
      <c r="V2204" s="3990"/>
      <c r="W2204" s="2857">
        <v>3.41</v>
      </c>
      <c r="X2204" s="2857">
        <v>3.41</v>
      </c>
      <c r="Y2204" s="2857">
        <v>3.41</v>
      </c>
      <c r="Z2204" s="2857">
        <v>3.41</v>
      </c>
      <c r="AA2204" s="2857">
        <v>3.41</v>
      </c>
      <c r="AB2204" s="2857">
        <v>3.41</v>
      </c>
      <c r="AC2204" s="2857">
        <v>3.41</v>
      </c>
      <c r="AD2204" s="2857"/>
      <c r="AE2204" s="2857"/>
      <c r="AF2204" s="2857"/>
      <c r="AG2204" s="2857"/>
      <c r="AH2204" s="1942"/>
      <c r="AI2204" s="1942"/>
      <c r="AJ2204" s="1942"/>
      <c r="AK2204" s="1942"/>
      <c r="AL2204" s="1942"/>
      <c r="AM2204" s="1942"/>
      <c r="AN2204" s="1942"/>
      <c r="AO2204" s="1942"/>
      <c r="AP2204" s="1942"/>
      <c r="AQ2204" s="1942"/>
      <c r="AR2204" s="1942"/>
      <c r="AS2204" s="1942"/>
      <c r="AT2204" s="1942"/>
      <c r="AU2204" s="1942"/>
      <c r="AV2204" s="1942"/>
      <c r="AW2204" s="1942"/>
      <c r="AX2204" s="1942"/>
      <c r="AY2204" s="1942"/>
      <c r="AZ2204" s="1942"/>
      <c r="BA2204" s="1942"/>
      <c r="BB2204" s="575"/>
      <c r="BC2204" s="576"/>
      <c r="BD2204" s="678"/>
      <c r="BE2204" s="585"/>
    </row>
    <row r="2205" spans="1:57" s="51" customFormat="1" ht="15" hidden="1" customHeight="1" outlineLevel="1" x14ac:dyDescent="0.25">
      <c r="A2205" s="2060"/>
      <c r="B2205" s="123"/>
      <c r="C2205" s="328"/>
      <c r="D2205" s="3990"/>
      <c r="E2205" s="4009"/>
      <c r="F2205" s="3010" t="str">
        <f>$E$1467</f>
        <v>ASHP-SEER15-Replace_CAC_ElectricHeat_ROF_MF_CompE</v>
      </c>
      <c r="G2205" s="2676"/>
      <c r="H2205" s="2676"/>
      <c r="I2205" s="2677"/>
      <c r="J2205" s="3299" t="str">
        <f>$C$1467</f>
        <v>352801_2021_12_</v>
      </c>
      <c r="K2205" s="2857">
        <v>3.41</v>
      </c>
      <c r="L2205" s="851"/>
      <c r="M2205" s="698" t="s">
        <v>1560</v>
      </c>
      <c r="N2205" s="123"/>
      <c r="O2205" s="228"/>
      <c r="P2205" s="844"/>
      <c r="Q2205" s="844"/>
      <c r="R2205" s="844"/>
      <c r="S2205" s="832"/>
      <c r="T2205" s="3082"/>
      <c r="U2205" s="123"/>
      <c r="V2205" s="3990"/>
      <c r="W2205" s="2857"/>
      <c r="X2205" s="2857"/>
      <c r="Y2205" s="3155">
        <v>3.41</v>
      </c>
      <c r="Z2205" s="2857">
        <v>3.41</v>
      </c>
      <c r="AA2205" s="2857">
        <v>3.41</v>
      </c>
      <c r="AB2205" s="2857">
        <v>3.41</v>
      </c>
      <c r="AC2205" s="2857">
        <v>3.41</v>
      </c>
      <c r="AD2205" s="2857"/>
      <c r="AE2205" s="2857"/>
      <c r="AF2205" s="2857"/>
      <c r="AG2205" s="2857"/>
      <c r="AH2205" s="1942"/>
      <c r="AI2205" s="1942"/>
      <c r="AJ2205" s="1942"/>
      <c r="AK2205" s="1942"/>
      <c r="AL2205" s="1942"/>
      <c r="AM2205" s="1942"/>
      <c r="AN2205" s="1942"/>
      <c r="AO2205" s="1942"/>
      <c r="AP2205" s="1942"/>
      <c r="AQ2205" s="1942"/>
      <c r="AR2205" s="1942"/>
      <c r="AS2205" s="1942"/>
      <c r="AT2205" s="1942"/>
      <c r="AU2205" s="1942"/>
      <c r="AV2205" s="1942"/>
      <c r="AW2205" s="1942"/>
      <c r="AX2205" s="1942"/>
      <c r="AY2205" s="1942"/>
      <c r="AZ2205" s="1942"/>
      <c r="BA2205" s="1942"/>
      <c r="BB2205" s="575"/>
      <c r="BC2205" s="576"/>
      <c r="BD2205" s="678"/>
      <c r="BE2205" s="585"/>
    </row>
    <row r="2206" spans="1:57" s="1942" customFormat="1" ht="15" hidden="1" customHeight="1" outlineLevel="1" x14ac:dyDescent="0.25">
      <c r="A2206" s="2060"/>
      <c r="B2206" s="123"/>
      <c r="C2206" s="328"/>
      <c r="D2206" s="3990"/>
      <c r="E2206" s="4009"/>
      <c r="F2206" s="3010" t="str">
        <f>$E$1469</f>
        <v>ASHP-SEER15-Replace_CAC_NonElectricHeat_ROF_MF</v>
      </c>
      <c r="G2206" s="2676"/>
      <c r="H2206" s="2676"/>
      <c r="I2206" s="2677"/>
      <c r="J2206" s="3298" t="str">
        <f>$C$1469</f>
        <v>352810_2021_12_</v>
      </c>
      <c r="K2206" s="2225">
        <v>0</v>
      </c>
      <c r="L2206" s="851"/>
      <c r="M2206" s="3252" t="s">
        <v>1559</v>
      </c>
      <c r="N2206" s="123"/>
      <c r="O2206" s="228"/>
      <c r="P2206" s="844"/>
      <c r="Q2206" s="844"/>
      <c r="R2206" s="844"/>
      <c r="S2206" s="832"/>
      <c r="T2206" s="3082"/>
      <c r="U2206" s="123"/>
      <c r="V2206" s="3990"/>
      <c r="W2206" s="2857"/>
      <c r="X2206" s="2857"/>
      <c r="Y2206" s="3155"/>
      <c r="Z2206" s="2857"/>
      <c r="AA2206" s="2857"/>
      <c r="AB2206" s="2857"/>
      <c r="AC2206" s="2225">
        <v>0</v>
      </c>
      <c r="AD2206" s="2857"/>
      <c r="AE2206" s="2857"/>
      <c r="AF2206" s="2857"/>
      <c r="AG2206" s="2857"/>
      <c r="BB2206" s="575"/>
      <c r="BC2206" s="576"/>
      <c r="BD2206" s="678"/>
      <c r="BE2206" s="585"/>
    </row>
    <row r="2207" spans="1:57" s="1942" customFormat="1" ht="15" hidden="1" customHeight="1" outlineLevel="1" x14ac:dyDescent="0.25">
      <c r="A2207" s="2060"/>
      <c r="B2207" s="123"/>
      <c r="C2207" s="328"/>
      <c r="D2207" s="3990"/>
      <c r="E2207" s="4009"/>
      <c r="F2207" s="3010" t="str">
        <f>$E$1471</f>
        <v>ASHP-SEER15-Replace_CAC_NonElectricHeat_ROF_MF_CompE</v>
      </c>
      <c r="G2207" s="2676"/>
      <c r="H2207" s="2676"/>
      <c r="I2207" s="2677"/>
      <c r="J2207" s="3298" t="str">
        <f>$C$1471</f>
        <v>352811_2021_12_</v>
      </c>
      <c r="K2207" s="2225">
        <v>0</v>
      </c>
      <c r="L2207" s="851"/>
      <c r="M2207" s="3252" t="s">
        <v>1559</v>
      </c>
      <c r="N2207" s="123"/>
      <c r="O2207" s="228"/>
      <c r="P2207" s="844"/>
      <c r="Q2207" s="844"/>
      <c r="R2207" s="844"/>
      <c r="S2207" s="832"/>
      <c r="T2207" s="3082"/>
      <c r="U2207" s="123"/>
      <c r="V2207" s="3990"/>
      <c r="W2207" s="2857"/>
      <c r="X2207" s="2857"/>
      <c r="Y2207" s="3155"/>
      <c r="Z2207" s="2857"/>
      <c r="AA2207" s="2857"/>
      <c r="AB2207" s="2857"/>
      <c r="AC2207" s="2225">
        <v>0</v>
      </c>
      <c r="AD2207" s="2857"/>
      <c r="AE2207" s="2857"/>
      <c r="AF2207" s="2857"/>
      <c r="AG2207" s="2857"/>
      <c r="BB2207" s="575"/>
      <c r="BC2207" s="576"/>
      <c r="BD2207" s="678"/>
      <c r="BE2207" s="585"/>
    </row>
    <row r="2208" spans="1:57" s="51" customFormat="1" ht="15" hidden="1" customHeight="1" outlineLevel="1" x14ac:dyDescent="0.25">
      <c r="A2208" s="2060"/>
      <c r="B2208" s="123"/>
      <c r="C2208" s="328"/>
      <c r="D2208" s="3990"/>
      <c r="E2208" s="4009"/>
      <c r="F2208" s="3010" t="str">
        <f>$E$1473</f>
        <v>ASHP-SEER16_ER1_MF</v>
      </c>
      <c r="G2208" s="2676"/>
      <c r="H2208" s="2676"/>
      <c r="I2208" s="2677"/>
      <c r="J2208" s="3298" t="str">
        <f>$C$1473</f>
        <v>352850_2021_12_</v>
      </c>
      <c r="K2208" s="2857">
        <v>6.58</v>
      </c>
      <c r="L2208" s="851"/>
      <c r="M2208" s="698" t="s">
        <v>1560</v>
      </c>
      <c r="N2208" s="123"/>
      <c r="O2208" s="228"/>
      <c r="P2208" s="844"/>
      <c r="Q2208" s="844"/>
      <c r="R2208" s="844"/>
      <c r="S2208" s="832"/>
      <c r="T2208" s="3082"/>
      <c r="U2208" s="123"/>
      <c r="V2208" s="3990"/>
      <c r="W2208" s="2857">
        <v>5.44</v>
      </c>
      <c r="X2208" s="3155">
        <v>6.58</v>
      </c>
      <c r="Y2208" s="2857">
        <v>6.58</v>
      </c>
      <c r="Z2208" s="2857">
        <v>6.58</v>
      </c>
      <c r="AA2208" s="2857">
        <v>6.58</v>
      </c>
      <c r="AB2208" s="2857">
        <v>6.58</v>
      </c>
      <c r="AC2208" s="2857">
        <v>6.58</v>
      </c>
      <c r="AD2208" s="2857"/>
      <c r="AE2208" s="2857"/>
      <c r="AF2208" s="2857"/>
      <c r="AG2208" s="2857"/>
      <c r="AH2208" s="1942"/>
      <c r="AI2208" s="1942"/>
      <c r="AJ2208" s="1942"/>
      <c r="AK2208" s="1942"/>
      <c r="AL2208" s="1942"/>
      <c r="AM2208" s="1942"/>
      <c r="AN2208" s="1942"/>
      <c r="AO2208" s="1942"/>
      <c r="AP2208" s="1942"/>
      <c r="AQ2208" s="1942"/>
      <c r="AR2208" s="1942"/>
      <c r="AS2208" s="1942"/>
      <c r="AT2208" s="1942"/>
      <c r="AU2208" s="1942"/>
      <c r="AV2208" s="1942"/>
      <c r="AW2208" s="1942"/>
      <c r="AX2208" s="1942"/>
      <c r="AY2208" s="1942"/>
      <c r="AZ2208" s="1942"/>
      <c r="BA2208" s="1942"/>
      <c r="BB2208" s="575"/>
      <c r="BC2208" s="576"/>
      <c r="BD2208" s="678"/>
      <c r="BE2208" s="585"/>
    </row>
    <row r="2209" spans="1:57" s="51" customFormat="1" ht="15" hidden="1" customHeight="1" outlineLevel="1" x14ac:dyDescent="0.25">
      <c r="A2209" s="2060"/>
      <c r="B2209" s="123"/>
      <c r="C2209" s="328"/>
      <c r="D2209" s="3990"/>
      <c r="E2209" s="4009"/>
      <c r="F2209" s="3010" t="str">
        <f>$E$1475</f>
        <v>ASHP-SEER16_ER2_MF</v>
      </c>
      <c r="G2209" s="2676"/>
      <c r="H2209" s="2676"/>
      <c r="I2209" s="2677"/>
      <c r="J2209" s="3298" t="str">
        <f>$C$1475</f>
        <v>352850_2021_12_</v>
      </c>
      <c r="K2209" s="2857">
        <v>8.1999999999999993</v>
      </c>
      <c r="L2209" s="851"/>
      <c r="M2209" s="698" t="s">
        <v>1560</v>
      </c>
      <c r="N2209" s="123"/>
      <c r="O2209" s="228"/>
      <c r="P2209" s="844"/>
      <c r="Q2209" s="844"/>
      <c r="R2209" s="844"/>
      <c r="S2209" s="832"/>
      <c r="T2209" s="3082"/>
      <c r="U2209" s="123"/>
      <c r="V2209" s="3990"/>
      <c r="W2209" s="2857">
        <v>8.1999999999999993</v>
      </c>
      <c r="X2209" s="2857">
        <v>8.1999999999999993</v>
      </c>
      <c r="Y2209" s="2857">
        <v>8.1999999999999993</v>
      </c>
      <c r="Z2209" s="2857">
        <v>8.1999999999999993</v>
      </c>
      <c r="AA2209" s="2857">
        <v>8.1999999999999993</v>
      </c>
      <c r="AB2209" s="2857">
        <v>8.1999999999999993</v>
      </c>
      <c r="AC2209" s="2857">
        <v>8.1999999999999993</v>
      </c>
      <c r="AD2209" s="2857"/>
      <c r="AE2209" s="2857"/>
      <c r="AF2209" s="2857"/>
      <c r="AG2209" s="2857"/>
      <c r="AH2209" s="1942"/>
      <c r="AI2209" s="1942"/>
      <c r="AJ2209" s="1942"/>
      <c r="AK2209" s="1942"/>
      <c r="AL2209" s="1942"/>
      <c r="AM2209" s="1942"/>
      <c r="AN2209" s="1942"/>
      <c r="AO2209" s="1942"/>
      <c r="AP2209" s="1942"/>
      <c r="AQ2209" s="1942"/>
      <c r="AR2209" s="1942"/>
      <c r="AS2209" s="1942"/>
      <c r="AT2209" s="1942"/>
      <c r="AU2209" s="1942"/>
      <c r="AV2209" s="1942"/>
      <c r="AW2209" s="1942"/>
      <c r="AX2209" s="1942"/>
      <c r="AY2209" s="1942"/>
      <c r="AZ2209" s="1942"/>
      <c r="BA2209" s="1942"/>
      <c r="BB2209" s="575"/>
      <c r="BC2209" s="576"/>
      <c r="BD2209" s="678"/>
      <c r="BE2209" s="585"/>
    </row>
    <row r="2210" spans="1:57" s="51" customFormat="1" ht="15" hidden="1" customHeight="1" outlineLevel="1" x14ac:dyDescent="0.25">
      <c r="A2210" s="2060"/>
      <c r="B2210" s="123"/>
      <c r="C2210" s="328"/>
      <c r="D2210" s="3990"/>
      <c r="E2210" s="4009"/>
      <c r="F2210" s="3010" t="str">
        <f>$E$1477</f>
        <v>ASHP-SEER16_ER1_MF_CompE</v>
      </c>
      <c r="G2210" s="2676"/>
      <c r="H2210" s="2676"/>
      <c r="I2210" s="2677"/>
      <c r="J2210" s="3298" t="str">
        <f>$C$1477</f>
        <v>352851_2021_12_</v>
      </c>
      <c r="K2210" s="2857">
        <v>6.58</v>
      </c>
      <c r="L2210" s="851"/>
      <c r="M2210" s="698" t="s">
        <v>1560</v>
      </c>
      <c r="N2210" s="123"/>
      <c r="O2210" s="228"/>
      <c r="P2210" s="844"/>
      <c r="Q2210" s="844"/>
      <c r="R2210" s="844"/>
      <c r="S2210" s="832"/>
      <c r="T2210" s="3082"/>
      <c r="U2210" s="123"/>
      <c r="V2210" s="3990"/>
      <c r="W2210" s="2857"/>
      <c r="X2210" s="2857"/>
      <c r="Y2210" s="3155">
        <v>6.58</v>
      </c>
      <c r="Z2210" s="2857">
        <v>6.58</v>
      </c>
      <c r="AA2210" s="2857">
        <v>6.58</v>
      </c>
      <c r="AB2210" s="2857">
        <v>6.58</v>
      </c>
      <c r="AC2210" s="2857">
        <v>6.58</v>
      </c>
      <c r="AD2210" s="2857"/>
      <c r="AE2210" s="2857"/>
      <c r="AF2210" s="2857"/>
      <c r="AG2210" s="2857"/>
      <c r="AH2210" s="1942"/>
      <c r="AI2210" s="1942"/>
      <c r="AJ2210" s="1942"/>
      <c r="AK2210" s="1942"/>
      <c r="AL2210" s="1942"/>
      <c r="AM2210" s="1942"/>
      <c r="AN2210" s="1942"/>
      <c r="AO2210" s="1942"/>
      <c r="AP2210" s="1942"/>
      <c r="AQ2210" s="1942"/>
      <c r="AR2210" s="1942"/>
      <c r="AS2210" s="1942"/>
      <c r="AT2210" s="1942"/>
      <c r="AU2210" s="1942"/>
      <c r="AV2210" s="1942"/>
      <c r="AW2210" s="1942"/>
      <c r="AX2210" s="1942"/>
      <c r="AY2210" s="1942"/>
      <c r="AZ2210" s="1942"/>
      <c r="BA2210" s="1942"/>
      <c r="BB2210" s="575"/>
      <c r="BC2210" s="576"/>
      <c r="BD2210" s="678"/>
      <c r="BE2210" s="585"/>
    </row>
    <row r="2211" spans="1:57" s="51" customFormat="1" ht="15" hidden="1" customHeight="1" outlineLevel="1" x14ac:dyDescent="0.25">
      <c r="A2211" s="2060"/>
      <c r="B2211" s="123"/>
      <c r="C2211" s="328"/>
      <c r="D2211" s="3990"/>
      <c r="E2211" s="4009"/>
      <c r="F2211" s="3010" t="str">
        <f>$E$1479</f>
        <v>ASHP-SEER16_ER2_MF_CompE</v>
      </c>
      <c r="G2211" s="2676"/>
      <c r="H2211" s="2676"/>
      <c r="I2211" s="2677"/>
      <c r="J2211" s="3298" t="str">
        <f>$C$1479</f>
        <v>352851_2021_12_</v>
      </c>
      <c r="K2211" s="2857">
        <v>8.1999999999999993</v>
      </c>
      <c r="L2211" s="851"/>
      <c r="M2211" s="698" t="s">
        <v>1560</v>
      </c>
      <c r="N2211" s="123"/>
      <c r="O2211" s="228"/>
      <c r="P2211" s="844"/>
      <c r="Q2211" s="844"/>
      <c r="R2211" s="844"/>
      <c r="S2211" s="832"/>
      <c r="T2211" s="3082"/>
      <c r="U2211" s="123"/>
      <c r="V2211" s="3990"/>
      <c r="W2211" s="2857"/>
      <c r="X2211" s="2857"/>
      <c r="Y2211" s="3155">
        <v>8.1999999999999993</v>
      </c>
      <c r="Z2211" s="2857">
        <v>8.1999999999999993</v>
      </c>
      <c r="AA2211" s="2857">
        <v>8.1999999999999993</v>
      </c>
      <c r="AB2211" s="2857">
        <v>8.1999999999999993</v>
      </c>
      <c r="AC2211" s="2857">
        <v>8.1999999999999993</v>
      </c>
      <c r="AD2211" s="2857"/>
      <c r="AE2211" s="2857"/>
      <c r="AF2211" s="2857"/>
      <c r="AG2211" s="2857"/>
      <c r="AH2211" s="1942"/>
      <c r="AI2211" s="1942"/>
      <c r="AJ2211" s="1942"/>
      <c r="AK2211" s="1942"/>
      <c r="AL2211" s="1942"/>
      <c r="AM2211" s="1942"/>
      <c r="AN2211" s="1942"/>
      <c r="AO2211" s="1942"/>
      <c r="AP2211" s="1942"/>
      <c r="AQ2211" s="1942"/>
      <c r="AR2211" s="1942"/>
      <c r="AS2211" s="1942"/>
      <c r="AT2211" s="1942"/>
      <c r="AU2211" s="1942"/>
      <c r="AV2211" s="1942"/>
      <c r="AW2211" s="1942"/>
      <c r="AX2211" s="1942"/>
      <c r="AY2211" s="1942"/>
      <c r="AZ2211" s="1942"/>
      <c r="BA2211" s="1942"/>
      <c r="BB2211" s="575"/>
      <c r="BC2211" s="576"/>
      <c r="BD2211" s="678"/>
      <c r="BE2211" s="585"/>
    </row>
    <row r="2212" spans="1:57" s="51" customFormat="1" ht="15" hidden="1" customHeight="1" outlineLevel="1" x14ac:dyDescent="0.25">
      <c r="A2212" s="2060"/>
      <c r="B2212" s="123"/>
      <c r="C2212" s="328"/>
      <c r="D2212" s="3990"/>
      <c r="E2212" s="4009"/>
      <c r="F2212" s="3010" t="str">
        <f>$E$1481</f>
        <v>ASHP-SEER16_ROF_MF</v>
      </c>
      <c r="G2212" s="2676"/>
      <c r="H2212" s="2676"/>
      <c r="I2212" s="2677"/>
      <c r="J2212" s="3298" t="str">
        <f>$C$1481</f>
        <v>352900_2021_12_</v>
      </c>
      <c r="K2212" s="2857">
        <v>8.1999999999999993</v>
      </c>
      <c r="L2212" s="851"/>
      <c r="M2212" s="698" t="s">
        <v>1560</v>
      </c>
      <c r="N2212" s="123"/>
      <c r="O2212" s="228"/>
      <c r="P2212" s="844"/>
      <c r="Q2212" s="844"/>
      <c r="R2212" s="844"/>
      <c r="S2212" s="832"/>
      <c r="T2212" s="3082"/>
      <c r="U2212" s="123"/>
      <c r="V2212" s="3990"/>
      <c r="W2212" s="2857">
        <v>8.1999999999999993</v>
      </c>
      <c r="X2212" s="2857">
        <v>8.1999999999999993</v>
      </c>
      <c r="Y2212" s="2857">
        <v>8.1999999999999993</v>
      </c>
      <c r="Z2212" s="2857">
        <v>8.1999999999999993</v>
      </c>
      <c r="AA2212" s="2857">
        <v>8.1999999999999993</v>
      </c>
      <c r="AB2212" s="2857">
        <v>8.1999999999999993</v>
      </c>
      <c r="AC2212" s="2857">
        <v>8.1999999999999993</v>
      </c>
      <c r="AD2212" s="2857"/>
      <c r="AE2212" s="2857"/>
      <c r="AF2212" s="2857"/>
      <c r="AG2212" s="2857"/>
      <c r="AH2212" s="1942"/>
      <c r="AI2212" s="1942"/>
      <c r="AJ2212" s="1942"/>
      <c r="AK2212" s="1942"/>
      <c r="AL2212" s="1942"/>
      <c r="AM2212" s="1942"/>
      <c r="AN2212" s="1942"/>
      <c r="AO2212" s="1942"/>
      <c r="AP2212" s="1942"/>
      <c r="AQ2212" s="1942"/>
      <c r="AR2212" s="1942"/>
      <c r="AS2212" s="1942"/>
      <c r="AT2212" s="1942"/>
      <c r="AU2212" s="1942"/>
      <c r="AV2212" s="1942"/>
      <c r="AW2212" s="1942"/>
      <c r="AX2212" s="1942"/>
      <c r="AY2212" s="1942"/>
      <c r="AZ2212" s="1942"/>
      <c r="BA2212" s="1942"/>
      <c r="BB2212" s="575"/>
      <c r="BC2212" s="576"/>
      <c r="BD2212" s="678"/>
      <c r="BE2212" s="585"/>
    </row>
    <row r="2213" spans="1:57" s="51" customFormat="1" ht="15" hidden="1" customHeight="1" outlineLevel="1" x14ac:dyDescent="0.25">
      <c r="A2213" s="2060"/>
      <c r="B2213" s="123"/>
      <c r="C2213" s="328"/>
      <c r="D2213" s="3990"/>
      <c r="E2213" s="4009"/>
      <c r="F2213" s="3010" t="str">
        <f>$E$1483</f>
        <v>ASHP-SEER16_ROF_MF_CompE</v>
      </c>
      <c r="G2213" s="2676"/>
      <c r="H2213" s="2676"/>
      <c r="I2213" s="2677"/>
      <c r="J2213" s="3298" t="str">
        <f>$C$1483</f>
        <v>352901_2021_12_</v>
      </c>
      <c r="K2213" s="2857">
        <v>8.1999999999999993</v>
      </c>
      <c r="L2213" s="851"/>
      <c r="M2213" s="698" t="s">
        <v>1560</v>
      </c>
      <c r="N2213" s="123"/>
      <c r="O2213" s="228"/>
      <c r="P2213" s="844"/>
      <c r="Q2213" s="844"/>
      <c r="R2213" s="844"/>
      <c r="S2213" s="832"/>
      <c r="T2213" s="3082"/>
      <c r="U2213" s="123"/>
      <c r="V2213" s="3990"/>
      <c r="W2213" s="2857"/>
      <c r="X2213" s="2857"/>
      <c r="Y2213" s="3155">
        <v>8.1999999999999993</v>
      </c>
      <c r="Z2213" s="2857">
        <v>8.1999999999999993</v>
      </c>
      <c r="AA2213" s="2857">
        <v>8.1999999999999993</v>
      </c>
      <c r="AB2213" s="2857">
        <v>8.1999999999999993</v>
      </c>
      <c r="AC2213" s="2857">
        <v>8.1999999999999993</v>
      </c>
      <c r="AD2213" s="2857"/>
      <c r="AE2213" s="2857"/>
      <c r="AF2213" s="2857"/>
      <c r="AG2213" s="2857"/>
      <c r="AH2213" s="1942"/>
      <c r="AI2213" s="1942"/>
      <c r="AJ2213" s="1942"/>
      <c r="AK2213" s="1942"/>
      <c r="AL2213" s="1942"/>
      <c r="AM2213" s="1942"/>
      <c r="AN2213" s="1942"/>
      <c r="AO2213" s="1942"/>
      <c r="AP2213" s="1942"/>
      <c r="AQ2213" s="1942"/>
      <c r="AR2213" s="1942"/>
      <c r="AS2213" s="1942"/>
      <c r="AT2213" s="1942"/>
      <c r="AU2213" s="1942"/>
      <c r="AV2213" s="1942"/>
      <c r="AW2213" s="1942"/>
      <c r="AX2213" s="1942"/>
      <c r="AY2213" s="1942"/>
      <c r="AZ2213" s="1942"/>
      <c r="BA2213" s="1942"/>
      <c r="BB2213" s="575"/>
      <c r="BC2213" s="576"/>
      <c r="BD2213" s="678"/>
      <c r="BE2213" s="585"/>
    </row>
    <row r="2214" spans="1:57" s="51" customFormat="1" ht="15" hidden="1" customHeight="1" outlineLevel="1" x14ac:dyDescent="0.25">
      <c r="A2214" s="2060"/>
      <c r="B2214" s="123"/>
      <c r="C2214" s="328"/>
      <c r="D2214" s="3990"/>
      <c r="E2214" s="4009"/>
      <c r="F2214" s="3010" t="str">
        <f>$E$1485</f>
        <v>ASHP-SEER16-Replace_CAC_ElectricHeat_ROF_MF</v>
      </c>
      <c r="G2214" s="2676"/>
      <c r="H2214" s="2676"/>
      <c r="I2214" s="2677"/>
      <c r="J2214" s="3299" t="str">
        <f>$C$1485</f>
        <v>352950_2019_12_</v>
      </c>
      <c r="K2214" s="2857">
        <v>3.41</v>
      </c>
      <c r="L2214" s="851"/>
      <c r="M2214" s="698" t="s">
        <v>1560</v>
      </c>
      <c r="N2214" s="123"/>
      <c r="O2214" s="228"/>
      <c r="P2214" s="844"/>
      <c r="Q2214" s="844"/>
      <c r="R2214" s="844"/>
      <c r="S2214" s="832"/>
      <c r="T2214" s="3082"/>
      <c r="U2214" s="123"/>
      <c r="V2214" s="3990"/>
      <c r="W2214" s="2857">
        <v>3.41</v>
      </c>
      <c r="X2214" s="2857">
        <v>3.41</v>
      </c>
      <c r="Y2214" s="2857">
        <v>3.41</v>
      </c>
      <c r="Z2214" s="2857">
        <v>3.41</v>
      </c>
      <c r="AA2214" s="2857">
        <v>3.41</v>
      </c>
      <c r="AB2214" s="2857">
        <v>3.41</v>
      </c>
      <c r="AC2214" s="2857">
        <v>3.41</v>
      </c>
      <c r="AD2214" s="2857"/>
      <c r="AE2214" s="2857"/>
      <c r="AF2214" s="2857"/>
      <c r="AG2214" s="2857"/>
      <c r="AH2214" s="1942"/>
      <c r="AI2214" s="1942"/>
      <c r="AJ2214" s="1942"/>
      <c r="AK2214" s="1942"/>
      <c r="AL2214" s="1942"/>
      <c r="AM2214" s="1942"/>
      <c r="AN2214" s="1942"/>
      <c r="AO2214" s="1942"/>
      <c r="AP2214" s="1942"/>
      <c r="AQ2214" s="1942"/>
      <c r="AR2214" s="1942"/>
      <c r="AS2214" s="1942"/>
      <c r="AT2214" s="1942"/>
      <c r="AU2214" s="1942"/>
      <c r="AV2214" s="1942"/>
      <c r="AW2214" s="1942"/>
      <c r="AX2214" s="1942"/>
      <c r="AY2214" s="1942"/>
      <c r="AZ2214" s="1942"/>
      <c r="BA2214" s="1942"/>
      <c r="BB2214" s="575"/>
      <c r="BC2214" s="576"/>
      <c r="BD2214" s="678"/>
      <c r="BE2214" s="585"/>
    </row>
    <row r="2215" spans="1:57" s="51" customFormat="1" ht="15" hidden="1" customHeight="1" outlineLevel="1" x14ac:dyDescent="0.25">
      <c r="A2215" s="2060"/>
      <c r="B2215" s="123"/>
      <c r="C2215" s="328"/>
      <c r="D2215" s="3990"/>
      <c r="E2215" s="4009"/>
      <c r="F2215" s="3010" t="str">
        <f>$E$1487</f>
        <v>ASHP-SEER16-Replace_CAC_ElectricHeat_ROF_MF_CompE</v>
      </c>
      <c r="G2215" s="2676"/>
      <c r="H2215" s="2676"/>
      <c r="I2215" s="2677"/>
      <c r="J2215" s="3299" t="str">
        <f>$C$1487</f>
        <v>352951_2019_12_</v>
      </c>
      <c r="K2215" s="2857">
        <v>3.41</v>
      </c>
      <c r="L2215" s="851"/>
      <c r="M2215" s="698" t="s">
        <v>1560</v>
      </c>
      <c r="N2215" s="123"/>
      <c r="O2215" s="228"/>
      <c r="P2215" s="844"/>
      <c r="Q2215" s="844"/>
      <c r="R2215" s="844"/>
      <c r="S2215" s="832"/>
      <c r="T2215" s="3082"/>
      <c r="U2215" s="123"/>
      <c r="V2215" s="3990"/>
      <c r="W2215" s="2857"/>
      <c r="X2215" s="2857"/>
      <c r="Y2215" s="3155">
        <v>3.41</v>
      </c>
      <c r="Z2215" s="2857">
        <v>3.41</v>
      </c>
      <c r="AA2215" s="2857">
        <v>3.41</v>
      </c>
      <c r="AB2215" s="2857">
        <v>3.41</v>
      </c>
      <c r="AC2215" s="2857">
        <v>3.41</v>
      </c>
      <c r="AD2215" s="2857"/>
      <c r="AE2215" s="2857"/>
      <c r="AF2215" s="2857"/>
      <c r="AG2215" s="2857"/>
      <c r="AH2215" s="1942"/>
      <c r="AI2215" s="1942"/>
      <c r="AJ2215" s="1942"/>
      <c r="AK2215" s="1942"/>
      <c r="AL2215" s="1942"/>
      <c r="AM2215" s="1942"/>
      <c r="AN2215" s="1942"/>
      <c r="AO2215" s="1942"/>
      <c r="AP2215" s="1942"/>
      <c r="AQ2215" s="1942"/>
      <c r="AR2215" s="1942"/>
      <c r="AS2215" s="1942"/>
      <c r="AT2215" s="1942"/>
      <c r="AU2215" s="1942"/>
      <c r="AV2215" s="1942"/>
      <c r="AW2215" s="1942"/>
      <c r="AX2215" s="1942"/>
      <c r="AY2215" s="1942"/>
      <c r="AZ2215" s="1942"/>
      <c r="BA2215" s="1942"/>
      <c r="BB2215" s="575"/>
      <c r="BC2215" s="576"/>
      <c r="BD2215" s="678"/>
      <c r="BE2215" s="585"/>
    </row>
    <row r="2216" spans="1:57" s="1942" customFormat="1" ht="15" hidden="1" customHeight="1" outlineLevel="1" x14ac:dyDescent="0.25">
      <c r="A2216" s="2060"/>
      <c r="B2216" s="123"/>
      <c r="C2216" s="328"/>
      <c r="D2216" s="3990"/>
      <c r="E2216" s="4009"/>
      <c r="F2216" s="3010" t="str">
        <f>$E$1489</f>
        <v>ASHP-SEER16-Replace_CAC_NonElectricHeat_ROF_MF</v>
      </c>
      <c r="G2216" s="2676"/>
      <c r="H2216" s="2676"/>
      <c r="I2216" s="2677"/>
      <c r="J2216" s="3298" t="str">
        <f>$C$1489</f>
        <v>352960_2021_12_</v>
      </c>
      <c r="K2216" s="2225">
        <v>0</v>
      </c>
      <c r="L2216" s="851"/>
      <c r="M2216" s="3252" t="s">
        <v>1559</v>
      </c>
      <c r="N2216" s="123"/>
      <c r="O2216" s="228"/>
      <c r="P2216" s="844"/>
      <c r="Q2216" s="844"/>
      <c r="R2216" s="844"/>
      <c r="S2216" s="832"/>
      <c r="T2216" s="3082"/>
      <c r="U2216" s="123"/>
      <c r="V2216" s="3990"/>
      <c r="W2216" s="2857"/>
      <c r="X2216" s="2857"/>
      <c r="Y2216" s="3155"/>
      <c r="Z2216" s="2857"/>
      <c r="AA2216" s="2857"/>
      <c r="AB2216" s="2857"/>
      <c r="AC2216" s="2225">
        <v>0</v>
      </c>
      <c r="AD2216" s="2857"/>
      <c r="AE2216" s="2857"/>
      <c r="AF2216" s="2857"/>
      <c r="AG2216" s="2857"/>
      <c r="BB2216" s="575"/>
      <c r="BC2216" s="576"/>
      <c r="BD2216" s="678"/>
      <c r="BE2216" s="585"/>
    </row>
    <row r="2217" spans="1:57" s="1942" customFormat="1" ht="15" hidden="1" customHeight="1" outlineLevel="1" x14ac:dyDescent="0.25">
      <c r="A2217" s="2060"/>
      <c r="B2217" s="123"/>
      <c r="C2217" s="328"/>
      <c r="D2217" s="3990"/>
      <c r="E2217" s="4009"/>
      <c r="F2217" s="3010" t="str">
        <f>$E$1491</f>
        <v>ASHP-SEER16-Replace_CAC_NonElectricHeat_ROF_MF_CompE</v>
      </c>
      <c r="G2217" s="2676"/>
      <c r="H2217" s="2676"/>
      <c r="I2217" s="2677"/>
      <c r="J2217" s="3298" t="str">
        <f>$C$1491</f>
        <v>352961_2021_12_</v>
      </c>
      <c r="K2217" s="2225">
        <v>0</v>
      </c>
      <c r="L2217" s="851"/>
      <c r="M2217" s="3252" t="s">
        <v>1559</v>
      </c>
      <c r="N2217" s="123"/>
      <c r="O2217" s="228"/>
      <c r="P2217" s="844"/>
      <c r="Q2217" s="844"/>
      <c r="R2217" s="844"/>
      <c r="S2217" s="832"/>
      <c r="T2217" s="3082"/>
      <c r="U2217" s="123"/>
      <c r="V2217" s="3990"/>
      <c r="W2217" s="2857"/>
      <c r="X2217" s="2857"/>
      <c r="Y2217" s="3155"/>
      <c r="Z2217" s="2857"/>
      <c r="AA2217" s="2857"/>
      <c r="AB2217" s="2857"/>
      <c r="AC2217" s="2225">
        <v>0</v>
      </c>
      <c r="AD2217" s="2857"/>
      <c r="AE2217" s="2857"/>
      <c r="AF2217" s="2857"/>
      <c r="AG2217" s="2857"/>
      <c r="BB2217" s="575"/>
      <c r="BC2217" s="576"/>
      <c r="BD2217" s="678"/>
      <c r="BE2217" s="585"/>
    </row>
    <row r="2218" spans="1:57" s="51" customFormat="1" ht="15" hidden="1" customHeight="1" outlineLevel="1" x14ac:dyDescent="0.25">
      <c r="A2218" s="2060"/>
      <c r="B2218" s="123"/>
      <c r="C2218" s="328"/>
      <c r="D2218" s="3990"/>
      <c r="E2218" s="4009"/>
      <c r="F2218" s="3010" t="str">
        <f>$E$1493</f>
        <v>ASHP-SEER16-Replace_CAC_ElectricHeat_ER1_MF</v>
      </c>
      <c r="G2218" s="2676"/>
      <c r="H2218" s="2676"/>
      <c r="I2218" s="2677"/>
      <c r="J2218" s="3298" t="str">
        <f>$C$1493</f>
        <v>353000_2021_12_</v>
      </c>
      <c r="K2218" s="2857">
        <v>3.41</v>
      </c>
      <c r="L2218" s="851"/>
      <c r="M2218" s="698" t="s">
        <v>1560</v>
      </c>
      <c r="N2218" s="123"/>
      <c r="O2218" s="228"/>
      <c r="P2218" s="844"/>
      <c r="Q2218" s="844"/>
      <c r="R2218" s="844"/>
      <c r="S2218" s="832"/>
      <c r="T2218" s="3082"/>
      <c r="U2218" s="123"/>
      <c r="V2218" s="3990"/>
      <c r="W2218" s="2857">
        <v>3.41</v>
      </c>
      <c r="X2218" s="2857">
        <v>3.41</v>
      </c>
      <c r="Y2218" s="2857">
        <v>3.41</v>
      </c>
      <c r="Z2218" s="2857">
        <v>3.41</v>
      </c>
      <c r="AA2218" s="2857">
        <v>3.41</v>
      </c>
      <c r="AB2218" s="2857">
        <v>3.41</v>
      </c>
      <c r="AC2218" s="2857">
        <v>3.41</v>
      </c>
      <c r="AD2218" s="2857"/>
      <c r="AE2218" s="2857"/>
      <c r="AF2218" s="2857"/>
      <c r="AG2218" s="2857"/>
      <c r="AH2218" s="1942"/>
      <c r="AI2218" s="1942"/>
      <c r="AJ2218" s="1942"/>
      <c r="AK2218" s="1942"/>
      <c r="AL2218" s="1942"/>
      <c r="AM2218" s="1942"/>
      <c r="AN2218" s="1942"/>
      <c r="AO2218" s="1942"/>
      <c r="AP2218" s="1942"/>
      <c r="AQ2218" s="1942"/>
      <c r="AR2218" s="1942"/>
      <c r="AS2218" s="1942"/>
      <c r="AT2218" s="1942"/>
      <c r="AU2218" s="1942"/>
      <c r="AV2218" s="1942"/>
      <c r="AW2218" s="1942"/>
      <c r="AX2218" s="1942"/>
      <c r="AY2218" s="1942"/>
      <c r="AZ2218" s="1942"/>
      <c r="BA2218" s="1942"/>
      <c r="BB2218" s="575"/>
      <c r="BC2218" s="576"/>
      <c r="BD2218" s="678"/>
      <c r="BE2218" s="585"/>
    </row>
    <row r="2219" spans="1:57" s="51" customFormat="1" ht="15" hidden="1" customHeight="1" outlineLevel="1" x14ac:dyDescent="0.25">
      <c r="A2219" s="2060"/>
      <c r="B2219" s="123"/>
      <c r="C2219" s="328"/>
      <c r="D2219" s="3990"/>
      <c r="E2219" s="4009"/>
      <c r="F2219" s="3010" t="str">
        <f>$E$1495</f>
        <v>ASHP-SEER16-Replace_CAC_ElectricHeat_ER2_MF</v>
      </c>
      <c r="G2219" s="2676"/>
      <c r="H2219" s="2676"/>
      <c r="I2219" s="2677"/>
      <c r="J2219" s="3298" t="str">
        <f>$C$1495</f>
        <v>353000_2021_12_</v>
      </c>
      <c r="K2219" s="2857">
        <v>3.41</v>
      </c>
      <c r="L2219" s="851"/>
      <c r="M2219" s="698" t="s">
        <v>1560</v>
      </c>
      <c r="N2219" s="123"/>
      <c r="O2219" s="228"/>
      <c r="P2219" s="844"/>
      <c r="Q2219" s="844"/>
      <c r="R2219" s="844"/>
      <c r="S2219" s="832"/>
      <c r="T2219" s="3082"/>
      <c r="U2219" s="123"/>
      <c r="V2219" s="3990"/>
      <c r="W2219" s="2857">
        <v>3.41</v>
      </c>
      <c r="X2219" s="2857">
        <v>3.41</v>
      </c>
      <c r="Y2219" s="2857">
        <v>3.41</v>
      </c>
      <c r="Z2219" s="2857">
        <v>3.41</v>
      </c>
      <c r="AA2219" s="2857">
        <v>3.41</v>
      </c>
      <c r="AB2219" s="2857">
        <v>3.41</v>
      </c>
      <c r="AC2219" s="2857">
        <v>3.41</v>
      </c>
      <c r="AD2219" s="2857"/>
      <c r="AE2219" s="2857"/>
      <c r="AF2219" s="2857"/>
      <c r="AG2219" s="2857"/>
      <c r="AH2219" s="1942"/>
      <c r="AI2219" s="1942"/>
      <c r="AJ2219" s="1942"/>
      <c r="AK2219" s="1942"/>
      <c r="AL2219" s="1942"/>
      <c r="AM2219" s="1942"/>
      <c r="AN2219" s="1942"/>
      <c r="AO2219" s="1942"/>
      <c r="AP2219" s="1942"/>
      <c r="AQ2219" s="1942"/>
      <c r="AR2219" s="1942"/>
      <c r="AS2219" s="1942"/>
      <c r="AT2219" s="1942"/>
      <c r="AU2219" s="1942"/>
      <c r="AV2219" s="1942"/>
      <c r="AW2219" s="1942"/>
      <c r="AX2219" s="1942"/>
      <c r="AY2219" s="1942"/>
      <c r="AZ2219" s="1942"/>
      <c r="BA2219" s="1942"/>
      <c r="BB2219" s="575"/>
      <c r="BC2219" s="576"/>
      <c r="BD2219" s="678"/>
      <c r="BE2219" s="585"/>
    </row>
    <row r="2220" spans="1:57" s="51" customFormat="1" ht="15" hidden="1" customHeight="1" outlineLevel="1" x14ac:dyDescent="0.25">
      <c r="A2220" s="2060"/>
      <c r="B2220" s="123"/>
      <c r="C2220" s="328"/>
      <c r="D2220" s="3990"/>
      <c r="E2220" s="4009"/>
      <c r="F2220" s="3010" t="str">
        <f>$E$1497</f>
        <v>ASHP-SEER16-Replace_CAC_ElectricHeat_ER1_MF_CompE</v>
      </c>
      <c r="G2220" s="2676"/>
      <c r="H2220" s="2676"/>
      <c r="I2220" s="2677"/>
      <c r="J2220" s="3298" t="str">
        <f>$C$1497</f>
        <v>353001_2021_12_</v>
      </c>
      <c r="K2220" s="2857">
        <v>3.41</v>
      </c>
      <c r="L2220" s="851"/>
      <c r="M2220" s="698" t="s">
        <v>1560</v>
      </c>
      <c r="N2220" s="123"/>
      <c r="O2220" s="228"/>
      <c r="P2220" s="844"/>
      <c r="Q2220" s="844"/>
      <c r="R2220" s="844"/>
      <c r="S2220" s="832"/>
      <c r="T2220" s="3082"/>
      <c r="U2220" s="123"/>
      <c r="V2220" s="3990"/>
      <c r="W2220" s="2857"/>
      <c r="X2220" s="2857"/>
      <c r="Y2220" s="3155">
        <v>3.41</v>
      </c>
      <c r="Z2220" s="2857">
        <v>3.41</v>
      </c>
      <c r="AA2220" s="2857">
        <v>3.41</v>
      </c>
      <c r="AB2220" s="2857">
        <v>3.41</v>
      </c>
      <c r="AC2220" s="2857">
        <v>3.41</v>
      </c>
      <c r="AD2220" s="2857"/>
      <c r="AE2220" s="2857"/>
      <c r="AF2220" s="2857"/>
      <c r="AG2220" s="2857"/>
      <c r="AH2220" s="1942"/>
      <c r="AI2220" s="1942"/>
      <c r="AJ2220" s="1942"/>
      <c r="AK2220" s="1942"/>
      <c r="AL2220" s="1942"/>
      <c r="AM2220" s="1942"/>
      <c r="AN2220" s="1942"/>
      <c r="AO2220" s="1942"/>
      <c r="AP2220" s="1942"/>
      <c r="AQ2220" s="1942"/>
      <c r="AR2220" s="1942"/>
      <c r="AS2220" s="1942"/>
      <c r="AT2220" s="1942"/>
      <c r="AU2220" s="1942"/>
      <c r="AV2220" s="1942"/>
      <c r="AW2220" s="1942"/>
      <c r="AX2220" s="1942"/>
      <c r="AY2220" s="1942"/>
      <c r="AZ2220" s="1942"/>
      <c r="BA2220" s="1942"/>
      <c r="BB2220" s="575"/>
      <c r="BC2220" s="576"/>
      <c r="BD2220" s="678"/>
      <c r="BE2220" s="585"/>
    </row>
    <row r="2221" spans="1:57" s="51" customFormat="1" ht="15" hidden="1" customHeight="1" outlineLevel="1" x14ac:dyDescent="0.25">
      <c r="A2221" s="2060"/>
      <c r="B2221" s="123"/>
      <c r="C2221" s="328"/>
      <c r="D2221" s="3990"/>
      <c r="E2221" s="4009"/>
      <c r="F2221" s="3010" t="str">
        <f>$E$1499</f>
        <v>ASHP-SEER16-Replace_CAC_ElectricHeat_ER2_MF_CompE</v>
      </c>
      <c r="G2221" s="2676"/>
      <c r="H2221" s="2676"/>
      <c r="I2221" s="2677"/>
      <c r="J2221" s="3298" t="str">
        <f>$C$1499</f>
        <v>353001_2021_12_</v>
      </c>
      <c r="K2221" s="2857">
        <v>3.41</v>
      </c>
      <c r="L2221" s="851"/>
      <c r="M2221" s="698" t="s">
        <v>1560</v>
      </c>
      <c r="N2221" s="123"/>
      <c r="O2221" s="228"/>
      <c r="P2221" s="844"/>
      <c r="Q2221" s="844"/>
      <c r="R2221" s="844"/>
      <c r="S2221" s="832"/>
      <c r="T2221" s="3082"/>
      <c r="U2221" s="123"/>
      <c r="V2221" s="3990"/>
      <c r="W2221" s="2857"/>
      <c r="X2221" s="2857"/>
      <c r="Y2221" s="3155">
        <v>3.41</v>
      </c>
      <c r="Z2221" s="2857">
        <v>3.41</v>
      </c>
      <c r="AA2221" s="2857">
        <v>3.41</v>
      </c>
      <c r="AB2221" s="2857">
        <v>3.41</v>
      </c>
      <c r="AC2221" s="2857">
        <v>3.41</v>
      </c>
      <c r="AD2221" s="2857"/>
      <c r="AE2221" s="2857"/>
      <c r="AF2221" s="2857"/>
      <c r="AG2221" s="2857"/>
      <c r="AH2221" s="1942"/>
      <c r="AI2221" s="1942"/>
      <c r="AJ2221" s="1942"/>
      <c r="AK2221" s="1942"/>
      <c r="AL2221" s="1942"/>
      <c r="AM2221" s="1942"/>
      <c r="AN2221" s="1942"/>
      <c r="AO2221" s="1942"/>
      <c r="AP2221" s="1942"/>
      <c r="AQ2221" s="1942"/>
      <c r="AR2221" s="1942"/>
      <c r="AS2221" s="1942"/>
      <c r="AT2221" s="1942"/>
      <c r="AU2221" s="1942"/>
      <c r="AV2221" s="1942"/>
      <c r="AW2221" s="1942"/>
      <c r="AX2221" s="1942"/>
      <c r="AY2221" s="1942"/>
      <c r="AZ2221" s="1942"/>
      <c r="BA2221" s="1942"/>
      <c r="BB2221" s="575"/>
      <c r="BC2221" s="576"/>
      <c r="BD2221" s="678"/>
      <c r="BE2221" s="585"/>
    </row>
    <row r="2222" spans="1:57" s="1942" customFormat="1" ht="15" hidden="1" customHeight="1" outlineLevel="1" x14ac:dyDescent="0.25">
      <c r="A2222" s="2060"/>
      <c r="B2222" s="123"/>
      <c r="C2222" s="328"/>
      <c r="D2222" s="3990"/>
      <c r="E2222" s="4009"/>
      <c r="F2222" s="3010" t="str">
        <f>$E$1501</f>
        <v>ASHP-SEER16-Replace_CAC_NonElectricHeat_ER1_MF</v>
      </c>
      <c r="G2222" s="2676"/>
      <c r="H2222" s="2676"/>
      <c r="I2222" s="2677"/>
      <c r="J2222" s="3298" t="str">
        <f>$C$1501</f>
        <v>353010_2021_12_</v>
      </c>
      <c r="K2222" s="2225">
        <v>0</v>
      </c>
      <c r="L2222" s="851"/>
      <c r="M2222" s="3252" t="s">
        <v>1559</v>
      </c>
      <c r="N2222" s="123"/>
      <c r="O2222" s="228"/>
      <c r="P2222" s="844"/>
      <c r="Q2222" s="844"/>
      <c r="R2222" s="844"/>
      <c r="S2222" s="832"/>
      <c r="T2222" s="3082"/>
      <c r="U2222" s="123"/>
      <c r="V2222" s="3990"/>
      <c r="W2222" s="2857"/>
      <c r="X2222" s="2857"/>
      <c r="Y2222" s="3155"/>
      <c r="Z2222" s="2857"/>
      <c r="AA2222" s="2857"/>
      <c r="AB2222" s="2857"/>
      <c r="AC2222" s="2225">
        <v>0</v>
      </c>
      <c r="AD2222" s="2857"/>
      <c r="AE2222" s="2857"/>
      <c r="AF2222" s="2857"/>
      <c r="AG2222" s="2857"/>
      <c r="BB2222" s="575"/>
      <c r="BC2222" s="576"/>
      <c r="BD2222" s="678"/>
      <c r="BE2222" s="585"/>
    </row>
    <row r="2223" spans="1:57" s="1942" customFormat="1" ht="15" hidden="1" customHeight="1" outlineLevel="1" x14ac:dyDescent="0.25">
      <c r="A2223" s="2060"/>
      <c r="B2223" s="123"/>
      <c r="C2223" s="328"/>
      <c r="D2223" s="3990"/>
      <c r="E2223" s="4009"/>
      <c r="F2223" s="3010" t="str">
        <f>$E$1503</f>
        <v>ASHP-SEER16-Replace_CAC_NonElectricHeat_ER2_MF</v>
      </c>
      <c r="G2223" s="2676"/>
      <c r="H2223" s="2676"/>
      <c r="I2223" s="2677"/>
      <c r="J2223" s="3298" t="str">
        <f>$C$1503</f>
        <v>353010_2021_12_</v>
      </c>
      <c r="K2223" s="2225">
        <v>0</v>
      </c>
      <c r="L2223" s="851"/>
      <c r="M2223" s="3252" t="s">
        <v>1559</v>
      </c>
      <c r="N2223" s="123"/>
      <c r="O2223" s="228"/>
      <c r="P2223" s="844"/>
      <c r="Q2223" s="844"/>
      <c r="R2223" s="844"/>
      <c r="S2223" s="832"/>
      <c r="T2223" s="3082"/>
      <c r="U2223" s="123"/>
      <c r="V2223" s="3990"/>
      <c r="W2223" s="2857"/>
      <c r="X2223" s="2857"/>
      <c r="Y2223" s="3155"/>
      <c r="Z2223" s="2857"/>
      <c r="AA2223" s="2857"/>
      <c r="AB2223" s="2857"/>
      <c r="AC2223" s="2225">
        <v>0</v>
      </c>
      <c r="AD2223" s="2857"/>
      <c r="AE2223" s="2857"/>
      <c r="AF2223" s="2857"/>
      <c r="AG2223" s="2857"/>
      <c r="BB2223" s="575"/>
      <c r="BC2223" s="576"/>
      <c r="BD2223" s="678"/>
      <c r="BE2223" s="585"/>
    </row>
    <row r="2224" spans="1:57" s="1942" customFormat="1" ht="15" hidden="1" customHeight="1" outlineLevel="1" x14ac:dyDescent="0.25">
      <c r="A2224" s="2060"/>
      <c r="B2224" s="123"/>
      <c r="C2224" s="328"/>
      <c r="D2224" s="3990"/>
      <c r="E2224" s="4009"/>
      <c r="F2224" s="3010" t="str">
        <f>$E$1505</f>
        <v>ASHP-SEER16-Replace_CAC_NonElectricHeat_ER1_MF_CompE</v>
      </c>
      <c r="G2224" s="2676"/>
      <c r="H2224" s="2676"/>
      <c r="I2224" s="2677"/>
      <c r="J2224" s="3298" t="str">
        <f>$C$1505</f>
        <v>353011_2021_12_</v>
      </c>
      <c r="K2224" s="2225">
        <v>0</v>
      </c>
      <c r="L2224" s="851"/>
      <c r="M2224" s="3252" t="s">
        <v>1559</v>
      </c>
      <c r="N2224" s="123"/>
      <c r="O2224" s="228"/>
      <c r="P2224" s="844"/>
      <c r="Q2224" s="844"/>
      <c r="R2224" s="844"/>
      <c r="S2224" s="832"/>
      <c r="T2224" s="3082"/>
      <c r="U2224" s="123"/>
      <c r="V2224" s="3990"/>
      <c r="W2224" s="2857"/>
      <c r="X2224" s="2857"/>
      <c r="Y2224" s="3155"/>
      <c r="Z2224" s="2857"/>
      <c r="AA2224" s="2857"/>
      <c r="AB2224" s="2857"/>
      <c r="AC2224" s="2225">
        <v>0</v>
      </c>
      <c r="AD2224" s="2857"/>
      <c r="AE2224" s="2857"/>
      <c r="AF2224" s="2857"/>
      <c r="AG2224" s="2857"/>
      <c r="BB2224" s="575"/>
      <c r="BC2224" s="576"/>
      <c r="BD2224" s="678"/>
      <c r="BE2224" s="585"/>
    </row>
    <row r="2225" spans="1:57" s="1942" customFormat="1" ht="15" hidden="1" customHeight="1" outlineLevel="1" x14ac:dyDescent="0.25">
      <c r="A2225" s="2060"/>
      <c r="B2225" s="123"/>
      <c r="C2225" s="328"/>
      <c r="D2225" s="3990"/>
      <c r="E2225" s="4009"/>
      <c r="F2225" s="3010" t="str">
        <f>$E$1507</f>
        <v>ASHP-SEER16-Replace_CAC_NonElectricHeat_ER2_MF_CompE</v>
      </c>
      <c r="G2225" s="2676"/>
      <c r="H2225" s="2676"/>
      <c r="I2225" s="2677"/>
      <c r="J2225" s="3298" t="str">
        <f>$C$1507</f>
        <v>353011_2021_12_</v>
      </c>
      <c r="K2225" s="2225">
        <v>0</v>
      </c>
      <c r="L2225" s="851"/>
      <c r="M2225" s="3252" t="s">
        <v>1559</v>
      </c>
      <c r="N2225" s="123"/>
      <c r="O2225" s="228"/>
      <c r="P2225" s="844"/>
      <c r="Q2225" s="844"/>
      <c r="R2225" s="844"/>
      <c r="S2225" s="832"/>
      <c r="T2225" s="3082"/>
      <c r="U2225" s="123"/>
      <c r="V2225" s="3990"/>
      <c r="W2225" s="2857"/>
      <c r="X2225" s="2857"/>
      <c r="Y2225" s="3155"/>
      <c r="Z2225" s="2857"/>
      <c r="AA2225" s="2857"/>
      <c r="AB2225" s="2857"/>
      <c r="AC2225" s="2225">
        <v>0</v>
      </c>
      <c r="AD2225" s="2857"/>
      <c r="AE2225" s="2857"/>
      <c r="AF2225" s="2857"/>
      <c r="AG2225" s="2857"/>
      <c r="BB2225" s="575"/>
      <c r="BC2225" s="576"/>
      <c r="BD2225" s="678"/>
      <c r="BE2225" s="585"/>
    </row>
    <row r="2226" spans="1:57" s="51" customFormat="1" ht="15" hidden="1" customHeight="1" outlineLevel="1" x14ac:dyDescent="0.25">
      <c r="A2226" s="2060"/>
      <c r="B2226" s="123"/>
      <c r="C2226" s="328"/>
      <c r="D2226" s="3990"/>
      <c r="E2226" s="4009"/>
      <c r="F2226" s="3011" t="str">
        <f>$E$1509</f>
        <v>ASHP-SEER15_ROF_MF</v>
      </c>
      <c r="G2226" s="2678"/>
      <c r="H2226" s="2678"/>
      <c r="I2226" s="2679"/>
      <c r="J2226" s="3298" t="str">
        <f>$C$1509</f>
        <v>353050_2021_12_</v>
      </c>
      <c r="K2226" s="2857">
        <v>8.1999999999999993</v>
      </c>
      <c r="L2226" s="851"/>
      <c r="M2226" s="698" t="s">
        <v>1560</v>
      </c>
      <c r="N2226" s="123"/>
      <c r="O2226" s="228"/>
      <c r="P2226" s="844"/>
      <c r="Q2226" s="844"/>
      <c r="R2226" s="844"/>
      <c r="S2226" s="832"/>
      <c r="T2226" s="3082"/>
      <c r="U2226" s="123"/>
      <c r="V2226" s="3990"/>
      <c r="W2226" s="2857">
        <v>8.1999999999999993</v>
      </c>
      <c r="X2226" s="2857">
        <v>8.1999999999999993</v>
      </c>
      <c r="Y2226" s="2857">
        <v>8.1999999999999993</v>
      </c>
      <c r="Z2226" s="2857">
        <v>8.1999999999999993</v>
      </c>
      <c r="AA2226" s="2857">
        <v>8.1999999999999993</v>
      </c>
      <c r="AB2226" s="2857">
        <v>8.1999999999999993</v>
      </c>
      <c r="AC2226" s="2857">
        <v>8.1999999999999993</v>
      </c>
      <c r="AD2226" s="2857"/>
      <c r="AE2226" s="2857"/>
      <c r="AF2226" s="2857"/>
      <c r="AG2226" s="2857"/>
      <c r="AH2226" s="1942"/>
      <c r="AI2226" s="1942"/>
      <c r="AJ2226" s="1942"/>
      <c r="AK2226" s="1942"/>
      <c r="AL2226" s="1942"/>
      <c r="AM2226" s="1942"/>
      <c r="AN2226" s="1942"/>
      <c r="AO2226" s="1942"/>
      <c r="AP2226" s="1942"/>
      <c r="AQ2226" s="1942"/>
      <c r="AR2226" s="1942"/>
      <c r="AS2226" s="1942"/>
      <c r="AT2226" s="1942"/>
      <c r="AU2226" s="1942"/>
      <c r="AV2226" s="1942"/>
      <c r="AW2226" s="1942"/>
      <c r="AX2226" s="1942"/>
      <c r="AY2226" s="1942"/>
      <c r="AZ2226" s="1942"/>
      <c r="BA2226" s="1942"/>
      <c r="BB2226" s="575"/>
      <c r="BC2226" s="576"/>
      <c r="BD2226" s="678"/>
      <c r="BE2226" s="585"/>
    </row>
    <row r="2227" spans="1:57" s="51" customFormat="1" ht="15" hidden="1" customHeight="1" outlineLevel="1" x14ac:dyDescent="0.25">
      <c r="A2227" s="2060"/>
      <c r="B2227" s="123"/>
      <c r="C2227" s="328"/>
      <c r="D2227" s="3990"/>
      <c r="E2227" s="4009"/>
      <c r="F2227" s="3011" t="str">
        <f>$E$1511</f>
        <v>ASHP-SEER15_ROF_MF_CompE</v>
      </c>
      <c r="G2227" s="2678"/>
      <c r="H2227" s="2678"/>
      <c r="I2227" s="2679"/>
      <c r="J2227" s="3298" t="str">
        <f>$C$1511</f>
        <v>353051_2021_12_</v>
      </c>
      <c r="K2227" s="2857">
        <v>8.1999999999999993</v>
      </c>
      <c r="L2227" s="851"/>
      <c r="M2227" s="698" t="s">
        <v>1560</v>
      </c>
      <c r="N2227" s="123"/>
      <c r="O2227" s="228"/>
      <c r="P2227" s="844"/>
      <c r="Q2227" s="844"/>
      <c r="R2227" s="844"/>
      <c r="S2227" s="832"/>
      <c r="T2227" s="3082"/>
      <c r="U2227" s="123"/>
      <c r="V2227" s="3990"/>
      <c r="W2227" s="2857"/>
      <c r="X2227" s="2857"/>
      <c r="Y2227" s="3155">
        <v>8.1999999999999993</v>
      </c>
      <c r="Z2227" s="2857">
        <v>8.1999999999999993</v>
      </c>
      <c r="AA2227" s="2857">
        <v>8.1999999999999993</v>
      </c>
      <c r="AB2227" s="2857">
        <v>8.1999999999999993</v>
      </c>
      <c r="AC2227" s="2857">
        <v>8.1999999999999993</v>
      </c>
      <c r="AD2227" s="2857"/>
      <c r="AE2227" s="2857"/>
      <c r="AF2227" s="2857"/>
      <c r="AG2227" s="2857"/>
      <c r="AH2227" s="1942"/>
      <c r="AI2227" s="1942"/>
      <c r="AJ2227" s="1942"/>
      <c r="AK2227" s="1942"/>
      <c r="AL2227" s="1942"/>
      <c r="AM2227" s="1942"/>
      <c r="AN2227" s="1942"/>
      <c r="AO2227" s="1942"/>
      <c r="AP2227" s="1942"/>
      <c r="AQ2227" s="1942"/>
      <c r="AR2227" s="1942"/>
      <c r="AS2227" s="1942"/>
      <c r="AT2227" s="1942"/>
      <c r="AU2227" s="1942"/>
      <c r="AV2227" s="1942"/>
      <c r="AW2227" s="1942"/>
      <c r="AX2227" s="1942"/>
      <c r="AY2227" s="1942"/>
      <c r="AZ2227" s="1942"/>
      <c r="BA2227" s="1942"/>
      <c r="BB2227" s="575"/>
      <c r="BC2227" s="576"/>
      <c r="BD2227" s="678"/>
      <c r="BE2227" s="585"/>
    </row>
    <row r="2228" spans="1:57" s="51" customFormat="1" ht="15" hidden="1" customHeight="1" outlineLevel="1" x14ac:dyDescent="0.25">
      <c r="A2228" s="2060"/>
      <c r="B2228" s="123"/>
      <c r="C2228" s="328"/>
      <c r="D2228" s="3990"/>
      <c r="E2228" s="4009"/>
      <c r="F2228" s="3010" t="str">
        <f>$E$1513</f>
        <v>ASHP-SEER17-Replace_CAC_ElectricHeat_ROF_SF</v>
      </c>
      <c r="G2228" s="2676"/>
      <c r="H2228" s="2676"/>
      <c r="I2228" s="2677"/>
      <c r="J2228" s="3298" t="str">
        <f>$C$1513</f>
        <v>353100_2021_12_</v>
      </c>
      <c r="K2228" s="2857">
        <v>3.41</v>
      </c>
      <c r="L2228" s="851"/>
      <c r="M2228" s="698" t="s">
        <v>838</v>
      </c>
      <c r="N2228" s="123"/>
      <c r="O2228" s="228"/>
      <c r="P2228" s="844"/>
      <c r="Q2228" s="844"/>
      <c r="R2228" s="844"/>
      <c r="S2228" s="832"/>
      <c r="T2228" s="3082"/>
      <c r="U2228" s="123"/>
      <c r="V2228" s="3990"/>
      <c r="W2228" s="2857">
        <v>3.41</v>
      </c>
      <c r="X2228" s="2857">
        <v>3.41</v>
      </c>
      <c r="Y2228" s="2857">
        <v>3.41</v>
      </c>
      <c r="Z2228" s="2857">
        <v>3.41</v>
      </c>
      <c r="AA2228" s="2857">
        <v>3.41</v>
      </c>
      <c r="AB2228" s="2857">
        <v>3.41</v>
      </c>
      <c r="AC2228" s="2857">
        <v>3.41</v>
      </c>
      <c r="AD2228" s="2857"/>
      <c r="AE2228" s="2857"/>
      <c r="AF2228" s="2857"/>
      <c r="AG2228" s="2857"/>
      <c r="AH2228" s="1942"/>
      <c r="AI2228" s="1942"/>
      <c r="AJ2228" s="1942"/>
      <c r="AK2228" s="1942"/>
      <c r="AL2228" s="1942"/>
      <c r="AM2228" s="1942"/>
      <c r="AN2228" s="1942"/>
      <c r="AO2228" s="1942"/>
      <c r="AP2228" s="1942"/>
      <c r="AQ2228" s="1942"/>
      <c r="AR2228" s="1942"/>
      <c r="AS2228" s="1942"/>
      <c r="AT2228" s="1942"/>
      <c r="AU2228" s="1942"/>
      <c r="AV2228" s="1942"/>
      <c r="AW2228" s="1942"/>
      <c r="AX2228" s="1942"/>
      <c r="AY2228" s="1942"/>
      <c r="AZ2228" s="1942"/>
      <c r="BA2228" s="1942"/>
      <c r="BB2228" s="575"/>
      <c r="BC2228" s="576"/>
      <c r="BD2228" s="678"/>
      <c r="BE2228" s="585"/>
    </row>
    <row r="2229" spans="1:57" s="51" customFormat="1" ht="15" hidden="1" customHeight="1" outlineLevel="1" x14ac:dyDescent="0.25">
      <c r="A2229" s="2060"/>
      <c r="B2229" s="123"/>
      <c r="C2229" s="328"/>
      <c r="D2229" s="3990"/>
      <c r="E2229" s="4009"/>
      <c r="F2229" s="3010" t="str">
        <f>$E$1515</f>
        <v>ASHP-SEER17-Replace_CAC_ElectricHeat_ROF_MF</v>
      </c>
      <c r="G2229" s="2676"/>
      <c r="H2229" s="2676"/>
      <c r="I2229" s="2677"/>
      <c r="J2229" s="3299" t="str">
        <f>$C$1515</f>
        <v>353150_2019_12_</v>
      </c>
      <c r="K2229" s="2857">
        <v>3.41</v>
      </c>
      <c r="L2229" s="851"/>
      <c r="M2229" s="698" t="s">
        <v>1560</v>
      </c>
      <c r="N2229" s="123"/>
      <c r="O2229" s="228"/>
      <c r="P2229" s="844"/>
      <c r="Q2229" s="844"/>
      <c r="R2229" s="844"/>
      <c r="S2229" s="832"/>
      <c r="T2229" s="3082"/>
      <c r="U2229" s="123"/>
      <c r="V2229" s="3990"/>
      <c r="W2229" s="2857">
        <v>3.41</v>
      </c>
      <c r="X2229" s="2857">
        <v>3.41</v>
      </c>
      <c r="Y2229" s="2857">
        <v>3.41</v>
      </c>
      <c r="Z2229" s="2857">
        <v>3.41</v>
      </c>
      <c r="AA2229" s="2857">
        <v>3.41</v>
      </c>
      <c r="AB2229" s="2857">
        <v>3.41</v>
      </c>
      <c r="AC2229" s="2857">
        <v>3.41</v>
      </c>
      <c r="AD2229" s="2857"/>
      <c r="AE2229" s="2857"/>
      <c r="AF2229" s="2857"/>
      <c r="AG2229" s="2857"/>
      <c r="AH2229" s="1942"/>
      <c r="AI2229" s="1942"/>
      <c r="AJ2229" s="1942"/>
      <c r="AK2229" s="1942"/>
      <c r="AL2229" s="1942"/>
      <c r="AM2229" s="1942"/>
      <c r="AN2229" s="1942"/>
      <c r="AO2229" s="1942"/>
      <c r="AP2229" s="1942"/>
      <c r="AQ2229" s="1942"/>
      <c r="AR2229" s="1942"/>
      <c r="AS2229" s="1942"/>
      <c r="AT2229" s="1942"/>
      <c r="AU2229" s="1942"/>
      <c r="AV2229" s="1942"/>
      <c r="AW2229" s="1942"/>
      <c r="AX2229" s="1942"/>
      <c r="AY2229" s="1942"/>
      <c r="AZ2229" s="1942"/>
      <c r="BA2229" s="1942"/>
      <c r="BB2229" s="575"/>
      <c r="BC2229" s="576"/>
      <c r="BD2229" s="678"/>
      <c r="BE2229" s="585"/>
    </row>
    <row r="2230" spans="1:57" s="51" customFormat="1" ht="15" hidden="1" customHeight="1" outlineLevel="1" x14ac:dyDescent="0.25">
      <c r="A2230" s="2060"/>
      <c r="B2230" s="123"/>
      <c r="C2230" s="328"/>
      <c r="D2230" s="3990"/>
      <c r="E2230" s="4009"/>
      <c r="F2230" s="3010" t="str">
        <f>$E$1517</f>
        <v>ASHP-SEER17-Replace_CAC_ElectricHeat_ROF_MF_CompE</v>
      </c>
      <c r="G2230" s="2676"/>
      <c r="H2230" s="2676"/>
      <c r="I2230" s="2677"/>
      <c r="J2230" s="3299" t="str">
        <f>$C$1517</f>
        <v>353151_2019_12_</v>
      </c>
      <c r="K2230" s="2857">
        <v>3.41</v>
      </c>
      <c r="L2230" s="851"/>
      <c r="M2230" s="698" t="s">
        <v>1560</v>
      </c>
      <c r="N2230" s="123"/>
      <c r="O2230" s="228"/>
      <c r="P2230" s="844"/>
      <c r="Q2230" s="844"/>
      <c r="R2230" s="844"/>
      <c r="S2230" s="832"/>
      <c r="T2230" s="3082"/>
      <c r="U2230" s="123"/>
      <c r="V2230" s="3990"/>
      <c r="W2230" s="2857"/>
      <c r="X2230" s="2857"/>
      <c r="Y2230" s="3155">
        <v>3.41</v>
      </c>
      <c r="Z2230" s="2857">
        <v>3.41</v>
      </c>
      <c r="AA2230" s="2857">
        <v>3.41</v>
      </c>
      <c r="AB2230" s="2857">
        <v>3.41</v>
      </c>
      <c r="AC2230" s="2857">
        <v>3.41</v>
      </c>
      <c r="AD2230" s="2857"/>
      <c r="AE2230" s="2857"/>
      <c r="AF2230" s="2857"/>
      <c r="AG2230" s="2857"/>
      <c r="AH2230" s="1942"/>
      <c r="AI2230" s="1942"/>
      <c r="AJ2230" s="1942"/>
      <c r="AK2230" s="1942"/>
      <c r="AL2230" s="1942"/>
      <c r="AM2230" s="1942"/>
      <c r="AN2230" s="1942"/>
      <c r="AO2230" s="1942"/>
      <c r="AP2230" s="1942"/>
      <c r="AQ2230" s="1942"/>
      <c r="AR2230" s="1942"/>
      <c r="AS2230" s="1942"/>
      <c r="AT2230" s="1942"/>
      <c r="AU2230" s="1942"/>
      <c r="AV2230" s="1942"/>
      <c r="AW2230" s="1942"/>
      <c r="AX2230" s="1942"/>
      <c r="AY2230" s="1942"/>
      <c r="AZ2230" s="1942"/>
      <c r="BA2230" s="1942"/>
      <c r="BB2230" s="575"/>
      <c r="BC2230" s="576"/>
      <c r="BD2230" s="678"/>
      <c r="BE2230" s="585"/>
    </row>
    <row r="2231" spans="1:57" s="1942" customFormat="1" ht="15" hidden="1" customHeight="1" outlineLevel="1" x14ac:dyDescent="0.25">
      <c r="A2231" s="2060"/>
      <c r="B2231" s="123"/>
      <c r="C2231" s="328"/>
      <c r="D2231" s="3990"/>
      <c r="E2231" s="4009"/>
      <c r="F2231" s="3010" t="str">
        <f>$E$1519</f>
        <v>ASHP-SEER17-Replace_CAC_NonElectricHeat_ROF_MF</v>
      </c>
      <c r="G2231" s="2676"/>
      <c r="H2231" s="2676"/>
      <c r="I2231" s="2677"/>
      <c r="J2231" s="3298" t="str">
        <f>$C$1519</f>
        <v>353160_2021_12_</v>
      </c>
      <c r="K2231" s="2225">
        <v>0</v>
      </c>
      <c r="L2231" s="851"/>
      <c r="M2231" s="3252" t="s">
        <v>1559</v>
      </c>
      <c r="N2231" s="123"/>
      <c r="O2231" s="228"/>
      <c r="P2231" s="844"/>
      <c r="Q2231" s="844"/>
      <c r="R2231" s="844"/>
      <c r="S2231" s="832"/>
      <c r="T2231" s="3082"/>
      <c r="U2231" s="123"/>
      <c r="V2231" s="3990"/>
      <c r="W2231" s="2857"/>
      <c r="X2231" s="2857"/>
      <c r="Y2231" s="3155"/>
      <c r="Z2231" s="2857"/>
      <c r="AA2231" s="2857"/>
      <c r="AB2231" s="2857"/>
      <c r="AC2231" s="2225">
        <v>0</v>
      </c>
      <c r="AD2231" s="2857"/>
      <c r="AE2231" s="2857"/>
      <c r="AF2231" s="2857"/>
      <c r="AG2231" s="2857"/>
      <c r="BB2231" s="575"/>
      <c r="BC2231" s="576"/>
      <c r="BD2231" s="678"/>
      <c r="BE2231" s="585"/>
    </row>
    <row r="2232" spans="1:57" s="1942" customFormat="1" ht="15" hidden="1" customHeight="1" outlineLevel="1" x14ac:dyDescent="0.25">
      <c r="A2232" s="2060"/>
      <c r="B2232" s="123"/>
      <c r="C2232" s="328"/>
      <c r="D2232" s="3990"/>
      <c r="E2232" s="4009"/>
      <c r="F2232" s="3010" t="str">
        <f>$E$1521</f>
        <v>ASHP-SEER17-Replace_CAC_NonElectricHeat_ROF_MF_CompE</v>
      </c>
      <c r="G2232" s="2676"/>
      <c r="H2232" s="2676"/>
      <c r="I2232" s="2677"/>
      <c r="J2232" s="3298" t="str">
        <f>$C$1521</f>
        <v>353161_2021_12_</v>
      </c>
      <c r="K2232" s="2225">
        <v>0</v>
      </c>
      <c r="L2232" s="851"/>
      <c r="M2232" s="3252" t="s">
        <v>1559</v>
      </c>
      <c r="N2232" s="123"/>
      <c r="O2232" s="228"/>
      <c r="P2232" s="844"/>
      <c r="Q2232" s="844"/>
      <c r="R2232" s="844"/>
      <c r="S2232" s="832"/>
      <c r="T2232" s="3082"/>
      <c r="U2232" s="123"/>
      <c r="V2232" s="3990"/>
      <c r="W2232" s="2857"/>
      <c r="X2232" s="2857"/>
      <c r="Y2232" s="3155"/>
      <c r="Z2232" s="2857"/>
      <c r="AA2232" s="2857"/>
      <c r="AB2232" s="2857"/>
      <c r="AC2232" s="2225">
        <v>0</v>
      </c>
      <c r="AD2232" s="2857"/>
      <c r="AE2232" s="2857"/>
      <c r="AF2232" s="2857"/>
      <c r="AG2232" s="2857"/>
      <c r="BB2232" s="575"/>
      <c r="BC2232" s="576"/>
      <c r="BD2232" s="678"/>
      <c r="BE2232" s="585"/>
    </row>
    <row r="2233" spans="1:57" s="51" customFormat="1" ht="15" hidden="1" customHeight="1" outlineLevel="1" x14ac:dyDescent="0.25">
      <c r="A2233" s="2060"/>
      <c r="B2233" s="123"/>
      <c r="C2233" s="328"/>
      <c r="D2233" s="3990"/>
      <c r="E2233" s="4009"/>
      <c r="F2233" s="3010" t="str">
        <f>$E$1523</f>
        <v>ASHP-SEER18-Replace_CAC_ElectricHeat_ROF_SF</v>
      </c>
      <c r="G2233" s="2676"/>
      <c r="H2233" s="2676"/>
      <c r="I2233" s="2677"/>
      <c r="J2233" s="3298" t="str">
        <f>$C$1523</f>
        <v>353200_2021_12_</v>
      </c>
      <c r="K2233" s="2857">
        <v>3.41</v>
      </c>
      <c r="L2233" s="851"/>
      <c r="M2233" s="698" t="s">
        <v>838</v>
      </c>
      <c r="N2233" s="123"/>
      <c r="O2233" s="228"/>
      <c r="P2233" s="844"/>
      <c r="Q2233" s="844"/>
      <c r="R2233" s="844"/>
      <c r="S2233" s="832"/>
      <c r="T2233" s="3082"/>
      <c r="U2233" s="123"/>
      <c r="V2233" s="3990"/>
      <c r="W2233" s="2857">
        <v>3.41</v>
      </c>
      <c r="X2233" s="2857">
        <v>3.41</v>
      </c>
      <c r="Y2233" s="2857">
        <v>3.41</v>
      </c>
      <c r="Z2233" s="2857">
        <v>3.41</v>
      </c>
      <c r="AA2233" s="2857">
        <v>3.41</v>
      </c>
      <c r="AB2233" s="2857">
        <v>3.41</v>
      </c>
      <c r="AC2233" s="2857">
        <v>3.41</v>
      </c>
      <c r="AD2233" s="2857"/>
      <c r="AE2233" s="2857"/>
      <c r="AF2233" s="2857"/>
      <c r="AG2233" s="2857"/>
      <c r="AH2233" s="1942"/>
      <c r="AI2233" s="1942"/>
      <c r="AJ2233" s="1942"/>
      <c r="AK2233" s="1942"/>
      <c r="AL2233" s="1942"/>
      <c r="AM2233" s="1942"/>
      <c r="AN2233" s="1942"/>
      <c r="AO2233" s="1942"/>
      <c r="AP2233" s="1942"/>
      <c r="AQ2233" s="1942"/>
      <c r="AR2233" s="1942"/>
      <c r="AS2233" s="1942"/>
      <c r="AT2233" s="1942"/>
      <c r="AU2233" s="1942"/>
      <c r="AV2233" s="1942"/>
      <c r="AW2233" s="1942"/>
      <c r="AX2233" s="1942"/>
      <c r="AY2233" s="1942"/>
      <c r="AZ2233" s="1942"/>
      <c r="BA2233" s="1942"/>
      <c r="BB2233" s="575"/>
      <c r="BC2233" s="576"/>
      <c r="BD2233" s="678"/>
      <c r="BE2233" s="585"/>
    </row>
    <row r="2234" spans="1:57" s="51" customFormat="1" ht="15" hidden="1" customHeight="1" outlineLevel="1" x14ac:dyDescent="0.25">
      <c r="A2234" s="2060"/>
      <c r="B2234" s="123"/>
      <c r="C2234" s="328"/>
      <c r="D2234" s="3990"/>
      <c r="E2234" s="4009"/>
      <c r="F2234" s="3010" t="str">
        <f>$E$1525</f>
        <v>ASHP-SEER18-Replace_CAC_ElectricHeat_ROF_MF</v>
      </c>
      <c r="G2234" s="2676"/>
      <c r="H2234" s="2676"/>
      <c r="I2234" s="2677"/>
      <c r="J2234" s="3298" t="str">
        <f>$C$1525</f>
        <v>353250_2021_12_</v>
      </c>
      <c r="K2234" s="2857">
        <v>3.41</v>
      </c>
      <c r="L2234" s="851"/>
      <c r="M2234" s="698" t="s">
        <v>1560</v>
      </c>
      <c r="N2234" s="123"/>
      <c r="O2234" s="228"/>
      <c r="P2234" s="844"/>
      <c r="Q2234" s="844"/>
      <c r="R2234" s="844"/>
      <c r="S2234" s="832"/>
      <c r="T2234" s="3082"/>
      <c r="U2234" s="123"/>
      <c r="V2234" s="3990"/>
      <c r="W2234" s="2857">
        <v>3.41</v>
      </c>
      <c r="X2234" s="2857">
        <v>3.41</v>
      </c>
      <c r="Y2234" s="2857">
        <v>3.41</v>
      </c>
      <c r="Z2234" s="2857">
        <v>3.41</v>
      </c>
      <c r="AA2234" s="2857">
        <v>3.41</v>
      </c>
      <c r="AB2234" s="2857">
        <v>3.41</v>
      </c>
      <c r="AC2234" s="2857">
        <v>3.41</v>
      </c>
      <c r="AD2234" s="2857"/>
      <c r="AE2234" s="2857"/>
      <c r="AF2234" s="2857"/>
      <c r="AG2234" s="2857"/>
      <c r="AH2234" s="1942"/>
      <c r="AI2234" s="1942"/>
      <c r="AJ2234" s="1942"/>
      <c r="AK2234" s="1942"/>
      <c r="AL2234" s="1942"/>
      <c r="AM2234" s="1942"/>
      <c r="AN2234" s="1942"/>
      <c r="AO2234" s="1942"/>
      <c r="AP2234" s="1942"/>
      <c r="AQ2234" s="1942"/>
      <c r="AR2234" s="1942"/>
      <c r="AS2234" s="1942"/>
      <c r="AT2234" s="1942"/>
      <c r="AU2234" s="1942"/>
      <c r="AV2234" s="1942"/>
      <c r="AW2234" s="1942"/>
      <c r="AX2234" s="1942"/>
      <c r="AY2234" s="1942"/>
      <c r="AZ2234" s="1942"/>
      <c r="BA2234" s="1942"/>
      <c r="BB2234" s="575"/>
      <c r="BC2234" s="576"/>
      <c r="BD2234" s="678"/>
      <c r="BE2234" s="585"/>
    </row>
    <row r="2235" spans="1:57" s="51" customFormat="1" ht="15" hidden="1" customHeight="1" outlineLevel="1" x14ac:dyDescent="0.25">
      <c r="A2235" s="2060"/>
      <c r="B2235" s="123"/>
      <c r="C2235" s="328"/>
      <c r="D2235" s="3990"/>
      <c r="E2235" s="4009"/>
      <c r="F2235" s="3010" t="str">
        <f>$E$1527</f>
        <v>ASHP-SEER18-Replace_CAC_ElectricHeat_ROF_MF_CompE</v>
      </c>
      <c r="G2235" s="2676"/>
      <c r="H2235" s="2676"/>
      <c r="I2235" s="2677"/>
      <c r="J2235" s="3298" t="str">
        <f>$C$1527</f>
        <v>353251_2021_12_</v>
      </c>
      <c r="K2235" s="2857">
        <v>3.41</v>
      </c>
      <c r="L2235" s="851"/>
      <c r="M2235" s="698" t="s">
        <v>1560</v>
      </c>
      <c r="N2235" s="123"/>
      <c r="O2235" s="228"/>
      <c r="P2235" s="844"/>
      <c r="Q2235" s="844"/>
      <c r="R2235" s="844"/>
      <c r="S2235" s="832"/>
      <c r="T2235" s="3082"/>
      <c r="U2235" s="123"/>
      <c r="V2235" s="3990"/>
      <c r="W2235" s="2857"/>
      <c r="X2235" s="2857"/>
      <c r="Y2235" s="3155">
        <v>3.41</v>
      </c>
      <c r="Z2235" s="2857">
        <v>3.41</v>
      </c>
      <c r="AA2235" s="2857">
        <v>3.41</v>
      </c>
      <c r="AB2235" s="2857">
        <v>3.41</v>
      </c>
      <c r="AC2235" s="2857">
        <v>3.41</v>
      </c>
      <c r="AD2235" s="2857"/>
      <c r="AE2235" s="2857"/>
      <c r="AF2235" s="2857"/>
      <c r="AG2235" s="2857"/>
      <c r="AH2235" s="1942"/>
      <c r="AI2235" s="1942"/>
      <c r="AJ2235" s="1942"/>
      <c r="AK2235" s="1942"/>
      <c r="AL2235" s="1942"/>
      <c r="AM2235" s="1942"/>
      <c r="AN2235" s="1942"/>
      <c r="AO2235" s="1942"/>
      <c r="AP2235" s="1942"/>
      <c r="AQ2235" s="1942"/>
      <c r="AR2235" s="1942"/>
      <c r="AS2235" s="1942"/>
      <c r="AT2235" s="1942"/>
      <c r="AU2235" s="1942"/>
      <c r="AV2235" s="1942"/>
      <c r="AW2235" s="1942"/>
      <c r="AX2235" s="1942"/>
      <c r="AY2235" s="1942"/>
      <c r="AZ2235" s="1942"/>
      <c r="BA2235" s="1942"/>
      <c r="BB2235" s="575"/>
      <c r="BC2235" s="576"/>
      <c r="BD2235" s="678"/>
      <c r="BE2235" s="585"/>
    </row>
    <row r="2236" spans="1:57" s="1942" customFormat="1" ht="15" hidden="1" customHeight="1" outlineLevel="1" x14ac:dyDescent="0.25">
      <c r="A2236" s="2060"/>
      <c r="B2236" s="123"/>
      <c r="C2236" s="328"/>
      <c r="D2236" s="3990"/>
      <c r="E2236" s="4009"/>
      <c r="F2236" s="3010" t="str">
        <f>$E$1529</f>
        <v>ASHP-SEER18-Replace_CAC_NonElectricHeat_ROF_MF</v>
      </c>
      <c r="G2236" s="2676"/>
      <c r="H2236" s="2676"/>
      <c r="I2236" s="2677"/>
      <c r="J2236" s="3298" t="str">
        <f>$C$1529</f>
        <v>353260_2021_12_</v>
      </c>
      <c r="K2236" s="2225">
        <v>0</v>
      </c>
      <c r="L2236" s="851"/>
      <c r="M2236" s="3252" t="s">
        <v>1559</v>
      </c>
      <c r="N2236" s="123"/>
      <c r="O2236" s="228"/>
      <c r="P2236" s="844"/>
      <c r="Q2236" s="844"/>
      <c r="R2236" s="844"/>
      <c r="S2236" s="832"/>
      <c r="T2236" s="3082"/>
      <c r="U2236" s="123"/>
      <c r="V2236" s="3990"/>
      <c r="W2236" s="2857"/>
      <c r="X2236" s="2857"/>
      <c r="Y2236" s="3155"/>
      <c r="Z2236" s="2857"/>
      <c r="AA2236" s="2857"/>
      <c r="AB2236" s="2857"/>
      <c r="AC2236" s="2225">
        <v>0</v>
      </c>
      <c r="AD2236" s="2857"/>
      <c r="AE2236" s="2857"/>
      <c r="AF2236" s="2857"/>
      <c r="AG2236" s="2857"/>
      <c r="BB2236" s="575"/>
      <c r="BC2236" s="576"/>
      <c r="BD2236" s="678"/>
      <c r="BE2236" s="585"/>
    </row>
    <row r="2237" spans="1:57" s="1942" customFormat="1" ht="15" hidden="1" customHeight="1" outlineLevel="1" x14ac:dyDescent="0.25">
      <c r="A2237" s="2060"/>
      <c r="B2237" s="123"/>
      <c r="C2237" s="328"/>
      <c r="D2237" s="3990"/>
      <c r="E2237" s="4009"/>
      <c r="F2237" s="3010" t="str">
        <f>$E$1531</f>
        <v>ASHP-SEER18-Replace_CAC_NonElectricHeat_ROF_MF_CompE</v>
      </c>
      <c r="G2237" s="2676"/>
      <c r="H2237" s="2676"/>
      <c r="I2237" s="2677"/>
      <c r="J2237" s="3298" t="str">
        <f>$C$1531</f>
        <v>353261_2021_12_</v>
      </c>
      <c r="K2237" s="2225">
        <v>0</v>
      </c>
      <c r="L2237" s="851"/>
      <c r="M2237" s="3252" t="s">
        <v>1559</v>
      </c>
      <c r="N2237" s="123"/>
      <c r="O2237" s="228"/>
      <c r="P2237" s="844"/>
      <c r="Q2237" s="844"/>
      <c r="R2237" s="844"/>
      <c r="S2237" s="832"/>
      <c r="T2237" s="3082"/>
      <c r="U2237" s="123"/>
      <c r="V2237" s="3990"/>
      <c r="W2237" s="2857"/>
      <c r="X2237" s="2857"/>
      <c r="Y2237" s="3155"/>
      <c r="Z2237" s="2857"/>
      <c r="AA2237" s="2857"/>
      <c r="AB2237" s="2857"/>
      <c r="AC2237" s="2225">
        <v>0</v>
      </c>
      <c r="AD2237" s="2857"/>
      <c r="AE2237" s="2857"/>
      <c r="AF2237" s="2857"/>
      <c r="AG2237" s="2857"/>
      <c r="BB2237" s="575"/>
      <c r="BC2237" s="576"/>
      <c r="BD2237" s="678"/>
      <c r="BE2237" s="585"/>
    </row>
    <row r="2238" spans="1:57" s="51" customFormat="1" ht="15" hidden="1" customHeight="1" outlineLevel="1" x14ac:dyDescent="0.25">
      <c r="A2238" s="2060"/>
      <c r="B2238" s="123"/>
      <c r="C2238" s="328"/>
      <c r="D2238" s="3990"/>
      <c r="E2238" s="4009"/>
      <c r="F2238" s="3010" t="str">
        <f>$E$1533</f>
        <v>ASHP-SEER19-Replace_CAC_ElectricHeat_ROF_SF</v>
      </c>
      <c r="G2238" s="2676"/>
      <c r="H2238" s="2676"/>
      <c r="I2238" s="2677"/>
      <c r="J2238" s="3298" t="str">
        <f>$C$1533</f>
        <v>353300_2021_12_</v>
      </c>
      <c r="K2238" s="2857">
        <v>3.41</v>
      </c>
      <c r="L2238" s="851"/>
      <c r="M2238" s="698" t="s">
        <v>838</v>
      </c>
      <c r="N2238" s="123"/>
      <c r="O2238" s="228"/>
      <c r="P2238" s="844"/>
      <c r="Q2238" s="844"/>
      <c r="R2238" s="844"/>
      <c r="S2238" s="832"/>
      <c r="T2238" s="3082"/>
      <c r="U2238" s="123"/>
      <c r="V2238" s="3990"/>
      <c r="W2238" s="2857">
        <v>3.41</v>
      </c>
      <c r="X2238" s="2857">
        <v>3.41</v>
      </c>
      <c r="Y2238" s="2857">
        <v>3.41</v>
      </c>
      <c r="Z2238" s="2857">
        <v>3.41</v>
      </c>
      <c r="AA2238" s="2857">
        <v>3.41</v>
      </c>
      <c r="AB2238" s="2857">
        <v>3.41</v>
      </c>
      <c r="AC2238" s="2857">
        <v>3.41</v>
      </c>
      <c r="AD2238" s="2857"/>
      <c r="AE2238" s="2857"/>
      <c r="AF2238" s="2857"/>
      <c r="AG2238" s="2857"/>
      <c r="AH2238" s="1942"/>
      <c r="AI2238" s="1942"/>
      <c r="AJ2238" s="1942"/>
      <c r="AK2238" s="1942"/>
      <c r="AL2238" s="1942"/>
      <c r="AM2238" s="1942"/>
      <c r="AN2238" s="1942"/>
      <c r="AO2238" s="1942"/>
      <c r="AP2238" s="1942"/>
      <c r="AQ2238" s="1942"/>
      <c r="AR2238" s="1942"/>
      <c r="AS2238" s="1942"/>
      <c r="AT2238" s="1942"/>
      <c r="AU2238" s="1942"/>
      <c r="AV2238" s="1942"/>
      <c r="AW2238" s="1942"/>
      <c r="AX2238" s="1942"/>
      <c r="AY2238" s="1942"/>
      <c r="AZ2238" s="1942"/>
      <c r="BA2238" s="1942"/>
      <c r="BB2238" s="575"/>
      <c r="BC2238" s="576"/>
      <c r="BD2238" s="678"/>
      <c r="BE2238" s="585"/>
    </row>
    <row r="2239" spans="1:57" s="51" customFormat="1" ht="15" hidden="1" customHeight="1" outlineLevel="1" x14ac:dyDescent="0.25">
      <c r="A2239" s="2060"/>
      <c r="B2239" s="123"/>
      <c r="C2239" s="328"/>
      <c r="D2239" s="3990"/>
      <c r="E2239" s="4009"/>
      <c r="F2239" s="3010" t="str">
        <f>$E$1535</f>
        <v>ASHP-SEER19-Replace_CAC_ElectricHeat_ROF_MF</v>
      </c>
      <c r="G2239" s="2676"/>
      <c r="H2239" s="2676"/>
      <c r="I2239" s="2677"/>
      <c r="J2239" s="3298" t="str">
        <f>$C$1535</f>
        <v>353350_2021_12_</v>
      </c>
      <c r="K2239" s="2857">
        <v>3.41</v>
      </c>
      <c r="L2239" s="851"/>
      <c r="M2239" s="698" t="s">
        <v>1560</v>
      </c>
      <c r="N2239" s="123"/>
      <c r="O2239" s="228"/>
      <c r="P2239" s="844"/>
      <c r="Q2239" s="844"/>
      <c r="R2239" s="844"/>
      <c r="S2239" s="832"/>
      <c r="T2239" s="3082"/>
      <c r="U2239" s="123"/>
      <c r="V2239" s="3990"/>
      <c r="W2239" s="2857">
        <v>3.41</v>
      </c>
      <c r="X2239" s="2857">
        <v>3.41</v>
      </c>
      <c r="Y2239" s="2857">
        <v>3.41</v>
      </c>
      <c r="Z2239" s="2857">
        <v>3.41</v>
      </c>
      <c r="AA2239" s="2857">
        <v>3.41</v>
      </c>
      <c r="AB2239" s="2857">
        <v>3.41</v>
      </c>
      <c r="AC2239" s="2857">
        <v>3.41</v>
      </c>
      <c r="AD2239" s="2857"/>
      <c r="AE2239" s="2857"/>
      <c r="AF2239" s="2857"/>
      <c r="AG2239" s="2857"/>
      <c r="AH2239" s="1942"/>
      <c r="AI2239" s="1942"/>
      <c r="AJ2239" s="1942"/>
      <c r="AK2239" s="1942"/>
      <c r="AL2239" s="1942"/>
      <c r="AM2239" s="1942"/>
      <c r="AN2239" s="1942"/>
      <c r="AO2239" s="1942"/>
      <c r="AP2239" s="1942"/>
      <c r="AQ2239" s="1942"/>
      <c r="AR2239" s="1942"/>
      <c r="AS2239" s="1942"/>
      <c r="AT2239" s="1942"/>
      <c r="AU2239" s="1942"/>
      <c r="AV2239" s="1942"/>
      <c r="AW2239" s="1942"/>
      <c r="AX2239" s="1942"/>
      <c r="AY2239" s="1942"/>
      <c r="AZ2239" s="1942"/>
      <c r="BA2239" s="1942"/>
      <c r="BB2239" s="575"/>
      <c r="BC2239" s="576"/>
      <c r="BD2239" s="678"/>
      <c r="BE2239" s="585"/>
    </row>
    <row r="2240" spans="1:57" s="51" customFormat="1" ht="15" hidden="1" customHeight="1" outlineLevel="1" x14ac:dyDescent="0.25">
      <c r="A2240" s="2060"/>
      <c r="B2240" s="123"/>
      <c r="C2240" s="328"/>
      <c r="D2240" s="3990"/>
      <c r="E2240" s="4009"/>
      <c r="F2240" s="3010" t="str">
        <f>$E$1537</f>
        <v>ASHP-SEER19-Replace_CAC_ElectricHeat_ROF_MF_CompE</v>
      </c>
      <c r="G2240" s="2676"/>
      <c r="H2240" s="2676"/>
      <c r="I2240" s="2677"/>
      <c r="J2240" s="3299" t="str">
        <f>$C$1537</f>
        <v>353351_2019_12_</v>
      </c>
      <c r="K2240" s="2857">
        <v>3.41</v>
      </c>
      <c r="L2240" s="851"/>
      <c r="M2240" s="698" t="s">
        <v>1560</v>
      </c>
      <c r="N2240" s="123"/>
      <c r="O2240" s="228"/>
      <c r="P2240" s="844"/>
      <c r="Q2240" s="844"/>
      <c r="R2240" s="844"/>
      <c r="S2240" s="832"/>
      <c r="T2240" s="3082"/>
      <c r="U2240" s="123"/>
      <c r="V2240" s="3990"/>
      <c r="W2240" s="2857"/>
      <c r="X2240" s="2857"/>
      <c r="Y2240" s="3155">
        <v>3.41</v>
      </c>
      <c r="Z2240" s="2857">
        <v>3.41</v>
      </c>
      <c r="AA2240" s="2857">
        <v>3.41</v>
      </c>
      <c r="AB2240" s="2857">
        <v>3.41</v>
      </c>
      <c r="AC2240" s="2857">
        <v>3.41</v>
      </c>
      <c r="AD2240" s="2857"/>
      <c r="AE2240" s="2857"/>
      <c r="AF2240" s="2857"/>
      <c r="AG2240" s="2857"/>
      <c r="AH2240" s="1942"/>
      <c r="AI2240" s="1942"/>
      <c r="AJ2240" s="1942"/>
      <c r="AK2240" s="1942"/>
      <c r="AL2240" s="1942"/>
      <c r="AM2240" s="1942"/>
      <c r="AN2240" s="1942"/>
      <c r="AO2240" s="1942"/>
      <c r="AP2240" s="1942"/>
      <c r="AQ2240" s="1942"/>
      <c r="AR2240" s="1942"/>
      <c r="AS2240" s="1942"/>
      <c r="AT2240" s="1942"/>
      <c r="AU2240" s="1942"/>
      <c r="AV2240" s="1942"/>
      <c r="AW2240" s="1942"/>
      <c r="AX2240" s="1942"/>
      <c r="AY2240" s="1942"/>
      <c r="AZ2240" s="1942"/>
      <c r="BA2240" s="1942"/>
      <c r="BB2240" s="575"/>
      <c r="BC2240" s="576"/>
      <c r="BD2240" s="678"/>
      <c r="BE2240" s="585"/>
    </row>
    <row r="2241" spans="1:57" s="1942" customFormat="1" ht="15" hidden="1" customHeight="1" outlineLevel="1" x14ac:dyDescent="0.25">
      <c r="A2241" s="2060"/>
      <c r="B2241" s="123"/>
      <c r="C2241" s="328"/>
      <c r="D2241" s="3990"/>
      <c r="E2241" s="4009"/>
      <c r="F2241" s="3010" t="str">
        <f>$E$1539</f>
        <v>ASHP-SEER19-Replace_CAC_NonElectricHeat_ROF_MF</v>
      </c>
      <c r="G2241" s="2676"/>
      <c r="H2241" s="2676"/>
      <c r="I2241" s="2677"/>
      <c r="J2241" s="3298" t="str">
        <f>$C$1539</f>
        <v>353360_2021_12_</v>
      </c>
      <c r="K2241" s="2225">
        <v>0</v>
      </c>
      <c r="L2241" s="851"/>
      <c r="M2241" s="3252" t="s">
        <v>1559</v>
      </c>
      <c r="N2241" s="123"/>
      <c r="O2241" s="228"/>
      <c r="P2241" s="844"/>
      <c r="Q2241" s="844"/>
      <c r="R2241" s="844"/>
      <c r="S2241" s="832"/>
      <c r="T2241" s="3082"/>
      <c r="U2241" s="123"/>
      <c r="V2241" s="3990"/>
      <c r="W2241" s="2857"/>
      <c r="X2241" s="2857"/>
      <c r="Y2241" s="3155"/>
      <c r="Z2241" s="2857"/>
      <c r="AA2241" s="2857"/>
      <c r="AB2241" s="2857"/>
      <c r="AC2241" s="2225">
        <v>0</v>
      </c>
      <c r="AD2241" s="2857"/>
      <c r="AE2241" s="2857"/>
      <c r="AF2241" s="2857"/>
      <c r="AG2241" s="2857"/>
      <c r="BB2241" s="575"/>
      <c r="BC2241" s="576"/>
      <c r="BD2241" s="678"/>
      <c r="BE2241" s="585"/>
    </row>
    <row r="2242" spans="1:57" s="1942" customFormat="1" ht="15" hidden="1" customHeight="1" outlineLevel="1" x14ac:dyDescent="0.25">
      <c r="A2242" s="2060"/>
      <c r="B2242" s="123"/>
      <c r="C2242" s="328"/>
      <c r="D2242" s="3990"/>
      <c r="E2242" s="4009"/>
      <c r="F2242" s="3010" t="str">
        <f>$E$1541</f>
        <v>ASHP-SEER19-Replace_CAC_NonElectricHeat_ROF_MF_CompE</v>
      </c>
      <c r="G2242" s="2676"/>
      <c r="H2242" s="2676"/>
      <c r="I2242" s="2677"/>
      <c r="J2242" s="3298" t="str">
        <f>$C$1541</f>
        <v>353361_2021_12_</v>
      </c>
      <c r="K2242" s="2225">
        <v>0</v>
      </c>
      <c r="L2242" s="851"/>
      <c r="M2242" s="3252" t="s">
        <v>1559</v>
      </c>
      <c r="N2242" s="123"/>
      <c r="O2242" s="228"/>
      <c r="P2242" s="844"/>
      <c r="Q2242" s="844"/>
      <c r="R2242" s="844"/>
      <c r="S2242" s="832"/>
      <c r="T2242" s="3082"/>
      <c r="U2242" s="123"/>
      <c r="V2242" s="3990"/>
      <c r="W2242" s="2857"/>
      <c r="X2242" s="2857"/>
      <c r="Y2242" s="3155"/>
      <c r="Z2242" s="2857"/>
      <c r="AA2242" s="2857"/>
      <c r="AB2242" s="2857"/>
      <c r="AC2242" s="2225">
        <v>0</v>
      </c>
      <c r="AD2242" s="2857"/>
      <c r="AE2242" s="2857"/>
      <c r="AF2242" s="2857"/>
      <c r="AG2242" s="2857"/>
      <c r="BB2242" s="575"/>
      <c r="BC2242" s="576"/>
      <c r="BD2242" s="678"/>
      <c r="BE2242" s="585"/>
    </row>
    <row r="2243" spans="1:57" s="51" customFormat="1" ht="15" hidden="1" customHeight="1" outlineLevel="1" x14ac:dyDescent="0.25">
      <c r="A2243" s="2060"/>
      <c r="B2243" s="123"/>
      <c r="C2243" s="328"/>
      <c r="D2243" s="3990"/>
      <c r="E2243" s="4009"/>
      <c r="F2243" s="3010" t="str">
        <f>$E$1543</f>
        <v>ASHP-SEER20-Replace_CAC_ElectricHeat_ER1_SF</v>
      </c>
      <c r="G2243" s="2676"/>
      <c r="H2243" s="2676"/>
      <c r="I2243" s="2677"/>
      <c r="J2243" s="3298" t="str">
        <f>$C$1543</f>
        <v>353400_2021_12_</v>
      </c>
      <c r="K2243" s="2857">
        <v>3.41</v>
      </c>
      <c r="L2243" s="851"/>
      <c r="M2243" s="698" t="s">
        <v>838</v>
      </c>
      <c r="N2243" s="123"/>
      <c r="O2243" s="228"/>
      <c r="P2243" s="844"/>
      <c r="Q2243" s="844"/>
      <c r="R2243" s="844"/>
      <c r="S2243" s="832"/>
      <c r="T2243" s="3082"/>
      <c r="U2243" s="123"/>
      <c r="V2243" s="3990"/>
      <c r="W2243" s="2857">
        <v>3.41</v>
      </c>
      <c r="X2243" s="2857">
        <v>3.41</v>
      </c>
      <c r="Y2243" s="2857">
        <v>3.41</v>
      </c>
      <c r="Z2243" s="2857">
        <v>3.41</v>
      </c>
      <c r="AA2243" s="2857">
        <v>3.41</v>
      </c>
      <c r="AB2243" s="2857">
        <v>3.41</v>
      </c>
      <c r="AC2243" s="2857">
        <v>3.41</v>
      </c>
      <c r="AD2243" s="2857"/>
      <c r="AE2243" s="2857"/>
      <c r="AF2243" s="2857"/>
      <c r="AG2243" s="2857"/>
      <c r="AH2243" s="1942"/>
      <c r="AI2243" s="1942"/>
      <c r="AJ2243" s="1942"/>
      <c r="AK2243" s="1942"/>
      <c r="AL2243" s="1942"/>
      <c r="AM2243" s="1942"/>
      <c r="AN2243" s="1942"/>
      <c r="AO2243" s="1942"/>
      <c r="AP2243" s="1942"/>
      <c r="AQ2243" s="1942"/>
      <c r="AR2243" s="1942"/>
      <c r="AS2243" s="1942"/>
      <c r="AT2243" s="1942"/>
      <c r="AU2243" s="1942"/>
      <c r="AV2243" s="1942"/>
      <c r="AW2243" s="1942"/>
      <c r="AX2243" s="1942"/>
      <c r="AY2243" s="1942"/>
      <c r="AZ2243" s="1942"/>
      <c r="BA2243" s="1942"/>
      <c r="BB2243" s="575"/>
      <c r="BC2243" s="576"/>
      <c r="BD2243" s="678"/>
      <c r="BE2243" s="585"/>
    </row>
    <row r="2244" spans="1:57" s="51" customFormat="1" ht="15" hidden="1" customHeight="1" outlineLevel="1" x14ac:dyDescent="0.25">
      <c r="A2244" s="2060"/>
      <c r="B2244" s="123"/>
      <c r="C2244" s="328"/>
      <c r="D2244" s="3990"/>
      <c r="E2244" s="4009"/>
      <c r="F2244" s="3010" t="str">
        <f>$E$1545</f>
        <v>ASHP-SEER20-Replace_CAC_ElectricHeat_ER2_SF</v>
      </c>
      <c r="G2244" s="2676"/>
      <c r="H2244" s="2676"/>
      <c r="I2244" s="2677"/>
      <c r="J2244" s="3298" t="str">
        <f>$C$1545</f>
        <v>353400_2021_12_</v>
      </c>
      <c r="K2244" s="2857">
        <v>3.41</v>
      </c>
      <c r="L2244" s="851"/>
      <c r="M2244" s="698" t="s">
        <v>838</v>
      </c>
      <c r="N2244" s="123"/>
      <c r="O2244" s="228"/>
      <c r="P2244" s="844"/>
      <c r="Q2244" s="844"/>
      <c r="R2244" s="844"/>
      <c r="S2244" s="832"/>
      <c r="T2244" s="3082"/>
      <c r="U2244" s="123"/>
      <c r="V2244" s="3990"/>
      <c r="W2244" s="2857">
        <v>3.41</v>
      </c>
      <c r="X2244" s="2857">
        <v>3.41</v>
      </c>
      <c r="Y2244" s="2857">
        <v>3.41</v>
      </c>
      <c r="Z2244" s="2857">
        <v>3.41</v>
      </c>
      <c r="AA2244" s="2857">
        <v>3.41</v>
      </c>
      <c r="AB2244" s="2857">
        <v>3.41</v>
      </c>
      <c r="AC2244" s="2857">
        <v>3.41</v>
      </c>
      <c r="AD2244" s="2857"/>
      <c r="AE2244" s="2857"/>
      <c r="AF2244" s="2857"/>
      <c r="AG2244" s="2857"/>
      <c r="AH2244" s="1942"/>
      <c r="AI2244" s="1942"/>
      <c r="AJ2244" s="1942"/>
      <c r="AK2244" s="1942"/>
      <c r="AL2244" s="1942"/>
      <c r="AM2244" s="1942"/>
      <c r="AN2244" s="1942"/>
      <c r="AO2244" s="1942"/>
      <c r="AP2244" s="1942"/>
      <c r="AQ2244" s="1942"/>
      <c r="AR2244" s="1942"/>
      <c r="AS2244" s="1942"/>
      <c r="AT2244" s="1942"/>
      <c r="AU2244" s="1942"/>
      <c r="AV2244" s="1942"/>
      <c r="AW2244" s="1942"/>
      <c r="AX2244" s="1942"/>
      <c r="AY2244" s="1942"/>
      <c r="AZ2244" s="1942"/>
      <c r="BA2244" s="1942"/>
      <c r="BB2244" s="575"/>
      <c r="BC2244" s="576"/>
      <c r="BD2244" s="678"/>
      <c r="BE2244" s="585"/>
    </row>
    <row r="2245" spans="1:57" s="1942" customFormat="1" ht="15" hidden="1" customHeight="1" outlineLevel="1" x14ac:dyDescent="0.25">
      <c r="A2245" s="2060"/>
      <c r="B2245" s="123"/>
      <c r="C2245" s="328"/>
      <c r="D2245" s="3990"/>
      <c r="E2245" s="4009"/>
      <c r="F2245" s="3010" t="str">
        <f>$E$1547</f>
        <v>ASHP-SEER20-Replace_CAC_NonElectricHeat_ER1_SF</v>
      </c>
      <c r="G2245" s="2676"/>
      <c r="H2245" s="2676"/>
      <c r="I2245" s="2677"/>
      <c r="J2245" s="3298" t="str">
        <f>$C$1547</f>
        <v>353410_2021_12_</v>
      </c>
      <c r="K2245" s="2225">
        <v>0</v>
      </c>
      <c r="L2245" s="851"/>
      <c r="M2245" s="3252" t="s">
        <v>1559</v>
      </c>
      <c r="N2245" s="123"/>
      <c r="O2245" s="228"/>
      <c r="P2245" s="844"/>
      <c r="Q2245" s="844"/>
      <c r="R2245" s="844"/>
      <c r="S2245" s="832"/>
      <c r="T2245" s="3082"/>
      <c r="U2245" s="123"/>
      <c r="V2245" s="3990"/>
      <c r="W2245" s="2857"/>
      <c r="X2245" s="2857"/>
      <c r="Y2245" s="2857"/>
      <c r="Z2245" s="2857"/>
      <c r="AA2245" s="2857"/>
      <c r="AB2245" s="2857"/>
      <c r="AC2245" s="2225">
        <v>0</v>
      </c>
      <c r="AD2245" s="2857"/>
      <c r="AE2245" s="2857"/>
      <c r="AF2245" s="2857"/>
      <c r="AG2245" s="2857"/>
      <c r="BB2245" s="575"/>
      <c r="BC2245" s="576"/>
      <c r="BD2245" s="678"/>
      <c r="BE2245" s="585"/>
    </row>
    <row r="2246" spans="1:57" s="1942" customFormat="1" ht="15" hidden="1" customHeight="1" outlineLevel="1" x14ac:dyDescent="0.25">
      <c r="A2246" s="2060"/>
      <c r="B2246" s="123"/>
      <c r="C2246" s="328"/>
      <c r="D2246" s="3990"/>
      <c r="E2246" s="4009"/>
      <c r="F2246" s="3010" t="str">
        <f>$E$1549</f>
        <v>ASHP-SEER20-Replace_CAC_NonElectricHeat_ER2_SF</v>
      </c>
      <c r="G2246" s="2676"/>
      <c r="H2246" s="2676"/>
      <c r="I2246" s="2677"/>
      <c r="J2246" s="3298" t="str">
        <f>$C$1549</f>
        <v>353410_2021_12_</v>
      </c>
      <c r="K2246" s="2225">
        <v>0</v>
      </c>
      <c r="L2246" s="851"/>
      <c r="M2246" s="3252" t="s">
        <v>1559</v>
      </c>
      <c r="N2246" s="123"/>
      <c r="O2246" s="228"/>
      <c r="P2246" s="844"/>
      <c r="Q2246" s="844"/>
      <c r="R2246" s="844"/>
      <c r="S2246" s="832"/>
      <c r="T2246" s="3082"/>
      <c r="U2246" s="123"/>
      <c r="V2246" s="3990"/>
      <c r="W2246" s="2857"/>
      <c r="X2246" s="2857"/>
      <c r="Y2246" s="2857"/>
      <c r="Z2246" s="2857"/>
      <c r="AA2246" s="2857"/>
      <c r="AB2246" s="2857"/>
      <c r="AC2246" s="2225">
        <v>0</v>
      </c>
      <c r="AD2246" s="2857"/>
      <c r="AE2246" s="2857"/>
      <c r="AF2246" s="2857"/>
      <c r="AG2246" s="2857"/>
      <c r="BB2246" s="575"/>
      <c r="BC2246" s="576"/>
      <c r="BD2246" s="678"/>
      <c r="BE2246" s="585"/>
    </row>
    <row r="2247" spans="1:57" s="51" customFormat="1" ht="15" hidden="1" customHeight="1" outlineLevel="1" x14ac:dyDescent="0.25">
      <c r="A2247" s="2060"/>
      <c r="B2247" s="123"/>
      <c r="C2247" s="328"/>
      <c r="D2247" s="3990"/>
      <c r="E2247" s="4009"/>
      <c r="F2247" s="3010" t="str">
        <f>$E$1551</f>
        <v>ASHP-SEER20-Replace_CAC_ElectricHeat_ROF_SF</v>
      </c>
      <c r="G2247" s="2676"/>
      <c r="H2247" s="2676"/>
      <c r="I2247" s="2677"/>
      <c r="J2247" s="3298" t="str">
        <f>$C$1551</f>
        <v>353450_2021_12_</v>
      </c>
      <c r="K2247" s="2857">
        <v>3.41</v>
      </c>
      <c r="L2247" s="851"/>
      <c r="M2247" s="698" t="s">
        <v>838</v>
      </c>
      <c r="N2247" s="123"/>
      <c r="O2247" s="228"/>
      <c r="P2247" s="844"/>
      <c r="Q2247" s="844"/>
      <c r="R2247" s="844"/>
      <c r="S2247" s="832"/>
      <c r="T2247" s="3082"/>
      <c r="U2247" s="123"/>
      <c r="V2247" s="3990"/>
      <c r="W2247" s="2857">
        <v>3.41</v>
      </c>
      <c r="X2247" s="2857">
        <v>3.41</v>
      </c>
      <c r="Y2247" s="2857">
        <v>3.41</v>
      </c>
      <c r="Z2247" s="2857">
        <v>3.41</v>
      </c>
      <c r="AA2247" s="2857">
        <v>3.41</v>
      </c>
      <c r="AB2247" s="2857">
        <v>3.41</v>
      </c>
      <c r="AC2247" s="2857">
        <v>3.41</v>
      </c>
      <c r="AD2247" s="2857"/>
      <c r="AE2247" s="2857"/>
      <c r="AF2247" s="2857"/>
      <c r="AG2247" s="2857"/>
      <c r="AH2247" s="1942"/>
      <c r="AI2247" s="1942"/>
      <c r="AJ2247" s="1942"/>
      <c r="AK2247" s="1942"/>
      <c r="AL2247" s="1942"/>
      <c r="AM2247" s="1942"/>
      <c r="AN2247" s="1942"/>
      <c r="AO2247" s="1942"/>
      <c r="AP2247" s="1942"/>
      <c r="AQ2247" s="1942"/>
      <c r="AR2247" s="1942"/>
      <c r="AS2247" s="1942"/>
      <c r="AT2247" s="1942"/>
      <c r="AU2247" s="1942"/>
      <c r="AV2247" s="1942"/>
      <c r="AW2247" s="1942"/>
      <c r="AX2247" s="1942"/>
      <c r="AY2247" s="1942"/>
      <c r="AZ2247" s="1942"/>
      <c r="BA2247" s="1942"/>
      <c r="BB2247" s="575"/>
      <c r="BC2247" s="576"/>
      <c r="BD2247" s="678"/>
      <c r="BE2247" s="585"/>
    </row>
    <row r="2248" spans="1:57" s="51" customFormat="1" ht="15" hidden="1" customHeight="1" outlineLevel="1" x14ac:dyDescent="0.25">
      <c r="A2248" s="2060"/>
      <c r="B2248" s="123"/>
      <c r="C2248" s="328"/>
      <c r="D2248" s="3990"/>
      <c r="E2248" s="4009"/>
      <c r="F2248" s="3010" t="str">
        <f>$E$1553</f>
        <v>ASHP-SEER20-Replace_CAC_ElectricHeat_ROF_MF</v>
      </c>
      <c r="G2248" s="2676"/>
      <c r="H2248" s="2676"/>
      <c r="I2248" s="2677"/>
      <c r="J2248" s="3299" t="str">
        <f>$C$1553</f>
        <v>353500_2019_12_</v>
      </c>
      <c r="K2248" s="2857">
        <v>3.41</v>
      </c>
      <c r="L2248" s="851"/>
      <c r="M2248" s="698" t="s">
        <v>1560</v>
      </c>
      <c r="N2248" s="123"/>
      <c r="O2248" s="228"/>
      <c r="P2248" s="844"/>
      <c r="Q2248" s="844"/>
      <c r="R2248" s="844"/>
      <c r="S2248" s="832"/>
      <c r="T2248" s="3082"/>
      <c r="U2248" s="123"/>
      <c r="V2248" s="3990"/>
      <c r="W2248" s="2857">
        <v>3.41</v>
      </c>
      <c r="X2248" s="2857">
        <v>3.41</v>
      </c>
      <c r="Y2248" s="2857">
        <v>3.41</v>
      </c>
      <c r="Z2248" s="2857">
        <v>3.41</v>
      </c>
      <c r="AA2248" s="2857">
        <v>3.41</v>
      </c>
      <c r="AB2248" s="2857">
        <v>3.41</v>
      </c>
      <c r="AC2248" s="2857">
        <v>3.41</v>
      </c>
      <c r="AD2248" s="2857"/>
      <c r="AE2248" s="2857"/>
      <c r="AF2248" s="2857"/>
      <c r="AG2248" s="2857"/>
      <c r="AH2248" s="1942"/>
      <c r="AI2248" s="1942"/>
      <c r="AJ2248" s="1942"/>
      <c r="AK2248" s="1942"/>
      <c r="AL2248" s="1942"/>
      <c r="AM2248" s="1942"/>
      <c r="AN2248" s="1942"/>
      <c r="AO2248" s="1942"/>
      <c r="AP2248" s="1942"/>
      <c r="AQ2248" s="1942"/>
      <c r="AR2248" s="1942"/>
      <c r="AS2248" s="1942"/>
      <c r="AT2248" s="1942"/>
      <c r="AU2248" s="1942"/>
      <c r="AV2248" s="1942"/>
      <c r="AW2248" s="1942"/>
      <c r="AX2248" s="1942"/>
      <c r="AY2248" s="1942"/>
      <c r="AZ2248" s="1942"/>
      <c r="BA2248" s="1942"/>
      <c r="BB2248" s="575"/>
      <c r="BC2248" s="576"/>
      <c r="BD2248" s="678"/>
      <c r="BE2248" s="585"/>
    </row>
    <row r="2249" spans="1:57" s="51" customFormat="1" ht="15" hidden="1" customHeight="1" outlineLevel="1" x14ac:dyDescent="0.25">
      <c r="A2249" s="2060"/>
      <c r="B2249" s="123"/>
      <c r="C2249" s="328"/>
      <c r="D2249" s="3990"/>
      <c r="E2249" s="4009"/>
      <c r="F2249" s="3010" t="str">
        <f>$E$1555</f>
        <v>ASHP-SEER20-Replace_CAC_ElectricHeat_ROF_MF_CompE</v>
      </c>
      <c r="G2249" s="2676"/>
      <c r="H2249" s="2676"/>
      <c r="I2249" s="2677"/>
      <c r="J2249" s="3299" t="str">
        <f>$C$1555</f>
        <v>353501_2019_12_</v>
      </c>
      <c r="K2249" s="2857">
        <v>3.41</v>
      </c>
      <c r="L2249" s="851"/>
      <c r="M2249" s="698" t="s">
        <v>1560</v>
      </c>
      <c r="N2249" s="123"/>
      <c r="O2249" s="228"/>
      <c r="P2249" s="844"/>
      <c r="Q2249" s="844"/>
      <c r="R2249" s="844"/>
      <c r="S2249" s="832"/>
      <c r="T2249" s="3082"/>
      <c r="U2249" s="123"/>
      <c r="V2249" s="3990"/>
      <c r="W2249" s="2857"/>
      <c r="X2249" s="2857"/>
      <c r="Y2249" s="3155">
        <v>3.41</v>
      </c>
      <c r="Z2249" s="2857">
        <v>3.41</v>
      </c>
      <c r="AA2249" s="2857">
        <v>3.41</v>
      </c>
      <c r="AB2249" s="2857">
        <v>3.41</v>
      </c>
      <c r="AC2249" s="2857">
        <v>3.41</v>
      </c>
      <c r="AD2249" s="2857"/>
      <c r="AE2249" s="2857"/>
      <c r="AF2249" s="2857"/>
      <c r="AG2249" s="2857"/>
      <c r="AH2249" s="1942"/>
      <c r="AI2249" s="1942"/>
      <c r="AJ2249" s="1942"/>
      <c r="AK2249" s="1942"/>
      <c r="AL2249" s="1942"/>
      <c r="AM2249" s="1942"/>
      <c r="AN2249" s="1942"/>
      <c r="AO2249" s="1942"/>
      <c r="AP2249" s="1942"/>
      <c r="AQ2249" s="1942"/>
      <c r="AR2249" s="1942"/>
      <c r="AS2249" s="1942"/>
      <c r="AT2249" s="1942"/>
      <c r="AU2249" s="1942"/>
      <c r="AV2249" s="1942"/>
      <c r="AW2249" s="1942"/>
      <c r="AX2249" s="1942"/>
      <c r="AY2249" s="1942"/>
      <c r="AZ2249" s="1942"/>
      <c r="BA2249" s="1942"/>
      <c r="BB2249" s="575"/>
      <c r="BC2249" s="576"/>
      <c r="BD2249" s="678"/>
      <c r="BE2249" s="585"/>
    </row>
    <row r="2250" spans="1:57" s="1942" customFormat="1" ht="15" hidden="1" customHeight="1" outlineLevel="1" x14ac:dyDescent="0.25">
      <c r="A2250" s="2060"/>
      <c r="B2250" s="123"/>
      <c r="C2250" s="328"/>
      <c r="D2250" s="3990"/>
      <c r="E2250" s="4009"/>
      <c r="F2250" s="3010" t="str">
        <f>$E$1557</f>
        <v>ASHP-SEER20-Replace_CAC_NonElectricHeat_ROF_MF</v>
      </c>
      <c r="G2250" s="2676"/>
      <c r="H2250" s="2676"/>
      <c r="I2250" s="2677"/>
      <c r="J2250" s="3298" t="str">
        <f>$C$1557</f>
        <v>353510_2021_12_</v>
      </c>
      <c r="K2250" s="2225">
        <v>0</v>
      </c>
      <c r="L2250" s="851"/>
      <c r="M2250" s="3252" t="s">
        <v>1559</v>
      </c>
      <c r="N2250" s="123"/>
      <c r="O2250" s="228"/>
      <c r="P2250" s="844"/>
      <c r="Q2250" s="844"/>
      <c r="R2250" s="844"/>
      <c r="S2250" s="832"/>
      <c r="T2250" s="3082"/>
      <c r="U2250" s="123"/>
      <c r="V2250" s="3990"/>
      <c r="W2250" s="2857"/>
      <c r="X2250" s="2857"/>
      <c r="Y2250" s="3155"/>
      <c r="Z2250" s="2857"/>
      <c r="AA2250" s="2857"/>
      <c r="AB2250" s="2857"/>
      <c r="AC2250" s="2225">
        <v>0</v>
      </c>
      <c r="AD2250" s="2857"/>
      <c r="AE2250" s="2857"/>
      <c r="AF2250" s="2857"/>
      <c r="AG2250" s="2857"/>
      <c r="BB2250" s="575"/>
      <c r="BC2250" s="576"/>
      <c r="BD2250" s="678"/>
      <c r="BE2250" s="585"/>
    </row>
    <row r="2251" spans="1:57" s="1942" customFormat="1" ht="15" hidden="1" customHeight="1" outlineLevel="1" x14ac:dyDescent="0.25">
      <c r="A2251" s="2060"/>
      <c r="B2251" s="123"/>
      <c r="C2251" s="328"/>
      <c r="D2251" s="3990"/>
      <c r="E2251" s="4009"/>
      <c r="F2251" s="3010" t="str">
        <f>$E$1559</f>
        <v>ASHP-SEER20-Replace_CAC_NonElectricHeat_ROF_MF_CompE</v>
      </c>
      <c r="G2251" s="2676"/>
      <c r="H2251" s="2676"/>
      <c r="I2251" s="2677"/>
      <c r="J2251" s="3298" t="str">
        <f>$C$1559</f>
        <v>353511_2021_12_</v>
      </c>
      <c r="K2251" s="2225">
        <v>0</v>
      </c>
      <c r="L2251" s="851"/>
      <c r="M2251" s="3252" t="s">
        <v>1559</v>
      </c>
      <c r="N2251" s="123"/>
      <c r="O2251" s="228"/>
      <c r="P2251" s="844"/>
      <c r="Q2251" s="844"/>
      <c r="R2251" s="844"/>
      <c r="S2251" s="832"/>
      <c r="T2251" s="3082"/>
      <c r="U2251" s="123"/>
      <c r="V2251" s="3990"/>
      <c r="W2251" s="2857"/>
      <c r="X2251" s="2857"/>
      <c r="Y2251" s="3155"/>
      <c r="Z2251" s="2857"/>
      <c r="AA2251" s="2857"/>
      <c r="AB2251" s="2857"/>
      <c r="AC2251" s="2225">
        <v>0</v>
      </c>
      <c r="AD2251" s="2857"/>
      <c r="AE2251" s="2857"/>
      <c r="AF2251" s="2857"/>
      <c r="AG2251" s="2857"/>
      <c r="BB2251" s="575"/>
      <c r="BC2251" s="576"/>
      <c r="BD2251" s="678"/>
      <c r="BE2251" s="585"/>
    </row>
    <row r="2252" spans="1:57" s="51" customFormat="1" ht="15" hidden="1" customHeight="1" outlineLevel="1" x14ac:dyDescent="0.25">
      <c r="A2252" s="2060"/>
      <c r="B2252" s="123"/>
      <c r="C2252" s="328"/>
      <c r="D2252" s="3990"/>
      <c r="E2252" s="4009"/>
      <c r="F2252" s="3010" t="str">
        <f>$E$1561</f>
        <v>ASHP-SEER21-Replace_CAC_ElectricHeat_ER1_SF</v>
      </c>
      <c r="G2252" s="2676"/>
      <c r="H2252" s="2676"/>
      <c r="I2252" s="2677"/>
      <c r="J2252" s="3298" t="str">
        <f>$C$1561</f>
        <v>353550_2021_12_</v>
      </c>
      <c r="K2252" s="2857">
        <v>3.41</v>
      </c>
      <c r="L2252" s="851"/>
      <c r="M2252" s="698" t="s">
        <v>838</v>
      </c>
      <c r="N2252" s="123"/>
      <c r="O2252" s="228"/>
      <c r="P2252" s="844"/>
      <c r="Q2252" s="845"/>
      <c r="R2252" s="844"/>
      <c r="S2252" s="832"/>
      <c r="T2252" s="3082"/>
      <c r="U2252" s="123"/>
      <c r="V2252" s="3990"/>
      <c r="W2252" s="2857">
        <v>3.41</v>
      </c>
      <c r="X2252" s="2857">
        <v>3.41</v>
      </c>
      <c r="Y2252" s="2857">
        <v>3.41</v>
      </c>
      <c r="Z2252" s="2857">
        <v>3.41</v>
      </c>
      <c r="AA2252" s="2857">
        <v>3.41</v>
      </c>
      <c r="AB2252" s="2857">
        <v>3.41</v>
      </c>
      <c r="AC2252" s="2857">
        <v>3.41</v>
      </c>
      <c r="AD2252" s="2857"/>
      <c r="AE2252" s="2857"/>
      <c r="AF2252" s="2857"/>
      <c r="AG2252" s="2857"/>
      <c r="AH2252" s="1942"/>
      <c r="AI2252" s="1942"/>
      <c r="AJ2252" s="1942"/>
      <c r="AK2252" s="1942"/>
      <c r="AL2252" s="1942"/>
      <c r="AM2252" s="1942"/>
      <c r="AN2252" s="1942"/>
      <c r="AO2252" s="1942"/>
      <c r="AP2252" s="1942"/>
      <c r="AQ2252" s="1942"/>
      <c r="AR2252" s="1942"/>
      <c r="AS2252" s="1942"/>
      <c r="AT2252" s="1942"/>
      <c r="AU2252" s="1942"/>
      <c r="AV2252" s="1942"/>
      <c r="AW2252" s="1942"/>
      <c r="AX2252" s="1942"/>
      <c r="AY2252" s="1942"/>
      <c r="AZ2252" s="1942"/>
      <c r="BA2252" s="1942"/>
      <c r="BB2252" s="575"/>
      <c r="BC2252" s="576"/>
      <c r="BD2252" s="678"/>
      <c r="BE2252" s="585"/>
    </row>
    <row r="2253" spans="1:57" s="51" customFormat="1" ht="15" hidden="1" customHeight="1" outlineLevel="1" x14ac:dyDescent="0.25">
      <c r="A2253" s="2060"/>
      <c r="B2253" s="123"/>
      <c r="C2253" s="328"/>
      <c r="D2253" s="3990"/>
      <c r="E2253" s="4009"/>
      <c r="F2253" s="3010" t="str">
        <f>$E$1563</f>
        <v>ASHP-SEER21-Replace_CAC_ElectricHeat_ER2_SF</v>
      </c>
      <c r="G2253" s="2676"/>
      <c r="H2253" s="2676"/>
      <c r="I2253" s="2677"/>
      <c r="J2253" s="3298" t="str">
        <f>$C$1563</f>
        <v>353550_2021_12_</v>
      </c>
      <c r="K2253" s="2857">
        <v>3.41</v>
      </c>
      <c r="L2253" s="851"/>
      <c r="M2253" s="698" t="s">
        <v>838</v>
      </c>
      <c r="N2253" s="123"/>
      <c r="O2253" s="228"/>
      <c r="P2253" s="844"/>
      <c r="Q2253" s="845"/>
      <c r="R2253" s="844"/>
      <c r="S2253" s="832"/>
      <c r="T2253" s="3082"/>
      <c r="U2253" s="123"/>
      <c r="V2253" s="3990"/>
      <c r="W2253" s="2857">
        <v>3.41</v>
      </c>
      <c r="X2253" s="2857">
        <v>3.41</v>
      </c>
      <c r="Y2253" s="2857">
        <v>3.41</v>
      </c>
      <c r="Z2253" s="2857">
        <v>3.41</v>
      </c>
      <c r="AA2253" s="2857">
        <v>3.41</v>
      </c>
      <c r="AB2253" s="2857">
        <v>3.41</v>
      </c>
      <c r="AC2253" s="2857">
        <v>3.41</v>
      </c>
      <c r="AD2253" s="2857"/>
      <c r="AE2253" s="2857"/>
      <c r="AF2253" s="2857"/>
      <c r="AG2253" s="2857"/>
      <c r="AH2253" s="1942"/>
      <c r="AI2253" s="1942"/>
      <c r="AJ2253" s="1942"/>
      <c r="AK2253" s="1942"/>
      <c r="AL2253" s="1942"/>
      <c r="AM2253" s="1942"/>
      <c r="AN2253" s="1942"/>
      <c r="AO2253" s="1942"/>
      <c r="AP2253" s="1942"/>
      <c r="AQ2253" s="1942"/>
      <c r="AR2253" s="1942"/>
      <c r="AS2253" s="1942"/>
      <c r="AT2253" s="1942"/>
      <c r="AU2253" s="1942"/>
      <c r="AV2253" s="1942"/>
      <c r="AW2253" s="1942"/>
      <c r="AX2253" s="1942"/>
      <c r="AY2253" s="1942"/>
      <c r="AZ2253" s="1942"/>
      <c r="BA2253" s="1942"/>
      <c r="BB2253" s="575"/>
      <c r="BC2253" s="576"/>
      <c r="BD2253" s="678"/>
      <c r="BE2253" s="585"/>
    </row>
    <row r="2254" spans="1:57" s="1942" customFormat="1" ht="15" hidden="1" customHeight="1" outlineLevel="1" x14ac:dyDescent="0.25">
      <c r="A2254" s="2060"/>
      <c r="B2254" s="123"/>
      <c r="C2254" s="328"/>
      <c r="D2254" s="3990"/>
      <c r="E2254" s="4009"/>
      <c r="F2254" s="3010" t="str">
        <f>$E$1565</f>
        <v>ASHP-SEER21-Replace_CAC_NonElectricHeat_ER1_SF</v>
      </c>
      <c r="G2254" s="2676"/>
      <c r="H2254" s="2676"/>
      <c r="I2254" s="2677"/>
      <c r="J2254" s="3298" t="str">
        <f>$C$1565</f>
        <v>353560_2021_12_</v>
      </c>
      <c r="K2254" s="2225">
        <v>0</v>
      </c>
      <c r="L2254" s="851"/>
      <c r="M2254" s="3252" t="s">
        <v>1559</v>
      </c>
      <c r="N2254" s="123"/>
      <c r="O2254" s="228"/>
      <c r="P2254" s="844"/>
      <c r="Q2254" s="845"/>
      <c r="R2254" s="844"/>
      <c r="S2254" s="832"/>
      <c r="T2254" s="3082"/>
      <c r="U2254" s="123"/>
      <c r="V2254" s="3990"/>
      <c r="W2254" s="2857"/>
      <c r="X2254" s="2857"/>
      <c r="Y2254" s="2857"/>
      <c r="Z2254" s="2857"/>
      <c r="AA2254" s="2857"/>
      <c r="AB2254" s="2857"/>
      <c r="AC2254" s="2225">
        <v>0</v>
      </c>
      <c r="AD2254" s="2857"/>
      <c r="AE2254" s="2857"/>
      <c r="AF2254" s="2857"/>
      <c r="AG2254" s="2857"/>
      <c r="BB2254" s="575"/>
      <c r="BC2254" s="576"/>
      <c r="BD2254" s="678"/>
      <c r="BE2254" s="585"/>
    </row>
    <row r="2255" spans="1:57" s="1942" customFormat="1" ht="15" hidden="1" customHeight="1" outlineLevel="1" x14ac:dyDescent="0.25">
      <c r="A2255" s="2060"/>
      <c r="B2255" s="123"/>
      <c r="C2255" s="328"/>
      <c r="D2255" s="3990"/>
      <c r="E2255" s="4009"/>
      <c r="F2255" s="3010" t="str">
        <f>$E$1567</f>
        <v>ASHP-SEER21-Replace_CAC_NonElectricHeat_ER2_SF</v>
      </c>
      <c r="G2255" s="2676"/>
      <c r="H2255" s="2676"/>
      <c r="I2255" s="2677"/>
      <c r="J2255" s="3298" t="str">
        <f>$C$1567</f>
        <v>353560_2021_12_</v>
      </c>
      <c r="K2255" s="2225">
        <v>0</v>
      </c>
      <c r="L2255" s="851"/>
      <c r="M2255" s="3252" t="s">
        <v>1559</v>
      </c>
      <c r="N2255" s="123"/>
      <c r="O2255" s="228"/>
      <c r="P2255" s="844"/>
      <c r="Q2255" s="845"/>
      <c r="R2255" s="844"/>
      <c r="S2255" s="832"/>
      <c r="T2255" s="3082"/>
      <c r="U2255" s="123"/>
      <c r="V2255" s="3990"/>
      <c r="W2255" s="2857"/>
      <c r="X2255" s="2857"/>
      <c r="Y2255" s="2857"/>
      <c r="Z2255" s="2857"/>
      <c r="AA2255" s="2857"/>
      <c r="AB2255" s="2857"/>
      <c r="AC2255" s="2225">
        <v>0</v>
      </c>
      <c r="AD2255" s="2857"/>
      <c r="AE2255" s="2857"/>
      <c r="AF2255" s="2857"/>
      <c r="AG2255" s="2857"/>
      <c r="BB2255" s="575"/>
      <c r="BC2255" s="576"/>
      <c r="BD2255" s="678"/>
      <c r="BE2255" s="585"/>
    </row>
    <row r="2256" spans="1:57" s="51" customFormat="1" ht="15" hidden="1" customHeight="1" outlineLevel="1" x14ac:dyDescent="0.25">
      <c r="A2256" s="2060"/>
      <c r="B2256" s="123"/>
      <c r="C2256" s="328"/>
      <c r="D2256" s="3990"/>
      <c r="E2256" s="4009"/>
      <c r="F2256" s="3010" t="str">
        <f>$E$1569</f>
        <v>ASHP-SEER21-Replace_CAC_ElectricHeat_ER1_MF</v>
      </c>
      <c r="G2256" s="2676"/>
      <c r="H2256" s="2676"/>
      <c r="I2256" s="2677"/>
      <c r="J2256" s="3299" t="str">
        <f>$C$1569</f>
        <v>353600_2019_12_</v>
      </c>
      <c r="K2256" s="2857">
        <v>3.41</v>
      </c>
      <c r="L2256" s="851"/>
      <c r="M2256" s="698" t="s">
        <v>1560</v>
      </c>
      <c r="N2256" s="123"/>
      <c r="O2256" s="228"/>
      <c r="P2256" s="844"/>
      <c r="Q2256" s="845"/>
      <c r="R2256" s="844"/>
      <c r="S2256" s="832"/>
      <c r="T2256" s="3082"/>
      <c r="U2256" s="123"/>
      <c r="V2256" s="3990"/>
      <c r="W2256" s="2857">
        <v>3.41</v>
      </c>
      <c r="X2256" s="2857">
        <v>3.41</v>
      </c>
      <c r="Y2256" s="2857">
        <v>3.41</v>
      </c>
      <c r="Z2256" s="2857">
        <v>3.41</v>
      </c>
      <c r="AA2256" s="2857">
        <v>3.41</v>
      </c>
      <c r="AB2256" s="2857">
        <v>3.41</v>
      </c>
      <c r="AC2256" s="2857">
        <v>3.41</v>
      </c>
      <c r="AD2256" s="2857"/>
      <c r="AE2256" s="2857"/>
      <c r="AF2256" s="2857"/>
      <c r="AG2256" s="2857"/>
      <c r="AH2256" s="1942"/>
      <c r="AI2256" s="1942"/>
      <c r="AJ2256" s="1942"/>
      <c r="AK2256" s="1942"/>
      <c r="AL2256" s="1942"/>
      <c r="AM2256" s="1942"/>
      <c r="AN2256" s="1942"/>
      <c r="AO2256" s="1942"/>
      <c r="AP2256" s="1942"/>
      <c r="AQ2256" s="1942"/>
      <c r="AR2256" s="1942"/>
      <c r="AS2256" s="1942"/>
      <c r="AT2256" s="1942"/>
      <c r="AU2256" s="1942"/>
      <c r="AV2256" s="1942"/>
      <c r="AW2256" s="1942"/>
      <c r="AX2256" s="1942"/>
      <c r="AY2256" s="1942"/>
      <c r="AZ2256" s="1942"/>
      <c r="BA2256" s="1942"/>
      <c r="BB2256" s="575"/>
      <c r="BC2256" s="576"/>
      <c r="BD2256" s="678"/>
      <c r="BE2256" s="585"/>
    </row>
    <row r="2257" spans="1:57" s="51" customFormat="1" ht="15" hidden="1" customHeight="1" outlineLevel="1" x14ac:dyDescent="0.25">
      <c r="A2257" s="2060"/>
      <c r="B2257" s="123"/>
      <c r="C2257" s="328"/>
      <c r="D2257" s="3990"/>
      <c r="E2257" s="4009"/>
      <c r="F2257" s="3010" t="str">
        <f>$E$1571</f>
        <v>ASHP-SEER21-Replace_CAC_ElectricHeat_ER2_MF</v>
      </c>
      <c r="G2257" s="2676"/>
      <c r="H2257" s="2676"/>
      <c r="I2257" s="2677"/>
      <c r="J2257" s="3299" t="str">
        <f>$C$1571</f>
        <v>353600_2019_12_</v>
      </c>
      <c r="K2257" s="2857">
        <v>3.41</v>
      </c>
      <c r="L2257" s="851"/>
      <c r="M2257" s="698" t="s">
        <v>1560</v>
      </c>
      <c r="N2257" s="123"/>
      <c r="O2257" s="228"/>
      <c r="P2257" s="844"/>
      <c r="Q2257" s="845"/>
      <c r="R2257" s="844"/>
      <c r="S2257" s="832"/>
      <c r="T2257" s="3082"/>
      <c r="U2257" s="123"/>
      <c r="V2257" s="3990"/>
      <c r="W2257" s="2857">
        <v>3.41</v>
      </c>
      <c r="X2257" s="2857">
        <v>3.41</v>
      </c>
      <c r="Y2257" s="2857">
        <v>3.41</v>
      </c>
      <c r="Z2257" s="2857">
        <v>3.41</v>
      </c>
      <c r="AA2257" s="2857">
        <v>3.41</v>
      </c>
      <c r="AB2257" s="2857">
        <v>3.41</v>
      </c>
      <c r="AC2257" s="2857">
        <v>3.41</v>
      </c>
      <c r="AD2257" s="2857"/>
      <c r="AE2257" s="2857"/>
      <c r="AF2257" s="2857"/>
      <c r="AG2257" s="2857"/>
      <c r="AH2257" s="1942"/>
      <c r="AI2257" s="1942"/>
      <c r="AJ2257" s="1942"/>
      <c r="AK2257" s="1942"/>
      <c r="AL2257" s="1942"/>
      <c r="AM2257" s="1942"/>
      <c r="AN2257" s="1942"/>
      <c r="AO2257" s="1942"/>
      <c r="AP2257" s="1942"/>
      <c r="AQ2257" s="1942"/>
      <c r="AR2257" s="1942"/>
      <c r="AS2257" s="1942"/>
      <c r="AT2257" s="1942"/>
      <c r="AU2257" s="1942"/>
      <c r="AV2257" s="1942"/>
      <c r="AW2257" s="1942"/>
      <c r="AX2257" s="1942"/>
      <c r="AY2257" s="1942"/>
      <c r="AZ2257" s="1942"/>
      <c r="BA2257" s="1942"/>
      <c r="BB2257" s="575"/>
      <c r="BC2257" s="576"/>
      <c r="BD2257" s="678"/>
      <c r="BE2257" s="585"/>
    </row>
    <row r="2258" spans="1:57" s="51" customFormat="1" ht="15" hidden="1" customHeight="1" outlineLevel="1" x14ac:dyDescent="0.25">
      <c r="A2258" s="2060"/>
      <c r="B2258" s="123"/>
      <c r="C2258" s="328"/>
      <c r="D2258" s="3990"/>
      <c r="E2258" s="4009"/>
      <c r="F2258" s="3010" t="str">
        <f>$E$1573</f>
        <v>ASHP-SEER21-Replace_CAC_ElectricHeat_ER1_MF_CompE</v>
      </c>
      <c r="G2258" s="2676"/>
      <c r="H2258" s="2676"/>
      <c r="I2258" s="2677"/>
      <c r="J2258" s="3299" t="str">
        <f>$C$1573</f>
        <v>353601_2019_12_</v>
      </c>
      <c r="K2258" s="2857">
        <v>3.41</v>
      </c>
      <c r="L2258" s="851"/>
      <c r="M2258" s="698" t="s">
        <v>1560</v>
      </c>
      <c r="N2258" s="123"/>
      <c r="O2258" s="228"/>
      <c r="P2258" s="844"/>
      <c r="Q2258" s="845"/>
      <c r="R2258" s="844"/>
      <c r="S2258" s="832"/>
      <c r="T2258" s="3082"/>
      <c r="U2258" s="123"/>
      <c r="V2258" s="3990"/>
      <c r="W2258" s="2857"/>
      <c r="X2258" s="2857"/>
      <c r="Y2258" s="3155">
        <v>3.41</v>
      </c>
      <c r="Z2258" s="2857">
        <v>3.41</v>
      </c>
      <c r="AA2258" s="2857">
        <v>3.41</v>
      </c>
      <c r="AB2258" s="2857">
        <v>3.41</v>
      </c>
      <c r="AC2258" s="2857">
        <v>3.41</v>
      </c>
      <c r="AD2258" s="2857"/>
      <c r="AE2258" s="2857"/>
      <c r="AF2258" s="2857"/>
      <c r="AG2258" s="2857"/>
      <c r="AH2258" s="1942"/>
      <c r="AI2258" s="1942"/>
      <c r="AJ2258" s="1942"/>
      <c r="AK2258" s="1942"/>
      <c r="AL2258" s="1942"/>
      <c r="AM2258" s="1942"/>
      <c r="AN2258" s="1942"/>
      <c r="AO2258" s="1942"/>
      <c r="AP2258" s="1942"/>
      <c r="AQ2258" s="1942"/>
      <c r="AR2258" s="1942"/>
      <c r="AS2258" s="1942"/>
      <c r="AT2258" s="1942"/>
      <c r="AU2258" s="1942"/>
      <c r="AV2258" s="1942"/>
      <c r="AW2258" s="1942"/>
      <c r="AX2258" s="1942"/>
      <c r="AY2258" s="1942"/>
      <c r="AZ2258" s="1942"/>
      <c r="BA2258" s="1942"/>
      <c r="BB2258" s="575"/>
      <c r="BC2258" s="576"/>
      <c r="BD2258" s="678"/>
      <c r="BE2258" s="585"/>
    </row>
    <row r="2259" spans="1:57" s="51" customFormat="1" ht="15" hidden="1" customHeight="1" outlineLevel="1" x14ac:dyDescent="0.25">
      <c r="A2259" s="2060"/>
      <c r="B2259" s="123"/>
      <c r="C2259" s="328"/>
      <c r="D2259" s="3990"/>
      <c r="E2259" s="4009"/>
      <c r="F2259" s="3010" t="str">
        <f>$E$1575</f>
        <v>ASHP-SEER21-Replace_CAC_ElectricHeat_ER2_MF_CompE</v>
      </c>
      <c r="G2259" s="2676"/>
      <c r="H2259" s="2676"/>
      <c r="I2259" s="2677"/>
      <c r="J2259" s="3299" t="str">
        <f>$C$1575</f>
        <v>353601_2019_12_</v>
      </c>
      <c r="K2259" s="2857">
        <v>3.41</v>
      </c>
      <c r="L2259" s="851"/>
      <c r="M2259" s="698" t="s">
        <v>1560</v>
      </c>
      <c r="N2259" s="123"/>
      <c r="O2259" s="228"/>
      <c r="P2259" s="844"/>
      <c r="Q2259" s="845"/>
      <c r="R2259" s="844"/>
      <c r="S2259" s="832"/>
      <c r="T2259" s="3082"/>
      <c r="U2259" s="123"/>
      <c r="V2259" s="3990"/>
      <c r="W2259" s="2857"/>
      <c r="X2259" s="2857"/>
      <c r="Y2259" s="3155">
        <v>3.41</v>
      </c>
      <c r="Z2259" s="2857">
        <v>3.41</v>
      </c>
      <c r="AA2259" s="2857">
        <v>3.41</v>
      </c>
      <c r="AB2259" s="2857">
        <v>3.41</v>
      </c>
      <c r="AC2259" s="2857">
        <v>3.41</v>
      </c>
      <c r="AD2259" s="2857"/>
      <c r="AE2259" s="2857"/>
      <c r="AF2259" s="2857"/>
      <c r="AG2259" s="2857"/>
      <c r="AH2259" s="1942"/>
      <c r="AI2259" s="1942"/>
      <c r="AJ2259" s="1942"/>
      <c r="AK2259" s="1942"/>
      <c r="AL2259" s="1942"/>
      <c r="AM2259" s="1942"/>
      <c r="AN2259" s="1942"/>
      <c r="AO2259" s="1942"/>
      <c r="AP2259" s="1942"/>
      <c r="AQ2259" s="1942"/>
      <c r="AR2259" s="1942"/>
      <c r="AS2259" s="1942"/>
      <c r="AT2259" s="1942"/>
      <c r="AU2259" s="1942"/>
      <c r="AV2259" s="1942"/>
      <c r="AW2259" s="1942"/>
      <c r="AX2259" s="1942"/>
      <c r="AY2259" s="1942"/>
      <c r="AZ2259" s="1942"/>
      <c r="BA2259" s="1942"/>
      <c r="BB2259" s="575"/>
      <c r="BC2259" s="576"/>
      <c r="BD2259" s="678"/>
      <c r="BE2259" s="585"/>
    </row>
    <row r="2260" spans="1:57" s="1942" customFormat="1" ht="15" hidden="1" customHeight="1" outlineLevel="1" x14ac:dyDescent="0.25">
      <c r="A2260" s="2060"/>
      <c r="B2260" s="123"/>
      <c r="C2260" s="328"/>
      <c r="D2260" s="3990"/>
      <c r="E2260" s="4009"/>
      <c r="F2260" s="3010" t="str">
        <f>$E$1577</f>
        <v>ASHP-SEER21-Replace_CAC_NonElectricHeat_ER1_MF</v>
      </c>
      <c r="G2260" s="2676"/>
      <c r="H2260" s="2676"/>
      <c r="I2260" s="2677"/>
      <c r="J2260" s="3298" t="str">
        <f>$C$1577</f>
        <v>353610_2021_12_</v>
      </c>
      <c r="K2260" s="2225">
        <v>0</v>
      </c>
      <c r="L2260" s="851"/>
      <c r="M2260" s="3252" t="s">
        <v>1559</v>
      </c>
      <c r="N2260" s="123"/>
      <c r="O2260" s="228"/>
      <c r="P2260" s="844"/>
      <c r="Q2260" s="845"/>
      <c r="R2260" s="844"/>
      <c r="S2260" s="832"/>
      <c r="T2260" s="3082"/>
      <c r="U2260" s="123"/>
      <c r="V2260" s="3990"/>
      <c r="W2260" s="2857"/>
      <c r="X2260" s="2857"/>
      <c r="Y2260" s="3155"/>
      <c r="Z2260" s="2857"/>
      <c r="AA2260" s="2857"/>
      <c r="AB2260" s="2857"/>
      <c r="AC2260" s="2225">
        <v>0</v>
      </c>
      <c r="AD2260" s="2857"/>
      <c r="AE2260" s="2857"/>
      <c r="AF2260" s="2857"/>
      <c r="AG2260" s="2857"/>
      <c r="BB2260" s="575"/>
      <c r="BC2260" s="576"/>
      <c r="BD2260" s="678"/>
      <c r="BE2260" s="585"/>
    </row>
    <row r="2261" spans="1:57" s="1942" customFormat="1" ht="15" hidden="1" customHeight="1" outlineLevel="1" x14ac:dyDescent="0.25">
      <c r="A2261" s="2060"/>
      <c r="B2261" s="123"/>
      <c r="C2261" s="328"/>
      <c r="D2261" s="3990"/>
      <c r="E2261" s="4009"/>
      <c r="F2261" s="3010" t="str">
        <f>$E$1579</f>
        <v>ASHP-SEER21-Replace_CAC_NonElectricHeat_ER2_MF</v>
      </c>
      <c r="G2261" s="2676"/>
      <c r="H2261" s="2676"/>
      <c r="I2261" s="2677"/>
      <c r="J2261" s="3298" t="str">
        <f>$C$1579</f>
        <v>353610_2021_12_</v>
      </c>
      <c r="K2261" s="2225">
        <v>0</v>
      </c>
      <c r="L2261" s="851"/>
      <c r="M2261" s="3252" t="s">
        <v>1559</v>
      </c>
      <c r="N2261" s="123"/>
      <c r="O2261" s="228"/>
      <c r="P2261" s="844"/>
      <c r="Q2261" s="845"/>
      <c r="R2261" s="844"/>
      <c r="S2261" s="832"/>
      <c r="T2261" s="3082"/>
      <c r="U2261" s="123"/>
      <c r="V2261" s="3990"/>
      <c r="W2261" s="2857"/>
      <c r="X2261" s="2857"/>
      <c r="Y2261" s="3155"/>
      <c r="Z2261" s="2857"/>
      <c r="AA2261" s="2857"/>
      <c r="AB2261" s="2857"/>
      <c r="AC2261" s="2225">
        <v>0</v>
      </c>
      <c r="AD2261" s="2857"/>
      <c r="AE2261" s="2857"/>
      <c r="AF2261" s="2857"/>
      <c r="AG2261" s="2857"/>
      <c r="BB2261" s="575"/>
      <c r="BC2261" s="576"/>
      <c r="BD2261" s="678"/>
      <c r="BE2261" s="585"/>
    </row>
    <row r="2262" spans="1:57" s="1942" customFormat="1" ht="15" hidden="1" customHeight="1" outlineLevel="1" x14ac:dyDescent="0.25">
      <c r="A2262" s="2060"/>
      <c r="B2262" s="123"/>
      <c r="C2262" s="328"/>
      <c r="D2262" s="3990"/>
      <c r="E2262" s="4009"/>
      <c r="F2262" s="3010" t="str">
        <f>$E$1581</f>
        <v>ASHP-SEER21-Replace_CAC_NonElectricHeat_ER1_MF_CompE</v>
      </c>
      <c r="G2262" s="2676"/>
      <c r="H2262" s="2676"/>
      <c r="I2262" s="2677"/>
      <c r="J2262" s="3298" t="str">
        <f>$C$1581</f>
        <v>353611_2021_12_</v>
      </c>
      <c r="K2262" s="2225">
        <v>0</v>
      </c>
      <c r="L2262" s="851"/>
      <c r="M2262" s="3252" t="s">
        <v>1559</v>
      </c>
      <c r="N2262" s="123"/>
      <c r="O2262" s="228"/>
      <c r="P2262" s="844"/>
      <c r="Q2262" s="845"/>
      <c r="R2262" s="844"/>
      <c r="S2262" s="832"/>
      <c r="T2262" s="3082"/>
      <c r="U2262" s="123"/>
      <c r="V2262" s="3990"/>
      <c r="W2262" s="2857"/>
      <c r="X2262" s="2857"/>
      <c r="Y2262" s="3155"/>
      <c r="Z2262" s="2857"/>
      <c r="AA2262" s="2857"/>
      <c r="AB2262" s="2857"/>
      <c r="AC2262" s="2225">
        <v>0</v>
      </c>
      <c r="AD2262" s="2857"/>
      <c r="AE2262" s="2857"/>
      <c r="AF2262" s="2857"/>
      <c r="AG2262" s="2857"/>
      <c r="BB2262" s="575"/>
      <c r="BC2262" s="576"/>
      <c r="BD2262" s="678"/>
      <c r="BE2262" s="585"/>
    </row>
    <row r="2263" spans="1:57" s="1942" customFormat="1" ht="15" hidden="1" customHeight="1" outlineLevel="1" x14ac:dyDescent="0.25">
      <c r="A2263" s="2060"/>
      <c r="B2263" s="123"/>
      <c r="C2263" s="328"/>
      <c r="D2263" s="3990"/>
      <c r="E2263" s="4009"/>
      <c r="F2263" s="3010" t="str">
        <f>$E$1583</f>
        <v>ASHP-SEER21-Replace_CAC_NonElectricHeat_ER2_MF_CompE</v>
      </c>
      <c r="G2263" s="2676"/>
      <c r="H2263" s="2676"/>
      <c r="I2263" s="2677"/>
      <c r="J2263" s="3298" t="str">
        <f>$C$1583</f>
        <v>353611_2021_12_</v>
      </c>
      <c r="K2263" s="2225">
        <v>0</v>
      </c>
      <c r="L2263" s="851"/>
      <c r="M2263" s="3252" t="s">
        <v>1559</v>
      </c>
      <c r="N2263" s="123"/>
      <c r="O2263" s="228"/>
      <c r="P2263" s="844"/>
      <c r="Q2263" s="845"/>
      <c r="R2263" s="844"/>
      <c r="S2263" s="832"/>
      <c r="T2263" s="3082"/>
      <c r="U2263" s="123"/>
      <c r="V2263" s="3990"/>
      <c r="W2263" s="2857"/>
      <c r="X2263" s="2857"/>
      <c r="Y2263" s="3155"/>
      <c r="Z2263" s="2857"/>
      <c r="AA2263" s="2857"/>
      <c r="AB2263" s="2857"/>
      <c r="AC2263" s="2225">
        <v>0</v>
      </c>
      <c r="AD2263" s="2857"/>
      <c r="AE2263" s="2857"/>
      <c r="AF2263" s="2857"/>
      <c r="AG2263" s="2857"/>
      <c r="BB2263" s="575"/>
      <c r="BC2263" s="576"/>
      <c r="BD2263" s="678"/>
      <c r="BE2263" s="585"/>
    </row>
    <row r="2264" spans="1:57" s="51" customFormat="1" ht="15" hidden="1" customHeight="1" outlineLevel="1" x14ac:dyDescent="0.25">
      <c r="A2264" s="2060"/>
      <c r="B2264" s="123"/>
      <c r="C2264" s="328"/>
      <c r="D2264" s="3990"/>
      <c r="E2264" s="4009"/>
      <c r="F2264" s="3010" t="str">
        <f>$E$1585</f>
        <v>ASHP-SEER21-Replace_CAC_ElectricHeat_ROF_SF</v>
      </c>
      <c r="G2264" s="2676"/>
      <c r="H2264" s="2676"/>
      <c r="I2264" s="2677"/>
      <c r="J2264" s="3298" t="str">
        <f>$C$1585</f>
        <v>353650_2021_12_</v>
      </c>
      <c r="K2264" s="2857">
        <v>3.41</v>
      </c>
      <c r="L2264" s="851"/>
      <c r="M2264" s="698" t="s">
        <v>838</v>
      </c>
      <c r="N2264" s="123"/>
      <c r="O2264" s="228"/>
      <c r="P2264" s="844"/>
      <c r="Q2264" s="845"/>
      <c r="R2264" s="844"/>
      <c r="S2264" s="832"/>
      <c r="T2264" s="3082"/>
      <c r="U2264" s="123"/>
      <c r="V2264" s="3990"/>
      <c r="W2264" s="2857">
        <v>3.41</v>
      </c>
      <c r="X2264" s="2857">
        <v>3.41</v>
      </c>
      <c r="Y2264" s="2857">
        <v>3.41</v>
      </c>
      <c r="Z2264" s="2857">
        <v>3.41</v>
      </c>
      <c r="AA2264" s="2857">
        <v>3.41</v>
      </c>
      <c r="AB2264" s="2857">
        <v>3.41</v>
      </c>
      <c r="AC2264" s="2857">
        <v>3.41</v>
      </c>
      <c r="AD2264" s="2857"/>
      <c r="AE2264" s="2857"/>
      <c r="AF2264" s="2857"/>
      <c r="AG2264" s="2857"/>
      <c r="AH2264" s="1942"/>
      <c r="AI2264" s="1942"/>
      <c r="AJ2264" s="1942"/>
      <c r="AK2264" s="1942"/>
      <c r="AL2264" s="1942"/>
      <c r="AM2264" s="1942"/>
      <c r="AN2264" s="1942"/>
      <c r="AO2264" s="1942"/>
      <c r="AP2264" s="1942"/>
      <c r="AQ2264" s="1942"/>
      <c r="AR2264" s="1942"/>
      <c r="AS2264" s="1942"/>
      <c r="AT2264" s="1942"/>
      <c r="AU2264" s="1942"/>
      <c r="AV2264" s="1942"/>
      <c r="AW2264" s="1942"/>
      <c r="AX2264" s="1942"/>
      <c r="AY2264" s="1942"/>
      <c r="AZ2264" s="1942"/>
      <c r="BA2264" s="1942"/>
      <c r="BB2264" s="575"/>
      <c r="BC2264" s="576"/>
      <c r="BD2264" s="678"/>
      <c r="BE2264" s="585"/>
    </row>
    <row r="2265" spans="1:57" s="51" customFormat="1" ht="15" hidden="1" customHeight="1" outlineLevel="1" x14ac:dyDescent="0.25">
      <c r="A2265" s="2060"/>
      <c r="B2265" s="123"/>
      <c r="C2265" s="328"/>
      <c r="D2265" s="3990"/>
      <c r="E2265" s="4009"/>
      <c r="F2265" s="3010" t="str">
        <f>$E$1587</f>
        <v>ASHP-SEER21+-Replace_CAC_ElectricHeat_ROF_MF</v>
      </c>
      <c r="G2265" s="2676"/>
      <c r="H2265" s="2676"/>
      <c r="I2265" s="2677"/>
      <c r="J2265" s="3299" t="str">
        <f>$C$1587</f>
        <v>353700_2019_12_</v>
      </c>
      <c r="K2265" s="2857">
        <v>3.41</v>
      </c>
      <c r="L2265" s="851"/>
      <c r="M2265" s="698" t="s">
        <v>1560</v>
      </c>
      <c r="N2265" s="123"/>
      <c r="O2265" s="228"/>
      <c r="P2265" s="844"/>
      <c r="Q2265" s="845"/>
      <c r="R2265" s="844"/>
      <c r="S2265" s="832"/>
      <c r="T2265" s="3082"/>
      <c r="U2265" s="123"/>
      <c r="V2265" s="3990"/>
      <c r="W2265" s="2857">
        <v>3.41</v>
      </c>
      <c r="X2265" s="2857">
        <v>3.41</v>
      </c>
      <c r="Y2265" s="2857">
        <v>3.41</v>
      </c>
      <c r="Z2265" s="2857">
        <v>3.41</v>
      </c>
      <c r="AA2265" s="2857">
        <v>3.41</v>
      </c>
      <c r="AB2265" s="2857">
        <v>3.41</v>
      </c>
      <c r="AC2265" s="2857">
        <v>3.41</v>
      </c>
      <c r="AD2265" s="2857"/>
      <c r="AE2265" s="2857"/>
      <c r="AF2265" s="2857"/>
      <c r="AG2265" s="2857"/>
      <c r="AH2265" s="1942"/>
      <c r="AI2265" s="1942"/>
      <c r="AJ2265" s="1942"/>
      <c r="AK2265" s="1942"/>
      <c r="AL2265" s="1942"/>
      <c r="AM2265" s="1942"/>
      <c r="AN2265" s="1942"/>
      <c r="AO2265" s="1942"/>
      <c r="AP2265" s="1942"/>
      <c r="AQ2265" s="1942"/>
      <c r="AR2265" s="1942"/>
      <c r="AS2265" s="1942"/>
      <c r="AT2265" s="1942"/>
      <c r="AU2265" s="1942"/>
      <c r="AV2265" s="1942"/>
      <c r="AW2265" s="1942"/>
      <c r="AX2265" s="1942"/>
      <c r="AY2265" s="1942"/>
      <c r="AZ2265" s="1942"/>
      <c r="BA2265" s="1942"/>
      <c r="BB2265" s="575"/>
      <c r="BC2265" s="576"/>
      <c r="BD2265" s="678"/>
      <c r="BE2265" s="585"/>
    </row>
    <row r="2266" spans="1:57" s="51" customFormat="1" ht="15" hidden="1" customHeight="1" outlineLevel="1" x14ac:dyDescent="0.25">
      <c r="A2266" s="2060"/>
      <c r="B2266" s="123"/>
      <c r="C2266" s="328"/>
      <c r="D2266" s="3990"/>
      <c r="E2266" s="4009"/>
      <c r="F2266" s="3010" t="str">
        <f>$E$1589</f>
        <v>ASHP-SEER21+-Replace_CAC_ElectricHeat_ROF_MF_CompE</v>
      </c>
      <c r="G2266" s="2676"/>
      <c r="H2266" s="2676"/>
      <c r="I2266" s="2677"/>
      <c r="J2266" s="3299" t="str">
        <f>$C$1589</f>
        <v>353701_2019_12_</v>
      </c>
      <c r="K2266" s="2857">
        <v>3.41</v>
      </c>
      <c r="L2266" s="851"/>
      <c r="M2266" s="698" t="s">
        <v>1560</v>
      </c>
      <c r="N2266" s="123"/>
      <c r="O2266" s="228"/>
      <c r="P2266" s="844"/>
      <c r="Q2266" s="845"/>
      <c r="R2266" s="844"/>
      <c r="S2266" s="832"/>
      <c r="T2266" s="3082"/>
      <c r="U2266" s="123"/>
      <c r="V2266" s="3990"/>
      <c r="W2266" s="2857"/>
      <c r="X2266" s="2857"/>
      <c r="Y2266" s="3155">
        <v>3.41</v>
      </c>
      <c r="Z2266" s="2857">
        <v>3.41</v>
      </c>
      <c r="AA2266" s="2857">
        <v>3.41</v>
      </c>
      <c r="AB2266" s="2857">
        <v>3.41</v>
      </c>
      <c r="AC2266" s="2857">
        <v>3.41</v>
      </c>
      <c r="AD2266" s="2857"/>
      <c r="AE2266" s="2857"/>
      <c r="AF2266" s="2857"/>
      <c r="AG2266" s="2857"/>
      <c r="AH2266" s="1942"/>
      <c r="AI2266" s="1942"/>
      <c r="AJ2266" s="1942"/>
      <c r="AK2266" s="1942"/>
      <c r="AL2266" s="1942"/>
      <c r="AM2266" s="1942"/>
      <c r="AN2266" s="1942"/>
      <c r="AO2266" s="1942"/>
      <c r="AP2266" s="1942"/>
      <c r="AQ2266" s="1942"/>
      <c r="AR2266" s="1942"/>
      <c r="AS2266" s="1942"/>
      <c r="AT2266" s="1942"/>
      <c r="AU2266" s="1942"/>
      <c r="AV2266" s="1942"/>
      <c r="AW2266" s="1942"/>
      <c r="AX2266" s="1942"/>
      <c r="AY2266" s="1942"/>
      <c r="AZ2266" s="1942"/>
      <c r="BA2266" s="1942"/>
      <c r="BB2266" s="575"/>
      <c r="BC2266" s="576"/>
      <c r="BD2266" s="678"/>
      <c r="BE2266" s="585"/>
    </row>
    <row r="2267" spans="1:57" s="1942" customFormat="1" ht="15" hidden="1" customHeight="1" outlineLevel="1" x14ac:dyDescent="0.25">
      <c r="A2267" s="2060"/>
      <c r="B2267" s="123"/>
      <c r="C2267" s="328"/>
      <c r="D2267" s="3990"/>
      <c r="E2267" s="4009"/>
      <c r="F2267" s="3010" t="str">
        <f>$E$1591</f>
        <v>ASHP-SEER21+-Replace_CAC_NonElectricHeat_ROF_MF</v>
      </c>
      <c r="G2267" s="2676"/>
      <c r="H2267" s="2676"/>
      <c r="I2267" s="2677"/>
      <c r="J2267" s="3298" t="str">
        <f>$C$1591</f>
        <v>353710_2021_12_</v>
      </c>
      <c r="K2267" s="2225">
        <v>0</v>
      </c>
      <c r="L2267" s="851"/>
      <c r="M2267" s="3252" t="s">
        <v>1559</v>
      </c>
      <c r="N2267" s="123"/>
      <c r="O2267" s="228"/>
      <c r="P2267" s="844"/>
      <c r="Q2267" s="845"/>
      <c r="R2267" s="844"/>
      <c r="S2267" s="832"/>
      <c r="T2267" s="3082"/>
      <c r="U2267" s="123"/>
      <c r="V2267" s="3990"/>
      <c r="W2267" s="2857"/>
      <c r="X2267" s="2857"/>
      <c r="Y2267" s="3155"/>
      <c r="Z2267" s="2857"/>
      <c r="AA2267" s="2857"/>
      <c r="AB2267" s="2857"/>
      <c r="AC2267" s="2225">
        <v>0</v>
      </c>
      <c r="AD2267" s="2857"/>
      <c r="AE2267" s="2857"/>
      <c r="AF2267" s="2857"/>
      <c r="AG2267" s="2857"/>
      <c r="BB2267" s="575"/>
      <c r="BC2267" s="576"/>
      <c r="BD2267" s="678"/>
      <c r="BE2267" s="585"/>
    </row>
    <row r="2268" spans="1:57" s="1942" customFormat="1" ht="15" hidden="1" customHeight="1" outlineLevel="1" x14ac:dyDescent="0.25">
      <c r="A2268" s="2060"/>
      <c r="B2268" s="123"/>
      <c r="C2268" s="328"/>
      <c r="D2268" s="3990"/>
      <c r="E2268" s="4009"/>
      <c r="F2268" s="3010" t="str">
        <f>$E$1593</f>
        <v>ASHP-SEER21+-Replace_CAC_NonElectricHeat_ROF_MF_CompE</v>
      </c>
      <c r="G2268" s="2676"/>
      <c r="H2268" s="2676"/>
      <c r="I2268" s="2677"/>
      <c r="J2268" s="3298" t="str">
        <f>$C$1593</f>
        <v>353711_2021_12_</v>
      </c>
      <c r="K2268" s="2225">
        <v>0</v>
      </c>
      <c r="L2268" s="851"/>
      <c r="M2268" s="3252" t="s">
        <v>1559</v>
      </c>
      <c r="N2268" s="123"/>
      <c r="O2268" s="228"/>
      <c r="P2268" s="844"/>
      <c r="Q2268" s="845"/>
      <c r="R2268" s="844"/>
      <c r="S2268" s="832"/>
      <c r="T2268" s="3082"/>
      <c r="U2268" s="123"/>
      <c r="V2268" s="3990"/>
      <c r="W2268" s="2857"/>
      <c r="X2268" s="2857"/>
      <c r="Y2268" s="3155"/>
      <c r="Z2268" s="2857"/>
      <c r="AA2268" s="2857"/>
      <c r="AB2268" s="2857"/>
      <c r="AC2268" s="2225">
        <v>0</v>
      </c>
      <c r="AD2268" s="2857"/>
      <c r="AE2268" s="2857"/>
      <c r="AF2268" s="2857"/>
      <c r="AG2268" s="2857"/>
      <c r="BB2268" s="575"/>
      <c r="BC2268" s="576"/>
      <c r="BD2268" s="678"/>
      <c r="BE2268" s="585"/>
    </row>
    <row r="2269" spans="1:57" s="51" customFormat="1" ht="15" hidden="1" customHeight="1" outlineLevel="1" x14ac:dyDescent="0.25">
      <c r="A2269" s="1267"/>
      <c r="B2269" s="123"/>
      <c r="C2269" s="328"/>
      <c r="D2269" s="3990"/>
      <c r="E2269" s="4009"/>
      <c r="F2269" s="3010" t="str">
        <f>$E$1595</f>
        <v>ASHP-SEER17_ER1_SF</v>
      </c>
      <c r="G2269" s="2676"/>
      <c r="H2269" s="2676"/>
      <c r="I2269" s="2677"/>
      <c r="J2269" s="3298" t="str">
        <f>$C$1595</f>
        <v>353750_2021_12_</v>
      </c>
      <c r="K2269" s="2857">
        <v>6.58</v>
      </c>
      <c r="L2269" s="851"/>
      <c r="M2269" s="698" t="s">
        <v>838</v>
      </c>
      <c r="N2269" s="123"/>
      <c r="O2269" s="228"/>
      <c r="P2269" s="228"/>
      <c r="Q2269" s="228"/>
      <c r="R2269" s="228"/>
      <c r="S2269" s="123"/>
      <c r="T2269" s="123"/>
      <c r="U2269" s="123"/>
      <c r="V2269" s="3990"/>
      <c r="W2269" s="2857">
        <v>5.44</v>
      </c>
      <c r="X2269" s="3155">
        <v>6.58</v>
      </c>
      <c r="Y2269" s="2857">
        <v>6.58</v>
      </c>
      <c r="Z2269" s="2857">
        <v>6.58</v>
      </c>
      <c r="AA2269" s="2857">
        <v>6.58</v>
      </c>
      <c r="AB2269" s="2857">
        <v>6.58</v>
      </c>
      <c r="AC2269" s="2857">
        <v>6.58</v>
      </c>
      <c r="AD2269" s="2857"/>
      <c r="AE2269" s="2857"/>
      <c r="AF2269" s="2857"/>
      <c r="AG2269" s="2857"/>
      <c r="AH2269" s="1942"/>
      <c r="AI2269" s="1942"/>
      <c r="AJ2269" s="1942"/>
      <c r="AK2269" s="1942"/>
      <c r="AL2269" s="1942"/>
      <c r="AM2269" s="1942"/>
      <c r="AN2269" s="1942"/>
      <c r="AO2269" s="1942"/>
      <c r="AP2269" s="1942"/>
      <c r="AQ2269" s="1942"/>
      <c r="AR2269" s="1942"/>
      <c r="AS2269" s="1942"/>
      <c r="AT2269" s="1942"/>
      <c r="AU2269" s="1942"/>
      <c r="AV2269" s="1942"/>
      <c r="AW2269" s="1942"/>
      <c r="AX2269" s="1942"/>
      <c r="AY2269" s="1942"/>
      <c r="AZ2269" s="1942"/>
      <c r="BA2269" s="1942"/>
      <c r="BB2269" s="575"/>
      <c r="BC2269" s="576"/>
      <c r="BD2269" s="678"/>
      <c r="BE2269" s="585"/>
    </row>
    <row r="2270" spans="1:57" s="51" customFormat="1" ht="15" hidden="1" customHeight="1" outlineLevel="1" x14ac:dyDescent="0.25">
      <c r="A2270" s="2060"/>
      <c r="B2270" s="123"/>
      <c r="C2270" s="328"/>
      <c r="D2270" s="3990"/>
      <c r="E2270" s="4009"/>
      <c r="F2270" s="3010" t="str">
        <f>$E$1597</f>
        <v>ASHP-SEER17_ER2_SF</v>
      </c>
      <c r="G2270" s="2676"/>
      <c r="H2270" s="2676"/>
      <c r="I2270" s="2677"/>
      <c r="J2270" s="3298" t="str">
        <f>$C$1597</f>
        <v>353750_2021_12_</v>
      </c>
      <c r="K2270" s="2857">
        <v>8.1999999999999993</v>
      </c>
      <c r="L2270" s="851"/>
      <c r="M2270" s="698" t="s">
        <v>838</v>
      </c>
      <c r="N2270" s="123"/>
      <c r="O2270" s="228"/>
      <c r="P2270" s="844"/>
      <c r="Q2270" s="845"/>
      <c r="R2270" s="844"/>
      <c r="S2270" s="832"/>
      <c r="T2270" s="3082"/>
      <c r="U2270" s="123"/>
      <c r="V2270" s="3990"/>
      <c r="W2270" s="2857">
        <v>8.1999999999999993</v>
      </c>
      <c r="X2270" s="2857">
        <v>8.1999999999999993</v>
      </c>
      <c r="Y2270" s="2857">
        <v>8.1999999999999993</v>
      </c>
      <c r="Z2270" s="2857">
        <v>8.1999999999999993</v>
      </c>
      <c r="AA2270" s="2857">
        <v>8.1999999999999993</v>
      </c>
      <c r="AB2270" s="2857">
        <v>8.1999999999999993</v>
      </c>
      <c r="AC2270" s="2857">
        <v>8.1999999999999993</v>
      </c>
      <c r="AD2270" s="2857"/>
      <c r="AE2270" s="2857"/>
      <c r="AF2270" s="2857"/>
      <c r="AG2270" s="2857"/>
      <c r="AH2270" s="1942"/>
      <c r="AI2270" s="1942"/>
      <c r="AJ2270" s="1942"/>
      <c r="AK2270" s="1942"/>
      <c r="AL2270" s="1942"/>
      <c r="AM2270" s="1942"/>
      <c r="AN2270" s="1942"/>
      <c r="AO2270" s="1942"/>
      <c r="AP2270" s="1942"/>
      <c r="AQ2270" s="1942"/>
      <c r="AR2270" s="1942"/>
      <c r="AS2270" s="1942"/>
      <c r="AT2270" s="1942"/>
      <c r="AU2270" s="1942"/>
      <c r="AV2270" s="1942"/>
      <c r="AW2270" s="1942"/>
      <c r="AX2270" s="1942"/>
      <c r="AY2270" s="1942"/>
      <c r="AZ2270" s="1942"/>
      <c r="BA2270" s="1942"/>
      <c r="BB2270" s="575"/>
      <c r="BC2270" s="576"/>
      <c r="BD2270" s="678"/>
      <c r="BE2270" s="585"/>
    </row>
    <row r="2271" spans="1:57" s="51" customFormat="1" ht="15" hidden="1" customHeight="1" outlineLevel="1" x14ac:dyDescent="0.25">
      <c r="A2271" s="1267"/>
      <c r="B2271" s="123"/>
      <c r="C2271" s="328"/>
      <c r="D2271" s="3990"/>
      <c r="E2271" s="4009"/>
      <c r="F2271" s="3010" t="str">
        <f>$E$1599</f>
        <v>ASHP-SEER17_ROF_SF</v>
      </c>
      <c r="G2271" s="2676"/>
      <c r="H2271" s="2676"/>
      <c r="I2271" s="2677"/>
      <c r="J2271" s="3298" t="str">
        <f>$C$1599</f>
        <v>353800_2021_12_</v>
      </c>
      <c r="K2271" s="2857">
        <v>8.1999999999999993</v>
      </c>
      <c r="L2271" s="851"/>
      <c r="M2271" s="698" t="s">
        <v>838</v>
      </c>
      <c r="N2271" s="123"/>
      <c r="O2271" s="228"/>
      <c r="P2271" s="228"/>
      <c r="Q2271" s="228"/>
      <c r="R2271" s="228"/>
      <c r="S2271" s="123"/>
      <c r="T2271" s="123"/>
      <c r="U2271" s="123"/>
      <c r="V2271" s="3990"/>
      <c r="W2271" s="2857">
        <v>8.1999999999999993</v>
      </c>
      <c r="X2271" s="2857">
        <v>8.1999999999999993</v>
      </c>
      <c r="Y2271" s="2857">
        <v>8.1999999999999993</v>
      </c>
      <c r="Z2271" s="2857">
        <v>8.1999999999999993</v>
      </c>
      <c r="AA2271" s="2857">
        <v>8.1999999999999993</v>
      </c>
      <c r="AB2271" s="2857">
        <v>8.1999999999999993</v>
      </c>
      <c r="AC2271" s="2857">
        <v>8.1999999999999993</v>
      </c>
      <c r="AD2271" s="2857"/>
      <c r="AE2271" s="2857"/>
      <c r="AF2271" s="2857"/>
      <c r="AG2271" s="2857"/>
      <c r="AH2271" s="1942"/>
      <c r="AI2271" s="1942"/>
      <c r="AJ2271" s="1942"/>
      <c r="AK2271" s="1942"/>
      <c r="AL2271" s="1942"/>
      <c r="AM2271" s="1942"/>
      <c r="AN2271" s="1942"/>
      <c r="AO2271" s="1942"/>
      <c r="AP2271" s="1942"/>
      <c r="AQ2271" s="1942"/>
      <c r="AR2271" s="1942"/>
      <c r="AS2271" s="1942"/>
      <c r="AT2271" s="1942"/>
      <c r="AU2271" s="1942"/>
      <c r="AV2271" s="1942"/>
      <c r="AW2271" s="1942"/>
      <c r="AX2271" s="1942"/>
      <c r="AY2271" s="1942"/>
      <c r="AZ2271" s="1942"/>
      <c r="BA2271" s="1942"/>
      <c r="BB2271" s="575"/>
      <c r="BC2271" s="576"/>
      <c r="BD2271" s="678"/>
      <c r="BE2271" s="585"/>
    </row>
    <row r="2272" spans="1:57" s="51" customFormat="1" ht="15" hidden="1" customHeight="1" outlineLevel="1" x14ac:dyDescent="0.25">
      <c r="A2272" s="2060"/>
      <c r="B2272" s="123"/>
      <c r="C2272" s="328"/>
      <c r="D2272" s="3990"/>
      <c r="E2272" s="4009"/>
      <c r="F2272" s="3010" t="str">
        <f>$E$1601</f>
        <v>ASHP-SEER18_ER1_SF</v>
      </c>
      <c r="G2272" s="2676"/>
      <c r="H2272" s="2676"/>
      <c r="I2272" s="2677"/>
      <c r="J2272" s="3298" t="str">
        <f>$C$1601</f>
        <v>353850_2021_12_</v>
      </c>
      <c r="K2272" s="2857">
        <v>6.58</v>
      </c>
      <c r="L2272" s="851"/>
      <c r="M2272" s="698" t="s">
        <v>838</v>
      </c>
      <c r="N2272" s="123"/>
      <c r="O2272" s="228"/>
      <c r="P2272" s="844"/>
      <c r="Q2272" s="845"/>
      <c r="R2272" s="844"/>
      <c r="S2272" s="832"/>
      <c r="T2272" s="3082"/>
      <c r="U2272" s="123"/>
      <c r="V2272" s="3990"/>
      <c r="W2272" s="2857">
        <v>5.44</v>
      </c>
      <c r="X2272" s="3155">
        <v>6.58</v>
      </c>
      <c r="Y2272" s="2857">
        <v>6.58</v>
      </c>
      <c r="Z2272" s="2857">
        <v>6.58</v>
      </c>
      <c r="AA2272" s="2857">
        <v>6.58</v>
      </c>
      <c r="AB2272" s="2857">
        <v>6.58</v>
      </c>
      <c r="AC2272" s="2857">
        <v>6.58</v>
      </c>
      <c r="AD2272" s="2857"/>
      <c r="AE2272" s="2857"/>
      <c r="AF2272" s="2857"/>
      <c r="AG2272" s="2857"/>
      <c r="AH2272" s="1942"/>
      <c r="AI2272" s="1942"/>
      <c r="AJ2272" s="1942"/>
      <c r="AK2272" s="1942"/>
      <c r="AL2272" s="1942"/>
      <c r="AM2272" s="1942"/>
      <c r="AN2272" s="1942"/>
      <c r="AO2272" s="1942"/>
      <c r="AP2272" s="1942"/>
      <c r="AQ2272" s="1942"/>
      <c r="AR2272" s="1942"/>
      <c r="AS2272" s="1942"/>
      <c r="AT2272" s="1942"/>
      <c r="AU2272" s="1942"/>
      <c r="AV2272" s="1942"/>
      <c r="AW2272" s="1942"/>
      <c r="AX2272" s="1942"/>
      <c r="AY2272" s="1942"/>
      <c r="AZ2272" s="1942"/>
      <c r="BA2272" s="1942"/>
      <c r="BB2272" s="575"/>
      <c r="BC2272" s="576"/>
      <c r="BD2272" s="678"/>
      <c r="BE2272" s="585"/>
    </row>
    <row r="2273" spans="1:57" s="51" customFormat="1" ht="15" hidden="1" customHeight="1" outlineLevel="1" x14ac:dyDescent="0.25">
      <c r="A2273" s="1267"/>
      <c r="B2273" s="123"/>
      <c r="C2273" s="328"/>
      <c r="D2273" s="3990"/>
      <c r="E2273" s="4009"/>
      <c r="F2273" s="3010" t="str">
        <f>$E$1603</f>
        <v>ASHP-SEER18_ER2_SF</v>
      </c>
      <c r="G2273" s="2676"/>
      <c r="H2273" s="2676"/>
      <c r="I2273" s="2677"/>
      <c r="J2273" s="3298" t="str">
        <f>$C$1603</f>
        <v>353850_2021_12_</v>
      </c>
      <c r="K2273" s="2857">
        <v>8.1999999999999993</v>
      </c>
      <c r="L2273" s="851"/>
      <c r="M2273" s="698" t="s">
        <v>838</v>
      </c>
      <c r="N2273" s="123"/>
      <c r="O2273" s="228"/>
      <c r="P2273" s="228"/>
      <c r="Q2273" s="228"/>
      <c r="R2273" s="228"/>
      <c r="S2273" s="123"/>
      <c r="T2273" s="123"/>
      <c r="U2273" s="123"/>
      <c r="V2273" s="3990"/>
      <c r="W2273" s="2857">
        <v>8.1999999999999993</v>
      </c>
      <c r="X2273" s="2857">
        <v>8.1999999999999993</v>
      </c>
      <c r="Y2273" s="2857">
        <v>8.1999999999999993</v>
      </c>
      <c r="Z2273" s="2857">
        <v>8.1999999999999993</v>
      </c>
      <c r="AA2273" s="2857">
        <v>8.1999999999999993</v>
      </c>
      <c r="AB2273" s="2857">
        <v>8.1999999999999993</v>
      </c>
      <c r="AC2273" s="2857">
        <v>8.1999999999999993</v>
      </c>
      <c r="AD2273" s="2857"/>
      <c r="AE2273" s="2857"/>
      <c r="AF2273" s="2857"/>
      <c r="AG2273" s="2857"/>
      <c r="AH2273" s="1942"/>
      <c r="AI2273" s="1942"/>
      <c r="AJ2273" s="1942"/>
      <c r="AK2273" s="1942"/>
      <c r="AL2273" s="1942"/>
      <c r="AM2273" s="1942"/>
      <c r="AN2273" s="1942"/>
      <c r="AO2273" s="1942"/>
      <c r="AP2273" s="1942"/>
      <c r="AQ2273" s="1942"/>
      <c r="AR2273" s="1942"/>
      <c r="AS2273" s="1942"/>
      <c r="AT2273" s="1942"/>
      <c r="AU2273" s="1942"/>
      <c r="AV2273" s="1942"/>
      <c r="AW2273" s="1942"/>
      <c r="AX2273" s="1942"/>
      <c r="AY2273" s="1942"/>
      <c r="AZ2273" s="1942"/>
      <c r="BA2273" s="1942"/>
      <c r="BB2273" s="575"/>
      <c r="BC2273" s="576"/>
      <c r="BD2273" s="678"/>
      <c r="BE2273" s="585"/>
    </row>
    <row r="2274" spans="1:57" s="51" customFormat="1" ht="15" hidden="1" customHeight="1" outlineLevel="1" x14ac:dyDescent="0.25">
      <c r="A2274" s="2060"/>
      <c r="B2274" s="123"/>
      <c r="C2274" s="328"/>
      <c r="D2274" s="3990"/>
      <c r="E2274" s="4009"/>
      <c r="F2274" s="3010" t="str">
        <f>$E$1605</f>
        <v>ASHP-SEER18_ROF_SF</v>
      </c>
      <c r="G2274" s="2676"/>
      <c r="H2274" s="2676"/>
      <c r="I2274" s="2677"/>
      <c r="J2274" s="3298" t="str">
        <f>$C$1605</f>
        <v>353950_2021_12_</v>
      </c>
      <c r="K2274" s="2857">
        <v>8.1999999999999993</v>
      </c>
      <c r="L2274" s="851"/>
      <c r="M2274" s="698" t="s">
        <v>838</v>
      </c>
      <c r="N2274" s="123"/>
      <c r="O2274" s="228"/>
      <c r="P2274" s="844"/>
      <c r="Q2274" s="845"/>
      <c r="R2274" s="844"/>
      <c r="S2274" s="832"/>
      <c r="T2274" s="3082"/>
      <c r="U2274" s="123"/>
      <c r="V2274" s="3990"/>
      <c r="W2274" s="2857">
        <v>8.1999999999999993</v>
      </c>
      <c r="X2274" s="2857">
        <v>8.1999999999999993</v>
      </c>
      <c r="Y2274" s="2857">
        <v>8.1999999999999993</v>
      </c>
      <c r="Z2274" s="2857">
        <v>8.1999999999999993</v>
      </c>
      <c r="AA2274" s="2857">
        <v>8.1999999999999993</v>
      </c>
      <c r="AB2274" s="2857">
        <v>8.1999999999999993</v>
      </c>
      <c r="AC2274" s="2857">
        <v>8.1999999999999993</v>
      </c>
      <c r="AD2274" s="2857"/>
      <c r="AE2274" s="2857"/>
      <c r="AF2274" s="2857"/>
      <c r="AG2274" s="2857"/>
      <c r="AH2274" s="1942"/>
      <c r="AI2274" s="1942"/>
      <c r="AJ2274" s="1942"/>
      <c r="AK2274" s="1942"/>
      <c r="AL2274" s="1942"/>
      <c r="AM2274" s="1942"/>
      <c r="AN2274" s="1942"/>
      <c r="AO2274" s="1942"/>
      <c r="AP2274" s="1942"/>
      <c r="AQ2274" s="1942"/>
      <c r="AR2274" s="1942"/>
      <c r="AS2274" s="1942"/>
      <c r="AT2274" s="1942"/>
      <c r="AU2274" s="1942"/>
      <c r="AV2274" s="1942"/>
      <c r="AW2274" s="1942"/>
      <c r="AX2274" s="1942"/>
      <c r="AY2274" s="1942"/>
      <c r="AZ2274" s="1942"/>
      <c r="BA2274" s="1942"/>
      <c r="BB2274" s="575"/>
      <c r="BC2274" s="576"/>
      <c r="BD2274" s="678"/>
      <c r="BE2274" s="585"/>
    </row>
    <row r="2275" spans="1:57" s="51" customFormat="1" ht="15" hidden="1" customHeight="1" outlineLevel="1" x14ac:dyDescent="0.25">
      <c r="A2275" s="2060"/>
      <c r="B2275" s="123"/>
      <c r="C2275" s="328"/>
      <c r="D2275" s="3990"/>
      <c r="E2275" s="4009"/>
      <c r="F2275" s="3010" t="str">
        <f>$E$1607</f>
        <v>ASHP-SEER19_ER1_SF</v>
      </c>
      <c r="G2275" s="2676"/>
      <c r="H2275" s="2676"/>
      <c r="I2275" s="2677"/>
      <c r="J2275" s="3298" t="str">
        <f>$C$1607</f>
        <v>354000_2021_12_</v>
      </c>
      <c r="K2275" s="2857">
        <v>6.58</v>
      </c>
      <c r="L2275" s="851"/>
      <c r="M2275" s="698" t="s">
        <v>838</v>
      </c>
      <c r="N2275" s="123"/>
      <c r="O2275" s="228"/>
      <c r="P2275" s="844"/>
      <c r="Q2275" s="845"/>
      <c r="R2275" s="844"/>
      <c r="S2275" s="832"/>
      <c r="T2275" s="3082"/>
      <c r="U2275" s="123"/>
      <c r="V2275" s="3990"/>
      <c r="W2275" s="2857">
        <v>5.44</v>
      </c>
      <c r="X2275" s="3155">
        <v>6.58</v>
      </c>
      <c r="Y2275" s="2857">
        <v>6.58</v>
      </c>
      <c r="Z2275" s="2857">
        <v>6.58</v>
      </c>
      <c r="AA2275" s="2857">
        <v>6.58</v>
      </c>
      <c r="AB2275" s="2857">
        <v>6.58</v>
      </c>
      <c r="AC2275" s="2857">
        <v>6.58</v>
      </c>
      <c r="AD2275" s="2857"/>
      <c r="AE2275" s="2857"/>
      <c r="AF2275" s="2857"/>
      <c r="AG2275" s="2857"/>
      <c r="AH2275" s="1942"/>
      <c r="AI2275" s="1942"/>
      <c r="AJ2275" s="1942"/>
      <c r="AK2275" s="1942"/>
      <c r="AL2275" s="1942"/>
      <c r="AM2275" s="1942"/>
      <c r="AN2275" s="1942"/>
      <c r="AO2275" s="1942"/>
      <c r="AP2275" s="1942"/>
      <c r="AQ2275" s="1942"/>
      <c r="AR2275" s="1942"/>
      <c r="AS2275" s="1942"/>
      <c r="AT2275" s="1942"/>
      <c r="AU2275" s="1942"/>
      <c r="AV2275" s="1942"/>
      <c r="AW2275" s="1942"/>
      <c r="AX2275" s="1942"/>
      <c r="AY2275" s="1942"/>
      <c r="AZ2275" s="1942"/>
      <c r="BA2275" s="1942"/>
      <c r="BB2275" s="575"/>
      <c r="BC2275" s="576"/>
      <c r="BD2275" s="678"/>
      <c r="BE2275" s="585"/>
    </row>
    <row r="2276" spans="1:57" s="51" customFormat="1" ht="15" hidden="1" customHeight="1" outlineLevel="1" x14ac:dyDescent="0.25">
      <c r="A2276" s="1267"/>
      <c r="B2276" s="123"/>
      <c r="C2276" s="328"/>
      <c r="D2276" s="3990"/>
      <c r="E2276" s="4009"/>
      <c r="F2276" s="3010" t="str">
        <f>$E$1609</f>
        <v>ASHP-SEER19_ER2_SF</v>
      </c>
      <c r="G2276" s="2676"/>
      <c r="H2276" s="2676"/>
      <c r="I2276" s="2677"/>
      <c r="J2276" s="3298" t="str">
        <f>$C$1609</f>
        <v>354000_2021_12_</v>
      </c>
      <c r="K2276" s="2857">
        <v>8.1999999999999993</v>
      </c>
      <c r="L2276" s="851"/>
      <c r="M2276" s="698" t="s">
        <v>838</v>
      </c>
      <c r="N2276" s="123"/>
      <c r="O2276" s="228"/>
      <c r="P2276" s="228"/>
      <c r="Q2276" s="228"/>
      <c r="R2276" s="228"/>
      <c r="S2276" s="123"/>
      <c r="T2276" s="123"/>
      <c r="U2276" s="123"/>
      <c r="V2276" s="3990"/>
      <c r="W2276" s="2857">
        <v>8.1999999999999993</v>
      </c>
      <c r="X2276" s="2857">
        <v>8.1999999999999993</v>
      </c>
      <c r="Y2276" s="2857">
        <v>8.1999999999999993</v>
      </c>
      <c r="Z2276" s="2857">
        <v>8.1999999999999993</v>
      </c>
      <c r="AA2276" s="2857">
        <v>8.1999999999999993</v>
      </c>
      <c r="AB2276" s="2857">
        <v>8.1999999999999993</v>
      </c>
      <c r="AC2276" s="2857">
        <v>8.1999999999999993</v>
      </c>
      <c r="AD2276" s="2857"/>
      <c r="AE2276" s="2857"/>
      <c r="AF2276" s="2857"/>
      <c r="AG2276" s="2857"/>
      <c r="AH2276" s="1942"/>
      <c r="AI2276" s="1942"/>
      <c r="AJ2276" s="1942"/>
      <c r="AK2276" s="1942"/>
      <c r="AL2276" s="1942"/>
      <c r="AM2276" s="1942"/>
      <c r="AN2276" s="1942"/>
      <c r="AO2276" s="1942"/>
      <c r="AP2276" s="1942"/>
      <c r="AQ2276" s="1942"/>
      <c r="AR2276" s="1942"/>
      <c r="AS2276" s="1942"/>
      <c r="AT2276" s="1942"/>
      <c r="AU2276" s="1942"/>
      <c r="AV2276" s="1942"/>
      <c r="AW2276" s="1942"/>
      <c r="AX2276" s="1942"/>
      <c r="AY2276" s="1942"/>
      <c r="AZ2276" s="1942"/>
      <c r="BA2276" s="1942"/>
      <c r="BB2276" s="575"/>
      <c r="BC2276" s="576"/>
      <c r="BD2276" s="678"/>
      <c r="BE2276" s="585"/>
    </row>
    <row r="2277" spans="1:57" s="51" customFormat="1" ht="15" hidden="1" customHeight="1" outlineLevel="1" x14ac:dyDescent="0.25">
      <c r="A2277" s="1267"/>
      <c r="B2277" s="123"/>
      <c r="C2277" s="328"/>
      <c r="D2277" s="3990"/>
      <c r="E2277" s="4009"/>
      <c r="F2277" s="3010" t="str">
        <f>$E$1611</f>
        <v>ASHP-SEER19_ROF_SF</v>
      </c>
      <c r="G2277" s="2676"/>
      <c r="H2277" s="2676"/>
      <c r="I2277" s="2677"/>
      <c r="J2277" s="3298" t="str">
        <f>$C$1611</f>
        <v>354050_2021_12_</v>
      </c>
      <c r="K2277" s="2857">
        <v>8.1999999999999993</v>
      </c>
      <c r="L2277" s="851"/>
      <c r="M2277" s="698" t="s">
        <v>838</v>
      </c>
      <c r="N2277" s="123"/>
      <c r="O2277" s="228"/>
      <c r="P2277" s="228"/>
      <c r="Q2277" s="228"/>
      <c r="R2277" s="228"/>
      <c r="S2277" s="123"/>
      <c r="T2277" s="123"/>
      <c r="U2277" s="123"/>
      <c r="V2277" s="3990"/>
      <c r="W2277" s="2857">
        <v>8.1999999999999993</v>
      </c>
      <c r="X2277" s="2857">
        <v>8.1999999999999993</v>
      </c>
      <c r="Y2277" s="2857">
        <v>8.1999999999999993</v>
      </c>
      <c r="Z2277" s="2857">
        <v>8.1999999999999993</v>
      </c>
      <c r="AA2277" s="2857">
        <v>8.1999999999999993</v>
      </c>
      <c r="AB2277" s="2857">
        <v>8.1999999999999993</v>
      </c>
      <c r="AC2277" s="2857">
        <v>8.1999999999999993</v>
      </c>
      <c r="AD2277" s="2857"/>
      <c r="AE2277" s="2857"/>
      <c r="AF2277" s="2857"/>
      <c r="AG2277" s="2857"/>
      <c r="AH2277" s="1942"/>
      <c r="AI2277" s="1942"/>
      <c r="AJ2277" s="1942"/>
      <c r="AK2277" s="1942"/>
      <c r="AL2277" s="1942"/>
      <c r="AM2277" s="1942"/>
      <c r="AN2277" s="1942"/>
      <c r="AO2277" s="1942"/>
      <c r="AP2277" s="1942"/>
      <c r="AQ2277" s="1942"/>
      <c r="AR2277" s="1942"/>
      <c r="AS2277" s="1942"/>
      <c r="AT2277" s="1942"/>
      <c r="AU2277" s="1942"/>
      <c r="AV2277" s="1942"/>
      <c r="AW2277" s="1942"/>
      <c r="AX2277" s="1942"/>
      <c r="AY2277" s="1942"/>
      <c r="AZ2277" s="1942"/>
      <c r="BA2277" s="1942"/>
      <c r="BB2277" s="575"/>
      <c r="BC2277" s="576"/>
      <c r="BD2277" s="678"/>
      <c r="BE2277" s="585"/>
    </row>
    <row r="2278" spans="1:57" s="51" customFormat="1" ht="15" hidden="1" customHeight="1" outlineLevel="1" x14ac:dyDescent="0.25">
      <c r="A2278" s="1267"/>
      <c r="B2278" s="123"/>
      <c r="C2278" s="328"/>
      <c r="D2278" s="3990"/>
      <c r="E2278" s="4009"/>
      <c r="F2278" s="3010" t="str">
        <f>$E$1613</f>
        <v>ASHP-SEER17-Replace_CAC_ElectricHeat_ER1_SF</v>
      </c>
      <c r="G2278" s="2676"/>
      <c r="H2278" s="2676"/>
      <c r="I2278" s="2677"/>
      <c r="J2278" s="3298" t="str">
        <f>$C$1613</f>
        <v>354100_2021_12_</v>
      </c>
      <c r="K2278" s="2857">
        <v>3.41</v>
      </c>
      <c r="L2278" s="851"/>
      <c r="M2278" s="698" t="s">
        <v>838</v>
      </c>
      <c r="N2278" s="123"/>
      <c r="O2278" s="228"/>
      <c r="P2278" s="228"/>
      <c r="Q2278" s="228"/>
      <c r="R2278" s="228"/>
      <c r="S2278" s="123"/>
      <c r="T2278" s="123"/>
      <c r="U2278" s="123"/>
      <c r="V2278" s="3990"/>
      <c r="W2278" s="2857">
        <v>3.41</v>
      </c>
      <c r="X2278" s="2857">
        <v>3.41</v>
      </c>
      <c r="Y2278" s="2857">
        <v>3.41</v>
      </c>
      <c r="Z2278" s="2857">
        <v>3.41</v>
      </c>
      <c r="AA2278" s="2857">
        <v>3.41</v>
      </c>
      <c r="AB2278" s="2857">
        <v>3.41</v>
      </c>
      <c r="AC2278" s="2857">
        <v>3.41</v>
      </c>
      <c r="AD2278" s="2857"/>
      <c r="AE2278" s="2857"/>
      <c r="AF2278" s="2857"/>
      <c r="AG2278" s="2857"/>
      <c r="AH2278" s="1942"/>
      <c r="AI2278" s="1942"/>
      <c r="AJ2278" s="1942"/>
      <c r="AK2278" s="1942"/>
      <c r="AL2278" s="1942"/>
      <c r="AM2278" s="1942"/>
      <c r="AN2278" s="1942"/>
      <c r="AO2278" s="1942"/>
      <c r="AP2278" s="1942"/>
      <c r="AQ2278" s="1942"/>
      <c r="AR2278" s="1942"/>
      <c r="AS2278" s="1942"/>
      <c r="AT2278" s="1942"/>
      <c r="AU2278" s="1942"/>
      <c r="AV2278" s="1942"/>
      <c r="AW2278" s="1942"/>
      <c r="AX2278" s="1942"/>
      <c r="AY2278" s="1942"/>
      <c r="AZ2278" s="1942"/>
      <c r="BA2278" s="1942"/>
      <c r="BB2278" s="575"/>
      <c r="BC2278" s="576"/>
      <c r="BD2278" s="678"/>
      <c r="BE2278" s="585"/>
    </row>
    <row r="2279" spans="1:57" s="51" customFormat="1" ht="15" hidden="1" customHeight="1" outlineLevel="1" x14ac:dyDescent="0.25">
      <c r="A2279" s="1267"/>
      <c r="B2279" s="123"/>
      <c r="C2279" s="328"/>
      <c r="D2279" s="3990"/>
      <c r="E2279" s="4009"/>
      <c r="F2279" s="3010" t="str">
        <f>$E$1615</f>
        <v>ASHP-SEER17-Replace_CAC_ElectricHeat_ER2_SF</v>
      </c>
      <c r="G2279" s="2676"/>
      <c r="H2279" s="2676"/>
      <c r="I2279" s="2677"/>
      <c r="J2279" s="3298" t="str">
        <f>$C$1615</f>
        <v>354100_2021_12_</v>
      </c>
      <c r="K2279" s="2857">
        <v>3.41</v>
      </c>
      <c r="L2279" s="851"/>
      <c r="M2279" s="698" t="s">
        <v>838</v>
      </c>
      <c r="N2279" s="123"/>
      <c r="O2279" s="228"/>
      <c r="P2279" s="228"/>
      <c r="Q2279" s="228"/>
      <c r="R2279" s="228"/>
      <c r="S2279" s="123"/>
      <c r="T2279" s="123"/>
      <c r="U2279" s="123"/>
      <c r="V2279" s="3990"/>
      <c r="W2279" s="2857">
        <v>3.41</v>
      </c>
      <c r="X2279" s="2857">
        <v>3.41</v>
      </c>
      <c r="Y2279" s="2857">
        <v>3.41</v>
      </c>
      <c r="Z2279" s="2857">
        <v>3.41</v>
      </c>
      <c r="AA2279" s="2857">
        <v>3.41</v>
      </c>
      <c r="AB2279" s="2857">
        <v>3.41</v>
      </c>
      <c r="AC2279" s="2857">
        <v>3.41</v>
      </c>
      <c r="AD2279" s="2857"/>
      <c r="AE2279" s="2857"/>
      <c r="AF2279" s="2857"/>
      <c r="AG2279" s="2857"/>
      <c r="AH2279" s="1942"/>
      <c r="AI2279" s="1942"/>
      <c r="AJ2279" s="1942"/>
      <c r="AK2279" s="1942"/>
      <c r="AL2279" s="1942"/>
      <c r="AM2279" s="1942"/>
      <c r="AN2279" s="1942"/>
      <c r="AO2279" s="1942"/>
      <c r="AP2279" s="1942"/>
      <c r="AQ2279" s="1942"/>
      <c r="AR2279" s="1942"/>
      <c r="AS2279" s="1942"/>
      <c r="AT2279" s="1942"/>
      <c r="AU2279" s="1942"/>
      <c r="AV2279" s="1942"/>
      <c r="AW2279" s="1942"/>
      <c r="AX2279" s="1942"/>
      <c r="AY2279" s="1942"/>
      <c r="AZ2279" s="1942"/>
      <c r="BA2279" s="1942"/>
      <c r="BB2279" s="575"/>
      <c r="BC2279" s="576"/>
      <c r="BD2279" s="678"/>
      <c r="BE2279" s="585"/>
    </row>
    <row r="2280" spans="1:57" s="1942" customFormat="1" ht="15" hidden="1" customHeight="1" outlineLevel="1" x14ac:dyDescent="0.25">
      <c r="A2280" s="1267"/>
      <c r="B2280" s="123"/>
      <c r="C2280" s="328"/>
      <c r="D2280" s="3990"/>
      <c r="E2280" s="4009"/>
      <c r="F2280" s="3010" t="str">
        <f>$E$1617</f>
        <v>ASHP-SEER17-Replace_CAC_NonElectricHeat_ER1_SF</v>
      </c>
      <c r="G2280" s="2676"/>
      <c r="H2280" s="2676"/>
      <c r="I2280" s="2677"/>
      <c r="J2280" s="3298" t="str">
        <f>$C$1617</f>
        <v>354110_2021_12_</v>
      </c>
      <c r="K2280" s="2225">
        <v>0</v>
      </c>
      <c r="L2280" s="851"/>
      <c r="M2280" s="3252" t="s">
        <v>1559</v>
      </c>
      <c r="N2280" s="123"/>
      <c r="O2280" s="228"/>
      <c r="P2280" s="228"/>
      <c r="Q2280" s="228"/>
      <c r="R2280" s="228"/>
      <c r="S2280" s="123"/>
      <c r="T2280" s="123"/>
      <c r="U2280" s="123"/>
      <c r="V2280" s="3990"/>
      <c r="W2280" s="2857"/>
      <c r="X2280" s="2857"/>
      <c r="Y2280" s="2857"/>
      <c r="Z2280" s="2857"/>
      <c r="AA2280" s="2857"/>
      <c r="AB2280" s="2857"/>
      <c r="AC2280" s="2225">
        <v>0</v>
      </c>
      <c r="AD2280" s="2857"/>
      <c r="AE2280" s="2857"/>
      <c r="AF2280" s="2857"/>
      <c r="AG2280" s="2857"/>
      <c r="BB2280" s="575"/>
      <c r="BC2280" s="576"/>
      <c r="BD2280" s="678"/>
      <c r="BE2280" s="585"/>
    </row>
    <row r="2281" spans="1:57" s="1942" customFormat="1" ht="15" hidden="1" customHeight="1" outlineLevel="1" x14ac:dyDescent="0.25">
      <c r="A2281" s="1267"/>
      <c r="B2281" s="123"/>
      <c r="C2281" s="328"/>
      <c r="D2281" s="3990"/>
      <c r="E2281" s="4009"/>
      <c r="F2281" s="3010" t="str">
        <f>$E$1619</f>
        <v>ASHP-SEER17-Replace_CAC_NonElectricHeat_ER2_SF</v>
      </c>
      <c r="G2281" s="2676"/>
      <c r="H2281" s="2676"/>
      <c r="I2281" s="2677"/>
      <c r="J2281" s="3298" t="str">
        <f>$C$1619</f>
        <v>354110_2021_12_</v>
      </c>
      <c r="K2281" s="2225">
        <v>0</v>
      </c>
      <c r="L2281" s="851"/>
      <c r="M2281" s="3252" t="s">
        <v>1559</v>
      </c>
      <c r="N2281" s="123"/>
      <c r="O2281" s="228"/>
      <c r="P2281" s="228"/>
      <c r="Q2281" s="228"/>
      <c r="R2281" s="228"/>
      <c r="S2281" s="123"/>
      <c r="T2281" s="123"/>
      <c r="U2281" s="123"/>
      <c r="V2281" s="3990"/>
      <c r="W2281" s="2857"/>
      <c r="X2281" s="2857"/>
      <c r="Y2281" s="2857"/>
      <c r="Z2281" s="2857"/>
      <c r="AA2281" s="2857"/>
      <c r="AB2281" s="2857"/>
      <c r="AC2281" s="2225">
        <v>0</v>
      </c>
      <c r="AD2281" s="2857"/>
      <c r="AE2281" s="2857"/>
      <c r="AF2281" s="2857"/>
      <c r="AG2281" s="2857"/>
      <c r="BB2281" s="575"/>
      <c r="BC2281" s="576"/>
      <c r="BD2281" s="678"/>
      <c r="BE2281" s="585"/>
    </row>
    <row r="2282" spans="1:57" s="51" customFormat="1" ht="15" hidden="1" customHeight="1" outlineLevel="1" x14ac:dyDescent="0.25">
      <c r="A2282" s="1267"/>
      <c r="B2282" s="123"/>
      <c r="C2282" s="328"/>
      <c r="D2282" s="3990"/>
      <c r="E2282" s="4009"/>
      <c r="F2282" s="3010" t="str">
        <f>$E$1621</f>
        <v>ASHP-SEER17-Replace_CAC_ElectricHeat_ER1_MF</v>
      </c>
      <c r="G2282" s="2676"/>
      <c r="H2282" s="2676"/>
      <c r="I2282" s="2677"/>
      <c r="J2282" s="3299" t="str">
        <f>$C$1621</f>
        <v>354150_2019_12_</v>
      </c>
      <c r="K2282" s="2857">
        <v>3.41</v>
      </c>
      <c r="L2282" s="851"/>
      <c r="M2282" s="698" t="s">
        <v>1560</v>
      </c>
      <c r="N2282" s="123"/>
      <c r="O2282" s="228"/>
      <c r="P2282" s="228"/>
      <c r="Q2282" s="228"/>
      <c r="R2282" s="228"/>
      <c r="S2282" s="123"/>
      <c r="T2282" s="123"/>
      <c r="U2282" s="123"/>
      <c r="V2282" s="3990"/>
      <c r="W2282" s="2857">
        <v>3.41</v>
      </c>
      <c r="X2282" s="2857">
        <v>3.41</v>
      </c>
      <c r="Y2282" s="2857">
        <v>3.41</v>
      </c>
      <c r="Z2282" s="2857">
        <v>3.41</v>
      </c>
      <c r="AA2282" s="2857">
        <v>3.41</v>
      </c>
      <c r="AB2282" s="2857">
        <v>3.41</v>
      </c>
      <c r="AC2282" s="2857">
        <v>3.41</v>
      </c>
      <c r="AD2282" s="2857"/>
      <c r="AE2282" s="2857"/>
      <c r="AF2282" s="2857"/>
      <c r="AG2282" s="2857"/>
      <c r="AH2282" s="1942"/>
      <c r="AI2282" s="1942"/>
      <c r="AJ2282" s="1942"/>
      <c r="AK2282" s="1942"/>
      <c r="AL2282" s="1942"/>
      <c r="AM2282" s="1942"/>
      <c r="AN2282" s="1942"/>
      <c r="AO2282" s="1942"/>
      <c r="AP2282" s="1942"/>
      <c r="AQ2282" s="1942"/>
      <c r="AR2282" s="1942"/>
      <c r="AS2282" s="1942"/>
      <c r="AT2282" s="1942"/>
      <c r="AU2282" s="1942"/>
      <c r="AV2282" s="1942"/>
      <c r="AW2282" s="1942"/>
      <c r="AX2282" s="1942"/>
      <c r="AY2282" s="1942"/>
      <c r="AZ2282" s="1942"/>
      <c r="BA2282" s="1942"/>
      <c r="BB2282" s="575"/>
      <c r="BC2282" s="576"/>
      <c r="BD2282" s="678"/>
      <c r="BE2282" s="585"/>
    </row>
    <row r="2283" spans="1:57" s="51" customFormat="1" ht="15" hidden="1" customHeight="1" outlineLevel="1" x14ac:dyDescent="0.25">
      <c r="A2283" s="1267"/>
      <c r="B2283" s="123"/>
      <c r="C2283" s="328"/>
      <c r="D2283" s="3990"/>
      <c r="E2283" s="4009"/>
      <c r="F2283" s="3010" t="str">
        <f>$E$1623</f>
        <v>ASHP-SEER17-Replace_CAC_ElectricHeat_ER2_MF</v>
      </c>
      <c r="G2283" s="2676"/>
      <c r="H2283" s="2676"/>
      <c r="I2283" s="2677"/>
      <c r="J2283" s="3299" t="str">
        <f>$C$1623</f>
        <v>354150_2019_12_</v>
      </c>
      <c r="K2283" s="2857">
        <v>3.41</v>
      </c>
      <c r="L2283" s="851"/>
      <c r="M2283" s="698" t="s">
        <v>1560</v>
      </c>
      <c r="N2283" s="123"/>
      <c r="O2283" s="228"/>
      <c r="P2283" s="228"/>
      <c r="Q2283" s="228"/>
      <c r="R2283" s="228"/>
      <c r="S2283" s="123"/>
      <c r="T2283" s="123"/>
      <c r="U2283" s="123"/>
      <c r="V2283" s="3990"/>
      <c r="W2283" s="2857">
        <v>3.41</v>
      </c>
      <c r="X2283" s="2857">
        <v>3.41</v>
      </c>
      <c r="Y2283" s="2857">
        <v>3.41</v>
      </c>
      <c r="Z2283" s="2857">
        <v>3.41</v>
      </c>
      <c r="AA2283" s="2857">
        <v>3.41</v>
      </c>
      <c r="AB2283" s="2857">
        <v>3.41</v>
      </c>
      <c r="AC2283" s="2857">
        <v>3.41</v>
      </c>
      <c r="AD2283" s="2857"/>
      <c r="AE2283" s="2857"/>
      <c r="AF2283" s="2857"/>
      <c r="AG2283" s="2857"/>
      <c r="AH2283" s="1942"/>
      <c r="AI2283" s="1942"/>
      <c r="AJ2283" s="1942"/>
      <c r="AK2283" s="1942"/>
      <c r="AL2283" s="1942"/>
      <c r="AM2283" s="1942"/>
      <c r="AN2283" s="1942"/>
      <c r="AO2283" s="1942"/>
      <c r="AP2283" s="1942"/>
      <c r="AQ2283" s="1942"/>
      <c r="AR2283" s="1942"/>
      <c r="AS2283" s="1942"/>
      <c r="AT2283" s="1942"/>
      <c r="AU2283" s="1942"/>
      <c r="AV2283" s="1942"/>
      <c r="AW2283" s="1942"/>
      <c r="AX2283" s="1942"/>
      <c r="AY2283" s="1942"/>
      <c r="AZ2283" s="1942"/>
      <c r="BA2283" s="1942"/>
      <c r="BB2283" s="575"/>
      <c r="BC2283" s="576"/>
      <c r="BD2283" s="678"/>
      <c r="BE2283" s="585"/>
    </row>
    <row r="2284" spans="1:57" s="51" customFormat="1" ht="15" hidden="1" customHeight="1" outlineLevel="1" x14ac:dyDescent="0.25">
      <c r="A2284" s="1267"/>
      <c r="B2284" s="123"/>
      <c r="C2284" s="328"/>
      <c r="D2284" s="3990"/>
      <c r="E2284" s="4009"/>
      <c r="F2284" s="3010" t="str">
        <f>$E$1625</f>
        <v>ASHP-SEER17-Replace_CAC_ElectricHeat_ER1_MF_CompE</v>
      </c>
      <c r="G2284" s="2676"/>
      <c r="H2284" s="2676"/>
      <c r="I2284" s="2677"/>
      <c r="J2284" s="3299" t="str">
        <f>$C$1625</f>
        <v>354151_2019_12_</v>
      </c>
      <c r="K2284" s="2857">
        <v>3.41</v>
      </c>
      <c r="L2284" s="851"/>
      <c r="M2284" s="698" t="s">
        <v>1560</v>
      </c>
      <c r="N2284" s="123"/>
      <c r="O2284" s="228"/>
      <c r="P2284" s="228"/>
      <c r="Q2284" s="228"/>
      <c r="R2284" s="228"/>
      <c r="S2284" s="123"/>
      <c r="T2284" s="123"/>
      <c r="U2284" s="123"/>
      <c r="V2284" s="3990"/>
      <c r="W2284" s="2857"/>
      <c r="X2284" s="2857"/>
      <c r="Y2284" s="3155">
        <v>3.41</v>
      </c>
      <c r="Z2284" s="2857">
        <v>3.41</v>
      </c>
      <c r="AA2284" s="2857">
        <v>3.41</v>
      </c>
      <c r="AB2284" s="2857">
        <v>3.41</v>
      </c>
      <c r="AC2284" s="2857">
        <v>3.41</v>
      </c>
      <c r="AD2284" s="2857"/>
      <c r="AE2284" s="2857"/>
      <c r="AF2284" s="2857"/>
      <c r="AG2284" s="2857"/>
      <c r="AH2284" s="1942"/>
      <c r="AI2284" s="1942"/>
      <c r="AJ2284" s="1942"/>
      <c r="AK2284" s="1942"/>
      <c r="AL2284" s="1942"/>
      <c r="AM2284" s="1942"/>
      <c r="AN2284" s="1942"/>
      <c r="AO2284" s="1942"/>
      <c r="AP2284" s="1942"/>
      <c r="AQ2284" s="1942"/>
      <c r="AR2284" s="1942"/>
      <c r="AS2284" s="1942"/>
      <c r="AT2284" s="1942"/>
      <c r="AU2284" s="1942"/>
      <c r="AV2284" s="1942"/>
      <c r="AW2284" s="1942"/>
      <c r="AX2284" s="1942"/>
      <c r="AY2284" s="1942"/>
      <c r="AZ2284" s="1942"/>
      <c r="BA2284" s="1942"/>
      <c r="BB2284" s="575"/>
      <c r="BC2284" s="576"/>
      <c r="BD2284" s="678"/>
      <c r="BE2284" s="585"/>
    </row>
    <row r="2285" spans="1:57" s="51" customFormat="1" ht="15" hidden="1" customHeight="1" outlineLevel="1" x14ac:dyDescent="0.25">
      <c r="A2285" s="1267"/>
      <c r="B2285" s="123"/>
      <c r="C2285" s="328"/>
      <c r="D2285" s="3990"/>
      <c r="E2285" s="4009"/>
      <c r="F2285" s="3010" t="str">
        <f>$E$1627</f>
        <v>ASHP-SEER17-Replace_CAC_ElectricHeat_ER2_MF_CompE</v>
      </c>
      <c r="G2285" s="2676"/>
      <c r="H2285" s="2676"/>
      <c r="I2285" s="2677"/>
      <c r="J2285" s="3299" t="str">
        <f>$C$1627</f>
        <v>354151_2019_12_</v>
      </c>
      <c r="K2285" s="2857">
        <v>3.41</v>
      </c>
      <c r="L2285" s="851"/>
      <c r="M2285" s="698" t="s">
        <v>1560</v>
      </c>
      <c r="N2285" s="123"/>
      <c r="O2285" s="228"/>
      <c r="P2285" s="228"/>
      <c r="Q2285" s="228"/>
      <c r="R2285" s="228"/>
      <c r="S2285" s="123"/>
      <c r="T2285" s="123"/>
      <c r="U2285" s="123"/>
      <c r="V2285" s="3990"/>
      <c r="W2285" s="2857"/>
      <c r="X2285" s="2857"/>
      <c r="Y2285" s="3155">
        <v>3.41</v>
      </c>
      <c r="Z2285" s="2857">
        <v>3.41</v>
      </c>
      <c r="AA2285" s="2857">
        <v>3.41</v>
      </c>
      <c r="AB2285" s="2857">
        <v>3.41</v>
      </c>
      <c r="AC2285" s="2857">
        <v>3.41</v>
      </c>
      <c r="AD2285" s="2857"/>
      <c r="AE2285" s="2857"/>
      <c r="AF2285" s="2857"/>
      <c r="AG2285" s="2857"/>
      <c r="AH2285" s="1942"/>
      <c r="AI2285" s="1942"/>
      <c r="AJ2285" s="1942"/>
      <c r="AK2285" s="1942"/>
      <c r="AL2285" s="1942"/>
      <c r="AM2285" s="1942"/>
      <c r="AN2285" s="1942"/>
      <c r="AO2285" s="1942"/>
      <c r="AP2285" s="1942"/>
      <c r="AQ2285" s="1942"/>
      <c r="AR2285" s="1942"/>
      <c r="AS2285" s="1942"/>
      <c r="AT2285" s="1942"/>
      <c r="AU2285" s="1942"/>
      <c r="AV2285" s="1942"/>
      <c r="AW2285" s="1942"/>
      <c r="AX2285" s="1942"/>
      <c r="AY2285" s="1942"/>
      <c r="AZ2285" s="1942"/>
      <c r="BA2285" s="1942"/>
      <c r="BB2285" s="575"/>
      <c r="BC2285" s="576"/>
      <c r="BD2285" s="678"/>
      <c r="BE2285" s="585"/>
    </row>
    <row r="2286" spans="1:57" s="1942" customFormat="1" ht="15" hidden="1" customHeight="1" outlineLevel="1" x14ac:dyDescent="0.25">
      <c r="A2286" s="1267"/>
      <c r="B2286" s="123"/>
      <c r="C2286" s="328"/>
      <c r="D2286" s="3990"/>
      <c r="E2286" s="4009"/>
      <c r="F2286" s="3010" t="str">
        <f>$E$1629</f>
        <v>ASHP-SEER17-Replace_CAC_NonElectricHeat_ER1_MF</v>
      </c>
      <c r="G2286" s="2676"/>
      <c r="H2286" s="2676"/>
      <c r="I2286" s="2677"/>
      <c r="J2286" s="3298" t="str">
        <f>$C$1629</f>
        <v>354160_2021_12_</v>
      </c>
      <c r="K2286" s="2225">
        <v>0</v>
      </c>
      <c r="L2286" s="851"/>
      <c r="M2286" s="3252" t="s">
        <v>1559</v>
      </c>
      <c r="N2286" s="123"/>
      <c r="O2286" s="228"/>
      <c r="P2286" s="228"/>
      <c r="Q2286" s="228"/>
      <c r="R2286" s="228"/>
      <c r="S2286" s="123"/>
      <c r="T2286" s="123"/>
      <c r="U2286" s="123"/>
      <c r="V2286" s="3990"/>
      <c r="W2286" s="2857"/>
      <c r="X2286" s="2857"/>
      <c r="Y2286" s="3155"/>
      <c r="Z2286" s="2857"/>
      <c r="AA2286" s="2857"/>
      <c r="AB2286" s="2857"/>
      <c r="AC2286" s="2225">
        <v>0</v>
      </c>
      <c r="AD2286" s="2857"/>
      <c r="AE2286" s="2857"/>
      <c r="AF2286" s="2857"/>
      <c r="AG2286" s="2857"/>
      <c r="BB2286" s="575"/>
      <c r="BC2286" s="576"/>
      <c r="BD2286" s="678"/>
      <c r="BE2286" s="585"/>
    </row>
    <row r="2287" spans="1:57" s="1942" customFormat="1" ht="15" hidden="1" customHeight="1" outlineLevel="1" x14ac:dyDescent="0.25">
      <c r="A2287" s="1267"/>
      <c r="B2287" s="123"/>
      <c r="C2287" s="328"/>
      <c r="D2287" s="3990"/>
      <c r="E2287" s="4009"/>
      <c r="F2287" s="3010" t="str">
        <f>$E$1631</f>
        <v>ASHP-SEER17-Replace_CAC_NonElectricHeat_ER2_MF</v>
      </c>
      <c r="G2287" s="2676"/>
      <c r="H2287" s="2676"/>
      <c r="I2287" s="2677"/>
      <c r="J2287" s="3298" t="str">
        <f>$C$1631</f>
        <v>354160_2021_12_</v>
      </c>
      <c r="K2287" s="2225">
        <v>0</v>
      </c>
      <c r="L2287" s="851"/>
      <c r="M2287" s="3252" t="s">
        <v>1559</v>
      </c>
      <c r="N2287" s="123"/>
      <c r="O2287" s="228"/>
      <c r="P2287" s="228"/>
      <c r="Q2287" s="228"/>
      <c r="R2287" s="228"/>
      <c r="S2287" s="123"/>
      <c r="T2287" s="123"/>
      <c r="U2287" s="123"/>
      <c r="V2287" s="3990"/>
      <c r="W2287" s="2857"/>
      <c r="X2287" s="2857"/>
      <c r="Y2287" s="3155"/>
      <c r="Z2287" s="2857"/>
      <c r="AA2287" s="2857"/>
      <c r="AB2287" s="2857"/>
      <c r="AC2287" s="2225">
        <v>0</v>
      </c>
      <c r="AD2287" s="2857"/>
      <c r="AE2287" s="2857"/>
      <c r="AF2287" s="2857"/>
      <c r="AG2287" s="2857"/>
      <c r="BB2287" s="575"/>
      <c r="BC2287" s="576"/>
      <c r="BD2287" s="678"/>
      <c r="BE2287" s="585"/>
    </row>
    <row r="2288" spans="1:57" s="1942" customFormat="1" ht="15" hidden="1" customHeight="1" outlineLevel="1" x14ac:dyDescent="0.25">
      <c r="A2288" s="1267"/>
      <c r="B2288" s="123"/>
      <c r="C2288" s="328"/>
      <c r="D2288" s="3990"/>
      <c r="E2288" s="4009"/>
      <c r="F2288" s="3010" t="str">
        <f>$E$1633</f>
        <v>ASHP-SEER17-Replace_CAC_NonElectricHeat_ER1_MF_CompE</v>
      </c>
      <c r="G2288" s="2676"/>
      <c r="H2288" s="2676"/>
      <c r="I2288" s="2677"/>
      <c r="J2288" s="3298" t="str">
        <f>$C$1633</f>
        <v>354161_2021_12_</v>
      </c>
      <c r="K2288" s="2225">
        <v>0</v>
      </c>
      <c r="L2288" s="851"/>
      <c r="M2288" s="3252" t="s">
        <v>1559</v>
      </c>
      <c r="N2288" s="123"/>
      <c r="O2288" s="228"/>
      <c r="P2288" s="228"/>
      <c r="Q2288" s="228"/>
      <c r="R2288" s="228"/>
      <c r="S2288" s="123"/>
      <c r="T2288" s="123"/>
      <c r="U2288" s="123"/>
      <c r="V2288" s="3990"/>
      <c r="W2288" s="2857"/>
      <c r="X2288" s="2857"/>
      <c r="Y2288" s="3155"/>
      <c r="Z2288" s="2857"/>
      <c r="AA2288" s="2857"/>
      <c r="AB2288" s="2857"/>
      <c r="AC2288" s="2225">
        <v>0</v>
      </c>
      <c r="AD2288" s="2857"/>
      <c r="AE2288" s="2857"/>
      <c r="AF2288" s="2857"/>
      <c r="AG2288" s="2857"/>
      <c r="BB2288" s="575"/>
      <c r="BC2288" s="576"/>
      <c r="BD2288" s="678"/>
      <c r="BE2288" s="585"/>
    </row>
    <row r="2289" spans="1:57" s="1942" customFormat="1" ht="15" hidden="1" customHeight="1" outlineLevel="1" x14ac:dyDescent="0.25">
      <c r="A2289" s="1267"/>
      <c r="B2289" s="123"/>
      <c r="C2289" s="328"/>
      <c r="D2289" s="3990"/>
      <c r="E2289" s="4009"/>
      <c r="F2289" s="3010" t="str">
        <f>$E$1635</f>
        <v>ASHP-SEER17-Replace_CAC_NonElectricHeat_ER2_MF_CompE</v>
      </c>
      <c r="G2289" s="2676"/>
      <c r="H2289" s="2676"/>
      <c r="I2289" s="2677"/>
      <c r="J2289" s="3298" t="str">
        <f>$C$1635</f>
        <v>354161_2021_12_</v>
      </c>
      <c r="K2289" s="2225">
        <v>0</v>
      </c>
      <c r="L2289" s="851"/>
      <c r="M2289" s="3252" t="s">
        <v>1559</v>
      </c>
      <c r="N2289" s="123"/>
      <c r="O2289" s="228"/>
      <c r="P2289" s="228"/>
      <c r="Q2289" s="228"/>
      <c r="R2289" s="228"/>
      <c r="S2289" s="123"/>
      <c r="T2289" s="123"/>
      <c r="U2289" s="123"/>
      <c r="V2289" s="3990"/>
      <c r="W2289" s="2857"/>
      <c r="X2289" s="2857"/>
      <c r="Y2289" s="3155"/>
      <c r="Z2289" s="2857"/>
      <c r="AA2289" s="2857"/>
      <c r="AB2289" s="2857"/>
      <c r="AC2289" s="2225">
        <v>0</v>
      </c>
      <c r="AD2289" s="2857"/>
      <c r="AE2289" s="2857"/>
      <c r="AF2289" s="2857"/>
      <c r="AG2289" s="2857"/>
      <c r="BB2289" s="575"/>
      <c r="BC2289" s="576"/>
      <c r="BD2289" s="678"/>
      <c r="BE2289" s="585"/>
    </row>
    <row r="2290" spans="1:57" s="51" customFormat="1" ht="15" hidden="1" customHeight="1" outlineLevel="1" x14ac:dyDescent="0.25">
      <c r="A2290" s="1267"/>
      <c r="B2290" s="123"/>
      <c r="C2290" s="328"/>
      <c r="D2290" s="3990"/>
      <c r="E2290" s="4009"/>
      <c r="F2290" s="3010" t="str">
        <f>$E$1637</f>
        <v>ASHP-SEER17_ER1_MF</v>
      </c>
      <c r="G2290" s="2676"/>
      <c r="H2290" s="2676"/>
      <c r="I2290" s="2677"/>
      <c r="J2290" s="3299" t="str">
        <f>$C$1637</f>
        <v>354200_2019_12_</v>
      </c>
      <c r="K2290" s="2857">
        <v>6.58</v>
      </c>
      <c r="L2290" s="851"/>
      <c r="M2290" s="698" t="s">
        <v>1560</v>
      </c>
      <c r="N2290" s="123"/>
      <c r="O2290" s="228"/>
      <c r="P2290" s="228"/>
      <c r="Q2290" s="228"/>
      <c r="R2290" s="228"/>
      <c r="S2290" s="123"/>
      <c r="T2290" s="123"/>
      <c r="U2290" s="123"/>
      <c r="V2290" s="3990"/>
      <c r="W2290" s="2857">
        <v>5.44</v>
      </c>
      <c r="X2290" s="3155">
        <v>6.58</v>
      </c>
      <c r="Y2290" s="2857">
        <v>6.58</v>
      </c>
      <c r="Z2290" s="2857">
        <v>6.58</v>
      </c>
      <c r="AA2290" s="2857">
        <v>6.58</v>
      </c>
      <c r="AB2290" s="2857">
        <v>6.58</v>
      </c>
      <c r="AC2290" s="2857">
        <v>6.58</v>
      </c>
      <c r="AD2290" s="2857"/>
      <c r="AE2290" s="2857"/>
      <c r="AF2290" s="2857"/>
      <c r="AG2290" s="2857"/>
      <c r="AH2290" s="1942"/>
      <c r="AI2290" s="1942"/>
      <c r="AJ2290" s="1942"/>
      <c r="AK2290" s="1942"/>
      <c r="AL2290" s="1942"/>
      <c r="AM2290" s="1942"/>
      <c r="AN2290" s="1942"/>
      <c r="AO2290" s="1942"/>
      <c r="AP2290" s="1942"/>
      <c r="AQ2290" s="1942"/>
      <c r="AR2290" s="1942"/>
      <c r="AS2290" s="1942"/>
      <c r="AT2290" s="1942"/>
      <c r="AU2290" s="1942"/>
      <c r="AV2290" s="1942"/>
      <c r="AW2290" s="1942"/>
      <c r="AX2290" s="1942"/>
      <c r="AY2290" s="1942"/>
      <c r="AZ2290" s="1942"/>
      <c r="BA2290" s="1942"/>
      <c r="BB2290" s="575"/>
      <c r="BC2290" s="576"/>
      <c r="BD2290" s="678"/>
      <c r="BE2290" s="585"/>
    </row>
    <row r="2291" spans="1:57" s="51" customFormat="1" ht="15" hidden="1" customHeight="1" outlineLevel="1" x14ac:dyDescent="0.25">
      <c r="A2291" s="1267"/>
      <c r="B2291" s="123"/>
      <c r="C2291" s="328"/>
      <c r="D2291" s="3990"/>
      <c r="E2291" s="4009"/>
      <c r="F2291" s="3010" t="str">
        <f>$E$1639</f>
        <v>ASHP-SEER17_ER2_MF</v>
      </c>
      <c r="G2291" s="2676"/>
      <c r="H2291" s="2676"/>
      <c r="I2291" s="2677"/>
      <c r="J2291" s="3299" t="str">
        <f>$C$1639</f>
        <v>354200_2019_12_</v>
      </c>
      <c r="K2291" s="2857">
        <v>8.1999999999999993</v>
      </c>
      <c r="L2291" s="851"/>
      <c r="M2291" s="698" t="s">
        <v>1560</v>
      </c>
      <c r="N2291" s="123"/>
      <c r="O2291" s="228"/>
      <c r="P2291" s="228"/>
      <c r="Q2291" s="228"/>
      <c r="R2291" s="228"/>
      <c r="S2291" s="123"/>
      <c r="T2291" s="123"/>
      <c r="U2291" s="123"/>
      <c r="V2291" s="3990"/>
      <c r="W2291" s="2857">
        <v>8.1999999999999993</v>
      </c>
      <c r="X2291" s="2857">
        <v>8.1999999999999993</v>
      </c>
      <c r="Y2291" s="2857">
        <v>8.1999999999999993</v>
      </c>
      <c r="Z2291" s="2857">
        <v>8.1999999999999993</v>
      </c>
      <c r="AA2291" s="2857">
        <v>8.1999999999999993</v>
      </c>
      <c r="AB2291" s="2857">
        <v>8.1999999999999993</v>
      </c>
      <c r="AC2291" s="2857">
        <v>8.1999999999999993</v>
      </c>
      <c r="AD2291" s="2857"/>
      <c r="AE2291" s="2857"/>
      <c r="AF2291" s="2857"/>
      <c r="AG2291" s="2857"/>
      <c r="AH2291" s="1942"/>
      <c r="AI2291" s="1942"/>
      <c r="AJ2291" s="1942"/>
      <c r="AK2291" s="1942"/>
      <c r="AL2291" s="1942"/>
      <c r="AM2291" s="1942"/>
      <c r="AN2291" s="1942"/>
      <c r="AO2291" s="1942"/>
      <c r="AP2291" s="1942"/>
      <c r="AQ2291" s="1942"/>
      <c r="AR2291" s="1942"/>
      <c r="AS2291" s="1942"/>
      <c r="AT2291" s="1942"/>
      <c r="AU2291" s="1942"/>
      <c r="AV2291" s="1942"/>
      <c r="AW2291" s="1942"/>
      <c r="AX2291" s="1942"/>
      <c r="AY2291" s="1942"/>
      <c r="AZ2291" s="1942"/>
      <c r="BA2291" s="1942"/>
      <c r="BB2291" s="575"/>
      <c r="BC2291" s="576"/>
      <c r="BD2291" s="678"/>
      <c r="BE2291" s="585"/>
    </row>
    <row r="2292" spans="1:57" s="51" customFormat="1" ht="15" hidden="1" customHeight="1" outlineLevel="1" x14ac:dyDescent="0.25">
      <c r="A2292" s="1267"/>
      <c r="B2292" s="123"/>
      <c r="C2292" s="328"/>
      <c r="D2292" s="3990"/>
      <c r="E2292" s="4009"/>
      <c r="F2292" s="3010" t="str">
        <f>$E$1641</f>
        <v>ASHP-SEER17_ER1_MF_CompE</v>
      </c>
      <c r="G2292" s="2676"/>
      <c r="H2292" s="2676"/>
      <c r="I2292" s="2677"/>
      <c r="J2292" s="3299" t="str">
        <f>$C$1641</f>
        <v>354201_2019_12_</v>
      </c>
      <c r="K2292" s="2857">
        <v>6.58</v>
      </c>
      <c r="L2292" s="851"/>
      <c r="M2292" s="698" t="s">
        <v>1560</v>
      </c>
      <c r="N2292" s="123"/>
      <c r="O2292" s="228"/>
      <c r="P2292" s="228"/>
      <c r="Q2292" s="228"/>
      <c r="R2292" s="228"/>
      <c r="S2292" s="123"/>
      <c r="T2292" s="123"/>
      <c r="U2292" s="123"/>
      <c r="V2292" s="3990"/>
      <c r="W2292" s="2857"/>
      <c r="X2292" s="2857"/>
      <c r="Y2292" s="3155">
        <v>6.58</v>
      </c>
      <c r="Z2292" s="2857">
        <v>6.58</v>
      </c>
      <c r="AA2292" s="2857">
        <v>6.58</v>
      </c>
      <c r="AB2292" s="2857">
        <v>6.58</v>
      </c>
      <c r="AC2292" s="2857">
        <v>6.58</v>
      </c>
      <c r="AD2292" s="2857"/>
      <c r="AE2292" s="2857"/>
      <c r="AF2292" s="2857"/>
      <c r="AG2292" s="2857"/>
      <c r="AH2292" s="1942"/>
      <c r="AI2292" s="1942"/>
      <c r="AJ2292" s="1942"/>
      <c r="AK2292" s="1942"/>
      <c r="AL2292" s="1942"/>
      <c r="AM2292" s="1942"/>
      <c r="AN2292" s="1942"/>
      <c r="AO2292" s="1942"/>
      <c r="AP2292" s="1942"/>
      <c r="AQ2292" s="1942"/>
      <c r="AR2292" s="1942"/>
      <c r="AS2292" s="1942"/>
      <c r="AT2292" s="1942"/>
      <c r="AU2292" s="1942"/>
      <c r="AV2292" s="1942"/>
      <c r="AW2292" s="1942"/>
      <c r="AX2292" s="1942"/>
      <c r="AY2292" s="1942"/>
      <c r="AZ2292" s="1942"/>
      <c r="BA2292" s="1942"/>
      <c r="BB2292" s="575"/>
      <c r="BC2292" s="576"/>
      <c r="BD2292" s="678"/>
      <c r="BE2292" s="585"/>
    </row>
    <row r="2293" spans="1:57" s="51" customFormat="1" ht="15" hidden="1" customHeight="1" outlineLevel="1" x14ac:dyDescent="0.25">
      <c r="A2293" s="1267"/>
      <c r="B2293" s="123"/>
      <c r="C2293" s="328"/>
      <c r="D2293" s="3990"/>
      <c r="E2293" s="4009"/>
      <c r="F2293" s="3010" t="str">
        <f>$E$1643</f>
        <v>ASHP-SEER17_ER2_MF_CompE</v>
      </c>
      <c r="G2293" s="2676"/>
      <c r="H2293" s="2676"/>
      <c r="I2293" s="2677"/>
      <c r="J2293" s="3299" t="str">
        <f>$C$1643</f>
        <v>354201_2019_12_</v>
      </c>
      <c r="K2293" s="2857">
        <v>8.1999999999999993</v>
      </c>
      <c r="L2293" s="851"/>
      <c r="M2293" s="698" t="s">
        <v>1560</v>
      </c>
      <c r="N2293" s="123"/>
      <c r="O2293" s="228"/>
      <c r="P2293" s="228"/>
      <c r="Q2293" s="228"/>
      <c r="R2293" s="228"/>
      <c r="S2293" s="123"/>
      <c r="T2293" s="123"/>
      <c r="U2293" s="123"/>
      <c r="V2293" s="3990"/>
      <c r="W2293" s="2857"/>
      <c r="X2293" s="2857"/>
      <c r="Y2293" s="3155">
        <v>8.1999999999999993</v>
      </c>
      <c r="Z2293" s="2857">
        <v>8.1999999999999993</v>
      </c>
      <c r="AA2293" s="2857">
        <v>8.1999999999999993</v>
      </c>
      <c r="AB2293" s="2857">
        <v>8.1999999999999993</v>
      </c>
      <c r="AC2293" s="2857">
        <v>8.1999999999999993</v>
      </c>
      <c r="AD2293" s="2857"/>
      <c r="AE2293" s="2857"/>
      <c r="AF2293" s="2857"/>
      <c r="AG2293" s="2857"/>
      <c r="AH2293" s="1942"/>
      <c r="AI2293" s="1942"/>
      <c r="AJ2293" s="1942"/>
      <c r="AK2293" s="1942"/>
      <c r="AL2293" s="1942"/>
      <c r="AM2293" s="1942"/>
      <c r="AN2293" s="1942"/>
      <c r="AO2293" s="1942"/>
      <c r="AP2293" s="1942"/>
      <c r="AQ2293" s="1942"/>
      <c r="AR2293" s="1942"/>
      <c r="AS2293" s="1942"/>
      <c r="AT2293" s="1942"/>
      <c r="AU2293" s="1942"/>
      <c r="AV2293" s="1942"/>
      <c r="AW2293" s="1942"/>
      <c r="AX2293" s="1942"/>
      <c r="AY2293" s="1942"/>
      <c r="AZ2293" s="1942"/>
      <c r="BA2293" s="1942"/>
      <c r="BB2293" s="575"/>
      <c r="BC2293" s="576"/>
      <c r="BD2293" s="678"/>
      <c r="BE2293" s="585"/>
    </row>
    <row r="2294" spans="1:57" s="51" customFormat="1" ht="15" hidden="1" customHeight="1" outlineLevel="1" x14ac:dyDescent="0.25">
      <c r="A2294" s="1267"/>
      <c r="B2294" s="123"/>
      <c r="C2294" s="328"/>
      <c r="D2294" s="3990"/>
      <c r="E2294" s="4009"/>
      <c r="F2294" s="3010" t="str">
        <f>$E$1645</f>
        <v>ASHP-SEER18-Replace_CAC_ElectricHeat_ER1_SF</v>
      </c>
      <c r="G2294" s="2676"/>
      <c r="H2294" s="2676"/>
      <c r="I2294" s="2677"/>
      <c r="J2294" s="3298" t="str">
        <f>$C$1645</f>
        <v>354250_2021_12_</v>
      </c>
      <c r="K2294" s="2857">
        <v>3.41</v>
      </c>
      <c r="L2294" s="851"/>
      <c r="M2294" s="698" t="s">
        <v>838</v>
      </c>
      <c r="N2294" s="123"/>
      <c r="O2294" s="228"/>
      <c r="P2294" s="228"/>
      <c r="Q2294" s="228"/>
      <c r="R2294" s="228"/>
      <c r="S2294" s="123"/>
      <c r="T2294" s="123"/>
      <c r="U2294" s="123"/>
      <c r="V2294" s="3990"/>
      <c r="W2294" s="2857">
        <v>3.41</v>
      </c>
      <c r="X2294" s="2857">
        <v>3.41</v>
      </c>
      <c r="Y2294" s="2857">
        <v>3.41</v>
      </c>
      <c r="Z2294" s="2857">
        <v>3.41</v>
      </c>
      <c r="AA2294" s="2857">
        <v>3.41</v>
      </c>
      <c r="AB2294" s="2857">
        <v>3.41</v>
      </c>
      <c r="AC2294" s="2857">
        <v>3.41</v>
      </c>
      <c r="AD2294" s="2857"/>
      <c r="AE2294" s="2857"/>
      <c r="AF2294" s="2857"/>
      <c r="AG2294" s="2857"/>
      <c r="AH2294" s="1942"/>
      <c r="AI2294" s="1942"/>
      <c r="AJ2294" s="1942"/>
      <c r="AK2294" s="1942"/>
      <c r="AL2294" s="1942"/>
      <c r="AM2294" s="1942"/>
      <c r="AN2294" s="1942"/>
      <c r="AO2294" s="1942"/>
      <c r="AP2294" s="1942"/>
      <c r="AQ2294" s="1942"/>
      <c r="AR2294" s="1942"/>
      <c r="AS2294" s="1942"/>
      <c r="AT2294" s="1942"/>
      <c r="AU2294" s="1942"/>
      <c r="AV2294" s="1942"/>
      <c r="AW2294" s="1942"/>
      <c r="AX2294" s="1942"/>
      <c r="AY2294" s="1942"/>
      <c r="AZ2294" s="1942"/>
      <c r="BA2294" s="1942"/>
      <c r="BB2294" s="575"/>
      <c r="BC2294" s="576"/>
      <c r="BD2294" s="678"/>
      <c r="BE2294" s="585"/>
    </row>
    <row r="2295" spans="1:57" s="51" customFormat="1" ht="15" hidden="1" customHeight="1" outlineLevel="1" x14ac:dyDescent="0.25">
      <c r="A2295" s="1267"/>
      <c r="B2295" s="123"/>
      <c r="C2295" s="328"/>
      <c r="D2295" s="3990"/>
      <c r="E2295" s="4009"/>
      <c r="F2295" s="3010" t="str">
        <f>$E$1647</f>
        <v>ASHP-SEER18-Replace_CAC_ElectricHeat_ER2_SF</v>
      </c>
      <c r="G2295" s="2676"/>
      <c r="H2295" s="2676"/>
      <c r="I2295" s="2677"/>
      <c r="J2295" s="3298" t="str">
        <f>$C$1647</f>
        <v>354250_2021_12_</v>
      </c>
      <c r="K2295" s="2857">
        <v>3.41</v>
      </c>
      <c r="L2295" s="851"/>
      <c r="M2295" s="698" t="s">
        <v>838</v>
      </c>
      <c r="N2295" s="123"/>
      <c r="O2295" s="228"/>
      <c r="P2295" s="228"/>
      <c r="Q2295" s="228"/>
      <c r="R2295" s="228"/>
      <c r="S2295" s="123"/>
      <c r="T2295" s="123"/>
      <c r="U2295" s="123"/>
      <c r="V2295" s="3990"/>
      <c r="W2295" s="2857">
        <v>3.41</v>
      </c>
      <c r="X2295" s="2857">
        <v>3.41</v>
      </c>
      <c r="Y2295" s="2857">
        <v>3.41</v>
      </c>
      <c r="Z2295" s="2857">
        <v>3.41</v>
      </c>
      <c r="AA2295" s="2857">
        <v>3.41</v>
      </c>
      <c r="AB2295" s="2857">
        <v>3.41</v>
      </c>
      <c r="AC2295" s="2857">
        <v>3.41</v>
      </c>
      <c r="AD2295" s="2857"/>
      <c r="AE2295" s="2857"/>
      <c r="AF2295" s="2857"/>
      <c r="AG2295" s="2857"/>
      <c r="AH2295" s="1942"/>
      <c r="AI2295" s="1942"/>
      <c r="AJ2295" s="1942"/>
      <c r="AK2295" s="1942"/>
      <c r="AL2295" s="1942"/>
      <c r="AM2295" s="1942"/>
      <c r="AN2295" s="1942"/>
      <c r="AO2295" s="1942"/>
      <c r="AP2295" s="1942"/>
      <c r="AQ2295" s="1942"/>
      <c r="AR2295" s="1942"/>
      <c r="AS2295" s="1942"/>
      <c r="AT2295" s="1942"/>
      <c r="AU2295" s="1942"/>
      <c r="AV2295" s="1942"/>
      <c r="AW2295" s="1942"/>
      <c r="AX2295" s="1942"/>
      <c r="AY2295" s="1942"/>
      <c r="AZ2295" s="1942"/>
      <c r="BA2295" s="1942"/>
      <c r="BB2295" s="575"/>
      <c r="BC2295" s="576"/>
      <c r="BD2295" s="678"/>
      <c r="BE2295" s="585"/>
    </row>
    <row r="2296" spans="1:57" s="1942" customFormat="1" ht="15" hidden="1" customHeight="1" outlineLevel="1" x14ac:dyDescent="0.25">
      <c r="A2296" s="1267"/>
      <c r="B2296" s="123"/>
      <c r="C2296" s="328"/>
      <c r="D2296" s="3990"/>
      <c r="E2296" s="4009"/>
      <c r="F2296" s="3010" t="str">
        <f>$E$1649</f>
        <v>ASHP-SEER18-Replace_CAC_NonElectricHeat_ER1_SF</v>
      </c>
      <c r="G2296" s="2676"/>
      <c r="H2296" s="2676"/>
      <c r="I2296" s="2677"/>
      <c r="J2296" s="3298" t="str">
        <f>$C$1649</f>
        <v>354260_2021_12_</v>
      </c>
      <c r="K2296" s="2225">
        <v>0</v>
      </c>
      <c r="L2296" s="851"/>
      <c r="M2296" s="3252" t="s">
        <v>1559</v>
      </c>
      <c r="N2296" s="123"/>
      <c r="O2296" s="228"/>
      <c r="P2296" s="228"/>
      <c r="Q2296" s="228"/>
      <c r="R2296" s="228"/>
      <c r="S2296" s="123"/>
      <c r="T2296" s="123"/>
      <c r="U2296" s="123"/>
      <c r="V2296" s="3990"/>
      <c r="W2296" s="2857"/>
      <c r="X2296" s="2857"/>
      <c r="Y2296" s="2857"/>
      <c r="Z2296" s="2857"/>
      <c r="AA2296" s="2857"/>
      <c r="AB2296" s="2857"/>
      <c r="AC2296" s="2225">
        <v>0</v>
      </c>
      <c r="AD2296" s="2857"/>
      <c r="AE2296" s="2857"/>
      <c r="AF2296" s="2857"/>
      <c r="AG2296" s="2857"/>
      <c r="BB2296" s="575"/>
      <c r="BC2296" s="576"/>
      <c r="BD2296" s="678"/>
      <c r="BE2296" s="585"/>
    </row>
    <row r="2297" spans="1:57" s="1942" customFormat="1" ht="15" hidden="1" customHeight="1" outlineLevel="1" x14ac:dyDescent="0.25">
      <c r="A2297" s="1267"/>
      <c r="B2297" s="123"/>
      <c r="C2297" s="328"/>
      <c r="D2297" s="3990"/>
      <c r="E2297" s="4009"/>
      <c r="F2297" s="3010" t="str">
        <f>$E$1651</f>
        <v>ASHP-SEER18-Replace_CAC_NonElectricHeat_ER2_SF</v>
      </c>
      <c r="G2297" s="2676"/>
      <c r="H2297" s="2676"/>
      <c r="I2297" s="2677"/>
      <c r="J2297" s="3298" t="str">
        <f>$C$1651</f>
        <v>354260_2021_12_</v>
      </c>
      <c r="K2297" s="2225">
        <v>0</v>
      </c>
      <c r="L2297" s="851"/>
      <c r="M2297" s="3252" t="s">
        <v>1559</v>
      </c>
      <c r="N2297" s="123"/>
      <c r="O2297" s="228"/>
      <c r="P2297" s="228"/>
      <c r="Q2297" s="228"/>
      <c r="R2297" s="228"/>
      <c r="S2297" s="123"/>
      <c r="T2297" s="123"/>
      <c r="U2297" s="123"/>
      <c r="V2297" s="3990"/>
      <c r="W2297" s="2857"/>
      <c r="X2297" s="2857"/>
      <c r="Y2297" s="2857"/>
      <c r="Z2297" s="2857"/>
      <c r="AA2297" s="2857"/>
      <c r="AB2297" s="2857"/>
      <c r="AC2297" s="2225">
        <v>0</v>
      </c>
      <c r="AD2297" s="2857"/>
      <c r="AE2297" s="2857"/>
      <c r="AF2297" s="2857"/>
      <c r="AG2297" s="2857"/>
      <c r="BB2297" s="575"/>
      <c r="BC2297" s="576"/>
      <c r="BD2297" s="678"/>
      <c r="BE2297" s="585"/>
    </row>
    <row r="2298" spans="1:57" s="51" customFormat="1" ht="15" hidden="1" customHeight="1" outlineLevel="1" x14ac:dyDescent="0.25">
      <c r="A2298" s="1267"/>
      <c r="B2298" s="123"/>
      <c r="C2298" s="328"/>
      <c r="D2298" s="3990"/>
      <c r="E2298" s="4009"/>
      <c r="F2298" s="3010" t="str">
        <f>$E$1653</f>
        <v>ASHP-SEER18-Replace_CAC_ElectricHeat_ER1_MF</v>
      </c>
      <c r="G2298" s="2676"/>
      <c r="H2298" s="2676"/>
      <c r="I2298" s="2677"/>
      <c r="J2298" s="3298" t="str">
        <f>$C$1653</f>
        <v>354300_2021_12_</v>
      </c>
      <c r="K2298" s="2857">
        <v>3.41</v>
      </c>
      <c r="L2298" s="851"/>
      <c r="M2298" s="698" t="s">
        <v>1560</v>
      </c>
      <c r="N2298" s="123"/>
      <c r="O2298" s="228"/>
      <c r="P2298" s="228"/>
      <c r="Q2298" s="228"/>
      <c r="R2298" s="228"/>
      <c r="S2298" s="123"/>
      <c r="T2298" s="123"/>
      <c r="U2298" s="123"/>
      <c r="V2298" s="3990"/>
      <c r="W2298" s="2857">
        <v>3.41</v>
      </c>
      <c r="X2298" s="2857">
        <v>3.41</v>
      </c>
      <c r="Y2298" s="2857">
        <v>3.41</v>
      </c>
      <c r="Z2298" s="2857">
        <v>3.41</v>
      </c>
      <c r="AA2298" s="2857">
        <v>3.41</v>
      </c>
      <c r="AB2298" s="2857">
        <v>3.41</v>
      </c>
      <c r="AC2298" s="2857">
        <v>3.41</v>
      </c>
      <c r="AD2298" s="2857"/>
      <c r="AE2298" s="2857"/>
      <c r="AF2298" s="2857"/>
      <c r="AG2298" s="2857"/>
      <c r="AH2298" s="1942"/>
      <c r="AI2298" s="1942"/>
      <c r="AJ2298" s="1942"/>
      <c r="AK2298" s="1942"/>
      <c r="AL2298" s="1942"/>
      <c r="AM2298" s="1942"/>
      <c r="AN2298" s="1942"/>
      <c r="AO2298" s="1942"/>
      <c r="AP2298" s="1942"/>
      <c r="AQ2298" s="1942"/>
      <c r="AR2298" s="1942"/>
      <c r="AS2298" s="1942"/>
      <c r="AT2298" s="1942"/>
      <c r="AU2298" s="1942"/>
      <c r="AV2298" s="1942"/>
      <c r="AW2298" s="1942"/>
      <c r="AX2298" s="1942"/>
      <c r="AY2298" s="1942"/>
      <c r="AZ2298" s="1942"/>
      <c r="BA2298" s="1942"/>
      <c r="BB2298" s="575"/>
      <c r="BC2298" s="576"/>
      <c r="BD2298" s="678"/>
      <c r="BE2298" s="585"/>
    </row>
    <row r="2299" spans="1:57" s="51" customFormat="1" ht="15" hidden="1" customHeight="1" outlineLevel="1" x14ac:dyDescent="0.25">
      <c r="A2299" s="1267"/>
      <c r="B2299" s="123"/>
      <c r="C2299" s="328"/>
      <c r="D2299" s="3990"/>
      <c r="E2299" s="4009"/>
      <c r="F2299" s="3010" t="str">
        <f>$E$1655</f>
        <v>ASHP-SEER18-Replace_CAC_ElectricHeat_ER2_MF</v>
      </c>
      <c r="G2299" s="2676"/>
      <c r="H2299" s="2676"/>
      <c r="I2299" s="2677"/>
      <c r="J2299" s="3298" t="str">
        <f>$C$1655</f>
        <v>354300_2021_12_</v>
      </c>
      <c r="K2299" s="2857">
        <v>3.41</v>
      </c>
      <c r="L2299" s="851"/>
      <c r="M2299" s="698" t="s">
        <v>1560</v>
      </c>
      <c r="N2299" s="123"/>
      <c r="O2299" s="228"/>
      <c r="P2299" s="228"/>
      <c r="Q2299" s="228"/>
      <c r="R2299" s="228"/>
      <c r="S2299" s="123"/>
      <c r="T2299" s="123"/>
      <c r="U2299" s="123"/>
      <c r="V2299" s="3990"/>
      <c r="W2299" s="2857">
        <v>3.41</v>
      </c>
      <c r="X2299" s="2857">
        <v>3.41</v>
      </c>
      <c r="Y2299" s="2857">
        <v>3.41</v>
      </c>
      <c r="Z2299" s="2857">
        <v>3.41</v>
      </c>
      <c r="AA2299" s="2857">
        <v>3.41</v>
      </c>
      <c r="AB2299" s="2857">
        <v>3.41</v>
      </c>
      <c r="AC2299" s="2857">
        <v>3.41</v>
      </c>
      <c r="AD2299" s="2857"/>
      <c r="AE2299" s="2857"/>
      <c r="AF2299" s="2857"/>
      <c r="AG2299" s="2857"/>
      <c r="AH2299" s="1942"/>
      <c r="AI2299" s="1942"/>
      <c r="AJ2299" s="1942"/>
      <c r="AK2299" s="1942"/>
      <c r="AL2299" s="1942"/>
      <c r="AM2299" s="1942"/>
      <c r="AN2299" s="1942"/>
      <c r="AO2299" s="1942"/>
      <c r="AP2299" s="1942"/>
      <c r="AQ2299" s="1942"/>
      <c r="AR2299" s="1942"/>
      <c r="AS2299" s="1942"/>
      <c r="AT2299" s="1942"/>
      <c r="AU2299" s="1942"/>
      <c r="AV2299" s="1942"/>
      <c r="AW2299" s="1942"/>
      <c r="AX2299" s="1942"/>
      <c r="AY2299" s="1942"/>
      <c r="AZ2299" s="1942"/>
      <c r="BA2299" s="1942"/>
      <c r="BB2299" s="575"/>
      <c r="BC2299" s="576"/>
      <c r="BD2299" s="678"/>
      <c r="BE2299" s="585"/>
    </row>
    <row r="2300" spans="1:57" s="51" customFormat="1" ht="15" hidden="1" customHeight="1" outlineLevel="1" x14ac:dyDescent="0.25">
      <c r="A2300" s="1267"/>
      <c r="B2300" s="123"/>
      <c r="C2300" s="328"/>
      <c r="D2300" s="3990"/>
      <c r="E2300" s="4009"/>
      <c r="F2300" s="3010" t="str">
        <f>$E$1657</f>
        <v>ASHP-SEER18-Replace_CAC_ElectricHeat_ER1_MF_CompE</v>
      </c>
      <c r="G2300" s="2676"/>
      <c r="H2300" s="2676"/>
      <c r="I2300" s="2677"/>
      <c r="J2300" s="3298" t="str">
        <f>$C$1657</f>
        <v>354301_2021_12_</v>
      </c>
      <c r="K2300" s="2857">
        <v>3.41</v>
      </c>
      <c r="L2300" s="851"/>
      <c r="M2300" s="698" t="s">
        <v>1560</v>
      </c>
      <c r="N2300" s="123"/>
      <c r="O2300" s="228"/>
      <c r="P2300" s="228"/>
      <c r="Q2300" s="228"/>
      <c r="R2300" s="228"/>
      <c r="S2300" s="123"/>
      <c r="T2300" s="123"/>
      <c r="U2300" s="123"/>
      <c r="V2300" s="3990"/>
      <c r="W2300" s="2857"/>
      <c r="X2300" s="2857"/>
      <c r="Y2300" s="3155">
        <v>3.41</v>
      </c>
      <c r="Z2300" s="2857">
        <v>3.41</v>
      </c>
      <c r="AA2300" s="2857">
        <v>3.41</v>
      </c>
      <c r="AB2300" s="2857">
        <v>3.41</v>
      </c>
      <c r="AC2300" s="2857">
        <v>3.41</v>
      </c>
      <c r="AD2300" s="2857"/>
      <c r="AE2300" s="2857"/>
      <c r="AF2300" s="2857"/>
      <c r="AG2300" s="2857"/>
      <c r="AH2300" s="1942"/>
      <c r="AI2300" s="1942"/>
      <c r="AJ2300" s="1942"/>
      <c r="AK2300" s="1942"/>
      <c r="AL2300" s="1942"/>
      <c r="AM2300" s="1942"/>
      <c r="AN2300" s="1942"/>
      <c r="AO2300" s="1942"/>
      <c r="AP2300" s="1942"/>
      <c r="AQ2300" s="1942"/>
      <c r="AR2300" s="1942"/>
      <c r="AS2300" s="1942"/>
      <c r="AT2300" s="1942"/>
      <c r="AU2300" s="1942"/>
      <c r="AV2300" s="1942"/>
      <c r="AW2300" s="1942"/>
      <c r="AX2300" s="1942"/>
      <c r="AY2300" s="1942"/>
      <c r="AZ2300" s="1942"/>
      <c r="BA2300" s="1942"/>
      <c r="BB2300" s="575"/>
      <c r="BC2300" s="576"/>
      <c r="BD2300" s="678"/>
      <c r="BE2300" s="585"/>
    </row>
    <row r="2301" spans="1:57" s="51" customFormat="1" ht="15" hidden="1" customHeight="1" outlineLevel="1" x14ac:dyDescent="0.25">
      <c r="A2301" s="1267"/>
      <c r="B2301" s="123"/>
      <c r="C2301" s="328"/>
      <c r="D2301" s="3990"/>
      <c r="E2301" s="4009"/>
      <c r="F2301" s="3010" t="str">
        <f>$E$1659</f>
        <v>ASHP-SEER18-Replace_CAC_ElectricHeat_ER2_MF_CompE</v>
      </c>
      <c r="G2301" s="2676"/>
      <c r="H2301" s="2676"/>
      <c r="I2301" s="2677"/>
      <c r="J2301" s="3298" t="str">
        <f>$C$1659</f>
        <v>354301_2021_12_</v>
      </c>
      <c r="K2301" s="2857">
        <v>3.41</v>
      </c>
      <c r="L2301" s="851"/>
      <c r="M2301" s="698" t="s">
        <v>1560</v>
      </c>
      <c r="N2301" s="123"/>
      <c r="O2301" s="228"/>
      <c r="P2301" s="228"/>
      <c r="Q2301" s="228"/>
      <c r="R2301" s="228"/>
      <c r="S2301" s="123"/>
      <c r="T2301" s="123"/>
      <c r="U2301" s="123"/>
      <c r="V2301" s="3990"/>
      <c r="W2301" s="2857"/>
      <c r="X2301" s="2857"/>
      <c r="Y2301" s="3155">
        <v>3.41</v>
      </c>
      <c r="Z2301" s="2857">
        <v>3.41</v>
      </c>
      <c r="AA2301" s="2857">
        <v>3.41</v>
      </c>
      <c r="AB2301" s="2857">
        <v>3.41</v>
      </c>
      <c r="AC2301" s="2857">
        <v>3.41</v>
      </c>
      <c r="AD2301" s="2857"/>
      <c r="AE2301" s="2857"/>
      <c r="AF2301" s="2857"/>
      <c r="AG2301" s="2857"/>
      <c r="AH2301" s="1942"/>
      <c r="AI2301" s="1942"/>
      <c r="AJ2301" s="1942"/>
      <c r="AK2301" s="1942"/>
      <c r="AL2301" s="1942"/>
      <c r="AM2301" s="1942"/>
      <c r="AN2301" s="1942"/>
      <c r="AO2301" s="1942"/>
      <c r="AP2301" s="1942"/>
      <c r="AQ2301" s="1942"/>
      <c r="AR2301" s="1942"/>
      <c r="AS2301" s="1942"/>
      <c r="AT2301" s="1942"/>
      <c r="AU2301" s="1942"/>
      <c r="AV2301" s="1942"/>
      <c r="AW2301" s="1942"/>
      <c r="AX2301" s="1942"/>
      <c r="AY2301" s="1942"/>
      <c r="AZ2301" s="1942"/>
      <c r="BA2301" s="1942"/>
      <c r="BB2301" s="575"/>
      <c r="BC2301" s="576"/>
      <c r="BD2301" s="678"/>
      <c r="BE2301" s="585"/>
    </row>
    <row r="2302" spans="1:57" s="1942" customFormat="1" ht="15" hidden="1" customHeight="1" outlineLevel="1" x14ac:dyDescent="0.25">
      <c r="A2302" s="1267"/>
      <c r="B2302" s="123"/>
      <c r="C2302" s="328"/>
      <c r="D2302" s="3990"/>
      <c r="E2302" s="4009"/>
      <c r="F2302" s="3010" t="str">
        <f>$E$1661</f>
        <v>ASHP-SEER18-Replace_CAC_NonElectricHeat_ER1_MF</v>
      </c>
      <c r="G2302" s="2676"/>
      <c r="H2302" s="2676"/>
      <c r="I2302" s="2677"/>
      <c r="J2302" s="3298" t="str">
        <f>$C$1661</f>
        <v>354310_2021_12_</v>
      </c>
      <c r="K2302" s="2225">
        <v>0</v>
      </c>
      <c r="L2302" s="851"/>
      <c r="M2302" s="3252" t="s">
        <v>1559</v>
      </c>
      <c r="N2302" s="123"/>
      <c r="O2302" s="228"/>
      <c r="P2302" s="228"/>
      <c r="Q2302" s="228"/>
      <c r="R2302" s="228"/>
      <c r="S2302" s="123"/>
      <c r="T2302" s="123"/>
      <c r="U2302" s="123"/>
      <c r="V2302" s="3990"/>
      <c r="W2302" s="2857"/>
      <c r="X2302" s="2857"/>
      <c r="Y2302" s="3155"/>
      <c r="Z2302" s="2857"/>
      <c r="AA2302" s="2857"/>
      <c r="AB2302" s="2857"/>
      <c r="AC2302" s="2225">
        <v>0</v>
      </c>
      <c r="AD2302" s="2857"/>
      <c r="AE2302" s="2857"/>
      <c r="AF2302" s="2857"/>
      <c r="AG2302" s="2857"/>
      <c r="BB2302" s="575"/>
      <c r="BC2302" s="576"/>
      <c r="BD2302" s="678"/>
      <c r="BE2302" s="585"/>
    </row>
    <row r="2303" spans="1:57" s="1942" customFormat="1" ht="15" hidden="1" customHeight="1" outlineLevel="1" x14ac:dyDescent="0.25">
      <c r="A2303" s="1267"/>
      <c r="B2303" s="123"/>
      <c r="C2303" s="328"/>
      <c r="D2303" s="3990"/>
      <c r="E2303" s="4009"/>
      <c r="F2303" s="3010" t="str">
        <f>$E$1663</f>
        <v>ASHP-SEER18-Replace_CAC_NonElectricHeat_ER2_MF</v>
      </c>
      <c r="G2303" s="2676"/>
      <c r="H2303" s="2676"/>
      <c r="I2303" s="2677"/>
      <c r="J2303" s="3298" t="str">
        <f>$C$1663</f>
        <v>354310_2021_12_</v>
      </c>
      <c r="K2303" s="2225">
        <v>0</v>
      </c>
      <c r="L2303" s="851"/>
      <c r="M2303" s="3252" t="s">
        <v>1559</v>
      </c>
      <c r="N2303" s="123"/>
      <c r="O2303" s="228"/>
      <c r="P2303" s="228"/>
      <c r="Q2303" s="228"/>
      <c r="R2303" s="228"/>
      <c r="S2303" s="123"/>
      <c r="T2303" s="123"/>
      <c r="U2303" s="123"/>
      <c r="V2303" s="3990"/>
      <c r="W2303" s="2857"/>
      <c r="X2303" s="2857"/>
      <c r="Y2303" s="3155"/>
      <c r="Z2303" s="2857"/>
      <c r="AA2303" s="2857"/>
      <c r="AB2303" s="2857"/>
      <c r="AC2303" s="2225">
        <v>0</v>
      </c>
      <c r="AD2303" s="2857"/>
      <c r="AE2303" s="2857"/>
      <c r="AF2303" s="2857"/>
      <c r="AG2303" s="2857"/>
      <c r="BB2303" s="575"/>
      <c r="BC2303" s="576"/>
      <c r="BD2303" s="678"/>
      <c r="BE2303" s="585"/>
    </row>
    <row r="2304" spans="1:57" s="1942" customFormat="1" ht="15" hidden="1" customHeight="1" outlineLevel="1" x14ac:dyDescent="0.25">
      <c r="A2304" s="1267"/>
      <c r="B2304" s="123"/>
      <c r="C2304" s="328"/>
      <c r="D2304" s="3990"/>
      <c r="E2304" s="4009"/>
      <c r="F2304" s="3010" t="str">
        <f>$E$1665</f>
        <v>ASHP-SEER18-Replace_CAC_NonElectricHeat_ER1_MF_CompE</v>
      </c>
      <c r="G2304" s="2676"/>
      <c r="H2304" s="2676"/>
      <c r="I2304" s="2677"/>
      <c r="J2304" s="3298" t="str">
        <f>$C$1665</f>
        <v>354311_2021_12_</v>
      </c>
      <c r="K2304" s="2225">
        <v>0</v>
      </c>
      <c r="L2304" s="851"/>
      <c r="M2304" s="3252" t="s">
        <v>1559</v>
      </c>
      <c r="N2304" s="123"/>
      <c r="O2304" s="228"/>
      <c r="P2304" s="228"/>
      <c r="Q2304" s="228"/>
      <c r="R2304" s="228"/>
      <c r="S2304" s="123"/>
      <c r="T2304" s="123"/>
      <c r="U2304" s="123"/>
      <c r="V2304" s="3990"/>
      <c r="W2304" s="2857"/>
      <c r="X2304" s="2857"/>
      <c r="Y2304" s="3155"/>
      <c r="Z2304" s="2857"/>
      <c r="AA2304" s="2857"/>
      <c r="AB2304" s="2857"/>
      <c r="AC2304" s="2225">
        <v>0</v>
      </c>
      <c r="AD2304" s="2857"/>
      <c r="AE2304" s="2857"/>
      <c r="AF2304" s="2857"/>
      <c r="AG2304" s="2857"/>
      <c r="BB2304" s="575"/>
      <c r="BC2304" s="576"/>
      <c r="BD2304" s="678"/>
      <c r="BE2304" s="585"/>
    </row>
    <row r="2305" spans="1:57" s="1942" customFormat="1" ht="15" hidden="1" customHeight="1" outlineLevel="1" x14ac:dyDescent="0.25">
      <c r="A2305" s="1267"/>
      <c r="B2305" s="123"/>
      <c r="C2305" s="328"/>
      <c r="D2305" s="3990"/>
      <c r="E2305" s="4009"/>
      <c r="F2305" s="3010" t="str">
        <f>$E$1667</f>
        <v>ASHP-SEER18-Replace_CAC_NonElectricHeat_ER2_MF_CompE</v>
      </c>
      <c r="G2305" s="2676"/>
      <c r="H2305" s="2676"/>
      <c r="I2305" s="2677"/>
      <c r="J2305" s="3298" t="str">
        <f>$C$1667</f>
        <v>354311_2021_12_</v>
      </c>
      <c r="K2305" s="2225">
        <v>0</v>
      </c>
      <c r="L2305" s="851"/>
      <c r="M2305" s="3252" t="s">
        <v>1559</v>
      </c>
      <c r="N2305" s="123"/>
      <c r="O2305" s="228"/>
      <c r="P2305" s="228"/>
      <c r="Q2305" s="228"/>
      <c r="R2305" s="228"/>
      <c r="S2305" s="123"/>
      <c r="T2305" s="123"/>
      <c r="U2305" s="123"/>
      <c r="V2305" s="3990"/>
      <c r="W2305" s="2857"/>
      <c r="X2305" s="2857"/>
      <c r="Y2305" s="3155"/>
      <c r="Z2305" s="2857"/>
      <c r="AA2305" s="2857"/>
      <c r="AB2305" s="2857"/>
      <c r="AC2305" s="2225">
        <v>0</v>
      </c>
      <c r="AD2305" s="2857"/>
      <c r="AE2305" s="2857"/>
      <c r="AF2305" s="2857"/>
      <c r="AG2305" s="2857"/>
      <c r="BB2305" s="575"/>
      <c r="BC2305" s="576"/>
      <c r="BD2305" s="678"/>
      <c r="BE2305" s="585"/>
    </row>
    <row r="2306" spans="1:57" s="51" customFormat="1" ht="15" hidden="1" customHeight="1" outlineLevel="1" x14ac:dyDescent="0.25">
      <c r="A2306" s="1267"/>
      <c r="B2306" s="123"/>
      <c r="C2306" s="328"/>
      <c r="D2306" s="3990"/>
      <c r="E2306" s="4009"/>
      <c r="F2306" s="3010" t="str">
        <f>$E$1669</f>
        <v>ASHP-SEER18_ER1_MF</v>
      </c>
      <c r="G2306" s="2676"/>
      <c r="H2306" s="2676"/>
      <c r="I2306" s="2677"/>
      <c r="J2306" s="3298" t="str">
        <f>$C$1669</f>
        <v>354350_2021_12_</v>
      </c>
      <c r="K2306" s="2857">
        <v>6.58</v>
      </c>
      <c r="L2306" s="851"/>
      <c r="M2306" s="698" t="s">
        <v>1560</v>
      </c>
      <c r="N2306" s="123"/>
      <c r="O2306" s="228"/>
      <c r="P2306" s="228"/>
      <c r="Q2306" s="228"/>
      <c r="R2306" s="228"/>
      <c r="S2306" s="123"/>
      <c r="T2306" s="123"/>
      <c r="U2306" s="123"/>
      <c r="V2306" s="3990"/>
      <c r="W2306" s="2857">
        <v>5.44</v>
      </c>
      <c r="X2306" s="3155">
        <v>6.58</v>
      </c>
      <c r="Y2306" s="2857">
        <v>6.58</v>
      </c>
      <c r="Z2306" s="2857">
        <v>6.58</v>
      </c>
      <c r="AA2306" s="2857">
        <v>6.58</v>
      </c>
      <c r="AB2306" s="2857">
        <v>6.58</v>
      </c>
      <c r="AC2306" s="2857">
        <v>6.58</v>
      </c>
      <c r="AD2306" s="2857"/>
      <c r="AE2306" s="2857"/>
      <c r="AF2306" s="2857"/>
      <c r="AG2306" s="2857"/>
      <c r="AH2306" s="1942"/>
      <c r="AI2306" s="1942"/>
      <c r="AJ2306" s="1942"/>
      <c r="AK2306" s="1942"/>
      <c r="AL2306" s="1942"/>
      <c r="AM2306" s="1942"/>
      <c r="AN2306" s="1942"/>
      <c r="AO2306" s="1942"/>
      <c r="AP2306" s="1942"/>
      <c r="AQ2306" s="1942"/>
      <c r="AR2306" s="1942"/>
      <c r="AS2306" s="1942"/>
      <c r="AT2306" s="1942"/>
      <c r="AU2306" s="1942"/>
      <c r="AV2306" s="1942"/>
      <c r="AW2306" s="1942"/>
      <c r="AX2306" s="1942"/>
      <c r="AY2306" s="1942"/>
      <c r="AZ2306" s="1942"/>
      <c r="BA2306" s="1942"/>
      <c r="BB2306" s="575"/>
      <c r="BC2306" s="576"/>
      <c r="BD2306" s="678"/>
      <c r="BE2306" s="585"/>
    </row>
    <row r="2307" spans="1:57" s="51" customFormat="1" ht="15" hidden="1" customHeight="1" outlineLevel="1" x14ac:dyDescent="0.25">
      <c r="A2307" s="1267"/>
      <c r="B2307" s="123"/>
      <c r="C2307" s="328"/>
      <c r="D2307" s="3990"/>
      <c r="E2307" s="4009"/>
      <c r="F2307" s="3010" t="str">
        <f>$E$1671</f>
        <v>ASHP-SEER18_ER2_MF</v>
      </c>
      <c r="G2307" s="2676"/>
      <c r="H2307" s="2676"/>
      <c r="I2307" s="2677"/>
      <c r="J2307" s="3298" t="str">
        <f>$C$1671</f>
        <v>354350_2021_12_</v>
      </c>
      <c r="K2307" s="2857">
        <v>8.1999999999999993</v>
      </c>
      <c r="L2307" s="851"/>
      <c r="M2307" s="698" t="s">
        <v>1560</v>
      </c>
      <c r="N2307" s="123"/>
      <c r="O2307" s="228"/>
      <c r="P2307" s="228"/>
      <c r="Q2307" s="228"/>
      <c r="R2307" s="228"/>
      <c r="S2307" s="123"/>
      <c r="T2307" s="123"/>
      <c r="U2307" s="123"/>
      <c r="V2307" s="3990"/>
      <c r="W2307" s="2857">
        <v>8.1999999999999993</v>
      </c>
      <c r="X2307" s="2857">
        <v>8.1999999999999993</v>
      </c>
      <c r="Y2307" s="2857">
        <v>8.1999999999999993</v>
      </c>
      <c r="Z2307" s="2857">
        <v>8.1999999999999993</v>
      </c>
      <c r="AA2307" s="2857">
        <v>8.1999999999999993</v>
      </c>
      <c r="AB2307" s="2857">
        <v>8.1999999999999993</v>
      </c>
      <c r="AC2307" s="2857">
        <v>8.1999999999999993</v>
      </c>
      <c r="AD2307" s="2857"/>
      <c r="AE2307" s="2857"/>
      <c r="AF2307" s="2857"/>
      <c r="AG2307" s="2857"/>
      <c r="AH2307" s="1942"/>
      <c r="AI2307" s="1942"/>
      <c r="AJ2307" s="1942"/>
      <c r="AK2307" s="1942"/>
      <c r="AL2307" s="1942"/>
      <c r="AM2307" s="1942"/>
      <c r="AN2307" s="1942"/>
      <c r="AO2307" s="1942"/>
      <c r="AP2307" s="1942"/>
      <c r="AQ2307" s="1942"/>
      <c r="AR2307" s="1942"/>
      <c r="AS2307" s="1942"/>
      <c r="AT2307" s="1942"/>
      <c r="AU2307" s="1942"/>
      <c r="AV2307" s="1942"/>
      <c r="AW2307" s="1942"/>
      <c r="AX2307" s="1942"/>
      <c r="AY2307" s="1942"/>
      <c r="AZ2307" s="1942"/>
      <c r="BA2307" s="1942"/>
      <c r="BB2307" s="575"/>
      <c r="BC2307" s="576"/>
      <c r="BD2307" s="678"/>
      <c r="BE2307" s="585"/>
    </row>
    <row r="2308" spans="1:57" s="51" customFormat="1" ht="15" hidden="1" customHeight="1" outlineLevel="1" x14ac:dyDescent="0.25">
      <c r="A2308" s="1267"/>
      <c r="B2308" s="123"/>
      <c r="C2308" s="328"/>
      <c r="D2308" s="3990"/>
      <c r="E2308" s="4009"/>
      <c r="F2308" s="3010" t="str">
        <f>$E$1673</f>
        <v>ASHP-SEER18_ER1_MF_CompE</v>
      </c>
      <c r="G2308" s="2676"/>
      <c r="H2308" s="2676"/>
      <c r="I2308" s="2677"/>
      <c r="J2308" s="3298" t="str">
        <f>$C$1673</f>
        <v>354351_2021_12_</v>
      </c>
      <c r="K2308" s="2857">
        <v>6.58</v>
      </c>
      <c r="L2308" s="851"/>
      <c r="M2308" s="698" t="s">
        <v>1560</v>
      </c>
      <c r="N2308" s="123"/>
      <c r="O2308" s="228"/>
      <c r="P2308" s="228"/>
      <c r="Q2308" s="228"/>
      <c r="R2308" s="228"/>
      <c r="S2308" s="123"/>
      <c r="T2308" s="123"/>
      <c r="U2308" s="123"/>
      <c r="V2308" s="3990"/>
      <c r="W2308" s="2857"/>
      <c r="X2308" s="2857"/>
      <c r="Y2308" s="3155">
        <v>6.58</v>
      </c>
      <c r="Z2308" s="2857">
        <v>6.58</v>
      </c>
      <c r="AA2308" s="2857">
        <v>6.58</v>
      </c>
      <c r="AB2308" s="2857">
        <v>6.58</v>
      </c>
      <c r="AC2308" s="2857">
        <v>6.58</v>
      </c>
      <c r="AD2308" s="2857"/>
      <c r="AE2308" s="2857"/>
      <c r="AF2308" s="2857"/>
      <c r="AG2308" s="2857"/>
      <c r="AH2308" s="1942"/>
      <c r="AI2308" s="1942"/>
      <c r="AJ2308" s="1942"/>
      <c r="AK2308" s="1942"/>
      <c r="AL2308" s="1942"/>
      <c r="AM2308" s="1942"/>
      <c r="AN2308" s="1942"/>
      <c r="AO2308" s="1942"/>
      <c r="AP2308" s="1942"/>
      <c r="AQ2308" s="1942"/>
      <c r="AR2308" s="1942"/>
      <c r="AS2308" s="1942"/>
      <c r="AT2308" s="1942"/>
      <c r="AU2308" s="1942"/>
      <c r="AV2308" s="1942"/>
      <c r="AW2308" s="1942"/>
      <c r="AX2308" s="1942"/>
      <c r="AY2308" s="1942"/>
      <c r="AZ2308" s="1942"/>
      <c r="BA2308" s="1942"/>
      <c r="BB2308" s="575"/>
      <c r="BC2308" s="576"/>
      <c r="BD2308" s="678"/>
      <c r="BE2308" s="585"/>
    </row>
    <row r="2309" spans="1:57" s="51" customFormat="1" ht="15" hidden="1" customHeight="1" outlineLevel="1" x14ac:dyDescent="0.25">
      <c r="A2309" s="1267"/>
      <c r="B2309" s="123"/>
      <c r="C2309" s="328"/>
      <c r="D2309" s="3990"/>
      <c r="E2309" s="4009"/>
      <c r="F2309" s="3010" t="str">
        <f>$E$1675</f>
        <v>ASHP-SEER18_ER2_MF_CompE</v>
      </c>
      <c r="G2309" s="2676"/>
      <c r="H2309" s="2676"/>
      <c r="I2309" s="2677"/>
      <c r="J2309" s="3298" t="str">
        <f>$C$1675</f>
        <v>354351_2021_12_</v>
      </c>
      <c r="K2309" s="2857">
        <v>8.1999999999999993</v>
      </c>
      <c r="L2309" s="851"/>
      <c r="M2309" s="698" t="s">
        <v>1560</v>
      </c>
      <c r="N2309" s="123"/>
      <c r="O2309" s="228"/>
      <c r="P2309" s="228"/>
      <c r="Q2309" s="228"/>
      <c r="R2309" s="228"/>
      <c r="S2309" s="123"/>
      <c r="T2309" s="123"/>
      <c r="U2309" s="123"/>
      <c r="V2309" s="3990"/>
      <c r="W2309" s="2857"/>
      <c r="X2309" s="2857"/>
      <c r="Y2309" s="3155">
        <v>8.1999999999999993</v>
      </c>
      <c r="Z2309" s="2857">
        <v>8.1999999999999993</v>
      </c>
      <c r="AA2309" s="2857">
        <v>8.1999999999999993</v>
      </c>
      <c r="AB2309" s="2857">
        <v>8.1999999999999993</v>
      </c>
      <c r="AC2309" s="2857">
        <v>8.1999999999999993</v>
      </c>
      <c r="AD2309" s="2857"/>
      <c r="AE2309" s="2857"/>
      <c r="AF2309" s="2857"/>
      <c r="AG2309" s="2857"/>
      <c r="AH2309" s="1942"/>
      <c r="AI2309" s="1942"/>
      <c r="AJ2309" s="1942"/>
      <c r="AK2309" s="1942"/>
      <c r="AL2309" s="1942"/>
      <c r="AM2309" s="1942"/>
      <c r="AN2309" s="1942"/>
      <c r="AO2309" s="1942"/>
      <c r="AP2309" s="1942"/>
      <c r="AQ2309" s="1942"/>
      <c r="AR2309" s="1942"/>
      <c r="AS2309" s="1942"/>
      <c r="AT2309" s="1942"/>
      <c r="AU2309" s="1942"/>
      <c r="AV2309" s="1942"/>
      <c r="AW2309" s="1942"/>
      <c r="AX2309" s="1942"/>
      <c r="AY2309" s="1942"/>
      <c r="AZ2309" s="1942"/>
      <c r="BA2309" s="1942"/>
      <c r="BB2309" s="575"/>
      <c r="BC2309" s="576"/>
      <c r="BD2309" s="678"/>
      <c r="BE2309" s="585"/>
    </row>
    <row r="2310" spans="1:57" s="51" customFormat="1" ht="15" hidden="1" customHeight="1" outlineLevel="1" x14ac:dyDescent="0.25">
      <c r="A2310" s="1267"/>
      <c r="B2310" s="123"/>
      <c r="C2310" s="328"/>
      <c r="D2310" s="3990"/>
      <c r="E2310" s="4009"/>
      <c r="F2310" s="3010" t="str">
        <f>$E$1677</f>
        <v>ASHP-SEER19-Replace_CAC_ElectricHeat_ER1_SF</v>
      </c>
      <c r="G2310" s="2676"/>
      <c r="H2310" s="2676"/>
      <c r="I2310" s="2677"/>
      <c r="J2310" s="3298" t="str">
        <f>$C$1677</f>
        <v>354400_2021_12_</v>
      </c>
      <c r="K2310" s="2857">
        <v>3.41</v>
      </c>
      <c r="L2310" s="851"/>
      <c r="M2310" s="698" t="s">
        <v>838</v>
      </c>
      <c r="N2310" s="123"/>
      <c r="O2310" s="228"/>
      <c r="P2310" s="228"/>
      <c r="Q2310" s="228"/>
      <c r="R2310" s="228"/>
      <c r="S2310" s="123"/>
      <c r="T2310" s="123"/>
      <c r="U2310" s="123"/>
      <c r="V2310" s="3990"/>
      <c r="W2310" s="2857">
        <v>3.41</v>
      </c>
      <c r="X2310" s="2857">
        <v>3.41</v>
      </c>
      <c r="Y2310" s="2857">
        <v>3.41</v>
      </c>
      <c r="Z2310" s="2857">
        <v>3.41</v>
      </c>
      <c r="AA2310" s="2857">
        <v>3.41</v>
      </c>
      <c r="AB2310" s="2857">
        <v>3.41</v>
      </c>
      <c r="AC2310" s="2857">
        <v>3.41</v>
      </c>
      <c r="AD2310" s="2857"/>
      <c r="AE2310" s="2857"/>
      <c r="AF2310" s="2857"/>
      <c r="AG2310" s="2857"/>
      <c r="AH2310" s="1942"/>
      <c r="AI2310" s="1942"/>
      <c r="AJ2310" s="1942"/>
      <c r="AK2310" s="1942"/>
      <c r="AL2310" s="1942"/>
      <c r="AM2310" s="1942"/>
      <c r="AN2310" s="1942"/>
      <c r="AO2310" s="1942"/>
      <c r="AP2310" s="1942"/>
      <c r="AQ2310" s="1942"/>
      <c r="AR2310" s="1942"/>
      <c r="AS2310" s="1942"/>
      <c r="AT2310" s="1942"/>
      <c r="AU2310" s="1942"/>
      <c r="AV2310" s="1942"/>
      <c r="AW2310" s="1942"/>
      <c r="AX2310" s="1942"/>
      <c r="AY2310" s="1942"/>
      <c r="AZ2310" s="1942"/>
      <c r="BA2310" s="1942"/>
      <c r="BB2310" s="575"/>
      <c r="BC2310" s="576"/>
      <c r="BD2310" s="678"/>
      <c r="BE2310" s="585"/>
    </row>
    <row r="2311" spans="1:57" s="51" customFormat="1" ht="15" hidden="1" customHeight="1" outlineLevel="1" x14ac:dyDescent="0.25">
      <c r="A2311" s="1267"/>
      <c r="B2311" s="123"/>
      <c r="C2311" s="328"/>
      <c r="D2311" s="3990"/>
      <c r="E2311" s="4009"/>
      <c r="F2311" s="3010" t="str">
        <f>$E$1679</f>
        <v>ASHP-SEER19-Replace_CAC_ElectricHeat_ER2_SF</v>
      </c>
      <c r="G2311" s="2676"/>
      <c r="H2311" s="2676"/>
      <c r="I2311" s="2677"/>
      <c r="J2311" s="3298" t="str">
        <f>$C$1679</f>
        <v>354400_2021_12_</v>
      </c>
      <c r="K2311" s="2857">
        <v>3.41</v>
      </c>
      <c r="L2311" s="851"/>
      <c r="M2311" s="698" t="s">
        <v>838</v>
      </c>
      <c r="N2311" s="123"/>
      <c r="O2311" s="228"/>
      <c r="P2311" s="228"/>
      <c r="Q2311" s="228"/>
      <c r="R2311" s="228"/>
      <c r="S2311" s="123"/>
      <c r="T2311" s="123"/>
      <c r="U2311" s="123"/>
      <c r="V2311" s="3990"/>
      <c r="W2311" s="2857">
        <v>3.41</v>
      </c>
      <c r="X2311" s="2857">
        <v>3.41</v>
      </c>
      <c r="Y2311" s="2857">
        <v>3.41</v>
      </c>
      <c r="Z2311" s="2857">
        <v>3.41</v>
      </c>
      <c r="AA2311" s="2857">
        <v>3.41</v>
      </c>
      <c r="AB2311" s="2857">
        <v>3.41</v>
      </c>
      <c r="AC2311" s="2857">
        <v>3.41</v>
      </c>
      <c r="AD2311" s="2857"/>
      <c r="AE2311" s="2857"/>
      <c r="AF2311" s="2857"/>
      <c r="AG2311" s="2857"/>
      <c r="AH2311" s="1942"/>
      <c r="AI2311" s="1942"/>
      <c r="AJ2311" s="1942"/>
      <c r="AK2311" s="1942"/>
      <c r="AL2311" s="1942"/>
      <c r="AM2311" s="1942"/>
      <c r="AN2311" s="1942"/>
      <c r="AO2311" s="1942"/>
      <c r="AP2311" s="1942"/>
      <c r="AQ2311" s="1942"/>
      <c r="AR2311" s="1942"/>
      <c r="AS2311" s="1942"/>
      <c r="AT2311" s="1942"/>
      <c r="AU2311" s="1942"/>
      <c r="AV2311" s="1942"/>
      <c r="AW2311" s="1942"/>
      <c r="AX2311" s="1942"/>
      <c r="AY2311" s="1942"/>
      <c r="AZ2311" s="1942"/>
      <c r="BA2311" s="1942"/>
      <c r="BB2311" s="575"/>
      <c r="BC2311" s="576"/>
      <c r="BD2311" s="678"/>
      <c r="BE2311" s="585"/>
    </row>
    <row r="2312" spans="1:57" s="1942" customFormat="1" ht="15" hidden="1" customHeight="1" outlineLevel="1" x14ac:dyDescent="0.25">
      <c r="A2312" s="1267"/>
      <c r="B2312" s="123"/>
      <c r="C2312" s="328"/>
      <c r="D2312" s="3990"/>
      <c r="E2312" s="4009"/>
      <c r="F2312" s="3010" t="str">
        <f>$E$1681</f>
        <v>ASHP-SEER19-Replace_CAC_NonElectricHeat_ER1_SF</v>
      </c>
      <c r="G2312" s="2676"/>
      <c r="H2312" s="2676"/>
      <c r="I2312" s="2677"/>
      <c r="J2312" s="3298" t="str">
        <f>$C$1681</f>
        <v>354410_2021_12_</v>
      </c>
      <c r="K2312" s="2225">
        <v>0</v>
      </c>
      <c r="L2312" s="851"/>
      <c r="M2312" s="3252" t="s">
        <v>1559</v>
      </c>
      <c r="N2312" s="123"/>
      <c r="O2312" s="228"/>
      <c r="P2312" s="228"/>
      <c r="Q2312" s="228"/>
      <c r="R2312" s="228"/>
      <c r="S2312" s="123"/>
      <c r="T2312" s="123"/>
      <c r="U2312" s="123"/>
      <c r="V2312" s="3990"/>
      <c r="W2312" s="2857"/>
      <c r="X2312" s="2857"/>
      <c r="Y2312" s="2857"/>
      <c r="Z2312" s="2857"/>
      <c r="AA2312" s="2857"/>
      <c r="AB2312" s="2857"/>
      <c r="AC2312" s="2225">
        <v>0</v>
      </c>
      <c r="AD2312" s="2857"/>
      <c r="AE2312" s="2857"/>
      <c r="AF2312" s="2857"/>
      <c r="AG2312" s="2857"/>
      <c r="BB2312" s="575"/>
      <c r="BC2312" s="576"/>
      <c r="BD2312" s="678"/>
      <c r="BE2312" s="585"/>
    </row>
    <row r="2313" spans="1:57" s="1942" customFormat="1" ht="15" hidden="1" customHeight="1" outlineLevel="1" x14ac:dyDescent="0.25">
      <c r="A2313" s="1267"/>
      <c r="B2313" s="123"/>
      <c r="C2313" s="328"/>
      <c r="D2313" s="3990"/>
      <c r="E2313" s="4009"/>
      <c r="F2313" s="3010" t="str">
        <f>$E$1683</f>
        <v>ASHP-SEER19-Replace_CAC_NonElectricHeat_ER2_SF</v>
      </c>
      <c r="G2313" s="2676"/>
      <c r="H2313" s="2676"/>
      <c r="I2313" s="2677"/>
      <c r="J2313" s="3298" t="str">
        <f>$C$1683</f>
        <v>354410_2021_12_</v>
      </c>
      <c r="K2313" s="2225">
        <v>0</v>
      </c>
      <c r="L2313" s="851"/>
      <c r="M2313" s="3252" t="s">
        <v>1559</v>
      </c>
      <c r="N2313" s="123"/>
      <c r="O2313" s="228"/>
      <c r="P2313" s="228"/>
      <c r="Q2313" s="228"/>
      <c r="R2313" s="228"/>
      <c r="S2313" s="123"/>
      <c r="T2313" s="123"/>
      <c r="U2313" s="123"/>
      <c r="V2313" s="3990"/>
      <c r="W2313" s="2857"/>
      <c r="X2313" s="2857"/>
      <c r="Y2313" s="2857"/>
      <c r="Z2313" s="2857"/>
      <c r="AA2313" s="2857"/>
      <c r="AB2313" s="2857"/>
      <c r="AC2313" s="2225">
        <v>0</v>
      </c>
      <c r="AD2313" s="2857"/>
      <c r="AE2313" s="2857"/>
      <c r="AF2313" s="2857"/>
      <c r="AG2313" s="2857"/>
      <c r="BB2313" s="575"/>
      <c r="BC2313" s="576"/>
      <c r="BD2313" s="678"/>
      <c r="BE2313" s="585"/>
    </row>
    <row r="2314" spans="1:57" s="51" customFormat="1" ht="15" hidden="1" customHeight="1" outlineLevel="1" x14ac:dyDescent="0.25">
      <c r="A2314" s="1267"/>
      <c r="B2314" s="123"/>
      <c r="C2314" s="328"/>
      <c r="D2314" s="3990"/>
      <c r="E2314" s="4009"/>
      <c r="F2314" s="3010" t="str">
        <f>$E$1685</f>
        <v>ASHP-SEER19-Replace_CAC_ElectricHeat_ER1_MF</v>
      </c>
      <c r="G2314" s="2676"/>
      <c r="H2314" s="2676"/>
      <c r="I2314" s="2677"/>
      <c r="J2314" s="3299" t="str">
        <f>$C$1685</f>
        <v>354450_2019_12_</v>
      </c>
      <c r="K2314" s="2857">
        <v>3.41</v>
      </c>
      <c r="L2314" s="851"/>
      <c r="M2314" s="698" t="s">
        <v>1560</v>
      </c>
      <c r="N2314" s="123"/>
      <c r="O2314" s="228"/>
      <c r="P2314" s="228"/>
      <c r="Q2314" s="228"/>
      <c r="R2314" s="228"/>
      <c r="S2314" s="123"/>
      <c r="T2314" s="123"/>
      <c r="U2314" s="123"/>
      <c r="V2314" s="3990"/>
      <c r="W2314" s="2857">
        <v>3.41</v>
      </c>
      <c r="X2314" s="2857">
        <v>3.41</v>
      </c>
      <c r="Y2314" s="2857">
        <v>3.41</v>
      </c>
      <c r="Z2314" s="2857">
        <v>3.41</v>
      </c>
      <c r="AA2314" s="2857">
        <v>3.41</v>
      </c>
      <c r="AB2314" s="2857">
        <v>3.41</v>
      </c>
      <c r="AC2314" s="2857">
        <v>3.41</v>
      </c>
      <c r="AD2314" s="2857"/>
      <c r="AE2314" s="2857"/>
      <c r="AF2314" s="2857"/>
      <c r="AG2314" s="2857"/>
      <c r="AH2314" s="1942"/>
      <c r="AI2314" s="1942"/>
      <c r="AJ2314" s="1942"/>
      <c r="AK2314" s="1942"/>
      <c r="AL2314" s="1942"/>
      <c r="AM2314" s="1942"/>
      <c r="AN2314" s="1942"/>
      <c r="AO2314" s="1942"/>
      <c r="AP2314" s="1942"/>
      <c r="AQ2314" s="1942"/>
      <c r="AR2314" s="1942"/>
      <c r="AS2314" s="1942"/>
      <c r="AT2314" s="1942"/>
      <c r="AU2314" s="1942"/>
      <c r="AV2314" s="1942"/>
      <c r="AW2314" s="1942"/>
      <c r="AX2314" s="1942"/>
      <c r="AY2314" s="1942"/>
      <c r="AZ2314" s="1942"/>
      <c r="BA2314" s="1942"/>
      <c r="BB2314" s="575"/>
      <c r="BC2314" s="576"/>
      <c r="BD2314" s="678"/>
      <c r="BE2314" s="585"/>
    </row>
    <row r="2315" spans="1:57" s="51" customFormat="1" ht="15" hidden="1" customHeight="1" outlineLevel="1" x14ac:dyDescent="0.25">
      <c r="A2315" s="1267"/>
      <c r="B2315" s="123"/>
      <c r="C2315" s="328"/>
      <c r="D2315" s="3990"/>
      <c r="E2315" s="4009"/>
      <c r="F2315" s="3010" t="str">
        <f>$E$1687</f>
        <v>ASHP-SEER19-Replace_CAC_ElectricHeat_ER2_MF</v>
      </c>
      <c r="G2315" s="2676"/>
      <c r="H2315" s="2676"/>
      <c r="I2315" s="2677"/>
      <c r="J2315" s="3299" t="str">
        <f>$C$1687</f>
        <v>354450_2019_12_</v>
      </c>
      <c r="K2315" s="2857">
        <v>3.41</v>
      </c>
      <c r="L2315" s="851"/>
      <c r="M2315" s="698" t="s">
        <v>1560</v>
      </c>
      <c r="N2315" s="123"/>
      <c r="O2315" s="228"/>
      <c r="P2315" s="228"/>
      <c r="Q2315" s="228"/>
      <c r="R2315" s="228"/>
      <c r="S2315" s="123"/>
      <c r="T2315" s="123"/>
      <c r="U2315" s="123"/>
      <c r="V2315" s="3990"/>
      <c r="W2315" s="2857">
        <v>3.41</v>
      </c>
      <c r="X2315" s="2857">
        <v>3.41</v>
      </c>
      <c r="Y2315" s="2857">
        <v>3.41</v>
      </c>
      <c r="Z2315" s="2857">
        <v>3.41</v>
      </c>
      <c r="AA2315" s="2857">
        <v>3.41</v>
      </c>
      <c r="AB2315" s="2857">
        <v>3.41</v>
      </c>
      <c r="AC2315" s="2857">
        <v>3.41</v>
      </c>
      <c r="AD2315" s="2857"/>
      <c r="AE2315" s="2857"/>
      <c r="AF2315" s="2857"/>
      <c r="AG2315" s="2857"/>
      <c r="AH2315" s="1942"/>
      <c r="AI2315" s="1942"/>
      <c r="AJ2315" s="1942"/>
      <c r="AK2315" s="1942"/>
      <c r="AL2315" s="1942"/>
      <c r="AM2315" s="1942"/>
      <c r="AN2315" s="1942"/>
      <c r="AO2315" s="1942"/>
      <c r="AP2315" s="1942"/>
      <c r="AQ2315" s="1942"/>
      <c r="AR2315" s="1942"/>
      <c r="AS2315" s="1942"/>
      <c r="AT2315" s="1942"/>
      <c r="AU2315" s="1942"/>
      <c r="AV2315" s="1942"/>
      <c r="AW2315" s="1942"/>
      <c r="AX2315" s="1942"/>
      <c r="AY2315" s="1942"/>
      <c r="AZ2315" s="1942"/>
      <c r="BA2315" s="1942"/>
      <c r="BB2315" s="575"/>
      <c r="BC2315" s="576"/>
      <c r="BD2315" s="678"/>
      <c r="BE2315" s="585"/>
    </row>
    <row r="2316" spans="1:57" s="51" customFormat="1" ht="15" hidden="1" customHeight="1" outlineLevel="1" x14ac:dyDescent="0.25">
      <c r="A2316" s="1267"/>
      <c r="B2316" s="123"/>
      <c r="C2316" s="328"/>
      <c r="D2316" s="3990"/>
      <c r="E2316" s="4009"/>
      <c r="F2316" s="3010" t="str">
        <f>$E$1689</f>
        <v>ASHP-SEER19-Replace_CAC_ElectricHeat_ER1_MF_CompE</v>
      </c>
      <c r="G2316" s="2676"/>
      <c r="H2316" s="2676"/>
      <c r="I2316" s="2677"/>
      <c r="J2316" s="3299" t="str">
        <f>$C$1689</f>
        <v>354451_2019_12_</v>
      </c>
      <c r="K2316" s="2857">
        <v>3.41</v>
      </c>
      <c r="L2316" s="851"/>
      <c r="M2316" s="698" t="s">
        <v>1560</v>
      </c>
      <c r="N2316" s="123"/>
      <c r="O2316" s="228"/>
      <c r="P2316" s="228"/>
      <c r="Q2316" s="228"/>
      <c r="R2316" s="228"/>
      <c r="S2316" s="123"/>
      <c r="T2316" s="123"/>
      <c r="U2316" s="123"/>
      <c r="V2316" s="3990"/>
      <c r="W2316" s="2857"/>
      <c r="X2316" s="2857"/>
      <c r="Y2316" s="3155">
        <v>3.41</v>
      </c>
      <c r="Z2316" s="2857">
        <v>3.41</v>
      </c>
      <c r="AA2316" s="2857">
        <v>3.41</v>
      </c>
      <c r="AB2316" s="2857">
        <v>3.41</v>
      </c>
      <c r="AC2316" s="2857">
        <v>3.41</v>
      </c>
      <c r="AD2316" s="2857"/>
      <c r="AE2316" s="2857"/>
      <c r="AF2316" s="2857"/>
      <c r="AG2316" s="2857"/>
      <c r="AH2316" s="1942"/>
      <c r="AI2316" s="1942"/>
      <c r="AJ2316" s="1942"/>
      <c r="AK2316" s="1942"/>
      <c r="AL2316" s="1942"/>
      <c r="AM2316" s="1942"/>
      <c r="AN2316" s="1942"/>
      <c r="AO2316" s="1942"/>
      <c r="AP2316" s="1942"/>
      <c r="AQ2316" s="1942"/>
      <c r="AR2316" s="1942"/>
      <c r="AS2316" s="1942"/>
      <c r="AT2316" s="1942"/>
      <c r="AU2316" s="1942"/>
      <c r="AV2316" s="1942"/>
      <c r="AW2316" s="1942"/>
      <c r="AX2316" s="1942"/>
      <c r="AY2316" s="1942"/>
      <c r="AZ2316" s="1942"/>
      <c r="BA2316" s="1942"/>
      <c r="BB2316" s="575"/>
      <c r="BC2316" s="576"/>
      <c r="BD2316" s="678"/>
      <c r="BE2316" s="585"/>
    </row>
    <row r="2317" spans="1:57" s="51" customFormat="1" ht="15" hidden="1" customHeight="1" outlineLevel="1" x14ac:dyDescent="0.25">
      <c r="A2317" s="1267"/>
      <c r="B2317" s="123"/>
      <c r="C2317" s="328"/>
      <c r="D2317" s="3990"/>
      <c r="E2317" s="4009"/>
      <c r="F2317" s="3010" t="str">
        <f>$E$1691</f>
        <v>ASHP-SEER19-Replace_CAC_ElectricHeat_ER2_MF_CompE</v>
      </c>
      <c r="G2317" s="2676"/>
      <c r="H2317" s="2676"/>
      <c r="I2317" s="2677"/>
      <c r="J2317" s="3299" t="str">
        <f>$C$1691</f>
        <v>354451_2019_12_</v>
      </c>
      <c r="K2317" s="2857">
        <v>3.41</v>
      </c>
      <c r="L2317" s="851"/>
      <c r="M2317" s="698" t="s">
        <v>1560</v>
      </c>
      <c r="N2317" s="123"/>
      <c r="O2317" s="228"/>
      <c r="P2317" s="228"/>
      <c r="Q2317" s="228"/>
      <c r="R2317" s="228"/>
      <c r="S2317" s="123"/>
      <c r="T2317" s="123"/>
      <c r="U2317" s="123"/>
      <c r="V2317" s="3990"/>
      <c r="W2317" s="2857"/>
      <c r="X2317" s="2857"/>
      <c r="Y2317" s="3155">
        <v>3.41</v>
      </c>
      <c r="Z2317" s="2857">
        <v>3.41</v>
      </c>
      <c r="AA2317" s="2857">
        <v>3.41</v>
      </c>
      <c r="AB2317" s="2857">
        <v>3.41</v>
      </c>
      <c r="AC2317" s="2857">
        <v>3.41</v>
      </c>
      <c r="AD2317" s="2857"/>
      <c r="AE2317" s="2857"/>
      <c r="AF2317" s="2857"/>
      <c r="AG2317" s="2857"/>
      <c r="AH2317" s="1942"/>
      <c r="AI2317" s="1942"/>
      <c r="AJ2317" s="1942"/>
      <c r="AK2317" s="1942"/>
      <c r="AL2317" s="1942"/>
      <c r="AM2317" s="1942"/>
      <c r="AN2317" s="1942"/>
      <c r="AO2317" s="1942"/>
      <c r="AP2317" s="1942"/>
      <c r="AQ2317" s="1942"/>
      <c r="AR2317" s="1942"/>
      <c r="AS2317" s="1942"/>
      <c r="AT2317" s="1942"/>
      <c r="AU2317" s="1942"/>
      <c r="AV2317" s="1942"/>
      <c r="AW2317" s="1942"/>
      <c r="AX2317" s="1942"/>
      <c r="AY2317" s="1942"/>
      <c r="AZ2317" s="1942"/>
      <c r="BA2317" s="1942"/>
      <c r="BB2317" s="575"/>
      <c r="BC2317" s="576"/>
      <c r="BD2317" s="678"/>
      <c r="BE2317" s="585"/>
    </row>
    <row r="2318" spans="1:57" s="1942" customFormat="1" ht="15" hidden="1" customHeight="1" outlineLevel="1" x14ac:dyDescent="0.25">
      <c r="A2318" s="1267"/>
      <c r="B2318" s="123"/>
      <c r="C2318" s="328"/>
      <c r="D2318" s="3990"/>
      <c r="E2318" s="4009"/>
      <c r="F2318" s="3010" t="str">
        <f>$E$1693</f>
        <v>ASHP-SEER19-Replace_CAC_NonElectricHeat_ER1_MF</v>
      </c>
      <c r="G2318" s="2676"/>
      <c r="H2318" s="2676"/>
      <c r="I2318" s="2677"/>
      <c r="J2318" s="3298" t="str">
        <f>$C$1693</f>
        <v>354460_2021_12_</v>
      </c>
      <c r="K2318" s="2225">
        <v>0</v>
      </c>
      <c r="L2318" s="851"/>
      <c r="M2318" s="3252" t="s">
        <v>1559</v>
      </c>
      <c r="N2318" s="123"/>
      <c r="O2318" s="228"/>
      <c r="P2318" s="228"/>
      <c r="Q2318" s="228"/>
      <c r="R2318" s="228"/>
      <c r="S2318" s="123"/>
      <c r="T2318" s="123"/>
      <c r="U2318" s="123"/>
      <c r="V2318" s="3990"/>
      <c r="W2318" s="2857"/>
      <c r="X2318" s="2857"/>
      <c r="Y2318" s="3155"/>
      <c r="Z2318" s="2857"/>
      <c r="AA2318" s="2857"/>
      <c r="AB2318" s="2857"/>
      <c r="AC2318" s="2225">
        <v>0</v>
      </c>
      <c r="AD2318" s="2857"/>
      <c r="AE2318" s="2857"/>
      <c r="AF2318" s="2857"/>
      <c r="AG2318" s="2857"/>
      <c r="BB2318" s="575"/>
      <c r="BC2318" s="576"/>
      <c r="BD2318" s="678"/>
      <c r="BE2318" s="585"/>
    </row>
    <row r="2319" spans="1:57" s="1942" customFormat="1" ht="15" hidden="1" customHeight="1" outlineLevel="1" x14ac:dyDescent="0.25">
      <c r="A2319" s="1267"/>
      <c r="B2319" s="123"/>
      <c r="C2319" s="328"/>
      <c r="D2319" s="3990"/>
      <c r="E2319" s="4009"/>
      <c r="F2319" s="3010" t="str">
        <f>$E$1695</f>
        <v>ASHP-SEER19-Replace_CAC_NonElectricHeat_ER2_MF</v>
      </c>
      <c r="G2319" s="2676"/>
      <c r="H2319" s="2676"/>
      <c r="I2319" s="2677"/>
      <c r="J2319" s="3298" t="str">
        <f>$C$1695</f>
        <v>354460_2021_12_</v>
      </c>
      <c r="K2319" s="2225">
        <v>0</v>
      </c>
      <c r="L2319" s="851"/>
      <c r="M2319" s="3252" t="s">
        <v>1559</v>
      </c>
      <c r="N2319" s="123"/>
      <c r="O2319" s="228"/>
      <c r="P2319" s="228"/>
      <c r="Q2319" s="228"/>
      <c r="R2319" s="228"/>
      <c r="S2319" s="123"/>
      <c r="T2319" s="123"/>
      <c r="U2319" s="123"/>
      <c r="V2319" s="3990"/>
      <c r="W2319" s="2857"/>
      <c r="X2319" s="2857"/>
      <c r="Y2319" s="3155"/>
      <c r="Z2319" s="2857"/>
      <c r="AA2319" s="2857"/>
      <c r="AB2319" s="2857"/>
      <c r="AC2319" s="2225">
        <v>0</v>
      </c>
      <c r="AD2319" s="2857"/>
      <c r="AE2319" s="2857"/>
      <c r="AF2319" s="2857"/>
      <c r="AG2319" s="2857"/>
      <c r="BB2319" s="575"/>
      <c r="BC2319" s="576"/>
      <c r="BD2319" s="678"/>
      <c r="BE2319" s="585"/>
    </row>
    <row r="2320" spans="1:57" s="1942" customFormat="1" ht="15" hidden="1" customHeight="1" outlineLevel="1" x14ac:dyDescent="0.25">
      <c r="A2320" s="1267"/>
      <c r="B2320" s="123"/>
      <c r="C2320" s="328"/>
      <c r="D2320" s="3990"/>
      <c r="E2320" s="4009"/>
      <c r="F2320" s="3010" t="str">
        <f>$E$1697</f>
        <v>ASHP-SEER19-Replace_CAC_NonElectricHeat_ER1_MF_CompE</v>
      </c>
      <c r="G2320" s="2676"/>
      <c r="H2320" s="2676"/>
      <c r="I2320" s="2677"/>
      <c r="J2320" s="3298" t="str">
        <f>$C$1697</f>
        <v>354461_2021_12_</v>
      </c>
      <c r="K2320" s="2225">
        <v>0</v>
      </c>
      <c r="L2320" s="851"/>
      <c r="M2320" s="3252" t="s">
        <v>1559</v>
      </c>
      <c r="N2320" s="123"/>
      <c r="O2320" s="228"/>
      <c r="P2320" s="228"/>
      <c r="Q2320" s="228"/>
      <c r="R2320" s="228"/>
      <c r="S2320" s="123"/>
      <c r="T2320" s="123"/>
      <c r="U2320" s="123"/>
      <c r="V2320" s="3990"/>
      <c r="W2320" s="2857"/>
      <c r="X2320" s="2857"/>
      <c r="Y2320" s="3155"/>
      <c r="Z2320" s="2857"/>
      <c r="AA2320" s="2857"/>
      <c r="AB2320" s="2857"/>
      <c r="AC2320" s="2225">
        <v>0</v>
      </c>
      <c r="AD2320" s="2857"/>
      <c r="AE2320" s="2857"/>
      <c r="AF2320" s="2857"/>
      <c r="AG2320" s="2857"/>
      <c r="BB2320" s="575"/>
      <c r="BC2320" s="576"/>
      <c r="BD2320" s="678"/>
      <c r="BE2320" s="585"/>
    </row>
    <row r="2321" spans="1:57" s="1942" customFormat="1" ht="15" hidden="1" customHeight="1" outlineLevel="1" x14ac:dyDescent="0.25">
      <c r="A2321" s="1267"/>
      <c r="B2321" s="123"/>
      <c r="C2321" s="328"/>
      <c r="D2321" s="3990"/>
      <c r="E2321" s="4009"/>
      <c r="F2321" s="3010" t="str">
        <f>$E$1699</f>
        <v>ASHP-SEER19-Replace_CAC_NonElectricHeat_ER2_MF_CompE</v>
      </c>
      <c r="G2321" s="2676"/>
      <c r="H2321" s="2676"/>
      <c r="I2321" s="2677"/>
      <c r="J2321" s="3298" t="str">
        <f>$C$1699</f>
        <v>354461_2021_12_</v>
      </c>
      <c r="K2321" s="2225">
        <v>0</v>
      </c>
      <c r="L2321" s="851"/>
      <c r="M2321" s="3252" t="s">
        <v>1559</v>
      </c>
      <c r="N2321" s="123"/>
      <c r="O2321" s="228"/>
      <c r="P2321" s="228"/>
      <c r="Q2321" s="228"/>
      <c r="R2321" s="228"/>
      <c r="S2321" s="123"/>
      <c r="T2321" s="123"/>
      <c r="U2321" s="123"/>
      <c r="V2321" s="3990"/>
      <c r="W2321" s="2857"/>
      <c r="X2321" s="2857"/>
      <c r="Y2321" s="3155"/>
      <c r="Z2321" s="2857"/>
      <c r="AA2321" s="2857"/>
      <c r="AB2321" s="2857"/>
      <c r="AC2321" s="2225">
        <v>0</v>
      </c>
      <c r="AD2321" s="2857"/>
      <c r="AE2321" s="2857"/>
      <c r="AF2321" s="2857"/>
      <c r="AG2321" s="2857"/>
      <c r="BB2321" s="575"/>
      <c r="BC2321" s="576"/>
      <c r="BD2321" s="678"/>
      <c r="BE2321" s="585"/>
    </row>
    <row r="2322" spans="1:57" s="51" customFormat="1" ht="15" hidden="1" customHeight="1" outlineLevel="1" x14ac:dyDescent="0.25">
      <c r="A2322" s="1267"/>
      <c r="B2322" s="123"/>
      <c r="C2322" s="328"/>
      <c r="D2322" s="3990"/>
      <c r="E2322" s="4009"/>
      <c r="F2322" s="3010" t="str">
        <f>$E$1701</f>
        <v>ASHP-SEER19_ER1_MF</v>
      </c>
      <c r="G2322" s="2676"/>
      <c r="H2322" s="2676"/>
      <c r="I2322" s="2677"/>
      <c r="J2322" s="3299" t="str">
        <f>$C$1701</f>
        <v>354500_2019_12_</v>
      </c>
      <c r="K2322" s="2857">
        <v>6.58</v>
      </c>
      <c r="L2322" s="851"/>
      <c r="M2322" s="698" t="s">
        <v>1560</v>
      </c>
      <c r="N2322" s="123"/>
      <c r="O2322" s="228"/>
      <c r="P2322" s="228"/>
      <c r="Q2322" s="228"/>
      <c r="R2322" s="228"/>
      <c r="S2322" s="123"/>
      <c r="T2322" s="123"/>
      <c r="U2322" s="123"/>
      <c r="V2322" s="3990"/>
      <c r="W2322" s="2857">
        <v>5.44</v>
      </c>
      <c r="X2322" s="3155">
        <v>6.58</v>
      </c>
      <c r="Y2322" s="2857">
        <v>6.58</v>
      </c>
      <c r="Z2322" s="2857">
        <v>6.58</v>
      </c>
      <c r="AA2322" s="2857">
        <v>6.58</v>
      </c>
      <c r="AB2322" s="2857">
        <v>6.58</v>
      </c>
      <c r="AC2322" s="2857">
        <v>6.58</v>
      </c>
      <c r="AD2322" s="2857"/>
      <c r="AE2322" s="2857"/>
      <c r="AF2322" s="2857"/>
      <c r="AG2322" s="2857"/>
      <c r="AH2322" s="1942"/>
      <c r="AI2322" s="1942"/>
      <c r="AJ2322" s="1942"/>
      <c r="AK2322" s="1942"/>
      <c r="AL2322" s="1942"/>
      <c r="AM2322" s="1942"/>
      <c r="AN2322" s="1942"/>
      <c r="AO2322" s="1942"/>
      <c r="AP2322" s="1942"/>
      <c r="AQ2322" s="1942"/>
      <c r="AR2322" s="1942"/>
      <c r="AS2322" s="1942"/>
      <c r="AT2322" s="1942"/>
      <c r="AU2322" s="1942"/>
      <c r="AV2322" s="1942"/>
      <c r="AW2322" s="1942"/>
      <c r="AX2322" s="1942"/>
      <c r="AY2322" s="1942"/>
      <c r="AZ2322" s="1942"/>
      <c r="BA2322" s="1942"/>
      <c r="BB2322" s="575"/>
      <c r="BC2322" s="576"/>
      <c r="BD2322" s="678"/>
      <c r="BE2322" s="585"/>
    </row>
    <row r="2323" spans="1:57" s="51" customFormat="1" ht="15" hidden="1" customHeight="1" outlineLevel="1" x14ac:dyDescent="0.25">
      <c r="A2323" s="1267"/>
      <c r="B2323" s="123"/>
      <c r="C2323" s="328"/>
      <c r="D2323" s="3990"/>
      <c r="E2323" s="4009"/>
      <c r="F2323" s="3010" t="str">
        <f>$E$1703</f>
        <v>ASHP-SEER19_ER2_MF</v>
      </c>
      <c r="G2323" s="2676"/>
      <c r="H2323" s="2676"/>
      <c r="I2323" s="2677"/>
      <c r="J2323" s="3299" t="str">
        <f>$C$1703</f>
        <v>354500_2019_12_</v>
      </c>
      <c r="K2323" s="2857">
        <v>8.1999999999999993</v>
      </c>
      <c r="L2323" s="851"/>
      <c r="M2323" s="698" t="s">
        <v>1560</v>
      </c>
      <c r="N2323" s="123"/>
      <c r="O2323" s="228"/>
      <c r="P2323" s="228"/>
      <c r="Q2323" s="228"/>
      <c r="R2323" s="228"/>
      <c r="S2323" s="123"/>
      <c r="T2323" s="123"/>
      <c r="U2323" s="123"/>
      <c r="V2323" s="3990"/>
      <c r="W2323" s="2857">
        <v>8.1999999999999993</v>
      </c>
      <c r="X2323" s="2857">
        <v>8.1999999999999993</v>
      </c>
      <c r="Y2323" s="2857">
        <v>8.1999999999999993</v>
      </c>
      <c r="Z2323" s="2857">
        <v>8.1999999999999993</v>
      </c>
      <c r="AA2323" s="2857">
        <v>8.1999999999999993</v>
      </c>
      <c r="AB2323" s="2857">
        <v>8.1999999999999993</v>
      </c>
      <c r="AC2323" s="2857">
        <v>8.1999999999999993</v>
      </c>
      <c r="AD2323" s="2857"/>
      <c r="AE2323" s="2857"/>
      <c r="AF2323" s="2857"/>
      <c r="AG2323" s="2857"/>
      <c r="AH2323" s="1942"/>
      <c r="AI2323" s="1942"/>
      <c r="AJ2323" s="1942"/>
      <c r="AK2323" s="1942"/>
      <c r="AL2323" s="1942"/>
      <c r="AM2323" s="1942"/>
      <c r="AN2323" s="1942"/>
      <c r="AO2323" s="1942"/>
      <c r="AP2323" s="1942"/>
      <c r="AQ2323" s="1942"/>
      <c r="AR2323" s="1942"/>
      <c r="AS2323" s="1942"/>
      <c r="AT2323" s="1942"/>
      <c r="AU2323" s="1942"/>
      <c r="AV2323" s="1942"/>
      <c r="AW2323" s="1942"/>
      <c r="AX2323" s="1942"/>
      <c r="AY2323" s="1942"/>
      <c r="AZ2323" s="1942"/>
      <c r="BA2323" s="1942"/>
      <c r="BB2323" s="575"/>
      <c r="BC2323" s="576"/>
      <c r="BD2323" s="678"/>
      <c r="BE2323" s="585"/>
    </row>
    <row r="2324" spans="1:57" s="51" customFormat="1" ht="15" hidden="1" customHeight="1" outlineLevel="1" x14ac:dyDescent="0.25">
      <c r="A2324" s="1267"/>
      <c r="B2324" s="123"/>
      <c r="C2324" s="328"/>
      <c r="D2324" s="3990"/>
      <c r="E2324" s="4009"/>
      <c r="F2324" s="3010" t="str">
        <f>$E$1705</f>
        <v>ASHP-SEER19_ER1_MF_CompE</v>
      </c>
      <c r="G2324" s="2676"/>
      <c r="H2324" s="2676"/>
      <c r="I2324" s="2677"/>
      <c r="J2324" s="3299" t="str">
        <f>$C$1705</f>
        <v>354501_2019_12_</v>
      </c>
      <c r="K2324" s="2857">
        <v>6.58</v>
      </c>
      <c r="L2324" s="851"/>
      <c r="M2324" s="698" t="s">
        <v>1560</v>
      </c>
      <c r="N2324" s="123"/>
      <c r="O2324" s="228"/>
      <c r="P2324" s="228"/>
      <c r="Q2324" s="228"/>
      <c r="R2324" s="228"/>
      <c r="S2324" s="123"/>
      <c r="T2324" s="123"/>
      <c r="U2324" s="123"/>
      <c r="V2324" s="3990"/>
      <c r="W2324" s="2857"/>
      <c r="X2324" s="2857"/>
      <c r="Y2324" s="3155">
        <v>6.58</v>
      </c>
      <c r="Z2324" s="2857">
        <v>6.58</v>
      </c>
      <c r="AA2324" s="2857">
        <v>6.58</v>
      </c>
      <c r="AB2324" s="2857">
        <v>6.58</v>
      </c>
      <c r="AC2324" s="2857">
        <v>6.58</v>
      </c>
      <c r="AD2324" s="2857"/>
      <c r="AE2324" s="2857"/>
      <c r="AF2324" s="2857"/>
      <c r="AG2324" s="2857"/>
      <c r="AH2324" s="1942"/>
      <c r="AI2324" s="1942"/>
      <c r="AJ2324" s="1942"/>
      <c r="AK2324" s="1942"/>
      <c r="AL2324" s="1942"/>
      <c r="AM2324" s="1942"/>
      <c r="AN2324" s="1942"/>
      <c r="AO2324" s="1942"/>
      <c r="AP2324" s="1942"/>
      <c r="AQ2324" s="1942"/>
      <c r="AR2324" s="1942"/>
      <c r="AS2324" s="1942"/>
      <c r="AT2324" s="1942"/>
      <c r="AU2324" s="1942"/>
      <c r="AV2324" s="1942"/>
      <c r="AW2324" s="1942"/>
      <c r="AX2324" s="1942"/>
      <c r="AY2324" s="1942"/>
      <c r="AZ2324" s="1942"/>
      <c r="BA2324" s="1942"/>
      <c r="BB2324" s="575"/>
      <c r="BC2324" s="576"/>
      <c r="BD2324" s="678"/>
      <c r="BE2324" s="585"/>
    </row>
    <row r="2325" spans="1:57" s="51" customFormat="1" ht="15" hidden="1" customHeight="1" outlineLevel="1" x14ac:dyDescent="0.25">
      <c r="A2325" s="1267"/>
      <c r="B2325" s="123"/>
      <c r="C2325" s="328"/>
      <c r="D2325" s="3990"/>
      <c r="E2325" s="4009"/>
      <c r="F2325" s="3010" t="str">
        <f>$E$1707</f>
        <v>ASHP-SEER19_ER2_MF_CompE</v>
      </c>
      <c r="G2325" s="2676"/>
      <c r="H2325" s="2676"/>
      <c r="I2325" s="2677"/>
      <c r="J2325" s="3299" t="str">
        <f>$C$1707</f>
        <v>354501_2019_12_</v>
      </c>
      <c r="K2325" s="2857">
        <v>8.1999999999999993</v>
      </c>
      <c r="L2325" s="851"/>
      <c r="M2325" s="698" t="s">
        <v>1560</v>
      </c>
      <c r="N2325" s="123"/>
      <c r="O2325" s="228"/>
      <c r="P2325" s="228"/>
      <c r="Q2325" s="228"/>
      <c r="R2325" s="228"/>
      <c r="S2325" s="123"/>
      <c r="T2325" s="123"/>
      <c r="U2325" s="123"/>
      <c r="V2325" s="3990"/>
      <c r="W2325" s="2857"/>
      <c r="X2325" s="2857"/>
      <c r="Y2325" s="3155">
        <v>8.1999999999999993</v>
      </c>
      <c r="Z2325" s="2857">
        <v>8.1999999999999993</v>
      </c>
      <c r="AA2325" s="2857">
        <v>8.1999999999999993</v>
      </c>
      <c r="AB2325" s="2857">
        <v>8.1999999999999993</v>
      </c>
      <c r="AC2325" s="2857">
        <v>8.1999999999999993</v>
      </c>
      <c r="AD2325" s="2857"/>
      <c r="AE2325" s="2857"/>
      <c r="AF2325" s="2857"/>
      <c r="AG2325" s="2857"/>
      <c r="AH2325" s="1942"/>
      <c r="AI2325" s="1942"/>
      <c r="AJ2325" s="1942"/>
      <c r="AK2325" s="1942"/>
      <c r="AL2325" s="1942"/>
      <c r="AM2325" s="1942"/>
      <c r="AN2325" s="1942"/>
      <c r="AO2325" s="1942"/>
      <c r="AP2325" s="1942"/>
      <c r="AQ2325" s="1942"/>
      <c r="AR2325" s="1942"/>
      <c r="AS2325" s="1942"/>
      <c r="AT2325" s="1942"/>
      <c r="AU2325" s="1942"/>
      <c r="AV2325" s="1942"/>
      <c r="AW2325" s="1942"/>
      <c r="AX2325" s="1942"/>
      <c r="AY2325" s="1942"/>
      <c r="AZ2325" s="1942"/>
      <c r="BA2325" s="1942"/>
      <c r="BB2325" s="575"/>
      <c r="BC2325" s="576"/>
      <c r="BD2325" s="678"/>
      <c r="BE2325" s="585"/>
    </row>
    <row r="2326" spans="1:57" s="51" customFormat="1" ht="15" hidden="1" customHeight="1" outlineLevel="1" x14ac:dyDescent="0.25">
      <c r="A2326" s="1267"/>
      <c r="B2326" s="123"/>
      <c r="C2326" s="328"/>
      <c r="D2326" s="3990"/>
      <c r="E2326" s="4009"/>
      <c r="F2326" s="3010" t="str">
        <f>$E$1709</f>
        <v>ASHP-SEER20_ER1_SF</v>
      </c>
      <c r="G2326" s="2676"/>
      <c r="H2326" s="2676"/>
      <c r="I2326" s="2677"/>
      <c r="J2326" s="3298" t="str">
        <f>$C$1709</f>
        <v>354550_2021_12_</v>
      </c>
      <c r="K2326" s="2857">
        <v>6.58</v>
      </c>
      <c r="L2326" s="851"/>
      <c r="M2326" s="698" t="s">
        <v>838</v>
      </c>
      <c r="N2326" s="123"/>
      <c r="O2326" s="228"/>
      <c r="P2326" s="228"/>
      <c r="Q2326" s="228"/>
      <c r="R2326" s="228"/>
      <c r="S2326" s="123"/>
      <c r="T2326" s="123"/>
      <c r="U2326" s="123"/>
      <c r="V2326" s="3990"/>
      <c r="W2326" s="2857">
        <v>5.44</v>
      </c>
      <c r="X2326" s="3155">
        <v>6.58</v>
      </c>
      <c r="Y2326" s="2857">
        <v>6.58</v>
      </c>
      <c r="Z2326" s="2857">
        <v>6.58</v>
      </c>
      <c r="AA2326" s="2857">
        <v>6.58</v>
      </c>
      <c r="AB2326" s="2857">
        <v>6.58</v>
      </c>
      <c r="AC2326" s="2857">
        <v>6.58</v>
      </c>
      <c r="AD2326" s="2857"/>
      <c r="AE2326" s="2857"/>
      <c r="AF2326" s="2857"/>
      <c r="AG2326" s="2857"/>
      <c r="AH2326" s="1942"/>
      <c r="AI2326" s="1942"/>
      <c r="AJ2326" s="1942"/>
      <c r="AK2326" s="1942"/>
      <c r="AL2326" s="1942"/>
      <c r="AM2326" s="1942"/>
      <c r="AN2326" s="1942"/>
      <c r="AO2326" s="1942"/>
      <c r="AP2326" s="1942"/>
      <c r="AQ2326" s="1942"/>
      <c r="AR2326" s="1942"/>
      <c r="AS2326" s="1942"/>
      <c r="AT2326" s="1942"/>
      <c r="AU2326" s="1942"/>
      <c r="AV2326" s="1942"/>
      <c r="AW2326" s="1942"/>
      <c r="AX2326" s="1942"/>
      <c r="AY2326" s="1942"/>
      <c r="AZ2326" s="1942"/>
      <c r="BA2326" s="1942"/>
      <c r="BB2326" s="575"/>
      <c r="BC2326" s="576"/>
      <c r="BD2326" s="678"/>
      <c r="BE2326" s="585"/>
    </row>
    <row r="2327" spans="1:57" s="51" customFormat="1" ht="15" hidden="1" customHeight="1" outlineLevel="1" x14ac:dyDescent="0.25">
      <c r="A2327" s="1267"/>
      <c r="B2327" s="123"/>
      <c r="C2327" s="328"/>
      <c r="D2327" s="3990"/>
      <c r="E2327" s="4009"/>
      <c r="F2327" s="3010" t="str">
        <f>$E$1711</f>
        <v>ASHP-SEER20_ER2_SF</v>
      </c>
      <c r="G2327" s="2676"/>
      <c r="H2327" s="2676"/>
      <c r="I2327" s="2677"/>
      <c r="J2327" s="3298" t="str">
        <f>$C$1711</f>
        <v>354550_2021_12_</v>
      </c>
      <c r="K2327" s="2857">
        <v>8.1999999999999993</v>
      </c>
      <c r="L2327" s="851"/>
      <c r="M2327" s="698" t="s">
        <v>838</v>
      </c>
      <c r="N2327" s="123"/>
      <c r="O2327" s="228"/>
      <c r="P2327" s="228"/>
      <c r="Q2327" s="228"/>
      <c r="R2327" s="228"/>
      <c r="S2327" s="123"/>
      <c r="T2327" s="123"/>
      <c r="U2327" s="123"/>
      <c r="V2327" s="3990"/>
      <c r="W2327" s="2857">
        <v>8.1999999999999993</v>
      </c>
      <c r="X2327" s="2857">
        <v>8.1999999999999993</v>
      </c>
      <c r="Y2327" s="2857">
        <v>8.1999999999999993</v>
      </c>
      <c r="Z2327" s="2857">
        <v>8.1999999999999993</v>
      </c>
      <c r="AA2327" s="2857">
        <v>8.1999999999999993</v>
      </c>
      <c r="AB2327" s="2857">
        <v>8.1999999999999993</v>
      </c>
      <c r="AC2327" s="2857">
        <v>8.1999999999999993</v>
      </c>
      <c r="AD2327" s="2857"/>
      <c r="AE2327" s="2857"/>
      <c r="AF2327" s="2857"/>
      <c r="AG2327" s="2857"/>
      <c r="AH2327" s="1942"/>
      <c r="AI2327" s="1942"/>
      <c r="AJ2327" s="1942"/>
      <c r="AK2327" s="1942"/>
      <c r="AL2327" s="1942"/>
      <c r="AM2327" s="1942"/>
      <c r="AN2327" s="1942"/>
      <c r="AO2327" s="1942"/>
      <c r="AP2327" s="1942"/>
      <c r="AQ2327" s="1942"/>
      <c r="AR2327" s="1942"/>
      <c r="AS2327" s="1942"/>
      <c r="AT2327" s="1942"/>
      <c r="AU2327" s="1942"/>
      <c r="AV2327" s="1942"/>
      <c r="AW2327" s="1942"/>
      <c r="AX2327" s="1942"/>
      <c r="AY2327" s="1942"/>
      <c r="AZ2327" s="1942"/>
      <c r="BA2327" s="1942"/>
      <c r="BB2327" s="575"/>
      <c r="BC2327" s="576"/>
      <c r="BD2327" s="678"/>
      <c r="BE2327" s="585"/>
    </row>
    <row r="2328" spans="1:57" s="51" customFormat="1" ht="15" hidden="1" customHeight="1" outlineLevel="1" x14ac:dyDescent="0.25">
      <c r="A2328" s="1267"/>
      <c r="B2328" s="123"/>
      <c r="C2328" s="328"/>
      <c r="D2328" s="3990"/>
      <c r="E2328" s="4009"/>
      <c r="F2328" s="3010" t="str">
        <f>$E$1713</f>
        <v>ASHP-SEER20_ROF_SF</v>
      </c>
      <c r="G2328" s="2676"/>
      <c r="H2328" s="2676"/>
      <c r="I2328" s="2677"/>
      <c r="J2328" s="3298" t="str">
        <f>$C$1713</f>
        <v>354600_2021_12_</v>
      </c>
      <c r="K2328" s="2857">
        <v>8.1999999999999993</v>
      </c>
      <c r="L2328" s="851"/>
      <c r="M2328" s="698" t="s">
        <v>838</v>
      </c>
      <c r="N2328" s="123"/>
      <c r="O2328" s="228"/>
      <c r="P2328" s="228"/>
      <c r="Q2328" s="228"/>
      <c r="R2328" s="228"/>
      <c r="S2328" s="123"/>
      <c r="T2328" s="123"/>
      <c r="U2328" s="123"/>
      <c r="V2328" s="3990"/>
      <c r="W2328" s="2857">
        <v>8.1999999999999993</v>
      </c>
      <c r="X2328" s="2857">
        <v>8.1999999999999993</v>
      </c>
      <c r="Y2328" s="2857">
        <v>8.1999999999999993</v>
      </c>
      <c r="Z2328" s="2857">
        <v>8.1999999999999993</v>
      </c>
      <c r="AA2328" s="2857">
        <v>8.1999999999999993</v>
      </c>
      <c r="AB2328" s="2857">
        <v>8.1999999999999993</v>
      </c>
      <c r="AC2328" s="2857">
        <v>8.1999999999999993</v>
      </c>
      <c r="AD2328" s="2857"/>
      <c r="AE2328" s="2857"/>
      <c r="AF2328" s="2857"/>
      <c r="AG2328" s="2857"/>
      <c r="AH2328" s="1942"/>
      <c r="AI2328" s="1942"/>
      <c r="AJ2328" s="1942"/>
      <c r="AK2328" s="1942"/>
      <c r="AL2328" s="1942"/>
      <c r="AM2328" s="1942"/>
      <c r="AN2328" s="1942"/>
      <c r="AO2328" s="1942"/>
      <c r="AP2328" s="1942"/>
      <c r="AQ2328" s="1942"/>
      <c r="AR2328" s="1942"/>
      <c r="AS2328" s="1942"/>
      <c r="AT2328" s="1942"/>
      <c r="AU2328" s="1942"/>
      <c r="AV2328" s="1942"/>
      <c r="AW2328" s="1942"/>
      <c r="AX2328" s="1942"/>
      <c r="AY2328" s="1942"/>
      <c r="AZ2328" s="1942"/>
      <c r="BA2328" s="1942"/>
      <c r="BB2328" s="575"/>
      <c r="BC2328" s="576"/>
      <c r="BD2328" s="678"/>
      <c r="BE2328" s="585"/>
    </row>
    <row r="2329" spans="1:57" s="51" customFormat="1" ht="15" hidden="1" customHeight="1" outlineLevel="1" x14ac:dyDescent="0.25">
      <c r="A2329" s="1267"/>
      <c r="B2329" s="123"/>
      <c r="C2329" s="328"/>
      <c r="D2329" s="3990"/>
      <c r="E2329" s="4009"/>
      <c r="F2329" s="3010" t="str">
        <f>$E$1715</f>
        <v>ASHP-SEER20-Replace_CAC_ElectricHeat_ER1_MF</v>
      </c>
      <c r="G2329" s="2676"/>
      <c r="H2329" s="2676"/>
      <c r="I2329" s="2677"/>
      <c r="J2329" s="3299" t="str">
        <f>$C$1715</f>
        <v>354650_2019_12_</v>
      </c>
      <c r="K2329" s="2857">
        <v>3.41</v>
      </c>
      <c r="L2329" s="851"/>
      <c r="M2329" s="698" t="s">
        <v>1560</v>
      </c>
      <c r="N2329" s="123"/>
      <c r="O2329" s="228"/>
      <c r="P2329" s="228"/>
      <c r="Q2329" s="228"/>
      <c r="R2329" s="228"/>
      <c r="S2329" s="123"/>
      <c r="T2329" s="123"/>
      <c r="U2329" s="123"/>
      <c r="V2329" s="3990"/>
      <c r="W2329" s="2857">
        <v>3.41</v>
      </c>
      <c r="X2329" s="2857">
        <v>3.41</v>
      </c>
      <c r="Y2329" s="2857">
        <v>3.41</v>
      </c>
      <c r="Z2329" s="2857">
        <v>3.41</v>
      </c>
      <c r="AA2329" s="2857">
        <v>3.41</v>
      </c>
      <c r="AB2329" s="2857">
        <v>3.41</v>
      </c>
      <c r="AC2329" s="2857">
        <v>3.41</v>
      </c>
      <c r="AD2329" s="2857"/>
      <c r="AE2329" s="2857"/>
      <c r="AF2329" s="2857"/>
      <c r="AG2329" s="2857"/>
      <c r="AH2329" s="1942"/>
      <c r="AI2329" s="1942"/>
      <c r="AJ2329" s="1942"/>
      <c r="AK2329" s="1942"/>
      <c r="AL2329" s="1942"/>
      <c r="AM2329" s="1942"/>
      <c r="AN2329" s="1942"/>
      <c r="AO2329" s="1942"/>
      <c r="AP2329" s="1942"/>
      <c r="AQ2329" s="1942"/>
      <c r="AR2329" s="1942"/>
      <c r="AS2329" s="1942"/>
      <c r="AT2329" s="1942"/>
      <c r="AU2329" s="1942"/>
      <c r="AV2329" s="1942"/>
      <c r="AW2329" s="1942"/>
      <c r="AX2329" s="1942"/>
      <c r="AY2329" s="1942"/>
      <c r="AZ2329" s="1942"/>
      <c r="BA2329" s="1942"/>
      <c r="BB2329" s="575"/>
      <c r="BC2329" s="576"/>
      <c r="BD2329" s="678"/>
      <c r="BE2329" s="585"/>
    </row>
    <row r="2330" spans="1:57" s="51" customFormat="1" ht="15" hidden="1" customHeight="1" outlineLevel="1" x14ac:dyDescent="0.25">
      <c r="A2330" s="1267"/>
      <c r="B2330" s="123"/>
      <c r="C2330" s="328"/>
      <c r="D2330" s="3990"/>
      <c r="E2330" s="4009"/>
      <c r="F2330" s="3010" t="str">
        <f>$E$1717</f>
        <v>ASHP-SEER20-Replace_CAC_ElectricHeat_ER2_MF</v>
      </c>
      <c r="G2330" s="2676"/>
      <c r="H2330" s="2676"/>
      <c r="I2330" s="2677"/>
      <c r="J2330" s="3299" t="str">
        <f>$C$1717</f>
        <v>354650_2019_12_</v>
      </c>
      <c r="K2330" s="2857">
        <v>3.41</v>
      </c>
      <c r="L2330" s="851"/>
      <c r="M2330" s="698" t="s">
        <v>1560</v>
      </c>
      <c r="N2330" s="123"/>
      <c r="O2330" s="228"/>
      <c r="P2330" s="228"/>
      <c r="Q2330" s="228"/>
      <c r="R2330" s="228"/>
      <c r="S2330" s="123"/>
      <c r="T2330" s="123"/>
      <c r="U2330" s="123"/>
      <c r="V2330" s="3990"/>
      <c r="W2330" s="2857">
        <v>3.41</v>
      </c>
      <c r="X2330" s="2857">
        <v>3.41</v>
      </c>
      <c r="Y2330" s="2857">
        <v>3.41</v>
      </c>
      <c r="Z2330" s="2857">
        <v>3.41</v>
      </c>
      <c r="AA2330" s="2857">
        <v>3.41</v>
      </c>
      <c r="AB2330" s="2857">
        <v>3.41</v>
      </c>
      <c r="AC2330" s="2857">
        <v>3.41</v>
      </c>
      <c r="AD2330" s="2857"/>
      <c r="AE2330" s="2857"/>
      <c r="AF2330" s="2857"/>
      <c r="AG2330" s="2857"/>
      <c r="AH2330" s="1942"/>
      <c r="AI2330" s="1942"/>
      <c r="AJ2330" s="1942"/>
      <c r="AK2330" s="1942"/>
      <c r="AL2330" s="1942"/>
      <c r="AM2330" s="1942"/>
      <c r="AN2330" s="1942"/>
      <c r="AO2330" s="1942"/>
      <c r="AP2330" s="1942"/>
      <c r="AQ2330" s="1942"/>
      <c r="AR2330" s="1942"/>
      <c r="AS2330" s="1942"/>
      <c r="AT2330" s="1942"/>
      <c r="AU2330" s="1942"/>
      <c r="AV2330" s="1942"/>
      <c r="AW2330" s="1942"/>
      <c r="AX2330" s="1942"/>
      <c r="AY2330" s="1942"/>
      <c r="AZ2330" s="1942"/>
      <c r="BA2330" s="1942"/>
      <c r="BB2330" s="575"/>
      <c r="BC2330" s="576"/>
      <c r="BD2330" s="678"/>
      <c r="BE2330" s="585"/>
    </row>
    <row r="2331" spans="1:57" s="51" customFormat="1" ht="15" hidden="1" customHeight="1" outlineLevel="1" x14ac:dyDescent="0.25">
      <c r="A2331" s="1267"/>
      <c r="B2331" s="123"/>
      <c r="C2331" s="328"/>
      <c r="D2331" s="3990"/>
      <c r="E2331" s="4009"/>
      <c r="F2331" s="3010" t="str">
        <f>$E$1719</f>
        <v>ASHP-SEER20-Replace_CAC_ElectricHeat_ER1_MF_CompE</v>
      </c>
      <c r="G2331" s="2676"/>
      <c r="H2331" s="2676"/>
      <c r="I2331" s="2677"/>
      <c r="J2331" s="3299" t="str">
        <f>$C$1719</f>
        <v>354651_2019_12_</v>
      </c>
      <c r="K2331" s="2857">
        <v>3.41</v>
      </c>
      <c r="L2331" s="851"/>
      <c r="M2331" s="698" t="s">
        <v>1560</v>
      </c>
      <c r="N2331" s="123"/>
      <c r="O2331" s="228"/>
      <c r="P2331" s="228"/>
      <c r="Q2331" s="228"/>
      <c r="R2331" s="228"/>
      <c r="S2331" s="123"/>
      <c r="T2331" s="123"/>
      <c r="U2331" s="123"/>
      <c r="V2331" s="3990"/>
      <c r="W2331" s="2857"/>
      <c r="X2331" s="2857"/>
      <c r="Y2331" s="3155">
        <v>3.41</v>
      </c>
      <c r="Z2331" s="2857">
        <v>3.41</v>
      </c>
      <c r="AA2331" s="2857">
        <v>3.41</v>
      </c>
      <c r="AB2331" s="2857">
        <v>3.41</v>
      </c>
      <c r="AC2331" s="2857">
        <v>3.41</v>
      </c>
      <c r="AD2331" s="2857"/>
      <c r="AE2331" s="2857"/>
      <c r="AF2331" s="2857"/>
      <c r="AG2331" s="2857"/>
      <c r="AH2331" s="1942"/>
      <c r="AI2331" s="1942"/>
      <c r="AJ2331" s="1942"/>
      <c r="AK2331" s="1942"/>
      <c r="AL2331" s="1942"/>
      <c r="AM2331" s="1942"/>
      <c r="AN2331" s="1942"/>
      <c r="AO2331" s="1942"/>
      <c r="AP2331" s="1942"/>
      <c r="AQ2331" s="1942"/>
      <c r="AR2331" s="1942"/>
      <c r="AS2331" s="1942"/>
      <c r="AT2331" s="1942"/>
      <c r="AU2331" s="1942"/>
      <c r="AV2331" s="1942"/>
      <c r="AW2331" s="1942"/>
      <c r="AX2331" s="1942"/>
      <c r="AY2331" s="1942"/>
      <c r="AZ2331" s="1942"/>
      <c r="BA2331" s="1942"/>
      <c r="BB2331" s="575"/>
      <c r="BC2331" s="576"/>
      <c r="BD2331" s="678"/>
      <c r="BE2331" s="585"/>
    </row>
    <row r="2332" spans="1:57" s="51" customFormat="1" ht="15" hidden="1" customHeight="1" outlineLevel="1" x14ac:dyDescent="0.25">
      <c r="A2332" s="1267"/>
      <c r="B2332" s="123"/>
      <c r="C2332" s="328"/>
      <c r="D2332" s="3990"/>
      <c r="E2332" s="4009"/>
      <c r="F2332" s="3010" t="str">
        <f>$E$1721</f>
        <v>ASHP-SEER20-Replace_CAC_ElectricHeat_ER2_MF_CompE</v>
      </c>
      <c r="G2332" s="2676"/>
      <c r="H2332" s="2676"/>
      <c r="I2332" s="2677"/>
      <c r="J2332" s="3299" t="str">
        <f>$C$1721</f>
        <v>354651_2019_12_</v>
      </c>
      <c r="K2332" s="2857">
        <v>3.41</v>
      </c>
      <c r="L2332" s="851"/>
      <c r="M2332" s="698" t="s">
        <v>1560</v>
      </c>
      <c r="N2332" s="123"/>
      <c r="O2332" s="228"/>
      <c r="P2332" s="228"/>
      <c r="Q2332" s="228"/>
      <c r="R2332" s="228"/>
      <c r="S2332" s="123"/>
      <c r="T2332" s="123"/>
      <c r="U2332" s="123"/>
      <c r="V2332" s="3990"/>
      <c r="W2332" s="2857"/>
      <c r="X2332" s="2857"/>
      <c r="Y2332" s="3155">
        <v>3.41</v>
      </c>
      <c r="Z2332" s="2857">
        <v>3.41</v>
      </c>
      <c r="AA2332" s="2857">
        <v>3.41</v>
      </c>
      <c r="AB2332" s="2857">
        <v>3.41</v>
      </c>
      <c r="AC2332" s="2857">
        <v>3.41</v>
      </c>
      <c r="AD2332" s="2857"/>
      <c r="AE2332" s="2857"/>
      <c r="AF2332" s="2857"/>
      <c r="AG2332" s="2857"/>
      <c r="AH2332" s="1942"/>
      <c r="AI2332" s="1942"/>
      <c r="AJ2332" s="1942"/>
      <c r="AK2332" s="1942"/>
      <c r="AL2332" s="1942"/>
      <c r="AM2332" s="1942"/>
      <c r="AN2332" s="1942"/>
      <c r="AO2332" s="1942"/>
      <c r="AP2332" s="1942"/>
      <c r="AQ2332" s="1942"/>
      <c r="AR2332" s="1942"/>
      <c r="AS2332" s="1942"/>
      <c r="AT2332" s="1942"/>
      <c r="AU2332" s="1942"/>
      <c r="AV2332" s="1942"/>
      <c r="AW2332" s="1942"/>
      <c r="AX2332" s="1942"/>
      <c r="AY2332" s="1942"/>
      <c r="AZ2332" s="1942"/>
      <c r="BA2332" s="1942"/>
      <c r="BB2332" s="575"/>
      <c r="BC2332" s="576"/>
      <c r="BD2332" s="678"/>
      <c r="BE2332" s="585"/>
    </row>
    <row r="2333" spans="1:57" s="1942" customFormat="1" ht="15" hidden="1" customHeight="1" outlineLevel="1" x14ac:dyDescent="0.25">
      <c r="A2333" s="1267"/>
      <c r="B2333" s="123"/>
      <c r="C2333" s="328"/>
      <c r="D2333" s="3990"/>
      <c r="E2333" s="4009"/>
      <c r="F2333" s="3010" t="str">
        <f>$E$1723</f>
        <v>ASHP-SEER20-Replace_CAC_NonElectricHeat_ER1_MF</v>
      </c>
      <c r="G2333" s="2676"/>
      <c r="H2333" s="2676"/>
      <c r="I2333" s="2677"/>
      <c r="J2333" s="3298" t="str">
        <f>$C$1723</f>
        <v>354660_2021_12_</v>
      </c>
      <c r="K2333" s="2225">
        <v>0</v>
      </c>
      <c r="L2333" s="851"/>
      <c r="M2333" s="3252" t="s">
        <v>1559</v>
      </c>
      <c r="N2333" s="123"/>
      <c r="O2333" s="228"/>
      <c r="P2333" s="228"/>
      <c r="Q2333" s="228"/>
      <c r="R2333" s="228"/>
      <c r="S2333" s="123"/>
      <c r="T2333" s="123"/>
      <c r="U2333" s="123"/>
      <c r="V2333" s="3990"/>
      <c r="W2333" s="2857"/>
      <c r="X2333" s="2857"/>
      <c r="Y2333" s="3155"/>
      <c r="Z2333" s="2857"/>
      <c r="AA2333" s="2857"/>
      <c r="AB2333" s="2857"/>
      <c r="AC2333" s="2225">
        <v>0</v>
      </c>
      <c r="AD2333" s="2857"/>
      <c r="AE2333" s="2857"/>
      <c r="AF2333" s="2857"/>
      <c r="AG2333" s="2857"/>
      <c r="BB2333" s="575"/>
      <c r="BC2333" s="576"/>
      <c r="BD2333" s="678"/>
      <c r="BE2333" s="585"/>
    </row>
    <row r="2334" spans="1:57" s="1942" customFormat="1" ht="15" hidden="1" customHeight="1" outlineLevel="1" x14ac:dyDescent="0.25">
      <c r="A2334" s="1267"/>
      <c r="B2334" s="123"/>
      <c r="C2334" s="328"/>
      <c r="D2334" s="3990"/>
      <c r="E2334" s="4009"/>
      <c r="F2334" s="3010" t="str">
        <f>$E$1725</f>
        <v>ASHP-SEER20-Replace_CAC_NonElectricHeat_ER2_MF</v>
      </c>
      <c r="G2334" s="2676"/>
      <c r="H2334" s="2676"/>
      <c r="I2334" s="2677"/>
      <c r="J2334" s="3298" t="str">
        <f>$C$1725</f>
        <v>354660_2021_12_</v>
      </c>
      <c r="K2334" s="2225">
        <v>0</v>
      </c>
      <c r="L2334" s="851"/>
      <c r="M2334" s="3252" t="s">
        <v>1559</v>
      </c>
      <c r="N2334" s="123"/>
      <c r="O2334" s="228"/>
      <c r="P2334" s="228"/>
      <c r="Q2334" s="228"/>
      <c r="R2334" s="228"/>
      <c r="S2334" s="123"/>
      <c r="T2334" s="123"/>
      <c r="U2334" s="123"/>
      <c r="V2334" s="3990"/>
      <c r="W2334" s="2857"/>
      <c r="X2334" s="2857"/>
      <c r="Y2334" s="3155"/>
      <c r="Z2334" s="2857"/>
      <c r="AA2334" s="2857"/>
      <c r="AB2334" s="2857"/>
      <c r="AC2334" s="2225">
        <v>0</v>
      </c>
      <c r="AD2334" s="2857"/>
      <c r="AE2334" s="2857"/>
      <c r="AF2334" s="2857"/>
      <c r="AG2334" s="2857"/>
      <c r="BB2334" s="575"/>
      <c r="BC2334" s="576"/>
      <c r="BD2334" s="678"/>
      <c r="BE2334" s="585"/>
    </row>
    <row r="2335" spans="1:57" s="1942" customFormat="1" ht="15" hidden="1" customHeight="1" outlineLevel="1" x14ac:dyDescent="0.25">
      <c r="A2335" s="1267"/>
      <c r="B2335" s="123"/>
      <c r="C2335" s="328"/>
      <c r="D2335" s="3990"/>
      <c r="E2335" s="4009"/>
      <c r="F2335" s="3010" t="str">
        <f>$E$1727</f>
        <v>ASHP-SEER20-Replace_CAC_NonElectricHeat_ER1_MF_CompE</v>
      </c>
      <c r="G2335" s="2676"/>
      <c r="H2335" s="2676"/>
      <c r="I2335" s="2677"/>
      <c r="J2335" s="3298" t="str">
        <f>$C$1727</f>
        <v>354661_2021_12_</v>
      </c>
      <c r="K2335" s="2225">
        <v>0</v>
      </c>
      <c r="L2335" s="851"/>
      <c r="M2335" s="3252" t="s">
        <v>1559</v>
      </c>
      <c r="N2335" s="123"/>
      <c r="O2335" s="228"/>
      <c r="P2335" s="228"/>
      <c r="Q2335" s="228"/>
      <c r="R2335" s="228"/>
      <c r="S2335" s="123"/>
      <c r="T2335" s="123"/>
      <c r="U2335" s="123"/>
      <c r="V2335" s="3990"/>
      <c r="W2335" s="2857"/>
      <c r="X2335" s="2857"/>
      <c r="Y2335" s="3155"/>
      <c r="Z2335" s="2857"/>
      <c r="AA2335" s="2857"/>
      <c r="AB2335" s="2857"/>
      <c r="AC2335" s="2225">
        <v>0</v>
      </c>
      <c r="AD2335" s="2857"/>
      <c r="AE2335" s="2857"/>
      <c r="AF2335" s="2857"/>
      <c r="AG2335" s="2857"/>
      <c r="BB2335" s="575"/>
      <c r="BC2335" s="576"/>
      <c r="BD2335" s="678"/>
      <c r="BE2335" s="585"/>
    </row>
    <row r="2336" spans="1:57" s="1942" customFormat="1" ht="15" hidden="1" customHeight="1" outlineLevel="1" x14ac:dyDescent="0.25">
      <c r="A2336" s="1267"/>
      <c r="B2336" s="123"/>
      <c r="C2336" s="328"/>
      <c r="D2336" s="3990"/>
      <c r="E2336" s="4009"/>
      <c r="F2336" s="3010" t="str">
        <f>$E$1729</f>
        <v>ASHP-SEER20-Replace_CAC_NonElectricHeat_ER2_MF_CompE</v>
      </c>
      <c r="G2336" s="2676"/>
      <c r="H2336" s="2676"/>
      <c r="I2336" s="2677"/>
      <c r="J2336" s="3298" t="str">
        <f>$C$1729</f>
        <v>354661_2021_12_</v>
      </c>
      <c r="K2336" s="2225">
        <v>0</v>
      </c>
      <c r="L2336" s="851"/>
      <c r="M2336" s="3252" t="s">
        <v>1559</v>
      </c>
      <c r="N2336" s="123"/>
      <c r="O2336" s="228"/>
      <c r="P2336" s="228"/>
      <c r="Q2336" s="228"/>
      <c r="R2336" s="228"/>
      <c r="S2336" s="123"/>
      <c r="T2336" s="123"/>
      <c r="U2336" s="123"/>
      <c r="V2336" s="3990"/>
      <c r="W2336" s="2857"/>
      <c r="X2336" s="2857"/>
      <c r="Y2336" s="3155"/>
      <c r="Z2336" s="2857"/>
      <c r="AA2336" s="2857"/>
      <c r="AB2336" s="2857"/>
      <c r="AC2336" s="2225">
        <v>0</v>
      </c>
      <c r="AD2336" s="2857"/>
      <c r="AE2336" s="2857"/>
      <c r="AF2336" s="2857"/>
      <c r="AG2336" s="2857"/>
      <c r="BB2336" s="575"/>
      <c r="BC2336" s="576"/>
      <c r="BD2336" s="678"/>
      <c r="BE2336" s="585"/>
    </row>
    <row r="2337" spans="1:57" s="51" customFormat="1" ht="15" hidden="1" customHeight="1" outlineLevel="1" x14ac:dyDescent="0.25">
      <c r="A2337" s="1267"/>
      <c r="B2337" s="123"/>
      <c r="C2337" s="328"/>
      <c r="D2337" s="3990"/>
      <c r="E2337" s="4009"/>
      <c r="F2337" s="3010" t="str">
        <f>$E$1731</f>
        <v>ASHP-SEER20_ER1_MF</v>
      </c>
      <c r="G2337" s="2676"/>
      <c r="H2337" s="2676"/>
      <c r="I2337" s="2677"/>
      <c r="J2337" s="3299" t="str">
        <f>$C$1731</f>
        <v>354700_2019_12_</v>
      </c>
      <c r="K2337" s="2857">
        <v>6.58</v>
      </c>
      <c r="L2337" s="851"/>
      <c r="M2337" s="698" t="s">
        <v>1560</v>
      </c>
      <c r="N2337" s="123"/>
      <c r="O2337" s="228"/>
      <c r="P2337" s="228"/>
      <c r="Q2337" s="228"/>
      <c r="R2337" s="228"/>
      <c r="S2337" s="123"/>
      <c r="T2337" s="123"/>
      <c r="U2337" s="123"/>
      <c r="V2337" s="3990"/>
      <c r="W2337" s="2857">
        <v>5.44</v>
      </c>
      <c r="X2337" s="3155">
        <v>6.58</v>
      </c>
      <c r="Y2337" s="2857">
        <v>6.58</v>
      </c>
      <c r="Z2337" s="2857">
        <v>6.58</v>
      </c>
      <c r="AA2337" s="2857">
        <v>6.58</v>
      </c>
      <c r="AB2337" s="2857">
        <v>6.58</v>
      </c>
      <c r="AC2337" s="2857">
        <v>6.58</v>
      </c>
      <c r="AD2337" s="2857"/>
      <c r="AE2337" s="2857"/>
      <c r="AF2337" s="2857"/>
      <c r="AG2337" s="2857"/>
      <c r="AH2337" s="1942"/>
      <c r="AI2337" s="1942"/>
      <c r="AJ2337" s="1942"/>
      <c r="AK2337" s="1942"/>
      <c r="AL2337" s="1942"/>
      <c r="AM2337" s="1942"/>
      <c r="AN2337" s="1942"/>
      <c r="AO2337" s="1942"/>
      <c r="AP2337" s="1942"/>
      <c r="AQ2337" s="1942"/>
      <c r="AR2337" s="1942"/>
      <c r="AS2337" s="1942"/>
      <c r="AT2337" s="1942"/>
      <c r="AU2337" s="1942"/>
      <c r="AV2337" s="1942"/>
      <c r="AW2337" s="1942"/>
      <c r="AX2337" s="1942"/>
      <c r="AY2337" s="1942"/>
      <c r="AZ2337" s="1942"/>
      <c r="BA2337" s="1942"/>
      <c r="BB2337" s="575"/>
      <c r="BC2337" s="576"/>
      <c r="BD2337" s="678"/>
      <c r="BE2337" s="585"/>
    </row>
    <row r="2338" spans="1:57" s="51" customFormat="1" ht="15" hidden="1" customHeight="1" outlineLevel="1" x14ac:dyDescent="0.25">
      <c r="A2338" s="1267"/>
      <c r="B2338" s="123"/>
      <c r="C2338" s="328"/>
      <c r="D2338" s="3990"/>
      <c r="E2338" s="4009"/>
      <c r="F2338" s="3010" t="str">
        <f>$E$1733</f>
        <v>ASHP-SEER20_ER2_MF</v>
      </c>
      <c r="G2338" s="2676"/>
      <c r="H2338" s="2676"/>
      <c r="I2338" s="2677"/>
      <c r="J2338" s="3299" t="str">
        <f>$C$1733</f>
        <v>354700_2019_12_</v>
      </c>
      <c r="K2338" s="2857">
        <v>8.1999999999999993</v>
      </c>
      <c r="L2338" s="851"/>
      <c r="M2338" s="698" t="s">
        <v>1560</v>
      </c>
      <c r="N2338" s="123"/>
      <c r="O2338" s="228"/>
      <c r="P2338" s="228"/>
      <c r="Q2338" s="228"/>
      <c r="R2338" s="228"/>
      <c r="S2338" s="123"/>
      <c r="T2338" s="123"/>
      <c r="U2338" s="123"/>
      <c r="V2338" s="3990"/>
      <c r="W2338" s="2857">
        <v>8.1999999999999993</v>
      </c>
      <c r="X2338" s="2857">
        <v>8.1999999999999993</v>
      </c>
      <c r="Y2338" s="2857">
        <v>8.1999999999999993</v>
      </c>
      <c r="Z2338" s="2857">
        <v>8.1999999999999993</v>
      </c>
      <c r="AA2338" s="2857">
        <v>8.1999999999999993</v>
      </c>
      <c r="AB2338" s="2857">
        <v>8.1999999999999993</v>
      </c>
      <c r="AC2338" s="2857">
        <v>8.1999999999999993</v>
      </c>
      <c r="AD2338" s="2857"/>
      <c r="AE2338" s="2857"/>
      <c r="AF2338" s="2857"/>
      <c r="AG2338" s="2857"/>
      <c r="AH2338" s="1942"/>
      <c r="AI2338" s="1942"/>
      <c r="AJ2338" s="1942"/>
      <c r="AK2338" s="1942"/>
      <c r="AL2338" s="1942"/>
      <c r="AM2338" s="1942"/>
      <c r="AN2338" s="1942"/>
      <c r="AO2338" s="1942"/>
      <c r="AP2338" s="1942"/>
      <c r="AQ2338" s="1942"/>
      <c r="AR2338" s="1942"/>
      <c r="AS2338" s="1942"/>
      <c r="AT2338" s="1942"/>
      <c r="AU2338" s="1942"/>
      <c r="AV2338" s="1942"/>
      <c r="AW2338" s="1942"/>
      <c r="AX2338" s="1942"/>
      <c r="AY2338" s="1942"/>
      <c r="AZ2338" s="1942"/>
      <c r="BA2338" s="1942"/>
      <c r="BB2338" s="575"/>
      <c r="BC2338" s="576"/>
      <c r="BD2338" s="678"/>
      <c r="BE2338" s="585"/>
    </row>
    <row r="2339" spans="1:57" s="51" customFormat="1" ht="15" hidden="1" customHeight="1" outlineLevel="1" x14ac:dyDescent="0.25">
      <c r="A2339" s="1267"/>
      <c r="B2339" s="123"/>
      <c r="C2339" s="328"/>
      <c r="D2339" s="3990"/>
      <c r="E2339" s="4009"/>
      <c r="F2339" s="3010" t="str">
        <f>$E$1735</f>
        <v>ASHP-SEER20_ER1_MF_CompE</v>
      </c>
      <c r="G2339" s="2676"/>
      <c r="H2339" s="2676"/>
      <c r="I2339" s="2677"/>
      <c r="J2339" s="3299" t="str">
        <f>$C$1735</f>
        <v>354701_2019_12_</v>
      </c>
      <c r="K2339" s="2857">
        <v>6.58</v>
      </c>
      <c r="L2339" s="851"/>
      <c r="M2339" s="698" t="s">
        <v>1560</v>
      </c>
      <c r="N2339" s="123"/>
      <c r="O2339" s="228"/>
      <c r="P2339" s="228"/>
      <c r="Q2339" s="228"/>
      <c r="R2339" s="228"/>
      <c r="S2339" s="123"/>
      <c r="T2339" s="123"/>
      <c r="U2339" s="123"/>
      <c r="V2339" s="3990"/>
      <c r="W2339" s="2857"/>
      <c r="X2339" s="2857"/>
      <c r="Y2339" s="3155">
        <v>6.58</v>
      </c>
      <c r="Z2339" s="2857">
        <v>6.58</v>
      </c>
      <c r="AA2339" s="2857">
        <v>6.58</v>
      </c>
      <c r="AB2339" s="2857">
        <v>6.58</v>
      </c>
      <c r="AC2339" s="2857">
        <v>6.58</v>
      </c>
      <c r="AD2339" s="2857"/>
      <c r="AE2339" s="2857"/>
      <c r="AF2339" s="2857"/>
      <c r="AG2339" s="2857"/>
      <c r="AH2339" s="1942"/>
      <c r="AI2339" s="1942"/>
      <c r="AJ2339" s="1942"/>
      <c r="AK2339" s="1942"/>
      <c r="AL2339" s="1942"/>
      <c r="AM2339" s="1942"/>
      <c r="AN2339" s="1942"/>
      <c r="AO2339" s="1942"/>
      <c r="AP2339" s="1942"/>
      <c r="AQ2339" s="1942"/>
      <c r="AR2339" s="1942"/>
      <c r="AS2339" s="1942"/>
      <c r="AT2339" s="1942"/>
      <c r="AU2339" s="1942"/>
      <c r="AV2339" s="1942"/>
      <c r="AW2339" s="1942"/>
      <c r="AX2339" s="1942"/>
      <c r="AY2339" s="1942"/>
      <c r="AZ2339" s="1942"/>
      <c r="BA2339" s="1942"/>
      <c r="BB2339" s="575"/>
      <c r="BC2339" s="576"/>
      <c r="BD2339" s="678"/>
      <c r="BE2339" s="585"/>
    </row>
    <row r="2340" spans="1:57" s="51" customFormat="1" ht="15" hidden="1" customHeight="1" outlineLevel="1" x14ac:dyDescent="0.25">
      <c r="A2340" s="1267"/>
      <c r="B2340" s="123"/>
      <c r="C2340" s="328"/>
      <c r="D2340" s="3990"/>
      <c r="E2340" s="4009"/>
      <c r="F2340" s="3010" t="str">
        <f>$E$1737</f>
        <v>ASHP-SEER20_ER2_MF_CompE</v>
      </c>
      <c r="G2340" s="2676"/>
      <c r="H2340" s="2676"/>
      <c r="I2340" s="2677"/>
      <c r="J2340" s="3299" t="str">
        <f>$C$1737</f>
        <v>354701_2019_12_</v>
      </c>
      <c r="K2340" s="2857">
        <v>8.1999999999999993</v>
      </c>
      <c r="L2340" s="851"/>
      <c r="M2340" s="698" t="s">
        <v>1560</v>
      </c>
      <c r="N2340" s="123"/>
      <c r="O2340" s="228"/>
      <c r="P2340" s="228"/>
      <c r="Q2340" s="228"/>
      <c r="R2340" s="228"/>
      <c r="S2340" s="123"/>
      <c r="T2340" s="123"/>
      <c r="U2340" s="123"/>
      <c r="V2340" s="3990"/>
      <c r="W2340" s="2857"/>
      <c r="X2340" s="2857"/>
      <c r="Y2340" s="3155">
        <v>8.1999999999999993</v>
      </c>
      <c r="Z2340" s="2857">
        <v>8.1999999999999993</v>
      </c>
      <c r="AA2340" s="2857">
        <v>8.1999999999999993</v>
      </c>
      <c r="AB2340" s="2857">
        <v>8.1999999999999993</v>
      </c>
      <c r="AC2340" s="2857">
        <v>8.1999999999999993</v>
      </c>
      <c r="AD2340" s="2857"/>
      <c r="AE2340" s="2857"/>
      <c r="AF2340" s="2857"/>
      <c r="AG2340" s="2857"/>
      <c r="AH2340" s="1942"/>
      <c r="AI2340" s="1942"/>
      <c r="AJ2340" s="1942"/>
      <c r="AK2340" s="1942"/>
      <c r="AL2340" s="1942"/>
      <c r="AM2340" s="1942"/>
      <c r="AN2340" s="1942"/>
      <c r="AO2340" s="1942"/>
      <c r="AP2340" s="1942"/>
      <c r="AQ2340" s="1942"/>
      <c r="AR2340" s="1942"/>
      <c r="AS2340" s="1942"/>
      <c r="AT2340" s="1942"/>
      <c r="AU2340" s="1942"/>
      <c r="AV2340" s="1942"/>
      <c r="AW2340" s="1942"/>
      <c r="AX2340" s="1942"/>
      <c r="AY2340" s="1942"/>
      <c r="AZ2340" s="1942"/>
      <c r="BA2340" s="1942"/>
      <c r="BB2340" s="575"/>
      <c r="BC2340" s="576"/>
      <c r="BD2340" s="678"/>
      <c r="BE2340" s="585"/>
    </row>
    <row r="2341" spans="1:57" s="51" customFormat="1" ht="15" hidden="1" customHeight="1" outlineLevel="1" x14ac:dyDescent="0.25">
      <c r="A2341" s="1267"/>
      <c r="B2341" s="123"/>
      <c r="C2341" s="328"/>
      <c r="D2341" s="3990"/>
      <c r="E2341" s="4009"/>
      <c r="F2341" s="3010" t="str">
        <f>$E$1739</f>
        <v>ASHP-SEER21_ER1_SF</v>
      </c>
      <c r="G2341" s="2676"/>
      <c r="H2341" s="2676"/>
      <c r="I2341" s="2677"/>
      <c r="J2341" s="3298" t="str">
        <f>$C$1739</f>
        <v>354750_2021_12_</v>
      </c>
      <c r="K2341" s="2857">
        <v>6.58</v>
      </c>
      <c r="L2341" s="851"/>
      <c r="M2341" s="698" t="s">
        <v>838</v>
      </c>
      <c r="N2341" s="123"/>
      <c r="O2341" s="228"/>
      <c r="P2341" s="228"/>
      <c r="Q2341" s="228"/>
      <c r="R2341" s="228"/>
      <c r="S2341" s="123"/>
      <c r="T2341" s="123"/>
      <c r="U2341" s="123"/>
      <c r="V2341" s="3990"/>
      <c r="W2341" s="2857">
        <v>5.44</v>
      </c>
      <c r="X2341" s="3155">
        <v>6.58</v>
      </c>
      <c r="Y2341" s="2857">
        <v>6.58</v>
      </c>
      <c r="Z2341" s="2857">
        <v>6.58</v>
      </c>
      <c r="AA2341" s="2857">
        <v>6.58</v>
      </c>
      <c r="AB2341" s="2857">
        <v>6.58</v>
      </c>
      <c r="AC2341" s="2857">
        <v>6.58</v>
      </c>
      <c r="AD2341" s="2857"/>
      <c r="AE2341" s="2857"/>
      <c r="AF2341" s="2857"/>
      <c r="AG2341" s="2857"/>
      <c r="AH2341" s="1942"/>
      <c r="AI2341" s="1942"/>
      <c r="AJ2341" s="1942"/>
      <c r="AK2341" s="1942"/>
      <c r="AL2341" s="1942"/>
      <c r="AM2341" s="1942"/>
      <c r="AN2341" s="1942"/>
      <c r="AO2341" s="1942"/>
      <c r="AP2341" s="1942"/>
      <c r="AQ2341" s="1942"/>
      <c r="AR2341" s="1942"/>
      <c r="AS2341" s="1942"/>
      <c r="AT2341" s="1942"/>
      <c r="AU2341" s="1942"/>
      <c r="AV2341" s="1942"/>
      <c r="AW2341" s="1942"/>
      <c r="AX2341" s="1942"/>
      <c r="AY2341" s="1942"/>
      <c r="AZ2341" s="1942"/>
      <c r="BA2341" s="1942"/>
      <c r="BB2341" s="575"/>
      <c r="BC2341" s="576"/>
      <c r="BD2341" s="678"/>
      <c r="BE2341" s="585"/>
    </row>
    <row r="2342" spans="1:57" s="51" customFormat="1" ht="15" hidden="1" customHeight="1" outlineLevel="1" x14ac:dyDescent="0.25">
      <c r="A2342" s="1267"/>
      <c r="B2342" s="123"/>
      <c r="C2342" s="328"/>
      <c r="D2342" s="3990"/>
      <c r="E2342" s="4009"/>
      <c r="F2342" s="3010" t="str">
        <f>$E$1741</f>
        <v>ASHP-SEER21_ER2_SF</v>
      </c>
      <c r="G2342" s="2676"/>
      <c r="H2342" s="2676"/>
      <c r="I2342" s="2677"/>
      <c r="J2342" s="3298" t="str">
        <f>$C$1741</f>
        <v>354750_2021_12_</v>
      </c>
      <c r="K2342" s="2857">
        <v>8.1999999999999993</v>
      </c>
      <c r="L2342" s="851"/>
      <c r="M2342" s="698" t="s">
        <v>838</v>
      </c>
      <c r="N2342" s="123"/>
      <c r="O2342" s="228"/>
      <c r="P2342" s="228"/>
      <c r="Q2342" s="228"/>
      <c r="R2342" s="228"/>
      <c r="S2342" s="123"/>
      <c r="T2342" s="123"/>
      <c r="U2342" s="123"/>
      <c r="V2342" s="3990"/>
      <c r="W2342" s="2857">
        <v>8.1999999999999993</v>
      </c>
      <c r="X2342" s="2857">
        <v>8.1999999999999993</v>
      </c>
      <c r="Y2342" s="2857">
        <v>8.1999999999999993</v>
      </c>
      <c r="Z2342" s="2857">
        <v>8.1999999999999993</v>
      </c>
      <c r="AA2342" s="2857">
        <v>8.1999999999999993</v>
      </c>
      <c r="AB2342" s="2857">
        <v>8.1999999999999993</v>
      </c>
      <c r="AC2342" s="2857">
        <v>8.1999999999999993</v>
      </c>
      <c r="AD2342" s="2857"/>
      <c r="AE2342" s="2857"/>
      <c r="AF2342" s="2857"/>
      <c r="AG2342" s="2857"/>
      <c r="AH2342" s="1942"/>
      <c r="AI2342" s="1942"/>
      <c r="AJ2342" s="1942"/>
      <c r="AK2342" s="1942"/>
      <c r="AL2342" s="1942"/>
      <c r="AM2342" s="1942"/>
      <c r="AN2342" s="1942"/>
      <c r="AO2342" s="1942"/>
      <c r="AP2342" s="1942"/>
      <c r="AQ2342" s="1942"/>
      <c r="AR2342" s="1942"/>
      <c r="AS2342" s="1942"/>
      <c r="AT2342" s="1942"/>
      <c r="AU2342" s="1942"/>
      <c r="AV2342" s="1942"/>
      <c r="AW2342" s="1942"/>
      <c r="AX2342" s="1942"/>
      <c r="AY2342" s="1942"/>
      <c r="AZ2342" s="1942"/>
      <c r="BA2342" s="1942"/>
      <c r="BB2342" s="575"/>
      <c r="BC2342" s="576"/>
      <c r="BD2342" s="678"/>
      <c r="BE2342" s="585"/>
    </row>
    <row r="2343" spans="1:57" s="51" customFormat="1" ht="15" hidden="1" customHeight="1" outlineLevel="1" x14ac:dyDescent="0.25">
      <c r="A2343" s="1267"/>
      <c r="B2343" s="123"/>
      <c r="C2343" s="328"/>
      <c r="D2343" s="3990"/>
      <c r="E2343" s="4009"/>
      <c r="F2343" s="3010" t="str">
        <f>$E$1743</f>
        <v>ASHP-SEER21_ROF_SF</v>
      </c>
      <c r="G2343" s="2676"/>
      <c r="H2343" s="2676"/>
      <c r="I2343" s="2677"/>
      <c r="J2343" s="3298" t="str">
        <f>$C$1743</f>
        <v>354800_2021_12_</v>
      </c>
      <c r="K2343" s="2857">
        <v>8.1999999999999993</v>
      </c>
      <c r="L2343" s="851"/>
      <c r="M2343" s="698" t="s">
        <v>838</v>
      </c>
      <c r="N2343" s="123"/>
      <c r="O2343" s="228"/>
      <c r="P2343" s="228"/>
      <c r="Q2343" s="228"/>
      <c r="R2343" s="228"/>
      <c r="S2343" s="123"/>
      <c r="T2343" s="123"/>
      <c r="U2343" s="123"/>
      <c r="V2343" s="3990"/>
      <c r="W2343" s="2857">
        <v>8.1999999999999993</v>
      </c>
      <c r="X2343" s="2857">
        <v>8.1999999999999993</v>
      </c>
      <c r="Y2343" s="2857">
        <v>8.1999999999999993</v>
      </c>
      <c r="Z2343" s="2857">
        <v>8.1999999999999993</v>
      </c>
      <c r="AA2343" s="2857">
        <v>8.1999999999999993</v>
      </c>
      <c r="AB2343" s="2857">
        <v>8.1999999999999993</v>
      </c>
      <c r="AC2343" s="2857">
        <v>8.1999999999999993</v>
      </c>
      <c r="AD2343" s="2857"/>
      <c r="AE2343" s="2857"/>
      <c r="AF2343" s="2857"/>
      <c r="AG2343" s="2857"/>
      <c r="AH2343" s="1942"/>
      <c r="AI2343" s="1942"/>
      <c r="AJ2343" s="1942"/>
      <c r="AK2343" s="1942"/>
      <c r="AL2343" s="1942"/>
      <c r="AM2343" s="1942"/>
      <c r="AN2343" s="1942"/>
      <c r="AO2343" s="1942"/>
      <c r="AP2343" s="1942"/>
      <c r="AQ2343" s="1942"/>
      <c r="AR2343" s="1942"/>
      <c r="AS2343" s="1942"/>
      <c r="AT2343" s="1942"/>
      <c r="AU2343" s="1942"/>
      <c r="AV2343" s="1942"/>
      <c r="AW2343" s="1942"/>
      <c r="AX2343" s="1942"/>
      <c r="AY2343" s="1942"/>
      <c r="AZ2343" s="1942"/>
      <c r="BA2343" s="1942"/>
      <c r="BB2343" s="575"/>
      <c r="BC2343" s="576"/>
      <c r="BD2343" s="678"/>
      <c r="BE2343" s="585"/>
    </row>
    <row r="2344" spans="1:57" s="51" customFormat="1" ht="15" hidden="1" customHeight="1" outlineLevel="1" x14ac:dyDescent="0.25">
      <c r="A2344" s="1267"/>
      <c r="B2344" s="123"/>
      <c r="C2344" s="328"/>
      <c r="D2344" s="3990"/>
      <c r="E2344" s="4009"/>
      <c r="F2344" s="3010" t="str">
        <f>$E$1745</f>
        <v>ASHP-SEER21-Replace_CAC_ElectricHeat_ROF_MF</v>
      </c>
      <c r="G2344" s="2676"/>
      <c r="H2344" s="2676"/>
      <c r="I2344" s="2677"/>
      <c r="J2344" s="3299" t="str">
        <f>$C$1745</f>
        <v>354850_2019_12_</v>
      </c>
      <c r="K2344" s="2857">
        <v>3.41</v>
      </c>
      <c r="L2344" s="851"/>
      <c r="M2344" s="698" t="s">
        <v>1560</v>
      </c>
      <c r="N2344" s="123"/>
      <c r="O2344" s="228"/>
      <c r="P2344" s="228"/>
      <c r="Q2344" s="228"/>
      <c r="R2344" s="228"/>
      <c r="S2344" s="123"/>
      <c r="T2344" s="123"/>
      <c r="U2344" s="123"/>
      <c r="V2344" s="3990"/>
      <c r="W2344" s="2857">
        <v>3.41</v>
      </c>
      <c r="X2344" s="2857">
        <v>3.41</v>
      </c>
      <c r="Y2344" s="2857">
        <v>3.41</v>
      </c>
      <c r="Z2344" s="2857">
        <v>3.41</v>
      </c>
      <c r="AA2344" s="2857">
        <v>3.41</v>
      </c>
      <c r="AB2344" s="2857">
        <v>3.41</v>
      </c>
      <c r="AC2344" s="2857">
        <v>3.41</v>
      </c>
      <c r="AD2344" s="2857"/>
      <c r="AE2344" s="2857"/>
      <c r="AF2344" s="2857"/>
      <c r="AG2344" s="2857"/>
      <c r="AH2344" s="1942"/>
      <c r="AI2344" s="1942"/>
      <c r="AJ2344" s="1942"/>
      <c r="AK2344" s="1942"/>
      <c r="AL2344" s="1942"/>
      <c r="AM2344" s="1942"/>
      <c r="AN2344" s="1942"/>
      <c r="AO2344" s="1942"/>
      <c r="AP2344" s="1942"/>
      <c r="AQ2344" s="1942"/>
      <c r="AR2344" s="1942"/>
      <c r="AS2344" s="1942"/>
      <c r="AT2344" s="1942"/>
      <c r="AU2344" s="1942"/>
      <c r="AV2344" s="1942"/>
      <c r="AW2344" s="1942"/>
      <c r="AX2344" s="1942"/>
      <c r="AY2344" s="1942"/>
      <c r="AZ2344" s="1942"/>
      <c r="BA2344" s="1942"/>
      <c r="BB2344" s="575"/>
      <c r="BC2344" s="576"/>
      <c r="BD2344" s="678"/>
      <c r="BE2344" s="585"/>
    </row>
    <row r="2345" spans="1:57" s="51" customFormat="1" ht="15" hidden="1" customHeight="1" outlineLevel="1" x14ac:dyDescent="0.25">
      <c r="A2345" s="1267"/>
      <c r="B2345" s="123"/>
      <c r="C2345" s="328"/>
      <c r="D2345" s="3990"/>
      <c r="E2345" s="4009"/>
      <c r="F2345" s="3010" t="str">
        <f>$E$1747</f>
        <v>ASHP-SEER21-Replace_CAC_ElectricHeat_ROF_MF_CompE</v>
      </c>
      <c r="G2345" s="2676"/>
      <c r="H2345" s="2676"/>
      <c r="I2345" s="2677"/>
      <c r="J2345" s="3299" t="str">
        <f>$C$1747</f>
        <v>354851_2019_12_</v>
      </c>
      <c r="K2345" s="2857">
        <v>3.41</v>
      </c>
      <c r="L2345" s="851"/>
      <c r="M2345" s="698" t="s">
        <v>1560</v>
      </c>
      <c r="N2345" s="123"/>
      <c r="O2345" s="228"/>
      <c r="P2345" s="228"/>
      <c r="Q2345" s="228"/>
      <c r="R2345" s="228"/>
      <c r="S2345" s="123"/>
      <c r="T2345" s="123"/>
      <c r="U2345" s="123"/>
      <c r="V2345" s="3990"/>
      <c r="W2345" s="2857"/>
      <c r="X2345" s="2857"/>
      <c r="Y2345" s="3155">
        <v>3.41</v>
      </c>
      <c r="Z2345" s="2857">
        <v>3.41</v>
      </c>
      <c r="AA2345" s="2857">
        <v>3.41</v>
      </c>
      <c r="AB2345" s="2857">
        <v>3.41</v>
      </c>
      <c r="AC2345" s="2857">
        <v>3.41</v>
      </c>
      <c r="AD2345" s="2857"/>
      <c r="AE2345" s="2857"/>
      <c r="AF2345" s="2857"/>
      <c r="AG2345" s="2857"/>
      <c r="AH2345" s="1942"/>
      <c r="AI2345" s="1942"/>
      <c r="AJ2345" s="1942"/>
      <c r="AK2345" s="1942"/>
      <c r="AL2345" s="1942"/>
      <c r="AM2345" s="1942"/>
      <c r="AN2345" s="1942"/>
      <c r="AO2345" s="1942"/>
      <c r="AP2345" s="1942"/>
      <c r="AQ2345" s="1942"/>
      <c r="AR2345" s="1942"/>
      <c r="AS2345" s="1942"/>
      <c r="AT2345" s="1942"/>
      <c r="AU2345" s="1942"/>
      <c r="AV2345" s="1942"/>
      <c r="AW2345" s="1942"/>
      <c r="AX2345" s="1942"/>
      <c r="AY2345" s="1942"/>
      <c r="AZ2345" s="1942"/>
      <c r="BA2345" s="1942"/>
      <c r="BB2345" s="575"/>
      <c r="BC2345" s="576"/>
      <c r="BD2345" s="678"/>
      <c r="BE2345" s="585"/>
    </row>
    <row r="2346" spans="1:57" s="1942" customFormat="1" ht="15" hidden="1" customHeight="1" outlineLevel="1" x14ac:dyDescent="0.25">
      <c r="A2346" s="1267"/>
      <c r="B2346" s="123"/>
      <c r="C2346" s="328"/>
      <c r="D2346" s="3990"/>
      <c r="E2346" s="4009"/>
      <c r="F2346" s="3010" t="str">
        <f>$E$1749</f>
        <v>ASHP-SEER21-Replace_CAC_NonElectricHeat_ROF_MF</v>
      </c>
      <c r="G2346" s="2676"/>
      <c r="H2346" s="2676"/>
      <c r="I2346" s="2677"/>
      <c r="J2346" s="3298" t="str">
        <f>$C$1749</f>
        <v>354860_2021_12_</v>
      </c>
      <c r="K2346" s="2225">
        <v>0</v>
      </c>
      <c r="L2346" s="851"/>
      <c r="M2346" s="3252" t="s">
        <v>1559</v>
      </c>
      <c r="N2346" s="123"/>
      <c r="O2346" s="228"/>
      <c r="P2346" s="228"/>
      <c r="Q2346" s="228"/>
      <c r="R2346" s="228"/>
      <c r="S2346" s="123"/>
      <c r="T2346" s="123"/>
      <c r="U2346" s="123"/>
      <c r="V2346" s="3990"/>
      <c r="W2346" s="2857"/>
      <c r="X2346" s="2857"/>
      <c r="Y2346" s="3155"/>
      <c r="Z2346" s="2857"/>
      <c r="AA2346" s="2857"/>
      <c r="AB2346" s="2857"/>
      <c r="AC2346" s="2225">
        <v>0</v>
      </c>
      <c r="AD2346" s="2857"/>
      <c r="AE2346" s="2857"/>
      <c r="AF2346" s="2857"/>
      <c r="AG2346" s="2857"/>
      <c r="BB2346" s="575"/>
      <c r="BC2346" s="576"/>
      <c r="BD2346" s="678"/>
      <c r="BE2346" s="585"/>
    </row>
    <row r="2347" spans="1:57" s="1942" customFormat="1" ht="15" hidden="1" customHeight="1" outlineLevel="1" x14ac:dyDescent="0.25">
      <c r="A2347" s="1267"/>
      <c r="B2347" s="123"/>
      <c r="C2347" s="328"/>
      <c r="D2347" s="3990"/>
      <c r="E2347" s="4009"/>
      <c r="F2347" s="3010" t="str">
        <f>$E$1751</f>
        <v>ASHP-SEER21-Replace_CAC_NonElectricHeat_ROF_MF_CompE</v>
      </c>
      <c r="G2347" s="2676"/>
      <c r="H2347" s="2676"/>
      <c r="I2347" s="2677"/>
      <c r="J2347" s="3298" t="str">
        <f>$C$1751</f>
        <v>354861_2021_12_</v>
      </c>
      <c r="K2347" s="2225">
        <v>0</v>
      </c>
      <c r="L2347" s="851"/>
      <c r="M2347" s="3252" t="s">
        <v>1559</v>
      </c>
      <c r="N2347" s="123"/>
      <c r="O2347" s="228"/>
      <c r="P2347" s="228"/>
      <c r="Q2347" s="228"/>
      <c r="R2347" s="228"/>
      <c r="S2347" s="123"/>
      <c r="T2347" s="123"/>
      <c r="U2347" s="123"/>
      <c r="V2347" s="3990"/>
      <c r="W2347" s="2857"/>
      <c r="X2347" s="2857"/>
      <c r="Y2347" s="3155"/>
      <c r="Z2347" s="2857"/>
      <c r="AA2347" s="2857"/>
      <c r="AB2347" s="2857"/>
      <c r="AC2347" s="2225">
        <v>0</v>
      </c>
      <c r="AD2347" s="2857"/>
      <c r="AE2347" s="2857"/>
      <c r="AF2347" s="2857"/>
      <c r="AG2347" s="2857"/>
      <c r="BB2347" s="575"/>
      <c r="BC2347" s="576"/>
      <c r="BD2347" s="678"/>
      <c r="BE2347" s="585"/>
    </row>
    <row r="2348" spans="1:57" s="51" customFormat="1" ht="15" hidden="1" customHeight="1" outlineLevel="1" x14ac:dyDescent="0.25">
      <c r="A2348" s="1267"/>
      <c r="B2348" s="123"/>
      <c r="C2348" s="328"/>
      <c r="D2348" s="3990"/>
      <c r="E2348" s="4009"/>
      <c r="F2348" s="3010" t="str">
        <f>$E$1753</f>
        <v>ASHP-SEER21_ER1_MF</v>
      </c>
      <c r="G2348" s="2676"/>
      <c r="H2348" s="2676"/>
      <c r="I2348" s="2677"/>
      <c r="J2348" s="3299" t="str">
        <f>$C$1753</f>
        <v>354900_2019_12_</v>
      </c>
      <c r="K2348" s="2857">
        <v>6.58</v>
      </c>
      <c r="L2348" s="851"/>
      <c r="M2348" s="698" t="s">
        <v>1560</v>
      </c>
      <c r="N2348" s="123"/>
      <c r="O2348" s="228"/>
      <c r="P2348" s="228"/>
      <c r="Q2348" s="228"/>
      <c r="R2348" s="228"/>
      <c r="S2348" s="123"/>
      <c r="T2348" s="123"/>
      <c r="U2348" s="123"/>
      <c r="V2348" s="3990"/>
      <c r="W2348" s="2857">
        <v>5.44</v>
      </c>
      <c r="X2348" s="3155">
        <v>6.58</v>
      </c>
      <c r="Y2348" s="2857">
        <v>6.58</v>
      </c>
      <c r="Z2348" s="2857">
        <v>6.58</v>
      </c>
      <c r="AA2348" s="2857">
        <v>6.58</v>
      </c>
      <c r="AB2348" s="2857">
        <v>6.58</v>
      </c>
      <c r="AC2348" s="2857">
        <v>6.58</v>
      </c>
      <c r="AD2348" s="2857"/>
      <c r="AE2348" s="2857"/>
      <c r="AF2348" s="2857"/>
      <c r="AG2348" s="2857"/>
      <c r="AH2348" s="1942"/>
      <c r="AI2348" s="1942"/>
      <c r="AJ2348" s="1942"/>
      <c r="AK2348" s="1942"/>
      <c r="AL2348" s="1942"/>
      <c r="AM2348" s="1942"/>
      <c r="AN2348" s="1942"/>
      <c r="AO2348" s="1942"/>
      <c r="AP2348" s="1942"/>
      <c r="AQ2348" s="1942"/>
      <c r="AR2348" s="1942"/>
      <c r="AS2348" s="1942"/>
      <c r="AT2348" s="1942"/>
      <c r="AU2348" s="1942"/>
      <c r="AV2348" s="1942"/>
      <c r="AW2348" s="1942"/>
      <c r="AX2348" s="1942"/>
      <c r="AY2348" s="1942"/>
      <c r="AZ2348" s="1942"/>
      <c r="BA2348" s="1942"/>
      <c r="BB2348" s="575"/>
      <c r="BC2348" s="576"/>
      <c r="BD2348" s="678"/>
      <c r="BE2348" s="585"/>
    </row>
    <row r="2349" spans="1:57" s="51" customFormat="1" ht="15" hidden="1" customHeight="1" outlineLevel="1" x14ac:dyDescent="0.25">
      <c r="A2349" s="1267"/>
      <c r="B2349" s="123"/>
      <c r="C2349" s="328"/>
      <c r="D2349" s="3990"/>
      <c r="E2349" s="4009"/>
      <c r="F2349" s="3010" t="str">
        <f>$E$1755</f>
        <v>ASHP-SEER21_ER2_MF</v>
      </c>
      <c r="G2349" s="2676"/>
      <c r="H2349" s="2676"/>
      <c r="I2349" s="2677"/>
      <c r="J2349" s="3299" t="str">
        <f>$C$1755</f>
        <v>354900_2019_12_</v>
      </c>
      <c r="K2349" s="2857">
        <v>8.1999999999999993</v>
      </c>
      <c r="L2349" s="851"/>
      <c r="M2349" s="698" t="s">
        <v>1560</v>
      </c>
      <c r="N2349" s="123"/>
      <c r="O2349" s="228"/>
      <c r="P2349" s="228"/>
      <c r="Q2349" s="228"/>
      <c r="R2349" s="228"/>
      <c r="S2349" s="123"/>
      <c r="T2349" s="123"/>
      <c r="U2349" s="123"/>
      <c r="V2349" s="3990"/>
      <c r="W2349" s="2857">
        <v>8.1999999999999993</v>
      </c>
      <c r="X2349" s="2857">
        <v>8.1999999999999993</v>
      </c>
      <c r="Y2349" s="2857">
        <v>8.1999999999999993</v>
      </c>
      <c r="Z2349" s="2857">
        <v>8.1999999999999993</v>
      </c>
      <c r="AA2349" s="2857">
        <v>8.1999999999999993</v>
      </c>
      <c r="AB2349" s="2857">
        <v>8.1999999999999993</v>
      </c>
      <c r="AC2349" s="2857">
        <v>8.1999999999999993</v>
      </c>
      <c r="AD2349" s="2857"/>
      <c r="AE2349" s="2857"/>
      <c r="AF2349" s="2857"/>
      <c r="AG2349" s="2857"/>
      <c r="AH2349" s="1942"/>
      <c r="AI2349" s="1942"/>
      <c r="AJ2349" s="1942"/>
      <c r="AK2349" s="1942"/>
      <c r="AL2349" s="1942"/>
      <c r="AM2349" s="1942"/>
      <c r="AN2349" s="1942"/>
      <c r="AO2349" s="1942"/>
      <c r="AP2349" s="1942"/>
      <c r="AQ2349" s="1942"/>
      <c r="AR2349" s="1942"/>
      <c r="AS2349" s="1942"/>
      <c r="AT2349" s="1942"/>
      <c r="AU2349" s="1942"/>
      <c r="AV2349" s="1942"/>
      <c r="AW2349" s="1942"/>
      <c r="AX2349" s="1942"/>
      <c r="AY2349" s="1942"/>
      <c r="AZ2349" s="1942"/>
      <c r="BA2349" s="1942"/>
      <c r="BB2349" s="575"/>
      <c r="BC2349" s="576"/>
      <c r="BD2349" s="678"/>
      <c r="BE2349" s="585"/>
    </row>
    <row r="2350" spans="1:57" s="51" customFormat="1" ht="15" hidden="1" customHeight="1" outlineLevel="1" x14ac:dyDescent="0.25">
      <c r="A2350" s="1267"/>
      <c r="B2350" s="123"/>
      <c r="C2350" s="328"/>
      <c r="D2350" s="3990"/>
      <c r="E2350" s="4009"/>
      <c r="F2350" s="3010" t="str">
        <f>$E$1757</f>
        <v>ASHP-SEER21_ER1_MF_CompE</v>
      </c>
      <c r="G2350" s="2676"/>
      <c r="H2350" s="2676"/>
      <c r="I2350" s="2677"/>
      <c r="J2350" s="3299" t="str">
        <f>$C$1757</f>
        <v>354901_2019_12_</v>
      </c>
      <c r="K2350" s="2857">
        <v>6.58</v>
      </c>
      <c r="L2350" s="851"/>
      <c r="M2350" s="698" t="s">
        <v>1560</v>
      </c>
      <c r="N2350" s="123"/>
      <c r="O2350" s="228"/>
      <c r="P2350" s="228"/>
      <c r="Q2350" s="228"/>
      <c r="R2350" s="228"/>
      <c r="S2350" s="123"/>
      <c r="T2350" s="123"/>
      <c r="U2350" s="123"/>
      <c r="V2350" s="3990"/>
      <c r="W2350" s="2857"/>
      <c r="X2350" s="2857"/>
      <c r="Y2350" s="3155">
        <v>6.58</v>
      </c>
      <c r="Z2350" s="2857">
        <v>6.58</v>
      </c>
      <c r="AA2350" s="2857">
        <v>6.58</v>
      </c>
      <c r="AB2350" s="2857">
        <v>6.58</v>
      </c>
      <c r="AC2350" s="2857">
        <v>6.58</v>
      </c>
      <c r="AD2350" s="2857"/>
      <c r="AE2350" s="2857"/>
      <c r="AF2350" s="2857"/>
      <c r="AG2350" s="2857"/>
      <c r="AH2350" s="1942"/>
      <c r="AI2350" s="1942"/>
      <c r="AJ2350" s="1942"/>
      <c r="AK2350" s="1942"/>
      <c r="AL2350" s="1942"/>
      <c r="AM2350" s="1942"/>
      <c r="AN2350" s="1942"/>
      <c r="AO2350" s="1942"/>
      <c r="AP2350" s="1942"/>
      <c r="AQ2350" s="1942"/>
      <c r="AR2350" s="1942"/>
      <c r="AS2350" s="1942"/>
      <c r="AT2350" s="1942"/>
      <c r="AU2350" s="1942"/>
      <c r="AV2350" s="1942"/>
      <c r="AW2350" s="1942"/>
      <c r="AX2350" s="1942"/>
      <c r="AY2350" s="1942"/>
      <c r="AZ2350" s="1942"/>
      <c r="BA2350" s="1942"/>
      <c r="BB2350" s="575"/>
      <c r="BC2350" s="576"/>
      <c r="BD2350" s="678"/>
      <c r="BE2350" s="585"/>
    </row>
    <row r="2351" spans="1:57" s="51" customFormat="1" ht="15" hidden="1" customHeight="1" outlineLevel="1" x14ac:dyDescent="0.25">
      <c r="A2351" s="1267"/>
      <c r="B2351" s="123"/>
      <c r="C2351" s="328"/>
      <c r="D2351" s="3990"/>
      <c r="E2351" s="4009"/>
      <c r="F2351" s="3010" t="str">
        <f>$E$1759</f>
        <v>ASHP-SEER21_ER2_MF_CompE</v>
      </c>
      <c r="G2351" s="2676"/>
      <c r="H2351" s="2676"/>
      <c r="I2351" s="2677"/>
      <c r="J2351" s="3299" t="str">
        <f>$C$1759</f>
        <v>354901_2019_12_</v>
      </c>
      <c r="K2351" s="2857">
        <v>8.1999999999999993</v>
      </c>
      <c r="L2351" s="851"/>
      <c r="M2351" s="698" t="s">
        <v>1560</v>
      </c>
      <c r="N2351" s="123"/>
      <c r="O2351" s="228"/>
      <c r="P2351" s="228"/>
      <c r="Q2351" s="228"/>
      <c r="R2351" s="228"/>
      <c r="S2351" s="123"/>
      <c r="T2351" s="123"/>
      <c r="U2351" s="123"/>
      <c r="V2351" s="3990"/>
      <c r="W2351" s="2857"/>
      <c r="X2351" s="2857"/>
      <c r="Y2351" s="3155">
        <v>8.1999999999999993</v>
      </c>
      <c r="Z2351" s="2857">
        <v>8.1999999999999993</v>
      </c>
      <c r="AA2351" s="2857">
        <v>8.1999999999999993</v>
      </c>
      <c r="AB2351" s="2857">
        <v>8.1999999999999993</v>
      </c>
      <c r="AC2351" s="2857">
        <v>8.1999999999999993</v>
      </c>
      <c r="AD2351" s="2857"/>
      <c r="AE2351" s="2857"/>
      <c r="AF2351" s="2857"/>
      <c r="AG2351" s="2857"/>
      <c r="AH2351" s="1942"/>
      <c r="AI2351" s="1942"/>
      <c r="AJ2351" s="1942"/>
      <c r="AK2351" s="1942"/>
      <c r="AL2351" s="1942"/>
      <c r="AM2351" s="1942"/>
      <c r="AN2351" s="1942"/>
      <c r="AO2351" s="1942"/>
      <c r="AP2351" s="1942"/>
      <c r="AQ2351" s="1942"/>
      <c r="AR2351" s="1942"/>
      <c r="AS2351" s="1942"/>
      <c r="AT2351" s="1942"/>
      <c r="AU2351" s="1942"/>
      <c r="AV2351" s="1942"/>
      <c r="AW2351" s="1942"/>
      <c r="AX2351" s="1942"/>
      <c r="AY2351" s="1942"/>
      <c r="AZ2351" s="1942"/>
      <c r="BA2351" s="1942"/>
      <c r="BB2351" s="575"/>
      <c r="BC2351" s="576"/>
      <c r="BD2351" s="678"/>
      <c r="BE2351" s="585"/>
    </row>
    <row r="2352" spans="1:57" s="51" customFormat="1" ht="15" hidden="1" customHeight="1" outlineLevel="1" x14ac:dyDescent="0.25">
      <c r="A2352" s="2060"/>
      <c r="B2352" s="123"/>
      <c r="C2352" s="328"/>
      <c r="D2352" s="3990"/>
      <c r="E2352" s="4009"/>
      <c r="F2352" s="3010" t="str">
        <f>$E$1761</f>
        <v>ASHP-SEER17_ROF_MF</v>
      </c>
      <c r="G2352" s="2676"/>
      <c r="H2352" s="2676"/>
      <c r="I2352" s="2677"/>
      <c r="J2352" s="3299" t="str">
        <f>$C$1761</f>
        <v>354950_2019_12_</v>
      </c>
      <c r="K2352" s="2857">
        <v>8.1999999999999993</v>
      </c>
      <c r="L2352" s="851"/>
      <c r="M2352" s="698" t="s">
        <v>1560</v>
      </c>
      <c r="N2352" s="123"/>
      <c r="O2352" s="228"/>
      <c r="P2352" s="844"/>
      <c r="Q2352" s="845"/>
      <c r="R2352" s="844"/>
      <c r="S2352" s="832"/>
      <c r="T2352" s="3082"/>
      <c r="U2352" s="123"/>
      <c r="V2352" s="3990"/>
      <c r="W2352" s="2857">
        <v>8.1999999999999993</v>
      </c>
      <c r="X2352" s="2857">
        <v>8.1999999999999993</v>
      </c>
      <c r="Y2352" s="2857">
        <v>8.1999999999999993</v>
      </c>
      <c r="Z2352" s="2857">
        <v>8.1999999999999993</v>
      </c>
      <c r="AA2352" s="2857">
        <v>8.1999999999999993</v>
      </c>
      <c r="AB2352" s="2857">
        <v>8.1999999999999993</v>
      </c>
      <c r="AC2352" s="2857">
        <v>8.1999999999999993</v>
      </c>
      <c r="AD2352" s="2857"/>
      <c r="AE2352" s="2857"/>
      <c r="AF2352" s="2857"/>
      <c r="AG2352" s="2857"/>
      <c r="AH2352" s="1942"/>
      <c r="AI2352" s="1942"/>
      <c r="AJ2352" s="1942"/>
      <c r="AK2352" s="1942"/>
      <c r="AL2352" s="1942"/>
      <c r="AM2352" s="1942"/>
      <c r="AN2352" s="1942"/>
      <c r="AO2352" s="1942"/>
      <c r="AP2352" s="1942"/>
      <c r="AQ2352" s="1942"/>
      <c r="AR2352" s="1942"/>
      <c r="AS2352" s="1942"/>
      <c r="AT2352" s="1942"/>
      <c r="AU2352" s="1942"/>
      <c r="AV2352" s="1942"/>
      <c r="AW2352" s="1942"/>
      <c r="AX2352" s="1942"/>
      <c r="AY2352" s="1942"/>
      <c r="AZ2352" s="1942"/>
      <c r="BA2352" s="1942"/>
      <c r="BB2352" s="575"/>
      <c r="BC2352" s="576"/>
      <c r="BD2352" s="678"/>
      <c r="BE2352" s="585"/>
    </row>
    <row r="2353" spans="1:57" s="51" customFormat="1" ht="15" hidden="1" customHeight="1" outlineLevel="1" x14ac:dyDescent="0.25">
      <c r="A2353" s="2060"/>
      <c r="B2353" s="123"/>
      <c r="C2353" s="328"/>
      <c r="D2353" s="3990"/>
      <c r="E2353" s="4009"/>
      <c r="F2353" s="3010" t="str">
        <f>$E$1763</f>
        <v>ASHP-SEER17_ROF_MF_CompE</v>
      </c>
      <c r="G2353" s="2676"/>
      <c r="H2353" s="2676"/>
      <c r="I2353" s="2677"/>
      <c r="J2353" s="3299" t="str">
        <f>$C$1763</f>
        <v>354951_2019_12_</v>
      </c>
      <c r="K2353" s="2857">
        <v>8.1999999999999993</v>
      </c>
      <c r="L2353" s="851"/>
      <c r="M2353" s="698" t="s">
        <v>1560</v>
      </c>
      <c r="N2353" s="123"/>
      <c r="O2353" s="228"/>
      <c r="P2353" s="844"/>
      <c r="Q2353" s="845"/>
      <c r="R2353" s="844"/>
      <c r="S2353" s="832"/>
      <c r="T2353" s="3082"/>
      <c r="U2353" s="123"/>
      <c r="V2353" s="3990"/>
      <c r="W2353" s="2857"/>
      <c r="X2353" s="2857"/>
      <c r="Y2353" s="3155">
        <v>8.1999999999999993</v>
      </c>
      <c r="Z2353" s="2857">
        <v>8.1999999999999993</v>
      </c>
      <c r="AA2353" s="2857">
        <v>8.1999999999999993</v>
      </c>
      <c r="AB2353" s="2857">
        <v>8.1999999999999993</v>
      </c>
      <c r="AC2353" s="2857">
        <v>8.1999999999999993</v>
      </c>
      <c r="AD2353" s="2857"/>
      <c r="AE2353" s="2857"/>
      <c r="AF2353" s="2857"/>
      <c r="AG2353" s="2857"/>
      <c r="AH2353" s="1942"/>
      <c r="AI2353" s="1942"/>
      <c r="AJ2353" s="1942"/>
      <c r="AK2353" s="1942"/>
      <c r="AL2353" s="1942"/>
      <c r="AM2353" s="1942"/>
      <c r="AN2353" s="1942"/>
      <c r="AO2353" s="1942"/>
      <c r="AP2353" s="1942"/>
      <c r="AQ2353" s="1942"/>
      <c r="AR2353" s="1942"/>
      <c r="AS2353" s="1942"/>
      <c r="AT2353" s="1942"/>
      <c r="AU2353" s="1942"/>
      <c r="AV2353" s="1942"/>
      <c r="AW2353" s="1942"/>
      <c r="AX2353" s="1942"/>
      <c r="AY2353" s="1942"/>
      <c r="AZ2353" s="1942"/>
      <c r="BA2353" s="1942"/>
      <c r="BB2353" s="575"/>
      <c r="BC2353" s="576"/>
      <c r="BD2353" s="678"/>
      <c r="BE2353" s="585"/>
    </row>
    <row r="2354" spans="1:57" s="51" customFormat="1" ht="15" hidden="1" customHeight="1" outlineLevel="1" x14ac:dyDescent="0.25">
      <c r="A2354" s="2060"/>
      <c r="B2354" s="123"/>
      <c r="C2354" s="328"/>
      <c r="D2354" s="3990"/>
      <c r="E2354" s="4009"/>
      <c r="F2354" s="3010" t="str">
        <f>$E$1765</f>
        <v>ASHP-SEER18_ROF_MF</v>
      </c>
      <c r="G2354" s="2676"/>
      <c r="H2354" s="2676"/>
      <c r="I2354" s="2677"/>
      <c r="J2354" s="3299" t="str">
        <f>$C$1765</f>
        <v>355000_2019_12_</v>
      </c>
      <c r="K2354" s="2857">
        <v>8.1999999999999993</v>
      </c>
      <c r="L2354" s="851"/>
      <c r="M2354" s="698" t="s">
        <v>1560</v>
      </c>
      <c r="N2354" s="123"/>
      <c r="O2354" s="228"/>
      <c r="P2354" s="844"/>
      <c r="Q2354" s="845"/>
      <c r="R2354" s="844"/>
      <c r="S2354" s="832"/>
      <c r="T2354" s="3082"/>
      <c r="U2354" s="123"/>
      <c r="V2354" s="3990"/>
      <c r="W2354" s="2857">
        <v>8.1999999999999993</v>
      </c>
      <c r="X2354" s="2857">
        <v>8.1999999999999993</v>
      </c>
      <c r="Y2354" s="2857">
        <v>8.1999999999999993</v>
      </c>
      <c r="Z2354" s="2857">
        <v>8.1999999999999993</v>
      </c>
      <c r="AA2354" s="2857">
        <v>8.1999999999999993</v>
      </c>
      <c r="AB2354" s="2857">
        <v>8.1999999999999993</v>
      </c>
      <c r="AC2354" s="2857">
        <v>8.1999999999999993</v>
      </c>
      <c r="AD2354" s="2857"/>
      <c r="AE2354" s="2857"/>
      <c r="AF2354" s="2857"/>
      <c r="AG2354" s="2857"/>
      <c r="AH2354" s="1942"/>
      <c r="AI2354" s="1942"/>
      <c r="AJ2354" s="1942"/>
      <c r="AK2354" s="1942"/>
      <c r="AL2354" s="1942"/>
      <c r="AM2354" s="1942"/>
      <c r="AN2354" s="1942"/>
      <c r="AO2354" s="1942"/>
      <c r="AP2354" s="1942"/>
      <c r="AQ2354" s="1942"/>
      <c r="AR2354" s="1942"/>
      <c r="AS2354" s="1942"/>
      <c r="AT2354" s="1942"/>
      <c r="AU2354" s="1942"/>
      <c r="AV2354" s="1942"/>
      <c r="AW2354" s="1942"/>
      <c r="AX2354" s="1942"/>
      <c r="AY2354" s="1942"/>
      <c r="AZ2354" s="1942"/>
      <c r="BA2354" s="1942"/>
      <c r="BB2354" s="575"/>
      <c r="BC2354" s="576"/>
      <c r="BD2354" s="678"/>
      <c r="BE2354" s="585"/>
    </row>
    <row r="2355" spans="1:57" s="51" customFormat="1" ht="15" hidden="1" customHeight="1" outlineLevel="1" x14ac:dyDescent="0.25">
      <c r="A2355" s="2060"/>
      <c r="B2355" s="123"/>
      <c r="C2355" s="328"/>
      <c r="D2355" s="3990"/>
      <c r="E2355" s="4009"/>
      <c r="F2355" s="3010" t="str">
        <f>$E$1767</f>
        <v>ASHP-SEER18_ROF_MF_CompE</v>
      </c>
      <c r="G2355" s="2676"/>
      <c r="H2355" s="2676"/>
      <c r="I2355" s="2677"/>
      <c r="J2355" s="3299" t="str">
        <f>$C$1767</f>
        <v>355001_2021_12_</v>
      </c>
      <c r="K2355" s="2857">
        <v>8.1999999999999993</v>
      </c>
      <c r="L2355" s="851"/>
      <c r="M2355" s="698" t="s">
        <v>1560</v>
      </c>
      <c r="N2355" s="123"/>
      <c r="O2355" s="228"/>
      <c r="P2355" s="844"/>
      <c r="Q2355" s="845"/>
      <c r="R2355" s="844"/>
      <c r="S2355" s="832"/>
      <c r="T2355" s="3082"/>
      <c r="U2355" s="123"/>
      <c r="V2355" s="3990"/>
      <c r="W2355" s="2857"/>
      <c r="X2355" s="2857"/>
      <c r="Y2355" s="3155">
        <v>8.1999999999999993</v>
      </c>
      <c r="Z2355" s="2857">
        <v>8.1999999999999993</v>
      </c>
      <c r="AA2355" s="2857">
        <v>8.1999999999999993</v>
      </c>
      <c r="AB2355" s="2857">
        <v>8.1999999999999993</v>
      </c>
      <c r="AC2355" s="2857">
        <v>8.1999999999999993</v>
      </c>
      <c r="AD2355" s="2857"/>
      <c r="AE2355" s="2857"/>
      <c r="AF2355" s="2857"/>
      <c r="AG2355" s="2857"/>
      <c r="AH2355" s="1942"/>
      <c r="AI2355" s="1942"/>
      <c r="AJ2355" s="1942"/>
      <c r="AK2355" s="1942"/>
      <c r="AL2355" s="1942"/>
      <c r="AM2355" s="1942"/>
      <c r="AN2355" s="1942"/>
      <c r="AO2355" s="1942"/>
      <c r="AP2355" s="1942"/>
      <c r="AQ2355" s="1942"/>
      <c r="AR2355" s="1942"/>
      <c r="AS2355" s="1942"/>
      <c r="AT2355" s="1942"/>
      <c r="AU2355" s="1942"/>
      <c r="AV2355" s="1942"/>
      <c r="AW2355" s="1942"/>
      <c r="AX2355" s="1942"/>
      <c r="AY2355" s="1942"/>
      <c r="AZ2355" s="1942"/>
      <c r="BA2355" s="1942"/>
      <c r="BB2355" s="575"/>
      <c r="BC2355" s="576"/>
      <c r="BD2355" s="678"/>
      <c r="BE2355" s="585"/>
    </row>
    <row r="2356" spans="1:57" s="51" customFormat="1" ht="15" hidden="1" customHeight="1" outlineLevel="1" x14ac:dyDescent="0.25">
      <c r="A2356" s="1267"/>
      <c r="B2356" s="123"/>
      <c r="C2356" s="328"/>
      <c r="D2356" s="3990"/>
      <c r="E2356" s="4009"/>
      <c r="F2356" s="3010" t="str">
        <f>$E$1769</f>
        <v>ASHP-SEER19_ROF_MF</v>
      </c>
      <c r="G2356" s="2676"/>
      <c r="H2356" s="2676"/>
      <c r="I2356" s="2677"/>
      <c r="J2356" s="3299" t="str">
        <f>$C$1769</f>
        <v>355050_2019_12_</v>
      </c>
      <c r="K2356" s="2857">
        <v>8.1999999999999993</v>
      </c>
      <c r="L2356" s="851"/>
      <c r="M2356" s="698" t="s">
        <v>1560</v>
      </c>
      <c r="N2356" s="123"/>
      <c r="O2356" s="228"/>
      <c r="P2356" s="228"/>
      <c r="Q2356" s="228"/>
      <c r="R2356" s="228"/>
      <c r="S2356" s="123"/>
      <c r="T2356" s="123"/>
      <c r="U2356" s="123"/>
      <c r="V2356" s="3990"/>
      <c r="W2356" s="2857">
        <v>8.1999999999999993</v>
      </c>
      <c r="X2356" s="2857">
        <v>8.1999999999999993</v>
      </c>
      <c r="Y2356" s="2857">
        <v>8.1999999999999993</v>
      </c>
      <c r="Z2356" s="2857">
        <v>8.1999999999999993</v>
      </c>
      <c r="AA2356" s="2857">
        <v>8.1999999999999993</v>
      </c>
      <c r="AB2356" s="2857">
        <v>8.1999999999999993</v>
      </c>
      <c r="AC2356" s="2857">
        <v>8.1999999999999993</v>
      </c>
      <c r="AD2356" s="2857"/>
      <c r="AE2356" s="2857"/>
      <c r="AF2356" s="2857"/>
      <c r="AG2356" s="2857"/>
      <c r="AH2356" s="1942"/>
      <c r="AI2356" s="1942"/>
      <c r="AJ2356" s="1942"/>
      <c r="AK2356" s="1942"/>
      <c r="AL2356" s="1942"/>
      <c r="AM2356" s="1942"/>
      <c r="AN2356" s="1942"/>
      <c r="AO2356" s="1942"/>
      <c r="AP2356" s="1942"/>
      <c r="AQ2356" s="1942"/>
      <c r="AR2356" s="1942"/>
      <c r="AS2356" s="1942"/>
      <c r="AT2356" s="1942"/>
      <c r="AU2356" s="1942"/>
      <c r="AV2356" s="1942"/>
      <c r="AW2356" s="1942"/>
      <c r="AX2356" s="1942"/>
      <c r="AY2356" s="1942"/>
      <c r="AZ2356" s="1942"/>
      <c r="BA2356" s="1942"/>
      <c r="BB2356" s="575"/>
      <c r="BC2356" s="576"/>
      <c r="BD2356" s="678"/>
      <c r="BE2356" s="585"/>
    </row>
    <row r="2357" spans="1:57" s="51" customFormat="1" ht="15" hidden="1" customHeight="1" outlineLevel="1" x14ac:dyDescent="0.25">
      <c r="A2357" s="1267"/>
      <c r="B2357" s="123"/>
      <c r="C2357" s="328"/>
      <c r="D2357" s="3990"/>
      <c r="E2357" s="4009"/>
      <c r="F2357" s="3010" t="str">
        <f>$E$1771</f>
        <v>ASHP-SEER19_ROF_MF_CompE</v>
      </c>
      <c r="G2357" s="2676"/>
      <c r="H2357" s="2676"/>
      <c r="I2357" s="2677"/>
      <c r="J2357" s="3299" t="str">
        <f>$C$1771</f>
        <v>355051_2019_12_</v>
      </c>
      <c r="K2357" s="2857">
        <v>8.1999999999999993</v>
      </c>
      <c r="L2357" s="851"/>
      <c r="M2357" s="698" t="s">
        <v>1560</v>
      </c>
      <c r="N2357" s="123"/>
      <c r="O2357" s="228"/>
      <c r="P2357" s="228"/>
      <c r="Q2357" s="228"/>
      <c r="R2357" s="228"/>
      <c r="S2357" s="123"/>
      <c r="T2357" s="123"/>
      <c r="U2357" s="123"/>
      <c r="V2357" s="3990"/>
      <c r="W2357" s="2857"/>
      <c r="X2357" s="2857"/>
      <c r="Y2357" s="3155">
        <v>8.1999999999999993</v>
      </c>
      <c r="Z2357" s="2857">
        <v>8.1999999999999993</v>
      </c>
      <c r="AA2357" s="2857">
        <v>8.1999999999999993</v>
      </c>
      <c r="AB2357" s="2857">
        <v>8.1999999999999993</v>
      </c>
      <c r="AC2357" s="2857">
        <v>8.1999999999999993</v>
      </c>
      <c r="AD2357" s="2857"/>
      <c r="AE2357" s="2857"/>
      <c r="AF2357" s="2857"/>
      <c r="AG2357" s="2857"/>
      <c r="AH2357" s="1942"/>
      <c r="AI2357" s="1942"/>
      <c r="AJ2357" s="1942"/>
      <c r="AK2357" s="1942"/>
      <c r="AL2357" s="1942"/>
      <c r="AM2357" s="1942"/>
      <c r="AN2357" s="1942"/>
      <c r="AO2357" s="1942"/>
      <c r="AP2357" s="1942"/>
      <c r="AQ2357" s="1942"/>
      <c r="AR2357" s="1942"/>
      <c r="AS2357" s="1942"/>
      <c r="AT2357" s="1942"/>
      <c r="AU2357" s="1942"/>
      <c r="AV2357" s="1942"/>
      <c r="AW2357" s="1942"/>
      <c r="AX2357" s="1942"/>
      <c r="AY2357" s="1942"/>
      <c r="AZ2357" s="1942"/>
      <c r="BA2357" s="1942"/>
      <c r="BB2357" s="575"/>
      <c r="BC2357" s="576"/>
      <c r="BD2357" s="678"/>
      <c r="BE2357" s="585"/>
    </row>
    <row r="2358" spans="1:57" s="51" customFormat="1" ht="15" hidden="1" customHeight="1" outlineLevel="1" x14ac:dyDescent="0.25">
      <c r="A2358" s="1267"/>
      <c r="B2358" s="123"/>
      <c r="C2358" s="328"/>
      <c r="D2358" s="3990"/>
      <c r="E2358" s="4009"/>
      <c r="F2358" s="3010" t="str">
        <f>$E$1773</f>
        <v>ASHP-SEER20_ROF_MF</v>
      </c>
      <c r="G2358" s="2676"/>
      <c r="H2358" s="2676"/>
      <c r="I2358" s="2677"/>
      <c r="J2358" s="3299" t="str">
        <f>$C$1773</f>
        <v>355100_2019_12_</v>
      </c>
      <c r="K2358" s="2857">
        <v>8.1999999999999993</v>
      </c>
      <c r="L2358" s="851"/>
      <c r="M2358" s="698" t="s">
        <v>1560</v>
      </c>
      <c r="N2358" s="123"/>
      <c r="O2358" s="228"/>
      <c r="P2358" s="228"/>
      <c r="Q2358" s="228"/>
      <c r="R2358" s="228"/>
      <c r="S2358" s="123"/>
      <c r="T2358" s="123"/>
      <c r="U2358" s="123"/>
      <c r="V2358" s="3990"/>
      <c r="W2358" s="2857">
        <v>8.1999999999999993</v>
      </c>
      <c r="X2358" s="2857">
        <v>8.1999999999999993</v>
      </c>
      <c r="Y2358" s="2857">
        <v>8.1999999999999993</v>
      </c>
      <c r="Z2358" s="2857">
        <v>8.1999999999999993</v>
      </c>
      <c r="AA2358" s="2857">
        <v>8.1999999999999993</v>
      </c>
      <c r="AB2358" s="2857">
        <v>8.1999999999999993</v>
      </c>
      <c r="AC2358" s="2857">
        <v>8.1999999999999993</v>
      </c>
      <c r="AD2358" s="2857"/>
      <c r="AE2358" s="2857"/>
      <c r="AF2358" s="2857"/>
      <c r="AG2358" s="2857"/>
      <c r="AH2358" s="1942"/>
      <c r="AI2358" s="1942"/>
      <c r="AJ2358" s="1942"/>
      <c r="AK2358" s="1942"/>
      <c r="AL2358" s="1942"/>
      <c r="AM2358" s="1942"/>
      <c r="AN2358" s="1942"/>
      <c r="AO2358" s="1942"/>
      <c r="AP2358" s="1942"/>
      <c r="AQ2358" s="1942"/>
      <c r="AR2358" s="1942"/>
      <c r="AS2358" s="1942"/>
      <c r="AT2358" s="1942"/>
      <c r="AU2358" s="1942"/>
      <c r="AV2358" s="1942"/>
      <c r="AW2358" s="1942"/>
      <c r="AX2358" s="1942"/>
      <c r="AY2358" s="1942"/>
      <c r="AZ2358" s="1942"/>
      <c r="BA2358" s="1942"/>
      <c r="BB2358" s="575"/>
      <c r="BC2358" s="576"/>
      <c r="BD2358" s="678"/>
      <c r="BE2358" s="585"/>
    </row>
    <row r="2359" spans="1:57" s="51" customFormat="1" ht="15" hidden="1" customHeight="1" outlineLevel="1" x14ac:dyDescent="0.25">
      <c r="A2359" s="1267"/>
      <c r="B2359" s="123"/>
      <c r="C2359" s="328"/>
      <c r="D2359" s="3990"/>
      <c r="E2359" s="4009"/>
      <c r="F2359" s="3010" t="str">
        <f>$E$1775</f>
        <v>ASHP-SEER20_ROF_MF_CompE</v>
      </c>
      <c r="G2359" s="2676"/>
      <c r="H2359" s="2676"/>
      <c r="I2359" s="2677"/>
      <c r="J2359" s="3299" t="str">
        <f>$C$1775</f>
        <v>355101_2019_12_</v>
      </c>
      <c r="K2359" s="2857">
        <v>8.1999999999999993</v>
      </c>
      <c r="L2359" s="852"/>
      <c r="M2359" s="698" t="s">
        <v>1560</v>
      </c>
      <c r="N2359" s="123"/>
      <c r="O2359" s="228"/>
      <c r="P2359" s="228"/>
      <c r="Q2359" s="228"/>
      <c r="R2359" s="228"/>
      <c r="S2359" s="123"/>
      <c r="T2359" s="123"/>
      <c r="U2359" s="123"/>
      <c r="V2359" s="3990"/>
      <c r="W2359" s="693"/>
      <c r="X2359" s="693"/>
      <c r="Y2359" s="3155">
        <v>8.1999999999999993</v>
      </c>
      <c r="Z2359" s="2857">
        <v>8.1999999999999993</v>
      </c>
      <c r="AA2359" s="2857">
        <v>8.1999999999999993</v>
      </c>
      <c r="AB2359" s="2857">
        <v>8.1999999999999993</v>
      </c>
      <c r="AC2359" s="2857">
        <v>8.1999999999999993</v>
      </c>
      <c r="AD2359" s="693"/>
      <c r="AE2359" s="693"/>
      <c r="AF2359" s="693"/>
      <c r="AG2359" s="693"/>
      <c r="AH2359" s="1942"/>
      <c r="AI2359" s="1942"/>
      <c r="AJ2359" s="1942"/>
      <c r="AK2359" s="1942"/>
      <c r="AL2359" s="1942"/>
      <c r="AM2359" s="1942"/>
      <c r="AN2359" s="1942"/>
      <c r="AO2359" s="1942"/>
      <c r="AP2359" s="1942"/>
      <c r="AQ2359" s="1942"/>
      <c r="AR2359" s="1942"/>
      <c r="AS2359" s="1942"/>
      <c r="AT2359" s="1942"/>
      <c r="AU2359" s="1942"/>
      <c r="AV2359" s="1942"/>
      <c r="AW2359" s="1942"/>
      <c r="AX2359" s="1942"/>
      <c r="AY2359" s="1942"/>
      <c r="AZ2359" s="1942"/>
      <c r="BA2359" s="1942"/>
      <c r="BB2359" s="575"/>
      <c r="BC2359" s="576"/>
      <c r="BD2359" s="678"/>
      <c r="BE2359" s="585"/>
    </row>
    <row r="2360" spans="1:57" s="51" customFormat="1" ht="15.75" hidden="1" customHeight="1" outlineLevel="1" x14ac:dyDescent="0.25">
      <c r="A2360" s="2060"/>
      <c r="B2360" s="123"/>
      <c r="C2360" s="328"/>
      <c r="D2360" s="3990"/>
      <c r="E2360" s="4009"/>
      <c r="F2360" s="3010" t="str">
        <f>$E$1777</f>
        <v>ASHP-SEER21_ROF_MF</v>
      </c>
      <c r="G2360" s="2676"/>
      <c r="H2360" s="2676"/>
      <c r="I2360" s="2677"/>
      <c r="J2360" s="3299" t="str">
        <f>$C$1777</f>
        <v>355150_2019_12_</v>
      </c>
      <c r="K2360" s="2857">
        <v>8.1999999999999993</v>
      </c>
      <c r="L2360" s="851"/>
      <c r="M2360" s="698" t="s">
        <v>1560</v>
      </c>
      <c r="N2360" s="123"/>
      <c r="O2360" s="123"/>
      <c r="P2360" s="123"/>
      <c r="Q2360" s="123"/>
      <c r="R2360" s="844"/>
      <c r="S2360" s="832"/>
      <c r="T2360" s="3082"/>
      <c r="U2360" s="123"/>
      <c r="V2360" s="3990"/>
      <c r="W2360" s="2857">
        <v>8.1999999999999993</v>
      </c>
      <c r="X2360" s="2857">
        <v>8.1999999999999993</v>
      </c>
      <c r="Y2360" s="2857">
        <v>8.1999999999999993</v>
      </c>
      <c r="Z2360" s="2857">
        <v>8.1999999999999993</v>
      </c>
      <c r="AA2360" s="2857">
        <v>8.1999999999999993</v>
      </c>
      <c r="AB2360" s="2857">
        <v>8.1999999999999993</v>
      </c>
      <c r="AC2360" s="2857">
        <v>8.1999999999999993</v>
      </c>
      <c r="AD2360" s="2857"/>
      <c r="AE2360" s="2857"/>
      <c r="AF2360" s="2857"/>
      <c r="AG2360" s="2857"/>
      <c r="AH2360" s="1942"/>
      <c r="AI2360" s="1942"/>
      <c r="AJ2360" s="1942"/>
      <c r="AK2360" s="1942"/>
      <c r="AL2360" s="1942"/>
      <c r="AM2360" s="1942"/>
      <c r="AN2360" s="1942"/>
      <c r="AO2360" s="1942"/>
      <c r="AP2360" s="1942"/>
      <c r="AQ2360" s="1942"/>
      <c r="AR2360" s="1942"/>
      <c r="AS2360" s="1942"/>
      <c r="AT2360" s="1942"/>
      <c r="AU2360" s="1942"/>
      <c r="AV2360" s="1942"/>
      <c r="AW2360" s="1942"/>
      <c r="AX2360" s="1942"/>
      <c r="AY2360" s="1942"/>
      <c r="AZ2360" s="1942"/>
      <c r="BA2360" s="1942"/>
      <c r="BB2360" s="575"/>
      <c r="BC2360" s="576"/>
      <c r="BD2360" s="678"/>
      <c r="BE2360" s="585"/>
    </row>
    <row r="2361" spans="1:57" s="51" customFormat="1" ht="15.75" hidden="1" customHeight="1" outlineLevel="1" thickBot="1" x14ac:dyDescent="0.3">
      <c r="A2361" s="2060"/>
      <c r="B2361" s="123"/>
      <c r="C2361" s="328"/>
      <c r="D2361" s="4035"/>
      <c r="E2361" s="4036"/>
      <c r="F2361" s="3012" t="str">
        <f>$E$1779</f>
        <v>ASHP-SEER21_ROF_MF_CompE</v>
      </c>
      <c r="G2361" s="847"/>
      <c r="H2361" s="847"/>
      <c r="I2361" s="848"/>
      <c r="J2361" s="2607" t="str">
        <f>$C$1779</f>
        <v>355151_2019_12_</v>
      </c>
      <c r="K2361" s="855">
        <v>8.1999999999999993</v>
      </c>
      <c r="L2361" s="854"/>
      <c r="M2361" s="1596" t="s">
        <v>838</v>
      </c>
      <c r="N2361" s="123"/>
      <c r="O2361" s="123"/>
      <c r="P2361" s="123"/>
      <c r="Q2361" s="123"/>
      <c r="R2361" s="844"/>
      <c r="S2361" s="832"/>
      <c r="T2361" s="3082"/>
      <c r="U2361" s="123"/>
      <c r="V2361" s="4035"/>
      <c r="W2361" s="695"/>
      <c r="X2361" s="695"/>
      <c r="Y2361" s="853">
        <v>8.1999999999999993</v>
      </c>
      <c r="Z2361" s="855">
        <v>8.1999999999999993</v>
      </c>
      <c r="AA2361" s="855">
        <v>8.1999999999999993</v>
      </c>
      <c r="AB2361" s="855">
        <v>8.1999999999999993</v>
      </c>
      <c r="AC2361" s="855">
        <v>8.1999999999999993</v>
      </c>
      <c r="AD2361" s="695"/>
      <c r="AE2361" s="695"/>
      <c r="AF2361" s="695"/>
      <c r="AG2361" s="695"/>
      <c r="AH2361" s="1942"/>
      <c r="AI2361" s="1942"/>
      <c r="AJ2361" s="1942"/>
      <c r="AK2361" s="1942"/>
      <c r="AL2361" s="1942"/>
      <c r="AM2361" s="1942"/>
      <c r="AN2361" s="1942"/>
      <c r="AO2361" s="1942"/>
      <c r="AP2361" s="1942"/>
      <c r="AQ2361" s="1942"/>
      <c r="AR2361" s="1942"/>
      <c r="AS2361" s="1942"/>
      <c r="AT2361" s="1942"/>
      <c r="AU2361" s="1942"/>
      <c r="AV2361" s="1942"/>
      <c r="AW2361" s="1942"/>
      <c r="AX2361" s="1942"/>
      <c r="AY2361" s="1942"/>
      <c r="AZ2361" s="1942"/>
      <c r="BA2361" s="1942"/>
      <c r="BB2361" s="575"/>
      <c r="BC2361" s="576"/>
      <c r="BD2361" s="678"/>
      <c r="BE2361" s="585"/>
    </row>
    <row r="2362" spans="1:57" s="51" customFormat="1" ht="15" hidden="1" customHeight="1" outlineLevel="1" x14ac:dyDescent="0.25">
      <c r="A2362" s="2060"/>
      <c r="B2362" s="123"/>
      <c r="C2362" s="328"/>
      <c r="D2362" s="3989" t="s">
        <v>1156</v>
      </c>
      <c r="E2362" s="4008" t="s">
        <v>1561</v>
      </c>
      <c r="F2362" s="3009" t="str">
        <f>$E$1407</f>
        <v>ASHP-SEER15-Replace_CAC_ElectricHeat_ER1_SF</v>
      </c>
      <c r="G2362" s="2675"/>
      <c r="H2362" s="2675"/>
      <c r="I2362" s="2675"/>
      <c r="J2362" s="3297" t="str">
        <f>$C$1407</f>
        <v>352300_2021_12_</v>
      </c>
      <c r="K2362" s="2281">
        <v>8.7156542056074802</v>
      </c>
      <c r="L2362" s="745"/>
      <c r="M2362" s="2729" t="s">
        <v>1551</v>
      </c>
      <c r="N2362" s="123"/>
      <c r="O2362" s="123"/>
      <c r="P2362" s="123"/>
      <c r="Q2362" s="123"/>
      <c r="R2362" s="844"/>
      <c r="S2362" s="832"/>
      <c r="T2362" s="3082"/>
      <c r="U2362" s="123"/>
      <c r="V2362" s="3989" t="s">
        <v>1156</v>
      </c>
      <c r="W2362" s="2861">
        <v>8.6999999999999993</v>
      </c>
      <c r="X2362" s="3157">
        <v>8.69</v>
      </c>
      <c r="Y2362" s="3157">
        <v>8.67</v>
      </c>
      <c r="Z2362" s="2861">
        <v>8.67</v>
      </c>
      <c r="AA2362" s="2861">
        <v>8.67</v>
      </c>
      <c r="AB2362" s="2281">
        <v>8.532040816326532</v>
      </c>
      <c r="AC2362" s="2281">
        <v>8.7156542056074802</v>
      </c>
      <c r="AD2362" s="2861"/>
      <c r="AE2362" s="2861"/>
      <c r="AF2362" s="2861"/>
      <c r="AG2362" s="2861"/>
      <c r="AH2362" s="1942"/>
      <c r="AI2362" s="1942"/>
      <c r="AJ2362" s="1942"/>
      <c r="AK2362" s="1942"/>
      <c r="AL2362" s="1942"/>
      <c r="AM2362" s="1942"/>
      <c r="AN2362" s="1942"/>
      <c r="AO2362" s="1942"/>
      <c r="AP2362" s="1942"/>
      <c r="AQ2362" s="1942"/>
      <c r="AR2362" s="1942"/>
      <c r="AS2362" s="1942"/>
      <c r="AT2362" s="1942"/>
      <c r="AU2362" s="1942"/>
      <c r="AV2362" s="1942"/>
      <c r="AW2362" s="1942"/>
      <c r="AX2362" s="1942"/>
      <c r="AY2362" s="1942"/>
      <c r="AZ2362" s="1942"/>
      <c r="BA2362" s="1942"/>
      <c r="BB2362" s="575"/>
      <c r="BC2362" s="576"/>
      <c r="BD2362" s="678"/>
      <c r="BE2362" s="585"/>
    </row>
    <row r="2363" spans="1:57" s="51" customFormat="1" ht="15" hidden="1" customHeight="1" outlineLevel="1" x14ac:dyDescent="0.25">
      <c r="A2363" s="2060"/>
      <c r="B2363" s="123"/>
      <c r="C2363" s="328"/>
      <c r="D2363" s="3990"/>
      <c r="E2363" s="4009"/>
      <c r="F2363" s="3010" t="str">
        <f>$E$1409</f>
        <v>ASHP-SEER15-Replace_CAC_ElectricHeat_ER2_SF</v>
      </c>
      <c r="G2363" s="2676"/>
      <c r="H2363" s="2676"/>
      <c r="I2363" s="2677"/>
      <c r="J2363" s="3298" t="str">
        <f>$C$1409</f>
        <v>352300_2021_12_</v>
      </c>
      <c r="K2363" s="2228">
        <f>K2362</f>
        <v>8.7156542056074802</v>
      </c>
      <c r="L2363" s="850"/>
      <c r="M2363" s="2723" t="s">
        <v>1551</v>
      </c>
      <c r="N2363" s="123"/>
      <c r="O2363" s="123"/>
      <c r="P2363" s="123"/>
      <c r="Q2363" s="123"/>
      <c r="R2363" s="844"/>
      <c r="S2363" s="832"/>
      <c r="T2363" s="3082"/>
      <c r="U2363" s="123"/>
      <c r="V2363" s="3990"/>
      <c r="W2363" s="2857">
        <v>8.6999999999999993</v>
      </c>
      <c r="X2363" s="3155">
        <v>8.69</v>
      </c>
      <c r="Y2363" s="3155">
        <v>8.67</v>
      </c>
      <c r="Z2363" s="2857">
        <v>8.67</v>
      </c>
      <c r="AA2363" s="2857">
        <v>8.67</v>
      </c>
      <c r="AB2363" s="2228">
        <v>8.532040816326532</v>
      </c>
      <c r="AC2363" s="2228">
        <f>AC2362</f>
        <v>8.7156542056074802</v>
      </c>
      <c r="AD2363" s="2857"/>
      <c r="AE2363" s="2857"/>
      <c r="AF2363" s="2857"/>
      <c r="AG2363" s="2857"/>
      <c r="AH2363" s="1942"/>
      <c r="AI2363" s="1942"/>
      <c r="AJ2363" s="1942"/>
      <c r="AK2363" s="1942"/>
      <c r="AL2363" s="1942"/>
      <c r="AM2363" s="1942"/>
      <c r="AN2363" s="1942"/>
      <c r="AO2363" s="1942"/>
      <c r="AP2363" s="1942"/>
      <c r="AQ2363" s="1942"/>
      <c r="AR2363" s="1942"/>
      <c r="AS2363" s="1942"/>
      <c r="AT2363" s="1942"/>
      <c r="AU2363" s="1942"/>
      <c r="AV2363" s="1942"/>
      <c r="AW2363" s="1942"/>
      <c r="AX2363" s="1942"/>
      <c r="AY2363" s="1942"/>
      <c r="AZ2363" s="1942"/>
      <c r="BA2363" s="1942"/>
      <c r="BB2363" s="575"/>
      <c r="BC2363" s="576"/>
      <c r="BD2363" s="678"/>
      <c r="BE2363" s="585"/>
    </row>
    <row r="2364" spans="1:57" s="1942" customFormat="1" ht="15" hidden="1" customHeight="1" outlineLevel="1" x14ac:dyDescent="0.25">
      <c r="A2364" s="2060"/>
      <c r="B2364" s="123"/>
      <c r="C2364" s="328"/>
      <c r="D2364" s="3990"/>
      <c r="E2364" s="4009"/>
      <c r="F2364" s="3010" t="str">
        <f>$E$1411</f>
        <v>ASHP-SEER15-Replace_CAC_NonElectricHeat_ER1_SF</v>
      </c>
      <c r="G2364" s="2676"/>
      <c r="H2364" s="2676"/>
      <c r="I2364" s="2677"/>
      <c r="J2364" s="3298" t="str">
        <f>$C$1411</f>
        <v>352310_2021_12_</v>
      </c>
      <c r="K2364" s="3051">
        <v>8.7156542056074802</v>
      </c>
      <c r="L2364" s="850"/>
      <c r="M2364" s="2723" t="s">
        <v>1125</v>
      </c>
      <c r="N2364" s="123"/>
      <c r="O2364" s="123"/>
      <c r="P2364" s="123"/>
      <c r="Q2364" s="123"/>
      <c r="R2364" s="844"/>
      <c r="S2364" s="832"/>
      <c r="T2364" s="3082"/>
      <c r="U2364" s="123"/>
      <c r="V2364" s="3990"/>
      <c r="W2364" s="2857"/>
      <c r="X2364" s="3155"/>
      <c r="Y2364" s="3155"/>
      <c r="Z2364" s="2857"/>
      <c r="AA2364" s="2857"/>
      <c r="AB2364" s="2228"/>
      <c r="AC2364" s="3051">
        <v>8.7156542056074802</v>
      </c>
      <c r="AD2364" s="2857"/>
      <c r="AE2364" s="2857"/>
      <c r="AF2364" s="2857"/>
      <c r="AG2364" s="2857"/>
      <c r="BB2364" s="575"/>
      <c r="BC2364" s="576"/>
      <c r="BD2364" s="678"/>
      <c r="BE2364" s="585"/>
    </row>
    <row r="2365" spans="1:57" s="1942" customFormat="1" ht="15" hidden="1" customHeight="1" outlineLevel="1" x14ac:dyDescent="0.25">
      <c r="A2365" s="2060"/>
      <c r="B2365" s="123"/>
      <c r="C2365" s="328"/>
      <c r="D2365" s="3990"/>
      <c r="E2365" s="4009"/>
      <c r="F2365" s="3010" t="str">
        <f>$E$1413</f>
        <v>ASHP-SEER15-Replace_CAC_NonElectricHeat_ER2_SF</v>
      </c>
      <c r="G2365" s="2676"/>
      <c r="H2365" s="2676"/>
      <c r="I2365" s="2677"/>
      <c r="J2365" s="3298" t="str">
        <f>$C$1413</f>
        <v>352310_2021_12_</v>
      </c>
      <c r="K2365" s="2228">
        <f>K2364</f>
        <v>8.7156542056074802</v>
      </c>
      <c r="L2365" s="850"/>
      <c r="M2365" s="2723" t="s">
        <v>1125</v>
      </c>
      <c r="N2365" s="123"/>
      <c r="O2365" s="123"/>
      <c r="P2365" s="123"/>
      <c r="Q2365" s="123"/>
      <c r="R2365" s="844"/>
      <c r="S2365" s="832"/>
      <c r="T2365" s="3082"/>
      <c r="U2365" s="123"/>
      <c r="V2365" s="3990"/>
      <c r="W2365" s="2857"/>
      <c r="X2365" s="3155"/>
      <c r="Y2365" s="3155"/>
      <c r="Z2365" s="2857"/>
      <c r="AA2365" s="2857"/>
      <c r="AB2365" s="2228"/>
      <c r="AC2365" s="2228">
        <f>AC2364</f>
        <v>8.7156542056074802</v>
      </c>
      <c r="AD2365" s="2857"/>
      <c r="AE2365" s="2857"/>
      <c r="AF2365" s="2857"/>
      <c r="AG2365" s="2857"/>
      <c r="BB2365" s="575"/>
      <c r="BC2365" s="576"/>
      <c r="BD2365" s="678"/>
      <c r="BE2365" s="585"/>
    </row>
    <row r="2366" spans="1:57" s="51" customFormat="1" ht="15" hidden="1" customHeight="1" outlineLevel="1" x14ac:dyDescent="0.25">
      <c r="A2366" s="2060"/>
      <c r="B2366" s="123"/>
      <c r="C2366" s="328"/>
      <c r="D2366" s="3990"/>
      <c r="E2366" s="4009"/>
      <c r="F2366" s="3010" t="str">
        <f>$E$1415</f>
        <v>ASHP-SEER15_ER1_SF</v>
      </c>
      <c r="G2366" s="2676"/>
      <c r="H2366" s="2676"/>
      <c r="I2366" s="2677"/>
      <c r="J2366" s="3298" t="str">
        <f>$C$1415</f>
        <v>352350_2021_12_</v>
      </c>
      <c r="K2366" s="2228">
        <v>8.8245098039215701</v>
      </c>
      <c r="L2366" s="850"/>
      <c r="M2366" s="2723" t="s">
        <v>1551</v>
      </c>
      <c r="N2366" s="123"/>
      <c r="O2366" s="123"/>
      <c r="P2366" s="123"/>
      <c r="Q2366" s="123"/>
      <c r="R2366" s="844"/>
      <c r="S2366" s="832"/>
      <c r="T2366" s="3082"/>
      <c r="U2366" s="123"/>
      <c r="V2366" s="3990"/>
      <c r="W2366" s="2857">
        <v>8.6999999999999993</v>
      </c>
      <c r="X2366" s="3155">
        <v>8.69</v>
      </c>
      <c r="Y2366" s="3155">
        <v>8.75</v>
      </c>
      <c r="Z2366" s="2857">
        <v>8.75</v>
      </c>
      <c r="AA2366" s="2857">
        <v>8.75</v>
      </c>
      <c r="AB2366" s="2228">
        <v>8.4761904761904781</v>
      </c>
      <c r="AC2366" s="2228">
        <v>8.8245098039215701</v>
      </c>
      <c r="AD2366" s="2857"/>
      <c r="AE2366" s="2857"/>
      <c r="AF2366" s="2857"/>
      <c r="AG2366" s="2857"/>
      <c r="AH2366" s="1942"/>
      <c r="AI2366" s="1942"/>
      <c r="AJ2366" s="1942"/>
      <c r="AK2366" s="1942"/>
      <c r="AL2366" s="1942"/>
      <c r="AM2366" s="1942"/>
      <c r="AN2366" s="1942"/>
      <c r="AO2366" s="1942"/>
      <c r="AP2366" s="1942"/>
      <c r="AQ2366" s="1942"/>
      <c r="AR2366" s="1942"/>
      <c r="AS2366" s="1942"/>
      <c r="AT2366" s="1942"/>
      <c r="AU2366" s="1942"/>
      <c r="AV2366" s="1942"/>
      <c r="AW2366" s="1942"/>
      <c r="AX2366" s="1942"/>
      <c r="AY2366" s="1942"/>
      <c r="AZ2366" s="1942"/>
      <c r="BA2366" s="1942"/>
      <c r="BB2366" s="575"/>
      <c r="BC2366" s="576"/>
      <c r="BD2366" s="678"/>
      <c r="BE2366" s="585"/>
    </row>
    <row r="2367" spans="1:57" s="51" customFormat="1" ht="15" hidden="1" customHeight="1" outlineLevel="1" x14ac:dyDescent="0.25">
      <c r="A2367" s="2060"/>
      <c r="B2367" s="123"/>
      <c r="C2367" s="328"/>
      <c r="D2367" s="3990"/>
      <c r="E2367" s="4009"/>
      <c r="F2367" s="3010" t="str">
        <f>$E$1417</f>
        <v>ASHP-SEER15_ER2_SF</v>
      </c>
      <c r="G2367" s="2676"/>
      <c r="H2367" s="2676"/>
      <c r="I2367" s="2677"/>
      <c r="J2367" s="3298" t="str">
        <f>$C$1417</f>
        <v>352350_2021_12_</v>
      </c>
      <c r="K2367" s="2228">
        <f>K2366</f>
        <v>8.8245098039215701</v>
      </c>
      <c r="L2367" s="850"/>
      <c r="M2367" s="2723" t="s">
        <v>1551</v>
      </c>
      <c r="N2367" s="123"/>
      <c r="O2367" s="123"/>
      <c r="P2367" s="123"/>
      <c r="Q2367" s="123"/>
      <c r="R2367" s="844"/>
      <c r="S2367" s="832"/>
      <c r="T2367" s="3082"/>
      <c r="U2367" s="123"/>
      <c r="V2367" s="3990"/>
      <c r="W2367" s="2857">
        <v>8.6999999999999993</v>
      </c>
      <c r="X2367" s="3155">
        <v>8.69</v>
      </c>
      <c r="Y2367" s="3155">
        <v>8.75</v>
      </c>
      <c r="Z2367" s="2857">
        <v>8.75</v>
      </c>
      <c r="AA2367" s="2857">
        <v>8.75</v>
      </c>
      <c r="AB2367" s="2228">
        <v>8.4761904761904781</v>
      </c>
      <c r="AC2367" s="2228">
        <f>AC2366</f>
        <v>8.8245098039215701</v>
      </c>
      <c r="AD2367" s="2857"/>
      <c r="AE2367" s="2857"/>
      <c r="AF2367" s="2857"/>
      <c r="AG2367" s="2857"/>
      <c r="AH2367" s="1942"/>
      <c r="AI2367" s="1942"/>
      <c r="AJ2367" s="1942"/>
      <c r="AK2367" s="1942"/>
      <c r="AL2367" s="1942"/>
      <c r="AM2367" s="1942"/>
      <c r="AN2367" s="1942"/>
      <c r="AO2367" s="1942"/>
      <c r="AP2367" s="1942"/>
      <c r="AQ2367" s="1942"/>
      <c r="AR2367" s="1942"/>
      <c r="AS2367" s="1942"/>
      <c r="AT2367" s="1942"/>
      <c r="AU2367" s="1942"/>
      <c r="AV2367" s="1942"/>
      <c r="AW2367" s="1942"/>
      <c r="AX2367" s="1942"/>
      <c r="AY2367" s="1942"/>
      <c r="AZ2367" s="1942"/>
      <c r="BA2367" s="1942"/>
      <c r="BB2367" s="575"/>
      <c r="BC2367" s="576"/>
      <c r="BD2367" s="678"/>
      <c r="BE2367" s="585"/>
    </row>
    <row r="2368" spans="1:57" s="51" customFormat="1" ht="15" hidden="1" customHeight="1" outlineLevel="1" x14ac:dyDescent="0.25">
      <c r="A2368" s="2060"/>
      <c r="B2368" s="123"/>
      <c r="C2368" s="328"/>
      <c r="D2368" s="3990"/>
      <c r="E2368" s="4009"/>
      <c r="F2368" s="3010" t="str">
        <f>$E$1419</f>
        <v>ASHP-SEER15-Replace_CAC_ElectricHeat_ROF_SF</v>
      </c>
      <c r="G2368" s="2676"/>
      <c r="H2368" s="2676"/>
      <c r="I2368" s="2677"/>
      <c r="J2368" s="3298" t="str">
        <f>$C$1419</f>
        <v>352400_2021_12_</v>
      </c>
      <c r="K2368" s="2228">
        <v>8.812711864406781</v>
      </c>
      <c r="L2368" s="851"/>
      <c r="M2368" s="2723" t="s">
        <v>1551</v>
      </c>
      <c r="N2368" s="123"/>
      <c r="O2368" s="123"/>
      <c r="P2368" s="123"/>
      <c r="Q2368" s="123"/>
      <c r="R2368" s="844"/>
      <c r="S2368" s="832"/>
      <c r="T2368" s="3082"/>
      <c r="U2368" s="123"/>
      <c r="V2368" s="3990"/>
      <c r="W2368" s="2857">
        <v>8.6</v>
      </c>
      <c r="X2368" s="3155">
        <v>8.69</v>
      </c>
      <c r="Y2368" s="3155">
        <v>8.66</v>
      </c>
      <c r="Z2368" s="2857">
        <v>8.66</v>
      </c>
      <c r="AA2368" s="2857">
        <v>8.66</v>
      </c>
      <c r="AB2368" s="2228">
        <v>8.4308510638297864</v>
      </c>
      <c r="AC2368" s="2228">
        <v>8.812711864406781</v>
      </c>
      <c r="AD2368" s="2857"/>
      <c r="AE2368" s="2857"/>
      <c r="AF2368" s="2857"/>
      <c r="AG2368" s="2857"/>
      <c r="AH2368" s="1942"/>
      <c r="AI2368" s="1942"/>
      <c r="AJ2368" s="1942"/>
      <c r="AK2368" s="1942"/>
      <c r="AL2368" s="1942"/>
      <c r="AM2368" s="1942"/>
      <c r="AN2368" s="1942"/>
      <c r="AO2368" s="1942"/>
      <c r="AP2368" s="1942"/>
      <c r="AQ2368" s="1942"/>
      <c r="AR2368" s="1942"/>
      <c r="AS2368" s="1942"/>
      <c r="AT2368" s="1942"/>
      <c r="AU2368" s="1942"/>
      <c r="AV2368" s="1942"/>
      <c r="AW2368" s="1942"/>
      <c r="AX2368" s="1942"/>
      <c r="AY2368" s="1942"/>
      <c r="AZ2368" s="1942"/>
      <c r="BA2368" s="1942"/>
      <c r="BB2368" s="575"/>
      <c r="BC2368" s="576"/>
      <c r="BD2368" s="678"/>
      <c r="BE2368" s="585"/>
    </row>
    <row r="2369" spans="1:57" s="1942" customFormat="1" ht="15" hidden="1" customHeight="1" outlineLevel="1" x14ac:dyDescent="0.25">
      <c r="A2369" s="2060"/>
      <c r="B2369" s="123"/>
      <c r="C2369" s="328"/>
      <c r="D2369" s="3990"/>
      <c r="E2369" s="4009"/>
      <c r="F2369" s="3010" t="str">
        <f>$E$1421</f>
        <v>ASHP-SEER15-Replace_CAC_NonElectricHeat_ROF_SF</v>
      </c>
      <c r="G2369" s="2676"/>
      <c r="H2369" s="2676"/>
      <c r="I2369" s="2677"/>
      <c r="J2369" s="3298" t="str">
        <f>$C$1421</f>
        <v>352410_2021_12_</v>
      </c>
      <c r="K2369" s="2228">
        <v>8.812711864406781</v>
      </c>
      <c r="L2369" s="851"/>
      <c r="M2369" s="2723" t="s">
        <v>1125</v>
      </c>
      <c r="N2369" s="123"/>
      <c r="O2369" s="123"/>
      <c r="P2369" s="123"/>
      <c r="Q2369" s="123"/>
      <c r="R2369" s="844"/>
      <c r="S2369" s="832"/>
      <c r="T2369" s="3082"/>
      <c r="U2369" s="123"/>
      <c r="V2369" s="3990"/>
      <c r="W2369" s="2857"/>
      <c r="X2369" s="3155"/>
      <c r="Y2369" s="3155"/>
      <c r="Z2369" s="2857"/>
      <c r="AA2369" s="2857"/>
      <c r="AB2369" s="2228"/>
      <c r="AC2369" s="2228">
        <v>8.812711864406781</v>
      </c>
      <c r="AD2369" s="2857"/>
      <c r="AE2369" s="2857"/>
      <c r="AF2369" s="2857"/>
      <c r="AG2369" s="2857"/>
      <c r="BB2369" s="575"/>
      <c r="BC2369" s="576"/>
      <c r="BD2369" s="678"/>
      <c r="BE2369" s="585"/>
    </row>
    <row r="2370" spans="1:57" s="51" customFormat="1" ht="15" hidden="1" customHeight="1" outlineLevel="1" x14ac:dyDescent="0.25">
      <c r="A2370" s="2060"/>
      <c r="B2370" s="123"/>
      <c r="C2370" s="328"/>
      <c r="D2370" s="3990"/>
      <c r="E2370" s="4009"/>
      <c r="F2370" s="3010" t="str">
        <f>$E$1423</f>
        <v>ASHP-SEER15_ROF_SF</v>
      </c>
      <c r="G2370" s="2676"/>
      <c r="H2370" s="2676"/>
      <c r="I2370" s="2677"/>
      <c r="J2370" s="3298" t="str">
        <f>$C$1423</f>
        <v>352450_2021_12_</v>
      </c>
      <c r="K2370" s="2228">
        <v>8.6527272727272724</v>
      </c>
      <c r="L2370" s="851"/>
      <c r="M2370" s="2730" t="s">
        <v>1550</v>
      </c>
      <c r="N2370" s="123"/>
      <c r="O2370" s="123"/>
      <c r="P2370" s="123"/>
      <c r="Q2370" s="123"/>
      <c r="R2370" s="844"/>
      <c r="S2370" s="832"/>
      <c r="T2370" s="3082"/>
      <c r="U2370" s="123"/>
      <c r="V2370" s="3990"/>
      <c r="W2370" s="2857">
        <v>8.6999999999999993</v>
      </c>
      <c r="X2370" s="3155">
        <v>8.69</v>
      </c>
      <c r="Y2370" s="3155">
        <v>8.6999999999999993</v>
      </c>
      <c r="Z2370" s="2857">
        <v>8.6999999999999993</v>
      </c>
      <c r="AA2370" s="2857">
        <v>8.6999999999999993</v>
      </c>
      <c r="AB2370" s="2855">
        <v>8.6999999999999993</v>
      </c>
      <c r="AC2370" s="2228">
        <v>8.6527272727272724</v>
      </c>
      <c r="AD2370" s="2857"/>
      <c r="AE2370" s="2857"/>
      <c r="AF2370" s="2857"/>
      <c r="AG2370" s="2857"/>
      <c r="AH2370" s="1942"/>
      <c r="AI2370" s="1942"/>
      <c r="AJ2370" s="1942"/>
      <c r="AK2370" s="1942"/>
      <c r="AL2370" s="1942"/>
      <c r="AM2370" s="1942"/>
      <c r="AN2370" s="1942"/>
      <c r="AO2370" s="1942"/>
      <c r="AP2370" s="1942"/>
      <c r="AQ2370" s="1942"/>
      <c r="AR2370" s="1942"/>
      <c r="AS2370" s="1942"/>
      <c r="AT2370" s="1942"/>
      <c r="AU2370" s="1942"/>
      <c r="AV2370" s="1942"/>
      <c r="AW2370" s="1942"/>
      <c r="AX2370" s="1942"/>
      <c r="AY2370" s="1942"/>
      <c r="AZ2370" s="1942"/>
      <c r="BA2370" s="1942"/>
      <c r="BB2370" s="575"/>
      <c r="BC2370" s="576"/>
      <c r="BD2370" s="678"/>
      <c r="BE2370" s="585"/>
    </row>
    <row r="2371" spans="1:57" s="51" customFormat="1" ht="15" hidden="1" customHeight="1" outlineLevel="1" x14ac:dyDescent="0.25">
      <c r="A2371" s="2060"/>
      <c r="B2371" s="123"/>
      <c r="C2371" s="328"/>
      <c r="D2371" s="3990"/>
      <c r="E2371" s="4009"/>
      <c r="F2371" s="3010" t="str">
        <f>$E$1425</f>
        <v>ASHP-SEER16-Replace_CAC_ElectricHeat_ER1_SF</v>
      </c>
      <c r="G2371" s="2676"/>
      <c r="H2371" s="2676"/>
      <c r="I2371" s="2677"/>
      <c r="J2371" s="3298" t="str">
        <f>$C$1425</f>
        <v>352500_2021_12_</v>
      </c>
      <c r="K2371" s="2228">
        <v>9.0449206349206346</v>
      </c>
      <c r="L2371" s="851"/>
      <c r="M2371" s="2723" t="s">
        <v>1551</v>
      </c>
      <c r="N2371" s="123"/>
      <c r="O2371" s="123"/>
      <c r="P2371" s="123"/>
      <c r="Q2371" s="123"/>
      <c r="R2371" s="844"/>
      <c r="S2371" s="832"/>
      <c r="T2371" s="3082"/>
      <c r="U2371" s="123"/>
      <c r="V2371" s="3990"/>
      <c r="W2371" s="2857">
        <v>9.4</v>
      </c>
      <c r="X2371" s="3155">
        <v>8.69</v>
      </c>
      <c r="Y2371" s="3155">
        <v>9.35</v>
      </c>
      <c r="Z2371" s="2857">
        <v>9.35</v>
      </c>
      <c r="AA2371" s="2857">
        <v>9.35</v>
      </c>
      <c r="AB2371" s="2228">
        <v>8.4276397515527925</v>
      </c>
      <c r="AC2371" s="2228">
        <v>9.0449206349206346</v>
      </c>
      <c r="AD2371" s="2857"/>
      <c r="AE2371" s="2857"/>
      <c r="AF2371" s="2857"/>
      <c r="AG2371" s="2857"/>
      <c r="AH2371" s="1942"/>
      <c r="AI2371" s="1942"/>
      <c r="AJ2371" s="1942"/>
      <c r="AK2371" s="1942"/>
      <c r="AL2371" s="1942"/>
      <c r="AM2371" s="1942"/>
      <c r="AN2371" s="1942"/>
      <c r="AO2371" s="1942"/>
      <c r="AP2371" s="1942"/>
      <c r="AQ2371" s="1942"/>
      <c r="AR2371" s="1942"/>
      <c r="AS2371" s="1942"/>
      <c r="AT2371" s="1942"/>
      <c r="AU2371" s="1942"/>
      <c r="AV2371" s="1942"/>
      <c r="AW2371" s="1942"/>
      <c r="AX2371" s="1942"/>
      <c r="AY2371" s="1942"/>
      <c r="AZ2371" s="1942"/>
      <c r="BA2371" s="1942"/>
      <c r="BB2371" s="575"/>
      <c r="BC2371" s="576"/>
      <c r="BD2371" s="678"/>
      <c r="BE2371" s="585"/>
    </row>
    <row r="2372" spans="1:57" s="51" customFormat="1" ht="15" hidden="1" customHeight="1" outlineLevel="1" x14ac:dyDescent="0.25">
      <c r="A2372" s="2060"/>
      <c r="B2372" s="123"/>
      <c r="C2372" s="328"/>
      <c r="D2372" s="3990"/>
      <c r="E2372" s="4009"/>
      <c r="F2372" s="3010" t="str">
        <f>$E$1427</f>
        <v>ASHP-SEER16-Replace_CAC_ElectricHeat_ER2_SF</v>
      </c>
      <c r="G2372" s="2676"/>
      <c r="H2372" s="2676"/>
      <c r="I2372" s="2677"/>
      <c r="J2372" s="3298" t="str">
        <f>$C$1427</f>
        <v>352500_2021_12_</v>
      </c>
      <c r="K2372" s="2228">
        <f>K2371</f>
        <v>9.0449206349206346</v>
      </c>
      <c r="L2372" s="851"/>
      <c r="M2372" s="2723" t="s">
        <v>1551</v>
      </c>
      <c r="N2372" s="123"/>
      <c r="O2372" s="123"/>
      <c r="P2372" s="123"/>
      <c r="Q2372" s="123"/>
      <c r="R2372" s="844"/>
      <c r="S2372" s="832"/>
      <c r="T2372" s="3082"/>
      <c r="U2372" s="123"/>
      <c r="V2372" s="3990"/>
      <c r="W2372" s="2857">
        <v>9.4</v>
      </c>
      <c r="X2372" s="3155">
        <v>8.69</v>
      </c>
      <c r="Y2372" s="3155">
        <v>9.35</v>
      </c>
      <c r="Z2372" s="2857">
        <v>9.35</v>
      </c>
      <c r="AA2372" s="2857">
        <v>9.35</v>
      </c>
      <c r="AB2372" s="2228">
        <v>8.4276397515527925</v>
      </c>
      <c r="AC2372" s="2228">
        <f>AC2371</f>
        <v>9.0449206349206346</v>
      </c>
      <c r="AD2372" s="2857"/>
      <c r="AE2372" s="2857"/>
      <c r="AF2372" s="2857"/>
      <c r="AG2372" s="2857"/>
      <c r="AH2372" s="1942"/>
      <c r="AI2372" s="1942"/>
      <c r="AJ2372" s="1942"/>
      <c r="AK2372" s="1942"/>
      <c r="AL2372" s="1942"/>
      <c r="AM2372" s="1942"/>
      <c r="AN2372" s="1942"/>
      <c r="AO2372" s="1942"/>
      <c r="AP2372" s="1942"/>
      <c r="AQ2372" s="1942"/>
      <c r="AR2372" s="1942"/>
      <c r="AS2372" s="1942"/>
      <c r="AT2372" s="1942"/>
      <c r="AU2372" s="1942"/>
      <c r="AV2372" s="1942"/>
      <c r="AW2372" s="1942"/>
      <c r="AX2372" s="1942"/>
      <c r="AY2372" s="1942"/>
      <c r="AZ2372" s="1942"/>
      <c r="BA2372" s="1942"/>
      <c r="BB2372" s="575"/>
      <c r="BC2372" s="576"/>
      <c r="BD2372" s="678"/>
      <c r="BE2372" s="585"/>
    </row>
    <row r="2373" spans="1:57" s="1942" customFormat="1" ht="15" hidden="1" customHeight="1" outlineLevel="1" x14ac:dyDescent="0.25">
      <c r="A2373" s="2060"/>
      <c r="B2373" s="123"/>
      <c r="C2373" s="328"/>
      <c r="D2373" s="3990"/>
      <c r="E2373" s="4009"/>
      <c r="F2373" s="3010" t="str">
        <f>$E$1429</f>
        <v>ASHP-SEER16-Replace_CAC_NonElectricHeat_ER1_SF</v>
      </c>
      <c r="G2373" s="2676"/>
      <c r="H2373" s="2676"/>
      <c r="I2373" s="2677"/>
      <c r="J2373" s="3298" t="str">
        <f>$C$1429</f>
        <v>352510_2021_12_</v>
      </c>
      <c r="K2373" s="2228">
        <v>9.0449206349206346</v>
      </c>
      <c r="L2373" s="851"/>
      <c r="M2373" s="2723" t="s">
        <v>1125</v>
      </c>
      <c r="N2373" s="123"/>
      <c r="O2373" s="123"/>
      <c r="P2373" s="123"/>
      <c r="Q2373" s="123"/>
      <c r="R2373" s="844"/>
      <c r="S2373" s="832"/>
      <c r="T2373" s="3082"/>
      <c r="U2373" s="123"/>
      <c r="V2373" s="3990"/>
      <c r="W2373" s="2857"/>
      <c r="X2373" s="3155"/>
      <c r="Y2373" s="3155"/>
      <c r="Z2373" s="2857"/>
      <c r="AA2373" s="2857"/>
      <c r="AB2373" s="2228"/>
      <c r="AC2373" s="2228">
        <v>9.0449206349206346</v>
      </c>
      <c r="AD2373" s="2857"/>
      <c r="AE2373" s="2857"/>
      <c r="AF2373" s="2857"/>
      <c r="AG2373" s="2857"/>
      <c r="BB2373" s="575"/>
      <c r="BC2373" s="576"/>
      <c r="BD2373" s="678"/>
      <c r="BE2373" s="585"/>
    </row>
    <row r="2374" spans="1:57" s="1942" customFormat="1" ht="15" hidden="1" customHeight="1" outlineLevel="1" x14ac:dyDescent="0.25">
      <c r="A2374" s="2060"/>
      <c r="B2374" s="123"/>
      <c r="C2374" s="328"/>
      <c r="D2374" s="3990"/>
      <c r="E2374" s="4009"/>
      <c r="F2374" s="3010" t="str">
        <f>$E$1431</f>
        <v>ASHP-SEER16-Replace_CAC_NonElectricHeat_ER2_SF</v>
      </c>
      <c r="G2374" s="2676"/>
      <c r="H2374" s="2676"/>
      <c r="I2374" s="2677"/>
      <c r="J2374" s="3298" t="str">
        <f>$C$1431</f>
        <v>352510_2021_12_</v>
      </c>
      <c r="K2374" s="2228">
        <f>K2373</f>
        <v>9.0449206349206346</v>
      </c>
      <c r="L2374" s="851"/>
      <c r="M2374" s="2723" t="s">
        <v>1125</v>
      </c>
      <c r="N2374" s="123"/>
      <c r="O2374" s="123"/>
      <c r="P2374" s="123"/>
      <c r="Q2374" s="123"/>
      <c r="R2374" s="844"/>
      <c r="S2374" s="832"/>
      <c r="T2374" s="3082"/>
      <c r="U2374" s="123"/>
      <c r="V2374" s="3990"/>
      <c r="W2374" s="2857"/>
      <c r="X2374" s="3155"/>
      <c r="Y2374" s="3155"/>
      <c r="Z2374" s="2857"/>
      <c r="AA2374" s="2857"/>
      <c r="AB2374" s="2228"/>
      <c r="AC2374" s="2228">
        <f>AC2373</f>
        <v>9.0449206349206346</v>
      </c>
      <c r="AD2374" s="2857"/>
      <c r="AE2374" s="2857"/>
      <c r="AF2374" s="2857"/>
      <c r="AG2374" s="2857"/>
      <c r="BB2374" s="575"/>
      <c r="BC2374" s="576"/>
      <c r="BD2374" s="678"/>
      <c r="BE2374" s="585"/>
    </row>
    <row r="2375" spans="1:57" s="51" customFormat="1" ht="15" hidden="1" customHeight="1" outlineLevel="1" x14ac:dyDescent="0.25">
      <c r="A2375" s="2060"/>
      <c r="B2375" s="123"/>
      <c r="C2375" s="328"/>
      <c r="D2375" s="3990"/>
      <c r="E2375" s="4009"/>
      <c r="F2375" s="3010" t="str">
        <f>$E$1433</f>
        <v>ASHP-SEER16_ER1_SF</v>
      </c>
      <c r="G2375" s="2676"/>
      <c r="H2375" s="2676"/>
      <c r="I2375" s="2677"/>
      <c r="J2375" s="3298" t="str">
        <f>$C$1433</f>
        <v>352550_2021_12_</v>
      </c>
      <c r="K2375" s="2228">
        <v>9.11991341991342</v>
      </c>
      <c r="L2375" s="851"/>
      <c r="M2375" s="2723" t="s">
        <v>1551</v>
      </c>
      <c r="N2375" s="123"/>
      <c r="O2375" s="123"/>
      <c r="P2375" s="123"/>
      <c r="Q2375" s="123"/>
      <c r="R2375" s="844"/>
      <c r="S2375" s="832"/>
      <c r="T2375" s="3082"/>
      <c r="U2375" s="123"/>
      <c r="V2375" s="3990"/>
      <c r="W2375" s="2857">
        <v>9.5</v>
      </c>
      <c r="X2375" s="3155">
        <v>8.69</v>
      </c>
      <c r="Y2375" s="3155">
        <v>9.33</v>
      </c>
      <c r="Z2375" s="2857">
        <v>9.33</v>
      </c>
      <c r="AA2375" s="2857">
        <v>9.33</v>
      </c>
      <c r="AB2375" s="2228">
        <v>8.8862149532710237</v>
      </c>
      <c r="AC2375" s="2228">
        <v>9.11991341991342</v>
      </c>
      <c r="AD2375" s="2857"/>
      <c r="AE2375" s="2857"/>
      <c r="AF2375" s="2857"/>
      <c r="AG2375" s="2857"/>
      <c r="AH2375" s="1942"/>
      <c r="AI2375" s="1942"/>
      <c r="AJ2375" s="1942"/>
      <c r="AK2375" s="1942"/>
      <c r="AL2375" s="1942"/>
      <c r="AM2375" s="1942"/>
      <c r="AN2375" s="1942"/>
      <c r="AO2375" s="1942"/>
      <c r="AP2375" s="1942"/>
      <c r="AQ2375" s="1942"/>
      <c r="AR2375" s="1942"/>
      <c r="AS2375" s="1942"/>
      <c r="AT2375" s="1942"/>
      <c r="AU2375" s="1942"/>
      <c r="AV2375" s="1942"/>
      <c r="AW2375" s="1942"/>
      <c r="AX2375" s="1942"/>
      <c r="AY2375" s="1942"/>
      <c r="AZ2375" s="1942"/>
      <c r="BA2375" s="1942"/>
      <c r="BB2375" s="575"/>
      <c r="BC2375" s="576"/>
      <c r="BD2375" s="678"/>
      <c r="BE2375" s="585"/>
    </row>
    <row r="2376" spans="1:57" s="51" customFormat="1" ht="15" hidden="1" customHeight="1" outlineLevel="1" x14ac:dyDescent="0.25">
      <c r="A2376" s="2060"/>
      <c r="B2376" s="123"/>
      <c r="C2376" s="328"/>
      <c r="D2376" s="3990"/>
      <c r="E2376" s="4009"/>
      <c r="F2376" s="3010" t="str">
        <f>$E$1435</f>
        <v>ASHP-SEER16_ER2_SF</v>
      </c>
      <c r="G2376" s="2676"/>
      <c r="H2376" s="2676"/>
      <c r="I2376" s="2677"/>
      <c r="J2376" s="3298" t="str">
        <f>$C$1435</f>
        <v>352550_2021_12_</v>
      </c>
      <c r="K2376" s="2228">
        <f>K2375</f>
        <v>9.11991341991342</v>
      </c>
      <c r="L2376" s="851"/>
      <c r="M2376" s="2723" t="s">
        <v>1551</v>
      </c>
      <c r="N2376" s="123"/>
      <c r="O2376" s="123"/>
      <c r="P2376" s="844"/>
      <c r="Q2376" s="844"/>
      <c r="R2376" s="844"/>
      <c r="S2376" s="832"/>
      <c r="T2376" s="3082"/>
      <c r="U2376" s="123"/>
      <c r="V2376" s="3990"/>
      <c r="W2376" s="2857">
        <v>9.5</v>
      </c>
      <c r="X2376" s="3155">
        <v>8.69</v>
      </c>
      <c r="Y2376" s="3155">
        <v>9.33</v>
      </c>
      <c r="Z2376" s="2857">
        <v>9.33</v>
      </c>
      <c r="AA2376" s="2857">
        <v>9.33</v>
      </c>
      <c r="AB2376" s="2228">
        <v>8.8862149532710237</v>
      </c>
      <c r="AC2376" s="2228">
        <f>AC2375</f>
        <v>9.11991341991342</v>
      </c>
      <c r="AD2376" s="2857"/>
      <c r="AE2376" s="2857"/>
      <c r="AF2376" s="2857"/>
      <c r="AG2376" s="2857"/>
      <c r="AH2376" s="1942"/>
      <c r="AI2376" s="1942"/>
      <c r="AJ2376" s="1942"/>
      <c r="AK2376" s="1942"/>
      <c r="AL2376" s="1942"/>
      <c r="AM2376" s="1942"/>
      <c r="AN2376" s="1942"/>
      <c r="AO2376" s="1942"/>
      <c r="AP2376" s="1942"/>
      <c r="AQ2376" s="1942"/>
      <c r="AR2376" s="1942"/>
      <c r="AS2376" s="1942"/>
      <c r="AT2376" s="1942"/>
      <c r="AU2376" s="1942"/>
      <c r="AV2376" s="1942"/>
      <c r="AW2376" s="1942"/>
      <c r="AX2376" s="1942"/>
      <c r="AY2376" s="1942"/>
      <c r="AZ2376" s="1942"/>
      <c r="BA2376" s="1942"/>
      <c r="BB2376" s="575"/>
      <c r="BC2376" s="576"/>
      <c r="BD2376" s="678"/>
      <c r="BE2376" s="585"/>
    </row>
    <row r="2377" spans="1:57" s="51" customFormat="1" ht="15" hidden="1" customHeight="1" outlineLevel="1" x14ac:dyDescent="0.25">
      <c r="A2377" s="2060"/>
      <c r="B2377" s="123"/>
      <c r="C2377" s="328"/>
      <c r="D2377" s="3990"/>
      <c r="E2377" s="4009"/>
      <c r="F2377" s="3010" t="str">
        <f>$E$1437</f>
        <v>ASHP-SEER16-Replace_CAC_ElectricHeat_ROF_SF</v>
      </c>
      <c r="G2377" s="2676"/>
      <c r="H2377" s="2676"/>
      <c r="I2377" s="2677"/>
      <c r="J2377" s="3298" t="str">
        <f>$C$1437</f>
        <v>352600_2021_12_</v>
      </c>
      <c r="K2377" s="2228">
        <v>9.3470588235294123</v>
      </c>
      <c r="L2377" s="851"/>
      <c r="M2377" s="2723" t="s">
        <v>1551</v>
      </c>
      <c r="N2377" s="123"/>
      <c r="O2377" s="123"/>
      <c r="P2377" s="844"/>
      <c r="Q2377" s="844"/>
      <c r="R2377" s="844"/>
      <c r="S2377" s="832"/>
      <c r="T2377" s="3082"/>
      <c r="U2377" s="123"/>
      <c r="V2377" s="3990"/>
      <c r="W2377" s="2857">
        <v>9.6999999999999993</v>
      </c>
      <c r="X2377" s="3155">
        <v>8.69</v>
      </c>
      <c r="Y2377" s="3155">
        <v>9.43</v>
      </c>
      <c r="Z2377" s="2857">
        <v>9.43</v>
      </c>
      <c r="AA2377" s="2857">
        <v>9.43</v>
      </c>
      <c r="AB2377" s="2228">
        <v>8.7769841269841269</v>
      </c>
      <c r="AC2377" s="2228">
        <v>9.3470588235294123</v>
      </c>
      <c r="AD2377" s="2857"/>
      <c r="AE2377" s="2857"/>
      <c r="AF2377" s="2857"/>
      <c r="AG2377" s="2857"/>
      <c r="AH2377" s="1942"/>
      <c r="AI2377" s="1942"/>
      <c r="AJ2377" s="1942"/>
      <c r="AK2377" s="1942"/>
      <c r="AL2377" s="1942"/>
      <c r="AM2377" s="1942"/>
      <c r="AN2377" s="1942"/>
      <c r="AO2377" s="1942"/>
      <c r="AP2377" s="1942"/>
      <c r="AQ2377" s="1942"/>
      <c r="AR2377" s="1942"/>
      <c r="AS2377" s="1942"/>
      <c r="AT2377" s="1942"/>
      <c r="AU2377" s="1942"/>
      <c r="AV2377" s="1942"/>
      <c r="AW2377" s="1942"/>
      <c r="AX2377" s="1942"/>
      <c r="AY2377" s="1942"/>
      <c r="AZ2377" s="1942"/>
      <c r="BA2377" s="1942"/>
      <c r="BB2377" s="575"/>
      <c r="BC2377" s="576"/>
      <c r="BD2377" s="678"/>
      <c r="BE2377" s="585"/>
    </row>
    <row r="2378" spans="1:57" s="51" customFormat="1" ht="15" hidden="1" customHeight="1" outlineLevel="1" x14ac:dyDescent="0.25">
      <c r="A2378" s="2060"/>
      <c r="B2378" s="123"/>
      <c r="C2378" s="328"/>
      <c r="D2378" s="3990"/>
      <c r="E2378" s="4009"/>
      <c r="F2378" s="3010" t="str">
        <f>$E$1439</f>
        <v>ASHP-SEER16_ROF_SF</v>
      </c>
      <c r="G2378" s="2676"/>
      <c r="H2378" s="2676"/>
      <c r="I2378" s="2677"/>
      <c r="J2378" s="3298" t="str">
        <f>$C$1439</f>
        <v>352650_2021_12_</v>
      </c>
      <c r="K2378" s="2228">
        <v>9.0519999999999996</v>
      </c>
      <c r="L2378" s="851"/>
      <c r="M2378" s="2730" t="s">
        <v>1008</v>
      </c>
      <c r="N2378" s="123"/>
      <c r="O2378" s="123"/>
      <c r="P2378" s="844"/>
      <c r="Q2378" s="844"/>
      <c r="R2378" s="844"/>
      <c r="S2378" s="832"/>
      <c r="T2378" s="3082"/>
      <c r="U2378" s="123"/>
      <c r="V2378" s="3990"/>
      <c r="W2378" s="2857">
        <v>9.8000000000000007</v>
      </c>
      <c r="X2378" s="3155">
        <v>8.69</v>
      </c>
      <c r="Y2378" s="3155">
        <v>9.43</v>
      </c>
      <c r="Z2378" s="2857">
        <v>9.43</v>
      </c>
      <c r="AA2378" s="2857">
        <v>9.43</v>
      </c>
      <c r="AB2378" s="2855">
        <v>9.43</v>
      </c>
      <c r="AC2378" s="2228">
        <v>9.0519999999999996</v>
      </c>
      <c r="AD2378" s="2857"/>
      <c r="AE2378" s="2857"/>
      <c r="AF2378" s="2857"/>
      <c r="AG2378" s="2857"/>
      <c r="AH2378" s="1942"/>
      <c r="AI2378" s="1942"/>
      <c r="AJ2378" s="1942"/>
      <c r="AK2378" s="1942"/>
      <c r="AL2378" s="1942"/>
      <c r="AM2378" s="1942"/>
      <c r="AN2378" s="1942"/>
      <c r="AO2378" s="1942"/>
      <c r="AP2378" s="1942"/>
      <c r="AQ2378" s="1942"/>
      <c r="AR2378" s="1942"/>
      <c r="AS2378" s="1942"/>
      <c r="AT2378" s="1942"/>
      <c r="AU2378" s="1942"/>
      <c r="AV2378" s="1942"/>
      <c r="AW2378" s="1942"/>
      <c r="AX2378" s="1942"/>
      <c r="AY2378" s="1942"/>
      <c r="AZ2378" s="1942"/>
      <c r="BA2378" s="1942"/>
      <c r="BB2378" s="575"/>
      <c r="BC2378" s="576"/>
      <c r="BD2378" s="678"/>
      <c r="BE2378" s="585"/>
    </row>
    <row r="2379" spans="1:57" s="51" customFormat="1" ht="15" hidden="1" customHeight="1" outlineLevel="1" x14ac:dyDescent="0.25">
      <c r="A2379" s="2060"/>
      <c r="B2379" s="123"/>
      <c r="C2379" s="328"/>
      <c r="D2379" s="3990"/>
      <c r="E2379" s="4009"/>
      <c r="F2379" s="3010" t="str">
        <f>$E$1441</f>
        <v>ASHP-SEER15_ER1_MF</v>
      </c>
      <c r="G2379" s="2676"/>
      <c r="H2379" s="2676"/>
      <c r="I2379" s="2677"/>
      <c r="J2379" s="3298" t="str">
        <f>$C$1441</f>
        <v>352700_2021_12_</v>
      </c>
      <c r="K2379" s="2228">
        <v>8.8333333333333339</v>
      </c>
      <c r="L2379" s="851"/>
      <c r="M2379" s="2723" t="s">
        <v>1551</v>
      </c>
      <c r="N2379" s="123"/>
      <c r="O2379" s="123"/>
      <c r="P2379" s="844"/>
      <c r="Q2379" s="844"/>
      <c r="R2379" s="844"/>
      <c r="S2379" s="832"/>
      <c r="T2379" s="3082"/>
      <c r="U2379" s="123"/>
      <c r="V2379" s="3990"/>
      <c r="W2379" s="2857">
        <v>8.6999999999999993</v>
      </c>
      <c r="X2379" s="2857">
        <v>8.6999999999999993</v>
      </c>
      <c r="Y2379" s="2857">
        <v>8.6999999999999993</v>
      </c>
      <c r="Z2379" s="2857">
        <v>8.6999999999999993</v>
      </c>
      <c r="AA2379" s="2857">
        <v>8.6999999999999993</v>
      </c>
      <c r="AB2379" s="2228">
        <v>9.0625</v>
      </c>
      <c r="AC2379" s="2228">
        <v>8.8333333333333339</v>
      </c>
      <c r="AD2379" s="2857"/>
      <c r="AE2379" s="2857"/>
      <c r="AF2379" s="2857"/>
      <c r="AG2379" s="2857"/>
      <c r="AH2379" s="1942"/>
      <c r="AI2379" s="1942"/>
      <c r="AJ2379" s="1942"/>
      <c r="AK2379" s="1942"/>
      <c r="AL2379" s="1942"/>
      <c r="AM2379" s="1942"/>
      <c r="AN2379" s="1942"/>
      <c r="AO2379" s="1942"/>
      <c r="AP2379" s="1942"/>
      <c r="AQ2379" s="1942"/>
      <c r="AR2379" s="1942"/>
      <c r="AS2379" s="1942"/>
      <c r="AT2379" s="1942"/>
      <c r="AU2379" s="1942"/>
      <c r="AV2379" s="1942"/>
      <c r="AW2379" s="1942"/>
      <c r="AX2379" s="1942"/>
      <c r="AY2379" s="1942"/>
      <c r="AZ2379" s="1942"/>
      <c r="BA2379" s="1942"/>
      <c r="BB2379" s="575"/>
      <c r="BC2379" s="576"/>
      <c r="BD2379" s="678"/>
      <c r="BE2379" s="585"/>
    </row>
    <row r="2380" spans="1:57" s="51" customFormat="1" ht="15" hidden="1" customHeight="1" outlineLevel="1" x14ac:dyDescent="0.25">
      <c r="A2380" s="2060"/>
      <c r="B2380" s="123"/>
      <c r="C2380" s="328"/>
      <c r="D2380" s="3990"/>
      <c r="E2380" s="4009"/>
      <c r="F2380" s="3010" t="str">
        <f>$E$1443</f>
        <v>ASHP-SEER15_ER2_MF</v>
      </c>
      <c r="G2380" s="2676"/>
      <c r="H2380" s="2676"/>
      <c r="I2380" s="2677"/>
      <c r="J2380" s="3298" t="str">
        <f>$C$1443</f>
        <v>352700_2021_12_</v>
      </c>
      <c r="K2380" s="2228">
        <f>K2379</f>
        <v>8.8333333333333339</v>
      </c>
      <c r="L2380" s="851"/>
      <c r="M2380" s="2723" t="s">
        <v>1551</v>
      </c>
      <c r="N2380" s="123"/>
      <c r="O2380" s="123"/>
      <c r="P2380" s="844"/>
      <c r="Q2380" s="844"/>
      <c r="R2380" s="844"/>
      <c r="S2380" s="832"/>
      <c r="T2380" s="3082"/>
      <c r="U2380" s="123"/>
      <c r="V2380" s="3990"/>
      <c r="W2380" s="2857">
        <v>8.6999999999999993</v>
      </c>
      <c r="X2380" s="2857">
        <v>8.6999999999999993</v>
      </c>
      <c r="Y2380" s="2857">
        <v>8.6999999999999993</v>
      </c>
      <c r="Z2380" s="2857">
        <v>8.6999999999999993</v>
      </c>
      <c r="AA2380" s="2857">
        <v>8.6999999999999993</v>
      </c>
      <c r="AB2380" s="2228">
        <v>9.0625</v>
      </c>
      <c r="AC2380" s="2228">
        <f>AC2379</f>
        <v>8.8333333333333339</v>
      </c>
      <c r="AD2380" s="2857"/>
      <c r="AE2380" s="2857"/>
      <c r="AF2380" s="2857"/>
      <c r="AG2380" s="2857"/>
      <c r="AH2380" s="1942"/>
      <c r="AI2380" s="1942"/>
      <c r="AJ2380" s="1942"/>
      <c r="AK2380" s="1942"/>
      <c r="AL2380" s="1942"/>
      <c r="AM2380" s="1942"/>
      <c r="AN2380" s="1942"/>
      <c r="AO2380" s="1942"/>
      <c r="AP2380" s="1942"/>
      <c r="AQ2380" s="1942"/>
      <c r="AR2380" s="1942"/>
      <c r="AS2380" s="1942"/>
      <c r="AT2380" s="1942"/>
      <c r="AU2380" s="1942"/>
      <c r="AV2380" s="1942"/>
      <c r="AW2380" s="1942"/>
      <c r="AX2380" s="1942"/>
      <c r="AY2380" s="1942"/>
      <c r="AZ2380" s="1942"/>
      <c r="BA2380" s="1942"/>
      <c r="BB2380" s="575"/>
      <c r="BC2380" s="576"/>
      <c r="BD2380" s="678"/>
      <c r="BE2380" s="585"/>
    </row>
    <row r="2381" spans="1:57" s="51" customFormat="1" ht="15" hidden="1" customHeight="1" outlineLevel="1" x14ac:dyDescent="0.25">
      <c r="A2381" s="2060"/>
      <c r="B2381" s="123"/>
      <c r="C2381" s="328"/>
      <c r="D2381" s="3990"/>
      <c r="E2381" s="4009"/>
      <c r="F2381" s="3010" t="str">
        <f>$E$1445</f>
        <v>ASHP-SEER15_ER1_MF_CompE</v>
      </c>
      <c r="G2381" s="2676"/>
      <c r="H2381" s="2676"/>
      <c r="I2381" s="2677"/>
      <c r="J2381" s="3298" t="str">
        <f>$C$1445</f>
        <v>352701_2021_12_</v>
      </c>
      <c r="K2381" s="2228">
        <f>K2379</f>
        <v>8.8333333333333339</v>
      </c>
      <c r="L2381" s="851"/>
      <c r="M2381" s="2731" t="s">
        <v>1125</v>
      </c>
      <c r="N2381" s="123"/>
      <c r="O2381" s="123"/>
      <c r="P2381" s="844"/>
      <c r="Q2381" s="844"/>
      <c r="R2381" s="844"/>
      <c r="S2381" s="832"/>
      <c r="T2381" s="3082"/>
      <c r="U2381" s="123"/>
      <c r="V2381" s="3990"/>
      <c r="W2381" s="2857"/>
      <c r="X2381" s="2857"/>
      <c r="Y2381" s="3155">
        <v>8.6999999999999993</v>
      </c>
      <c r="Z2381" s="2857">
        <v>8.6999999999999993</v>
      </c>
      <c r="AA2381" s="2857">
        <v>8.6999999999999993</v>
      </c>
      <c r="AB2381" s="2855">
        <v>8.6999999999999993</v>
      </c>
      <c r="AC2381" s="2228">
        <f>AC2379</f>
        <v>8.8333333333333339</v>
      </c>
      <c r="AD2381" s="2857"/>
      <c r="AE2381" s="2857"/>
      <c r="AF2381" s="2857"/>
      <c r="AG2381" s="2857"/>
      <c r="AH2381" s="1942"/>
      <c r="AI2381" s="1942"/>
      <c r="AJ2381" s="1942"/>
      <c r="AK2381" s="1942"/>
      <c r="AL2381" s="1942"/>
      <c r="AM2381" s="1942"/>
      <c r="AN2381" s="1942"/>
      <c r="AO2381" s="1942"/>
      <c r="AP2381" s="1942"/>
      <c r="AQ2381" s="1942"/>
      <c r="AR2381" s="1942"/>
      <c r="AS2381" s="1942"/>
      <c r="AT2381" s="1942"/>
      <c r="AU2381" s="1942"/>
      <c r="AV2381" s="1942"/>
      <c r="AW2381" s="1942"/>
      <c r="AX2381" s="1942"/>
      <c r="AY2381" s="1942"/>
      <c r="AZ2381" s="1942"/>
      <c r="BA2381" s="1942"/>
      <c r="BB2381" s="575"/>
      <c r="BC2381" s="576"/>
      <c r="BD2381" s="678"/>
      <c r="BE2381" s="585"/>
    </row>
    <row r="2382" spans="1:57" s="51" customFormat="1" ht="15" hidden="1" customHeight="1" outlineLevel="1" x14ac:dyDescent="0.25">
      <c r="A2382" s="2060"/>
      <c r="B2382" s="123"/>
      <c r="C2382" s="328"/>
      <c r="D2382" s="3990"/>
      <c r="E2382" s="4009"/>
      <c r="F2382" s="3010" t="str">
        <f>$E$1447</f>
        <v>ASHP-SEER15_ER2_MF_CompE</v>
      </c>
      <c r="G2382" s="2676"/>
      <c r="H2382" s="2676"/>
      <c r="I2382" s="2677"/>
      <c r="J2382" s="3298" t="str">
        <f>$C$1447</f>
        <v>352701_2021_12_</v>
      </c>
      <c r="K2382" s="2228">
        <f>K2380</f>
        <v>8.8333333333333339</v>
      </c>
      <c r="L2382" s="851"/>
      <c r="M2382" s="2731" t="s">
        <v>1125</v>
      </c>
      <c r="N2382" s="123"/>
      <c r="O2382" s="123"/>
      <c r="P2382" s="844"/>
      <c r="Q2382" s="844"/>
      <c r="R2382" s="844"/>
      <c r="S2382" s="832"/>
      <c r="T2382" s="3082"/>
      <c r="U2382" s="123"/>
      <c r="V2382" s="3990"/>
      <c r="W2382" s="2857"/>
      <c r="X2382" s="2857"/>
      <c r="Y2382" s="3155">
        <v>8.6999999999999993</v>
      </c>
      <c r="Z2382" s="2857">
        <v>8.6999999999999993</v>
      </c>
      <c r="AA2382" s="2857">
        <v>8.6999999999999993</v>
      </c>
      <c r="AB2382" s="2855">
        <v>8.6999999999999993</v>
      </c>
      <c r="AC2382" s="2228">
        <f>AC2380</f>
        <v>8.8333333333333339</v>
      </c>
      <c r="AD2382" s="2857"/>
      <c r="AE2382" s="2857"/>
      <c r="AF2382" s="2857"/>
      <c r="AG2382" s="2857"/>
      <c r="AH2382" s="1942"/>
      <c r="AI2382" s="1942"/>
      <c r="AJ2382" s="1942"/>
      <c r="AK2382" s="1942"/>
      <c r="AL2382" s="1942"/>
      <c r="AM2382" s="1942"/>
      <c r="AN2382" s="1942"/>
      <c r="AO2382" s="1942"/>
      <c r="AP2382" s="1942"/>
      <c r="AQ2382" s="1942"/>
      <c r="AR2382" s="1942"/>
      <c r="AS2382" s="1942"/>
      <c r="AT2382" s="1942"/>
      <c r="AU2382" s="1942"/>
      <c r="AV2382" s="1942"/>
      <c r="AW2382" s="1942"/>
      <c r="AX2382" s="1942"/>
      <c r="AY2382" s="1942"/>
      <c r="AZ2382" s="1942"/>
      <c r="BA2382" s="1942"/>
      <c r="BB2382" s="575"/>
      <c r="BC2382" s="576"/>
      <c r="BD2382" s="678"/>
      <c r="BE2382" s="585"/>
    </row>
    <row r="2383" spans="1:57" s="51" customFormat="1" ht="15" hidden="1" customHeight="1" outlineLevel="1" x14ac:dyDescent="0.25">
      <c r="A2383" s="2060"/>
      <c r="B2383" s="123"/>
      <c r="C2383" s="328"/>
      <c r="D2383" s="3990"/>
      <c r="E2383" s="4009"/>
      <c r="F2383" s="3010" t="str">
        <f>$E$1449</f>
        <v>ASHP-SEER15-Replace_CAC_ElectricHeat_ER1_MF</v>
      </c>
      <c r="G2383" s="2676"/>
      <c r="H2383" s="2676"/>
      <c r="I2383" s="2677"/>
      <c r="J2383" s="3298" t="str">
        <f>$C$1449</f>
        <v>352750_2021_12_</v>
      </c>
      <c r="K2383" s="2228">
        <v>9.25</v>
      </c>
      <c r="L2383" s="851"/>
      <c r="M2383" s="2723" t="s">
        <v>1551</v>
      </c>
      <c r="N2383" s="123"/>
      <c r="O2383" s="228"/>
      <c r="P2383" s="844"/>
      <c r="Q2383" s="844"/>
      <c r="R2383" s="844"/>
      <c r="S2383" s="832"/>
      <c r="T2383" s="3082"/>
      <c r="U2383" s="123"/>
      <c r="V2383" s="3990"/>
      <c r="W2383" s="2857">
        <v>8.6999999999999993</v>
      </c>
      <c r="X2383" s="2857">
        <v>8.6999999999999993</v>
      </c>
      <c r="Y2383" s="2857">
        <v>8.6999999999999993</v>
      </c>
      <c r="Z2383" s="2857">
        <v>8.6999999999999993</v>
      </c>
      <c r="AA2383" s="2857">
        <v>8.6999999999999993</v>
      </c>
      <c r="AB2383" s="3150">
        <v>8.75</v>
      </c>
      <c r="AC2383" s="2228">
        <v>9.25</v>
      </c>
      <c r="AD2383" s="2857"/>
      <c r="AE2383" s="2857"/>
      <c r="AF2383" s="2857"/>
      <c r="AG2383" s="2857"/>
      <c r="AH2383" s="1942"/>
      <c r="AI2383" s="1942"/>
      <c r="AJ2383" s="1942"/>
      <c r="AK2383" s="1942"/>
      <c r="AL2383" s="1942"/>
      <c r="AM2383" s="1942"/>
      <c r="AN2383" s="1942"/>
      <c r="AO2383" s="1942"/>
      <c r="AP2383" s="1942"/>
      <c r="AQ2383" s="1942"/>
      <c r="AR2383" s="1942"/>
      <c r="AS2383" s="1942"/>
      <c r="AT2383" s="1942"/>
      <c r="AU2383" s="1942"/>
      <c r="AV2383" s="1942"/>
      <c r="AW2383" s="1942"/>
      <c r="AX2383" s="1942"/>
      <c r="AY2383" s="1942"/>
      <c r="AZ2383" s="1942"/>
      <c r="BA2383" s="1942"/>
      <c r="BB2383" s="575"/>
      <c r="BC2383" s="576"/>
      <c r="BD2383" s="678"/>
      <c r="BE2383" s="585"/>
    </row>
    <row r="2384" spans="1:57" s="51" customFormat="1" ht="15" hidden="1" customHeight="1" outlineLevel="1" x14ac:dyDescent="0.25">
      <c r="A2384" s="2060"/>
      <c r="B2384" s="123"/>
      <c r="C2384" s="328"/>
      <c r="D2384" s="3990"/>
      <c r="E2384" s="4009"/>
      <c r="F2384" s="3010" t="str">
        <f>$E$1451</f>
        <v>ASHP-SEER15-Replace_CAC_ElectricHeat_ER2_MF</v>
      </c>
      <c r="G2384" s="2676"/>
      <c r="H2384" s="2676"/>
      <c r="I2384" s="2677"/>
      <c r="J2384" s="3298" t="str">
        <f>$C$1451</f>
        <v>352750_2021_12_</v>
      </c>
      <c r="K2384" s="2228">
        <f>K2383</f>
        <v>9.25</v>
      </c>
      <c r="L2384" s="851"/>
      <c r="M2384" s="2723" t="s">
        <v>1551</v>
      </c>
      <c r="N2384" s="123"/>
      <c r="O2384" s="228"/>
      <c r="P2384" s="844"/>
      <c r="Q2384" s="844"/>
      <c r="R2384" s="844"/>
      <c r="S2384" s="832"/>
      <c r="T2384" s="3082"/>
      <c r="U2384" s="123"/>
      <c r="V2384" s="3990"/>
      <c r="W2384" s="2857">
        <v>8.6999999999999993</v>
      </c>
      <c r="X2384" s="2857">
        <v>8.6999999999999993</v>
      </c>
      <c r="Y2384" s="2857">
        <v>8.6999999999999993</v>
      </c>
      <c r="Z2384" s="2857">
        <v>8.6999999999999993</v>
      </c>
      <c r="AA2384" s="2857">
        <v>8.6999999999999993</v>
      </c>
      <c r="AB2384" s="3150">
        <v>8.75</v>
      </c>
      <c r="AC2384" s="2228">
        <f>AC2383</f>
        <v>9.25</v>
      </c>
      <c r="AD2384" s="2857"/>
      <c r="AE2384" s="2857"/>
      <c r="AF2384" s="2857"/>
      <c r="AG2384" s="2857"/>
      <c r="AH2384" s="1942"/>
      <c r="AI2384" s="1942"/>
      <c r="AJ2384" s="1942"/>
      <c r="AK2384" s="1942"/>
      <c r="AL2384" s="1942"/>
      <c r="AM2384" s="1942"/>
      <c r="AN2384" s="1942"/>
      <c r="AO2384" s="1942"/>
      <c r="AP2384" s="1942"/>
      <c r="AQ2384" s="1942"/>
      <c r="AR2384" s="1942"/>
      <c r="AS2384" s="1942"/>
      <c r="AT2384" s="1942"/>
      <c r="AU2384" s="1942"/>
      <c r="AV2384" s="1942"/>
      <c r="AW2384" s="1942"/>
      <c r="AX2384" s="1942"/>
      <c r="AY2384" s="1942"/>
      <c r="AZ2384" s="1942"/>
      <c r="BA2384" s="1942"/>
      <c r="BB2384" s="575"/>
      <c r="BC2384" s="576"/>
      <c r="BD2384" s="678"/>
      <c r="BE2384" s="585"/>
    </row>
    <row r="2385" spans="1:57" s="51" customFormat="1" ht="15" hidden="1" customHeight="1" outlineLevel="1" x14ac:dyDescent="0.25">
      <c r="A2385" s="2060"/>
      <c r="B2385" s="123"/>
      <c r="C2385" s="328"/>
      <c r="D2385" s="3990"/>
      <c r="E2385" s="4009"/>
      <c r="F2385" s="3010" t="str">
        <f>$E$1453</f>
        <v>ASHP-SEER15-Replace_CAC_ElectricHeat_ER1_MF_CompE</v>
      </c>
      <c r="G2385" s="2676"/>
      <c r="H2385" s="2676"/>
      <c r="I2385" s="2677"/>
      <c r="J2385" s="3298" t="str">
        <f>$C$1453</f>
        <v>352751_2021_12_</v>
      </c>
      <c r="K2385" s="2228">
        <f>K2383</f>
        <v>9.25</v>
      </c>
      <c r="L2385" s="851"/>
      <c r="M2385" s="2243" t="s">
        <v>1125</v>
      </c>
      <c r="N2385" s="123"/>
      <c r="O2385" s="228"/>
      <c r="P2385" s="844"/>
      <c r="Q2385" s="844"/>
      <c r="R2385" s="844"/>
      <c r="S2385" s="832"/>
      <c r="T2385" s="3082"/>
      <c r="U2385" s="123"/>
      <c r="V2385" s="3990"/>
      <c r="W2385" s="2857"/>
      <c r="X2385" s="2857"/>
      <c r="Y2385" s="3155">
        <v>8.6999999999999993</v>
      </c>
      <c r="Z2385" s="2857">
        <v>8.6999999999999993</v>
      </c>
      <c r="AA2385" s="2857">
        <v>8.6999999999999993</v>
      </c>
      <c r="AB2385" s="3150">
        <v>8.75</v>
      </c>
      <c r="AC2385" s="2228">
        <f>AC2383</f>
        <v>9.25</v>
      </c>
      <c r="AD2385" s="2857"/>
      <c r="AE2385" s="2857"/>
      <c r="AF2385" s="2857"/>
      <c r="AG2385" s="2857"/>
      <c r="AH2385" s="1942"/>
      <c r="AI2385" s="1942"/>
      <c r="AJ2385" s="1942"/>
      <c r="AK2385" s="1942"/>
      <c r="AL2385" s="1942"/>
      <c r="AM2385" s="1942"/>
      <c r="AN2385" s="1942"/>
      <c r="AO2385" s="1942"/>
      <c r="AP2385" s="1942"/>
      <c r="AQ2385" s="1942"/>
      <c r="AR2385" s="1942"/>
      <c r="AS2385" s="1942"/>
      <c r="AT2385" s="1942"/>
      <c r="AU2385" s="1942"/>
      <c r="AV2385" s="1942"/>
      <c r="AW2385" s="1942"/>
      <c r="AX2385" s="1942"/>
      <c r="AY2385" s="1942"/>
      <c r="AZ2385" s="1942"/>
      <c r="BA2385" s="1942"/>
      <c r="BB2385" s="575"/>
      <c r="BC2385" s="576"/>
      <c r="BD2385" s="678"/>
      <c r="BE2385" s="585"/>
    </row>
    <row r="2386" spans="1:57" s="51" customFormat="1" ht="15" hidden="1" customHeight="1" outlineLevel="1" x14ac:dyDescent="0.25">
      <c r="A2386" s="2060"/>
      <c r="B2386" s="123"/>
      <c r="C2386" s="328"/>
      <c r="D2386" s="3990"/>
      <c r="E2386" s="4009"/>
      <c r="F2386" s="3010" t="str">
        <f>$E$1455</f>
        <v>ASHP-SEER15-Replace_CAC_ElectricHeat_ER2_MF_CompE</v>
      </c>
      <c r="G2386" s="2676"/>
      <c r="H2386" s="2676"/>
      <c r="I2386" s="2677"/>
      <c r="J2386" s="3298" t="str">
        <f>$C$1455</f>
        <v>352751_2021_12_</v>
      </c>
      <c r="K2386" s="2228">
        <f>K2384</f>
        <v>9.25</v>
      </c>
      <c r="L2386" s="851"/>
      <c r="M2386" s="2243" t="s">
        <v>1125</v>
      </c>
      <c r="N2386" s="123"/>
      <c r="O2386" s="228"/>
      <c r="P2386" s="844"/>
      <c r="Q2386" s="844"/>
      <c r="R2386" s="844"/>
      <c r="S2386" s="832"/>
      <c r="T2386" s="3082"/>
      <c r="U2386" s="123"/>
      <c r="V2386" s="3990"/>
      <c r="W2386" s="2857"/>
      <c r="X2386" s="2857"/>
      <c r="Y2386" s="3155">
        <v>8.6999999999999993</v>
      </c>
      <c r="Z2386" s="2857">
        <v>8.6999999999999993</v>
      </c>
      <c r="AA2386" s="2857">
        <v>8.6999999999999993</v>
      </c>
      <c r="AB2386" s="3150">
        <v>8.75</v>
      </c>
      <c r="AC2386" s="2228">
        <f>AC2384</f>
        <v>9.25</v>
      </c>
      <c r="AD2386" s="2857"/>
      <c r="AE2386" s="2857"/>
      <c r="AF2386" s="2857"/>
      <c r="AG2386" s="2857"/>
      <c r="AH2386" s="1942"/>
      <c r="AI2386" s="1942"/>
      <c r="AJ2386" s="1942"/>
      <c r="AK2386" s="1942"/>
      <c r="AL2386" s="1942"/>
      <c r="AM2386" s="1942"/>
      <c r="AN2386" s="1942"/>
      <c r="AO2386" s="1942"/>
      <c r="AP2386" s="1942"/>
      <c r="AQ2386" s="1942"/>
      <c r="AR2386" s="1942"/>
      <c r="AS2386" s="1942"/>
      <c r="AT2386" s="1942"/>
      <c r="AU2386" s="1942"/>
      <c r="AV2386" s="1942"/>
      <c r="AW2386" s="1942"/>
      <c r="AX2386" s="1942"/>
      <c r="AY2386" s="1942"/>
      <c r="AZ2386" s="1942"/>
      <c r="BA2386" s="1942"/>
      <c r="BB2386" s="575"/>
      <c r="BC2386" s="576"/>
      <c r="BD2386" s="678"/>
      <c r="BE2386" s="585"/>
    </row>
    <row r="2387" spans="1:57" s="1942" customFormat="1" ht="15" hidden="1" customHeight="1" outlineLevel="1" x14ac:dyDescent="0.25">
      <c r="A2387" s="2060"/>
      <c r="B2387" s="123"/>
      <c r="C2387" s="328"/>
      <c r="D2387" s="3990"/>
      <c r="E2387" s="4009"/>
      <c r="F2387" s="3010" t="str">
        <f>$E$1457</f>
        <v>ASHP-SEER15-Replace_CAC_NonElectricHeat_ER1_MF</v>
      </c>
      <c r="G2387" s="2676"/>
      <c r="H2387" s="2676"/>
      <c r="I2387" s="2677"/>
      <c r="J2387" s="3298" t="str">
        <f>$C$1457</f>
        <v>352760_2021_12_</v>
      </c>
      <c r="K2387" s="2228">
        <v>9.25</v>
      </c>
      <c r="L2387" s="851"/>
      <c r="M2387" s="2723" t="s">
        <v>1125</v>
      </c>
      <c r="N2387" s="123"/>
      <c r="O2387" s="228"/>
      <c r="P2387" s="844"/>
      <c r="Q2387" s="844"/>
      <c r="R2387" s="844"/>
      <c r="S2387" s="832"/>
      <c r="T2387" s="3082"/>
      <c r="U2387" s="123"/>
      <c r="V2387" s="3990"/>
      <c r="W2387" s="2857"/>
      <c r="X2387" s="2857"/>
      <c r="Y2387" s="3155"/>
      <c r="Z2387" s="2857"/>
      <c r="AA2387" s="2857"/>
      <c r="AB2387" s="3150"/>
      <c r="AC2387" s="2228">
        <v>9.25</v>
      </c>
      <c r="AD2387" s="2857"/>
      <c r="AE2387" s="2857"/>
      <c r="AF2387" s="2857"/>
      <c r="AG2387" s="2857"/>
      <c r="BB2387" s="575"/>
      <c r="BC2387" s="576"/>
      <c r="BD2387" s="678"/>
      <c r="BE2387" s="585"/>
    </row>
    <row r="2388" spans="1:57" s="1942" customFormat="1" ht="15" hidden="1" customHeight="1" outlineLevel="1" x14ac:dyDescent="0.25">
      <c r="A2388" s="2060"/>
      <c r="B2388" s="123"/>
      <c r="C2388" s="328"/>
      <c r="D2388" s="3990"/>
      <c r="E2388" s="4009"/>
      <c r="F2388" s="3010" t="str">
        <f>$E$1459</f>
        <v>ASHP-SEER15-Replace_CAC_NonElectricHeat_ER2_MF</v>
      </c>
      <c r="G2388" s="2676"/>
      <c r="H2388" s="2676"/>
      <c r="I2388" s="2677"/>
      <c r="J2388" s="3298" t="str">
        <f>$C$1459</f>
        <v>352760_2021_12_</v>
      </c>
      <c r="K2388" s="2228">
        <f>K2387</f>
        <v>9.25</v>
      </c>
      <c r="L2388" s="851"/>
      <c r="M2388" s="2723" t="s">
        <v>1125</v>
      </c>
      <c r="N2388" s="123"/>
      <c r="O2388" s="228"/>
      <c r="P2388" s="844"/>
      <c r="Q2388" s="844"/>
      <c r="R2388" s="844"/>
      <c r="S2388" s="832"/>
      <c r="T2388" s="3082"/>
      <c r="U2388" s="123"/>
      <c r="V2388" s="3990"/>
      <c r="W2388" s="2857"/>
      <c r="X2388" s="2857"/>
      <c r="Y2388" s="3155"/>
      <c r="Z2388" s="2857"/>
      <c r="AA2388" s="2857"/>
      <c r="AB2388" s="3150"/>
      <c r="AC2388" s="2228">
        <f>AC2387</f>
        <v>9.25</v>
      </c>
      <c r="AD2388" s="2857"/>
      <c r="AE2388" s="2857"/>
      <c r="AF2388" s="2857"/>
      <c r="AG2388" s="2857"/>
      <c r="BB2388" s="575"/>
      <c r="BC2388" s="576"/>
      <c r="BD2388" s="678"/>
      <c r="BE2388" s="585"/>
    </row>
    <row r="2389" spans="1:57" s="1942" customFormat="1" ht="15" hidden="1" customHeight="1" outlineLevel="1" x14ac:dyDescent="0.25">
      <c r="A2389" s="2060"/>
      <c r="B2389" s="123"/>
      <c r="C2389" s="328"/>
      <c r="D2389" s="3990"/>
      <c r="E2389" s="4009"/>
      <c r="F2389" s="3010" t="str">
        <f>$E$1461</f>
        <v>ASHP-SEER15-Replace_CAC_NonElectricHeat_ER1_MF_CompE</v>
      </c>
      <c r="G2389" s="2676"/>
      <c r="H2389" s="2676"/>
      <c r="I2389" s="2677"/>
      <c r="J2389" s="3298" t="str">
        <f>$C$1461</f>
        <v>352761_2021_12_</v>
      </c>
      <c r="K2389" s="2228">
        <f>K2387</f>
        <v>9.25</v>
      </c>
      <c r="L2389" s="851"/>
      <c r="M2389" s="2723" t="s">
        <v>1125</v>
      </c>
      <c r="N2389" s="123"/>
      <c r="O2389" s="228"/>
      <c r="P2389" s="844"/>
      <c r="Q2389" s="844"/>
      <c r="R2389" s="844"/>
      <c r="S2389" s="832"/>
      <c r="T2389" s="3082"/>
      <c r="U2389" s="123"/>
      <c r="V2389" s="3990"/>
      <c r="W2389" s="2857"/>
      <c r="X2389" s="2857"/>
      <c r="Y2389" s="3155"/>
      <c r="Z2389" s="2857"/>
      <c r="AA2389" s="2857"/>
      <c r="AB2389" s="3150"/>
      <c r="AC2389" s="2228">
        <f>AC2387</f>
        <v>9.25</v>
      </c>
      <c r="AD2389" s="2857"/>
      <c r="AE2389" s="2857"/>
      <c r="AF2389" s="2857"/>
      <c r="AG2389" s="2857"/>
      <c r="BB2389" s="575"/>
      <c r="BC2389" s="576"/>
      <c r="BD2389" s="678"/>
      <c r="BE2389" s="585"/>
    </row>
    <row r="2390" spans="1:57" s="1942" customFormat="1" ht="15" hidden="1" customHeight="1" outlineLevel="1" x14ac:dyDescent="0.25">
      <c r="A2390" s="2060"/>
      <c r="B2390" s="123"/>
      <c r="C2390" s="328"/>
      <c r="D2390" s="3990"/>
      <c r="E2390" s="4009"/>
      <c r="F2390" s="3010" t="str">
        <f>$E$1463</f>
        <v>ASHP-SEER15-Replace_CAC_NonElectricHeat_ER2_MF_CompE</v>
      </c>
      <c r="G2390" s="2676"/>
      <c r="H2390" s="2676"/>
      <c r="I2390" s="2677"/>
      <c r="J2390" s="3298" t="str">
        <f>$C$1463</f>
        <v>352761_2021_12_</v>
      </c>
      <c r="K2390" s="2228">
        <f>K2388</f>
        <v>9.25</v>
      </c>
      <c r="L2390" s="851"/>
      <c r="M2390" s="2723" t="s">
        <v>1125</v>
      </c>
      <c r="N2390" s="123"/>
      <c r="O2390" s="228"/>
      <c r="P2390" s="844"/>
      <c r="Q2390" s="844"/>
      <c r="R2390" s="844"/>
      <c r="S2390" s="832"/>
      <c r="T2390" s="3082"/>
      <c r="U2390" s="123"/>
      <c r="V2390" s="3990"/>
      <c r="W2390" s="2857"/>
      <c r="X2390" s="2857"/>
      <c r="Y2390" s="3155"/>
      <c r="Z2390" s="2857"/>
      <c r="AA2390" s="2857"/>
      <c r="AB2390" s="3150"/>
      <c r="AC2390" s="2228">
        <f>AC2388</f>
        <v>9.25</v>
      </c>
      <c r="AD2390" s="2857"/>
      <c r="AE2390" s="2857"/>
      <c r="AF2390" s="2857"/>
      <c r="AG2390" s="2857"/>
      <c r="BB2390" s="575"/>
      <c r="BC2390" s="576"/>
      <c r="BD2390" s="678"/>
      <c r="BE2390" s="585"/>
    </row>
    <row r="2391" spans="1:57" s="51" customFormat="1" ht="15" hidden="1" customHeight="1" outlineLevel="1" x14ac:dyDescent="0.25">
      <c r="A2391" s="2060"/>
      <c r="B2391" s="123"/>
      <c r="C2391" s="328"/>
      <c r="D2391" s="3990"/>
      <c r="E2391" s="4009"/>
      <c r="F2391" s="3010" t="str">
        <f>$E$1465</f>
        <v>ASHP-SEER15-Replace_CAC_ElectricHeat_ROF_MF</v>
      </c>
      <c r="G2391" s="2676"/>
      <c r="H2391" s="2676"/>
      <c r="I2391" s="2677"/>
      <c r="J2391" s="3299" t="str">
        <f>$C$1465</f>
        <v>352800_2019_12_</v>
      </c>
      <c r="K2391" s="2282">
        <v>8.6</v>
      </c>
      <c r="L2391" s="851"/>
      <c r="M2391" s="2278" t="s">
        <v>1149</v>
      </c>
      <c r="N2391" s="123"/>
      <c r="O2391" s="228"/>
      <c r="P2391" s="844"/>
      <c r="Q2391" s="844"/>
      <c r="R2391" s="844"/>
      <c r="S2391" s="832"/>
      <c r="T2391" s="3082"/>
      <c r="U2391" s="123"/>
      <c r="V2391" s="3990"/>
      <c r="W2391" s="2857">
        <v>8.6</v>
      </c>
      <c r="X2391" s="2857">
        <v>8.6</v>
      </c>
      <c r="Y2391" s="2857">
        <v>8.6</v>
      </c>
      <c r="Z2391" s="2857">
        <v>8.6</v>
      </c>
      <c r="AA2391" s="2857">
        <v>8.6</v>
      </c>
      <c r="AB2391" s="2855">
        <v>8.6</v>
      </c>
      <c r="AC2391" s="2282">
        <v>8.6</v>
      </c>
      <c r="AD2391" s="2857"/>
      <c r="AE2391" s="2857"/>
      <c r="AF2391" s="2857"/>
      <c r="AG2391" s="2857"/>
      <c r="AH2391" s="1942"/>
      <c r="AI2391" s="1942"/>
      <c r="AJ2391" s="1942"/>
      <c r="AK2391" s="1942"/>
      <c r="AL2391" s="1942"/>
      <c r="AM2391" s="1942"/>
      <c r="AN2391" s="1942"/>
      <c r="AO2391" s="1942"/>
      <c r="AP2391" s="1942"/>
      <c r="AQ2391" s="1942"/>
      <c r="AR2391" s="1942"/>
      <c r="AS2391" s="1942"/>
      <c r="AT2391" s="1942"/>
      <c r="AU2391" s="1942"/>
      <c r="AV2391" s="1942"/>
      <c r="AW2391" s="1942"/>
      <c r="AX2391" s="1942"/>
      <c r="AY2391" s="1942"/>
      <c r="AZ2391" s="1942"/>
      <c r="BA2391" s="1942"/>
      <c r="BB2391" s="575"/>
      <c r="BC2391" s="576"/>
      <c r="BD2391" s="678"/>
      <c r="BE2391" s="585"/>
    </row>
    <row r="2392" spans="1:57" s="51" customFormat="1" ht="15" hidden="1" customHeight="1" outlineLevel="1" x14ac:dyDescent="0.25">
      <c r="A2392" s="2060"/>
      <c r="B2392" s="123"/>
      <c r="C2392" s="328"/>
      <c r="D2392" s="3990"/>
      <c r="E2392" s="4009"/>
      <c r="F2392" s="3010" t="str">
        <f>$E$1467</f>
        <v>ASHP-SEER15-Replace_CAC_ElectricHeat_ROF_MF_CompE</v>
      </c>
      <c r="G2392" s="2676"/>
      <c r="H2392" s="2676"/>
      <c r="I2392" s="2677"/>
      <c r="J2392" s="3299" t="str">
        <f>$C$1467</f>
        <v>352801_2021_12_</v>
      </c>
      <c r="K2392" s="2282">
        <f>K2391</f>
        <v>8.6</v>
      </c>
      <c r="L2392" s="851"/>
      <c r="M2392" s="2278"/>
      <c r="N2392" s="123"/>
      <c r="O2392" s="228"/>
      <c r="P2392" s="844"/>
      <c r="Q2392" s="844"/>
      <c r="R2392" s="844"/>
      <c r="S2392" s="832"/>
      <c r="T2392" s="3082"/>
      <c r="U2392" s="123"/>
      <c r="V2392" s="3990"/>
      <c r="W2392" s="2857"/>
      <c r="X2392" s="2857"/>
      <c r="Y2392" s="3155">
        <v>8.6</v>
      </c>
      <c r="Z2392" s="2857">
        <v>8.6</v>
      </c>
      <c r="AA2392" s="2857">
        <v>8.6</v>
      </c>
      <c r="AB2392" s="2855">
        <v>8.6</v>
      </c>
      <c r="AC2392" s="2282">
        <f>AC2391</f>
        <v>8.6</v>
      </c>
      <c r="AD2392" s="2857"/>
      <c r="AE2392" s="2857"/>
      <c r="AF2392" s="2857"/>
      <c r="AG2392" s="2857"/>
      <c r="AH2392" s="1942"/>
      <c r="AI2392" s="1942"/>
      <c r="AJ2392" s="1942"/>
      <c r="AK2392" s="1942"/>
      <c r="AL2392" s="1942"/>
      <c r="AM2392" s="1942"/>
      <c r="AN2392" s="1942"/>
      <c r="AO2392" s="1942"/>
      <c r="AP2392" s="1942"/>
      <c r="AQ2392" s="1942"/>
      <c r="AR2392" s="1942"/>
      <c r="AS2392" s="1942"/>
      <c r="AT2392" s="1942"/>
      <c r="AU2392" s="1942"/>
      <c r="AV2392" s="1942"/>
      <c r="AW2392" s="1942"/>
      <c r="AX2392" s="1942"/>
      <c r="AY2392" s="1942"/>
      <c r="AZ2392" s="1942"/>
      <c r="BA2392" s="1942"/>
      <c r="BB2392" s="575"/>
      <c r="BC2392" s="576"/>
      <c r="BD2392" s="678"/>
      <c r="BE2392" s="585"/>
    </row>
    <row r="2393" spans="1:57" s="1942" customFormat="1" ht="15" hidden="1" customHeight="1" outlineLevel="1" x14ac:dyDescent="0.25">
      <c r="A2393" s="2060"/>
      <c r="B2393" s="123"/>
      <c r="C2393" s="328"/>
      <c r="D2393" s="3990"/>
      <c r="E2393" s="4009"/>
      <c r="F2393" s="3010" t="str">
        <f>$E$1469</f>
        <v>ASHP-SEER15-Replace_CAC_NonElectricHeat_ROF_MF</v>
      </c>
      <c r="G2393" s="2676"/>
      <c r="H2393" s="2676"/>
      <c r="I2393" s="2677"/>
      <c r="J2393" s="3298" t="str">
        <f>$C$1469</f>
        <v>352810_2021_12_</v>
      </c>
      <c r="K2393" s="2228">
        <v>8.6</v>
      </c>
      <c r="L2393" s="851"/>
      <c r="M2393" s="2723" t="s">
        <v>1125</v>
      </c>
      <c r="N2393" s="123"/>
      <c r="O2393" s="228"/>
      <c r="P2393" s="844"/>
      <c r="Q2393" s="844"/>
      <c r="R2393" s="844"/>
      <c r="S2393" s="832"/>
      <c r="T2393" s="3082"/>
      <c r="U2393" s="123"/>
      <c r="V2393" s="3990"/>
      <c r="W2393" s="2857"/>
      <c r="X2393" s="2857"/>
      <c r="Y2393" s="3155"/>
      <c r="Z2393" s="2857"/>
      <c r="AA2393" s="2857"/>
      <c r="AB2393" s="2855"/>
      <c r="AC2393" s="2228">
        <v>8.6</v>
      </c>
      <c r="AD2393" s="2857"/>
      <c r="AE2393" s="2857"/>
      <c r="AF2393" s="2857"/>
      <c r="AG2393" s="2857"/>
      <c r="BB2393" s="575"/>
      <c r="BC2393" s="576"/>
      <c r="BD2393" s="678"/>
      <c r="BE2393" s="585"/>
    </row>
    <row r="2394" spans="1:57" s="1942" customFormat="1" ht="15" hidden="1" customHeight="1" outlineLevel="1" x14ac:dyDescent="0.25">
      <c r="A2394" s="2060"/>
      <c r="B2394" s="123"/>
      <c r="C2394" s="328"/>
      <c r="D2394" s="3990"/>
      <c r="E2394" s="4009"/>
      <c r="F2394" s="3010" t="str">
        <f>$E$1471</f>
        <v>ASHP-SEER15-Replace_CAC_NonElectricHeat_ROF_MF_CompE</v>
      </c>
      <c r="G2394" s="2676"/>
      <c r="H2394" s="2676"/>
      <c r="I2394" s="2677"/>
      <c r="J2394" s="3298" t="str">
        <f>$C$1471</f>
        <v>352811_2021_12_</v>
      </c>
      <c r="K2394" s="2228">
        <f>K2393</f>
        <v>8.6</v>
      </c>
      <c r="L2394" s="851"/>
      <c r="M2394" s="2723" t="s">
        <v>1125</v>
      </c>
      <c r="N2394" s="123"/>
      <c r="O2394" s="228"/>
      <c r="P2394" s="844"/>
      <c r="Q2394" s="844"/>
      <c r="R2394" s="844"/>
      <c r="S2394" s="832"/>
      <c r="T2394" s="3082"/>
      <c r="U2394" s="123"/>
      <c r="V2394" s="3990"/>
      <c r="W2394" s="2857"/>
      <c r="X2394" s="2857"/>
      <c r="Y2394" s="3155"/>
      <c r="Z2394" s="2857"/>
      <c r="AA2394" s="2857"/>
      <c r="AB2394" s="2855"/>
      <c r="AC2394" s="2228">
        <f>AC2393</f>
        <v>8.6</v>
      </c>
      <c r="AD2394" s="2857"/>
      <c r="AE2394" s="2857"/>
      <c r="AF2394" s="2857"/>
      <c r="AG2394" s="2857"/>
      <c r="BB2394" s="575"/>
      <c r="BC2394" s="576"/>
      <c r="BD2394" s="678"/>
      <c r="BE2394" s="585"/>
    </row>
    <row r="2395" spans="1:57" s="51" customFormat="1" ht="15" hidden="1" customHeight="1" outlineLevel="1" x14ac:dyDescent="0.25">
      <c r="A2395" s="2060"/>
      <c r="B2395" s="123"/>
      <c r="C2395" s="328"/>
      <c r="D2395" s="3990"/>
      <c r="E2395" s="4009"/>
      <c r="F2395" s="3010" t="str">
        <f>$E$1473</f>
        <v>ASHP-SEER16_ER1_MF</v>
      </c>
      <c r="G2395" s="2676"/>
      <c r="H2395" s="2676"/>
      <c r="I2395" s="2677"/>
      <c r="J2395" s="3298" t="str">
        <f>$C$1473</f>
        <v>352850_2021_12_</v>
      </c>
      <c r="K2395" s="2228">
        <v>9.0250000000000004</v>
      </c>
      <c r="L2395" s="851"/>
      <c r="M2395" s="2723" t="s">
        <v>1554</v>
      </c>
      <c r="N2395" s="123"/>
      <c r="O2395" s="228"/>
      <c r="P2395" s="844"/>
      <c r="Q2395" s="844"/>
      <c r="R2395" s="844"/>
      <c r="S2395" s="832"/>
      <c r="T2395" s="3082"/>
      <c r="U2395" s="123"/>
      <c r="V2395" s="3990"/>
      <c r="W2395" s="2857">
        <v>9.5</v>
      </c>
      <c r="X2395" s="2857">
        <v>9.5</v>
      </c>
      <c r="Y2395" s="2857">
        <v>9.5</v>
      </c>
      <c r="Z2395" s="2857">
        <v>9.5</v>
      </c>
      <c r="AA2395" s="2857">
        <v>9.5</v>
      </c>
      <c r="AB2395" s="2855">
        <v>9.5</v>
      </c>
      <c r="AC2395" s="2228">
        <v>9.0250000000000004</v>
      </c>
      <c r="AD2395" s="2857"/>
      <c r="AE2395" s="2857"/>
      <c r="AF2395" s="2857"/>
      <c r="AG2395" s="2857"/>
      <c r="AH2395" s="1942"/>
      <c r="AI2395" s="1942"/>
      <c r="AJ2395" s="1942"/>
      <c r="AK2395" s="1942"/>
      <c r="AL2395" s="1942"/>
      <c r="AM2395" s="1942"/>
      <c r="AN2395" s="1942"/>
      <c r="AO2395" s="1942"/>
      <c r="AP2395" s="1942"/>
      <c r="AQ2395" s="1942"/>
      <c r="AR2395" s="1942"/>
      <c r="AS2395" s="1942"/>
      <c r="AT2395" s="1942"/>
      <c r="AU2395" s="1942"/>
      <c r="AV2395" s="1942"/>
      <c r="AW2395" s="1942"/>
      <c r="AX2395" s="1942"/>
      <c r="AY2395" s="1942"/>
      <c r="AZ2395" s="1942"/>
      <c r="BA2395" s="1942"/>
      <c r="BB2395" s="575"/>
      <c r="BC2395" s="576"/>
      <c r="BD2395" s="678"/>
      <c r="BE2395" s="585"/>
    </row>
    <row r="2396" spans="1:57" s="51" customFormat="1" ht="15" hidden="1" customHeight="1" outlineLevel="1" x14ac:dyDescent="0.25">
      <c r="A2396" s="2060"/>
      <c r="B2396" s="123"/>
      <c r="C2396" s="328"/>
      <c r="D2396" s="3990"/>
      <c r="E2396" s="4009"/>
      <c r="F2396" s="3010" t="str">
        <f>$E$1475</f>
        <v>ASHP-SEER16_ER2_MF</v>
      </c>
      <c r="G2396" s="2676"/>
      <c r="H2396" s="2676"/>
      <c r="I2396" s="2677"/>
      <c r="J2396" s="3298" t="str">
        <f>$C$1475</f>
        <v>352850_2021_12_</v>
      </c>
      <c r="K2396" s="2228">
        <f>K2395</f>
        <v>9.0250000000000004</v>
      </c>
      <c r="L2396" s="851"/>
      <c r="M2396" s="2723" t="s">
        <v>1554</v>
      </c>
      <c r="N2396" s="123"/>
      <c r="O2396" s="228"/>
      <c r="P2396" s="844"/>
      <c r="Q2396" s="844"/>
      <c r="R2396" s="844"/>
      <c r="S2396" s="832"/>
      <c r="T2396" s="3082"/>
      <c r="U2396" s="123"/>
      <c r="V2396" s="3990"/>
      <c r="W2396" s="2857">
        <v>9.5</v>
      </c>
      <c r="X2396" s="2857">
        <v>9.5</v>
      </c>
      <c r="Y2396" s="2857">
        <v>9.5</v>
      </c>
      <c r="Z2396" s="2857">
        <v>9.5</v>
      </c>
      <c r="AA2396" s="2857">
        <v>9.5</v>
      </c>
      <c r="AB2396" s="2855">
        <v>9.5</v>
      </c>
      <c r="AC2396" s="2228">
        <f>AC2395</f>
        <v>9.0250000000000004</v>
      </c>
      <c r="AD2396" s="2857"/>
      <c r="AE2396" s="2857"/>
      <c r="AF2396" s="2857"/>
      <c r="AG2396" s="2857"/>
      <c r="AH2396" s="1942"/>
      <c r="AI2396" s="1942"/>
      <c r="AJ2396" s="1942"/>
      <c r="AK2396" s="1942"/>
      <c r="AL2396" s="1942"/>
      <c r="AM2396" s="1942"/>
      <c r="AN2396" s="1942"/>
      <c r="AO2396" s="1942"/>
      <c r="AP2396" s="1942"/>
      <c r="AQ2396" s="1942"/>
      <c r="AR2396" s="1942"/>
      <c r="AS2396" s="1942"/>
      <c r="AT2396" s="1942"/>
      <c r="AU2396" s="1942"/>
      <c r="AV2396" s="1942"/>
      <c r="AW2396" s="1942"/>
      <c r="AX2396" s="1942"/>
      <c r="AY2396" s="1942"/>
      <c r="AZ2396" s="1942"/>
      <c r="BA2396" s="1942"/>
      <c r="BB2396" s="575"/>
      <c r="BC2396" s="576"/>
      <c r="BD2396" s="678"/>
      <c r="BE2396" s="585"/>
    </row>
    <row r="2397" spans="1:57" s="51" customFormat="1" ht="15" hidden="1" customHeight="1" outlineLevel="1" x14ac:dyDescent="0.25">
      <c r="A2397" s="2060"/>
      <c r="B2397" s="123"/>
      <c r="C2397" s="328"/>
      <c r="D2397" s="3990"/>
      <c r="E2397" s="4009"/>
      <c r="F2397" s="3010" t="str">
        <f>$E$1477</f>
        <v>ASHP-SEER16_ER1_MF_CompE</v>
      </c>
      <c r="G2397" s="2676"/>
      <c r="H2397" s="2676"/>
      <c r="I2397" s="2677"/>
      <c r="J2397" s="3298" t="str">
        <f>$C$1477</f>
        <v>352851_2021_12_</v>
      </c>
      <c r="K2397" s="2228">
        <f>K2395</f>
        <v>9.0250000000000004</v>
      </c>
      <c r="L2397" s="851"/>
      <c r="M2397" s="2731" t="s">
        <v>1125</v>
      </c>
      <c r="N2397" s="123"/>
      <c r="O2397" s="228"/>
      <c r="P2397" s="844"/>
      <c r="Q2397" s="844"/>
      <c r="R2397" s="844"/>
      <c r="S2397" s="832"/>
      <c r="T2397" s="3082"/>
      <c r="U2397" s="123"/>
      <c r="V2397" s="3990"/>
      <c r="W2397" s="2857"/>
      <c r="X2397" s="2857"/>
      <c r="Y2397" s="3155">
        <v>9.5</v>
      </c>
      <c r="Z2397" s="2857">
        <v>9.5</v>
      </c>
      <c r="AA2397" s="2857">
        <v>9.5</v>
      </c>
      <c r="AB2397" s="2855">
        <v>9.5</v>
      </c>
      <c r="AC2397" s="2228">
        <f>AC2395</f>
        <v>9.0250000000000004</v>
      </c>
      <c r="AD2397" s="2857"/>
      <c r="AE2397" s="2857"/>
      <c r="AF2397" s="2857"/>
      <c r="AG2397" s="2857"/>
      <c r="AH2397" s="1942"/>
      <c r="AI2397" s="1942"/>
      <c r="AJ2397" s="1942"/>
      <c r="AK2397" s="1942"/>
      <c r="AL2397" s="1942"/>
      <c r="AM2397" s="1942"/>
      <c r="AN2397" s="1942"/>
      <c r="AO2397" s="1942"/>
      <c r="AP2397" s="1942"/>
      <c r="AQ2397" s="1942"/>
      <c r="AR2397" s="1942"/>
      <c r="AS2397" s="1942"/>
      <c r="AT2397" s="1942"/>
      <c r="AU2397" s="1942"/>
      <c r="AV2397" s="1942"/>
      <c r="AW2397" s="1942"/>
      <c r="AX2397" s="1942"/>
      <c r="AY2397" s="1942"/>
      <c r="AZ2397" s="1942"/>
      <c r="BA2397" s="1942"/>
      <c r="BB2397" s="575"/>
      <c r="BC2397" s="576"/>
      <c r="BD2397" s="678"/>
      <c r="BE2397" s="585"/>
    </row>
    <row r="2398" spans="1:57" s="51" customFormat="1" ht="15" hidden="1" customHeight="1" outlineLevel="1" x14ac:dyDescent="0.25">
      <c r="A2398" s="2060"/>
      <c r="B2398" s="123"/>
      <c r="C2398" s="328"/>
      <c r="D2398" s="3990"/>
      <c r="E2398" s="4009"/>
      <c r="F2398" s="3010" t="str">
        <f>$E$1479</f>
        <v>ASHP-SEER16_ER2_MF_CompE</v>
      </c>
      <c r="G2398" s="2676"/>
      <c r="H2398" s="2676"/>
      <c r="I2398" s="2677"/>
      <c r="J2398" s="3298" t="str">
        <f>$C$1479</f>
        <v>352851_2021_12_</v>
      </c>
      <c r="K2398" s="2228">
        <f>K2396</f>
        <v>9.0250000000000004</v>
      </c>
      <c r="L2398" s="851"/>
      <c r="M2398" s="2731" t="s">
        <v>1125</v>
      </c>
      <c r="N2398" s="123"/>
      <c r="O2398" s="228"/>
      <c r="P2398" s="844"/>
      <c r="Q2398" s="844"/>
      <c r="R2398" s="844"/>
      <c r="S2398" s="832"/>
      <c r="T2398" s="3082"/>
      <c r="U2398" s="123"/>
      <c r="V2398" s="3990"/>
      <c r="W2398" s="2857"/>
      <c r="X2398" s="2857"/>
      <c r="Y2398" s="3155">
        <v>9.5</v>
      </c>
      <c r="Z2398" s="2857">
        <v>9.5</v>
      </c>
      <c r="AA2398" s="2857">
        <v>9.5</v>
      </c>
      <c r="AB2398" s="2855">
        <v>9.5</v>
      </c>
      <c r="AC2398" s="2228">
        <f>AC2396</f>
        <v>9.0250000000000004</v>
      </c>
      <c r="AD2398" s="2857"/>
      <c r="AE2398" s="2857"/>
      <c r="AF2398" s="2857"/>
      <c r="AG2398" s="2857"/>
      <c r="AH2398" s="1942"/>
      <c r="AI2398" s="1942"/>
      <c r="AJ2398" s="1942"/>
      <c r="AK2398" s="1942"/>
      <c r="AL2398" s="1942"/>
      <c r="AM2398" s="1942"/>
      <c r="AN2398" s="1942"/>
      <c r="AO2398" s="1942"/>
      <c r="AP2398" s="1942"/>
      <c r="AQ2398" s="1942"/>
      <c r="AR2398" s="1942"/>
      <c r="AS2398" s="1942"/>
      <c r="AT2398" s="1942"/>
      <c r="AU2398" s="1942"/>
      <c r="AV2398" s="1942"/>
      <c r="AW2398" s="1942"/>
      <c r="AX2398" s="1942"/>
      <c r="AY2398" s="1942"/>
      <c r="AZ2398" s="1942"/>
      <c r="BA2398" s="1942"/>
      <c r="BB2398" s="575"/>
      <c r="BC2398" s="576"/>
      <c r="BD2398" s="678"/>
      <c r="BE2398" s="585"/>
    </row>
    <row r="2399" spans="1:57" s="51" customFormat="1" ht="15" hidden="1" customHeight="1" outlineLevel="1" x14ac:dyDescent="0.25">
      <c r="A2399" s="2060"/>
      <c r="B2399" s="123"/>
      <c r="C2399" s="328"/>
      <c r="D2399" s="3990"/>
      <c r="E2399" s="4009"/>
      <c r="F2399" s="3010" t="str">
        <f>$E$1481</f>
        <v>ASHP-SEER16_ROF_MF</v>
      </c>
      <c r="G2399" s="2676"/>
      <c r="H2399" s="2676"/>
      <c r="I2399" s="2677"/>
      <c r="J2399" s="3298" t="str">
        <f>$C$1481</f>
        <v>352900_2021_12_</v>
      </c>
      <c r="K2399" s="2228">
        <v>9</v>
      </c>
      <c r="L2399" s="851"/>
      <c r="M2399" s="2723" t="s">
        <v>1554</v>
      </c>
      <c r="N2399" s="123"/>
      <c r="O2399" s="228"/>
      <c r="P2399" s="844"/>
      <c r="Q2399" s="844"/>
      <c r="R2399" s="844"/>
      <c r="S2399" s="832"/>
      <c r="T2399" s="3082"/>
      <c r="U2399" s="123"/>
      <c r="V2399" s="3990"/>
      <c r="W2399" s="2857">
        <v>9.8000000000000007</v>
      </c>
      <c r="X2399" s="2857">
        <v>9.8000000000000007</v>
      </c>
      <c r="Y2399" s="2857">
        <v>9.8000000000000007</v>
      </c>
      <c r="Z2399" s="2857">
        <v>9.8000000000000007</v>
      </c>
      <c r="AA2399" s="2857">
        <v>9.8000000000000007</v>
      </c>
      <c r="AB2399" s="2855">
        <v>9.8000000000000007</v>
      </c>
      <c r="AC2399" s="2228">
        <v>9</v>
      </c>
      <c r="AD2399" s="2857"/>
      <c r="AE2399" s="2857"/>
      <c r="AF2399" s="2857"/>
      <c r="AG2399" s="2857"/>
      <c r="AH2399" s="1942"/>
      <c r="AI2399" s="1942"/>
      <c r="AJ2399" s="1942"/>
      <c r="AK2399" s="1942"/>
      <c r="AL2399" s="1942"/>
      <c r="AM2399" s="1942"/>
      <c r="AN2399" s="1942"/>
      <c r="AO2399" s="1942"/>
      <c r="AP2399" s="1942"/>
      <c r="AQ2399" s="1942"/>
      <c r="AR2399" s="1942"/>
      <c r="AS2399" s="1942"/>
      <c r="AT2399" s="1942"/>
      <c r="AU2399" s="1942"/>
      <c r="AV2399" s="1942"/>
      <c r="AW2399" s="1942"/>
      <c r="AX2399" s="1942"/>
      <c r="AY2399" s="1942"/>
      <c r="AZ2399" s="1942"/>
      <c r="BA2399" s="1942"/>
      <c r="BB2399" s="575"/>
      <c r="BC2399" s="576"/>
      <c r="BD2399" s="678"/>
      <c r="BE2399" s="585"/>
    </row>
    <row r="2400" spans="1:57" s="51" customFormat="1" ht="15" hidden="1" customHeight="1" outlineLevel="1" x14ac:dyDescent="0.25">
      <c r="A2400" s="2060"/>
      <c r="B2400" s="123"/>
      <c r="C2400" s="328"/>
      <c r="D2400" s="3990"/>
      <c r="E2400" s="4009"/>
      <c r="F2400" s="3010" t="str">
        <f>$E$1483</f>
        <v>ASHP-SEER16_ROF_MF_CompE</v>
      </c>
      <c r="G2400" s="2676"/>
      <c r="H2400" s="2676"/>
      <c r="I2400" s="2677"/>
      <c r="J2400" s="3298" t="str">
        <f>$C$1483</f>
        <v>352901_2021_12_</v>
      </c>
      <c r="K2400" s="2228">
        <f>K2399</f>
        <v>9</v>
      </c>
      <c r="L2400" s="851"/>
      <c r="M2400" s="2730" t="s">
        <v>1008</v>
      </c>
      <c r="N2400" s="123"/>
      <c r="O2400" s="228"/>
      <c r="P2400" s="844"/>
      <c r="Q2400" s="844"/>
      <c r="R2400" s="844"/>
      <c r="S2400" s="832"/>
      <c r="T2400" s="3082"/>
      <c r="U2400" s="123"/>
      <c r="V2400" s="3990"/>
      <c r="W2400" s="2857"/>
      <c r="X2400" s="2857"/>
      <c r="Y2400" s="3155">
        <v>9.8000000000000007</v>
      </c>
      <c r="Z2400" s="2857">
        <v>9.8000000000000007</v>
      </c>
      <c r="AA2400" s="2857">
        <v>9.8000000000000007</v>
      </c>
      <c r="AB2400" s="2855">
        <v>9.8000000000000007</v>
      </c>
      <c r="AC2400" s="2228">
        <f>AC2399</f>
        <v>9</v>
      </c>
      <c r="AD2400" s="2857"/>
      <c r="AE2400" s="2857"/>
      <c r="AF2400" s="2857"/>
      <c r="AG2400" s="2857"/>
      <c r="AH2400" s="1942"/>
      <c r="AI2400" s="1942"/>
      <c r="AJ2400" s="1942"/>
      <c r="AK2400" s="1942"/>
      <c r="AL2400" s="1942"/>
      <c r="AM2400" s="1942"/>
      <c r="AN2400" s="1942"/>
      <c r="AO2400" s="1942"/>
      <c r="AP2400" s="1942"/>
      <c r="AQ2400" s="1942"/>
      <c r="AR2400" s="1942"/>
      <c r="AS2400" s="1942"/>
      <c r="AT2400" s="1942"/>
      <c r="AU2400" s="1942"/>
      <c r="AV2400" s="1942"/>
      <c r="AW2400" s="1942"/>
      <c r="AX2400" s="1942"/>
      <c r="AY2400" s="1942"/>
      <c r="AZ2400" s="1942"/>
      <c r="BA2400" s="1942"/>
      <c r="BB2400" s="575"/>
      <c r="BC2400" s="576"/>
      <c r="BD2400" s="678"/>
      <c r="BE2400" s="585"/>
    </row>
    <row r="2401" spans="1:57" s="51" customFormat="1" ht="15" hidden="1" customHeight="1" outlineLevel="1" x14ac:dyDescent="0.25">
      <c r="A2401" s="2060"/>
      <c r="B2401" s="123"/>
      <c r="C2401" s="328"/>
      <c r="D2401" s="3990"/>
      <c r="E2401" s="4009"/>
      <c r="F2401" s="3010" t="str">
        <f>$E$1485</f>
        <v>ASHP-SEER16-Replace_CAC_ElectricHeat_ROF_MF</v>
      </c>
      <c r="G2401" s="2676"/>
      <c r="H2401" s="2676"/>
      <c r="I2401" s="2677"/>
      <c r="J2401" s="3299" t="str">
        <f>$C$1485</f>
        <v>352950_2019_12_</v>
      </c>
      <c r="K2401" s="2282">
        <v>9.1999999999999993</v>
      </c>
      <c r="L2401" s="851"/>
      <c r="M2401" s="2243" t="s">
        <v>1017</v>
      </c>
      <c r="N2401" s="123"/>
      <c r="O2401" s="228"/>
      <c r="P2401" s="844"/>
      <c r="Q2401" s="844"/>
      <c r="R2401" s="844"/>
      <c r="S2401" s="832"/>
      <c r="T2401" s="3082"/>
      <c r="U2401" s="123"/>
      <c r="V2401" s="3990"/>
      <c r="W2401" s="2857">
        <v>9.6999999999999993</v>
      </c>
      <c r="X2401" s="2857">
        <v>9.6999999999999993</v>
      </c>
      <c r="Y2401" s="2857">
        <v>9.6999999999999993</v>
      </c>
      <c r="Z2401" s="2857">
        <v>9.6999999999999993</v>
      </c>
      <c r="AA2401" s="2857">
        <v>9.6999999999999993</v>
      </c>
      <c r="AB2401" s="3150">
        <v>9.1999999999999993</v>
      </c>
      <c r="AC2401" s="2282">
        <v>9.1999999999999993</v>
      </c>
      <c r="AD2401" s="2857"/>
      <c r="AE2401" s="2857"/>
      <c r="AF2401" s="2857"/>
      <c r="AG2401" s="2857"/>
      <c r="AH2401" s="1942"/>
      <c r="AI2401" s="1942"/>
      <c r="AJ2401" s="1942"/>
      <c r="AK2401" s="1942"/>
      <c r="AL2401" s="1942"/>
      <c r="AM2401" s="1942"/>
      <c r="AN2401" s="1942"/>
      <c r="AO2401" s="1942"/>
      <c r="AP2401" s="1942"/>
      <c r="AQ2401" s="1942"/>
      <c r="AR2401" s="1942"/>
      <c r="AS2401" s="1942"/>
      <c r="AT2401" s="1942"/>
      <c r="AU2401" s="1942"/>
      <c r="AV2401" s="1942"/>
      <c r="AW2401" s="1942"/>
      <c r="AX2401" s="1942"/>
      <c r="AY2401" s="1942"/>
      <c r="AZ2401" s="1942"/>
      <c r="BA2401" s="1942"/>
      <c r="BB2401" s="575"/>
      <c r="BC2401" s="576"/>
      <c r="BD2401" s="678"/>
      <c r="BE2401" s="585"/>
    </row>
    <row r="2402" spans="1:57" s="51" customFormat="1" ht="15" hidden="1" customHeight="1" outlineLevel="1" x14ac:dyDescent="0.25">
      <c r="A2402" s="2060"/>
      <c r="B2402" s="123"/>
      <c r="C2402" s="328"/>
      <c r="D2402" s="3990"/>
      <c r="E2402" s="4009"/>
      <c r="F2402" s="3010" t="str">
        <f>$E$1487</f>
        <v>ASHP-SEER16-Replace_CAC_ElectricHeat_ROF_MF_CompE</v>
      </c>
      <c r="G2402" s="2676"/>
      <c r="H2402" s="2676"/>
      <c r="I2402" s="2677"/>
      <c r="J2402" s="3299" t="str">
        <f>$C$1487</f>
        <v>352951_2019_12_</v>
      </c>
      <c r="K2402" s="2282">
        <f>K2401</f>
        <v>9.1999999999999993</v>
      </c>
      <c r="L2402" s="851"/>
      <c r="M2402" s="2243" t="s">
        <v>1017</v>
      </c>
      <c r="N2402" s="123"/>
      <c r="O2402" s="228"/>
      <c r="P2402" s="844"/>
      <c r="Q2402" s="844"/>
      <c r="R2402" s="844"/>
      <c r="S2402" s="832"/>
      <c r="T2402" s="3082"/>
      <c r="U2402" s="123"/>
      <c r="V2402" s="3990"/>
      <c r="W2402" s="2857"/>
      <c r="X2402" s="2857"/>
      <c r="Y2402" s="3155">
        <v>9.6999999999999993</v>
      </c>
      <c r="Z2402" s="2857">
        <v>9.6999999999999993</v>
      </c>
      <c r="AA2402" s="2857">
        <v>9.6999999999999993</v>
      </c>
      <c r="AB2402" s="3150">
        <v>9.1999999999999993</v>
      </c>
      <c r="AC2402" s="2282">
        <f>AC2401</f>
        <v>9.1999999999999993</v>
      </c>
      <c r="AD2402" s="2857"/>
      <c r="AE2402" s="2857"/>
      <c r="AF2402" s="2857"/>
      <c r="AG2402" s="2857"/>
      <c r="AH2402" s="1942"/>
      <c r="AI2402" s="1942"/>
      <c r="AJ2402" s="1942"/>
      <c r="AK2402" s="1942"/>
      <c r="AL2402" s="1942"/>
      <c r="AM2402" s="1942"/>
      <c r="AN2402" s="1942"/>
      <c r="AO2402" s="1942"/>
      <c r="AP2402" s="1942"/>
      <c r="AQ2402" s="1942"/>
      <c r="AR2402" s="1942"/>
      <c r="AS2402" s="1942"/>
      <c r="AT2402" s="1942"/>
      <c r="AU2402" s="1942"/>
      <c r="AV2402" s="1942"/>
      <c r="AW2402" s="1942"/>
      <c r="AX2402" s="1942"/>
      <c r="AY2402" s="1942"/>
      <c r="AZ2402" s="1942"/>
      <c r="BA2402" s="1942"/>
      <c r="BB2402" s="575"/>
      <c r="BC2402" s="576"/>
      <c r="BD2402" s="678"/>
      <c r="BE2402" s="585"/>
    </row>
    <row r="2403" spans="1:57" s="1942" customFormat="1" ht="15" hidden="1" customHeight="1" outlineLevel="1" x14ac:dyDescent="0.25">
      <c r="A2403" s="2060"/>
      <c r="B2403" s="123"/>
      <c r="C2403" s="328"/>
      <c r="D2403" s="3990"/>
      <c r="E2403" s="4009"/>
      <c r="F2403" s="3010" t="str">
        <f>$E$1489</f>
        <v>ASHP-SEER16-Replace_CAC_NonElectricHeat_ROF_MF</v>
      </c>
      <c r="G2403" s="2676"/>
      <c r="H2403" s="2676"/>
      <c r="I2403" s="2677"/>
      <c r="J2403" s="3298" t="str">
        <f>$C$1489</f>
        <v>352960_2021_12_</v>
      </c>
      <c r="K2403" s="2228">
        <v>9.1999999999999993</v>
      </c>
      <c r="L2403" s="851"/>
      <c r="M2403" s="2723" t="s">
        <v>1125</v>
      </c>
      <c r="N2403" s="123"/>
      <c r="O2403" s="228"/>
      <c r="P2403" s="844"/>
      <c r="Q2403" s="844"/>
      <c r="R2403" s="844"/>
      <c r="S2403" s="832"/>
      <c r="T2403" s="3082"/>
      <c r="U2403" s="123"/>
      <c r="V2403" s="3990"/>
      <c r="W2403" s="2857"/>
      <c r="X2403" s="2857"/>
      <c r="Y2403" s="3155"/>
      <c r="Z2403" s="2857"/>
      <c r="AA2403" s="2857"/>
      <c r="AB2403" s="3150"/>
      <c r="AC2403" s="2228">
        <v>9.1999999999999993</v>
      </c>
      <c r="AD2403" s="2857"/>
      <c r="AE2403" s="2857"/>
      <c r="AF2403" s="2857"/>
      <c r="AG2403" s="2857"/>
      <c r="BB2403" s="575"/>
      <c r="BC2403" s="576"/>
      <c r="BD2403" s="678"/>
      <c r="BE2403" s="585"/>
    </row>
    <row r="2404" spans="1:57" s="1942" customFormat="1" ht="15" hidden="1" customHeight="1" outlineLevel="1" x14ac:dyDescent="0.25">
      <c r="A2404" s="2060"/>
      <c r="B2404" s="123"/>
      <c r="C2404" s="328"/>
      <c r="D2404" s="3990"/>
      <c r="E2404" s="4009"/>
      <c r="F2404" s="3010" t="str">
        <f>$E$1491</f>
        <v>ASHP-SEER16-Replace_CAC_NonElectricHeat_ROF_MF_CompE</v>
      </c>
      <c r="G2404" s="2676"/>
      <c r="H2404" s="2676"/>
      <c r="I2404" s="2677"/>
      <c r="J2404" s="3298" t="str">
        <f>$C$1491</f>
        <v>352961_2021_12_</v>
      </c>
      <c r="K2404" s="2228">
        <f>K2403</f>
        <v>9.1999999999999993</v>
      </c>
      <c r="L2404" s="851"/>
      <c r="M2404" s="2723" t="s">
        <v>1125</v>
      </c>
      <c r="N2404" s="123"/>
      <c r="O2404" s="228"/>
      <c r="P2404" s="844"/>
      <c r="Q2404" s="844"/>
      <c r="R2404" s="844"/>
      <c r="S2404" s="832"/>
      <c r="T2404" s="3082"/>
      <c r="U2404" s="123"/>
      <c r="V2404" s="3990"/>
      <c r="W2404" s="2857"/>
      <c r="X2404" s="2857"/>
      <c r="Y2404" s="3155"/>
      <c r="Z2404" s="2857"/>
      <c r="AA2404" s="2857"/>
      <c r="AB2404" s="3150"/>
      <c r="AC2404" s="2228">
        <f>AC2403</f>
        <v>9.1999999999999993</v>
      </c>
      <c r="AD2404" s="2857"/>
      <c r="AE2404" s="2857"/>
      <c r="AF2404" s="2857"/>
      <c r="AG2404" s="2857"/>
      <c r="BB2404" s="575"/>
      <c r="BC2404" s="576"/>
      <c r="BD2404" s="678"/>
      <c r="BE2404" s="585"/>
    </row>
    <row r="2405" spans="1:57" s="51" customFormat="1" ht="15" hidden="1" customHeight="1" outlineLevel="1" x14ac:dyDescent="0.25">
      <c r="A2405" s="2060"/>
      <c r="B2405" s="123"/>
      <c r="C2405" s="328"/>
      <c r="D2405" s="3990"/>
      <c r="E2405" s="4009"/>
      <c r="F2405" s="3010" t="str">
        <f>$E$1493</f>
        <v>ASHP-SEER16-Replace_CAC_ElectricHeat_ER1_MF</v>
      </c>
      <c r="G2405" s="2676"/>
      <c r="H2405" s="2676"/>
      <c r="I2405" s="2677"/>
      <c r="J2405" s="3298" t="str">
        <f>$C$1493</f>
        <v>353000_2021_12_</v>
      </c>
      <c r="K2405" s="2228">
        <v>9</v>
      </c>
      <c r="L2405" s="851"/>
      <c r="M2405" s="2723" t="s">
        <v>1551</v>
      </c>
      <c r="N2405" s="123"/>
      <c r="O2405" s="228"/>
      <c r="P2405" s="844"/>
      <c r="Q2405" s="844"/>
      <c r="R2405" s="844"/>
      <c r="S2405" s="832"/>
      <c r="T2405" s="3082"/>
      <c r="U2405" s="123"/>
      <c r="V2405" s="3990"/>
      <c r="W2405" s="2857">
        <v>9.4</v>
      </c>
      <c r="X2405" s="2857">
        <v>9.4</v>
      </c>
      <c r="Y2405" s="2857">
        <v>9.4</v>
      </c>
      <c r="Z2405" s="2857">
        <v>9.4</v>
      </c>
      <c r="AA2405" s="2857">
        <v>9.4</v>
      </c>
      <c r="AB2405" s="3150">
        <v>7.42</v>
      </c>
      <c r="AC2405" s="2228">
        <v>9</v>
      </c>
      <c r="AD2405" s="2857"/>
      <c r="AE2405" s="2857"/>
      <c r="AF2405" s="2857"/>
      <c r="AG2405" s="2857"/>
      <c r="AH2405" s="1942"/>
      <c r="AI2405" s="1942"/>
      <c r="AJ2405" s="1942"/>
      <c r="AK2405" s="1942"/>
      <c r="AL2405" s="1942"/>
      <c r="AM2405" s="1942"/>
      <c r="AN2405" s="1942"/>
      <c r="AO2405" s="1942"/>
      <c r="AP2405" s="1942"/>
      <c r="AQ2405" s="1942"/>
      <c r="AR2405" s="1942"/>
      <c r="AS2405" s="1942"/>
      <c r="AT2405" s="1942"/>
      <c r="AU2405" s="1942"/>
      <c r="AV2405" s="1942"/>
      <c r="AW2405" s="1942"/>
      <c r="AX2405" s="1942"/>
      <c r="AY2405" s="1942"/>
      <c r="AZ2405" s="1942"/>
      <c r="BA2405" s="1942"/>
      <c r="BB2405" s="575"/>
      <c r="BC2405" s="576"/>
      <c r="BD2405" s="678"/>
      <c r="BE2405" s="585"/>
    </row>
    <row r="2406" spans="1:57" s="51" customFormat="1" ht="15" hidden="1" customHeight="1" outlineLevel="1" x14ac:dyDescent="0.25">
      <c r="A2406" s="2060"/>
      <c r="B2406" s="123"/>
      <c r="C2406" s="328"/>
      <c r="D2406" s="3990"/>
      <c r="E2406" s="4009"/>
      <c r="F2406" s="3010" t="str">
        <f>$E$1495</f>
        <v>ASHP-SEER16-Replace_CAC_ElectricHeat_ER2_MF</v>
      </c>
      <c r="G2406" s="2676"/>
      <c r="H2406" s="2676"/>
      <c r="I2406" s="2677"/>
      <c r="J2406" s="3298" t="str">
        <f>$C$1495</f>
        <v>353000_2021_12_</v>
      </c>
      <c r="K2406" s="2228">
        <f>K2405</f>
        <v>9</v>
      </c>
      <c r="L2406" s="851"/>
      <c r="M2406" s="2723" t="s">
        <v>1551</v>
      </c>
      <c r="N2406" s="123"/>
      <c r="O2406" s="228"/>
      <c r="P2406" s="844"/>
      <c r="Q2406" s="844"/>
      <c r="R2406" s="844"/>
      <c r="S2406" s="832"/>
      <c r="T2406" s="3082"/>
      <c r="U2406" s="123"/>
      <c r="V2406" s="3990"/>
      <c r="W2406" s="2857">
        <v>9.4</v>
      </c>
      <c r="X2406" s="2857">
        <v>9.4</v>
      </c>
      <c r="Y2406" s="2857">
        <v>9.4</v>
      </c>
      <c r="Z2406" s="2857">
        <v>9.4</v>
      </c>
      <c r="AA2406" s="2857">
        <v>9.4</v>
      </c>
      <c r="AB2406" s="3150">
        <v>7.42</v>
      </c>
      <c r="AC2406" s="2228">
        <f>AC2405</f>
        <v>9</v>
      </c>
      <c r="AD2406" s="2857"/>
      <c r="AE2406" s="2857"/>
      <c r="AF2406" s="2857"/>
      <c r="AG2406" s="2857"/>
      <c r="AH2406" s="1942"/>
      <c r="AI2406" s="1942"/>
      <c r="AJ2406" s="1942"/>
      <c r="AK2406" s="1942"/>
      <c r="AL2406" s="1942"/>
      <c r="AM2406" s="1942"/>
      <c r="AN2406" s="1942"/>
      <c r="AO2406" s="1942"/>
      <c r="AP2406" s="1942"/>
      <c r="AQ2406" s="1942"/>
      <c r="AR2406" s="1942"/>
      <c r="AS2406" s="1942"/>
      <c r="AT2406" s="1942"/>
      <c r="AU2406" s="1942"/>
      <c r="AV2406" s="1942"/>
      <c r="AW2406" s="1942"/>
      <c r="AX2406" s="1942"/>
      <c r="AY2406" s="1942"/>
      <c r="AZ2406" s="1942"/>
      <c r="BA2406" s="1942"/>
      <c r="BB2406" s="575"/>
      <c r="BC2406" s="576"/>
      <c r="BD2406" s="678"/>
      <c r="BE2406" s="585"/>
    </row>
    <row r="2407" spans="1:57" s="51" customFormat="1" ht="15" hidden="1" customHeight="1" outlineLevel="1" x14ac:dyDescent="0.25">
      <c r="A2407" s="2060"/>
      <c r="B2407" s="123"/>
      <c r="C2407" s="328"/>
      <c r="D2407" s="3990"/>
      <c r="E2407" s="4009"/>
      <c r="F2407" s="3010" t="str">
        <f>$E$1497</f>
        <v>ASHP-SEER16-Replace_CAC_ElectricHeat_ER1_MF_CompE</v>
      </c>
      <c r="G2407" s="2676"/>
      <c r="H2407" s="2676"/>
      <c r="I2407" s="2677"/>
      <c r="J2407" s="3298" t="str">
        <f>$C$1497</f>
        <v>353001_2021_12_</v>
      </c>
      <c r="K2407" s="2228">
        <v>9</v>
      </c>
      <c r="L2407" s="851"/>
      <c r="M2407" s="2243" t="s">
        <v>1125</v>
      </c>
      <c r="N2407" s="123"/>
      <c r="O2407" s="228"/>
      <c r="P2407" s="844"/>
      <c r="Q2407" s="844"/>
      <c r="R2407" s="844"/>
      <c r="S2407" s="832"/>
      <c r="T2407" s="3082"/>
      <c r="U2407" s="123"/>
      <c r="V2407" s="3990"/>
      <c r="W2407" s="2857"/>
      <c r="X2407" s="2857"/>
      <c r="Y2407" s="3155">
        <v>9.4</v>
      </c>
      <c r="Z2407" s="2857">
        <v>9.4</v>
      </c>
      <c r="AA2407" s="2857">
        <v>9.4</v>
      </c>
      <c r="AB2407" s="3150">
        <v>7.42</v>
      </c>
      <c r="AC2407" s="2228">
        <v>9</v>
      </c>
      <c r="AD2407" s="2857"/>
      <c r="AE2407" s="2857"/>
      <c r="AF2407" s="2857"/>
      <c r="AG2407" s="2857"/>
      <c r="AH2407" s="1942"/>
      <c r="AI2407" s="1942"/>
      <c r="AJ2407" s="1942"/>
      <c r="AK2407" s="1942"/>
      <c r="AL2407" s="1942"/>
      <c r="AM2407" s="1942"/>
      <c r="AN2407" s="1942"/>
      <c r="AO2407" s="1942"/>
      <c r="AP2407" s="1942"/>
      <c r="AQ2407" s="1942"/>
      <c r="AR2407" s="1942"/>
      <c r="AS2407" s="1942"/>
      <c r="AT2407" s="1942"/>
      <c r="AU2407" s="1942"/>
      <c r="AV2407" s="1942"/>
      <c r="AW2407" s="1942"/>
      <c r="AX2407" s="1942"/>
      <c r="AY2407" s="1942"/>
      <c r="AZ2407" s="1942"/>
      <c r="BA2407" s="1942"/>
      <c r="BB2407" s="575"/>
      <c r="BC2407" s="576"/>
      <c r="BD2407" s="678"/>
      <c r="BE2407" s="585"/>
    </row>
    <row r="2408" spans="1:57" s="51" customFormat="1" ht="15" hidden="1" customHeight="1" outlineLevel="1" x14ac:dyDescent="0.25">
      <c r="A2408" s="2060"/>
      <c r="B2408" s="123"/>
      <c r="C2408" s="328"/>
      <c r="D2408" s="3990"/>
      <c r="E2408" s="4009"/>
      <c r="F2408" s="3010" t="str">
        <f>$E$1499</f>
        <v>ASHP-SEER16-Replace_CAC_ElectricHeat_ER2_MF_CompE</v>
      </c>
      <c r="G2408" s="2676"/>
      <c r="H2408" s="2676"/>
      <c r="I2408" s="2677"/>
      <c r="J2408" s="3298" t="str">
        <f>$C$1499</f>
        <v>353001_2021_12_</v>
      </c>
      <c r="K2408" s="2228">
        <v>9</v>
      </c>
      <c r="L2408" s="851"/>
      <c r="M2408" s="2243" t="s">
        <v>1125</v>
      </c>
      <c r="N2408" s="123"/>
      <c r="O2408" s="228"/>
      <c r="P2408" s="844"/>
      <c r="Q2408" s="844"/>
      <c r="R2408" s="844"/>
      <c r="S2408" s="832"/>
      <c r="T2408" s="3082"/>
      <c r="U2408" s="123"/>
      <c r="V2408" s="3990"/>
      <c r="W2408" s="2857"/>
      <c r="X2408" s="2857"/>
      <c r="Y2408" s="3155">
        <v>9.4</v>
      </c>
      <c r="Z2408" s="2857">
        <v>9.4</v>
      </c>
      <c r="AA2408" s="2857">
        <v>9.4</v>
      </c>
      <c r="AB2408" s="3150">
        <v>7.42</v>
      </c>
      <c r="AC2408" s="2228">
        <v>9</v>
      </c>
      <c r="AD2408" s="2857"/>
      <c r="AE2408" s="2857"/>
      <c r="AF2408" s="2857"/>
      <c r="AG2408" s="2857"/>
      <c r="AH2408" s="1942"/>
      <c r="AI2408" s="1942"/>
      <c r="AJ2408" s="1942"/>
      <c r="AK2408" s="1942"/>
      <c r="AL2408" s="1942"/>
      <c r="AM2408" s="1942"/>
      <c r="AN2408" s="1942"/>
      <c r="AO2408" s="1942"/>
      <c r="AP2408" s="1942"/>
      <c r="AQ2408" s="1942"/>
      <c r="AR2408" s="1942"/>
      <c r="AS2408" s="1942"/>
      <c r="AT2408" s="1942"/>
      <c r="AU2408" s="1942"/>
      <c r="AV2408" s="1942"/>
      <c r="AW2408" s="1942"/>
      <c r="AX2408" s="1942"/>
      <c r="AY2408" s="1942"/>
      <c r="AZ2408" s="1942"/>
      <c r="BA2408" s="1942"/>
      <c r="BB2408" s="575"/>
      <c r="BC2408" s="576"/>
      <c r="BD2408" s="678"/>
      <c r="BE2408" s="585"/>
    </row>
    <row r="2409" spans="1:57" s="1942" customFormat="1" ht="15" hidden="1" customHeight="1" outlineLevel="1" x14ac:dyDescent="0.25">
      <c r="A2409" s="2060"/>
      <c r="B2409" s="123"/>
      <c r="C2409" s="328"/>
      <c r="D2409" s="3990"/>
      <c r="E2409" s="4009"/>
      <c r="F2409" s="3010" t="str">
        <f>$E$1501</f>
        <v>ASHP-SEER16-Replace_CAC_NonElectricHeat_ER1_MF</v>
      </c>
      <c r="G2409" s="2676"/>
      <c r="H2409" s="2676"/>
      <c r="I2409" s="2677"/>
      <c r="J2409" s="3298" t="str">
        <f>$C$1501</f>
        <v>353010_2021_12_</v>
      </c>
      <c r="K2409" s="2228">
        <v>9</v>
      </c>
      <c r="L2409" s="851"/>
      <c r="M2409" s="2723" t="s">
        <v>1125</v>
      </c>
      <c r="N2409" s="123"/>
      <c r="O2409" s="228"/>
      <c r="P2409" s="844"/>
      <c r="Q2409" s="844"/>
      <c r="R2409" s="844"/>
      <c r="S2409" s="832"/>
      <c r="T2409" s="3082"/>
      <c r="U2409" s="123"/>
      <c r="V2409" s="3990"/>
      <c r="W2409" s="2857"/>
      <c r="X2409" s="2857"/>
      <c r="Y2409" s="3155"/>
      <c r="Z2409" s="2857"/>
      <c r="AA2409" s="2857"/>
      <c r="AB2409" s="3150"/>
      <c r="AC2409" s="2228">
        <v>9</v>
      </c>
      <c r="AD2409" s="2857"/>
      <c r="AE2409" s="2857"/>
      <c r="AF2409" s="2857"/>
      <c r="AG2409" s="2857"/>
      <c r="BB2409" s="575"/>
      <c r="BC2409" s="576"/>
      <c r="BD2409" s="678"/>
      <c r="BE2409" s="585"/>
    </row>
    <row r="2410" spans="1:57" s="1942" customFormat="1" ht="15" hidden="1" customHeight="1" outlineLevel="1" x14ac:dyDescent="0.25">
      <c r="A2410" s="2060"/>
      <c r="B2410" s="123"/>
      <c r="C2410" s="328"/>
      <c r="D2410" s="3990"/>
      <c r="E2410" s="4009"/>
      <c r="F2410" s="3010" t="str">
        <f>$E$1503</f>
        <v>ASHP-SEER16-Replace_CAC_NonElectricHeat_ER2_MF</v>
      </c>
      <c r="G2410" s="2676"/>
      <c r="H2410" s="2676"/>
      <c r="I2410" s="2677"/>
      <c r="J2410" s="3298" t="str">
        <f>$C$1503</f>
        <v>353010_2021_12_</v>
      </c>
      <c r="K2410" s="2228">
        <f>K2409</f>
        <v>9</v>
      </c>
      <c r="L2410" s="851"/>
      <c r="M2410" s="2723" t="s">
        <v>1125</v>
      </c>
      <c r="N2410" s="123"/>
      <c r="O2410" s="228"/>
      <c r="P2410" s="844"/>
      <c r="Q2410" s="844"/>
      <c r="R2410" s="844"/>
      <c r="S2410" s="832"/>
      <c r="T2410" s="3082"/>
      <c r="U2410" s="123"/>
      <c r="V2410" s="3990"/>
      <c r="W2410" s="2857"/>
      <c r="X2410" s="2857"/>
      <c r="Y2410" s="3155"/>
      <c r="Z2410" s="2857"/>
      <c r="AA2410" s="2857"/>
      <c r="AB2410" s="3150"/>
      <c r="AC2410" s="2228">
        <f>AC2409</f>
        <v>9</v>
      </c>
      <c r="AD2410" s="2857"/>
      <c r="AE2410" s="2857"/>
      <c r="AF2410" s="2857"/>
      <c r="AG2410" s="2857"/>
      <c r="BB2410" s="575"/>
      <c r="BC2410" s="576"/>
      <c r="BD2410" s="678"/>
      <c r="BE2410" s="585"/>
    </row>
    <row r="2411" spans="1:57" s="1942" customFormat="1" ht="15" hidden="1" customHeight="1" outlineLevel="1" x14ac:dyDescent="0.25">
      <c r="A2411" s="2060"/>
      <c r="B2411" s="123"/>
      <c r="C2411" s="328"/>
      <c r="D2411" s="3990"/>
      <c r="E2411" s="4009"/>
      <c r="F2411" s="3010" t="str">
        <f>$E$1505</f>
        <v>ASHP-SEER16-Replace_CAC_NonElectricHeat_ER1_MF_CompE</v>
      </c>
      <c r="G2411" s="2676"/>
      <c r="H2411" s="2676"/>
      <c r="I2411" s="2677"/>
      <c r="J2411" s="3298" t="str">
        <f>$C$1505</f>
        <v>353011_2021_12_</v>
      </c>
      <c r="K2411" s="2228">
        <v>9</v>
      </c>
      <c r="L2411" s="851"/>
      <c r="M2411" s="2723" t="s">
        <v>1125</v>
      </c>
      <c r="N2411" s="123"/>
      <c r="O2411" s="228"/>
      <c r="P2411" s="844"/>
      <c r="Q2411" s="844"/>
      <c r="R2411" s="844"/>
      <c r="S2411" s="832"/>
      <c r="T2411" s="3082"/>
      <c r="U2411" s="123"/>
      <c r="V2411" s="3990"/>
      <c r="W2411" s="2857"/>
      <c r="X2411" s="2857"/>
      <c r="Y2411" s="3155"/>
      <c r="Z2411" s="2857"/>
      <c r="AA2411" s="2857"/>
      <c r="AB2411" s="3150"/>
      <c r="AC2411" s="2228">
        <v>9</v>
      </c>
      <c r="AD2411" s="2857"/>
      <c r="AE2411" s="2857"/>
      <c r="AF2411" s="2857"/>
      <c r="AG2411" s="2857"/>
      <c r="BB2411" s="575"/>
      <c r="BC2411" s="576"/>
      <c r="BD2411" s="678"/>
      <c r="BE2411" s="585"/>
    </row>
    <row r="2412" spans="1:57" s="1942" customFormat="1" ht="15" hidden="1" customHeight="1" outlineLevel="1" x14ac:dyDescent="0.25">
      <c r="A2412" s="2060"/>
      <c r="B2412" s="123"/>
      <c r="C2412" s="328"/>
      <c r="D2412" s="3990"/>
      <c r="E2412" s="4009"/>
      <c r="F2412" s="3010" t="str">
        <f>$E$1507</f>
        <v>ASHP-SEER16-Replace_CAC_NonElectricHeat_ER2_MF_CompE</v>
      </c>
      <c r="G2412" s="2676"/>
      <c r="H2412" s="2676"/>
      <c r="I2412" s="2677"/>
      <c r="J2412" s="3298" t="str">
        <f>$C$1507</f>
        <v>353011_2021_12_</v>
      </c>
      <c r="K2412" s="2228">
        <v>9</v>
      </c>
      <c r="L2412" s="851"/>
      <c r="M2412" s="2723" t="s">
        <v>1125</v>
      </c>
      <c r="N2412" s="123"/>
      <c r="O2412" s="228"/>
      <c r="P2412" s="844"/>
      <c r="Q2412" s="844"/>
      <c r="R2412" s="844"/>
      <c r="S2412" s="832"/>
      <c r="T2412" s="3082"/>
      <c r="U2412" s="123"/>
      <c r="V2412" s="3990"/>
      <c r="W2412" s="2857"/>
      <c r="X2412" s="2857"/>
      <c r="Y2412" s="3155"/>
      <c r="Z2412" s="2857"/>
      <c r="AA2412" s="2857"/>
      <c r="AB2412" s="3150"/>
      <c r="AC2412" s="2228">
        <v>9</v>
      </c>
      <c r="AD2412" s="2857"/>
      <c r="AE2412" s="2857"/>
      <c r="AF2412" s="2857"/>
      <c r="AG2412" s="2857"/>
      <c r="BB2412" s="575"/>
      <c r="BC2412" s="576"/>
      <c r="BD2412" s="678"/>
      <c r="BE2412" s="585"/>
    </row>
    <row r="2413" spans="1:57" s="51" customFormat="1" ht="15" hidden="1" customHeight="1" outlineLevel="1" x14ac:dyDescent="0.25">
      <c r="A2413" s="2060"/>
      <c r="B2413" s="123"/>
      <c r="C2413" s="328"/>
      <c r="D2413" s="3990"/>
      <c r="E2413" s="4009"/>
      <c r="F2413" s="3011" t="str">
        <f>$E$1509</f>
        <v>ASHP-SEER15_ROF_MF</v>
      </c>
      <c r="G2413" s="2678"/>
      <c r="H2413" s="2678"/>
      <c r="I2413" s="2679"/>
      <c r="J2413" s="3298" t="str">
        <f>$C$1509</f>
        <v>353050_2021_12_</v>
      </c>
      <c r="K2413" s="2228">
        <v>9</v>
      </c>
      <c r="L2413" s="851"/>
      <c r="M2413" s="2723" t="s">
        <v>1554</v>
      </c>
      <c r="N2413" s="123"/>
      <c r="O2413" s="228"/>
      <c r="P2413" s="844"/>
      <c r="Q2413" s="844"/>
      <c r="R2413" s="844"/>
      <c r="S2413" s="832"/>
      <c r="T2413" s="3082"/>
      <c r="U2413" s="123"/>
      <c r="V2413" s="3990"/>
      <c r="W2413" s="2857">
        <v>8.6999999999999993</v>
      </c>
      <c r="X2413" s="2857">
        <v>8.6999999999999993</v>
      </c>
      <c r="Y2413" s="2857">
        <v>8.6999999999999993</v>
      </c>
      <c r="Z2413" s="2857">
        <v>8.6999999999999993</v>
      </c>
      <c r="AA2413" s="2857">
        <v>8.6999999999999993</v>
      </c>
      <c r="AB2413" s="2855">
        <v>8.6999999999999993</v>
      </c>
      <c r="AC2413" s="2228">
        <v>9</v>
      </c>
      <c r="AD2413" s="2857"/>
      <c r="AE2413" s="2857"/>
      <c r="AF2413" s="2857"/>
      <c r="AG2413" s="2857"/>
      <c r="AH2413" s="1942"/>
      <c r="AI2413" s="1942"/>
      <c r="AJ2413" s="1942"/>
      <c r="AK2413" s="1942"/>
      <c r="AL2413" s="1942"/>
      <c r="AM2413" s="1942"/>
      <c r="AN2413" s="1942"/>
      <c r="AO2413" s="1942"/>
      <c r="AP2413" s="1942"/>
      <c r="AQ2413" s="1942"/>
      <c r="AR2413" s="1942"/>
      <c r="AS2413" s="1942"/>
      <c r="AT2413" s="1942"/>
      <c r="AU2413" s="1942"/>
      <c r="AV2413" s="1942"/>
      <c r="AW2413" s="1942"/>
      <c r="AX2413" s="1942"/>
      <c r="AY2413" s="1942"/>
      <c r="AZ2413" s="1942"/>
      <c r="BA2413" s="1942"/>
      <c r="BB2413" s="575"/>
      <c r="BC2413" s="576"/>
      <c r="BD2413" s="678"/>
      <c r="BE2413" s="585"/>
    </row>
    <row r="2414" spans="1:57" s="51" customFormat="1" ht="15" hidden="1" customHeight="1" outlineLevel="1" x14ac:dyDescent="0.25">
      <c r="A2414" s="2060"/>
      <c r="B2414" s="123"/>
      <c r="C2414" s="328"/>
      <c r="D2414" s="3990"/>
      <c r="E2414" s="4009"/>
      <c r="F2414" s="3011" t="str">
        <f>$E$1511</f>
        <v>ASHP-SEER15_ROF_MF_CompE</v>
      </c>
      <c r="G2414" s="2678"/>
      <c r="H2414" s="2678"/>
      <c r="I2414" s="2679"/>
      <c r="J2414" s="3298" t="str">
        <f>$C$1511</f>
        <v>353051_2021_12_</v>
      </c>
      <c r="K2414" s="2228">
        <v>9</v>
      </c>
      <c r="L2414" s="851"/>
      <c r="M2414" s="2731" t="s">
        <v>1125</v>
      </c>
      <c r="N2414" s="123"/>
      <c r="O2414" s="228"/>
      <c r="P2414" s="844"/>
      <c r="Q2414" s="844"/>
      <c r="R2414" s="844"/>
      <c r="S2414" s="832"/>
      <c r="T2414" s="3082"/>
      <c r="U2414" s="123"/>
      <c r="V2414" s="3990"/>
      <c r="W2414" s="2857"/>
      <c r="X2414" s="2857"/>
      <c r="Y2414" s="3155">
        <v>8.6999999999999993</v>
      </c>
      <c r="Z2414" s="2857">
        <v>8.6999999999999993</v>
      </c>
      <c r="AA2414" s="2857">
        <v>8.6999999999999993</v>
      </c>
      <c r="AB2414" s="2855">
        <v>8.6999999999999993</v>
      </c>
      <c r="AC2414" s="2228">
        <v>9</v>
      </c>
      <c r="AD2414" s="2857"/>
      <c r="AE2414" s="2857"/>
      <c r="AF2414" s="2857"/>
      <c r="AG2414" s="2857"/>
      <c r="AH2414" s="1942"/>
      <c r="AI2414" s="1942"/>
      <c r="AJ2414" s="1942"/>
      <c r="AK2414" s="1942"/>
      <c r="AL2414" s="1942"/>
      <c r="AM2414" s="1942"/>
      <c r="AN2414" s="1942"/>
      <c r="AO2414" s="1942"/>
      <c r="AP2414" s="1942"/>
      <c r="AQ2414" s="1942"/>
      <c r="AR2414" s="1942"/>
      <c r="AS2414" s="1942"/>
      <c r="AT2414" s="1942"/>
      <c r="AU2414" s="1942"/>
      <c r="AV2414" s="1942"/>
      <c r="AW2414" s="1942"/>
      <c r="AX2414" s="1942"/>
      <c r="AY2414" s="1942"/>
      <c r="AZ2414" s="1942"/>
      <c r="BA2414" s="1942"/>
      <c r="BB2414" s="575"/>
      <c r="BC2414" s="576"/>
      <c r="BD2414" s="678"/>
      <c r="BE2414" s="585"/>
    </row>
    <row r="2415" spans="1:57" s="51" customFormat="1" ht="15" hidden="1" customHeight="1" outlineLevel="1" x14ac:dyDescent="0.25">
      <c r="A2415" s="2060"/>
      <c r="B2415" s="123"/>
      <c r="C2415" s="328"/>
      <c r="D2415" s="3990"/>
      <c r="E2415" s="4009"/>
      <c r="F2415" s="3010" t="str">
        <f>$E$1513</f>
        <v>ASHP-SEER17-Replace_CAC_ElectricHeat_ROF_SF</v>
      </c>
      <c r="G2415" s="2676"/>
      <c r="H2415" s="2676"/>
      <c r="I2415" s="2677"/>
      <c r="J2415" s="3298" t="str">
        <f>$C$1513</f>
        <v>353100_2021_12_</v>
      </c>
      <c r="K2415" s="2228">
        <v>9.5</v>
      </c>
      <c r="L2415" s="851"/>
      <c r="M2415" s="2728" t="s">
        <v>1555</v>
      </c>
      <c r="N2415" s="123"/>
      <c r="O2415" s="228"/>
      <c r="P2415" s="844"/>
      <c r="Q2415" s="844"/>
      <c r="R2415" s="844"/>
      <c r="S2415" s="832"/>
      <c r="T2415" s="3082"/>
      <c r="U2415" s="123"/>
      <c r="V2415" s="3990"/>
      <c r="W2415" s="2857">
        <v>9.6999999999999993</v>
      </c>
      <c r="X2415" s="2857">
        <v>9.6999999999999993</v>
      </c>
      <c r="Y2415" s="2857">
        <v>9.6999999999999993</v>
      </c>
      <c r="Z2415" s="2857">
        <v>9.6999999999999993</v>
      </c>
      <c r="AA2415" s="2857">
        <v>9.6999999999999993</v>
      </c>
      <c r="AB2415" s="2855">
        <v>9.6999999999999993</v>
      </c>
      <c r="AC2415" s="2228">
        <v>9.5</v>
      </c>
      <c r="AD2415" s="2857"/>
      <c r="AE2415" s="2857"/>
      <c r="AF2415" s="2857"/>
      <c r="AG2415" s="2857"/>
      <c r="AH2415" s="1942"/>
      <c r="AI2415" s="1942"/>
      <c r="AJ2415" s="1942"/>
      <c r="AK2415" s="1942"/>
      <c r="AL2415" s="1942"/>
      <c r="AM2415" s="1942"/>
      <c r="AN2415" s="1942"/>
      <c r="AO2415" s="1942"/>
      <c r="AP2415" s="1942"/>
      <c r="AQ2415" s="1942"/>
      <c r="AR2415" s="1942"/>
      <c r="AS2415" s="1942"/>
      <c r="AT2415" s="1942"/>
      <c r="AU2415" s="1942"/>
      <c r="AV2415" s="1942"/>
      <c r="AW2415" s="1942"/>
      <c r="AX2415" s="1942"/>
      <c r="AY2415" s="1942"/>
      <c r="AZ2415" s="1942"/>
      <c r="BA2415" s="1942"/>
      <c r="BB2415" s="575"/>
      <c r="BC2415" s="576"/>
      <c r="BD2415" s="678"/>
      <c r="BE2415" s="585"/>
    </row>
    <row r="2416" spans="1:57" s="51" customFormat="1" ht="15" hidden="1" customHeight="1" outlineLevel="1" x14ac:dyDescent="0.25">
      <c r="A2416" s="2060"/>
      <c r="B2416" s="123"/>
      <c r="C2416" s="328"/>
      <c r="D2416" s="3990"/>
      <c r="E2416" s="4009"/>
      <c r="F2416" s="3010" t="str">
        <f>$E$1515</f>
        <v>ASHP-SEER17-Replace_CAC_ElectricHeat_ROF_MF</v>
      </c>
      <c r="G2416" s="2676"/>
      <c r="H2416" s="2676"/>
      <c r="I2416" s="2677"/>
      <c r="J2416" s="3299" t="str">
        <f>$C$1515</f>
        <v>353150_2019_12_</v>
      </c>
      <c r="K2416" s="2282">
        <v>9.6999999999999993</v>
      </c>
      <c r="L2416" s="851"/>
      <c r="M2416" s="2278" t="s">
        <v>1556</v>
      </c>
      <c r="N2416" s="123"/>
      <c r="O2416" s="228"/>
      <c r="P2416" s="844"/>
      <c r="Q2416" s="844"/>
      <c r="R2416" s="844"/>
      <c r="S2416" s="832"/>
      <c r="T2416" s="3082"/>
      <c r="U2416" s="123"/>
      <c r="V2416" s="3990"/>
      <c r="W2416" s="2857">
        <v>9.6999999999999993</v>
      </c>
      <c r="X2416" s="2857">
        <v>9.6999999999999993</v>
      </c>
      <c r="Y2416" s="2857">
        <v>9.6999999999999993</v>
      </c>
      <c r="Z2416" s="2857">
        <v>9.6999999999999993</v>
      </c>
      <c r="AA2416" s="2857">
        <v>9.6999999999999993</v>
      </c>
      <c r="AB2416" s="2855">
        <v>9.6999999999999993</v>
      </c>
      <c r="AC2416" s="2282">
        <v>9.6999999999999993</v>
      </c>
      <c r="AD2416" s="2857"/>
      <c r="AE2416" s="2857"/>
      <c r="AF2416" s="2857"/>
      <c r="AG2416" s="2857"/>
      <c r="AH2416" s="1942"/>
      <c r="AI2416" s="1942"/>
      <c r="AJ2416" s="1942"/>
      <c r="AK2416" s="1942"/>
      <c r="AL2416" s="1942"/>
      <c r="AM2416" s="1942"/>
      <c r="AN2416" s="1942"/>
      <c r="AO2416" s="1942"/>
      <c r="AP2416" s="1942"/>
      <c r="AQ2416" s="1942"/>
      <c r="AR2416" s="1942"/>
      <c r="AS2416" s="1942"/>
      <c r="AT2416" s="1942"/>
      <c r="AU2416" s="1942"/>
      <c r="AV2416" s="1942"/>
      <c r="AW2416" s="1942"/>
      <c r="AX2416" s="1942"/>
      <c r="AY2416" s="1942"/>
      <c r="AZ2416" s="1942"/>
      <c r="BA2416" s="1942"/>
      <c r="BB2416" s="575"/>
      <c r="BC2416" s="576"/>
      <c r="BD2416" s="678"/>
      <c r="BE2416" s="585"/>
    </row>
    <row r="2417" spans="1:57" s="51" customFormat="1" ht="15" hidden="1" customHeight="1" outlineLevel="1" x14ac:dyDescent="0.25">
      <c r="A2417" s="2060"/>
      <c r="B2417" s="123"/>
      <c r="C2417" s="328"/>
      <c r="D2417" s="3990"/>
      <c r="E2417" s="4009"/>
      <c r="F2417" s="3010" t="str">
        <f>$E$1517</f>
        <v>ASHP-SEER17-Replace_CAC_ElectricHeat_ROF_MF_CompE</v>
      </c>
      <c r="G2417" s="2676"/>
      <c r="H2417" s="2676"/>
      <c r="I2417" s="2677"/>
      <c r="J2417" s="3299" t="str">
        <f>$C$1517</f>
        <v>353151_2019_12_</v>
      </c>
      <c r="K2417" s="2282">
        <v>9.6999999999999993</v>
      </c>
      <c r="L2417" s="851"/>
      <c r="M2417" s="2723" t="s">
        <v>1125</v>
      </c>
      <c r="N2417" s="123"/>
      <c r="O2417" s="228"/>
      <c r="P2417" s="844"/>
      <c r="Q2417" s="844"/>
      <c r="R2417" s="844"/>
      <c r="S2417" s="832"/>
      <c r="T2417" s="3082"/>
      <c r="U2417" s="123"/>
      <c r="V2417" s="3990"/>
      <c r="W2417" s="2857"/>
      <c r="X2417" s="2857"/>
      <c r="Y2417" s="3155">
        <v>9.6999999999999993</v>
      </c>
      <c r="Z2417" s="2857">
        <v>9.6999999999999993</v>
      </c>
      <c r="AA2417" s="2857">
        <v>9.6999999999999993</v>
      </c>
      <c r="AB2417" s="2855">
        <v>9.6999999999999993</v>
      </c>
      <c r="AC2417" s="2282">
        <v>9.6999999999999993</v>
      </c>
      <c r="AD2417" s="2857"/>
      <c r="AE2417" s="2857"/>
      <c r="AF2417" s="2857"/>
      <c r="AG2417" s="2857"/>
      <c r="AH2417" s="1942"/>
      <c r="AI2417" s="1942"/>
      <c r="AJ2417" s="1942"/>
      <c r="AK2417" s="1942"/>
      <c r="AL2417" s="1942"/>
      <c r="AM2417" s="1942"/>
      <c r="AN2417" s="1942"/>
      <c r="AO2417" s="1942"/>
      <c r="AP2417" s="1942"/>
      <c r="AQ2417" s="1942"/>
      <c r="AR2417" s="1942"/>
      <c r="AS2417" s="1942"/>
      <c r="AT2417" s="1942"/>
      <c r="AU2417" s="1942"/>
      <c r="AV2417" s="1942"/>
      <c r="AW2417" s="1942"/>
      <c r="AX2417" s="1942"/>
      <c r="AY2417" s="1942"/>
      <c r="AZ2417" s="1942"/>
      <c r="BA2417" s="1942"/>
      <c r="BB2417" s="575"/>
      <c r="BC2417" s="576"/>
      <c r="BD2417" s="678"/>
      <c r="BE2417" s="585"/>
    </row>
    <row r="2418" spans="1:57" s="1942" customFormat="1" ht="15" hidden="1" customHeight="1" outlineLevel="1" x14ac:dyDescent="0.25">
      <c r="A2418" s="2060"/>
      <c r="B2418" s="123"/>
      <c r="C2418" s="328"/>
      <c r="D2418" s="3990"/>
      <c r="E2418" s="4009"/>
      <c r="F2418" s="3010" t="str">
        <f>$E$1519</f>
        <v>ASHP-SEER17-Replace_CAC_NonElectricHeat_ROF_MF</v>
      </c>
      <c r="G2418" s="2676"/>
      <c r="H2418" s="2676"/>
      <c r="I2418" s="2677"/>
      <c r="J2418" s="3298" t="str">
        <f>$C$1519</f>
        <v>353160_2021_12_</v>
      </c>
      <c r="K2418" s="2228">
        <v>9.6999999999999993</v>
      </c>
      <c r="L2418" s="851"/>
      <c r="M2418" s="2723" t="s">
        <v>1125</v>
      </c>
      <c r="N2418" s="123"/>
      <c r="O2418" s="228"/>
      <c r="P2418" s="844"/>
      <c r="Q2418" s="844"/>
      <c r="R2418" s="844"/>
      <c r="S2418" s="832"/>
      <c r="T2418" s="3082"/>
      <c r="U2418" s="123"/>
      <c r="V2418" s="3990"/>
      <c r="W2418" s="2857"/>
      <c r="X2418" s="2857"/>
      <c r="Y2418" s="3155"/>
      <c r="Z2418" s="2857"/>
      <c r="AA2418" s="2857"/>
      <c r="AB2418" s="2855"/>
      <c r="AC2418" s="2228">
        <v>9.6999999999999993</v>
      </c>
      <c r="AD2418" s="2857"/>
      <c r="AE2418" s="2857"/>
      <c r="AF2418" s="2857"/>
      <c r="AG2418" s="2857"/>
      <c r="BB2418" s="575"/>
      <c r="BC2418" s="576"/>
      <c r="BD2418" s="678"/>
      <c r="BE2418" s="585"/>
    </row>
    <row r="2419" spans="1:57" s="1942" customFormat="1" ht="15" hidden="1" customHeight="1" outlineLevel="1" x14ac:dyDescent="0.25">
      <c r="A2419" s="2060"/>
      <c r="B2419" s="123"/>
      <c r="C2419" s="328"/>
      <c r="D2419" s="3990"/>
      <c r="E2419" s="4009"/>
      <c r="F2419" s="3010" t="str">
        <f>$E$1521</f>
        <v>ASHP-SEER17-Replace_CAC_NonElectricHeat_ROF_MF_CompE</v>
      </c>
      <c r="G2419" s="2676"/>
      <c r="H2419" s="2676"/>
      <c r="I2419" s="2677"/>
      <c r="J2419" s="3298" t="str">
        <f>$C$1521</f>
        <v>353161_2021_12_</v>
      </c>
      <c r="K2419" s="2228">
        <v>9.6999999999999993</v>
      </c>
      <c r="L2419" s="851"/>
      <c r="M2419" s="2723" t="s">
        <v>1125</v>
      </c>
      <c r="N2419" s="123"/>
      <c r="O2419" s="228"/>
      <c r="P2419" s="844"/>
      <c r="Q2419" s="844"/>
      <c r="R2419" s="844"/>
      <c r="S2419" s="832"/>
      <c r="T2419" s="3082"/>
      <c r="U2419" s="123"/>
      <c r="V2419" s="3990"/>
      <c r="W2419" s="2857"/>
      <c r="X2419" s="2857"/>
      <c r="Y2419" s="3155"/>
      <c r="Z2419" s="2857"/>
      <c r="AA2419" s="2857"/>
      <c r="AB2419" s="2855"/>
      <c r="AC2419" s="2228">
        <v>9.6999999999999993</v>
      </c>
      <c r="AD2419" s="2857"/>
      <c r="AE2419" s="2857"/>
      <c r="AF2419" s="2857"/>
      <c r="AG2419" s="2857"/>
      <c r="BB2419" s="575"/>
      <c r="BC2419" s="576"/>
      <c r="BD2419" s="678"/>
      <c r="BE2419" s="585"/>
    </row>
    <row r="2420" spans="1:57" s="51" customFormat="1" ht="15" hidden="1" customHeight="1" outlineLevel="1" x14ac:dyDescent="0.25">
      <c r="A2420" s="2060"/>
      <c r="B2420" s="123"/>
      <c r="C2420" s="328"/>
      <c r="D2420" s="3990"/>
      <c r="E2420" s="4009"/>
      <c r="F2420" s="3010" t="str">
        <f>$E$1523</f>
        <v>ASHP-SEER18-Replace_CAC_ElectricHeat_ROF_SF</v>
      </c>
      <c r="G2420" s="2676"/>
      <c r="H2420" s="2676"/>
      <c r="I2420" s="2677"/>
      <c r="J2420" s="3298" t="str">
        <f>$C$1523</f>
        <v>353200_2021_12_</v>
      </c>
      <c r="K2420" s="2228">
        <v>9.7852941176470605</v>
      </c>
      <c r="L2420" s="851"/>
      <c r="M2420" s="2723" t="s">
        <v>1551</v>
      </c>
      <c r="N2420" s="123"/>
      <c r="O2420" s="228"/>
      <c r="P2420" s="844"/>
      <c r="Q2420" s="844"/>
      <c r="R2420" s="844"/>
      <c r="S2420" s="832"/>
      <c r="T2420" s="3082"/>
      <c r="U2420" s="123"/>
      <c r="V2420" s="3990"/>
      <c r="W2420" s="2857">
        <v>9.6999999999999993</v>
      </c>
      <c r="X2420" s="2857">
        <v>9.6999999999999993</v>
      </c>
      <c r="Y2420" s="2857">
        <v>9.6999999999999993</v>
      </c>
      <c r="Z2420" s="2857">
        <v>9.6999999999999993</v>
      </c>
      <c r="AA2420" s="2857">
        <v>9.6999999999999993</v>
      </c>
      <c r="AB2420" s="3150">
        <v>10.5</v>
      </c>
      <c r="AC2420" s="2228">
        <v>9.7852941176470605</v>
      </c>
      <c r="AD2420" s="2857"/>
      <c r="AE2420" s="2857"/>
      <c r="AF2420" s="2857"/>
      <c r="AG2420" s="2857"/>
      <c r="AH2420" s="1942"/>
      <c r="AI2420" s="1942"/>
      <c r="AJ2420" s="1942"/>
      <c r="AK2420" s="1942"/>
      <c r="AL2420" s="1942"/>
      <c r="AM2420" s="1942"/>
      <c r="AN2420" s="1942"/>
      <c r="AO2420" s="1942"/>
      <c r="AP2420" s="1942"/>
      <c r="AQ2420" s="1942"/>
      <c r="AR2420" s="1942"/>
      <c r="AS2420" s="1942"/>
      <c r="AT2420" s="1942"/>
      <c r="AU2420" s="1942"/>
      <c r="AV2420" s="1942"/>
      <c r="AW2420" s="1942"/>
      <c r="AX2420" s="1942"/>
      <c r="AY2420" s="1942"/>
      <c r="AZ2420" s="1942"/>
      <c r="BA2420" s="1942"/>
      <c r="BB2420" s="575"/>
      <c r="BC2420" s="576"/>
      <c r="BD2420" s="678"/>
      <c r="BE2420" s="585"/>
    </row>
    <row r="2421" spans="1:57" s="51" customFormat="1" ht="15" hidden="1" customHeight="1" outlineLevel="1" x14ac:dyDescent="0.25">
      <c r="A2421" s="2060"/>
      <c r="B2421" s="123"/>
      <c r="C2421" s="328"/>
      <c r="D2421" s="3990"/>
      <c r="E2421" s="4009"/>
      <c r="F2421" s="3010" t="str">
        <f>$E$1525</f>
        <v>ASHP-SEER18-Replace_CAC_ElectricHeat_ROF_MF</v>
      </c>
      <c r="G2421" s="2676"/>
      <c r="H2421" s="2676"/>
      <c r="I2421" s="2677"/>
      <c r="J2421" s="3298" t="str">
        <f>$C$1525</f>
        <v>353250_2021_12_</v>
      </c>
      <c r="K2421" s="2228">
        <v>9.5</v>
      </c>
      <c r="L2421" s="851"/>
      <c r="M2421" s="2723" t="s">
        <v>1551</v>
      </c>
      <c r="N2421" s="123"/>
      <c r="O2421" s="228"/>
      <c r="P2421" s="844"/>
      <c r="Q2421" s="844"/>
      <c r="R2421" s="844"/>
      <c r="S2421" s="832"/>
      <c r="T2421" s="3082"/>
      <c r="U2421" s="123"/>
      <c r="V2421" s="3990"/>
      <c r="W2421" s="2857">
        <v>9.6999999999999993</v>
      </c>
      <c r="X2421" s="2857">
        <v>9.6999999999999993</v>
      </c>
      <c r="Y2421" s="2857">
        <v>9.6999999999999993</v>
      </c>
      <c r="Z2421" s="2857">
        <v>9.6999999999999993</v>
      </c>
      <c r="AA2421" s="2857">
        <v>9.6999999999999993</v>
      </c>
      <c r="AB2421" s="3150">
        <v>10</v>
      </c>
      <c r="AC2421" s="2228">
        <v>9.5</v>
      </c>
      <c r="AD2421" s="2857"/>
      <c r="AE2421" s="2857"/>
      <c r="AF2421" s="2857"/>
      <c r="AG2421" s="2857"/>
      <c r="AH2421" s="1942"/>
      <c r="AI2421" s="1942"/>
      <c r="AJ2421" s="1942"/>
      <c r="AK2421" s="1942"/>
      <c r="AL2421" s="1942"/>
      <c r="AM2421" s="1942"/>
      <c r="AN2421" s="1942"/>
      <c r="AO2421" s="1942"/>
      <c r="AP2421" s="1942"/>
      <c r="AQ2421" s="1942"/>
      <c r="AR2421" s="1942"/>
      <c r="AS2421" s="1942"/>
      <c r="AT2421" s="1942"/>
      <c r="AU2421" s="1942"/>
      <c r="AV2421" s="1942"/>
      <c r="AW2421" s="1942"/>
      <c r="AX2421" s="1942"/>
      <c r="AY2421" s="1942"/>
      <c r="AZ2421" s="1942"/>
      <c r="BA2421" s="1942"/>
      <c r="BB2421" s="575"/>
      <c r="BC2421" s="576"/>
      <c r="BD2421" s="678"/>
      <c r="BE2421" s="585"/>
    </row>
    <row r="2422" spans="1:57" s="51" customFormat="1" ht="15" hidden="1" customHeight="1" outlineLevel="1" x14ac:dyDescent="0.25">
      <c r="A2422" s="2060"/>
      <c r="B2422" s="123"/>
      <c r="C2422" s="328"/>
      <c r="D2422" s="3990"/>
      <c r="E2422" s="4009"/>
      <c r="F2422" s="3010" t="str">
        <f>$E$1527</f>
        <v>ASHP-SEER18-Replace_CAC_ElectricHeat_ROF_MF_CompE</v>
      </c>
      <c r="G2422" s="2676"/>
      <c r="H2422" s="2676"/>
      <c r="I2422" s="2677"/>
      <c r="J2422" s="3298" t="str">
        <f>$C$1527</f>
        <v>353251_2021_12_</v>
      </c>
      <c r="K2422" s="2228">
        <v>9.5</v>
      </c>
      <c r="L2422" s="851"/>
      <c r="M2422" s="2243" t="s">
        <v>1125</v>
      </c>
      <c r="N2422" s="123"/>
      <c r="O2422" s="228"/>
      <c r="P2422" s="844"/>
      <c r="Q2422" s="844"/>
      <c r="R2422" s="844"/>
      <c r="S2422" s="832"/>
      <c r="T2422" s="3082"/>
      <c r="U2422" s="123"/>
      <c r="V2422" s="3990"/>
      <c r="W2422" s="2857"/>
      <c r="X2422" s="2857"/>
      <c r="Y2422" s="3155">
        <v>9.6999999999999993</v>
      </c>
      <c r="Z2422" s="2857">
        <v>9.6999999999999993</v>
      </c>
      <c r="AA2422" s="2857">
        <v>9.6999999999999993</v>
      </c>
      <c r="AB2422" s="3150">
        <v>10</v>
      </c>
      <c r="AC2422" s="2228">
        <v>9.5</v>
      </c>
      <c r="AD2422" s="2857"/>
      <c r="AE2422" s="2857"/>
      <c r="AF2422" s="2857"/>
      <c r="AG2422" s="2857"/>
      <c r="AH2422" s="1942"/>
      <c r="AI2422" s="1942"/>
      <c r="AJ2422" s="1942"/>
      <c r="AK2422" s="1942"/>
      <c r="AL2422" s="1942"/>
      <c r="AM2422" s="1942"/>
      <c r="AN2422" s="1942"/>
      <c r="AO2422" s="1942"/>
      <c r="AP2422" s="1942"/>
      <c r="AQ2422" s="1942"/>
      <c r="AR2422" s="1942"/>
      <c r="AS2422" s="1942"/>
      <c r="AT2422" s="1942"/>
      <c r="AU2422" s="1942"/>
      <c r="AV2422" s="1942"/>
      <c r="AW2422" s="1942"/>
      <c r="AX2422" s="1942"/>
      <c r="AY2422" s="1942"/>
      <c r="AZ2422" s="1942"/>
      <c r="BA2422" s="1942"/>
      <c r="BB2422" s="575"/>
      <c r="BC2422" s="576"/>
      <c r="BD2422" s="678"/>
      <c r="BE2422" s="585"/>
    </row>
    <row r="2423" spans="1:57" s="1942" customFormat="1" ht="15" hidden="1" customHeight="1" outlineLevel="1" x14ac:dyDescent="0.25">
      <c r="A2423" s="2060"/>
      <c r="B2423" s="123"/>
      <c r="C2423" s="328"/>
      <c r="D2423" s="3990"/>
      <c r="E2423" s="4009"/>
      <c r="F2423" s="3010" t="str">
        <f>$E$1529</f>
        <v>ASHP-SEER18-Replace_CAC_NonElectricHeat_ROF_MF</v>
      </c>
      <c r="G2423" s="2676"/>
      <c r="H2423" s="2676"/>
      <c r="I2423" s="2677"/>
      <c r="J2423" s="3298" t="str">
        <f>$C$1529</f>
        <v>353260_2021_12_</v>
      </c>
      <c r="K2423" s="2228">
        <v>9.5</v>
      </c>
      <c r="L2423" s="851"/>
      <c r="M2423" s="2723" t="s">
        <v>1125</v>
      </c>
      <c r="N2423" s="123"/>
      <c r="O2423" s="228"/>
      <c r="P2423" s="844"/>
      <c r="Q2423" s="844"/>
      <c r="R2423" s="844"/>
      <c r="S2423" s="832"/>
      <c r="T2423" s="3082"/>
      <c r="U2423" s="123"/>
      <c r="V2423" s="3990"/>
      <c r="W2423" s="2857"/>
      <c r="X2423" s="2857"/>
      <c r="Y2423" s="3155"/>
      <c r="Z2423" s="2857"/>
      <c r="AA2423" s="2857"/>
      <c r="AB2423" s="3150"/>
      <c r="AC2423" s="2228">
        <v>9.5</v>
      </c>
      <c r="AD2423" s="2857"/>
      <c r="AE2423" s="2857"/>
      <c r="AF2423" s="2857"/>
      <c r="AG2423" s="2857"/>
      <c r="BB2423" s="575"/>
      <c r="BC2423" s="576"/>
      <c r="BD2423" s="678"/>
      <c r="BE2423" s="585"/>
    </row>
    <row r="2424" spans="1:57" s="1942" customFormat="1" ht="15" hidden="1" customHeight="1" outlineLevel="1" x14ac:dyDescent="0.25">
      <c r="A2424" s="2060"/>
      <c r="B2424" s="123"/>
      <c r="C2424" s="328"/>
      <c r="D2424" s="3990"/>
      <c r="E2424" s="4009"/>
      <c r="F2424" s="3010" t="str">
        <f>$E$1531</f>
        <v>ASHP-SEER18-Replace_CAC_NonElectricHeat_ROF_MF_CompE</v>
      </c>
      <c r="G2424" s="2676"/>
      <c r="H2424" s="2676"/>
      <c r="I2424" s="2677"/>
      <c r="J2424" s="3298" t="str">
        <f>$C$1531</f>
        <v>353261_2021_12_</v>
      </c>
      <c r="K2424" s="2228">
        <v>9.5</v>
      </c>
      <c r="L2424" s="851"/>
      <c r="M2424" s="2723" t="s">
        <v>1125</v>
      </c>
      <c r="N2424" s="123"/>
      <c r="O2424" s="228"/>
      <c r="P2424" s="844"/>
      <c r="Q2424" s="844"/>
      <c r="R2424" s="844"/>
      <c r="S2424" s="832"/>
      <c r="T2424" s="3082"/>
      <c r="U2424" s="123"/>
      <c r="V2424" s="3990"/>
      <c r="W2424" s="2857"/>
      <c r="X2424" s="2857"/>
      <c r="Y2424" s="3155"/>
      <c r="Z2424" s="2857"/>
      <c r="AA2424" s="2857"/>
      <c r="AB2424" s="3150"/>
      <c r="AC2424" s="2228">
        <v>9.5</v>
      </c>
      <c r="AD2424" s="2857"/>
      <c r="AE2424" s="2857"/>
      <c r="AF2424" s="2857"/>
      <c r="AG2424" s="2857"/>
      <c r="BB2424" s="575"/>
      <c r="BC2424" s="576"/>
      <c r="BD2424" s="678"/>
      <c r="BE2424" s="585"/>
    </row>
    <row r="2425" spans="1:57" s="51" customFormat="1" ht="15" hidden="1" customHeight="1" outlineLevel="1" x14ac:dyDescent="0.25">
      <c r="A2425" s="2060"/>
      <c r="B2425" s="123"/>
      <c r="C2425" s="328"/>
      <c r="D2425" s="3990"/>
      <c r="E2425" s="4009"/>
      <c r="F2425" s="3010" t="str">
        <f>$E$1533</f>
        <v>ASHP-SEER19-Replace_CAC_ElectricHeat_ROF_SF</v>
      </c>
      <c r="G2425" s="2676"/>
      <c r="H2425" s="2676"/>
      <c r="I2425" s="2677"/>
      <c r="J2425" s="3298" t="str">
        <f>$C$1533</f>
        <v>353300_2021_12_</v>
      </c>
      <c r="K2425" s="2228">
        <v>11</v>
      </c>
      <c r="L2425" s="851"/>
      <c r="M2425" s="2728" t="s">
        <v>1555</v>
      </c>
      <c r="N2425" s="123"/>
      <c r="O2425" s="228"/>
      <c r="P2425" s="844"/>
      <c r="Q2425" s="844"/>
      <c r="R2425" s="844"/>
      <c r="S2425" s="832"/>
      <c r="T2425" s="3082"/>
      <c r="U2425" s="123"/>
      <c r="V2425" s="3990"/>
      <c r="W2425" s="2857">
        <v>9.6999999999999993</v>
      </c>
      <c r="X2425" s="2857">
        <v>9.6999999999999993</v>
      </c>
      <c r="Y2425" s="2857">
        <v>9.6999999999999993</v>
      </c>
      <c r="Z2425" s="2857">
        <v>9.6999999999999993</v>
      </c>
      <c r="AA2425" s="2857">
        <v>9.6999999999999993</v>
      </c>
      <c r="AB2425" s="2855">
        <v>9.6999999999999993</v>
      </c>
      <c r="AC2425" s="2228">
        <v>11</v>
      </c>
      <c r="AD2425" s="2857"/>
      <c r="AE2425" s="2857"/>
      <c r="AF2425" s="2857"/>
      <c r="AG2425" s="2857"/>
      <c r="AH2425" s="1942"/>
      <c r="AI2425" s="1942"/>
      <c r="AJ2425" s="1942"/>
      <c r="AK2425" s="1942"/>
      <c r="AL2425" s="1942"/>
      <c r="AM2425" s="1942"/>
      <c r="AN2425" s="1942"/>
      <c r="AO2425" s="1942"/>
      <c r="AP2425" s="1942"/>
      <c r="AQ2425" s="1942"/>
      <c r="AR2425" s="1942"/>
      <c r="AS2425" s="1942"/>
      <c r="AT2425" s="1942"/>
      <c r="AU2425" s="1942"/>
      <c r="AV2425" s="1942"/>
      <c r="AW2425" s="1942"/>
      <c r="AX2425" s="1942"/>
      <c r="AY2425" s="1942"/>
      <c r="AZ2425" s="1942"/>
      <c r="BA2425" s="1942"/>
      <c r="BB2425" s="575"/>
      <c r="BC2425" s="576"/>
      <c r="BD2425" s="678"/>
      <c r="BE2425" s="585"/>
    </row>
    <row r="2426" spans="1:57" s="51" customFormat="1" ht="15" hidden="1" customHeight="1" outlineLevel="1" x14ac:dyDescent="0.25">
      <c r="A2426" s="2060"/>
      <c r="B2426" s="123"/>
      <c r="C2426" s="328"/>
      <c r="D2426" s="3990"/>
      <c r="E2426" s="4009"/>
      <c r="F2426" s="3010" t="str">
        <f>$E$1535</f>
        <v>ASHP-SEER19-Replace_CAC_ElectricHeat_ROF_MF</v>
      </c>
      <c r="G2426" s="2676"/>
      <c r="H2426" s="2676"/>
      <c r="I2426" s="2677"/>
      <c r="J2426" s="3298" t="str">
        <f>$C$1535</f>
        <v>353350_2021_12_</v>
      </c>
      <c r="K2426" s="2282">
        <v>9.6999999999999993</v>
      </c>
      <c r="L2426" s="851"/>
      <c r="M2426" s="2278" t="s">
        <v>1556</v>
      </c>
      <c r="N2426" s="123"/>
      <c r="O2426" s="228"/>
      <c r="P2426" s="844"/>
      <c r="Q2426" s="844"/>
      <c r="R2426" s="844"/>
      <c r="S2426" s="832"/>
      <c r="T2426" s="3082"/>
      <c r="U2426" s="123"/>
      <c r="V2426" s="3990"/>
      <c r="W2426" s="2857">
        <v>9.6999999999999993</v>
      </c>
      <c r="X2426" s="2857">
        <v>9.6999999999999993</v>
      </c>
      <c r="Y2426" s="2857">
        <v>9.6999999999999993</v>
      </c>
      <c r="Z2426" s="2857">
        <v>9.6999999999999993</v>
      </c>
      <c r="AA2426" s="2857">
        <v>9.6999999999999993</v>
      </c>
      <c r="AB2426" s="2855">
        <v>9.6999999999999993</v>
      </c>
      <c r="AC2426" s="2282">
        <v>9.6999999999999993</v>
      </c>
      <c r="AD2426" s="2857"/>
      <c r="AE2426" s="2857"/>
      <c r="AF2426" s="2857"/>
      <c r="AG2426" s="2857"/>
      <c r="AH2426" s="1942"/>
      <c r="AI2426" s="1942"/>
      <c r="AJ2426" s="1942"/>
      <c r="AK2426" s="1942"/>
      <c r="AL2426" s="1942"/>
      <c r="AM2426" s="1942"/>
      <c r="AN2426" s="1942"/>
      <c r="AO2426" s="1942"/>
      <c r="AP2426" s="1942"/>
      <c r="AQ2426" s="1942"/>
      <c r="AR2426" s="1942"/>
      <c r="AS2426" s="1942"/>
      <c r="AT2426" s="1942"/>
      <c r="AU2426" s="1942"/>
      <c r="AV2426" s="1942"/>
      <c r="AW2426" s="1942"/>
      <c r="AX2426" s="1942"/>
      <c r="AY2426" s="1942"/>
      <c r="AZ2426" s="1942"/>
      <c r="BA2426" s="1942"/>
      <c r="BB2426" s="575"/>
      <c r="BC2426" s="576"/>
      <c r="BD2426" s="678"/>
      <c r="BE2426" s="585"/>
    </row>
    <row r="2427" spans="1:57" s="51" customFormat="1" ht="15" hidden="1" customHeight="1" outlineLevel="1" x14ac:dyDescent="0.25">
      <c r="A2427" s="2060"/>
      <c r="B2427" s="123"/>
      <c r="C2427" s="328"/>
      <c r="D2427" s="3990"/>
      <c r="E2427" s="4009"/>
      <c r="F2427" s="3010" t="str">
        <f>$E$1537</f>
        <v>ASHP-SEER19-Replace_CAC_ElectricHeat_ROF_MF_CompE</v>
      </c>
      <c r="G2427" s="2676"/>
      <c r="H2427" s="2676"/>
      <c r="I2427" s="2677"/>
      <c r="J2427" s="3299" t="str">
        <f>$C$1537</f>
        <v>353351_2019_12_</v>
      </c>
      <c r="K2427" s="2282">
        <v>9.6999999999999993</v>
      </c>
      <c r="L2427" s="851"/>
      <c r="M2427" s="2278"/>
      <c r="N2427" s="123"/>
      <c r="O2427" s="228"/>
      <c r="P2427" s="844"/>
      <c r="Q2427" s="844"/>
      <c r="R2427" s="844"/>
      <c r="S2427" s="832"/>
      <c r="T2427" s="3082"/>
      <c r="U2427" s="123"/>
      <c r="V2427" s="3990"/>
      <c r="W2427" s="2857"/>
      <c r="X2427" s="2857"/>
      <c r="Y2427" s="3155">
        <v>9.6999999999999993</v>
      </c>
      <c r="Z2427" s="2857">
        <v>9.6999999999999993</v>
      </c>
      <c r="AA2427" s="2857">
        <v>9.6999999999999993</v>
      </c>
      <c r="AB2427" s="2855">
        <v>9.6999999999999993</v>
      </c>
      <c r="AC2427" s="2282">
        <v>9.6999999999999993</v>
      </c>
      <c r="AD2427" s="2857"/>
      <c r="AE2427" s="2857"/>
      <c r="AF2427" s="2857"/>
      <c r="AG2427" s="2857"/>
      <c r="AH2427" s="1942"/>
      <c r="AI2427" s="1942"/>
      <c r="AJ2427" s="1942"/>
      <c r="AK2427" s="1942"/>
      <c r="AL2427" s="1942"/>
      <c r="AM2427" s="1942"/>
      <c r="AN2427" s="1942"/>
      <c r="AO2427" s="1942"/>
      <c r="AP2427" s="1942"/>
      <c r="AQ2427" s="1942"/>
      <c r="AR2427" s="1942"/>
      <c r="AS2427" s="1942"/>
      <c r="AT2427" s="1942"/>
      <c r="AU2427" s="1942"/>
      <c r="AV2427" s="1942"/>
      <c r="AW2427" s="1942"/>
      <c r="AX2427" s="1942"/>
      <c r="AY2427" s="1942"/>
      <c r="AZ2427" s="1942"/>
      <c r="BA2427" s="1942"/>
      <c r="BB2427" s="575"/>
      <c r="BC2427" s="576"/>
      <c r="BD2427" s="678"/>
      <c r="BE2427" s="585"/>
    </row>
    <row r="2428" spans="1:57" s="1942" customFormat="1" ht="15" hidden="1" customHeight="1" outlineLevel="1" x14ac:dyDescent="0.25">
      <c r="A2428" s="2060"/>
      <c r="B2428" s="123"/>
      <c r="C2428" s="328"/>
      <c r="D2428" s="3990"/>
      <c r="E2428" s="4009"/>
      <c r="F2428" s="3010" t="str">
        <f>$E$1539</f>
        <v>ASHP-SEER19-Replace_CAC_NonElectricHeat_ROF_MF</v>
      </c>
      <c r="G2428" s="2676"/>
      <c r="H2428" s="2676"/>
      <c r="I2428" s="2677"/>
      <c r="J2428" s="3298" t="str">
        <f>$C$1539</f>
        <v>353360_2021_12_</v>
      </c>
      <c r="K2428" s="2228">
        <v>9.6999999999999993</v>
      </c>
      <c r="L2428" s="851"/>
      <c r="M2428" s="2723" t="s">
        <v>1125</v>
      </c>
      <c r="N2428" s="123"/>
      <c r="O2428" s="228"/>
      <c r="P2428" s="844"/>
      <c r="Q2428" s="844"/>
      <c r="R2428" s="844"/>
      <c r="S2428" s="832"/>
      <c r="T2428" s="3082"/>
      <c r="U2428" s="123"/>
      <c r="V2428" s="3990"/>
      <c r="W2428" s="2857"/>
      <c r="X2428" s="2857"/>
      <c r="Y2428" s="3155"/>
      <c r="Z2428" s="2857"/>
      <c r="AA2428" s="2857"/>
      <c r="AB2428" s="2855"/>
      <c r="AC2428" s="2228">
        <v>9.6999999999999993</v>
      </c>
      <c r="AD2428" s="2857"/>
      <c r="AE2428" s="2857"/>
      <c r="AF2428" s="2857"/>
      <c r="AG2428" s="2857"/>
      <c r="BB2428" s="575"/>
      <c r="BC2428" s="576"/>
      <c r="BD2428" s="678"/>
      <c r="BE2428" s="585"/>
    </row>
    <row r="2429" spans="1:57" s="1942" customFormat="1" ht="15" hidden="1" customHeight="1" outlineLevel="1" x14ac:dyDescent="0.25">
      <c r="A2429" s="2060"/>
      <c r="B2429" s="123"/>
      <c r="C2429" s="328"/>
      <c r="D2429" s="3990"/>
      <c r="E2429" s="4009"/>
      <c r="F2429" s="3010" t="str">
        <f>$E$1541</f>
        <v>ASHP-SEER19-Replace_CAC_NonElectricHeat_ROF_MF_CompE</v>
      </c>
      <c r="G2429" s="2676"/>
      <c r="H2429" s="2676"/>
      <c r="I2429" s="2677"/>
      <c r="J2429" s="3298" t="str">
        <f>$C$1541</f>
        <v>353361_2021_12_</v>
      </c>
      <c r="K2429" s="2228">
        <v>9.6999999999999993</v>
      </c>
      <c r="L2429" s="851"/>
      <c r="M2429" s="2723" t="s">
        <v>1125</v>
      </c>
      <c r="N2429" s="123"/>
      <c r="O2429" s="228"/>
      <c r="P2429" s="844"/>
      <c r="Q2429" s="844"/>
      <c r="R2429" s="844"/>
      <c r="S2429" s="832"/>
      <c r="T2429" s="3082"/>
      <c r="U2429" s="123"/>
      <c r="V2429" s="3990"/>
      <c r="W2429" s="2857"/>
      <c r="X2429" s="2857"/>
      <c r="Y2429" s="3155"/>
      <c r="Z2429" s="2857"/>
      <c r="AA2429" s="2857"/>
      <c r="AB2429" s="2855"/>
      <c r="AC2429" s="2228">
        <v>9.6999999999999993</v>
      </c>
      <c r="AD2429" s="2857"/>
      <c r="AE2429" s="2857"/>
      <c r="AF2429" s="2857"/>
      <c r="AG2429" s="2857"/>
      <c r="BB2429" s="575"/>
      <c r="BC2429" s="576"/>
      <c r="BD2429" s="678"/>
      <c r="BE2429" s="585"/>
    </row>
    <row r="2430" spans="1:57" s="51" customFormat="1" ht="15" hidden="1" customHeight="1" outlineLevel="1" x14ac:dyDescent="0.25">
      <c r="A2430" s="2060"/>
      <c r="B2430" s="123"/>
      <c r="C2430" s="328"/>
      <c r="D2430" s="3990"/>
      <c r="E2430" s="4009"/>
      <c r="F2430" s="3010" t="str">
        <f>$E$1543</f>
        <v>ASHP-SEER20-Replace_CAC_ElectricHeat_ER1_SF</v>
      </c>
      <c r="G2430" s="2676"/>
      <c r="H2430" s="2676"/>
      <c r="I2430" s="2677"/>
      <c r="J2430" s="3298" t="str">
        <f>$C$1543</f>
        <v>353400_2021_12_</v>
      </c>
      <c r="K2430" s="2228">
        <v>11.1</v>
      </c>
      <c r="L2430" s="851"/>
      <c r="M2430" s="2728" t="s">
        <v>1555</v>
      </c>
      <c r="N2430" s="123"/>
      <c r="O2430" s="228"/>
      <c r="P2430" s="844"/>
      <c r="Q2430" s="844"/>
      <c r="R2430" s="844"/>
      <c r="S2430" s="832"/>
      <c r="T2430" s="3082"/>
      <c r="U2430" s="123"/>
      <c r="V2430" s="3990"/>
      <c r="W2430" s="2857">
        <v>9.4</v>
      </c>
      <c r="X2430" s="2857">
        <v>9.4</v>
      </c>
      <c r="Y2430" s="2857">
        <v>9.4</v>
      </c>
      <c r="Z2430" s="2857">
        <v>9.4</v>
      </c>
      <c r="AA2430" s="2857">
        <v>9.4</v>
      </c>
      <c r="AB2430" s="2855">
        <v>9.4</v>
      </c>
      <c r="AC2430" s="2228">
        <v>11.1</v>
      </c>
      <c r="AD2430" s="2857"/>
      <c r="AE2430" s="2857"/>
      <c r="AF2430" s="2857"/>
      <c r="AG2430" s="2857"/>
      <c r="AH2430" s="1942"/>
      <c r="AI2430" s="1942"/>
      <c r="AJ2430" s="1942"/>
      <c r="AK2430" s="1942"/>
      <c r="AL2430" s="1942"/>
      <c r="AM2430" s="1942"/>
      <c r="AN2430" s="1942"/>
      <c r="AO2430" s="1942"/>
      <c r="AP2430" s="1942"/>
      <c r="AQ2430" s="1942"/>
      <c r="AR2430" s="1942"/>
      <c r="AS2430" s="1942"/>
      <c r="AT2430" s="1942"/>
      <c r="AU2430" s="1942"/>
      <c r="AV2430" s="1942"/>
      <c r="AW2430" s="1942"/>
      <c r="AX2430" s="1942"/>
      <c r="AY2430" s="1942"/>
      <c r="AZ2430" s="1942"/>
      <c r="BA2430" s="1942"/>
      <c r="BB2430" s="575"/>
      <c r="BC2430" s="576"/>
      <c r="BD2430" s="678"/>
      <c r="BE2430" s="585"/>
    </row>
    <row r="2431" spans="1:57" s="51" customFormat="1" ht="15" hidden="1" customHeight="1" outlineLevel="1" x14ac:dyDescent="0.25">
      <c r="A2431" s="2060"/>
      <c r="B2431" s="123"/>
      <c r="C2431" s="328"/>
      <c r="D2431" s="3990"/>
      <c r="E2431" s="4009"/>
      <c r="F2431" s="3010" t="str">
        <f>$E$1545</f>
        <v>ASHP-SEER20-Replace_CAC_ElectricHeat_ER2_SF</v>
      </c>
      <c r="G2431" s="2676"/>
      <c r="H2431" s="2676"/>
      <c r="I2431" s="2677"/>
      <c r="J2431" s="3298" t="str">
        <f>$C$1545</f>
        <v>353400_2021_12_</v>
      </c>
      <c r="K2431" s="2228">
        <f>K2430</f>
        <v>11.1</v>
      </c>
      <c r="L2431" s="851"/>
      <c r="M2431" s="2728" t="s">
        <v>1555</v>
      </c>
      <c r="N2431" s="123"/>
      <c r="O2431" s="228"/>
      <c r="P2431" s="844"/>
      <c r="Q2431" s="844"/>
      <c r="R2431" s="844"/>
      <c r="S2431" s="832"/>
      <c r="T2431" s="3082"/>
      <c r="U2431" s="123"/>
      <c r="V2431" s="3990"/>
      <c r="W2431" s="2857">
        <v>9.4</v>
      </c>
      <c r="X2431" s="2857">
        <v>9.4</v>
      </c>
      <c r="Y2431" s="2857">
        <v>9.4</v>
      </c>
      <c r="Z2431" s="2857">
        <v>9.4</v>
      </c>
      <c r="AA2431" s="2857">
        <v>9.4</v>
      </c>
      <c r="AB2431" s="2855">
        <v>9.4</v>
      </c>
      <c r="AC2431" s="2228">
        <f>AC2430</f>
        <v>11.1</v>
      </c>
      <c r="AD2431" s="2857"/>
      <c r="AE2431" s="2857"/>
      <c r="AF2431" s="2857"/>
      <c r="AG2431" s="2857"/>
      <c r="AH2431" s="1942"/>
      <c r="AI2431" s="1942"/>
      <c r="AJ2431" s="1942"/>
      <c r="AK2431" s="1942"/>
      <c r="AL2431" s="1942"/>
      <c r="AM2431" s="1942"/>
      <c r="AN2431" s="1942"/>
      <c r="AO2431" s="1942"/>
      <c r="AP2431" s="1942"/>
      <c r="AQ2431" s="1942"/>
      <c r="AR2431" s="1942"/>
      <c r="AS2431" s="1942"/>
      <c r="AT2431" s="1942"/>
      <c r="AU2431" s="1942"/>
      <c r="AV2431" s="1942"/>
      <c r="AW2431" s="1942"/>
      <c r="AX2431" s="1942"/>
      <c r="AY2431" s="1942"/>
      <c r="AZ2431" s="1942"/>
      <c r="BA2431" s="1942"/>
      <c r="BB2431" s="575"/>
      <c r="BC2431" s="576"/>
      <c r="BD2431" s="678"/>
      <c r="BE2431" s="585"/>
    </row>
    <row r="2432" spans="1:57" s="1942" customFormat="1" ht="15" hidden="1" customHeight="1" outlineLevel="1" x14ac:dyDescent="0.25">
      <c r="A2432" s="2060"/>
      <c r="B2432" s="123"/>
      <c r="C2432" s="328"/>
      <c r="D2432" s="3990"/>
      <c r="E2432" s="4009"/>
      <c r="F2432" s="3010" t="str">
        <f>$E$1547</f>
        <v>ASHP-SEER20-Replace_CAC_NonElectricHeat_ER1_SF</v>
      </c>
      <c r="G2432" s="2676"/>
      <c r="H2432" s="2676"/>
      <c r="I2432" s="2677"/>
      <c r="J2432" s="3298" t="str">
        <f>$C$1547</f>
        <v>353410_2021_12_</v>
      </c>
      <c r="K2432" s="2228">
        <v>11.1</v>
      </c>
      <c r="L2432" s="851"/>
      <c r="M2432" s="2723" t="s">
        <v>1125</v>
      </c>
      <c r="N2432" s="123"/>
      <c r="O2432" s="228"/>
      <c r="P2432" s="844"/>
      <c r="Q2432" s="844"/>
      <c r="R2432" s="844"/>
      <c r="S2432" s="832"/>
      <c r="T2432" s="3082"/>
      <c r="U2432" s="123"/>
      <c r="V2432" s="3990"/>
      <c r="W2432" s="2857"/>
      <c r="X2432" s="2857"/>
      <c r="Y2432" s="2857"/>
      <c r="Z2432" s="2857"/>
      <c r="AA2432" s="2857"/>
      <c r="AB2432" s="2855"/>
      <c r="AC2432" s="2228">
        <v>11.1</v>
      </c>
      <c r="AD2432" s="2857"/>
      <c r="AE2432" s="2857"/>
      <c r="AF2432" s="2857"/>
      <c r="AG2432" s="2857"/>
      <c r="BB2432" s="575"/>
      <c r="BC2432" s="576"/>
      <c r="BD2432" s="678"/>
      <c r="BE2432" s="585"/>
    </row>
    <row r="2433" spans="1:57" s="1942" customFormat="1" ht="15" hidden="1" customHeight="1" outlineLevel="1" x14ac:dyDescent="0.25">
      <c r="A2433" s="2060"/>
      <c r="B2433" s="123"/>
      <c r="C2433" s="328"/>
      <c r="D2433" s="3990"/>
      <c r="E2433" s="4009"/>
      <c r="F2433" s="3010" t="str">
        <f>$E$1549</f>
        <v>ASHP-SEER20-Replace_CAC_NonElectricHeat_ER2_SF</v>
      </c>
      <c r="G2433" s="2676"/>
      <c r="H2433" s="2676"/>
      <c r="I2433" s="2677"/>
      <c r="J2433" s="3298" t="str">
        <f>$C$1549</f>
        <v>353410_2021_12_</v>
      </c>
      <c r="K2433" s="2228">
        <f>K2432</f>
        <v>11.1</v>
      </c>
      <c r="L2433" s="851"/>
      <c r="M2433" s="2723" t="s">
        <v>1125</v>
      </c>
      <c r="N2433" s="123"/>
      <c r="O2433" s="228"/>
      <c r="P2433" s="844"/>
      <c r="Q2433" s="844"/>
      <c r="R2433" s="844"/>
      <c r="S2433" s="832"/>
      <c r="T2433" s="3082"/>
      <c r="U2433" s="123"/>
      <c r="V2433" s="3990"/>
      <c r="W2433" s="2857"/>
      <c r="X2433" s="2857"/>
      <c r="Y2433" s="2857"/>
      <c r="Z2433" s="2857"/>
      <c r="AA2433" s="2857"/>
      <c r="AB2433" s="2855"/>
      <c r="AC2433" s="2228">
        <f>AC2432</f>
        <v>11.1</v>
      </c>
      <c r="AD2433" s="2857"/>
      <c r="AE2433" s="2857"/>
      <c r="AF2433" s="2857"/>
      <c r="AG2433" s="2857"/>
      <c r="BB2433" s="575"/>
      <c r="BC2433" s="576"/>
      <c r="BD2433" s="678"/>
      <c r="BE2433" s="585"/>
    </row>
    <row r="2434" spans="1:57" s="51" customFormat="1" ht="15" hidden="1" customHeight="1" outlineLevel="1" x14ac:dyDescent="0.25">
      <c r="A2434" s="2060"/>
      <c r="B2434" s="123"/>
      <c r="C2434" s="328"/>
      <c r="D2434" s="3990"/>
      <c r="E2434" s="4009"/>
      <c r="F2434" s="3010" t="str">
        <f>$E$1551</f>
        <v>ASHP-SEER20-Replace_CAC_ElectricHeat_ROF_SF</v>
      </c>
      <c r="G2434" s="2676"/>
      <c r="H2434" s="2676"/>
      <c r="I2434" s="2677"/>
      <c r="J2434" s="3298" t="str">
        <f>$C$1551</f>
        <v>353450_2021_12_</v>
      </c>
      <c r="K2434" s="2228">
        <v>10.5</v>
      </c>
      <c r="L2434" s="851"/>
      <c r="M2434" s="2728" t="s">
        <v>1555</v>
      </c>
      <c r="N2434" s="123"/>
      <c r="O2434" s="228"/>
      <c r="P2434" s="844"/>
      <c r="Q2434" s="844"/>
      <c r="R2434" s="844"/>
      <c r="S2434" s="832"/>
      <c r="T2434" s="3082"/>
      <c r="U2434" s="123"/>
      <c r="V2434" s="3990"/>
      <c r="W2434" s="2857">
        <v>9.6999999999999993</v>
      </c>
      <c r="X2434" s="2857">
        <v>9.6999999999999993</v>
      </c>
      <c r="Y2434" s="2857">
        <v>9.6999999999999993</v>
      </c>
      <c r="Z2434" s="2857">
        <v>9.6999999999999993</v>
      </c>
      <c r="AA2434" s="2857">
        <v>9.6999999999999993</v>
      </c>
      <c r="AB2434" s="2855">
        <v>9.6999999999999993</v>
      </c>
      <c r="AC2434" s="2228">
        <v>10.5</v>
      </c>
      <c r="AD2434" s="2857"/>
      <c r="AE2434" s="2857"/>
      <c r="AF2434" s="2857"/>
      <c r="AG2434" s="2857"/>
      <c r="AH2434" s="1942"/>
      <c r="AI2434" s="1942"/>
      <c r="AJ2434" s="1942"/>
      <c r="AK2434" s="1942"/>
      <c r="AL2434" s="1942"/>
      <c r="AM2434" s="1942"/>
      <c r="AN2434" s="1942"/>
      <c r="AO2434" s="1942"/>
      <c r="AP2434" s="1942"/>
      <c r="AQ2434" s="1942"/>
      <c r="AR2434" s="1942"/>
      <c r="AS2434" s="1942"/>
      <c r="AT2434" s="1942"/>
      <c r="AU2434" s="1942"/>
      <c r="AV2434" s="1942"/>
      <c r="AW2434" s="1942"/>
      <c r="AX2434" s="1942"/>
      <c r="AY2434" s="1942"/>
      <c r="AZ2434" s="1942"/>
      <c r="BA2434" s="1942"/>
      <c r="BB2434" s="575"/>
      <c r="BC2434" s="576"/>
      <c r="BD2434" s="678"/>
      <c r="BE2434" s="585"/>
    </row>
    <row r="2435" spans="1:57" s="51" customFormat="1" ht="15" hidden="1" customHeight="1" outlineLevel="1" x14ac:dyDescent="0.25">
      <c r="A2435" s="2060"/>
      <c r="B2435" s="123"/>
      <c r="C2435" s="328"/>
      <c r="D2435" s="3990"/>
      <c r="E2435" s="4009"/>
      <c r="F2435" s="3010" t="str">
        <f>$E$1553</f>
        <v>ASHP-SEER20-Replace_CAC_ElectricHeat_ROF_MF</v>
      </c>
      <c r="G2435" s="2676"/>
      <c r="H2435" s="2676"/>
      <c r="I2435" s="2677"/>
      <c r="J2435" s="3299" t="str">
        <f>$C$1553</f>
        <v>353500_2019_12_</v>
      </c>
      <c r="K2435" s="2282">
        <v>9.6999999999999993</v>
      </c>
      <c r="L2435" s="851"/>
      <c r="M2435" s="2278" t="s">
        <v>1556</v>
      </c>
      <c r="N2435" s="123"/>
      <c r="O2435" s="228"/>
      <c r="P2435" s="844"/>
      <c r="Q2435" s="845"/>
      <c r="R2435" s="844"/>
      <c r="S2435" s="832"/>
      <c r="T2435" s="3082"/>
      <c r="U2435" s="123"/>
      <c r="V2435" s="3990"/>
      <c r="W2435" s="2857">
        <v>9.6999999999999993</v>
      </c>
      <c r="X2435" s="2857">
        <v>9.6999999999999993</v>
      </c>
      <c r="Y2435" s="2857">
        <v>9.6999999999999993</v>
      </c>
      <c r="Z2435" s="2857">
        <v>9.6999999999999993</v>
      </c>
      <c r="AA2435" s="2857">
        <v>9.6999999999999993</v>
      </c>
      <c r="AB2435" s="2855">
        <v>9.6999999999999993</v>
      </c>
      <c r="AC2435" s="2282">
        <v>9.6999999999999993</v>
      </c>
      <c r="AD2435" s="2857"/>
      <c r="AE2435" s="2857"/>
      <c r="AF2435" s="2857"/>
      <c r="AG2435" s="2857"/>
      <c r="AH2435" s="1942"/>
      <c r="AI2435" s="1942"/>
      <c r="AJ2435" s="1942"/>
      <c r="AK2435" s="1942"/>
      <c r="AL2435" s="1942"/>
      <c r="AM2435" s="1942"/>
      <c r="AN2435" s="1942"/>
      <c r="AO2435" s="1942"/>
      <c r="AP2435" s="1942"/>
      <c r="AQ2435" s="1942"/>
      <c r="AR2435" s="1942"/>
      <c r="AS2435" s="1942"/>
      <c r="AT2435" s="1942"/>
      <c r="AU2435" s="1942"/>
      <c r="AV2435" s="1942"/>
      <c r="AW2435" s="1942"/>
      <c r="AX2435" s="1942"/>
      <c r="AY2435" s="1942"/>
      <c r="AZ2435" s="1942"/>
      <c r="BA2435" s="1942"/>
      <c r="BB2435" s="575"/>
      <c r="BC2435" s="576"/>
      <c r="BD2435" s="678"/>
      <c r="BE2435" s="585"/>
    </row>
    <row r="2436" spans="1:57" s="51" customFormat="1" ht="15" hidden="1" customHeight="1" outlineLevel="1" x14ac:dyDescent="0.25">
      <c r="A2436" s="2060"/>
      <c r="B2436" s="123"/>
      <c r="C2436" s="328"/>
      <c r="D2436" s="3990"/>
      <c r="E2436" s="4009"/>
      <c r="F2436" s="3010" t="str">
        <f>$E$1555</f>
        <v>ASHP-SEER20-Replace_CAC_ElectricHeat_ROF_MF_CompE</v>
      </c>
      <c r="G2436" s="2676"/>
      <c r="H2436" s="2676"/>
      <c r="I2436" s="2677"/>
      <c r="J2436" s="3299" t="str">
        <f>$C$1555</f>
        <v>353501_2019_12_</v>
      </c>
      <c r="K2436" s="2282">
        <v>9.6999999999999993</v>
      </c>
      <c r="L2436" s="851"/>
      <c r="M2436" s="2278"/>
      <c r="N2436" s="123"/>
      <c r="O2436" s="228"/>
      <c r="P2436" s="844"/>
      <c r="Q2436" s="845"/>
      <c r="R2436" s="844"/>
      <c r="S2436" s="832"/>
      <c r="T2436" s="3082"/>
      <c r="U2436" s="123"/>
      <c r="V2436" s="3990"/>
      <c r="W2436" s="2857"/>
      <c r="X2436" s="2857"/>
      <c r="Y2436" s="3155">
        <v>9.6999999999999993</v>
      </c>
      <c r="Z2436" s="2857">
        <v>9.6999999999999993</v>
      </c>
      <c r="AA2436" s="2857">
        <v>9.6999999999999993</v>
      </c>
      <c r="AB2436" s="2855">
        <v>9.6999999999999993</v>
      </c>
      <c r="AC2436" s="2282">
        <v>9.6999999999999993</v>
      </c>
      <c r="AD2436" s="2857"/>
      <c r="AE2436" s="2857"/>
      <c r="AF2436" s="2857"/>
      <c r="AG2436" s="2857"/>
      <c r="AH2436" s="1942"/>
      <c r="AI2436" s="1942"/>
      <c r="AJ2436" s="1942"/>
      <c r="AK2436" s="1942"/>
      <c r="AL2436" s="1942"/>
      <c r="AM2436" s="1942"/>
      <c r="AN2436" s="1942"/>
      <c r="AO2436" s="1942"/>
      <c r="AP2436" s="1942"/>
      <c r="AQ2436" s="1942"/>
      <c r="AR2436" s="1942"/>
      <c r="AS2436" s="1942"/>
      <c r="AT2436" s="1942"/>
      <c r="AU2436" s="1942"/>
      <c r="AV2436" s="1942"/>
      <c r="AW2436" s="1942"/>
      <c r="AX2436" s="1942"/>
      <c r="AY2436" s="1942"/>
      <c r="AZ2436" s="1942"/>
      <c r="BA2436" s="1942"/>
      <c r="BB2436" s="575"/>
      <c r="BC2436" s="576"/>
      <c r="BD2436" s="678"/>
      <c r="BE2436" s="585"/>
    </row>
    <row r="2437" spans="1:57" s="1942" customFormat="1" ht="15" hidden="1" customHeight="1" outlineLevel="1" x14ac:dyDescent="0.25">
      <c r="A2437" s="2060"/>
      <c r="B2437" s="123"/>
      <c r="C2437" s="328"/>
      <c r="D2437" s="3990"/>
      <c r="E2437" s="4009"/>
      <c r="F2437" s="3010" t="str">
        <f>$E$1557</f>
        <v>ASHP-SEER20-Replace_CAC_NonElectricHeat_ROF_MF</v>
      </c>
      <c r="G2437" s="2676"/>
      <c r="H2437" s="2676"/>
      <c r="I2437" s="2677"/>
      <c r="J2437" s="3298" t="str">
        <f>$C$1557</f>
        <v>353510_2021_12_</v>
      </c>
      <c r="K2437" s="2228">
        <v>9.6999999999999993</v>
      </c>
      <c r="L2437" s="851"/>
      <c r="M2437" s="2723" t="s">
        <v>1125</v>
      </c>
      <c r="N2437" s="123"/>
      <c r="O2437" s="228"/>
      <c r="P2437" s="844"/>
      <c r="Q2437" s="845"/>
      <c r="R2437" s="844"/>
      <c r="S2437" s="832"/>
      <c r="T2437" s="3082"/>
      <c r="U2437" s="123"/>
      <c r="V2437" s="3990"/>
      <c r="W2437" s="2857"/>
      <c r="X2437" s="2857"/>
      <c r="Y2437" s="3155"/>
      <c r="Z2437" s="2857"/>
      <c r="AA2437" s="2857"/>
      <c r="AB2437" s="2855"/>
      <c r="AC2437" s="2228">
        <v>9.6999999999999993</v>
      </c>
      <c r="AD2437" s="2857"/>
      <c r="AE2437" s="2857"/>
      <c r="AF2437" s="2857"/>
      <c r="AG2437" s="2857"/>
      <c r="BB2437" s="575"/>
      <c r="BC2437" s="576"/>
      <c r="BD2437" s="678"/>
      <c r="BE2437" s="585"/>
    </row>
    <row r="2438" spans="1:57" s="1942" customFormat="1" ht="15" hidden="1" customHeight="1" outlineLevel="1" x14ac:dyDescent="0.25">
      <c r="A2438" s="2060"/>
      <c r="B2438" s="123"/>
      <c r="C2438" s="328"/>
      <c r="D2438" s="3990"/>
      <c r="E2438" s="4009"/>
      <c r="F2438" s="3010" t="str">
        <f>$E$1559</f>
        <v>ASHP-SEER20-Replace_CAC_NonElectricHeat_ROF_MF_CompE</v>
      </c>
      <c r="G2438" s="2676"/>
      <c r="H2438" s="2676"/>
      <c r="I2438" s="2677"/>
      <c r="J2438" s="3298" t="str">
        <f>$C$1559</f>
        <v>353511_2021_12_</v>
      </c>
      <c r="K2438" s="2228">
        <v>9.6999999999999993</v>
      </c>
      <c r="L2438" s="851"/>
      <c r="M2438" s="2723" t="s">
        <v>1125</v>
      </c>
      <c r="N2438" s="123"/>
      <c r="O2438" s="228"/>
      <c r="P2438" s="844"/>
      <c r="Q2438" s="845"/>
      <c r="R2438" s="844"/>
      <c r="S2438" s="832"/>
      <c r="T2438" s="3082"/>
      <c r="U2438" s="123"/>
      <c r="V2438" s="3990"/>
      <c r="W2438" s="2857"/>
      <c r="X2438" s="2857"/>
      <c r="Y2438" s="3155"/>
      <c r="Z2438" s="2857"/>
      <c r="AA2438" s="2857"/>
      <c r="AB2438" s="2855"/>
      <c r="AC2438" s="2228">
        <v>9.6999999999999993</v>
      </c>
      <c r="AD2438" s="2857"/>
      <c r="AE2438" s="2857"/>
      <c r="AF2438" s="2857"/>
      <c r="AG2438" s="2857"/>
      <c r="BB2438" s="575"/>
      <c r="BC2438" s="576"/>
      <c r="BD2438" s="678"/>
      <c r="BE2438" s="585"/>
    </row>
    <row r="2439" spans="1:57" s="51" customFormat="1" ht="15" hidden="1" customHeight="1" outlineLevel="1" x14ac:dyDescent="0.25">
      <c r="A2439" s="2060"/>
      <c r="B2439" s="123"/>
      <c r="C2439" s="328"/>
      <c r="D2439" s="3990"/>
      <c r="E2439" s="4009"/>
      <c r="F2439" s="3010" t="str">
        <f>$E$1561</f>
        <v>ASHP-SEER21-Replace_CAC_ElectricHeat_ER1_SF</v>
      </c>
      <c r="G2439" s="2676"/>
      <c r="H2439" s="2676"/>
      <c r="I2439" s="2677"/>
      <c r="J2439" s="3298" t="str">
        <f>$C$1561</f>
        <v>353550_2021_12_</v>
      </c>
      <c r="K2439" s="2228">
        <v>10.727272727272727</v>
      </c>
      <c r="L2439" s="851"/>
      <c r="M2439" s="2728" t="s">
        <v>1555</v>
      </c>
      <c r="N2439" s="123"/>
      <c r="O2439" s="228"/>
      <c r="P2439" s="844"/>
      <c r="Q2439" s="845"/>
      <c r="R2439" s="844"/>
      <c r="S2439" s="832"/>
      <c r="T2439" s="3082"/>
      <c r="U2439" s="123"/>
      <c r="V2439" s="3990"/>
      <c r="W2439" s="2857">
        <v>9.4</v>
      </c>
      <c r="X2439" s="2857">
        <v>9.4</v>
      </c>
      <c r="Y2439" s="2857">
        <v>9.4</v>
      </c>
      <c r="Z2439" s="2857">
        <v>9.4</v>
      </c>
      <c r="AA2439" s="2857">
        <v>9.4</v>
      </c>
      <c r="AB2439" s="2855">
        <v>9.4</v>
      </c>
      <c r="AC2439" s="2228">
        <v>10.727272727272727</v>
      </c>
      <c r="AD2439" s="2857"/>
      <c r="AE2439" s="2857"/>
      <c r="AF2439" s="2857"/>
      <c r="AG2439" s="2857"/>
      <c r="AH2439" s="1942"/>
      <c r="AI2439" s="1942"/>
      <c r="AJ2439" s="1942"/>
      <c r="AK2439" s="1942"/>
      <c r="AL2439" s="1942"/>
      <c r="AM2439" s="1942"/>
      <c r="AN2439" s="1942"/>
      <c r="AO2439" s="1942"/>
      <c r="AP2439" s="1942"/>
      <c r="AQ2439" s="1942"/>
      <c r="AR2439" s="1942"/>
      <c r="AS2439" s="1942"/>
      <c r="AT2439" s="1942"/>
      <c r="AU2439" s="1942"/>
      <c r="AV2439" s="1942"/>
      <c r="AW2439" s="1942"/>
      <c r="AX2439" s="1942"/>
      <c r="AY2439" s="1942"/>
      <c r="AZ2439" s="1942"/>
      <c r="BA2439" s="1942"/>
      <c r="BB2439" s="575"/>
      <c r="BC2439" s="576"/>
      <c r="BD2439" s="678"/>
      <c r="BE2439" s="585"/>
    </row>
    <row r="2440" spans="1:57" s="51" customFormat="1" ht="15" hidden="1" customHeight="1" outlineLevel="1" x14ac:dyDescent="0.25">
      <c r="A2440" s="2060"/>
      <c r="B2440" s="123"/>
      <c r="C2440" s="328"/>
      <c r="D2440" s="3990"/>
      <c r="E2440" s="4009"/>
      <c r="F2440" s="3010" t="str">
        <f>$E$1563</f>
        <v>ASHP-SEER21-Replace_CAC_ElectricHeat_ER2_SF</v>
      </c>
      <c r="G2440" s="2676"/>
      <c r="H2440" s="2676"/>
      <c r="I2440" s="2677"/>
      <c r="J2440" s="3298" t="str">
        <f>$C$1563</f>
        <v>353550_2021_12_</v>
      </c>
      <c r="K2440" s="2228">
        <f>K2439</f>
        <v>10.727272727272727</v>
      </c>
      <c r="L2440" s="851"/>
      <c r="M2440" s="2728" t="s">
        <v>1555</v>
      </c>
      <c r="N2440" s="123"/>
      <c r="O2440" s="228"/>
      <c r="P2440" s="844"/>
      <c r="Q2440" s="845"/>
      <c r="R2440" s="844"/>
      <c r="S2440" s="832"/>
      <c r="T2440" s="3082"/>
      <c r="U2440" s="123"/>
      <c r="V2440" s="3990"/>
      <c r="W2440" s="2857">
        <v>9.4</v>
      </c>
      <c r="X2440" s="2857">
        <v>9.4</v>
      </c>
      <c r="Y2440" s="2857">
        <v>9.4</v>
      </c>
      <c r="Z2440" s="2857">
        <v>9.4</v>
      </c>
      <c r="AA2440" s="2857">
        <v>9.4</v>
      </c>
      <c r="AB2440" s="2855">
        <v>9.4</v>
      </c>
      <c r="AC2440" s="2228">
        <f>AC2439</f>
        <v>10.727272727272727</v>
      </c>
      <c r="AD2440" s="2857"/>
      <c r="AE2440" s="2857"/>
      <c r="AF2440" s="2857"/>
      <c r="AG2440" s="2857"/>
      <c r="AH2440" s="1942"/>
      <c r="AI2440" s="1942"/>
      <c r="AJ2440" s="1942"/>
      <c r="AK2440" s="1942"/>
      <c r="AL2440" s="1942"/>
      <c r="AM2440" s="1942"/>
      <c r="AN2440" s="1942"/>
      <c r="AO2440" s="1942"/>
      <c r="AP2440" s="1942"/>
      <c r="AQ2440" s="1942"/>
      <c r="AR2440" s="1942"/>
      <c r="AS2440" s="1942"/>
      <c r="AT2440" s="1942"/>
      <c r="AU2440" s="1942"/>
      <c r="AV2440" s="1942"/>
      <c r="AW2440" s="1942"/>
      <c r="AX2440" s="1942"/>
      <c r="AY2440" s="1942"/>
      <c r="AZ2440" s="1942"/>
      <c r="BA2440" s="1942"/>
      <c r="BB2440" s="575"/>
      <c r="BC2440" s="576"/>
      <c r="BD2440" s="678"/>
      <c r="BE2440" s="585"/>
    </row>
    <row r="2441" spans="1:57" s="1942" customFormat="1" ht="15" hidden="1" customHeight="1" outlineLevel="1" x14ac:dyDescent="0.25">
      <c r="A2441" s="2060"/>
      <c r="B2441" s="123"/>
      <c r="C2441" s="328"/>
      <c r="D2441" s="3990"/>
      <c r="E2441" s="4009"/>
      <c r="F2441" s="3010" t="str">
        <f>$E$1565</f>
        <v>ASHP-SEER21-Replace_CAC_NonElectricHeat_ER1_SF</v>
      </c>
      <c r="G2441" s="2676"/>
      <c r="H2441" s="2676"/>
      <c r="I2441" s="2677"/>
      <c r="J2441" s="3298" t="str">
        <f>$C$1565</f>
        <v>353560_2021_12_</v>
      </c>
      <c r="K2441" s="2228">
        <v>10.727272727272727</v>
      </c>
      <c r="L2441" s="851"/>
      <c r="M2441" s="2723" t="s">
        <v>1125</v>
      </c>
      <c r="N2441" s="123"/>
      <c r="O2441" s="228"/>
      <c r="P2441" s="844"/>
      <c r="Q2441" s="845"/>
      <c r="R2441" s="844"/>
      <c r="S2441" s="832"/>
      <c r="T2441" s="3082"/>
      <c r="U2441" s="123"/>
      <c r="V2441" s="3990"/>
      <c r="W2441" s="2857"/>
      <c r="X2441" s="2857"/>
      <c r="Y2441" s="2857"/>
      <c r="Z2441" s="2857"/>
      <c r="AA2441" s="2857"/>
      <c r="AB2441" s="2855"/>
      <c r="AC2441" s="2228">
        <v>10.727272727272727</v>
      </c>
      <c r="AD2441" s="2857"/>
      <c r="AE2441" s="2857"/>
      <c r="AF2441" s="2857"/>
      <c r="AG2441" s="2857"/>
      <c r="BB2441" s="575"/>
      <c r="BC2441" s="576"/>
      <c r="BD2441" s="678"/>
      <c r="BE2441" s="585"/>
    </row>
    <row r="2442" spans="1:57" s="1942" customFormat="1" ht="15" hidden="1" customHeight="1" outlineLevel="1" x14ac:dyDescent="0.25">
      <c r="A2442" s="2060"/>
      <c r="B2442" s="123"/>
      <c r="C2442" s="328"/>
      <c r="D2442" s="3990"/>
      <c r="E2442" s="4009"/>
      <c r="F2442" s="3010" t="str">
        <f>$E$1567</f>
        <v>ASHP-SEER21-Replace_CAC_NonElectricHeat_ER2_SF</v>
      </c>
      <c r="G2442" s="2676"/>
      <c r="H2442" s="2676"/>
      <c r="I2442" s="2677"/>
      <c r="J2442" s="3298" t="str">
        <f>$C$1567</f>
        <v>353560_2021_12_</v>
      </c>
      <c r="K2442" s="2228">
        <f>K2441</f>
        <v>10.727272727272727</v>
      </c>
      <c r="L2442" s="851"/>
      <c r="M2442" s="2723" t="s">
        <v>1125</v>
      </c>
      <c r="N2442" s="123"/>
      <c r="O2442" s="228"/>
      <c r="P2442" s="844"/>
      <c r="Q2442" s="845"/>
      <c r="R2442" s="844"/>
      <c r="S2442" s="832"/>
      <c r="T2442" s="3082"/>
      <c r="U2442" s="123"/>
      <c r="V2442" s="3990"/>
      <c r="W2442" s="2857"/>
      <c r="X2442" s="2857"/>
      <c r="Y2442" s="2857"/>
      <c r="Z2442" s="2857"/>
      <c r="AA2442" s="2857"/>
      <c r="AB2442" s="2855"/>
      <c r="AC2442" s="2228">
        <f>AC2441</f>
        <v>10.727272727272727</v>
      </c>
      <c r="AD2442" s="2857"/>
      <c r="AE2442" s="2857"/>
      <c r="AF2442" s="2857"/>
      <c r="AG2442" s="2857"/>
      <c r="BB2442" s="575"/>
      <c r="BC2442" s="576"/>
      <c r="BD2442" s="678"/>
      <c r="BE2442" s="585"/>
    </row>
    <row r="2443" spans="1:57" s="51" customFormat="1" ht="15" hidden="1" customHeight="1" outlineLevel="1" x14ac:dyDescent="0.25">
      <c r="A2443" s="2060"/>
      <c r="B2443" s="123"/>
      <c r="C2443" s="328"/>
      <c r="D2443" s="3990"/>
      <c r="E2443" s="4009"/>
      <c r="F2443" s="3010" t="str">
        <f>$E$1569</f>
        <v>ASHP-SEER21-Replace_CAC_ElectricHeat_ER1_MF</v>
      </c>
      <c r="G2443" s="2676"/>
      <c r="H2443" s="2676"/>
      <c r="I2443" s="2677"/>
      <c r="J2443" s="3299" t="str">
        <f>$C$1569</f>
        <v>353600_2019_12_</v>
      </c>
      <c r="K2443" s="2282">
        <v>9.4</v>
      </c>
      <c r="L2443" s="851"/>
      <c r="M2443" s="2278" t="s">
        <v>1556</v>
      </c>
      <c r="N2443" s="123"/>
      <c r="O2443" s="228"/>
      <c r="P2443" s="844"/>
      <c r="Q2443" s="845"/>
      <c r="R2443" s="844"/>
      <c r="S2443" s="832"/>
      <c r="T2443" s="3082"/>
      <c r="U2443" s="123"/>
      <c r="V2443" s="3990"/>
      <c r="W2443" s="2857">
        <v>9.4</v>
      </c>
      <c r="X2443" s="2857">
        <v>9.4</v>
      </c>
      <c r="Y2443" s="2857">
        <v>9.4</v>
      </c>
      <c r="Z2443" s="2857">
        <v>9.4</v>
      </c>
      <c r="AA2443" s="2857">
        <v>9.4</v>
      </c>
      <c r="AB2443" s="2855">
        <v>9.4</v>
      </c>
      <c r="AC2443" s="2282">
        <v>9.4</v>
      </c>
      <c r="AD2443" s="2857"/>
      <c r="AE2443" s="2857"/>
      <c r="AF2443" s="2857"/>
      <c r="AG2443" s="2857"/>
      <c r="AH2443" s="1942"/>
      <c r="AI2443" s="1942"/>
      <c r="AJ2443" s="1942"/>
      <c r="AK2443" s="1942"/>
      <c r="AL2443" s="1942"/>
      <c r="AM2443" s="1942"/>
      <c r="AN2443" s="1942"/>
      <c r="AO2443" s="1942"/>
      <c r="AP2443" s="1942"/>
      <c r="AQ2443" s="1942"/>
      <c r="AR2443" s="1942"/>
      <c r="AS2443" s="1942"/>
      <c r="AT2443" s="1942"/>
      <c r="AU2443" s="1942"/>
      <c r="AV2443" s="1942"/>
      <c r="AW2443" s="1942"/>
      <c r="AX2443" s="1942"/>
      <c r="AY2443" s="1942"/>
      <c r="AZ2443" s="1942"/>
      <c r="BA2443" s="1942"/>
      <c r="BB2443" s="575"/>
      <c r="BC2443" s="576"/>
      <c r="BD2443" s="678"/>
      <c r="BE2443" s="585"/>
    </row>
    <row r="2444" spans="1:57" s="51" customFormat="1" ht="15" hidden="1" customHeight="1" outlineLevel="1" x14ac:dyDescent="0.25">
      <c r="A2444" s="2060"/>
      <c r="B2444" s="123"/>
      <c r="C2444" s="328"/>
      <c r="D2444" s="3990"/>
      <c r="E2444" s="4009"/>
      <c r="F2444" s="3010" t="str">
        <f>$E$1571</f>
        <v>ASHP-SEER21-Replace_CAC_ElectricHeat_ER2_MF</v>
      </c>
      <c r="G2444" s="2676"/>
      <c r="H2444" s="2676"/>
      <c r="I2444" s="2677"/>
      <c r="J2444" s="3299" t="str">
        <f>$C$1571</f>
        <v>353600_2019_12_</v>
      </c>
      <c r="K2444" s="2282">
        <v>9.4</v>
      </c>
      <c r="L2444" s="851"/>
      <c r="M2444" s="2278" t="s">
        <v>1556</v>
      </c>
      <c r="N2444" s="123"/>
      <c r="O2444" s="228"/>
      <c r="P2444" s="844"/>
      <c r="Q2444" s="845"/>
      <c r="R2444" s="844"/>
      <c r="S2444" s="832"/>
      <c r="T2444" s="3082"/>
      <c r="U2444" s="123"/>
      <c r="V2444" s="3990"/>
      <c r="W2444" s="2857">
        <v>9.4</v>
      </c>
      <c r="X2444" s="2857">
        <v>9.4</v>
      </c>
      <c r="Y2444" s="2857">
        <v>9.4</v>
      </c>
      <c r="Z2444" s="2857">
        <v>9.4</v>
      </c>
      <c r="AA2444" s="2857">
        <v>9.4</v>
      </c>
      <c r="AB2444" s="2855">
        <v>9.4</v>
      </c>
      <c r="AC2444" s="2282">
        <v>9.4</v>
      </c>
      <c r="AD2444" s="2857"/>
      <c r="AE2444" s="2857"/>
      <c r="AF2444" s="2857"/>
      <c r="AG2444" s="2857"/>
      <c r="AH2444" s="1942"/>
      <c r="AI2444" s="1942"/>
      <c r="AJ2444" s="1942"/>
      <c r="AK2444" s="1942"/>
      <c r="AL2444" s="1942"/>
      <c r="AM2444" s="1942"/>
      <c r="AN2444" s="1942"/>
      <c r="AO2444" s="1942"/>
      <c r="AP2444" s="1942"/>
      <c r="AQ2444" s="1942"/>
      <c r="AR2444" s="1942"/>
      <c r="AS2444" s="1942"/>
      <c r="AT2444" s="1942"/>
      <c r="AU2444" s="1942"/>
      <c r="AV2444" s="1942"/>
      <c r="AW2444" s="1942"/>
      <c r="AX2444" s="1942"/>
      <c r="AY2444" s="1942"/>
      <c r="AZ2444" s="1942"/>
      <c r="BA2444" s="1942"/>
      <c r="BB2444" s="575"/>
      <c r="BC2444" s="576"/>
      <c r="BD2444" s="678"/>
      <c r="BE2444" s="585"/>
    </row>
    <row r="2445" spans="1:57" s="51" customFormat="1" ht="15" hidden="1" customHeight="1" outlineLevel="1" x14ac:dyDescent="0.25">
      <c r="A2445" s="2060"/>
      <c r="B2445" s="123"/>
      <c r="C2445" s="328"/>
      <c r="D2445" s="3990"/>
      <c r="E2445" s="4009"/>
      <c r="F2445" s="3010" t="str">
        <f>$E$1573</f>
        <v>ASHP-SEER21-Replace_CAC_ElectricHeat_ER1_MF_CompE</v>
      </c>
      <c r="G2445" s="2676"/>
      <c r="H2445" s="2676"/>
      <c r="I2445" s="2677"/>
      <c r="J2445" s="3299" t="str">
        <f>$C$1573</f>
        <v>353601_2019_12_</v>
      </c>
      <c r="K2445" s="2282">
        <v>9.4</v>
      </c>
      <c r="L2445" s="851"/>
      <c r="M2445" s="2723" t="s">
        <v>1125</v>
      </c>
      <c r="N2445" s="123"/>
      <c r="O2445" s="228"/>
      <c r="P2445" s="844"/>
      <c r="Q2445" s="845"/>
      <c r="R2445" s="844"/>
      <c r="S2445" s="832"/>
      <c r="T2445" s="3082"/>
      <c r="U2445" s="123"/>
      <c r="V2445" s="3990"/>
      <c r="W2445" s="2857"/>
      <c r="X2445" s="2857"/>
      <c r="Y2445" s="3155">
        <v>9.4</v>
      </c>
      <c r="Z2445" s="2857">
        <v>9.4</v>
      </c>
      <c r="AA2445" s="2857">
        <v>9.4</v>
      </c>
      <c r="AB2445" s="2855">
        <v>9.4</v>
      </c>
      <c r="AC2445" s="2282">
        <v>9.4</v>
      </c>
      <c r="AD2445" s="2857"/>
      <c r="AE2445" s="2857"/>
      <c r="AF2445" s="2857"/>
      <c r="AG2445" s="2857"/>
      <c r="AH2445" s="1942"/>
      <c r="AI2445" s="1942"/>
      <c r="AJ2445" s="1942"/>
      <c r="AK2445" s="1942"/>
      <c r="AL2445" s="1942"/>
      <c r="AM2445" s="1942"/>
      <c r="AN2445" s="1942"/>
      <c r="AO2445" s="1942"/>
      <c r="AP2445" s="1942"/>
      <c r="AQ2445" s="1942"/>
      <c r="AR2445" s="1942"/>
      <c r="AS2445" s="1942"/>
      <c r="AT2445" s="1942"/>
      <c r="AU2445" s="1942"/>
      <c r="AV2445" s="1942"/>
      <c r="AW2445" s="1942"/>
      <c r="AX2445" s="1942"/>
      <c r="AY2445" s="1942"/>
      <c r="AZ2445" s="1942"/>
      <c r="BA2445" s="1942"/>
      <c r="BB2445" s="575"/>
      <c r="BC2445" s="576"/>
      <c r="BD2445" s="678"/>
      <c r="BE2445" s="585"/>
    </row>
    <row r="2446" spans="1:57" s="51" customFormat="1" ht="15" hidden="1" customHeight="1" outlineLevel="1" x14ac:dyDescent="0.25">
      <c r="A2446" s="2060"/>
      <c r="B2446" s="123"/>
      <c r="C2446" s="328"/>
      <c r="D2446" s="3990"/>
      <c r="E2446" s="4009"/>
      <c r="F2446" s="3010" t="str">
        <f>$E$1575</f>
        <v>ASHP-SEER21-Replace_CAC_ElectricHeat_ER2_MF_CompE</v>
      </c>
      <c r="G2446" s="2676"/>
      <c r="H2446" s="2676"/>
      <c r="I2446" s="2677"/>
      <c r="J2446" s="3299" t="str">
        <f>$C$1575</f>
        <v>353601_2019_12_</v>
      </c>
      <c r="K2446" s="2282">
        <v>9.4</v>
      </c>
      <c r="L2446" s="851"/>
      <c r="M2446" s="2723" t="s">
        <v>1125</v>
      </c>
      <c r="N2446" s="123"/>
      <c r="O2446" s="228"/>
      <c r="P2446" s="844"/>
      <c r="Q2446" s="845"/>
      <c r="R2446" s="844"/>
      <c r="S2446" s="832"/>
      <c r="T2446" s="3082"/>
      <c r="U2446" s="123"/>
      <c r="V2446" s="3990"/>
      <c r="W2446" s="2857"/>
      <c r="X2446" s="2857"/>
      <c r="Y2446" s="3155">
        <v>9.4</v>
      </c>
      <c r="Z2446" s="2857">
        <v>9.4</v>
      </c>
      <c r="AA2446" s="2857">
        <v>9.4</v>
      </c>
      <c r="AB2446" s="2855">
        <v>9.4</v>
      </c>
      <c r="AC2446" s="2282">
        <v>9.4</v>
      </c>
      <c r="AD2446" s="2857"/>
      <c r="AE2446" s="2857"/>
      <c r="AF2446" s="2857"/>
      <c r="AG2446" s="2857"/>
      <c r="AH2446" s="1942"/>
      <c r="AI2446" s="1942"/>
      <c r="AJ2446" s="1942"/>
      <c r="AK2446" s="1942"/>
      <c r="AL2446" s="1942"/>
      <c r="AM2446" s="1942"/>
      <c r="AN2446" s="1942"/>
      <c r="AO2446" s="1942"/>
      <c r="AP2446" s="1942"/>
      <c r="AQ2446" s="1942"/>
      <c r="AR2446" s="1942"/>
      <c r="AS2446" s="1942"/>
      <c r="AT2446" s="1942"/>
      <c r="AU2446" s="1942"/>
      <c r="AV2446" s="1942"/>
      <c r="AW2446" s="1942"/>
      <c r="AX2446" s="1942"/>
      <c r="AY2446" s="1942"/>
      <c r="AZ2446" s="1942"/>
      <c r="BA2446" s="1942"/>
      <c r="BB2446" s="575"/>
      <c r="BC2446" s="576"/>
      <c r="BD2446" s="678"/>
      <c r="BE2446" s="585"/>
    </row>
    <row r="2447" spans="1:57" s="1942" customFormat="1" ht="15" hidden="1" customHeight="1" outlineLevel="1" x14ac:dyDescent="0.25">
      <c r="A2447" s="2060"/>
      <c r="B2447" s="123"/>
      <c r="C2447" s="328"/>
      <c r="D2447" s="3990"/>
      <c r="E2447" s="4009"/>
      <c r="F2447" s="3010" t="str">
        <f>$E$1577</f>
        <v>ASHP-SEER21-Replace_CAC_NonElectricHeat_ER1_MF</v>
      </c>
      <c r="G2447" s="2676"/>
      <c r="H2447" s="2676"/>
      <c r="I2447" s="2677"/>
      <c r="J2447" s="3298" t="str">
        <f>$C$1577</f>
        <v>353610_2021_12_</v>
      </c>
      <c r="K2447" s="2228">
        <v>9.4</v>
      </c>
      <c r="L2447" s="851"/>
      <c r="M2447" s="2723" t="s">
        <v>1125</v>
      </c>
      <c r="N2447" s="123"/>
      <c r="O2447" s="228"/>
      <c r="P2447" s="844"/>
      <c r="Q2447" s="845"/>
      <c r="R2447" s="844"/>
      <c r="S2447" s="832"/>
      <c r="T2447" s="3082"/>
      <c r="U2447" s="123"/>
      <c r="V2447" s="3990"/>
      <c r="W2447" s="2857"/>
      <c r="X2447" s="2857"/>
      <c r="Y2447" s="3155"/>
      <c r="Z2447" s="2857"/>
      <c r="AA2447" s="2857"/>
      <c r="AB2447" s="2855"/>
      <c r="AC2447" s="2228">
        <v>9.4</v>
      </c>
      <c r="AD2447" s="2857"/>
      <c r="AE2447" s="2857"/>
      <c r="AF2447" s="2857"/>
      <c r="AG2447" s="2857"/>
      <c r="BB2447" s="575"/>
      <c r="BC2447" s="576"/>
      <c r="BD2447" s="678"/>
      <c r="BE2447" s="585"/>
    </row>
    <row r="2448" spans="1:57" s="1942" customFormat="1" ht="15" hidden="1" customHeight="1" outlineLevel="1" x14ac:dyDescent="0.25">
      <c r="A2448" s="2060"/>
      <c r="B2448" s="123"/>
      <c r="C2448" s="328"/>
      <c r="D2448" s="3990"/>
      <c r="E2448" s="4009"/>
      <c r="F2448" s="3010" t="str">
        <f>$E$1579</f>
        <v>ASHP-SEER21-Replace_CAC_NonElectricHeat_ER2_MF</v>
      </c>
      <c r="G2448" s="2676"/>
      <c r="H2448" s="2676"/>
      <c r="I2448" s="2677"/>
      <c r="J2448" s="3298" t="str">
        <f>$C$1579</f>
        <v>353610_2021_12_</v>
      </c>
      <c r="K2448" s="2228">
        <v>9.4</v>
      </c>
      <c r="L2448" s="851"/>
      <c r="M2448" s="2723" t="s">
        <v>1125</v>
      </c>
      <c r="N2448" s="123"/>
      <c r="O2448" s="228"/>
      <c r="P2448" s="844"/>
      <c r="Q2448" s="845"/>
      <c r="R2448" s="844"/>
      <c r="S2448" s="832"/>
      <c r="T2448" s="3082"/>
      <c r="U2448" s="123"/>
      <c r="V2448" s="3990"/>
      <c r="W2448" s="2857"/>
      <c r="X2448" s="2857"/>
      <c r="Y2448" s="3155"/>
      <c r="Z2448" s="2857"/>
      <c r="AA2448" s="2857"/>
      <c r="AB2448" s="2855"/>
      <c r="AC2448" s="2228">
        <v>9.4</v>
      </c>
      <c r="AD2448" s="2857"/>
      <c r="AE2448" s="2857"/>
      <c r="AF2448" s="2857"/>
      <c r="AG2448" s="2857"/>
      <c r="BB2448" s="575"/>
      <c r="BC2448" s="576"/>
      <c r="BD2448" s="678"/>
      <c r="BE2448" s="585"/>
    </row>
    <row r="2449" spans="1:57" s="1942" customFormat="1" ht="15" hidden="1" customHeight="1" outlineLevel="1" x14ac:dyDescent="0.25">
      <c r="A2449" s="2060"/>
      <c r="B2449" s="123"/>
      <c r="C2449" s="328"/>
      <c r="D2449" s="3990"/>
      <c r="E2449" s="4009"/>
      <c r="F2449" s="3010" t="str">
        <f>$E$1581</f>
        <v>ASHP-SEER21-Replace_CAC_NonElectricHeat_ER1_MF_CompE</v>
      </c>
      <c r="G2449" s="2676"/>
      <c r="H2449" s="2676"/>
      <c r="I2449" s="2677"/>
      <c r="J2449" s="3298" t="str">
        <f>$C$1581</f>
        <v>353611_2021_12_</v>
      </c>
      <c r="K2449" s="2228">
        <v>9.4</v>
      </c>
      <c r="L2449" s="851"/>
      <c r="M2449" s="2723" t="s">
        <v>1125</v>
      </c>
      <c r="N2449" s="123"/>
      <c r="O2449" s="228"/>
      <c r="P2449" s="844"/>
      <c r="Q2449" s="845"/>
      <c r="R2449" s="844"/>
      <c r="S2449" s="832"/>
      <c r="T2449" s="3082"/>
      <c r="U2449" s="123"/>
      <c r="V2449" s="3990"/>
      <c r="W2449" s="2857"/>
      <c r="X2449" s="2857"/>
      <c r="Y2449" s="3155"/>
      <c r="Z2449" s="2857"/>
      <c r="AA2449" s="2857"/>
      <c r="AB2449" s="2855"/>
      <c r="AC2449" s="2228">
        <v>9.4</v>
      </c>
      <c r="AD2449" s="2857"/>
      <c r="AE2449" s="2857"/>
      <c r="AF2449" s="2857"/>
      <c r="AG2449" s="2857"/>
      <c r="BB2449" s="575"/>
      <c r="BC2449" s="576"/>
      <c r="BD2449" s="678"/>
      <c r="BE2449" s="585"/>
    </row>
    <row r="2450" spans="1:57" s="1942" customFormat="1" ht="15" hidden="1" customHeight="1" outlineLevel="1" x14ac:dyDescent="0.25">
      <c r="A2450" s="2060"/>
      <c r="B2450" s="123"/>
      <c r="C2450" s="328"/>
      <c r="D2450" s="3990"/>
      <c r="E2450" s="4009"/>
      <c r="F2450" s="3010" t="str">
        <f>$E$1583</f>
        <v>ASHP-SEER21-Replace_CAC_NonElectricHeat_ER2_MF_CompE</v>
      </c>
      <c r="G2450" s="2676"/>
      <c r="H2450" s="2676"/>
      <c r="I2450" s="2677"/>
      <c r="J2450" s="3298" t="str">
        <f>$C$1583</f>
        <v>353611_2021_12_</v>
      </c>
      <c r="K2450" s="2228">
        <v>9.4</v>
      </c>
      <c r="L2450" s="851"/>
      <c r="M2450" s="2723" t="s">
        <v>1125</v>
      </c>
      <c r="N2450" s="123"/>
      <c r="O2450" s="228"/>
      <c r="P2450" s="844"/>
      <c r="Q2450" s="845"/>
      <c r="R2450" s="844"/>
      <c r="S2450" s="832"/>
      <c r="T2450" s="3082"/>
      <c r="U2450" s="123"/>
      <c r="V2450" s="3990"/>
      <c r="W2450" s="2857"/>
      <c r="X2450" s="2857"/>
      <c r="Y2450" s="3155"/>
      <c r="Z2450" s="2857"/>
      <c r="AA2450" s="2857"/>
      <c r="AB2450" s="2855"/>
      <c r="AC2450" s="2228">
        <v>9.4</v>
      </c>
      <c r="AD2450" s="2857"/>
      <c r="AE2450" s="2857"/>
      <c r="AF2450" s="2857"/>
      <c r="AG2450" s="2857"/>
      <c r="BB2450" s="575"/>
      <c r="BC2450" s="576"/>
      <c r="BD2450" s="678"/>
      <c r="BE2450" s="585"/>
    </row>
    <row r="2451" spans="1:57" s="51" customFormat="1" ht="15" hidden="1" customHeight="1" outlineLevel="1" x14ac:dyDescent="0.25">
      <c r="A2451" s="2060"/>
      <c r="B2451" s="123"/>
      <c r="C2451" s="328"/>
      <c r="D2451" s="3990"/>
      <c r="E2451" s="4009"/>
      <c r="F2451" s="3010" t="str">
        <f>$E$1585</f>
        <v>ASHP-SEER21-Replace_CAC_ElectricHeat_ROF_SF</v>
      </c>
      <c r="G2451" s="2676"/>
      <c r="H2451" s="2676"/>
      <c r="I2451" s="2677"/>
      <c r="J2451" s="3298" t="str">
        <f>$C$1585</f>
        <v>353650_2021_12_</v>
      </c>
      <c r="K2451" s="2228">
        <v>10.5</v>
      </c>
      <c r="L2451" s="851"/>
      <c r="M2451" s="2728" t="s">
        <v>1555</v>
      </c>
      <c r="N2451" s="123"/>
      <c r="O2451" s="228"/>
      <c r="P2451" s="844"/>
      <c r="Q2451" s="845"/>
      <c r="R2451" s="844"/>
      <c r="S2451" s="832"/>
      <c r="T2451" s="3082"/>
      <c r="U2451" s="123"/>
      <c r="V2451" s="3990"/>
      <c r="W2451" s="2857">
        <v>9.6999999999999993</v>
      </c>
      <c r="X2451" s="2857">
        <v>9.6999999999999993</v>
      </c>
      <c r="Y2451" s="2857">
        <v>9.6999999999999993</v>
      </c>
      <c r="Z2451" s="2857">
        <v>9.6999999999999993</v>
      </c>
      <c r="AA2451" s="2857">
        <v>9.6999999999999993</v>
      </c>
      <c r="AB2451" s="2855">
        <v>9.6999999999999993</v>
      </c>
      <c r="AC2451" s="2228">
        <v>10.5</v>
      </c>
      <c r="AD2451" s="2857"/>
      <c r="AE2451" s="2857"/>
      <c r="AF2451" s="2857"/>
      <c r="AG2451" s="2857"/>
      <c r="AH2451" s="1942"/>
      <c r="AI2451" s="1942"/>
      <c r="AJ2451" s="1942"/>
      <c r="AK2451" s="1942"/>
      <c r="AL2451" s="1942"/>
      <c r="AM2451" s="1942"/>
      <c r="AN2451" s="1942"/>
      <c r="AO2451" s="1942"/>
      <c r="AP2451" s="1942"/>
      <c r="AQ2451" s="1942"/>
      <c r="AR2451" s="1942"/>
      <c r="AS2451" s="1942"/>
      <c r="AT2451" s="1942"/>
      <c r="AU2451" s="1942"/>
      <c r="AV2451" s="1942"/>
      <c r="AW2451" s="1942"/>
      <c r="AX2451" s="1942"/>
      <c r="AY2451" s="1942"/>
      <c r="AZ2451" s="1942"/>
      <c r="BA2451" s="1942"/>
      <c r="BB2451" s="575"/>
      <c r="BC2451" s="576"/>
      <c r="BD2451" s="678"/>
      <c r="BE2451" s="585"/>
    </row>
    <row r="2452" spans="1:57" s="51" customFormat="1" ht="15" hidden="1" customHeight="1" outlineLevel="1" x14ac:dyDescent="0.25">
      <c r="A2452" s="1267"/>
      <c r="B2452" s="123"/>
      <c r="C2452" s="328"/>
      <c r="D2452" s="3990"/>
      <c r="E2452" s="4009"/>
      <c r="F2452" s="3010" t="str">
        <f>$E$1587</f>
        <v>ASHP-SEER21+-Replace_CAC_ElectricHeat_ROF_MF</v>
      </c>
      <c r="G2452" s="2676"/>
      <c r="H2452" s="2676"/>
      <c r="I2452" s="2677"/>
      <c r="J2452" s="3299" t="str">
        <f>$C$1587</f>
        <v>353700_2019_12_</v>
      </c>
      <c r="K2452" s="2282">
        <v>9.6999999999999993</v>
      </c>
      <c r="L2452" s="851"/>
      <c r="M2452" s="2278" t="s">
        <v>1556</v>
      </c>
      <c r="N2452" s="123"/>
      <c r="O2452" s="228"/>
      <c r="P2452" s="228"/>
      <c r="Q2452" s="228"/>
      <c r="R2452" s="228"/>
      <c r="S2452" s="123"/>
      <c r="T2452" s="123"/>
      <c r="U2452" s="123"/>
      <c r="V2452" s="3990"/>
      <c r="W2452" s="2857">
        <v>9.6999999999999993</v>
      </c>
      <c r="X2452" s="2857">
        <v>9.6999999999999993</v>
      </c>
      <c r="Y2452" s="2857">
        <v>9.6999999999999993</v>
      </c>
      <c r="Z2452" s="2857">
        <v>9.6999999999999993</v>
      </c>
      <c r="AA2452" s="2857">
        <v>9.6999999999999993</v>
      </c>
      <c r="AB2452" s="2855">
        <v>9.6999999999999993</v>
      </c>
      <c r="AC2452" s="2282">
        <v>9.6999999999999993</v>
      </c>
      <c r="AD2452" s="2857"/>
      <c r="AE2452" s="2857"/>
      <c r="AF2452" s="2857"/>
      <c r="AG2452" s="2857"/>
      <c r="AH2452" s="1942"/>
      <c r="AI2452" s="1942"/>
      <c r="AJ2452" s="1942"/>
      <c r="AK2452" s="1942"/>
      <c r="AL2452" s="1942"/>
      <c r="AM2452" s="1942"/>
      <c r="AN2452" s="1942"/>
      <c r="AO2452" s="1942"/>
      <c r="AP2452" s="1942"/>
      <c r="AQ2452" s="1942"/>
      <c r="AR2452" s="1942"/>
      <c r="AS2452" s="1942"/>
      <c r="AT2452" s="1942"/>
      <c r="AU2452" s="1942"/>
      <c r="AV2452" s="1942"/>
      <c r="AW2452" s="1942"/>
      <c r="AX2452" s="1942"/>
      <c r="AY2452" s="1942"/>
      <c r="AZ2452" s="1942"/>
      <c r="BA2452" s="1942"/>
      <c r="BB2452" s="575"/>
      <c r="BC2452" s="576"/>
      <c r="BD2452" s="678"/>
      <c r="BE2452" s="585"/>
    </row>
    <row r="2453" spans="1:57" s="51" customFormat="1" ht="15" hidden="1" customHeight="1" outlineLevel="1" x14ac:dyDescent="0.25">
      <c r="A2453" s="1267"/>
      <c r="B2453" s="123"/>
      <c r="C2453" s="328"/>
      <c r="D2453" s="3990"/>
      <c r="E2453" s="4009"/>
      <c r="F2453" s="3010" t="str">
        <f>$E$1589</f>
        <v>ASHP-SEER21+-Replace_CAC_ElectricHeat_ROF_MF_CompE</v>
      </c>
      <c r="G2453" s="2676"/>
      <c r="H2453" s="2676"/>
      <c r="I2453" s="2677"/>
      <c r="J2453" s="3299" t="str">
        <f>$C$1589</f>
        <v>353701_2019_12_</v>
      </c>
      <c r="K2453" s="2282">
        <v>9.6999999999999993</v>
      </c>
      <c r="L2453" s="851"/>
      <c r="M2453" s="2278"/>
      <c r="N2453" s="123"/>
      <c r="O2453" s="228"/>
      <c r="P2453" s="228"/>
      <c r="Q2453" s="228"/>
      <c r="R2453" s="228"/>
      <c r="S2453" s="123"/>
      <c r="T2453" s="123"/>
      <c r="U2453" s="123"/>
      <c r="V2453" s="3990"/>
      <c r="W2453" s="2857"/>
      <c r="X2453" s="2857"/>
      <c r="Y2453" s="3155">
        <v>9.6999999999999993</v>
      </c>
      <c r="Z2453" s="2857">
        <v>9.6999999999999993</v>
      </c>
      <c r="AA2453" s="2857">
        <v>9.6999999999999993</v>
      </c>
      <c r="AB2453" s="2855">
        <v>9.6999999999999993</v>
      </c>
      <c r="AC2453" s="2282">
        <v>9.6999999999999993</v>
      </c>
      <c r="AD2453" s="2857"/>
      <c r="AE2453" s="2857"/>
      <c r="AF2453" s="2857"/>
      <c r="AG2453" s="2857"/>
      <c r="AH2453" s="1942"/>
      <c r="AI2453" s="1942"/>
      <c r="AJ2453" s="1942"/>
      <c r="AK2453" s="1942"/>
      <c r="AL2453" s="1942"/>
      <c r="AM2453" s="1942"/>
      <c r="AN2453" s="1942"/>
      <c r="AO2453" s="1942"/>
      <c r="AP2453" s="1942"/>
      <c r="AQ2453" s="1942"/>
      <c r="AR2453" s="1942"/>
      <c r="AS2453" s="1942"/>
      <c r="AT2453" s="1942"/>
      <c r="AU2453" s="1942"/>
      <c r="AV2453" s="1942"/>
      <c r="AW2453" s="1942"/>
      <c r="AX2453" s="1942"/>
      <c r="AY2453" s="1942"/>
      <c r="AZ2453" s="1942"/>
      <c r="BA2453" s="1942"/>
      <c r="BB2453" s="575"/>
      <c r="BC2453" s="576"/>
      <c r="BD2453" s="678"/>
      <c r="BE2453" s="585"/>
    </row>
    <row r="2454" spans="1:57" s="1942" customFormat="1" ht="15" hidden="1" customHeight="1" outlineLevel="1" x14ac:dyDescent="0.25">
      <c r="A2454" s="1267"/>
      <c r="B2454" s="123"/>
      <c r="C2454" s="328"/>
      <c r="D2454" s="3990"/>
      <c r="E2454" s="4009"/>
      <c r="F2454" s="3010" t="str">
        <f>$E$1591</f>
        <v>ASHP-SEER21+-Replace_CAC_NonElectricHeat_ROF_MF</v>
      </c>
      <c r="G2454" s="2676"/>
      <c r="H2454" s="2676"/>
      <c r="I2454" s="2677"/>
      <c r="J2454" s="3298" t="str">
        <f>$C$1591</f>
        <v>353710_2021_12_</v>
      </c>
      <c r="K2454" s="2228">
        <v>9.6999999999999993</v>
      </c>
      <c r="L2454" s="851"/>
      <c r="M2454" s="2723" t="s">
        <v>1125</v>
      </c>
      <c r="N2454" s="123"/>
      <c r="O2454" s="228"/>
      <c r="P2454" s="228"/>
      <c r="Q2454" s="228"/>
      <c r="R2454" s="228"/>
      <c r="S2454" s="123"/>
      <c r="T2454" s="123"/>
      <c r="U2454" s="123"/>
      <c r="V2454" s="3990"/>
      <c r="W2454" s="2857"/>
      <c r="X2454" s="2857"/>
      <c r="Y2454" s="3155"/>
      <c r="Z2454" s="2857"/>
      <c r="AA2454" s="2857"/>
      <c r="AB2454" s="2855"/>
      <c r="AC2454" s="2228">
        <v>9.6999999999999993</v>
      </c>
      <c r="AD2454" s="2857"/>
      <c r="AE2454" s="2857"/>
      <c r="AF2454" s="2857"/>
      <c r="AG2454" s="2857"/>
      <c r="BB2454" s="575"/>
      <c r="BC2454" s="576"/>
      <c r="BD2454" s="678"/>
      <c r="BE2454" s="585"/>
    </row>
    <row r="2455" spans="1:57" s="1942" customFormat="1" ht="15" hidden="1" customHeight="1" outlineLevel="1" x14ac:dyDescent="0.25">
      <c r="A2455" s="1267"/>
      <c r="B2455" s="123"/>
      <c r="C2455" s="328"/>
      <c r="D2455" s="3990"/>
      <c r="E2455" s="4009"/>
      <c r="F2455" s="3010" t="str">
        <f>$E$1593</f>
        <v>ASHP-SEER21+-Replace_CAC_NonElectricHeat_ROF_MF_CompE</v>
      </c>
      <c r="G2455" s="2676"/>
      <c r="H2455" s="2676"/>
      <c r="I2455" s="2677"/>
      <c r="J2455" s="3298" t="str">
        <f>$C$1593</f>
        <v>353711_2021_12_</v>
      </c>
      <c r="K2455" s="2228">
        <v>9.6999999999999993</v>
      </c>
      <c r="L2455" s="851"/>
      <c r="M2455" s="2723" t="s">
        <v>1125</v>
      </c>
      <c r="N2455" s="123"/>
      <c r="O2455" s="228"/>
      <c r="P2455" s="228"/>
      <c r="Q2455" s="228"/>
      <c r="R2455" s="228"/>
      <c r="S2455" s="123"/>
      <c r="T2455" s="123"/>
      <c r="U2455" s="123"/>
      <c r="V2455" s="3990"/>
      <c r="W2455" s="2857"/>
      <c r="X2455" s="2857"/>
      <c r="Y2455" s="3155"/>
      <c r="Z2455" s="2857"/>
      <c r="AA2455" s="2857"/>
      <c r="AB2455" s="2855"/>
      <c r="AC2455" s="2228">
        <v>9.6999999999999993</v>
      </c>
      <c r="AD2455" s="2857"/>
      <c r="AE2455" s="2857"/>
      <c r="AF2455" s="2857"/>
      <c r="AG2455" s="2857"/>
      <c r="BB2455" s="575"/>
      <c r="BC2455" s="576"/>
      <c r="BD2455" s="678"/>
      <c r="BE2455" s="585"/>
    </row>
    <row r="2456" spans="1:57" s="51" customFormat="1" ht="15" hidden="1" customHeight="1" outlineLevel="1" x14ac:dyDescent="0.25">
      <c r="A2456" s="2060"/>
      <c r="B2456" s="123"/>
      <c r="C2456" s="328"/>
      <c r="D2456" s="3990"/>
      <c r="E2456" s="4009"/>
      <c r="F2456" s="3010" t="str">
        <f>$E$1595</f>
        <v>ASHP-SEER17_ER1_SF</v>
      </c>
      <c r="G2456" s="2676"/>
      <c r="H2456" s="2676"/>
      <c r="I2456" s="2677"/>
      <c r="J2456" s="3298" t="str">
        <f>$C$1595</f>
        <v>353750_2021_12_</v>
      </c>
      <c r="K2456" s="2228">
        <v>9.3857142857142861</v>
      </c>
      <c r="L2456" s="851"/>
      <c r="M2456" s="2728" t="s">
        <v>1555</v>
      </c>
      <c r="N2456" s="123"/>
      <c r="O2456" s="228"/>
      <c r="P2456" s="844"/>
      <c r="Q2456" s="845"/>
      <c r="R2456" s="844"/>
      <c r="S2456" s="832"/>
      <c r="T2456" s="3082"/>
      <c r="U2456" s="123"/>
      <c r="V2456" s="3990"/>
      <c r="W2456" s="2857">
        <v>9.5</v>
      </c>
      <c r="X2456" s="2857">
        <v>9.5</v>
      </c>
      <c r="Y2456" s="2857">
        <v>9.5</v>
      </c>
      <c r="Z2456" s="2857">
        <v>9.5</v>
      </c>
      <c r="AA2456" s="2857">
        <v>9.5</v>
      </c>
      <c r="AB2456" s="2855">
        <v>9.5</v>
      </c>
      <c r="AC2456" s="2228">
        <v>9.3857142857142861</v>
      </c>
      <c r="AD2456" s="2857"/>
      <c r="AE2456" s="2857"/>
      <c r="AF2456" s="2857"/>
      <c r="AG2456" s="2857"/>
      <c r="AH2456" s="1942"/>
      <c r="AI2456" s="1942"/>
      <c r="AJ2456" s="1942"/>
      <c r="AK2456" s="1942"/>
      <c r="AL2456" s="1942"/>
      <c r="AM2456" s="1942"/>
      <c r="AN2456" s="1942"/>
      <c r="AO2456" s="1942"/>
      <c r="AP2456" s="1942"/>
      <c r="AQ2456" s="1942"/>
      <c r="AR2456" s="1942"/>
      <c r="AS2456" s="1942"/>
      <c r="AT2456" s="1942"/>
      <c r="AU2456" s="1942"/>
      <c r="AV2456" s="1942"/>
      <c r="AW2456" s="1942"/>
      <c r="AX2456" s="1942"/>
      <c r="AY2456" s="1942"/>
      <c r="AZ2456" s="1942"/>
      <c r="BA2456" s="1942"/>
      <c r="BB2456" s="575"/>
      <c r="BC2456" s="576"/>
      <c r="BD2456" s="678"/>
      <c r="BE2456" s="585"/>
    </row>
    <row r="2457" spans="1:57" s="51" customFormat="1" ht="15" hidden="1" customHeight="1" outlineLevel="1" x14ac:dyDescent="0.25">
      <c r="A2457" s="1267"/>
      <c r="B2457" s="123"/>
      <c r="C2457" s="328"/>
      <c r="D2457" s="3990"/>
      <c r="E2457" s="4009"/>
      <c r="F2457" s="3010" t="str">
        <f>$E$1597</f>
        <v>ASHP-SEER17_ER2_SF</v>
      </c>
      <c r="G2457" s="2676"/>
      <c r="H2457" s="2676"/>
      <c r="I2457" s="2677"/>
      <c r="J2457" s="3298" t="str">
        <f>$C$1597</f>
        <v>353750_2021_12_</v>
      </c>
      <c r="K2457" s="2228">
        <f>K2456</f>
        <v>9.3857142857142861</v>
      </c>
      <c r="L2457" s="851"/>
      <c r="M2457" s="2728" t="s">
        <v>1555</v>
      </c>
      <c r="N2457" s="123"/>
      <c r="O2457" s="228"/>
      <c r="P2457" s="228"/>
      <c r="Q2457" s="228"/>
      <c r="R2457" s="228"/>
      <c r="S2457" s="123"/>
      <c r="T2457" s="123"/>
      <c r="U2457" s="123"/>
      <c r="V2457" s="3990"/>
      <c r="W2457" s="2857">
        <v>9.5</v>
      </c>
      <c r="X2457" s="2857">
        <v>9.5</v>
      </c>
      <c r="Y2457" s="2857">
        <v>9.5</v>
      </c>
      <c r="Z2457" s="2857">
        <v>9.5</v>
      </c>
      <c r="AA2457" s="2857">
        <v>9.5</v>
      </c>
      <c r="AB2457" s="2855">
        <v>9.5</v>
      </c>
      <c r="AC2457" s="2228">
        <f>AC2456</f>
        <v>9.3857142857142861</v>
      </c>
      <c r="AD2457" s="2857"/>
      <c r="AE2457" s="2857"/>
      <c r="AF2457" s="2857"/>
      <c r="AG2457" s="2857"/>
      <c r="AH2457" s="1942"/>
      <c r="AI2457" s="1942"/>
      <c r="AJ2457" s="1942"/>
      <c r="AK2457" s="1942"/>
      <c r="AL2457" s="1942"/>
      <c r="AM2457" s="1942"/>
      <c r="AN2457" s="1942"/>
      <c r="AO2457" s="1942"/>
      <c r="AP2457" s="1942"/>
      <c r="AQ2457" s="1942"/>
      <c r="AR2457" s="1942"/>
      <c r="AS2457" s="1942"/>
      <c r="AT2457" s="1942"/>
      <c r="AU2457" s="1942"/>
      <c r="AV2457" s="1942"/>
      <c r="AW2457" s="1942"/>
      <c r="AX2457" s="1942"/>
      <c r="AY2457" s="1942"/>
      <c r="AZ2457" s="1942"/>
      <c r="BA2457" s="1942"/>
      <c r="BB2457" s="575"/>
      <c r="BC2457" s="576"/>
      <c r="BD2457" s="678"/>
      <c r="BE2457" s="585"/>
    </row>
    <row r="2458" spans="1:57" s="51" customFormat="1" ht="15" hidden="1" customHeight="1" outlineLevel="1" x14ac:dyDescent="0.25">
      <c r="A2458" s="2060"/>
      <c r="B2458" s="123"/>
      <c r="C2458" s="328"/>
      <c r="D2458" s="3990"/>
      <c r="E2458" s="4009"/>
      <c r="F2458" s="3010" t="str">
        <f>$E$1599</f>
        <v>ASHP-SEER17_ROF_SF</v>
      </c>
      <c r="G2458" s="2676"/>
      <c r="H2458" s="2676"/>
      <c r="I2458" s="2677"/>
      <c r="J2458" s="3298" t="str">
        <f>$C$1599</f>
        <v>353800_2021_12_</v>
      </c>
      <c r="K2458" s="2228">
        <v>9.6047619047619044</v>
      </c>
      <c r="L2458" s="851"/>
      <c r="M2458" s="2728" t="s">
        <v>1555</v>
      </c>
      <c r="N2458" s="123"/>
      <c r="O2458" s="228"/>
      <c r="P2458" s="844"/>
      <c r="Q2458" s="845"/>
      <c r="R2458" s="844"/>
      <c r="S2458" s="832"/>
      <c r="T2458" s="3082"/>
      <c r="U2458" s="123"/>
      <c r="V2458" s="3990"/>
      <c r="W2458" s="2857">
        <v>9.8000000000000007</v>
      </c>
      <c r="X2458" s="2857">
        <v>9.8000000000000007</v>
      </c>
      <c r="Y2458" s="2857">
        <v>9.8000000000000007</v>
      </c>
      <c r="Z2458" s="2857">
        <v>9.8000000000000007</v>
      </c>
      <c r="AA2458" s="2857">
        <v>9.8000000000000007</v>
      </c>
      <c r="AB2458" s="2855">
        <v>9.8000000000000007</v>
      </c>
      <c r="AC2458" s="2228">
        <v>9.6047619047619044</v>
      </c>
      <c r="AD2458" s="2857"/>
      <c r="AE2458" s="2857"/>
      <c r="AF2458" s="2857"/>
      <c r="AG2458" s="2857"/>
      <c r="AH2458" s="1942"/>
      <c r="AI2458" s="1942"/>
      <c r="AJ2458" s="1942"/>
      <c r="AK2458" s="1942"/>
      <c r="AL2458" s="1942"/>
      <c r="AM2458" s="1942"/>
      <c r="AN2458" s="1942"/>
      <c r="AO2458" s="1942"/>
      <c r="AP2458" s="1942"/>
      <c r="AQ2458" s="1942"/>
      <c r="AR2458" s="1942"/>
      <c r="AS2458" s="1942"/>
      <c r="AT2458" s="1942"/>
      <c r="AU2458" s="1942"/>
      <c r="AV2458" s="1942"/>
      <c r="AW2458" s="1942"/>
      <c r="AX2458" s="1942"/>
      <c r="AY2458" s="1942"/>
      <c r="AZ2458" s="1942"/>
      <c r="BA2458" s="1942"/>
      <c r="BB2458" s="575"/>
      <c r="BC2458" s="576"/>
      <c r="BD2458" s="678"/>
      <c r="BE2458" s="585"/>
    </row>
    <row r="2459" spans="1:57" s="51" customFormat="1" ht="15" hidden="1" customHeight="1" outlineLevel="1" x14ac:dyDescent="0.25">
      <c r="A2459" s="1267"/>
      <c r="B2459" s="123"/>
      <c r="C2459" s="328"/>
      <c r="D2459" s="3990"/>
      <c r="E2459" s="4009"/>
      <c r="F2459" s="3010" t="str">
        <f>$E$1601</f>
        <v>ASHP-SEER18_ER1_SF</v>
      </c>
      <c r="G2459" s="2676"/>
      <c r="H2459" s="2676"/>
      <c r="I2459" s="2677"/>
      <c r="J2459" s="3298" t="str">
        <f>$C$1601</f>
        <v>353850_2021_12_</v>
      </c>
      <c r="K2459" s="2228">
        <v>9.9742424242424281</v>
      </c>
      <c r="L2459" s="851"/>
      <c r="M2459" s="2723" t="s">
        <v>1551</v>
      </c>
      <c r="N2459" s="123"/>
      <c r="O2459" s="228"/>
      <c r="P2459" s="228"/>
      <c r="Q2459" s="228"/>
      <c r="R2459" s="228"/>
      <c r="S2459" s="123"/>
      <c r="T2459" s="123"/>
      <c r="U2459" s="123"/>
      <c r="V2459" s="3990"/>
      <c r="W2459" s="2857">
        <v>9.5</v>
      </c>
      <c r="X2459" s="2857">
        <v>9.5</v>
      </c>
      <c r="Y2459" s="2857">
        <v>9.5</v>
      </c>
      <c r="Z2459" s="2857">
        <v>9.5</v>
      </c>
      <c r="AA2459" s="2857">
        <v>9.5</v>
      </c>
      <c r="AB2459" s="2266">
        <v>9.6830769230769231</v>
      </c>
      <c r="AC2459" s="2228">
        <v>9.9742424242424281</v>
      </c>
      <c r="AD2459" s="2857"/>
      <c r="AE2459" s="2857"/>
      <c r="AF2459" s="2857"/>
      <c r="AG2459" s="2857"/>
      <c r="AH2459" s="1942"/>
      <c r="AI2459" s="1942"/>
      <c r="AJ2459" s="1942"/>
      <c r="AK2459" s="1942"/>
      <c r="AL2459" s="1942"/>
      <c r="AM2459" s="1942"/>
      <c r="AN2459" s="1942"/>
      <c r="AO2459" s="1942"/>
      <c r="AP2459" s="1942"/>
      <c r="AQ2459" s="1942"/>
      <c r="AR2459" s="1942"/>
      <c r="AS2459" s="1942"/>
      <c r="AT2459" s="1942"/>
      <c r="AU2459" s="1942"/>
      <c r="AV2459" s="1942"/>
      <c r="AW2459" s="1942"/>
      <c r="AX2459" s="1942"/>
      <c r="AY2459" s="1942"/>
      <c r="AZ2459" s="1942"/>
      <c r="BA2459" s="1942"/>
      <c r="BB2459" s="575"/>
      <c r="BC2459" s="576"/>
      <c r="BD2459" s="678"/>
      <c r="BE2459" s="585"/>
    </row>
    <row r="2460" spans="1:57" s="51" customFormat="1" ht="15" hidden="1" customHeight="1" outlineLevel="1" x14ac:dyDescent="0.25">
      <c r="A2460" s="1267"/>
      <c r="B2460" s="123"/>
      <c r="C2460" s="328"/>
      <c r="D2460" s="3990"/>
      <c r="E2460" s="4009"/>
      <c r="F2460" s="3010" t="str">
        <f>$E$1603</f>
        <v>ASHP-SEER18_ER2_SF</v>
      </c>
      <c r="G2460" s="2676"/>
      <c r="H2460" s="2676"/>
      <c r="I2460" s="2677"/>
      <c r="J2460" s="3298" t="str">
        <f>$C$1603</f>
        <v>353850_2021_12_</v>
      </c>
      <c r="K2460" s="2228">
        <f>K2459</f>
        <v>9.9742424242424281</v>
      </c>
      <c r="L2460" s="851"/>
      <c r="M2460" s="2723" t="s">
        <v>1551</v>
      </c>
      <c r="N2460" s="123"/>
      <c r="O2460" s="228"/>
      <c r="P2460" s="228"/>
      <c r="Q2460" s="228"/>
      <c r="R2460" s="228"/>
      <c r="S2460" s="123"/>
      <c r="T2460" s="123"/>
      <c r="U2460" s="123"/>
      <c r="V2460" s="3990"/>
      <c r="W2460" s="2857">
        <v>9.5</v>
      </c>
      <c r="X2460" s="2857">
        <v>9.5</v>
      </c>
      <c r="Y2460" s="2857">
        <v>9.5</v>
      </c>
      <c r="Z2460" s="2857">
        <v>9.5</v>
      </c>
      <c r="AA2460" s="2857">
        <v>9.5</v>
      </c>
      <c r="AB2460" s="2266">
        <v>9.6830769230769231</v>
      </c>
      <c r="AC2460" s="2228">
        <f>AC2459</f>
        <v>9.9742424242424281</v>
      </c>
      <c r="AD2460" s="2857"/>
      <c r="AE2460" s="2857"/>
      <c r="AF2460" s="2857"/>
      <c r="AG2460" s="2857"/>
      <c r="AH2460" s="1942"/>
      <c r="AI2460" s="1942"/>
      <c r="AJ2460" s="1942"/>
      <c r="AK2460" s="1942"/>
      <c r="AL2460" s="1942"/>
      <c r="AM2460" s="1942"/>
      <c r="AN2460" s="1942"/>
      <c r="AO2460" s="1942"/>
      <c r="AP2460" s="1942"/>
      <c r="AQ2460" s="1942"/>
      <c r="AR2460" s="1942"/>
      <c r="AS2460" s="1942"/>
      <c r="AT2460" s="1942"/>
      <c r="AU2460" s="1942"/>
      <c r="AV2460" s="1942"/>
      <c r="AW2460" s="1942"/>
      <c r="AX2460" s="1942"/>
      <c r="AY2460" s="1942"/>
      <c r="AZ2460" s="1942"/>
      <c r="BA2460" s="1942"/>
      <c r="BB2460" s="575"/>
      <c r="BC2460" s="576"/>
      <c r="BD2460" s="678"/>
      <c r="BE2460" s="585"/>
    </row>
    <row r="2461" spans="1:57" s="51" customFormat="1" ht="15" hidden="1" customHeight="1" outlineLevel="1" x14ac:dyDescent="0.25">
      <c r="A2461" s="2060"/>
      <c r="B2461" s="123"/>
      <c r="C2461" s="328"/>
      <c r="D2461" s="3990"/>
      <c r="E2461" s="4009"/>
      <c r="F2461" s="3010" t="str">
        <f>$E$1605</f>
        <v>ASHP-SEER18_ROF_SF</v>
      </c>
      <c r="G2461" s="2676"/>
      <c r="H2461" s="2676"/>
      <c r="I2461" s="2677"/>
      <c r="J2461" s="3298" t="str">
        <f>$C$1605</f>
        <v>353950_2021_12_</v>
      </c>
      <c r="K2461" s="2228">
        <v>10.549999999999999</v>
      </c>
      <c r="L2461" s="851"/>
      <c r="M2461" s="2728" t="s">
        <v>1555</v>
      </c>
      <c r="N2461" s="123"/>
      <c r="O2461" s="228"/>
      <c r="P2461" s="844"/>
      <c r="Q2461" s="845"/>
      <c r="R2461" s="844"/>
      <c r="S2461" s="832"/>
      <c r="T2461" s="3082"/>
      <c r="U2461" s="123"/>
      <c r="V2461" s="3990"/>
      <c r="W2461" s="2857">
        <v>9.8000000000000007</v>
      </c>
      <c r="X2461" s="2857">
        <v>9.8000000000000007</v>
      </c>
      <c r="Y2461" s="2857">
        <v>9.8000000000000007</v>
      </c>
      <c r="Z2461" s="2857">
        <v>9.8000000000000007</v>
      </c>
      <c r="AA2461" s="2857">
        <v>9.8000000000000007</v>
      </c>
      <c r="AB2461" s="2855">
        <v>9.8000000000000007</v>
      </c>
      <c r="AC2461" s="2228">
        <v>10.549999999999999</v>
      </c>
      <c r="AD2461" s="2857"/>
      <c r="AE2461" s="2857"/>
      <c r="AF2461" s="2857"/>
      <c r="AG2461" s="2857"/>
      <c r="AH2461" s="1942"/>
      <c r="AI2461" s="1942"/>
      <c r="AJ2461" s="1942"/>
      <c r="AK2461" s="1942"/>
      <c r="AL2461" s="1942"/>
      <c r="AM2461" s="1942"/>
      <c r="AN2461" s="1942"/>
      <c r="AO2461" s="1942"/>
      <c r="AP2461" s="1942"/>
      <c r="AQ2461" s="1942"/>
      <c r="AR2461" s="1942"/>
      <c r="AS2461" s="1942"/>
      <c r="AT2461" s="1942"/>
      <c r="AU2461" s="1942"/>
      <c r="AV2461" s="1942"/>
      <c r="AW2461" s="1942"/>
      <c r="AX2461" s="1942"/>
      <c r="AY2461" s="1942"/>
      <c r="AZ2461" s="1942"/>
      <c r="BA2461" s="1942"/>
      <c r="BB2461" s="575"/>
      <c r="BC2461" s="576"/>
      <c r="BD2461" s="678"/>
      <c r="BE2461" s="585"/>
    </row>
    <row r="2462" spans="1:57" s="51" customFormat="1" ht="15" hidden="1" customHeight="1" outlineLevel="1" x14ac:dyDescent="0.25">
      <c r="A2462" s="1267"/>
      <c r="B2462" s="123"/>
      <c r="C2462" s="328"/>
      <c r="D2462" s="3990"/>
      <c r="E2462" s="4009"/>
      <c r="F2462" s="3010" t="str">
        <f>$E$1607</f>
        <v>ASHP-SEER19_ER1_SF</v>
      </c>
      <c r="G2462" s="2676"/>
      <c r="H2462" s="2676"/>
      <c r="I2462" s="2677"/>
      <c r="J2462" s="3298" t="str">
        <f>$C$1607</f>
        <v>354000_2021_12_</v>
      </c>
      <c r="K2462" s="2228">
        <v>10.040000000000001</v>
      </c>
      <c r="L2462" s="851"/>
      <c r="M2462" s="2728" t="s">
        <v>1555</v>
      </c>
      <c r="N2462" s="123"/>
      <c r="O2462" s="228"/>
      <c r="P2462" s="228"/>
      <c r="Q2462" s="228"/>
      <c r="R2462" s="228"/>
      <c r="S2462" s="123"/>
      <c r="T2462" s="123"/>
      <c r="U2462" s="123"/>
      <c r="V2462" s="3990"/>
      <c r="W2462" s="2857">
        <v>9.5</v>
      </c>
      <c r="X2462" s="2857">
        <v>9.5</v>
      </c>
      <c r="Y2462" s="2857">
        <v>9.5</v>
      </c>
      <c r="Z2462" s="2857">
        <v>9.5</v>
      </c>
      <c r="AA2462" s="2857">
        <v>9.5</v>
      </c>
      <c r="AB2462" s="2855">
        <v>9.5</v>
      </c>
      <c r="AC2462" s="2228">
        <v>10.040000000000001</v>
      </c>
      <c r="AD2462" s="2857"/>
      <c r="AE2462" s="2857"/>
      <c r="AF2462" s="2857"/>
      <c r="AG2462" s="2857"/>
      <c r="AH2462" s="1942"/>
      <c r="AI2462" s="1942"/>
      <c r="AJ2462" s="1942"/>
      <c r="AK2462" s="1942"/>
      <c r="AL2462" s="1942"/>
      <c r="AM2462" s="1942"/>
      <c r="AN2462" s="1942"/>
      <c r="AO2462" s="1942"/>
      <c r="AP2462" s="1942"/>
      <c r="AQ2462" s="1942"/>
      <c r="AR2462" s="1942"/>
      <c r="AS2462" s="1942"/>
      <c r="AT2462" s="1942"/>
      <c r="AU2462" s="1942"/>
      <c r="AV2462" s="1942"/>
      <c r="AW2462" s="1942"/>
      <c r="AX2462" s="1942"/>
      <c r="AY2462" s="1942"/>
      <c r="AZ2462" s="1942"/>
      <c r="BA2462" s="1942"/>
      <c r="BB2462" s="575"/>
      <c r="BC2462" s="576"/>
      <c r="BD2462" s="678"/>
      <c r="BE2462" s="585"/>
    </row>
    <row r="2463" spans="1:57" s="51" customFormat="1" ht="15" hidden="1" customHeight="1" outlineLevel="1" x14ac:dyDescent="0.25">
      <c r="A2463" s="1267"/>
      <c r="B2463" s="123"/>
      <c r="C2463" s="328"/>
      <c r="D2463" s="3990"/>
      <c r="E2463" s="4009"/>
      <c r="F2463" s="3010" t="str">
        <f>$E$1609</f>
        <v>ASHP-SEER19_ER2_SF</v>
      </c>
      <c r="G2463" s="2676"/>
      <c r="H2463" s="2676"/>
      <c r="I2463" s="2677"/>
      <c r="J2463" s="3298" t="str">
        <f>$C$1609</f>
        <v>354000_2021_12_</v>
      </c>
      <c r="K2463" s="2228">
        <f>K2462</f>
        <v>10.040000000000001</v>
      </c>
      <c r="L2463" s="851"/>
      <c r="M2463" s="2728" t="s">
        <v>1555</v>
      </c>
      <c r="N2463" s="123"/>
      <c r="O2463" s="228"/>
      <c r="P2463" s="228"/>
      <c r="Q2463" s="228"/>
      <c r="R2463" s="228"/>
      <c r="S2463" s="123"/>
      <c r="T2463" s="123"/>
      <c r="U2463" s="123"/>
      <c r="V2463" s="3990"/>
      <c r="W2463" s="2857">
        <v>9.5</v>
      </c>
      <c r="X2463" s="2857">
        <v>9.5</v>
      </c>
      <c r="Y2463" s="2857">
        <v>9.5</v>
      </c>
      <c r="Z2463" s="2857">
        <v>9.5</v>
      </c>
      <c r="AA2463" s="2857">
        <v>9.5</v>
      </c>
      <c r="AB2463" s="2855">
        <v>9.5</v>
      </c>
      <c r="AC2463" s="2228">
        <f>AC2462</f>
        <v>10.040000000000001</v>
      </c>
      <c r="AD2463" s="2857"/>
      <c r="AE2463" s="2857"/>
      <c r="AF2463" s="2857"/>
      <c r="AG2463" s="2857"/>
      <c r="AH2463" s="1942"/>
      <c r="AI2463" s="1942"/>
      <c r="AJ2463" s="1942"/>
      <c r="AK2463" s="1942"/>
      <c r="AL2463" s="1942"/>
      <c r="AM2463" s="1942"/>
      <c r="AN2463" s="1942"/>
      <c r="AO2463" s="1942"/>
      <c r="AP2463" s="1942"/>
      <c r="AQ2463" s="1942"/>
      <c r="AR2463" s="1942"/>
      <c r="AS2463" s="1942"/>
      <c r="AT2463" s="1942"/>
      <c r="AU2463" s="1942"/>
      <c r="AV2463" s="1942"/>
      <c r="AW2463" s="1942"/>
      <c r="AX2463" s="1942"/>
      <c r="AY2463" s="1942"/>
      <c r="AZ2463" s="1942"/>
      <c r="BA2463" s="1942"/>
      <c r="BB2463" s="575"/>
      <c r="BC2463" s="576"/>
      <c r="BD2463" s="678"/>
      <c r="BE2463" s="585"/>
    </row>
    <row r="2464" spans="1:57" s="51" customFormat="1" ht="15" hidden="1" customHeight="1" outlineLevel="1" x14ac:dyDescent="0.25">
      <c r="A2464" s="2060"/>
      <c r="B2464" s="123"/>
      <c r="C2464" s="328"/>
      <c r="D2464" s="3990"/>
      <c r="E2464" s="4009"/>
      <c r="F2464" s="3010" t="str">
        <f>$E$1611</f>
        <v>ASHP-SEER19_ROF_SF</v>
      </c>
      <c r="G2464" s="2676"/>
      <c r="H2464" s="2676"/>
      <c r="I2464" s="2677"/>
      <c r="J2464" s="3298" t="str">
        <f>$C$1611</f>
        <v>354050_2021_12_</v>
      </c>
      <c r="K2464" s="2228">
        <v>10.502222222222223</v>
      </c>
      <c r="L2464" s="851"/>
      <c r="M2464" s="2728" t="s">
        <v>1555</v>
      </c>
      <c r="N2464" s="123"/>
      <c r="O2464" s="228"/>
      <c r="P2464" s="844"/>
      <c r="Q2464" s="845"/>
      <c r="R2464" s="844"/>
      <c r="S2464" s="832"/>
      <c r="T2464" s="3082"/>
      <c r="U2464" s="123"/>
      <c r="V2464" s="3990"/>
      <c r="W2464" s="2857">
        <v>9.8000000000000007</v>
      </c>
      <c r="X2464" s="2857">
        <v>9.8000000000000007</v>
      </c>
      <c r="Y2464" s="2857">
        <v>9.8000000000000007</v>
      </c>
      <c r="Z2464" s="2857">
        <v>9.8000000000000007</v>
      </c>
      <c r="AA2464" s="2857">
        <v>9.8000000000000007</v>
      </c>
      <c r="AB2464" s="2855">
        <v>9.8000000000000007</v>
      </c>
      <c r="AC2464" s="2228">
        <v>10.502222222222223</v>
      </c>
      <c r="AD2464" s="2857"/>
      <c r="AE2464" s="2857"/>
      <c r="AF2464" s="2857"/>
      <c r="AG2464" s="2857"/>
      <c r="AH2464" s="1942"/>
      <c r="AI2464" s="1942"/>
      <c r="AJ2464" s="1942"/>
      <c r="AK2464" s="1942"/>
      <c r="AL2464" s="1942"/>
      <c r="AM2464" s="1942"/>
      <c r="AN2464" s="1942"/>
      <c r="AO2464" s="1942"/>
      <c r="AP2464" s="1942"/>
      <c r="AQ2464" s="1942"/>
      <c r="AR2464" s="1942"/>
      <c r="AS2464" s="1942"/>
      <c r="AT2464" s="1942"/>
      <c r="AU2464" s="1942"/>
      <c r="AV2464" s="1942"/>
      <c r="AW2464" s="1942"/>
      <c r="AX2464" s="1942"/>
      <c r="AY2464" s="1942"/>
      <c r="AZ2464" s="1942"/>
      <c r="BA2464" s="1942"/>
      <c r="BB2464" s="575"/>
      <c r="BC2464" s="576"/>
      <c r="BD2464" s="678"/>
      <c r="BE2464" s="585"/>
    </row>
    <row r="2465" spans="1:57" s="51" customFormat="1" ht="15" hidden="1" customHeight="1" outlineLevel="1" x14ac:dyDescent="0.25">
      <c r="A2465" s="2060"/>
      <c r="B2465" s="123"/>
      <c r="C2465" s="328"/>
      <c r="D2465" s="3990"/>
      <c r="E2465" s="4009"/>
      <c r="F2465" s="3010" t="str">
        <f>$E$1613</f>
        <v>ASHP-SEER17-Replace_CAC_ElectricHeat_ER1_SF</v>
      </c>
      <c r="G2465" s="2676"/>
      <c r="H2465" s="2676"/>
      <c r="I2465" s="2677"/>
      <c r="J2465" s="3298" t="str">
        <f>$C$1613</f>
        <v>354100_2021_12_</v>
      </c>
      <c r="K2465" s="2228">
        <v>9.5113636363636349</v>
      </c>
      <c r="L2465" s="851"/>
      <c r="M2465" s="2730" t="s">
        <v>1008</v>
      </c>
      <c r="N2465" s="123"/>
      <c r="O2465" s="228"/>
      <c r="P2465" s="844"/>
      <c r="Q2465" s="845"/>
      <c r="R2465" s="844"/>
      <c r="S2465" s="832"/>
      <c r="T2465" s="3082"/>
      <c r="U2465" s="123"/>
      <c r="V2465" s="3990"/>
      <c r="W2465" s="2857">
        <v>9.4</v>
      </c>
      <c r="X2465" s="2857">
        <v>9.4</v>
      </c>
      <c r="Y2465" s="2857">
        <v>9.4</v>
      </c>
      <c r="Z2465" s="2857">
        <v>9.4</v>
      </c>
      <c r="AA2465" s="2857">
        <v>9.4</v>
      </c>
      <c r="AB2465" s="2855">
        <v>9.4</v>
      </c>
      <c r="AC2465" s="2228">
        <v>9.5113636363636349</v>
      </c>
      <c r="AD2465" s="2857"/>
      <c r="AE2465" s="2857"/>
      <c r="AF2465" s="2857"/>
      <c r="AG2465" s="2857"/>
      <c r="AH2465" s="1942"/>
      <c r="AI2465" s="1942"/>
      <c r="AJ2465" s="1942"/>
      <c r="AK2465" s="1942"/>
      <c r="AL2465" s="1942"/>
      <c r="AM2465" s="1942"/>
      <c r="AN2465" s="1942"/>
      <c r="AO2465" s="1942"/>
      <c r="AP2465" s="1942"/>
      <c r="AQ2465" s="1942"/>
      <c r="AR2465" s="1942"/>
      <c r="AS2465" s="1942"/>
      <c r="AT2465" s="1942"/>
      <c r="AU2465" s="1942"/>
      <c r="AV2465" s="1942"/>
      <c r="AW2465" s="1942"/>
      <c r="AX2465" s="1942"/>
      <c r="AY2465" s="1942"/>
      <c r="AZ2465" s="1942"/>
      <c r="BA2465" s="1942"/>
      <c r="BB2465" s="575"/>
      <c r="BC2465" s="576"/>
      <c r="BD2465" s="678"/>
      <c r="BE2465" s="585"/>
    </row>
    <row r="2466" spans="1:57" s="51" customFormat="1" ht="15" hidden="1" customHeight="1" outlineLevel="1" x14ac:dyDescent="0.25">
      <c r="A2466" s="2060"/>
      <c r="B2466" s="123"/>
      <c r="C2466" s="328"/>
      <c r="D2466" s="3990"/>
      <c r="E2466" s="4009"/>
      <c r="F2466" s="3010" t="str">
        <f>$E$1615</f>
        <v>ASHP-SEER17-Replace_CAC_ElectricHeat_ER2_SF</v>
      </c>
      <c r="G2466" s="2676"/>
      <c r="H2466" s="2676"/>
      <c r="I2466" s="2677"/>
      <c r="J2466" s="3298" t="str">
        <f>$C$1615</f>
        <v>354100_2021_12_</v>
      </c>
      <c r="K2466" s="2228">
        <f>K2465</f>
        <v>9.5113636363636349</v>
      </c>
      <c r="L2466" s="851"/>
      <c r="M2466" s="2730" t="s">
        <v>1008</v>
      </c>
      <c r="N2466" s="123"/>
      <c r="O2466" s="228"/>
      <c r="P2466" s="844"/>
      <c r="Q2466" s="845"/>
      <c r="R2466" s="844"/>
      <c r="S2466" s="832"/>
      <c r="T2466" s="3082"/>
      <c r="U2466" s="123"/>
      <c r="V2466" s="3990"/>
      <c r="W2466" s="2857">
        <v>9.4</v>
      </c>
      <c r="X2466" s="2857">
        <v>9.4</v>
      </c>
      <c r="Y2466" s="2857">
        <v>9.4</v>
      </c>
      <c r="Z2466" s="2857">
        <v>9.4</v>
      </c>
      <c r="AA2466" s="2857">
        <v>9.4</v>
      </c>
      <c r="AB2466" s="2855">
        <v>9.4</v>
      </c>
      <c r="AC2466" s="2228">
        <f>AC2465</f>
        <v>9.5113636363636349</v>
      </c>
      <c r="AD2466" s="2857"/>
      <c r="AE2466" s="2857"/>
      <c r="AF2466" s="2857"/>
      <c r="AG2466" s="2857"/>
      <c r="AH2466" s="1942"/>
      <c r="AI2466" s="1942"/>
      <c r="AJ2466" s="1942"/>
      <c r="AK2466" s="1942"/>
      <c r="AL2466" s="1942"/>
      <c r="AM2466" s="1942"/>
      <c r="AN2466" s="1942"/>
      <c r="AO2466" s="1942"/>
      <c r="AP2466" s="1942"/>
      <c r="AQ2466" s="1942"/>
      <c r="AR2466" s="1942"/>
      <c r="AS2466" s="1942"/>
      <c r="AT2466" s="1942"/>
      <c r="AU2466" s="1942"/>
      <c r="AV2466" s="1942"/>
      <c r="AW2466" s="1942"/>
      <c r="AX2466" s="1942"/>
      <c r="AY2466" s="1942"/>
      <c r="AZ2466" s="1942"/>
      <c r="BA2466" s="1942"/>
      <c r="BB2466" s="575"/>
      <c r="BC2466" s="576"/>
      <c r="BD2466" s="678"/>
      <c r="BE2466" s="585"/>
    </row>
    <row r="2467" spans="1:57" s="1942" customFormat="1" ht="15" hidden="1" customHeight="1" outlineLevel="1" x14ac:dyDescent="0.25">
      <c r="A2467" s="2060"/>
      <c r="B2467" s="123"/>
      <c r="C2467" s="328"/>
      <c r="D2467" s="3990"/>
      <c r="E2467" s="4009"/>
      <c r="F2467" s="3010" t="str">
        <f>$E$1617</f>
        <v>ASHP-SEER17-Replace_CAC_NonElectricHeat_ER1_SF</v>
      </c>
      <c r="G2467" s="2676"/>
      <c r="H2467" s="2676"/>
      <c r="I2467" s="2677"/>
      <c r="J2467" s="3298" t="str">
        <f>$C$1617</f>
        <v>354110_2021_12_</v>
      </c>
      <c r="K2467" s="2228">
        <v>9.5113636363636349</v>
      </c>
      <c r="L2467" s="851"/>
      <c r="M2467" s="2723" t="s">
        <v>1125</v>
      </c>
      <c r="N2467" s="123"/>
      <c r="O2467" s="228"/>
      <c r="P2467" s="844"/>
      <c r="Q2467" s="845"/>
      <c r="R2467" s="844"/>
      <c r="S2467" s="832"/>
      <c r="T2467" s="3082"/>
      <c r="U2467" s="123"/>
      <c r="V2467" s="3990"/>
      <c r="W2467" s="2857"/>
      <c r="X2467" s="2857"/>
      <c r="Y2467" s="2857"/>
      <c r="Z2467" s="2857"/>
      <c r="AA2467" s="2857"/>
      <c r="AB2467" s="2855"/>
      <c r="AC2467" s="2228">
        <v>9.5113636363636349</v>
      </c>
      <c r="AD2467" s="2857"/>
      <c r="AE2467" s="2857"/>
      <c r="AF2467" s="2857"/>
      <c r="AG2467" s="2857"/>
      <c r="BB2467" s="575"/>
      <c r="BC2467" s="576"/>
      <c r="BD2467" s="678"/>
      <c r="BE2467" s="585"/>
    </row>
    <row r="2468" spans="1:57" s="1942" customFormat="1" ht="15" hidden="1" customHeight="1" outlineLevel="1" x14ac:dyDescent="0.25">
      <c r="A2468" s="2060"/>
      <c r="B2468" s="123"/>
      <c r="C2468" s="328"/>
      <c r="D2468" s="3990"/>
      <c r="E2468" s="4009"/>
      <c r="F2468" s="3010" t="str">
        <f>$E$1619</f>
        <v>ASHP-SEER17-Replace_CAC_NonElectricHeat_ER2_SF</v>
      </c>
      <c r="G2468" s="2676"/>
      <c r="H2468" s="2676"/>
      <c r="I2468" s="2677"/>
      <c r="J2468" s="3298" t="str">
        <f>$C$1619</f>
        <v>354110_2021_12_</v>
      </c>
      <c r="K2468" s="2228">
        <f>K2467</f>
        <v>9.5113636363636349</v>
      </c>
      <c r="L2468" s="851"/>
      <c r="M2468" s="2723" t="s">
        <v>1125</v>
      </c>
      <c r="N2468" s="123"/>
      <c r="O2468" s="228"/>
      <c r="P2468" s="844"/>
      <c r="Q2468" s="845"/>
      <c r="R2468" s="844"/>
      <c r="S2468" s="832"/>
      <c r="T2468" s="3082"/>
      <c r="U2468" s="123"/>
      <c r="V2468" s="3990"/>
      <c r="W2468" s="2857"/>
      <c r="X2468" s="2857"/>
      <c r="Y2468" s="2857"/>
      <c r="Z2468" s="2857"/>
      <c r="AA2468" s="2857"/>
      <c r="AB2468" s="2855"/>
      <c r="AC2468" s="2228">
        <f>AC2467</f>
        <v>9.5113636363636349</v>
      </c>
      <c r="AD2468" s="2857"/>
      <c r="AE2468" s="2857"/>
      <c r="AF2468" s="2857"/>
      <c r="AG2468" s="2857"/>
      <c r="BB2468" s="575"/>
      <c r="BC2468" s="576"/>
      <c r="BD2468" s="678"/>
      <c r="BE2468" s="585"/>
    </row>
    <row r="2469" spans="1:57" s="51" customFormat="1" ht="15" hidden="1" customHeight="1" outlineLevel="1" x14ac:dyDescent="0.25">
      <c r="A2469" s="2060"/>
      <c r="B2469" s="123"/>
      <c r="C2469" s="328"/>
      <c r="D2469" s="3990"/>
      <c r="E2469" s="4009"/>
      <c r="F2469" s="3010" t="str">
        <f>$E$1621</f>
        <v>ASHP-SEER17-Replace_CAC_ElectricHeat_ER1_MF</v>
      </c>
      <c r="G2469" s="2676"/>
      <c r="H2469" s="2676"/>
      <c r="I2469" s="2677"/>
      <c r="J2469" s="3299" t="str">
        <f>$C$1621</f>
        <v>354150_2019_12_</v>
      </c>
      <c r="K2469" s="2282">
        <v>9.4</v>
      </c>
      <c r="L2469" s="851"/>
      <c r="M2469" s="2278"/>
      <c r="N2469" s="123"/>
      <c r="O2469" s="228"/>
      <c r="P2469" s="844"/>
      <c r="Q2469" s="845"/>
      <c r="R2469" s="844"/>
      <c r="S2469" s="832"/>
      <c r="T2469" s="3082"/>
      <c r="U2469" s="123"/>
      <c r="V2469" s="3990"/>
      <c r="W2469" s="2857">
        <v>9.4</v>
      </c>
      <c r="X2469" s="2857">
        <v>9.4</v>
      </c>
      <c r="Y2469" s="2857">
        <v>9.4</v>
      </c>
      <c r="Z2469" s="2857">
        <v>9.4</v>
      </c>
      <c r="AA2469" s="2857">
        <v>9.4</v>
      </c>
      <c r="AB2469" s="2855">
        <v>9.4</v>
      </c>
      <c r="AC2469" s="2282">
        <v>9.4</v>
      </c>
      <c r="AD2469" s="2857"/>
      <c r="AE2469" s="2857"/>
      <c r="AF2469" s="2857"/>
      <c r="AG2469" s="2857"/>
      <c r="AH2469" s="1942"/>
      <c r="AI2469" s="1942"/>
      <c r="AJ2469" s="1942"/>
      <c r="AK2469" s="1942"/>
      <c r="AL2469" s="1942"/>
      <c r="AM2469" s="1942"/>
      <c r="AN2469" s="1942"/>
      <c r="AO2469" s="1942"/>
      <c r="AP2469" s="1942"/>
      <c r="AQ2469" s="1942"/>
      <c r="AR2469" s="1942"/>
      <c r="AS2469" s="1942"/>
      <c r="AT2469" s="1942"/>
      <c r="AU2469" s="1942"/>
      <c r="AV2469" s="1942"/>
      <c r="AW2469" s="1942"/>
      <c r="AX2469" s="1942"/>
      <c r="AY2469" s="1942"/>
      <c r="AZ2469" s="1942"/>
      <c r="BA2469" s="1942"/>
      <c r="BB2469" s="575"/>
      <c r="BC2469" s="576"/>
      <c r="BD2469" s="678"/>
      <c r="BE2469" s="585"/>
    </row>
    <row r="2470" spans="1:57" s="51" customFormat="1" ht="15" hidden="1" customHeight="1" outlineLevel="1" x14ac:dyDescent="0.25">
      <c r="A2470" s="2060"/>
      <c r="B2470" s="123"/>
      <c r="C2470" s="328"/>
      <c r="D2470" s="3990"/>
      <c r="E2470" s="4009"/>
      <c r="F2470" s="3010" t="str">
        <f>$E$1623</f>
        <v>ASHP-SEER17-Replace_CAC_ElectricHeat_ER2_MF</v>
      </c>
      <c r="G2470" s="2676"/>
      <c r="H2470" s="2676"/>
      <c r="I2470" s="2677"/>
      <c r="J2470" s="3299" t="str">
        <f>$C$1623</f>
        <v>354150_2019_12_</v>
      </c>
      <c r="K2470" s="2282">
        <v>9.4</v>
      </c>
      <c r="L2470" s="851"/>
      <c r="M2470" s="2278"/>
      <c r="N2470" s="123"/>
      <c r="O2470" s="228"/>
      <c r="P2470" s="844"/>
      <c r="Q2470" s="845"/>
      <c r="R2470" s="844"/>
      <c r="S2470" s="832"/>
      <c r="T2470" s="3082"/>
      <c r="U2470" s="123"/>
      <c r="V2470" s="3990"/>
      <c r="W2470" s="2857">
        <v>9.4</v>
      </c>
      <c r="X2470" s="2857">
        <v>9.4</v>
      </c>
      <c r="Y2470" s="2857">
        <v>9.4</v>
      </c>
      <c r="Z2470" s="2857">
        <v>9.4</v>
      </c>
      <c r="AA2470" s="2857">
        <v>9.4</v>
      </c>
      <c r="AB2470" s="2855">
        <v>9.4</v>
      </c>
      <c r="AC2470" s="2282">
        <v>9.4</v>
      </c>
      <c r="AD2470" s="2857"/>
      <c r="AE2470" s="2857"/>
      <c r="AF2470" s="2857"/>
      <c r="AG2470" s="2857"/>
      <c r="AH2470" s="1942"/>
      <c r="AI2470" s="1942"/>
      <c r="AJ2470" s="1942"/>
      <c r="AK2470" s="1942"/>
      <c r="AL2470" s="1942"/>
      <c r="AM2470" s="1942"/>
      <c r="AN2470" s="1942"/>
      <c r="AO2470" s="1942"/>
      <c r="AP2470" s="1942"/>
      <c r="AQ2470" s="1942"/>
      <c r="AR2470" s="1942"/>
      <c r="AS2470" s="1942"/>
      <c r="AT2470" s="1942"/>
      <c r="AU2470" s="1942"/>
      <c r="AV2470" s="1942"/>
      <c r="AW2470" s="1942"/>
      <c r="AX2470" s="1942"/>
      <c r="AY2470" s="1942"/>
      <c r="AZ2470" s="1942"/>
      <c r="BA2470" s="1942"/>
      <c r="BB2470" s="575"/>
      <c r="BC2470" s="576"/>
      <c r="BD2470" s="678"/>
      <c r="BE2470" s="585"/>
    </row>
    <row r="2471" spans="1:57" s="51" customFormat="1" ht="15" hidden="1" customHeight="1" outlineLevel="1" x14ac:dyDescent="0.25">
      <c r="A2471" s="2060"/>
      <c r="B2471" s="123"/>
      <c r="C2471" s="328"/>
      <c r="D2471" s="3990"/>
      <c r="E2471" s="4009"/>
      <c r="F2471" s="3010" t="str">
        <f>$E$1625</f>
        <v>ASHP-SEER17-Replace_CAC_ElectricHeat_ER1_MF_CompE</v>
      </c>
      <c r="G2471" s="2676"/>
      <c r="H2471" s="2676"/>
      <c r="I2471" s="2677"/>
      <c r="J2471" s="3299" t="str">
        <f>$C$1625</f>
        <v>354151_2019_12_</v>
      </c>
      <c r="K2471" s="2282">
        <v>9.4</v>
      </c>
      <c r="L2471" s="851"/>
      <c r="M2471" s="2278"/>
      <c r="N2471" s="123"/>
      <c r="O2471" s="228"/>
      <c r="P2471" s="844"/>
      <c r="Q2471" s="845"/>
      <c r="R2471" s="844"/>
      <c r="S2471" s="832"/>
      <c r="T2471" s="3082"/>
      <c r="U2471" s="123"/>
      <c r="V2471" s="3990"/>
      <c r="W2471" s="2857"/>
      <c r="X2471" s="2857"/>
      <c r="Y2471" s="3155">
        <v>9.4</v>
      </c>
      <c r="Z2471" s="2857">
        <v>9.4</v>
      </c>
      <c r="AA2471" s="2857">
        <v>9.4</v>
      </c>
      <c r="AB2471" s="2855">
        <v>9.4</v>
      </c>
      <c r="AC2471" s="2282">
        <v>9.4</v>
      </c>
      <c r="AD2471" s="2857"/>
      <c r="AE2471" s="2857"/>
      <c r="AF2471" s="2857"/>
      <c r="AG2471" s="2857"/>
      <c r="AH2471" s="1942"/>
      <c r="AI2471" s="1942"/>
      <c r="AJ2471" s="1942"/>
      <c r="AK2471" s="1942"/>
      <c r="AL2471" s="1942"/>
      <c r="AM2471" s="1942"/>
      <c r="AN2471" s="1942"/>
      <c r="AO2471" s="1942"/>
      <c r="AP2471" s="1942"/>
      <c r="AQ2471" s="1942"/>
      <c r="AR2471" s="1942"/>
      <c r="AS2471" s="1942"/>
      <c r="AT2471" s="1942"/>
      <c r="AU2471" s="1942"/>
      <c r="AV2471" s="1942"/>
      <c r="AW2471" s="1942"/>
      <c r="AX2471" s="1942"/>
      <c r="AY2471" s="1942"/>
      <c r="AZ2471" s="1942"/>
      <c r="BA2471" s="1942"/>
      <c r="BB2471" s="575"/>
      <c r="BC2471" s="576"/>
      <c r="BD2471" s="678"/>
      <c r="BE2471" s="585"/>
    </row>
    <row r="2472" spans="1:57" s="51" customFormat="1" ht="15" hidden="1" customHeight="1" outlineLevel="1" x14ac:dyDescent="0.25">
      <c r="A2472" s="2060"/>
      <c r="B2472" s="123"/>
      <c r="C2472" s="328"/>
      <c r="D2472" s="3990"/>
      <c r="E2472" s="4009"/>
      <c r="F2472" s="3010" t="str">
        <f>$E$1627</f>
        <v>ASHP-SEER17-Replace_CAC_ElectricHeat_ER2_MF_CompE</v>
      </c>
      <c r="G2472" s="2676"/>
      <c r="H2472" s="2676"/>
      <c r="I2472" s="2677"/>
      <c r="J2472" s="3299" t="str">
        <f>$C$1627</f>
        <v>354151_2019_12_</v>
      </c>
      <c r="K2472" s="2282">
        <v>9.4</v>
      </c>
      <c r="L2472" s="851"/>
      <c r="M2472" s="2278"/>
      <c r="N2472" s="123"/>
      <c r="O2472" s="228"/>
      <c r="P2472" s="844"/>
      <c r="Q2472" s="845"/>
      <c r="R2472" s="844"/>
      <c r="S2472" s="832"/>
      <c r="T2472" s="3082"/>
      <c r="U2472" s="123"/>
      <c r="V2472" s="3990"/>
      <c r="W2472" s="2857"/>
      <c r="X2472" s="2857"/>
      <c r="Y2472" s="3155">
        <v>9.4</v>
      </c>
      <c r="Z2472" s="2857">
        <v>9.4</v>
      </c>
      <c r="AA2472" s="2857">
        <v>9.4</v>
      </c>
      <c r="AB2472" s="2855">
        <v>9.4</v>
      </c>
      <c r="AC2472" s="2282">
        <v>9.4</v>
      </c>
      <c r="AD2472" s="2857"/>
      <c r="AE2472" s="2857"/>
      <c r="AF2472" s="2857"/>
      <c r="AG2472" s="2857"/>
      <c r="AH2472" s="1942"/>
      <c r="AI2472" s="1942"/>
      <c r="AJ2472" s="1942"/>
      <c r="AK2472" s="1942"/>
      <c r="AL2472" s="1942"/>
      <c r="AM2472" s="1942"/>
      <c r="AN2472" s="1942"/>
      <c r="AO2472" s="1942"/>
      <c r="AP2472" s="1942"/>
      <c r="AQ2472" s="1942"/>
      <c r="AR2472" s="1942"/>
      <c r="AS2472" s="1942"/>
      <c r="AT2472" s="1942"/>
      <c r="AU2472" s="1942"/>
      <c r="AV2472" s="1942"/>
      <c r="AW2472" s="1942"/>
      <c r="AX2472" s="1942"/>
      <c r="AY2472" s="1942"/>
      <c r="AZ2472" s="1942"/>
      <c r="BA2472" s="1942"/>
      <c r="BB2472" s="575"/>
      <c r="BC2472" s="576"/>
      <c r="BD2472" s="678"/>
      <c r="BE2472" s="585"/>
    </row>
    <row r="2473" spans="1:57" s="1942" customFormat="1" ht="15" hidden="1" customHeight="1" outlineLevel="1" x14ac:dyDescent="0.25">
      <c r="A2473" s="2060"/>
      <c r="B2473" s="123"/>
      <c r="C2473" s="328"/>
      <c r="D2473" s="3990"/>
      <c r="E2473" s="4009"/>
      <c r="F2473" s="3010" t="str">
        <f>$E$1629</f>
        <v>ASHP-SEER17-Replace_CAC_NonElectricHeat_ER1_MF</v>
      </c>
      <c r="G2473" s="2676"/>
      <c r="H2473" s="2676"/>
      <c r="I2473" s="2677"/>
      <c r="J2473" s="3298" t="str">
        <f>$C$1629</f>
        <v>354160_2021_12_</v>
      </c>
      <c r="K2473" s="2228">
        <v>9.4</v>
      </c>
      <c r="L2473" s="851"/>
      <c r="M2473" s="2723" t="s">
        <v>1125</v>
      </c>
      <c r="N2473" s="123"/>
      <c r="O2473" s="228"/>
      <c r="P2473" s="844"/>
      <c r="Q2473" s="845"/>
      <c r="R2473" s="844"/>
      <c r="S2473" s="832"/>
      <c r="T2473" s="3082"/>
      <c r="U2473" s="123"/>
      <c r="V2473" s="3990"/>
      <c r="W2473" s="2857"/>
      <c r="X2473" s="2857"/>
      <c r="Y2473" s="3155"/>
      <c r="Z2473" s="2857"/>
      <c r="AA2473" s="2857"/>
      <c r="AB2473" s="2855"/>
      <c r="AC2473" s="2228">
        <v>9.4</v>
      </c>
      <c r="AD2473" s="2857"/>
      <c r="AE2473" s="2857"/>
      <c r="AF2473" s="2857"/>
      <c r="AG2473" s="2857"/>
      <c r="BB2473" s="575"/>
      <c r="BC2473" s="576"/>
      <c r="BD2473" s="678"/>
      <c r="BE2473" s="585"/>
    </row>
    <row r="2474" spans="1:57" s="1942" customFormat="1" ht="15" hidden="1" customHeight="1" outlineLevel="1" x14ac:dyDescent="0.25">
      <c r="A2474" s="2060"/>
      <c r="B2474" s="123"/>
      <c r="C2474" s="328"/>
      <c r="D2474" s="3990"/>
      <c r="E2474" s="4009"/>
      <c r="F2474" s="3010" t="str">
        <f>$E$1631</f>
        <v>ASHP-SEER17-Replace_CAC_NonElectricHeat_ER2_MF</v>
      </c>
      <c r="G2474" s="2676"/>
      <c r="H2474" s="2676"/>
      <c r="I2474" s="2677"/>
      <c r="J2474" s="3298" t="str">
        <f>$C$1631</f>
        <v>354160_2021_12_</v>
      </c>
      <c r="K2474" s="2228">
        <v>9.4</v>
      </c>
      <c r="L2474" s="851"/>
      <c r="M2474" s="2723" t="s">
        <v>1125</v>
      </c>
      <c r="N2474" s="123"/>
      <c r="O2474" s="228"/>
      <c r="P2474" s="844"/>
      <c r="Q2474" s="845"/>
      <c r="R2474" s="844"/>
      <c r="S2474" s="832"/>
      <c r="T2474" s="3082"/>
      <c r="U2474" s="123"/>
      <c r="V2474" s="3990"/>
      <c r="W2474" s="2857"/>
      <c r="X2474" s="2857"/>
      <c r="Y2474" s="3155"/>
      <c r="Z2474" s="2857"/>
      <c r="AA2474" s="2857"/>
      <c r="AB2474" s="2855"/>
      <c r="AC2474" s="2228">
        <v>9.4</v>
      </c>
      <c r="AD2474" s="2857"/>
      <c r="AE2474" s="2857"/>
      <c r="AF2474" s="2857"/>
      <c r="AG2474" s="2857"/>
      <c r="BB2474" s="575"/>
      <c r="BC2474" s="576"/>
      <c r="BD2474" s="678"/>
      <c r="BE2474" s="585"/>
    </row>
    <row r="2475" spans="1:57" s="1942" customFormat="1" ht="15" hidden="1" customHeight="1" outlineLevel="1" x14ac:dyDescent="0.25">
      <c r="A2475" s="2060"/>
      <c r="B2475" s="123"/>
      <c r="C2475" s="328"/>
      <c r="D2475" s="3990"/>
      <c r="E2475" s="4009"/>
      <c r="F2475" s="3010" t="str">
        <f>$E$1633</f>
        <v>ASHP-SEER17-Replace_CAC_NonElectricHeat_ER1_MF_CompE</v>
      </c>
      <c r="G2475" s="2676"/>
      <c r="H2475" s="2676"/>
      <c r="I2475" s="2677"/>
      <c r="J2475" s="3298" t="str">
        <f>$C$1633</f>
        <v>354161_2021_12_</v>
      </c>
      <c r="K2475" s="2228">
        <v>9.4</v>
      </c>
      <c r="L2475" s="851"/>
      <c r="M2475" s="2723" t="s">
        <v>1125</v>
      </c>
      <c r="N2475" s="123"/>
      <c r="O2475" s="228"/>
      <c r="P2475" s="844"/>
      <c r="Q2475" s="845"/>
      <c r="R2475" s="844"/>
      <c r="S2475" s="832"/>
      <c r="T2475" s="3082"/>
      <c r="U2475" s="123"/>
      <c r="V2475" s="3990"/>
      <c r="W2475" s="2857"/>
      <c r="X2475" s="2857"/>
      <c r="Y2475" s="3155"/>
      <c r="Z2475" s="2857"/>
      <c r="AA2475" s="2857"/>
      <c r="AB2475" s="2855"/>
      <c r="AC2475" s="2228">
        <v>9.4</v>
      </c>
      <c r="AD2475" s="2857"/>
      <c r="AE2475" s="2857"/>
      <c r="AF2475" s="2857"/>
      <c r="AG2475" s="2857"/>
      <c r="BB2475" s="575"/>
      <c r="BC2475" s="576"/>
      <c r="BD2475" s="678"/>
      <c r="BE2475" s="585"/>
    </row>
    <row r="2476" spans="1:57" s="1942" customFormat="1" ht="15" hidden="1" customHeight="1" outlineLevel="1" x14ac:dyDescent="0.25">
      <c r="A2476" s="2060"/>
      <c r="B2476" s="123"/>
      <c r="C2476" s="328"/>
      <c r="D2476" s="3990"/>
      <c r="E2476" s="4009"/>
      <c r="F2476" s="3010" t="str">
        <f>$E$1635</f>
        <v>ASHP-SEER17-Replace_CAC_NonElectricHeat_ER2_MF_CompE</v>
      </c>
      <c r="G2476" s="2676"/>
      <c r="H2476" s="2676"/>
      <c r="I2476" s="2677"/>
      <c r="J2476" s="3298" t="str">
        <f>$C$1635</f>
        <v>354161_2021_12_</v>
      </c>
      <c r="K2476" s="2228">
        <v>9.4</v>
      </c>
      <c r="L2476" s="851"/>
      <c r="M2476" s="2723" t="s">
        <v>1125</v>
      </c>
      <c r="N2476" s="123"/>
      <c r="O2476" s="228"/>
      <c r="P2476" s="844"/>
      <c r="Q2476" s="845"/>
      <c r="R2476" s="844"/>
      <c r="S2476" s="832"/>
      <c r="T2476" s="3082"/>
      <c r="U2476" s="123"/>
      <c r="V2476" s="3990"/>
      <c r="W2476" s="2857"/>
      <c r="X2476" s="2857"/>
      <c r="Y2476" s="3155"/>
      <c r="Z2476" s="2857"/>
      <c r="AA2476" s="2857"/>
      <c r="AB2476" s="2855"/>
      <c r="AC2476" s="2228">
        <v>9.4</v>
      </c>
      <c r="AD2476" s="2857"/>
      <c r="AE2476" s="2857"/>
      <c r="AF2476" s="2857"/>
      <c r="AG2476" s="2857"/>
      <c r="BB2476" s="575"/>
      <c r="BC2476" s="576"/>
      <c r="BD2476" s="678"/>
      <c r="BE2476" s="585"/>
    </row>
    <row r="2477" spans="1:57" s="51" customFormat="1" ht="15" hidden="1" customHeight="1" outlineLevel="1" x14ac:dyDescent="0.25">
      <c r="A2477" s="2060"/>
      <c r="B2477" s="123"/>
      <c r="C2477" s="328"/>
      <c r="D2477" s="3990"/>
      <c r="E2477" s="4009"/>
      <c r="F2477" s="3010" t="str">
        <f>$E$1637</f>
        <v>ASHP-SEER17_ER1_MF</v>
      </c>
      <c r="G2477" s="2676"/>
      <c r="H2477" s="2676"/>
      <c r="I2477" s="2677"/>
      <c r="J2477" s="3299" t="str">
        <f>$C$1637</f>
        <v>354200_2019_12_</v>
      </c>
      <c r="K2477" s="2282">
        <v>9.5</v>
      </c>
      <c r="L2477" s="851"/>
      <c r="M2477" s="2278"/>
      <c r="N2477" s="123"/>
      <c r="O2477" s="228"/>
      <c r="P2477" s="844"/>
      <c r="Q2477" s="845"/>
      <c r="R2477" s="844"/>
      <c r="S2477" s="832"/>
      <c r="T2477" s="3082"/>
      <c r="U2477" s="123"/>
      <c r="V2477" s="3990"/>
      <c r="W2477" s="2857">
        <v>9.5</v>
      </c>
      <c r="X2477" s="2857">
        <v>9.5</v>
      </c>
      <c r="Y2477" s="2857">
        <v>9.5</v>
      </c>
      <c r="Z2477" s="2857">
        <v>9.5</v>
      </c>
      <c r="AA2477" s="2857">
        <v>9.5</v>
      </c>
      <c r="AB2477" s="2855">
        <v>9.5</v>
      </c>
      <c r="AC2477" s="2282">
        <v>9.5</v>
      </c>
      <c r="AD2477" s="2857"/>
      <c r="AE2477" s="2857"/>
      <c r="AF2477" s="2857"/>
      <c r="AG2477" s="2857"/>
      <c r="AH2477" s="1942"/>
      <c r="AI2477" s="1942"/>
      <c r="AJ2477" s="1942"/>
      <c r="AK2477" s="1942"/>
      <c r="AL2477" s="1942"/>
      <c r="AM2477" s="1942"/>
      <c r="AN2477" s="1942"/>
      <c r="AO2477" s="1942"/>
      <c r="AP2477" s="1942"/>
      <c r="AQ2477" s="1942"/>
      <c r="AR2477" s="1942"/>
      <c r="AS2477" s="1942"/>
      <c r="AT2477" s="1942"/>
      <c r="AU2477" s="1942"/>
      <c r="AV2477" s="1942"/>
      <c r="AW2477" s="1942"/>
      <c r="AX2477" s="1942"/>
      <c r="AY2477" s="1942"/>
      <c r="AZ2477" s="1942"/>
      <c r="BA2477" s="1942"/>
      <c r="BB2477" s="575"/>
      <c r="BC2477" s="576"/>
      <c r="BD2477" s="678"/>
      <c r="BE2477" s="585"/>
    </row>
    <row r="2478" spans="1:57" s="51" customFormat="1" ht="15" hidden="1" customHeight="1" outlineLevel="1" x14ac:dyDescent="0.25">
      <c r="A2478" s="2060"/>
      <c r="B2478" s="123"/>
      <c r="C2478" s="328"/>
      <c r="D2478" s="3990"/>
      <c r="E2478" s="4009"/>
      <c r="F2478" s="3010" t="str">
        <f>$E$1639</f>
        <v>ASHP-SEER17_ER2_MF</v>
      </c>
      <c r="G2478" s="2676"/>
      <c r="H2478" s="2676"/>
      <c r="I2478" s="2677"/>
      <c r="J2478" s="3299" t="str">
        <f>$C$1639</f>
        <v>354200_2019_12_</v>
      </c>
      <c r="K2478" s="2282">
        <v>9.5</v>
      </c>
      <c r="L2478" s="851"/>
      <c r="M2478" s="2278"/>
      <c r="N2478" s="123"/>
      <c r="O2478" s="228"/>
      <c r="P2478" s="844"/>
      <c r="Q2478" s="845"/>
      <c r="R2478" s="844"/>
      <c r="S2478" s="832"/>
      <c r="T2478" s="3082"/>
      <c r="U2478" s="123"/>
      <c r="V2478" s="3990"/>
      <c r="W2478" s="2857">
        <v>9.5</v>
      </c>
      <c r="X2478" s="2857">
        <v>9.5</v>
      </c>
      <c r="Y2478" s="2857">
        <v>9.5</v>
      </c>
      <c r="Z2478" s="2857">
        <v>9.5</v>
      </c>
      <c r="AA2478" s="2857">
        <v>9.5</v>
      </c>
      <c r="AB2478" s="2855">
        <v>9.5</v>
      </c>
      <c r="AC2478" s="2282">
        <v>9.5</v>
      </c>
      <c r="AD2478" s="2857"/>
      <c r="AE2478" s="2857"/>
      <c r="AF2478" s="2857"/>
      <c r="AG2478" s="2857"/>
      <c r="AH2478" s="1942"/>
      <c r="AI2478" s="1942"/>
      <c r="AJ2478" s="1942"/>
      <c r="AK2478" s="1942"/>
      <c r="AL2478" s="1942"/>
      <c r="AM2478" s="1942"/>
      <c r="AN2478" s="1942"/>
      <c r="AO2478" s="1942"/>
      <c r="AP2478" s="1942"/>
      <c r="AQ2478" s="1942"/>
      <c r="AR2478" s="1942"/>
      <c r="AS2478" s="1942"/>
      <c r="AT2478" s="1942"/>
      <c r="AU2478" s="1942"/>
      <c r="AV2478" s="1942"/>
      <c r="AW2478" s="1942"/>
      <c r="AX2478" s="1942"/>
      <c r="AY2478" s="1942"/>
      <c r="AZ2478" s="1942"/>
      <c r="BA2478" s="1942"/>
      <c r="BB2478" s="575"/>
      <c r="BC2478" s="576"/>
      <c r="BD2478" s="678"/>
      <c r="BE2478" s="585"/>
    </row>
    <row r="2479" spans="1:57" s="51" customFormat="1" ht="15" hidden="1" customHeight="1" outlineLevel="1" x14ac:dyDescent="0.25">
      <c r="A2479" s="2060"/>
      <c r="B2479" s="123"/>
      <c r="C2479" s="328"/>
      <c r="D2479" s="3990"/>
      <c r="E2479" s="4009"/>
      <c r="F2479" s="3010" t="str">
        <f>$E$1641</f>
        <v>ASHP-SEER17_ER1_MF_CompE</v>
      </c>
      <c r="G2479" s="2676"/>
      <c r="H2479" s="2676"/>
      <c r="I2479" s="2677"/>
      <c r="J2479" s="3299" t="str">
        <f>$C$1641</f>
        <v>354201_2019_12_</v>
      </c>
      <c r="K2479" s="2282">
        <v>9.5</v>
      </c>
      <c r="L2479" s="851"/>
      <c r="M2479" s="2278"/>
      <c r="N2479" s="123"/>
      <c r="O2479" s="228"/>
      <c r="P2479" s="844"/>
      <c r="Q2479" s="845"/>
      <c r="R2479" s="844"/>
      <c r="S2479" s="832"/>
      <c r="T2479" s="3082"/>
      <c r="U2479" s="123"/>
      <c r="V2479" s="3990"/>
      <c r="W2479" s="2857"/>
      <c r="X2479" s="2857"/>
      <c r="Y2479" s="3155">
        <v>9.5</v>
      </c>
      <c r="Z2479" s="2857">
        <v>9.5</v>
      </c>
      <c r="AA2479" s="2857">
        <v>9.5</v>
      </c>
      <c r="AB2479" s="2855">
        <v>9.5</v>
      </c>
      <c r="AC2479" s="2282">
        <v>9.5</v>
      </c>
      <c r="AD2479" s="2857"/>
      <c r="AE2479" s="2857"/>
      <c r="AF2479" s="2857"/>
      <c r="AG2479" s="2857"/>
      <c r="AH2479" s="1942"/>
      <c r="AI2479" s="1942"/>
      <c r="AJ2479" s="1942"/>
      <c r="AK2479" s="1942"/>
      <c r="AL2479" s="1942"/>
      <c r="AM2479" s="1942"/>
      <c r="AN2479" s="1942"/>
      <c r="AO2479" s="1942"/>
      <c r="AP2479" s="1942"/>
      <c r="AQ2479" s="1942"/>
      <c r="AR2479" s="1942"/>
      <c r="AS2479" s="1942"/>
      <c r="AT2479" s="1942"/>
      <c r="AU2479" s="1942"/>
      <c r="AV2479" s="1942"/>
      <c r="AW2479" s="1942"/>
      <c r="AX2479" s="1942"/>
      <c r="AY2479" s="1942"/>
      <c r="AZ2479" s="1942"/>
      <c r="BA2479" s="1942"/>
      <c r="BB2479" s="575"/>
      <c r="BC2479" s="576"/>
      <c r="BD2479" s="678"/>
      <c r="BE2479" s="585"/>
    </row>
    <row r="2480" spans="1:57" s="51" customFormat="1" ht="15" hidden="1" customHeight="1" outlineLevel="1" x14ac:dyDescent="0.25">
      <c r="A2480" s="2060"/>
      <c r="B2480" s="123"/>
      <c r="C2480" s="328"/>
      <c r="D2480" s="3990"/>
      <c r="E2480" s="4009"/>
      <c r="F2480" s="3010" t="str">
        <f>$E$1643</f>
        <v>ASHP-SEER17_ER2_MF_CompE</v>
      </c>
      <c r="G2480" s="2676"/>
      <c r="H2480" s="2676"/>
      <c r="I2480" s="2677"/>
      <c r="J2480" s="3299" t="str">
        <f>$C$1643</f>
        <v>354201_2019_12_</v>
      </c>
      <c r="K2480" s="2282">
        <v>9.5</v>
      </c>
      <c r="L2480" s="851"/>
      <c r="M2480" s="2278"/>
      <c r="N2480" s="123"/>
      <c r="O2480" s="228"/>
      <c r="P2480" s="844"/>
      <c r="Q2480" s="845"/>
      <c r="R2480" s="844"/>
      <c r="S2480" s="832"/>
      <c r="T2480" s="3082"/>
      <c r="U2480" s="123"/>
      <c r="V2480" s="3990"/>
      <c r="W2480" s="2857"/>
      <c r="X2480" s="2857"/>
      <c r="Y2480" s="3155">
        <v>9.5</v>
      </c>
      <c r="Z2480" s="2857">
        <v>9.5</v>
      </c>
      <c r="AA2480" s="2857">
        <v>9.5</v>
      </c>
      <c r="AB2480" s="2855">
        <v>9.5</v>
      </c>
      <c r="AC2480" s="2282">
        <v>9.5</v>
      </c>
      <c r="AD2480" s="2857"/>
      <c r="AE2480" s="2857"/>
      <c r="AF2480" s="2857"/>
      <c r="AG2480" s="2857"/>
      <c r="AH2480" s="1942"/>
      <c r="AI2480" s="1942"/>
      <c r="AJ2480" s="1942"/>
      <c r="AK2480" s="1942"/>
      <c r="AL2480" s="1942"/>
      <c r="AM2480" s="1942"/>
      <c r="AN2480" s="1942"/>
      <c r="AO2480" s="1942"/>
      <c r="AP2480" s="1942"/>
      <c r="AQ2480" s="1942"/>
      <c r="AR2480" s="1942"/>
      <c r="AS2480" s="1942"/>
      <c r="AT2480" s="1942"/>
      <c r="AU2480" s="1942"/>
      <c r="AV2480" s="1942"/>
      <c r="AW2480" s="1942"/>
      <c r="AX2480" s="1942"/>
      <c r="AY2480" s="1942"/>
      <c r="AZ2480" s="1942"/>
      <c r="BA2480" s="1942"/>
      <c r="BB2480" s="575"/>
      <c r="BC2480" s="576"/>
      <c r="BD2480" s="678"/>
      <c r="BE2480" s="585"/>
    </row>
    <row r="2481" spans="1:57" s="51" customFormat="1" ht="15" hidden="1" customHeight="1" outlineLevel="1" x14ac:dyDescent="0.25">
      <c r="A2481" s="2060"/>
      <c r="B2481" s="123"/>
      <c r="C2481" s="328"/>
      <c r="D2481" s="3990"/>
      <c r="E2481" s="4009"/>
      <c r="F2481" s="3010" t="str">
        <f>$E$1645</f>
        <v>ASHP-SEER18-Replace_CAC_ElectricHeat_ER1_SF</v>
      </c>
      <c r="G2481" s="2676"/>
      <c r="H2481" s="2676"/>
      <c r="I2481" s="2677"/>
      <c r="J2481" s="3298" t="str">
        <f>$C$1645</f>
        <v>354250_2021_12_</v>
      </c>
      <c r="K2481" s="2228">
        <v>10.084070796460182</v>
      </c>
      <c r="L2481" s="851"/>
      <c r="M2481" s="2723" t="s">
        <v>1551</v>
      </c>
      <c r="N2481" s="123"/>
      <c r="O2481" s="228"/>
      <c r="P2481" s="844"/>
      <c r="Q2481" s="845"/>
      <c r="R2481" s="844"/>
      <c r="S2481" s="832"/>
      <c r="T2481" s="3082"/>
      <c r="U2481" s="123"/>
      <c r="V2481" s="3990"/>
      <c r="W2481" s="2857">
        <v>9.4</v>
      </c>
      <c r="X2481" s="2857">
        <v>9.4</v>
      </c>
      <c r="Y2481" s="2857">
        <v>9.4</v>
      </c>
      <c r="Z2481" s="2857">
        <v>9.4</v>
      </c>
      <c r="AA2481" s="2857">
        <v>9.4</v>
      </c>
      <c r="AB2481" s="2266">
        <v>9.8885057471264393</v>
      </c>
      <c r="AC2481" s="2228">
        <v>10.084070796460182</v>
      </c>
      <c r="AD2481" s="2857"/>
      <c r="AE2481" s="2857"/>
      <c r="AF2481" s="2857"/>
      <c r="AG2481" s="2857"/>
      <c r="AH2481" s="1942"/>
      <c r="AI2481" s="1942"/>
      <c r="AJ2481" s="1942"/>
      <c r="AK2481" s="1942"/>
      <c r="AL2481" s="1942"/>
      <c r="AM2481" s="1942"/>
      <c r="AN2481" s="1942"/>
      <c r="AO2481" s="1942"/>
      <c r="AP2481" s="1942"/>
      <c r="AQ2481" s="1942"/>
      <c r="AR2481" s="1942"/>
      <c r="AS2481" s="1942"/>
      <c r="AT2481" s="1942"/>
      <c r="AU2481" s="1942"/>
      <c r="AV2481" s="1942"/>
      <c r="AW2481" s="1942"/>
      <c r="AX2481" s="1942"/>
      <c r="AY2481" s="1942"/>
      <c r="AZ2481" s="1942"/>
      <c r="BA2481" s="1942"/>
      <c r="BB2481" s="575"/>
      <c r="BC2481" s="576"/>
      <c r="BD2481" s="678"/>
      <c r="BE2481" s="585"/>
    </row>
    <row r="2482" spans="1:57" s="51" customFormat="1" ht="15" hidden="1" customHeight="1" outlineLevel="1" x14ac:dyDescent="0.25">
      <c r="A2482" s="2060"/>
      <c r="B2482" s="123"/>
      <c r="C2482" s="328"/>
      <c r="D2482" s="3990"/>
      <c r="E2482" s="4009"/>
      <c r="F2482" s="3010" t="str">
        <f>$E$1647</f>
        <v>ASHP-SEER18-Replace_CAC_ElectricHeat_ER2_SF</v>
      </c>
      <c r="G2482" s="2676"/>
      <c r="H2482" s="2676"/>
      <c r="I2482" s="2677"/>
      <c r="J2482" s="3298" t="str">
        <f>$C$1647</f>
        <v>354250_2021_12_</v>
      </c>
      <c r="K2482" s="2228">
        <f>K2481</f>
        <v>10.084070796460182</v>
      </c>
      <c r="L2482" s="851"/>
      <c r="M2482" s="2723" t="s">
        <v>1551</v>
      </c>
      <c r="N2482" s="123"/>
      <c r="O2482" s="228"/>
      <c r="P2482" s="844"/>
      <c r="Q2482" s="845"/>
      <c r="R2482" s="844"/>
      <c r="S2482" s="832"/>
      <c r="T2482" s="3082"/>
      <c r="U2482" s="123"/>
      <c r="V2482" s="3990"/>
      <c r="W2482" s="2857">
        <v>9.4</v>
      </c>
      <c r="X2482" s="2857">
        <v>9.4</v>
      </c>
      <c r="Y2482" s="2857">
        <v>9.4</v>
      </c>
      <c r="Z2482" s="2857">
        <v>9.4</v>
      </c>
      <c r="AA2482" s="2857">
        <v>9.4</v>
      </c>
      <c r="AB2482" s="2266">
        <v>9.8885057471264393</v>
      </c>
      <c r="AC2482" s="2228">
        <f>AC2481</f>
        <v>10.084070796460182</v>
      </c>
      <c r="AD2482" s="2857"/>
      <c r="AE2482" s="2857"/>
      <c r="AF2482" s="2857"/>
      <c r="AG2482" s="2857"/>
      <c r="AH2482" s="1942"/>
      <c r="AI2482" s="1942"/>
      <c r="AJ2482" s="1942"/>
      <c r="AK2482" s="1942"/>
      <c r="AL2482" s="1942"/>
      <c r="AM2482" s="1942"/>
      <c r="AN2482" s="1942"/>
      <c r="AO2482" s="1942"/>
      <c r="AP2482" s="1942"/>
      <c r="AQ2482" s="1942"/>
      <c r="AR2482" s="1942"/>
      <c r="AS2482" s="1942"/>
      <c r="AT2482" s="1942"/>
      <c r="AU2482" s="1942"/>
      <c r="AV2482" s="1942"/>
      <c r="AW2482" s="1942"/>
      <c r="AX2482" s="1942"/>
      <c r="AY2482" s="1942"/>
      <c r="AZ2482" s="1942"/>
      <c r="BA2482" s="1942"/>
      <c r="BB2482" s="575"/>
      <c r="BC2482" s="576"/>
      <c r="BD2482" s="678"/>
      <c r="BE2482" s="585"/>
    </row>
    <row r="2483" spans="1:57" s="1942" customFormat="1" ht="15" hidden="1" customHeight="1" outlineLevel="1" x14ac:dyDescent="0.25">
      <c r="A2483" s="2060"/>
      <c r="B2483" s="123"/>
      <c r="C2483" s="328"/>
      <c r="D2483" s="3990"/>
      <c r="E2483" s="4009"/>
      <c r="F2483" s="3010" t="str">
        <f>$E$1649</f>
        <v>ASHP-SEER18-Replace_CAC_NonElectricHeat_ER1_SF</v>
      </c>
      <c r="G2483" s="2676"/>
      <c r="H2483" s="2676"/>
      <c r="I2483" s="2677"/>
      <c r="J2483" s="3298" t="str">
        <f>$C$1649</f>
        <v>354260_2021_12_</v>
      </c>
      <c r="K2483" s="2228">
        <v>10.084070796460182</v>
      </c>
      <c r="L2483" s="851"/>
      <c r="M2483" s="2723" t="s">
        <v>1125</v>
      </c>
      <c r="N2483" s="123"/>
      <c r="O2483" s="228"/>
      <c r="P2483" s="844"/>
      <c r="Q2483" s="845"/>
      <c r="R2483" s="844"/>
      <c r="S2483" s="832"/>
      <c r="T2483" s="3082"/>
      <c r="U2483" s="123"/>
      <c r="V2483" s="3990"/>
      <c r="W2483" s="2857"/>
      <c r="X2483" s="2857"/>
      <c r="Y2483" s="2857"/>
      <c r="Z2483" s="2857"/>
      <c r="AA2483" s="2857"/>
      <c r="AB2483" s="2266"/>
      <c r="AC2483" s="2228">
        <v>10.084070796460182</v>
      </c>
      <c r="AD2483" s="2857"/>
      <c r="AE2483" s="2857"/>
      <c r="AF2483" s="2857"/>
      <c r="AG2483" s="2857"/>
      <c r="BB2483" s="575"/>
      <c r="BC2483" s="576"/>
      <c r="BD2483" s="678"/>
      <c r="BE2483" s="585"/>
    </row>
    <row r="2484" spans="1:57" s="1942" customFormat="1" ht="15" hidden="1" customHeight="1" outlineLevel="1" x14ac:dyDescent="0.25">
      <c r="A2484" s="2060"/>
      <c r="B2484" s="123"/>
      <c r="C2484" s="328"/>
      <c r="D2484" s="3990"/>
      <c r="E2484" s="4009"/>
      <c r="F2484" s="3010" t="str">
        <f>$E$1651</f>
        <v>ASHP-SEER18-Replace_CAC_NonElectricHeat_ER2_SF</v>
      </c>
      <c r="G2484" s="2676"/>
      <c r="H2484" s="2676"/>
      <c r="I2484" s="2677"/>
      <c r="J2484" s="3298" t="str">
        <f>$C$1651</f>
        <v>354260_2021_12_</v>
      </c>
      <c r="K2484" s="2228">
        <f>K2483</f>
        <v>10.084070796460182</v>
      </c>
      <c r="L2484" s="851"/>
      <c r="M2484" s="2723" t="s">
        <v>1125</v>
      </c>
      <c r="N2484" s="123"/>
      <c r="O2484" s="228"/>
      <c r="P2484" s="844"/>
      <c r="Q2484" s="845"/>
      <c r="R2484" s="844"/>
      <c r="S2484" s="832"/>
      <c r="T2484" s="3082"/>
      <c r="U2484" s="123"/>
      <c r="V2484" s="3990"/>
      <c r="W2484" s="2857"/>
      <c r="X2484" s="2857"/>
      <c r="Y2484" s="2857"/>
      <c r="Z2484" s="2857"/>
      <c r="AA2484" s="2857"/>
      <c r="AB2484" s="2266"/>
      <c r="AC2484" s="2228">
        <f>AC2483</f>
        <v>10.084070796460182</v>
      </c>
      <c r="AD2484" s="2857"/>
      <c r="AE2484" s="2857"/>
      <c r="AF2484" s="2857"/>
      <c r="AG2484" s="2857"/>
      <c r="BB2484" s="575"/>
      <c r="BC2484" s="576"/>
      <c r="BD2484" s="678"/>
      <c r="BE2484" s="585"/>
    </row>
    <row r="2485" spans="1:57" s="51" customFormat="1" ht="15" hidden="1" customHeight="1" outlineLevel="1" x14ac:dyDescent="0.25">
      <c r="A2485" s="2060"/>
      <c r="B2485" s="123"/>
      <c r="C2485" s="328"/>
      <c r="D2485" s="3990"/>
      <c r="E2485" s="4009"/>
      <c r="F2485" s="3010" t="str">
        <f>$E$1653</f>
        <v>ASHP-SEER18-Replace_CAC_ElectricHeat_ER1_MF</v>
      </c>
      <c r="G2485" s="2676"/>
      <c r="H2485" s="2676"/>
      <c r="I2485" s="2677"/>
      <c r="J2485" s="3298" t="str">
        <f>$C$1653</f>
        <v>354300_2021_12_</v>
      </c>
      <c r="K2485" s="2282">
        <v>10</v>
      </c>
      <c r="L2485" s="851"/>
      <c r="M2485" s="2723" t="s">
        <v>1551</v>
      </c>
      <c r="N2485" s="123"/>
      <c r="O2485" s="228"/>
      <c r="P2485" s="844"/>
      <c r="Q2485" s="845"/>
      <c r="R2485" s="844"/>
      <c r="S2485" s="832"/>
      <c r="T2485" s="3082"/>
      <c r="U2485" s="123"/>
      <c r="V2485" s="3990"/>
      <c r="W2485" s="2857">
        <v>9.4</v>
      </c>
      <c r="X2485" s="2857">
        <v>9.4</v>
      </c>
      <c r="Y2485" s="2857">
        <v>9.4</v>
      </c>
      <c r="Z2485" s="2857">
        <v>9.4</v>
      </c>
      <c r="AA2485" s="2857">
        <v>9.4</v>
      </c>
      <c r="AB2485" s="2266">
        <v>10</v>
      </c>
      <c r="AC2485" s="2282">
        <v>10</v>
      </c>
      <c r="AD2485" s="2857"/>
      <c r="AE2485" s="2857"/>
      <c r="AF2485" s="2857"/>
      <c r="AG2485" s="2857"/>
      <c r="AH2485" s="1942"/>
      <c r="AI2485" s="1942"/>
      <c r="AJ2485" s="1942"/>
      <c r="AK2485" s="1942"/>
      <c r="AL2485" s="1942"/>
      <c r="AM2485" s="1942"/>
      <c r="AN2485" s="1942"/>
      <c r="AO2485" s="1942"/>
      <c r="AP2485" s="1942"/>
      <c r="AQ2485" s="1942"/>
      <c r="AR2485" s="1942"/>
      <c r="AS2485" s="1942"/>
      <c r="AT2485" s="1942"/>
      <c r="AU2485" s="1942"/>
      <c r="AV2485" s="1942"/>
      <c r="AW2485" s="1942"/>
      <c r="AX2485" s="1942"/>
      <c r="AY2485" s="1942"/>
      <c r="AZ2485" s="1942"/>
      <c r="BA2485" s="1942"/>
      <c r="BB2485" s="575"/>
      <c r="BC2485" s="576"/>
      <c r="BD2485" s="678"/>
      <c r="BE2485" s="585"/>
    </row>
    <row r="2486" spans="1:57" s="51" customFormat="1" ht="15" hidden="1" customHeight="1" outlineLevel="1" x14ac:dyDescent="0.25">
      <c r="A2486" s="2060"/>
      <c r="B2486" s="123"/>
      <c r="C2486" s="328"/>
      <c r="D2486" s="3990"/>
      <c r="E2486" s="4009"/>
      <c r="F2486" s="3010" t="str">
        <f>$E$1655</f>
        <v>ASHP-SEER18-Replace_CAC_ElectricHeat_ER2_MF</v>
      </c>
      <c r="G2486" s="2676"/>
      <c r="H2486" s="2676"/>
      <c r="I2486" s="2677"/>
      <c r="J2486" s="3298" t="str">
        <f>$C$1655</f>
        <v>354300_2021_12_</v>
      </c>
      <c r="K2486" s="2282">
        <f>K2485</f>
        <v>10</v>
      </c>
      <c r="L2486" s="851"/>
      <c r="M2486" s="2723" t="s">
        <v>1551</v>
      </c>
      <c r="N2486" s="123"/>
      <c r="O2486" s="228"/>
      <c r="P2486" s="844"/>
      <c r="Q2486" s="845"/>
      <c r="R2486" s="844"/>
      <c r="S2486" s="832"/>
      <c r="T2486" s="3082"/>
      <c r="U2486" s="123"/>
      <c r="V2486" s="3990"/>
      <c r="W2486" s="2857">
        <v>9.4</v>
      </c>
      <c r="X2486" s="2857">
        <v>9.4</v>
      </c>
      <c r="Y2486" s="2857">
        <v>9.4</v>
      </c>
      <c r="Z2486" s="2857">
        <v>9.4</v>
      </c>
      <c r="AA2486" s="2857">
        <v>9.4</v>
      </c>
      <c r="AB2486" s="2266">
        <v>10</v>
      </c>
      <c r="AC2486" s="2282">
        <f>AC2485</f>
        <v>10</v>
      </c>
      <c r="AD2486" s="2857"/>
      <c r="AE2486" s="2857"/>
      <c r="AF2486" s="2857"/>
      <c r="AG2486" s="2857"/>
      <c r="AH2486" s="1942"/>
      <c r="AI2486" s="1942"/>
      <c r="AJ2486" s="1942"/>
      <c r="AK2486" s="1942"/>
      <c r="AL2486" s="1942"/>
      <c r="AM2486" s="1942"/>
      <c r="AN2486" s="1942"/>
      <c r="AO2486" s="1942"/>
      <c r="AP2486" s="1942"/>
      <c r="AQ2486" s="1942"/>
      <c r="AR2486" s="1942"/>
      <c r="AS2486" s="1942"/>
      <c r="AT2486" s="1942"/>
      <c r="AU2486" s="1942"/>
      <c r="AV2486" s="1942"/>
      <c r="AW2486" s="1942"/>
      <c r="AX2486" s="1942"/>
      <c r="AY2486" s="1942"/>
      <c r="AZ2486" s="1942"/>
      <c r="BA2486" s="1942"/>
      <c r="BB2486" s="575"/>
      <c r="BC2486" s="576"/>
      <c r="BD2486" s="678"/>
      <c r="BE2486" s="585"/>
    </row>
    <row r="2487" spans="1:57" s="51" customFormat="1" ht="15" hidden="1" customHeight="1" outlineLevel="1" x14ac:dyDescent="0.25">
      <c r="A2487" s="2060"/>
      <c r="B2487" s="123"/>
      <c r="C2487" s="328"/>
      <c r="D2487" s="3990"/>
      <c r="E2487" s="4009"/>
      <c r="F2487" s="3010" t="str">
        <f>$E$1657</f>
        <v>ASHP-SEER18-Replace_CAC_ElectricHeat_ER1_MF_CompE</v>
      </c>
      <c r="G2487" s="2676"/>
      <c r="H2487" s="2676"/>
      <c r="I2487" s="2677"/>
      <c r="J2487" s="3298" t="str">
        <f>$C$1657</f>
        <v>354301_2021_12_</v>
      </c>
      <c r="K2487" s="2282">
        <f>K2485</f>
        <v>10</v>
      </c>
      <c r="L2487" s="851"/>
      <c r="M2487" s="2243" t="s">
        <v>1125</v>
      </c>
      <c r="N2487" s="123"/>
      <c r="O2487" s="228"/>
      <c r="P2487" s="844"/>
      <c r="Q2487" s="845"/>
      <c r="R2487" s="844"/>
      <c r="S2487" s="832"/>
      <c r="T2487" s="3082"/>
      <c r="U2487" s="123"/>
      <c r="V2487" s="3990"/>
      <c r="W2487" s="2857"/>
      <c r="X2487" s="2857"/>
      <c r="Y2487" s="3155">
        <v>9.4</v>
      </c>
      <c r="Z2487" s="2857">
        <v>9.4</v>
      </c>
      <c r="AA2487" s="2857">
        <v>9.4</v>
      </c>
      <c r="AB2487" s="2266">
        <v>10</v>
      </c>
      <c r="AC2487" s="2282">
        <f>AC2485</f>
        <v>10</v>
      </c>
      <c r="AD2487" s="2857"/>
      <c r="AE2487" s="2857"/>
      <c r="AF2487" s="2857"/>
      <c r="AG2487" s="2857"/>
      <c r="AH2487" s="1942"/>
      <c r="AI2487" s="1942"/>
      <c r="AJ2487" s="1942"/>
      <c r="AK2487" s="1942"/>
      <c r="AL2487" s="1942"/>
      <c r="AM2487" s="1942"/>
      <c r="AN2487" s="1942"/>
      <c r="AO2487" s="1942"/>
      <c r="AP2487" s="1942"/>
      <c r="AQ2487" s="1942"/>
      <c r="AR2487" s="1942"/>
      <c r="AS2487" s="1942"/>
      <c r="AT2487" s="1942"/>
      <c r="AU2487" s="1942"/>
      <c r="AV2487" s="1942"/>
      <c r="AW2487" s="1942"/>
      <c r="AX2487" s="1942"/>
      <c r="AY2487" s="1942"/>
      <c r="AZ2487" s="1942"/>
      <c r="BA2487" s="1942"/>
      <c r="BB2487" s="575"/>
      <c r="BC2487" s="576"/>
      <c r="BD2487" s="678"/>
      <c r="BE2487" s="585"/>
    </row>
    <row r="2488" spans="1:57" s="51" customFormat="1" ht="15" hidden="1" customHeight="1" outlineLevel="1" x14ac:dyDescent="0.25">
      <c r="A2488" s="2060"/>
      <c r="B2488" s="123"/>
      <c r="C2488" s="328"/>
      <c r="D2488" s="3990"/>
      <c r="E2488" s="4009"/>
      <c r="F2488" s="3010" t="str">
        <f>$E$1659</f>
        <v>ASHP-SEER18-Replace_CAC_ElectricHeat_ER2_MF_CompE</v>
      </c>
      <c r="G2488" s="2676"/>
      <c r="H2488" s="2676"/>
      <c r="I2488" s="2677"/>
      <c r="J2488" s="3298" t="str">
        <f>$C$1659</f>
        <v>354301_2021_12_</v>
      </c>
      <c r="K2488" s="2282">
        <f>K2486</f>
        <v>10</v>
      </c>
      <c r="L2488" s="851"/>
      <c r="M2488" s="2243" t="s">
        <v>1125</v>
      </c>
      <c r="N2488" s="123"/>
      <c r="O2488" s="228"/>
      <c r="P2488" s="844"/>
      <c r="Q2488" s="845"/>
      <c r="R2488" s="844"/>
      <c r="S2488" s="832"/>
      <c r="T2488" s="3082"/>
      <c r="U2488" s="123"/>
      <c r="V2488" s="3990"/>
      <c r="W2488" s="2857"/>
      <c r="X2488" s="2857"/>
      <c r="Y2488" s="3155">
        <v>9.4</v>
      </c>
      <c r="Z2488" s="2857">
        <v>9.4</v>
      </c>
      <c r="AA2488" s="2857">
        <v>9.4</v>
      </c>
      <c r="AB2488" s="2266">
        <v>10</v>
      </c>
      <c r="AC2488" s="2282">
        <f>AC2486</f>
        <v>10</v>
      </c>
      <c r="AD2488" s="2857"/>
      <c r="AE2488" s="2857"/>
      <c r="AF2488" s="2857"/>
      <c r="AG2488" s="2857"/>
      <c r="AH2488" s="1942"/>
      <c r="AI2488" s="1942"/>
      <c r="AJ2488" s="1942"/>
      <c r="AK2488" s="1942"/>
      <c r="AL2488" s="1942"/>
      <c r="AM2488" s="1942"/>
      <c r="AN2488" s="1942"/>
      <c r="AO2488" s="1942"/>
      <c r="AP2488" s="1942"/>
      <c r="AQ2488" s="1942"/>
      <c r="AR2488" s="1942"/>
      <c r="AS2488" s="1942"/>
      <c r="AT2488" s="1942"/>
      <c r="AU2488" s="1942"/>
      <c r="AV2488" s="1942"/>
      <c r="AW2488" s="1942"/>
      <c r="AX2488" s="1942"/>
      <c r="AY2488" s="1942"/>
      <c r="AZ2488" s="1942"/>
      <c r="BA2488" s="1942"/>
      <c r="BB2488" s="575"/>
      <c r="BC2488" s="576"/>
      <c r="BD2488" s="678"/>
      <c r="BE2488" s="585"/>
    </row>
    <row r="2489" spans="1:57" s="1942" customFormat="1" ht="15" hidden="1" customHeight="1" outlineLevel="1" x14ac:dyDescent="0.25">
      <c r="A2489" s="2060"/>
      <c r="B2489" s="123"/>
      <c r="C2489" s="328"/>
      <c r="D2489" s="3990"/>
      <c r="E2489" s="4009"/>
      <c r="F2489" s="3010" t="str">
        <f>$E$1661</f>
        <v>ASHP-SEER18-Replace_CAC_NonElectricHeat_ER1_MF</v>
      </c>
      <c r="G2489" s="2676"/>
      <c r="H2489" s="2676"/>
      <c r="I2489" s="2677"/>
      <c r="J2489" s="3298" t="str">
        <f>$C$1661</f>
        <v>354310_2021_12_</v>
      </c>
      <c r="K2489" s="2228">
        <v>10</v>
      </c>
      <c r="L2489" s="851"/>
      <c r="M2489" s="2723" t="s">
        <v>1125</v>
      </c>
      <c r="N2489" s="123"/>
      <c r="O2489" s="228"/>
      <c r="P2489" s="844"/>
      <c r="Q2489" s="845"/>
      <c r="R2489" s="844"/>
      <c r="S2489" s="832"/>
      <c r="T2489" s="3082"/>
      <c r="U2489" s="123"/>
      <c r="V2489" s="3990"/>
      <c r="W2489" s="2857"/>
      <c r="X2489" s="2857"/>
      <c r="Y2489" s="3155"/>
      <c r="Z2489" s="2857"/>
      <c r="AA2489" s="2857"/>
      <c r="AB2489" s="2266"/>
      <c r="AC2489" s="2228">
        <v>10</v>
      </c>
      <c r="AD2489" s="2857"/>
      <c r="AE2489" s="2857"/>
      <c r="AF2489" s="2857"/>
      <c r="AG2489" s="2857"/>
      <c r="BB2489" s="575"/>
      <c r="BC2489" s="576"/>
      <c r="BD2489" s="678"/>
      <c r="BE2489" s="585"/>
    </row>
    <row r="2490" spans="1:57" s="1942" customFormat="1" ht="15" hidden="1" customHeight="1" outlineLevel="1" x14ac:dyDescent="0.25">
      <c r="A2490" s="2060"/>
      <c r="B2490" s="123"/>
      <c r="C2490" s="328"/>
      <c r="D2490" s="3990"/>
      <c r="E2490" s="4009"/>
      <c r="F2490" s="3010" t="str">
        <f>$E$1663</f>
        <v>ASHP-SEER18-Replace_CAC_NonElectricHeat_ER2_MF</v>
      </c>
      <c r="G2490" s="2676"/>
      <c r="H2490" s="2676"/>
      <c r="I2490" s="2677"/>
      <c r="J2490" s="3298" t="str">
        <f>$C$1663</f>
        <v>354310_2021_12_</v>
      </c>
      <c r="K2490" s="2228">
        <f>K2489</f>
        <v>10</v>
      </c>
      <c r="L2490" s="851"/>
      <c r="M2490" s="2723" t="s">
        <v>1125</v>
      </c>
      <c r="N2490" s="123"/>
      <c r="O2490" s="228"/>
      <c r="P2490" s="844"/>
      <c r="Q2490" s="845"/>
      <c r="R2490" s="844"/>
      <c r="S2490" s="832"/>
      <c r="T2490" s="3082"/>
      <c r="U2490" s="123"/>
      <c r="V2490" s="3990"/>
      <c r="W2490" s="2857"/>
      <c r="X2490" s="2857"/>
      <c r="Y2490" s="3155"/>
      <c r="Z2490" s="2857"/>
      <c r="AA2490" s="2857"/>
      <c r="AB2490" s="2266"/>
      <c r="AC2490" s="2228">
        <f>AC2489</f>
        <v>10</v>
      </c>
      <c r="AD2490" s="2857"/>
      <c r="AE2490" s="2857"/>
      <c r="AF2490" s="2857"/>
      <c r="AG2490" s="2857"/>
      <c r="BB2490" s="575"/>
      <c r="BC2490" s="576"/>
      <c r="BD2490" s="678"/>
      <c r="BE2490" s="585"/>
    </row>
    <row r="2491" spans="1:57" s="1942" customFormat="1" ht="15" hidden="1" customHeight="1" outlineLevel="1" x14ac:dyDescent="0.25">
      <c r="A2491" s="2060"/>
      <c r="B2491" s="123"/>
      <c r="C2491" s="328"/>
      <c r="D2491" s="3990"/>
      <c r="E2491" s="4009"/>
      <c r="F2491" s="3010" t="str">
        <f>$E$1665</f>
        <v>ASHP-SEER18-Replace_CAC_NonElectricHeat_ER1_MF_CompE</v>
      </c>
      <c r="G2491" s="2676"/>
      <c r="H2491" s="2676"/>
      <c r="I2491" s="2677"/>
      <c r="J2491" s="3298" t="str">
        <f>$C$1665</f>
        <v>354311_2021_12_</v>
      </c>
      <c r="K2491" s="2228">
        <f>K2489</f>
        <v>10</v>
      </c>
      <c r="L2491" s="851"/>
      <c r="M2491" s="2723" t="s">
        <v>1125</v>
      </c>
      <c r="N2491" s="123"/>
      <c r="O2491" s="228"/>
      <c r="P2491" s="844"/>
      <c r="Q2491" s="845"/>
      <c r="R2491" s="844"/>
      <c r="S2491" s="832"/>
      <c r="T2491" s="3082"/>
      <c r="U2491" s="123"/>
      <c r="V2491" s="3990"/>
      <c r="W2491" s="2857"/>
      <c r="X2491" s="2857"/>
      <c r="Y2491" s="3155"/>
      <c r="Z2491" s="2857"/>
      <c r="AA2491" s="2857"/>
      <c r="AB2491" s="2266"/>
      <c r="AC2491" s="2228">
        <f>AC2489</f>
        <v>10</v>
      </c>
      <c r="AD2491" s="2857"/>
      <c r="AE2491" s="2857"/>
      <c r="AF2491" s="2857"/>
      <c r="AG2491" s="2857"/>
      <c r="BB2491" s="575"/>
      <c r="BC2491" s="576"/>
      <c r="BD2491" s="678"/>
      <c r="BE2491" s="585"/>
    </row>
    <row r="2492" spans="1:57" s="1942" customFormat="1" ht="15" hidden="1" customHeight="1" outlineLevel="1" x14ac:dyDescent="0.25">
      <c r="A2492" s="2060"/>
      <c r="B2492" s="123"/>
      <c r="C2492" s="328"/>
      <c r="D2492" s="3990"/>
      <c r="E2492" s="4009"/>
      <c r="F2492" s="3010" t="str">
        <f>$E$1667</f>
        <v>ASHP-SEER18-Replace_CAC_NonElectricHeat_ER2_MF_CompE</v>
      </c>
      <c r="G2492" s="2676"/>
      <c r="H2492" s="2676"/>
      <c r="I2492" s="2677"/>
      <c r="J2492" s="3298" t="str">
        <f>$C$1667</f>
        <v>354311_2021_12_</v>
      </c>
      <c r="K2492" s="2228">
        <f>K2490</f>
        <v>10</v>
      </c>
      <c r="L2492" s="851"/>
      <c r="M2492" s="2723" t="s">
        <v>1125</v>
      </c>
      <c r="N2492" s="123"/>
      <c r="O2492" s="228"/>
      <c r="P2492" s="844"/>
      <c r="Q2492" s="845"/>
      <c r="R2492" s="844"/>
      <c r="S2492" s="832"/>
      <c r="T2492" s="3082"/>
      <c r="U2492" s="123"/>
      <c r="V2492" s="3990"/>
      <c r="W2492" s="2857"/>
      <c r="X2492" s="2857"/>
      <c r="Y2492" s="3155"/>
      <c r="Z2492" s="2857"/>
      <c r="AA2492" s="2857"/>
      <c r="AB2492" s="2266"/>
      <c r="AC2492" s="2228">
        <f>AC2490</f>
        <v>10</v>
      </c>
      <c r="AD2492" s="2857"/>
      <c r="AE2492" s="2857"/>
      <c r="AF2492" s="2857"/>
      <c r="AG2492" s="2857"/>
      <c r="BB2492" s="575"/>
      <c r="BC2492" s="576"/>
      <c r="BD2492" s="678"/>
      <c r="BE2492" s="585"/>
    </row>
    <row r="2493" spans="1:57" s="51" customFormat="1" ht="15" hidden="1" customHeight="1" outlineLevel="1" x14ac:dyDescent="0.25">
      <c r="A2493" s="2060"/>
      <c r="B2493" s="123"/>
      <c r="C2493" s="328"/>
      <c r="D2493" s="3990"/>
      <c r="E2493" s="4009"/>
      <c r="F2493" s="3010" t="str">
        <f>$E$1669</f>
        <v>ASHP-SEER18_ER1_MF</v>
      </c>
      <c r="G2493" s="2676"/>
      <c r="H2493" s="2676"/>
      <c r="I2493" s="2677"/>
      <c r="J2493" s="3298" t="str">
        <f>$C$1669</f>
        <v>354350_2021_12_</v>
      </c>
      <c r="K2493" s="2282">
        <v>9.5</v>
      </c>
      <c r="L2493" s="851"/>
      <c r="M2493" s="2730" t="s">
        <v>1008</v>
      </c>
      <c r="N2493" s="123"/>
      <c r="O2493" s="228"/>
      <c r="P2493" s="844"/>
      <c r="Q2493" s="845"/>
      <c r="R2493" s="844"/>
      <c r="S2493" s="832"/>
      <c r="T2493" s="3082"/>
      <c r="U2493" s="123"/>
      <c r="V2493" s="3990"/>
      <c r="W2493" s="2857">
        <v>9.5</v>
      </c>
      <c r="X2493" s="2857">
        <v>9.5</v>
      </c>
      <c r="Y2493" s="2857">
        <v>9.5</v>
      </c>
      <c r="Z2493" s="2857">
        <v>9.5</v>
      </c>
      <c r="AA2493" s="2857">
        <v>9.5</v>
      </c>
      <c r="AB2493" s="3452">
        <v>9.5</v>
      </c>
      <c r="AC2493" s="2282">
        <v>9.5</v>
      </c>
      <c r="AD2493" s="2857"/>
      <c r="AE2493" s="2857"/>
      <c r="AF2493" s="2857"/>
      <c r="AG2493" s="2857"/>
      <c r="AH2493" s="1942"/>
      <c r="AI2493" s="1942"/>
      <c r="AJ2493" s="1942"/>
      <c r="AK2493" s="1942"/>
      <c r="AL2493" s="1942"/>
      <c r="AM2493" s="1942"/>
      <c r="AN2493" s="1942"/>
      <c r="AO2493" s="1942"/>
      <c r="AP2493" s="1942"/>
      <c r="AQ2493" s="1942"/>
      <c r="AR2493" s="1942"/>
      <c r="AS2493" s="1942"/>
      <c r="AT2493" s="1942"/>
      <c r="AU2493" s="1942"/>
      <c r="AV2493" s="1942"/>
      <c r="AW2493" s="1942"/>
      <c r="AX2493" s="1942"/>
      <c r="AY2493" s="1942"/>
      <c r="AZ2493" s="1942"/>
      <c r="BA2493" s="1942"/>
      <c r="BB2493" s="575"/>
      <c r="BC2493" s="576"/>
      <c r="BD2493" s="678"/>
      <c r="BE2493" s="585"/>
    </row>
    <row r="2494" spans="1:57" s="51" customFormat="1" ht="15" hidden="1" customHeight="1" outlineLevel="1" x14ac:dyDescent="0.25">
      <c r="A2494" s="2060"/>
      <c r="B2494" s="123"/>
      <c r="C2494" s="328"/>
      <c r="D2494" s="3990"/>
      <c r="E2494" s="4009"/>
      <c r="F2494" s="3010" t="str">
        <f>$E$1671</f>
        <v>ASHP-SEER18_ER2_MF</v>
      </c>
      <c r="G2494" s="2676"/>
      <c r="H2494" s="2676"/>
      <c r="I2494" s="2677"/>
      <c r="J2494" s="3298" t="str">
        <f>$C$1671</f>
        <v>354350_2021_12_</v>
      </c>
      <c r="K2494" s="2282">
        <f>K2493</f>
        <v>9.5</v>
      </c>
      <c r="L2494" s="851"/>
      <c r="M2494" s="2730" t="s">
        <v>1008</v>
      </c>
      <c r="N2494" s="123"/>
      <c r="O2494" s="228"/>
      <c r="P2494" s="844"/>
      <c r="Q2494" s="845"/>
      <c r="R2494" s="844"/>
      <c r="S2494" s="832"/>
      <c r="T2494" s="3082"/>
      <c r="U2494" s="123"/>
      <c r="V2494" s="3990"/>
      <c r="W2494" s="2857">
        <v>9.5</v>
      </c>
      <c r="X2494" s="2857">
        <v>9.5</v>
      </c>
      <c r="Y2494" s="2857">
        <v>9.5</v>
      </c>
      <c r="Z2494" s="2857">
        <v>9.5</v>
      </c>
      <c r="AA2494" s="2857">
        <v>9.5</v>
      </c>
      <c r="AB2494" s="3452">
        <v>9.5</v>
      </c>
      <c r="AC2494" s="2282">
        <f>AC2493</f>
        <v>9.5</v>
      </c>
      <c r="AD2494" s="2857"/>
      <c r="AE2494" s="2857"/>
      <c r="AF2494" s="2857"/>
      <c r="AG2494" s="2857"/>
      <c r="AH2494" s="1942"/>
      <c r="AI2494" s="1942"/>
      <c r="AJ2494" s="1942"/>
      <c r="AK2494" s="1942"/>
      <c r="AL2494" s="1942"/>
      <c r="AM2494" s="1942"/>
      <c r="AN2494" s="1942"/>
      <c r="AO2494" s="1942"/>
      <c r="AP2494" s="1942"/>
      <c r="AQ2494" s="1942"/>
      <c r="AR2494" s="1942"/>
      <c r="AS2494" s="1942"/>
      <c r="AT2494" s="1942"/>
      <c r="AU2494" s="1942"/>
      <c r="AV2494" s="1942"/>
      <c r="AW2494" s="1942"/>
      <c r="AX2494" s="1942"/>
      <c r="AY2494" s="1942"/>
      <c r="AZ2494" s="1942"/>
      <c r="BA2494" s="1942"/>
      <c r="BB2494" s="575"/>
      <c r="BC2494" s="576"/>
      <c r="BD2494" s="678"/>
      <c r="BE2494" s="585"/>
    </row>
    <row r="2495" spans="1:57" s="51" customFormat="1" ht="15" hidden="1" customHeight="1" outlineLevel="1" x14ac:dyDescent="0.25">
      <c r="A2495" s="2060"/>
      <c r="B2495" s="123"/>
      <c r="C2495" s="328"/>
      <c r="D2495" s="3990"/>
      <c r="E2495" s="4009"/>
      <c r="F2495" s="3010" t="str">
        <f>$E$1673</f>
        <v>ASHP-SEER18_ER1_MF_CompE</v>
      </c>
      <c r="G2495" s="2676"/>
      <c r="H2495" s="2676"/>
      <c r="I2495" s="2677"/>
      <c r="J2495" s="3298" t="str">
        <f>$C$1673</f>
        <v>354351_2021_12_</v>
      </c>
      <c r="K2495" s="2282">
        <v>9.5</v>
      </c>
      <c r="L2495" s="851"/>
      <c r="M2495" s="2723" t="s">
        <v>1125</v>
      </c>
      <c r="N2495" s="123"/>
      <c r="O2495" s="228"/>
      <c r="P2495" s="844"/>
      <c r="Q2495" s="845"/>
      <c r="R2495" s="844"/>
      <c r="S2495" s="832"/>
      <c r="T2495" s="3082"/>
      <c r="U2495" s="123"/>
      <c r="V2495" s="3990"/>
      <c r="W2495" s="2857"/>
      <c r="X2495" s="2857"/>
      <c r="Y2495" s="3155">
        <v>9.5</v>
      </c>
      <c r="Z2495" s="2857">
        <v>9.5</v>
      </c>
      <c r="AA2495" s="2857">
        <v>9.5</v>
      </c>
      <c r="AB2495" s="2855">
        <v>9.5</v>
      </c>
      <c r="AC2495" s="2282">
        <v>9.5</v>
      </c>
      <c r="AD2495" s="2857"/>
      <c r="AE2495" s="2857"/>
      <c r="AF2495" s="2857"/>
      <c r="AG2495" s="2857"/>
      <c r="AH2495" s="1942"/>
      <c r="AI2495" s="1942"/>
      <c r="AJ2495" s="1942"/>
      <c r="AK2495" s="1942"/>
      <c r="AL2495" s="1942"/>
      <c r="AM2495" s="1942"/>
      <c r="AN2495" s="1942"/>
      <c r="AO2495" s="1942"/>
      <c r="AP2495" s="1942"/>
      <c r="AQ2495" s="1942"/>
      <c r="AR2495" s="1942"/>
      <c r="AS2495" s="1942"/>
      <c r="AT2495" s="1942"/>
      <c r="AU2495" s="1942"/>
      <c r="AV2495" s="1942"/>
      <c r="AW2495" s="1942"/>
      <c r="AX2495" s="1942"/>
      <c r="AY2495" s="1942"/>
      <c r="AZ2495" s="1942"/>
      <c r="BA2495" s="1942"/>
      <c r="BB2495" s="575"/>
      <c r="BC2495" s="576"/>
      <c r="BD2495" s="678"/>
      <c r="BE2495" s="585"/>
    </row>
    <row r="2496" spans="1:57" s="51" customFormat="1" ht="15" hidden="1" customHeight="1" outlineLevel="1" x14ac:dyDescent="0.25">
      <c r="A2496" s="2060"/>
      <c r="B2496" s="123"/>
      <c r="C2496" s="328"/>
      <c r="D2496" s="3990"/>
      <c r="E2496" s="4009"/>
      <c r="F2496" s="3010" t="str">
        <f>$E$1675</f>
        <v>ASHP-SEER18_ER2_MF_CompE</v>
      </c>
      <c r="G2496" s="2676"/>
      <c r="H2496" s="2676"/>
      <c r="I2496" s="2677"/>
      <c r="J2496" s="3298" t="str">
        <f>$C$1675</f>
        <v>354351_2021_12_</v>
      </c>
      <c r="K2496" s="2282">
        <v>9.5</v>
      </c>
      <c r="L2496" s="851"/>
      <c r="M2496" s="2723" t="s">
        <v>1125</v>
      </c>
      <c r="N2496" s="123"/>
      <c r="O2496" s="228"/>
      <c r="P2496" s="844"/>
      <c r="Q2496" s="845"/>
      <c r="R2496" s="844"/>
      <c r="S2496" s="832"/>
      <c r="T2496" s="3082"/>
      <c r="U2496" s="123"/>
      <c r="V2496" s="3990"/>
      <c r="W2496" s="2857"/>
      <c r="X2496" s="2857"/>
      <c r="Y2496" s="3155">
        <v>9.5</v>
      </c>
      <c r="Z2496" s="2857">
        <v>9.5</v>
      </c>
      <c r="AA2496" s="2857">
        <v>9.5</v>
      </c>
      <c r="AB2496" s="2855">
        <v>9.5</v>
      </c>
      <c r="AC2496" s="2282">
        <v>9.5</v>
      </c>
      <c r="AD2496" s="2857"/>
      <c r="AE2496" s="2857"/>
      <c r="AF2496" s="2857"/>
      <c r="AG2496" s="2857"/>
      <c r="AH2496" s="1942"/>
      <c r="AI2496" s="1942"/>
      <c r="AJ2496" s="1942"/>
      <c r="AK2496" s="1942"/>
      <c r="AL2496" s="1942"/>
      <c r="AM2496" s="1942"/>
      <c r="AN2496" s="1942"/>
      <c r="AO2496" s="1942"/>
      <c r="AP2496" s="1942"/>
      <c r="AQ2496" s="1942"/>
      <c r="AR2496" s="1942"/>
      <c r="AS2496" s="1942"/>
      <c r="AT2496" s="1942"/>
      <c r="AU2496" s="1942"/>
      <c r="AV2496" s="1942"/>
      <c r="AW2496" s="1942"/>
      <c r="AX2496" s="1942"/>
      <c r="AY2496" s="1942"/>
      <c r="AZ2496" s="1942"/>
      <c r="BA2496" s="1942"/>
      <c r="BB2496" s="575"/>
      <c r="BC2496" s="576"/>
      <c r="BD2496" s="678"/>
      <c r="BE2496" s="585"/>
    </row>
    <row r="2497" spans="1:57" s="51" customFormat="1" ht="15" hidden="1" customHeight="1" outlineLevel="1" x14ac:dyDescent="0.25">
      <c r="A2497" s="2060"/>
      <c r="B2497" s="123"/>
      <c r="C2497" s="328"/>
      <c r="D2497" s="3990"/>
      <c r="E2497" s="4009"/>
      <c r="F2497" s="3010" t="str">
        <f>$E$1677</f>
        <v>ASHP-SEER19-Replace_CAC_ElectricHeat_ER1_SF</v>
      </c>
      <c r="G2497" s="2676"/>
      <c r="H2497" s="2676"/>
      <c r="I2497" s="2677"/>
      <c r="J2497" s="3298" t="str">
        <f>$C$1677</f>
        <v>354400_2021_12_</v>
      </c>
      <c r="K2497" s="2228">
        <v>10.099999999999998</v>
      </c>
      <c r="L2497" s="851"/>
      <c r="M2497" s="2730" t="s">
        <v>1008</v>
      </c>
      <c r="N2497" s="123"/>
      <c r="O2497" s="228"/>
      <c r="P2497" s="844"/>
      <c r="Q2497" s="845"/>
      <c r="R2497" s="844"/>
      <c r="S2497" s="832"/>
      <c r="T2497" s="3082"/>
      <c r="U2497" s="123"/>
      <c r="V2497" s="3990"/>
      <c r="W2497" s="2857">
        <v>9.4</v>
      </c>
      <c r="X2497" s="2857">
        <v>9.4</v>
      </c>
      <c r="Y2497" s="2857">
        <v>9.4</v>
      </c>
      <c r="Z2497" s="2857">
        <v>9.4</v>
      </c>
      <c r="AA2497" s="2857">
        <v>9.4</v>
      </c>
      <c r="AB2497" s="2855">
        <v>9.4</v>
      </c>
      <c r="AC2497" s="2228">
        <v>10.099999999999998</v>
      </c>
      <c r="AD2497" s="2857"/>
      <c r="AE2497" s="2857"/>
      <c r="AF2497" s="2857"/>
      <c r="AG2497" s="2857"/>
      <c r="AH2497" s="1942"/>
      <c r="AI2497" s="1942"/>
      <c r="AJ2497" s="1942"/>
      <c r="AK2497" s="1942"/>
      <c r="AL2497" s="1942"/>
      <c r="AM2497" s="1942"/>
      <c r="AN2497" s="1942"/>
      <c r="AO2497" s="1942"/>
      <c r="AP2497" s="1942"/>
      <c r="AQ2497" s="1942"/>
      <c r="AR2497" s="1942"/>
      <c r="AS2497" s="1942"/>
      <c r="AT2497" s="1942"/>
      <c r="AU2497" s="1942"/>
      <c r="AV2497" s="1942"/>
      <c r="AW2497" s="1942"/>
      <c r="AX2497" s="1942"/>
      <c r="AY2497" s="1942"/>
      <c r="AZ2497" s="1942"/>
      <c r="BA2497" s="1942"/>
      <c r="BB2497" s="575"/>
      <c r="BC2497" s="576"/>
      <c r="BD2497" s="678"/>
      <c r="BE2497" s="585"/>
    </row>
    <row r="2498" spans="1:57" s="51" customFormat="1" ht="15" hidden="1" customHeight="1" outlineLevel="1" x14ac:dyDescent="0.25">
      <c r="A2498" s="2060"/>
      <c r="B2498" s="123"/>
      <c r="C2498" s="328"/>
      <c r="D2498" s="3990"/>
      <c r="E2498" s="4009"/>
      <c r="F2498" s="3010" t="str">
        <f>$E$1679</f>
        <v>ASHP-SEER19-Replace_CAC_ElectricHeat_ER2_SF</v>
      </c>
      <c r="G2498" s="2676"/>
      <c r="H2498" s="2676"/>
      <c r="I2498" s="2677"/>
      <c r="J2498" s="3298" t="str">
        <f>$C$1679</f>
        <v>354400_2021_12_</v>
      </c>
      <c r="K2498" s="2228">
        <f>K2497</f>
        <v>10.099999999999998</v>
      </c>
      <c r="L2498" s="851"/>
      <c r="M2498" s="2730" t="s">
        <v>1008</v>
      </c>
      <c r="N2498" s="123"/>
      <c r="O2498" s="228"/>
      <c r="P2498" s="844"/>
      <c r="Q2498" s="845"/>
      <c r="R2498" s="844"/>
      <c r="S2498" s="832"/>
      <c r="T2498" s="3082"/>
      <c r="U2498" s="123"/>
      <c r="V2498" s="3990"/>
      <c r="W2498" s="2857">
        <v>9.4</v>
      </c>
      <c r="X2498" s="2857">
        <v>9.4</v>
      </c>
      <c r="Y2498" s="2857">
        <v>9.4</v>
      </c>
      <c r="Z2498" s="2857">
        <v>9.4</v>
      </c>
      <c r="AA2498" s="2857">
        <v>9.4</v>
      </c>
      <c r="AB2498" s="2855">
        <v>9.4</v>
      </c>
      <c r="AC2498" s="2228">
        <f>AC2497</f>
        <v>10.099999999999998</v>
      </c>
      <c r="AD2498" s="2857"/>
      <c r="AE2498" s="2857"/>
      <c r="AF2498" s="2857"/>
      <c r="AG2498" s="2857"/>
      <c r="AH2498" s="1942"/>
      <c r="AI2498" s="1942"/>
      <c r="AJ2498" s="1942"/>
      <c r="AK2498" s="1942"/>
      <c r="AL2498" s="1942"/>
      <c r="AM2498" s="1942"/>
      <c r="AN2498" s="1942"/>
      <c r="AO2498" s="1942"/>
      <c r="AP2498" s="1942"/>
      <c r="AQ2498" s="1942"/>
      <c r="AR2498" s="1942"/>
      <c r="AS2498" s="1942"/>
      <c r="AT2498" s="1942"/>
      <c r="AU2498" s="1942"/>
      <c r="AV2498" s="1942"/>
      <c r="AW2498" s="1942"/>
      <c r="AX2498" s="1942"/>
      <c r="AY2498" s="1942"/>
      <c r="AZ2498" s="1942"/>
      <c r="BA2498" s="1942"/>
      <c r="BB2498" s="575"/>
      <c r="BC2498" s="576"/>
      <c r="BD2498" s="678"/>
      <c r="BE2498" s="585"/>
    </row>
    <row r="2499" spans="1:57" s="1942" customFormat="1" ht="15" hidden="1" customHeight="1" outlineLevel="1" x14ac:dyDescent="0.25">
      <c r="A2499" s="2060"/>
      <c r="B2499" s="123"/>
      <c r="C2499" s="328"/>
      <c r="D2499" s="3990"/>
      <c r="E2499" s="4009"/>
      <c r="F2499" s="3010" t="str">
        <f>$E$1681</f>
        <v>ASHP-SEER19-Replace_CAC_NonElectricHeat_ER1_SF</v>
      </c>
      <c r="G2499" s="2676"/>
      <c r="H2499" s="2676"/>
      <c r="I2499" s="2677"/>
      <c r="J2499" s="3298" t="str">
        <f>$C$1681</f>
        <v>354410_2021_12_</v>
      </c>
      <c r="K2499" s="2228">
        <v>10.099999999999998</v>
      </c>
      <c r="L2499" s="851"/>
      <c r="M2499" s="2723" t="s">
        <v>1125</v>
      </c>
      <c r="N2499" s="123"/>
      <c r="O2499" s="228"/>
      <c r="P2499" s="844"/>
      <c r="Q2499" s="845"/>
      <c r="R2499" s="844"/>
      <c r="S2499" s="832"/>
      <c r="T2499" s="3082"/>
      <c r="U2499" s="123"/>
      <c r="V2499" s="3990"/>
      <c r="W2499" s="2857"/>
      <c r="X2499" s="2857"/>
      <c r="Y2499" s="2857"/>
      <c r="Z2499" s="2857"/>
      <c r="AA2499" s="2857"/>
      <c r="AB2499" s="2855"/>
      <c r="AC2499" s="2228">
        <v>10.099999999999998</v>
      </c>
      <c r="AD2499" s="2857"/>
      <c r="AE2499" s="2857"/>
      <c r="AF2499" s="2857"/>
      <c r="AG2499" s="2857"/>
      <c r="BB2499" s="575"/>
      <c r="BC2499" s="576"/>
      <c r="BD2499" s="678"/>
      <c r="BE2499" s="585"/>
    </row>
    <row r="2500" spans="1:57" s="1942" customFormat="1" ht="15" hidden="1" customHeight="1" outlineLevel="1" x14ac:dyDescent="0.25">
      <c r="A2500" s="2060"/>
      <c r="B2500" s="123"/>
      <c r="C2500" s="328"/>
      <c r="D2500" s="3990"/>
      <c r="E2500" s="4009"/>
      <c r="F2500" s="3010" t="str">
        <f>$E$1683</f>
        <v>ASHP-SEER19-Replace_CAC_NonElectricHeat_ER2_SF</v>
      </c>
      <c r="G2500" s="2676"/>
      <c r="H2500" s="2676"/>
      <c r="I2500" s="2677"/>
      <c r="J2500" s="3298" t="str">
        <f>$C$1683</f>
        <v>354410_2021_12_</v>
      </c>
      <c r="K2500" s="2228">
        <f>K2499</f>
        <v>10.099999999999998</v>
      </c>
      <c r="L2500" s="851"/>
      <c r="M2500" s="2723" t="s">
        <v>1125</v>
      </c>
      <c r="N2500" s="123"/>
      <c r="O2500" s="228"/>
      <c r="P2500" s="844"/>
      <c r="Q2500" s="845"/>
      <c r="R2500" s="844"/>
      <c r="S2500" s="832"/>
      <c r="T2500" s="3082"/>
      <c r="U2500" s="123"/>
      <c r="V2500" s="3990"/>
      <c r="W2500" s="2857"/>
      <c r="X2500" s="2857"/>
      <c r="Y2500" s="2857"/>
      <c r="Z2500" s="2857"/>
      <c r="AA2500" s="2857"/>
      <c r="AB2500" s="2855"/>
      <c r="AC2500" s="2228">
        <f>AC2499</f>
        <v>10.099999999999998</v>
      </c>
      <c r="AD2500" s="2857"/>
      <c r="AE2500" s="2857"/>
      <c r="AF2500" s="2857"/>
      <c r="AG2500" s="2857"/>
      <c r="BB2500" s="575"/>
      <c r="BC2500" s="576"/>
      <c r="BD2500" s="678"/>
      <c r="BE2500" s="585"/>
    </row>
    <row r="2501" spans="1:57" s="51" customFormat="1" ht="15" hidden="1" customHeight="1" outlineLevel="1" x14ac:dyDescent="0.25">
      <c r="A2501" s="2060"/>
      <c r="B2501" s="123"/>
      <c r="C2501" s="328"/>
      <c r="D2501" s="3990"/>
      <c r="E2501" s="4009"/>
      <c r="F2501" s="3010" t="str">
        <f>$E$1685</f>
        <v>ASHP-SEER19-Replace_CAC_ElectricHeat_ER1_MF</v>
      </c>
      <c r="G2501" s="2676"/>
      <c r="H2501" s="2676"/>
      <c r="I2501" s="2677"/>
      <c r="J2501" s="3299" t="str">
        <f>$C$1685</f>
        <v>354450_2019_12_</v>
      </c>
      <c r="K2501" s="2282">
        <v>9.4</v>
      </c>
      <c r="L2501" s="851"/>
      <c r="M2501" s="837"/>
      <c r="N2501" s="123"/>
      <c r="O2501" s="228"/>
      <c r="P2501" s="844"/>
      <c r="Q2501" s="845"/>
      <c r="R2501" s="844"/>
      <c r="S2501" s="832"/>
      <c r="T2501" s="3082"/>
      <c r="U2501" s="123"/>
      <c r="V2501" s="3990"/>
      <c r="W2501" s="2857">
        <v>9.4</v>
      </c>
      <c r="X2501" s="2857">
        <v>9.4</v>
      </c>
      <c r="Y2501" s="2857">
        <v>9.4</v>
      </c>
      <c r="Z2501" s="2857">
        <v>9.4</v>
      </c>
      <c r="AA2501" s="2857">
        <v>9.4</v>
      </c>
      <c r="AB2501" s="2855">
        <v>9.4</v>
      </c>
      <c r="AC2501" s="2282">
        <v>9.4</v>
      </c>
      <c r="AD2501" s="2857"/>
      <c r="AE2501" s="2857"/>
      <c r="AF2501" s="2857"/>
      <c r="AG2501" s="2857"/>
      <c r="AH2501" s="1942"/>
      <c r="AI2501" s="1942"/>
      <c r="AJ2501" s="1942"/>
      <c r="AK2501" s="1942"/>
      <c r="AL2501" s="1942"/>
      <c r="AM2501" s="1942"/>
      <c r="AN2501" s="1942"/>
      <c r="AO2501" s="1942"/>
      <c r="AP2501" s="1942"/>
      <c r="AQ2501" s="1942"/>
      <c r="AR2501" s="1942"/>
      <c r="AS2501" s="1942"/>
      <c r="AT2501" s="1942"/>
      <c r="AU2501" s="1942"/>
      <c r="AV2501" s="1942"/>
      <c r="AW2501" s="1942"/>
      <c r="AX2501" s="1942"/>
      <c r="AY2501" s="1942"/>
      <c r="AZ2501" s="1942"/>
      <c r="BA2501" s="1942"/>
      <c r="BB2501" s="575"/>
      <c r="BC2501" s="576"/>
      <c r="BD2501" s="678"/>
      <c r="BE2501" s="585"/>
    </row>
    <row r="2502" spans="1:57" s="51" customFormat="1" ht="15" hidden="1" customHeight="1" outlineLevel="1" x14ac:dyDescent="0.25">
      <c r="A2502" s="2060"/>
      <c r="B2502" s="123"/>
      <c r="C2502" s="328"/>
      <c r="D2502" s="3990"/>
      <c r="E2502" s="4009"/>
      <c r="F2502" s="3010" t="str">
        <f>$E$1687</f>
        <v>ASHP-SEER19-Replace_CAC_ElectricHeat_ER2_MF</v>
      </c>
      <c r="G2502" s="2676"/>
      <c r="H2502" s="2676"/>
      <c r="I2502" s="2677"/>
      <c r="J2502" s="3299" t="str">
        <f>$C$1687</f>
        <v>354450_2019_12_</v>
      </c>
      <c r="K2502" s="2282">
        <v>9.4</v>
      </c>
      <c r="L2502" s="851"/>
      <c r="M2502" s="837"/>
      <c r="N2502" s="123"/>
      <c r="O2502" s="228"/>
      <c r="P2502" s="844"/>
      <c r="Q2502" s="845"/>
      <c r="R2502" s="844"/>
      <c r="S2502" s="832"/>
      <c r="T2502" s="3082"/>
      <c r="U2502" s="123"/>
      <c r="V2502" s="3990"/>
      <c r="W2502" s="2857">
        <v>9.4</v>
      </c>
      <c r="X2502" s="2857">
        <v>9.4</v>
      </c>
      <c r="Y2502" s="2857">
        <v>9.4</v>
      </c>
      <c r="Z2502" s="2857">
        <v>9.4</v>
      </c>
      <c r="AA2502" s="2857">
        <v>9.4</v>
      </c>
      <c r="AB2502" s="2855">
        <v>9.4</v>
      </c>
      <c r="AC2502" s="2282">
        <v>9.4</v>
      </c>
      <c r="AD2502" s="2857"/>
      <c r="AE2502" s="2857"/>
      <c r="AF2502" s="2857"/>
      <c r="AG2502" s="2857"/>
      <c r="AH2502" s="1942"/>
      <c r="AI2502" s="1942"/>
      <c r="AJ2502" s="1942"/>
      <c r="AK2502" s="1942"/>
      <c r="AL2502" s="1942"/>
      <c r="AM2502" s="1942"/>
      <c r="AN2502" s="1942"/>
      <c r="AO2502" s="1942"/>
      <c r="AP2502" s="1942"/>
      <c r="AQ2502" s="1942"/>
      <c r="AR2502" s="1942"/>
      <c r="AS2502" s="1942"/>
      <c r="AT2502" s="1942"/>
      <c r="AU2502" s="1942"/>
      <c r="AV2502" s="1942"/>
      <c r="AW2502" s="1942"/>
      <c r="AX2502" s="1942"/>
      <c r="AY2502" s="1942"/>
      <c r="AZ2502" s="1942"/>
      <c r="BA2502" s="1942"/>
      <c r="BB2502" s="575"/>
      <c r="BC2502" s="576"/>
      <c r="BD2502" s="678"/>
      <c r="BE2502" s="585"/>
    </row>
    <row r="2503" spans="1:57" s="51" customFormat="1" ht="15" hidden="1" customHeight="1" outlineLevel="1" x14ac:dyDescent="0.25">
      <c r="A2503" s="2060"/>
      <c r="B2503" s="123"/>
      <c r="C2503" s="328"/>
      <c r="D2503" s="3990"/>
      <c r="E2503" s="4009"/>
      <c r="F2503" s="3010" t="str">
        <f>$E$1689</f>
        <v>ASHP-SEER19-Replace_CAC_ElectricHeat_ER1_MF_CompE</v>
      </c>
      <c r="G2503" s="2676"/>
      <c r="H2503" s="2676"/>
      <c r="I2503" s="2677"/>
      <c r="J2503" s="3299" t="str">
        <f>$C$1689</f>
        <v>354451_2019_12_</v>
      </c>
      <c r="K2503" s="2282">
        <v>9.4</v>
      </c>
      <c r="L2503" s="851"/>
      <c r="M2503" s="837"/>
      <c r="N2503" s="123"/>
      <c r="O2503" s="228"/>
      <c r="P2503" s="844"/>
      <c r="Q2503" s="845"/>
      <c r="R2503" s="844"/>
      <c r="S2503" s="832"/>
      <c r="T2503" s="3082"/>
      <c r="U2503" s="123"/>
      <c r="V2503" s="3990"/>
      <c r="W2503" s="2857"/>
      <c r="X2503" s="2857"/>
      <c r="Y2503" s="3155">
        <v>9.4</v>
      </c>
      <c r="Z2503" s="2857">
        <v>9.4</v>
      </c>
      <c r="AA2503" s="2857">
        <v>9.4</v>
      </c>
      <c r="AB2503" s="2855">
        <v>9.4</v>
      </c>
      <c r="AC2503" s="2282">
        <v>9.4</v>
      </c>
      <c r="AD2503" s="2857"/>
      <c r="AE2503" s="2857"/>
      <c r="AF2503" s="2857"/>
      <c r="AG2503" s="2857"/>
      <c r="AH2503" s="1942"/>
      <c r="AI2503" s="1942"/>
      <c r="AJ2503" s="1942"/>
      <c r="AK2503" s="1942"/>
      <c r="AL2503" s="1942"/>
      <c r="AM2503" s="1942"/>
      <c r="AN2503" s="1942"/>
      <c r="AO2503" s="1942"/>
      <c r="AP2503" s="1942"/>
      <c r="AQ2503" s="1942"/>
      <c r="AR2503" s="1942"/>
      <c r="AS2503" s="1942"/>
      <c r="AT2503" s="1942"/>
      <c r="AU2503" s="1942"/>
      <c r="AV2503" s="1942"/>
      <c r="AW2503" s="1942"/>
      <c r="AX2503" s="1942"/>
      <c r="AY2503" s="1942"/>
      <c r="AZ2503" s="1942"/>
      <c r="BA2503" s="1942"/>
      <c r="BB2503" s="575"/>
      <c r="BC2503" s="576"/>
      <c r="BD2503" s="678"/>
      <c r="BE2503" s="585"/>
    </row>
    <row r="2504" spans="1:57" s="51" customFormat="1" ht="15" hidden="1" customHeight="1" outlineLevel="1" x14ac:dyDescent="0.25">
      <c r="A2504" s="2060"/>
      <c r="B2504" s="123"/>
      <c r="C2504" s="328"/>
      <c r="D2504" s="3990"/>
      <c r="E2504" s="4009"/>
      <c r="F2504" s="3010" t="str">
        <f>$E$1691</f>
        <v>ASHP-SEER19-Replace_CAC_ElectricHeat_ER2_MF_CompE</v>
      </c>
      <c r="G2504" s="2676"/>
      <c r="H2504" s="2676"/>
      <c r="I2504" s="2677"/>
      <c r="J2504" s="3299" t="str">
        <f>$C$1691</f>
        <v>354451_2019_12_</v>
      </c>
      <c r="K2504" s="2282">
        <v>9.4</v>
      </c>
      <c r="L2504" s="851"/>
      <c r="M2504" s="837"/>
      <c r="N2504" s="123"/>
      <c r="O2504" s="228"/>
      <c r="P2504" s="844"/>
      <c r="Q2504" s="845"/>
      <c r="R2504" s="844"/>
      <c r="S2504" s="832"/>
      <c r="T2504" s="3082"/>
      <c r="U2504" s="123"/>
      <c r="V2504" s="3990"/>
      <c r="W2504" s="2857"/>
      <c r="X2504" s="2857"/>
      <c r="Y2504" s="3155">
        <v>9.4</v>
      </c>
      <c r="Z2504" s="2857">
        <v>9.4</v>
      </c>
      <c r="AA2504" s="2857">
        <v>9.4</v>
      </c>
      <c r="AB2504" s="2855">
        <v>9.4</v>
      </c>
      <c r="AC2504" s="2282">
        <v>9.4</v>
      </c>
      <c r="AD2504" s="2857"/>
      <c r="AE2504" s="2857"/>
      <c r="AF2504" s="2857"/>
      <c r="AG2504" s="2857"/>
      <c r="AH2504" s="1942"/>
      <c r="AI2504" s="1942"/>
      <c r="AJ2504" s="1942"/>
      <c r="AK2504" s="1942"/>
      <c r="AL2504" s="1942"/>
      <c r="AM2504" s="1942"/>
      <c r="AN2504" s="1942"/>
      <c r="AO2504" s="1942"/>
      <c r="AP2504" s="1942"/>
      <c r="AQ2504" s="1942"/>
      <c r="AR2504" s="1942"/>
      <c r="AS2504" s="1942"/>
      <c r="AT2504" s="1942"/>
      <c r="AU2504" s="1942"/>
      <c r="AV2504" s="1942"/>
      <c r="AW2504" s="1942"/>
      <c r="AX2504" s="1942"/>
      <c r="AY2504" s="1942"/>
      <c r="AZ2504" s="1942"/>
      <c r="BA2504" s="1942"/>
      <c r="BB2504" s="575"/>
      <c r="BC2504" s="576"/>
      <c r="BD2504" s="678"/>
      <c r="BE2504" s="585"/>
    </row>
    <row r="2505" spans="1:57" s="1942" customFormat="1" ht="15" hidden="1" customHeight="1" outlineLevel="1" x14ac:dyDescent="0.25">
      <c r="A2505" s="2060"/>
      <c r="B2505" s="123"/>
      <c r="C2505" s="328"/>
      <c r="D2505" s="3990"/>
      <c r="E2505" s="4009"/>
      <c r="F2505" s="3010" t="str">
        <f>$E$1693</f>
        <v>ASHP-SEER19-Replace_CAC_NonElectricHeat_ER1_MF</v>
      </c>
      <c r="G2505" s="2676"/>
      <c r="H2505" s="2676"/>
      <c r="I2505" s="2677"/>
      <c r="J2505" s="3298" t="str">
        <f>$C$1693</f>
        <v>354460_2021_12_</v>
      </c>
      <c r="K2505" s="2228">
        <v>9.4</v>
      </c>
      <c r="L2505" s="851"/>
      <c r="M2505" s="2723" t="s">
        <v>1125</v>
      </c>
      <c r="N2505" s="123"/>
      <c r="O2505" s="228"/>
      <c r="P2505" s="844"/>
      <c r="Q2505" s="845"/>
      <c r="R2505" s="844"/>
      <c r="S2505" s="832"/>
      <c r="T2505" s="3082"/>
      <c r="U2505" s="123"/>
      <c r="V2505" s="3990"/>
      <c r="W2505" s="2857"/>
      <c r="X2505" s="2857"/>
      <c r="Y2505" s="3155"/>
      <c r="Z2505" s="2857"/>
      <c r="AA2505" s="2857"/>
      <c r="AB2505" s="2855"/>
      <c r="AC2505" s="2228">
        <v>9.4</v>
      </c>
      <c r="AD2505" s="2857"/>
      <c r="AE2505" s="2857"/>
      <c r="AF2505" s="2857"/>
      <c r="AG2505" s="2857"/>
      <c r="BB2505" s="575"/>
      <c r="BC2505" s="576"/>
      <c r="BD2505" s="678"/>
      <c r="BE2505" s="585"/>
    </row>
    <row r="2506" spans="1:57" s="1942" customFormat="1" ht="15" hidden="1" customHeight="1" outlineLevel="1" x14ac:dyDescent="0.25">
      <c r="A2506" s="2060"/>
      <c r="B2506" s="123"/>
      <c r="C2506" s="328"/>
      <c r="D2506" s="3990"/>
      <c r="E2506" s="4009"/>
      <c r="F2506" s="3010" t="str">
        <f>$E$1695</f>
        <v>ASHP-SEER19-Replace_CAC_NonElectricHeat_ER2_MF</v>
      </c>
      <c r="G2506" s="2676"/>
      <c r="H2506" s="2676"/>
      <c r="I2506" s="2677"/>
      <c r="J2506" s="3298" t="str">
        <f>$C$1695</f>
        <v>354460_2021_12_</v>
      </c>
      <c r="K2506" s="2228">
        <v>9.4</v>
      </c>
      <c r="L2506" s="851"/>
      <c r="M2506" s="2723" t="s">
        <v>1125</v>
      </c>
      <c r="N2506" s="123"/>
      <c r="O2506" s="228"/>
      <c r="P2506" s="844"/>
      <c r="Q2506" s="845"/>
      <c r="R2506" s="844"/>
      <c r="S2506" s="832"/>
      <c r="T2506" s="3082"/>
      <c r="U2506" s="123"/>
      <c r="V2506" s="3990"/>
      <c r="W2506" s="2857"/>
      <c r="X2506" s="2857"/>
      <c r="Y2506" s="3155"/>
      <c r="Z2506" s="2857"/>
      <c r="AA2506" s="2857"/>
      <c r="AB2506" s="2855"/>
      <c r="AC2506" s="2228">
        <v>9.4</v>
      </c>
      <c r="AD2506" s="2857"/>
      <c r="AE2506" s="2857"/>
      <c r="AF2506" s="2857"/>
      <c r="AG2506" s="2857"/>
      <c r="BB2506" s="575"/>
      <c r="BC2506" s="576"/>
      <c r="BD2506" s="678"/>
      <c r="BE2506" s="585"/>
    </row>
    <row r="2507" spans="1:57" s="1942" customFormat="1" ht="15" hidden="1" customHeight="1" outlineLevel="1" x14ac:dyDescent="0.25">
      <c r="A2507" s="2060"/>
      <c r="B2507" s="123"/>
      <c r="C2507" s="328"/>
      <c r="D2507" s="3990"/>
      <c r="E2507" s="4009"/>
      <c r="F2507" s="3010" t="str">
        <f>$E$1697</f>
        <v>ASHP-SEER19-Replace_CAC_NonElectricHeat_ER1_MF_CompE</v>
      </c>
      <c r="G2507" s="2676"/>
      <c r="H2507" s="2676"/>
      <c r="I2507" s="2677"/>
      <c r="J2507" s="3298" t="str">
        <f>$C$1697</f>
        <v>354461_2021_12_</v>
      </c>
      <c r="K2507" s="2228">
        <v>9.4</v>
      </c>
      <c r="L2507" s="851"/>
      <c r="M2507" s="2723" t="s">
        <v>1125</v>
      </c>
      <c r="N2507" s="123"/>
      <c r="O2507" s="228"/>
      <c r="P2507" s="844"/>
      <c r="Q2507" s="845"/>
      <c r="R2507" s="844"/>
      <c r="S2507" s="832"/>
      <c r="T2507" s="3082"/>
      <c r="U2507" s="123"/>
      <c r="V2507" s="3990"/>
      <c r="W2507" s="2857"/>
      <c r="X2507" s="2857"/>
      <c r="Y2507" s="3155"/>
      <c r="Z2507" s="2857"/>
      <c r="AA2507" s="2857"/>
      <c r="AB2507" s="2855"/>
      <c r="AC2507" s="2228">
        <v>9.4</v>
      </c>
      <c r="AD2507" s="2857"/>
      <c r="AE2507" s="2857"/>
      <c r="AF2507" s="2857"/>
      <c r="AG2507" s="2857"/>
      <c r="BB2507" s="575"/>
      <c r="BC2507" s="576"/>
      <c r="BD2507" s="678"/>
      <c r="BE2507" s="585"/>
    </row>
    <row r="2508" spans="1:57" s="1942" customFormat="1" ht="15" hidden="1" customHeight="1" outlineLevel="1" x14ac:dyDescent="0.25">
      <c r="A2508" s="2060"/>
      <c r="B2508" s="123"/>
      <c r="C2508" s="328"/>
      <c r="D2508" s="3990"/>
      <c r="E2508" s="4009"/>
      <c r="F2508" s="3010" t="str">
        <f>$E$1699</f>
        <v>ASHP-SEER19-Replace_CAC_NonElectricHeat_ER2_MF_CompE</v>
      </c>
      <c r="G2508" s="2676"/>
      <c r="H2508" s="2676"/>
      <c r="I2508" s="2677"/>
      <c r="J2508" s="3298" t="str">
        <f>$C$1699</f>
        <v>354461_2021_12_</v>
      </c>
      <c r="K2508" s="2228">
        <v>9.4</v>
      </c>
      <c r="L2508" s="851"/>
      <c r="M2508" s="2723" t="s">
        <v>1125</v>
      </c>
      <c r="N2508" s="123"/>
      <c r="O2508" s="228"/>
      <c r="P2508" s="844"/>
      <c r="Q2508" s="845"/>
      <c r="R2508" s="844"/>
      <c r="S2508" s="832"/>
      <c r="T2508" s="3082"/>
      <c r="U2508" s="123"/>
      <c r="V2508" s="3990"/>
      <c r="W2508" s="2857"/>
      <c r="X2508" s="2857"/>
      <c r="Y2508" s="3155"/>
      <c r="Z2508" s="2857"/>
      <c r="AA2508" s="2857"/>
      <c r="AB2508" s="2855"/>
      <c r="AC2508" s="2228">
        <v>9.4</v>
      </c>
      <c r="AD2508" s="2857"/>
      <c r="AE2508" s="2857"/>
      <c r="AF2508" s="2857"/>
      <c r="AG2508" s="2857"/>
      <c r="BB2508" s="575"/>
      <c r="BC2508" s="576"/>
      <c r="BD2508" s="678"/>
      <c r="BE2508" s="585"/>
    </row>
    <row r="2509" spans="1:57" s="51" customFormat="1" ht="15" hidden="1" customHeight="1" outlineLevel="1" x14ac:dyDescent="0.25">
      <c r="A2509" s="2060"/>
      <c r="B2509" s="123"/>
      <c r="C2509" s="328"/>
      <c r="D2509" s="3990"/>
      <c r="E2509" s="4009"/>
      <c r="F2509" s="3010" t="str">
        <f>$E$1701</f>
        <v>ASHP-SEER19_ER1_MF</v>
      </c>
      <c r="G2509" s="2676"/>
      <c r="H2509" s="2676"/>
      <c r="I2509" s="2677"/>
      <c r="J2509" s="3299" t="str">
        <f>$C$1701</f>
        <v>354500_2019_12_</v>
      </c>
      <c r="K2509" s="2282">
        <v>9.5</v>
      </c>
      <c r="L2509" s="851"/>
      <c r="M2509" s="837"/>
      <c r="N2509" s="123"/>
      <c r="O2509" s="228"/>
      <c r="P2509" s="844"/>
      <c r="Q2509" s="845"/>
      <c r="R2509" s="844"/>
      <c r="S2509" s="832"/>
      <c r="T2509" s="3082"/>
      <c r="U2509" s="123"/>
      <c r="V2509" s="3990"/>
      <c r="W2509" s="2857">
        <v>9.5</v>
      </c>
      <c r="X2509" s="2857">
        <v>9.5</v>
      </c>
      <c r="Y2509" s="2857">
        <v>9.5</v>
      </c>
      <c r="Z2509" s="2857">
        <v>9.5</v>
      </c>
      <c r="AA2509" s="2857">
        <v>9.5</v>
      </c>
      <c r="AB2509" s="2855">
        <v>9.5</v>
      </c>
      <c r="AC2509" s="2282">
        <v>9.5</v>
      </c>
      <c r="AD2509" s="2857"/>
      <c r="AE2509" s="2857"/>
      <c r="AF2509" s="2857"/>
      <c r="AG2509" s="2857"/>
      <c r="AH2509" s="1942"/>
      <c r="AI2509" s="1942"/>
      <c r="AJ2509" s="1942"/>
      <c r="AK2509" s="1942"/>
      <c r="AL2509" s="1942"/>
      <c r="AM2509" s="1942"/>
      <c r="AN2509" s="1942"/>
      <c r="AO2509" s="1942"/>
      <c r="AP2509" s="1942"/>
      <c r="AQ2509" s="1942"/>
      <c r="AR2509" s="1942"/>
      <c r="AS2509" s="1942"/>
      <c r="AT2509" s="1942"/>
      <c r="AU2509" s="1942"/>
      <c r="AV2509" s="1942"/>
      <c r="AW2509" s="1942"/>
      <c r="AX2509" s="1942"/>
      <c r="AY2509" s="1942"/>
      <c r="AZ2509" s="1942"/>
      <c r="BA2509" s="1942"/>
      <c r="BB2509" s="575"/>
      <c r="BC2509" s="576"/>
      <c r="BD2509" s="678"/>
      <c r="BE2509" s="585"/>
    </row>
    <row r="2510" spans="1:57" s="51" customFormat="1" ht="15" hidden="1" customHeight="1" outlineLevel="1" x14ac:dyDescent="0.25">
      <c r="A2510" s="2060"/>
      <c r="B2510" s="123"/>
      <c r="C2510" s="328"/>
      <c r="D2510" s="3990"/>
      <c r="E2510" s="4009"/>
      <c r="F2510" s="3010" t="str">
        <f>$E$1703</f>
        <v>ASHP-SEER19_ER2_MF</v>
      </c>
      <c r="G2510" s="2676"/>
      <c r="H2510" s="2676"/>
      <c r="I2510" s="2677"/>
      <c r="J2510" s="3299" t="str">
        <f>$C$1703</f>
        <v>354500_2019_12_</v>
      </c>
      <c r="K2510" s="2282">
        <v>9.5</v>
      </c>
      <c r="L2510" s="851"/>
      <c r="M2510" s="837"/>
      <c r="N2510" s="123"/>
      <c r="O2510" s="228"/>
      <c r="P2510" s="844"/>
      <c r="Q2510" s="845"/>
      <c r="R2510" s="844"/>
      <c r="S2510" s="832"/>
      <c r="T2510" s="3082"/>
      <c r="U2510" s="123"/>
      <c r="V2510" s="3990"/>
      <c r="W2510" s="2857">
        <v>9.5</v>
      </c>
      <c r="X2510" s="2857">
        <v>9.5</v>
      </c>
      <c r="Y2510" s="2857">
        <v>9.5</v>
      </c>
      <c r="Z2510" s="2857">
        <v>9.5</v>
      </c>
      <c r="AA2510" s="2857">
        <v>9.5</v>
      </c>
      <c r="AB2510" s="2855">
        <v>9.5</v>
      </c>
      <c r="AC2510" s="2282">
        <v>9.5</v>
      </c>
      <c r="AD2510" s="2857"/>
      <c r="AE2510" s="2857"/>
      <c r="AF2510" s="2857"/>
      <c r="AG2510" s="2857"/>
      <c r="AH2510" s="1942"/>
      <c r="AI2510" s="1942"/>
      <c r="AJ2510" s="1942"/>
      <c r="AK2510" s="1942"/>
      <c r="AL2510" s="1942"/>
      <c r="AM2510" s="1942"/>
      <c r="AN2510" s="1942"/>
      <c r="AO2510" s="1942"/>
      <c r="AP2510" s="1942"/>
      <c r="AQ2510" s="1942"/>
      <c r="AR2510" s="1942"/>
      <c r="AS2510" s="1942"/>
      <c r="AT2510" s="1942"/>
      <c r="AU2510" s="1942"/>
      <c r="AV2510" s="1942"/>
      <c r="AW2510" s="1942"/>
      <c r="AX2510" s="1942"/>
      <c r="AY2510" s="1942"/>
      <c r="AZ2510" s="1942"/>
      <c r="BA2510" s="1942"/>
      <c r="BB2510" s="575"/>
      <c r="BC2510" s="576"/>
      <c r="BD2510" s="678"/>
      <c r="BE2510" s="585"/>
    </row>
    <row r="2511" spans="1:57" s="51" customFormat="1" ht="15" hidden="1" customHeight="1" outlineLevel="1" x14ac:dyDescent="0.25">
      <c r="A2511" s="2060"/>
      <c r="B2511" s="123"/>
      <c r="C2511" s="328"/>
      <c r="D2511" s="3990"/>
      <c r="E2511" s="4009"/>
      <c r="F2511" s="3010" t="str">
        <f>$E$1705</f>
        <v>ASHP-SEER19_ER1_MF_CompE</v>
      </c>
      <c r="G2511" s="2676"/>
      <c r="H2511" s="2676"/>
      <c r="I2511" s="2677"/>
      <c r="J2511" s="3299" t="str">
        <f>$C$1705</f>
        <v>354501_2019_12_</v>
      </c>
      <c r="K2511" s="2282">
        <v>9.5</v>
      </c>
      <c r="L2511" s="851"/>
      <c r="M2511" s="837"/>
      <c r="N2511" s="123"/>
      <c r="O2511" s="228"/>
      <c r="P2511" s="844"/>
      <c r="Q2511" s="845"/>
      <c r="R2511" s="844"/>
      <c r="S2511" s="832"/>
      <c r="T2511" s="3082"/>
      <c r="U2511" s="123"/>
      <c r="V2511" s="3990"/>
      <c r="W2511" s="2857"/>
      <c r="X2511" s="2857"/>
      <c r="Y2511" s="3155">
        <v>9.5</v>
      </c>
      <c r="Z2511" s="2857">
        <v>9.5</v>
      </c>
      <c r="AA2511" s="2857">
        <v>9.5</v>
      </c>
      <c r="AB2511" s="2855">
        <v>9.5</v>
      </c>
      <c r="AC2511" s="2282">
        <v>9.5</v>
      </c>
      <c r="AD2511" s="2857"/>
      <c r="AE2511" s="2857"/>
      <c r="AF2511" s="2857"/>
      <c r="AG2511" s="2857"/>
      <c r="AH2511" s="1942"/>
      <c r="AI2511" s="1942"/>
      <c r="AJ2511" s="1942"/>
      <c r="AK2511" s="1942"/>
      <c r="AL2511" s="1942"/>
      <c r="AM2511" s="1942"/>
      <c r="AN2511" s="1942"/>
      <c r="AO2511" s="1942"/>
      <c r="AP2511" s="1942"/>
      <c r="AQ2511" s="1942"/>
      <c r="AR2511" s="1942"/>
      <c r="AS2511" s="1942"/>
      <c r="AT2511" s="1942"/>
      <c r="AU2511" s="1942"/>
      <c r="AV2511" s="1942"/>
      <c r="AW2511" s="1942"/>
      <c r="AX2511" s="1942"/>
      <c r="AY2511" s="1942"/>
      <c r="AZ2511" s="1942"/>
      <c r="BA2511" s="1942"/>
      <c r="BB2511" s="575"/>
      <c r="BC2511" s="576"/>
      <c r="BD2511" s="678"/>
      <c r="BE2511" s="585"/>
    </row>
    <row r="2512" spans="1:57" s="51" customFormat="1" ht="15" hidden="1" customHeight="1" outlineLevel="1" x14ac:dyDescent="0.25">
      <c r="A2512" s="2060"/>
      <c r="B2512" s="123"/>
      <c r="C2512" s="328"/>
      <c r="D2512" s="3990"/>
      <c r="E2512" s="4009"/>
      <c r="F2512" s="3010" t="str">
        <f>$E$1707</f>
        <v>ASHP-SEER19_ER2_MF_CompE</v>
      </c>
      <c r="G2512" s="2676"/>
      <c r="H2512" s="2676"/>
      <c r="I2512" s="2677"/>
      <c r="J2512" s="3299" t="str">
        <f>$C$1707</f>
        <v>354501_2019_12_</v>
      </c>
      <c r="K2512" s="2282">
        <v>9.5</v>
      </c>
      <c r="L2512" s="851"/>
      <c r="M2512" s="837"/>
      <c r="N2512" s="123"/>
      <c r="O2512" s="228"/>
      <c r="P2512" s="844"/>
      <c r="Q2512" s="845"/>
      <c r="R2512" s="844"/>
      <c r="S2512" s="832"/>
      <c r="T2512" s="3082"/>
      <c r="U2512" s="123"/>
      <c r="V2512" s="3990"/>
      <c r="W2512" s="2857"/>
      <c r="X2512" s="2857"/>
      <c r="Y2512" s="3155">
        <v>9.5</v>
      </c>
      <c r="Z2512" s="2857">
        <v>9.5</v>
      </c>
      <c r="AA2512" s="2857">
        <v>9.5</v>
      </c>
      <c r="AB2512" s="2855">
        <v>9.5</v>
      </c>
      <c r="AC2512" s="2282">
        <v>9.5</v>
      </c>
      <c r="AD2512" s="2857"/>
      <c r="AE2512" s="2857"/>
      <c r="AF2512" s="2857"/>
      <c r="AG2512" s="2857"/>
      <c r="AH2512" s="1942"/>
      <c r="AI2512" s="1942"/>
      <c r="AJ2512" s="1942"/>
      <c r="AK2512" s="1942"/>
      <c r="AL2512" s="1942"/>
      <c r="AM2512" s="1942"/>
      <c r="AN2512" s="1942"/>
      <c r="AO2512" s="1942"/>
      <c r="AP2512" s="1942"/>
      <c r="AQ2512" s="1942"/>
      <c r="AR2512" s="1942"/>
      <c r="AS2512" s="1942"/>
      <c r="AT2512" s="1942"/>
      <c r="AU2512" s="1942"/>
      <c r="AV2512" s="1942"/>
      <c r="AW2512" s="1942"/>
      <c r="AX2512" s="1942"/>
      <c r="AY2512" s="1942"/>
      <c r="AZ2512" s="1942"/>
      <c r="BA2512" s="1942"/>
      <c r="BB2512" s="575"/>
      <c r="BC2512" s="576"/>
      <c r="BD2512" s="678"/>
      <c r="BE2512" s="585"/>
    </row>
    <row r="2513" spans="1:57" s="51" customFormat="1" ht="15" hidden="1" customHeight="1" outlineLevel="1" x14ac:dyDescent="0.25">
      <c r="A2513" s="2060"/>
      <c r="B2513" s="123"/>
      <c r="C2513" s="328"/>
      <c r="D2513" s="3990"/>
      <c r="E2513" s="4009"/>
      <c r="F2513" s="3010" t="str">
        <f>$E$1709</f>
        <v>ASHP-SEER20_ER1_SF</v>
      </c>
      <c r="G2513" s="2676"/>
      <c r="H2513" s="2676"/>
      <c r="I2513" s="2677"/>
      <c r="J2513" s="3298" t="str">
        <f>$C$1709</f>
        <v>354550_2021_12_</v>
      </c>
      <c r="K2513" s="2228">
        <v>10.5</v>
      </c>
      <c r="L2513" s="851"/>
      <c r="M2513" s="2730" t="s">
        <v>1008</v>
      </c>
      <c r="N2513" s="123"/>
      <c r="O2513" s="228"/>
      <c r="P2513" s="844"/>
      <c r="Q2513" s="845"/>
      <c r="R2513" s="844"/>
      <c r="S2513" s="832"/>
      <c r="T2513" s="3082"/>
      <c r="U2513" s="123"/>
      <c r="V2513" s="3990"/>
      <c r="W2513" s="2857">
        <v>9.5</v>
      </c>
      <c r="X2513" s="2857">
        <v>9.5</v>
      </c>
      <c r="Y2513" s="2857">
        <v>9.5</v>
      </c>
      <c r="Z2513" s="2857">
        <v>9.5</v>
      </c>
      <c r="AA2513" s="2857">
        <v>9.5</v>
      </c>
      <c r="AB2513" s="2855">
        <v>9.5</v>
      </c>
      <c r="AC2513" s="2228">
        <v>10.5</v>
      </c>
      <c r="AD2513" s="2857"/>
      <c r="AE2513" s="2857"/>
      <c r="AF2513" s="2857"/>
      <c r="AG2513" s="2857"/>
      <c r="AH2513" s="1942"/>
      <c r="AI2513" s="1942"/>
      <c r="AJ2513" s="1942"/>
      <c r="AK2513" s="1942"/>
      <c r="AL2513" s="1942"/>
      <c r="AM2513" s="1942"/>
      <c r="AN2513" s="1942"/>
      <c r="AO2513" s="1942"/>
      <c r="AP2513" s="1942"/>
      <c r="AQ2513" s="1942"/>
      <c r="AR2513" s="1942"/>
      <c r="AS2513" s="1942"/>
      <c r="AT2513" s="1942"/>
      <c r="AU2513" s="1942"/>
      <c r="AV2513" s="1942"/>
      <c r="AW2513" s="1942"/>
      <c r="AX2513" s="1942"/>
      <c r="AY2513" s="1942"/>
      <c r="AZ2513" s="1942"/>
      <c r="BA2513" s="1942"/>
      <c r="BB2513" s="575"/>
      <c r="BC2513" s="576"/>
      <c r="BD2513" s="678"/>
      <c r="BE2513" s="585"/>
    </row>
    <row r="2514" spans="1:57" s="51" customFormat="1" ht="15" hidden="1" customHeight="1" outlineLevel="1" x14ac:dyDescent="0.25">
      <c r="A2514" s="2060"/>
      <c r="B2514" s="123"/>
      <c r="C2514" s="328"/>
      <c r="D2514" s="3990"/>
      <c r="E2514" s="4009"/>
      <c r="F2514" s="3010" t="str">
        <f>$E$1711</f>
        <v>ASHP-SEER20_ER2_SF</v>
      </c>
      <c r="G2514" s="2676"/>
      <c r="H2514" s="2676"/>
      <c r="I2514" s="2677"/>
      <c r="J2514" s="3298" t="str">
        <f>$C$1711</f>
        <v>354550_2021_12_</v>
      </c>
      <c r="K2514" s="2228">
        <f>K2513</f>
        <v>10.5</v>
      </c>
      <c r="L2514" s="851"/>
      <c r="M2514" s="2730" t="s">
        <v>1008</v>
      </c>
      <c r="N2514" s="123"/>
      <c r="O2514" s="228"/>
      <c r="P2514" s="844"/>
      <c r="Q2514" s="845"/>
      <c r="R2514" s="844"/>
      <c r="S2514" s="832"/>
      <c r="T2514" s="3082"/>
      <c r="U2514" s="123"/>
      <c r="V2514" s="3990"/>
      <c r="W2514" s="2857">
        <v>9.5</v>
      </c>
      <c r="X2514" s="2857">
        <v>9.5</v>
      </c>
      <c r="Y2514" s="2857">
        <v>9.5</v>
      </c>
      <c r="Z2514" s="2857">
        <v>9.5</v>
      </c>
      <c r="AA2514" s="2857">
        <v>9.5</v>
      </c>
      <c r="AB2514" s="2855">
        <v>9.5</v>
      </c>
      <c r="AC2514" s="2228">
        <f>AC2513</f>
        <v>10.5</v>
      </c>
      <c r="AD2514" s="2857"/>
      <c r="AE2514" s="2857"/>
      <c r="AF2514" s="2857"/>
      <c r="AG2514" s="2857"/>
      <c r="AH2514" s="1942"/>
      <c r="AI2514" s="1942"/>
      <c r="AJ2514" s="1942"/>
      <c r="AK2514" s="1942"/>
      <c r="AL2514" s="1942"/>
      <c r="AM2514" s="1942"/>
      <c r="AN2514" s="1942"/>
      <c r="AO2514" s="1942"/>
      <c r="AP2514" s="1942"/>
      <c r="AQ2514" s="1942"/>
      <c r="AR2514" s="1942"/>
      <c r="AS2514" s="1942"/>
      <c r="AT2514" s="1942"/>
      <c r="AU2514" s="1942"/>
      <c r="AV2514" s="1942"/>
      <c r="AW2514" s="1942"/>
      <c r="AX2514" s="1942"/>
      <c r="AY2514" s="1942"/>
      <c r="AZ2514" s="1942"/>
      <c r="BA2514" s="1942"/>
      <c r="BB2514" s="575"/>
      <c r="BC2514" s="576"/>
      <c r="BD2514" s="678"/>
      <c r="BE2514" s="585"/>
    </row>
    <row r="2515" spans="1:57" s="51" customFormat="1" ht="15" hidden="1" customHeight="1" outlineLevel="1" x14ac:dyDescent="0.25">
      <c r="A2515" s="2060"/>
      <c r="B2515" s="123"/>
      <c r="C2515" s="328"/>
      <c r="D2515" s="3990"/>
      <c r="E2515" s="4009"/>
      <c r="F2515" s="3010" t="str">
        <f>$E$1713</f>
        <v>ASHP-SEER20_ROF_SF</v>
      </c>
      <c r="G2515" s="2676"/>
      <c r="H2515" s="2676"/>
      <c r="I2515" s="2677"/>
      <c r="J2515" s="3298" t="str">
        <f>$C$1713</f>
        <v>354600_2021_12_</v>
      </c>
      <c r="K2515" s="2228">
        <v>10.866666666666667</v>
      </c>
      <c r="L2515" s="851"/>
      <c r="M2515" s="2730" t="s">
        <v>1008</v>
      </c>
      <c r="N2515" s="123"/>
      <c r="O2515" s="228"/>
      <c r="P2515" s="844"/>
      <c r="Q2515" s="845"/>
      <c r="R2515" s="844"/>
      <c r="S2515" s="832"/>
      <c r="T2515" s="3082"/>
      <c r="U2515" s="123"/>
      <c r="V2515" s="3990"/>
      <c r="W2515" s="2857">
        <v>9.8000000000000007</v>
      </c>
      <c r="X2515" s="2857">
        <v>9.8000000000000007</v>
      </c>
      <c r="Y2515" s="2857">
        <v>9.8000000000000007</v>
      </c>
      <c r="Z2515" s="2857">
        <v>9.8000000000000007</v>
      </c>
      <c r="AA2515" s="2857">
        <v>9.8000000000000007</v>
      </c>
      <c r="AB2515" s="2855">
        <v>9.8000000000000007</v>
      </c>
      <c r="AC2515" s="2228">
        <v>10.866666666666667</v>
      </c>
      <c r="AD2515" s="2857"/>
      <c r="AE2515" s="2857"/>
      <c r="AF2515" s="2857"/>
      <c r="AG2515" s="2857"/>
      <c r="AH2515" s="1942"/>
      <c r="AI2515" s="1942"/>
      <c r="AJ2515" s="1942"/>
      <c r="AK2515" s="1942"/>
      <c r="AL2515" s="1942"/>
      <c r="AM2515" s="1942"/>
      <c r="AN2515" s="1942"/>
      <c r="AO2515" s="1942"/>
      <c r="AP2515" s="1942"/>
      <c r="AQ2515" s="1942"/>
      <c r="AR2515" s="1942"/>
      <c r="AS2515" s="1942"/>
      <c r="AT2515" s="1942"/>
      <c r="AU2515" s="1942"/>
      <c r="AV2515" s="1942"/>
      <c r="AW2515" s="1942"/>
      <c r="AX2515" s="1942"/>
      <c r="AY2515" s="1942"/>
      <c r="AZ2515" s="1942"/>
      <c r="BA2515" s="1942"/>
      <c r="BB2515" s="575"/>
      <c r="BC2515" s="576"/>
      <c r="BD2515" s="678"/>
      <c r="BE2515" s="585"/>
    </row>
    <row r="2516" spans="1:57" s="51" customFormat="1" ht="15" hidden="1" customHeight="1" outlineLevel="1" x14ac:dyDescent="0.25">
      <c r="A2516" s="2060"/>
      <c r="B2516" s="123"/>
      <c r="C2516" s="328"/>
      <c r="D2516" s="3990"/>
      <c r="E2516" s="4009"/>
      <c r="F2516" s="3010" t="str">
        <f>$E$1715</f>
        <v>ASHP-SEER20-Replace_CAC_ElectricHeat_ER1_MF</v>
      </c>
      <c r="G2516" s="2676"/>
      <c r="H2516" s="2676"/>
      <c r="I2516" s="2677"/>
      <c r="J2516" s="3299" t="str">
        <f>$C$1715</f>
        <v>354650_2019_12_</v>
      </c>
      <c r="K2516" s="2282">
        <v>9.4</v>
      </c>
      <c r="L2516" s="851"/>
      <c r="M2516" s="837"/>
      <c r="N2516" s="123"/>
      <c r="O2516" s="228"/>
      <c r="P2516" s="844"/>
      <c r="Q2516" s="845"/>
      <c r="R2516" s="844"/>
      <c r="S2516" s="832"/>
      <c r="T2516" s="3082"/>
      <c r="U2516" s="123"/>
      <c r="V2516" s="3990"/>
      <c r="W2516" s="2857">
        <v>9.4</v>
      </c>
      <c r="X2516" s="2857">
        <v>9.4</v>
      </c>
      <c r="Y2516" s="2857">
        <v>9.4</v>
      </c>
      <c r="Z2516" s="2857">
        <v>9.4</v>
      </c>
      <c r="AA2516" s="2857">
        <v>9.4</v>
      </c>
      <c r="AB2516" s="2855">
        <v>9.4</v>
      </c>
      <c r="AC2516" s="2282">
        <v>9.4</v>
      </c>
      <c r="AD2516" s="2857"/>
      <c r="AE2516" s="2857"/>
      <c r="AF2516" s="2857"/>
      <c r="AG2516" s="2857"/>
      <c r="AH2516" s="1942"/>
      <c r="AI2516" s="1942"/>
      <c r="AJ2516" s="1942"/>
      <c r="AK2516" s="1942"/>
      <c r="AL2516" s="1942"/>
      <c r="AM2516" s="1942"/>
      <c r="AN2516" s="1942"/>
      <c r="AO2516" s="1942"/>
      <c r="AP2516" s="1942"/>
      <c r="AQ2516" s="1942"/>
      <c r="AR2516" s="1942"/>
      <c r="AS2516" s="1942"/>
      <c r="AT2516" s="1942"/>
      <c r="AU2516" s="1942"/>
      <c r="AV2516" s="1942"/>
      <c r="AW2516" s="1942"/>
      <c r="AX2516" s="1942"/>
      <c r="AY2516" s="1942"/>
      <c r="AZ2516" s="1942"/>
      <c r="BA2516" s="1942"/>
      <c r="BB2516" s="575"/>
      <c r="BC2516" s="576"/>
      <c r="BD2516" s="678"/>
      <c r="BE2516" s="585"/>
    </row>
    <row r="2517" spans="1:57" s="51" customFormat="1" ht="15" hidden="1" customHeight="1" outlineLevel="1" x14ac:dyDescent="0.25">
      <c r="A2517" s="2060"/>
      <c r="B2517" s="123"/>
      <c r="C2517" s="328"/>
      <c r="D2517" s="3990"/>
      <c r="E2517" s="4009"/>
      <c r="F2517" s="3010" t="str">
        <f>$E$1717</f>
        <v>ASHP-SEER20-Replace_CAC_ElectricHeat_ER2_MF</v>
      </c>
      <c r="G2517" s="2676"/>
      <c r="H2517" s="2676"/>
      <c r="I2517" s="2677"/>
      <c r="J2517" s="3299" t="str">
        <f>$C$1717</f>
        <v>354650_2019_12_</v>
      </c>
      <c r="K2517" s="2282">
        <v>9.4</v>
      </c>
      <c r="L2517" s="851"/>
      <c r="M2517" s="837"/>
      <c r="N2517" s="123"/>
      <c r="O2517" s="228"/>
      <c r="P2517" s="844"/>
      <c r="Q2517" s="845"/>
      <c r="R2517" s="844"/>
      <c r="S2517" s="832"/>
      <c r="T2517" s="3082"/>
      <c r="U2517" s="123"/>
      <c r="V2517" s="3990"/>
      <c r="W2517" s="2857">
        <v>9.4</v>
      </c>
      <c r="X2517" s="2857">
        <v>9.4</v>
      </c>
      <c r="Y2517" s="2857">
        <v>9.4</v>
      </c>
      <c r="Z2517" s="2857">
        <v>9.4</v>
      </c>
      <c r="AA2517" s="2857">
        <v>9.4</v>
      </c>
      <c r="AB2517" s="2855">
        <v>9.4</v>
      </c>
      <c r="AC2517" s="2282">
        <v>9.4</v>
      </c>
      <c r="AD2517" s="2857"/>
      <c r="AE2517" s="2857"/>
      <c r="AF2517" s="2857"/>
      <c r="AG2517" s="2857"/>
      <c r="AH2517" s="1942"/>
      <c r="AI2517" s="1942"/>
      <c r="AJ2517" s="1942"/>
      <c r="AK2517" s="1942"/>
      <c r="AL2517" s="1942"/>
      <c r="AM2517" s="1942"/>
      <c r="AN2517" s="1942"/>
      <c r="AO2517" s="1942"/>
      <c r="AP2517" s="1942"/>
      <c r="AQ2517" s="1942"/>
      <c r="AR2517" s="1942"/>
      <c r="AS2517" s="1942"/>
      <c r="AT2517" s="1942"/>
      <c r="AU2517" s="1942"/>
      <c r="AV2517" s="1942"/>
      <c r="AW2517" s="1942"/>
      <c r="AX2517" s="1942"/>
      <c r="AY2517" s="1942"/>
      <c r="AZ2517" s="1942"/>
      <c r="BA2517" s="1942"/>
      <c r="BB2517" s="575"/>
      <c r="BC2517" s="576"/>
      <c r="BD2517" s="678"/>
      <c r="BE2517" s="585"/>
    </row>
    <row r="2518" spans="1:57" s="51" customFormat="1" ht="15" hidden="1" customHeight="1" outlineLevel="1" x14ac:dyDescent="0.25">
      <c r="A2518" s="2060"/>
      <c r="B2518" s="123"/>
      <c r="C2518" s="328"/>
      <c r="D2518" s="3990"/>
      <c r="E2518" s="4009"/>
      <c r="F2518" s="3010" t="str">
        <f>$E$1719</f>
        <v>ASHP-SEER20-Replace_CAC_ElectricHeat_ER1_MF_CompE</v>
      </c>
      <c r="G2518" s="2676"/>
      <c r="H2518" s="2676"/>
      <c r="I2518" s="2677"/>
      <c r="J2518" s="3299" t="str">
        <f>$C$1719</f>
        <v>354651_2019_12_</v>
      </c>
      <c r="K2518" s="2282">
        <v>9.4</v>
      </c>
      <c r="L2518" s="851"/>
      <c r="M2518" s="837"/>
      <c r="N2518" s="123"/>
      <c r="O2518" s="228"/>
      <c r="P2518" s="844"/>
      <c r="Q2518" s="845"/>
      <c r="R2518" s="844"/>
      <c r="S2518" s="832"/>
      <c r="T2518" s="3082"/>
      <c r="U2518" s="123"/>
      <c r="V2518" s="3990"/>
      <c r="W2518" s="2857"/>
      <c r="X2518" s="2857"/>
      <c r="Y2518" s="3155">
        <v>9.4</v>
      </c>
      <c r="Z2518" s="2857">
        <v>9.4</v>
      </c>
      <c r="AA2518" s="2857">
        <v>9.4</v>
      </c>
      <c r="AB2518" s="2855">
        <v>9.4</v>
      </c>
      <c r="AC2518" s="2282">
        <v>9.4</v>
      </c>
      <c r="AD2518" s="2857"/>
      <c r="AE2518" s="2857"/>
      <c r="AF2518" s="2857"/>
      <c r="AG2518" s="2857"/>
      <c r="AH2518" s="1942"/>
      <c r="AI2518" s="1942"/>
      <c r="AJ2518" s="1942"/>
      <c r="AK2518" s="1942"/>
      <c r="AL2518" s="1942"/>
      <c r="AM2518" s="1942"/>
      <c r="AN2518" s="1942"/>
      <c r="AO2518" s="1942"/>
      <c r="AP2518" s="1942"/>
      <c r="AQ2518" s="1942"/>
      <c r="AR2518" s="1942"/>
      <c r="AS2518" s="1942"/>
      <c r="AT2518" s="1942"/>
      <c r="AU2518" s="1942"/>
      <c r="AV2518" s="1942"/>
      <c r="AW2518" s="1942"/>
      <c r="AX2518" s="1942"/>
      <c r="AY2518" s="1942"/>
      <c r="AZ2518" s="1942"/>
      <c r="BA2518" s="1942"/>
      <c r="BB2518" s="575"/>
      <c r="BC2518" s="576"/>
      <c r="BD2518" s="678"/>
      <c r="BE2518" s="585"/>
    </row>
    <row r="2519" spans="1:57" s="51" customFormat="1" ht="15" hidden="1" customHeight="1" outlineLevel="1" x14ac:dyDescent="0.25">
      <c r="A2519" s="2060"/>
      <c r="B2519" s="123"/>
      <c r="C2519" s="328"/>
      <c r="D2519" s="3990"/>
      <c r="E2519" s="4009"/>
      <c r="F2519" s="3010" t="str">
        <f>$E$1721</f>
        <v>ASHP-SEER20-Replace_CAC_ElectricHeat_ER2_MF_CompE</v>
      </c>
      <c r="G2519" s="2676"/>
      <c r="H2519" s="2676"/>
      <c r="I2519" s="2677"/>
      <c r="J2519" s="3299" t="str">
        <f>$C$1721</f>
        <v>354651_2019_12_</v>
      </c>
      <c r="K2519" s="2282">
        <v>9.4</v>
      </c>
      <c r="L2519" s="851"/>
      <c r="M2519" s="837"/>
      <c r="N2519" s="123"/>
      <c r="O2519" s="228"/>
      <c r="P2519" s="844"/>
      <c r="Q2519" s="845"/>
      <c r="R2519" s="844"/>
      <c r="S2519" s="832"/>
      <c r="T2519" s="3082"/>
      <c r="U2519" s="123"/>
      <c r="V2519" s="3990"/>
      <c r="W2519" s="2857"/>
      <c r="X2519" s="2857"/>
      <c r="Y2519" s="3155">
        <v>9.4</v>
      </c>
      <c r="Z2519" s="2857">
        <v>9.4</v>
      </c>
      <c r="AA2519" s="2857">
        <v>9.4</v>
      </c>
      <c r="AB2519" s="2855">
        <v>9.4</v>
      </c>
      <c r="AC2519" s="2282">
        <v>9.4</v>
      </c>
      <c r="AD2519" s="2857"/>
      <c r="AE2519" s="2857"/>
      <c r="AF2519" s="2857"/>
      <c r="AG2519" s="2857"/>
      <c r="AH2519" s="1942"/>
      <c r="AI2519" s="1942"/>
      <c r="AJ2519" s="1942"/>
      <c r="AK2519" s="1942"/>
      <c r="AL2519" s="1942"/>
      <c r="AM2519" s="1942"/>
      <c r="AN2519" s="1942"/>
      <c r="AO2519" s="1942"/>
      <c r="AP2519" s="1942"/>
      <c r="AQ2519" s="1942"/>
      <c r="AR2519" s="1942"/>
      <c r="AS2519" s="1942"/>
      <c r="AT2519" s="1942"/>
      <c r="AU2519" s="1942"/>
      <c r="AV2519" s="1942"/>
      <c r="AW2519" s="1942"/>
      <c r="AX2519" s="1942"/>
      <c r="AY2519" s="1942"/>
      <c r="AZ2519" s="1942"/>
      <c r="BA2519" s="1942"/>
      <c r="BB2519" s="575"/>
      <c r="BC2519" s="576"/>
      <c r="BD2519" s="678"/>
      <c r="BE2519" s="585"/>
    </row>
    <row r="2520" spans="1:57" s="1942" customFormat="1" ht="15" hidden="1" customHeight="1" outlineLevel="1" x14ac:dyDescent="0.25">
      <c r="A2520" s="2060"/>
      <c r="B2520" s="123"/>
      <c r="C2520" s="328"/>
      <c r="D2520" s="3990"/>
      <c r="E2520" s="4009"/>
      <c r="F2520" s="3010" t="str">
        <f>$E$1723</f>
        <v>ASHP-SEER20-Replace_CAC_NonElectricHeat_ER1_MF</v>
      </c>
      <c r="G2520" s="2676"/>
      <c r="H2520" s="2676"/>
      <c r="I2520" s="2677"/>
      <c r="J2520" s="3298" t="str">
        <f>$C$1723</f>
        <v>354660_2021_12_</v>
      </c>
      <c r="K2520" s="2228">
        <v>9.4</v>
      </c>
      <c r="L2520" s="851"/>
      <c r="M2520" s="2723" t="s">
        <v>1125</v>
      </c>
      <c r="N2520" s="123"/>
      <c r="O2520" s="228"/>
      <c r="P2520" s="844"/>
      <c r="Q2520" s="845"/>
      <c r="R2520" s="844"/>
      <c r="S2520" s="832"/>
      <c r="T2520" s="3082"/>
      <c r="U2520" s="123"/>
      <c r="V2520" s="3990"/>
      <c r="W2520" s="2857"/>
      <c r="X2520" s="2857"/>
      <c r="Y2520" s="3155"/>
      <c r="Z2520" s="2857"/>
      <c r="AA2520" s="2857"/>
      <c r="AB2520" s="2855"/>
      <c r="AC2520" s="2228">
        <v>9.4</v>
      </c>
      <c r="AD2520" s="2857"/>
      <c r="AE2520" s="2857"/>
      <c r="AF2520" s="2857"/>
      <c r="AG2520" s="2857"/>
      <c r="BB2520" s="575"/>
      <c r="BC2520" s="576"/>
      <c r="BD2520" s="678"/>
      <c r="BE2520" s="585"/>
    </row>
    <row r="2521" spans="1:57" s="1942" customFormat="1" ht="15" hidden="1" customHeight="1" outlineLevel="1" x14ac:dyDescent="0.25">
      <c r="A2521" s="2060"/>
      <c r="B2521" s="123"/>
      <c r="C2521" s="328"/>
      <c r="D2521" s="3990"/>
      <c r="E2521" s="4009"/>
      <c r="F2521" s="3010" t="str">
        <f>$E$1725</f>
        <v>ASHP-SEER20-Replace_CAC_NonElectricHeat_ER2_MF</v>
      </c>
      <c r="G2521" s="2676"/>
      <c r="H2521" s="2676"/>
      <c r="I2521" s="2677"/>
      <c r="J2521" s="3298" t="str">
        <f>$C$1725</f>
        <v>354660_2021_12_</v>
      </c>
      <c r="K2521" s="2228">
        <v>9.4</v>
      </c>
      <c r="L2521" s="851"/>
      <c r="M2521" s="2723" t="s">
        <v>1125</v>
      </c>
      <c r="N2521" s="123"/>
      <c r="O2521" s="228"/>
      <c r="P2521" s="844"/>
      <c r="Q2521" s="845"/>
      <c r="R2521" s="844"/>
      <c r="S2521" s="832"/>
      <c r="T2521" s="3082"/>
      <c r="U2521" s="123"/>
      <c r="V2521" s="3990"/>
      <c r="W2521" s="2857"/>
      <c r="X2521" s="2857"/>
      <c r="Y2521" s="3155"/>
      <c r="Z2521" s="2857"/>
      <c r="AA2521" s="2857"/>
      <c r="AB2521" s="2855"/>
      <c r="AC2521" s="2228">
        <v>9.4</v>
      </c>
      <c r="AD2521" s="2857"/>
      <c r="AE2521" s="2857"/>
      <c r="AF2521" s="2857"/>
      <c r="AG2521" s="2857"/>
      <c r="BB2521" s="575"/>
      <c r="BC2521" s="576"/>
      <c r="BD2521" s="678"/>
      <c r="BE2521" s="585"/>
    </row>
    <row r="2522" spans="1:57" s="1942" customFormat="1" ht="15" hidden="1" customHeight="1" outlineLevel="1" x14ac:dyDescent="0.25">
      <c r="A2522" s="2060"/>
      <c r="B2522" s="123"/>
      <c r="C2522" s="328"/>
      <c r="D2522" s="3990"/>
      <c r="E2522" s="4009"/>
      <c r="F2522" s="3010" t="str">
        <f>$E$1727</f>
        <v>ASHP-SEER20-Replace_CAC_NonElectricHeat_ER1_MF_CompE</v>
      </c>
      <c r="G2522" s="2676"/>
      <c r="H2522" s="2676"/>
      <c r="I2522" s="2677"/>
      <c r="J2522" s="3298" t="str">
        <f>$C$1727</f>
        <v>354661_2021_12_</v>
      </c>
      <c r="K2522" s="2228">
        <v>9.4</v>
      </c>
      <c r="L2522" s="851"/>
      <c r="M2522" s="2723" t="s">
        <v>1125</v>
      </c>
      <c r="N2522" s="123"/>
      <c r="O2522" s="228"/>
      <c r="P2522" s="844"/>
      <c r="Q2522" s="845"/>
      <c r="R2522" s="844"/>
      <c r="S2522" s="832"/>
      <c r="T2522" s="3082"/>
      <c r="U2522" s="123"/>
      <c r="V2522" s="3990"/>
      <c r="W2522" s="2857"/>
      <c r="X2522" s="2857"/>
      <c r="Y2522" s="3155"/>
      <c r="Z2522" s="2857"/>
      <c r="AA2522" s="2857"/>
      <c r="AB2522" s="2855"/>
      <c r="AC2522" s="2228">
        <v>9.4</v>
      </c>
      <c r="AD2522" s="2857"/>
      <c r="AE2522" s="2857"/>
      <c r="AF2522" s="2857"/>
      <c r="AG2522" s="2857"/>
      <c r="BB2522" s="575"/>
      <c r="BC2522" s="576"/>
      <c r="BD2522" s="678"/>
      <c r="BE2522" s="585"/>
    </row>
    <row r="2523" spans="1:57" s="1942" customFormat="1" ht="15" hidden="1" customHeight="1" outlineLevel="1" x14ac:dyDescent="0.25">
      <c r="A2523" s="2060"/>
      <c r="B2523" s="123"/>
      <c r="C2523" s="328"/>
      <c r="D2523" s="3990"/>
      <c r="E2523" s="4009"/>
      <c r="F2523" s="3010" t="str">
        <f>$E$1729</f>
        <v>ASHP-SEER20-Replace_CAC_NonElectricHeat_ER2_MF_CompE</v>
      </c>
      <c r="G2523" s="2676"/>
      <c r="H2523" s="2676"/>
      <c r="I2523" s="2677"/>
      <c r="J2523" s="3298" t="str">
        <f>$C$1729</f>
        <v>354661_2021_12_</v>
      </c>
      <c r="K2523" s="2228">
        <v>9.4</v>
      </c>
      <c r="L2523" s="851"/>
      <c r="M2523" s="2723" t="s">
        <v>1125</v>
      </c>
      <c r="N2523" s="123"/>
      <c r="O2523" s="228"/>
      <c r="P2523" s="844"/>
      <c r="Q2523" s="845"/>
      <c r="R2523" s="844"/>
      <c r="S2523" s="832"/>
      <c r="T2523" s="3082"/>
      <c r="U2523" s="123"/>
      <c r="V2523" s="3990"/>
      <c r="W2523" s="2857"/>
      <c r="X2523" s="2857"/>
      <c r="Y2523" s="3155"/>
      <c r="Z2523" s="2857"/>
      <c r="AA2523" s="2857"/>
      <c r="AB2523" s="2855"/>
      <c r="AC2523" s="2228">
        <v>9.4</v>
      </c>
      <c r="AD2523" s="2857"/>
      <c r="AE2523" s="2857"/>
      <c r="AF2523" s="2857"/>
      <c r="AG2523" s="2857"/>
      <c r="BB2523" s="575"/>
      <c r="BC2523" s="576"/>
      <c r="BD2523" s="678"/>
      <c r="BE2523" s="585"/>
    </row>
    <row r="2524" spans="1:57" s="51" customFormat="1" ht="15" hidden="1" customHeight="1" outlineLevel="1" x14ac:dyDescent="0.25">
      <c r="A2524" s="2060"/>
      <c r="B2524" s="123"/>
      <c r="C2524" s="328"/>
      <c r="D2524" s="3990"/>
      <c r="E2524" s="4009"/>
      <c r="F2524" s="3010" t="str">
        <f>$E$1731</f>
        <v>ASHP-SEER20_ER1_MF</v>
      </c>
      <c r="G2524" s="2676"/>
      <c r="H2524" s="2676"/>
      <c r="I2524" s="2677"/>
      <c r="J2524" s="3299" t="str">
        <f>$C$1731</f>
        <v>354700_2019_12_</v>
      </c>
      <c r="K2524" s="2282">
        <v>9.5</v>
      </c>
      <c r="L2524" s="851"/>
      <c r="M2524" s="837"/>
      <c r="N2524" s="123"/>
      <c r="O2524" s="228"/>
      <c r="P2524" s="844"/>
      <c r="Q2524" s="845"/>
      <c r="R2524" s="844"/>
      <c r="S2524" s="832"/>
      <c r="T2524" s="3082"/>
      <c r="U2524" s="123"/>
      <c r="V2524" s="3990"/>
      <c r="W2524" s="2857">
        <v>9.5</v>
      </c>
      <c r="X2524" s="2857">
        <v>9.5</v>
      </c>
      <c r="Y2524" s="2857">
        <v>9.5</v>
      </c>
      <c r="Z2524" s="2857">
        <v>9.5</v>
      </c>
      <c r="AA2524" s="2857">
        <v>9.5</v>
      </c>
      <c r="AB2524" s="2855">
        <v>9.5</v>
      </c>
      <c r="AC2524" s="2282">
        <v>9.5</v>
      </c>
      <c r="AD2524" s="2857"/>
      <c r="AE2524" s="2857"/>
      <c r="AF2524" s="2857"/>
      <c r="AG2524" s="2857"/>
      <c r="AH2524" s="1942"/>
      <c r="AI2524" s="1942"/>
      <c r="AJ2524" s="1942"/>
      <c r="AK2524" s="1942"/>
      <c r="AL2524" s="1942"/>
      <c r="AM2524" s="1942"/>
      <c r="AN2524" s="1942"/>
      <c r="AO2524" s="1942"/>
      <c r="AP2524" s="1942"/>
      <c r="AQ2524" s="1942"/>
      <c r="AR2524" s="1942"/>
      <c r="AS2524" s="1942"/>
      <c r="AT2524" s="1942"/>
      <c r="AU2524" s="1942"/>
      <c r="AV2524" s="1942"/>
      <c r="AW2524" s="1942"/>
      <c r="AX2524" s="1942"/>
      <c r="AY2524" s="1942"/>
      <c r="AZ2524" s="1942"/>
      <c r="BA2524" s="1942"/>
      <c r="BB2524" s="575"/>
      <c r="BC2524" s="576"/>
      <c r="BD2524" s="678"/>
      <c r="BE2524" s="585"/>
    </row>
    <row r="2525" spans="1:57" s="51" customFormat="1" ht="15" hidden="1" customHeight="1" outlineLevel="1" x14ac:dyDescent="0.25">
      <c r="A2525" s="2060"/>
      <c r="B2525" s="123"/>
      <c r="C2525" s="328"/>
      <c r="D2525" s="3990"/>
      <c r="E2525" s="4009"/>
      <c r="F2525" s="3010" t="str">
        <f>$E$1733</f>
        <v>ASHP-SEER20_ER2_MF</v>
      </c>
      <c r="G2525" s="2676"/>
      <c r="H2525" s="2676"/>
      <c r="I2525" s="2677"/>
      <c r="J2525" s="3299" t="str">
        <f>$C$1733</f>
        <v>354700_2019_12_</v>
      </c>
      <c r="K2525" s="2282">
        <v>9.5</v>
      </c>
      <c r="L2525" s="851"/>
      <c r="M2525" s="837"/>
      <c r="N2525" s="123"/>
      <c r="O2525" s="228"/>
      <c r="P2525" s="844"/>
      <c r="Q2525" s="845"/>
      <c r="R2525" s="844"/>
      <c r="S2525" s="832"/>
      <c r="T2525" s="3082"/>
      <c r="U2525" s="123"/>
      <c r="V2525" s="3990"/>
      <c r="W2525" s="2857">
        <v>9.5</v>
      </c>
      <c r="X2525" s="2857">
        <v>9.5</v>
      </c>
      <c r="Y2525" s="2857">
        <v>9.5</v>
      </c>
      <c r="Z2525" s="2857">
        <v>9.5</v>
      </c>
      <c r="AA2525" s="2857">
        <v>9.5</v>
      </c>
      <c r="AB2525" s="2855">
        <v>9.5</v>
      </c>
      <c r="AC2525" s="2282">
        <v>9.5</v>
      </c>
      <c r="AD2525" s="2857"/>
      <c r="AE2525" s="2857"/>
      <c r="AF2525" s="2857"/>
      <c r="AG2525" s="2857"/>
      <c r="AH2525" s="1942"/>
      <c r="AI2525" s="1942"/>
      <c r="AJ2525" s="1942"/>
      <c r="AK2525" s="1942"/>
      <c r="AL2525" s="1942"/>
      <c r="AM2525" s="1942"/>
      <c r="AN2525" s="1942"/>
      <c r="AO2525" s="1942"/>
      <c r="AP2525" s="1942"/>
      <c r="AQ2525" s="1942"/>
      <c r="AR2525" s="1942"/>
      <c r="AS2525" s="1942"/>
      <c r="AT2525" s="1942"/>
      <c r="AU2525" s="1942"/>
      <c r="AV2525" s="1942"/>
      <c r="AW2525" s="1942"/>
      <c r="AX2525" s="1942"/>
      <c r="AY2525" s="1942"/>
      <c r="AZ2525" s="1942"/>
      <c r="BA2525" s="1942"/>
      <c r="BB2525" s="575"/>
      <c r="BC2525" s="576"/>
      <c r="BD2525" s="678"/>
      <c r="BE2525" s="585"/>
    </row>
    <row r="2526" spans="1:57" s="51" customFormat="1" ht="15" hidden="1" customHeight="1" outlineLevel="1" x14ac:dyDescent="0.25">
      <c r="A2526" s="2060"/>
      <c r="B2526" s="123"/>
      <c r="C2526" s="328"/>
      <c r="D2526" s="3990"/>
      <c r="E2526" s="4009"/>
      <c r="F2526" s="3010" t="str">
        <f>$E$1735</f>
        <v>ASHP-SEER20_ER1_MF_CompE</v>
      </c>
      <c r="G2526" s="2676"/>
      <c r="H2526" s="2676"/>
      <c r="I2526" s="2677"/>
      <c r="J2526" s="3299" t="str">
        <f>$C$1735</f>
        <v>354701_2019_12_</v>
      </c>
      <c r="K2526" s="2282">
        <v>9.5</v>
      </c>
      <c r="L2526" s="851"/>
      <c r="M2526" s="837"/>
      <c r="N2526" s="123"/>
      <c r="O2526" s="228"/>
      <c r="P2526" s="844"/>
      <c r="Q2526" s="845"/>
      <c r="R2526" s="844"/>
      <c r="S2526" s="832"/>
      <c r="T2526" s="3082"/>
      <c r="U2526" s="123"/>
      <c r="V2526" s="3990"/>
      <c r="W2526" s="2857"/>
      <c r="X2526" s="2857"/>
      <c r="Y2526" s="3155">
        <v>9.5</v>
      </c>
      <c r="Z2526" s="2857">
        <v>9.5</v>
      </c>
      <c r="AA2526" s="2857">
        <v>9.5</v>
      </c>
      <c r="AB2526" s="2855">
        <v>9.5</v>
      </c>
      <c r="AC2526" s="2282">
        <v>9.5</v>
      </c>
      <c r="AD2526" s="2857"/>
      <c r="AE2526" s="2857"/>
      <c r="AF2526" s="2857"/>
      <c r="AG2526" s="2857"/>
      <c r="AH2526" s="1942"/>
      <c r="AI2526" s="1942"/>
      <c r="AJ2526" s="1942"/>
      <c r="AK2526" s="1942"/>
      <c r="AL2526" s="1942"/>
      <c r="AM2526" s="1942"/>
      <c r="AN2526" s="1942"/>
      <c r="AO2526" s="1942"/>
      <c r="AP2526" s="1942"/>
      <c r="AQ2526" s="1942"/>
      <c r="AR2526" s="1942"/>
      <c r="AS2526" s="1942"/>
      <c r="AT2526" s="1942"/>
      <c r="AU2526" s="1942"/>
      <c r="AV2526" s="1942"/>
      <c r="AW2526" s="1942"/>
      <c r="AX2526" s="1942"/>
      <c r="AY2526" s="1942"/>
      <c r="AZ2526" s="1942"/>
      <c r="BA2526" s="1942"/>
      <c r="BB2526" s="575"/>
      <c r="BC2526" s="576"/>
      <c r="BD2526" s="678"/>
      <c r="BE2526" s="585"/>
    </row>
    <row r="2527" spans="1:57" s="51" customFormat="1" ht="15" hidden="1" customHeight="1" outlineLevel="1" x14ac:dyDescent="0.25">
      <c r="A2527" s="2060"/>
      <c r="B2527" s="123"/>
      <c r="C2527" s="328"/>
      <c r="D2527" s="3990"/>
      <c r="E2527" s="4009"/>
      <c r="F2527" s="3010" t="str">
        <f>$E$1737</f>
        <v>ASHP-SEER20_ER2_MF_CompE</v>
      </c>
      <c r="G2527" s="2676"/>
      <c r="H2527" s="2676"/>
      <c r="I2527" s="2677"/>
      <c r="J2527" s="3299" t="str">
        <f>$C$1737</f>
        <v>354701_2019_12_</v>
      </c>
      <c r="K2527" s="2282">
        <v>9.5</v>
      </c>
      <c r="L2527" s="851"/>
      <c r="M2527" s="837"/>
      <c r="N2527" s="123"/>
      <c r="O2527" s="228"/>
      <c r="P2527" s="844"/>
      <c r="Q2527" s="845"/>
      <c r="R2527" s="844"/>
      <c r="S2527" s="832"/>
      <c r="T2527" s="3082"/>
      <c r="U2527" s="123"/>
      <c r="V2527" s="3990"/>
      <c r="W2527" s="2857"/>
      <c r="X2527" s="2857"/>
      <c r="Y2527" s="3155">
        <v>9.5</v>
      </c>
      <c r="Z2527" s="2857">
        <v>9.5</v>
      </c>
      <c r="AA2527" s="2857">
        <v>9.5</v>
      </c>
      <c r="AB2527" s="2855">
        <v>9.5</v>
      </c>
      <c r="AC2527" s="2282">
        <v>9.5</v>
      </c>
      <c r="AD2527" s="2857"/>
      <c r="AE2527" s="2857"/>
      <c r="AF2527" s="2857"/>
      <c r="AG2527" s="2857"/>
      <c r="AH2527" s="1942"/>
      <c r="AI2527" s="1942"/>
      <c r="AJ2527" s="1942"/>
      <c r="AK2527" s="1942"/>
      <c r="AL2527" s="1942"/>
      <c r="AM2527" s="1942"/>
      <c r="AN2527" s="1942"/>
      <c r="AO2527" s="1942"/>
      <c r="AP2527" s="1942"/>
      <c r="AQ2527" s="1942"/>
      <c r="AR2527" s="1942"/>
      <c r="AS2527" s="1942"/>
      <c r="AT2527" s="1942"/>
      <c r="AU2527" s="1942"/>
      <c r="AV2527" s="1942"/>
      <c r="AW2527" s="1942"/>
      <c r="AX2527" s="1942"/>
      <c r="AY2527" s="1942"/>
      <c r="AZ2527" s="1942"/>
      <c r="BA2527" s="1942"/>
      <c r="BB2527" s="575"/>
      <c r="BC2527" s="576"/>
      <c r="BD2527" s="678"/>
      <c r="BE2527" s="585"/>
    </row>
    <row r="2528" spans="1:57" s="51" customFormat="1" ht="15" hidden="1" customHeight="1" outlineLevel="1" x14ac:dyDescent="0.25">
      <c r="A2528" s="2060"/>
      <c r="B2528" s="123"/>
      <c r="C2528" s="328"/>
      <c r="D2528" s="3990"/>
      <c r="E2528" s="4009"/>
      <c r="F2528" s="3010" t="str">
        <f>$E$1739</f>
        <v>ASHP-SEER21_ER1_SF</v>
      </c>
      <c r="G2528" s="2676"/>
      <c r="H2528" s="2676"/>
      <c r="I2528" s="2677"/>
      <c r="J2528" s="3298" t="str">
        <f>$C$1739</f>
        <v>354750_2021_12_</v>
      </c>
      <c r="K2528" s="703">
        <v>10.807692307692308</v>
      </c>
      <c r="L2528" s="851"/>
      <c r="M2528" s="2730" t="s">
        <v>1008</v>
      </c>
      <c r="N2528" s="123"/>
      <c r="O2528" s="228"/>
      <c r="P2528" s="844"/>
      <c r="Q2528" s="845"/>
      <c r="R2528" s="844"/>
      <c r="S2528" s="832"/>
      <c r="T2528" s="3082"/>
      <c r="U2528" s="123"/>
      <c r="V2528" s="3990"/>
      <c r="W2528" s="2857">
        <v>9.5</v>
      </c>
      <c r="X2528" s="2857">
        <v>9.5</v>
      </c>
      <c r="Y2528" s="2857">
        <v>9.5</v>
      </c>
      <c r="Z2528" s="2857">
        <v>9.5</v>
      </c>
      <c r="AA2528" s="2857">
        <v>9.5</v>
      </c>
      <c r="AB2528" s="2857">
        <v>9.5</v>
      </c>
      <c r="AC2528" s="703">
        <v>10.807692307692308</v>
      </c>
      <c r="AD2528" s="2857"/>
      <c r="AE2528" s="2857"/>
      <c r="AF2528" s="2857"/>
      <c r="AG2528" s="2857"/>
      <c r="AH2528" s="1942"/>
      <c r="AI2528" s="1942"/>
      <c r="AJ2528" s="1942"/>
      <c r="AK2528" s="1942"/>
      <c r="AL2528" s="1942"/>
      <c r="AM2528" s="1942"/>
      <c r="AN2528" s="1942"/>
      <c r="AO2528" s="1942"/>
      <c r="AP2528" s="1942"/>
      <c r="AQ2528" s="1942"/>
      <c r="AR2528" s="1942"/>
      <c r="AS2528" s="1942"/>
      <c r="AT2528" s="1942"/>
      <c r="AU2528" s="1942"/>
      <c r="AV2528" s="1942"/>
      <c r="AW2528" s="1942"/>
      <c r="AX2528" s="1942"/>
      <c r="AY2528" s="1942"/>
      <c r="AZ2528" s="1942"/>
      <c r="BA2528" s="1942"/>
      <c r="BB2528" s="575"/>
      <c r="BC2528" s="576"/>
      <c r="BD2528" s="678"/>
      <c r="BE2528" s="585"/>
    </row>
    <row r="2529" spans="1:57" s="51" customFormat="1" ht="15" hidden="1" customHeight="1" outlineLevel="1" x14ac:dyDescent="0.25">
      <c r="A2529" s="2060"/>
      <c r="B2529" s="123"/>
      <c r="C2529" s="328"/>
      <c r="D2529" s="3990"/>
      <c r="E2529" s="4009"/>
      <c r="F2529" s="3010" t="str">
        <f>$E$1741</f>
        <v>ASHP-SEER21_ER2_SF</v>
      </c>
      <c r="G2529" s="2676"/>
      <c r="H2529" s="2676"/>
      <c r="I2529" s="2677"/>
      <c r="J2529" s="3298" t="str">
        <f>$C$1741</f>
        <v>354750_2021_12_</v>
      </c>
      <c r="K2529" s="703">
        <f>K2528</f>
        <v>10.807692307692308</v>
      </c>
      <c r="L2529" s="851"/>
      <c r="M2529" s="2730" t="s">
        <v>1008</v>
      </c>
      <c r="N2529" s="123"/>
      <c r="O2529" s="228"/>
      <c r="P2529" s="844"/>
      <c r="Q2529" s="845"/>
      <c r="R2529" s="844"/>
      <c r="S2529" s="832"/>
      <c r="T2529" s="3082"/>
      <c r="U2529" s="123"/>
      <c r="V2529" s="3990"/>
      <c r="W2529" s="2857">
        <v>9.5</v>
      </c>
      <c r="X2529" s="2857">
        <v>9.5</v>
      </c>
      <c r="Y2529" s="2857">
        <v>9.5</v>
      </c>
      <c r="Z2529" s="2857">
        <v>9.5</v>
      </c>
      <c r="AA2529" s="2857">
        <v>9.5</v>
      </c>
      <c r="AB2529" s="2857">
        <v>9.5</v>
      </c>
      <c r="AC2529" s="703">
        <f>AC2528</f>
        <v>10.807692307692308</v>
      </c>
      <c r="AD2529" s="2857"/>
      <c r="AE2529" s="2857"/>
      <c r="AF2529" s="2857"/>
      <c r="AG2529" s="2857"/>
      <c r="AH2529" s="1942"/>
      <c r="AI2529" s="1942"/>
      <c r="AJ2529" s="1942"/>
      <c r="AK2529" s="1942"/>
      <c r="AL2529" s="1942"/>
      <c r="AM2529" s="1942"/>
      <c r="AN2529" s="1942"/>
      <c r="AO2529" s="1942"/>
      <c r="AP2529" s="1942"/>
      <c r="AQ2529" s="1942"/>
      <c r="AR2529" s="1942"/>
      <c r="AS2529" s="1942"/>
      <c r="AT2529" s="1942"/>
      <c r="AU2529" s="1942"/>
      <c r="AV2529" s="1942"/>
      <c r="AW2529" s="1942"/>
      <c r="AX2529" s="1942"/>
      <c r="AY2529" s="1942"/>
      <c r="AZ2529" s="1942"/>
      <c r="BA2529" s="1942"/>
      <c r="BB2529" s="575"/>
      <c r="BC2529" s="576"/>
      <c r="BD2529" s="678"/>
      <c r="BE2529" s="585"/>
    </row>
    <row r="2530" spans="1:57" s="51" customFormat="1" ht="15" hidden="1" customHeight="1" outlineLevel="1" x14ac:dyDescent="0.25">
      <c r="A2530" s="2060"/>
      <c r="B2530" s="123"/>
      <c r="C2530" s="328"/>
      <c r="D2530" s="3990"/>
      <c r="E2530" s="4009"/>
      <c r="F2530" s="3010" t="str">
        <f>$E$1743</f>
        <v>ASHP-SEER21_ROF_SF</v>
      </c>
      <c r="G2530" s="2676"/>
      <c r="H2530" s="2676"/>
      <c r="I2530" s="2677"/>
      <c r="J2530" s="3298" t="str">
        <f>$C$1743</f>
        <v>354800_2021_12_</v>
      </c>
      <c r="K2530" s="703">
        <v>10.875</v>
      </c>
      <c r="L2530" s="851"/>
      <c r="M2530" s="2730" t="s">
        <v>1008</v>
      </c>
      <c r="N2530" s="123"/>
      <c r="O2530" s="228"/>
      <c r="P2530" s="844"/>
      <c r="Q2530" s="845"/>
      <c r="R2530" s="844"/>
      <c r="S2530" s="832"/>
      <c r="T2530" s="3082"/>
      <c r="U2530" s="123"/>
      <c r="V2530" s="3990"/>
      <c r="W2530" s="2857">
        <v>9.8000000000000007</v>
      </c>
      <c r="X2530" s="2857">
        <v>9.8000000000000007</v>
      </c>
      <c r="Y2530" s="2857">
        <v>9.8000000000000007</v>
      </c>
      <c r="Z2530" s="2857">
        <v>9.8000000000000007</v>
      </c>
      <c r="AA2530" s="2857">
        <v>9.8000000000000007</v>
      </c>
      <c r="AB2530" s="2857">
        <v>9.8000000000000007</v>
      </c>
      <c r="AC2530" s="703">
        <v>10.875</v>
      </c>
      <c r="AD2530" s="2857"/>
      <c r="AE2530" s="2857"/>
      <c r="AF2530" s="2857"/>
      <c r="AG2530" s="2857"/>
      <c r="AH2530" s="1942"/>
      <c r="AI2530" s="1942"/>
      <c r="AJ2530" s="1942"/>
      <c r="AK2530" s="1942"/>
      <c r="AL2530" s="1942"/>
      <c r="AM2530" s="1942"/>
      <c r="AN2530" s="1942"/>
      <c r="AO2530" s="1942"/>
      <c r="AP2530" s="1942"/>
      <c r="AQ2530" s="1942"/>
      <c r="AR2530" s="1942"/>
      <c r="AS2530" s="1942"/>
      <c r="AT2530" s="1942"/>
      <c r="AU2530" s="1942"/>
      <c r="AV2530" s="1942"/>
      <c r="AW2530" s="1942"/>
      <c r="AX2530" s="1942"/>
      <c r="AY2530" s="1942"/>
      <c r="AZ2530" s="1942"/>
      <c r="BA2530" s="1942"/>
      <c r="BB2530" s="575"/>
      <c r="BC2530" s="576"/>
      <c r="BD2530" s="678"/>
      <c r="BE2530" s="585"/>
    </row>
    <row r="2531" spans="1:57" s="51" customFormat="1" ht="15" hidden="1" customHeight="1" outlineLevel="1" x14ac:dyDescent="0.25">
      <c r="A2531" s="2060"/>
      <c r="B2531" s="123"/>
      <c r="C2531" s="328"/>
      <c r="D2531" s="3990"/>
      <c r="E2531" s="4009"/>
      <c r="F2531" s="3010" t="str">
        <f>$E$1745</f>
        <v>ASHP-SEER21-Replace_CAC_ElectricHeat_ROF_MF</v>
      </c>
      <c r="G2531" s="2676"/>
      <c r="H2531" s="2676"/>
      <c r="I2531" s="2677"/>
      <c r="J2531" s="3298" t="str">
        <f>$C$1745</f>
        <v>354850_2019_12_</v>
      </c>
      <c r="K2531" s="702">
        <v>9.6999999999999993</v>
      </c>
      <c r="L2531" s="851"/>
      <c r="M2531" s="837"/>
      <c r="N2531" s="123"/>
      <c r="O2531" s="228"/>
      <c r="P2531" s="844"/>
      <c r="Q2531" s="845"/>
      <c r="R2531" s="844"/>
      <c r="S2531" s="832"/>
      <c r="T2531" s="3082"/>
      <c r="U2531" s="123"/>
      <c r="V2531" s="3990"/>
      <c r="W2531" s="2857">
        <v>9.6999999999999993</v>
      </c>
      <c r="X2531" s="2857">
        <v>9.6999999999999993</v>
      </c>
      <c r="Y2531" s="2857">
        <v>9.6999999999999993</v>
      </c>
      <c r="Z2531" s="2857">
        <v>9.6999999999999993</v>
      </c>
      <c r="AA2531" s="2857">
        <v>9.6999999999999993</v>
      </c>
      <c r="AB2531" s="2857">
        <v>9.6999999999999993</v>
      </c>
      <c r="AC2531" s="702">
        <v>9.6999999999999993</v>
      </c>
      <c r="AD2531" s="2857"/>
      <c r="AE2531" s="2857"/>
      <c r="AF2531" s="2857"/>
      <c r="AG2531" s="2857"/>
      <c r="AH2531" s="1942"/>
      <c r="AI2531" s="1942"/>
      <c r="AJ2531" s="1942"/>
      <c r="AK2531" s="1942"/>
      <c r="AL2531" s="1942"/>
      <c r="AM2531" s="1942"/>
      <c r="AN2531" s="1942"/>
      <c r="AO2531" s="1942"/>
      <c r="AP2531" s="1942"/>
      <c r="AQ2531" s="1942"/>
      <c r="AR2531" s="1942"/>
      <c r="AS2531" s="1942"/>
      <c r="AT2531" s="1942"/>
      <c r="AU2531" s="1942"/>
      <c r="AV2531" s="1942"/>
      <c r="AW2531" s="1942"/>
      <c r="AX2531" s="1942"/>
      <c r="AY2531" s="1942"/>
      <c r="AZ2531" s="1942"/>
      <c r="BA2531" s="1942"/>
      <c r="BB2531" s="575"/>
      <c r="BC2531" s="576"/>
      <c r="BD2531" s="678"/>
      <c r="BE2531" s="585"/>
    </row>
    <row r="2532" spans="1:57" s="51" customFormat="1" ht="15" hidden="1" customHeight="1" outlineLevel="1" x14ac:dyDescent="0.25">
      <c r="A2532" s="2060"/>
      <c r="B2532" s="123"/>
      <c r="C2532" s="328"/>
      <c r="D2532" s="3990"/>
      <c r="E2532" s="4009"/>
      <c r="F2532" s="3010" t="str">
        <f>$E$1747</f>
        <v>ASHP-SEER21-Replace_CAC_ElectricHeat_ROF_MF_CompE</v>
      </c>
      <c r="G2532" s="2676"/>
      <c r="H2532" s="2676"/>
      <c r="I2532" s="2677"/>
      <c r="J2532" s="3298" t="str">
        <f>$C$1747</f>
        <v>354851_2019_12_</v>
      </c>
      <c r="K2532" s="702">
        <v>9.6999999999999993</v>
      </c>
      <c r="L2532" s="851"/>
      <c r="M2532" s="837"/>
      <c r="N2532" s="123"/>
      <c r="O2532" s="228"/>
      <c r="P2532" s="844"/>
      <c r="Q2532" s="845"/>
      <c r="R2532" s="844"/>
      <c r="S2532" s="832"/>
      <c r="T2532" s="3082"/>
      <c r="U2532" s="123"/>
      <c r="V2532" s="3990"/>
      <c r="W2532" s="2857"/>
      <c r="X2532" s="2857"/>
      <c r="Y2532" s="3155">
        <v>9.6999999999999993</v>
      </c>
      <c r="Z2532" s="2857">
        <v>9.6999999999999993</v>
      </c>
      <c r="AA2532" s="2857">
        <v>9.6999999999999993</v>
      </c>
      <c r="AB2532" s="2857">
        <v>9.6999999999999993</v>
      </c>
      <c r="AC2532" s="702">
        <v>9.6999999999999993</v>
      </c>
      <c r="AD2532" s="2857"/>
      <c r="AE2532" s="2857"/>
      <c r="AF2532" s="2857"/>
      <c r="AG2532" s="2857"/>
      <c r="AH2532" s="1942"/>
      <c r="AI2532" s="1942"/>
      <c r="AJ2532" s="1942"/>
      <c r="AK2532" s="1942"/>
      <c r="AL2532" s="1942"/>
      <c r="AM2532" s="1942"/>
      <c r="AN2532" s="1942"/>
      <c r="AO2532" s="1942"/>
      <c r="AP2532" s="1942"/>
      <c r="AQ2532" s="1942"/>
      <c r="AR2532" s="1942"/>
      <c r="AS2532" s="1942"/>
      <c r="AT2532" s="1942"/>
      <c r="AU2532" s="1942"/>
      <c r="AV2532" s="1942"/>
      <c r="AW2532" s="1942"/>
      <c r="AX2532" s="1942"/>
      <c r="AY2532" s="1942"/>
      <c r="AZ2532" s="1942"/>
      <c r="BA2532" s="1942"/>
      <c r="BB2532" s="575"/>
      <c r="BC2532" s="576"/>
      <c r="BD2532" s="678"/>
      <c r="BE2532" s="585"/>
    </row>
    <row r="2533" spans="1:57" s="1942" customFormat="1" ht="15" hidden="1" customHeight="1" outlineLevel="1" x14ac:dyDescent="0.25">
      <c r="A2533" s="2060"/>
      <c r="B2533" s="123"/>
      <c r="C2533" s="328"/>
      <c r="D2533" s="3990"/>
      <c r="E2533" s="4009"/>
      <c r="F2533" s="3010" t="str">
        <f>$E$1749</f>
        <v>ASHP-SEER21-Replace_CAC_NonElectricHeat_ROF_MF</v>
      </c>
      <c r="G2533" s="2676"/>
      <c r="H2533" s="2676"/>
      <c r="I2533" s="2677"/>
      <c r="J2533" s="3298" t="str">
        <f>$C$1749</f>
        <v>354860_2021_12_</v>
      </c>
      <c r="K2533" s="703">
        <v>9.6999999999999993</v>
      </c>
      <c r="L2533" s="851"/>
      <c r="M2533" s="2723" t="s">
        <v>1125</v>
      </c>
      <c r="N2533" s="123"/>
      <c r="O2533" s="228"/>
      <c r="P2533" s="844"/>
      <c r="Q2533" s="845"/>
      <c r="R2533" s="844"/>
      <c r="S2533" s="832"/>
      <c r="T2533" s="3082"/>
      <c r="U2533" s="123"/>
      <c r="V2533" s="3990"/>
      <c r="W2533" s="2857"/>
      <c r="X2533" s="2857"/>
      <c r="Y2533" s="3155"/>
      <c r="Z2533" s="2857"/>
      <c r="AA2533" s="2857"/>
      <c r="AB2533" s="2857"/>
      <c r="AC2533" s="703">
        <v>9.6999999999999993</v>
      </c>
      <c r="AD2533" s="2857"/>
      <c r="AE2533" s="2857"/>
      <c r="AF2533" s="2857"/>
      <c r="AG2533" s="2857"/>
      <c r="BB2533" s="575"/>
      <c r="BC2533" s="576"/>
      <c r="BD2533" s="678"/>
      <c r="BE2533" s="585"/>
    </row>
    <row r="2534" spans="1:57" s="1942" customFormat="1" ht="15" hidden="1" customHeight="1" outlineLevel="1" x14ac:dyDescent="0.25">
      <c r="A2534" s="2060"/>
      <c r="B2534" s="123"/>
      <c r="C2534" s="328"/>
      <c r="D2534" s="3990"/>
      <c r="E2534" s="4009"/>
      <c r="F2534" s="3010" t="str">
        <f>$E$1751</f>
        <v>ASHP-SEER21-Replace_CAC_NonElectricHeat_ROF_MF_CompE</v>
      </c>
      <c r="G2534" s="2676"/>
      <c r="H2534" s="2676"/>
      <c r="I2534" s="2677"/>
      <c r="J2534" s="3298" t="str">
        <f>$C$1751</f>
        <v>354861_2021_12_</v>
      </c>
      <c r="K2534" s="703">
        <v>9.6999999999999993</v>
      </c>
      <c r="L2534" s="851"/>
      <c r="M2534" s="2723" t="s">
        <v>1125</v>
      </c>
      <c r="N2534" s="123"/>
      <c r="O2534" s="228"/>
      <c r="P2534" s="844"/>
      <c r="Q2534" s="845"/>
      <c r="R2534" s="844"/>
      <c r="S2534" s="832"/>
      <c r="T2534" s="3082"/>
      <c r="U2534" s="123"/>
      <c r="V2534" s="3990"/>
      <c r="W2534" s="2857"/>
      <c r="X2534" s="2857"/>
      <c r="Y2534" s="3155"/>
      <c r="Z2534" s="2857"/>
      <c r="AA2534" s="2857"/>
      <c r="AB2534" s="2857"/>
      <c r="AC2534" s="703">
        <v>9.6999999999999993</v>
      </c>
      <c r="AD2534" s="2857"/>
      <c r="AE2534" s="2857"/>
      <c r="AF2534" s="2857"/>
      <c r="AG2534" s="2857"/>
      <c r="BB2534" s="575"/>
      <c r="BC2534" s="576"/>
      <c r="BD2534" s="678"/>
      <c r="BE2534" s="585"/>
    </row>
    <row r="2535" spans="1:57" s="51" customFormat="1" ht="15" hidden="1" customHeight="1" outlineLevel="1" x14ac:dyDescent="0.25">
      <c r="A2535" s="2060"/>
      <c r="B2535" s="123"/>
      <c r="C2535" s="328"/>
      <c r="D2535" s="3990"/>
      <c r="E2535" s="4009"/>
      <c r="F2535" s="3010" t="str">
        <f>$E$1753</f>
        <v>ASHP-SEER21_ER1_MF</v>
      </c>
      <c r="G2535" s="2676"/>
      <c r="H2535" s="2676"/>
      <c r="I2535" s="2677"/>
      <c r="J2535" s="3299" t="str">
        <f>$C$1753</f>
        <v>354900_2019_12_</v>
      </c>
      <c r="K2535" s="702">
        <v>9.5</v>
      </c>
      <c r="L2535" s="851"/>
      <c r="M2535" s="837"/>
      <c r="N2535" s="123"/>
      <c r="O2535" s="228"/>
      <c r="P2535" s="844"/>
      <c r="Q2535" s="845"/>
      <c r="R2535" s="844"/>
      <c r="S2535" s="832"/>
      <c r="T2535" s="3082"/>
      <c r="U2535" s="123"/>
      <c r="V2535" s="3990"/>
      <c r="W2535" s="2857">
        <v>9.5</v>
      </c>
      <c r="X2535" s="2857">
        <v>9.5</v>
      </c>
      <c r="Y2535" s="2857">
        <v>9.5</v>
      </c>
      <c r="Z2535" s="2857">
        <v>9.5</v>
      </c>
      <c r="AA2535" s="2857">
        <v>9.5</v>
      </c>
      <c r="AB2535" s="2857">
        <v>9.5</v>
      </c>
      <c r="AC2535" s="702">
        <v>9.5</v>
      </c>
      <c r="AD2535" s="2857"/>
      <c r="AE2535" s="2857"/>
      <c r="AF2535" s="2857"/>
      <c r="AG2535" s="2857"/>
      <c r="AH2535" s="1942"/>
      <c r="AI2535" s="1942"/>
      <c r="AJ2535" s="1942"/>
      <c r="AK2535" s="1942"/>
      <c r="AL2535" s="1942"/>
      <c r="AM2535" s="1942"/>
      <c r="AN2535" s="1942"/>
      <c r="AO2535" s="1942"/>
      <c r="AP2535" s="1942"/>
      <c r="AQ2535" s="1942"/>
      <c r="AR2535" s="1942"/>
      <c r="AS2535" s="1942"/>
      <c r="AT2535" s="1942"/>
      <c r="AU2535" s="1942"/>
      <c r="AV2535" s="1942"/>
      <c r="AW2535" s="1942"/>
      <c r="AX2535" s="1942"/>
      <c r="AY2535" s="1942"/>
      <c r="AZ2535" s="1942"/>
      <c r="BA2535" s="1942"/>
      <c r="BB2535" s="575"/>
      <c r="BC2535" s="576"/>
      <c r="BD2535" s="678"/>
      <c r="BE2535" s="585"/>
    </row>
    <row r="2536" spans="1:57" s="51" customFormat="1" ht="15" hidden="1" customHeight="1" outlineLevel="1" x14ac:dyDescent="0.25">
      <c r="A2536" s="2060"/>
      <c r="B2536" s="123"/>
      <c r="C2536" s="328"/>
      <c r="D2536" s="3990"/>
      <c r="E2536" s="4009"/>
      <c r="F2536" s="3010" t="str">
        <f>$E$1755</f>
        <v>ASHP-SEER21_ER2_MF</v>
      </c>
      <c r="G2536" s="2676"/>
      <c r="H2536" s="2676"/>
      <c r="I2536" s="2677"/>
      <c r="J2536" s="3299" t="str">
        <f>$C$1755</f>
        <v>354900_2019_12_</v>
      </c>
      <c r="K2536" s="702">
        <v>9.5</v>
      </c>
      <c r="L2536" s="851"/>
      <c r="M2536" s="837"/>
      <c r="N2536" s="123"/>
      <c r="O2536" s="228"/>
      <c r="P2536" s="844"/>
      <c r="Q2536" s="845"/>
      <c r="R2536" s="844"/>
      <c r="S2536" s="832"/>
      <c r="T2536" s="3082"/>
      <c r="U2536" s="123"/>
      <c r="V2536" s="3990"/>
      <c r="W2536" s="2857">
        <v>9.5</v>
      </c>
      <c r="X2536" s="2857">
        <v>9.5</v>
      </c>
      <c r="Y2536" s="2857">
        <v>9.5</v>
      </c>
      <c r="Z2536" s="2857">
        <v>9.5</v>
      </c>
      <c r="AA2536" s="2857">
        <v>9.5</v>
      </c>
      <c r="AB2536" s="2857">
        <v>9.5</v>
      </c>
      <c r="AC2536" s="702">
        <v>9.5</v>
      </c>
      <c r="AD2536" s="2857"/>
      <c r="AE2536" s="2857"/>
      <c r="AF2536" s="2857"/>
      <c r="AG2536" s="2857"/>
      <c r="AH2536" s="1942"/>
      <c r="AI2536" s="1942"/>
      <c r="AJ2536" s="1942"/>
      <c r="AK2536" s="1942"/>
      <c r="AL2536" s="1942"/>
      <c r="AM2536" s="1942"/>
      <c r="AN2536" s="1942"/>
      <c r="AO2536" s="1942"/>
      <c r="AP2536" s="1942"/>
      <c r="AQ2536" s="1942"/>
      <c r="AR2536" s="1942"/>
      <c r="AS2536" s="1942"/>
      <c r="AT2536" s="1942"/>
      <c r="AU2536" s="1942"/>
      <c r="AV2536" s="1942"/>
      <c r="AW2536" s="1942"/>
      <c r="AX2536" s="1942"/>
      <c r="AY2536" s="1942"/>
      <c r="AZ2536" s="1942"/>
      <c r="BA2536" s="1942"/>
      <c r="BB2536" s="575"/>
      <c r="BC2536" s="576"/>
      <c r="BD2536" s="678"/>
      <c r="BE2536" s="585"/>
    </row>
    <row r="2537" spans="1:57" s="51" customFormat="1" ht="15" hidden="1" customHeight="1" outlineLevel="1" x14ac:dyDescent="0.25">
      <c r="A2537" s="2060"/>
      <c r="B2537" s="123"/>
      <c r="C2537" s="328"/>
      <c r="D2537" s="3990"/>
      <c r="E2537" s="4009"/>
      <c r="F2537" s="3010" t="str">
        <f>$E$1757</f>
        <v>ASHP-SEER21_ER1_MF_CompE</v>
      </c>
      <c r="G2537" s="2676"/>
      <c r="H2537" s="2676"/>
      <c r="I2537" s="2677"/>
      <c r="J2537" s="3299" t="str">
        <f>$C$1757</f>
        <v>354901_2019_12_</v>
      </c>
      <c r="K2537" s="702">
        <v>9.5</v>
      </c>
      <c r="L2537" s="851"/>
      <c r="M2537" s="837"/>
      <c r="N2537" s="123"/>
      <c r="O2537" s="228"/>
      <c r="P2537" s="844"/>
      <c r="Q2537" s="845"/>
      <c r="R2537" s="844"/>
      <c r="S2537" s="832"/>
      <c r="T2537" s="3082"/>
      <c r="U2537" s="123"/>
      <c r="V2537" s="3990"/>
      <c r="W2537" s="2857"/>
      <c r="X2537" s="2857"/>
      <c r="Y2537" s="3155">
        <v>9.5</v>
      </c>
      <c r="Z2537" s="2857">
        <v>9.5</v>
      </c>
      <c r="AA2537" s="2857">
        <v>9.5</v>
      </c>
      <c r="AB2537" s="2857">
        <v>9.5</v>
      </c>
      <c r="AC2537" s="702">
        <v>9.5</v>
      </c>
      <c r="AD2537" s="2857"/>
      <c r="AE2537" s="2857"/>
      <c r="AF2537" s="2857"/>
      <c r="AG2537" s="2857"/>
      <c r="AH2537" s="1942"/>
      <c r="AI2537" s="1942"/>
      <c r="AJ2537" s="1942"/>
      <c r="AK2537" s="1942"/>
      <c r="AL2537" s="1942"/>
      <c r="AM2537" s="1942"/>
      <c r="AN2537" s="1942"/>
      <c r="AO2537" s="1942"/>
      <c r="AP2537" s="1942"/>
      <c r="AQ2537" s="1942"/>
      <c r="AR2537" s="1942"/>
      <c r="AS2537" s="1942"/>
      <c r="AT2537" s="1942"/>
      <c r="AU2537" s="1942"/>
      <c r="AV2537" s="1942"/>
      <c r="AW2537" s="1942"/>
      <c r="AX2537" s="1942"/>
      <c r="AY2537" s="1942"/>
      <c r="AZ2537" s="1942"/>
      <c r="BA2537" s="1942"/>
      <c r="BB2537" s="575"/>
      <c r="BC2537" s="576"/>
      <c r="BD2537" s="678"/>
      <c r="BE2537" s="585"/>
    </row>
    <row r="2538" spans="1:57" s="51" customFormat="1" ht="15" hidden="1" customHeight="1" outlineLevel="1" x14ac:dyDescent="0.25">
      <c r="A2538" s="2060"/>
      <c r="B2538" s="123"/>
      <c r="C2538" s="328"/>
      <c r="D2538" s="3990"/>
      <c r="E2538" s="4009"/>
      <c r="F2538" s="3010" t="str">
        <f>$E$1759</f>
        <v>ASHP-SEER21_ER2_MF_CompE</v>
      </c>
      <c r="G2538" s="2676"/>
      <c r="H2538" s="2676"/>
      <c r="I2538" s="2677"/>
      <c r="J2538" s="3299" t="str">
        <f>$C$1759</f>
        <v>354901_2019_12_</v>
      </c>
      <c r="K2538" s="702">
        <v>9.5</v>
      </c>
      <c r="L2538" s="851"/>
      <c r="M2538" s="837"/>
      <c r="N2538" s="123"/>
      <c r="O2538" s="228"/>
      <c r="P2538" s="844"/>
      <c r="Q2538" s="845"/>
      <c r="R2538" s="844"/>
      <c r="S2538" s="832"/>
      <c r="T2538" s="3082"/>
      <c r="U2538" s="123"/>
      <c r="V2538" s="3990"/>
      <c r="W2538" s="2857"/>
      <c r="X2538" s="2857"/>
      <c r="Y2538" s="3155">
        <v>9.5</v>
      </c>
      <c r="Z2538" s="2857">
        <v>9.5</v>
      </c>
      <c r="AA2538" s="2857">
        <v>9.5</v>
      </c>
      <c r="AB2538" s="2857">
        <v>9.5</v>
      </c>
      <c r="AC2538" s="702">
        <v>9.5</v>
      </c>
      <c r="AD2538" s="2857"/>
      <c r="AE2538" s="2857"/>
      <c r="AF2538" s="2857"/>
      <c r="AG2538" s="2857"/>
      <c r="AH2538" s="1942"/>
      <c r="AI2538" s="1942"/>
      <c r="AJ2538" s="1942"/>
      <c r="AK2538" s="1942"/>
      <c r="AL2538" s="1942"/>
      <c r="AM2538" s="1942"/>
      <c r="AN2538" s="1942"/>
      <c r="AO2538" s="1942"/>
      <c r="AP2538" s="1942"/>
      <c r="AQ2538" s="1942"/>
      <c r="AR2538" s="1942"/>
      <c r="AS2538" s="1942"/>
      <c r="AT2538" s="1942"/>
      <c r="AU2538" s="1942"/>
      <c r="AV2538" s="1942"/>
      <c r="AW2538" s="1942"/>
      <c r="AX2538" s="1942"/>
      <c r="AY2538" s="1942"/>
      <c r="AZ2538" s="1942"/>
      <c r="BA2538" s="1942"/>
      <c r="BB2538" s="575"/>
      <c r="BC2538" s="576"/>
      <c r="BD2538" s="678"/>
      <c r="BE2538" s="585"/>
    </row>
    <row r="2539" spans="1:57" s="51" customFormat="1" ht="15" hidden="1" customHeight="1" outlineLevel="1" x14ac:dyDescent="0.25">
      <c r="A2539" s="2060"/>
      <c r="B2539" s="123"/>
      <c r="C2539" s="328"/>
      <c r="D2539" s="3990"/>
      <c r="E2539" s="4009"/>
      <c r="F2539" s="3010" t="str">
        <f>$E$1761</f>
        <v>ASHP-SEER17_ROF_MF</v>
      </c>
      <c r="G2539" s="2676"/>
      <c r="H2539" s="2676"/>
      <c r="I2539" s="2677"/>
      <c r="J2539" s="3299" t="str">
        <f>$C$1761</f>
        <v>354950_2019_12_</v>
      </c>
      <c r="K2539" s="702">
        <v>9.8000000000000007</v>
      </c>
      <c r="L2539" s="851"/>
      <c r="M2539" s="837" t="s">
        <v>1556</v>
      </c>
      <c r="N2539" s="123"/>
      <c r="O2539" s="228"/>
      <c r="P2539" s="844"/>
      <c r="Q2539" s="845"/>
      <c r="R2539" s="844"/>
      <c r="S2539" s="832"/>
      <c r="T2539" s="3082"/>
      <c r="U2539" s="123"/>
      <c r="V2539" s="3990"/>
      <c r="W2539" s="2857">
        <v>9.8000000000000007</v>
      </c>
      <c r="X2539" s="2857">
        <v>9.8000000000000007</v>
      </c>
      <c r="Y2539" s="2857">
        <v>9.8000000000000007</v>
      </c>
      <c r="Z2539" s="2857">
        <v>9.8000000000000007</v>
      </c>
      <c r="AA2539" s="2857">
        <v>9.8000000000000007</v>
      </c>
      <c r="AB2539" s="2857">
        <v>9.8000000000000007</v>
      </c>
      <c r="AC2539" s="702">
        <v>9.8000000000000007</v>
      </c>
      <c r="AD2539" s="2857"/>
      <c r="AE2539" s="2857"/>
      <c r="AF2539" s="2857"/>
      <c r="AG2539" s="2857"/>
      <c r="AH2539" s="1942"/>
      <c r="AI2539" s="1942"/>
      <c r="AJ2539" s="1942"/>
      <c r="AK2539" s="1942"/>
      <c r="AL2539" s="1942"/>
      <c r="AM2539" s="1942"/>
      <c r="AN2539" s="1942"/>
      <c r="AO2539" s="1942"/>
      <c r="AP2539" s="1942"/>
      <c r="AQ2539" s="1942"/>
      <c r="AR2539" s="1942"/>
      <c r="AS2539" s="1942"/>
      <c r="AT2539" s="1942"/>
      <c r="AU2539" s="1942"/>
      <c r="AV2539" s="1942"/>
      <c r="AW2539" s="1942"/>
      <c r="AX2539" s="1942"/>
      <c r="AY2539" s="1942"/>
      <c r="AZ2539" s="1942"/>
      <c r="BA2539" s="1942"/>
      <c r="BB2539" s="575"/>
      <c r="BC2539" s="576"/>
      <c r="BD2539" s="678"/>
      <c r="BE2539" s="585"/>
    </row>
    <row r="2540" spans="1:57" s="51" customFormat="1" ht="15" hidden="1" customHeight="1" outlineLevel="1" x14ac:dyDescent="0.25">
      <c r="A2540" s="2060"/>
      <c r="B2540" s="123"/>
      <c r="C2540" s="328"/>
      <c r="D2540" s="3990"/>
      <c r="E2540" s="4009"/>
      <c r="F2540" s="3010" t="str">
        <f>$E$1763</f>
        <v>ASHP-SEER17_ROF_MF_CompE</v>
      </c>
      <c r="G2540" s="2676"/>
      <c r="H2540" s="2676"/>
      <c r="I2540" s="2677"/>
      <c r="J2540" s="3299" t="str">
        <f>$C$1763</f>
        <v>354951_2019_12_</v>
      </c>
      <c r="K2540" s="702">
        <v>9.8000000000000007</v>
      </c>
      <c r="L2540" s="851"/>
      <c r="M2540" s="837"/>
      <c r="N2540" s="123"/>
      <c r="O2540" s="228"/>
      <c r="P2540" s="844"/>
      <c r="Q2540" s="845"/>
      <c r="R2540" s="844"/>
      <c r="S2540" s="832"/>
      <c r="T2540" s="3082"/>
      <c r="U2540" s="123"/>
      <c r="V2540" s="3990"/>
      <c r="W2540" s="2857"/>
      <c r="X2540" s="2857"/>
      <c r="Y2540" s="3155">
        <v>9.8000000000000007</v>
      </c>
      <c r="Z2540" s="2857">
        <v>9.8000000000000007</v>
      </c>
      <c r="AA2540" s="2857">
        <v>9.8000000000000007</v>
      </c>
      <c r="AB2540" s="2857">
        <v>9.8000000000000007</v>
      </c>
      <c r="AC2540" s="702">
        <v>9.8000000000000007</v>
      </c>
      <c r="AD2540" s="2857"/>
      <c r="AE2540" s="2857"/>
      <c r="AF2540" s="2857"/>
      <c r="AG2540" s="2857"/>
      <c r="AH2540" s="1942"/>
      <c r="AI2540" s="1942"/>
      <c r="AJ2540" s="1942"/>
      <c r="AK2540" s="1942"/>
      <c r="AL2540" s="1942"/>
      <c r="AM2540" s="1942"/>
      <c r="AN2540" s="1942"/>
      <c r="AO2540" s="1942"/>
      <c r="AP2540" s="1942"/>
      <c r="AQ2540" s="1942"/>
      <c r="AR2540" s="1942"/>
      <c r="AS2540" s="1942"/>
      <c r="AT2540" s="1942"/>
      <c r="AU2540" s="1942"/>
      <c r="AV2540" s="1942"/>
      <c r="AW2540" s="1942"/>
      <c r="AX2540" s="1942"/>
      <c r="AY2540" s="1942"/>
      <c r="AZ2540" s="1942"/>
      <c r="BA2540" s="1942"/>
      <c r="BB2540" s="575"/>
      <c r="BC2540" s="576"/>
      <c r="BD2540" s="678"/>
      <c r="BE2540" s="585"/>
    </row>
    <row r="2541" spans="1:57" s="51" customFormat="1" ht="15" hidden="1" customHeight="1" outlineLevel="1" x14ac:dyDescent="0.25">
      <c r="A2541" s="1267"/>
      <c r="B2541" s="123"/>
      <c r="C2541" s="328"/>
      <c r="D2541" s="3990"/>
      <c r="E2541" s="4009"/>
      <c r="F2541" s="3010" t="str">
        <f>$E$1765</f>
        <v>ASHP-SEER18_ROF_MF</v>
      </c>
      <c r="G2541" s="2676"/>
      <c r="H2541" s="2676"/>
      <c r="I2541" s="2677"/>
      <c r="J2541" s="3299" t="str">
        <f>$C$1765</f>
        <v>355000_2019_12_</v>
      </c>
      <c r="K2541" s="702">
        <v>9.8000000000000007</v>
      </c>
      <c r="L2541" s="851"/>
      <c r="M2541" s="837" t="s">
        <v>1556</v>
      </c>
      <c r="N2541" s="123"/>
      <c r="O2541" s="228"/>
      <c r="P2541" s="228"/>
      <c r="Q2541" s="228"/>
      <c r="R2541" s="228"/>
      <c r="S2541" s="123"/>
      <c r="T2541" s="123"/>
      <c r="U2541" s="123"/>
      <c r="V2541" s="3990"/>
      <c r="W2541" s="2857">
        <v>9.8000000000000007</v>
      </c>
      <c r="X2541" s="2857">
        <v>9.8000000000000007</v>
      </c>
      <c r="Y2541" s="2857">
        <v>9.8000000000000007</v>
      </c>
      <c r="Z2541" s="2857">
        <v>9.8000000000000007</v>
      </c>
      <c r="AA2541" s="2857">
        <v>9.8000000000000007</v>
      </c>
      <c r="AB2541" s="2857">
        <v>9.8000000000000007</v>
      </c>
      <c r="AC2541" s="702">
        <v>9.8000000000000007</v>
      </c>
      <c r="AD2541" s="2857"/>
      <c r="AE2541" s="2857"/>
      <c r="AF2541" s="2857"/>
      <c r="AG2541" s="2857"/>
      <c r="AH2541" s="1942"/>
      <c r="AI2541" s="1942"/>
      <c r="AJ2541" s="1942"/>
      <c r="AK2541" s="1942"/>
      <c r="AL2541" s="1942"/>
      <c r="AM2541" s="1942"/>
      <c r="AN2541" s="1942"/>
      <c r="AO2541" s="1942"/>
      <c r="AP2541" s="1942"/>
      <c r="AQ2541" s="1942"/>
      <c r="AR2541" s="1942"/>
      <c r="AS2541" s="1942"/>
      <c r="AT2541" s="1942"/>
      <c r="AU2541" s="1942"/>
      <c r="AV2541" s="1942"/>
      <c r="AW2541" s="1942"/>
      <c r="AX2541" s="1942"/>
      <c r="AY2541" s="1942"/>
      <c r="AZ2541" s="1942"/>
      <c r="BA2541" s="1942"/>
      <c r="BB2541" s="575"/>
      <c r="BC2541" s="576"/>
      <c r="BD2541" s="678"/>
      <c r="BE2541" s="585"/>
    </row>
    <row r="2542" spans="1:57" s="51" customFormat="1" ht="15" hidden="1" customHeight="1" outlineLevel="1" x14ac:dyDescent="0.25">
      <c r="A2542" s="1267"/>
      <c r="B2542" s="123"/>
      <c r="C2542" s="328"/>
      <c r="D2542" s="3990"/>
      <c r="E2542" s="4009"/>
      <c r="F2542" s="3010" t="str">
        <f>$E$1767</f>
        <v>ASHP-SEER18_ROF_MF_CompE</v>
      </c>
      <c r="G2542" s="2676"/>
      <c r="H2542" s="2676"/>
      <c r="I2542" s="2677"/>
      <c r="J2542" s="3299" t="str">
        <f>$C$1767</f>
        <v>355001_2021_12_</v>
      </c>
      <c r="K2542" s="702">
        <v>9.8000000000000007</v>
      </c>
      <c r="L2542" s="851"/>
      <c r="M2542" s="837"/>
      <c r="N2542" s="123"/>
      <c r="O2542" s="228"/>
      <c r="P2542" s="228"/>
      <c r="Q2542" s="228"/>
      <c r="R2542" s="228"/>
      <c r="S2542" s="123"/>
      <c r="T2542" s="123"/>
      <c r="U2542" s="123"/>
      <c r="V2542" s="3990"/>
      <c r="W2542" s="2857"/>
      <c r="X2542" s="2857"/>
      <c r="Y2542" s="3155">
        <v>9.8000000000000007</v>
      </c>
      <c r="Z2542" s="2857">
        <v>9.8000000000000007</v>
      </c>
      <c r="AA2542" s="2857">
        <v>9.8000000000000007</v>
      </c>
      <c r="AB2542" s="2857">
        <v>9.8000000000000007</v>
      </c>
      <c r="AC2542" s="702">
        <v>9.8000000000000007</v>
      </c>
      <c r="AD2542" s="2857"/>
      <c r="AE2542" s="2857"/>
      <c r="AF2542" s="2857"/>
      <c r="AG2542" s="2857"/>
      <c r="AH2542" s="1942"/>
      <c r="AI2542" s="1942"/>
      <c r="AJ2542" s="1942"/>
      <c r="AK2542" s="1942"/>
      <c r="AL2542" s="1942"/>
      <c r="AM2542" s="1942"/>
      <c r="AN2542" s="1942"/>
      <c r="AO2542" s="1942"/>
      <c r="AP2542" s="1942"/>
      <c r="AQ2542" s="1942"/>
      <c r="AR2542" s="1942"/>
      <c r="AS2542" s="1942"/>
      <c r="AT2542" s="1942"/>
      <c r="AU2542" s="1942"/>
      <c r="AV2542" s="1942"/>
      <c r="AW2542" s="1942"/>
      <c r="AX2542" s="1942"/>
      <c r="AY2542" s="1942"/>
      <c r="AZ2542" s="1942"/>
      <c r="BA2542" s="1942"/>
      <c r="BB2542" s="575"/>
      <c r="BC2542" s="576"/>
      <c r="BD2542" s="678"/>
      <c r="BE2542" s="585"/>
    </row>
    <row r="2543" spans="1:57" s="51" customFormat="1" ht="15" hidden="1" customHeight="1" outlineLevel="1" x14ac:dyDescent="0.25">
      <c r="A2543" s="1267"/>
      <c r="B2543" s="123"/>
      <c r="C2543" s="328"/>
      <c r="D2543" s="3990"/>
      <c r="E2543" s="4009"/>
      <c r="F2543" s="3010" t="str">
        <f>$E$1769</f>
        <v>ASHP-SEER19_ROF_MF</v>
      </c>
      <c r="G2543" s="2676"/>
      <c r="H2543" s="2676"/>
      <c r="I2543" s="2677"/>
      <c r="J2543" s="3299" t="str">
        <f>$C$1769</f>
        <v>355050_2019_12_</v>
      </c>
      <c r="K2543" s="702">
        <v>9.8000000000000007</v>
      </c>
      <c r="L2543" s="851"/>
      <c r="M2543" s="837" t="s">
        <v>1556</v>
      </c>
      <c r="N2543" s="123"/>
      <c r="O2543" s="228"/>
      <c r="P2543" s="228"/>
      <c r="Q2543" s="228"/>
      <c r="R2543" s="228"/>
      <c r="S2543" s="123"/>
      <c r="T2543" s="123"/>
      <c r="U2543" s="123"/>
      <c r="V2543" s="3990"/>
      <c r="W2543" s="2857">
        <v>9.8000000000000007</v>
      </c>
      <c r="X2543" s="2857">
        <v>9.8000000000000007</v>
      </c>
      <c r="Y2543" s="2857">
        <v>9.8000000000000007</v>
      </c>
      <c r="Z2543" s="2857">
        <v>9.8000000000000007</v>
      </c>
      <c r="AA2543" s="2857">
        <v>9.8000000000000007</v>
      </c>
      <c r="AB2543" s="2857">
        <v>9.8000000000000007</v>
      </c>
      <c r="AC2543" s="702">
        <v>9.8000000000000007</v>
      </c>
      <c r="AD2543" s="2857"/>
      <c r="AE2543" s="2857"/>
      <c r="AF2543" s="2857"/>
      <c r="AG2543" s="2857"/>
      <c r="AH2543" s="1942"/>
      <c r="AI2543" s="1942"/>
      <c r="AJ2543" s="1942"/>
      <c r="AK2543" s="1942"/>
      <c r="AL2543" s="1942"/>
      <c r="AM2543" s="1942"/>
      <c r="AN2543" s="1942"/>
      <c r="AO2543" s="1942"/>
      <c r="AP2543" s="1942"/>
      <c r="AQ2543" s="1942"/>
      <c r="AR2543" s="1942"/>
      <c r="AS2543" s="1942"/>
      <c r="AT2543" s="1942"/>
      <c r="AU2543" s="1942"/>
      <c r="AV2543" s="1942"/>
      <c r="AW2543" s="1942"/>
      <c r="AX2543" s="1942"/>
      <c r="AY2543" s="1942"/>
      <c r="AZ2543" s="1942"/>
      <c r="BA2543" s="1942"/>
      <c r="BB2543" s="575"/>
      <c r="BC2543" s="576"/>
      <c r="BD2543" s="678"/>
      <c r="BE2543" s="585"/>
    </row>
    <row r="2544" spans="1:57" s="51" customFormat="1" ht="15" hidden="1" customHeight="1" outlineLevel="1" x14ac:dyDescent="0.25">
      <c r="A2544" s="1267"/>
      <c r="B2544" s="123"/>
      <c r="C2544" s="328"/>
      <c r="D2544" s="3990"/>
      <c r="E2544" s="4009"/>
      <c r="F2544" s="3010" t="str">
        <f>$E$1771</f>
        <v>ASHP-SEER19_ROF_MF_CompE</v>
      </c>
      <c r="G2544" s="2676"/>
      <c r="H2544" s="2676"/>
      <c r="I2544" s="2677"/>
      <c r="J2544" s="3299" t="str">
        <f>$C$1771</f>
        <v>355051_2019_12_</v>
      </c>
      <c r="K2544" s="702">
        <v>9.8000000000000007</v>
      </c>
      <c r="L2544" s="851"/>
      <c r="M2544" s="837"/>
      <c r="N2544" s="123"/>
      <c r="O2544" s="228"/>
      <c r="P2544" s="228"/>
      <c r="Q2544" s="228"/>
      <c r="R2544" s="228"/>
      <c r="S2544" s="123"/>
      <c r="T2544" s="123"/>
      <c r="U2544" s="123"/>
      <c r="V2544" s="3990"/>
      <c r="W2544" s="2857"/>
      <c r="X2544" s="2857"/>
      <c r="Y2544" s="3155">
        <v>9.8000000000000007</v>
      </c>
      <c r="Z2544" s="2857">
        <v>9.8000000000000007</v>
      </c>
      <c r="AA2544" s="2857">
        <v>9.8000000000000007</v>
      </c>
      <c r="AB2544" s="2857">
        <v>9.8000000000000007</v>
      </c>
      <c r="AC2544" s="702">
        <v>9.8000000000000007</v>
      </c>
      <c r="AD2544" s="2857"/>
      <c r="AE2544" s="2857"/>
      <c r="AF2544" s="2857"/>
      <c r="AG2544" s="2857"/>
      <c r="AH2544" s="1942"/>
      <c r="AI2544" s="1942"/>
      <c r="AJ2544" s="1942"/>
      <c r="AK2544" s="1942"/>
      <c r="AL2544" s="1942"/>
      <c r="AM2544" s="1942"/>
      <c r="AN2544" s="1942"/>
      <c r="AO2544" s="1942"/>
      <c r="AP2544" s="1942"/>
      <c r="AQ2544" s="1942"/>
      <c r="AR2544" s="1942"/>
      <c r="AS2544" s="1942"/>
      <c r="AT2544" s="1942"/>
      <c r="AU2544" s="1942"/>
      <c r="AV2544" s="1942"/>
      <c r="AW2544" s="1942"/>
      <c r="AX2544" s="1942"/>
      <c r="AY2544" s="1942"/>
      <c r="AZ2544" s="1942"/>
      <c r="BA2544" s="1942"/>
      <c r="BB2544" s="575"/>
      <c r="BC2544" s="576"/>
      <c r="BD2544" s="678"/>
      <c r="BE2544" s="585"/>
    </row>
    <row r="2545" spans="1:57" s="51" customFormat="1" ht="15" hidden="1" customHeight="1" outlineLevel="1" x14ac:dyDescent="0.25">
      <c r="A2545" s="2060"/>
      <c r="B2545" s="123"/>
      <c r="C2545" s="328"/>
      <c r="D2545" s="3990"/>
      <c r="E2545" s="4009"/>
      <c r="F2545" s="3010" t="str">
        <f>$E$1773</f>
        <v>ASHP-SEER20_ROF_MF</v>
      </c>
      <c r="G2545" s="2676"/>
      <c r="H2545" s="2676"/>
      <c r="I2545" s="2677"/>
      <c r="J2545" s="3299" t="str">
        <f>$C$1773</f>
        <v>355100_2019_12_</v>
      </c>
      <c r="K2545" s="702">
        <v>9.8000000000000007</v>
      </c>
      <c r="L2545" s="851"/>
      <c r="M2545" s="837" t="s">
        <v>1556</v>
      </c>
      <c r="N2545" s="123"/>
      <c r="O2545" s="228"/>
      <c r="P2545" s="844"/>
      <c r="Q2545" s="845"/>
      <c r="R2545" s="844"/>
      <c r="S2545" s="832"/>
      <c r="T2545" s="3082"/>
      <c r="U2545" s="123"/>
      <c r="V2545" s="3990"/>
      <c r="W2545" s="2857">
        <v>9.8000000000000007</v>
      </c>
      <c r="X2545" s="2857">
        <v>9.8000000000000007</v>
      </c>
      <c r="Y2545" s="2857">
        <v>9.8000000000000007</v>
      </c>
      <c r="Z2545" s="2857">
        <v>9.8000000000000007</v>
      </c>
      <c r="AA2545" s="2857">
        <v>9.8000000000000007</v>
      </c>
      <c r="AB2545" s="2857">
        <v>9.8000000000000007</v>
      </c>
      <c r="AC2545" s="702">
        <v>9.8000000000000007</v>
      </c>
      <c r="AD2545" s="2857"/>
      <c r="AE2545" s="2857"/>
      <c r="AF2545" s="2857"/>
      <c r="AG2545" s="2857"/>
      <c r="AH2545" s="1942"/>
      <c r="AI2545" s="1942"/>
      <c r="AJ2545" s="1942"/>
      <c r="AK2545" s="1942"/>
      <c r="AL2545" s="1942"/>
      <c r="AM2545" s="1942"/>
      <c r="AN2545" s="1942"/>
      <c r="AO2545" s="1942"/>
      <c r="AP2545" s="1942"/>
      <c r="AQ2545" s="1942"/>
      <c r="AR2545" s="1942"/>
      <c r="AS2545" s="1942"/>
      <c r="AT2545" s="1942"/>
      <c r="AU2545" s="1942"/>
      <c r="AV2545" s="1942"/>
      <c r="AW2545" s="1942"/>
      <c r="AX2545" s="1942"/>
      <c r="AY2545" s="1942"/>
      <c r="AZ2545" s="1942"/>
      <c r="BA2545" s="1942"/>
      <c r="BB2545" s="575"/>
      <c r="BC2545" s="576"/>
      <c r="BD2545" s="678"/>
      <c r="BE2545" s="585"/>
    </row>
    <row r="2546" spans="1:57" s="51" customFormat="1" ht="15" hidden="1" customHeight="1" outlineLevel="1" x14ac:dyDescent="0.25">
      <c r="A2546" s="2060"/>
      <c r="B2546" s="123"/>
      <c r="C2546" s="328"/>
      <c r="D2546" s="3990"/>
      <c r="E2546" s="4009"/>
      <c r="F2546" s="3010" t="str">
        <f>$E$1775</f>
        <v>ASHP-SEER20_ROF_MF_CompE</v>
      </c>
      <c r="G2546" s="2676"/>
      <c r="H2546" s="2676"/>
      <c r="I2546" s="2677"/>
      <c r="J2546" s="3299" t="str">
        <f>$C$1775</f>
        <v>355101_2019_12_</v>
      </c>
      <c r="K2546" s="702">
        <v>9.8000000000000007</v>
      </c>
      <c r="L2546" s="852"/>
      <c r="M2546" s="846"/>
      <c r="N2546" s="123"/>
      <c r="O2546" s="228"/>
      <c r="P2546" s="844"/>
      <c r="Q2546" s="845"/>
      <c r="R2546" s="844"/>
      <c r="S2546" s="832"/>
      <c r="T2546" s="3082"/>
      <c r="U2546" s="123"/>
      <c r="V2546" s="3990"/>
      <c r="W2546" s="693"/>
      <c r="X2546" s="693"/>
      <c r="Y2546" s="3155">
        <v>9.8000000000000007</v>
      </c>
      <c r="Z2546" s="2857">
        <v>9.8000000000000007</v>
      </c>
      <c r="AA2546" s="2857">
        <v>9.8000000000000007</v>
      </c>
      <c r="AB2546" s="2857">
        <v>9.8000000000000007</v>
      </c>
      <c r="AC2546" s="702">
        <v>9.8000000000000007</v>
      </c>
      <c r="AD2546" s="693"/>
      <c r="AE2546" s="693"/>
      <c r="AF2546" s="693"/>
      <c r="AG2546" s="693"/>
      <c r="AH2546" s="1942"/>
      <c r="AI2546" s="1942"/>
      <c r="AJ2546" s="1942"/>
      <c r="AK2546" s="1942"/>
      <c r="AL2546" s="1942"/>
      <c r="AM2546" s="1942"/>
      <c r="AN2546" s="1942"/>
      <c r="AO2546" s="1942"/>
      <c r="AP2546" s="1942"/>
      <c r="AQ2546" s="1942"/>
      <c r="AR2546" s="1942"/>
      <c r="AS2546" s="1942"/>
      <c r="AT2546" s="1942"/>
      <c r="AU2546" s="1942"/>
      <c r="AV2546" s="1942"/>
      <c r="AW2546" s="1942"/>
      <c r="AX2546" s="1942"/>
      <c r="AY2546" s="1942"/>
      <c r="AZ2546" s="1942"/>
      <c r="BA2546" s="1942"/>
      <c r="BB2546" s="575"/>
      <c r="BC2546" s="576"/>
      <c r="BD2546" s="678"/>
      <c r="BE2546" s="585"/>
    </row>
    <row r="2547" spans="1:57" s="51" customFormat="1" ht="15.75" hidden="1" customHeight="1" outlineLevel="1" x14ac:dyDescent="0.25">
      <c r="A2547" s="2060"/>
      <c r="B2547" s="123"/>
      <c r="C2547" s="328"/>
      <c r="D2547" s="3990"/>
      <c r="E2547" s="4009"/>
      <c r="F2547" s="3010" t="str">
        <f>$E$1777</f>
        <v>ASHP-SEER21_ROF_MF</v>
      </c>
      <c r="G2547" s="2676"/>
      <c r="H2547" s="2676"/>
      <c r="I2547" s="2677"/>
      <c r="J2547" s="3299" t="str">
        <f>$C$1777</f>
        <v>355150_2019_12_</v>
      </c>
      <c r="K2547" s="702">
        <v>9.8000000000000007</v>
      </c>
      <c r="L2547" s="852"/>
      <c r="M2547" s="846" t="s">
        <v>1556</v>
      </c>
      <c r="N2547" s="123"/>
      <c r="O2547" s="228"/>
      <c r="P2547" s="844"/>
      <c r="Q2547" s="845"/>
      <c r="R2547" s="844"/>
      <c r="S2547" s="832"/>
      <c r="T2547" s="3082"/>
      <c r="U2547" s="123"/>
      <c r="V2547" s="3990"/>
      <c r="W2547" s="2857">
        <v>9.8000000000000007</v>
      </c>
      <c r="X2547" s="2857">
        <v>9.8000000000000007</v>
      </c>
      <c r="Y2547" s="2857">
        <v>9.8000000000000007</v>
      </c>
      <c r="Z2547" s="2857">
        <v>9.8000000000000007</v>
      </c>
      <c r="AA2547" s="2857">
        <v>9.8000000000000007</v>
      </c>
      <c r="AB2547" s="2857">
        <v>9.8000000000000007</v>
      </c>
      <c r="AC2547" s="702">
        <v>9.8000000000000007</v>
      </c>
      <c r="AD2547" s="2857"/>
      <c r="AE2547" s="2857"/>
      <c r="AF2547" s="2857"/>
      <c r="AG2547" s="2857"/>
      <c r="AH2547" s="1942"/>
      <c r="AI2547" s="1942"/>
      <c r="AJ2547" s="1942"/>
      <c r="AK2547" s="1942"/>
      <c r="AL2547" s="1942"/>
      <c r="AM2547" s="1942"/>
      <c r="AN2547" s="1942"/>
      <c r="AO2547" s="1942"/>
      <c r="AP2547" s="1942"/>
      <c r="AQ2547" s="1942"/>
      <c r="AR2547" s="1942"/>
      <c r="AS2547" s="1942"/>
      <c r="AT2547" s="1942"/>
      <c r="AU2547" s="1942"/>
      <c r="AV2547" s="1942"/>
      <c r="AW2547" s="1942"/>
      <c r="AX2547" s="1942"/>
      <c r="AY2547" s="1942"/>
      <c r="AZ2547" s="1942"/>
      <c r="BA2547" s="1942"/>
      <c r="BB2547" s="575"/>
      <c r="BC2547" s="576"/>
      <c r="BD2547" s="678"/>
      <c r="BE2547" s="585"/>
    </row>
    <row r="2548" spans="1:57" s="51" customFormat="1" ht="15.75" hidden="1" customHeight="1" outlineLevel="1" thickBot="1" x14ac:dyDescent="0.3">
      <c r="A2548" s="2060"/>
      <c r="B2548" s="123"/>
      <c r="C2548" s="328"/>
      <c r="D2548" s="4035"/>
      <c r="E2548" s="4036"/>
      <c r="F2548" s="3012" t="str">
        <f>$E$1779</f>
        <v>ASHP-SEER21_ROF_MF_CompE</v>
      </c>
      <c r="G2548" s="847"/>
      <c r="H2548" s="847"/>
      <c r="I2548" s="848"/>
      <c r="J2548" s="2607" t="str">
        <f>$C$1779</f>
        <v>355151_2019_12_</v>
      </c>
      <c r="K2548" s="2727">
        <v>9.8000000000000007</v>
      </c>
      <c r="L2548" s="854"/>
      <c r="M2548" s="856"/>
      <c r="N2548" s="123"/>
      <c r="O2548" s="228"/>
      <c r="P2548" s="844"/>
      <c r="Q2548" s="845"/>
      <c r="R2548" s="844"/>
      <c r="S2548" s="832"/>
      <c r="T2548" s="3082"/>
      <c r="U2548" s="123"/>
      <c r="V2548" s="3147"/>
      <c r="W2548" s="695"/>
      <c r="X2548" s="695"/>
      <c r="Y2548" s="853">
        <v>9.8000000000000007</v>
      </c>
      <c r="Z2548" s="855">
        <v>9.8000000000000007</v>
      </c>
      <c r="AA2548" s="855">
        <v>9.8000000000000007</v>
      </c>
      <c r="AB2548" s="855">
        <v>9.8000000000000007</v>
      </c>
      <c r="AC2548" s="2727">
        <v>9.8000000000000007</v>
      </c>
      <c r="AD2548" s="695"/>
      <c r="AE2548" s="695"/>
      <c r="AF2548" s="695"/>
      <c r="AG2548" s="695"/>
      <c r="AH2548" s="1942"/>
      <c r="AI2548" s="1942"/>
      <c r="AJ2548" s="1942"/>
      <c r="AK2548" s="1942"/>
      <c r="AL2548" s="1942"/>
      <c r="AM2548" s="1942"/>
      <c r="AN2548" s="1942"/>
      <c r="AO2548" s="1942"/>
      <c r="AP2548" s="1942"/>
      <c r="AQ2548" s="1942"/>
      <c r="AR2548" s="1942"/>
      <c r="AS2548" s="1942"/>
      <c r="AT2548" s="1942"/>
      <c r="AU2548" s="1942"/>
      <c r="AV2548" s="1942"/>
      <c r="AW2548" s="1942"/>
      <c r="AX2548" s="1942"/>
      <c r="AY2548" s="1942"/>
      <c r="AZ2548" s="1942"/>
      <c r="BA2548" s="1942"/>
      <c r="BB2548" s="575"/>
      <c r="BC2548" s="576"/>
      <c r="BD2548" s="678"/>
      <c r="BE2548" s="585"/>
    </row>
    <row r="2549" spans="1:57" s="51" customFormat="1" ht="15" hidden="1" customHeight="1" outlineLevel="1" x14ac:dyDescent="0.25">
      <c r="A2549" s="2060"/>
      <c r="B2549" s="123"/>
      <c r="C2549" s="328"/>
      <c r="D2549" s="3989" t="s">
        <v>1159</v>
      </c>
      <c r="E2549" s="4008" t="s">
        <v>1562</v>
      </c>
      <c r="F2549" s="3009" t="str">
        <f>$E$1407</f>
        <v>ASHP-SEER15-Replace_CAC_ElectricHeat_ER1_SF</v>
      </c>
      <c r="G2549" s="2675"/>
      <c r="H2549" s="2675"/>
      <c r="I2549" s="2675"/>
      <c r="J2549" s="3297" t="str">
        <f>$C$1407</f>
        <v>352300_2021_12_</v>
      </c>
      <c r="K2549" s="2260">
        <v>34555.932203389835</v>
      </c>
      <c r="L2549" s="2725">
        <f>K2549/12000</f>
        <v>2.8796610169491528</v>
      </c>
      <c r="M2549" s="2722" t="s">
        <v>1550</v>
      </c>
      <c r="N2549" s="123"/>
      <c r="O2549" s="228"/>
      <c r="P2549" s="844"/>
      <c r="Q2549" s="844"/>
      <c r="R2549" s="844"/>
      <c r="S2549" s="832"/>
      <c r="T2549" s="3082"/>
      <c r="U2549" s="123"/>
      <c r="V2549" s="3989" t="s">
        <v>1159</v>
      </c>
      <c r="W2549" s="2861">
        <v>33600</v>
      </c>
      <c r="X2549" s="3157">
        <f>3.06*12000</f>
        <v>36720</v>
      </c>
      <c r="Y2549" s="3157">
        <v>34800</v>
      </c>
      <c r="Z2549" s="2861">
        <v>34800</v>
      </c>
      <c r="AA2549" s="2861">
        <v>34800</v>
      </c>
      <c r="AB2549" s="2260">
        <v>34457.142857142855</v>
      </c>
      <c r="AC2549" s="2260">
        <v>34555.932203389835</v>
      </c>
      <c r="AD2549" s="2861"/>
      <c r="AE2549" s="2861"/>
      <c r="AF2549" s="2861"/>
      <c r="AG2549" s="2861"/>
      <c r="AH2549" s="1942"/>
      <c r="AI2549" s="1942"/>
      <c r="AJ2549" s="1942"/>
      <c r="AK2549" s="1942"/>
      <c r="AL2549" s="1942"/>
      <c r="AM2549" s="1942"/>
      <c r="AN2549" s="1942"/>
      <c r="AO2549" s="1942"/>
      <c r="AP2549" s="1942"/>
      <c r="AQ2549" s="1942"/>
      <c r="AR2549" s="1942"/>
      <c r="AS2549" s="1942"/>
      <c r="AT2549" s="1942"/>
      <c r="AU2549" s="1942"/>
      <c r="AV2549" s="1942"/>
      <c r="AW2549" s="1942"/>
      <c r="AX2549" s="1942"/>
      <c r="AY2549" s="1942"/>
      <c r="AZ2549" s="1942"/>
      <c r="BA2549" s="1942"/>
      <c r="BB2549" s="575"/>
      <c r="BC2549" s="576"/>
      <c r="BD2549" s="678"/>
      <c r="BE2549" s="585"/>
    </row>
    <row r="2550" spans="1:57" s="51" customFormat="1" ht="15" hidden="1" customHeight="1" outlineLevel="1" x14ac:dyDescent="0.25">
      <c r="A2550" s="2060"/>
      <c r="B2550" s="123"/>
      <c r="C2550" s="328"/>
      <c r="D2550" s="3990"/>
      <c r="E2550" s="4009"/>
      <c r="F2550" s="3010" t="str">
        <f>$E$1409</f>
        <v>ASHP-SEER15-Replace_CAC_ElectricHeat_ER2_SF</v>
      </c>
      <c r="G2550" s="2676"/>
      <c r="H2550" s="2676"/>
      <c r="I2550" s="2677"/>
      <c r="J2550" s="3298" t="str">
        <f>$C$1409</f>
        <v>352300_2021_12_</v>
      </c>
      <c r="K2550" s="2225">
        <f>K2549</f>
        <v>34555.932203389835</v>
      </c>
      <c r="L2550" s="2726">
        <f>K2550/12000</f>
        <v>2.8796610169491528</v>
      </c>
      <c r="M2550" s="2723" t="s">
        <v>1551</v>
      </c>
      <c r="N2550" s="123"/>
      <c r="O2550" s="228"/>
      <c r="P2550" s="844"/>
      <c r="Q2550" s="844"/>
      <c r="R2550" s="844"/>
      <c r="S2550" s="832"/>
      <c r="T2550" s="3082"/>
      <c r="U2550" s="123"/>
      <c r="V2550" s="3990"/>
      <c r="W2550" s="2857">
        <v>33600</v>
      </c>
      <c r="X2550" s="3155">
        <f t="shared" ref="X2550:X2565" si="201">3.06*12000</f>
        <v>36720</v>
      </c>
      <c r="Y2550" s="3155">
        <v>34800</v>
      </c>
      <c r="Z2550" s="2857">
        <v>34800</v>
      </c>
      <c r="AA2550" s="2857">
        <v>34800</v>
      </c>
      <c r="AB2550" s="2225">
        <v>34457.142857142855</v>
      </c>
      <c r="AC2550" s="2225">
        <f>AC2549</f>
        <v>34555.932203389835</v>
      </c>
      <c r="AD2550" s="2857"/>
      <c r="AE2550" s="2857"/>
      <c r="AF2550" s="2857"/>
      <c r="AG2550" s="2857"/>
      <c r="AH2550" s="1942"/>
      <c r="AI2550" s="1942"/>
      <c r="AJ2550" s="1942"/>
      <c r="AK2550" s="1942"/>
      <c r="AL2550" s="1942"/>
      <c r="AM2550" s="1942"/>
      <c r="AN2550" s="1942"/>
      <c r="AO2550" s="1942"/>
      <c r="AP2550" s="1942"/>
      <c r="AQ2550" s="1942"/>
      <c r="AR2550" s="1942"/>
      <c r="AS2550" s="1942"/>
      <c r="AT2550" s="1942"/>
      <c r="AU2550" s="1942"/>
      <c r="AV2550" s="1942"/>
      <c r="AW2550" s="1942"/>
      <c r="AX2550" s="1942"/>
      <c r="AY2550" s="1942"/>
      <c r="AZ2550" s="1942"/>
      <c r="BA2550" s="1942"/>
      <c r="BB2550" s="575"/>
      <c r="BC2550" s="576"/>
      <c r="BD2550" s="678"/>
      <c r="BE2550" s="585"/>
    </row>
    <row r="2551" spans="1:57" s="1942" customFormat="1" ht="15" hidden="1" customHeight="1" outlineLevel="1" x14ac:dyDescent="0.25">
      <c r="A2551" s="2060"/>
      <c r="B2551" s="123"/>
      <c r="C2551" s="328"/>
      <c r="D2551" s="3990"/>
      <c r="E2551" s="4009"/>
      <c r="F2551" s="3010" t="str">
        <f>$E$1411</f>
        <v>ASHP-SEER15-Replace_CAC_NonElectricHeat_ER1_SF</v>
      </c>
      <c r="G2551" s="2676"/>
      <c r="H2551" s="2676"/>
      <c r="I2551" s="2677"/>
      <c r="J2551" s="3298" t="str">
        <f>$C$1411</f>
        <v>352310_2021_12_</v>
      </c>
      <c r="K2551" s="2276">
        <v>34555.932203389835</v>
      </c>
      <c r="L2551" s="2726"/>
      <c r="M2551" s="2723" t="s">
        <v>1125</v>
      </c>
      <c r="N2551" s="123"/>
      <c r="O2551" s="228"/>
      <c r="P2551" s="844"/>
      <c r="Q2551" s="844"/>
      <c r="R2551" s="844"/>
      <c r="S2551" s="832"/>
      <c r="T2551" s="3082"/>
      <c r="U2551" s="123"/>
      <c r="V2551" s="3990"/>
      <c r="W2551" s="2857"/>
      <c r="X2551" s="3155"/>
      <c r="Y2551" s="3155"/>
      <c r="Z2551" s="2857"/>
      <c r="AA2551" s="2857"/>
      <c r="AB2551" s="2225"/>
      <c r="AC2551" s="2276">
        <v>34555.932203389835</v>
      </c>
      <c r="AD2551" s="2857"/>
      <c r="AE2551" s="2857"/>
      <c r="AF2551" s="2857"/>
      <c r="AG2551" s="2857"/>
      <c r="BB2551" s="575"/>
      <c r="BC2551" s="576"/>
      <c r="BD2551" s="678"/>
      <c r="BE2551" s="585"/>
    </row>
    <row r="2552" spans="1:57" s="1942" customFormat="1" ht="15" hidden="1" customHeight="1" outlineLevel="1" x14ac:dyDescent="0.25">
      <c r="A2552" s="2060"/>
      <c r="B2552" s="123"/>
      <c r="C2552" s="328"/>
      <c r="D2552" s="3990"/>
      <c r="E2552" s="4009"/>
      <c r="F2552" s="3010" t="str">
        <f>$E$1413</f>
        <v>ASHP-SEER15-Replace_CAC_NonElectricHeat_ER2_SF</v>
      </c>
      <c r="G2552" s="2676"/>
      <c r="H2552" s="2676"/>
      <c r="I2552" s="2677"/>
      <c r="J2552" s="3298" t="str">
        <f>$C$1413</f>
        <v>352310_2021_12_</v>
      </c>
      <c r="K2552" s="2225">
        <f>K2551</f>
        <v>34555.932203389835</v>
      </c>
      <c r="L2552" s="2726"/>
      <c r="M2552" s="2723" t="s">
        <v>1125</v>
      </c>
      <c r="N2552" s="123"/>
      <c r="O2552" s="228"/>
      <c r="P2552" s="844"/>
      <c r="Q2552" s="844"/>
      <c r="R2552" s="844"/>
      <c r="S2552" s="832"/>
      <c r="T2552" s="3082"/>
      <c r="U2552" s="123"/>
      <c r="V2552" s="3990"/>
      <c r="W2552" s="2857"/>
      <c r="X2552" s="3155"/>
      <c r="Y2552" s="3155"/>
      <c r="Z2552" s="2857"/>
      <c r="AA2552" s="2857"/>
      <c r="AB2552" s="2225"/>
      <c r="AC2552" s="2225">
        <f>AC2551</f>
        <v>34555.932203389835</v>
      </c>
      <c r="AD2552" s="2857"/>
      <c r="AE2552" s="2857"/>
      <c r="AF2552" s="2857"/>
      <c r="AG2552" s="2857"/>
      <c r="BB2552" s="575"/>
      <c r="BC2552" s="576"/>
      <c r="BD2552" s="678"/>
      <c r="BE2552" s="585"/>
    </row>
    <row r="2553" spans="1:57" s="51" customFormat="1" ht="15" hidden="1" customHeight="1" outlineLevel="1" x14ac:dyDescent="0.25">
      <c r="A2553" s="2060"/>
      <c r="B2553" s="123"/>
      <c r="C2553" s="328"/>
      <c r="D2553" s="3990"/>
      <c r="E2553" s="4009"/>
      <c r="F2553" s="3010" t="str">
        <f>$E$1415</f>
        <v>ASHP-SEER15_ER1_SF</v>
      </c>
      <c r="G2553" s="2676"/>
      <c r="H2553" s="2676"/>
      <c r="I2553" s="2677"/>
      <c r="J2553" s="3298" t="str">
        <f>$C$1415</f>
        <v>352350_2021_12_</v>
      </c>
      <c r="K2553" s="2225">
        <v>37480.519480519484</v>
      </c>
      <c r="L2553" s="2726">
        <f t="shared" ref="L2553:L2649" si="202">K2553/12000</f>
        <v>3.1233766233766236</v>
      </c>
      <c r="M2553" s="2723" t="s">
        <v>1551</v>
      </c>
      <c r="N2553" s="123"/>
      <c r="O2553" s="228"/>
      <c r="P2553" s="844"/>
      <c r="Q2553" s="844"/>
      <c r="R2553" s="844"/>
      <c r="S2553" s="832"/>
      <c r="T2553" s="3082"/>
      <c r="U2553" s="123"/>
      <c r="V2553" s="3990"/>
      <c r="W2553" s="2857">
        <v>37200</v>
      </c>
      <c r="X2553" s="3155">
        <f t="shared" si="201"/>
        <v>36720</v>
      </c>
      <c r="Y2553" s="3155">
        <v>35160</v>
      </c>
      <c r="Z2553" s="2857">
        <v>35160</v>
      </c>
      <c r="AA2553" s="2857">
        <v>35160</v>
      </c>
      <c r="AB2553" s="2225">
        <v>37222.222222222219</v>
      </c>
      <c r="AC2553" s="2225">
        <v>37480.519480519484</v>
      </c>
      <c r="AD2553" s="2857"/>
      <c r="AE2553" s="2857"/>
      <c r="AF2553" s="2857"/>
      <c r="AG2553" s="2857"/>
      <c r="AH2553" s="1942"/>
      <c r="AI2553" s="1942"/>
      <c r="AJ2553" s="1942"/>
      <c r="AK2553" s="1942"/>
      <c r="AL2553" s="1942"/>
      <c r="AM2553" s="1942"/>
      <c r="AN2553" s="1942"/>
      <c r="AO2553" s="1942"/>
      <c r="AP2553" s="1942"/>
      <c r="AQ2553" s="1942"/>
      <c r="AR2553" s="1942"/>
      <c r="AS2553" s="1942"/>
      <c r="AT2553" s="1942"/>
      <c r="AU2553" s="1942"/>
      <c r="AV2553" s="1942"/>
      <c r="AW2553" s="1942"/>
      <c r="AX2553" s="1942"/>
      <c r="AY2553" s="1942"/>
      <c r="AZ2553" s="1942"/>
      <c r="BA2553" s="1942"/>
      <c r="BB2553" s="575"/>
      <c r="BC2553" s="576"/>
      <c r="BD2553" s="678"/>
      <c r="BE2553" s="585"/>
    </row>
    <row r="2554" spans="1:57" s="51" customFormat="1" ht="15" hidden="1" customHeight="1" outlineLevel="1" x14ac:dyDescent="0.25">
      <c r="A2554" s="2060"/>
      <c r="B2554" s="123"/>
      <c r="C2554" s="328"/>
      <c r="D2554" s="3990"/>
      <c r="E2554" s="4009"/>
      <c r="F2554" s="3010" t="str">
        <f>$E$1417</f>
        <v>ASHP-SEER15_ER2_SF</v>
      </c>
      <c r="G2554" s="2676"/>
      <c r="H2554" s="2676"/>
      <c r="I2554" s="2677"/>
      <c r="J2554" s="3298" t="str">
        <f>$C$1417</f>
        <v>352350_2021_12_</v>
      </c>
      <c r="K2554" s="2225">
        <f>K2553</f>
        <v>37480.519480519484</v>
      </c>
      <c r="L2554" s="2726">
        <f t="shared" si="202"/>
        <v>3.1233766233766236</v>
      </c>
      <c r="M2554" s="2723" t="s">
        <v>1551</v>
      </c>
      <c r="N2554" s="123"/>
      <c r="O2554" s="228"/>
      <c r="P2554" s="844"/>
      <c r="Q2554" s="844"/>
      <c r="R2554" s="844"/>
      <c r="S2554" s="832"/>
      <c r="T2554" s="3082"/>
      <c r="U2554" s="123"/>
      <c r="V2554" s="3990"/>
      <c r="W2554" s="2857">
        <v>37200</v>
      </c>
      <c r="X2554" s="3155">
        <f t="shared" si="201"/>
        <v>36720</v>
      </c>
      <c r="Y2554" s="3155">
        <v>35160</v>
      </c>
      <c r="Z2554" s="2857">
        <v>35160</v>
      </c>
      <c r="AA2554" s="2857">
        <v>35160</v>
      </c>
      <c r="AB2554" s="2225">
        <v>37222.222222222219</v>
      </c>
      <c r="AC2554" s="2225">
        <f>AC2553</f>
        <v>37480.519480519484</v>
      </c>
      <c r="AD2554" s="2857"/>
      <c r="AE2554" s="2857"/>
      <c r="AF2554" s="2857"/>
      <c r="AG2554" s="2857"/>
      <c r="AH2554" s="1942"/>
      <c r="AI2554" s="1942"/>
      <c r="AJ2554" s="1942"/>
      <c r="AK2554" s="1942"/>
      <c r="AL2554" s="1942"/>
      <c r="AM2554" s="1942"/>
      <c r="AN2554" s="1942"/>
      <c r="AO2554" s="1942"/>
      <c r="AP2554" s="1942"/>
      <c r="AQ2554" s="1942"/>
      <c r="AR2554" s="1942"/>
      <c r="AS2554" s="1942"/>
      <c r="AT2554" s="1942"/>
      <c r="AU2554" s="1942"/>
      <c r="AV2554" s="1942"/>
      <c r="AW2554" s="1942"/>
      <c r="AX2554" s="1942"/>
      <c r="AY2554" s="1942"/>
      <c r="AZ2554" s="1942"/>
      <c r="BA2554" s="1942"/>
      <c r="BB2554" s="575"/>
      <c r="BC2554" s="576"/>
      <c r="BD2554" s="678"/>
      <c r="BE2554" s="585"/>
    </row>
    <row r="2555" spans="1:57" s="51" customFormat="1" ht="15" hidden="1" customHeight="1" outlineLevel="1" x14ac:dyDescent="0.25">
      <c r="A2555" s="2060"/>
      <c r="B2555" s="123"/>
      <c r="C2555" s="328"/>
      <c r="D2555" s="3990"/>
      <c r="E2555" s="4009"/>
      <c r="F2555" s="3010" t="str">
        <f>$E$1419</f>
        <v>ASHP-SEER15-Replace_CAC_ElectricHeat_ROF_SF</v>
      </c>
      <c r="G2555" s="2676"/>
      <c r="H2555" s="2676"/>
      <c r="I2555" s="2677"/>
      <c r="J2555" s="3298" t="str">
        <f>$C$1419</f>
        <v>352400_2021_12_</v>
      </c>
      <c r="K2555" s="2225">
        <v>37047.619047619046</v>
      </c>
      <c r="L2555" s="2726">
        <f t="shared" si="202"/>
        <v>3.087301587301587</v>
      </c>
      <c r="M2555" s="2723" t="s">
        <v>1551</v>
      </c>
      <c r="N2555" s="123"/>
      <c r="O2555" s="228"/>
      <c r="P2555" s="844"/>
      <c r="Q2555" s="844"/>
      <c r="R2555" s="844"/>
      <c r="S2555" s="832"/>
      <c r="T2555" s="3082"/>
      <c r="U2555" s="123"/>
      <c r="V2555" s="3990"/>
      <c r="W2555" s="2857">
        <v>31200</v>
      </c>
      <c r="X2555" s="3155">
        <f t="shared" si="201"/>
        <v>36720</v>
      </c>
      <c r="Y2555" s="3155">
        <v>34320</v>
      </c>
      <c r="Z2555" s="2857">
        <v>34320</v>
      </c>
      <c r="AA2555" s="2857">
        <v>34320</v>
      </c>
      <c r="AB2555" s="2225">
        <v>35872.340425531918</v>
      </c>
      <c r="AC2555" s="2225">
        <v>37047.619047619046</v>
      </c>
      <c r="AD2555" s="2857"/>
      <c r="AE2555" s="2857"/>
      <c r="AF2555" s="2857"/>
      <c r="AG2555" s="2857"/>
      <c r="AH2555" s="1942"/>
      <c r="AI2555" s="1942"/>
      <c r="AJ2555" s="1942"/>
      <c r="AK2555" s="1942"/>
      <c r="AL2555" s="1942"/>
      <c r="AM2555" s="1942"/>
      <c r="AN2555" s="1942"/>
      <c r="AO2555" s="1942"/>
      <c r="AP2555" s="1942"/>
      <c r="AQ2555" s="1942"/>
      <c r="AR2555" s="1942"/>
      <c r="AS2555" s="1942"/>
      <c r="AT2555" s="1942"/>
      <c r="AU2555" s="1942"/>
      <c r="AV2555" s="1942"/>
      <c r="AW2555" s="1942"/>
      <c r="AX2555" s="1942"/>
      <c r="AY2555" s="1942"/>
      <c r="AZ2555" s="1942"/>
      <c r="BA2555" s="1942"/>
      <c r="BB2555" s="575"/>
      <c r="BC2555" s="576"/>
      <c r="BD2555" s="678"/>
      <c r="BE2555" s="585"/>
    </row>
    <row r="2556" spans="1:57" s="1942" customFormat="1" ht="15" hidden="1" customHeight="1" outlineLevel="1" x14ac:dyDescent="0.25">
      <c r="A2556" s="2060"/>
      <c r="B2556" s="123"/>
      <c r="C2556" s="328"/>
      <c r="D2556" s="3990"/>
      <c r="E2556" s="4009"/>
      <c r="F2556" s="3010" t="str">
        <f>$E$1421</f>
        <v>ASHP-SEER15-Replace_CAC_NonElectricHeat_ROF_SF</v>
      </c>
      <c r="G2556" s="2676"/>
      <c r="H2556" s="2676"/>
      <c r="I2556" s="2677"/>
      <c r="J2556" s="3298" t="str">
        <f>$C$1421</f>
        <v>352410_2021_12_</v>
      </c>
      <c r="K2556" s="2225">
        <v>37047.619047619046</v>
      </c>
      <c r="L2556" s="2726"/>
      <c r="M2556" s="2723" t="s">
        <v>1125</v>
      </c>
      <c r="N2556" s="123"/>
      <c r="O2556" s="228"/>
      <c r="P2556" s="844"/>
      <c r="Q2556" s="844"/>
      <c r="R2556" s="844"/>
      <c r="S2556" s="832"/>
      <c r="T2556" s="3082"/>
      <c r="U2556" s="123"/>
      <c r="V2556" s="3990"/>
      <c r="W2556" s="2857"/>
      <c r="X2556" s="3155"/>
      <c r="Y2556" s="3155"/>
      <c r="Z2556" s="2857"/>
      <c r="AA2556" s="2857"/>
      <c r="AB2556" s="2225"/>
      <c r="AC2556" s="2225">
        <v>37047.619047619046</v>
      </c>
      <c r="AD2556" s="2857"/>
      <c r="AE2556" s="2857"/>
      <c r="AF2556" s="2857"/>
      <c r="AG2556" s="2857"/>
      <c r="BB2556" s="575"/>
      <c r="BC2556" s="576"/>
      <c r="BD2556" s="678"/>
      <c r="BE2556" s="585"/>
    </row>
    <row r="2557" spans="1:57" s="51" customFormat="1" ht="15" hidden="1" customHeight="1" outlineLevel="1" x14ac:dyDescent="0.25">
      <c r="A2557" s="2060"/>
      <c r="B2557" s="123"/>
      <c r="C2557" s="328"/>
      <c r="D2557" s="3990"/>
      <c r="E2557" s="4009"/>
      <c r="F2557" s="3010" t="str">
        <f>$E$1423</f>
        <v>ASHP-SEER15_ROF_SF</v>
      </c>
      <c r="G2557" s="2676"/>
      <c r="H2557" s="2676"/>
      <c r="I2557" s="2677"/>
      <c r="J2557" s="3298" t="str">
        <f>$C$1423</f>
        <v>352450_2021_12_</v>
      </c>
      <c r="K2557" s="2225">
        <v>35892.857142857138</v>
      </c>
      <c r="L2557" s="2726">
        <f t="shared" si="202"/>
        <v>2.9910714285714279</v>
      </c>
      <c r="M2557" s="2724" t="s">
        <v>1550</v>
      </c>
      <c r="N2557" s="123"/>
      <c r="O2557" s="228"/>
      <c r="P2557" s="844"/>
      <c r="Q2557" s="844"/>
      <c r="R2557" s="844"/>
      <c r="S2557" s="832"/>
      <c r="T2557" s="3082"/>
      <c r="U2557" s="123"/>
      <c r="V2557" s="3990"/>
      <c r="W2557" s="2857">
        <v>37200</v>
      </c>
      <c r="X2557" s="3155">
        <f t="shared" si="201"/>
        <v>36720</v>
      </c>
      <c r="Y2557" s="3155">
        <v>34680</v>
      </c>
      <c r="Z2557" s="2857">
        <v>34680</v>
      </c>
      <c r="AA2557" s="2857">
        <v>34680</v>
      </c>
      <c r="AB2557" s="2855">
        <v>34680</v>
      </c>
      <c r="AC2557" s="2225">
        <v>35892.857142857138</v>
      </c>
      <c r="AD2557" s="2857"/>
      <c r="AE2557" s="2857"/>
      <c r="AF2557" s="2857"/>
      <c r="AG2557" s="2857"/>
      <c r="AH2557" s="1942"/>
      <c r="AI2557" s="1942"/>
      <c r="AJ2557" s="1942"/>
      <c r="AK2557" s="1942"/>
      <c r="AL2557" s="1942"/>
      <c r="AM2557" s="1942"/>
      <c r="AN2557" s="1942"/>
      <c r="AO2557" s="1942"/>
      <c r="AP2557" s="1942"/>
      <c r="AQ2557" s="1942"/>
      <c r="AR2557" s="1942"/>
      <c r="AS2557" s="1942"/>
      <c r="AT2557" s="1942"/>
      <c r="AU2557" s="1942"/>
      <c r="AV2557" s="1942"/>
      <c r="AW2557" s="1942"/>
      <c r="AX2557" s="1942"/>
      <c r="AY2557" s="1942"/>
      <c r="AZ2557" s="1942"/>
      <c r="BA2557" s="1942"/>
      <c r="BB2557" s="575"/>
      <c r="BC2557" s="576"/>
      <c r="BD2557" s="678"/>
      <c r="BE2557" s="585"/>
    </row>
    <row r="2558" spans="1:57" s="51" customFormat="1" ht="15" hidden="1" customHeight="1" outlineLevel="1" x14ac:dyDescent="0.25">
      <c r="A2558" s="2060"/>
      <c r="B2558" s="123"/>
      <c r="C2558" s="328"/>
      <c r="D2558" s="3990"/>
      <c r="E2558" s="4009"/>
      <c r="F2558" s="3010" t="str">
        <f>$E$1425</f>
        <v>ASHP-SEER16-Replace_CAC_ElectricHeat_ER1_SF</v>
      </c>
      <c r="G2558" s="2676"/>
      <c r="H2558" s="2676"/>
      <c r="I2558" s="2677"/>
      <c r="J2558" s="3298" t="str">
        <f>$C$1425</f>
        <v>352500_2021_12_</v>
      </c>
      <c r="K2558" s="2225">
        <v>35069.908814589668</v>
      </c>
      <c r="L2558" s="2726">
        <f t="shared" si="202"/>
        <v>2.9224924012158056</v>
      </c>
      <c r="M2558" s="2723" t="s">
        <v>1551</v>
      </c>
      <c r="N2558" s="123"/>
      <c r="O2558" s="228"/>
      <c r="P2558" s="844"/>
      <c r="Q2558" s="844"/>
      <c r="R2558" s="844"/>
      <c r="S2558" s="832"/>
      <c r="T2558" s="3082"/>
      <c r="U2558" s="123"/>
      <c r="V2558" s="3990"/>
      <c r="W2558" s="2857">
        <v>37200</v>
      </c>
      <c r="X2558" s="3155">
        <f t="shared" si="201"/>
        <v>36720</v>
      </c>
      <c r="Y2558" s="3155">
        <v>38160</v>
      </c>
      <c r="Z2558" s="2857">
        <v>38160</v>
      </c>
      <c r="AA2558" s="2857">
        <v>38160</v>
      </c>
      <c r="AB2558" s="2225">
        <v>35375.776397515532</v>
      </c>
      <c r="AC2558" s="2225">
        <v>35069.908814589668</v>
      </c>
      <c r="AD2558" s="2857"/>
      <c r="AE2558" s="2857"/>
      <c r="AF2558" s="2857"/>
      <c r="AG2558" s="2857"/>
      <c r="AH2558" s="1942"/>
      <c r="AI2558" s="1942"/>
      <c r="AJ2558" s="1942"/>
      <c r="AK2558" s="1942"/>
      <c r="AL2558" s="1942"/>
      <c r="AM2558" s="1942"/>
      <c r="AN2558" s="1942"/>
      <c r="AO2558" s="1942"/>
      <c r="AP2558" s="1942"/>
      <c r="AQ2558" s="1942"/>
      <c r="AR2558" s="1942"/>
      <c r="AS2558" s="1942"/>
      <c r="AT2558" s="1942"/>
      <c r="AU2558" s="1942"/>
      <c r="AV2558" s="1942"/>
      <c r="AW2558" s="1942"/>
      <c r="AX2558" s="1942"/>
      <c r="AY2558" s="1942"/>
      <c r="AZ2558" s="1942"/>
      <c r="BA2558" s="1942"/>
      <c r="BB2558" s="575"/>
      <c r="BC2558" s="576"/>
      <c r="BD2558" s="678"/>
      <c r="BE2558" s="585"/>
    </row>
    <row r="2559" spans="1:57" s="51" customFormat="1" ht="15" hidden="1" customHeight="1" outlineLevel="1" x14ac:dyDescent="0.25">
      <c r="A2559" s="2060"/>
      <c r="B2559" s="123"/>
      <c r="C2559" s="328"/>
      <c r="D2559" s="3990"/>
      <c r="E2559" s="4009"/>
      <c r="F2559" s="3010" t="str">
        <f>$E$1427</f>
        <v>ASHP-SEER16-Replace_CAC_ElectricHeat_ER2_SF</v>
      </c>
      <c r="G2559" s="2676"/>
      <c r="H2559" s="2676"/>
      <c r="I2559" s="2677"/>
      <c r="J2559" s="3298" t="str">
        <f>$C$1427</f>
        <v>352500_2021_12_</v>
      </c>
      <c r="K2559" s="2225">
        <f>K2558</f>
        <v>35069.908814589668</v>
      </c>
      <c r="L2559" s="2726">
        <f t="shared" si="202"/>
        <v>2.9224924012158056</v>
      </c>
      <c r="M2559" s="2723" t="s">
        <v>1551</v>
      </c>
      <c r="N2559" s="123"/>
      <c r="O2559" s="228"/>
      <c r="P2559" s="844"/>
      <c r="Q2559" s="844"/>
      <c r="R2559" s="844"/>
      <c r="S2559" s="832"/>
      <c r="T2559" s="3082"/>
      <c r="U2559" s="123"/>
      <c r="V2559" s="3990"/>
      <c r="W2559" s="2857">
        <v>37200</v>
      </c>
      <c r="X2559" s="3155">
        <f t="shared" si="201"/>
        <v>36720</v>
      </c>
      <c r="Y2559" s="3155">
        <v>38160</v>
      </c>
      <c r="Z2559" s="2857">
        <v>38160</v>
      </c>
      <c r="AA2559" s="2857">
        <v>38160</v>
      </c>
      <c r="AB2559" s="2225">
        <v>35375.776397515532</v>
      </c>
      <c r="AC2559" s="2225">
        <f>AC2558</f>
        <v>35069.908814589668</v>
      </c>
      <c r="AD2559" s="2857"/>
      <c r="AE2559" s="2857"/>
      <c r="AF2559" s="2857"/>
      <c r="AG2559" s="2857"/>
      <c r="AH2559" s="1942"/>
      <c r="AI2559" s="1942"/>
      <c r="AJ2559" s="1942"/>
      <c r="AK2559" s="1942"/>
      <c r="AL2559" s="1942"/>
      <c r="AM2559" s="1942"/>
      <c r="AN2559" s="1942"/>
      <c r="AO2559" s="1942"/>
      <c r="AP2559" s="1942"/>
      <c r="AQ2559" s="1942"/>
      <c r="AR2559" s="1942"/>
      <c r="AS2559" s="1942"/>
      <c r="AT2559" s="1942"/>
      <c r="AU2559" s="1942"/>
      <c r="AV2559" s="1942"/>
      <c r="AW2559" s="1942"/>
      <c r="AX2559" s="1942"/>
      <c r="AY2559" s="1942"/>
      <c r="AZ2559" s="1942"/>
      <c r="BA2559" s="1942"/>
      <c r="BB2559" s="575"/>
      <c r="BC2559" s="576"/>
      <c r="BD2559" s="678"/>
      <c r="BE2559" s="585"/>
    </row>
    <row r="2560" spans="1:57" s="1942" customFormat="1" ht="15" hidden="1" customHeight="1" outlineLevel="1" x14ac:dyDescent="0.25">
      <c r="A2560" s="2060"/>
      <c r="B2560" s="123"/>
      <c r="C2560" s="328"/>
      <c r="D2560" s="3990"/>
      <c r="E2560" s="4009"/>
      <c r="F2560" s="3010" t="str">
        <f>$E$1429</f>
        <v>ASHP-SEER16-Replace_CAC_NonElectricHeat_ER1_SF</v>
      </c>
      <c r="G2560" s="2676"/>
      <c r="H2560" s="2676"/>
      <c r="I2560" s="2677"/>
      <c r="J2560" s="3298" t="str">
        <f>$C$1429</f>
        <v>352510_2021_12_</v>
      </c>
      <c r="K2560" s="2225">
        <v>35069.908814589668</v>
      </c>
      <c r="L2560" s="2726"/>
      <c r="M2560" s="2723" t="s">
        <v>1125</v>
      </c>
      <c r="N2560" s="123"/>
      <c r="O2560" s="228"/>
      <c r="P2560" s="844"/>
      <c r="Q2560" s="844"/>
      <c r="R2560" s="844"/>
      <c r="S2560" s="832"/>
      <c r="T2560" s="3082"/>
      <c r="U2560" s="123"/>
      <c r="V2560" s="3990"/>
      <c r="W2560" s="2857"/>
      <c r="X2560" s="3155"/>
      <c r="Y2560" s="3155"/>
      <c r="Z2560" s="2857"/>
      <c r="AA2560" s="2857"/>
      <c r="AB2560" s="2225"/>
      <c r="AC2560" s="2225">
        <v>35069.908814589668</v>
      </c>
      <c r="AD2560" s="2857"/>
      <c r="AE2560" s="2857"/>
      <c r="AF2560" s="2857"/>
      <c r="AG2560" s="2857"/>
      <c r="BB2560" s="575"/>
      <c r="BC2560" s="576"/>
      <c r="BD2560" s="678"/>
      <c r="BE2560" s="585"/>
    </row>
    <row r="2561" spans="1:57" s="1942" customFormat="1" ht="15" hidden="1" customHeight="1" outlineLevel="1" x14ac:dyDescent="0.25">
      <c r="A2561" s="2060"/>
      <c r="B2561" s="123"/>
      <c r="C2561" s="328"/>
      <c r="D2561" s="3990"/>
      <c r="E2561" s="4009"/>
      <c r="F2561" s="3010" t="str">
        <f>$E$1431</f>
        <v>ASHP-SEER16-Replace_CAC_NonElectricHeat_ER2_SF</v>
      </c>
      <c r="G2561" s="2676"/>
      <c r="H2561" s="2676"/>
      <c r="I2561" s="2677"/>
      <c r="J2561" s="3298" t="str">
        <f>$C$1431</f>
        <v>352510_2021_12_</v>
      </c>
      <c r="K2561" s="2225">
        <f>K2560</f>
        <v>35069.908814589668</v>
      </c>
      <c r="L2561" s="2726"/>
      <c r="M2561" s="2723" t="s">
        <v>1125</v>
      </c>
      <c r="N2561" s="123"/>
      <c r="O2561" s="228"/>
      <c r="P2561" s="844"/>
      <c r="Q2561" s="844"/>
      <c r="R2561" s="844"/>
      <c r="S2561" s="832"/>
      <c r="T2561" s="3082"/>
      <c r="U2561" s="123"/>
      <c r="V2561" s="3990"/>
      <c r="W2561" s="2857"/>
      <c r="X2561" s="3155"/>
      <c r="Y2561" s="3155"/>
      <c r="Z2561" s="2857"/>
      <c r="AA2561" s="2857"/>
      <c r="AB2561" s="2225"/>
      <c r="AC2561" s="2225">
        <f>AC2560</f>
        <v>35069.908814589668</v>
      </c>
      <c r="AD2561" s="2857"/>
      <c r="AE2561" s="2857"/>
      <c r="AF2561" s="2857"/>
      <c r="AG2561" s="2857"/>
      <c r="BB2561" s="575"/>
      <c r="BC2561" s="576"/>
      <c r="BD2561" s="678"/>
      <c r="BE2561" s="585"/>
    </row>
    <row r="2562" spans="1:57" s="51" customFormat="1" ht="15" hidden="1" customHeight="1" outlineLevel="1" x14ac:dyDescent="0.25">
      <c r="A2562" s="2060"/>
      <c r="B2562" s="123"/>
      <c r="C2562" s="328"/>
      <c r="D2562" s="3990"/>
      <c r="E2562" s="4009"/>
      <c r="F2562" s="3010" t="str">
        <f>$E$1433</f>
        <v>ASHP-SEER16_ER1_SF</v>
      </c>
      <c r="G2562" s="2676"/>
      <c r="H2562" s="2676"/>
      <c r="I2562" s="2677"/>
      <c r="J2562" s="3298" t="str">
        <f>$C$1433</f>
        <v>352550_2021_12_</v>
      </c>
      <c r="K2562" s="2225">
        <v>36536.170212765959</v>
      </c>
      <c r="L2562" s="2726">
        <f t="shared" si="202"/>
        <v>3.0446808510638301</v>
      </c>
      <c r="M2562" s="2723" t="s">
        <v>1551</v>
      </c>
      <c r="N2562" s="123"/>
      <c r="O2562" s="228"/>
      <c r="P2562" s="844"/>
      <c r="Q2562" s="844"/>
      <c r="R2562" s="844"/>
      <c r="S2562" s="832"/>
      <c r="T2562" s="3082"/>
      <c r="U2562" s="123"/>
      <c r="V2562" s="3990"/>
      <c r="W2562" s="2857">
        <v>39600</v>
      </c>
      <c r="X2562" s="3155">
        <f t="shared" si="201"/>
        <v>36720</v>
      </c>
      <c r="Y2562" s="3155">
        <v>37800</v>
      </c>
      <c r="Z2562" s="2857">
        <v>37800</v>
      </c>
      <c r="AA2562" s="2857">
        <v>37800</v>
      </c>
      <c r="AB2562" s="2225">
        <v>37317.757009345798</v>
      </c>
      <c r="AC2562" s="2225">
        <v>36536.170212765959</v>
      </c>
      <c r="AD2562" s="2857"/>
      <c r="AE2562" s="2857"/>
      <c r="AF2562" s="2857"/>
      <c r="AG2562" s="2857"/>
      <c r="AH2562" s="1942"/>
      <c r="AI2562" s="1942"/>
      <c r="AJ2562" s="1942"/>
      <c r="AK2562" s="1942"/>
      <c r="AL2562" s="1942"/>
      <c r="AM2562" s="1942"/>
      <c r="AN2562" s="1942"/>
      <c r="AO2562" s="1942"/>
      <c r="AP2562" s="1942"/>
      <c r="AQ2562" s="1942"/>
      <c r="AR2562" s="1942"/>
      <c r="AS2562" s="1942"/>
      <c r="AT2562" s="1942"/>
      <c r="AU2562" s="1942"/>
      <c r="AV2562" s="1942"/>
      <c r="AW2562" s="1942"/>
      <c r="AX2562" s="1942"/>
      <c r="AY2562" s="1942"/>
      <c r="AZ2562" s="1942"/>
      <c r="BA2562" s="1942"/>
      <c r="BB2562" s="575"/>
      <c r="BC2562" s="576"/>
      <c r="BD2562" s="678"/>
      <c r="BE2562" s="585"/>
    </row>
    <row r="2563" spans="1:57" s="51" customFormat="1" ht="15" hidden="1" customHeight="1" outlineLevel="1" x14ac:dyDescent="0.25">
      <c r="A2563" s="2060"/>
      <c r="B2563" s="123"/>
      <c r="C2563" s="328"/>
      <c r="D2563" s="3990"/>
      <c r="E2563" s="4009"/>
      <c r="F2563" s="3010" t="str">
        <f>$E$1435</f>
        <v>ASHP-SEER16_ER2_SF</v>
      </c>
      <c r="G2563" s="2676"/>
      <c r="H2563" s="2676"/>
      <c r="I2563" s="2677"/>
      <c r="J2563" s="3298" t="str">
        <f>$C$1435</f>
        <v>352550_2021_12_</v>
      </c>
      <c r="K2563" s="2276">
        <f>K2562</f>
        <v>36536.170212765959</v>
      </c>
      <c r="L2563" s="2726">
        <f t="shared" si="202"/>
        <v>3.0446808510638301</v>
      </c>
      <c r="M2563" s="2723" t="s">
        <v>1551</v>
      </c>
      <c r="N2563" s="123"/>
      <c r="O2563" s="228"/>
      <c r="P2563" s="844"/>
      <c r="Q2563" s="844"/>
      <c r="R2563" s="844"/>
      <c r="S2563" s="832"/>
      <c r="T2563" s="3082"/>
      <c r="U2563" s="123"/>
      <c r="V2563" s="3990"/>
      <c r="W2563" s="2857">
        <v>39600</v>
      </c>
      <c r="X2563" s="3158">
        <f t="shared" si="201"/>
        <v>36720</v>
      </c>
      <c r="Y2563" s="3155">
        <v>37800</v>
      </c>
      <c r="Z2563" s="2857">
        <v>37800</v>
      </c>
      <c r="AA2563" s="2857">
        <v>37800</v>
      </c>
      <c r="AB2563" s="2225">
        <v>37317.757009345798</v>
      </c>
      <c r="AC2563" s="2276">
        <f>AC2562</f>
        <v>36536.170212765959</v>
      </c>
      <c r="AD2563" s="2857"/>
      <c r="AE2563" s="2857"/>
      <c r="AF2563" s="2857"/>
      <c r="AG2563" s="2857"/>
      <c r="AH2563" s="1942"/>
      <c r="AI2563" s="1942"/>
      <c r="AJ2563" s="1942"/>
      <c r="AK2563" s="1942"/>
      <c r="AL2563" s="1942"/>
      <c r="AM2563" s="1942"/>
      <c r="AN2563" s="1942"/>
      <c r="AO2563" s="1942"/>
      <c r="AP2563" s="1942"/>
      <c r="AQ2563" s="1942"/>
      <c r="AR2563" s="1942"/>
      <c r="AS2563" s="1942"/>
      <c r="AT2563" s="1942"/>
      <c r="AU2563" s="1942"/>
      <c r="AV2563" s="1942"/>
      <c r="AW2563" s="1942"/>
      <c r="AX2563" s="1942"/>
      <c r="AY2563" s="1942"/>
      <c r="AZ2563" s="1942"/>
      <c r="BA2563" s="1942"/>
      <c r="BB2563" s="575"/>
      <c r="BC2563" s="576"/>
      <c r="BD2563" s="678"/>
      <c r="BE2563" s="585"/>
    </row>
    <row r="2564" spans="1:57" s="51" customFormat="1" ht="15" hidden="1" customHeight="1" outlineLevel="1" x14ac:dyDescent="0.25">
      <c r="A2564" s="2060"/>
      <c r="B2564" s="123"/>
      <c r="C2564" s="328"/>
      <c r="D2564" s="3990"/>
      <c r="E2564" s="4009"/>
      <c r="F2564" s="3010" t="str">
        <f>$E$1437</f>
        <v>ASHP-SEER16-Replace_CAC_ElectricHeat_ROF_SF</v>
      </c>
      <c r="G2564" s="2676"/>
      <c r="H2564" s="2676"/>
      <c r="I2564" s="2677"/>
      <c r="J2564" s="3298" t="str">
        <f>$C$1437</f>
        <v>352600_2021_12_</v>
      </c>
      <c r="K2564" s="2276">
        <v>35468.354430379746</v>
      </c>
      <c r="L2564" s="2726">
        <f t="shared" si="202"/>
        <v>2.9556962025316453</v>
      </c>
      <c r="M2564" s="2723" t="s">
        <v>1551</v>
      </c>
      <c r="N2564" s="123"/>
      <c r="O2564" s="228"/>
      <c r="P2564" s="844"/>
      <c r="Q2564" s="844"/>
      <c r="R2564" s="844"/>
      <c r="S2564" s="832"/>
      <c r="T2564" s="3082"/>
      <c r="U2564" s="123"/>
      <c r="V2564" s="3990"/>
      <c r="W2564" s="2857">
        <v>38400</v>
      </c>
      <c r="X2564" s="3158">
        <f t="shared" si="201"/>
        <v>36720</v>
      </c>
      <c r="Y2564" s="3155">
        <v>37320</v>
      </c>
      <c r="Z2564" s="2857">
        <v>37320</v>
      </c>
      <c r="AA2564" s="2857">
        <v>37320</v>
      </c>
      <c r="AB2564" s="2225">
        <v>35428.571428571428</v>
      </c>
      <c r="AC2564" s="2276">
        <v>35468.354430379746</v>
      </c>
      <c r="AD2564" s="2857"/>
      <c r="AE2564" s="2857"/>
      <c r="AF2564" s="2857"/>
      <c r="AG2564" s="2857"/>
      <c r="AH2564" s="1942"/>
      <c r="AI2564" s="1942"/>
      <c r="AJ2564" s="1942"/>
      <c r="AK2564" s="1942"/>
      <c r="AL2564" s="1942"/>
      <c r="AM2564" s="1942"/>
      <c r="AN2564" s="1942"/>
      <c r="AO2564" s="1942"/>
      <c r="AP2564" s="1942"/>
      <c r="AQ2564" s="1942"/>
      <c r="AR2564" s="1942"/>
      <c r="AS2564" s="1942"/>
      <c r="AT2564" s="1942"/>
      <c r="AU2564" s="1942"/>
      <c r="AV2564" s="1942"/>
      <c r="AW2564" s="1942"/>
      <c r="AX2564" s="1942"/>
      <c r="AY2564" s="1942"/>
      <c r="AZ2564" s="1942"/>
      <c r="BA2564" s="1942"/>
      <c r="BB2564" s="575"/>
      <c r="BC2564" s="576"/>
      <c r="BD2564" s="678"/>
      <c r="BE2564" s="585"/>
    </row>
    <row r="2565" spans="1:57" s="51" customFormat="1" ht="15" hidden="1" customHeight="1" outlineLevel="1" x14ac:dyDescent="0.25">
      <c r="A2565" s="2060"/>
      <c r="B2565" s="123"/>
      <c r="C2565" s="328"/>
      <c r="D2565" s="3990"/>
      <c r="E2565" s="4009"/>
      <c r="F2565" s="3010" t="str">
        <f>$E$1439</f>
        <v>ASHP-SEER16_ROF_SF</v>
      </c>
      <c r="G2565" s="2676"/>
      <c r="H2565" s="2676"/>
      <c r="I2565" s="2677"/>
      <c r="J2565" s="3298" t="str">
        <f>$C$1439</f>
        <v>352650_2021_12_</v>
      </c>
      <c r="K2565" s="2276">
        <v>37105.263157894733</v>
      </c>
      <c r="L2565" s="2726">
        <f t="shared" si="202"/>
        <v>3.0921052631578942</v>
      </c>
      <c r="M2565" s="2724" t="s">
        <v>1550</v>
      </c>
      <c r="N2565" s="123"/>
      <c r="O2565" s="228"/>
      <c r="P2565" s="844"/>
      <c r="Q2565" s="844"/>
      <c r="R2565" s="844"/>
      <c r="S2565" s="832"/>
      <c r="T2565" s="3082"/>
      <c r="U2565" s="123"/>
      <c r="V2565" s="3990"/>
      <c r="W2565" s="2857">
        <v>39600</v>
      </c>
      <c r="X2565" s="3158">
        <f t="shared" si="201"/>
        <v>36720</v>
      </c>
      <c r="Y2565" s="3155">
        <v>39000</v>
      </c>
      <c r="Z2565" s="2857">
        <v>39000</v>
      </c>
      <c r="AA2565" s="2857">
        <v>39000</v>
      </c>
      <c r="AB2565" s="2855">
        <v>39000</v>
      </c>
      <c r="AC2565" s="2276">
        <v>37105.263157894733</v>
      </c>
      <c r="AD2565" s="2857"/>
      <c r="AE2565" s="2857"/>
      <c r="AF2565" s="2857"/>
      <c r="AG2565" s="2857"/>
      <c r="AH2565" s="1942"/>
      <c r="AI2565" s="1942"/>
      <c r="AJ2565" s="1942"/>
      <c r="AK2565" s="1942"/>
      <c r="AL2565" s="1942"/>
      <c r="AM2565" s="1942"/>
      <c r="AN2565" s="1942"/>
      <c r="AO2565" s="1942"/>
      <c r="AP2565" s="1942"/>
      <c r="AQ2565" s="1942"/>
      <c r="AR2565" s="1942"/>
      <c r="AS2565" s="1942"/>
      <c r="AT2565" s="1942"/>
      <c r="AU2565" s="1942"/>
      <c r="AV2565" s="1942"/>
      <c r="AW2565" s="1942"/>
      <c r="AX2565" s="1942"/>
      <c r="AY2565" s="1942"/>
      <c r="AZ2565" s="1942"/>
      <c r="BA2565" s="1942"/>
      <c r="BB2565" s="575"/>
      <c r="BC2565" s="576"/>
      <c r="BD2565" s="678"/>
      <c r="BE2565" s="585"/>
    </row>
    <row r="2566" spans="1:57" s="51" customFormat="1" ht="15" hidden="1" customHeight="1" outlineLevel="1" x14ac:dyDescent="0.25">
      <c r="A2566" s="2060"/>
      <c r="B2566" s="123"/>
      <c r="C2566" s="328"/>
      <c r="D2566" s="3990"/>
      <c r="E2566" s="4009"/>
      <c r="F2566" s="3010" t="str">
        <f>$E$1441</f>
        <v>ASHP-SEER15_ER1_MF</v>
      </c>
      <c r="G2566" s="2676"/>
      <c r="H2566" s="2676"/>
      <c r="I2566" s="2677"/>
      <c r="J2566" s="3298" t="str">
        <f>$C$1441</f>
        <v>352700_2021_12_</v>
      </c>
      <c r="K2566" s="2225">
        <v>35000</v>
      </c>
      <c r="L2566" s="2726">
        <f t="shared" si="202"/>
        <v>2.9166666666666665</v>
      </c>
      <c r="M2566" s="2723" t="s">
        <v>1551</v>
      </c>
      <c r="N2566" s="123"/>
      <c r="O2566" s="228"/>
      <c r="P2566" s="844"/>
      <c r="Q2566" s="844"/>
      <c r="R2566" s="844"/>
      <c r="S2566" s="832"/>
      <c r="T2566" s="3082"/>
      <c r="U2566" s="123"/>
      <c r="V2566" s="3990"/>
      <c r="W2566" s="2857">
        <v>37200</v>
      </c>
      <c r="X2566" s="2857">
        <v>37200</v>
      </c>
      <c r="Y2566" s="2857">
        <v>37200</v>
      </c>
      <c r="Z2566" s="2857">
        <v>37200</v>
      </c>
      <c r="AA2566" s="2857">
        <v>37200</v>
      </c>
      <c r="AB2566" s="3150">
        <v>34500</v>
      </c>
      <c r="AC2566" s="2225">
        <v>35000</v>
      </c>
      <c r="AD2566" s="2857"/>
      <c r="AE2566" s="2857"/>
      <c r="AF2566" s="2857"/>
      <c r="AG2566" s="2857"/>
      <c r="AH2566" s="1942"/>
      <c r="AI2566" s="1942"/>
      <c r="AJ2566" s="1942"/>
      <c r="AK2566" s="1942"/>
      <c r="AL2566" s="1942"/>
      <c r="AM2566" s="1942"/>
      <c r="AN2566" s="1942"/>
      <c r="AO2566" s="1942"/>
      <c r="AP2566" s="1942"/>
      <c r="AQ2566" s="1942"/>
      <c r="AR2566" s="1942"/>
      <c r="AS2566" s="1942"/>
      <c r="AT2566" s="1942"/>
      <c r="AU2566" s="1942"/>
      <c r="AV2566" s="1942"/>
      <c r="AW2566" s="1942"/>
      <c r="AX2566" s="1942"/>
      <c r="AY2566" s="1942"/>
      <c r="AZ2566" s="1942"/>
      <c r="BA2566" s="1942"/>
      <c r="BB2566" s="575"/>
      <c r="BC2566" s="576"/>
      <c r="BD2566" s="678"/>
      <c r="BE2566" s="585"/>
    </row>
    <row r="2567" spans="1:57" s="51" customFormat="1" ht="15" hidden="1" customHeight="1" outlineLevel="1" x14ac:dyDescent="0.25">
      <c r="A2567" s="2060"/>
      <c r="B2567" s="123"/>
      <c r="C2567" s="328"/>
      <c r="D2567" s="3990"/>
      <c r="E2567" s="4009"/>
      <c r="F2567" s="3010" t="str">
        <f>$E$1443</f>
        <v>ASHP-SEER15_ER2_MF</v>
      </c>
      <c r="G2567" s="2676"/>
      <c r="H2567" s="2676"/>
      <c r="I2567" s="2677"/>
      <c r="J2567" s="3298" t="str">
        <f>$C$1443</f>
        <v>352700_2021_12_</v>
      </c>
      <c r="K2567" s="2225">
        <f>K2566</f>
        <v>35000</v>
      </c>
      <c r="L2567" s="2726">
        <f t="shared" si="202"/>
        <v>2.9166666666666665</v>
      </c>
      <c r="M2567" s="2723" t="s">
        <v>1551</v>
      </c>
      <c r="N2567" s="123"/>
      <c r="O2567" s="228"/>
      <c r="P2567" s="844"/>
      <c r="Q2567" s="844"/>
      <c r="R2567" s="844"/>
      <c r="S2567" s="832"/>
      <c r="T2567" s="3082"/>
      <c r="U2567" s="123"/>
      <c r="V2567" s="3990"/>
      <c r="W2567" s="2857">
        <v>37200</v>
      </c>
      <c r="X2567" s="2857">
        <v>37200</v>
      </c>
      <c r="Y2567" s="2857">
        <v>37200</v>
      </c>
      <c r="Z2567" s="2857">
        <v>37200</v>
      </c>
      <c r="AA2567" s="2857">
        <v>37200</v>
      </c>
      <c r="AB2567" s="3150">
        <v>34500</v>
      </c>
      <c r="AC2567" s="2225">
        <f>AC2566</f>
        <v>35000</v>
      </c>
      <c r="AD2567" s="2857"/>
      <c r="AE2567" s="2857"/>
      <c r="AF2567" s="2857"/>
      <c r="AG2567" s="2857"/>
      <c r="AH2567" s="1942"/>
      <c r="AI2567" s="1942"/>
      <c r="AJ2567" s="1942"/>
      <c r="AK2567" s="1942"/>
      <c r="AL2567" s="1942"/>
      <c r="AM2567" s="1942"/>
      <c r="AN2567" s="1942"/>
      <c r="AO2567" s="1942"/>
      <c r="AP2567" s="1942"/>
      <c r="AQ2567" s="1942"/>
      <c r="AR2567" s="1942"/>
      <c r="AS2567" s="1942"/>
      <c r="AT2567" s="1942"/>
      <c r="AU2567" s="1942"/>
      <c r="AV2567" s="1942"/>
      <c r="AW2567" s="1942"/>
      <c r="AX2567" s="1942"/>
      <c r="AY2567" s="1942"/>
      <c r="AZ2567" s="1942"/>
      <c r="BA2567" s="1942"/>
      <c r="BB2567" s="575"/>
      <c r="BC2567" s="576"/>
      <c r="BD2567" s="678"/>
      <c r="BE2567" s="585"/>
    </row>
    <row r="2568" spans="1:57" s="51" customFormat="1" ht="15" hidden="1" customHeight="1" outlineLevel="1" x14ac:dyDescent="0.25">
      <c r="A2568" s="2060"/>
      <c r="B2568" s="123"/>
      <c r="C2568" s="328"/>
      <c r="D2568" s="3990"/>
      <c r="E2568" s="4009"/>
      <c r="F2568" s="3010" t="str">
        <f>$E$1445</f>
        <v>ASHP-SEER15_ER1_MF_CompE</v>
      </c>
      <c r="G2568" s="2676"/>
      <c r="H2568" s="2676"/>
      <c r="I2568" s="2677"/>
      <c r="J2568" s="3298" t="str">
        <f>$C$1445</f>
        <v>352701_2021_12_</v>
      </c>
      <c r="K2568" s="2225">
        <f>K2566</f>
        <v>35000</v>
      </c>
      <c r="L2568" s="2726">
        <f t="shared" si="202"/>
        <v>2.9166666666666665</v>
      </c>
      <c r="M2568" s="2278" t="s">
        <v>1125</v>
      </c>
      <c r="N2568" s="123"/>
      <c r="O2568" s="228"/>
      <c r="P2568" s="844"/>
      <c r="Q2568" s="844"/>
      <c r="R2568" s="844"/>
      <c r="S2568" s="832"/>
      <c r="T2568" s="3082"/>
      <c r="U2568" s="123"/>
      <c r="V2568" s="3990"/>
      <c r="W2568" s="2857"/>
      <c r="X2568" s="2857"/>
      <c r="Y2568" s="3155">
        <v>37200</v>
      </c>
      <c r="Z2568" s="2857">
        <v>37200</v>
      </c>
      <c r="AA2568" s="2857">
        <v>37200</v>
      </c>
      <c r="AB2568" s="3150">
        <v>37200</v>
      </c>
      <c r="AC2568" s="2225">
        <f>AC2566</f>
        <v>35000</v>
      </c>
      <c r="AD2568" s="2857"/>
      <c r="AE2568" s="2857"/>
      <c r="AF2568" s="2857"/>
      <c r="AG2568" s="2857"/>
      <c r="AH2568" s="1942"/>
      <c r="AI2568" s="1942"/>
      <c r="AJ2568" s="1942"/>
      <c r="AK2568" s="1942"/>
      <c r="AL2568" s="1942"/>
      <c r="AM2568" s="1942"/>
      <c r="AN2568" s="1942"/>
      <c r="AO2568" s="1942"/>
      <c r="AP2568" s="1942"/>
      <c r="AQ2568" s="1942"/>
      <c r="AR2568" s="1942"/>
      <c r="AS2568" s="1942"/>
      <c r="AT2568" s="1942"/>
      <c r="AU2568" s="1942"/>
      <c r="AV2568" s="1942"/>
      <c r="AW2568" s="1942"/>
      <c r="AX2568" s="1942"/>
      <c r="AY2568" s="1942"/>
      <c r="AZ2568" s="1942"/>
      <c r="BA2568" s="1942"/>
      <c r="BB2568" s="575"/>
      <c r="BC2568" s="576"/>
      <c r="BD2568" s="678"/>
      <c r="BE2568" s="585"/>
    </row>
    <row r="2569" spans="1:57" s="51" customFormat="1" ht="15" hidden="1" customHeight="1" outlineLevel="1" x14ac:dyDescent="0.25">
      <c r="A2569" s="2060"/>
      <c r="B2569" s="123"/>
      <c r="C2569" s="328"/>
      <c r="D2569" s="3990"/>
      <c r="E2569" s="4009"/>
      <c r="F2569" s="3010" t="str">
        <f>$E$1447</f>
        <v>ASHP-SEER15_ER2_MF_CompE</v>
      </c>
      <c r="G2569" s="2676"/>
      <c r="H2569" s="2676"/>
      <c r="I2569" s="2677"/>
      <c r="J2569" s="3298" t="str">
        <f>$C$1447</f>
        <v>352701_2021_12_</v>
      </c>
      <c r="K2569" s="2225">
        <f>K2567</f>
        <v>35000</v>
      </c>
      <c r="L2569" s="2726">
        <f t="shared" si="202"/>
        <v>2.9166666666666665</v>
      </c>
      <c r="M2569" s="2278" t="s">
        <v>1125</v>
      </c>
      <c r="N2569" s="123"/>
      <c r="O2569" s="228"/>
      <c r="P2569" s="844"/>
      <c r="Q2569" s="844"/>
      <c r="R2569" s="844"/>
      <c r="S2569" s="832"/>
      <c r="T2569" s="3082"/>
      <c r="U2569" s="123"/>
      <c r="V2569" s="3990"/>
      <c r="W2569" s="2857"/>
      <c r="X2569" s="2857"/>
      <c r="Y2569" s="3155">
        <v>37200</v>
      </c>
      <c r="Z2569" s="2857">
        <v>37200</v>
      </c>
      <c r="AA2569" s="2857">
        <v>37200</v>
      </c>
      <c r="AB2569" s="3150">
        <v>37200</v>
      </c>
      <c r="AC2569" s="2225">
        <f>AC2567</f>
        <v>35000</v>
      </c>
      <c r="AD2569" s="2857"/>
      <c r="AE2569" s="2857"/>
      <c r="AF2569" s="2857"/>
      <c r="AG2569" s="2857"/>
      <c r="AH2569" s="1942"/>
      <c r="AI2569" s="1942"/>
      <c r="AJ2569" s="1942"/>
      <c r="AK2569" s="1942"/>
      <c r="AL2569" s="1942"/>
      <c r="AM2569" s="1942"/>
      <c r="AN2569" s="1942"/>
      <c r="AO2569" s="1942"/>
      <c r="AP2569" s="1942"/>
      <c r="AQ2569" s="1942"/>
      <c r="AR2569" s="1942"/>
      <c r="AS2569" s="1942"/>
      <c r="AT2569" s="1942"/>
      <c r="AU2569" s="1942"/>
      <c r="AV2569" s="1942"/>
      <c r="AW2569" s="1942"/>
      <c r="AX2569" s="1942"/>
      <c r="AY2569" s="1942"/>
      <c r="AZ2569" s="1942"/>
      <c r="BA2569" s="1942"/>
      <c r="BB2569" s="575"/>
      <c r="BC2569" s="576"/>
      <c r="BD2569" s="678"/>
      <c r="BE2569" s="585"/>
    </row>
    <row r="2570" spans="1:57" s="51" customFormat="1" ht="15" hidden="1" customHeight="1" outlineLevel="1" x14ac:dyDescent="0.25">
      <c r="A2570" s="2060"/>
      <c r="B2570" s="123"/>
      <c r="C2570" s="328"/>
      <c r="D2570" s="3990"/>
      <c r="E2570" s="4009"/>
      <c r="F2570" s="3010" t="str">
        <f>$E$1449</f>
        <v>ASHP-SEER15-Replace_CAC_ElectricHeat_ER1_MF</v>
      </c>
      <c r="G2570" s="2676"/>
      <c r="H2570" s="2676"/>
      <c r="I2570" s="2677"/>
      <c r="J2570" s="3298" t="str">
        <f>$C$1449</f>
        <v>352750_2021_12_</v>
      </c>
      <c r="K2570" s="2225">
        <v>30000</v>
      </c>
      <c r="L2570" s="2726">
        <f t="shared" si="202"/>
        <v>2.5</v>
      </c>
      <c r="M2570" s="2723" t="s">
        <v>1551</v>
      </c>
      <c r="N2570" s="123"/>
      <c r="O2570" s="228"/>
      <c r="P2570" s="844"/>
      <c r="Q2570" s="844"/>
      <c r="R2570" s="844"/>
      <c r="S2570" s="832"/>
      <c r="T2570" s="3082"/>
      <c r="U2570" s="123"/>
      <c r="V2570" s="3990"/>
      <c r="W2570" s="2857">
        <v>33600</v>
      </c>
      <c r="X2570" s="2857">
        <v>33600</v>
      </c>
      <c r="Y2570" s="2857">
        <v>33600</v>
      </c>
      <c r="Z2570" s="2857">
        <v>33600</v>
      </c>
      <c r="AA2570" s="2857">
        <v>33600</v>
      </c>
      <c r="AB2570" s="3150">
        <v>33000</v>
      </c>
      <c r="AC2570" s="2225">
        <v>30000</v>
      </c>
      <c r="AD2570" s="2857"/>
      <c r="AE2570" s="2857"/>
      <c r="AF2570" s="2857"/>
      <c r="AG2570" s="2857"/>
      <c r="AH2570" s="1942"/>
      <c r="AI2570" s="1942"/>
      <c r="AJ2570" s="1942"/>
      <c r="AK2570" s="1942"/>
      <c r="AL2570" s="1942"/>
      <c r="AM2570" s="1942"/>
      <c r="AN2570" s="1942"/>
      <c r="AO2570" s="1942"/>
      <c r="AP2570" s="1942"/>
      <c r="AQ2570" s="1942"/>
      <c r="AR2570" s="1942"/>
      <c r="AS2570" s="1942"/>
      <c r="AT2570" s="1942"/>
      <c r="AU2570" s="1942"/>
      <c r="AV2570" s="1942"/>
      <c r="AW2570" s="1942"/>
      <c r="AX2570" s="1942"/>
      <c r="AY2570" s="1942"/>
      <c r="AZ2570" s="1942"/>
      <c r="BA2570" s="1942"/>
      <c r="BB2570" s="575"/>
      <c r="BC2570" s="576"/>
      <c r="BD2570" s="678"/>
      <c r="BE2570" s="585"/>
    </row>
    <row r="2571" spans="1:57" s="51" customFormat="1" ht="15" hidden="1" customHeight="1" outlineLevel="1" x14ac:dyDescent="0.25">
      <c r="A2571" s="2060"/>
      <c r="B2571" s="123"/>
      <c r="C2571" s="328"/>
      <c r="D2571" s="3990"/>
      <c r="E2571" s="4009"/>
      <c r="F2571" s="3010" t="str">
        <f>$E$1451</f>
        <v>ASHP-SEER15-Replace_CAC_ElectricHeat_ER2_MF</v>
      </c>
      <c r="G2571" s="2676"/>
      <c r="H2571" s="2676"/>
      <c r="I2571" s="2677"/>
      <c r="J2571" s="3298" t="str">
        <f>$C$1451</f>
        <v>352750_2021_12_</v>
      </c>
      <c r="K2571" s="2225">
        <f>K2570</f>
        <v>30000</v>
      </c>
      <c r="L2571" s="2726">
        <f t="shared" si="202"/>
        <v>2.5</v>
      </c>
      <c r="M2571" s="2723" t="s">
        <v>1551</v>
      </c>
      <c r="N2571" s="123"/>
      <c r="O2571" s="228"/>
      <c r="P2571" s="844"/>
      <c r="Q2571" s="844"/>
      <c r="R2571" s="844"/>
      <c r="S2571" s="832"/>
      <c r="T2571" s="3082"/>
      <c r="U2571" s="123"/>
      <c r="V2571" s="3990"/>
      <c r="W2571" s="2857">
        <v>33600</v>
      </c>
      <c r="X2571" s="2857">
        <v>33600</v>
      </c>
      <c r="Y2571" s="2857">
        <v>33600</v>
      </c>
      <c r="Z2571" s="2857">
        <v>33600</v>
      </c>
      <c r="AA2571" s="2857">
        <v>33600</v>
      </c>
      <c r="AB2571" s="3150">
        <v>33000</v>
      </c>
      <c r="AC2571" s="2225">
        <f>AC2570</f>
        <v>30000</v>
      </c>
      <c r="AD2571" s="2857"/>
      <c r="AE2571" s="2857"/>
      <c r="AF2571" s="2857"/>
      <c r="AG2571" s="2857"/>
      <c r="AH2571" s="1942"/>
      <c r="AI2571" s="1942"/>
      <c r="AJ2571" s="1942"/>
      <c r="AK2571" s="1942"/>
      <c r="AL2571" s="1942"/>
      <c r="AM2571" s="1942"/>
      <c r="AN2571" s="1942"/>
      <c r="AO2571" s="1942"/>
      <c r="AP2571" s="1942"/>
      <c r="AQ2571" s="1942"/>
      <c r="AR2571" s="1942"/>
      <c r="AS2571" s="1942"/>
      <c r="AT2571" s="1942"/>
      <c r="AU2571" s="1942"/>
      <c r="AV2571" s="1942"/>
      <c r="AW2571" s="1942"/>
      <c r="AX2571" s="1942"/>
      <c r="AY2571" s="1942"/>
      <c r="AZ2571" s="1942"/>
      <c r="BA2571" s="1942"/>
      <c r="BB2571" s="575"/>
      <c r="BC2571" s="576"/>
      <c r="BD2571" s="678"/>
      <c r="BE2571" s="585"/>
    </row>
    <row r="2572" spans="1:57" s="51" customFormat="1" ht="15" hidden="1" customHeight="1" outlineLevel="1" x14ac:dyDescent="0.25">
      <c r="A2572" s="2060"/>
      <c r="B2572" s="123"/>
      <c r="C2572" s="328"/>
      <c r="D2572" s="3990"/>
      <c r="E2572" s="4009"/>
      <c r="F2572" s="3010" t="str">
        <f>$E$1453</f>
        <v>ASHP-SEER15-Replace_CAC_ElectricHeat_ER1_MF_CompE</v>
      </c>
      <c r="G2572" s="2676"/>
      <c r="H2572" s="2676"/>
      <c r="I2572" s="2677"/>
      <c r="J2572" s="3298" t="str">
        <f>$C$1453</f>
        <v>352751_2021_12_</v>
      </c>
      <c r="K2572" s="2225">
        <f>K2570</f>
        <v>30000</v>
      </c>
      <c r="L2572" s="2726">
        <f t="shared" si="202"/>
        <v>2.5</v>
      </c>
      <c r="M2572" s="2278" t="s">
        <v>1125</v>
      </c>
      <c r="N2572" s="123"/>
      <c r="O2572" s="228"/>
      <c r="P2572" s="844"/>
      <c r="Q2572" s="844"/>
      <c r="R2572" s="844"/>
      <c r="S2572" s="832"/>
      <c r="T2572" s="3082"/>
      <c r="U2572" s="123"/>
      <c r="V2572" s="3990"/>
      <c r="W2572" s="2857"/>
      <c r="X2572" s="2857"/>
      <c r="Y2572" s="3155">
        <v>33600</v>
      </c>
      <c r="Z2572" s="2857">
        <v>33600</v>
      </c>
      <c r="AA2572" s="2857">
        <v>33600</v>
      </c>
      <c r="AB2572" s="3150">
        <v>33000</v>
      </c>
      <c r="AC2572" s="2225">
        <f>AC2570</f>
        <v>30000</v>
      </c>
      <c r="AD2572" s="2857"/>
      <c r="AE2572" s="2857"/>
      <c r="AF2572" s="2857"/>
      <c r="AG2572" s="2857"/>
      <c r="AH2572" s="1942"/>
      <c r="AI2572" s="1942"/>
      <c r="AJ2572" s="1942"/>
      <c r="AK2572" s="1942"/>
      <c r="AL2572" s="1942"/>
      <c r="AM2572" s="1942"/>
      <c r="AN2572" s="1942"/>
      <c r="AO2572" s="1942"/>
      <c r="AP2572" s="1942"/>
      <c r="AQ2572" s="1942"/>
      <c r="AR2572" s="1942"/>
      <c r="AS2572" s="1942"/>
      <c r="AT2572" s="1942"/>
      <c r="AU2572" s="1942"/>
      <c r="AV2572" s="1942"/>
      <c r="AW2572" s="1942"/>
      <c r="AX2572" s="1942"/>
      <c r="AY2572" s="1942"/>
      <c r="AZ2572" s="1942"/>
      <c r="BA2572" s="1942"/>
      <c r="BB2572" s="575"/>
      <c r="BC2572" s="576"/>
      <c r="BD2572" s="678"/>
      <c r="BE2572" s="585"/>
    </row>
    <row r="2573" spans="1:57" s="51" customFormat="1" ht="15" hidden="1" customHeight="1" outlineLevel="1" x14ac:dyDescent="0.25">
      <c r="A2573" s="2060"/>
      <c r="B2573" s="123"/>
      <c r="C2573" s="328"/>
      <c r="D2573" s="3990"/>
      <c r="E2573" s="4009"/>
      <c r="F2573" s="3010" t="str">
        <f>$E$1455</f>
        <v>ASHP-SEER15-Replace_CAC_ElectricHeat_ER2_MF_CompE</v>
      </c>
      <c r="G2573" s="2676"/>
      <c r="H2573" s="2676"/>
      <c r="I2573" s="2677"/>
      <c r="J2573" s="3298" t="str">
        <f>$C$1455</f>
        <v>352751_2021_12_</v>
      </c>
      <c r="K2573" s="2225">
        <f>K2571</f>
        <v>30000</v>
      </c>
      <c r="L2573" s="2726">
        <f t="shared" si="202"/>
        <v>2.5</v>
      </c>
      <c r="M2573" s="2278" t="s">
        <v>1125</v>
      </c>
      <c r="N2573" s="123"/>
      <c r="O2573" s="228"/>
      <c r="P2573" s="844"/>
      <c r="Q2573" s="844"/>
      <c r="R2573" s="844"/>
      <c r="S2573" s="832"/>
      <c r="T2573" s="3082"/>
      <c r="U2573" s="123"/>
      <c r="V2573" s="3990"/>
      <c r="W2573" s="2857"/>
      <c r="X2573" s="2857"/>
      <c r="Y2573" s="3155">
        <v>33600</v>
      </c>
      <c r="Z2573" s="2857">
        <v>33600</v>
      </c>
      <c r="AA2573" s="2857">
        <v>33600</v>
      </c>
      <c r="AB2573" s="3150">
        <v>33000</v>
      </c>
      <c r="AC2573" s="2225">
        <f>AC2571</f>
        <v>30000</v>
      </c>
      <c r="AD2573" s="2857"/>
      <c r="AE2573" s="2857"/>
      <c r="AF2573" s="2857"/>
      <c r="AG2573" s="2857"/>
      <c r="AH2573" s="1942"/>
      <c r="AI2573" s="1942"/>
      <c r="AJ2573" s="1942"/>
      <c r="AK2573" s="1942"/>
      <c r="AL2573" s="1942"/>
      <c r="AM2573" s="1942"/>
      <c r="AN2573" s="1942"/>
      <c r="AO2573" s="1942"/>
      <c r="AP2573" s="1942"/>
      <c r="AQ2573" s="1942"/>
      <c r="AR2573" s="1942"/>
      <c r="AS2573" s="1942"/>
      <c r="AT2573" s="1942"/>
      <c r="AU2573" s="1942"/>
      <c r="AV2573" s="1942"/>
      <c r="AW2573" s="1942"/>
      <c r="AX2573" s="1942"/>
      <c r="AY2573" s="1942"/>
      <c r="AZ2573" s="1942"/>
      <c r="BA2573" s="1942"/>
      <c r="BB2573" s="575"/>
      <c r="BC2573" s="576"/>
      <c r="BD2573" s="678"/>
      <c r="BE2573" s="585"/>
    </row>
    <row r="2574" spans="1:57" s="1942" customFormat="1" ht="15" hidden="1" customHeight="1" outlineLevel="1" x14ac:dyDescent="0.25">
      <c r="A2574" s="2060"/>
      <c r="B2574" s="123"/>
      <c r="C2574" s="328"/>
      <c r="D2574" s="3990"/>
      <c r="E2574" s="4009"/>
      <c r="F2574" s="3010" t="str">
        <f>$E$1457</f>
        <v>ASHP-SEER15-Replace_CAC_NonElectricHeat_ER1_MF</v>
      </c>
      <c r="G2574" s="2676"/>
      <c r="H2574" s="2676"/>
      <c r="I2574" s="2677"/>
      <c r="J2574" s="3298" t="str">
        <f>$C$1457</f>
        <v>352760_2021_12_</v>
      </c>
      <c r="K2574" s="2225">
        <v>30000</v>
      </c>
      <c r="L2574" s="2726"/>
      <c r="M2574" s="2723" t="s">
        <v>1125</v>
      </c>
      <c r="N2574" s="123"/>
      <c r="O2574" s="228"/>
      <c r="P2574" s="844"/>
      <c r="Q2574" s="844"/>
      <c r="R2574" s="844"/>
      <c r="S2574" s="832"/>
      <c r="T2574" s="3082"/>
      <c r="U2574" s="123"/>
      <c r="V2574" s="3990"/>
      <c r="W2574" s="2857"/>
      <c r="X2574" s="2857"/>
      <c r="Y2574" s="3155"/>
      <c r="Z2574" s="2857"/>
      <c r="AA2574" s="2857"/>
      <c r="AB2574" s="3150"/>
      <c r="AC2574" s="2225">
        <v>30000</v>
      </c>
      <c r="AD2574" s="2857"/>
      <c r="AE2574" s="2857"/>
      <c r="AF2574" s="2857"/>
      <c r="AG2574" s="2857"/>
      <c r="BB2574" s="575"/>
      <c r="BC2574" s="576"/>
      <c r="BD2574" s="678"/>
      <c r="BE2574" s="585"/>
    </row>
    <row r="2575" spans="1:57" s="1942" customFormat="1" ht="15" hidden="1" customHeight="1" outlineLevel="1" x14ac:dyDescent="0.25">
      <c r="A2575" s="2060"/>
      <c r="B2575" s="123"/>
      <c r="C2575" s="328"/>
      <c r="D2575" s="3990"/>
      <c r="E2575" s="4009"/>
      <c r="F2575" s="3010" t="str">
        <f>$E$1459</f>
        <v>ASHP-SEER15-Replace_CAC_NonElectricHeat_ER2_MF</v>
      </c>
      <c r="G2575" s="2676"/>
      <c r="H2575" s="2676"/>
      <c r="I2575" s="2677"/>
      <c r="J2575" s="3298" t="str">
        <f>$C$1459</f>
        <v>352760_2021_12_</v>
      </c>
      <c r="K2575" s="2225">
        <f>K2574</f>
        <v>30000</v>
      </c>
      <c r="L2575" s="2726"/>
      <c r="M2575" s="2723" t="s">
        <v>1125</v>
      </c>
      <c r="N2575" s="123"/>
      <c r="O2575" s="228"/>
      <c r="P2575" s="844"/>
      <c r="Q2575" s="844"/>
      <c r="R2575" s="844"/>
      <c r="S2575" s="832"/>
      <c r="T2575" s="3082"/>
      <c r="U2575" s="123"/>
      <c r="V2575" s="3990"/>
      <c r="W2575" s="2857"/>
      <c r="X2575" s="2857"/>
      <c r="Y2575" s="3155"/>
      <c r="Z2575" s="2857"/>
      <c r="AA2575" s="2857"/>
      <c r="AB2575" s="3150"/>
      <c r="AC2575" s="2225">
        <f>AC2574</f>
        <v>30000</v>
      </c>
      <c r="AD2575" s="2857"/>
      <c r="AE2575" s="2857"/>
      <c r="AF2575" s="2857"/>
      <c r="AG2575" s="2857"/>
      <c r="BB2575" s="575"/>
      <c r="BC2575" s="576"/>
      <c r="BD2575" s="678"/>
      <c r="BE2575" s="585"/>
    </row>
    <row r="2576" spans="1:57" s="1942" customFormat="1" ht="15" hidden="1" customHeight="1" outlineLevel="1" x14ac:dyDescent="0.25">
      <c r="A2576" s="2060"/>
      <c r="B2576" s="123"/>
      <c r="C2576" s="328"/>
      <c r="D2576" s="3990"/>
      <c r="E2576" s="4009"/>
      <c r="F2576" s="3010" t="str">
        <f>$E$1461</f>
        <v>ASHP-SEER15-Replace_CAC_NonElectricHeat_ER1_MF_CompE</v>
      </c>
      <c r="G2576" s="2676"/>
      <c r="H2576" s="2676"/>
      <c r="I2576" s="2677"/>
      <c r="J2576" s="3298" t="str">
        <f>$C$1461</f>
        <v>352761_2021_12_</v>
      </c>
      <c r="K2576" s="2225">
        <f>K2574</f>
        <v>30000</v>
      </c>
      <c r="L2576" s="2726"/>
      <c r="M2576" s="2723" t="s">
        <v>1125</v>
      </c>
      <c r="N2576" s="123"/>
      <c r="O2576" s="228"/>
      <c r="P2576" s="844"/>
      <c r="Q2576" s="844"/>
      <c r="R2576" s="844"/>
      <c r="S2576" s="832"/>
      <c r="T2576" s="3082"/>
      <c r="U2576" s="123"/>
      <c r="V2576" s="3990"/>
      <c r="W2576" s="2857"/>
      <c r="X2576" s="2857"/>
      <c r="Y2576" s="3155"/>
      <c r="Z2576" s="2857"/>
      <c r="AA2576" s="2857"/>
      <c r="AB2576" s="3150"/>
      <c r="AC2576" s="2225">
        <f>AC2574</f>
        <v>30000</v>
      </c>
      <c r="AD2576" s="2857"/>
      <c r="AE2576" s="2857"/>
      <c r="AF2576" s="2857"/>
      <c r="AG2576" s="2857"/>
      <c r="BB2576" s="575"/>
      <c r="BC2576" s="576"/>
      <c r="BD2576" s="678"/>
      <c r="BE2576" s="585"/>
    </row>
    <row r="2577" spans="1:57" s="1942" customFormat="1" ht="15" hidden="1" customHeight="1" outlineLevel="1" x14ac:dyDescent="0.25">
      <c r="A2577" s="2060"/>
      <c r="B2577" s="123"/>
      <c r="C2577" s="328"/>
      <c r="D2577" s="3990"/>
      <c r="E2577" s="4009"/>
      <c r="F2577" s="3010" t="str">
        <f>$E$1463</f>
        <v>ASHP-SEER15-Replace_CAC_NonElectricHeat_ER2_MF_CompE</v>
      </c>
      <c r="G2577" s="2676"/>
      <c r="H2577" s="2676"/>
      <c r="I2577" s="2677"/>
      <c r="J2577" s="3298" t="str">
        <f>$C$1463</f>
        <v>352761_2021_12_</v>
      </c>
      <c r="K2577" s="2225">
        <f>K2575</f>
        <v>30000</v>
      </c>
      <c r="L2577" s="2726"/>
      <c r="M2577" s="2723" t="s">
        <v>1125</v>
      </c>
      <c r="N2577" s="123"/>
      <c r="O2577" s="228"/>
      <c r="P2577" s="844"/>
      <c r="Q2577" s="844"/>
      <c r="R2577" s="844"/>
      <c r="S2577" s="832"/>
      <c r="T2577" s="3082"/>
      <c r="U2577" s="123"/>
      <c r="V2577" s="3990"/>
      <c r="W2577" s="2857"/>
      <c r="X2577" s="2857"/>
      <c r="Y2577" s="3155"/>
      <c r="Z2577" s="2857"/>
      <c r="AA2577" s="2857"/>
      <c r="AB2577" s="3150"/>
      <c r="AC2577" s="2225">
        <f>AC2575</f>
        <v>30000</v>
      </c>
      <c r="AD2577" s="2857"/>
      <c r="AE2577" s="2857"/>
      <c r="AF2577" s="2857"/>
      <c r="AG2577" s="2857"/>
      <c r="BB2577" s="575"/>
      <c r="BC2577" s="576"/>
      <c r="BD2577" s="678"/>
      <c r="BE2577" s="585"/>
    </row>
    <row r="2578" spans="1:57" s="51" customFormat="1" ht="15" hidden="1" customHeight="1" outlineLevel="1" x14ac:dyDescent="0.25">
      <c r="A2578" s="2060"/>
      <c r="B2578" s="123"/>
      <c r="C2578" s="328"/>
      <c r="D2578" s="3990"/>
      <c r="E2578" s="4009"/>
      <c r="F2578" s="3010" t="str">
        <f>$E$1465</f>
        <v>ASHP-SEER15-Replace_CAC_ElectricHeat_ROF_MF</v>
      </c>
      <c r="G2578" s="2676"/>
      <c r="H2578" s="2676"/>
      <c r="I2578" s="2677"/>
      <c r="J2578" s="3299" t="str">
        <f>$C$1465</f>
        <v>352800_2019_12_</v>
      </c>
      <c r="K2578" s="2551">
        <v>31200</v>
      </c>
      <c r="L2578" s="1597">
        <f t="shared" si="202"/>
        <v>2.6</v>
      </c>
      <c r="M2578" s="2278" t="s">
        <v>1149</v>
      </c>
      <c r="N2578" s="123"/>
      <c r="O2578" s="228"/>
      <c r="P2578" s="844"/>
      <c r="Q2578" s="844"/>
      <c r="R2578" s="844"/>
      <c r="S2578" s="832"/>
      <c r="T2578" s="3082"/>
      <c r="U2578" s="123"/>
      <c r="V2578" s="3990"/>
      <c r="W2578" s="2857">
        <v>31200</v>
      </c>
      <c r="X2578" s="2857">
        <v>31200</v>
      </c>
      <c r="Y2578" s="2857">
        <v>31200</v>
      </c>
      <c r="Z2578" s="2857">
        <v>31200</v>
      </c>
      <c r="AA2578" s="2857">
        <v>31200</v>
      </c>
      <c r="AB2578" s="2855">
        <v>31200</v>
      </c>
      <c r="AC2578" s="2551">
        <v>31200</v>
      </c>
      <c r="AD2578" s="2857"/>
      <c r="AE2578" s="2857"/>
      <c r="AF2578" s="2857"/>
      <c r="AG2578" s="2857"/>
      <c r="AH2578" s="1942"/>
      <c r="AI2578" s="1942"/>
      <c r="AJ2578" s="1942"/>
      <c r="AK2578" s="1942"/>
      <c r="AL2578" s="1942"/>
      <c r="AM2578" s="1942"/>
      <c r="AN2578" s="1942"/>
      <c r="AO2578" s="1942"/>
      <c r="AP2578" s="1942"/>
      <c r="AQ2578" s="1942"/>
      <c r="AR2578" s="1942"/>
      <c r="AS2578" s="1942"/>
      <c r="AT2578" s="1942"/>
      <c r="AU2578" s="1942"/>
      <c r="AV2578" s="1942"/>
      <c r="AW2578" s="1942"/>
      <c r="AX2578" s="1942"/>
      <c r="AY2578" s="1942"/>
      <c r="AZ2578" s="1942"/>
      <c r="BA2578" s="1942"/>
      <c r="BB2578" s="575"/>
      <c r="BC2578" s="576"/>
      <c r="BD2578" s="678"/>
      <c r="BE2578" s="585"/>
    </row>
    <row r="2579" spans="1:57" s="51" customFormat="1" ht="15" hidden="1" customHeight="1" outlineLevel="1" x14ac:dyDescent="0.25">
      <c r="A2579" s="2060"/>
      <c r="B2579" s="123"/>
      <c r="C2579" s="328"/>
      <c r="D2579" s="3990"/>
      <c r="E2579" s="4009"/>
      <c r="F2579" s="3010" t="str">
        <f>$E$1467</f>
        <v>ASHP-SEER15-Replace_CAC_ElectricHeat_ROF_MF_CompE</v>
      </c>
      <c r="G2579" s="2676"/>
      <c r="H2579" s="2676"/>
      <c r="I2579" s="2677"/>
      <c r="J2579" s="3299" t="str">
        <f>$C$1467</f>
        <v>352801_2021_12_</v>
      </c>
      <c r="K2579" s="2551">
        <f>K2578</f>
        <v>31200</v>
      </c>
      <c r="L2579" s="1597">
        <f t="shared" si="202"/>
        <v>2.6</v>
      </c>
      <c r="M2579" s="2278"/>
      <c r="N2579" s="123"/>
      <c r="O2579" s="228"/>
      <c r="P2579" s="844"/>
      <c r="Q2579" s="844"/>
      <c r="R2579" s="844"/>
      <c r="S2579" s="832"/>
      <c r="T2579" s="3082"/>
      <c r="U2579" s="123"/>
      <c r="V2579" s="3990"/>
      <c r="W2579" s="2857"/>
      <c r="X2579" s="2857"/>
      <c r="Y2579" s="3155">
        <v>31200</v>
      </c>
      <c r="Z2579" s="2857">
        <v>31200</v>
      </c>
      <c r="AA2579" s="2857">
        <v>31200</v>
      </c>
      <c r="AB2579" s="2855">
        <v>31200</v>
      </c>
      <c r="AC2579" s="2551">
        <f>AC2578</f>
        <v>31200</v>
      </c>
      <c r="AD2579" s="2857"/>
      <c r="AE2579" s="2857"/>
      <c r="AF2579" s="2857"/>
      <c r="AG2579" s="2857"/>
      <c r="AH2579" s="1942"/>
      <c r="AI2579" s="1942"/>
      <c r="AJ2579" s="1942"/>
      <c r="AK2579" s="1942"/>
      <c r="AL2579" s="1942"/>
      <c r="AM2579" s="1942"/>
      <c r="AN2579" s="1942"/>
      <c r="AO2579" s="1942"/>
      <c r="AP2579" s="1942"/>
      <c r="AQ2579" s="1942"/>
      <c r="AR2579" s="1942"/>
      <c r="AS2579" s="1942"/>
      <c r="AT2579" s="1942"/>
      <c r="AU2579" s="1942"/>
      <c r="AV2579" s="1942"/>
      <c r="AW2579" s="1942"/>
      <c r="AX2579" s="1942"/>
      <c r="AY2579" s="1942"/>
      <c r="AZ2579" s="1942"/>
      <c r="BA2579" s="1942"/>
      <c r="BB2579" s="575"/>
      <c r="BC2579" s="576"/>
      <c r="BD2579" s="678"/>
      <c r="BE2579" s="585"/>
    </row>
    <row r="2580" spans="1:57" s="1942" customFormat="1" ht="15" hidden="1" customHeight="1" outlineLevel="1" x14ac:dyDescent="0.25">
      <c r="A2580" s="2060"/>
      <c r="B2580" s="123"/>
      <c r="C2580" s="328"/>
      <c r="D2580" s="3990"/>
      <c r="E2580" s="4009"/>
      <c r="F2580" s="3010" t="str">
        <f>$E$1469</f>
        <v>ASHP-SEER15-Replace_CAC_NonElectricHeat_ROF_MF</v>
      </c>
      <c r="G2580" s="2676"/>
      <c r="H2580" s="2676"/>
      <c r="I2580" s="2677"/>
      <c r="J2580" s="3298" t="str">
        <f>$C$1469</f>
        <v>352810_2021_12_</v>
      </c>
      <c r="K2580" s="2225">
        <v>31200</v>
      </c>
      <c r="L2580" s="1597"/>
      <c r="M2580" s="2723" t="s">
        <v>1125</v>
      </c>
      <c r="N2580" s="123"/>
      <c r="O2580" s="228"/>
      <c r="P2580" s="844"/>
      <c r="Q2580" s="844"/>
      <c r="R2580" s="844"/>
      <c r="S2580" s="832"/>
      <c r="T2580" s="3082"/>
      <c r="U2580" s="123"/>
      <c r="V2580" s="3990"/>
      <c r="W2580" s="2857"/>
      <c r="X2580" s="2857"/>
      <c r="Y2580" s="3155"/>
      <c r="Z2580" s="2857"/>
      <c r="AA2580" s="2857"/>
      <c r="AB2580" s="2855"/>
      <c r="AC2580" s="2225">
        <v>31200</v>
      </c>
      <c r="AD2580" s="2857"/>
      <c r="AE2580" s="2857"/>
      <c r="AF2580" s="2857"/>
      <c r="AG2580" s="2857"/>
      <c r="BB2580" s="575"/>
      <c r="BC2580" s="576"/>
      <c r="BD2580" s="678"/>
      <c r="BE2580" s="585"/>
    </row>
    <row r="2581" spans="1:57" s="1942" customFormat="1" ht="15" hidden="1" customHeight="1" outlineLevel="1" x14ac:dyDescent="0.25">
      <c r="A2581" s="2060"/>
      <c r="B2581" s="123"/>
      <c r="C2581" s="328"/>
      <c r="D2581" s="3990"/>
      <c r="E2581" s="4009"/>
      <c r="F2581" s="3010" t="str">
        <f>$E$1471</f>
        <v>ASHP-SEER15-Replace_CAC_NonElectricHeat_ROF_MF_CompE</v>
      </c>
      <c r="G2581" s="2676"/>
      <c r="H2581" s="2676"/>
      <c r="I2581" s="2677"/>
      <c r="J2581" s="3298" t="str">
        <f>$C$1471</f>
        <v>352811_2021_12_</v>
      </c>
      <c r="K2581" s="2225">
        <f>K2580</f>
        <v>31200</v>
      </c>
      <c r="L2581" s="1597"/>
      <c r="M2581" s="2723" t="s">
        <v>1125</v>
      </c>
      <c r="N2581" s="123"/>
      <c r="O2581" s="228"/>
      <c r="P2581" s="844"/>
      <c r="Q2581" s="844"/>
      <c r="R2581" s="844"/>
      <c r="S2581" s="832"/>
      <c r="T2581" s="3082"/>
      <c r="U2581" s="123"/>
      <c r="V2581" s="3990"/>
      <c r="W2581" s="2857"/>
      <c r="X2581" s="2857"/>
      <c r="Y2581" s="3155"/>
      <c r="Z2581" s="2857"/>
      <c r="AA2581" s="2857"/>
      <c r="AB2581" s="2855"/>
      <c r="AC2581" s="2225">
        <f>AC2580</f>
        <v>31200</v>
      </c>
      <c r="AD2581" s="2857"/>
      <c r="AE2581" s="2857"/>
      <c r="AF2581" s="2857"/>
      <c r="AG2581" s="2857"/>
      <c r="BB2581" s="575"/>
      <c r="BC2581" s="576"/>
      <c r="BD2581" s="678"/>
      <c r="BE2581" s="585"/>
    </row>
    <row r="2582" spans="1:57" s="51" customFormat="1" ht="15" hidden="1" customHeight="1" outlineLevel="1" x14ac:dyDescent="0.25">
      <c r="A2582" s="2060"/>
      <c r="B2582" s="123"/>
      <c r="C2582" s="328"/>
      <c r="D2582" s="3990"/>
      <c r="E2582" s="4009"/>
      <c r="F2582" s="3010" t="str">
        <f>$E$1473</f>
        <v>ASHP-SEER16_ER1_MF</v>
      </c>
      <c r="G2582" s="2676"/>
      <c r="H2582" s="2676"/>
      <c r="I2582" s="2677"/>
      <c r="J2582" s="3298" t="str">
        <f>$C$1473</f>
        <v>352850_2021_12_</v>
      </c>
      <c r="K2582" s="2225">
        <v>36000</v>
      </c>
      <c r="L2582" s="2726">
        <f t="shared" si="202"/>
        <v>3</v>
      </c>
      <c r="M2582" s="2723" t="s">
        <v>1551</v>
      </c>
      <c r="N2582" s="123"/>
      <c r="O2582" s="228"/>
      <c r="P2582" s="844"/>
      <c r="Q2582" s="844"/>
      <c r="R2582" s="844"/>
      <c r="S2582" s="832"/>
      <c r="T2582" s="3082"/>
      <c r="U2582" s="123"/>
      <c r="V2582" s="3990"/>
      <c r="W2582" s="2857">
        <v>39600</v>
      </c>
      <c r="X2582" s="2857">
        <v>39600</v>
      </c>
      <c r="Y2582" s="2857">
        <v>39600</v>
      </c>
      <c r="Z2582" s="2857">
        <v>39600</v>
      </c>
      <c r="AA2582" s="2857">
        <v>39600</v>
      </c>
      <c r="AB2582" s="2855">
        <v>39600</v>
      </c>
      <c r="AC2582" s="2225">
        <v>36000</v>
      </c>
      <c r="AD2582" s="2857"/>
      <c r="AE2582" s="2857"/>
      <c r="AF2582" s="2857"/>
      <c r="AG2582" s="2857"/>
      <c r="AH2582" s="1942"/>
      <c r="AI2582" s="1942"/>
      <c r="AJ2582" s="1942"/>
      <c r="AK2582" s="1942"/>
      <c r="AL2582" s="1942"/>
      <c r="AM2582" s="1942"/>
      <c r="AN2582" s="1942"/>
      <c r="AO2582" s="1942"/>
      <c r="AP2582" s="1942"/>
      <c r="AQ2582" s="1942"/>
      <c r="AR2582" s="1942"/>
      <c r="AS2582" s="1942"/>
      <c r="AT2582" s="1942"/>
      <c r="AU2582" s="1942"/>
      <c r="AV2582" s="1942"/>
      <c r="AW2582" s="1942"/>
      <c r="AX2582" s="1942"/>
      <c r="AY2582" s="1942"/>
      <c r="AZ2582" s="1942"/>
      <c r="BA2582" s="1942"/>
      <c r="BB2582" s="575"/>
      <c r="BC2582" s="576"/>
      <c r="BD2582" s="678"/>
      <c r="BE2582" s="585"/>
    </row>
    <row r="2583" spans="1:57" s="51" customFormat="1" ht="15" hidden="1" customHeight="1" outlineLevel="1" x14ac:dyDescent="0.25">
      <c r="A2583" s="2060"/>
      <c r="B2583" s="123"/>
      <c r="C2583" s="328"/>
      <c r="D2583" s="3990"/>
      <c r="E2583" s="4009"/>
      <c r="F2583" s="3010" t="str">
        <f>$E$1475</f>
        <v>ASHP-SEER16_ER2_MF</v>
      </c>
      <c r="G2583" s="2676"/>
      <c r="H2583" s="2676"/>
      <c r="I2583" s="2677"/>
      <c r="J2583" s="3298" t="str">
        <f>$C$1475</f>
        <v>352850_2021_12_</v>
      </c>
      <c r="K2583" s="2225">
        <f>K2582</f>
        <v>36000</v>
      </c>
      <c r="L2583" s="2726">
        <f t="shared" si="202"/>
        <v>3</v>
      </c>
      <c r="M2583" s="2723" t="s">
        <v>1551</v>
      </c>
      <c r="N2583" s="123"/>
      <c r="O2583" s="228"/>
      <c r="P2583" s="844"/>
      <c r="Q2583" s="844"/>
      <c r="R2583" s="844"/>
      <c r="S2583" s="832"/>
      <c r="T2583" s="3082"/>
      <c r="U2583" s="123"/>
      <c r="V2583" s="3990"/>
      <c r="W2583" s="2857">
        <v>39600</v>
      </c>
      <c r="X2583" s="2857">
        <v>39600</v>
      </c>
      <c r="Y2583" s="2857">
        <v>39600</v>
      </c>
      <c r="Z2583" s="2857">
        <v>39600</v>
      </c>
      <c r="AA2583" s="2857">
        <v>39600</v>
      </c>
      <c r="AB2583" s="2855">
        <v>39600</v>
      </c>
      <c r="AC2583" s="2225">
        <f>AC2582</f>
        <v>36000</v>
      </c>
      <c r="AD2583" s="2857"/>
      <c r="AE2583" s="2857"/>
      <c r="AF2583" s="2857"/>
      <c r="AG2583" s="2857"/>
      <c r="AH2583" s="1942"/>
      <c r="AI2583" s="1942"/>
      <c r="AJ2583" s="1942"/>
      <c r="AK2583" s="1942"/>
      <c r="AL2583" s="1942"/>
      <c r="AM2583" s="1942"/>
      <c r="AN2583" s="1942"/>
      <c r="AO2583" s="1942"/>
      <c r="AP2583" s="1942"/>
      <c r="AQ2583" s="1942"/>
      <c r="AR2583" s="1942"/>
      <c r="AS2583" s="1942"/>
      <c r="AT2583" s="1942"/>
      <c r="AU2583" s="1942"/>
      <c r="AV2583" s="1942"/>
      <c r="AW2583" s="1942"/>
      <c r="AX2583" s="1942"/>
      <c r="AY2583" s="1942"/>
      <c r="AZ2583" s="1942"/>
      <c r="BA2583" s="1942"/>
      <c r="BB2583" s="575"/>
      <c r="BC2583" s="576"/>
      <c r="BD2583" s="678"/>
      <c r="BE2583" s="585"/>
    </row>
    <row r="2584" spans="1:57" s="51" customFormat="1" ht="15" hidden="1" customHeight="1" outlineLevel="1" x14ac:dyDescent="0.25">
      <c r="A2584" s="2060"/>
      <c r="B2584" s="123"/>
      <c r="C2584" s="328"/>
      <c r="D2584" s="3990"/>
      <c r="E2584" s="4009"/>
      <c r="F2584" s="3010" t="str">
        <f>$E$1477</f>
        <v>ASHP-SEER16_ER1_MF_CompE</v>
      </c>
      <c r="G2584" s="2676"/>
      <c r="H2584" s="2676"/>
      <c r="I2584" s="2677"/>
      <c r="J2584" s="3298" t="str">
        <f>$C$1477</f>
        <v>352851_2021_12_</v>
      </c>
      <c r="K2584" s="2225">
        <f>K2582</f>
        <v>36000</v>
      </c>
      <c r="L2584" s="2726">
        <f t="shared" si="202"/>
        <v>3</v>
      </c>
      <c r="M2584" s="2723" t="s">
        <v>1125</v>
      </c>
      <c r="N2584" s="123"/>
      <c r="O2584" s="228"/>
      <c r="P2584" s="844"/>
      <c r="Q2584" s="844"/>
      <c r="R2584" s="844"/>
      <c r="S2584" s="832"/>
      <c r="T2584" s="3082"/>
      <c r="U2584" s="123"/>
      <c r="V2584" s="3990"/>
      <c r="W2584" s="2857"/>
      <c r="X2584" s="2857"/>
      <c r="Y2584" s="3155">
        <v>39600</v>
      </c>
      <c r="Z2584" s="2857">
        <v>39600</v>
      </c>
      <c r="AA2584" s="2857">
        <v>39600</v>
      </c>
      <c r="AB2584" s="2855">
        <v>39600</v>
      </c>
      <c r="AC2584" s="2225">
        <f>AC2582</f>
        <v>36000</v>
      </c>
      <c r="AD2584" s="2857"/>
      <c r="AE2584" s="2857"/>
      <c r="AF2584" s="2857"/>
      <c r="AG2584" s="2857"/>
      <c r="AH2584" s="1942"/>
      <c r="AI2584" s="1942"/>
      <c r="AJ2584" s="1942"/>
      <c r="AK2584" s="1942"/>
      <c r="AL2584" s="1942"/>
      <c r="AM2584" s="1942"/>
      <c r="AN2584" s="1942"/>
      <c r="AO2584" s="1942"/>
      <c r="AP2584" s="1942"/>
      <c r="AQ2584" s="1942"/>
      <c r="AR2584" s="1942"/>
      <c r="AS2584" s="1942"/>
      <c r="AT2584" s="1942"/>
      <c r="AU2584" s="1942"/>
      <c r="AV2584" s="1942"/>
      <c r="AW2584" s="1942"/>
      <c r="AX2584" s="1942"/>
      <c r="AY2584" s="1942"/>
      <c r="AZ2584" s="1942"/>
      <c r="BA2584" s="1942"/>
      <c r="BB2584" s="575"/>
      <c r="BC2584" s="576"/>
      <c r="BD2584" s="678"/>
      <c r="BE2584" s="585"/>
    </row>
    <row r="2585" spans="1:57" s="51" customFormat="1" ht="15" hidden="1" customHeight="1" outlineLevel="1" x14ac:dyDescent="0.25">
      <c r="A2585" s="2060"/>
      <c r="B2585" s="123"/>
      <c r="C2585" s="328"/>
      <c r="D2585" s="3990"/>
      <c r="E2585" s="4009"/>
      <c r="F2585" s="3010" t="str">
        <f>$E$1479</f>
        <v>ASHP-SEER16_ER2_MF_CompE</v>
      </c>
      <c r="G2585" s="2676"/>
      <c r="H2585" s="2676"/>
      <c r="I2585" s="2677"/>
      <c r="J2585" s="3298" t="str">
        <f>$C$1479</f>
        <v>352851_2021_12_</v>
      </c>
      <c r="K2585" s="2225">
        <f>K2583</f>
        <v>36000</v>
      </c>
      <c r="L2585" s="2726">
        <f t="shared" si="202"/>
        <v>3</v>
      </c>
      <c r="M2585" s="2723" t="s">
        <v>1125</v>
      </c>
      <c r="N2585" s="123"/>
      <c r="O2585" s="228"/>
      <c r="P2585" s="844"/>
      <c r="Q2585" s="844"/>
      <c r="R2585" s="844"/>
      <c r="S2585" s="832"/>
      <c r="T2585" s="3082"/>
      <c r="U2585" s="123"/>
      <c r="V2585" s="3990"/>
      <c r="W2585" s="2857"/>
      <c r="X2585" s="2857"/>
      <c r="Y2585" s="3155">
        <v>39600</v>
      </c>
      <c r="Z2585" s="2857">
        <v>39600</v>
      </c>
      <c r="AA2585" s="2857">
        <v>39600</v>
      </c>
      <c r="AB2585" s="2855">
        <v>39600</v>
      </c>
      <c r="AC2585" s="2225">
        <f>AC2583</f>
        <v>36000</v>
      </c>
      <c r="AD2585" s="2857"/>
      <c r="AE2585" s="2857"/>
      <c r="AF2585" s="2857"/>
      <c r="AG2585" s="2857"/>
      <c r="AH2585" s="1942"/>
      <c r="AI2585" s="1942"/>
      <c r="AJ2585" s="1942"/>
      <c r="AK2585" s="1942"/>
      <c r="AL2585" s="1942"/>
      <c r="AM2585" s="1942"/>
      <c r="AN2585" s="1942"/>
      <c r="AO2585" s="1942"/>
      <c r="AP2585" s="1942"/>
      <c r="AQ2585" s="1942"/>
      <c r="AR2585" s="1942"/>
      <c r="AS2585" s="1942"/>
      <c r="AT2585" s="1942"/>
      <c r="AU2585" s="1942"/>
      <c r="AV2585" s="1942"/>
      <c r="AW2585" s="1942"/>
      <c r="AX2585" s="1942"/>
      <c r="AY2585" s="1942"/>
      <c r="AZ2585" s="1942"/>
      <c r="BA2585" s="1942"/>
      <c r="BB2585" s="575"/>
      <c r="BC2585" s="576"/>
      <c r="BD2585" s="678"/>
      <c r="BE2585" s="585"/>
    </row>
    <row r="2586" spans="1:57" s="51" customFormat="1" ht="15" hidden="1" customHeight="1" outlineLevel="1" x14ac:dyDescent="0.25">
      <c r="A2586" s="2060"/>
      <c r="B2586" s="123"/>
      <c r="C2586" s="328"/>
      <c r="D2586" s="3990"/>
      <c r="E2586" s="4009"/>
      <c r="F2586" s="3010" t="str">
        <f>$E$1481</f>
        <v>ASHP-SEER16_ROF_MF</v>
      </c>
      <c r="G2586" s="2676"/>
      <c r="H2586" s="2676"/>
      <c r="I2586" s="2677"/>
      <c r="J2586" s="3298" t="str">
        <f>$C$1481</f>
        <v>352900_2021_12_</v>
      </c>
      <c r="K2586" s="2225">
        <v>36000</v>
      </c>
      <c r="L2586" s="2726">
        <f t="shared" si="202"/>
        <v>3</v>
      </c>
      <c r="M2586" s="2723" t="s">
        <v>1551</v>
      </c>
      <c r="N2586" s="123"/>
      <c r="O2586" s="228"/>
      <c r="P2586" s="844"/>
      <c r="Q2586" s="844"/>
      <c r="R2586" s="844"/>
      <c r="S2586" s="832"/>
      <c r="T2586" s="3082"/>
      <c r="U2586" s="123"/>
      <c r="V2586" s="3990"/>
      <c r="W2586" s="2857">
        <v>39600</v>
      </c>
      <c r="X2586" s="2857">
        <v>39600</v>
      </c>
      <c r="Y2586" s="2857">
        <v>39600</v>
      </c>
      <c r="Z2586" s="2857">
        <v>39600</v>
      </c>
      <c r="AA2586" s="2857">
        <v>39600</v>
      </c>
      <c r="AB2586" s="2855">
        <v>39600</v>
      </c>
      <c r="AC2586" s="2225">
        <v>36000</v>
      </c>
      <c r="AD2586" s="2857"/>
      <c r="AE2586" s="2857"/>
      <c r="AF2586" s="2857"/>
      <c r="AG2586" s="2857"/>
      <c r="AH2586" s="1942"/>
      <c r="AI2586" s="1942"/>
      <c r="AJ2586" s="1942"/>
      <c r="AK2586" s="1942"/>
      <c r="AL2586" s="1942"/>
      <c r="AM2586" s="1942"/>
      <c r="AN2586" s="1942"/>
      <c r="AO2586" s="1942"/>
      <c r="AP2586" s="1942"/>
      <c r="AQ2586" s="1942"/>
      <c r="AR2586" s="1942"/>
      <c r="AS2586" s="1942"/>
      <c r="AT2586" s="1942"/>
      <c r="AU2586" s="1942"/>
      <c r="AV2586" s="1942"/>
      <c r="AW2586" s="1942"/>
      <c r="AX2586" s="1942"/>
      <c r="AY2586" s="1942"/>
      <c r="AZ2586" s="1942"/>
      <c r="BA2586" s="1942"/>
      <c r="BB2586" s="575"/>
      <c r="BC2586" s="576"/>
      <c r="BD2586" s="678"/>
      <c r="BE2586" s="585"/>
    </row>
    <row r="2587" spans="1:57" s="51" customFormat="1" ht="15" hidden="1" customHeight="1" outlineLevel="1" x14ac:dyDescent="0.25">
      <c r="A2587" s="2060"/>
      <c r="B2587" s="123"/>
      <c r="C2587" s="328"/>
      <c r="D2587" s="3990"/>
      <c r="E2587" s="4009"/>
      <c r="F2587" s="3010" t="str">
        <f>$E$1483</f>
        <v>ASHP-SEER16_ROF_MF_CompE</v>
      </c>
      <c r="G2587" s="2676"/>
      <c r="H2587" s="2676"/>
      <c r="I2587" s="2677"/>
      <c r="J2587" s="3298" t="str">
        <f>$C$1483</f>
        <v>352901_2021_12_</v>
      </c>
      <c r="K2587" s="2225">
        <f>K2586</f>
        <v>36000</v>
      </c>
      <c r="L2587" s="2726">
        <f t="shared" si="202"/>
        <v>3</v>
      </c>
      <c r="M2587" s="2723" t="s">
        <v>1125</v>
      </c>
      <c r="N2587" s="123"/>
      <c r="O2587" s="228"/>
      <c r="P2587" s="844"/>
      <c r="Q2587" s="844"/>
      <c r="R2587" s="844"/>
      <c r="S2587" s="832"/>
      <c r="T2587" s="3082"/>
      <c r="U2587" s="123"/>
      <c r="V2587" s="3990"/>
      <c r="W2587" s="2857"/>
      <c r="X2587" s="2857"/>
      <c r="Y2587" s="3155">
        <v>39600</v>
      </c>
      <c r="Z2587" s="2857">
        <v>39600</v>
      </c>
      <c r="AA2587" s="2857">
        <v>39600</v>
      </c>
      <c r="AB2587" s="2855">
        <v>39600</v>
      </c>
      <c r="AC2587" s="2225">
        <f>AC2586</f>
        <v>36000</v>
      </c>
      <c r="AD2587" s="2857"/>
      <c r="AE2587" s="2857"/>
      <c r="AF2587" s="2857"/>
      <c r="AG2587" s="2857"/>
      <c r="AH2587" s="1942"/>
      <c r="AI2587" s="1942"/>
      <c r="AJ2587" s="1942"/>
      <c r="AK2587" s="1942"/>
      <c r="AL2587" s="1942"/>
      <c r="AM2587" s="1942"/>
      <c r="AN2587" s="1942"/>
      <c r="AO2587" s="1942"/>
      <c r="AP2587" s="1942"/>
      <c r="AQ2587" s="1942"/>
      <c r="AR2587" s="1942"/>
      <c r="AS2587" s="1942"/>
      <c r="AT2587" s="1942"/>
      <c r="AU2587" s="1942"/>
      <c r="AV2587" s="1942"/>
      <c r="AW2587" s="1942"/>
      <c r="AX2587" s="1942"/>
      <c r="AY2587" s="1942"/>
      <c r="AZ2587" s="1942"/>
      <c r="BA2587" s="1942"/>
      <c r="BB2587" s="575"/>
      <c r="BC2587" s="576"/>
      <c r="BD2587" s="678"/>
      <c r="BE2587" s="585"/>
    </row>
    <row r="2588" spans="1:57" s="51" customFormat="1" ht="15" hidden="1" customHeight="1" outlineLevel="1" x14ac:dyDescent="0.25">
      <c r="A2588" s="2060"/>
      <c r="B2588" s="123"/>
      <c r="C2588" s="328"/>
      <c r="D2588" s="3990"/>
      <c r="E2588" s="4009"/>
      <c r="F2588" s="3010" t="str">
        <f>$E$1485</f>
        <v>ASHP-SEER16-Replace_CAC_ElectricHeat_ROF_MF</v>
      </c>
      <c r="G2588" s="2676"/>
      <c r="H2588" s="2676"/>
      <c r="I2588" s="2677"/>
      <c r="J2588" s="3299" t="str">
        <f>$C$1485</f>
        <v>352950_2019_12_</v>
      </c>
      <c r="K2588" s="2551">
        <v>24000</v>
      </c>
      <c r="L2588" s="1597">
        <f t="shared" si="202"/>
        <v>2</v>
      </c>
      <c r="M2588" s="2723" t="s">
        <v>1551</v>
      </c>
      <c r="N2588" s="123"/>
      <c r="O2588" s="228"/>
      <c r="P2588" s="844"/>
      <c r="Q2588" s="844"/>
      <c r="R2588" s="844"/>
      <c r="S2588" s="832"/>
      <c r="T2588" s="3082"/>
      <c r="U2588" s="123"/>
      <c r="V2588" s="3990"/>
      <c r="W2588" s="2857">
        <v>38400</v>
      </c>
      <c r="X2588" s="2857">
        <v>38400</v>
      </c>
      <c r="Y2588" s="2857">
        <v>38400</v>
      </c>
      <c r="Z2588" s="2857">
        <v>38400</v>
      </c>
      <c r="AA2588" s="2857">
        <v>38400</v>
      </c>
      <c r="AB2588" s="3150">
        <v>24000</v>
      </c>
      <c r="AC2588" s="2551">
        <v>24000</v>
      </c>
      <c r="AD2588" s="2857"/>
      <c r="AE2588" s="2857"/>
      <c r="AF2588" s="2857"/>
      <c r="AG2588" s="2857"/>
      <c r="AH2588" s="1942"/>
      <c r="AI2588" s="1942"/>
      <c r="AJ2588" s="1942"/>
      <c r="AK2588" s="1942"/>
      <c r="AL2588" s="1942"/>
      <c r="AM2588" s="1942"/>
      <c r="AN2588" s="1942"/>
      <c r="AO2588" s="1942"/>
      <c r="AP2588" s="1942"/>
      <c r="AQ2588" s="1942"/>
      <c r="AR2588" s="1942"/>
      <c r="AS2588" s="1942"/>
      <c r="AT2588" s="1942"/>
      <c r="AU2588" s="1942"/>
      <c r="AV2588" s="1942"/>
      <c r="AW2588" s="1942"/>
      <c r="AX2588" s="1942"/>
      <c r="AY2588" s="1942"/>
      <c r="AZ2588" s="1942"/>
      <c r="BA2588" s="1942"/>
      <c r="BB2588" s="575"/>
      <c r="BC2588" s="576"/>
      <c r="BD2588" s="678"/>
      <c r="BE2588" s="585"/>
    </row>
    <row r="2589" spans="1:57" s="51" customFormat="1" ht="15" hidden="1" customHeight="1" outlineLevel="1" x14ac:dyDescent="0.25">
      <c r="A2589" s="2060"/>
      <c r="B2589" s="123"/>
      <c r="C2589" s="328"/>
      <c r="D2589" s="3990"/>
      <c r="E2589" s="4009"/>
      <c r="F2589" s="3010" t="str">
        <f>$E$1487</f>
        <v>ASHP-SEER16-Replace_CAC_ElectricHeat_ROF_MF_CompE</v>
      </c>
      <c r="G2589" s="2676"/>
      <c r="H2589" s="2676"/>
      <c r="I2589" s="2677"/>
      <c r="J2589" s="3299" t="str">
        <f>$C$1487</f>
        <v>352951_2019_12_</v>
      </c>
      <c r="K2589" s="2551">
        <f>K2588</f>
        <v>24000</v>
      </c>
      <c r="L2589" s="1597">
        <f t="shared" si="202"/>
        <v>2</v>
      </c>
      <c r="M2589" s="2278" t="s">
        <v>1553</v>
      </c>
      <c r="N2589" s="123"/>
      <c r="O2589" s="228"/>
      <c r="P2589" s="844"/>
      <c r="Q2589" s="844"/>
      <c r="R2589" s="844"/>
      <c r="S2589" s="832"/>
      <c r="T2589" s="3082"/>
      <c r="U2589" s="123"/>
      <c r="V2589" s="3990"/>
      <c r="W2589" s="2857"/>
      <c r="X2589" s="2857"/>
      <c r="Y2589" s="3155">
        <v>38400</v>
      </c>
      <c r="Z2589" s="2857">
        <v>38400</v>
      </c>
      <c r="AA2589" s="2857">
        <v>38400</v>
      </c>
      <c r="AB2589" s="3150">
        <v>24000</v>
      </c>
      <c r="AC2589" s="2551">
        <f>AC2588</f>
        <v>24000</v>
      </c>
      <c r="AD2589" s="2857"/>
      <c r="AE2589" s="2857"/>
      <c r="AF2589" s="2857"/>
      <c r="AG2589" s="2857"/>
      <c r="AH2589" s="1942"/>
      <c r="AI2589" s="1942"/>
      <c r="AJ2589" s="1942"/>
      <c r="AK2589" s="1942"/>
      <c r="AL2589" s="1942"/>
      <c r="AM2589" s="1942"/>
      <c r="AN2589" s="1942"/>
      <c r="AO2589" s="1942"/>
      <c r="AP2589" s="1942"/>
      <c r="AQ2589" s="1942"/>
      <c r="AR2589" s="1942"/>
      <c r="AS2589" s="1942"/>
      <c r="AT2589" s="1942"/>
      <c r="AU2589" s="1942"/>
      <c r="AV2589" s="1942"/>
      <c r="AW2589" s="1942"/>
      <c r="AX2589" s="1942"/>
      <c r="AY2589" s="1942"/>
      <c r="AZ2589" s="1942"/>
      <c r="BA2589" s="1942"/>
      <c r="BB2589" s="575"/>
      <c r="BC2589" s="576"/>
      <c r="BD2589" s="678"/>
      <c r="BE2589" s="585"/>
    </row>
    <row r="2590" spans="1:57" s="1942" customFormat="1" ht="15" hidden="1" customHeight="1" outlineLevel="1" x14ac:dyDescent="0.25">
      <c r="A2590" s="2060"/>
      <c r="B2590" s="123"/>
      <c r="C2590" s="328"/>
      <c r="D2590" s="3990"/>
      <c r="E2590" s="4009"/>
      <c r="F2590" s="3010" t="str">
        <f>$E$1489</f>
        <v>ASHP-SEER16-Replace_CAC_NonElectricHeat_ROF_MF</v>
      </c>
      <c r="G2590" s="2676"/>
      <c r="H2590" s="2676"/>
      <c r="I2590" s="2677"/>
      <c r="J2590" s="3298" t="str">
        <f>$C$1489</f>
        <v>352960_2021_12_</v>
      </c>
      <c r="K2590" s="2225">
        <v>24000</v>
      </c>
      <c r="L2590" s="1597"/>
      <c r="M2590" s="2723" t="s">
        <v>1125</v>
      </c>
      <c r="N2590" s="123"/>
      <c r="O2590" s="228"/>
      <c r="P2590" s="844"/>
      <c r="Q2590" s="844"/>
      <c r="R2590" s="844"/>
      <c r="S2590" s="832"/>
      <c r="T2590" s="3082"/>
      <c r="U2590" s="123"/>
      <c r="V2590" s="3990"/>
      <c r="W2590" s="2857"/>
      <c r="X2590" s="2857"/>
      <c r="Y2590" s="3155"/>
      <c r="Z2590" s="2857"/>
      <c r="AA2590" s="2857"/>
      <c r="AB2590" s="3150"/>
      <c r="AC2590" s="2225">
        <v>24000</v>
      </c>
      <c r="AD2590" s="2857"/>
      <c r="AE2590" s="2857"/>
      <c r="AF2590" s="2857"/>
      <c r="AG2590" s="2857"/>
      <c r="BB2590" s="575"/>
      <c r="BC2590" s="576"/>
      <c r="BD2590" s="678"/>
      <c r="BE2590" s="585"/>
    </row>
    <row r="2591" spans="1:57" s="1942" customFormat="1" ht="15" hidden="1" customHeight="1" outlineLevel="1" x14ac:dyDescent="0.25">
      <c r="A2591" s="2060"/>
      <c r="B2591" s="123"/>
      <c r="C2591" s="328"/>
      <c r="D2591" s="3990"/>
      <c r="E2591" s="4009"/>
      <c r="F2591" s="3010" t="str">
        <f>$E$1491</f>
        <v>ASHP-SEER16-Replace_CAC_NonElectricHeat_ROF_MF_CompE</v>
      </c>
      <c r="G2591" s="2676"/>
      <c r="H2591" s="2676"/>
      <c r="I2591" s="2677"/>
      <c r="J2591" s="3298" t="str">
        <f>$C$1491</f>
        <v>352961_2021_12_</v>
      </c>
      <c r="K2591" s="2225">
        <f>K2590</f>
        <v>24000</v>
      </c>
      <c r="L2591" s="1597"/>
      <c r="M2591" s="2723" t="s">
        <v>1125</v>
      </c>
      <c r="N2591" s="123"/>
      <c r="O2591" s="228"/>
      <c r="P2591" s="844"/>
      <c r="Q2591" s="844"/>
      <c r="R2591" s="844"/>
      <c r="S2591" s="832"/>
      <c r="T2591" s="3082"/>
      <c r="U2591" s="123"/>
      <c r="V2591" s="3990"/>
      <c r="W2591" s="2857"/>
      <c r="X2591" s="2857"/>
      <c r="Y2591" s="3155"/>
      <c r="Z2591" s="2857"/>
      <c r="AA2591" s="2857"/>
      <c r="AB2591" s="3150"/>
      <c r="AC2591" s="2225">
        <f>AC2590</f>
        <v>24000</v>
      </c>
      <c r="AD2591" s="2857"/>
      <c r="AE2591" s="2857"/>
      <c r="AF2591" s="2857"/>
      <c r="AG2591" s="2857"/>
      <c r="BB2591" s="575"/>
      <c r="BC2591" s="576"/>
      <c r="BD2591" s="678"/>
      <c r="BE2591" s="585"/>
    </row>
    <row r="2592" spans="1:57" s="51" customFormat="1" ht="15" hidden="1" customHeight="1" outlineLevel="1" x14ac:dyDescent="0.25">
      <c r="A2592" s="2060"/>
      <c r="B2592" s="123"/>
      <c r="C2592" s="328"/>
      <c r="D2592" s="3990"/>
      <c r="E2592" s="4009"/>
      <c r="F2592" s="3010" t="str">
        <f>$E$1493</f>
        <v>ASHP-SEER16-Replace_CAC_ElectricHeat_ER1_MF</v>
      </c>
      <c r="G2592" s="2676"/>
      <c r="H2592" s="2676"/>
      <c r="I2592" s="2677"/>
      <c r="J2592" s="3298" t="str">
        <f>$C$1493</f>
        <v>353000_2021_12_</v>
      </c>
      <c r="K2592" s="2225">
        <v>24000</v>
      </c>
      <c r="L2592" s="2726">
        <f t="shared" si="202"/>
        <v>2</v>
      </c>
      <c r="M2592" s="2723" t="s">
        <v>1551</v>
      </c>
      <c r="N2592" s="123"/>
      <c r="O2592" s="228"/>
      <c r="P2592" s="844"/>
      <c r="Q2592" s="844"/>
      <c r="R2592" s="844"/>
      <c r="S2592" s="832"/>
      <c r="T2592" s="3082"/>
      <c r="U2592" s="123"/>
      <c r="V2592" s="3990"/>
      <c r="W2592" s="2857">
        <v>37200</v>
      </c>
      <c r="X2592" s="2857">
        <v>37200</v>
      </c>
      <c r="Y2592" s="2857">
        <v>37200</v>
      </c>
      <c r="Z2592" s="2857">
        <v>37200</v>
      </c>
      <c r="AA2592" s="2857">
        <v>37200</v>
      </c>
      <c r="AB2592" s="3150">
        <v>39600</v>
      </c>
      <c r="AC2592" s="2225">
        <v>24000</v>
      </c>
      <c r="AD2592" s="2857"/>
      <c r="AE2592" s="2857"/>
      <c r="AF2592" s="2857"/>
      <c r="AG2592" s="2857"/>
      <c r="AH2592" s="1942"/>
      <c r="AI2592" s="1942"/>
      <c r="AJ2592" s="1942"/>
      <c r="AK2592" s="1942"/>
      <c r="AL2592" s="1942"/>
      <c r="AM2592" s="1942"/>
      <c r="AN2592" s="1942"/>
      <c r="AO2592" s="1942"/>
      <c r="AP2592" s="1942"/>
      <c r="AQ2592" s="1942"/>
      <c r="AR2592" s="1942"/>
      <c r="AS2592" s="1942"/>
      <c r="AT2592" s="1942"/>
      <c r="AU2592" s="1942"/>
      <c r="AV2592" s="1942"/>
      <c r="AW2592" s="1942"/>
      <c r="AX2592" s="1942"/>
      <c r="AY2592" s="1942"/>
      <c r="AZ2592" s="1942"/>
      <c r="BA2592" s="1942"/>
      <c r="BB2592" s="575"/>
      <c r="BC2592" s="576"/>
      <c r="BD2592" s="678"/>
      <c r="BE2592" s="585"/>
    </row>
    <row r="2593" spans="1:57" s="51" customFormat="1" ht="15" hidden="1" customHeight="1" outlineLevel="1" x14ac:dyDescent="0.25">
      <c r="A2593" s="2060"/>
      <c r="B2593" s="123"/>
      <c r="C2593" s="328"/>
      <c r="D2593" s="3990"/>
      <c r="E2593" s="4009"/>
      <c r="F2593" s="3010" t="str">
        <f>$E$1495</f>
        <v>ASHP-SEER16-Replace_CAC_ElectricHeat_ER2_MF</v>
      </c>
      <c r="G2593" s="2676"/>
      <c r="H2593" s="2676"/>
      <c r="I2593" s="2677"/>
      <c r="J2593" s="3298" t="str">
        <f>$C$1495</f>
        <v>353000_2021_12_</v>
      </c>
      <c r="K2593" s="2225">
        <f>K2592</f>
        <v>24000</v>
      </c>
      <c r="L2593" s="2726">
        <f t="shared" si="202"/>
        <v>2</v>
      </c>
      <c r="M2593" s="2723" t="s">
        <v>1551</v>
      </c>
      <c r="N2593" s="123"/>
      <c r="O2593" s="228"/>
      <c r="P2593" s="844"/>
      <c r="Q2593" s="844"/>
      <c r="R2593" s="844"/>
      <c r="S2593" s="832"/>
      <c r="T2593" s="3082"/>
      <c r="U2593" s="123"/>
      <c r="V2593" s="3990"/>
      <c r="W2593" s="2857">
        <v>37200</v>
      </c>
      <c r="X2593" s="2857">
        <v>37200</v>
      </c>
      <c r="Y2593" s="2857">
        <v>37200</v>
      </c>
      <c r="Z2593" s="2857">
        <v>37200</v>
      </c>
      <c r="AA2593" s="2857">
        <v>37200</v>
      </c>
      <c r="AB2593" s="3150">
        <v>39600</v>
      </c>
      <c r="AC2593" s="2225">
        <f>AC2592</f>
        <v>24000</v>
      </c>
      <c r="AD2593" s="2857"/>
      <c r="AE2593" s="2857"/>
      <c r="AF2593" s="2857"/>
      <c r="AG2593" s="2857"/>
      <c r="AH2593" s="1942"/>
      <c r="AI2593" s="1942"/>
      <c r="AJ2593" s="1942"/>
      <c r="AK2593" s="1942"/>
      <c r="AL2593" s="1942"/>
      <c r="AM2593" s="1942"/>
      <c r="AN2593" s="1942"/>
      <c r="AO2593" s="1942"/>
      <c r="AP2593" s="1942"/>
      <c r="AQ2593" s="1942"/>
      <c r="AR2593" s="1942"/>
      <c r="AS2593" s="1942"/>
      <c r="AT2593" s="1942"/>
      <c r="AU2593" s="1942"/>
      <c r="AV2593" s="1942"/>
      <c r="AW2593" s="1942"/>
      <c r="AX2593" s="1942"/>
      <c r="AY2593" s="1942"/>
      <c r="AZ2593" s="1942"/>
      <c r="BA2593" s="1942"/>
      <c r="BB2593" s="575"/>
      <c r="BC2593" s="576"/>
      <c r="BD2593" s="678"/>
      <c r="BE2593" s="585"/>
    </row>
    <row r="2594" spans="1:57" s="51" customFormat="1" ht="15" hidden="1" customHeight="1" outlineLevel="1" x14ac:dyDescent="0.25">
      <c r="A2594" s="2060"/>
      <c r="B2594" s="123"/>
      <c r="C2594" s="328"/>
      <c r="D2594" s="3990"/>
      <c r="E2594" s="4009"/>
      <c r="F2594" s="3010" t="str">
        <f>$E$1497</f>
        <v>ASHP-SEER16-Replace_CAC_ElectricHeat_ER1_MF_CompE</v>
      </c>
      <c r="G2594" s="2676"/>
      <c r="H2594" s="2676"/>
      <c r="I2594" s="2677"/>
      <c r="J2594" s="3298" t="str">
        <f>$C$1497</f>
        <v>353001_2021_12_</v>
      </c>
      <c r="K2594" s="2225">
        <f>K2592</f>
        <v>24000</v>
      </c>
      <c r="L2594" s="2726">
        <f t="shared" si="202"/>
        <v>2</v>
      </c>
      <c r="M2594" s="2278" t="s">
        <v>1125</v>
      </c>
      <c r="N2594" s="123"/>
      <c r="O2594" s="228"/>
      <c r="P2594" s="844"/>
      <c r="Q2594" s="844"/>
      <c r="R2594" s="844"/>
      <c r="S2594" s="832"/>
      <c r="T2594" s="3082"/>
      <c r="U2594" s="123"/>
      <c r="V2594" s="3990"/>
      <c r="W2594" s="2857"/>
      <c r="X2594" s="2857"/>
      <c r="Y2594" s="3155">
        <v>37200</v>
      </c>
      <c r="Z2594" s="2857">
        <v>37200</v>
      </c>
      <c r="AA2594" s="2857">
        <v>37200</v>
      </c>
      <c r="AB2594" s="3150">
        <v>39600</v>
      </c>
      <c r="AC2594" s="2225">
        <f>AC2592</f>
        <v>24000</v>
      </c>
      <c r="AD2594" s="2857"/>
      <c r="AE2594" s="2857"/>
      <c r="AF2594" s="2857"/>
      <c r="AG2594" s="2857"/>
      <c r="AH2594" s="1942"/>
      <c r="AI2594" s="1942"/>
      <c r="AJ2594" s="1942"/>
      <c r="AK2594" s="1942"/>
      <c r="AL2594" s="1942"/>
      <c r="AM2594" s="1942"/>
      <c r="AN2594" s="1942"/>
      <c r="AO2594" s="1942"/>
      <c r="AP2594" s="1942"/>
      <c r="AQ2594" s="1942"/>
      <c r="AR2594" s="1942"/>
      <c r="AS2594" s="1942"/>
      <c r="AT2594" s="1942"/>
      <c r="AU2594" s="1942"/>
      <c r="AV2594" s="1942"/>
      <c r="AW2594" s="1942"/>
      <c r="AX2594" s="1942"/>
      <c r="AY2594" s="1942"/>
      <c r="AZ2594" s="1942"/>
      <c r="BA2594" s="1942"/>
      <c r="BB2594" s="575"/>
      <c r="BC2594" s="576"/>
      <c r="BD2594" s="678"/>
      <c r="BE2594" s="585"/>
    </row>
    <row r="2595" spans="1:57" s="51" customFormat="1" ht="15" hidden="1" customHeight="1" outlineLevel="1" x14ac:dyDescent="0.25">
      <c r="A2595" s="2060"/>
      <c r="B2595" s="123"/>
      <c r="C2595" s="328"/>
      <c r="D2595" s="3990"/>
      <c r="E2595" s="4009"/>
      <c r="F2595" s="3010" t="str">
        <f>$E$1499</f>
        <v>ASHP-SEER16-Replace_CAC_ElectricHeat_ER2_MF_CompE</v>
      </c>
      <c r="G2595" s="2676"/>
      <c r="H2595" s="2676"/>
      <c r="I2595" s="2677"/>
      <c r="J2595" s="3298" t="str">
        <f>$C$1499</f>
        <v>353001_2021_12_</v>
      </c>
      <c r="K2595" s="2225">
        <f>K2593</f>
        <v>24000</v>
      </c>
      <c r="L2595" s="2726">
        <f t="shared" si="202"/>
        <v>2</v>
      </c>
      <c r="M2595" s="2278" t="s">
        <v>1125</v>
      </c>
      <c r="N2595" s="123"/>
      <c r="O2595" s="228"/>
      <c r="P2595" s="844"/>
      <c r="Q2595" s="844"/>
      <c r="R2595" s="844"/>
      <c r="S2595" s="832"/>
      <c r="T2595" s="3082"/>
      <c r="U2595" s="123"/>
      <c r="V2595" s="3990"/>
      <c r="W2595" s="2857"/>
      <c r="X2595" s="2857"/>
      <c r="Y2595" s="3155">
        <v>37200</v>
      </c>
      <c r="Z2595" s="2857">
        <v>37200</v>
      </c>
      <c r="AA2595" s="2857">
        <v>37200</v>
      </c>
      <c r="AB2595" s="3150">
        <v>39600</v>
      </c>
      <c r="AC2595" s="2225">
        <f>AC2593</f>
        <v>24000</v>
      </c>
      <c r="AD2595" s="2857"/>
      <c r="AE2595" s="2857"/>
      <c r="AF2595" s="2857"/>
      <c r="AG2595" s="2857"/>
      <c r="AH2595" s="1942"/>
      <c r="AI2595" s="1942"/>
      <c r="AJ2595" s="1942"/>
      <c r="AK2595" s="1942"/>
      <c r="AL2595" s="1942"/>
      <c r="AM2595" s="1942"/>
      <c r="AN2595" s="1942"/>
      <c r="AO2595" s="1942"/>
      <c r="AP2595" s="1942"/>
      <c r="AQ2595" s="1942"/>
      <c r="AR2595" s="1942"/>
      <c r="AS2595" s="1942"/>
      <c r="AT2595" s="1942"/>
      <c r="AU2595" s="1942"/>
      <c r="AV2595" s="1942"/>
      <c r="AW2595" s="1942"/>
      <c r="AX2595" s="1942"/>
      <c r="AY2595" s="1942"/>
      <c r="AZ2595" s="1942"/>
      <c r="BA2595" s="1942"/>
      <c r="BB2595" s="575"/>
      <c r="BC2595" s="576"/>
      <c r="BD2595" s="678"/>
      <c r="BE2595" s="585"/>
    </row>
    <row r="2596" spans="1:57" s="1942" customFormat="1" ht="15" hidden="1" customHeight="1" outlineLevel="1" x14ac:dyDescent="0.25">
      <c r="A2596" s="2060"/>
      <c r="B2596" s="123"/>
      <c r="C2596" s="328"/>
      <c r="D2596" s="3990"/>
      <c r="E2596" s="4009"/>
      <c r="F2596" s="3010" t="str">
        <f>$E$1501</f>
        <v>ASHP-SEER16-Replace_CAC_NonElectricHeat_ER1_MF</v>
      </c>
      <c r="G2596" s="2676"/>
      <c r="H2596" s="2676"/>
      <c r="I2596" s="2677"/>
      <c r="J2596" s="3298" t="str">
        <f>$C$1501</f>
        <v>353010_2021_12_</v>
      </c>
      <c r="K2596" s="2225">
        <v>24000</v>
      </c>
      <c r="L2596" s="2726"/>
      <c r="M2596" s="2723" t="s">
        <v>1125</v>
      </c>
      <c r="N2596" s="123"/>
      <c r="O2596" s="228"/>
      <c r="P2596" s="844"/>
      <c r="Q2596" s="844"/>
      <c r="R2596" s="844"/>
      <c r="S2596" s="832"/>
      <c r="T2596" s="3082"/>
      <c r="U2596" s="123"/>
      <c r="V2596" s="3990"/>
      <c r="W2596" s="2857"/>
      <c r="X2596" s="2857"/>
      <c r="Y2596" s="3155"/>
      <c r="Z2596" s="2857"/>
      <c r="AA2596" s="2857"/>
      <c r="AB2596" s="3150"/>
      <c r="AC2596" s="2225">
        <v>24000</v>
      </c>
      <c r="AD2596" s="2857"/>
      <c r="AE2596" s="2857"/>
      <c r="AF2596" s="2857"/>
      <c r="AG2596" s="2857"/>
      <c r="BB2596" s="575"/>
      <c r="BC2596" s="576"/>
      <c r="BD2596" s="678"/>
      <c r="BE2596" s="585"/>
    </row>
    <row r="2597" spans="1:57" s="1942" customFormat="1" ht="15" hidden="1" customHeight="1" outlineLevel="1" x14ac:dyDescent="0.25">
      <c r="A2597" s="2060"/>
      <c r="B2597" s="123"/>
      <c r="C2597" s="328"/>
      <c r="D2597" s="3990"/>
      <c r="E2597" s="4009"/>
      <c r="F2597" s="3010" t="str">
        <f>$E$1503</f>
        <v>ASHP-SEER16-Replace_CAC_NonElectricHeat_ER2_MF</v>
      </c>
      <c r="G2597" s="2676"/>
      <c r="H2597" s="2676"/>
      <c r="I2597" s="2677"/>
      <c r="J2597" s="3298" t="str">
        <f>$C$1503</f>
        <v>353010_2021_12_</v>
      </c>
      <c r="K2597" s="2225">
        <f>K2596</f>
        <v>24000</v>
      </c>
      <c r="L2597" s="2726"/>
      <c r="M2597" s="2723" t="s">
        <v>1125</v>
      </c>
      <c r="N2597" s="123"/>
      <c r="O2597" s="228"/>
      <c r="P2597" s="844"/>
      <c r="Q2597" s="844"/>
      <c r="R2597" s="844"/>
      <c r="S2597" s="832"/>
      <c r="T2597" s="3082"/>
      <c r="U2597" s="123"/>
      <c r="V2597" s="3990"/>
      <c r="W2597" s="2857"/>
      <c r="X2597" s="2857"/>
      <c r="Y2597" s="3155"/>
      <c r="Z2597" s="2857"/>
      <c r="AA2597" s="2857"/>
      <c r="AB2597" s="3150"/>
      <c r="AC2597" s="2225">
        <f>AC2596</f>
        <v>24000</v>
      </c>
      <c r="AD2597" s="2857"/>
      <c r="AE2597" s="2857"/>
      <c r="AF2597" s="2857"/>
      <c r="AG2597" s="2857"/>
      <c r="BB2597" s="575"/>
      <c r="BC2597" s="576"/>
      <c r="BD2597" s="678"/>
      <c r="BE2597" s="585"/>
    </row>
    <row r="2598" spans="1:57" s="1942" customFormat="1" ht="15" hidden="1" customHeight="1" outlineLevel="1" x14ac:dyDescent="0.25">
      <c r="A2598" s="2060"/>
      <c r="B2598" s="123"/>
      <c r="C2598" s="328"/>
      <c r="D2598" s="3990"/>
      <c r="E2598" s="4009"/>
      <c r="F2598" s="3010" t="str">
        <f>$E$1505</f>
        <v>ASHP-SEER16-Replace_CAC_NonElectricHeat_ER1_MF_CompE</v>
      </c>
      <c r="G2598" s="2676"/>
      <c r="H2598" s="2676"/>
      <c r="I2598" s="2677"/>
      <c r="J2598" s="3298" t="str">
        <f>$C$1505</f>
        <v>353011_2021_12_</v>
      </c>
      <c r="K2598" s="2225">
        <f>K2596</f>
        <v>24000</v>
      </c>
      <c r="L2598" s="2726"/>
      <c r="M2598" s="2723" t="s">
        <v>1125</v>
      </c>
      <c r="N2598" s="123"/>
      <c r="O2598" s="228"/>
      <c r="P2598" s="844"/>
      <c r="Q2598" s="844"/>
      <c r="R2598" s="844"/>
      <c r="S2598" s="832"/>
      <c r="T2598" s="3082"/>
      <c r="U2598" s="123"/>
      <c r="V2598" s="3990"/>
      <c r="W2598" s="2857"/>
      <c r="X2598" s="2857"/>
      <c r="Y2598" s="3155"/>
      <c r="Z2598" s="2857"/>
      <c r="AA2598" s="2857"/>
      <c r="AB2598" s="3150"/>
      <c r="AC2598" s="2225">
        <f>AC2596</f>
        <v>24000</v>
      </c>
      <c r="AD2598" s="2857"/>
      <c r="AE2598" s="2857"/>
      <c r="AF2598" s="2857"/>
      <c r="AG2598" s="2857"/>
      <c r="BB2598" s="575"/>
      <c r="BC2598" s="576"/>
      <c r="BD2598" s="678"/>
      <c r="BE2598" s="585"/>
    </row>
    <row r="2599" spans="1:57" s="1942" customFormat="1" ht="15" hidden="1" customHeight="1" outlineLevel="1" x14ac:dyDescent="0.25">
      <c r="A2599" s="2060"/>
      <c r="B2599" s="123"/>
      <c r="C2599" s="328"/>
      <c r="D2599" s="3990"/>
      <c r="E2599" s="4009"/>
      <c r="F2599" s="3010" t="str">
        <f>$E$1507</f>
        <v>ASHP-SEER16-Replace_CAC_NonElectricHeat_ER2_MF_CompE</v>
      </c>
      <c r="G2599" s="2676"/>
      <c r="H2599" s="2676"/>
      <c r="I2599" s="2677"/>
      <c r="J2599" s="3298" t="str">
        <f>$C$1507</f>
        <v>353011_2021_12_</v>
      </c>
      <c r="K2599" s="2225">
        <f>K2597</f>
        <v>24000</v>
      </c>
      <c r="L2599" s="2726"/>
      <c r="M2599" s="2723" t="s">
        <v>1125</v>
      </c>
      <c r="N2599" s="123"/>
      <c r="O2599" s="228"/>
      <c r="P2599" s="844"/>
      <c r="Q2599" s="844"/>
      <c r="R2599" s="844"/>
      <c r="S2599" s="832"/>
      <c r="T2599" s="3082"/>
      <c r="U2599" s="123"/>
      <c r="V2599" s="3990"/>
      <c r="W2599" s="2857"/>
      <c r="X2599" s="2857"/>
      <c r="Y2599" s="3155"/>
      <c r="Z2599" s="2857"/>
      <c r="AA2599" s="2857"/>
      <c r="AB2599" s="3150"/>
      <c r="AC2599" s="2225">
        <f>AC2597</f>
        <v>24000</v>
      </c>
      <c r="AD2599" s="2857"/>
      <c r="AE2599" s="2857"/>
      <c r="AF2599" s="2857"/>
      <c r="AG2599" s="2857"/>
      <c r="BB2599" s="575"/>
      <c r="BC2599" s="576"/>
      <c r="BD2599" s="678"/>
      <c r="BE2599" s="585"/>
    </row>
    <row r="2600" spans="1:57" s="51" customFormat="1" ht="15" hidden="1" customHeight="1" outlineLevel="1" x14ac:dyDescent="0.25">
      <c r="A2600" s="2060"/>
      <c r="B2600" s="123"/>
      <c r="C2600" s="328"/>
      <c r="D2600" s="3990"/>
      <c r="E2600" s="4009"/>
      <c r="F2600" s="3011" t="str">
        <f>$E$1509</f>
        <v>ASHP-SEER15_ROF_MF</v>
      </c>
      <c r="G2600" s="2678"/>
      <c r="H2600" s="2678"/>
      <c r="I2600" s="2679"/>
      <c r="J2600" s="3298" t="str">
        <f>$C$1509</f>
        <v>353050_2021_12_</v>
      </c>
      <c r="K2600" s="2225">
        <v>24157.894736842103</v>
      </c>
      <c r="L2600" s="2726">
        <f t="shared" si="202"/>
        <v>2.013157894736842</v>
      </c>
      <c r="M2600" s="2723" t="s">
        <v>1554</v>
      </c>
      <c r="N2600" s="123"/>
      <c r="O2600" s="228"/>
      <c r="P2600" s="844"/>
      <c r="Q2600" s="844"/>
      <c r="R2600" s="844"/>
      <c r="S2600" s="832"/>
      <c r="T2600" s="3082"/>
      <c r="U2600" s="123"/>
      <c r="V2600" s="3990"/>
      <c r="W2600" s="2857">
        <v>37200</v>
      </c>
      <c r="X2600" s="2857">
        <v>37200</v>
      </c>
      <c r="Y2600" s="2857">
        <v>37200</v>
      </c>
      <c r="Z2600" s="2857">
        <v>37200</v>
      </c>
      <c r="AA2600" s="2857">
        <v>37200</v>
      </c>
      <c r="AB2600" s="2855">
        <v>37200</v>
      </c>
      <c r="AC2600" s="2225">
        <v>24157.894736842103</v>
      </c>
      <c r="AD2600" s="2857"/>
      <c r="AE2600" s="2857"/>
      <c r="AF2600" s="2857"/>
      <c r="AG2600" s="2857"/>
      <c r="AH2600" s="1942"/>
      <c r="AI2600" s="1942"/>
      <c r="AJ2600" s="1942"/>
      <c r="AK2600" s="1942"/>
      <c r="AL2600" s="1942"/>
      <c r="AM2600" s="1942"/>
      <c r="AN2600" s="1942"/>
      <c r="AO2600" s="1942"/>
      <c r="AP2600" s="1942"/>
      <c r="AQ2600" s="1942"/>
      <c r="AR2600" s="1942"/>
      <c r="AS2600" s="1942"/>
      <c r="AT2600" s="1942"/>
      <c r="AU2600" s="1942"/>
      <c r="AV2600" s="1942"/>
      <c r="AW2600" s="1942"/>
      <c r="AX2600" s="1942"/>
      <c r="AY2600" s="1942"/>
      <c r="AZ2600" s="1942"/>
      <c r="BA2600" s="1942"/>
      <c r="BB2600" s="575"/>
      <c r="BC2600" s="576"/>
      <c r="BD2600" s="678"/>
      <c r="BE2600" s="585"/>
    </row>
    <row r="2601" spans="1:57" s="51" customFormat="1" ht="15" hidden="1" customHeight="1" outlineLevel="1" x14ac:dyDescent="0.25">
      <c r="A2601" s="2060"/>
      <c r="B2601" s="123"/>
      <c r="C2601" s="328"/>
      <c r="D2601" s="3990"/>
      <c r="E2601" s="4009"/>
      <c r="F2601" s="3011" t="str">
        <f>$E$1511</f>
        <v>ASHP-SEER15_ROF_MF_CompE</v>
      </c>
      <c r="G2601" s="2678"/>
      <c r="H2601" s="2678"/>
      <c r="I2601" s="2679"/>
      <c r="J2601" s="3298" t="str">
        <f>$C$1511</f>
        <v>353051_2021_12_</v>
      </c>
      <c r="K2601" s="2225">
        <f>K2600</f>
        <v>24157.894736842103</v>
      </c>
      <c r="L2601" s="2726">
        <f t="shared" si="202"/>
        <v>2.013157894736842</v>
      </c>
      <c r="M2601" s="2723" t="s">
        <v>1125</v>
      </c>
      <c r="N2601" s="123"/>
      <c r="O2601" s="228"/>
      <c r="P2601" s="844"/>
      <c r="Q2601" s="844"/>
      <c r="R2601" s="844"/>
      <c r="S2601" s="832"/>
      <c r="T2601" s="3082"/>
      <c r="U2601" s="123"/>
      <c r="V2601" s="3990"/>
      <c r="W2601" s="2857"/>
      <c r="X2601" s="2857"/>
      <c r="Y2601" s="3155">
        <v>37200</v>
      </c>
      <c r="Z2601" s="2857">
        <v>37200</v>
      </c>
      <c r="AA2601" s="2857">
        <v>37200</v>
      </c>
      <c r="AB2601" s="2855">
        <v>37200</v>
      </c>
      <c r="AC2601" s="2225">
        <f>AC2600</f>
        <v>24157.894736842103</v>
      </c>
      <c r="AD2601" s="2857"/>
      <c r="AE2601" s="2857"/>
      <c r="AF2601" s="2857"/>
      <c r="AG2601" s="2857"/>
      <c r="AH2601" s="1942"/>
      <c r="AI2601" s="1942"/>
      <c r="AJ2601" s="1942"/>
      <c r="AK2601" s="1942"/>
      <c r="AL2601" s="1942"/>
      <c r="AM2601" s="1942"/>
      <c r="AN2601" s="1942"/>
      <c r="AO2601" s="1942"/>
      <c r="AP2601" s="1942"/>
      <c r="AQ2601" s="1942"/>
      <c r="AR2601" s="1942"/>
      <c r="AS2601" s="1942"/>
      <c r="AT2601" s="1942"/>
      <c r="AU2601" s="1942"/>
      <c r="AV2601" s="1942"/>
      <c r="AW2601" s="1942"/>
      <c r="AX2601" s="1942"/>
      <c r="AY2601" s="1942"/>
      <c r="AZ2601" s="1942"/>
      <c r="BA2601" s="1942"/>
      <c r="BB2601" s="575"/>
      <c r="BC2601" s="576"/>
      <c r="BD2601" s="678"/>
      <c r="BE2601" s="585"/>
    </row>
    <row r="2602" spans="1:57" s="51" customFormat="1" ht="15" hidden="1" customHeight="1" outlineLevel="1" x14ac:dyDescent="0.25">
      <c r="A2602" s="2060"/>
      <c r="B2602" s="123"/>
      <c r="C2602" s="328"/>
      <c r="D2602" s="3990"/>
      <c r="E2602" s="4009"/>
      <c r="F2602" s="3010" t="str">
        <f>$E$1513</f>
        <v>ASHP-SEER17-Replace_CAC_ElectricHeat_ROF_SF</v>
      </c>
      <c r="G2602" s="2676"/>
      <c r="H2602" s="2676"/>
      <c r="I2602" s="2677"/>
      <c r="J2602" s="3298" t="str">
        <f>$C$1513</f>
        <v>353100_2021_12_</v>
      </c>
      <c r="K2602" s="2225">
        <v>32400.000000000004</v>
      </c>
      <c r="L2602" s="2726">
        <f t="shared" si="202"/>
        <v>2.7</v>
      </c>
      <c r="M2602" s="2723" t="s">
        <v>1555</v>
      </c>
      <c r="N2602" s="123"/>
      <c r="O2602" s="228"/>
      <c r="P2602" s="844"/>
      <c r="Q2602" s="844"/>
      <c r="R2602" s="844"/>
      <c r="S2602" s="832"/>
      <c r="T2602" s="3082"/>
      <c r="U2602" s="123"/>
      <c r="V2602" s="3990"/>
      <c r="W2602" s="2857">
        <v>33600</v>
      </c>
      <c r="X2602" s="2857">
        <v>33600</v>
      </c>
      <c r="Y2602" s="2857">
        <v>33600</v>
      </c>
      <c r="Z2602" s="2857">
        <v>33600</v>
      </c>
      <c r="AA2602" s="2857">
        <v>33600</v>
      </c>
      <c r="AB2602" s="2855">
        <v>33600</v>
      </c>
      <c r="AC2602" s="2225">
        <v>32400.000000000004</v>
      </c>
      <c r="AD2602" s="2857"/>
      <c r="AE2602" s="2857"/>
      <c r="AF2602" s="2857"/>
      <c r="AG2602" s="2857"/>
      <c r="AH2602" s="1942"/>
      <c r="AI2602" s="1942"/>
      <c r="AJ2602" s="1942"/>
      <c r="AK2602" s="1942"/>
      <c r="AL2602" s="1942"/>
      <c r="AM2602" s="1942"/>
      <c r="AN2602" s="1942"/>
      <c r="AO2602" s="1942"/>
      <c r="AP2602" s="1942"/>
      <c r="AQ2602" s="1942"/>
      <c r="AR2602" s="1942"/>
      <c r="AS2602" s="1942"/>
      <c r="AT2602" s="1942"/>
      <c r="AU2602" s="1942"/>
      <c r="AV2602" s="1942"/>
      <c r="AW2602" s="1942"/>
      <c r="AX2602" s="1942"/>
      <c r="AY2602" s="1942"/>
      <c r="AZ2602" s="1942"/>
      <c r="BA2602" s="1942"/>
      <c r="BB2602" s="575"/>
      <c r="BC2602" s="576"/>
      <c r="BD2602" s="678"/>
      <c r="BE2602" s="585"/>
    </row>
    <row r="2603" spans="1:57" s="51" customFormat="1" ht="15" hidden="1" customHeight="1" outlineLevel="1" x14ac:dyDescent="0.25">
      <c r="A2603" s="2060"/>
      <c r="B2603" s="123"/>
      <c r="C2603" s="328"/>
      <c r="D2603" s="3990"/>
      <c r="E2603" s="4009"/>
      <c r="F2603" s="3010" t="str">
        <f>$E$1515</f>
        <v>ASHP-SEER17-Replace_CAC_ElectricHeat_ROF_MF</v>
      </c>
      <c r="G2603" s="2676"/>
      <c r="H2603" s="2676"/>
      <c r="I2603" s="2677"/>
      <c r="J2603" s="3299" t="str">
        <f>$C$1515</f>
        <v>353150_2019_12_</v>
      </c>
      <c r="K2603" s="2551">
        <v>33600</v>
      </c>
      <c r="L2603" s="1597">
        <f t="shared" si="202"/>
        <v>2.8</v>
      </c>
      <c r="M2603" s="2278" t="s">
        <v>1556</v>
      </c>
      <c r="N2603" s="123"/>
      <c r="O2603" s="228"/>
      <c r="P2603" s="844"/>
      <c r="Q2603" s="844"/>
      <c r="R2603" s="844"/>
      <c r="S2603" s="832"/>
      <c r="T2603" s="3082"/>
      <c r="U2603" s="123"/>
      <c r="V2603" s="3990"/>
      <c r="W2603" s="2857">
        <v>33600</v>
      </c>
      <c r="X2603" s="2857">
        <v>33600</v>
      </c>
      <c r="Y2603" s="2857">
        <v>33600</v>
      </c>
      <c r="Z2603" s="2857">
        <v>33600</v>
      </c>
      <c r="AA2603" s="2857">
        <v>33600</v>
      </c>
      <c r="AB2603" s="2855">
        <v>33600</v>
      </c>
      <c r="AC2603" s="2551">
        <v>33600</v>
      </c>
      <c r="AD2603" s="2857"/>
      <c r="AE2603" s="2857"/>
      <c r="AF2603" s="2857"/>
      <c r="AG2603" s="2857"/>
      <c r="AH2603" s="1942"/>
      <c r="AI2603" s="1942"/>
      <c r="AJ2603" s="1942"/>
      <c r="AK2603" s="1942"/>
      <c r="AL2603" s="1942"/>
      <c r="AM2603" s="1942"/>
      <c r="AN2603" s="1942"/>
      <c r="AO2603" s="1942"/>
      <c r="AP2603" s="1942"/>
      <c r="AQ2603" s="1942"/>
      <c r="AR2603" s="1942"/>
      <c r="AS2603" s="1942"/>
      <c r="AT2603" s="1942"/>
      <c r="AU2603" s="1942"/>
      <c r="AV2603" s="1942"/>
      <c r="AW2603" s="1942"/>
      <c r="AX2603" s="1942"/>
      <c r="AY2603" s="1942"/>
      <c r="AZ2603" s="1942"/>
      <c r="BA2603" s="1942"/>
      <c r="BB2603" s="575"/>
      <c r="BC2603" s="576"/>
      <c r="BD2603" s="678"/>
      <c r="BE2603" s="585"/>
    </row>
    <row r="2604" spans="1:57" s="51" customFormat="1" ht="15" hidden="1" customHeight="1" outlineLevel="1" x14ac:dyDescent="0.25">
      <c r="A2604" s="2060"/>
      <c r="B2604" s="123"/>
      <c r="C2604" s="328"/>
      <c r="D2604" s="3990"/>
      <c r="E2604" s="4009"/>
      <c r="F2604" s="3010" t="str">
        <f>$E$1517</f>
        <v>ASHP-SEER17-Replace_CAC_ElectricHeat_ROF_MF_CompE</v>
      </c>
      <c r="G2604" s="2676"/>
      <c r="H2604" s="2676"/>
      <c r="I2604" s="2677"/>
      <c r="J2604" s="3299" t="str">
        <f>$C$1517</f>
        <v>353151_2019_12_</v>
      </c>
      <c r="K2604" s="2551">
        <f>K2603</f>
        <v>33600</v>
      </c>
      <c r="L2604" s="1597">
        <f t="shared" si="202"/>
        <v>2.8</v>
      </c>
      <c r="M2604" s="2278"/>
      <c r="N2604" s="123"/>
      <c r="O2604" s="228"/>
      <c r="P2604" s="844"/>
      <c r="Q2604" s="844"/>
      <c r="R2604" s="844"/>
      <c r="S2604" s="832"/>
      <c r="T2604" s="3082"/>
      <c r="U2604" s="123"/>
      <c r="V2604" s="3990"/>
      <c r="W2604" s="2857"/>
      <c r="X2604" s="2857"/>
      <c r="Y2604" s="3155">
        <v>33600</v>
      </c>
      <c r="Z2604" s="2857">
        <v>33600</v>
      </c>
      <c r="AA2604" s="2857">
        <v>33600</v>
      </c>
      <c r="AB2604" s="2855">
        <v>33600</v>
      </c>
      <c r="AC2604" s="2551">
        <f>AC2603</f>
        <v>33600</v>
      </c>
      <c r="AD2604" s="2857"/>
      <c r="AE2604" s="2857"/>
      <c r="AF2604" s="2857"/>
      <c r="AG2604" s="2857"/>
      <c r="AH2604" s="1942"/>
      <c r="AI2604" s="1942"/>
      <c r="AJ2604" s="1942"/>
      <c r="AK2604" s="1942"/>
      <c r="AL2604" s="1942"/>
      <c r="AM2604" s="1942"/>
      <c r="AN2604" s="1942"/>
      <c r="AO2604" s="1942"/>
      <c r="AP2604" s="1942"/>
      <c r="AQ2604" s="1942"/>
      <c r="AR2604" s="1942"/>
      <c r="AS2604" s="1942"/>
      <c r="AT2604" s="1942"/>
      <c r="AU2604" s="1942"/>
      <c r="AV2604" s="1942"/>
      <c r="AW2604" s="1942"/>
      <c r="AX2604" s="1942"/>
      <c r="AY2604" s="1942"/>
      <c r="AZ2604" s="1942"/>
      <c r="BA2604" s="1942"/>
      <c r="BB2604" s="575"/>
      <c r="BC2604" s="576"/>
      <c r="BD2604" s="678"/>
      <c r="BE2604" s="585"/>
    </row>
    <row r="2605" spans="1:57" s="1942" customFormat="1" ht="15" hidden="1" customHeight="1" outlineLevel="1" x14ac:dyDescent="0.25">
      <c r="A2605" s="2060"/>
      <c r="B2605" s="123"/>
      <c r="C2605" s="328"/>
      <c r="D2605" s="3990"/>
      <c r="E2605" s="4009"/>
      <c r="F2605" s="3010" t="str">
        <f>$E$1519</f>
        <v>ASHP-SEER17-Replace_CAC_NonElectricHeat_ROF_MF</v>
      </c>
      <c r="G2605" s="2676"/>
      <c r="H2605" s="2676"/>
      <c r="I2605" s="2677"/>
      <c r="J2605" s="3298" t="str">
        <f>$C$1519</f>
        <v>353160_2021_12_</v>
      </c>
      <c r="K2605" s="2225">
        <v>33600</v>
      </c>
      <c r="L2605" s="1597"/>
      <c r="M2605" s="2723" t="s">
        <v>1125</v>
      </c>
      <c r="N2605" s="123"/>
      <c r="O2605" s="228"/>
      <c r="P2605" s="844"/>
      <c r="Q2605" s="844"/>
      <c r="R2605" s="844"/>
      <c r="S2605" s="832"/>
      <c r="T2605" s="3082"/>
      <c r="U2605" s="123"/>
      <c r="V2605" s="3990"/>
      <c r="W2605" s="2857"/>
      <c r="X2605" s="2857"/>
      <c r="Y2605" s="3155"/>
      <c r="Z2605" s="2857"/>
      <c r="AA2605" s="2857"/>
      <c r="AB2605" s="2855"/>
      <c r="AC2605" s="2225">
        <v>33600</v>
      </c>
      <c r="AD2605" s="2857"/>
      <c r="AE2605" s="2857"/>
      <c r="AF2605" s="2857"/>
      <c r="AG2605" s="2857"/>
      <c r="BB2605" s="575"/>
      <c r="BC2605" s="576"/>
      <c r="BD2605" s="678"/>
      <c r="BE2605" s="585"/>
    </row>
    <row r="2606" spans="1:57" s="1942" customFormat="1" ht="15" hidden="1" customHeight="1" outlineLevel="1" x14ac:dyDescent="0.25">
      <c r="A2606" s="2060"/>
      <c r="B2606" s="123"/>
      <c r="C2606" s="328"/>
      <c r="D2606" s="3990"/>
      <c r="E2606" s="4009"/>
      <c r="F2606" s="3010" t="str">
        <f>$E$1521</f>
        <v>ASHP-SEER17-Replace_CAC_NonElectricHeat_ROF_MF_CompE</v>
      </c>
      <c r="G2606" s="2676"/>
      <c r="H2606" s="2676"/>
      <c r="I2606" s="2677"/>
      <c r="J2606" s="3298" t="str">
        <f>$C$1521</f>
        <v>353161_2021_12_</v>
      </c>
      <c r="K2606" s="2225">
        <f>K2605</f>
        <v>33600</v>
      </c>
      <c r="L2606" s="1597"/>
      <c r="M2606" s="2723" t="s">
        <v>1125</v>
      </c>
      <c r="N2606" s="123"/>
      <c r="O2606" s="228"/>
      <c r="P2606" s="844"/>
      <c r="Q2606" s="844"/>
      <c r="R2606" s="844"/>
      <c r="S2606" s="832"/>
      <c r="T2606" s="3082"/>
      <c r="U2606" s="123"/>
      <c r="V2606" s="3990"/>
      <c r="W2606" s="2857"/>
      <c r="X2606" s="2857"/>
      <c r="Y2606" s="3155"/>
      <c r="Z2606" s="2857"/>
      <c r="AA2606" s="2857"/>
      <c r="AB2606" s="2855"/>
      <c r="AC2606" s="2225">
        <f>AC2605</f>
        <v>33600</v>
      </c>
      <c r="AD2606" s="2857"/>
      <c r="AE2606" s="2857"/>
      <c r="AF2606" s="2857"/>
      <c r="AG2606" s="2857"/>
      <c r="BB2606" s="575"/>
      <c r="BC2606" s="576"/>
      <c r="BD2606" s="678"/>
      <c r="BE2606" s="585"/>
    </row>
    <row r="2607" spans="1:57" s="51" customFormat="1" ht="15" hidden="1" customHeight="1" outlineLevel="1" x14ac:dyDescent="0.25">
      <c r="A2607" s="2060"/>
      <c r="B2607" s="123"/>
      <c r="C2607" s="328"/>
      <c r="D2607" s="3990"/>
      <c r="E2607" s="4009"/>
      <c r="F2607" s="3010" t="str">
        <f>$E$1523</f>
        <v>ASHP-SEER18-Replace_CAC_ElectricHeat_ROF_SF</v>
      </c>
      <c r="G2607" s="2676"/>
      <c r="H2607" s="2676"/>
      <c r="I2607" s="2677"/>
      <c r="J2607" s="3298" t="str">
        <f>$C$1523</f>
        <v>353200_2021_12_</v>
      </c>
      <c r="K2607" s="2225">
        <v>36486.486486486487</v>
      </c>
      <c r="L2607" s="2726">
        <f t="shared" si="202"/>
        <v>3.0405405405405403</v>
      </c>
      <c r="M2607" s="2723" t="s">
        <v>1551</v>
      </c>
      <c r="N2607" s="123"/>
      <c r="O2607" s="228"/>
      <c r="P2607" s="844"/>
      <c r="Q2607" s="844"/>
      <c r="R2607" s="844"/>
      <c r="S2607" s="832"/>
      <c r="T2607" s="3082"/>
      <c r="U2607" s="123"/>
      <c r="V2607" s="3990"/>
      <c r="W2607" s="2857">
        <v>33600</v>
      </c>
      <c r="X2607" s="2857">
        <v>33600</v>
      </c>
      <c r="Y2607" s="2857">
        <v>33600</v>
      </c>
      <c r="Z2607" s="2857">
        <v>33600</v>
      </c>
      <c r="AA2607" s="2857">
        <v>33600</v>
      </c>
      <c r="AB2607" s="3150">
        <v>36000</v>
      </c>
      <c r="AC2607" s="2225">
        <v>36486.486486486487</v>
      </c>
      <c r="AD2607" s="2857"/>
      <c r="AE2607" s="2857"/>
      <c r="AF2607" s="2857"/>
      <c r="AG2607" s="2857"/>
      <c r="AH2607" s="1942"/>
      <c r="AI2607" s="1942"/>
      <c r="AJ2607" s="1942"/>
      <c r="AK2607" s="1942"/>
      <c r="AL2607" s="1942"/>
      <c r="AM2607" s="1942"/>
      <c r="AN2607" s="1942"/>
      <c r="AO2607" s="1942"/>
      <c r="AP2607" s="1942"/>
      <c r="AQ2607" s="1942"/>
      <c r="AR2607" s="1942"/>
      <c r="AS2607" s="1942"/>
      <c r="AT2607" s="1942"/>
      <c r="AU2607" s="1942"/>
      <c r="AV2607" s="1942"/>
      <c r="AW2607" s="1942"/>
      <c r="AX2607" s="1942"/>
      <c r="AY2607" s="1942"/>
      <c r="AZ2607" s="1942"/>
      <c r="BA2607" s="1942"/>
      <c r="BB2607" s="575"/>
      <c r="BC2607" s="576"/>
      <c r="BD2607" s="678"/>
      <c r="BE2607" s="585"/>
    </row>
    <row r="2608" spans="1:57" s="51" customFormat="1" ht="15" hidden="1" customHeight="1" outlineLevel="1" x14ac:dyDescent="0.25">
      <c r="A2608" s="2060"/>
      <c r="B2608" s="123"/>
      <c r="C2608" s="328"/>
      <c r="D2608" s="3990"/>
      <c r="E2608" s="4009"/>
      <c r="F2608" s="3010" t="str">
        <f>$E$1525</f>
        <v>ASHP-SEER18-Replace_CAC_ElectricHeat_ROF_MF</v>
      </c>
      <c r="G2608" s="2676"/>
      <c r="H2608" s="2676"/>
      <c r="I2608" s="2677"/>
      <c r="J2608" s="3298" t="str">
        <f>$C$1525</f>
        <v>353250_2021_12_</v>
      </c>
      <c r="K2608" s="2225">
        <v>36000</v>
      </c>
      <c r="L2608" s="2726">
        <f t="shared" si="202"/>
        <v>3</v>
      </c>
      <c r="M2608" s="2723" t="s">
        <v>1551</v>
      </c>
      <c r="N2608" s="123"/>
      <c r="O2608" s="228"/>
      <c r="P2608" s="844"/>
      <c r="Q2608" s="844"/>
      <c r="R2608" s="844"/>
      <c r="S2608" s="832"/>
      <c r="T2608" s="3082"/>
      <c r="U2608" s="123"/>
      <c r="V2608" s="3990"/>
      <c r="W2608" s="2857">
        <v>33600</v>
      </c>
      <c r="X2608" s="2857">
        <v>33600</v>
      </c>
      <c r="Y2608" s="2857">
        <v>33600</v>
      </c>
      <c r="Z2608" s="2857">
        <v>33600</v>
      </c>
      <c r="AA2608" s="2857">
        <v>33600</v>
      </c>
      <c r="AB2608" s="3150">
        <v>48000</v>
      </c>
      <c r="AC2608" s="2225">
        <v>36000</v>
      </c>
      <c r="AD2608" s="2857"/>
      <c r="AE2608" s="2857"/>
      <c r="AF2608" s="2857"/>
      <c r="AG2608" s="2857"/>
      <c r="AH2608" s="1942"/>
      <c r="AI2608" s="1942"/>
      <c r="AJ2608" s="1942"/>
      <c r="AK2608" s="1942"/>
      <c r="AL2608" s="1942"/>
      <c r="AM2608" s="1942"/>
      <c r="AN2608" s="1942"/>
      <c r="AO2608" s="1942"/>
      <c r="AP2608" s="1942"/>
      <c r="AQ2608" s="1942"/>
      <c r="AR2608" s="1942"/>
      <c r="AS2608" s="1942"/>
      <c r="AT2608" s="1942"/>
      <c r="AU2608" s="1942"/>
      <c r="AV2608" s="1942"/>
      <c r="AW2608" s="1942"/>
      <c r="AX2608" s="1942"/>
      <c r="AY2608" s="1942"/>
      <c r="AZ2608" s="1942"/>
      <c r="BA2608" s="1942"/>
      <c r="BB2608" s="575"/>
      <c r="BC2608" s="576"/>
      <c r="BD2608" s="678"/>
      <c r="BE2608" s="585"/>
    </row>
    <row r="2609" spans="1:57" s="51" customFormat="1" ht="15" hidden="1" customHeight="1" outlineLevel="1" x14ac:dyDescent="0.25">
      <c r="A2609" s="2060"/>
      <c r="B2609" s="123"/>
      <c r="C2609" s="328"/>
      <c r="D2609" s="3990"/>
      <c r="E2609" s="4009"/>
      <c r="F2609" s="3010" t="str">
        <f>$E$1527</f>
        <v>ASHP-SEER18-Replace_CAC_ElectricHeat_ROF_MF_CompE</v>
      </c>
      <c r="G2609" s="2676"/>
      <c r="H2609" s="2676"/>
      <c r="I2609" s="2677"/>
      <c r="J2609" s="3298" t="str">
        <f>$C$1527</f>
        <v>353251_2021_12_</v>
      </c>
      <c r="K2609" s="2225">
        <f>K2608</f>
        <v>36000</v>
      </c>
      <c r="L2609" s="2726">
        <f t="shared" si="202"/>
        <v>3</v>
      </c>
      <c r="M2609" s="2723" t="s">
        <v>1551</v>
      </c>
      <c r="N2609" s="123"/>
      <c r="O2609" s="228"/>
      <c r="P2609" s="844"/>
      <c r="Q2609" s="844"/>
      <c r="R2609" s="844"/>
      <c r="S2609" s="832"/>
      <c r="T2609" s="3082"/>
      <c r="U2609" s="123"/>
      <c r="V2609" s="3990"/>
      <c r="W2609" s="2857"/>
      <c r="X2609" s="2857"/>
      <c r="Y2609" s="3155">
        <v>33600</v>
      </c>
      <c r="Z2609" s="2857">
        <v>33600</v>
      </c>
      <c r="AA2609" s="2857">
        <v>33600</v>
      </c>
      <c r="AB2609" s="3150">
        <v>48000</v>
      </c>
      <c r="AC2609" s="2225">
        <f>AC2608</f>
        <v>36000</v>
      </c>
      <c r="AD2609" s="2857"/>
      <c r="AE2609" s="2857"/>
      <c r="AF2609" s="2857"/>
      <c r="AG2609" s="2857"/>
      <c r="AH2609" s="1942"/>
      <c r="AI2609" s="1942"/>
      <c r="AJ2609" s="1942"/>
      <c r="AK2609" s="1942"/>
      <c r="AL2609" s="1942"/>
      <c r="AM2609" s="1942"/>
      <c r="AN2609" s="1942"/>
      <c r="AO2609" s="1942"/>
      <c r="AP2609" s="1942"/>
      <c r="AQ2609" s="1942"/>
      <c r="AR2609" s="1942"/>
      <c r="AS2609" s="1942"/>
      <c r="AT2609" s="1942"/>
      <c r="AU2609" s="1942"/>
      <c r="AV2609" s="1942"/>
      <c r="AW2609" s="1942"/>
      <c r="AX2609" s="1942"/>
      <c r="AY2609" s="1942"/>
      <c r="AZ2609" s="1942"/>
      <c r="BA2609" s="1942"/>
      <c r="BB2609" s="575"/>
      <c r="BC2609" s="576"/>
      <c r="BD2609" s="678"/>
      <c r="BE2609" s="585"/>
    </row>
    <row r="2610" spans="1:57" s="1942" customFormat="1" ht="15" hidden="1" customHeight="1" outlineLevel="1" x14ac:dyDescent="0.25">
      <c r="A2610" s="2060"/>
      <c r="B2610" s="123"/>
      <c r="C2610" s="328"/>
      <c r="D2610" s="3990"/>
      <c r="E2610" s="4009"/>
      <c r="F2610" s="3010" t="str">
        <f>$E$1529</f>
        <v>ASHP-SEER18-Replace_CAC_NonElectricHeat_ROF_MF</v>
      </c>
      <c r="G2610" s="2676"/>
      <c r="H2610" s="2676"/>
      <c r="I2610" s="2677"/>
      <c r="J2610" s="3298" t="str">
        <f>$C$1529</f>
        <v>353260_2021_12_</v>
      </c>
      <c r="K2610" s="2225">
        <v>36000</v>
      </c>
      <c r="L2610" s="2726"/>
      <c r="M2610" s="2723" t="s">
        <v>1125</v>
      </c>
      <c r="N2610" s="123"/>
      <c r="O2610" s="228"/>
      <c r="P2610" s="844"/>
      <c r="Q2610" s="844"/>
      <c r="R2610" s="844"/>
      <c r="S2610" s="832"/>
      <c r="T2610" s="3082"/>
      <c r="U2610" s="123"/>
      <c r="V2610" s="3990"/>
      <c r="W2610" s="2857"/>
      <c r="X2610" s="2857"/>
      <c r="Y2610" s="3155"/>
      <c r="Z2610" s="2857"/>
      <c r="AA2610" s="2857"/>
      <c r="AB2610" s="3150"/>
      <c r="AC2610" s="2225">
        <v>36000</v>
      </c>
      <c r="AD2610" s="2857"/>
      <c r="AE2610" s="2857"/>
      <c r="AF2610" s="2857"/>
      <c r="AG2610" s="2857"/>
      <c r="BB2610" s="575"/>
      <c r="BC2610" s="576"/>
      <c r="BD2610" s="678"/>
      <c r="BE2610" s="585"/>
    </row>
    <row r="2611" spans="1:57" s="1942" customFormat="1" ht="15" hidden="1" customHeight="1" outlineLevel="1" x14ac:dyDescent="0.25">
      <c r="A2611" s="2060"/>
      <c r="B2611" s="123"/>
      <c r="C2611" s="328"/>
      <c r="D2611" s="3990"/>
      <c r="E2611" s="4009"/>
      <c r="F2611" s="3010" t="str">
        <f>$E$1531</f>
        <v>ASHP-SEER18-Replace_CAC_NonElectricHeat_ROF_MF_CompE</v>
      </c>
      <c r="G2611" s="2676"/>
      <c r="H2611" s="2676"/>
      <c r="I2611" s="2677"/>
      <c r="J2611" s="3298" t="str">
        <f>$C$1531</f>
        <v>353261_2021_12_</v>
      </c>
      <c r="K2611" s="2225">
        <f>K2610</f>
        <v>36000</v>
      </c>
      <c r="L2611" s="2726"/>
      <c r="M2611" s="2723" t="s">
        <v>1125</v>
      </c>
      <c r="N2611" s="123"/>
      <c r="O2611" s="228"/>
      <c r="P2611" s="844"/>
      <c r="Q2611" s="844"/>
      <c r="R2611" s="844"/>
      <c r="S2611" s="832"/>
      <c r="T2611" s="3082"/>
      <c r="U2611" s="123"/>
      <c r="V2611" s="3990"/>
      <c r="W2611" s="2857"/>
      <c r="X2611" s="2857"/>
      <c r="Y2611" s="3155"/>
      <c r="Z2611" s="2857"/>
      <c r="AA2611" s="2857"/>
      <c r="AB2611" s="3150"/>
      <c r="AC2611" s="2225">
        <f>AC2610</f>
        <v>36000</v>
      </c>
      <c r="AD2611" s="2857"/>
      <c r="AE2611" s="2857"/>
      <c r="AF2611" s="2857"/>
      <c r="AG2611" s="2857"/>
      <c r="BB2611" s="575"/>
      <c r="BC2611" s="576"/>
      <c r="BD2611" s="678"/>
      <c r="BE2611" s="585"/>
    </row>
    <row r="2612" spans="1:57" s="51" customFormat="1" ht="15" hidden="1" customHeight="1" outlineLevel="1" x14ac:dyDescent="0.25">
      <c r="A2612" s="2060"/>
      <c r="B2612" s="123"/>
      <c r="C2612" s="328"/>
      <c r="D2612" s="3990"/>
      <c r="E2612" s="4009"/>
      <c r="F2612" s="3010" t="str">
        <f>$E$1533</f>
        <v>ASHP-SEER19-Replace_CAC_ElectricHeat_ROF_SF</v>
      </c>
      <c r="G2612" s="2676"/>
      <c r="H2612" s="2676"/>
      <c r="I2612" s="2677"/>
      <c r="J2612" s="3298" t="str">
        <f>$C$1533</f>
        <v>353300_2021_12_</v>
      </c>
      <c r="K2612" s="2225">
        <v>48000</v>
      </c>
      <c r="L2612" s="2726">
        <f t="shared" si="202"/>
        <v>4</v>
      </c>
      <c r="M2612" s="2723" t="s">
        <v>1555</v>
      </c>
      <c r="N2612" s="123"/>
      <c r="O2612" s="228"/>
      <c r="P2612" s="844"/>
      <c r="Q2612" s="844"/>
      <c r="R2612" s="844"/>
      <c r="S2612" s="832"/>
      <c r="T2612" s="3082"/>
      <c r="U2612" s="123"/>
      <c r="V2612" s="3990"/>
      <c r="W2612" s="2857">
        <v>33600</v>
      </c>
      <c r="X2612" s="2857">
        <v>33600</v>
      </c>
      <c r="Y2612" s="2857">
        <v>33600</v>
      </c>
      <c r="Z2612" s="2857">
        <v>33600</v>
      </c>
      <c r="AA2612" s="2857">
        <v>33600</v>
      </c>
      <c r="AB2612" s="2855">
        <v>33600</v>
      </c>
      <c r="AC2612" s="2225">
        <v>48000</v>
      </c>
      <c r="AD2612" s="2857"/>
      <c r="AE2612" s="2857"/>
      <c r="AF2612" s="2857"/>
      <c r="AG2612" s="2857"/>
      <c r="AH2612" s="1942"/>
      <c r="AI2612" s="1942"/>
      <c r="AJ2612" s="1942"/>
      <c r="AK2612" s="1942"/>
      <c r="AL2612" s="1942"/>
      <c r="AM2612" s="1942"/>
      <c r="AN2612" s="1942"/>
      <c r="AO2612" s="1942"/>
      <c r="AP2612" s="1942"/>
      <c r="AQ2612" s="1942"/>
      <c r="AR2612" s="1942"/>
      <c r="AS2612" s="1942"/>
      <c r="AT2612" s="1942"/>
      <c r="AU2612" s="1942"/>
      <c r="AV2612" s="1942"/>
      <c r="AW2612" s="1942"/>
      <c r="AX2612" s="1942"/>
      <c r="AY2612" s="1942"/>
      <c r="AZ2612" s="1942"/>
      <c r="BA2612" s="1942"/>
      <c r="BB2612" s="575"/>
      <c r="BC2612" s="576"/>
      <c r="BD2612" s="678"/>
      <c r="BE2612" s="585"/>
    </row>
    <row r="2613" spans="1:57" s="51" customFormat="1" ht="15" hidden="1" customHeight="1" outlineLevel="1" x14ac:dyDescent="0.25">
      <c r="A2613" s="2060"/>
      <c r="B2613" s="123"/>
      <c r="C2613" s="328"/>
      <c r="D2613" s="3990"/>
      <c r="E2613" s="4009"/>
      <c r="F2613" s="3010" t="str">
        <f>$E$1535</f>
        <v>ASHP-SEER19-Replace_CAC_ElectricHeat_ROF_MF</v>
      </c>
      <c r="G2613" s="2676"/>
      <c r="H2613" s="2676"/>
      <c r="I2613" s="2677"/>
      <c r="J2613" s="3298" t="str">
        <f>$C$1535</f>
        <v>353350_2021_12_</v>
      </c>
      <c r="K2613" s="2551">
        <v>33600</v>
      </c>
      <c r="L2613" s="1597">
        <f t="shared" si="202"/>
        <v>2.8</v>
      </c>
      <c r="M2613" s="2278" t="s">
        <v>1556</v>
      </c>
      <c r="N2613" s="123"/>
      <c r="O2613" s="228"/>
      <c r="P2613" s="844"/>
      <c r="Q2613" s="844"/>
      <c r="R2613" s="844"/>
      <c r="S2613" s="832"/>
      <c r="T2613" s="3082"/>
      <c r="U2613" s="123"/>
      <c r="V2613" s="3990"/>
      <c r="W2613" s="2857">
        <v>33600</v>
      </c>
      <c r="X2613" s="2857">
        <v>33600</v>
      </c>
      <c r="Y2613" s="2857">
        <v>33600</v>
      </c>
      <c r="Z2613" s="2857">
        <v>33600</v>
      </c>
      <c r="AA2613" s="2857">
        <v>33600</v>
      </c>
      <c r="AB2613" s="2855">
        <v>33600</v>
      </c>
      <c r="AC2613" s="2551">
        <v>33600</v>
      </c>
      <c r="AD2613" s="2857"/>
      <c r="AE2613" s="2857"/>
      <c r="AF2613" s="2857"/>
      <c r="AG2613" s="2857"/>
      <c r="AH2613" s="1942"/>
      <c r="AI2613" s="1942"/>
      <c r="AJ2613" s="1942"/>
      <c r="AK2613" s="1942"/>
      <c r="AL2613" s="1942"/>
      <c r="AM2613" s="1942"/>
      <c r="AN2613" s="1942"/>
      <c r="AO2613" s="1942"/>
      <c r="AP2613" s="1942"/>
      <c r="AQ2613" s="1942"/>
      <c r="AR2613" s="1942"/>
      <c r="AS2613" s="1942"/>
      <c r="AT2613" s="1942"/>
      <c r="AU2613" s="1942"/>
      <c r="AV2613" s="1942"/>
      <c r="AW2613" s="1942"/>
      <c r="AX2613" s="1942"/>
      <c r="AY2613" s="1942"/>
      <c r="AZ2613" s="1942"/>
      <c r="BA2613" s="1942"/>
      <c r="BB2613" s="575"/>
      <c r="BC2613" s="576"/>
      <c r="BD2613" s="678"/>
      <c r="BE2613" s="585"/>
    </row>
    <row r="2614" spans="1:57" s="51" customFormat="1" ht="15" hidden="1" customHeight="1" outlineLevel="1" x14ac:dyDescent="0.25">
      <c r="A2614" s="2060"/>
      <c r="B2614" s="123"/>
      <c r="C2614" s="328"/>
      <c r="D2614" s="3990"/>
      <c r="E2614" s="4009"/>
      <c r="F2614" s="3010" t="str">
        <f>$E$1537</f>
        <v>ASHP-SEER19-Replace_CAC_ElectricHeat_ROF_MF_CompE</v>
      </c>
      <c r="G2614" s="2676"/>
      <c r="H2614" s="2676"/>
      <c r="I2614" s="2677"/>
      <c r="J2614" s="3299" t="str">
        <f>$C$1537</f>
        <v>353351_2019_12_</v>
      </c>
      <c r="K2614" s="2551">
        <f>K2613</f>
        <v>33600</v>
      </c>
      <c r="L2614" s="1597">
        <f t="shared" si="202"/>
        <v>2.8</v>
      </c>
      <c r="M2614" s="2278"/>
      <c r="N2614" s="123"/>
      <c r="O2614" s="228"/>
      <c r="P2614" s="844"/>
      <c r="Q2614" s="844"/>
      <c r="R2614" s="844"/>
      <c r="S2614" s="832"/>
      <c r="T2614" s="3082"/>
      <c r="U2614" s="123"/>
      <c r="V2614" s="3990"/>
      <c r="W2614" s="2857"/>
      <c r="X2614" s="2857"/>
      <c r="Y2614" s="3155">
        <v>33600</v>
      </c>
      <c r="Z2614" s="2857">
        <v>33600</v>
      </c>
      <c r="AA2614" s="2857">
        <v>33600</v>
      </c>
      <c r="AB2614" s="2855">
        <v>33600</v>
      </c>
      <c r="AC2614" s="2551">
        <f>AC2613</f>
        <v>33600</v>
      </c>
      <c r="AD2614" s="2857"/>
      <c r="AE2614" s="2857"/>
      <c r="AF2614" s="2857"/>
      <c r="AG2614" s="2857"/>
      <c r="AH2614" s="1942"/>
      <c r="AI2614" s="1942"/>
      <c r="AJ2614" s="1942"/>
      <c r="AK2614" s="1942"/>
      <c r="AL2614" s="1942"/>
      <c r="AM2614" s="1942"/>
      <c r="AN2614" s="1942"/>
      <c r="AO2614" s="1942"/>
      <c r="AP2614" s="1942"/>
      <c r="AQ2614" s="1942"/>
      <c r="AR2614" s="1942"/>
      <c r="AS2614" s="1942"/>
      <c r="AT2614" s="1942"/>
      <c r="AU2614" s="1942"/>
      <c r="AV2614" s="1942"/>
      <c r="AW2614" s="1942"/>
      <c r="AX2614" s="1942"/>
      <c r="AY2614" s="1942"/>
      <c r="AZ2614" s="1942"/>
      <c r="BA2614" s="1942"/>
      <c r="BB2614" s="575"/>
      <c r="BC2614" s="576"/>
      <c r="BD2614" s="678"/>
      <c r="BE2614" s="585"/>
    </row>
    <row r="2615" spans="1:57" s="1942" customFormat="1" ht="15" hidden="1" customHeight="1" outlineLevel="1" x14ac:dyDescent="0.25">
      <c r="A2615" s="2060"/>
      <c r="B2615" s="123"/>
      <c r="C2615" s="328"/>
      <c r="D2615" s="3990"/>
      <c r="E2615" s="4009"/>
      <c r="F2615" s="3010" t="str">
        <f>$E$1539</f>
        <v>ASHP-SEER19-Replace_CAC_NonElectricHeat_ROF_MF</v>
      </c>
      <c r="G2615" s="2676"/>
      <c r="H2615" s="2676"/>
      <c r="I2615" s="2677"/>
      <c r="J2615" s="3298" t="str">
        <f>$C$1539</f>
        <v>353360_2021_12_</v>
      </c>
      <c r="K2615" s="2225">
        <v>33600</v>
      </c>
      <c r="L2615" s="1597"/>
      <c r="M2615" s="2723" t="s">
        <v>1125</v>
      </c>
      <c r="N2615" s="123"/>
      <c r="O2615" s="228"/>
      <c r="P2615" s="844"/>
      <c r="Q2615" s="844"/>
      <c r="R2615" s="844"/>
      <c r="S2615" s="832"/>
      <c r="T2615" s="3082"/>
      <c r="U2615" s="123"/>
      <c r="V2615" s="3990"/>
      <c r="W2615" s="2857"/>
      <c r="X2615" s="2857"/>
      <c r="Y2615" s="3155"/>
      <c r="Z2615" s="2857"/>
      <c r="AA2615" s="2857"/>
      <c r="AB2615" s="2855"/>
      <c r="AC2615" s="2225">
        <v>33600</v>
      </c>
      <c r="AD2615" s="2857"/>
      <c r="AE2615" s="2857"/>
      <c r="AF2615" s="2857"/>
      <c r="AG2615" s="2857"/>
      <c r="BB2615" s="575"/>
      <c r="BC2615" s="576"/>
      <c r="BD2615" s="678"/>
      <c r="BE2615" s="585"/>
    </row>
    <row r="2616" spans="1:57" s="1942" customFormat="1" ht="15" hidden="1" customHeight="1" outlineLevel="1" x14ac:dyDescent="0.25">
      <c r="A2616" s="2060"/>
      <c r="B2616" s="123"/>
      <c r="C2616" s="328"/>
      <c r="D2616" s="3990"/>
      <c r="E2616" s="4009"/>
      <c r="F2616" s="3010" t="str">
        <f>$E$1541</f>
        <v>ASHP-SEER19-Replace_CAC_NonElectricHeat_ROF_MF_CompE</v>
      </c>
      <c r="G2616" s="2676"/>
      <c r="H2616" s="2676"/>
      <c r="I2616" s="2677"/>
      <c r="J2616" s="3298" t="str">
        <f>$C$1541</f>
        <v>353361_2021_12_</v>
      </c>
      <c r="K2616" s="2225">
        <f>K2615</f>
        <v>33600</v>
      </c>
      <c r="L2616" s="1597"/>
      <c r="M2616" s="2723" t="s">
        <v>1125</v>
      </c>
      <c r="N2616" s="123"/>
      <c r="O2616" s="228"/>
      <c r="P2616" s="844"/>
      <c r="Q2616" s="844"/>
      <c r="R2616" s="844"/>
      <c r="S2616" s="832"/>
      <c r="T2616" s="3082"/>
      <c r="U2616" s="123"/>
      <c r="V2616" s="3990"/>
      <c r="W2616" s="2857"/>
      <c r="X2616" s="2857"/>
      <c r="Y2616" s="3155"/>
      <c r="Z2616" s="2857"/>
      <c r="AA2616" s="2857"/>
      <c r="AB2616" s="2855"/>
      <c r="AC2616" s="2225">
        <f>AC2615</f>
        <v>33600</v>
      </c>
      <c r="AD2616" s="2857"/>
      <c r="AE2616" s="2857"/>
      <c r="AF2616" s="2857"/>
      <c r="AG2616" s="2857"/>
      <c r="BB2616" s="575"/>
      <c r="BC2616" s="576"/>
      <c r="BD2616" s="678"/>
      <c r="BE2616" s="585"/>
    </row>
    <row r="2617" spans="1:57" s="51" customFormat="1" ht="15" hidden="1" customHeight="1" outlineLevel="1" x14ac:dyDescent="0.25">
      <c r="A2617" s="2060"/>
      <c r="B2617" s="123"/>
      <c r="C2617" s="328"/>
      <c r="D2617" s="3990"/>
      <c r="E2617" s="4009"/>
      <c r="F2617" s="3010" t="str">
        <f>$E$1543</f>
        <v>ASHP-SEER20-Replace_CAC_ElectricHeat_ER1_SF</v>
      </c>
      <c r="G2617" s="2676"/>
      <c r="H2617" s="2676"/>
      <c r="I2617" s="2677"/>
      <c r="J2617" s="3298" t="str">
        <f>$C$1543</f>
        <v>353400_2021_12_</v>
      </c>
      <c r="K2617" s="2225">
        <v>36000</v>
      </c>
      <c r="L2617" s="2726">
        <f t="shared" si="202"/>
        <v>3</v>
      </c>
      <c r="M2617" s="2723" t="s">
        <v>1555</v>
      </c>
      <c r="N2617" s="123"/>
      <c r="O2617" s="228"/>
      <c r="P2617" s="844"/>
      <c r="Q2617" s="844"/>
      <c r="R2617" s="844"/>
      <c r="S2617" s="832"/>
      <c r="T2617" s="3082"/>
      <c r="U2617" s="123"/>
      <c r="V2617" s="3990"/>
      <c r="W2617" s="2857">
        <v>37200</v>
      </c>
      <c r="X2617" s="2857">
        <v>37200</v>
      </c>
      <c r="Y2617" s="2857">
        <v>37200</v>
      </c>
      <c r="Z2617" s="2857">
        <v>37200</v>
      </c>
      <c r="AA2617" s="2857">
        <v>37200</v>
      </c>
      <c r="AB2617" s="2855">
        <v>37200</v>
      </c>
      <c r="AC2617" s="2225">
        <v>36000</v>
      </c>
      <c r="AD2617" s="2857"/>
      <c r="AE2617" s="2857"/>
      <c r="AF2617" s="2857"/>
      <c r="AG2617" s="2857"/>
      <c r="AH2617" s="1942"/>
      <c r="AI2617" s="1942"/>
      <c r="AJ2617" s="1942"/>
      <c r="AK2617" s="1942"/>
      <c r="AL2617" s="1942"/>
      <c r="AM2617" s="1942"/>
      <c r="AN2617" s="1942"/>
      <c r="AO2617" s="1942"/>
      <c r="AP2617" s="1942"/>
      <c r="AQ2617" s="1942"/>
      <c r="AR2617" s="1942"/>
      <c r="AS2617" s="1942"/>
      <c r="AT2617" s="1942"/>
      <c r="AU2617" s="1942"/>
      <c r="AV2617" s="1942"/>
      <c r="AW2617" s="1942"/>
      <c r="AX2617" s="1942"/>
      <c r="AY2617" s="1942"/>
      <c r="AZ2617" s="1942"/>
      <c r="BA2617" s="1942"/>
      <c r="BB2617" s="575"/>
      <c r="BC2617" s="576"/>
      <c r="BD2617" s="678"/>
      <c r="BE2617" s="585"/>
    </row>
    <row r="2618" spans="1:57" s="51" customFormat="1" ht="15" hidden="1" customHeight="1" outlineLevel="1" x14ac:dyDescent="0.25">
      <c r="A2618" s="2060"/>
      <c r="B2618" s="123"/>
      <c r="C2618" s="328"/>
      <c r="D2618" s="3990"/>
      <c r="E2618" s="4009"/>
      <c r="F2618" s="3010" t="str">
        <f>$E$1545</f>
        <v>ASHP-SEER20-Replace_CAC_ElectricHeat_ER2_SF</v>
      </c>
      <c r="G2618" s="2676"/>
      <c r="H2618" s="2676"/>
      <c r="I2618" s="2677"/>
      <c r="J2618" s="3298" t="str">
        <f>$C$1545</f>
        <v>353400_2021_12_</v>
      </c>
      <c r="K2618" s="2225">
        <f>K2617</f>
        <v>36000</v>
      </c>
      <c r="L2618" s="2726">
        <f t="shared" si="202"/>
        <v>3</v>
      </c>
      <c r="M2618" s="2723" t="s">
        <v>1555</v>
      </c>
      <c r="N2618" s="123"/>
      <c r="O2618" s="228"/>
      <c r="P2618" s="844"/>
      <c r="Q2618" s="844"/>
      <c r="R2618" s="844"/>
      <c r="S2618" s="832"/>
      <c r="T2618" s="3082"/>
      <c r="U2618" s="123"/>
      <c r="V2618" s="3990"/>
      <c r="W2618" s="2857">
        <v>37200</v>
      </c>
      <c r="X2618" s="2857">
        <v>37200</v>
      </c>
      <c r="Y2618" s="2857">
        <v>37200</v>
      </c>
      <c r="Z2618" s="2857">
        <v>37200</v>
      </c>
      <c r="AA2618" s="2857">
        <v>37200</v>
      </c>
      <c r="AB2618" s="2855">
        <v>37200</v>
      </c>
      <c r="AC2618" s="2225">
        <f>AC2617</f>
        <v>36000</v>
      </c>
      <c r="AD2618" s="2857"/>
      <c r="AE2618" s="2857"/>
      <c r="AF2618" s="2857"/>
      <c r="AG2618" s="2857"/>
      <c r="AH2618" s="1942"/>
      <c r="AI2618" s="1942"/>
      <c r="AJ2618" s="1942"/>
      <c r="AK2618" s="1942"/>
      <c r="AL2618" s="1942"/>
      <c r="AM2618" s="1942"/>
      <c r="AN2618" s="1942"/>
      <c r="AO2618" s="1942"/>
      <c r="AP2618" s="1942"/>
      <c r="AQ2618" s="1942"/>
      <c r="AR2618" s="1942"/>
      <c r="AS2618" s="1942"/>
      <c r="AT2618" s="1942"/>
      <c r="AU2618" s="1942"/>
      <c r="AV2618" s="1942"/>
      <c r="AW2618" s="1942"/>
      <c r="AX2618" s="1942"/>
      <c r="AY2618" s="1942"/>
      <c r="AZ2618" s="1942"/>
      <c r="BA2618" s="1942"/>
      <c r="BB2618" s="575"/>
      <c r="BC2618" s="576"/>
      <c r="BD2618" s="678"/>
      <c r="BE2618" s="585"/>
    </row>
    <row r="2619" spans="1:57" s="1942" customFormat="1" ht="15" hidden="1" customHeight="1" outlineLevel="1" x14ac:dyDescent="0.25">
      <c r="A2619" s="2060"/>
      <c r="B2619" s="123"/>
      <c r="C2619" s="328"/>
      <c r="D2619" s="3990"/>
      <c r="E2619" s="4009"/>
      <c r="F2619" s="3010" t="str">
        <f>$E$1547</f>
        <v>ASHP-SEER20-Replace_CAC_NonElectricHeat_ER1_SF</v>
      </c>
      <c r="G2619" s="2676"/>
      <c r="H2619" s="2676"/>
      <c r="I2619" s="2677"/>
      <c r="J2619" s="3298" t="str">
        <f>$C$1547</f>
        <v>353410_2021_12_</v>
      </c>
      <c r="K2619" s="2225">
        <v>36000</v>
      </c>
      <c r="L2619" s="2726"/>
      <c r="M2619" s="2723" t="s">
        <v>1125</v>
      </c>
      <c r="N2619" s="123"/>
      <c r="O2619" s="228"/>
      <c r="P2619" s="844"/>
      <c r="Q2619" s="844"/>
      <c r="R2619" s="844"/>
      <c r="S2619" s="832"/>
      <c r="T2619" s="3082"/>
      <c r="U2619" s="123"/>
      <c r="V2619" s="3990"/>
      <c r="W2619" s="2857"/>
      <c r="X2619" s="2857"/>
      <c r="Y2619" s="2857"/>
      <c r="Z2619" s="2857"/>
      <c r="AA2619" s="2857"/>
      <c r="AB2619" s="2855"/>
      <c r="AC2619" s="2225">
        <v>36000</v>
      </c>
      <c r="AD2619" s="2857"/>
      <c r="AE2619" s="2857"/>
      <c r="AF2619" s="2857"/>
      <c r="AG2619" s="2857"/>
      <c r="BB2619" s="575"/>
      <c r="BC2619" s="576"/>
      <c r="BD2619" s="678"/>
      <c r="BE2619" s="585"/>
    </row>
    <row r="2620" spans="1:57" s="1942" customFormat="1" ht="15" hidden="1" customHeight="1" outlineLevel="1" x14ac:dyDescent="0.25">
      <c r="A2620" s="2060"/>
      <c r="B2620" s="123"/>
      <c r="C2620" s="328"/>
      <c r="D2620" s="3990"/>
      <c r="E2620" s="4009"/>
      <c r="F2620" s="3010" t="str">
        <f>$E$1549</f>
        <v>ASHP-SEER20-Replace_CAC_NonElectricHeat_ER2_SF</v>
      </c>
      <c r="G2620" s="2676"/>
      <c r="H2620" s="2676"/>
      <c r="I2620" s="2677"/>
      <c r="J2620" s="3298" t="str">
        <f>$C$1549</f>
        <v>353410_2021_12_</v>
      </c>
      <c r="K2620" s="2225">
        <f>K2619</f>
        <v>36000</v>
      </c>
      <c r="L2620" s="2726"/>
      <c r="M2620" s="2723" t="s">
        <v>1125</v>
      </c>
      <c r="N2620" s="123"/>
      <c r="O2620" s="228"/>
      <c r="P2620" s="844"/>
      <c r="Q2620" s="844"/>
      <c r="R2620" s="844"/>
      <c r="S2620" s="832"/>
      <c r="T2620" s="3082"/>
      <c r="U2620" s="123"/>
      <c r="V2620" s="3990"/>
      <c r="W2620" s="2857"/>
      <c r="X2620" s="2857"/>
      <c r="Y2620" s="2857"/>
      <c r="Z2620" s="2857"/>
      <c r="AA2620" s="2857"/>
      <c r="AB2620" s="2855"/>
      <c r="AC2620" s="2225">
        <f>AC2619</f>
        <v>36000</v>
      </c>
      <c r="AD2620" s="2857"/>
      <c r="AE2620" s="2857"/>
      <c r="AF2620" s="2857"/>
      <c r="AG2620" s="2857"/>
      <c r="BB2620" s="575"/>
      <c r="BC2620" s="576"/>
      <c r="BD2620" s="678"/>
      <c r="BE2620" s="585"/>
    </row>
    <row r="2621" spans="1:57" s="51" customFormat="1" ht="15" hidden="1" customHeight="1" outlineLevel="1" x14ac:dyDescent="0.25">
      <c r="A2621" s="2060"/>
      <c r="B2621" s="123"/>
      <c r="C2621" s="328"/>
      <c r="D2621" s="3990"/>
      <c r="E2621" s="4009"/>
      <c r="F2621" s="3010" t="str">
        <f>$E$1551</f>
        <v>ASHP-SEER20-Replace_CAC_ElectricHeat_ROF_SF</v>
      </c>
      <c r="G2621" s="2676"/>
      <c r="H2621" s="2676"/>
      <c r="I2621" s="2677"/>
      <c r="J2621" s="3298" t="str">
        <f>$C$1551</f>
        <v>353450_2021_12_</v>
      </c>
      <c r="K2621" s="2225">
        <v>30000</v>
      </c>
      <c r="L2621" s="2726">
        <f t="shared" si="202"/>
        <v>2.5</v>
      </c>
      <c r="M2621" s="2723" t="s">
        <v>1555</v>
      </c>
      <c r="N2621" s="123"/>
      <c r="O2621" s="228"/>
      <c r="P2621" s="844"/>
      <c r="Q2621" s="844"/>
      <c r="R2621" s="844"/>
      <c r="S2621" s="832"/>
      <c r="T2621" s="3082"/>
      <c r="U2621" s="123"/>
      <c r="V2621" s="3990"/>
      <c r="W2621" s="2857">
        <v>38400</v>
      </c>
      <c r="X2621" s="2857">
        <v>38400</v>
      </c>
      <c r="Y2621" s="2857">
        <v>38400</v>
      </c>
      <c r="Z2621" s="2857">
        <v>38400</v>
      </c>
      <c r="AA2621" s="2857">
        <v>38400</v>
      </c>
      <c r="AB2621" s="2855">
        <v>38400</v>
      </c>
      <c r="AC2621" s="2225">
        <v>30000</v>
      </c>
      <c r="AD2621" s="2857"/>
      <c r="AE2621" s="2857"/>
      <c r="AF2621" s="2857"/>
      <c r="AG2621" s="2857"/>
      <c r="AH2621" s="1942"/>
      <c r="AI2621" s="1942"/>
      <c r="AJ2621" s="1942"/>
      <c r="AK2621" s="1942"/>
      <c r="AL2621" s="1942"/>
      <c r="AM2621" s="1942"/>
      <c r="AN2621" s="1942"/>
      <c r="AO2621" s="1942"/>
      <c r="AP2621" s="1942"/>
      <c r="AQ2621" s="1942"/>
      <c r="AR2621" s="1942"/>
      <c r="AS2621" s="1942"/>
      <c r="AT2621" s="1942"/>
      <c r="AU2621" s="1942"/>
      <c r="AV2621" s="1942"/>
      <c r="AW2621" s="1942"/>
      <c r="AX2621" s="1942"/>
      <c r="AY2621" s="1942"/>
      <c r="AZ2621" s="1942"/>
      <c r="BA2621" s="1942"/>
      <c r="BB2621" s="575"/>
      <c r="BC2621" s="576"/>
      <c r="BD2621" s="678"/>
      <c r="BE2621" s="585"/>
    </row>
    <row r="2622" spans="1:57" s="51" customFormat="1" ht="15" hidden="1" customHeight="1" outlineLevel="1" x14ac:dyDescent="0.25">
      <c r="A2622" s="2060"/>
      <c r="B2622" s="123"/>
      <c r="C2622" s="328"/>
      <c r="D2622" s="3990"/>
      <c r="E2622" s="4009"/>
      <c r="F2622" s="3010" t="str">
        <f>$E$1553</f>
        <v>ASHP-SEER20-Replace_CAC_ElectricHeat_ROF_MF</v>
      </c>
      <c r="G2622" s="2676"/>
      <c r="H2622" s="2676"/>
      <c r="I2622" s="2677"/>
      <c r="J2622" s="3299" t="str">
        <f>$C$1553</f>
        <v>353500_2019_12_</v>
      </c>
      <c r="K2622" s="2551">
        <v>38400</v>
      </c>
      <c r="L2622" s="1597">
        <f t="shared" si="202"/>
        <v>3.2</v>
      </c>
      <c r="M2622" s="2278" t="s">
        <v>1556</v>
      </c>
      <c r="N2622" s="123"/>
      <c r="O2622" s="228"/>
      <c r="P2622" s="844"/>
      <c r="Q2622" s="844"/>
      <c r="R2622" s="844"/>
      <c r="S2622" s="832"/>
      <c r="T2622" s="3082"/>
      <c r="U2622" s="123"/>
      <c r="V2622" s="3990"/>
      <c r="W2622" s="2857">
        <v>38400</v>
      </c>
      <c r="X2622" s="2857">
        <v>38400</v>
      </c>
      <c r="Y2622" s="2857">
        <v>38400</v>
      </c>
      <c r="Z2622" s="2857">
        <v>38400</v>
      </c>
      <c r="AA2622" s="2857">
        <v>38400</v>
      </c>
      <c r="AB2622" s="2855">
        <v>38400</v>
      </c>
      <c r="AC2622" s="2551">
        <v>38400</v>
      </c>
      <c r="AD2622" s="2857"/>
      <c r="AE2622" s="2857"/>
      <c r="AF2622" s="2857"/>
      <c r="AG2622" s="2857"/>
      <c r="AH2622" s="1942"/>
      <c r="AI2622" s="1942"/>
      <c r="AJ2622" s="1942"/>
      <c r="AK2622" s="1942"/>
      <c r="AL2622" s="1942"/>
      <c r="AM2622" s="1942"/>
      <c r="AN2622" s="1942"/>
      <c r="AO2622" s="1942"/>
      <c r="AP2622" s="1942"/>
      <c r="AQ2622" s="1942"/>
      <c r="AR2622" s="1942"/>
      <c r="AS2622" s="1942"/>
      <c r="AT2622" s="1942"/>
      <c r="AU2622" s="1942"/>
      <c r="AV2622" s="1942"/>
      <c r="AW2622" s="1942"/>
      <c r="AX2622" s="1942"/>
      <c r="AY2622" s="1942"/>
      <c r="AZ2622" s="1942"/>
      <c r="BA2622" s="1942"/>
      <c r="BB2622" s="575"/>
      <c r="BC2622" s="576"/>
      <c r="BD2622" s="678"/>
      <c r="BE2622" s="585"/>
    </row>
    <row r="2623" spans="1:57" s="51" customFormat="1" ht="15" hidden="1" customHeight="1" outlineLevel="1" x14ac:dyDescent="0.25">
      <c r="A2623" s="2060"/>
      <c r="B2623" s="123"/>
      <c r="C2623" s="328"/>
      <c r="D2623" s="3990"/>
      <c r="E2623" s="4009"/>
      <c r="F2623" s="3010" t="str">
        <f>$E$1555</f>
        <v>ASHP-SEER20-Replace_CAC_ElectricHeat_ROF_MF_CompE</v>
      </c>
      <c r="G2623" s="2676"/>
      <c r="H2623" s="2676"/>
      <c r="I2623" s="2677"/>
      <c r="J2623" s="3299" t="str">
        <f>$C$1555</f>
        <v>353501_2019_12_</v>
      </c>
      <c r="K2623" s="2551">
        <f>K2622</f>
        <v>38400</v>
      </c>
      <c r="L2623" s="1597">
        <f t="shared" si="202"/>
        <v>3.2</v>
      </c>
      <c r="M2623" s="2278"/>
      <c r="N2623" s="123"/>
      <c r="O2623" s="228"/>
      <c r="P2623" s="844"/>
      <c r="Q2623" s="844"/>
      <c r="R2623" s="844"/>
      <c r="S2623" s="832"/>
      <c r="T2623" s="3082"/>
      <c r="U2623" s="123"/>
      <c r="V2623" s="3990"/>
      <c r="W2623" s="2857"/>
      <c r="X2623" s="2857"/>
      <c r="Y2623" s="3155">
        <v>38400</v>
      </c>
      <c r="Z2623" s="2857">
        <v>38400</v>
      </c>
      <c r="AA2623" s="2857">
        <v>38400</v>
      </c>
      <c r="AB2623" s="2855">
        <v>38400</v>
      </c>
      <c r="AC2623" s="2551">
        <f>AC2622</f>
        <v>38400</v>
      </c>
      <c r="AD2623" s="2857"/>
      <c r="AE2623" s="2857"/>
      <c r="AF2623" s="2857"/>
      <c r="AG2623" s="2857"/>
      <c r="AH2623" s="1942"/>
      <c r="AI2623" s="1942"/>
      <c r="AJ2623" s="1942"/>
      <c r="AK2623" s="1942"/>
      <c r="AL2623" s="1942"/>
      <c r="AM2623" s="1942"/>
      <c r="AN2623" s="1942"/>
      <c r="AO2623" s="1942"/>
      <c r="AP2623" s="1942"/>
      <c r="AQ2623" s="1942"/>
      <c r="AR2623" s="1942"/>
      <c r="AS2623" s="1942"/>
      <c r="AT2623" s="1942"/>
      <c r="AU2623" s="1942"/>
      <c r="AV2623" s="1942"/>
      <c r="AW2623" s="1942"/>
      <c r="AX2623" s="1942"/>
      <c r="AY2623" s="1942"/>
      <c r="AZ2623" s="1942"/>
      <c r="BA2623" s="1942"/>
      <c r="BB2623" s="575"/>
      <c r="BC2623" s="576"/>
      <c r="BD2623" s="678"/>
      <c r="BE2623" s="585"/>
    </row>
    <row r="2624" spans="1:57" s="1942" customFormat="1" ht="15" hidden="1" customHeight="1" outlineLevel="1" x14ac:dyDescent="0.25">
      <c r="A2624" s="2060"/>
      <c r="B2624" s="123"/>
      <c r="C2624" s="328"/>
      <c r="D2624" s="3990"/>
      <c r="E2624" s="4009"/>
      <c r="F2624" s="3010" t="str">
        <f>$E$1557</f>
        <v>ASHP-SEER20-Replace_CAC_NonElectricHeat_ROF_MF</v>
      </c>
      <c r="G2624" s="2676"/>
      <c r="H2624" s="2676"/>
      <c r="I2624" s="2677"/>
      <c r="J2624" s="3298" t="str">
        <f>$C$1557</f>
        <v>353510_2021_12_</v>
      </c>
      <c r="K2624" s="2225">
        <v>38400</v>
      </c>
      <c r="L2624" s="1597"/>
      <c r="M2624" s="2723" t="s">
        <v>1125</v>
      </c>
      <c r="N2624" s="123"/>
      <c r="O2624" s="228"/>
      <c r="P2624" s="844"/>
      <c r="Q2624" s="844"/>
      <c r="R2624" s="844"/>
      <c r="S2624" s="832"/>
      <c r="T2624" s="3082"/>
      <c r="U2624" s="123"/>
      <c r="V2624" s="3990"/>
      <c r="W2624" s="2857"/>
      <c r="X2624" s="2857"/>
      <c r="Y2624" s="3155"/>
      <c r="Z2624" s="2857"/>
      <c r="AA2624" s="2857"/>
      <c r="AB2624" s="2855"/>
      <c r="AC2624" s="2225">
        <v>38400</v>
      </c>
      <c r="AD2624" s="2857"/>
      <c r="AE2624" s="2857"/>
      <c r="AF2624" s="2857"/>
      <c r="AG2624" s="2857"/>
      <c r="BB2624" s="575"/>
      <c r="BC2624" s="576"/>
      <c r="BD2624" s="678"/>
      <c r="BE2624" s="585"/>
    </row>
    <row r="2625" spans="1:57" s="1942" customFormat="1" ht="15" hidden="1" customHeight="1" outlineLevel="1" x14ac:dyDescent="0.25">
      <c r="A2625" s="2060"/>
      <c r="B2625" s="123"/>
      <c r="C2625" s="328"/>
      <c r="D2625" s="3990"/>
      <c r="E2625" s="4009"/>
      <c r="F2625" s="3010" t="str">
        <f>$E$1559</f>
        <v>ASHP-SEER20-Replace_CAC_NonElectricHeat_ROF_MF_CompE</v>
      </c>
      <c r="G2625" s="2676"/>
      <c r="H2625" s="2676"/>
      <c r="I2625" s="2677"/>
      <c r="J2625" s="3298" t="str">
        <f>$C$1559</f>
        <v>353511_2021_12_</v>
      </c>
      <c r="K2625" s="2225">
        <f>K2624</f>
        <v>38400</v>
      </c>
      <c r="L2625" s="1597"/>
      <c r="M2625" s="2723" t="s">
        <v>1125</v>
      </c>
      <c r="N2625" s="123"/>
      <c r="O2625" s="228"/>
      <c r="P2625" s="844"/>
      <c r="Q2625" s="844"/>
      <c r="R2625" s="844"/>
      <c r="S2625" s="832"/>
      <c r="T2625" s="3082"/>
      <c r="U2625" s="123"/>
      <c r="V2625" s="3990"/>
      <c r="W2625" s="2857"/>
      <c r="X2625" s="2857"/>
      <c r="Y2625" s="3155"/>
      <c r="Z2625" s="2857"/>
      <c r="AA2625" s="2857"/>
      <c r="AB2625" s="2855"/>
      <c r="AC2625" s="2225">
        <f>AC2624</f>
        <v>38400</v>
      </c>
      <c r="AD2625" s="2857"/>
      <c r="AE2625" s="2857"/>
      <c r="AF2625" s="2857"/>
      <c r="AG2625" s="2857"/>
      <c r="BB2625" s="575"/>
      <c r="BC2625" s="576"/>
      <c r="BD2625" s="678"/>
      <c r="BE2625" s="585"/>
    </row>
    <row r="2626" spans="1:57" s="51" customFormat="1" ht="15" hidden="1" customHeight="1" outlineLevel="1" x14ac:dyDescent="0.25">
      <c r="A2626" s="2060"/>
      <c r="B2626" s="123"/>
      <c r="C2626" s="328"/>
      <c r="D2626" s="3990"/>
      <c r="E2626" s="4009"/>
      <c r="F2626" s="3010" t="str">
        <f>$E$1561</f>
        <v>ASHP-SEER21-Replace_CAC_ElectricHeat_ER1_SF</v>
      </c>
      <c r="G2626" s="2676"/>
      <c r="H2626" s="2676"/>
      <c r="I2626" s="2677"/>
      <c r="J2626" s="3298" t="str">
        <f>$C$1561</f>
        <v>353550_2021_12_</v>
      </c>
      <c r="K2626" s="2225">
        <v>43090.909090909088</v>
      </c>
      <c r="L2626" s="2726">
        <f t="shared" si="202"/>
        <v>3.5909090909090908</v>
      </c>
      <c r="M2626" s="2723" t="s">
        <v>1555</v>
      </c>
      <c r="N2626" s="123"/>
      <c r="O2626" s="228"/>
      <c r="P2626" s="844"/>
      <c r="Q2626" s="845"/>
      <c r="R2626" s="844"/>
      <c r="S2626" s="832"/>
      <c r="T2626" s="3082"/>
      <c r="U2626" s="123"/>
      <c r="V2626" s="3990"/>
      <c r="W2626" s="2857">
        <v>37200</v>
      </c>
      <c r="X2626" s="2857">
        <v>37200</v>
      </c>
      <c r="Y2626" s="2857">
        <v>37200</v>
      </c>
      <c r="Z2626" s="2857">
        <v>37200</v>
      </c>
      <c r="AA2626" s="2857">
        <v>37200</v>
      </c>
      <c r="AB2626" s="2855">
        <v>37200</v>
      </c>
      <c r="AC2626" s="2225">
        <v>43090.909090909088</v>
      </c>
      <c r="AD2626" s="2857"/>
      <c r="AE2626" s="2857"/>
      <c r="AF2626" s="2857"/>
      <c r="AG2626" s="2857"/>
      <c r="AH2626" s="1942"/>
      <c r="AI2626" s="1942"/>
      <c r="AJ2626" s="1942"/>
      <c r="AK2626" s="1942"/>
      <c r="AL2626" s="1942"/>
      <c r="AM2626" s="1942"/>
      <c r="AN2626" s="1942"/>
      <c r="AO2626" s="1942"/>
      <c r="AP2626" s="1942"/>
      <c r="AQ2626" s="1942"/>
      <c r="AR2626" s="1942"/>
      <c r="AS2626" s="1942"/>
      <c r="AT2626" s="1942"/>
      <c r="AU2626" s="1942"/>
      <c r="AV2626" s="1942"/>
      <c r="AW2626" s="1942"/>
      <c r="AX2626" s="1942"/>
      <c r="AY2626" s="1942"/>
      <c r="AZ2626" s="1942"/>
      <c r="BA2626" s="1942"/>
      <c r="BB2626" s="575"/>
      <c r="BC2626" s="576"/>
      <c r="BD2626" s="678"/>
      <c r="BE2626" s="585"/>
    </row>
    <row r="2627" spans="1:57" s="51" customFormat="1" ht="15" hidden="1" customHeight="1" outlineLevel="1" x14ac:dyDescent="0.25">
      <c r="A2627" s="2060"/>
      <c r="B2627" s="123"/>
      <c r="C2627" s="328"/>
      <c r="D2627" s="3990"/>
      <c r="E2627" s="4009"/>
      <c r="F2627" s="3010" t="str">
        <f>$E$1563</f>
        <v>ASHP-SEER21-Replace_CAC_ElectricHeat_ER2_SF</v>
      </c>
      <c r="G2627" s="2676"/>
      <c r="H2627" s="2676"/>
      <c r="I2627" s="2677"/>
      <c r="J2627" s="3298" t="str">
        <f>$C$1563</f>
        <v>353550_2021_12_</v>
      </c>
      <c r="K2627" s="2225">
        <f>K2626</f>
        <v>43090.909090909088</v>
      </c>
      <c r="L2627" s="2726">
        <f t="shared" si="202"/>
        <v>3.5909090909090908</v>
      </c>
      <c r="M2627" s="2723" t="s">
        <v>1555</v>
      </c>
      <c r="N2627" s="123"/>
      <c r="O2627" s="228"/>
      <c r="P2627" s="844"/>
      <c r="Q2627" s="845"/>
      <c r="R2627" s="844"/>
      <c r="S2627" s="832"/>
      <c r="T2627" s="3082"/>
      <c r="U2627" s="123"/>
      <c r="V2627" s="3990"/>
      <c r="W2627" s="2857">
        <v>37200</v>
      </c>
      <c r="X2627" s="2857">
        <v>37200</v>
      </c>
      <c r="Y2627" s="2857">
        <v>37200</v>
      </c>
      <c r="Z2627" s="2857">
        <v>37200</v>
      </c>
      <c r="AA2627" s="2857">
        <v>37200</v>
      </c>
      <c r="AB2627" s="2855">
        <v>37200</v>
      </c>
      <c r="AC2627" s="2225">
        <f>AC2626</f>
        <v>43090.909090909088</v>
      </c>
      <c r="AD2627" s="2857"/>
      <c r="AE2627" s="2857"/>
      <c r="AF2627" s="2857"/>
      <c r="AG2627" s="2857"/>
      <c r="AH2627" s="1942"/>
      <c r="AI2627" s="1942"/>
      <c r="AJ2627" s="1942"/>
      <c r="AK2627" s="1942"/>
      <c r="AL2627" s="1942"/>
      <c r="AM2627" s="1942"/>
      <c r="AN2627" s="1942"/>
      <c r="AO2627" s="1942"/>
      <c r="AP2627" s="1942"/>
      <c r="AQ2627" s="1942"/>
      <c r="AR2627" s="1942"/>
      <c r="AS2627" s="1942"/>
      <c r="AT2627" s="1942"/>
      <c r="AU2627" s="1942"/>
      <c r="AV2627" s="1942"/>
      <c r="AW2627" s="1942"/>
      <c r="AX2627" s="1942"/>
      <c r="AY2627" s="1942"/>
      <c r="AZ2627" s="1942"/>
      <c r="BA2627" s="1942"/>
      <c r="BB2627" s="575"/>
      <c r="BC2627" s="576"/>
      <c r="BD2627" s="678"/>
      <c r="BE2627" s="585"/>
    </row>
    <row r="2628" spans="1:57" s="1942" customFormat="1" ht="15" hidden="1" customHeight="1" outlineLevel="1" x14ac:dyDescent="0.25">
      <c r="A2628" s="2060"/>
      <c r="B2628" s="123"/>
      <c r="C2628" s="328"/>
      <c r="D2628" s="3990"/>
      <c r="E2628" s="4009"/>
      <c r="F2628" s="3010" t="str">
        <f>$E$1565</f>
        <v>ASHP-SEER21-Replace_CAC_NonElectricHeat_ER1_SF</v>
      </c>
      <c r="G2628" s="2676"/>
      <c r="H2628" s="2676"/>
      <c r="I2628" s="2677"/>
      <c r="J2628" s="3298" t="str">
        <f>$C$1565</f>
        <v>353560_2021_12_</v>
      </c>
      <c r="K2628" s="2225">
        <v>43090.909090909088</v>
      </c>
      <c r="L2628" s="2726"/>
      <c r="M2628" s="2723" t="s">
        <v>1125</v>
      </c>
      <c r="N2628" s="123"/>
      <c r="O2628" s="228"/>
      <c r="P2628" s="844"/>
      <c r="Q2628" s="845"/>
      <c r="R2628" s="844"/>
      <c r="S2628" s="832"/>
      <c r="T2628" s="3082"/>
      <c r="U2628" s="123"/>
      <c r="V2628" s="3990"/>
      <c r="W2628" s="2857"/>
      <c r="X2628" s="2857"/>
      <c r="Y2628" s="2857"/>
      <c r="Z2628" s="2857"/>
      <c r="AA2628" s="2857"/>
      <c r="AB2628" s="2855"/>
      <c r="AC2628" s="2225">
        <v>43090.909090909088</v>
      </c>
      <c r="AD2628" s="2857"/>
      <c r="AE2628" s="2857"/>
      <c r="AF2628" s="2857"/>
      <c r="AG2628" s="2857"/>
      <c r="BB2628" s="575"/>
      <c r="BC2628" s="576"/>
      <c r="BD2628" s="678"/>
      <c r="BE2628" s="585"/>
    </row>
    <row r="2629" spans="1:57" s="1942" customFormat="1" ht="15" hidden="1" customHeight="1" outlineLevel="1" x14ac:dyDescent="0.25">
      <c r="A2629" s="2060"/>
      <c r="B2629" s="123"/>
      <c r="C2629" s="328"/>
      <c r="D2629" s="3990"/>
      <c r="E2629" s="4009"/>
      <c r="F2629" s="3010" t="str">
        <f>$E$1567</f>
        <v>ASHP-SEER21-Replace_CAC_NonElectricHeat_ER2_SF</v>
      </c>
      <c r="G2629" s="2676"/>
      <c r="H2629" s="2676"/>
      <c r="I2629" s="2677"/>
      <c r="J2629" s="3298" t="str">
        <f>$C$1567</f>
        <v>353560_2021_12_</v>
      </c>
      <c r="K2629" s="2225">
        <f>K2628</f>
        <v>43090.909090909088</v>
      </c>
      <c r="L2629" s="2726"/>
      <c r="M2629" s="2723" t="s">
        <v>1125</v>
      </c>
      <c r="N2629" s="123"/>
      <c r="O2629" s="228"/>
      <c r="P2629" s="844"/>
      <c r="Q2629" s="845"/>
      <c r="R2629" s="844"/>
      <c r="S2629" s="832"/>
      <c r="T2629" s="3082"/>
      <c r="U2629" s="123"/>
      <c r="V2629" s="3990"/>
      <c r="W2629" s="2857"/>
      <c r="X2629" s="2857"/>
      <c r="Y2629" s="2857"/>
      <c r="Z2629" s="2857"/>
      <c r="AA2629" s="2857"/>
      <c r="AB2629" s="2855"/>
      <c r="AC2629" s="2225">
        <f>AC2628</f>
        <v>43090.909090909088</v>
      </c>
      <c r="AD2629" s="2857"/>
      <c r="AE2629" s="2857"/>
      <c r="AF2629" s="2857"/>
      <c r="AG2629" s="2857"/>
      <c r="BB2629" s="575"/>
      <c r="BC2629" s="576"/>
      <c r="BD2629" s="678"/>
      <c r="BE2629" s="585"/>
    </row>
    <row r="2630" spans="1:57" s="51" customFormat="1" ht="15" hidden="1" customHeight="1" outlineLevel="1" x14ac:dyDescent="0.25">
      <c r="A2630" s="2060"/>
      <c r="B2630" s="123"/>
      <c r="C2630" s="328"/>
      <c r="D2630" s="3990"/>
      <c r="E2630" s="4009"/>
      <c r="F2630" s="3010" t="str">
        <f>$E$1569</f>
        <v>ASHP-SEER21-Replace_CAC_ElectricHeat_ER1_MF</v>
      </c>
      <c r="G2630" s="2676"/>
      <c r="H2630" s="2676"/>
      <c r="I2630" s="2677"/>
      <c r="J2630" s="3299" t="str">
        <f>$C$1569</f>
        <v>353600_2019_12_</v>
      </c>
      <c r="K2630" s="2551">
        <v>37200</v>
      </c>
      <c r="L2630" s="1597">
        <f t="shared" si="202"/>
        <v>3.1</v>
      </c>
      <c r="M2630" s="2278" t="s">
        <v>1556</v>
      </c>
      <c r="N2630" s="123"/>
      <c r="O2630" s="228"/>
      <c r="P2630" s="844"/>
      <c r="Q2630" s="845"/>
      <c r="R2630" s="844"/>
      <c r="S2630" s="832"/>
      <c r="T2630" s="3082"/>
      <c r="U2630" s="123"/>
      <c r="V2630" s="3990"/>
      <c r="W2630" s="2857">
        <v>37200</v>
      </c>
      <c r="X2630" s="2857">
        <v>37200</v>
      </c>
      <c r="Y2630" s="2857">
        <v>37200</v>
      </c>
      <c r="Z2630" s="2857">
        <v>37200</v>
      </c>
      <c r="AA2630" s="2857">
        <v>37200</v>
      </c>
      <c r="AB2630" s="2855">
        <v>37200</v>
      </c>
      <c r="AC2630" s="2551">
        <v>37200</v>
      </c>
      <c r="AD2630" s="2857"/>
      <c r="AE2630" s="2857"/>
      <c r="AF2630" s="2857"/>
      <c r="AG2630" s="2857"/>
      <c r="AH2630" s="1942"/>
      <c r="AI2630" s="1942"/>
      <c r="AJ2630" s="1942"/>
      <c r="AK2630" s="1942"/>
      <c r="AL2630" s="1942"/>
      <c r="AM2630" s="1942"/>
      <c r="AN2630" s="1942"/>
      <c r="AO2630" s="1942"/>
      <c r="AP2630" s="1942"/>
      <c r="AQ2630" s="1942"/>
      <c r="AR2630" s="1942"/>
      <c r="AS2630" s="1942"/>
      <c r="AT2630" s="1942"/>
      <c r="AU2630" s="1942"/>
      <c r="AV2630" s="1942"/>
      <c r="AW2630" s="1942"/>
      <c r="AX2630" s="1942"/>
      <c r="AY2630" s="1942"/>
      <c r="AZ2630" s="1942"/>
      <c r="BA2630" s="1942"/>
      <c r="BB2630" s="575"/>
      <c r="BC2630" s="576"/>
      <c r="BD2630" s="678"/>
      <c r="BE2630" s="585"/>
    </row>
    <row r="2631" spans="1:57" s="51" customFormat="1" ht="15" hidden="1" customHeight="1" outlineLevel="1" x14ac:dyDescent="0.25">
      <c r="A2631" s="2060"/>
      <c r="B2631" s="123"/>
      <c r="C2631" s="328"/>
      <c r="D2631" s="3990"/>
      <c r="E2631" s="4009"/>
      <c r="F2631" s="3010" t="str">
        <f>$E$1571</f>
        <v>ASHP-SEER21-Replace_CAC_ElectricHeat_ER2_MF</v>
      </c>
      <c r="G2631" s="2676"/>
      <c r="H2631" s="2676"/>
      <c r="I2631" s="2677"/>
      <c r="J2631" s="3299" t="str">
        <f>$C$1571</f>
        <v>353600_2019_12_</v>
      </c>
      <c r="K2631" s="2551">
        <v>37200</v>
      </c>
      <c r="L2631" s="1597">
        <f t="shared" si="202"/>
        <v>3.1</v>
      </c>
      <c r="M2631" s="2278" t="s">
        <v>1556</v>
      </c>
      <c r="N2631" s="123"/>
      <c r="O2631" s="228"/>
      <c r="P2631" s="844"/>
      <c r="Q2631" s="845"/>
      <c r="R2631" s="844"/>
      <c r="S2631" s="832"/>
      <c r="T2631" s="3082"/>
      <c r="U2631" s="123"/>
      <c r="V2631" s="3990"/>
      <c r="W2631" s="2857">
        <v>37200</v>
      </c>
      <c r="X2631" s="2857">
        <v>37200</v>
      </c>
      <c r="Y2631" s="2857">
        <v>37200</v>
      </c>
      <c r="Z2631" s="2857">
        <v>37200</v>
      </c>
      <c r="AA2631" s="2857">
        <v>37200</v>
      </c>
      <c r="AB2631" s="2855">
        <v>37200</v>
      </c>
      <c r="AC2631" s="2551">
        <v>37200</v>
      </c>
      <c r="AD2631" s="2857"/>
      <c r="AE2631" s="2857"/>
      <c r="AF2631" s="2857"/>
      <c r="AG2631" s="2857"/>
      <c r="AH2631" s="1942"/>
      <c r="AI2631" s="1942"/>
      <c r="AJ2631" s="1942"/>
      <c r="AK2631" s="1942"/>
      <c r="AL2631" s="1942"/>
      <c r="AM2631" s="1942"/>
      <c r="AN2631" s="1942"/>
      <c r="AO2631" s="1942"/>
      <c r="AP2631" s="1942"/>
      <c r="AQ2631" s="1942"/>
      <c r="AR2631" s="1942"/>
      <c r="AS2631" s="1942"/>
      <c r="AT2631" s="1942"/>
      <c r="AU2631" s="1942"/>
      <c r="AV2631" s="1942"/>
      <c r="AW2631" s="1942"/>
      <c r="AX2631" s="1942"/>
      <c r="AY2631" s="1942"/>
      <c r="AZ2631" s="1942"/>
      <c r="BA2631" s="1942"/>
      <c r="BB2631" s="575"/>
      <c r="BC2631" s="576"/>
      <c r="BD2631" s="678"/>
      <c r="BE2631" s="585"/>
    </row>
    <row r="2632" spans="1:57" s="51" customFormat="1" ht="15" hidden="1" customHeight="1" outlineLevel="1" x14ac:dyDescent="0.25">
      <c r="A2632" s="2060"/>
      <c r="B2632" s="123"/>
      <c r="C2632" s="328"/>
      <c r="D2632" s="3990"/>
      <c r="E2632" s="4009"/>
      <c r="F2632" s="3010" t="str">
        <f>$E$1573</f>
        <v>ASHP-SEER21-Replace_CAC_ElectricHeat_ER1_MF_CompE</v>
      </c>
      <c r="G2632" s="2676"/>
      <c r="H2632" s="2676"/>
      <c r="I2632" s="2677"/>
      <c r="J2632" s="3299" t="str">
        <f>$C$1573</f>
        <v>353601_2019_12_</v>
      </c>
      <c r="K2632" s="2551">
        <f>K2630</f>
        <v>37200</v>
      </c>
      <c r="L2632" s="1597">
        <f t="shared" si="202"/>
        <v>3.1</v>
      </c>
      <c r="M2632" s="2278"/>
      <c r="N2632" s="123"/>
      <c r="O2632" s="228"/>
      <c r="P2632" s="844"/>
      <c r="Q2632" s="845"/>
      <c r="R2632" s="844"/>
      <c r="S2632" s="832"/>
      <c r="T2632" s="3082"/>
      <c r="U2632" s="123"/>
      <c r="V2632" s="3990"/>
      <c r="W2632" s="2857"/>
      <c r="X2632" s="2857"/>
      <c r="Y2632" s="3155">
        <v>37200</v>
      </c>
      <c r="Z2632" s="2857">
        <v>37200</v>
      </c>
      <c r="AA2632" s="2857">
        <v>37200</v>
      </c>
      <c r="AB2632" s="2855">
        <v>37200</v>
      </c>
      <c r="AC2632" s="2551">
        <f>AC2630</f>
        <v>37200</v>
      </c>
      <c r="AD2632" s="2857"/>
      <c r="AE2632" s="2857"/>
      <c r="AF2632" s="2857"/>
      <c r="AG2632" s="2857"/>
      <c r="AH2632" s="1942"/>
      <c r="AI2632" s="1942"/>
      <c r="AJ2632" s="1942"/>
      <c r="AK2632" s="1942"/>
      <c r="AL2632" s="1942"/>
      <c r="AM2632" s="1942"/>
      <c r="AN2632" s="1942"/>
      <c r="AO2632" s="1942"/>
      <c r="AP2632" s="1942"/>
      <c r="AQ2632" s="1942"/>
      <c r="AR2632" s="1942"/>
      <c r="AS2632" s="1942"/>
      <c r="AT2632" s="1942"/>
      <c r="AU2632" s="1942"/>
      <c r="AV2632" s="1942"/>
      <c r="AW2632" s="1942"/>
      <c r="AX2632" s="1942"/>
      <c r="AY2632" s="1942"/>
      <c r="AZ2632" s="1942"/>
      <c r="BA2632" s="1942"/>
      <c r="BB2632" s="575"/>
      <c r="BC2632" s="576"/>
      <c r="BD2632" s="678"/>
      <c r="BE2632" s="585"/>
    </row>
    <row r="2633" spans="1:57" s="51" customFormat="1" ht="15" hidden="1" customHeight="1" outlineLevel="1" x14ac:dyDescent="0.25">
      <c r="A2633" s="2060"/>
      <c r="B2633" s="123"/>
      <c r="C2633" s="328"/>
      <c r="D2633" s="3990"/>
      <c r="E2633" s="4009"/>
      <c r="F2633" s="3010" t="str">
        <f>$E$1575</f>
        <v>ASHP-SEER21-Replace_CAC_ElectricHeat_ER2_MF_CompE</v>
      </c>
      <c r="G2633" s="2676"/>
      <c r="H2633" s="2676"/>
      <c r="I2633" s="2677"/>
      <c r="J2633" s="3299" t="str">
        <f>$C$1575</f>
        <v>353601_2019_12_</v>
      </c>
      <c r="K2633" s="2551">
        <f>K2631</f>
        <v>37200</v>
      </c>
      <c r="L2633" s="1597">
        <f t="shared" si="202"/>
        <v>3.1</v>
      </c>
      <c r="M2633" s="2278"/>
      <c r="N2633" s="123"/>
      <c r="O2633" s="228"/>
      <c r="P2633" s="844"/>
      <c r="Q2633" s="845"/>
      <c r="R2633" s="844"/>
      <c r="S2633" s="832"/>
      <c r="T2633" s="3082"/>
      <c r="U2633" s="123"/>
      <c r="V2633" s="3990"/>
      <c r="W2633" s="2857"/>
      <c r="X2633" s="2857"/>
      <c r="Y2633" s="3155">
        <v>37200</v>
      </c>
      <c r="Z2633" s="2857">
        <v>37200</v>
      </c>
      <c r="AA2633" s="2857">
        <v>37200</v>
      </c>
      <c r="AB2633" s="2855">
        <v>37200</v>
      </c>
      <c r="AC2633" s="2551">
        <f>AC2631</f>
        <v>37200</v>
      </c>
      <c r="AD2633" s="2857"/>
      <c r="AE2633" s="2857"/>
      <c r="AF2633" s="2857"/>
      <c r="AG2633" s="2857"/>
      <c r="AH2633" s="1942"/>
      <c r="AI2633" s="1942"/>
      <c r="AJ2633" s="1942"/>
      <c r="AK2633" s="1942"/>
      <c r="AL2633" s="1942"/>
      <c r="AM2633" s="1942"/>
      <c r="AN2633" s="1942"/>
      <c r="AO2633" s="1942"/>
      <c r="AP2633" s="1942"/>
      <c r="AQ2633" s="1942"/>
      <c r="AR2633" s="1942"/>
      <c r="AS2633" s="1942"/>
      <c r="AT2633" s="1942"/>
      <c r="AU2633" s="1942"/>
      <c r="AV2633" s="1942"/>
      <c r="AW2633" s="1942"/>
      <c r="AX2633" s="1942"/>
      <c r="AY2633" s="1942"/>
      <c r="AZ2633" s="1942"/>
      <c r="BA2633" s="1942"/>
      <c r="BB2633" s="575"/>
      <c r="BC2633" s="576"/>
      <c r="BD2633" s="678"/>
      <c r="BE2633" s="585"/>
    </row>
    <row r="2634" spans="1:57" s="1942" customFormat="1" ht="15" hidden="1" customHeight="1" outlineLevel="1" x14ac:dyDescent="0.25">
      <c r="A2634" s="2060"/>
      <c r="B2634" s="123"/>
      <c r="C2634" s="328"/>
      <c r="D2634" s="3990"/>
      <c r="E2634" s="4009"/>
      <c r="F2634" s="3010" t="str">
        <f>$E$1577</f>
        <v>ASHP-SEER21-Replace_CAC_NonElectricHeat_ER1_MF</v>
      </c>
      <c r="G2634" s="2676"/>
      <c r="H2634" s="2676"/>
      <c r="I2634" s="2677"/>
      <c r="J2634" s="3298" t="str">
        <f>$C$1577</f>
        <v>353610_2021_12_</v>
      </c>
      <c r="K2634" s="2225">
        <v>37200</v>
      </c>
      <c r="L2634" s="1597"/>
      <c r="M2634" s="2723" t="s">
        <v>1125</v>
      </c>
      <c r="N2634" s="123"/>
      <c r="O2634" s="228"/>
      <c r="P2634" s="844"/>
      <c r="Q2634" s="845"/>
      <c r="R2634" s="844"/>
      <c r="S2634" s="832"/>
      <c r="T2634" s="3082"/>
      <c r="U2634" s="123"/>
      <c r="V2634" s="3990"/>
      <c r="W2634" s="2857"/>
      <c r="X2634" s="2857"/>
      <c r="Y2634" s="3155"/>
      <c r="Z2634" s="2857"/>
      <c r="AA2634" s="2857"/>
      <c r="AB2634" s="2855"/>
      <c r="AC2634" s="2225">
        <v>37200</v>
      </c>
      <c r="AD2634" s="2857"/>
      <c r="AE2634" s="2857"/>
      <c r="AF2634" s="2857"/>
      <c r="AG2634" s="2857"/>
      <c r="BB2634" s="575"/>
      <c r="BC2634" s="576"/>
      <c r="BD2634" s="678"/>
      <c r="BE2634" s="585"/>
    </row>
    <row r="2635" spans="1:57" s="1942" customFormat="1" ht="15" hidden="1" customHeight="1" outlineLevel="1" x14ac:dyDescent="0.25">
      <c r="A2635" s="2060"/>
      <c r="B2635" s="123"/>
      <c r="C2635" s="328"/>
      <c r="D2635" s="3990"/>
      <c r="E2635" s="4009"/>
      <c r="F2635" s="3010" t="str">
        <f>$E$1579</f>
        <v>ASHP-SEER21-Replace_CAC_NonElectricHeat_ER2_MF</v>
      </c>
      <c r="G2635" s="2676"/>
      <c r="H2635" s="2676"/>
      <c r="I2635" s="2677"/>
      <c r="J2635" s="3298" t="str">
        <f>$C$1579</f>
        <v>353610_2021_12_</v>
      </c>
      <c r="K2635" s="2225">
        <v>37200</v>
      </c>
      <c r="L2635" s="1597"/>
      <c r="M2635" s="2723" t="s">
        <v>1125</v>
      </c>
      <c r="N2635" s="123"/>
      <c r="O2635" s="228"/>
      <c r="P2635" s="844"/>
      <c r="Q2635" s="845"/>
      <c r="R2635" s="844"/>
      <c r="S2635" s="832"/>
      <c r="T2635" s="3082"/>
      <c r="U2635" s="123"/>
      <c r="V2635" s="3990"/>
      <c r="W2635" s="2857"/>
      <c r="X2635" s="2857"/>
      <c r="Y2635" s="3155"/>
      <c r="Z2635" s="2857"/>
      <c r="AA2635" s="2857"/>
      <c r="AB2635" s="2855"/>
      <c r="AC2635" s="2225">
        <v>37200</v>
      </c>
      <c r="AD2635" s="2857"/>
      <c r="AE2635" s="2857"/>
      <c r="AF2635" s="2857"/>
      <c r="AG2635" s="2857"/>
      <c r="BB2635" s="575"/>
      <c r="BC2635" s="576"/>
      <c r="BD2635" s="678"/>
      <c r="BE2635" s="585"/>
    </row>
    <row r="2636" spans="1:57" s="1942" customFormat="1" ht="15" hidden="1" customHeight="1" outlineLevel="1" x14ac:dyDescent="0.25">
      <c r="A2636" s="2060"/>
      <c r="B2636" s="123"/>
      <c r="C2636" s="328"/>
      <c r="D2636" s="3990"/>
      <c r="E2636" s="4009"/>
      <c r="F2636" s="3010" t="str">
        <f>$E$1581</f>
        <v>ASHP-SEER21-Replace_CAC_NonElectricHeat_ER1_MF_CompE</v>
      </c>
      <c r="G2636" s="2676"/>
      <c r="H2636" s="2676"/>
      <c r="I2636" s="2677"/>
      <c r="J2636" s="3298" t="str">
        <f>$C$1581</f>
        <v>353611_2021_12_</v>
      </c>
      <c r="K2636" s="2225">
        <f>K2634</f>
        <v>37200</v>
      </c>
      <c r="L2636" s="1597"/>
      <c r="M2636" s="2723" t="s">
        <v>1125</v>
      </c>
      <c r="N2636" s="123"/>
      <c r="O2636" s="228"/>
      <c r="P2636" s="844"/>
      <c r="Q2636" s="845"/>
      <c r="R2636" s="844"/>
      <c r="S2636" s="832"/>
      <c r="T2636" s="3082"/>
      <c r="U2636" s="123"/>
      <c r="V2636" s="3990"/>
      <c r="W2636" s="2857"/>
      <c r="X2636" s="2857"/>
      <c r="Y2636" s="3155"/>
      <c r="Z2636" s="2857"/>
      <c r="AA2636" s="2857"/>
      <c r="AB2636" s="2855"/>
      <c r="AC2636" s="2225">
        <f>AC2634</f>
        <v>37200</v>
      </c>
      <c r="AD2636" s="2857"/>
      <c r="AE2636" s="2857"/>
      <c r="AF2636" s="2857"/>
      <c r="AG2636" s="2857"/>
      <c r="BB2636" s="575"/>
      <c r="BC2636" s="576"/>
      <c r="BD2636" s="678"/>
      <c r="BE2636" s="585"/>
    </row>
    <row r="2637" spans="1:57" s="1942" customFormat="1" ht="15" hidden="1" customHeight="1" outlineLevel="1" x14ac:dyDescent="0.25">
      <c r="A2637" s="2060"/>
      <c r="B2637" s="123"/>
      <c r="C2637" s="328"/>
      <c r="D2637" s="3990"/>
      <c r="E2637" s="4009"/>
      <c r="F2637" s="3010" t="str">
        <f>$E$1583</f>
        <v>ASHP-SEER21-Replace_CAC_NonElectricHeat_ER2_MF_CompE</v>
      </c>
      <c r="G2637" s="2676"/>
      <c r="H2637" s="2676"/>
      <c r="I2637" s="2677"/>
      <c r="J2637" s="3298" t="str">
        <f>$C$1583</f>
        <v>353611_2021_12_</v>
      </c>
      <c r="K2637" s="2225">
        <f>K2635</f>
        <v>37200</v>
      </c>
      <c r="L2637" s="1597"/>
      <c r="M2637" s="2723" t="s">
        <v>1125</v>
      </c>
      <c r="N2637" s="123"/>
      <c r="O2637" s="228"/>
      <c r="P2637" s="844"/>
      <c r="Q2637" s="845"/>
      <c r="R2637" s="844"/>
      <c r="S2637" s="832"/>
      <c r="T2637" s="3082"/>
      <c r="U2637" s="123"/>
      <c r="V2637" s="3990"/>
      <c r="W2637" s="2857"/>
      <c r="X2637" s="2857"/>
      <c r="Y2637" s="3155"/>
      <c r="Z2637" s="2857"/>
      <c r="AA2637" s="2857"/>
      <c r="AB2637" s="2855"/>
      <c r="AC2637" s="2225">
        <f>AC2635</f>
        <v>37200</v>
      </c>
      <c r="AD2637" s="2857"/>
      <c r="AE2637" s="2857"/>
      <c r="AF2637" s="2857"/>
      <c r="AG2637" s="2857"/>
      <c r="BB2637" s="575"/>
      <c r="BC2637" s="576"/>
      <c r="BD2637" s="678"/>
      <c r="BE2637" s="585"/>
    </row>
    <row r="2638" spans="1:57" s="51" customFormat="1" ht="15" hidden="1" customHeight="1" outlineLevel="1" x14ac:dyDescent="0.25">
      <c r="A2638" s="2060"/>
      <c r="B2638" s="123"/>
      <c r="C2638" s="328"/>
      <c r="D2638" s="3990"/>
      <c r="E2638" s="4009"/>
      <c r="F2638" s="3010" t="str">
        <f>$E$1585</f>
        <v>ASHP-SEER21-Replace_CAC_ElectricHeat_ROF_SF</v>
      </c>
      <c r="G2638" s="2676"/>
      <c r="H2638" s="2676"/>
      <c r="I2638" s="2677"/>
      <c r="J2638" s="3298" t="str">
        <f>$C$1585</f>
        <v>353650_2021_12_</v>
      </c>
      <c r="K2638" s="2225">
        <v>42000</v>
      </c>
      <c r="L2638" s="2726">
        <f t="shared" si="202"/>
        <v>3.5</v>
      </c>
      <c r="M2638" s="2723" t="s">
        <v>1555</v>
      </c>
      <c r="N2638" s="123"/>
      <c r="O2638" s="228"/>
      <c r="P2638" s="844"/>
      <c r="Q2638" s="845"/>
      <c r="R2638" s="844"/>
      <c r="S2638" s="832"/>
      <c r="T2638" s="3082"/>
      <c r="U2638" s="123"/>
      <c r="V2638" s="3990"/>
      <c r="W2638" s="2857">
        <v>38400</v>
      </c>
      <c r="X2638" s="2857">
        <v>38400</v>
      </c>
      <c r="Y2638" s="2857">
        <v>38400</v>
      </c>
      <c r="Z2638" s="2857">
        <v>38400</v>
      </c>
      <c r="AA2638" s="2857">
        <v>38400</v>
      </c>
      <c r="AB2638" s="2855">
        <v>38400</v>
      </c>
      <c r="AC2638" s="2225">
        <v>42000</v>
      </c>
      <c r="AD2638" s="2857"/>
      <c r="AE2638" s="2857"/>
      <c r="AF2638" s="2857"/>
      <c r="AG2638" s="2857"/>
      <c r="AH2638" s="1942"/>
      <c r="AI2638" s="1942"/>
      <c r="AJ2638" s="1942"/>
      <c r="AK2638" s="1942"/>
      <c r="AL2638" s="1942"/>
      <c r="AM2638" s="1942"/>
      <c r="AN2638" s="1942"/>
      <c r="AO2638" s="1942"/>
      <c r="AP2638" s="1942"/>
      <c r="AQ2638" s="1942"/>
      <c r="AR2638" s="1942"/>
      <c r="AS2638" s="1942"/>
      <c r="AT2638" s="1942"/>
      <c r="AU2638" s="1942"/>
      <c r="AV2638" s="1942"/>
      <c r="AW2638" s="1942"/>
      <c r="AX2638" s="1942"/>
      <c r="AY2638" s="1942"/>
      <c r="AZ2638" s="1942"/>
      <c r="BA2638" s="1942"/>
      <c r="BB2638" s="575"/>
      <c r="BC2638" s="576"/>
      <c r="BD2638" s="678"/>
      <c r="BE2638" s="585"/>
    </row>
    <row r="2639" spans="1:57" s="51" customFormat="1" ht="15" hidden="1" customHeight="1" outlineLevel="1" x14ac:dyDescent="0.25">
      <c r="A2639" s="2060"/>
      <c r="B2639" s="123"/>
      <c r="C2639" s="328"/>
      <c r="D2639" s="3990"/>
      <c r="E2639" s="4009"/>
      <c r="F2639" s="3010" t="str">
        <f>$E$1587</f>
        <v>ASHP-SEER21+-Replace_CAC_ElectricHeat_ROF_MF</v>
      </c>
      <c r="G2639" s="2676"/>
      <c r="H2639" s="2676"/>
      <c r="I2639" s="2677"/>
      <c r="J2639" s="3299" t="str">
        <f>$C$1587</f>
        <v>353700_2019_12_</v>
      </c>
      <c r="K2639" s="2551">
        <v>38400</v>
      </c>
      <c r="L2639" s="1597">
        <f t="shared" si="202"/>
        <v>3.2</v>
      </c>
      <c r="M2639" s="2278" t="s">
        <v>1556</v>
      </c>
      <c r="N2639" s="123"/>
      <c r="O2639" s="228"/>
      <c r="P2639" s="844"/>
      <c r="Q2639" s="845"/>
      <c r="R2639" s="844"/>
      <c r="S2639" s="832"/>
      <c r="T2639" s="3082"/>
      <c r="U2639" s="123"/>
      <c r="V2639" s="3990"/>
      <c r="W2639" s="2857">
        <v>38400</v>
      </c>
      <c r="X2639" s="2857">
        <v>38400</v>
      </c>
      <c r="Y2639" s="2857">
        <v>38400</v>
      </c>
      <c r="Z2639" s="2857">
        <v>38400</v>
      </c>
      <c r="AA2639" s="2857">
        <v>38400</v>
      </c>
      <c r="AB2639" s="2855">
        <v>38400</v>
      </c>
      <c r="AC2639" s="2551">
        <v>38400</v>
      </c>
      <c r="AD2639" s="2857"/>
      <c r="AE2639" s="2857"/>
      <c r="AF2639" s="2857"/>
      <c r="AG2639" s="2857"/>
      <c r="AH2639" s="1942"/>
      <c r="AI2639" s="1942"/>
      <c r="AJ2639" s="1942"/>
      <c r="AK2639" s="1942"/>
      <c r="AL2639" s="1942"/>
      <c r="AM2639" s="1942"/>
      <c r="AN2639" s="1942"/>
      <c r="AO2639" s="1942"/>
      <c r="AP2639" s="1942"/>
      <c r="AQ2639" s="1942"/>
      <c r="AR2639" s="1942"/>
      <c r="AS2639" s="1942"/>
      <c r="AT2639" s="1942"/>
      <c r="AU2639" s="1942"/>
      <c r="AV2639" s="1942"/>
      <c r="AW2639" s="1942"/>
      <c r="AX2639" s="1942"/>
      <c r="AY2639" s="1942"/>
      <c r="AZ2639" s="1942"/>
      <c r="BA2639" s="1942"/>
      <c r="BB2639" s="575"/>
      <c r="BC2639" s="576"/>
      <c r="BD2639" s="678"/>
      <c r="BE2639" s="585"/>
    </row>
    <row r="2640" spans="1:57" s="51" customFormat="1" ht="15" hidden="1" customHeight="1" outlineLevel="1" x14ac:dyDescent="0.25">
      <c r="A2640" s="2060"/>
      <c r="B2640" s="123"/>
      <c r="C2640" s="328"/>
      <c r="D2640" s="3990"/>
      <c r="E2640" s="4009"/>
      <c r="F2640" s="3010" t="str">
        <f>$E$1589</f>
        <v>ASHP-SEER21+-Replace_CAC_ElectricHeat_ROF_MF_CompE</v>
      </c>
      <c r="G2640" s="2676"/>
      <c r="H2640" s="2676"/>
      <c r="I2640" s="2677"/>
      <c r="J2640" s="3299" t="str">
        <f>$C$1589</f>
        <v>353701_2019_12_</v>
      </c>
      <c r="K2640" s="2551">
        <v>38400</v>
      </c>
      <c r="L2640" s="1597">
        <f t="shared" si="202"/>
        <v>3.2</v>
      </c>
      <c r="M2640" s="2278"/>
      <c r="N2640" s="123"/>
      <c r="O2640" s="228"/>
      <c r="P2640" s="844"/>
      <c r="Q2640" s="845"/>
      <c r="R2640" s="844"/>
      <c r="S2640" s="832"/>
      <c r="T2640" s="3082"/>
      <c r="U2640" s="123"/>
      <c r="V2640" s="3990"/>
      <c r="W2640" s="2857"/>
      <c r="X2640" s="2857"/>
      <c r="Y2640" s="3155">
        <v>38400</v>
      </c>
      <c r="Z2640" s="2857">
        <v>38400</v>
      </c>
      <c r="AA2640" s="2857">
        <v>38400</v>
      </c>
      <c r="AB2640" s="2855">
        <v>38400</v>
      </c>
      <c r="AC2640" s="2551">
        <v>38400</v>
      </c>
      <c r="AD2640" s="2857"/>
      <c r="AE2640" s="2857"/>
      <c r="AF2640" s="2857"/>
      <c r="AG2640" s="2857"/>
      <c r="AH2640" s="1942"/>
      <c r="AI2640" s="1942"/>
      <c r="AJ2640" s="1942"/>
      <c r="AK2640" s="1942"/>
      <c r="AL2640" s="1942"/>
      <c r="AM2640" s="1942"/>
      <c r="AN2640" s="1942"/>
      <c r="AO2640" s="1942"/>
      <c r="AP2640" s="1942"/>
      <c r="AQ2640" s="1942"/>
      <c r="AR2640" s="1942"/>
      <c r="AS2640" s="1942"/>
      <c r="AT2640" s="1942"/>
      <c r="AU2640" s="1942"/>
      <c r="AV2640" s="1942"/>
      <c r="AW2640" s="1942"/>
      <c r="AX2640" s="1942"/>
      <c r="AY2640" s="1942"/>
      <c r="AZ2640" s="1942"/>
      <c r="BA2640" s="1942"/>
      <c r="BB2640" s="575"/>
      <c r="BC2640" s="576"/>
      <c r="BD2640" s="678"/>
      <c r="BE2640" s="585"/>
    </row>
    <row r="2641" spans="1:57" s="1942" customFormat="1" ht="15" hidden="1" customHeight="1" outlineLevel="1" x14ac:dyDescent="0.25">
      <c r="A2641" s="2060"/>
      <c r="B2641" s="123"/>
      <c r="C2641" s="328"/>
      <c r="D2641" s="3990"/>
      <c r="E2641" s="4009"/>
      <c r="F2641" s="3010" t="str">
        <f>$E$1591</f>
        <v>ASHP-SEER21+-Replace_CAC_NonElectricHeat_ROF_MF</v>
      </c>
      <c r="G2641" s="2676"/>
      <c r="H2641" s="2676"/>
      <c r="I2641" s="2677"/>
      <c r="J2641" s="3298" t="str">
        <f>$C$1591</f>
        <v>353710_2021_12_</v>
      </c>
      <c r="K2641" s="2225">
        <v>38400</v>
      </c>
      <c r="L2641" s="1597"/>
      <c r="M2641" s="2723" t="s">
        <v>1125</v>
      </c>
      <c r="N2641" s="123"/>
      <c r="O2641" s="228"/>
      <c r="P2641" s="844"/>
      <c r="Q2641" s="845"/>
      <c r="R2641" s="844"/>
      <c r="S2641" s="832"/>
      <c r="T2641" s="3082"/>
      <c r="U2641" s="123"/>
      <c r="V2641" s="3990"/>
      <c r="W2641" s="2857"/>
      <c r="X2641" s="2857"/>
      <c r="Y2641" s="3155"/>
      <c r="Z2641" s="2857"/>
      <c r="AA2641" s="2857"/>
      <c r="AB2641" s="2855"/>
      <c r="AC2641" s="2225">
        <v>38400</v>
      </c>
      <c r="AD2641" s="2857"/>
      <c r="AE2641" s="2857"/>
      <c r="AF2641" s="2857"/>
      <c r="AG2641" s="2857"/>
      <c r="BB2641" s="575"/>
      <c r="BC2641" s="576"/>
      <c r="BD2641" s="678"/>
      <c r="BE2641" s="585"/>
    </row>
    <row r="2642" spans="1:57" s="1942" customFormat="1" ht="15" hidden="1" customHeight="1" outlineLevel="1" x14ac:dyDescent="0.25">
      <c r="A2642" s="2060"/>
      <c r="B2642" s="123"/>
      <c r="C2642" s="328"/>
      <c r="D2642" s="3990"/>
      <c r="E2642" s="4009"/>
      <c r="F2642" s="3010" t="str">
        <f>$E$1593</f>
        <v>ASHP-SEER21+-Replace_CAC_NonElectricHeat_ROF_MF_CompE</v>
      </c>
      <c r="G2642" s="2676"/>
      <c r="H2642" s="2676"/>
      <c r="I2642" s="2677"/>
      <c r="J2642" s="3298" t="str">
        <f>$C$1593</f>
        <v>353711_2021_12_</v>
      </c>
      <c r="K2642" s="2225">
        <v>38400</v>
      </c>
      <c r="L2642" s="1597"/>
      <c r="M2642" s="2723" t="s">
        <v>1125</v>
      </c>
      <c r="N2642" s="123"/>
      <c r="O2642" s="228"/>
      <c r="P2642" s="844"/>
      <c r="Q2642" s="845"/>
      <c r="R2642" s="844"/>
      <c r="S2642" s="832"/>
      <c r="T2642" s="3082"/>
      <c r="U2642" s="123"/>
      <c r="V2642" s="3990"/>
      <c r="W2642" s="2857"/>
      <c r="X2642" s="2857"/>
      <c r="Y2642" s="3155"/>
      <c r="Z2642" s="2857"/>
      <c r="AA2642" s="2857"/>
      <c r="AB2642" s="2855"/>
      <c r="AC2642" s="2225">
        <v>38400</v>
      </c>
      <c r="AD2642" s="2857"/>
      <c r="AE2642" s="2857"/>
      <c r="AF2642" s="2857"/>
      <c r="AG2642" s="2857"/>
      <c r="BB2642" s="575"/>
      <c r="BC2642" s="576"/>
      <c r="BD2642" s="678"/>
      <c r="BE2642" s="585"/>
    </row>
    <row r="2643" spans="1:57" s="51" customFormat="1" ht="15" hidden="1" customHeight="1" outlineLevel="1" x14ac:dyDescent="0.25">
      <c r="A2643" s="1267"/>
      <c r="B2643" s="123"/>
      <c r="C2643" s="328"/>
      <c r="D2643" s="3990"/>
      <c r="E2643" s="4009"/>
      <c r="F2643" s="3010" t="str">
        <f>$E$1595</f>
        <v>ASHP-SEER17_ER1_SF</v>
      </c>
      <c r="G2643" s="2676"/>
      <c r="H2643" s="2676"/>
      <c r="I2643" s="2677"/>
      <c r="J2643" s="3298" t="str">
        <f>$C$1595</f>
        <v>353750_2021_12_</v>
      </c>
      <c r="K2643" s="2225">
        <v>35142.857142857138</v>
      </c>
      <c r="L2643" s="2726">
        <f t="shared" si="202"/>
        <v>2.9285714285714279</v>
      </c>
      <c r="M2643" s="2723" t="s">
        <v>1555</v>
      </c>
      <c r="N2643" s="123"/>
      <c r="O2643" s="228"/>
      <c r="P2643" s="228"/>
      <c r="Q2643" s="228"/>
      <c r="R2643" s="228"/>
      <c r="S2643" s="123"/>
      <c r="T2643" s="123"/>
      <c r="U2643" s="123"/>
      <c r="V2643" s="3990"/>
      <c r="W2643" s="2857">
        <v>39600</v>
      </c>
      <c r="X2643" s="2857">
        <v>39600</v>
      </c>
      <c r="Y2643" s="2857">
        <v>39600</v>
      </c>
      <c r="Z2643" s="2857">
        <v>39600</v>
      </c>
      <c r="AA2643" s="2857">
        <v>39600</v>
      </c>
      <c r="AB2643" s="2855">
        <v>39600</v>
      </c>
      <c r="AC2643" s="2225">
        <v>35142.857142857138</v>
      </c>
      <c r="AD2643" s="2857"/>
      <c r="AE2643" s="2857"/>
      <c r="AF2643" s="2857"/>
      <c r="AG2643" s="2857"/>
      <c r="AH2643" s="1942"/>
      <c r="AI2643" s="1942"/>
      <c r="AJ2643" s="1942"/>
      <c r="AK2643" s="1942"/>
      <c r="AL2643" s="1942"/>
      <c r="AM2643" s="1942"/>
      <c r="AN2643" s="1942"/>
      <c r="AO2643" s="1942"/>
      <c r="AP2643" s="1942"/>
      <c r="AQ2643" s="1942"/>
      <c r="AR2643" s="1942"/>
      <c r="AS2643" s="1942"/>
      <c r="AT2643" s="1942"/>
      <c r="AU2643" s="1942"/>
      <c r="AV2643" s="1942"/>
      <c r="AW2643" s="1942"/>
      <c r="AX2643" s="1942"/>
      <c r="AY2643" s="1942"/>
      <c r="AZ2643" s="1942"/>
      <c r="BA2643" s="1942"/>
      <c r="BB2643" s="575"/>
      <c r="BC2643" s="576"/>
      <c r="BD2643" s="678"/>
      <c r="BE2643" s="585"/>
    </row>
    <row r="2644" spans="1:57" s="51" customFormat="1" ht="15" hidden="1" customHeight="1" outlineLevel="1" x14ac:dyDescent="0.25">
      <c r="A2644" s="2060"/>
      <c r="B2644" s="123"/>
      <c r="C2644" s="328"/>
      <c r="D2644" s="3990"/>
      <c r="E2644" s="4009"/>
      <c r="F2644" s="3010" t="str">
        <f>$E$1597</f>
        <v>ASHP-SEER17_ER2_SF</v>
      </c>
      <c r="G2644" s="2676"/>
      <c r="H2644" s="2676"/>
      <c r="I2644" s="2677"/>
      <c r="J2644" s="3298" t="str">
        <f>$C$1597</f>
        <v>353750_2021_12_</v>
      </c>
      <c r="K2644" s="2225">
        <f>K2643</f>
        <v>35142.857142857138</v>
      </c>
      <c r="L2644" s="2726">
        <f t="shared" si="202"/>
        <v>2.9285714285714279</v>
      </c>
      <c r="M2644" s="2723" t="s">
        <v>1555</v>
      </c>
      <c r="N2644" s="123"/>
      <c r="O2644" s="228"/>
      <c r="P2644" s="844"/>
      <c r="Q2644" s="845"/>
      <c r="R2644" s="844"/>
      <c r="S2644" s="832"/>
      <c r="T2644" s="3082"/>
      <c r="U2644" s="123"/>
      <c r="V2644" s="3990"/>
      <c r="W2644" s="2857">
        <v>39600</v>
      </c>
      <c r="X2644" s="2857">
        <v>39600</v>
      </c>
      <c r="Y2644" s="2857">
        <v>39600</v>
      </c>
      <c r="Z2644" s="2857">
        <v>39600</v>
      </c>
      <c r="AA2644" s="2857">
        <v>39600</v>
      </c>
      <c r="AB2644" s="2855">
        <v>39600</v>
      </c>
      <c r="AC2644" s="2225">
        <f>AC2643</f>
        <v>35142.857142857138</v>
      </c>
      <c r="AD2644" s="2857"/>
      <c r="AE2644" s="2857"/>
      <c r="AF2644" s="2857"/>
      <c r="AG2644" s="2857"/>
      <c r="AH2644" s="1942"/>
      <c r="AI2644" s="1942"/>
      <c r="AJ2644" s="1942"/>
      <c r="AK2644" s="1942"/>
      <c r="AL2644" s="1942"/>
      <c r="AM2644" s="1942"/>
      <c r="AN2644" s="1942"/>
      <c r="AO2644" s="1942"/>
      <c r="AP2644" s="1942"/>
      <c r="AQ2644" s="1942"/>
      <c r="AR2644" s="1942"/>
      <c r="AS2644" s="1942"/>
      <c r="AT2644" s="1942"/>
      <c r="AU2644" s="1942"/>
      <c r="AV2644" s="1942"/>
      <c r="AW2644" s="1942"/>
      <c r="AX2644" s="1942"/>
      <c r="AY2644" s="1942"/>
      <c r="AZ2644" s="1942"/>
      <c r="BA2644" s="1942"/>
      <c r="BB2644" s="575"/>
      <c r="BC2644" s="576"/>
      <c r="BD2644" s="678"/>
      <c r="BE2644" s="585"/>
    </row>
    <row r="2645" spans="1:57" s="51" customFormat="1" ht="15" hidden="1" customHeight="1" outlineLevel="1" x14ac:dyDescent="0.25">
      <c r="A2645" s="1267"/>
      <c r="B2645" s="123"/>
      <c r="C2645" s="328"/>
      <c r="D2645" s="3990"/>
      <c r="E2645" s="4009"/>
      <c r="F2645" s="3010" t="str">
        <f>$E$1599</f>
        <v>ASHP-SEER17_ROF_SF</v>
      </c>
      <c r="G2645" s="2676"/>
      <c r="H2645" s="2676"/>
      <c r="I2645" s="2677"/>
      <c r="J2645" s="3298" t="str">
        <f>$C$1599</f>
        <v>353800_2021_12_</v>
      </c>
      <c r="K2645" s="2225">
        <v>46285.71428571429</v>
      </c>
      <c r="L2645" s="2726">
        <f t="shared" si="202"/>
        <v>3.8571428571428577</v>
      </c>
      <c r="M2645" s="2723" t="s">
        <v>1555</v>
      </c>
      <c r="N2645" s="123"/>
      <c r="O2645" s="228"/>
      <c r="P2645" s="228"/>
      <c r="Q2645" s="228"/>
      <c r="R2645" s="228"/>
      <c r="S2645" s="123"/>
      <c r="T2645" s="123"/>
      <c r="U2645" s="123"/>
      <c r="V2645" s="3990"/>
      <c r="W2645" s="2857">
        <v>39600</v>
      </c>
      <c r="X2645" s="2857">
        <v>39600</v>
      </c>
      <c r="Y2645" s="2857">
        <v>39600</v>
      </c>
      <c r="Z2645" s="2857">
        <v>39600</v>
      </c>
      <c r="AA2645" s="2857">
        <v>39600</v>
      </c>
      <c r="AB2645" s="2855">
        <v>39600</v>
      </c>
      <c r="AC2645" s="2225">
        <v>46285.71428571429</v>
      </c>
      <c r="AD2645" s="2857"/>
      <c r="AE2645" s="2857"/>
      <c r="AF2645" s="2857"/>
      <c r="AG2645" s="2857"/>
      <c r="AH2645" s="1942"/>
      <c r="AI2645" s="1942"/>
      <c r="AJ2645" s="1942"/>
      <c r="AK2645" s="1942"/>
      <c r="AL2645" s="1942"/>
      <c r="AM2645" s="1942"/>
      <c r="AN2645" s="1942"/>
      <c r="AO2645" s="1942"/>
      <c r="AP2645" s="1942"/>
      <c r="AQ2645" s="1942"/>
      <c r="AR2645" s="1942"/>
      <c r="AS2645" s="1942"/>
      <c r="AT2645" s="1942"/>
      <c r="AU2645" s="1942"/>
      <c r="AV2645" s="1942"/>
      <c r="AW2645" s="1942"/>
      <c r="AX2645" s="1942"/>
      <c r="AY2645" s="1942"/>
      <c r="AZ2645" s="1942"/>
      <c r="BA2645" s="1942"/>
      <c r="BB2645" s="575"/>
      <c r="BC2645" s="576"/>
      <c r="BD2645" s="678"/>
      <c r="BE2645" s="585"/>
    </row>
    <row r="2646" spans="1:57" s="51" customFormat="1" ht="15" hidden="1" customHeight="1" outlineLevel="1" x14ac:dyDescent="0.25">
      <c r="A2646" s="2060"/>
      <c r="B2646" s="123"/>
      <c r="C2646" s="328"/>
      <c r="D2646" s="3990"/>
      <c r="E2646" s="4009"/>
      <c r="F2646" s="3010" t="str">
        <f>$E$1601</f>
        <v>ASHP-SEER18_ER1_SF</v>
      </c>
      <c r="G2646" s="2676"/>
      <c r="H2646" s="2676"/>
      <c r="I2646" s="2677"/>
      <c r="J2646" s="3298" t="str">
        <f>$C$1601</f>
        <v>353850_2021_12_</v>
      </c>
      <c r="K2646" s="2225">
        <v>38521.739130434784</v>
      </c>
      <c r="L2646" s="2726">
        <f t="shared" si="202"/>
        <v>3.2101449275362319</v>
      </c>
      <c r="M2646" s="2723" t="s">
        <v>1551</v>
      </c>
      <c r="N2646" s="123"/>
      <c r="O2646" s="228"/>
      <c r="P2646" s="844"/>
      <c r="Q2646" s="845"/>
      <c r="R2646" s="844"/>
      <c r="S2646" s="832"/>
      <c r="T2646" s="3082"/>
      <c r="U2646" s="123"/>
      <c r="V2646" s="3990"/>
      <c r="W2646" s="2857">
        <v>39600</v>
      </c>
      <c r="X2646" s="2857">
        <v>39600</v>
      </c>
      <c r="Y2646" s="2857">
        <v>39600</v>
      </c>
      <c r="Z2646" s="2857">
        <v>39600</v>
      </c>
      <c r="AA2646" s="2857">
        <v>39600</v>
      </c>
      <c r="AB2646" s="3150">
        <v>42600</v>
      </c>
      <c r="AC2646" s="2225">
        <v>38521.739130434784</v>
      </c>
      <c r="AD2646" s="2857"/>
      <c r="AE2646" s="2857"/>
      <c r="AF2646" s="2857"/>
      <c r="AG2646" s="2857"/>
      <c r="AH2646" s="1942"/>
      <c r="AI2646" s="1942"/>
      <c r="AJ2646" s="1942"/>
      <c r="AK2646" s="1942"/>
      <c r="AL2646" s="1942"/>
      <c r="AM2646" s="1942"/>
      <c r="AN2646" s="1942"/>
      <c r="AO2646" s="1942"/>
      <c r="AP2646" s="1942"/>
      <c r="AQ2646" s="1942"/>
      <c r="AR2646" s="1942"/>
      <c r="AS2646" s="1942"/>
      <c r="AT2646" s="1942"/>
      <c r="AU2646" s="1942"/>
      <c r="AV2646" s="1942"/>
      <c r="AW2646" s="1942"/>
      <c r="AX2646" s="1942"/>
      <c r="AY2646" s="1942"/>
      <c r="AZ2646" s="1942"/>
      <c r="BA2646" s="1942"/>
      <c r="BB2646" s="575"/>
      <c r="BC2646" s="576"/>
      <c r="BD2646" s="678"/>
      <c r="BE2646" s="585"/>
    </row>
    <row r="2647" spans="1:57" s="51" customFormat="1" ht="15" hidden="1" customHeight="1" outlineLevel="1" x14ac:dyDescent="0.25">
      <c r="A2647" s="1267"/>
      <c r="B2647" s="123"/>
      <c r="C2647" s="328"/>
      <c r="D2647" s="3990"/>
      <c r="E2647" s="4009"/>
      <c r="F2647" s="3010" t="str">
        <f>$E$1603</f>
        <v>ASHP-SEER18_ER2_SF</v>
      </c>
      <c r="G2647" s="2676"/>
      <c r="H2647" s="2676"/>
      <c r="I2647" s="2677"/>
      <c r="J2647" s="3298" t="str">
        <f>$C$1603</f>
        <v>353850_2021_12_</v>
      </c>
      <c r="K2647" s="2225">
        <f>K2646</f>
        <v>38521.739130434784</v>
      </c>
      <c r="L2647" s="2726">
        <f t="shared" si="202"/>
        <v>3.2101449275362319</v>
      </c>
      <c r="M2647" s="2723" t="s">
        <v>1551</v>
      </c>
      <c r="N2647" s="123"/>
      <c r="O2647" s="228"/>
      <c r="P2647" s="228"/>
      <c r="Q2647" s="228"/>
      <c r="R2647" s="228"/>
      <c r="S2647" s="123"/>
      <c r="T2647" s="123"/>
      <c r="U2647" s="123"/>
      <c r="V2647" s="3990"/>
      <c r="W2647" s="2857">
        <v>39600</v>
      </c>
      <c r="X2647" s="2857">
        <v>39600</v>
      </c>
      <c r="Y2647" s="2857">
        <v>39600</v>
      </c>
      <c r="Z2647" s="2857">
        <v>39600</v>
      </c>
      <c r="AA2647" s="2857">
        <v>39600</v>
      </c>
      <c r="AB2647" s="3150">
        <v>42600</v>
      </c>
      <c r="AC2647" s="2225">
        <f>AC2646</f>
        <v>38521.739130434784</v>
      </c>
      <c r="AD2647" s="2857"/>
      <c r="AE2647" s="2857"/>
      <c r="AF2647" s="2857"/>
      <c r="AG2647" s="2857"/>
      <c r="AH2647" s="1942"/>
      <c r="AI2647" s="1942"/>
      <c r="AJ2647" s="1942"/>
      <c r="AK2647" s="1942"/>
      <c r="AL2647" s="1942"/>
      <c r="AM2647" s="1942"/>
      <c r="AN2647" s="1942"/>
      <c r="AO2647" s="1942"/>
      <c r="AP2647" s="1942"/>
      <c r="AQ2647" s="1942"/>
      <c r="AR2647" s="1942"/>
      <c r="AS2647" s="1942"/>
      <c r="AT2647" s="1942"/>
      <c r="AU2647" s="1942"/>
      <c r="AV2647" s="1942"/>
      <c r="AW2647" s="1942"/>
      <c r="AX2647" s="1942"/>
      <c r="AY2647" s="1942"/>
      <c r="AZ2647" s="1942"/>
      <c r="BA2647" s="1942"/>
      <c r="BB2647" s="575"/>
      <c r="BC2647" s="576"/>
      <c r="BD2647" s="678"/>
      <c r="BE2647" s="585"/>
    </row>
    <row r="2648" spans="1:57" s="51" customFormat="1" ht="15" hidden="1" customHeight="1" outlineLevel="1" x14ac:dyDescent="0.25">
      <c r="A2648" s="2060"/>
      <c r="B2648" s="123"/>
      <c r="C2648" s="328"/>
      <c r="D2648" s="3990"/>
      <c r="E2648" s="4009"/>
      <c r="F2648" s="3010" t="str">
        <f>$E$1605</f>
        <v>ASHP-SEER18_ROF_SF</v>
      </c>
      <c r="G2648" s="2676"/>
      <c r="H2648" s="2676"/>
      <c r="I2648" s="2677"/>
      <c r="J2648" s="3298" t="str">
        <f>$C$1605</f>
        <v>353950_2021_12_</v>
      </c>
      <c r="K2648" s="2225">
        <v>41250</v>
      </c>
      <c r="L2648" s="2726">
        <f t="shared" si="202"/>
        <v>3.4375</v>
      </c>
      <c r="M2648" s="2723" t="s">
        <v>1555</v>
      </c>
      <c r="N2648" s="123"/>
      <c r="O2648" s="228"/>
      <c r="P2648" s="844"/>
      <c r="Q2648" s="845"/>
      <c r="R2648" s="844"/>
      <c r="S2648" s="832"/>
      <c r="T2648" s="3082"/>
      <c r="U2648" s="123"/>
      <c r="V2648" s="3990"/>
      <c r="W2648" s="2857">
        <v>39600</v>
      </c>
      <c r="X2648" s="2857">
        <v>39600</v>
      </c>
      <c r="Y2648" s="2857">
        <v>39600</v>
      </c>
      <c r="Z2648" s="2857">
        <v>39600</v>
      </c>
      <c r="AA2648" s="2857">
        <v>39600</v>
      </c>
      <c r="AB2648" s="2855">
        <v>39600</v>
      </c>
      <c r="AC2648" s="2225">
        <v>41250</v>
      </c>
      <c r="AD2648" s="2857"/>
      <c r="AE2648" s="2857"/>
      <c r="AF2648" s="2857"/>
      <c r="AG2648" s="2857"/>
      <c r="AH2648" s="1942"/>
      <c r="AI2648" s="1942"/>
      <c r="AJ2648" s="1942"/>
      <c r="AK2648" s="1942"/>
      <c r="AL2648" s="1942"/>
      <c r="AM2648" s="1942"/>
      <c r="AN2648" s="1942"/>
      <c r="AO2648" s="1942"/>
      <c r="AP2648" s="1942"/>
      <c r="AQ2648" s="1942"/>
      <c r="AR2648" s="1942"/>
      <c r="AS2648" s="1942"/>
      <c r="AT2648" s="1942"/>
      <c r="AU2648" s="1942"/>
      <c r="AV2648" s="1942"/>
      <c r="AW2648" s="1942"/>
      <c r="AX2648" s="1942"/>
      <c r="AY2648" s="1942"/>
      <c r="AZ2648" s="1942"/>
      <c r="BA2648" s="1942"/>
      <c r="BB2648" s="575"/>
      <c r="BC2648" s="576"/>
      <c r="BD2648" s="678"/>
      <c r="BE2648" s="585"/>
    </row>
    <row r="2649" spans="1:57" s="51" customFormat="1" ht="15" hidden="1" customHeight="1" outlineLevel="1" x14ac:dyDescent="0.25">
      <c r="A2649" s="2060"/>
      <c r="B2649" s="123"/>
      <c r="C2649" s="328"/>
      <c r="D2649" s="3990"/>
      <c r="E2649" s="4009"/>
      <c r="F2649" s="3010" t="str">
        <f>$E$1607</f>
        <v>ASHP-SEER19_ER1_SF</v>
      </c>
      <c r="G2649" s="2676"/>
      <c r="H2649" s="2676"/>
      <c r="I2649" s="2677"/>
      <c r="J2649" s="3298" t="str">
        <f>$C$1607</f>
        <v>354000_2021_12_</v>
      </c>
      <c r="K2649" s="2225">
        <v>48000</v>
      </c>
      <c r="L2649" s="2726">
        <f t="shared" si="202"/>
        <v>4</v>
      </c>
      <c r="M2649" s="2723" t="s">
        <v>1555</v>
      </c>
      <c r="N2649" s="123"/>
      <c r="O2649" s="228"/>
      <c r="P2649" s="844"/>
      <c r="Q2649" s="845"/>
      <c r="R2649" s="844"/>
      <c r="S2649" s="832"/>
      <c r="T2649" s="3082"/>
      <c r="U2649" s="123"/>
      <c r="V2649" s="3990"/>
      <c r="W2649" s="2857">
        <v>39600</v>
      </c>
      <c r="X2649" s="2857">
        <v>39600</v>
      </c>
      <c r="Y2649" s="2857">
        <v>39600</v>
      </c>
      <c r="Z2649" s="2857">
        <v>39600</v>
      </c>
      <c r="AA2649" s="2857">
        <v>39600</v>
      </c>
      <c r="AB2649" s="2855">
        <v>39600</v>
      </c>
      <c r="AC2649" s="2225">
        <v>48000</v>
      </c>
      <c r="AD2649" s="2857"/>
      <c r="AE2649" s="2857"/>
      <c r="AF2649" s="2857"/>
      <c r="AG2649" s="2857"/>
      <c r="AH2649" s="1942"/>
      <c r="AI2649" s="1942"/>
      <c r="AJ2649" s="1942"/>
      <c r="AK2649" s="1942"/>
      <c r="AL2649" s="1942"/>
      <c r="AM2649" s="1942"/>
      <c r="AN2649" s="1942"/>
      <c r="AO2649" s="1942"/>
      <c r="AP2649" s="1942"/>
      <c r="AQ2649" s="1942"/>
      <c r="AR2649" s="1942"/>
      <c r="AS2649" s="1942"/>
      <c r="AT2649" s="1942"/>
      <c r="AU2649" s="1942"/>
      <c r="AV2649" s="1942"/>
      <c r="AW2649" s="1942"/>
      <c r="AX2649" s="1942"/>
      <c r="AY2649" s="1942"/>
      <c r="AZ2649" s="1942"/>
      <c r="BA2649" s="1942"/>
      <c r="BB2649" s="575"/>
      <c r="BC2649" s="576"/>
      <c r="BD2649" s="678"/>
      <c r="BE2649" s="585"/>
    </row>
    <row r="2650" spans="1:57" s="51" customFormat="1" ht="15" hidden="1" customHeight="1" outlineLevel="1" x14ac:dyDescent="0.25">
      <c r="A2650" s="1267"/>
      <c r="B2650" s="123"/>
      <c r="C2650" s="328"/>
      <c r="D2650" s="3990"/>
      <c r="E2650" s="4009"/>
      <c r="F2650" s="3010" t="str">
        <f>$E$1609</f>
        <v>ASHP-SEER19_ER2_SF</v>
      </c>
      <c r="G2650" s="2676"/>
      <c r="H2650" s="2676"/>
      <c r="I2650" s="2677"/>
      <c r="J2650" s="3298" t="str">
        <f>$C$1609</f>
        <v>354000_2021_12_</v>
      </c>
      <c r="K2650" s="2225">
        <f>K2649</f>
        <v>48000</v>
      </c>
      <c r="L2650" s="2726">
        <f t="shared" ref="L2650:L2734" si="203">K2650/12000</f>
        <v>4</v>
      </c>
      <c r="M2650" s="2723" t="s">
        <v>1555</v>
      </c>
      <c r="N2650" s="123"/>
      <c r="O2650" s="228"/>
      <c r="P2650" s="228"/>
      <c r="Q2650" s="228"/>
      <c r="R2650" s="228"/>
      <c r="S2650" s="123"/>
      <c r="T2650" s="123"/>
      <c r="U2650" s="123"/>
      <c r="V2650" s="3990"/>
      <c r="W2650" s="2857">
        <v>39600</v>
      </c>
      <c r="X2650" s="2857">
        <v>39600</v>
      </c>
      <c r="Y2650" s="2857">
        <v>39600</v>
      </c>
      <c r="Z2650" s="2857">
        <v>39600</v>
      </c>
      <c r="AA2650" s="2857">
        <v>39600</v>
      </c>
      <c r="AB2650" s="2855">
        <v>39600</v>
      </c>
      <c r="AC2650" s="2225">
        <f>AC2649</f>
        <v>48000</v>
      </c>
      <c r="AD2650" s="2857"/>
      <c r="AE2650" s="2857"/>
      <c r="AF2650" s="2857"/>
      <c r="AG2650" s="2857"/>
      <c r="AH2650" s="1942"/>
      <c r="AI2650" s="1942"/>
      <c r="AJ2650" s="1942"/>
      <c r="AK2650" s="1942"/>
      <c r="AL2650" s="1942"/>
      <c r="AM2650" s="1942"/>
      <c r="AN2650" s="1942"/>
      <c r="AO2650" s="1942"/>
      <c r="AP2650" s="1942"/>
      <c r="AQ2650" s="1942"/>
      <c r="AR2650" s="1942"/>
      <c r="AS2650" s="1942"/>
      <c r="AT2650" s="1942"/>
      <c r="AU2650" s="1942"/>
      <c r="AV2650" s="1942"/>
      <c r="AW2650" s="1942"/>
      <c r="AX2650" s="1942"/>
      <c r="AY2650" s="1942"/>
      <c r="AZ2650" s="1942"/>
      <c r="BA2650" s="1942"/>
      <c r="BB2650" s="575"/>
      <c r="BC2650" s="576"/>
      <c r="BD2650" s="678"/>
      <c r="BE2650" s="585"/>
    </row>
    <row r="2651" spans="1:57" s="51" customFormat="1" ht="15" hidden="1" customHeight="1" outlineLevel="1" x14ac:dyDescent="0.25">
      <c r="A2651" s="1267"/>
      <c r="B2651" s="123"/>
      <c r="C2651" s="328"/>
      <c r="D2651" s="3990"/>
      <c r="E2651" s="4009"/>
      <c r="F2651" s="3010" t="str">
        <f>$E$1611</f>
        <v>ASHP-SEER19_ROF_SF</v>
      </c>
      <c r="G2651" s="2676"/>
      <c r="H2651" s="2676"/>
      <c r="I2651" s="2677"/>
      <c r="J2651" s="3298" t="str">
        <f>$C$1611</f>
        <v>354050_2021_12_</v>
      </c>
      <c r="K2651" s="2225">
        <v>26133.333333333332</v>
      </c>
      <c r="L2651" s="2726">
        <f t="shared" si="203"/>
        <v>2.1777777777777776</v>
      </c>
      <c r="M2651" s="2723" t="s">
        <v>1555</v>
      </c>
      <c r="N2651" s="123"/>
      <c r="O2651" s="228"/>
      <c r="P2651" s="228"/>
      <c r="Q2651" s="228"/>
      <c r="R2651" s="228"/>
      <c r="S2651" s="123"/>
      <c r="T2651" s="123"/>
      <c r="U2651" s="123"/>
      <c r="V2651" s="3990"/>
      <c r="W2651" s="2857">
        <v>39600</v>
      </c>
      <c r="X2651" s="2857">
        <v>39600</v>
      </c>
      <c r="Y2651" s="2857">
        <v>39600</v>
      </c>
      <c r="Z2651" s="2857">
        <v>39600</v>
      </c>
      <c r="AA2651" s="2857">
        <v>39600</v>
      </c>
      <c r="AB2651" s="2855">
        <v>39600</v>
      </c>
      <c r="AC2651" s="2225">
        <v>26133.333333333332</v>
      </c>
      <c r="AD2651" s="2857"/>
      <c r="AE2651" s="2857"/>
      <c r="AF2651" s="2857"/>
      <c r="AG2651" s="2857"/>
      <c r="AH2651" s="1942"/>
      <c r="AI2651" s="1942"/>
      <c r="AJ2651" s="1942"/>
      <c r="AK2651" s="1942"/>
      <c r="AL2651" s="1942"/>
      <c r="AM2651" s="1942"/>
      <c r="AN2651" s="1942"/>
      <c r="AO2651" s="1942"/>
      <c r="AP2651" s="1942"/>
      <c r="AQ2651" s="1942"/>
      <c r="AR2651" s="1942"/>
      <c r="AS2651" s="1942"/>
      <c r="AT2651" s="1942"/>
      <c r="AU2651" s="1942"/>
      <c r="AV2651" s="1942"/>
      <c r="AW2651" s="1942"/>
      <c r="AX2651" s="1942"/>
      <c r="AY2651" s="1942"/>
      <c r="AZ2651" s="1942"/>
      <c r="BA2651" s="1942"/>
      <c r="BB2651" s="575"/>
      <c r="BC2651" s="576"/>
      <c r="BD2651" s="678"/>
      <c r="BE2651" s="585"/>
    </row>
    <row r="2652" spans="1:57" s="51" customFormat="1" ht="15" hidden="1" customHeight="1" outlineLevel="1" x14ac:dyDescent="0.25">
      <c r="A2652" s="1267"/>
      <c r="B2652" s="123"/>
      <c r="C2652" s="328"/>
      <c r="D2652" s="3990"/>
      <c r="E2652" s="4009"/>
      <c r="F2652" s="3010" t="str">
        <f>$E$1613</f>
        <v>ASHP-SEER17-Replace_CAC_ElectricHeat_ER1_SF</v>
      </c>
      <c r="G2652" s="2676"/>
      <c r="H2652" s="2676"/>
      <c r="I2652" s="2677"/>
      <c r="J2652" s="3298" t="str">
        <f>$C$1613</f>
        <v>354100_2021_12_</v>
      </c>
      <c r="K2652" s="2225">
        <v>34090.909090909088</v>
      </c>
      <c r="L2652" s="2726">
        <f t="shared" si="203"/>
        <v>2.8409090909090908</v>
      </c>
      <c r="M2652" s="2723" t="s">
        <v>1008</v>
      </c>
      <c r="N2652" s="123"/>
      <c r="O2652" s="228"/>
      <c r="P2652" s="228"/>
      <c r="Q2652" s="228"/>
      <c r="R2652" s="228"/>
      <c r="S2652" s="123"/>
      <c r="T2652" s="123"/>
      <c r="U2652" s="123"/>
      <c r="V2652" s="3990"/>
      <c r="W2652" s="2857">
        <v>37200</v>
      </c>
      <c r="X2652" s="2857">
        <v>37200</v>
      </c>
      <c r="Y2652" s="2857">
        <v>37200</v>
      </c>
      <c r="Z2652" s="2857">
        <v>37200</v>
      </c>
      <c r="AA2652" s="2857">
        <v>37200</v>
      </c>
      <c r="AB2652" s="2855">
        <v>37200</v>
      </c>
      <c r="AC2652" s="2225">
        <v>34090.909090909088</v>
      </c>
      <c r="AD2652" s="2857"/>
      <c r="AE2652" s="2857"/>
      <c r="AF2652" s="2857"/>
      <c r="AG2652" s="2857"/>
      <c r="AH2652" s="1942"/>
      <c r="AI2652" s="1942"/>
      <c r="AJ2652" s="1942"/>
      <c r="AK2652" s="1942"/>
      <c r="AL2652" s="1942"/>
      <c r="AM2652" s="1942"/>
      <c r="AN2652" s="1942"/>
      <c r="AO2652" s="1942"/>
      <c r="AP2652" s="1942"/>
      <c r="AQ2652" s="1942"/>
      <c r="AR2652" s="1942"/>
      <c r="AS2652" s="1942"/>
      <c r="AT2652" s="1942"/>
      <c r="AU2652" s="1942"/>
      <c r="AV2652" s="1942"/>
      <c r="AW2652" s="1942"/>
      <c r="AX2652" s="1942"/>
      <c r="AY2652" s="1942"/>
      <c r="AZ2652" s="1942"/>
      <c r="BA2652" s="1942"/>
      <c r="BB2652" s="575"/>
      <c r="BC2652" s="576"/>
      <c r="BD2652" s="678"/>
      <c r="BE2652" s="585"/>
    </row>
    <row r="2653" spans="1:57" s="51" customFormat="1" ht="15" hidden="1" customHeight="1" outlineLevel="1" x14ac:dyDescent="0.25">
      <c r="A2653" s="1267"/>
      <c r="B2653" s="123"/>
      <c r="C2653" s="328"/>
      <c r="D2653" s="3990"/>
      <c r="E2653" s="4009"/>
      <c r="F2653" s="3010" t="str">
        <f>$E$1615</f>
        <v>ASHP-SEER17-Replace_CAC_ElectricHeat_ER2_SF</v>
      </c>
      <c r="G2653" s="2676"/>
      <c r="H2653" s="2676"/>
      <c r="I2653" s="2677"/>
      <c r="J2653" s="3298" t="str">
        <f>$C$1615</f>
        <v>354100_2021_12_</v>
      </c>
      <c r="K2653" s="2225">
        <v>34090.909090909088</v>
      </c>
      <c r="L2653" s="2726">
        <f t="shared" si="203"/>
        <v>2.8409090909090908</v>
      </c>
      <c r="M2653" s="2723" t="s">
        <v>1008</v>
      </c>
      <c r="N2653" s="123"/>
      <c r="O2653" s="228"/>
      <c r="P2653" s="228"/>
      <c r="Q2653" s="228"/>
      <c r="R2653" s="228"/>
      <c r="S2653" s="123"/>
      <c r="T2653" s="123"/>
      <c r="U2653" s="123"/>
      <c r="V2653" s="3990"/>
      <c r="W2653" s="2857">
        <v>37200</v>
      </c>
      <c r="X2653" s="2857">
        <v>37200</v>
      </c>
      <c r="Y2653" s="2857">
        <v>37200</v>
      </c>
      <c r="Z2653" s="2857">
        <v>37200</v>
      </c>
      <c r="AA2653" s="2857">
        <v>37200</v>
      </c>
      <c r="AB2653" s="2855">
        <v>37200</v>
      </c>
      <c r="AC2653" s="2225">
        <v>34090.909090909088</v>
      </c>
      <c r="AD2653" s="2857"/>
      <c r="AE2653" s="2857"/>
      <c r="AF2653" s="2857"/>
      <c r="AG2653" s="2857"/>
      <c r="AH2653" s="1942"/>
      <c r="AI2653" s="1942"/>
      <c r="AJ2653" s="1942"/>
      <c r="AK2653" s="1942"/>
      <c r="AL2653" s="1942"/>
      <c r="AM2653" s="1942"/>
      <c r="AN2653" s="1942"/>
      <c r="AO2653" s="1942"/>
      <c r="AP2653" s="1942"/>
      <c r="AQ2653" s="1942"/>
      <c r="AR2653" s="1942"/>
      <c r="AS2653" s="1942"/>
      <c r="AT2653" s="1942"/>
      <c r="AU2653" s="1942"/>
      <c r="AV2653" s="1942"/>
      <c r="AW2653" s="1942"/>
      <c r="AX2653" s="1942"/>
      <c r="AY2653" s="1942"/>
      <c r="AZ2653" s="1942"/>
      <c r="BA2653" s="1942"/>
      <c r="BB2653" s="575"/>
      <c r="BC2653" s="576"/>
      <c r="BD2653" s="678"/>
      <c r="BE2653" s="585"/>
    </row>
    <row r="2654" spans="1:57" s="1942" customFormat="1" ht="15" hidden="1" customHeight="1" outlineLevel="1" x14ac:dyDescent="0.25">
      <c r="A2654" s="1267"/>
      <c r="B2654" s="123"/>
      <c r="C2654" s="328"/>
      <c r="D2654" s="3990"/>
      <c r="E2654" s="4009"/>
      <c r="F2654" s="3010" t="str">
        <f>$E$1617</f>
        <v>ASHP-SEER17-Replace_CAC_NonElectricHeat_ER1_SF</v>
      </c>
      <c r="G2654" s="2676"/>
      <c r="H2654" s="2676"/>
      <c r="I2654" s="2677"/>
      <c r="J2654" s="3298" t="str">
        <f>$C$1617</f>
        <v>354110_2021_12_</v>
      </c>
      <c r="K2654" s="2225">
        <v>34090.909090909088</v>
      </c>
      <c r="L2654" s="2726"/>
      <c r="M2654" s="2723" t="s">
        <v>1125</v>
      </c>
      <c r="N2654" s="123"/>
      <c r="O2654" s="228"/>
      <c r="P2654" s="228"/>
      <c r="Q2654" s="228"/>
      <c r="R2654" s="228"/>
      <c r="S2654" s="123"/>
      <c r="T2654" s="123"/>
      <c r="U2654" s="123"/>
      <c r="V2654" s="3990"/>
      <c r="W2654" s="2857"/>
      <c r="X2654" s="2857"/>
      <c r="Y2654" s="2857"/>
      <c r="Z2654" s="2857"/>
      <c r="AA2654" s="2857"/>
      <c r="AB2654" s="2855"/>
      <c r="AC2654" s="2225">
        <v>34090.909090909088</v>
      </c>
      <c r="AD2654" s="2857"/>
      <c r="AE2654" s="2857"/>
      <c r="AF2654" s="2857"/>
      <c r="AG2654" s="2857"/>
      <c r="BB2654" s="575"/>
      <c r="BC2654" s="576"/>
      <c r="BD2654" s="678"/>
      <c r="BE2654" s="585"/>
    </row>
    <row r="2655" spans="1:57" s="1942" customFormat="1" ht="15" hidden="1" customHeight="1" outlineLevel="1" x14ac:dyDescent="0.25">
      <c r="A2655" s="1267"/>
      <c r="B2655" s="123"/>
      <c r="C2655" s="328"/>
      <c r="D2655" s="3990"/>
      <c r="E2655" s="4009"/>
      <c r="F2655" s="3010" t="str">
        <f>$E$1619</f>
        <v>ASHP-SEER17-Replace_CAC_NonElectricHeat_ER2_SF</v>
      </c>
      <c r="G2655" s="2676"/>
      <c r="H2655" s="2676"/>
      <c r="I2655" s="2677"/>
      <c r="J2655" s="3298" t="str">
        <f>$C$1619</f>
        <v>354110_2021_12_</v>
      </c>
      <c r="K2655" s="2225">
        <v>34090.909090909088</v>
      </c>
      <c r="L2655" s="2726"/>
      <c r="M2655" s="2723" t="s">
        <v>1125</v>
      </c>
      <c r="N2655" s="123"/>
      <c r="O2655" s="228"/>
      <c r="P2655" s="228"/>
      <c r="Q2655" s="228"/>
      <c r="R2655" s="228"/>
      <c r="S2655" s="123"/>
      <c r="T2655" s="123"/>
      <c r="U2655" s="123"/>
      <c r="V2655" s="3990"/>
      <c r="W2655" s="2857"/>
      <c r="X2655" s="2857"/>
      <c r="Y2655" s="2857"/>
      <c r="Z2655" s="2857"/>
      <c r="AA2655" s="2857"/>
      <c r="AB2655" s="2855"/>
      <c r="AC2655" s="2225">
        <v>34090.909090909088</v>
      </c>
      <c r="AD2655" s="2857"/>
      <c r="AE2655" s="2857"/>
      <c r="AF2655" s="2857"/>
      <c r="AG2655" s="2857"/>
      <c r="BB2655" s="575"/>
      <c r="BC2655" s="576"/>
      <c r="BD2655" s="678"/>
      <c r="BE2655" s="585"/>
    </row>
    <row r="2656" spans="1:57" s="51" customFormat="1" ht="15" hidden="1" customHeight="1" outlineLevel="1" x14ac:dyDescent="0.25">
      <c r="A2656" s="1267"/>
      <c r="B2656" s="123"/>
      <c r="C2656" s="328"/>
      <c r="D2656" s="3990"/>
      <c r="E2656" s="4009"/>
      <c r="F2656" s="3010" t="str">
        <f>$E$1621</f>
        <v>ASHP-SEER17-Replace_CAC_ElectricHeat_ER1_MF</v>
      </c>
      <c r="G2656" s="2676"/>
      <c r="H2656" s="2676"/>
      <c r="I2656" s="2677"/>
      <c r="J2656" s="3299" t="str">
        <f>$C$1621</f>
        <v>354150_2019_12_</v>
      </c>
      <c r="K2656" s="2551">
        <v>37200</v>
      </c>
      <c r="L2656" s="1597">
        <f t="shared" si="203"/>
        <v>3.1</v>
      </c>
      <c r="M2656" s="2278"/>
      <c r="N2656" s="123"/>
      <c r="O2656" s="228"/>
      <c r="P2656" s="228"/>
      <c r="Q2656" s="228"/>
      <c r="R2656" s="228"/>
      <c r="S2656" s="123"/>
      <c r="T2656" s="123"/>
      <c r="U2656" s="123"/>
      <c r="V2656" s="3990"/>
      <c r="W2656" s="2857">
        <v>37200</v>
      </c>
      <c r="X2656" s="2857">
        <v>37200</v>
      </c>
      <c r="Y2656" s="2857">
        <v>37200</v>
      </c>
      <c r="Z2656" s="2857">
        <v>37200</v>
      </c>
      <c r="AA2656" s="2857">
        <v>37200</v>
      </c>
      <c r="AB2656" s="2855">
        <v>37200</v>
      </c>
      <c r="AC2656" s="2551">
        <v>37200</v>
      </c>
      <c r="AD2656" s="2857"/>
      <c r="AE2656" s="2857"/>
      <c r="AF2656" s="2857"/>
      <c r="AG2656" s="2857"/>
      <c r="AH2656" s="1942"/>
      <c r="AI2656" s="1942"/>
      <c r="AJ2656" s="1942"/>
      <c r="AK2656" s="1942"/>
      <c r="AL2656" s="1942"/>
      <c r="AM2656" s="1942"/>
      <c r="AN2656" s="1942"/>
      <c r="AO2656" s="1942"/>
      <c r="AP2656" s="1942"/>
      <c r="AQ2656" s="1942"/>
      <c r="AR2656" s="1942"/>
      <c r="AS2656" s="1942"/>
      <c r="AT2656" s="1942"/>
      <c r="AU2656" s="1942"/>
      <c r="AV2656" s="1942"/>
      <c r="AW2656" s="1942"/>
      <c r="AX2656" s="1942"/>
      <c r="AY2656" s="1942"/>
      <c r="AZ2656" s="1942"/>
      <c r="BA2656" s="1942"/>
      <c r="BB2656" s="575"/>
      <c r="BC2656" s="576"/>
      <c r="BD2656" s="678"/>
      <c r="BE2656" s="585"/>
    </row>
    <row r="2657" spans="1:57" s="51" customFormat="1" ht="15" hidden="1" customHeight="1" outlineLevel="1" x14ac:dyDescent="0.25">
      <c r="A2657" s="1267"/>
      <c r="B2657" s="123"/>
      <c r="C2657" s="328"/>
      <c r="D2657" s="3990"/>
      <c r="E2657" s="4009"/>
      <c r="F2657" s="3010" t="str">
        <f>$E$1623</f>
        <v>ASHP-SEER17-Replace_CAC_ElectricHeat_ER2_MF</v>
      </c>
      <c r="G2657" s="2676"/>
      <c r="H2657" s="2676"/>
      <c r="I2657" s="2677"/>
      <c r="J2657" s="3299" t="str">
        <f>$C$1623</f>
        <v>354150_2019_12_</v>
      </c>
      <c r="K2657" s="2551">
        <v>37200</v>
      </c>
      <c r="L2657" s="1597">
        <f t="shared" si="203"/>
        <v>3.1</v>
      </c>
      <c r="M2657" s="2278"/>
      <c r="N2657" s="123"/>
      <c r="O2657" s="228"/>
      <c r="P2657" s="228"/>
      <c r="Q2657" s="228"/>
      <c r="R2657" s="228"/>
      <c r="S2657" s="123"/>
      <c r="T2657" s="123"/>
      <c r="U2657" s="123"/>
      <c r="V2657" s="3990"/>
      <c r="W2657" s="2857">
        <v>37200</v>
      </c>
      <c r="X2657" s="2857">
        <v>37200</v>
      </c>
      <c r="Y2657" s="2857">
        <v>37200</v>
      </c>
      <c r="Z2657" s="2857">
        <v>37200</v>
      </c>
      <c r="AA2657" s="2857">
        <v>37200</v>
      </c>
      <c r="AB2657" s="2855">
        <v>37200</v>
      </c>
      <c r="AC2657" s="2551">
        <v>37200</v>
      </c>
      <c r="AD2657" s="2857"/>
      <c r="AE2657" s="2857"/>
      <c r="AF2657" s="2857"/>
      <c r="AG2657" s="2857"/>
      <c r="AH2657" s="1942"/>
      <c r="AI2657" s="1942"/>
      <c r="AJ2657" s="1942"/>
      <c r="AK2657" s="1942"/>
      <c r="AL2657" s="1942"/>
      <c r="AM2657" s="1942"/>
      <c r="AN2657" s="1942"/>
      <c r="AO2657" s="1942"/>
      <c r="AP2657" s="1942"/>
      <c r="AQ2657" s="1942"/>
      <c r="AR2657" s="1942"/>
      <c r="AS2657" s="1942"/>
      <c r="AT2657" s="1942"/>
      <c r="AU2657" s="1942"/>
      <c r="AV2657" s="1942"/>
      <c r="AW2657" s="1942"/>
      <c r="AX2657" s="1942"/>
      <c r="AY2657" s="1942"/>
      <c r="AZ2657" s="1942"/>
      <c r="BA2657" s="1942"/>
      <c r="BB2657" s="575"/>
      <c r="BC2657" s="576"/>
      <c r="BD2657" s="678"/>
      <c r="BE2657" s="585"/>
    </row>
    <row r="2658" spans="1:57" s="51" customFormat="1" ht="15" hidden="1" customHeight="1" outlineLevel="1" x14ac:dyDescent="0.25">
      <c r="A2658" s="1267"/>
      <c r="B2658" s="123"/>
      <c r="C2658" s="328"/>
      <c r="D2658" s="3990"/>
      <c r="E2658" s="4009"/>
      <c r="F2658" s="3010" t="str">
        <f>$E$1625</f>
        <v>ASHP-SEER17-Replace_CAC_ElectricHeat_ER1_MF_CompE</v>
      </c>
      <c r="G2658" s="2676"/>
      <c r="H2658" s="2676"/>
      <c r="I2658" s="2677"/>
      <c r="J2658" s="3299" t="str">
        <f>$C$1625</f>
        <v>354151_2019_12_</v>
      </c>
      <c r="K2658" s="2551">
        <f>K2656</f>
        <v>37200</v>
      </c>
      <c r="L2658" s="1597">
        <f t="shared" si="203"/>
        <v>3.1</v>
      </c>
      <c r="M2658" s="2278"/>
      <c r="N2658" s="123"/>
      <c r="O2658" s="228"/>
      <c r="P2658" s="228"/>
      <c r="Q2658" s="228"/>
      <c r="R2658" s="228"/>
      <c r="S2658" s="123"/>
      <c r="T2658" s="123"/>
      <c r="U2658" s="123"/>
      <c r="V2658" s="3990"/>
      <c r="W2658" s="2857"/>
      <c r="X2658" s="2857"/>
      <c r="Y2658" s="3155">
        <v>37200</v>
      </c>
      <c r="Z2658" s="2857">
        <v>37200</v>
      </c>
      <c r="AA2658" s="2857">
        <v>37200</v>
      </c>
      <c r="AB2658" s="2855">
        <v>37200</v>
      </c>
      <c r="AC2658" s="2551">
        <f>AC2656</f>
        <v>37200</v>
      </c>
      <c r="AD2658" s="2857"/>
      <c r="AE2658" s="2857"/>
      <c r="AF2658" s="2857"/>
      <c r="AG2658" s="2857"/>
      <c r="AH2658" s="1942"/>
      <c r="AI2658" s="1942"/>
      <c r="AJ2658" s="1942"/>
      <c r="AK2658" s="1942"/>
      <c r="AL2658" s="1942"/>
      <c r="AM2658" s="1942"/>
      <c r="AN2658" s="1942"/>
      <c r="AO2658" s="1942"/>
      <c r="AP2658" s="1942"/>
      <c r="AQ2658" s="1942"/>
      <c r="AR2658" s="1942"/>
      <c r="AS2658" s="1942"/>
      <c r="AT2658" s="1942"/>
      <c r="AU2658" s="1942"/>
      <c r="AV2658" s="1942"/>
      <c r="AW2658" s="1942"/>
      <c r="AX2658" s="1942"/>
      <c r="AY2658" s="1942"/>
      <c r="AZ2658" s="1942"/>
      <c r="BA2658" s="1942"/>
      <c r="BB2658" s="575"/>
      <c r="BC2658" s="576"/>
      <c r="BD2658" s="678"/>
      <c r="BE2658" s="585"/>
    </row>
    <row r="2659" spans="1:57" s="51" customFormat="1" ht="15" hidden="1" customHeight="1" outlineLevel="1" x14ac:dyDescent="0.25">
      <c r="A2659" s="1267"/>
      <c r="B2659" s="123"/>
      <c r="C2659" s="328"/>
      <c r="D2659" s="3990"/>
      <c r="E2659" s="4009"/>
      <c r="F2659" s="3010" t="str">
        <f>$E$1627</f>
        <v>ASHP-SEER17-Replace_CAC_ElectricHeat_ER2_MF_CompE</v>
      </c>
      <c r="G2659" s="2676"/>
      <c r="H2659" s="2676"/>
      <c r="I2659" s="2677"/>
      <c r="J2659" s="3299" t="str">
        <f>$C$1627</f>
        <v>354151_2019_12_</v>
      </c>
      <c r="K2659" s="2551">
        <f>K2657</f>
        <v>37200</v>
      </c>
      <c r="L2659" s="1597">
        <f t="shared" si="203"/>
        <v>3.1</v>
      </c>
      <c r="M2659" s="2278"/>
      <c r="N2659" s="123"/>
      <c r="O2659" s="228"/>
      <c r="P2659" s="228"/>
      <c r="Q2659" s="228"/>
      <c r="R2659" s="228"/>
      <c r="S2659" s="123"/>
      <c r="T2659" s="123"/>
      <c r="U2659" s="123"/>
      <c r="V2659" s="3990"/>
      <c r="W2659" s="2857"/>
      <c r="X2659" s="2857"/>
      <c r="Y2659" s="3155">
        <v>37200</v>
      </c>
      <c r="Z2659" s="2857">
        <v>37200</v>
      </c>
      <c r="AA2659" s="2857">
        <v>37200</v>
      </c>
      <c r="AB2659" s="2855">
        <v>37200</v>
      </c>
      <c r="AC2659" s="2551">
        <f>AC2657</f>
        <v>37200</v>
      </c>
      <c r="AD2659" s="2857"/>
      <c r="AE2659" s="2857"/>
      <c r="AF2659" s="2857"/>
      <c r="AG2659" s="2857"/>
      <c r="AH2659" s="1942"/>
      <c r="AI2659" s="1942"/>
      <c r="AJ2659" s="1942"/>
      <c r="AK2659" s="1942"/>
      <c r="AL2659" s="1942"/>
      <c r="AM2659" s="1942"/>
      <c r="AN2659" s="1942"/>
      <c r="AO2659" s="1942"/>
      <c r="AP2659" s="1942"/>
      <c r="AQ2659" s="1942"/>
      <c r="AR2659" s="1942"/>
      <c r="AS2659" s="1942"/>
      <c r="AT2659" s="1942"/>
      <c r="AU2659" s="1942"/>
      <c r="AV2659" s="1942"/>
      <c r="AW2659" s="1942"/>
      <c r="AX2659" s="1942"/>
      <c r="AY2659" s="1942"/>
      <c r="AZ2659" s="1942"/>
      <c r="BA2659" s="1942"/>
      <c r="BB2659" s="575"/>
      <c r="BC2659" s="576"/>
      <c r="BD2659" s="678"/>
      <c r="BE2659" s="585"/>
    </row>
    <row r="2660" spans="1:57" s="1942" customFormat="1" ht="15" hidden="1" customHeight="1" outlineLevel="1" x14ac:dyDescent="0.25">
      <c r="A2660" s="1267"/>
      <c r="B2660" s="123"/>
      <c r="C2660" s="328"/>
      <c r="D2660" s="3990"/>
      <c r="E2660" s="4009"/>
      <c r="F2660" s="3010" t="str">
        <f>$E$1629</f>
        <v>ASHP-SEER17-Replace_CAC_NonElectricHeat_ER1_MF</v>
      </c>
      <c r="G2660" s="2676"/>
      <c r="H2660" s="2676"/>
      <c r="I2660" s="2677"/>
      <c r="J2660" s="3298" t="str">
        <f>$C$1629</f>
        <v>354160_2021_12_</v>
      </c>
      <c r="K2660" s="2225">
        <v>37200</v>
      </c>
      <c r="L2660" s="1597"/>
      <c r="M2660" s="2723" t="s">
        <v>1125</v>
      </c>
      <c r="N2660" s="123"/>
      <c r="O2660" s="228"/>
      <c r="P2660" s="228"/>
      <c r="Q2660" s="228"/>
      <c r="R2660" s="228"/>
      <c r="S2660" s="123"/>
      <c r="T2660" s="123"/>
      <c r="U2660" s="123"/>
      <c r="V2660" s="3990"/>
      <c r="W2660" s="2857"/>
      <c r="X2660" s="2857"/>
      <c r="Y2660" s="3155"/>
      <c r="Z2660" s="2857"/>
      <c r="AA2660" s="2857"/>
      <c r="AB2660" s="2855"/>
      <c r="AC2660" s="2225">
        <v>37200</v>
      </c>
      <c r="AD2660" s="2857"/>
      <c r="AE2660" s="2857"/>
      <c r="AF2660" s="2857"/>
      <c r="AG2660" s="2857"/>
      <c r="BB2660" s="575"/>
      <c r="BC2660" s="576"/>
      <c r="BD2660" s="678"/>
      <c r="BE2660" s="585"/>
    </row>
    <row r="2661" spans="1:57" s="1942" customFormat="1" ht="15" hidden="1" customHeight="1" outlineLevel="1" x14ac:dyDescent="0.25">
      <c r="A2661" s="1267"/>
      <c r="B2661" s="123"/>
      <c r="C2661" s="328"/>
      <c r="D2661" s="3990"/>
      <c r="E2661" s="4009"/>
      <c r="F2661" s="3010" t="str">
        <f>$E$1631</f>
        <v>ASHP-SEER17-Replace_CAC_NonElectricHeat_ER2_MF</v>
      </c>
      <c r="G2661" s="2676"/>
      <c r="H2661" s="2676"/>
      <c r="I2661" s="2677"/>
      <c r="J2661" s="3298" t="str">
        <f>$C$1631</f>
        <v>354160_2021_12_</v>
      </c>
      <c r="K2661" s="2225">
        <v>37200</v>
      </c>
      <c r="L2661" s="1597"/>
      <c r="M2661" s="2723" t="s">
        <v>1125</v>
      </c>
      <c r="N2661" s="123"/>
      <c r="O2661" s="228"/>
      <c r="P2661" s="228"/>
      <c r="Q2661" s="228"/>
      <c r="R2661" s="228"/>
      <c r="S2661" s="123"/>
      <c r="T2661" s="123"/>
      <c r="U2661" s="123"/>
      <c r="V2661" s="3990"/>
      <c r="W2661" s="2857"/>
      <c r="X2661" s="2857"/>
      <c r="Y2661" s="3155"/>
      <c r="Z2661" s="2857"/>
      <c r="AA2661" s="2857"/>
      <c r="AB2661" s="2855"/>
      <c r="AC2661" s="2225">
        <v>37200</v>
      </c>
      <c r="AD2661" s="2857"/>
      <c r="AE2661" s="2857"/>
      <c r="AF2661" s="2857"/>
      <c r="AG2661" s="2857"/>
      <c r="BB2661" s="575"/>
      <c r="BC2661" s="576"/>
      <c r="BD2661" s="678"/>
      <c r="BE2661" s="585"/>
    </row>
    <row r="2662" spans="1:57" s="1942" customFormat="1" ht="15" hidden="1" customHeight="1" outlineLevel="1" x14ac:dyDescent="0.25">
      <c r="A2662" s="1267"/>
      <c r="B2662" s="123"/>
      <c r="C2662" s="328"/>
      <c r="D2662" s="3990"/>
      <c r="E2662" s="4009"/>
      <c r="F2662" s="3010" t="str">
        <f>$E$1633</f>
        <v>ASHP-SEER17-Replace_CAC_NonElectricHeat_ER1_MF_CompE</v>
      </c>
      <c r="G2662" s="2676"/>
      <c r="H2662" s="2676"/>
      <c r="I2662" s="2677"/>
      <c r="J2662" s="3298" t="str">
        <f>$C$1633</f>
        <v>354161_2021_12_</v>
      </c>
      <c r="K2662" s="2225">
        <f>K2660</f>
        <v>37200</v>
      </c>
      <c r="L2662" s="1597"/>
      <c r="M2662" s="2723" t="s">
        <v>1125</v>
      </c>
      <c r="N2662" s="123"/>
      <c r="O2662" s="228"/>
      <c r="P2662" s="228"/>
      <c r="Q2662" s="228"/>
      <c r="R2662" s="228"/>
      <c r="S2662" s="123"/>
      <c r="T2662" s="123"/>
      <c r="U2662" s="123"/>
      <c r="V2662" s="3990"/>
      <c r="W2662" s="2857"/>
      <c r="X2662" s="2857"/>
      <c r="Y2662" s="3155"/>
      <c r="Z2662" s="2857"/>
      <c r="AA2662" s="2857"/>
      <c r="AB2662" s="2855"/>
      <c r="AC2662" s="2225">
        <f>AC2660</f>
        <v>37200</v>
      </c>
      <c r="AD2662" s="2857"/>
      <c r="AE2662" s="2857"/>
      <c r="AF2662" s="2857"/>
      <c r="AG2662" s="2857"/>
      <c r="BB2662" s="575"/>
      <c r="BC2662" s="576"/>
      <c r="BD2662" s="678"/>
      <c r="BE2662" s="585"/>
    </row>
    <row r="2663" spans="1:57" s="1942" customFormat="1" ht="15" hidden="1" customHeight="1" outlineLevel="1" x14ac:dyDescent="0.25">
      <c r="A2663" s="1267"/>
      <c r="B2663" s="123"/>
      <c r="C2663" s="328"/>
      <c r="D2663" s="3990"/>
      <c r="E2663" s="4009"/>
      <c r="F2663" s="3010" t="str">
        <f>$E$1635</f>
        <v>ASHP-SEER17-Replace_CAC_NonElectricHeat_ER2_MF_CompE</v>
      </c>
      <c r="G2663" s="2676"/>
      <c r="H2663" s="2676"/>
      <c r="I2663" s="2677"/>
      <c r="J2663" s="3298" t="str">
        <f>$C$1635</f>
        <v>354161_2021_12_</v>
      </c>
      <c r="K2663" s="2225">
        <f>K2661</f>
        <v>37200</v>
      </c>
      <c r="L2663" s="1597"/>
      <c r="M2663" s="2723" t="s">
        <v>1125</v>
      </c>
      <c r="N2663" s="123"/>
      <c r="O2663" s="228"/>
      <c r="P2663" s="228"/>
      <c r="Q2663" s="228"/>
      <c r="R2663" s="228"/>
      <c r="S2663" s="123"/>
      <c r="T2663" s="123"/>
      <c r="U2663" s="123"/>
      <c r="V2663" s="3990"/>
      <c r="W2663" s="2857"/>
      <c r="X2663" s="2857"/>
      <c r="Y2663" s="3155"/>
      <c r="Z2663" s="2857"/>
      <c r="AA2663" s="2857"/>
      <c r="AB2663" s="2855"/>
      <c r="AC2663" s="2225">
        <f>AC2661</f>
        <v>37200</v>
      </c>
      <c r="AD2663" s="2857"/>
      <c r="AE2663" s="2857"/>
      <c r="AF2663" s="2857"/>
      <c r="AG2663" s="2857"/>
      <c r="BB2663" s="575"/>
      <c r="BC2663" s="576"/>
      <c r="BD2663" s="678"/>
      <c r="BE2663" s="585"/>
    </row>
    <row r="2664" spans="1:57" s="51" customFormat="1" ht="15" hidden="1" customHeight="1" outlineLevel="1" x14ac:dyDescent="0.25">
      <c r="A2664" s="1267"/>
      <c r="B2664" s="123"/>
      <c r="C2664" s="328"/>
      <c r="D2664" s="3990"/>
      <c r="E2664" s="4009"/>
      <c r="F2664" s="3010" t="str">
        <f>$E$1637</f>
        <v>ASHP-SEER17_ER1_MF</v>
      </c>
      <c r="G2664" s="2676"/>
      <c r="H2664" s="2676"/>
      <c r="I2664" s="2677"/>
      <c r="J2664" s="3299" t="str">
        <f>$C$1637</f>
        <v>354200_2019_12_</v>
      </c>
      <c r="K2664" s="2551">
        <v>39600</v>
      </c>
      <c r="L2664" s="1597">
        <f t="shared" si="203"/>
        <v>3.3</v>
      </c>
      <c r="M2664" s="2278"/>
      <c r="N2664" s="123"/>
      <c r="O2664" s="228"/>
      <c r="P2664" s="228"/>
      <c r="Q2664" s="228"/>
      <c r="R2664" s="228"/>
      <c r="S2664" s="123"/>
      <c r="T2664" s="123"/>
      <c r="U2664" s="123"/>
      <c r="V2664" s="3990"/>
      <c r="W2664" s="2857">
        <v>39600</v>
      </c>
      <c r="X2664" s="2857">
        <v>39600</v>
      </c>
      <c r="Y2664" s="2857">
        <v>39600</v>
      </c>
      <c r="Z2664" s="2857">
        <v>39600</v>
      </c>
      <c r="AA2664" s="2857">
        <v>39600</v>
      </c>
      <c r="AB2664" s="2855">
        <v>39600</v>
      </c>
      <c r="AC2664" s="2551">
        <v>39600</v>
      </c>
      <c r="AD2664" s="2857"/>
      <c r="AE2664" s="2857"/>
      <c r="AF2664" s="2857"/>
      <c r="AG2664" s="2857"/>
      <c r="AH2664" s="1942"/>
      <c r="AI2664" s="1942"/>
      <c r="AJ2664" s="1942"/>
      <c r="AK2664" s="1942"/>
      <c r="AL2664" s="1942"/>
      <c r="AM2664" s="1942"/>
      <c r="AN2664" s="1942"/>
      <c r="AO2664" s="1942"/>
      <c r="AP2664" s="1942"/>
      <c r="AQ2664" s="1942"/>
      <c r="AR2664" s="1942"/>
      <c r="AS2664" s="1942"/>
      <c r="AT2664" s="1942"/>
      <c r="AU2664" s="1942"/>
      <c r="AV2664" s="1942"/>
      <c r="AW2664" s="1942"/>
      <c r="AX2664" s="1942"/>
      <c r="AY2664" s="1942"/>
      <c r="AZ2664" s="1942"/>
      <c r="BA2664" s="1942"/>
      <c r="BB2664" s="575"/>
      <c r="BC2664" s="576"/>
      <c r="BD2664" s="678"/>
      <c r="BE2664" s="585"/>
    </row>
    <row r="2665" spans="1:57" s="51" customFormat="1" ht="15" hidden="1" customHeight="1" outlineLevel="1" x14ac:dyDescent="0.25">
      <c r="A2665" s="1267"/>
      <c r="B2665" s="123"/>
      <c r="C2665" s="328"/>
      <c r="D2665" s="3990"/>
      <c r="E2665" s="4009"/>
      <c r="F2665" s="3010" t="str">
        <f>$E$1639</f>
        <v>ASHP-SEER17_ER2_MF</v>
      </c>
      <c r="G2665" s="2676"/>
      <c r="H2665" s="2676"/>
      <c r="I2665" s="2677"/>
      <c r="J2665" s="3299" t="str">
        <f>$C$1639</f>
        <v>354200_2019_12_</v>
      </c>
      <c r="K2665" s="2551">
        <v>39600</v>
      </c>
      <c r="L2665" s="1597">
        <f t="shared" si="203"/>
        <v>3.3</v>
      </c>
      <c r="M2665" s="2278"/>
      <c r="N2665" s="123"/>
      <c r="O2665" s="228"/>
      <c r="P2665" s="228"/>
      <c r="Q2665" s="228"/>
      <c r="R2665" s="228"/>
      <c r="S2665" s="123"/>
      <c r="T2665" s="123"/>
      <c r="U2665" s="123"/>
      <c r="V2665" s="3990"/>
      <c r="W2665" s="2857">
        <v>39600</v>
      </c>
      <c r="X2665" s="2857">
        <v>39600</v>
      </c>
      <c r="Y2665" s="2857">
        <v>39600</v>
      </c>
      <c r="Z2665" s="2857">
        <v>39600</v>
      </c>
      <c r="AA2665" s="2857">
        <v>39600</v>
      </c>
      <c r="AB2665" s="2855">
        <v>39600</v>
      </c>
      <c r="AC2665" s="2551">
        <v>39600</v>
      </c>
      <c r="AD2665" s="2857"/>
      <c r="AE2665" s="2857"/>
      <c r="AF2665" s="2857"/>
      <c r="AG2665" s="2857"/>
      <c r="AH2665" s="1942"/>
      <c r="AI2665" s="1942"/>
      <c r="AJ2665" s="1942"/>
      <c r="AK2665" s="1942"/>
      <c r="AL2665" s="1942"/>
      <c r="AM2665" s="1942"/>
      <c r="AN2665" s="1942"/>
      <c r="AO2665" s="1942"/>
      <c r="AP2665" s="1942"/>
      <c r="AQ2665" s="1942"/>
      <c r="AR2665" s="1942"/>
      <c r="AS2665" s="1942"/>
      <c r="AT2665" s="1942"/>
      <c r="AU2665" s="1942"/>
      <c r="AV2665" s="1942"/>
      <c r="AW2665" s="1942"/>
      <c r="AX2665" s="1942"/>
      <c r="AY2665" s="1942"/>
      <c r="AZ2665" s="1942"/>
      <c r="BA2665" s="1942"/>
      <c r="BB2665" s="575"/>
      <c r="BC2665" s="576"/>
      <c r="BD2665" s="678"/>
      <c r="BE2665" s="585"/>
    </row>
    <row r="2666" spans="1:57" s="51" customFormat="1" ht="15" hidden="1" customHeight="1" outlineLevel="1" x14ac:dyDescent="0.25">
      <c r="A2666" s="1267"/>
      <c r="B2666" s="123"/>
      <c r="C2666" s="328"/>
      <c r="D2666" s="3990"/>
      <c r="E2666" s="4009"/>
      <c r="F2666" s="3010" t="str">
        <f>$E$1641</f>
        <v>ASHP-SEER17_ER1_MF_CompE</v>
      </c>
      <c r="G2666" s="2676"/>
      <c r="H2666" s="2676"/>
      <c r="I2666" s="2677"/>
      <c r="J2666" s="3299" t="str">
        <f>$C$1641</f>
        <v>354201_2019_12_</v>
      </c>
      <c r="K2666" s="2551">
        <f>K2664</f>
        <v>39600</v>
      </c>
      <c r="L2666" s="1597">
        <f t="shared" si="203"/>
        <v>3.3</v>
      </c>
      <c r="M2666" s="2278"/>
      <c r="N2666" s="123"/>
      <c r="O2666" s="228"/>
      <c r="P2666" s="228"/>
      <c r="Q2666" s="228"/>
      <c r="R2666" s="228"/>
      <c r="S2666" s="123"/>
      <c r="T2666" s="123"/>
      <c r="U2666" s="123"/>
      <c r="V2666" s="3990"/>
      <c r="W2666" s="2857"/>
      <c r="X2666" s="2857"/>
      <c r="Y2666" s="3155">
        <v>39600</v>
      </c>
      <c r="Z2666" s="2857">
        <v>39600</v>
      </c>
      <c r="AA2666" s="2857">
        <v>39600</v>
      </c>
      <c r="AB2666" s="2855">
        <v>39600</v>
      </c>
      <c r="AC2666" s="2551">
        <f>AC2664</f>
        <v>39600</v>
      </c>
      <c r="AD2666" s="2857"/>
      <c r="AE2666" s="2857"/>
      <c r="AF2666" s="2857"/>
      <c r="AG2666" s="2857"/>
      <c r="AH2666" s="1942"/>
      <c r="AI2666" s="1942"/>
      <c r="AJ2666" s="1942"/>
      <c r="AK2666" s="1942"/>
      <c r="AL2666" s="1942"/>
      <c r="AM2666" s="1942"/>
      <c r="AN2666" s="1942"/>
      <c r="AO2666" s="1942"/>
      <c r="AP2666" s="1942"/>
      <c r="AQ2666" s="1942"/>
      <c r="AR2666" s="1942"/>
      <c r="AS2666" s="1942"/>
      <c r="AT2666" s="1942"/>
      <c r="AU2666" s="1942"/>
      <c r="AV2666" s="1942"/>
      <c r="AW2666" s="1942"/>
      <c r="AX2666" s="1942"/>
      <c r="AY2666" s="1942"/>
      <c r="AZ2666" s="1942"/>
      <c r="BA2666" s="1942"/>
      <c r="BB2666" s="575"/>
      <c r="BC2666" s="576"/>
      <c r="BD2666" s="678"/>
      <c r="BE2666" s="585"/>
    </row>
    <row r="2667" spans="1:57" s="51" customFormat="1" ht="15" hidden="1" customHeight="1" outlineLevel="1" x14ac:dyDescent="0.25">
      <c r="A2667" s="1267"/>
      <c r="B2667" s="123"/>
      <c r="C2667" s="328"/>
      <c r="D2667" s="3990"/>
      <c r="E2667" s="4009"/>
      <c r="F2667" s="3010" t="str">
        <f>$E$1643</f>
        <v>ASHP-SEER17_ER2_MF_CompE</v>
      </c>
      <c r="G2667" s="2676"/>
      <c r="H2667" s="2676"/>
      <c r="I2667" s="2677"/>
      <c r="J2667" s="3299" t="str">
        <f>$C$1643</f>
        <v>354201_2019_12_</v>
      </c>
      <c r="K2667" s="2551">
        <f>K2665</f>
        <v>39600</v>
      </c>
      <c r="L2667" s="1597">
        <f t="shared" si="203"/>
        <v>3.3</v>
      </c>
      <c r="M2667" s="2278"/>
      <c r="N2667" s="123"/>
      <c r="O2667" s="228"/>
      <c r="P2667" s="228"/>
      <c r="Q2667" s="228"/>
      <c r="R2667" s="228"/>
      <c r="S2667" s="123"/>
      <c r="T2667" s="123"/>
      <c r="U2667" s="123"/>
      <c r="V2667" s="3990"/>
      <c r="W2667" s="2857"/>
      <c r="X2667" s="2857"/>
      <c r="Y2667" s="3155">
        <v>39600</v>
      </c>
      <c r="Z2667" s="2857">
        <v>39600</v>
      </c>
      <c r="AA2667" s="2857">
        <v>39600</v>
      </c>
      <c r="AB2667" s="2855">
        <v>39600</v>
      </c>
      <c r="AC2667" s="2551">
        <f>AC2665</f>
        <v>39600</v>
      </c>
      <c r="AD2667" s="2857"/>
      <c r="AE2667" s="2857"/>
      <c r="AF2667" s="2857"/>
      <c r="AG2667" s="2857"/>
      <c r="AH2667" s="1942"/>
      <c r="AI2667" s="1942"/>
      <c r="AJ2667" s="1942"/>
      <c r="AK2667" s="1942"/>
      <c r="AL2667" s="1942"/>
      <c r="AM2667" s="1942"/>
      <c r="AN2667" s="1942"/>
      <c r="AO2667" s="1942"/>
      <c r="AP2667" s="1942"/>
      <c r="AQ2667" s="1942"/>
      <c r="AR2667" s="1942"/>
      <c r="AS2667" s="1942"/>
      <c r="AT2667" s="1942"/>
      <c r="AU2667" s="1942"/>
      <c r="AV2667" s="1942"/>
      <c r="AW2667" s="1942"/>
      <c r="AX2667" s="1942"/>
      <c r="AY2667" s="1942"/>
      <c r="AZ2667" s="1942"/>
      <c r="BA2667" s="1942"/>
      <c r="BB2667" s="575"/>
      <c r="BC2667" s="576"/>
      <c r="BD2667" s="678"/>
      <c r="BE2667" s="585"/>
    </row>
    <row r="2668" spans="1:57" s="51" customFormat="1" ht="15" hidden="1" customHeight="1" outlineLevel="1" x14ac:dyDescent="0.25">
      <c r="A2668" s="1267"/>
      <c r="B2668" s="123"/>
      <c r="C2668" s="328"/>
      <c r="D2668" s="3990"/>
      <c r="E2668" s="4009"/>
      <c r="F2668" s="3010" t="str">
        <f>$E$1645</f>
        <v>ASHP-SEER18-Replace_CAC_ElectricHeat_ER1_SF</v>
      </c>
      <c r="G2668" s="2676"/>
      <c r="H2668" s="2676"/>
      <c r="I2668" s="2677"/>
      <c r="J2668" s="3298" t="str">
        <f>$C$1645</f>
        <v>354250_2021_12_</v>
      </c>
      <c r="K2668" s="2225">
        <v>37721.739130434784</v>
      </c>
      <c r="L2668" s="2726">
        <f t="shared" si="203"/>
        <v>3.1434782608695655</v>
      </c>
      <c r="M2668" s="2723" t="s">
        <v>1551</v>
      </c>
      <c r="N2668" s="123"/>
      <c r="O2668" s="228"/>
      <c r="P2668" s="228"/>
      <c r="Q2668" s="228"/>
      <c r="R2668" s="228"/>
      <c r="S2668" s="123"/>
      <c r="T2668" s="123"/>
      <c r="U2668" s="123"/>
      <c r="V2668" s="3990"/>
      <c r="W2668" s="2857">
        <v>37200</v>
      </c>
      <c r="X2668" s="2857">
        <v>37200</v>
      </c>
      <c r="Y2668" s="2857">
        <v>37200</v>
      </c>
      <c r="Z2668" s="2857">
        <v>37200</v>
      </c>
      <c r="AA2668" s="2857">
        <v>37200</v>
      </c>
      <c r="AB2668" s="2225">
        <v>40965.517241379312</v>
      </c>
      <c r="AC2668" s="2225">
        <v>37721.739130434784</v>
      </c>
      <c r="AD2668" s="2857"/>
      <c r="AE2668" s="2857"/>
      <c r="AF2668" s="2857"/>
      <c r="AG2668" s="2857"/>
      <c r="AH2668" s="1942"/>
      <c r="AI2668" s="1942"/>
      <c r="AJ2668" s="1942"/>
      <c r="AK2668" s="1942"/>
      <c r="AL2668" s="1942"/>
      <c r="AM2668" s="1942"/>
      <c r="AN2668" s="1942"/>
      <c r="AO2668" s="1942"/>
      <c r="AP2668" s="1942"/>
      <c r="AQ2668" s="1942"/>
      <c r="AR2668" s="1942"/>
      <c r="AS2668" s="1942"/>
      <c r="AT2668" s="1942"/>
      <c r="AU2668" s="1942"/>
      <c r="AV2668" s="1942"/>
      <c r="AW2668" s="1942"/>
      <c r="AX2668" s="1942"/>
      <c r="AY2668" s="1942"/>
      <c r="AZ2668" s="1942"/>
      <c r="BA2668" s="1942"/>
      <c r="BB2668" s="575"/>
      <c r="BC2668" s="576"/>
      <c r="BD2668" s="678"/>
      <c r="BE2668" s="585"/>
    </row>
    <row r="2669" spans="1:57" s="51" customFormat="1" ht="15" hidden="1" customHeight="1" outlineLevel="1" x14ac:dyDescent="0.25">
      <c r="A2669" s="1267"/>
      <c r="B2669" s="123"/>
      <c r="C2669" s="328"/>
      <c r="D2669" s="3990"/>
      <c r="E2669" s="4009"/>
      <c r="F2669" s="3010" t="str">
        <f>$E$1647</f>
        <v>ASHP-SEER18-Replace_CAC_ElectricHeat_ER2_SF</v>
      </c>
      <c r="G2669" s="2676"/>
      <c r="H2669" s="2676"/>
      <c r="I2669" s="2677"/>
      <c r="J2669" s="3298" t="str">
        <f>$C$1647</f>
        <v>354250_2021_12_</v>
      </c>
      <c r="K2669" s="2225">
        <f>K2668</f>
        <v>37721.739130434784</v>
      </c>
      <c r="L2669" s="2726">
        <f t="shared" si="203"/>
        <v>3.1434782608695655</v>
      </c>
      <c r="M2669" s="2723" t="s">
        <v>1551</v>
      </c>
      <c r="N2669" s="123"/>
      <c r="O2669" s="228"/>
      <c r="P2669" s="228"/>
      <c r="Q2669" s="228"/>
      <c r="R2669" s="228"/>
      <c r="S2669" s="123"/>
      <c r="T2669" s="123"/>
      <c r="U2669" s="123"/>
      <c r="V2669" s="3990"/>
      <c r="W2669" s="2857">
        <v>37200</v>
      </c>
      <c r="X2669" s="2857">
        <v>37200</v>
      </c>
      <c r="Y2669" s="2857">
        <v>37200</v>
      </c>
      <c r="Z2669" s="2857">
        <v>37200</v>
      </c>
      <c r="AA2669" s="2857">
        <v>37200</v>
      </c>
      <c r="AB2669" s="2225">
        <v>40965.517241379312</v>
      </c>
      <c r="AC2669" s="2225">
        <f>AC2668</f>
        <v>37721.739130434784</v>
      </c>
      <c r="AD2669" s="2857"/>
      <c r="AE2669" s="2857"/>
      <c r="AF2669" s="2857"/>
      <c r="AG2669" s="2857"/>
      <c r="AH2669" s="1942"/>
      <c r="AI2669" s="1942"/>
      <c r="AJ2669" s="1942"/>
      <c r="AK2669" s="1942"/>
      <c r="AL2669" s="1942"/>
      <c r="AM2669" s="1942"/>
      <c r="AN2669" s="1942"/>
      <c r="AO2669" s="1942"/>
      <c r="AP2669" s="1942"/>
      <c r="AQ2669" s="1942"/>
      <c r="AR2669" s="1942"/>
      <c r="AS2669" s="1942"/>
      <c r="AT2669" s="1942"/>
      <c r="AU2669" s="1942"/>
      <c r="AV2669" s="1942"/>
      <c r="AW2669" s="1942"/>
      <c r="AX2669" s="1942"/>
      <c r="AY2669" s="1942"/>
      <c r="AZ2669" s="1942"/>
      <c r="BA2669" s="1942"/>
      <c r="BB2669" s="575"/>
      <c r="BC2669" s="576"/>
      <c r="BD2669" s="678"/>
      <c r="BE2669" s="585"/>
    </row>
    <row r="2670" spans="1:57" s="1942" customFormat="1" ht="15" hidden="1" customHeight="1" outlineLevel="1" x14ac:dyDescent="0.25">
      <c r="A2670" s="1267"/>
      <c r="B2670" s="123"/>
      <c r="C2670" s="328"/>
      <c r="D2670" s="3990"/>
      <c r="E2670" s="4009"/>
      <c r="F2670" s="3010" t="str">
        <f>$E$1649</f>
        <v>ASHP-SEER18-Replace_CAC_NonElectricHeat_ER1_SF</v>
      </c>
      <c r="G2670" s="2676"/>
      <c r="H2670" s="2676"/>
      <c r="I2670" s="2677"/>
      <c r="J2670" s="3298" t="str">
        <f>$C$1649</f>
        <v>354260_2021_12_</v>
      </c>
      <c r="K2670" s="2225">
        <v>37721.739130434784</v>
      </c>
      <c r="L2670" s="2726"/>
      <c r="M2670" s="2723" t="s">
        <v>1125</v>
      </c>
      <c r="N2670" s="123"/>
      <c r="O2670" s="228"/>
      <c r="P2670" s="228"/>
      <c r="Q2670" s="228"/>
      <c r="R2670" s="228"/>
      <c r="S2670" s="123"/>
      <c r="T2670" s="123"/>
      <c r="U2670" s="123"/>
      <c r="V2670" s="3990"/>
      <c r="W2670" s="2857"/>
      <c r="X2670" s="2857"/>
      <c r="Y2670" s="2857"/>
      <c r="Z2670" s="2857"/>
      <c r="AA2670" s="2857"/>
      <c r="AB2670" s="2225"/>
      <c r="AC2670" s="2225">
        <v>37721.739130434784</v>
      </c>
      <c r="AD2670" s="2857"/>
      <c r="AE2670" s="2857"/>
      <c r="AF2670" s="2857"/>
      <c r="AG2670" s="2857"/>
      <c r="BB2670" s="575"/>
      <c r="BC2670" s="576"/>
      <c r="BD2670" s="678"/>
      <c r="BE2670" s="585"/>
    </row>
    <row r="2671" spans="1:57" s="1942" customFormat="1" ht="15" hidden="1" customHeight="1" outlineLevel="1" x14ac:dyDescent="0.25">
      <c r="A2671" s="1267"/>
      <c r="B2671" s="123"/>
      <c r="C2671" s="328"/>
      <c r="D2671" s="3990"/>
      <c r="E2671" s="4009"/>
      <c r="F2671" s="3010" t="str">
        <f>$E$1651</f>
        <v>ASHP-SEER18-Replace_CAC_NonElectricHeat_ER2_SF</v>
      </c>
      <c r="G2671" s="2676"/>
      <c r="H2671" s="2676"/>
      <c r="I2671" s="2677"/>
      <c r="J2671" s="3298" t="str">
        <f>$C$1651</f>
        <v>354260_2021_12_</v>
      </c>
      <c r="K2671" s="2225">
        <f>K2670</f>
        <v>37721.739130434784</v>
      </c>
      <c r="L2671" s="2726"/>
      <c r="M2671" s="2723" t="s">
        <v>1125</v>
      </c>
      <c r="N2671" s="123"/>
      <c r="O2671" s="228"/>
      <c r="P2671" s="228"/>
      <c r="Q2671" s="228"/>
      <c r="R2671" s="228"/>
      <c r="S2671" s="123"/>
      <c r="T2671" s="123"/>
      <c r="U2671" s="123"/>
      <c r="V2671" s="3990"/>
      <c r="W2671" s="2857"/>
      <c r="X2671" s="2857"/>
      <c r="Y2671" s="2857"/>
      <c r="Z2671" s="2857"/>
      <c r="AA2671" s="2857"/>
      <c r="AB2671" s="2225"/>
      <c r="AC2671" s="2225">
        <f>AC2670</f>
        <v>37721.739130434784</v>
      </c>
      <c r="AD2671" s="2857"/>
      <c r="AE2671" s="2857"/>
      <c r="AF2671" s="2857"/>
      <c r="AG2671" s="2857"/>
      <c r="BB2671" s="575"/>
      <c r="BC2671" s="576"/>
      <c r="BD2671" s="678"/>
      <c r="BE2671" s="585"/>
    </row>
    <row r="2672" spans="1:57" s="51" customFormat="1" ht="15" hidden="1" customHeight="1" outlineLevel="1" x14ac:dyDescent="0.25">
      <c r="A2672" s="1267"/>
      <c r="B2672" s="123"/>
      <c r="C2672" s="328"/>
      <c r="D2672" s="3990"/>
      <c r="E2672" s="4009"/>
      <c r="F2672" s="3010" t="str">
        <f>$E$1653</f>
        <v>ASHP-SEER18-Replace_CAC_ElectricHeat_ER1_MF</v>
      </c>
      <c r="G2672" s="2676"/>
      <c r="H2672" s="2676"/>
      <c r="I2672" s="2677"/>
      <c r="J2672" s="3298" t="str">
        <f>$C$1653</f>
        <v>354300_2021_12_</v>
      </c>
      <c r="K2672" s="2225">
        <v>18000</v>
      </c>
      <c r="L2672" s="2726">
        <f t="shared" si="203"/>
        <v>1.5</v>
      </c>
      <c r="M2672" s="2723" t="s">
        <v>1551</v>
      </c>
      <c r="N2672" s="123"/>
      <c r="O2672" s="228"/>
      <c r="P2672" s="228"/>
      <c r="Q2672" s="228"/>
      <c r="R2672" s="228"/>
      <c r="S2672" s="123"/>
      <c r="T2672" s="123"/>
      <c r="U2672" s="123"/>
      <c r="V2672" s="3990"/>
      <c r="W2672" s="2857">
        <v>37200</v>
      </c>
      <c r="X2672" s="2857">
        <v>37200</v>
      </c>
      <c r="Y2672" s="2857">
        <v>37200</v>
      </c>
      <c r="Z2672" s="2857">
        <v>37200</v>
      </c>
      <c r="AA2672" s="2857">
        <v>37200</v>
      </c>
      <c r="AB2672" s="2225">
        <v>48000</v>
      </c>
      <c r="AC2672" s="2225">
        <v>18000</v>
      </c>
      <c r="AD2672" s="2857"/>
      <c r="AE2672" s="2857"/>
      <c r="AF2672" s="2857"/>
      <c r="AG2672" s="2857"/>
      <c r="AH2672" s="1942"/>
      <c r="AI2672" s="1942"/>
      <c r="AJ2672" s="1942"/>
      <c r="AK2672" s="1942"/>
      <c r="AL2672" s="1942"/>
      <c r="AM2672" s="1942"/>
      <c r="AN2672" s="1942"/>
      <c r="AO2672" s="1942"/>
      <c r="AP2672" s="1942"/>
      <c r="AQ2672" s="1942"/>
      <c r="AR2672" s="1942"/>
      <c r="AS2672" s="1942"/>
      <c r="AT2672" s="1942"/>
      <c r="AU2672" s="1942"/>
      <c r="AV2672" s="1942"/>
      <c r="AW2672" s="1942"/>
      <c r="AX2672" s="1942"/>
      <c r="AY2672" s="1942"/>
      <c r="AZ2672" s="1942"/>
      <c r="BA2672" s="1942"/>
      <c r="BB2672" s="575"/>
      <c r="BC2672" s="576"/>
      <c r="BD2672" s="678"/>
      <c r="BE2672" s="585"/>
    </row>
    <row r="2673" spans="1:57" s="51" customFormat="1" ht="15" hidden="1" customHeight="1" outlineLevel="1" x14ac:dyDescent="0.25">
      <c r="A2673" s="1267"/>
      <c r="B2673" s="123"/>
      <c r="C2673" s="328"/>
      <c r="D2673" s="3990"/>
      <c r="E2673" s="4009"/>
      <c r="F2673" s="3010" t="str">
        <f>$E$1655</f>
        <v>ASHP-SEER18-Replace_CAC_ElectricHeat_ER2_MF</v>
      </c>
      <c r="G2673" s="2676"/>
      <c r="H2673" s="2676"/>
      <c r="I2673" s="2677"/>
      <c r="J2673" s="3298" t="str">
        <f>$C$1655</f>
        <v>354300_2021_12_</v>
      </c>
      <c r="K2673" s="2225">
        <f>K2672</f>
        <v>18000</v>
      </c>
      <c r="L2673" s="2726">
        <f t="shared" si="203"/>
        <v>1.5</v>
      </c>
      <c r="M2673" s="2723" t="s">
        <v>1551</v>
      </c>
      <c r="N2673" s="123"/>
      <c r="O2673" s="228"/>
      <c r="P2673" s="228"/>
      <c r="Q2673" s="228"/>
      <c r="R2673" s="228"/>
      <c r="S2673" s="123"/>
      <c r="T2673" s="123"/>
      <c r="U2673" s="123"/>
      <c r="V2673" s="3990"/>
      <c r="W2673" s="2857">
        <v>37200</v>
      </c>
      <c r="X2673" s="2857">
        <v>37200</v>
      </c>
      <c r="Y2673" s="2857">
        <v>37200</v>
      </c>
      <c r="Z2673" s="2857">
        <v>37200</v>
      </c>
      <c r="AA2673" s="2857">
        <v>37200</v>
      </c>
      <c r="AB2673" s="2225">
        <v>48000</v>
      </c>
      <c r="AC2673" s="2225">
        <f>AC2672</f>
        <v>18000</v>
      </c>
      <c r="AD2673" s="2857"/>
      <c r="AE2673" s="2857"/>
      <c r="AF2673" s="2857"/>
      <c r="AG2673" s="2857"/>
      <c r="AH2673" s="1942"/>
      <c r="AI2673" s="1942"/>
      <c r="AJ2673" s="1942"/>
      <c r="AK2673" s="1942"/>
      <c r="AL2673" s="1942"/>
      <c r="AM2673" s="1942"/>
      <c r="AN2673" s="1942"/>
      <c r="AO2673" s="1942"/>
      <c r="AP2673" s="1942"/>
      <c r="AQ2673" s="1942"/>
      <c r="AR2673" s="1942"/>
      <c r="AS2673" s="1942"/>
      <c r="AT2673" s="1942"/>
      <c r="AU2673" s="1942"/>
      <c r="AV2673" s="1942"/>
      <c r="AW2673" s="1942"/>
      <c r="AX2673" s="1942"/>
      <c r="AY2673" s="1942"/>
      <c r="AZ2673" s="1942"/>
      <c r="BA2673" s="1942"/>
      <c r="BB2673" s="575"/>
      <c r="BC2673" s="576"/>
      <c r="BD2673" s="678"/>
      <c r="BE2673" s="585"/>
    </row>
    <row r="2674" spans="1:57" s="51" customFormat="1" ht="15" hidden="1" customHeight="1" outlineLevel="1" x14ac:dyDescent="0.25">
      <c r="A2674" s="1267"/>
      <c r="B2674" s="123"/>
      <c r="C2674" s="328"/>
      <c r="D2674" s="3990"/>
      <c r="E2674" s="4009"/>
      <c r="F2674" s="3010" t="str">
        <f>$E$1657</f>
        <v>ASHP-SEER18-Replace_CAC_ElectricHeat_ER1_MF_CompE</v>
      </c>
      <c r="G2674" s="2676"/>
      <c r="H2674" s="2676"/>
      <c r="I2674" s="2677"/>
      <c r="J2674" s="3298" t="str">
        <f>$C$1657</f>
        <v>354301_2021_12_</v>
      </c>
      <c r="K2674" s="2225">
        <f>K2672</f>
        <v>18000</v>
      </c>
      <c r="L2674" s="2726">
        <f t="shared" si="203"/>
        <v>1.5</v>
      </c>
      <c r="M2674" s="2278" t="s">
        <v>1125</v>
      </c>
      <c r="N2674" s="123"/>
      <c r="O2674" s="228"/>
      <c r="P2674" s="228"/>
      <c r="Q2674" s="228"/>
      <c r="R2674" s="228"/>
      <c r="S2674" s="123"/>
      <c r="T2674" s="123"/>
      <c r="U2674" s="123"/>
      <c r="V2674" s="3990"/>
      <c r="W2674" s="2857"/>
      <c r="X2674" s="2857"/>
      <c r="Y2674" s="3155">
        <v>37200</v>
      </c>
      <c r="Z2674" s="2857">
        <v>37200</v>
      </c>
      <c r="AA2674" s="2857">
        <v>37200</v>
      </c>
      <c r="AB2674" s="2225">
        <v>48000</v>
      </c>
      <c r="AC2674" s="2225">
        <f>AC2672</f>
        <v>18000</v>
      </c>
      <c r="AD2674" s="2857"/>
      <c r="AE2674" s="2857"/>
      <c r="AF2674" s="2857"/>
      <c r="AG2674" s="2857"/>
      <c r="AH2674" s="1942"/>
      <c r="AI2674" s="1942"/>
      <c r="AJ2674" s="1942"/>
      <c r="AK2674" s="1942"/>
      <c r="AL2674" s="1942"/>
      <c r="AM2674" s="1942"/>
      <c r="AN2674" s="1942"/>
      <c r="AO2674" s="1942"/>
      <c r="AP2674" s="1942"/>
      <c r="AQ2674" s="1942"/>
      <c r="AR2674" s="1942"/>
      <c r="AS2674" s="1942"/>
      <c r="AT2674" s="1942"/>
      <c r="AU2674" s="1942"/>
      <c r="AV2674" s="1942"/>
      <c r="AW2674" s="1942"/>
      <c r="AX2674" s="1942"/>
      <c r="AY2674" s="1942"/>
      <c r="AZ2674" s="1942"/>
      <c r="BA2674" s="1942"/>
      <c r="BB2674" s="575"/>
      <c r="BC2674" s="576"/>
      <c r="BD2674" s="678"/>
      <c r="BE2674" s="585"/>
    </row>
    <row r="2675" spans="1:57" s="51" customFormat="1" ht="15" hidden="1" customHeight="1" outlineLevel="1" x14ac:dyDescent="0.25">
      <c r="A2675" s="1267"/>
      <c r="B2675" s="123"/>
      <c r="C2675" s="328"/>
      <c r="D2675" s="3990"/>
      <c r="E2675" s="4009"/>
      <c r="F2675" s="3010" t="str">
        <f>$E$1659</f>
        <v>ASHP-SEER18-Replace_CAC_ElectricHeat_ER2_MF_CompE</v>
      </c>
      <c r="G2675" s="2676"/>
      <c r="H2675" s="2676"/>
      <c r="I2675" s="2677"/>
      <c r="J2675" s="3298" t="str">
        <f>$C$1659</f>
        <v>354301_2021_12_</v>
      </c>
      <c r="K2675" s="2225">
        <f>K2673</f>
        <v>18000</v>
      </c>
      <c r="L2675" s="2726">
        <f t="shared" si="203"/>
        <v>1.5</v>
      </c>
      <c r="M2675" s="2278" t="s">
        <v>1125</v>
      </c>
      <c r="N2675" s="123"/>
      <c r="O2675" s="228"/>
      <c r="P2675" s="228"/>
      <c r="Q2675" s="228"/>
      <c r="R2675" s="228"/>
      <c r="S2675" s="123"/>
      <c r="T2675" s="123"/>
      <c r="U2675" s="123"/>
      <c r="V2675" s="3990"/>
      <c r="W2675" s="2857"/>
      <c r="X2675" s="2857"/>
      <c r="Y2675" s="3155">
        <v>37200</v>
      </c>
      <c r="Z2675" s="2857">
        <v>37200</v>
      </c>
      <c r="AA2675" s="2857">
        <v>37200</v>
      </c>
      <c r="AB2675" s="2225">
        <v>48000</v>
      </c>
      <c r="AC2675" s="2225">
        <f>AC2673</f>
        <v>18000</v>
      </c>
      <c r="AD2675" s="2857"/>
      <c r="AE2675" s="2857"/>
      <c r="AF2675" s="2857"/>
      <c r="AG2675" s="2857"/>
      <c r="AH2675" s="1942"/>
      <c r="AI2675" s="1942"/>
      <c r="AJ2675" s="1942"/>
      <c r="AK2675" s="1942"/>
      <c r="AL2675" s="1942"/>
      <c r="AM2675" s="1942"/>
      <c r="AN2675" s="1942"/>
      <c r="AO2675" s="1942"/>
      <c r="AP2675" s="1942"/>
      <c r="AQ2675" s="1942"/>
      <c r="AR2675" s="1942"/>
      <c r="AS2675" s="1942"/>
      <c r="AT2675" s="1942"/>
      <c r="AU2675" s="1942"/>
      <c r="AV2675" s="1942"/>
      <c r="AW2675" s="1942"/>
      <c r="AX2675" s="1942"/>
      <c r="AY2675" s="1942"/>
      <c r="AZ2675" s="1942"/>
      <c r="BA2675" s="1942"/>
      <c r="BB2675" s="575"/>
      <c r="BC2675" s="576"/>
      <c r="BD2675" s="678"/>
      <c r="BE2675" s="585"/>
    </row>
    <row r="2676" spans="1:57" s="1942" customFormat="1" ht="15" hidden="1" customHeight="1" outlineLevel="1" x14ac:dyDescent="0.25">
      <c r="A2676" s="1267"/>
      <c r="B2676" s="123"/>
      <c r="C2676" s="328"/>
      <c r="D2676" s="3990"/>
      <c r="E2676" s="4009"/>
      <c r="F2676" s="3010" t="str">
        <f>$E$1661</f>
        <v>ASHP-SEER18-Replace_CAC_NonElectricHeat_ER1_MF</v>
      </c>
      <c r="G2676" s="2676"/>
      <c r="H2676" s="2676"/>
      <c r="I2676" s="2677"/>
      <c r="J2676" s="3298" t="str">
        <f>$C$1661</f>
        <v>354310_2021_12_</v>
      </c>
      <c r="K2676" s="2225">
        <v>18000</v>
      </c>
      <c r="L2676" s="2726"/>
      <c r="M2676" s="2723" t="s">
        <v>1125</v>
      </c>
      <c r="N2676" s="123"/>
      <c r="O2676" s="228"/>
      <c r="P2676" s="228"/>
      <c r="Q2676" s="228"/>
      <c r="R2676" s="228"/>
      <c r="S2676" s="123"/>
      <c r="T2676" s="123"/>
      <c r="U2676" s="123"/>
      <c r="V2676" s="3990"/>
      <c r="W2676" s="2857"/>
      <c r="X2676" s="2857"/>
      <c r="Y2676" s="3155"/>
      <c r="Z2676" s="2857"/>
      <c r="AA2676" s="2857"/>
      <c r="AB2676" s="2225"/>
      <c r="AC2676" s="2225">
        <v>18000</v>
      </c>
      <c r="AD2676" s="2857"/>
      <c r="AE2676" s="2857"/>
      <c r="AF2676" s="2857"/>
      <c r="AG2676" s="2857"/>
      <c r="BB2676" s="575"/>
      <c r="BC2676" s="576"/>
      <c r="BD2676" s="678"/>
      <c r="BE2676" s="585"/>
    </row>
    <row r="2677" spans="1:57" s="1942" customFormat="1" ht="15" hidden="1" customHeight="1" outlineLevel="1" x14ac:dyDescent="0.25">
      <c r="A2677" s="1267"/>
      <c r="B2677" s="123"/>
      <c r="C2677" s="328"/>
      <c r="D2677" s="3990"/>
      <c r="E2677" s="4009"/>
      <c r="F2677" s="3010" t="str">
        <f>$E$1663</f>
        <v>ASHP-SEER18-Replace_CAC_NonElectricHeat_ER2_MF</v>
      </c>
      <c r="G2677" s="2676"/>
      <c r="H2677" s="2676"/>
      <c r="I2677" s="2677"/>
      <c r="J2677" s="3298" t="str">
        <f>$C$1663</f>
        <v>354310_2021_12_</v>
      </c>
      <c r="K2677" s="2225">
        <f>K2676</f>
        <v>18000</v>
      </c>
      <c r="L2677" s="2726"/>
      <c r="M2677" s="2723" t="s">
        <v>1125</v>
      </c>
      <c r="N2677" s="123"/>
      <c r="O2677" s="228"/>
      <c r="P2677" s="228"/>
      <c r="Q2677" s="228"/>
      <c r="R2677" s="228"/>
      <c r="S2677" s="123"/>
      <c r="T2677" s="123"/>
      <c r="U2677" s="123"/>
      <c r="V2677" s="3990"/>
      <c r="W2677" s="2857"/>
      <c r="X2677" s="2857"/>
      <c r="Y2677" s="3155"/>
      <c r="Z2677" s="2857"/>
      <c r="AA2677" s="2857"/>
      <c r="AB2677" s="2225"/>
      <c r="AC2677" s="2225">
        <f>AC2676</f>
        <v>18000</v>
      </c>
      <c r="AD2677" s="2857"/>
      <c r="AE2677" s="2857"/>
      <c r="AF2677" s="2857"/>
      <c r="AG2677" s="2857"/>
      <c r="BB2677" s="575"/>
      <c r="BC2677" s="576"/>
      <c r="BD2677" s="678"/>
      <c r="BE2677" s="585"/>
    </row>
    <row r="2678" spans="1:57" s="1942" customFormat="1" ht="15" hidden="1" customHeight="1" outlineLevel="1" x14ac:dyDescent="0.25">
      <c r="A2678" s="1267"/>
      <c r="B2678" s="123"/>
      <c r="C2678" s="328"/>
      <c r="D2678" s="3990"/>
      <c r="E2678" s="4009"/>
      <c r="F2678" s="3010" t="str">
        <f>$E$1665</f>
        <v>ASHP-SEER18-Replace_CAC_NonElectricHeat_ER1_MF_CompE</v>
      </c>
      <c r="G2678" s="2676"/>
      <c r="H2678" s="2676"/>
      <c r="I2678" s="2677"/>
      <c r="J2678" s="3298" t="str">
        <f>$C$1665</f>
        <v>354311_2021_12_</v>
      </c>
      <c r="K2678" s="2225">
        <f>K2676</f>
        <v>18000</v>
      </c>
      <c r="L2678" s="2726"/>
      <c r="M2678" s="2723" t="s">
        <v>1125</v>
      </c>
      <c r="N2678" s="123"/>
      <c r="O2678" s="228"/>
      <c r="P2678" s="228"/>
      <c r="Q2678" s="228"/>
      <c r="R2678" s="228"/>
      <c r="S2678" s="123"/>
      <c r="T2678" s="123"/>
      <c r="U2678" s="123"/>
      <c r="V2678" s="3990"/>
      <c r="W2678" s="2857"/>
      <c r="X2678" s="2857"/>
      <c r="Y2678" s="3155"/>
      <c r="Z2678" s="2857"/>
      <c r="AA2678" s="2857"/>
      <c r="AB2678" s="2225"/>
      <c r="AC2678" s="2225">
        <f>AC2676</f>
        <v>18000</v>
      </c>
      <c r="AD2678" s="2857"/>
      <c r="AE2678" s="2857"/>
      <c r="AF2678" s="2857"/>
      <c r="AG2678" s="2857"/>
      <c r="BB2678" s="575"/>
      <c r="BC2678" s="576"/>
      <c r="BD2678" s="678"/>
      <c r="BE2678" s="585"/>
    </row>
    <row r="2679" spans="1:57" s="1942" customFormat="1" ht="15" hidden="1" customHeight="1" outlineLevel="1" x14ac:dyDescent="0.25">
      <c r="A2679" s="1267"/>
      <c r="B2679" s="123"/>
      <c r="C2679" s="328"/>
      <c r="D2679" s="3990"/>
      <c r="E2679" s="4009"/>
      <c r="F2679" s="3010" t="str">
        <f>$E$1667</f>
        <v>ASHP-SEER18-Replace_CAC_NonElectricHeat_ER2_MF_CompE</v>
      </c>
      <c r="G2679" s="2676"/>
      <c r="H2679" s="2676"/>
      <c r="I2679" s="2677"/>
      <c r="J2679" s="3298" t="str">
        <f>$C$1667</f>
        <v>354311_2021_12_</v>
      </c>
      <c r="K2679" s="2225">
        <f>K2677</f>
        <v>18000</v>
      </c>
      <c r="L2679" s="2726"/>
      <c r="M2679" s="2723" t="s">
        <v>1125</v>
      </c>
      <c r="N2679" s="123"/>
      <c r="O2679" s="228"/>
      <c r="P2679" s="228"/>
      <c r="Q2679" s="228"/>
      <c r="R2679" s="228"/>
      <c r="S2679" s="123"/>
      <c r="T2679" s="123"/>
      <c r="U2679" s="123"/>
      <c r="V2679" s="3990"/>
      <c r="W2679" s="2857"/>
      <c r="X2679" s="2857"/>
      <c r="Y2679" s="3155"/>
      <c r="Z2679" s="2857"/>
      <c r="AA2679" s="2857"/>
      <c r="AB2679" s="2225"/>
      <c r="AC2679" s="2225">
        <f>AC2677</f>
        <v>18000</v>
      </c>
      <c r="AD2679" s="2857"/>
      <c r="AE2679" s="2857"/>
      <c r="AF2679" s="2857"/>
      <c r="AG2679" s="2857"/>
      <c r="BB2679" s="575"/>
      <c r="BC2679" s="576"/>
      <c r="BD2679" s="678"/>
      <c r="BE2679" s="585"/>
    </row>
    <row r="2680" spans="1:57" s="51" customFormat="1" ht="15" hidden="1" customHeight="1" outlineLevel="1" x14ac:dyDescent="0.25">
      <c r="A2680" s="1267"/>
      <c r="B2680" s="123"/>
      <c r="C2680" s="328"/>
      <c r="D2680" s="3990"/>
      <c r="E2680" s="4009"/>
      <c r="F2680" s="3010" t="str">
        <f>$E$1669</f>
        <v>ASHP-SEER18_ER1_MF</v>
      </c>
      <c r="G2680" s="2676"/>
      <c r="H2680" s="2676"/>
      <c r="I2680" s="2677"/>
      <c r="J2680" s="3298" t="str">
        <f>$C$1669</f>
        <v>354350_2021_12_</v>
      </c>
      <c r="K2680" s="2225">
        <v>60000</v>
      </c>
      <c r="L2680" s="2726">
        <f t="shared" si="203"/>
        <v>5</v>
      </c>
      <c r="M2680" s="2723" t="s">
        <v>1008</v>
      </c>
      <c r="N2680" s="123"/>
      <c r="O2680" s="228"/>
      <c r="P2680" s="228"/>
      <c r="Q2680" s="228"/>
      <c r="R2680" s="228"/>
      <c r="S2680" s="123"/>
      <c r="T2680" s="123"/>
      <c r="U2680" s="123"/>
      <c r="V2680" s="3990"/>
      <c r="W2680" s="2857">
        <v>39600</v>
      </c>
      <c r="X2680" s="2857">
        <v>39600</v>
      </c>
      <c r="Y2680" s="2857">
        <v>39600</v>
      </c>
      <c r="Z2680" s="2857">
        <v>39600</v>
      </c>
      <c r="AA2680" s="2857">
        <v>39600</v>
      </c>
      <c r="AB2680" s="2855">
        <v>39600</v>
      </c>
      <c r="AC2680" s="2225">
        <v>60000</v>
      </c>
      <c r="AD2680" s="2857"/>
      <c r="AE2680" s="2857"/>
      <c r="AF2680" s="2857"/>
      <c r="AG2680" s="2857"/>
      <c r="AH2680" s="1942"/>
      <c r="AI2680" s="1942"/>
      <c r="AJ2680" s="1942"/>
      <c r="AK2680" s="1942"/>
      <c r="AL2680" s="1942"/>
      <c r="AM2680" s="1942"/>
      <c r="AN2680" s="1942"/>
      <c r="AO2680" s="1942"/>
      <c r="AP2680" s="1942"/>
      <c r="AQ2680" s="1942"/>
      <c r="AR2680" s="1942"/>
      <c r="AS2680" s="1942"/>
      <c r="AT2680" s="1942"/>
      <c r="AU2680" s="1942"/>
      <c r="AV2680" s="1942"/>
      <c r="AW2680" s="1942"/>
      <c r="AX2680" s="1942"/>
      <c r="AY2680" s="1942"/>
      <c r="AZ2680" s="1942"/>
      <c r="BA2680" s="1942"/>
      <c r="BB2680" s="575"/>
      <c r="BC2680" s="576"/>
      <c r="BD2680" s="678"/>
      <c r="BE2680" s="585"/>
    </row>
    <row r="2681" spans="1:57" s="51" customFormat="1" ht="15" hidden="1" customHeight="1" outlineLevel="1" x14ac:dyDescent="0.25">
      <c r="A2681" s="1267"/>
      <c r="B2681" s="123"/>
      <c r="C2681" s="328"/>
      <c r="D2681" s="3990"/>
      <c r="E2681" s="4009"/>
      <c r="F2681" s="3010" t="str">
        <f>$E$1671</f>
        <v>ASHP-SEER18_ER2_MF</v>
      </c>
      <c r="G2681" s="2676"/>
      <c r="H2681" s="2676"/>
      <c r="I2681" s="2677"/>
      <c r="J2681" s="3298" t="str">
        <f>$C$1671</f>
        <v>354350_2021_12_</v>
      </c>
      <c r="K2681" s="2225">
        <f>K2680</f>
        <v>60000</v>
      </c>
      <c r="L2681" s="2726">
        <f t="shared" si="203"/>
        <v>5</v>
      </c>
      <c r="M2681" s="2723" t="s">
        <v>1008</v>
      </c>
      <c r="N2681" s="123"/>
      <c r="O2681" s="228"/>
      <c r="P2681" s="228"/>
      <c r="Q2681" s="228"/>
      <c r="R2681" s="228"/>
      <c r="S2681" s="123"/>
      <c r="T2681" s="123"/>
      <c r="U2681" s="123"/>
      <c r="V2681" s="3990"/>
      <c r="W2681" s="2857">
        <v>39600</v>
      </c>
      <c r="X2681" s="2857">
        <v>39600</v>
      </c>
      <c r="Y2681" s="2857">
        <v>39600</v>
      </c>
      <c r="Z2681" s="2857">
        <v>39600</v>
      </c>
      <c r="AA2681" s="2857">
        <v>39600</v>
      </c>
      <c r="AB2681" s="2855">
        <v>39600</v>
      </c>
      <c r="AC2681" s="2225">
        <f>AC2680</f>
        <v>60000</v>
      </c>
      <c r="AD2681" s="2857"/>
      <c r="AE2681" s="2857"/>
      <c r="AF2681" s="2857"/>
      <c r="AG2681" s="2857"/>
      <c r="AH2681" s="1942"/>
      <c r="AI2681" s="1942"/>
      <c r="AJ2681" s="1942"/>
      <c r="AK2681" s="1942"/>
      <c r="AL2681" s="1942"/>
      <c r="AM2681" s="1942"/>
      <c r="AN2681" s="1942"/>
      <c r="AO2681" s="1942"/>
      <c r="AP2681" s="1942"/>
      <c r="AQ2681" s="1942"/>
      <c r="AR2681" s="1942"/>
      <c r="AS2681" s="1942"/>
      <c r="AT2681" s="1942"/>
      <c r="AU2681" s="1942"/>
      <c r="AV2681" s="1942"/>
      <c r="AW2681" s="1942"/>
      <c r="AX2681" s="1942"/>
      <c r="AY2681" s="1942"/>
      <c r="AZ2681" s="1942"/>
      <c r="BA2681" s="1942"/>
      <c r="BB2681" s="575"/>
      <c r="BC2681" s="576"/>
      <c r="BD2681" s="678"/>
      <c r="BE2681" s="585"/>
    </row>
    <row r="2682" spans="1:57" s="51" customFormat="1" ht="15" hidden="1" customHeight="1" outlineLevel="1" x14ac:dyDescent="0.25">
      <c r="A2682" s="1267"/>
      <c r="B2682" s="123"/>
      <c r="C2682" s="328"/>
      <c r="D2682" s="3990"/>
      <c r="E2682" s="4009"/>
      <c r="F2682" s="3010" t="str">
        <f>$E$1673</f>
        <v>ASHP-SEER18_ER1_MF_CompE</v>
      </c>
      <c r="G2682" s="2676"/>
      <c r="H2682" s="2676"/>
      <c r="I2682" s="2677"/>
      <c r="J2682" s="3298" t="str">
        <f>$C$1673</f>
        <v>354351_2021_12_</v>
      </c>
      <c r="K2682" s="2225">
        <f>K2680</f>
        <v>60000</v>
      </c>
      <c r="L2682" s="2726">
        <f t="shared" si="203"/>
        <v>5</v>
      </c>
      <c r="M2682" s="2723" t="s">
        <v>1125</v>
      </c>
      <c r="N2682" s="123"/>
      <c r="O2682" s="228"/>
      <c r="P2682" s="228"/>
      <c r="Q2682" s="228"/>
      <c r="R2682" s="228"/>
      <c r="S2682" s="123"/>
      <c r="T2682" s="123"/>
      <c r="U2682" s="123"/>
      <c r="V2682" s="3990"/>
      <c r="W2682" s="2857"/>
      <c r="X2682" s="2857"/>
      <c r="Y2682" s="3155">
        <v>39600</v>
      </c>
      <c r="Z2682" s="2857">
        <v>39600</v>
      </c>
      <c r="AA2682" s="2857">
        <v>39600</v>
      </c>
      <c r="AB2682" s="2855">
        <v>39600</v>
      </c>
      <c r="AC2682" s="2225">
        <f>AC2680</f>
        <v>60000</v>
      </c>
      <c r="AD2682" s="2857"/>
      <c r="AE2682" s="2857"/>
      <c r="AF2682" s="2857"/>
      <c r="AG2682" s="2857"/>
      <c r="AH2682" s="1942"/>
      <c r="AI2682" s="1942"/>
      <c r="AJ2682" s="1942"/>
      <c r="AK2682" s="1942"/>
      <c r="AL2682" s="1942"/>
      <c r="AM2682" s="1942"/>
      <c r="AN2682" s="1942"/>
      <c r="AO2682" s="1942"/>
      <c r="AP2682" s="1942"/>
      <c r="AQ2682" s="1942"/>
      <c r="AR2682" s="1942"/>
      <c r="AS2682" s="1942"/>
      <c r="AT2682" s="1942"/>
      <c r="AU2682" s="1942"/>
      <c r="AV2682" s="1942"/>
      <c r="AW2682" s="1942"/>
      <c r="AX2682" s="1942"/>
      <c r="AY2682" s="1942"/>
      <c r="AZ2682" s="1942"/>
      <c r="BA2682" s="1942"/>
      <c r="BB2682" s="575"/>
      <c r="BC2682" s="576"/>
      <c r="BD2682" s="678"/>
      <c r="BE2682" s="585"/>
    </row>
    <row r="2683" spans="1:57" s="51" customFormat="1" ht="15" hidden="1" customHeight="1" outlineLevel="1" x14ac:dyDescent="0.25">
      <c r="A2683" s="1267"/>
      <c r="B2683" s="123"/>
      <c r="C2683" s="328"/>
      <c r="D2683" s="3990"/>
      <c r="E2683" s="4009"/>
      <c r="F2683" s="3010" t="str">
        <f>$E$1675</f>
        <v>ASHP-SEER18_ER2_MF_CompE</v>
      </c>
      <c r="G2683" s="2676"/>
      <c r="H2683" s="2676"/>
      <c r="I2683" s="2677"/>
      <c r="J2683" s="3298" t="str">
        <f>$C$1675</f>
        <v>354351_2021_12_</v>
      </c>
      <c r="K2683" s="2225">
        <f>K2681</f>
        <v>60000</v>
      </c>
      <c r="L2683" s="2726">
        <f t="shared" si="203"/>
        <v>5</v>
      </c>
      <c r="M2683" s="2723" t="s">
        <v>1125</v>
      </c>
      <c r="N2683" s="123"/>
      <c r="O2683" s="228"/>
      <c r="P2683" s="228"/>
      <c r="Q2683" s="228"/>
      <c r="R2683" s="228"/>
      <c r="S2683" s="123"/>
      <c r="T2683" s="123"/>
      <c r="U2683" s="123"/>
      <c r="V2683" s="3990"/>
      <c r="W2683" s="2857"/>
      <c r="X2683" s="2857"/>
      <c r="Y2683" s="3155">
        <v>39600</v>
      </c>
      <c r="Z2683" s="2857">
        <v>39600</v>
      </c>
      <c r="AA2683" s="2857">
        <v>39600</v>
      </c>
      <c r="AB2683" s="2855">
        <v>39600</v>
      </c>
      <c r="AC2683" s="2225">
        <f>AC2681</f>
        <v>60000</v>
      </c>
      <c r="AD2683" s="2857"/>
      <c r="AE2683" s="2857"/>
      <c r="AF2683" s="2857"/>
      <c r="AG2683" s="2857"/>
      <c r="AH2683" s="1942"/>
      <c r="AI2683" s="1942"/>
      <c r="AJ2683" s="1942"/>
      <c r="AK2683" s="1942"/>
      <c r="AL2683" s="1942"/>
      <c r="AM2683" s="1942"/>
      <c r="AN2683" s="1942"/>
      <c r="AO2683" s="1942"/>
      <c r="AP2683" s="1942"/>
      <c r="AQ2683" s="1942"/>
      <c r="AR2683" s="1942"/>
      <c r="AS2683" s="1942"/>
      <c r="AT2683" s="1942"/>
      <c r="AU2683" s="1942"/>
      <c r="AV2683" s="1942"/>
      <c r="AW2683" s="1942"/>
      <c r="AX2683" s="1942"/>
      <c r="AY2683" s="1942"/>
      <c r="AZ2683" s="1942"/>
      <c r="BA2683" s="1942"/>
      <c r="BB2683" s="575"/>
      <c r="BC2683" s="576"/>
      <c r="BD2683" s="678"/>
      <c r="BE2683" s="585"/>
    </row>
    <row r="2684" spans="1:57" s="51" customFormat="1" ht="15" hidden="1" customHeight="1" outlineLevel="1" x14ac:dyDescent="0.25">
      <c r="A2684" s="1267"/>
      <c r="B2684" s="123"/>
      <c r="C2684" s="328"/>
      <c r="D2684" s="3990"/>
      <c r="E2684" s="4009"/>
      <c r="F2684" s="3010" t="str">
        <f>$E$1677</f>
        <v>ASHP-SEER19-Replace_CAC_ElectricHeat_ER1_SF</v>
      </c>
      <c r="G2684" s="2676"/>
      <c r="H2684" s="2676"/>
      <c r="I2684" s="2677"/>
      <c r="J2684" s="3298" t="str">
        <f>$C$1677</f>
        <v>354400_2021_12_</v>
      </c>
      <c r="K2684" s="2225">
        <v>43200</v>
      </c>
      <c r="L2684" s="2726">
        <f t="shared" si="203"/>
        <v>3.6</v>
      </c>
      <c r="M2684" s="2723" t="s">
        <v>1008</v>
      </c>
      <c r="N2684" s="123"/>
      <c r="O2684" s="228"/>
      <c r="P2684" s="228"/>
      <c r="Q2684" s="228"/>
      <c r="R2684" s="228"/>
      <c r="S2684" s="123"/>
      <c r="T2684" s="123"/>
      <c r="U2684" s="123"/>
      <c r="V2684" s="3990"/>
      <c r="W2684" s="2857">
        <v>37200</v>
      </c>
      <c r="X2684" s="2857">
        <v>37200</v>
      </c>
      <c r="Y2684" s="2857">
        <v>37200</v>
      </c>
      <c r="Z2684" s="2857">
        <v>37200</v>
      </c>
      <c r="AA2684" s="2857">
        <v>37200</v>
      </c>
      <c r="AB2684" s="2855">
        <v>37200</v>
      </c>
      <c r="AC2684" s="2225">
        <v>43200</v>
      </c>
      <c r="AD2684" s="2857"/>
      <c r="AE2684" s="2857"/>
      <c r="AF2684" s="2857"/>
      <c r="AG2684" s="2857"/>
      <c r="AH2684" s="1942"/>
      <c r="AI2684" s="1942"/>
      <c r="AJ2684" s="1942"/>
      <c r="AK2684" s="1942"/>
      <c r="AL2684" s="1942"/>
      <c r="AM2684" s="1942"/>
      <c r="AN2684" s="1942"/>
      <c r="AO2684" s="1942"/>
      <c r="AP2684" s="1942"/>
      <c r="AQ2684" s="1942"/>
      <c r="AR2684" s="1942"/>
      <c r="AS2684" s="1942"/>
      <c r="AT2684" s="1942"/>
      <c r="AU2684" s="1942"/>
      <c r="AV2684" s="1942"/>
      <c r="AW2684" s="1942"/>
      <c r="AX2684" s="1942"/>
      <c r="AY2684" s="1942"/>
      <c r="AZ2684" s="1942"/>
      <c r="BA2684" s="1942"/>
      <c r="BB2684" s="575"/>
      <c r="BC2684" s="576"/>
      <c r="BD2684" s="678"/>
      <c r="BE2684" s="585"/>
    </row>
    <row r="2685" spans="1:57" s="51" customFormat="1" ht="15" hidden="1" customHeight="1" outlineLevel="1" x14ac:dyDescent="0.25">
      <c r="A2685" s="1267"/>
      <c r="B2685" s="123"/>
      <c r="C2685" s="328"/>
      <c r="D2685" s="3990"/>
      <c r="E2685" s="4009"/>
      <c r="F2685" s="3010" t="str">
        <f>$E$1679</f>
        <v>ASHP-SEER19-Replace_CAC_ElectricHeat_ER2_SF</v>
      </c>
      <c r="G2685" s="2676"/>
      <c r="H2685" s="2676"/>
      <c r="I2685" s="2677"/>
      <c r="J2685" s="3298" t="str">
        <f>$C$1679</f>
        <v>354400_2021_12_</v>
      </c>
      <c r="K2685" s="2225">
        <f>K2684</f>
        <v>43200</v>
      </c>
      <c r="L2685" s="2726">
        <f t="shared" si="203"/>
        <v>3.6</v>
      </c>
      <c r="M2685" s="2723" t="s">
        <v>1008</v>
      </c>
      <c r="N2685" s="123"/>
      <c r="O2685" s="228"/>
      <c r="P2685" s="228"/>
      <c r="Q2685" s="228"/>
      <c r="R2685" s="228"/>
      <c r="S2685" s="123"/>
      <c r="T2685" s="123"/>
      <c r="U2685" s="123"/>
      <c r="V2685" s="3990"/>
      <c r="W2685" s="2857">
        <v>37200</v>
      </c>
      <c r="X2685" s="2857">
        <v>37200</v>
      </c>
      <c r="Y2685" s="2857">
        <v>37200</v>
      </c>
      <c r="Z2685" s="2857">
        <v>37200</v>
      </c>
      <c r="AA2685" s="2857">
        <v>37200</v>
      </c>
      <c r="AB2685" s="2855">
        <v>37200</v>
      </c>
      <c r="AC2685" s="2225">
        <f>AC2684</f>
        <v>43200</v>
      </c>
      <c r="AD2685" s="2857"/>
      <c r="AE2685" s="2857"/>
      <c r="AF2685" s="2857"/>
      <c r="AG2685" s="2857"/>
      <c r="AH2685" s="1942"/>
      <c r="AI2685" s="1942"/>
      <c r="AJ2685" s="1942"/>
      <c r="AK2685" s="1942"/>
      <c r="AL2685" s="1942"/>
      <c r="AM2685" s="1942"/>
      <c r="AN2685" s="1942"/>
      <c r="AO2685" s="1942"/>
      <c r="AP2685" s="1942"/>
      <c r="AQ2685" s="1942"/>
      <c r="AR2685" s="1942"/>
      <c r="AS2685" s="1942"/>
      <c r="AT2685" s="1942"/>
      <c r="AU2685" s="1942"/>
      <c r="AV2685" s="1942"/>
      <c r="AW2685" s="1942"/>
      <c r="AX2685" s="1942"/>
      <c r="AY2685" s="1942"/>
      <c r="AZ2685" s="1942"/>
      <c r="BA2685" s="1942"/>
      <c r="BB2685" s="575"/>
      <c r="BC2685" s="576"/>
      <c r="BD2685" s="678"/>
      <c r="BE2685" s="585"/>
    </row>
    <row r="2686" spans="1:57" s="1942" customFormat="1" ht="15" hidden="1" customHeight="1" outlineLevel="1" x14ac:dyDescent="0.25">
      <c r="A2686" s="1267"/>
      <c r="B2686" s="123"/>
      <c r="C2686" s="328"/>
      <c r="D2686" s="3990"/>
      <c r="E2686" s="4009"/>
      <c r="F2686" s="3010" t="str">
        <f>$E$1681</f>
        <v>ASHP-SEER19-Replace_CAC_NonElectricHeat_ER1_SF</v>
      </c>
      <c r="G2686" s="2676"/>
      <c r="H2686" s="2676"/>
      <c r="I2686" s="2677"/>
      <c r="J2686" s="3298" t="str">
        <f>$C$1681</f>
        <v>354410_2021_12_</v>
      </c>
      <c r="K2686" s="2225">
        <v>43200</v>
      </c>
      <c r="L2686" s="2726"/>
      <c r="M2686" s="2723" t="s">
        <v>1125</v>
      </c>
      <c r="N2686" s="123"/>
      <c r="O2686" s="228"/>
      <c r="P2686" s="228"/>
      <c r="Q2686" s="228"/>
      <c r="R2686" s="228"/>
      <c r="S2686" s="123"/>
      <c r="T2686" s="123"/>
      <c r="U2686" s="123"/>
      <c r="V2686" s="3990"/>
      <c r="W2686" s="2857"/>
      <c r="X2686" s="2857"/>
      <c r="Y2686" s="2857"/>
      <c r="Z2686" s="2857"/>
      <c r="AA2686" s="2857"/>
      <c r="AB2686" s="2855"/>
      <c r="AC2686" s="2225">
        <v>43200</v>
      </c>
      <c r="AD2686" s="2857"/>
      <c r="AE2686" s="2857"/>
      <c r="AF2686" s="2857"/>
      <c r="AG2686" s="2857"/>
      <c r="BB2686" s="575"/>
      <c r="BC2686" s="576"/>
      <c r="BD2686" s="678"/>
      <c r="BE2686" s="585"/>
    </row>
    <row r="2687" spans="1:57" s="1942" customFormat="1" ht="15" hidden="1" customHeight="1" outlineLevel="1" x14ac:dyDescent="0.25">
      <c r="A2687" s="1267"/>
      <c r="B2687" s="123"/>
      <c r="C2687" s="328"/>
      <c r="D2687" s="3990"/>
      <c r="E2687" s="4009"/>
      <c r="F2687" s="3010" t="str">
        <f>$E$1683</f>
        <v>ASHP-SEER19-Replace_CAC_NonElectricHeat_ER2_SF</v>
      </c>
      <c r="G2687" s="2676"/>
      <c r="H2687" s="2676"/>
      <c r="I2687" s="2677"/>
      <c r="J2687" s="3298" t="str">
        <f>$C$1683</f>
        <v>354410_2021_12_</v>
      </c>
      <c r="K2687" s="2225">
        <f>K2686</f>
        <v>43200</v>
      </c>
      <c r="L2687" s="2726"/>
      <c r="M2687" s="2723" t="s">
        <v>1125</v>
      </c>
      <c r="N2687" s="123"/>
      <c r="O2687" s="228"/>
      <c r="P2687" s="228"/>
      <c r="Q2687" s="228"/>
      <c r="R2687" s="228"/>
      <c r="S2687" s="123"/>
      <c r="T2687" s="123"/>
      <c r="U2687" s="123"/>
      <c r="V2687" s="3990"/>
      <c r="W2687" s="2857"/>
      <c r="X2687" s="2857"/>
      <c r="Y2687" s="2857"/>
      <c r="Z2687" s="2857"/>
      <c r="AA2687" s="2857"/>
      <c r="AB2687" s="2855"/>
      <c r="AC2687" s="2225">
        <f>AC2686</f>
        <v>43200</v>
      </c>
      <c r="AD2687" s="2857"/>
      <c r="AE2687" s="2857"/>
      <c r="AF2687" s="2857"/>
      <c r="AG2687" s="2857"/>
      <c r="BB2687" s="575"/>
      <c r="BC2687" s="576"/>
      <c r="BD2687" s="678"/>
      <c r="BE2687" s="585"/>
    </row>
    <row r="2688" spans="1:57" s="51" customFormat="1" ht="15" hidden="1" customHeight="1" outlineLevel="1" x14ac:dyDescent="0.25">
      <c r="A2688" s="1267"/>
      <c r="B2688" s="123"/>
      <c r="C2688" s="328"/>
      <c r="D2688" s="3990"/>
      <c r="E2688" s="4009"/>
      <c r="F2688" s="3010" t="str">
        <f>$E$1685</f>
        <v>ASHP-SEER19-Replace_CAC_ElectricHeat_ER1_MF</v>
      </c>
      <c r="G2688" s="2676"/>
      <c r="H2688" s="2676"/>
      <c r="I2688" s="2677"/>
      <c r="J2688" s="3299" t="str">
        <f>$C$1685</f>
        <v>354450_2019_12_</v>
      </c>
      <c r="K2688" s="2551">
        <v>37200</v>
      </c>
      <c r="L2688" s="1597">
        <f t="shared" si="203"/>
        <v>3.1</v>
      </c>
      <c r="M2688" s="2278"/>
      <c r="N2688" s="123"/>
      <c r="O2688" s="228"/>
      <c r="P2688" s="228"/>
      <c r="Q2688" s="228"/>
      <c r="R2688" s="228"/>
      <c r="S2688" s="123"/>
      <c r="T2688" s="123"/>
      <c r="U2688" s="123"/>
      <c r="V2688" s="3990"/>
      <c r="W2688" s="2857">
        <v>37200</v>
      </c>
      <c r="X2688" s="2857">
        <v>37200</v>
      </c>
      <c r="Y2688" s="2857">
        <v>37200</v>
      </c>
      <c r="Z2688" s="2857">
        <v>37200</v>
      </c>
      <c r="AA2688" s="2857">
        <v>37200</v>
      </c>
      <c r="AB2688" s="2855">
        <v>37200</v>
      </c>
      <c r="AC2688" s="2551">
        <v>37200</v>
      </c>
      <c r="AD2688" s="2857"/>
      <c r="AE2688" s="2857"/>
      <c r="AF2688" s="2857"/>
      <c r="AG2688" s="2857"/>
      <c r="AH2688" s="1942"/>
      <c r="AI2688" s="1942"/>
      <c r="AJ2688" s="1942"/>
      <c r="AK2688" s="1942"/>
      <c r="AL2688" s="1942"/>
      <c r="AM2688" s="1942"/>
      <c r="AN2688" s="1942"/>
      <c r="AO2688" s="1942"/>
      <c r="AP2688" s="1942"/>
      <c r="AQ2688" s="1942"/>
      <c r="AR2688" s="1942"/>
      <c r="AS2688" s="1942"/>
      <c r="AT2688" s="1942"/>
      <c r="AU2688" s="1942"/>
      <c r="AV2688" s="1942"/>
      <c r="AW2688" s="1942"/>
      <c r="AX2688" s="1942"/>
      <c r="AY2688" s="1942"/>
      <c r="AZ2688" s="1942"/>
      <c r="BA2688" s="1942"/>
      <c r="BB2688" s="575"/>
      <c r="BC2688" s="576"/>
      <c r="BD2688" s="678"/>
      <c r="BE2688" s="585"/>
    </row>
    <row r="2689" spans="1:57" s="51" customFormat="1" ht="15" hidden="1" customHeight="1" outlineLevel="1" x14ac:dyDescent="0.25">
      <c r="A2689" s="1267"/>
      <c r="B2689" s="123"/>
      <c r="C2689" s="328"/>
      <c r="D2689" s="3990"/>
      <c r="E2689" s="4009"/>
      <c r="F2689" s="3010" t="str">
        <f>$E$1687</f>
        <v>ASHP-SEER19-Replace_CAC_ElectricHeat_ER2_MF</v>
      </c>
      <c r="G2689" s="2676"/>
      <c r="H2689" s="2676"/>
      <c r="I2689" s="2677"/>
      <c r="J2689" s="3299" t="str">
        <f>$C$1687</f>
        <v>354450_2019_12_</v>
      </c>
      <c r="K2689" s="2551">
        <v>37200</v>
      </c>
      <c r="L2689" s="1597">
        <f t="shared" si="203"/>
        <v>3.1</v>
      </c>
      <c r="M2689" s="2278"/>
      <c r="N2689" s="123"/>
      <c r="O2689" s="228"/>
      <c r="P2689" s="228"/>
      <c r="Q2689" s="228"/>
      <c r="R2689" s="228"/>
      <c r="S2689" s="123"/>
      <c r="T2689" s="123"/>
      <c r="U2689" s="123"/>
      <c r="V2689" s="3990"/>
      <c r="W2689" s="2857">
        <v>37200</v>
      </c>
      <c r="X2689" s="2857">
        <v>37200</v>
      </c>
      <c r="Y2689" s="2857">
        <v>37200</v>
      </c>
      <c r="Z2689" s="2857">
        <v>37200</v>
      </c>
      <c r="AA2689" s="2857">
        <v>37200</v>
      </c>
      <c r="AB2689" s="2855">
        <v>37200</v>
      </c>
      <c r="AC2689" s="2551">
        <v>37200</v>
      </c>
      <c r="AD2689" s="2857"/>
      <c r="AE2689" s="2857"/>
      <c r="AF2689" s="2857"/>
      <c r="AG2689" s="2857"/>
      <c r="AH2689" s="1942"/>
      <c r="AI2689" s="1942"/>
      <c r="AJ2689" s="1942"/>
      <c r="AK2689" s="1942"/>
      <c r="AL2689" s="1942"/>
      <c r="AM2689" s="1942"/>
      <c r="AN2689" s="1942"/>
      <c r="AO2689" s="1942"/>
      <c r="AP2689" s="1942"/>
      <c r="AQ2689" s="1942"/>
      <c r="AR2689" s="1942"/>
      <c r="AS2689" s="1942"/>
      <c r="AT2689" s="1942"/>
      <c r="AU2689" s="1942"/>
      <c r="AV2689" s="1942"/>
      <c r="AW2689" s="1942"/>
      <c r="AX2689" s="1942"/>
      <c r="AY2689" s="1942"/>
      <c r="AZ2689" s="1942"/>
      <c r="BA2689" s="1942"/>
      <c r="BB2689" s="575"/>
      <c r="BC2689" s="576"/>
      <c r="BD2689" s="678"/>
      <c r="BE2689" s="585"/>
    </row>
    <row r="2690" spans="1:57" s="51" customFormat="1" ht="15" hidden="1" customHeight="1" outlineLevel="1" x14ac:dyDescent="0.25">
      <c r="A2690" s="1267"/>
      <c r="B2690" s="123"/>
      <c r="C2690" s="328"/>
      <c r="D2690" s="3990"/>
      <c r="E2690" s="4009"/>
      <c r="F2690" s="3010" t="str">
        <f>$E$1689</f>
        <v>ASHP-SEER19-Replace_CAC_ElectricHeat_ER1_MF_CompE</v>
      </c>
      <c r="G2690" s="2676"/>
      <c r="H2690" s="2676"/>
      <c r="I2690" s="2677"/>
      <c r="J2690" s="3299" t="str">
        <f>$C$1689</f>
        <v>354451_2019_12_</v>
      </c>
      <c r="K2690" s="2551">
        <f>K2688</f>
        <v>37200</v>
      </c>
      <c r="L2690" s="1597">
        <f t="shared" si="203"/>
        <v>3.1</v>
      </c>
      <c r="M2690" s="2278"/>
      <c r="N2690" s="123"/>
      <c r="O2690" s="228"/>
      <c r="P2690" s="228"/>
      <c r="Q2690" s="228"/>
      <c r="R2690" s="228"/>
      <c r="S2690" s="123"/>
      <c r="T2690" s="123"/>
      <c r="U2690" s="123"/>
      <c r="V2690" s="3990"/>
      <c r="W2690" s="2857"/>
      <c r="X2690" s="2857"/>
      <c r="Y2690" s="3155">
        <v>37200</v>
      </c>
      <c r="Z2690" s="2857">
        <v>37200</v>
      </c>
      <c r="AA2690" s="2857">
        <v>37200</v>
      </c>
      <c r="AB2690" s="2855">
        <v>37200</v>
      </c>
      <c r="AC2690" s="2551">
        <f>AC2688</f>
        <v>37200</v>
      </c>
      <c r="AD2690" s="2857"/>
      <c r="AE2690" s="2857"/>
      <c r="AF2690" s="2857"/>
      <c r="AG2690" s="2857"/>
      <c r="AH2690" s="1942"/>
      <c r="AI2690" s="1942"/>
      <c r="AJ2690" s="1942"/>
      <c r="AK2690" s="1942"/>
      <c r="AL2690" s="1942"/>
      <c r="AM2690" s="1942"/>
      <c r="AN2690" s="1942"/>
      <c r="AO2690" s="1942"/>
      <c r="AP2690" s="1942"/>
      <c r="AQ2690" s="1942"/>
      <c r="AR2690" s="1942"/>
      <c r="AS2690" s="1942"/>
      <c r="AT2690" s="1942"/>
      <c r="AU2690" s="1942"/>
      <c r="AV2690" s="1942"/>
      <c r="AW2690" s="1942"/>
      <c r="AX2690" s="1942"/>
      <c r="AY2690" s="1942"/>
      <c r="AZ2690" s="1942"/>
      <c r="BA2690" s="1942"/>
      <c r="BB2690" s="575"/>
      <c r="BC2690" s="576"/>
      <c r="BD2690" s="678"/>
      <c r="BE2690" s="585"/>
    </row>
    <row r="2691" spans="1:57" s="51" customFormat="1" ht="15" hidden="1" customHeight="1" outlineLevel="1" x14ac:dyDescent="0.25">
      <c r="A2691" s="1267"/>
      <c r="B2691" s="123"/>
      <c r="C2691" s="328"/>
      <c r="D2691" s="3990"/>
      <c r="E2691" s="4009"/>
      <c r="F2691" s="3010" t="str">
        <f>$E$1691</f>
        <v>ASHP-SEER19-Replace_CAC_ElectricHeat_ER2_MF_CompE</v>
      </c>
      <c r="G2691" s="2676"/>
      <c r="H2691" s="2676"/>
      <c r="I2691" s="2677"/>
      <c r="J2691" s="3299" t="str">
        <f>$C$1691</f>
        <v>354451_2019_12_</v>
      </c>
      <c r="K2691" s="2551">
        <f>K2689</f>
        <v>37200</v>
      </c>
      <c r="L2691" s="1597">
        <f t="shared" si="203"/>
        <v>3.1</v>
      </c>
      <c r="M2691" s="2278"/>
      <c r="N2691" s="123"/>
      <c r="O2691" s="228"/>
      <c r="P2691" s="228"/>
      <c r="Q2691" s="228"/>
      <c r="R2691" s="228"/>
      <c r="S2691" s="123"/>
      <c r="T2691" s="123"/>
      <c r="U2691" s="123"/>
      <c r="V2691" s="3990"/>
      <c r="W2691" s="2857"/>
      <c r="X2691" s="2857"/>
      <c r="Y2691" s="3155">
        <v>37200</v>
      </c>
      <c r="Z2691" s="2857">
        <v>37200</v>
      </c>
      <c r="AA2691" s="2857">
        <v>37200</v>
      </c>
      <c r="AB2691" s="2855">
        <v>37200</v>
      </c>
      <c r="AC2691" s="2551">
        <f>AC2689</f>
        <v>37200</v>
      </c>
      <c r="AD2691" s="2857"/>
      <c r="AE2691" s="2857"/>
      <c r="AF2691" s="2857"/>
      <c r="AG2691" s="2857"/>
      <c r="AH2691" s="1942"/>
      <c r="AI2691" s="1942"/>
      <c r="AJ2691" s="1942"/>
      <c r="AK2691" s="1942"/>
      <c r="AL2691" s="1942"/>
      <c r="AM2691" s="1942"/>
      <c r="AN2691" s="1942"/>
      <c r="AO2691" s="1942"/>
      <c r="AP2691" s="1942"/>
      <c r="AQ2691" s="1942"/>
      <c r="AR2691" s="1942"/>
      <c r="AS2691" s="1942"/>
      <c r="AT2691" s="1942"/>
      <c r="AU2691" s="1942"/>
      <c r="AV2691" s="1942"/>
      <c r="AW2691" s="1942"/>
      <c r="AX2691" s="1942"/>
      <c r="AY2691" s="1942"/>
      <c r="AZ2691" s="1942"/>
      <c r="BA2691" s="1942"/>
      <c r="BB2691" s="575"/>
      <c r="BC2691" s="576"/>
      <c r="BD2691" s="678"/>
      <c r="BE2691" s="585"/>
    </row>
    <row r="2692" spans="1:57" s="1942" customFormat="1" ht="15" hidden="1" customHeight="1" outlineLevel="1" x14ac:dyDescent="0.25">
      <c r="A2692" s="1267"/>
      <c r="B2692" s="123"/>
      <c r="C2692" s="328"/>
      <c r="D2692" s="3990"/>
      <c r="E2692" s="4009"/>
      <c r="F2692" s="3010" t="str">
        <f>$E$1693</f>
        <v>ASHP-SEER19-Replace_CAC_NonElectricHeat_ER1_MF</v>
      </c>
      <c r="G2692" s="2676"/>
      <c r="H2692" s="2676"/>
      <c r="I2692" s="2677"/>
      <c r="J2692" s="3298" t="str">
        <f>$C$1693</f>
        <v>354460_2021_12_</v>
      </c>
      <c r="K2692" s="2225">
        <v>37200</v>
      </c>
      <c r="L2692" s="1597"/>
      <c r="M2692" s="2723" t="s">
        <v>1125</v>
      </c>
      <c r="N2692" s="123"/>
      <c r="O2692" s="228"/>
      <c r="P2692" s="228"/>
      <c r="Q2692" s="228"/>
      <c r="R2692" s="228"/>
      <c r="S2692" s="123"/>
      <c r="T2692" s="123"/>
      <c r="U2692" s="123"/>
      <c r="V2692" s="3990"/>
      <c r="W2692" s="2857"/>
      <c r="X2692" s="2857"/>
      <c r="Y2692" s="3155"/>
      <c r="Z2692" s="2857"/>
      <c r="AA2692" s="2857"/>
      <c r="AB2692" s="2855"/>
      <c r="AC2692" s="2225">
        <v>37200</v>
      </c>
      <c r="AD2692" s="2857"/>
      <c r="AE2692" s="2857"/>
      <c r="AF2692" s="2857"/>
      <c r="AG2692" s="2857"/>
      <c r="BB2692" s="575"/>
      <c r="BC2692" s="576"/>
      <c r="BD2692" s="678"/>
      <c r="BE2692" s="585"/>
    </row>
    <row r="2693" spans="1:57" s="1942" customFormat="1" ht="15" hidden="1" customHeight="1" outlineLevel="1" x14ac:dyDescent="0.25">
      <c r="A2693" s="1267"/>
      <c r="B2693" s="123"/>
      <c r="C2693" s="328"/>
      <c r="D2693" s="3990"/>
      <c r="E2693" s="4009"/>
      <c r="F2693" s="3010" t="str">
        <f>$E$1695</f>
        <v>ASHP-SEER19-Replace_CAC_NonElectricHeat_ER2_MF</v>
      </c>
      <c r="G2693" s="2676"/>
      <c r="H2693" s="2676"/>
      <c r="I2693" s="2677"/>
      <c r="J2693" s="3298" t="str">
        <f>$C$1695</f>
        <v>354460_2021_12_</v>
      </c>
      <c r="K2693" s="2225">
        <v>37200</v>
      </c>
      <c r="L2693" s="1597"/>
      <c r="M2693" s="2723" t="s">
        <v>1125</v>
      </c>
      <c r="N2693" s="123"/>
      <c r="O2693" s="228"/>
      <c r="P2693" s="228"/>
      <c r="Q2693" s="228"/>
      <c r="R2693" s="228"/>
      <c r="S2693" s="123"/>
      <c r="T2693" s="123"/>
      <c r="U2693" s="123"/>
      <c r="V2693" s="3990"/>
      <c r="W2693" s="2857"/>
      <c r="X2693" s="2857"/>
      <c r="Y2693" s="3155"/>
      <c r="Z2693" s="2857"/>
      <c r="AA2693" s="2857"/>
      <c r="AB2693" s="2855"/>
      <c r="AC2693" s="2225">
        <v>37200</v>
      </c>
      <c r="AD2693" s="2857"/>
      <c r="AE2693" s="2857"/>
      <c r="AF2693" s="2857"/>
      <c r="AG2693" s="2857"/>
      <c r="BB2693" s="575"/>
      <c r="BC2693" s="576"/>
      <c r="BD2693" s="678"/>
      <c r="BE2693" s="585"/>
    </row>
    <row r="2694" spans="1:57" s="1942" customFormat="1" ht="15" hidden="1" customHeight="1" outlineLevel="1" x14ac:dyDescent="0.25">
      <c r="A2694" s="1267"/>
      <c r="B2694" s="123"/>
      <c r="C2694" s="328"/>
      <c r="D2694" s="3990"/>
      <c r="E2694" s="4009"/>
      <c r="F2694" s="3010" t="str">
        <f>$E$1697</f>
        <v>ASHP-SEER19-Replace_CAC_NonElectricHeat_ER1_MF_CompE</v>
      </c>
      <c r="G2694" s="2676"/>
      <c r="H2694" s="2676"/>
      <c r="I2694" s="2677"/>
      <c r="J2694" s="3298" t="str">
        <f>$C$1697</f>
        <v>354461_2021_12_</v>
      </c>
      <c r="K2694" s="2225">
        <f>K2692</f>
        <v>37200</v>
      </c>
      <c r="L2694" s="1597"/>
      <c r="M2694" s="2723" t="s">
        <v>1125</v>
      </c>
      <c r="N2694" s="123"/>
      <c r="O2694" s="228"/>
      <c r="P2694" s="228"/>
      <c r="Q2694" s="228"/>
      <c r="R2694" s="228"/>
      <c r="S2694" s="123"/>
      <c r="T2694" s="123"/>
      <c r="U2694" s="123"/>
      <c r="V2694" s="3990"/>
      <c r="W2694" s="2857"/>
      <c r="X2694" s="2857"/>
      <c r="Y2694" s="3155"/>
      <c r="Z2694" s="2857"/>
      <c r="AA2694" s="2857"/>
      <c r="AB2694" s="2855"/>
      <c r="AC2694" s="2225">
        <f>AC2692</f>
        <v>37200</v>
      </c>
      <c r="AD2694" s="2857"/>
      <c r="AE2694" s="2857"/>
      <c r="AF2694" s="2857"/>
      <c r="AG2694" s="2857"/>
      <c r="BB2694" s="575"/>
      <c r="BC2694" s="576"/>
      <c r="BD2694" s="678"/>
      <c r="BE2694" s="585"/>
    </row>
    <row r="2695" spans="1:57" s="1942" customFormat="1" ht="15" hidden="1" customHeight="1" outlineLevel="1" x14ac:dyDescent="0.25">
      <c r="A2695" s="1267"/>
      <c r="B2695" s="123"/>
      <c r="C2695" s="328"/>
      <c r="D2695" s="3990"/>
      <c r="E2695" s="4009"/>
      <c r="F2695" s="3010" t="str">
        <f>$E$1699</f>
        <v>ASHP-SEER19-Replace_CAC_NonElectricHeat_ER2_MF_CompE</v>
      </c>
      <c r="G2695" s="2676"/>
      <c r="H2695" s="2676"/>
      <c r="I2695" s="2677"/>
      <c r="J2695" s="3298" t="str">
        <f>$C$1699</f>
        <v>354461_2021_12_</v>
      </c>
      <c r="K2695" s="2225">
        <f>K2693</f>
        <v>37200</v>
      </c>
      <c r="L2695" s="1597"/>
      <c r="M2695" s="2723" t="s">
        <v>1125</v>
      </c>
      <c r="N2695" s="123"/>
      <c r="O2695" s="228"/>
      <c r="P2695" s="228"/>
      <c r="Q2695" s="228"/>
      <c r="R2695" s="228"/>
      <c r="S2695" s="123"/>
      <c r="T2695" s="123"/>
      <c r="U2695" s="123"/>
      <c r="V2695" s="3990"/>
      <c r="W2695" s="2857"/>
      <c r="X2695" s="2857"/>
      <c r="Y2695" s="3155"/>
      <c r="Z2695" s="2857"/>
      <c r="AA2695" s="2857"/>
      <c r="AB2695" s="2855"/>
      <c r="AC2695" s="2225">
        <f>AC2693</f>
        <v>37200</v>
      </c>
      <c r="AD2695" s="2857"/>
      <c r="AE2695" s="2857"/>
      <c r="AF2695" s="2857"/>
      <c r="AG2695" s="2857"/>
      <c r="BB2695" s="575"/>
      <c r="BC2695" s="576"/>
      <c r="BD2695" s="678"/>
      <c r="BE2695" s="585"/>
    </row>
    <row r="2696" spans="1:57" s="51" customFormat="1" ht="15" hidden="1" customHeight="1" outlineLevel="1" x14ac:dyDescent="0.25">
      <c r="A2696" s="1267"/>
      <c r="B2696" s="123"/>
      <c r="C2696" s="328"/>
      <c r="D2696" s="3990"/>
      <c r="E2696" s="4009"/>
      <c r="F2696" s="3010" t="str">
        <f>$E$1701</f>
        <v>ASHP-SEER19_ER1_MF</v>
      </c>
      <c r="G2696" s="2676"/>
      <c r="H2696" s="2676"/>
      <c r="I2696" s="2677"/>
      <c r="J2696" s="3299" t="str">
        <f>$C$1701</f>
        <v>354500_2019_12_</v>
      </c>
      <c r="K2696" s="2551">
        <v>39600</v>
      </c>
      <c r="L2696" s="1597">
        <f t="shared" si="203"/>
        <v>3.3</v>
      </c>
      <c r="M2696" s="2278"/>
      <c r="N2696" s="123"/>
      <c r="O2696" s="228"/>
      <c r="P2696" s="228"/>
      <c r="Q2696" s="228"/>
      <c r="R2696" s="228"/>
      <c r="S2696" s="123"/>
      <c r="T2696" s="123"/>
      <c r="U2696" s="123"/>
      <c r="V2696" s="3990"/>
      <c r="W2696" s="2857">
        <v>39600</v>
      </c>
      <c r="X2696" s="2857">
        <v>39600</v>
      </c>
      <c r="Y2696" s="2857">
        <v>39600</v>
      </c>
      <c r="Z2696" s="2857">
        <v>39600</v>
      </c>
      <c r="AA2696" s="2857">
        <v>39600</v>
      </c>
      <c r="AB2696" s="2855">
        <v>39600</v>
      </c>
      <c r="AC2696" s="2551">
        <v>39600</v>
      </c>
      <c r="AD2696" s="2857"/>
      <c r="AE2696" s="2857"/>
      <c r="AF2696" s="2857"/>
      <c r="AG2696" s="2857"/>
      <c r="AH2696" s="1942"/>
      <c r="AI2696" s="1942"/>
      <c r="AJ2696" s="1942"/>
      <c r="AK2696" s="1942"/>
      <c r="AL2696" s="1942"/>
      <c r="AM2696" s="1942"/>
      <c r="AN2696" s="1942"/>
      <c r="AO2696" s="1942"/>
      <c r="AP2696" s="1942"/>
      <c r="AQ2696" s="1942"/>
      <c r="AR2696" s="1942"/>
      <c r="AS2696" s="1942"/>
      <c r="AT2696" s="1942"/>
      <c r="AU2696" s="1942"/>
      <c r="AV2696" s="1942"/>
      <c r="AW2696" s="1942"/>
      <c r="AX2696" s="1942"/>
      <c r="AY2696" s="1942"/>
      <c r="AZ2696" s="1942"/>
      <c r="BA2696" s="1942"/>
      <c r="BB2696" s="575"/>
      <c r="BC2696" s="576"/>
      <c r="BD2696" s="678"/>
      <c r="BE2696" s="585"/>
    </row>
    <row r="2697" spans="1:57" s="51" customFormat="1" ht="15" hidden="1" customHeight="1" outlineLevel="1" x14ac:dyDescent="0.25">
      <c r="A2697" s="1267"/>
      <c r="B2697" s="123"/>
      <c r="C2697" s="328"/>
      <c r="D2697" s="3990"/>
      <c r="E2697" s="4009"/>
      <c r="F2697" s="3010" t="str">
        <f>$E$1703</f>
        <v>ASHP-SEER19_ER2_MF</v>
      </c>
      <c r="G2697" s="2676"/>
      <c r="H2697" s="2676"/>
      <c r="I2697" s="2677"/>
      <c r="J2697" s="3299" t="str">
        <f>$C$1703</f>
        <v>354500_2019_12_</v>
      </c>
      <c r="K2697" s="2551">
        <v>39600</v>
      </c>
      <c r="L2697" s="1597">
        <f t="shared" si="203"/>
        <v>3.3</v>
      </c>
      <c r="M2697" s="2278"/>
      <c r="N2697" s="123"/>
      <c r="O2697" s="228"/>
      <c r="P2697" s="228"/>
      <c r="Q2697" s="228"/>
      <c r="R2697" s="228"/>
      <c r="S2697" s="123"/>
      <c r="T2697" s="123"/>
      <c r="U2697" s="123"/>
      <c r="V2697" s="3990"/>
      <c r="W2697" s="2857">
        <v>39600</v>
      </c>
      <c r="X2697" s="2857">
        <v>39600</v>
      </c>
      <c r="Y2697" s="2857">
        <v>39600</v>
      </c>
      <c r="Z2697" s="2857">
        <v>39600</v>
      </c>
      <c r="AA2697" s="2857">
        <v>39600</v>
      </c>
      <c r="AB2697" s="2855">
        <v>39600</v>
      </c>
      <c r="AC2697" s="2551">
        <v>39600</v>
      </c>
      <c r="AD2697" s="2857"/>
      <c r="AE2697" s="2857"/>
      <c r="AF2697" s="2857"/>
      <c r="AG2697" s="2857"/>
      <c r="AH2697" s="1942"/>
      <c r="AI2697" s="1942"/>
      <c r="AJ2697" s="1942"/>
      <c r="AK2697" s="1942"/>
      <c r="AL2697" s="1942"/>
      <c r="AM2697" s="1942"/>
      <c r="AN2697" s="1942"/>
      <c r="AO2697" s="1942"/>
      <c r="AP2697" s="1942"/>
      <c r="AQ2697" s="1942"/>
      <c r="AR2697" s="1942"/>
      <c r="AS2697" s="1942"/>
      <c r="AT2697" s="1942"/>
      <c r="AU2697" s="1942"/>
      <c r="AV2697" s="1942"/>
      <c r="AW2697" s="1942"/>
      <c r="AX2697" s="1942"/>
      <c r="AY2697" s="1942"/>
      <c r="AZ2697" s="1942"/>
      <c r="BA2697" s="1942"/>
      <c r="BB2697" s="575"/>
      <c r="BC2697" s="576"/>
      <c r="BD2697" s="678"/>
      <c r="BE2697" s="585"/>
    </row>
    <row r="2698" spans="1:57" s="51" customFormat="1" ht="15" hidden="1" customHeight="1" outlineLevel="1" x14ac:dyDescent="0.25">
      <c r="A2698" s="1267"/>
      <c r="B2698" s="123"/>
      <c r="C2698" s="328"/>
      <c r="D2698" s="3990"/>
      <c r="E2698" s="4009"/>
      <c r="F2698" s="3010" t="str">
        <f>$E$1705</f>
        <v>ASHP-SEER19_ER1_MF_CompE</v>
      </c>
      <c r="G2698" s="2676"/>
      <c r="H2698" s="2676"/>
      <c r="I2698" s="2677"/>
      <c r="J2698" s="3299" t="str">
        <f>$C$1705</f>
        <v>354501_2019_12_</v>
      </c>
      <c r="K2698" s="2551">
        <f>K2696</f>
        <v>39600</v>
      </c>
      <c r="L2698" s="1597">
        <f t="shared" si="203"/>
        <v>3.3</v>
      </c>
      <c r="M2698" s="2278"/>
      <c r="N2698" s="123"/>
      <c r="O2698" s="228"/>
      <c r="P2698" s="228"/>
      <c r="Q2698" s="228"/>
      <c r="R2698" s="228"/>
      <c r="S2698" s="123"/>
      <c r="T2698" s="123"/>
      <c r="U2698" s="123"/>
      <c r="V2698" s="3990"/>
      <c r="W2698" s="2857"/>
      <c r="X2698" s="2857"/>
      <c r="Y2698" s="3155">
        <v>39600</v>
      </c>
      <c r="Z2698" s="2857">
        <v>39600</v>
      </c>
      <c r="AA2698" s="2857">
        <v>39600</v>
      </c>
      <c r="AB2698" s="2855">
        <v>39600</v>
      </c>
      <c r="AC2698" s="2551">
        <f>AC2696</f>
        <v>39600</v>
      </c>
      <c r="AD2698" s="2857"/>
      <c r="AE2698" s="2857"/>
      <c r="AF2698" s="2857"/>
      <c r="AG2698" s="2857"/>
      <c r="AH2698" s="1942"/>
      <c r="AI2698" s="1942"/>
      <c r="AJ2698" s="1942"/>
      <c r="AK2698" s="1942"/>
      <c r="AL2698" s="1942"/>
      <c r="AM2698" s="1942"/>
      <c r="AN2698" s="1942"/>
      <c r="AO2698" s="1942"/>
      <c r="AP2698" s="1942"/>
      <c r="AQ2698" s="1942"/>
      <c r="AR2698" s="1942"/>
      <c r="AS2698" s="1942"/>
      <c r="AT2698" s="1942"/>
      <c r="AU2698" s="1942"/>
      <c r="AV2698" s="1942"/>
      <c r="AW2698" s="1942"/>
      <c r="AX2698" s="1942"/>
      <c r="AY2698" s="1942"/>
      <c r="AZ2698" s="1942"/>
      <c r="BA2698" s="1942"/>
      <c r="BB2698" s="575"/>
      <c r="BC2698" s="576"/>
      <c r="BD2698" s="678"/>
      <c r="BE2698" s="585"/>
    </row>
    <row r="2699" spans="1:57" s="51" customFormat="1" ht="15" hidden="1" customHeight="1" outlineLevel="1" x14ac:dyDescent="0.25">
      <c r="A2699" s="1267"/>
      <c r="B2699" s="123"/>
      <c r="C2699" s="328"/>
      <c r="D2699" s="3990"/>
      <c r="E2699" s="4009"/>
      <c r="F2699" s="3010" t="str">
        <f>$E$1707</f>
        <v>ASHP-SEER19_ER2_MF_CompE</v>
      </c>
      <c r="G2699" s="2676"/>
      <c r="H2699" s="2676"/>
      <c r="I2699" s="2677"/>
      <c r="J2699" s="3299" t="str">
        <f>$C$1707</f>
        <v>354501_2019_12_</v>
      </c>
      <c r="K2699" s="2551">
        <f>K2697</f>
        <v>39600</v>
      </c>
      <c r="L2699" s="1597">
        <f t="shared" si="203"/>
        <v>3.3</v>
      </c>
      <c r="M2699" s="2278"/>
      <c r="N2699" s="123"/>
      <c r="O2699" s="228"/>
      <c r="P2699" s="228"/>
      <c r="Q2699" s="228"/>
      <c r="R2699" s="228"/>
      <c r="S2699" s="123"/>
      <c r="T2699" s="123"/>
      <c r="U2699" s="123"/>
      <c r="V2699" s="3990"/>
      <c r="W2699" s="2857"/>
      <c r="X2699" s="2857"/>
      <c r="Y2699" s="3155">
        <v>39600</v>
      </c>
      <c r="Z2699" s="2857">
        <v>39600</v>
      </c>
      <c r="AA2699" s="2857">
        <v>39600</v>
      </c>
      <c r="AB2699" s="2855">
        <v>39600</v>
      </c>
      <c r="AC2699" s="2551">
        <f>AC2697</f>
        <v>39600</v>
      </c>
      <c r="AD2699" s="2857"/>
      <c r="AE2699" s="2857"/>
      <c r="AF2699" s="2857"/>
      <c r="AG2699" s="2857"/>
      <c r="AH2699" s="1942"/>
      <c r="AI2699" s="1942"/>
      <c r="AJ2699" s="1942"/>
      <c r="AK2699" s="1942"/>
      <c r="AL2699" s="1942"/>
      <c r="AM2699" s="1942"/>
      <c r="AN2699" s="1942"/>
      <c r="AO2699" s="1942"/>
      <c r="AP2699" s="1942"/>
      <c r="AQ2699" s="1942"/>
      <c r="AR2699" s="1942"/>
      <c r="AS2699" s="1942"/>
      <c r="AT2699" s="1942"/>
      <c r="AU2699" s="1942"/>
      <c r="AV2699" s="1942"/>
      <c r="AW2699" s="1942"/>
      <c r="AX2699" s="1942"/>
      <c r="AY2699" s="1942"/>
      <c r="AZ2699" s="1942"/>
      <c r="BA2699" s="1942"/>
      <c r="BB2699" s="575"/>
      <c r="BC2699" s="576"/>
      <c r="BD2699" s="678"/>
      <c r="BE2699" s="585"/>
    </row>
    <row r="2700" spans="1:57" s="51" customFormat="1" ht="15" hidden="1" customHeight="1" outlineLevel="1" x14ac:dyDescent="0.25">
      <c r="A2700" s="1267"/>
      <c r="B2700" s="123"/>
      <c r="C2700" s="328"/>
      <c r="D2700" s="3990"/>
      <c r="E2700" s="4009"/>
      <c r="F2700" s="3010" t="str">
        <f>$E$1709</f>
        <v>ASHP-SEER20_ER1_SF</v>
      </c>
      <c r="G2700" s="2676"/>
      <c r="H2700" s="2676"/>
      <c r="I2700" s="2677"/>
      <c r="J2700" s="3298" t="str">
        <f>$C$1709</f>
        <v>354550_2021_12_</v>
      </c>
      <c r="K2700" s="2225">
        <v>60000</v>
      </c>
      <c r="L2700" s="2726">
        <f t="shared" si="203"/>
        <v>5</v>
      </c>
      <c r="M2700" s="2723" t="s">
        <v>1008</v>
      </c>
      <c r="N2700" s="123"/>
      <c r="O2700" s="228"/>
      <c r="P2700" s="228"/>
      <c r="Q2700" s="228"/>
      <c r="R2700" s="228"/>
      <c r="S2700" s="123"/>
      <c r="T2700" s="123"/>
      <c r="U2700" s="123"/>
      <c r="V2700" s="3990"/>
      <c r="W2700" s="2857">
        <v>39600</v>
      </c>
      <c r="X2700" s="2857">
        <v>39600</v>
      </c>
      <c r="Y2700" s="2857">
        <v>39600</v>
      </c>
      <c r="Z2700" s="2857">
        <v>39600</v>
      </c>
      <c r="AA2700" s="2857">
        <v>39600</v>
      </c>
      <c r="AB2700" s="2855">
        <v>39600</v>
      </c>
      <c r="AC2700" s="2225">
        <v>60000</v>
      </c>
      <c r="AD2700" s="2857"/>
      <c r="AE2700" s="2857"/>
      <c r="AF2700" s="2857"/>
      <c r="AG2700" s="2857"/>
      <c r="AH2700" s="1942"/>
      <c r="AI2700" s="1942"/>
      <c r="AJ2700" s="1942"/>
      <c r="AK2700" s="1942"/>
      <c r="AL2700" s="1942"/>
      <c r="AM2700" s="1942"/>
      <c r="AN2700" s="1942"/>
      <c r="AO2700" s="1942"/>
      <c r="AP2700" s="1942"/>
      <c r="AQ2700" s="1942"/>
      <c r="AR2700" s="1942"/>
      <c r="AS2700" s="1942"/>
      <c r="AT2700" s="1942"/>
      <c r="AU2700" s="1942"/>
      <c r="AV2700" s="1942"/>
      <c r="AW2700" s="1942"/>
      <c r="AX2700" s="1942"/>
      <c r="AY2700" s="1942"/>
      <c r="AZ2700" s="1942"/>
      <c r="BA2700" s="1942"/>
      <c r="BB2700" s="575"/>
      <c r="BC2700" s="576"/>
      <c r="BD2700" s="678"/>
      <c r="BE2700" s="585"/>
    </row>
    <row r="2701" spans="1:57" s="51" customFormat="1" ht="15" hidden="1" customHeight="1" outlineLevel="1" x14ac:dyDescent="0.25">
      <c r="A2701" s="1267"/>
      <c r="B2701" s="123"/>
      <c r="C2701" s="328"/>
      <c r="D2701" s="3990"/>
      <c r="E2701" s="4009"/>
      <c r="F2701" s="3010" t="str">
        <f>$E$1711</f>
        <v>ASHP-SEER20_ER2_SF</v>
      </c>
      <c r="G2701" s="2676"/>
      <c r="H2701" s="2676"/>
      <c r="I2701" s="2677"/>
      <c r="J2701" s="3298" t="str">
        <f>$C$1711</f>
        <v>354550_2021_12_</v>
      </c>
      <c r="K2701" s="2225">
        <f>K2700</f>
        <v>60000</v>
      </c>
      <c r="L2701" s="2726">
        <f t="shared" si="203"/>
        <v>5</v>
      </c>
      <c r="M2701" s="2723" t="s">
        <v>1008</v>
      </c>
      <c r="N2701" s="123"/>
      <c r="O2701" s="228"/>
      <c r="P2701" s="228"/>
      <c r="Q2701" s="228"/>
      <c r="R2701" s="228"/>
      <c r="S2701" s="123"/>
      <c r="T2701" s="123"/>
      <c r="U2701" s="123"/>
      <c r="V2701" s="3990"/>
      <c r="W2701" s="2857">
        <v>39600</v>
      </c>
      <c r="X2701" s="2857">
        <v>39600</v>
      </c>
      <c r="Y2701" s="2857">
        <v>39600</v>
      </c>
      <c r="Z2701" s="2857">
        <v>39600</v>
      </c>
      <c r="AA2701" s="2857">
        <v>39600</v>
      </c>
      <c r="AB2701" s="2855">
        <v>39600</v>
      </c>
      <c r="AC2701" s="2225">
        <f>AC2700</f>
        <v>60000</v>
      </c>
      <c r="AD2701" s="2857"/>
      <c r="AE2701" s="2857"/>
      <c r="AF2701" s="2857"/>
      <c r="AG2701" s="2857"/>
      <c r="AH2701" s="1942"/>
      <c r="AI2701" s="1942"/>
      <c r="AJ2701" s="1942"/>
      <c r="AK2701" s="1942"/>
      <c r="AL2701" s="1942"/>
      <c r="AM2701" s="1942"/>
      <c r="AN2701" s="1942"/>
      <c r="AO2701" s="1942"/>
      <c r="AP2701" s="1942"/>
      <c r="AQ2701" s="1942"/>
      <c r="AR2701" s="1942"/>
      <c r="AS2701" s="1942"/>
      <c r="AT2701" s="1942"/>
      <c r="AU2701" s="1942"/>
      <c r="AV2701" s="1942"/>
      <c r="AW2701" s="1942"/>
      <c r="AX2701" s="1942"/>
      <c r="AY2701" s="1942"/>
      <c r="AZ2701" s="1942"/>
      <c r="BA2701" s="1942"/>
      <c r="BB2701" s="575"/>
      <c r="BC2701" s="576"/>
      <c r="BD2701" s="678"/>
      <c r="BE2701" s="585"/>
    </row>
    <row r="2702" spans="1:57" s="51" customFormat="1" ht="15" hidden="1" customHeight="1" outlineLevel="1" x14ac:dyDescent="0.25">
      <c r="A2702" s="1267"/>
      <c r="B2702" s="123"/>
      <c r="C2702" s="328"/>
      <c r="D2702" s="3990"/>
      <c r="E2702" s="4009"/>
      <c r="F2702" s="3010" t="str">
        <f>$E$1713</f>
        <v>ASHP-SEER20_ROF_SF</v>
      </c>
      <c r="G2702" s="2676"/>
      <c r="H2702" s="2676"/>
      <c r="I2702" s="2677"/>
      <c r="J2702" s="3298" t="str">
        <f>$C$1713</f>
        <v>354600_2021_12_</v>
      </c>
      <c r="K2702" s="2225">
        <v>36000</v>
      </c>
      <c r="L2702" s="2726">
        <f t="shared" si="203"/>
        <v>3</v>
      </c>
      <c r="M2702" s="2723" t="s">
        <v>1008</v>
      </c>
      <c r="N2702" s="123"/>
      <c r="O2702" s="228"/>
      <c r="P2702" s="228"/>
      <c r="Q2702" s="228"/>
      <c r="R2702" s="228"/>
      <c r="S2702" s="123"/>
      <c r="T2702" s="123"/>
      <c r="U2702" s="123"/>
      <c r="V2702" s="3990"/>
      <c r="W2702" s="2857">
        <v>39600</v>
      </c>
      <c r="X2702" s="2857">
        <v>39600</v>
      </c>
      <c r="Y2702" s="2857">
        <v>39600</v>
      </c>
      <c r="Z2702" s="2857">
        <v>39600</v>
      </c>
      <c r="AA2702" s="2857">
        <v>39600</v>
      </c>
      <c r="AB2702" s="2855">
        <v>39600</v>
      </c>
      <c r="AC2702" s="2225">
        <v>36000</v>
      </c>
      <c r="AD2702" s="2857"/>
      <c r="AE2702" s="2857"/>
      <c r="AF2702" s="2857"/>
      <c r="AG2702" s="2857"/>
      <c r="AH2702" s="1942"/>
      <c r="AI2702" s="1942"/>
      <c r="AJ2702" s="1942"/>
      <c r="AK2702" s="1942"/>
      <c r="AL2702" s="1942"/>
      <c r="AM2702" s="1942"/>
      <c r="AN2702" s="1942"/>
      <c r="AO2702" s="1942"/>
      <c r="AP2702" s="1942"/>
      <c r="AQ2702" s="1942"/>
      <c r="AR2702" s="1942"/>
      <c r="AS2702" s="1942"/>
      <c r="AT2702" s="1942"/>
      <c r="AU2702" s="1942"/>
      <c r="AV2702" s="1942"/>
      <c r="AW2702" s="1942"/>
      <c r="AX2702" s="1942"/>
      <c r="AY2702" s="1942"/>
      <c r="AZ2702" s="1942"/>
      <c r="BA2702" s="1942"/>
      <c r="BB2702" s="575"/>
      <c r="BC2702" s="576"/>
      <c r="BD2702" s="678"/>
      <c r="BE2702" s="585"/>
    </row>
    <row r="2703" spans="1:57" s="51" customFormat="1" ht="15" hidden="1" customHeight="1" outlineLevel="1" x14ac:dyDescent="0.25">
      <c r="A2703" s="1267"/>
      <c r="B2703" s="123"/>
      <c r="C2703" s="328"/>
      <c r="D2703" s="3990"/>
      <c r="E2703" s="4009"/>
      <c r="F2703" s="3010" t="str">
        <f>$E$1715</f>
        <v>ASHP-SEER20-Replace_CAC_ElectricHeat_ER1_MF</v>
      </c>
      <c r="G2703" s="2676"/>
      <c r="H2703" s="2676"/>
      <c r="I2703" s="2677"/>
      <c r="J2703" s="3299" t="str">
        <f>$C$1715</f>
        <v>354650_2019_12_</v>
      </c>
      <c r="K2703" s="2551">
        <v>37200</v>
      </c>
      <c r="L2703" s="1597">
        <f t="shared" si="203"/>
        <v>3.1</v>
      </c>
      <c r="M2703" s="2278"/>
      <c r="N2703" s="123"/>
      <c r="O2703" s="228"/>
      <c r="P2703" s="228"/>
      <c r="Q2703" s="228"/>
      <c r="R2703" s="228"/>
      <c r="S2703" s="123"/>
      <c r="T2703" s="123"/>
      <c r="U2703" s="123"/>
      <c r="V2703" s="3990"/>
      <c r="W2703" s="2857">
        <v>37200</v>
      </c>
      <c r="X2703" s="2857">
        <v>37200</v>
      </c>
      <c r="Y2703" s="2857">
        <v>37200</v>
      </c>
      <c r="Z2703" s="2857">
        <v>37200</v>
      </c>
      <c r="AA2703" s="2857">
        <v>37200</v>
      </c>
      <c r="AB2703" s="2855">
        <v>37200</v>
      </c>
      <c r="AC2703" s="2551">
        <v>37200</v>
      </c>
      <c r="AD2703" s="2857"/>
      <c r="AE2703" s="2857"/>
      <c r="AF2703" s="2857"/>
      <c r="AG2703" s="2857"/>
      <c r="AH2703" s="1942"/>
      <c r="AI2703" s="1942"/>
      <c r="AJ2703" s="1942"/>
      <c r="AK2703" s="1942"/>
      <c r="AL2703" s="1942"/>
      <c r="AM2703" s="1942"/>
      <c r="AN2703" s="1942"/>
      <c r="AO2703" s="1942"/>
      <c r="AP2703" s="1942"/>
      <c r="AQ2703" s="1942"/>
      <c r="AR2703" s="1942"/>
      <c r="AS2703" s="1942"/>
      <c r="AT2703" s="1942"/>
      <c r="AU2703" s="1942"/>
      <c r="AV2703" s="1942"/>
      <c r="AW2703" s="1942"/>
      <c r="AX2703" s="1942"/>
      <c r="AY2703" s="1942"/>
      <c r="AZ2703" s="1942"/>
      <c r="BA2703" s="1942"/>
      <c r="BB2703" s="575"/>
      <c r="BC2703" s="576"/>
      <c r="BD2703" s="678"/>
      <c r="BE2703" s="585"/>
    </row>
    <row r="2704" spans="1:57" s="51" customFormat="1" ht="15" hidden="1" customHeight="1" outlineLevel="1" x14ac:dyDescent="0.25">
      <c r="A2704" s="1267"/>
      <c r="B2704" s="123"/>
      <c r="C2704" s="328"/>
      <c r="D2704" s="3990"/>
      <c r="E2704" s="4009"/>
      <c r="F2704" s="3010" t="str">
        <f>$E$1717</f>
        <v>ASHP-SEER20-Replace_CAC_ElectricHeat_ER2_MF</v>
      </c>
      <c r="G2704" s="2676"/>
      <c r="H2704" s="2676"/>
      <c r="I2704" s="2677"/>
      <c r="J2704" s="3299" t="str">
        <f>$C$1717</f>
        <v>354650_2019_12_</v>
      </c>
      <c r="K2704" s="2551">
        <v>37200</v>
      </c>
      <c r="L2704" s="1597">
        <f t="shared" si="203"/>
        <v>3.1</v>
      </c>
      <c r="M2704" s="2278"/>
      <c r="N2704" s="123"/>
      <c r="O2704" s="228"/>
      <c r="P2704" s="228"/>
      <c r="Q2704" s="228"/>
      <c r="R2704" s="228"/>
      <c r="S2704" s="123"/>
      <c r="T2704" s="123"/>
      <c r="U2704" s="123"/>
      <c r="V2704" s="3990"/>
      <c r="W2704" s="2857">
        <v>37200</v>
      </c>
      <c r="X2704" s="2857">
        <v>37200</v>
      </c>
      <c r="Y2704" s="2857">
        <v>37200</v>
      </c>
      <c r="Z2704" s="2857">
        <v>37200</v>
      </c>
      <c r="AA2704" s="2857">
        <v>37200</v>
      </c>
      <c r="AB2704" s="2855">
        <v>37200</v>
      </c>
      <c r="AC2704" s="2551">
        <v>37200</v>
      </c>
      <c r="AD2704" s="2857"/>
      <c r="AE2704" s="2857"/>
      <c r="AF2704" s="2857"/>
      <c r="AG2704" s="2857"/>
      <c r="AH2704" s="1942"/>
      <c r="AI2704" s="1942"/>
      <c r="AJ2704" s="1942"/>
      <c r="AK2704" s="1942"/>
      <c r="AL2704" s="1942"/>
      <c r="AM2704" s="1942"/>
      <c r="AN2704" s="1942"/>
      <c r="AO2704" s="1942"/>
      <c r="AP2704" s="1942"/>
      <c r="AQ2704" s="1942"/>
      <c r="AR2704" s="1942"/>
      <c r="AS2704" s="1942"/>
      <c r="AT2704" s="1942"/>
      <c r="AU2704" s="1942"/>
      <c r="AV2704" s="1942"/>
      <c r="AW2704" s="1942"/>
      <c r="AX2704" s="1942"/>
      <c r="AY2704" s="1942"/>
      <c r="AZ2704" s="1942"/>
      <c r="BA2704" s="1942"/>
      <c r="BB2704" s="575"/>
      <c r="BC2704" s="576"/>
      <c r="BD2704" s="678"/>
      <c r="BE2704" s="585"/>
    </row>
    <row r="2705" spans="1:57" s="51" customFormat="1" ht="15" hidden="1" customHeight="1" outlineLevel="1" x14ac:dyDescent="0.25">
      <c r="A2705" s="1267"/>
      <c r="B2705" s="123"/>
      <c r="C2705" s="328"/>
      <c r="D2705" s="3990"/>
      <c r="E2705" s="4009"/>
      <c r="F2705" s="3010" t="str">
        <f>$E$1719</f>
        <v>ASHP-SEER20-Replace_CAC_ElectricHeat_ER1_MF_CompE</v>
      </c>
      <c r="G2705" s="2676"/>
      <c r="H2705" s="2676"/>
      <c r="I2705" s="2677"/>
      <c r="J2705" s="3299" t="str">
        <f>$C$1719</f>
        <v>354651_2019_12_</v>
      </c>
      <c r="K2705" s="2551">
        <f>K2703</f>
        <v>37200</v>
      </c>
      <c r="L2705" s="1597">
        <f t="shared" si="203"/>
        <v>3.1</v>
      </c>
      <c r="M2705" s="2278"/>
      <c r="N2705" s="123"/>
      <c r="O2705" s="228"/>
      <c r="P2705" s="228"/>
      <c r="Q2705" s="228"/>
      <c r="R2705" s="228"/>
      <c r="S2705" s="123"/>
      <c r="T2705" s="123"/>
      <c r="U2705" s="123"/>
      <c r="V2705" s="3990"/>
      <c r="W2705" s="2857"/>
      <c r="X2705" s="2857"/>
      <c r="Y2705" s="3155">
        <v>37200</v>
      </c>
      <c r="Z2705" s="2857">
        <v>37200</v>
      </c>
      <c r="AA2705" s="2857">
        <v>37200</v>
      </c>
      <c r="AB2705" s="2855">
        <v>37200</v>
      </c>
      <c r="AC2705" s="2551">
        <f>AC2703</f>
        <v>37200</v>
      </c>
      <c r="AD2705" s="2857"/>
      <c r="AE2705" s="2857"/>
      <c r="AF2705" s="2857"/>
      <c r="AG2705" s="2857"/>
      <c r="AH2705" s="1942"/>
      <c r="AI2705" s="1942"/>
      <c r="AJ2705" s="1942"/>
      <c r="AK2705" s="1942"/>
      <c r="AL2705" s="1942"/>
      <c r="AM2705" s="1942"/>
      <c r="AN2705" s="1942"/>
      <c r="AO2705" s="1942"/>
      <c r="AP2705" s="1942"/>
      <c r="AQ2705" s="1942"/>
      <c r="AR2705" s="1942"/>
      <c r="AS2705" s="1942"/>
      <c r="AT2705" s="1942"/>
      <c r="AU2705" s="1942"/>
      <c r="AV2705" s="1942"/>
      <c r="AW2705" s="1942"/>
      <c r="AX2705" s="1942"/>
      <c r="AY2705" s="1942"/>
      <c r="AZ2705" s="1942"/>
      <c r="BA2705" s="1942"/>
      <c r="BB2705" s="575"/>
      <c r="BC2705" s="576"/>
      <c r="BD2705" s="678"/>
      <c r="BE2705" s="585"/>
    </row>
    <row r="2706" spans="1:57" s="51" customFormat="1" ht="15" hidden="1" customHeight="1" outlineLevel="1" x14ac:dyDescent="0.25">
      <c r="A2706" s="1267"/>
      <c r="B2706" s="123"/>
      <c r="C2706" s="328"/>
      <c r="D2706" s="3990"/>
      <c r="E2706" s="4009"/>
      <c r="F2706" s="3010" t="str">
        <f>$E$1721</f>
        <v>ASHP-SEER20-Replace_CAC_ElectricHeat_ER2_MF_CompE</v>
      </c>
      <c r="G2706" s="2676"/>
      <c r="H2706" s="2676"/>
      <c r="I2706" s="2677"/>
      <c r="J2706" s="3299" t="str">
        <f>$C$1721</f>
        <v>354651_2019_12_</v>
      </c>
      <c r="K2706" s="2551">
        <f>K2704</f>
        <v>37200</v>
      </c>
      <c r="L2706" s="1597">
        <f t="shared" si="203"/>
        <v>3.1</v>
      </c>
      <c r="M2706" s="2278"/>
      <c r="N2706" s="123"/>
      <c r="O2706" s="228"/>
      <c r="P2706" s="228"/>
      <c r="Q2706" s="228"/>
      <c r="R2706" s="228"/>
      <c r="S2706" s="123"/>
      <c r="T2706" s="123"/>
      <c r="U2706" s="123"/>
      <c r="V2706" s="3990"/>
      <c r="W2706" s="2857"/>
      <c r="X2706" s="2857"/>
      <c r="Y2706" s="3155">
        <v>37200</v>
      </c>
      <c r="Z2706" s="2857">
        <v>37200</v>
      </c>
      <c r="AA2706" s="2857">
        <v>37200</v>
      </c>
      <c r="AB2706" s="2855">
        <v>37200</v>
      </c>
      <c r="AC2706" s="2551">
        <f>AC2704</f>
        <v>37200</v>
      </c>
      <c r="AD2706" s="2857"/>
      <c r="AE2706" s="2857"/>
      <c r="AF2706" s="2857"/>
      <c r="AG2706" s="2857"/>
      <c r="AH2706" s="1942"/>
      <c r="AI2706" s="1942"/>
      <c r="AJ2706" s="1942"/>
      <c r="AK2706" s="1942"/>
      <c r="AL2706" s="1942"/>
      <c r="AM2706" s="1942"/>
      <c r="AN2706" s="1942"/>
      <c r="AO2706" s="1942"/>
      <c r="AP2706" s="1942"/>
      <c r="AQ2706" s="1942"/>
      <c r="AR2706" s="1942"/>
      <c r="AS2706" s="1942"/>
      <c r="AT2706" s="1942"/>
      <c r="AU2706" s="1942"/>
      <c r="AV2706" s="1942"/>
      <c r="AW2706" s="1942"/>
      <c r="AX2706" s="1942"/>
      <c r="AY2706" s="1942"/>
      <c r="AZ2706" s="1942"/>
      <c r="BA2706" s="1942"/>
      <c r="BB2706" s="575"/>
      <c r="BC2706" s="576"/>
      <c r="BD2706" s="678"/>
      <c r="BE2706" s="585"/>
    </row>
    <row r="2707" spans="1:57" s="1942" customFormat="1" ht="15" hidden="1" customHeight="1" outlineLevel="1" x14ac:dyDescent="0.25">
      <c r="A2707" s="1267"/>
      <c r="B2707" s="123"/>
      <c r="C2707" s="328"/>
      <c r="D2707" s="3990"/>
      <c r="E2707" s="4009"/>
      <c r="F2707" s="3010" t="str">
        <f>$E$1723</f>
        <v>ASHP-SEER20-Replace_CAC_NonElectricHeat_ER1_MF</v>
      </c>
      <c r="G2707" s="2676"/>
      <c r="H2707" s="2676"/>
      <c r="I2707" s="2677"/>
      <c r="J2707" s="3298" t="str">
        <f>$C$1723</f>
        <v>354660_2021_12_</v>
      </c>
      <c r="K2707" s="2225">
        <v>37200</v>
      </c>
      <c r="L2707" s="1597"/>
      <c r="M2707" s="2723" t="s">
        <v>1125</v>
      </c>
      <c r="N2707" s="123"/>
      <c r="O2707" s="228"/>
      <c r="P2707" s="228"/>
      <c r="Q2707" s="228"/>
      <c r="R2707" s="228"/>
      <c r="S2707" s="123"/>
      <c r="T2707" s="123"/>
      <c r="U2707" s="123"/>
      <c r="V2707" s="3990"/>
      <c r="W2707" s="2857"/>
      <c r="X2707" s="2857"/>
      <c r="Y2707" s="3155"/>
      <c r="Z2707" s="2857"/>
      <c r="AA2707" s="2857"/>
      <c r="AB2707" s="2855"/>
      <c r="AC2707" s="2225">
        <v>37200</v>
      </c>
      <c r="AD2707" s="2857"/>
      <c r="AE2707" s="2857"/>
      <c r="AF2707" s="2857"/>
      <c r="AG2707" s="2857"/>
      <c r="BB2707" s="575"/>
      <c r="BC2707" s="576"/>
      <c r="BD2707" s="678"/>
      <c r="BE2707" s="585"/>
    </row>
    <row r="2708" spans="1:57" s="1942" customFormat="1" ht="15" hidden="1" customHeight="1" outlineLevel="1" x14ac:dyDescent="0.25">
      <c r="A2708" s="1267"/>
      <c r="B2708" s="123"/>
      <c r="C2708" s="328"/>
      <c r="D2708" s="3990"/>
      <c r="E2708" s="4009"/>
      <c r="F2708" s="3010" t="str">
        <f>$E$1725</f>
        <v>ASHP-SEER20-Replace_CAC_NonElectricHeat_ER2_MF</v>
      </c>
      <c r="G2708" s="2676"/>
      <c r="H2708" s="2676"/>
      <c r="I2708" s="2677"/>
      <c r="J2708" s="3298" t="str">
        <f>$C$1725</f>
        <v>354660_2021_12_</v>
      </c>
      <c r="K2708" s="2225">
        <v>37200</v>
      </c>
      <c r="L2708" s="1597"/>
      <c r="M2708" s="2723" t="s">
        <v>1125</v>
      </c>
      <c r="N2708" s="123"/>
      <c r="O2708" s="228"/>
      <c r="P2708" s="228"/>
      <c r="Q2708" s="228"/>
      <c r="R2708" s="228"/>
      <c r="S2708" s="123"/>
      <c r="T2708" s="123"/>
      <c r="U2708" s="123"/>
      <c r="V2708" s="3990"/>
      <c r="W2708" s="2857"/>
      <c r="X2708" s="2857"/>
      <c r="Y2708" s="3155"/>
      <c r="Z2708" s="2857"/>
      <c r="AA2708" s="2857"/>
      <c r="AB2708" s="2855"/>
      <c r="AC2708" s="2225">
        <v>37200</v>
      </c>
      <c r="AD2708" s="2857"/>
      <c r="AE2708" s="2857"/>
      <c r="AF2708" s="2857"/>
      <c r="AG2708" s="2857"/>
      <c r="BB2708" s="575"/>
      <c r="BC2708" s="576"/>
      <c r="BD2708" s="678"/>
      <c r="BE2708" s="585"/>
    </row>
    <row r="2709" spans="1:57" s="1942" customFormat="1" ht="15" hidden="1" customHeight="1" outlineLevel="1" x14ac:dyDescent="0.25">
      <c r="A2709" s="1267"/>
      <c r="B2709" s="123"/>
      <c r="C2709" s="328"/>
      <c r="D2709" s="3990"/>
      <c r="E2709" s="4009"/>
      <c r="F2709" s="3010" t="str">
        <f>$E$1727</f>
        <v>ASHP-SEER20-Replace_CAC_NonElectricHeat_ER1_MF_CompE</v>
      </c>
      <c r="G2709" s="2676"/>
      <c r="H2709" s="2676"/>
      <c r="I2709" s="2677"/>
      <c r="J2709" s="3298" t="str">
        <f>$C$1727</f>
        <v>354661_2021_12_</v>
      </c>
      <c r="K2709" s="2225">
        <f>K2707</f>
        <v>37200</v>
      </c>
      <c r="L2709" s="1597"/>
      <c r="M2709" s="2723" t="s">
        <v>1125</v>
      </c>
      <c r="N2709" s="123"/>
      <c r="O2709" s="228"/>
      <c r="P2709" s="228"/>
      <c r="Q2709" s="228"/>
      <c r="R2709" s="228"/>
      <c r="S2709" s="123"/>
      <c r="T2709" s="123"/>
      <c r="U2709" s="123"/>
      <c r="V2709" s="3990"/>
      <c r="W2709" s="2857"/>
      <c r="X2709" s="2857"/>
      <c r="Y2709" s="3155"/>
      <c r="Z2709" s="2857"/>
      <c r="AA2709" s="2857"/>
      <c r="AB2709" s="2855"/>
      <c r="AC2709" s="2225">
        <f>AC2707</f>
        <v>37200</v>
      </c>
      <c r="AD2709" s="2857"/>
      <c r="AE2709" s="2857"/>
      <c r="AF2709" s="2857"/>
      <c r="AG2709" s="2857"/>
      <c r="BB2709" s="575"/>
      <c r="BC2709" s="576"/>
      <c r="BD2709" s="678"/>
      <c r="BE2709" s="585"/>
    </row>
    <row r="2710" spans="1:57" s="1942" customFormat="1" ht="15" hidden="1" customHeight="1" outlineLevel="1" x14ac:dyDescent="0.25">
      <c r="A2710" s="1267"/>
      <c r="B2710" s="123"/>
      <c r="C2710" s="328"/>
      <c r="D2710" s="3990"/>
      <c r="E2710" s="4009"/>
      <c r="F2710" s="3010" t="str">
        <f>$E$1729</f>
        <v>ASHP-SEER20-Replace_CAC_NonElectricHeat_ER2_MF_CompE</v>
      </c>
      <c r="G2710" s="2676"/>
      <c r="H2710" s="2676"/>
      <c r="I2710" s="2677"/>
      <c r="J2710" s="3298" t="str">
        <f>$C$1729</f>
        <v>354661_2021_12_</v>
      </c>
      <c r="K2710" s="2225">
        <f>K2708</f>
        <v>37200</v>
      </c>
      <c r="L2710" s="1597"/>
      <c r="M2710" s="2723" t="s">
        <v>1125</v>
      </c>
      <c r="N2710" s="123"/>
      <c r="O2710" s="228"/>
      <c r="P2710" s="228"/>
      <c r="Q2710" s="228"/>
      <c r="R2710" s="228"/>
      <c r="S2710" s="123"/>
      <c r="T2710" s="123"/>
      <c r="U2710" s="123"/>
      <c r="V2710" s="3990"/>
      <c r="W2710" s="2857"/>
      <c r="X2710" s="2857"/>
      <c r="Y2710" s="3155"/>
      <c r="Z2710" s="2857"/>
      <c r="AA2710" s="2857"/>
      <c r="AB2710" s="2855"/>
      <c r="AC2710" s="2225">
        <f>AC2708</f>
        <v>37200</v>
      </c>
      <c r="AD2710" s="2857"/>
      <c r="AE2710" s="2857"/>
      <c r="AF2710" s="2857"/>
      <c r="AG2710" s="2857"/>
      <c r="BB2710" s="575"/>
      <c r="BC2710" s="576"/>
      <c r="BD2710" s="678"/>
      <c r="BE2710" s="585"/>
    </row>
    <row r="2711" spans="1:57" s="51" customFormat="1" ht="15" hidden="1" customHeight="1" outlineLevel="1" x14ac:dyDescent="0.25">
      <c r="A2711" s="1267"/>
      <c r="B2711" s="123"/>
      <c r="C2711" s="328"/>
      <c r="D2711" s="3990"/>
      <c r="E2711" s="4009"/>
      <c r="F2711" s="3010" t="str">
        <f>$E$1731</f>
        <v>ASHP-SEER20_ER1_MF</v>
      </c>
      <c r="G2711" s="2676"/>
      <c r="H2711" s="2676"/>
      <c r="I2711" s="2677"/>
      <c r="J2711" s="3299" t="str">
        <f>$C$1731</f>
        <v>354700_2019_12_</v>
      </c>
      <c r="K2711" s="2551">
        <v>39600</v>
      </c>
      <c r="L2711" s="1597">
        <f t="shared" si="203"/>
        <v>3.3</v>
      </c>
      <c r="M2711" s="2278"/>
      <c r="N2711" s="123"/>
      <c r="O2711" s="228"/>
      <c r="P2711" s="228"/>
      <c r="Q2711" s="228"/>
      <c r="R2711" s="228"/>
      <c r="S2711" s="123"/>
      <c r="T2711" s="123"/>
      <c r="U2711" s="123"/>
      <c r="V2711" s="3990"/>
      <c r="W2711" s="2857">
        <v>39600</v>
      </c>
      <c r="X2711" s="2857">
        <v>39600</v>
      </c>
      <c r="Y2711" s="2857">
        <v>39600</v>
      </c>
      <c r="Z2711" s="2857">
        <v>39600</v>
      </c>
      <c r="AA2711" s="2857">
        <v>39600</v>
      </c>
      <c r="AB2711" s="2855">
        <v>39600</v>
      </c>
      <c r="AC2711" s="2551">
        <v>39600</v>
      </c>
      <c r="AD2711" s="2857"/>
      <c r="AE2711" s="2857"/>
      <c r="AF2711" s="2857"/>
      <c r="AG2711" s="2857"/>
      <c r="AH2711" s="1942"/>
      <c r="AI2711" s="1942"/>
      <c r="AJ2711" s="1942"/>
      <c r="AK2711" s="1942"/>
      <c r="AL2711" s="1942"/>
      <c r="AM2711" s="1942"/>
      <c r="AN2711" s="1942"/>
      <c r="AO2711" s="1942"/>
      <c r="AP2711" s="1942"/>
      <c r="AQ2711" s="1942"/>
      <c r="AR2711" s="1942"/>
      <c r="AS2711" s="1942"/>
      <c r="AT2711" s="1942"/>
      <c r="AU2711" s="1942"/>
      <c r="AV2711" s="1942"/>
      <c r="AW2711" s="1942"/>
      <c r="AX2711" s="1942"/>
      <c r="AY2711" s="1942"/>
      <c r="AZ2711" s="1942"/>
      <c r="BA2711" s="1942"/>
      <c r="BB2711" s="575"/>
      <c r="BC2711" s="576"/>
      <c r="BD2711" s="678"/>
      <c r="BE2711" s="585"/>
    </row>
    <row r="2712" spans="1:57" s="51" customFormat="1" ht="15" hidden="1" customHeight="1" outlineLevel="1" x14ac:dyDescent="0.25">
      <c r="A2712" s="1267"/>
      <c r="B2712" s="123"/>
      <c r="C2712" s="328"/>
      <c r="D2712" s="3990"/>
      <c r="E2712" s="4009"/>
      <c r="F2712" s="3010" t="str">
        <f>$E$1733</f>
        <v>ASHP-SEER20_ER2_MF</v>
      </c>
      <c r="G2712" s="2676"/>
      <c r="H2712" s="2676"/>
      <c r="I2712" s="2677"/>
      <c r="J2712" s="3299" t="str">
        <f>$C$1733</f>
        <v>354700_2019_12_</v>
      </c>
      <c r="K2712" s="2551">
        <v>39600</v>
      </c>
      <c r="L2712" s="1597">
        <f t="shared" si="203"/>
        <v>3.3</v>
      </c>
      <c r="M2712" s="2278"/>
      <c r="N2712" s="123"/>
      <c r="O2712" s="228"/>
      <c r="P2712" s="228"/>
      <c r="Q2712" s="228"/>
      <c r="R2712" s="228"/>
      <c r="S2712" s="123"/>
      <c r="T2712" s="123"/>
      <c r="U2712" s="123"/>
      <c r="V2712" s="3990"/>
      <c r="W2712" s="2857">
        <v>39600</v>
      </c>
      <c r="X2712" s="2857">
        <v>39600</v>
      </c>
      <c r="Y2712" s="2857">
        <v>39600</v>
      </c>
      <c r="Z2712" s="2857">
        <v>39600</v>
      </c>
      <c r="AA2712" s="2857">
        <v>39600</v>
      </c>
      <c r="AB2712" s="2855">
        <v>39600</v>
      </c>
      <c r="AC2712" s="2551">
        <v>39600</v>
      </c>
      <c r="AD2712" s="2857"/>
      <c r="AE2712" s="2857"/>
      <c r="AF2712" s="2857"/>
      <c r="AG2712" s="2857"/>
      <c r="AH2712" s="1942"/>
      <c r="AI2712" s="1942"/>
      <c r="AJ2712" s="1942"/>
      <c r="AK2712" s="1942"/>
      <c r="AL2712" s="1942"/>
      <c r="AM2712" s="1942"/>
      <c r="AN2712" s="1942"/>
      <c r="AO2712" s="1942"/>
      <c r="AP2712" s="1942"/>
      <c r="AQ2712" s="1942"/>
      <c r="AR2712" s="1942"/>
      <c r="AS2712" s="1942"/>
      <c r="AT2712" s="1942"/>
      <c r="AU2712" s="1942"/>
      <c r="AV2712" s="1942"/>
      <c r="AW2712" s="1942"/>
      <c r="AX2712" s="1942"/>
      <c r="AY2712" s="1942"/>
      <c r="AZ2712" s="1942"/>
      <c r="BA2712" s="1942"/>
      <c r="BB2712" s="575"/>
      <c r="BC2712" s="576"/>
      <c r="BD2712" s="678"/>
      <c r="BE2712" s="585"/>
    </row>
    <row r="2713" spans="1:57" s="51" customFormat="1" ht="15" hidden="1" customHeight="1" outlineLevel="1" x14ac:dyDescent="0.25">
      <c r="A2713" s="1267"/>
      <c r="B2713" s="123"/>
      <c r="C2713" s="328"/>
      <c r="D2713" s="3990"/>
      <c r="E2713" s="4009"/>
      <c r="F2713" s="3010" t="str">
        <f>$E$1735</f>
        <v>ASHP-SEER20_ER1_MF_CompE</v>
      </c>
      <c r="G2713" s="2676"/>
      <c r="H2713" s="2676"/>
      <c r="I2713" s="2677"/>
      <c r="J2713" s="3299" t="str">
        <f>$C$1735</f>
        <v>354701_2019_12_</v>
      </c>
      <c r="K2713" s="2551">
        <f>K2711</f>
        <v>39600</v>
      </c>
      <c r="L2713" s="1597">
        <f t="shared" si="203"/>
        <v>3.3</v>
      </c>
      <c r="M2713" s="2278"/>
      <c r="N2713" s="123"/>
      <c r="O2713" s="228"/>
      <c r="P2713" s="228"/>
      <c r="Q2713" s="228"/>
      <c r="R2713" s="228"/>
      <c r="S2713" s="123"/>
      <c r="T2713" s="123"/>
      <c r="U2713" s="123"/>
      <c r="V2713" s="3990"/>
      <c r="W2713" s="2857"/>
      <c r="X2713" s="2857"/>
      <c r="Y2713" s="3155">
        <v>39600</v>
      </c>
      <c r="Z2713" s="2857">
        <v>39600</v>
      </c>
      <c r="AA2713" s="2857">
        <v>39600</v>
      </c>
      <c r="AB2713" s="2855">
        <v>39600</v>
      </c>
      <c r="AC2713" s="2551">
        <f>AC2711</f>
        <v>39600</v>
      </c>
      <c r="AD2713" s="2857"/>
      <c r="AE2713" s="2857"/>
      <c r="AF2713" s="2857"/>
      <c r="AG2713" s="2857"/>
      <c r="AH2713" s="1942"/>
      <c r="AI2713" s="1942"/>
      <c r="AJ2713" s="1942"/>
      <c r="AK2713" s="1942"/>
      <c r="AL2713" s="1942"/>
      <c r="AM2713" s="1942"/>
      <c r="AN2713" s="1942"/>
      <c r="AO2713" s="1942"/>
      <c r="AP2713" s="1942"/>
      <c r="AQ2713" s="1942"/>
      <c r="AR2713" s="1942"/>
      <c r="AS2713" s="1942"/>
      <c r="AT2713" s="1942"/>
      <c r="AU2713" s="1942"/>
      <c r="AV2713" s="1942"/>
      <c r="AW2713" s="1942"/>
      <c r="AX2713" s="1942"/>
      <c r="AY2713" s="1942"/>
      <c r="AZ2713" s="1942"/>
      <c r="BA2713" s="1942"/>
      <c r="BB2713" s="575"/>
      <c r="BC2713" s="576"/>
      <c r="BD2713" s="678"/>
      <c r="BE2713" s="585"/>
    </row>
    <row r="2714" spans="1:57" s="51" customFormat="1" ht="15" hidden="1" customHeight="1" outlineLevel="1" x14ac:dyDescent="0.25">
      <c r="A2714" s="1267"/>
      <c r="B2714" s="123"/>
      <c r="C2714" s="328"/>
      <c r="D2714" s="3990"/>
      <c r="E2714" s="4009"/>
      <c r="F2714" s="3010" t="str">
        <f>$E$1737</f>
        <v>ASHP-SEER20_ER2_MF_CompE</v>
      </c>
      <c r="G2714" s="2676"/>
      <c r="H2714" s="2676"/>
      <c r="I2714" s="2677"/>
      <c r="J2714" s="3299" t="str">
        <f>$C$1737</f>
        <v>354701_2019_12_</v>
      </c>
      <c r="K2714" s="2551">
        <f>K2712</f>
        <v>39600</v>
      </c>
      <c r="L2714" s="1597">
        <f t="shared" si="203"/>
        <v>3.3</v>
      </c>
      <c r="M2714" s="2278"/>
      <c r="N2714" s="123"/>
      <c r="O2714" s="228"/>
      <c r="P2714" s="228"/>
      <c r="Q2714" s="228"/>
      <c r="R2714" s="228"/>
      <c r="S2714" s="123"/>
      <c r="T2714" s="123"/>
      <c r="U2714" s="123"/>
      <c r="V2714" s="3990"/>
      <c r="W2714" s="2857"/>
      <c r="X2714" s="2857"/>
      <c r="Y2714" s="3155">
        <v>39600</v>
      </c>
      <c r="Z2714" s="2857">
        <v>39600</v>
      </c>
      <c r="AA2714" s="2857">
        <v>39600</v>
      </c>
      <c r="AB2714" s="2855">
        <v>39600</v>
      </c>
      <c r="AC2714" s="2551">
        <f>AC2712</f>
        <v>39600</v>
      </c>
      <c r="AD2714" s="2857"/>
      <c r="AE2714" s="2857"/>
      <c r="AF2714" s="2857"/>
      <c r="AG2714" s="2857"/>
      <c r="AH2714" s="1942"/>
      <c r="AI2714" s="1942"/>
      <c r="AJ2714" s="1942"/>
      <c r="AK2714" s="1942"/>
      <c r="AL2714" s="1942"/>
      <c r="AM2714" s="1942"/>
      <c r="AN2714" s="1942"/>
      <c r="AO2714" s="1942"/>
      <c r="AP2714" s="1942"/>
      <c r="AQ2714" s="1942"/>
      <c r="AR2714" s="1942"/>
      <c r="AS2714" s="1942"/>
      <c r="AT2714" s="1942"/>
      <c r="AU2714" s="1942"/>
      <c r="AV2714" s="1942"/>
      <c r="AW2714" s="1942"/>
      <c r="AX2714" s="1942"/>
      <c r="AY2714" s="1942"/>
      <c r="AZ2714" s="1942"/>
      <c r="BA2714" s="1942"/>
      <c r="BB2714" s="575"/>
      <c r="BC2714" s="576"/>
      <c r="BD2714" s="678"/>
      <c r="BE2714" s="585"/>
    </row>
    <row r="2715" spans="1:57" s="51" customFormat="1" ht="15" hidden="1" customHeight="1" outlineLevel="1" x14ac:dyDescent="0.25">
      <c r="A2715" s="1267"/>
      <c r="B2715" s="123"/>
      <c r="C2715" s="328"/>
      <c r="D2715" s="3990"/>
      <c r="E2715" s="4009"/>
      <c r="F2715" s="3010" t="str">
        <f>$E$1739</f>
        <v>ASHP-SEER21_ER1_SF</v>
      </c>
      <c r="G2715" s="2676"/>
      <c r="H2715" s="2676"/>
      <c r="I2715" s="2677"/>
      <c r="J2715" s="3298" t="str">
        <f>$C$1739</f>
        <v>354750_2021_12_</v>
      </c>
      <c r="K2715" s="2225">
        <v>40615.384615384617</v>
      </c>
      <c r="L2715" s="2726">
        <f t="shared" si="203"/>
        <v>3.3846153846153846</v>
      </c>
      <c r="M2715" s="2723" t="s">
        <v>1008</v>
      </c>
      <c r="N2715" s="123"/>
      <c r="O2715" s="228"/>
      <c r="P2715" s="228"/>
      <c r="Q2715" s="228"/>
      <c r="R2715" s="228"/>
      <c r="S2715" s="123"/>
      <c r="T2715" s="123"/>
      <c r="U2715" s="123"/>
      <c r="V2715" s="3990"/>
      <c r="W2715" s="2857">
        <v>39600</v>
      </c>
      <c r="X2715" s="2857">
        <v>39600</v>
      </c>
      <c r="Y2715" s="2857">
        <v>39600</v>
      </c>
      <c r="Z2715" s="2857">
        <v>39600</v>
      </c>
      <c r="AA2715" s="2857">
        <v>39600</v>
      </c>
      <c r="AB2715" s="2855">
        <v>39600</v>
      </c>
      <c r="AC2715" s="2225">
        <v>40615.384615384617</v>
      </c>
      <c r="AD2715" s="2857"/>
      <c r="AE2715" s="2857"/>
      <c r="AF2715" s="2857"/>
      <c r="AG2715" s="2857"/>
      <c r="AH2715" s="1942"/>
      <c r="AI2715" s="1942"/>
      <c r="AJ2715" s="1942"/>
      <c r="AK2715" s="1942"/>
      <c r="AL2715" s="1942"/>
      <c r="AM2715" s="1942"/>
      <c r="AN2715" s="1942"/>
      <c r="AO2715" s="1942"/>
      <c r="AP2715" s="1942"/>
      <c r="AQ2715" s="1942"/>
      <c r="AR2715" s="1942"/>
      <c r="AS2715" s="1942"/>
      <c r="AT2715" s="1942"/>
      <c r="AU2715" s="1942"/>
      <c r="AV2715" s="1942"/>
      <c r="AW2715" s="1942"/>
      <c r="AX2715" s="1942"/>
      <c r="AY2715" s="1942"/>
      <c r="AZ2715" s="1942"/>
      <c r="BA2715" s="1942"/>
      <c r="BB2715" s="575"/>
      <c r="BC2715" s="576"/>
      <c r="BD2715" s="678"/>
      <c r="BE2715" s="585"/>
    </row>
    <row r="2716" spans="1:57" s="51" customFormat="1" ht="15" hidden="1" customHeight="1" outlineLevel="1" x14ac:dyDescent="0.25">
      <c r="A2716" s="1267"/>
      <c r="B2716" s="123"/>
      <c r="C2716" s="328"/>
      <c r="D2716" s="3990"/>
      <c r="E2716" s="4009"/>
      <c r="F2716" s="3010" t="str">
        <f>$E$1741</f>
        <v>ASHP-SEER21_ER2_SF</v>
      </c>
      <c r="G2716" s="2676"/>
      <c r="H2716" s="2676"/>
      <c r="I2716" s="2677"/>
      <c r="J2716" s="3298" t="str">
        <f>$C$1741</f>
        <v>354750_2021_12_</v>
      </c>
      <c r="K2716" s="2225">
        <f>K2715</f>
        <v>40615.384615384617</v>
      </c>
      <c r="L2716" s="2726">
        <f t="shared" si="203"/>
        <v>3.3846153846153846</v>
      </c>
      <c r="M2716" s="2723" t="s">
        <v>1008</v>
      </c>
      <c r="N2716" s="123"/>
      <c r="O2716" s="228"/>
      <c r="P2716" s="228"/>
      <c r="Q2716" s="228"/>
      <c r="R2716" s="228"/>
      <c r="S2716" s="123"/>
      <c r="T2716" s="123"/>
      <c r="U2716" s="123"/>
      <c r="V2716" s="3990"/>
      <c r="W2716" s="2857">
        <v>39600</v>
      </c>
      <c r="X2716" s="2857">
        <v>39600</v>
      </c>
      <c r="Y2716" s="2857">
        <v>39600</v>
      </c>
      <c r="Z2716" s="2857">
        <v>39600</v>
      </c>
      <c r="AA2716" s="2857">
        <v>39600</v>
      </c>
      <c r="AB2716" s="2855">
        <v>39600</v>
      </c>
      <c r="AC2716" s="2225">
        <f>AC2715</f>
        <v>40615.384615384617</v>
      </c>
      <c r="AD2716" s="2857"/>
      <c r="AE2716" s="2857"/>
      <c r="AF2716" s="2857"/>
      <c r="AG2716" s="2857"/>
      <c r="AH2716" s="1942"/>
      <c r="AI2716" s="1942"/>
      <c r="AJ2716" s="1942"/>
      <c r="AK2716" s="1942"/>
      <c r="AL2716" s="1942"/>
      <c r="AM2716" s="1942"/>
      <c r="AN2716" s="1942"/>
      <c r="AO2716" s="1942"/>
      <c r="AP2716" s="1942"/>
      <c r="AQ2716" s="1942"/>
      <c r="AR2716" s="1942"/>
      <c r="AS2716" s="1942"/>
      <c r="AT2716" s="1942"/>
      <c r="AU2716" s="1942"/>
      <c r="AV2716" s="1942"/>
      <c r="AW2716" s="1942"/>
      <c r="AX2716" s="1942"/>
      <c r="AY2716" s="1942"/>
      <c r="AZ2716" s="1942"/>
      <c r="BA2716" s="1942"/>
      <c r="BB2716" s="575"/>
      <c r="BC2716" s="576"/>
      <c r="BD2716" s="678"/>
      <c r="BE2716" s="585"/>
    </row>
    <row r="2717" spans="1:57" s="51" customFormat="1" ht="15" hidden="1" customHeight="1" outlineLevel="1" x14ac:dyDescent="0.25">
      <c r="A2717" s="1267"/>
      <c r="B2717" s="123"/>
      <c r="C2717" s="328"/>
      <c r="D2717" s="3990"/>
      <c r="E2717" s="4009"/>
      <c r="F2717" s="3010" t="str">
        <f>$E$1743</f>
        <v>ASHP-SEER21_ROF_SF</v>
      </c>
      <c r="G2717" s="2676"/>
      <c r="H2717" s="2676"/>
      <c r="I2717" s="2677"/>
      <c r="J2717" s="3298" t="str">
        <f>$C$1743</f>
        <v>354800_2021_12_</v>
      </c>
      <c r="K2717" s="2225">
        <v>46500</v>
      </c>
      <c r="L2717" s="2726">
        <f t="shared" si="203"/>
        <v>3.875</v>
      </c>
      <c r="M2717" s="2723" t="s">
        <v>1008</v>
      </c>
      <c r="N2717" s="123"/>
      <c r="O2717" s="228"/>
      <c r="P2717" s="228"/>
      <c r="Q2717" s="228"/>
      <c r="R2717" s="228"/>
      <c r="S2717" s="123"/>
      <c r="T2717" s="123"/>
      <c r="U2717" s="123"/>
      <c r="V2717" s="3990"/>
      <c r="W2717" s="2857">
        <v>39600</v>
      </c>
      <c r="X2717" s="2857">
        <v>39600</v>
      </c>
      <c r="Y2717" s="2857">
        <v>39600</v>
      </c>
      <c r="Z2717" s="2857">
        <v>39600</v>
      </c>
      <c r="AA2717" s="2857">
        <v>39600</v>
      </c>
      <c r="AB2717" s="2855">
        <v>39600</v>
      </c>
      <c r="AC2717" s="2225">
        <v>46500</v>
      </c>
      <c r="AD2717" s="2857"/>
      <c r="AE2717" s="2857"/>
      <c r="AF2717" s="2857"/>
      <c r="AG2717" s="2857"/>
      <c r="AH2717" s="1942"/>
      <c r="AI2717" s="1942"/>
      <c r="AJ2717" s="1942"/>
      <c r="AK2717" s="1942"/>
      <c r="AL2717" s="1942"/>
      <c r="AM2717" s="1942"/>
      <c r="AN2717" s="1942"/>
      <c r="AO2717" s="1942"/>
      <c r="AP2717" s="1942"/>
      <c r="AQ2717" s="1942"/>
      <c r="AR2717" s="1942"/>
      <c r="AS2717" s="1942"/>
      <c r="AT2717" s="1942"/>
      <c r="AU2717" s="1942"/>
      <c r="AV2717" s="1942"/>
      <c r="AW2717" s="1942"/>
      <c r="AX2717" s="1942"/>
      <c r="AY2717" s="1942"/>
      <c r="AZ2717" s="1942"/>
      <c r="BA2717" s="1942"/>
      <c r="BB2717" s="575"/>
      <c r="BC2717" s="576"/>
      <c r="BD2717" s="678"/>
      <c r="BE2717" s="585"/>
    </row>
    <row r="2718" spans="1:57" s="51" customFormat="1" ht="15" hidden="1" customHeight="1" outlineLevel="1" x14ac:dyDescent="0.25">
      <c r="A2718" s="1267"/>
      <c r="B2718" s="123"/>
      <c r="C2718" s="328"/>
      <c r="D2718" s="3990"/>
      <c r="E2718" s="4009"/>
      <c r="F2718" s="3010" t="str">
        <f>$E$1745</f>
        <v>ASHP-SEER21-Replace_CAC_ElectricHeat_ROF_MF</v>
      </c>
      <c r="G2718" s="2676"/>
      <c r="H2718" s="2676"/>
      <c r="I2718" s="2677"/>
      <c r="J2718" s="3299" t="str">
        <f>$C$1745</f>
        <v>354850_2019_12_</v>
      </c>
      <c r="K2718" s="2551">
        <v>33600</v>
      </c>
      <c r="L2718" s="1597">
        <f t="shared" si="203"/>
        <v>2.8</v>
      </c>
      <c r="M2718" s="2278"/>
      <c r="N2718" s="123"/>
      <c r="O2718" s="228"/>
      <c r="P2718" s="228"/>
      <c r="Q2718" s="228"/>
      <c r="R2718" s="228"/>
      <c r="S2718" s="123"/>
      <c r="T2718" s="123"/>
      <c r="U2718" s="123"/>
      <c r="V2718" s="3990"/>
      <c r="W2718" s="2857">
        <v>33600</v>
      </c>
      <c r="X2718" s="2857">
        <v>33600</v>
      </c>
      <c r="Y2718" s="2857">
        <v>33600</v>
      </c>
      <c r="Z2718" s="2857">
        <v>33600</v>
      </c>
      <c r="AA2718" s="2857">
        <v>33600</v>
      </c>
      <c r="AB2718" s="2855">
        <v>33600</v>
      </c>
      <c r="AC2718" s="2551">
        <v>33600</v>
      </c>
      <c r="AD2718" s="2857"/>
      <c r="AE2718" s="2857"/>
      <c r="AF2718" s="2857"/>
      <c r="AG2718" s="2857"/>
      <c r="AH2718" s="1942"/>
      <c r="AI2718" s="1942"/>
      <c r="AJ2718" s="1942"/>
      <c r="AK2718" s="1942"/>
      <c r="AL2718" s="1942"/>
      <c r="AM2718" s="1942"/>
      <c r="AN2718" s="1942"/>
      <c r="AO2718" s="1942"/>
      <c r="AP2718" s="1942"/>
      <c r="AQ2718" s="1942"/>
      <c r="AR2718" s="1942"/>
      <c r="AS2718" s="1942"/>
      <c r="AT2718" s="1942"/>
      <c r="AU2718" s="1942"/>
      <c r="AV2718" s="1942"/>
      <c r="AW2718" s="1942"/>
      <c r="AX2718" s="1942"/>
      <c r="AY2718" s="1942"/>
      <c r="AZ2718" s="1942"/>
      <c r="BA2718" s="1942"/>
      <c r="BB2718" s="575"/>
      <c r="BC2718" s="576"/>
      <c r="BD2718" s="678"/>
      <c r="BE2718" s="585"/>
    </row>
    <row r="2719" spans="1:57" s="51" customFormat="1" ht="15" hidden="1" customHeight="1" outlineLevel="1" x14ac:dyDescent="0.25">
      <c r="A2719" s="1267"/>
      <c r="B2719" s="123"/>
      <c r="C2719" s="328"/>
      <c r="D2719" s="3990"/>
      <c r="E2719" s="4009"/>
      <c r="F2719" s="3010" t="str">
        <f>$E$1747</f>
        <v>ASHP-SEER21-Replace_CAC_ElectricHeat_ROF_MF_CompE</v>
      </c>
      <c r="G2719" s="2676"/>
      <c r="H2719" s="2676"/>
      <c r="I2719" s="2677"/>
      <c r="J2719" s="3299" t="str">
        <f>$C$1747</f>
        <v>354851_2019_12_</v>
      </c>
      <c r="K2719" s="2551">
        <f>K2718</f>
        <v>33600</v>
      </c>
      <c r="L2719" s="1597">
        <f t="shared" si="203"/>
        <v>2.8</v>
      </c>
      <c r="M2719" s="2278"/>
      <c r="N2719" s="123"/>
      <c r="O2719" s="228"/>
      <c r="P2719" s="228"/>
      <c r="Q2719" s="228"/>
      <c r="R2719" s="228"/>
      <c r="S2719" s="123"/>
      <c r="T2719" s="123"/>
      <c r="U2719" s="123"/>
      <c r="V2719" s="3990"/>
      <c r="W2719" s="2857"/>
      <c r="X2719" s="2857"/>
      <c r="Y2719" s="3155">
        <v>33600</v>
      </c>
      <c r="Z2719" s="2857">
        <v>33600</v>
      </c>
      <c r="AA2719" s="2857">
        <v>33600</v>
      </c>
      <c r="AB2719" s="2855">
        <v>33600</v>
      </c>
      <c r="AC2719" s="2551">
        <f>AC2718</f>
        <v>33600</v>
      </c>
      <c r="AD2719" s="2857"/>
      <c r="AE2719" s="2857"/>
      <c r="AF2719" s="2857"/>
      <c r="AG2719" s="2857"/>
      <c r="AH2719" s="1942"/>
      <c r="AI2719" s="1942"/>
      <c r="AJ2719" s="1942"/>
      <c r="AK2719" s="1942"/>
      <c r="AL2719" s="1942"/>
      <c r="AM2719" s="1942"/>
      <c r="AN2719" s="1942"/>
      <c r="AO2719" s="1942"/>
      <c r="AP2719" s="1942"/>
      <c r="AQ2719" s="1942"/>
      <c r="AR2719" s="1942"/>
      <c r="AS2719" s="1942"/>
      <c r="AT2719" s="1942"/>
      <c r="AU2719" s="1942"/>
      <c r="AV2719" s="1942"/>
      <c r="AW2719" s="1942"/>
      <c r="AX2719" s="1942"/>
      <c r="AY2719" s="1942"/>
      <c r="AZ2719" s="1942"/>
      <c r="BA2719" s="1942"/>
      <c r="BB2719" s="575"/>
      <c r="BC2719" s="576"/>
      <c r="BD2719" s="678"/>
      <c r="BE2719" s="585"/>
    </row>
    <row r="2720" spans="1:57" s="1942" customFormat="1" ht="15" hidden="1" customHeight="1" outlineLevel="1" x14ac:dyDescent="0.25">
      <c r="A2720" s="1267"/>
      <c r="B2720" s="123"/>
      <c r="C2720" s="328"/>
      <c r="D2720" s="3990"/>
      <c r="E2720" s="4009"/>
      <c r="F2720" s="3010" t="str">
        <f>$E$1749</f>
        <v>ASHP-SEER21-Replace_CAC_NonElectricHeat_ROF_MF</v>
      </c>
      <c r="G2720" s="2676"/>
      <c r="H2720" s="2676"/>
      <c r="I2720" s="2677"/>
      <c r="J2720" s="3298" t="str">
        <f>$C$1749</f>
        <v>354860_2021_12_</v>
      </c>
      <c r="K2720" s="2225">
        <v>33600</v>
      </c>
      <c r="L2720" s="1597"/>
      <c r="M2720" s="2723" t="s">
        <v>1125</v>
      </c>
      <c r="N2720" s="123"/>
      <c r="O2720" s="228"/>
      <c r="P2720" s="228"/>
      <c r="Q2720" s="228"/>
      <c r="R2720" s="228"/>
      <c r="S2720" s="123"/>
      <c r="T2720" s="123"/>
      <c r="U2720" s="123"/>
      <c r="V2720" s="3990"/>
      <c r="W2720" s="2857"/>
      <c r="X2720" s="2857"/>
      <c r="Y2720" s="3155"/>
      <c r="Z2720" s="2857"/>
      <c r="AA2720" s="2857"/>
      <c r="AB2720" s="2855"/>
      <c r="AC2720" s="2225">
        <v>33600</v>
      </c>
      <c r="AD2720" s="2857"/>
      <c r="AE2720" s="2857"/>
      <c r="AF2720" s="2857"/>
      <c r="AG2720" s="2857"/>
      <c r="BB2720" s="575"/>
      <c r="BC2720" s="576"/>
      <c r="BD2720" s="678"/>
      <c r="BE2720" s="585"/>
    </row>
    <row r="2721" spans="1:57" s="1942" customFormat="1" ht="15" hidden="1" customHeight="1" outlineLevel="1" x14ac:dyDescent="0.25">
      <c r="A2721" s="1267"/>
      <c r="B2721" s="123"/>
      <c r="C2721" s="328"/>
      <c r="D2721" s="3990"/>
      <c r="E2721" s="4009"/>
      <c r="F2721" s="3010" t="str">
        <f>$E$1751</f>
        <v>ASHP-SEER21-Replace_CAC_NonElectricHeat_ROF_MF_CompE</v>
      </c>
      <c r="G2721" s="2676"/>
      <c r="H2721" s="2676"/>
      <c r="I2721" s="2677"/>
      <c r="J2721" s="3298" t="str">
        <f>$C$1751</f>
        <v>354861_2021_12_</v>
      </c>
      <c r="K2721" s="2225">
        <f>K2720</f>
        <v>33600</v>
      </c>
      <c r="L2721" s="1597"/>
      <c r="M2721" s="2723" t="s">
        <v>1125</v>
      </c>
      <c r="N2721" s="123"/>
      <c r="O2721" s="228"/>
      <c r="P2721" s="228"/>
      <c r="Q2721" s="228"/>
      <c r="R2721" s="228"/>
      <c r="S2721" s="123"/>
      <c r="T2721" s="123"/>
      <c r="U2721" s="123"/>
      <c r="V2721" s="3990"/>
      <c r="W2721" s="2857"/>
      <c r="X2721" s="2857"/>
      <c r="Y2721" s="3155"/>
      <c r="Z2721" s="2857"/>
      <c r="AA2721" s="2857"/>
      <c r="AB2721" s="2855"/>
      <c r="AC2721" s="2225">
        <f>AC2720</f>
        <v>33600</v>
      </c>
      <c r="AD2721" s="2857"/>
      <c r="AE2721" s="2857"/>
      <c r="AF2721" s="2857"/>
      <c r="AG2721" s="2857"/>
      <c r="BB2721" s="575"/>
      <c r="BC2721" s="576"/>
      <c r="BD2721" s="678"/>
      <c r="BE2721" s="585"/>
    </row>
    <row r="2722" spans="1:57" s="51" customFormat="1" ht="15" hidden="1" customHeight="1" outlineLevel="1" x14ac:dyDescent="0.25">
      <c r="A2722" s="1267"/>
      <c r="B2722" s="123"/>
      <c r="C2722" s="328"/>
      <c r="D2722" s="3990"/>
      <c r="E2722" s="4009"/>
      <c r="F2722" s="3010" t="str">
        <f>$E$1753</f>
        <v>ASHP-SEER21_ER1_MF</v>
      </c>
      <c r="G2722" s="2676"/>
      <c r="H2722" s="2676"/>
      <c r="I2722" s="2677"/>
      <c r="J2722" s="3299" t="str">
        <f>$C$1753</f>
        <v>354900_2019_12_</v>
      </c>
      <c r="K2722" s="2551">
        <v>39600</v>
      </c>
      <c r="L2722" s="1597">
        <f t="shared" si="203"/>
        <v>3.3</v>
      </c>
      <c r="M2722" s="2278"/>
      <c r="N2722" s="123"/>
      <c r="O2722" s="228"/>
      <c r="P2722" s="228"/>
      <c r="Q2722" s="228"/>
      <c r="R2722" s="228"/>
      <c r="S2722" s="123"/>
      <c r="T2722" s="123"/>
      <c r="U2722" s="123"/>
      <c r="V2722" s="3990"/>
      <c r="W2722" s="2857">
        <v>39600</v>
      </c>
      <c r="X2722" s="2857">
        <v>39600</v>
      </c>
      <c r="Y2722" s="2857">
        <v>39600</v>
      </c>
      <c r="Z2722" s="2857">
        <v>39600</v>
      </c>
      <c r="AA2722" s="2857">
        <v>39600</v>
      </c>
      <c r="AB2722" s="2857">
        <v>39600</v>
      </c>
      <c r="AC2722" s="2551">
        <v>39600</v>
      </c>
      <c r="AD2722" s="2857"/>
      <c r="AE2722" s="2857"/>
      <c r="AF2722" s="2857"/>
      <c r="AG2722" s="2857"/>
      <c r="AH2722" s="1942"/>
      <c r="AI2722" s="1942"/>
      <c r="AJ2722" s="1942"/>
      <c r="AK2722" s="1942"/>
      <c r="AL2722" s="1942"/>
      <c r="AM2722" s="1942"/>
      <c r="AN2722" s="1942"/>
      <c r="AO2722" s="1942"/>
      <c r="AP2722" s="1942"/>
      <c r="AQ2722" s="1942"/>
      <c r="AR2722" s="1942"/>
      <c r="AS2722" s="1942"/>
      <c r="AT2722" s="1942"/>
      <c r="AU2722" s="1942"/>
      <c r="AV2722" s="1942"/>
      <c r="AW2722" s="1942"/>
      <c r="AX2722" s="1942"/>
      <c r="AY2722" s="1942"/>
      <c r="AZ2722" s="1942"/>
      <c r="BA2722" s="1942"/>
      <c r="BB2722" s="575"/>
      <c r="BC2722" s="576"/>
      <c r="BD2722" s="678"/>
      <c r="BE2722" s="585"/>
    </row>
    <row r="2723" spans="1:57" s="51" customFormat="1" ht="15" hidden="1" customHeight="1" outlineLevel="1" x14ac:dyDescent="0.25">
      <c r="A2723" s="1267"/>
      <c r="B2723" s="123"/>
      <c r="C2723" s="328"/>
      <c r="D2723" s="3990"/>
      <c r="E2723" s="4009"/>
      <c r="F2723" s="3010" t="str">
        <f>$E$1755</f>
        <v>ASHP-SEER21_ER2_MF</v>
      </c>
      <c r="G2723" s="2676"/>
      <c r="H2723" s="2676"/>
      <c r="I2723" s="2677"/>
      <c r="J2723" s="3299" t="str">
        <f>$C$1755</f>
        <v>354900_2019_12_</v>
      </c>
      <c r="K2723" s="2551">
        <v>39600</v>
      </c>
      <c r="L2723" s="1597">
        <f t="shared" si="203"/>
        <v>3.3</v>
      </c>
      <c r="M2723" s="2278"/>
      <c r="N2723" s="123"/>
      <c r="O2723" s="228"/>
      <c r="P2723" s="228"/>
      <c r="Q2723" s="228"/>
      <c r="R2723" s="228"/>
      <c r="S2723" s="123"/>
      <c r="T2723" s="123"/>
      <c r="U2723" s="123"/>
      <c r="V2723" s="3990"/>
      <c r="W2723" s="2857">
        <v>39600</v>
      </c>
      <c r="X2723" s="2857">
        <v>39600</v>
      </c>
      <c r="Y2723" s="2857">
        <v>39600</v>
      </c>
      <c r="Z2723" s="2857">
        <v>39600</v>
      </c>
      <c r="AA2723" s="2857">
        <v>39600</v>
      </c>
      <c r="AB2723" s="2857">
        <v>39600</v>
      </c>
      <c r="AC2723" s="2551">
        <v>39600</v>
      </c>
      <c r="AD2723" s="2857"/>
      <c r="AE2723" s="2857"/>
      <c r="AF2723" s="2857"/>
      <c r="AG2723" s="2857"/>
      <c r="AH2723" s="1942"/>
      <c r="AI2723" s="1942"/>
      <c r="AJ2723" s="1942"/>
      <c r="AK2723" s="1942"/>
      <c r="AL2723" s="1942"/>
      <c r="AM2723" s="1942"/>
      <c r="AN2723" s="1942"/>
      <c r="AO2723" s="1942"/>
      <c r="AP2723" s="1942"/>
      <c r="AQ2723" s="1942"/>
      <c r="AR2723" s="1942"/>
      <c r="AS2723" s="1942"/>
      <c r="AT2723" s="1942"/>
      <c r="AU2723" s="1942"/>
      <c r="AV2723" s="1942"/>
      <c r="AW2723" s="1942"/>
      <c r="AX2723" s="1942"/>
      <c r="AY2723" s="1942"/>
      <c r="AZ2723" s="1942"/>
      <c r="BA2723" s="1942"/>
      <c r="BB2723" s="575"/>
      <c r="BC2723" s="576"/>
      <c r="BD2723" s="678"/>
      <c r="BE2723" s="585"/>
    </row>
    <row r="2724" spans="1:57" s="51" customFormat="1" ht="15" hidden="1" customHeight="1" outlineLevel="1" x14ac:dyDescent="0.25">
      <c r="A2724" s="1267"/>
      <c r="B2724" s="123"/>
      <c r="C2724" s="328"/>
      <c r="D2724" s="3990"/>
      <c r="E2724" s="4009"/>
      <c r="F2724" s="3010" t="str">
        <f>$E$1757</f>
        <v>ASHP-SEER21_ER1_MF_CompE</v>
      </c>
      <c r="G2724" s="2676"/>
      <c r="H2724" s="2676"/>
      <c r="I2724" s="2677"/>
      <c r="J2724" s="3299" t="str">
        <f>$C$1757</f>
        <v>354901_2019_12_</v>
      </c>
      <c r="K2724" s="2551">
        <f>K2722</f>
        <v>39600</v>
      </c>
      <c r="L2724" s="1597">
        <f t="shared" si="203"/>
        <v>3.3</v>
      </c>
      <c r="M2724" s="2278"/>
      <c r="N2724" s="123"/>
      <c r="O2724" s="228"/>
      <c r="P2724" s="228"/>
      <c r="Q2724" s="228"/>
      <c r="R2724" s="228"/>
      <c r="S2724" s="123"/>
      <c r="T2724" s="123"/>
      <c r="U2724" s="123"/>
      <c r="V2724" s="3990"/>
      <c r="W2724" s="2857"/>
      <c r="X2724" s="2857"/>
      <c r="Y2724" s="3155">
        <v>39600</v>
      </c>
      <c r="Z2724" s="2857">
        <v>39600</v>
      </c>
      <c r="AA2724" s="2857">
        <v>39600</v>
      </c>
      <c r="AB2724" s="2857">
        <v>39600</v>
      </c>
      <c r="AC2724" s="2551">
        <f>AC2722</f>
        <v>39600</v>
      </c>
      <c r="AD2724" s="2857"/>
      <c r="AE2724" s="2857"/>
      <c r="AF2724" s="2857"/>
      <c r="AG2724" s="2857"/>
      <c r="AH2724" s="1942"/>
      <c r="AI2724" s="1942"/>
      <c r="AJ2724" s="1942"/>
      <c r="AK2724" s="1942"/>
      <c r="AL2724" s="1942"/>
      <c r="AM2724" s="1942"/>
      <c r="AN2724" s="1942"/>
      <c r="AO2724" s="1942"/>
      <c r="AP2724" s="1942"/>
      <c r="AQ2724" s="1942"/>
      <c r="AR2724" s="1942"/>
      <c r="AS2724" s="1942"/>
      <c r="AT2724" s="1942"/>
      <c r="AU2724" s="1942"/>
      <c r="AV2724" s="1942"/>
      <c r="AW2724" s="1942"/>
      <c r="AX2724" s="1942"/>
      <c r="AY2724" s="1942"/>
      <c r="AZ2724" s="1942"/>
      <c r="BA2724" s="1942"/>
      <c r="BB2724" s="575"/>
      <c r="BC2724" s="576"/>
      <c r="BD2724" s="678"/>
      <c r="BE2724" s="585"/>
    </row>
    <row r="2725" spans="1:57" s="51" customFormat="1" ht="15" hidden="1" customHeight="1" outlineLevel="1" x14ac:dyDescent="0.25">
      <c r="A2725" s="1267"/>
      <c r="B2725" s="123"/>
      <c r="C2725" s="328"/>
      <c r="D2725" s="3990"/>
      <c r="E2725" s="4009"/>
      <c r="F2725" s="3010" t="str">
        <f>$E$1759</f>
        <v>ASHP-SEER21_ER2_MF_CompE</v>
      </c>
      <c r="G2725" s="2676"/>
      <c r="H2725" s="2676"/>
      <c r="I2725" s="2677"/>
      <c r="J2725" s="3299" t="str">
        <f>$C$1759</f>
        <v>354901_2019_12_</v>
      </c>
      <c r="K2725" s="2551">
        <f>K2723</f>
        <v>39600</v>
      </c>
      <c r="L2725" s="1597">
        <f t="shared" si="203"/>
        <v>3.3</v>
      </c>
      <c r="M2725" s="2278"/>
      <c r="N2725" s="123"/>
      <c r="O2725" s="228"/>
      <c r="P2725" s="228"/>
      <c r="Q2725" s="228"/>
      <c r="R2725" s="228"/>
      <c r="S2725" s="123"/>
      <c r="T2725" s="123"/>
      <c r="U2725" s="123"/>
      <c r="V2725" s="3990"/>
      <c r="W2725" s="2857"/>
      <c r="X2725" s="2857"/>
      <c r="Y2725" s="3155">
        <v>39600</v>
      </c>
      <c r="Z2725" s="2857">
        <v>39600</v>
      </c>
      <c r="AA2725" s="2857">
        <v>39600</v>
      </c>
      <c r="AB2725" s="2857">
        <v>39600</v>
      </c>
      <c r="AC2725" s="2551">
        <f>AC2723</f>
        <v>39600</v>
      </c>
      <c r="AD2725" s="2857"/>
      <c r="AE2725" s="2857"/>
      <c r="AF2725" s="2857"/>
      <c r="AG2725" s="2857"/>
      <c r="AH2725" s="1942"/>
      <c r="AI2725" s="1942"/>
      <c r="AJ2725" s="1942"/>
      <c r="AK2725" s="1942"/>
      <c r="AL2725" s="1942"/>
      <c r="AM2725" s="1942"/>
      <c r="AN2725" s="1942"/>
      <c r="AO2725" s="1942"/>
      <c r="AP2725" s="1942"/>
      <c r="AQ2725" s="1942"/>
      <c r="AR2725" s="1942"/>
      <c r="AS2725" s="1942"/>
      <c r="AT2725" s="1942"/>
      <c r="AU2725" s="1942"/>
      <c r="AV2725" s="1942"/>
      <c r="AW2725" s="1942"/>
      <c r="AX2725" s="1942"/>
      <c r="AY2725" s="1942"/>
      <c r="AZ2725" s="1942"/>
      <c r="BA2725" s="1942"/>
      <c r="BB2725" s="575"/>
      <c r="BC2725" s="576"/>
      <c r="BD2725" s="678"/>
      <c r="BE2725" s="585"/>
    </row>
    <row r="2726" spans="1:57" s="51" customFormat="1" ht="15" hidden="1" customHeight="1" outlineLevel="1" x14ac:dyDescent="0.25">
      <c r="A2726" s="2060"/>
      <c r="B2726" s="123"/>
      <c r="C2726" s="328"/>
      <c r="D2726" s="3990"/>
      <c r="E2726" s="4009"/>
      <c r="F2726" s="3010" t="str">
        <f>$E$1761</f>
        <v>ASHP-SEER17_ROF_MF</v>
      </c>
      <c r="G2726" s="2676"/>
      <c r="H2726" s="2676"/>
      <c r="I2726" s="2677"/>
      <c r="J2726" s="3299" t="str">
        <f>$C$1761</f>
        <v>354950_2019_12_</v>
      </c>
      <c r="K2726" s="2551">
        <v>39600</v>
      </c>
      <c r="L2726" s="1597">
        <f t="shared" si="203"/>
        <v>3.3</v>
      </c>
      <c r="M2726" s="2278" t="s">
        <v>1556</v>
      </c>
      <c r="N2726" s="123"/>
      <c r="O2726" s="228"/>
      <c r="P2726" s="844"/>
      <c r="Q2726" s="845"/>
      <c r="R2726" s="844"/>
      <c r="S2726" s="832"/>
      <c r="T2726" s="3082"/>
      <c r="U2726" s="123"/>
      <c r="V2726" s="3990"/>
      <c r="W2726" s="2857">
        <v>39600</v>
      </c>
      <c r="X2726" s="2857">
        <v>39600</v>
      </c>
      <c r="Y2726" s="2857">
        <v>39600</v>
      </c>
      <c r="Z2726" s="2857">
        <v>39600</v>
      </c>
      <c r="AA2726" s="2857">
        <v>39600</v>
      </c>
      <c r="AB2726" s="2857">
        <v>39600</v>
      </c>
      <c r="AC2726" s="2551">
        <v>39600</v>
      </c>
      <c r="AD2726" s="2857"/>
      <c r="AE2726" s="2857"/>
      <c r="AF2726" s="2857"/>
      <c r="AG2726" s="2857"/>
      <c r="AH2726" s="1942"/>
      <c r="AI2726" s="1942"/>
      <c r="AJ2726" s="1942"/>
      <c r="AK2726" s="1942"/>
      <c r="AL2726" s="1942"/>
      <c r="AM2726" s="1942"/>
      <c r="AN2726" s="1942"/>
      <c r="AO2726" s="1942"/>
      <c r="AP2726" s="1942"/>
      <c r="AQ2726" s="1942"/>
      <c r="AR2726" s="1942"/>
      <c r="AS2726" s="1942"/>
      <c r="AT2726" s="1942"/>
      <c r="AU2726" s="1942"/>
      <c r="AV2726" s="1942"/>
      <c r="AW2726" s="1942"/>
      <c r="AX2726" s="1942"/>
      <c r="AY2726" s="1942"/>
      <c r="AZ2726" s="1942"/>
      <c r="BA2726" s="1942"/>
      <c r="BB2726" s="575"/>
      <c r="BC2726" s="576"/>
      <c r="BD2726" s="678"/>
      <c r="BE2726" s="585"/>
    </row>
    <row r="2727" spans="1:57" s="51" customFormat="1" ht="15" hidden="1" customHeight="1" outlineLevel="1" x14ac:dyDescent="0.25">
      <c r="A2727" s="2060"/>
      <c r="B2727" s="123"/>
      <c r="C2727" s="328"/>
      <c r="D2727" s="3990"/>
      <c r="E2727" s="4009"/>
      <c r="F2727" s="3010" t="str">
        <f>$E$1763</f>
        <v>ASHP-SEER17_ROF_MF_CompE</v>
      </c>
      <c r="G2727" s="2676"/>
      <c r="H2727" s="2676"/>
      <c r="I2727" s="2677"/>
      <c r="J2727" s="3299" t="str">
        <f>$C$1763</f>
        <v>354951_2019_12_</v>
      </c>
      <c r="K2727" s="2551">
        <f>K2726</f>
        <v>39600</v>
      </c>
      <c r="L2727" s="1597">
        <f t="shared" si="203"/>
        <v>3.3</v>
      </c>
      <c r="M2727" s="2278"/>
      <c r="N2727" s="123"/>
      <c r="O2727" s="228"/>
      <c r="P2727" s="844"/>
      <c r="Q2727" s="845"/>
      <c r="R2727" s="844"/>
      <c r="S2727" s="832"/>
      <c r="T2727" s="3082"/>
      <c r="U2727" s="123"/>
      <c r="V2727" s="3990"/>
      <c r="W2727" s="2857"/>
      <c r="X2727" s="2857"/>
      <c r="Y2727" s="3155">
        <v>39600</v>
      </c>
      <c r="Z2727" s="2857">
        <v>39600</v>
      </c>
      <c r="AA2727" s="2857">
        <v>39600</v>
      </c>
      <c r="AB2727" s="2857">
        <v>39600</v>
      </c>
      <c r="AC2727" s="2551">
        <f>AC2726</f>
        <v>39600</v>
      </c>
      <c r="AD2727" s="2857"/>
      <c r="AE2727" s="2857"/>
      <c r="AF2727" s="2857"/>
      <c r="AG2727" s="2857"/>
      <c r="AH2727" s="1942"/>
      <c r="AI2727" s="1942"/>
      <c r="AJ2727" s="1942"/>
      <c r="AK2727" s="1942"/>
      <c r="AL2727" s="1942"/>
      <c r="AM2727" s="1942"/>
      <c r="AN2727" s="1942"/>
      <c r="AO2727" s="1942"/>
      <c r="AP2727" s="1942"/>
      <c r="AQ2727" s="1942"/>
      <c r="AR2727" s="1942"/>
      <c r="AS2727" s="1942"/>
      <c r="AT2727" s="1942"/>
      <c r="AU2727" s="1942"/>
      <c r="AV2727" s="1942"/>
      <c r="AW2727" s="1942"/>
      <c r="AX2727" s="1942"/>
      <c r="AY2727" s="1942"/>
      <c r="AZ2727" s="1942"/>
      <c r="BA2727" s="1942"/>
      <c r="BB2727" s="575"/>
      <c r="BC2727" s="576"/>
      <c r="BD2727" s="678"/>
      <c r="BE2727" s="585"/>
    </row>
    <row r="2728" spans="1:57" s="51" customFormat="1" ht="15" hidden="1" customHeight="1" outlineLevel="1" x14ac:dyDescent="0.25">
      <c r="A2728" s="2060"/>
      <c r="B2728" s="123"/>
      <c r="C2728" s="328"/>
      <c r="D2728" s="3990"/>
      <c r="E2728" s="4009"/>
      <c r="F2728" s="3010" t="str">
        <f>$E$1765</f>
        <v>ASHP-SEER18_ROF_MF</v>
      </c>
      <c r="G2728" s="2676"/>
      <c r="H2728" s="2676"/>
      <c r="I2728" s="2677"/>
      <c r="J2728" s="3299" t="str">
        <f>$C$1765</f>
        <v>355000_2019_12_</v>
      </c>
      <c r="K2728" s="2551">
        <v>39600</v>
      </c>
      <c r="L2728" s="1597">
        <f t="shared" si="203"/>
        <v>3.3</v>
      </c>
      <c r="M2728" s="2278" t="s">
        <v>1556</v>
      </c>
      <c r="N2728" s="123"/>
      <c r="O2728" s="228"/>
      <c r="P2728" s="844"/>
      <c r="Q2728" s="845"/>
      <c r="R2728" s="844"/>
      <c r="S2728" s="832"/>
      <c r="T2728" s="3082"/>
      <c r="U2728" s="123"/>
      <c r="V2728" s="3990"/>
      <c r="W2728" s="2857">
        <v>39600</v>
      </c>
      <c r="X2728" s="2857">
        <v>39600</v>
      </c>
      <c r="Y2728" s="2857">
        <v>39600</v>
      </c>
      <c r="Z2728" s="2857">
        <v>39600</v>
      </c>
      <c r="AA2728" s="2857">
        <v>39600</v>
      </c>
      <c r="AB2728" s="2857">
        <v>39600</v>
      </c>
      <c r="AC2728" s="2551">
        <v>39600</v>
      </c>
      <c r="AD2728" s="2857"/>
      <c r="AE2728" s="2857"/>
      <c r="AF2728" s="2857"/>
      <c r="AG2728" s="2857"/>
      <c r="AH2728" s="1942"/>
      <c r="AI2728" s="1942"/>
      <c r="AJ2728" s="1942"/>
      <c r="AK2728" s="1942"/>
      <c r="AL2728" s="1942"/>
      <c r="AM2728" s="1942"/>
      <c r="AN2728" s="1942"/>
      <c r="AO2728" s="1942"/>
      <c r="AP2728" s="1942"/>
      <c r="AQ2728" s="1942"/>
      <c r="AR2728" s="1942"/>
      <c r="AS2728" s="1942"/>
      <c r="AT2728" s="1942"/>
      <c r="AU2728" s="1942"/>
      <c r="AV2728" s="1942"/>
      <c r="AW2728" s="1942"/>
      <c r="AX2728" s="1942"/>
      <c r="AY2728" s="1942"/>
      <c r="AZ2728" s="1942"/>
      <c r="BA2728" s="1942"/>
      <c r="BB2728" s="575"/>
      <c r="BC2728" s="576"/>
      <c r="BD2728" s="678"/>
      <c r="BE2728" s="585"/>
    </row>
    <row r="2729" spans="1:57" s="51" customFormat="1" ht="15" hidden="1" customHeight="1" outlineLevel="1" x14ac:dyDescent="0.25">
      <c r="A2729" s="2060"/>
      <c r="B2729" s="123"/>
      <c r="C2729" s="328"/>
      <c r="D2729" s="3990"/>
      <c r="E2729" s="4009"/>
      <c r="F2729" s="3010" t="str">
        <f>$E$1767</f>
        <v>ASHP-SEER18_ROF_MF_CompE</v>
      </c>
      <c r="G2729" s="2676"/>
      <c r="H2729" s="2676"/>
      <c r="I2729" s="2677"/>
      <c r="J2729" s="3299" t="str">
        <f>$C$1767</f>
        <v>355001_2021_12_</v>
      </c>
      <c r="K2729" s="2551">
        <f>K2728</f>
        <v>39600</v>
      </c>
      <c r="L2729" s="1597">
        <f t="shared" si="203"/>
        <v>3.3</v>
      </c>
      <c r="M2729" s="2278"/>
      <c r="N2729" s="123"/>
      <c r="O2729" s="228"/>
      <c r="P2729" s="844"/>
      <c r="Q2729" s="845"/>
      <c r="R2729" s="844"/>
      <c r="S2729" s="832"/>
      <c r="T2729" s="3082"/>
      <c r="U2729" s="123"/>
      <c r="V2729" s="3990"/>
      <c r="W2729" s="2857"/>
      <c r="X2729" s="2857"/>
      <c r="Y2729" s="3155">
        <v>39600</v>
      </c>
      <c r="Z2729" s="2857">
        <v>39600</v>
      </c>
      <c r="AA2729" s="2857">
        <v>39600</v>
      </c>
      <c r="AB2729" s="2857">
        <v>39600</v>
      </c>
      <c r="AC2729" s="2551">
        <f>AC2728</f>
        <v>39600</v>
      </c>
      <c r="AD2729" s="2857"/>
      <c r="AE2729" s="2857"/>
      <c r="AF2729" s="2857"/>
      <c r="AG2729" s="2857"/>
      <c r="AH2729" s="1942"/>
      <c r="AI2729" s="1942"/>
      <c r="AJ2729" s="1942"/>
      <c r="AK2729" s="1942"/>
      <c r="AL2729" s="1942"/>
      <c r="AM2729" s="1942"/>
      <c r="AN2729" s="1942"/>
      <c r="AO2729" s="1942"/>
      <c r="AP2729" s="1942"/>
      <c r="AQ2729" s="1942"/>
      <c r="AR2729" s="1942"/>
      <c r="AS2729" s="1942"/>
      <c r="AT2729" s="1942"/>
      <c r="AU2729" s="1942"/>
      <c r="AV2729" s="1942"/>
      <c r="AW2729" s="1942"/>
      <c r="AX2729" s="1942"/>
      <c r="AY2729" s="1942"/>
      <c r="AZ2729" s="1942"/>
      <c r="BA2729" s="1942"/>
      <c r="BB2729" s="575"/>
      <c r="BC2729" s="576"/>
      <c r="BD2729" s="678"/>
      <c r="BE2729" s="585"/>
    </row>
    <row r="2730" spans="1:57" s="51" customFormat="1" ht="15" hidden="1" customHeight="1" outlineLevel="1" x14ac:dyDescent="0.25">
      <c r="A2730" s="1267"/>
      <c r="B2730" s="123"/>
      <c r="C2730" s="328"/>
      <c r="D2730" s="3990"/>
      <c r="E2730" s="4009"/>
      <c r="F2730" s="3010" t="str">
        <f>$E$1769</f>
        <v>ASHP-SEER19_ROF_MF</v>
      </c>
      <c r="G2730" s="2676"/>
      <c r="H2730" s="2676"/>
      <c r="I2730" s="2677"/>
      <c r="J2730" s="3299" t="str">
        <f>$C$1769</f>
        <v>355050_2019_12_</v>
      </c>
      <c r="K2730" s="2551">
        <v>39600</v>
      </c>
      <c r="L2730" s="1597">
        <f t="shared" si="203"/>
        <v>3.3</v>
      </c>
      <c r="M2730" s="2278" t="s">
        <v>1556</v>
      </c>
      <c r="N2730" s="123"/>
      <c r="O2730" s="228"/>
      <c r="P2730" s="228"/>
      <c r="Q2730" s="228"/>
      <c r="R2730" s="228"/>
      <c r="S2730" s="123"/>
      <c r="T2730" s="123"/>
      <c r="U2730" s="123"/>
      <c r="V2730" s="3990"/>
      <c r="W2730" s="2857">
        <v>39600</v>
      </c>
      <c r="X2730" s="2857">
        <v>39600</v>
      </c>
      <c r="Y2730" s="2857">
        <v>39600</v>
      </c>
      <c r="Z2730" s="2857">
        <v>39600</v>
      </c>
      <c r="AA2730" s="2857">
        <v>39600</v>
      </c>
      <c r="AB2730" s="2857">
        <v>39600</v>
      </c>
      <c r="AC2730" s="2551">
        <v>39600</v>
      </c>
      <c r="AD2730" s="2857"/>
      <c r="AE2730" s="2857"/>
      <c r="AF2730" s="2857"/>
      <c r="AG2730" s="2857"/>
      <c r="AH2730" s="1942"/>
      <c r="AI2730" s="1942"/>
      <c r="AJ2730" s="1942"/>
      <c r="AK2730" s="1942"/>
      <c r="AL2730" s="1942"/>
      <c r="AM2730" s="1942"/>
      <c r="AN2730" s="1942"/>
      <c r="AO2730" s="1942"/>
      <c r="AP2730" s="1942"/>
      <c r="AQ2730" s="1942"/>
      <c r="AR2730" s="1942"/>
      <c r="AS2730" s="1942"/>
      <c r="AT2730" s="1942"/>
      <c r="AU2730" s="1942"/>
      <c r="AV2730" s="1942"/>
      <c r="AW2730" s="1942"/>
      <c r="AX2730" s="1942"/>
      <c r="AY2730" s="1942"/>
      <c r="AZ2730" s="1942"/>
      <c r="BA2730" s="1942"/>
      <c r="BB2730" s="575"/>
      <c r="BC2730" s="576"/>
      <c r="BD2730" s="678"/>
      <c r="BE2730" s="585"/>
    </row>
    <row r="2731" spans="1:57" s="51" customFormat="1" ht="15" hidden="1" customHeight="1" outlineLevel="1" x14ac:dyDescent="0.25">
      <c r="A2731" s="1267"/>
      <c r="B2731" s="123"/>
      <c r="C2731" s="328"/>
      <c r="D2731" s="3990"/>
      <c r="E2731" s="4009"/>
      <c r="F2731" s="3010" t="str">
        <f>$E$1771</f>
        <v>ASHP-SEER19_ROF_MF_CompE</v>
      </c>
      <c r="G2731" s="2676"/>
      <c r="H2731" s="2676"/>
      <c r="I2731" s="2677"/>
      <c r="J2731" s="3299" t="str">
        <f>$C$1771</f>
        <v>355051_2019_12_</v>
      </c>
      <c r="K2731" s="2551">
        <f>K2730</f>
        <v>39600</v>
      </c>
      <c r="L2731" s="1597">
        <f t="shared" si="203"/>
        <v>3.3</v>
      </c>
      <c r="M2731" s="2278"/>
      <c r="N2731" s="123"/>
      <c r="O2731" s="228"/>
      <c r="P2731" s="228"/>
      <c r="Q2731" s="228"/>
      <c r="R2731" s="228"/>
      <c r="S2731" s="123"/>
      <c r="T2731" s="123"/>
      <c r="U2731" s="123"/>
      <c r="V2731" s="3990"/>
      <c r="W2731" s="2857"/>
      <c r="X2731" s="2857"/>
      <c r="Y2731" s="3155">
        <v>39600</v>
      </c>
      <c r="Z2731" s="2857">
        <v>39600</v>
      </c>
      <c r="AA2731" s="2857">
        <v>39600</v>
      </c>
      <c r="AB2731" s="2857">
        <v>39600</v>
      </c>
      <c r="AC2731" s="2551">
        <f>AC2730</f>
        <v>39600</v>
      </c>
      <c r="AD2731" s="2857"/>
      <c r="AE2731" s="2857"/>
      <c r="AF2731" s="2857"/>
      <c r="AG2731" s="2857"/>
      <c r="AH2731" s="1942"/>
      <c r="AI2731" s="1942"/>
      <c r="AJ2731" s="1942"/>
      <c r="AK2731" s="1942"/>
      <c r="AL2731" s="1942"/>
      <c r="AM2731" s="1942"/>
      <c r="AN2731" s="1942"/>
      <c r="AO2731" s="1942"/>
      <c r="AP2731" s="1942"/>
      <c r="AQ2731" s="1942"/>
      <c r="AR2731" s="1942"/>
      <c r="AS2731" s="1942"/>
      <c r="AT2731" s="1942"/>
      <c r="AU2731" s="1942"/>
      <c r="AV2731" s="1942"/>
      <c r="AW2731" s="1942"/>
      <c r="AX2731" s="1942"/>
      <c r="AY2731" s="1942"/>
      <c r="AZ2731" s="1942"/>
      <c r="BA2731" s="1942"/>
      <c r="BB2731" s="575"/>
      <c r="BC2731" s="576"/>
      <c r="BD2731" s="678"/>
      <c r="BE2731" s="585"/>
    </row>
    <row r="2732" spans="1:57" s="51" customFormat="1" ht="15" hidden="1" customHeight="1" outlineLevel="1" x14ac:dyDescent="0.25">
      <c r="A2732" s="1267"/>
      <c r="B2732" s="123"/>
      <c r="C2732" s="328"/>
      <c r="D2732" s="3990"/>
      <c r="E2732" s="4009"/>
      <c r="F2732" s="3010" t="str">
        <f>$E$1773</f>
        <v>ASHP-SEER20_ROF_MF</v>
      </c>
      <c r="G2732" s="2676"/>
      <c r="H2732" s="2676"/>
      <c r="I2732" s="2677"/>
      <c r="J2732" s="3299" t="str">
        <f>$C$1773</f>
        <v>355100_2019_12_</v>
      </c>
      <c r="K2732" s="2551">
        <v>39600</v>
      </c>
      <c r="L2732" s="1597">
        <f t="shared" si="203"/>
        <v>3.3</v>
      </c>
      <c r="M2732" s="2278" t="s">
        <v>1556</v>
      </c>
      <c r="N2732" s="123"/>
      <c r="O2732" s="228"/>
      <c r="P2732" s="228"/>
      <c r="Q2732" s="228"/>
      <c r="R2732" s="228"/>
      <c r="S2732" s="123"/>
      <c r="T2732" s="123"/>
      <c r="U2732" s="123"/>
      <c r="V2732" s="3990"/>
      <c r="W2732" s="2857">
        <v>39600</v>
      </c>
      <c r="X2732" s="2857">
        <v>39600</v>
      </c>
      <c r="Y2732" s="2857">
        <v>39600</v>
      </c>
      <c r="Z2732" s="2857">
        <v>39600</v>
      </c>
      <c r="AA2732" s="2857">
        <v>39600</v>
      </c>
      <c r="AB2732" s="2857">
        <v>39600</v>
      </c>
      <c r="AC2732" s="2551">
        <v>39600</v>
      </c>
      <c r="AD2732" s="2857"/>
      <c r="AE2732" s="2857"/>
      <c r="AF2732" s="2857"/>
      <c r="AG2732" s="2857"/>
      <c r="AH2732" s="1942"/>
      <c r="AI2732" s="1942"/>
      <c r="AJ2732" s="1942"/>
      <c r="AK2732" s="1942"/>
      <c r="AL2732" s="1942"/>
      <c r="AM2732" s="1942"/>
      <c r="AN2732" s="1942"/>
      <c r="AO2732" s="1942"/>
      <c r="AP2732" s="1942"/>
      <c r="AQ2732" s="1942"/>
      <c r="AR2732" s="1942"/>
      <c r="AS2732" s="1942"/>
      <c r="AT2732" s="1942"/>
      <c r="AU2732" s="1942"/>
      <c r="AV2732" s="1942"/>
      <c r="AW2732" s="1942"/>
      <c r="AX2732" s="1942"/>
      <c r="AY2732" s="1942"/>
      <c r="AZ2732" s="1942"/>
      <c r="BA2732" s="1942"/>
      <c r="BB2732" s="575"/>
      <c r="BC2732" s="576"/>
      <c r="BD2732" s="678"/>
      <c r="BE2732" s="585"/>
    </row>
    <row r="2733" spans="1:57" s="51" customFormat="1" ht="15" hidden="1" customHeight="1" outlineLevel="1" x14ac:dyDescent="0.25">
      <c r="A2733" s="1267"/>
      <c r="B2733" s="123"/>
      <c r="C2733" s="328"/>
      <c r="D2733" s="3990"/>
      <c r="E2733" s="4009"/>
      <c r="F2733" s="3010" t="str">
        <f>$E$1775</f>
        <v>ASHP-SEER20_ROF_MF_CompE</v>
      </c>
      <c r="G2733" s="2676"/>
      <c r="H2733" s="2676"/>
      <c r="I2733" s="2677"/>
      <c r="J2733" s="3299" t="str">
        <f>$C$1775</f>
        <v>355101_2019_12_</v>
      </c>
      <c r="K2733" s="2551">
        <f>K2732</f>
        <v>39600</v>
      </c>
      <c r="L2733" s="1597">
        <f t="shared" si="203"/>
        <v>3.3</v>
      </c>
      <c r="M2733" s="2279"/>
      <c r="N2733" s="123"/>
      <c r="O2733" s="228"/>
      <c r="P2733" s="228"/>
      <c r="Q2733" s="228"/>
      <c r="R2733" s="228"/>
      <c r="S2733" s="123"/>
      <c r="T2733" s="123"/>
      <c r="U2733" s="123"/>
      <c r="V2733" s="3990"/>
      <c r="W2733" s="693"/>
      <c r="X2733" s="693"/>
      <c r="Y2733" s="3155">
        <v>39600</v>
      </c>
      <c r="Z2733" s="2857">
        <v>39600</v>
      </c>
      <c r="AA2733" s="2857">
        <v>39600</v>
      </c>
      <c r="AB2733" s="2857">
        <v>39600</v>
      </c>
      <c r="AC2733" s="2551">
        <f>AC2732</f>
        <v>39600</v>
      </c>
      <c r="AD2733" s="693"/>
      <c r="AE2733" s="693"/>
      <c r="AF2733" s="693"/>
      <c r="AG2733" s="693"/>
      <c r="AH2733" s="1942"/>
      <c r="AI2733" s="1942"/>
      <c r="AJ2733" s="1942"/>
      <c r="AK2733" s="1942"/>
      <c r="AL2733" s="1942"/>
      <c r="AM2733" s="1942"/>
      <c r="AN2733" s="1942"/>
      <c r="AO2733" s="1942"/>
      <c r="AP2733" s="1942"/>
      <c r="AQ2733" s="1942"/>
      <c r="AR2733" s="1942"/>
      <c r="AS2733" s="1942"/>
      <c r="AT2733" s="1942"/>
      <c r="AU2733" s="1942"/>
      <c r="AV2733" s="1942"/>
      <c r="AW2733" s="1942"/>
      <c r="AX2733" s="1942"/>
      <c r="AY2733" s="1942"/>
      <c r="AZ2733" s="1942"/>
      <c r="BA2733" s="1942"/>
      <c r="BB2733" s="575"/>
      <c r="BC2733" s="576"/>
      <c r="BD2733" s="678"/>
      <c r="BE2733" s="585"/>
    </row>
    <row r="2734" spans="1:57" s="51" customFormat="1" ht="15.75" hidden="1" customHeight="1" outlineLevel="1" x14ac:dyDescent="0.25">
      <c r="A2734" s="2060"/>
      <c r="B2734" s="123"/>
      <c r="C2734" s="328"/>
      <c r="D2734" s="3990"/>
      <c r="E2734" s="4009"/>
      <c r="F2734" s="3010" t="str">
        <f>$E$1777</f>
        <v>ASHP-SEER21_ROF_MF</v>
      </c>
      <c r="G2734" s="2676"/>
      <c r="H2734" s="2676"/>
      <c r="I2734" s="2677"/>
      <c r="J2734" s="3299" t="str">
        <f>$C$1777</f>
        <v>355150_2019_12_</v>
      </c>
      <c r="K2734" s="2551">
        <v>39600</v>
      </c>
      <c r="L2734" s="1597">
        <f t="shared" si="203"/>
        <v>3.3</v>
      </c>
      <c r="M2734" s="2278" t="s">
        <v>1556</v>
      </c>
      <c r="N2734" s="123"/>
      <c r="O2734" s="228"/>
      <c r="P2734" s="844"/>
      <c r="Q2734" s="845"/>
      <c r="R2734" s="844"/>
      <c r="S2734" s="832"/>
      <c r="T2734" s="3082"/>
      <c r="U2734" s="123"/>
      <c r="V2734" s="3990"/>
      <c r="W2734" s="693">
        <v>39600</v>
      </c>
      <c r="X2734" s="693">
        <v>39600</v>
      </c>
      <c r="Y2734" s="2857">
        <v>39600</v>
      </c>
      <c r="Z2734" s="2857">
        <v>39600</v>
      </c>
      <c r="AA2734" s="2857">
        <v>39600</v>
      </c>
      <c r="AB2734" s="2857">
        <v>39600</v>
      </c>
      <c r="AC2734" s="2551">
        <v>39600</v>
      </c>
      <c r="AD2734" s="693"/>
      <c r="AE2734" s="693"/>
      <c r="AF2734" s="693"/>
      <c r="AG2734" s="693"/>
      <c r="AH2734" s="1942"/>
      <c r="AI2734" s="1942"/>
      <c r="AJ2734" s="1942"/>
      <c r="AK2734" s="1942"/>
      <c r="AL2734" s="1942"/>
      <c r="AM2734" s="1942"/>
      <c r="AN2734" s="1942"/>
      <c r="AO2734" s="1942"/>
      <c r="AP2734" s="1942"/>
      <c r="AQ2734" s="1942"/>
      <c r="AR2734" s="1942"/>
      <c r="AS2734" s="1942"/>
      <c r="AT2734" s="1942"/>
      <c r="AU2734" s="1942"/>
      <c r="AV2734" s="1942"/>
      <c r="AW2734" s="1942"/>
      <c r="AX2734" s="1942"/>
      <c r="AY2734" s="1942"/>
      <c r="AZ2734" s="1942"/>
      <c r="BA2734" s="1942"/>
      <c r="BB2734" s="575"/>
      <c r="BC2734" s="576"/>
      <c r="BD2734" s="678"/>
      <c r="BE2734" s="585"/>
    </row>
    <row r="2735" spans="1:57" s="51" customFormat="1" ht="15.75" hidden="1" customHeight="1" outlineLevel="1" thickBot="1" x14ac:dyDescent="0.3">
      <c r="A2735" s="2060"/>
      <c r="B2735" s="123"/>
      <c r="C2735" s="328"/>
      <c r="D2735" s="4035"/>
      <c r="E2735" s="4036"/>
      <c r="F2735" s="3012" t="str">
        <f>$E$1779</f>
        <v>ASHP-SEER21_ROF_MF_CompE</v>
      </c>
      <c r="G2735" s="847"/>
      <c r="H2735" s="847"/>
      <c r="I2735" s="848"/>
      <c r="J2735" s="2607" t="str">
        <f>$C$1779</f>
        <v>355151_2019_12_</v>
      </c>
      <c r="K2735" s="2551">
        <f>K2734</f>
        <v>39600</v>
      </c>
      <c r="L2735" s="1598">
        <f>K2735/12000</f>
        <v>3.3</v>
      </c>
      <c r="M2735" s="2280"/>
      <c r="N2735" s="123"/>
      <c r="O2735" s="228"/>
      <c r="P2735" s="844"/>
      <c r="Q2735" s="845"/>
      <c r="R2735" s="844"/>
      <c r="S2735" s="832"/>
      <c r="T2735" s="3082"/>
      <c r="U2735" s="123"/>
      <c r="V2735" s="4035"/>
      <c r="W2735" s="2860"/>
      <c r="X2735" s="2860"/>
      <c r="Y2735" s="853">
        <v>39600</v>
      </c>
      <c r="Z2735" s="855">
        <v>39600</v>
      </c>
      <c r="AA2735" s="855">
        <v>39600</v>
      </c>
      <c r="AB2735" s="855">
        <v>39600</v>
      </c>
      <c r="AC2735" s="2551">
        <f>AC2734</f>
        <v>39600</v>
      </c>
      <c r="AD2735" s="2860"/>
      <c r="AE2735" s="2860"/>
      <c r="AF2735" s="2860"/>
      <c r="AG2735" s="2860"/>
      <c r="AH2735" s="1942"/>
      <c r="AI2735" s="1942"/>
      <c r="AJ2735" s="1942"/>
      <c r="AK2735" s="1942"/>
      <c r="AL2735" s="1942"/>
      <c r="AM2735" s="1942"/>
      <c r="AN2735" s="1942"/>
      <c r="AO2735" s="1942"/>
      <c r="AP2735" s="1942"/>
      <c r="AQ2735" s="1942"/>
      <c r="AR2735" s="1942"/>
      <c r="AS2735" s="1942"/>
      <c r="AT2735" s="1942"/>
      <c r="AU2735" s="1942"/>
      <c r="AV2735" s="1942"/>
      <c r="AW2735" s="1942"/>
      <c r="AX2735" s="1942"/>
      <c r="AY2735" s="1942"/>
      <c r="AZ2735" s="1942"/>
      <c r="BA2735" s="1942"/>
      <c r="BB2735" s="575"/>
      <c r="BC2735" s="576"/>
      <c r="BD2735" s="678"/>
      <c r="BE2735" s="585"/>
    </row>
    <row r="2736" spans="1:57" s="51" customFormat="1" ht="15" hidden="1" customHeight="1" outlineLevel="1" x14ac:dyDescent="0.25">
      <c r="A2736" s="2060"/>
      <c r="B2736" s="123"/>
      <c r="C2736" s="328"/>
      <c r="D2736" s="3989" t="s">
        <v>1161</v>
      </c>
      <c r="E2736" s="4008" t="s">
        <v>1162</v>
      </c>
      <c r="F2736" s="3009" t="str">
        <f>$E$1407</f>
        <v>ASHP-SEER15-Replace_CAC_ElectricHeat_ER1_SF</v>
      </c>
      <c r="G2736" s="2675"/>
      <c r="H2736" s="2675"/>
      <c r="I2736" s="2675"/>
      <c r="J2736" s="3297" t="str">
        <f>$C$1407</f>
        <v>352300_2021_12_</v>
      </c>
      <c r="K2736" s="2861">
        <v>869</v>
      </c>
      <c r="L2736" s="745"/>
      <c r="M2736" s="857" t="s">
        <v>1011</v>
      </c>
      <c r="N2736" s="123"/>
      <c r="O2736" s="228"/>
      <c r="P2736" s="844"/>
      <c r="Q2736" s="844"/>
      <c r="R2736" s="844"/>
      <c r="S2736" s="832"/>
      <c r="T2736" s="3082"/>
      <c r="U2736" s="123"/>
      <c r="V2736" s="3989" t="s">
        <v>1161</v>
      </c>
      <c r="W2736" s="696">
        <v>869</v>
      </c>
      <c r="X2736" s="696">
        <v>869</v>
      </c>
      <c r="Y2736" s="696">
        <v>869</v>
      </c>
      <c r="Z2736" s="696">
        <v>869</v>
      </c>
      <c r="AA2736" s="696">
        <v>869</v>
      </c>
      <c r="AB2736" s="2861">
        <v>869</v>
      </c>
      <c r="AC2736" s="2861">
        <v>869</v>
      </c>
      <c r="AD2736" s="696"/>
      <c r="AE2736" s="696"/>
      <c r="AF2736" s="696"/>
      <c r="AG2736" s="696"/>
      <c r="AH2736" s="1942"/>
      <c r="AI2736" s="1942"/>
      <c r="AJ2736" s="1942"/>
      <c r="AK2736" s="1942"/>
      <c r="AL2736" s="1942"/>
      <c r="AM2736" s="1942"/>
      <c r="AN2736" s="1942"/>
      <c r="AO2736" s="1942"/>
      <c r="AP2736" s="1942"/>
      <c r="AQ2736" s="1942"/>
      <c r="AR2736" s="1942"/>
      <c r="AS2736" s="1942"/>
      <c r="AT2736" s="1942"/>
      <c r="AU2736" s="1942"/>
      <c r="AV2736" s="1942"/>
      <c r="AW2736" s="1942"/>
      <c r="AX2736" s="1942"/>
      <c r="AY2736" s="1942"/>
      <c r="AZ2736" s="1942"/>
      <c r="BA2736" s="1942"/>
      <c r="BB2736" s="575"/>
      <c r="BC2736" s="576"/>
      <c r="BD2736" s="678"/>
      <c r="BE2736" s="585"/>
    </row>
    <row r="2737" spans="1:57" s="51" customFormat="1" ht="15" hidden="1" customHeight="1" outlineLevel="1" x14ac:dyDescent="0.25">
      <c r="A2737" s="2060"/>
      <c r="B2737" s="123"/>
      <c r="C2737" s="328"/>
      <c r="D2737" s="3990"/>
      <c r="E2737" s="4009"/>
      <c r="F2737" s="3010" t="str">
        <f>$E$1409</f>
        <v>ASHP-SEER15-Replace_CAC_ElectricHeat_ER2_SF</v>
      </c>
      <c r="G2737" s="2676"/>
      <c r="H2737" s="2676"/>
      <c r="I2737" s="2677"/>
      <c r="J2737" s="3298" t="str">
        <f>$C$1409</f>
        <v>352300_2021_12_</v>
      </c>
      <c r="K2737" s="696">
        <v>869</v>
      </c>
      <c r="L2737" s="850"/>
      <c r="M2737" s="698" t="s">
        <v>1011</v>
      </c>
      <c r="N2737" s="123"/>
      <c r="O2737" s="228"/>
      <c r="P2737" s="844"/>
      <c r="Q2737" s="844"/>
      <c r="R2737" s="844"/>
      <c r="S2737" s="832"/>
      <c r="T2737" s="3082"/>
      <c r="U2737" s="123"/>
      <c r="V2737" s="3990"/>
      <c r="W2737" s="2857">
        <v>869</v>
      </c>
      <c r="X2737" s="2857">
        <v>869</v>
      </c>
      <c r="Y2737" s="696">
        <v>869</v>
      </c>
      <c r="Z2737" s="696">
        <v>869</v>
      </c>
      <c r="AA2737" s="696">
        <v>869</v>
      </c>
      <c r="AB2737" s="696">
        <v>869</v>
      </c>
      <c r="AC2737" s="696">
        <v>869</v>
      </c>
      <c r="AD2737" s="2857"/>
      <c r="AE2737" s="2857"/>
      <c r="AF2737" s="2857"/>
      <c r="AG2737" s="2857"/>
      <c r="AH2737" s="1942"/>
      <c r="AI2737" s="1942"/>
      <c r="AJ2737" s="1942"/>
      <c r="AK2737" s="1942"/>
      <c r="AL2737" s="1942"/>
      <c r="AM2737" s="1942"/>
      <c r="AN2737" s="1942"/>
      <c r="AO2737" s="1942"/>
      <c r="AP2737" s="1942"/>
      <c r="AQ2737" s="1942"/>
      <c r="AR2737" s="1942"/>
      <c r="AS2737" s="1942"/>
      <c r="AT2737" s="1942"/>
      <c r="AU2737" s="1942"/>
      <c r="AV2737" s="1942"/>
      <c r="AW2737" s="1942"/>
      <c r="AX2737" s="1942"/>
      <c r="AY2737" s="1942"/>
      <c r="AZ2737" s="1942"/>
      <c r="BA2737" s="1942"/>
      <c r="BB2737" s="575"/>
      <c r="BC2737" s="576"/>
      <c r="BD2737" s="678"/>
      <c r="BE2737" s="585"/>
    </row>
    <row r="2738" spans="1:57" s="1942" customFormat="1" ht="15" hidden="1" customHeight="1" outlineLevel="1" x14ac:dyDescent="0.25">
      <c r="A2738" s="2060"/>
      <c r="B2738" s="123"/>
      <c r="C2738" s="328"/>
      <c r="D2738" s="3990"/>
      <c r="E2738" s="4009"/>
      <c r="F2738" s="3010" t="str">
        <f>$E$1411</f>
        <v>ASHP-SEER15-Replace_CAC_NonElectricHeat_ER1_SF</v>
      </c>
      <c r="G2738" s="2676"/>
      <c r="H2738" s="2676"/>
      <c r="I2738" s="2677"/>
      <c r="J2738" s="3298" t="str">
        <f>$C$1411</f>
        <v>352310_2021_12_</v>
      </c>
      <c r="K2738" s="3158">
        <v>869</v>
      </c>
      <c r="L2738" s="850"/>
      <c r="M2738" s="3252" t="s">
        <v>1011</v>
      </c>
      <c r="N2738" s="123"/>
      <c r="O2738" s="228"/>
      <c r="P2738" s="844"/>
      <c r="Q2738" s="844"/>
      <c r="R2738" s="844"/>
      <c r="S2738" s="832"/>
      <c r="T2738" s="3082"/>
      <c r="U2738" s="123"/>
      <c r="V2738" s="3990"/>
      <c r="W2738" s="2857"/>
      <c r="X2738" s="2857"/>
      <c r="Y2738" s="696"/>
      <c r="Z2738" s="696"/>
      <c r="AA2738" s="696"/>
      <c r="AB2738" s="696"/>
      <c r="AC2738" s="3158">
        <v>869</v>
      </c>
      <c r="AD2738" s="2857"/>
      <c r="AE2738" s="2857"/>
      <c r="AF2738" s="2857"/>
      <c r="AG2738" s="2857"/>
      <c r="BB2738" s="575"/>
      <c r="BC2738" s="576"/>
      <c r="BD2738" s="678"/>
      <c r="BE2738" s="585"/>
    </row>
    <row r="2739" spans="1:57" s="1942" customFormat="1" ht="15" hidden="1" customHeight="1" outlineLevel="1" x14ac:dyDescent="0.25">
      <c r="A2739" s="2060"/>
      <c r="B2739" s="123"/>
      <c r="C2739" s="328"/>
      <c r="D2739" s="3990"/>
      <c r="E2739" s="4009"/>
      <c r="F2739" s="3010" t="str">
        <f>$E$1413</f>
        <v>ASHP-SEER15-Replace_CAC_NonElectricHeat_ER2_SF</v>
      </c>
      <c r="G2739" s="2676"/>
      <c r="H2739" s="2676"/>
      <c r="I2739" s="2677"/>
      <c r="J2739" s="3298" t="str">
        <f>$C$1413</f>
        <v>352310_2021_12_</v>
      </c>
      <c r="K2739" s="3158">
        <v>869</v>
      </c>
      <c r="L2739" s="850"/>
      <c r="M2739" s="3252" t="s">
        <v>1011</v>
      </c>
      <c r="N2739" s="123"/>
      <c r="O2739" s="228"/>
      <c r="P2739" s="844"/>
      <c r="Q2739" s="844"/>
      <c r="R2739" s="844"/>
      <c r="S2739" s="832"/>
      <c r="T2739" s="3082"/>
      <c r="U2739" s="123"/>
      <c r="V2739" s="3990"/>
      <c r="W2739" s="2857"/>
      <c r="X2739" s="2857"/>
      <c r="Y2739" s="696"/>
      <c r="Z2739" s="696"/>
      <c r="AA2739" s="696"/>
      <c r="AB2739" s="696"/>
      <c r="AC2739" s="3158">
        <v>869</v>
      </c>
      <c r="AD2739" s="2857"/>
      <c r="AE2739" s="2857"/>
      <c r="AF2739" s="2857"/>
      <c r="AG2739" s="2857"/>
      <c r="BB2739" s="575"/>
      <c r="BC2739" s="576"/>
      <c r="BD2739" s="678"/>
      <c r="BE2739" s="585"/>
    </row>
    <row r="2740" spans="1:57" s="51" customFormat="1" ht="15" hidden="1" customHeight="1" outlineLevel="1" x14ac:dyDescent="0.25">
      <c r="A2740" s="2060"/>
      <c r="B2740" s="123"/>
      <c r="C2740" s="328"/>
      <c r="D2740" s="3990"/>
      <c r="E2740" s="4009"/>
      <c r="F2740" s="3010" t="str">
        <f>$E$1415</f>
        <v>ASHP-SEER15_ER1_SF</v>
      </c>
      <c r="G2740" s="2676"/>
      <c r="H2740" s="2676"/>
      <c r="I2740" s="2677"/>
      <c r="J2740" s="3298" t="str">
        <f>$C$1415</f>
        <v>352350_2021_12_</v>
      </c>
      <c r="K2740" s="696">
        <v>869</v>
      </c>
      <c r="L2740" s="850"/>
      <c r="M2740" s="698" t="s">
        <v>1011</v>
      </c>
      <c r="N2740" s="123"/>
      <c r="O2740" s="228"/>
      <c r="P2740" s="844"/>
      <c r="Q2740" s="844"/>
      <c r="R2740" s="844"/>
      <c r="S2740" s="832"/>
      <c r="T2740" s="3082"/>
      <c r="U2740" s="123"/>
      <c r="V2740" s="3990"/>
      <c r="W2740" s="2857">
        <v>869</v>
      </c>
      <c r="X2740" s="2857">
        <v>869</v>
      </c>
      <c r="Y2740" s="696">
        <v>869</v>
      </c>
      <c r="Z2740" s="696">
        <v>869</v>
      </c>
      <c r="AA2740" s="696">
        <v>869</v>
      </c>
      <c r="AB2740" s="696">
        <v>869</v>
      </c>
      <c r="AC2740" s="696">
        <v>869</v>
      </c>
      <c r="AD2740" s="2857"/>
      <c r="AE2740" s="2857"/>
      <c r="AF2740" s="2857"/>
      <c r="AG2740" s="2857"/>
      <c r="AH2740" s="1942"/>
      <c r="AI2740" s="1942"/>
      <c r="AJ2740" s="1942"/>
      <c r="AK2740" s="1942"/>
      <c r="AL2740" s="1942"/>
      <c r="AM2740" s="1942"/>
      <c r="AN2740" s="1942"/>
      <c r="AO2740" s="1942"/>
      <c r="AP2740" s="1942"/>
      <c r="AQ2740" s="1942"/>
      <c r="AR2740" s="1942"/>
      <c r="AS2740" s="1942"/>
      <c r="AT2740" s="1942"/>
      <c r="AU2740" s="1942"/>
      <c r="AV2740" s="1942"/>
      <c r="AW2740" s="1942"/>
      <c r="AX2740" s="1942"/>
      <c r="AY2740" s="1942"/>
      <c r="AZ2740" s="1942"/>
      <c r="BA2740" s="1942"/>
      <c r="BB2740" s="575"/>
      <c r="BC2740" s="576"/>
      <c r="BD2740" s="678"/>
      <c r="BE2740" s="585"/>
    </row>
    <row r="2741" spans="1:57" s="51" customFormat="1" ht="15" hidden="1" customHeight="1" outlineLevel="1" x14ac:dyDescent="0.25">
      <c r="A2741" s="2060"/>
      <c r="B2741" s="123"/>
      <c r="C2741" s="328"/>
      <c r="D2741" s="3990"/>
      <c r="E2741" s="4009"/>
      <c r="F2741" s="3010" t="str">
        <f>$E$1417</f>
        <v>ASHP-SEER15_ER2_SF</v>
      </c>
      <c r="G2741" s="2676"/>
      <c r="H2741" s="2676"/>
      <c r="I2741" s="2677"/>
      <c r="J2741" s="3298" t="str">
        <f>$C$1417</f>
        <v>352350_2021_12_</v>
      </c>
      <c r="K2741" s="696">
        <v>869</v>
      </c>
      <c r="L2741" s="850"/>
      <c r="M2741" s="698" t="s">
        <v>1011</v>
      </c>
      <c r="N2741" s="123"/>
      <c r="O2741" s="228"/>
      <c r="P2741" s="844"/>
      <c r="Q2741" s="844"/>
      <c r="R2741" s="844"/>
      <c r="S2741" s="832"/>
      <c r="T2741" s="3082"/>
      <c r="U2741" s="123"/>
      <c r="V2741" s="3990"/>
      <c r="W2741" s="2857">
        <v>869</v>
      </c>
      <c r="X2741" s="2857">
        <v>869</v>
      </c>
      <c r="Y2741" s="696">
        <v>869</v>
      </c>
      <c r="Z2741" s="696">
        <v>869</v>
      </c>
      <c r="AA2741" s="696">
        <v>869</v>
      </c>
      <c r="AB2741" s="696">
        <v>869</v>
      </c>
      <c r="AC2741" s="696">
        <v>869</v>
      </c>
      <c r="AD2741" s="2857"/>
      <c r="AE2741" s="2857"/>
      <c r="AF2741" s="2857"/>
      <c r="AG2741" s="2857"/>
      <c r="AH2741" s="1942"/>
      <c r="AI2741" s="1942"/>
      <c r="AJ2741" s="1942"/>
      <c r="AK2741" s="1942"/>
      <c r="AL2741" s="1942"/>
      <c r="AM2741" s="1942"/>
      <c r="AN2741" s="1942"/>
      <c r="AO2741" s="1942"/>
      <c r="AP2741" s="1942"/>
      <c r="AQ2741" s="1942"/>
      <c r="AR2741" s="1942"/>
      <c r="AS2741" s="1942"/>
      <c r="AT2741" s="1942"/>
      <c r="AU2741" s="1942"/>
      <c r="AV2741" s="1942"/>
      <c r="AW2741" s="1942"/>
      <c r="AX2741" s="1942"/>
      <c r="AY2741" s="1942"/>
      <c r="AZ2741" s="1942"/>
      <c r="BA2741" s="1942"/>
      <c r="BB2741" s="575"/>
      <c r="BC2741" s="576"/>
      <c r="BD2741" s="678"/>
      <c r="BE2741" s="585"/>
    </row>
    <row r="2742" spans="1:57" s="51" customFormat="1" ht="15" hidden="1" customHeight="1" outlineLevel="1" x14ac:dyDescent="0.25">
      <c r="A2742" s="2060"/>
      <c r="B2742" s="123"/>
      <c r="C2742" s="328"/>
      <c r="D2742" s="3990"/>
      <c r="E2742" s="4009"/>
      <c r="F2742" s="3010" t="str">
        <f>$E$1419</f>
        <v>ASHP-SEER15-Replace_CAC_ElectricHeat_ROF_SF</v>
      </c>
      <c r="G2742" s="2676"/>
      <c r="H2742" s="2676"/>
      <c r="I2742" s="2677"/>
      <c r="J2742" s="3298" t="str">
        <f>$C$1419</f>
        <v>352400_2021_12_</v>
      </c>
      <c r="K2742" s="696">
        <v>869</v>
      </c>
      <c r="L2742" s="850"/>
      <c r="M2742" s="698" t="s">
        <v>1011</v>
      </c>
      <c r="N2742" s="123"/>
      <c r="O2742" s="228"/>
      <c r="P2742" s="844"/>
      <c r="Q2742" s="844"/>
      <c r="R2742" s="844"/>
      <c r="S2742" s="832"/>
      <c r="T2742" s="3082"/>
      <c r="U2742" s="123"/>
      <c r="V2742" s="3990"/>
      <c r="W2742" s="2857">
        <v>869</v>
      </c>
      <c r="X2742" s="2857">
        <v>869</v>
      </c>
      <c r="Y2742" s="696">
        <v>869</v>
      </c>
      <c r="Z2742" s="696">
        <v>869</v>
      </c>
      <c r="AA2742" s="696">
        <v>869</v>
      </c>
      <c r="AB2742" s="696">
        <v>869</v>
      </c>
      <c r="AC2742" s="696">
        <v>869</v>
      </c>
      <c r="AD2742" s="2857"/>
      <c r="AE2742" s="2857"/>
      <c r="AF2742" s="2857"/>
      <c r="AG2742" s="2857"/>
      <c r="AH2742" s="1942"/>
      <c r="AI2742" s="1942"/>
      <c r="AJ2742" s="1942"/>
      <c r="AK2742" s="1942"/>
      <c r="AL2742" s="1942"/>
      <c r="AM2742" s="1942"/>
      <c r="AN2742" s="1942"/>
      <c r="AO2742" s="1942"/>
      <c r="AP2742" s="1942"/>
      <c r="AQ2742" s="1942"/>
      <c r="AR2742" s="1942"/>
      <c r="AS2742" s="1942"/>
      <c r="AT2742" s="1942"/>
      <c r="AU2742" s="1942"/>
      <c r="AV2742" s="1942"/>
      <c r="AW2742" s="1942"/>
      <c r="AX2742" s="1942"/>
      <c r="AY2742" s="1942"/>
      <c r="AZ2742" s="1942"/>
      <c r="BA2742" s="1942"/>
      <c r="BB2742" s="575"/>
      <c r="BC2742" s="576"/>
      <c r="BD2742" s="678"/>
      <c r="BE2742" s="585"/>
    </row>
    <row r="2743" spans="1:57" s="1942" customFormat="1" ht="15" hidden="1" customHeight="1" outlineLevel="1" x14ac:dyDescent="0.25">
      <c r="A2743" s="2060"/>
      <c r="B2743" s="123"/>
      <c r="C2743" s="328"/>
      <c r="D2743" s="3990"/>
      <c r="E2743" s="4009"/>
      <c r="F2743" s="3010" t="str">
        <f>$E$1421</f>
        <v>ASHP-SEER15-Replace_CAC_NonElectricHeat_ROF_SF</v>
      </c>
      <c r="G2743" s="2676"/>
      <c r="H2743" s="2676"/>
      <c r="I2743" s="2677"/>
      <c r="J2743" s="3298" t="str">
        <f>$C$1421</f>
        <v>352410_2021_12_</v>
      </c>
      <c r="K2743" s="3158">
        <v>869</v>
      </c>
      <c r="L2743" s="850"/>
      <c r="M2743" s="3252" t="s">
        <v>1011</v>
      </c>
      <c r="N2743" s="123"/>
      <c r="O2743" s="228"/>
      <c r="P2743" s="844"/>
      <c r="Q2743" s="844"/>
      <c r="R2743" s="844"/>
      <c r="S2743" s="832"/>
      <c r="T2743" s="3082"/>
      <c r="U2743" s="123"/>
      <c r="V2743" s="3990"/>
      <c r="W2743" s="2857"/>
      <c r="X2743" s="2857"/>
      <c r="Y2743" s="696"/>
      <c r="Z2743" s="696"/>
      <c r="AA2743" s="696"/>
      <c r="AB2743" s="696"/>
      <c r="AC2743" s="3158">
        <v>869</v>
      </c>
      <c r="AD2743" s="2857"/>
      <c r="AE2743" s="2857"/>
      <c r="AF2743" s="2857"/>
      <c r="AG2743" s="2857"/>
      <c r="BB2743" s="575"/>
      <c r="BC2743" s="576"/>
      <c r="BD2743" s="678"/>
      <c r="BE2743" s="585"/>
    </row>
    <row r="2744" spans="1:57" s="51" customFormat="1" ht="15" hidden="1" customHeight="1" outlineLevel="1" x14ac:dyDescent="0.25">
      <c r="A2744" s="2060"/>
      <c r="B2744" s="123"/>
      <c r="C2744" s="328"/>
      <c r="D2744" s="3990"/>
      <c r="E2744" s="4009"/>
      <c r="F2744" s="3010" t="str">
        <f>$E$1423</f>
        <v>ASHP-SEER15_ROF_SF</v>
      </c>
      <c r="G2744" s="2676"/>
      <c r="H2744" s="2676"/>
      <c r="I2744" s="2677"/>
      <c r="J2744" s="3298" t="str">
        <f>$C$1423</f>
        <v>352450_2021_12_</v>
      </c>
      <c r="K2744" s="696">
        <v>869</v>
      </c>
      <c r="L2744" s="850"/>
      <c r="M2744" s="698" t="s">
        <v>1011</v>
      </c>
      <c r="N2744" s="123"/>
      <c r="O2744" s="228"/>
      <c r="P2744" s="844"/>
      <c r="Q2744" s="844"/>
      <c r="R2744" s="844"/>
      <c r="S2744" s="832"/>
      <c r="T2744" s="3082"/>
      <c r="U2744" s="123"/>
      <c r="V2744" s="3990"/>
      <c r="W2744" s="2857">
        <v>869</v>
      </c>
      <c r="X2744" s="2857">
        <v>869</v>
      </c>
      <c r="Y2744" s="696">
        <v>869</v>
      </c>
      <c r="Z2744" s="696">
        <v>869</v>
      </c>
      <c r="AA2744" s="696">
        <v>869</v>
      </c>
      <c r="AB2744" s="696">
        <v>869</v>
      </c>
      <c r="AC2744" s="696">
        <v>869</v>
      </c>
      <c r="AD2744" s="2857"/>
      <c r="AE2744" s="2857"/>
      <c r="AF2744" s="2857"/>
      <c r="AG2744" s="2857"/>
      <c r="AH2744" s="1942"/>
      <c r="AI2744" s="1942"/>
      <c r="AJ2744" s="1942"/>
      <c r="AK2744" s="1942"/>
      <c r="AL2744" s="1942"/>
      <c r="AM2744" s="1942"/>
      <c r="AN2744" s="1942"/>
      <c r="AO2744" s="1942"/>
      <c r="AP2744" s="1942"/>
      <c r="AQ2744" s="1942"/>
      <c r="AR2744" s="1942"/>
      <c r="AS2744" s="1942"/>
      <c r="AT2744" s="1942"/>
      <c r="AU2744" s="1942"/>
      <c r="AV2744" s="1942"/>
      <c r="AW2744" s="1942"/>
      <c r="AX2744" s="1942"/>
      <c r="AY2744" s="1942"/>
      <c r="AZ2744" s="1942"/>
      <c r="BA2744" s="1942"/>
      <c r="BB2744" s="575"/>
      <c r="BC2744" s="576"/>
      <c r="BD2744" s="678"/>
      <c r="BE2744" s="585"/>
    </row>
    <row r="2745" spans="1:57" s="51" customFormat="1" ht="15" hidden="1" customHeight="1" outlineLevel="1" x14ac:dyDescent="0.25">
      <c r="A2745" s="2060"/>
      <c r="B2745" s="123"/>
      <c r="C2745" s="328"/>
      <c r="D2745" s="3990"/>
      <c r="E2745" s="4009"/>
      <c r="F2745" s="3010" t="str">
        <f>$E$1425</f>
        <v>ASHP-SEER16-Replace_CAC_ElectricHeat_ER1_SF</v>
      </c>
      <c r="G2745" s="2676"/>
      <c r="H2745" s="2676"/>
      <c r="I2745" s="2677"/>
      <c r="J2745" s="3298" t="str">
        <f>$C$1425</f>
        <v>352500_2021_12_</v>
      </c>
      <c r="K2745" s="696">
        <v>869</v>
      </c>
      <c r="L2745" s="850"/>
      <c r="M2745" s="698" t="s">
        <v>1011</v>
      </c>
      <c r="N2745" s="123"/>
      <c r="O2745" s="228"/>
      <c r="P2745" s="844"/>
      <c r="Q2745" s="844"/>
      <c r="R2745" s="844"/>
      <c r="S2745" s="832"/>
      <c r="T2745" s="3082"/>
      <c r="U2745" s="123"/>
      <c r="V2745" s="3990"/>
      <c r="W2745" s="2857">
        <v>869</v>
      </c>
      <c r="X2745" s="2857">
        <v>869</v>
      </c>
      <c r="Y2745" s="696">
        <v>869</v>
      </c>
      <c r="Z2745" s="696">
        <v>869</v>
      </c>
      <c r="AA2745" s="696">
        <v>869</v>
      </c>
      <c r="AB2745" s="696">
        <v>869</v>
      </c>
      <c r="AC2745" s="696">
        <v>869</v>
      </c>
      <c r="AD2745" s="2857"/>
      <c r="AE2745" s="2857"/>
      <c r="AF2745" s="2857"/>
      <c r="AG2745" s="2857"/>
      <c r="AH2745" s="1942"/>
      <c r="AI2745" s="1942"/>
      <c r="AJ2745" s="1942"/>
      <c r="AK2745" s="1942"/>
      <c r="AL2745" s="1942"/>
      <c r="AM2745" s="1942"/>
      <c r="AN2745" s="1942"/>
      <c r="AO2745" s="1942"/>
      <c r="AP2745" s="1942"/>
      <c r="AQ2745" s="1942"/>
      <c r="AR2745" s="1942"/>
      <c r="AS2745" s="1942"/>
      <c r="AT2745" s="1942"/>
      <c r="AU2745" s="1942"/>
      <c r="AV2745" s="1942"/>
      <c r="AW2745" s="1942"/>
      <c r="AX2745" s="1942"/>
      <c r="AY2745" s="1942"/>
      <c r="AZ2745" s="1942"/>
      <c r="BA2745" s="1942"/>
      <c r="BB2745" s="575"/>
      <c r="BC2745" s="576"/>
      <c r="BD2745" s="678"/>
      <c r="BE2745" s="585"/>
    </row>
    <row r="2746" spans="1:57" s="51" customFormat="1" ht="15" hidden="1" customHeight="1" outlineLevel="1" x14ac:dyDescent="0.25">
      <c r="A2746" s="2060"/>
      <c r="B2746" s="123"/>
      <c r="C2746" s="328"/>
      <c r="D2746" s="3990"/>
      <c r="E2746" s="4009"/>
      <c r="F2746" s="3010" t="str">
        <f>$E$1427</f>
        <v>ASHP-SEER16-Replace_CAC_ElectricHeat_ER2_SF</v>
      </c>
      <c r="G2746" s="2676"/>
      <c r="H2746" s="2676"/>
      <c r="I2746" s="2677"/>
      <c r="J2746" s="3298" t="str">
        <f>$C$1427</f>
        <v>352500_2021_12_</v>
      </c>
      <c r="K2746" s="696">
        <v>869</v>
      </c>
      <c r="L2746" s="850"/>
      <c r="M2746" s="698" t="s">
        <v>1011</v>
      </c>
      <c r="N2746" s="123"/>
      <c r="O2746" s="228"/>
      <c r="P2746" s="844"/>
      <c r="Q2746" s="844"/>
      <c r="R2746" s="844"/>
      <c r="S2746" s="832"/>
      <c r="T2746" s="3082"/>
      <c r="U2746" s="123"/>
      <c r="V2746" s="3990"/>
      <c r="W2746" s="2857">
        <v>869</v>
      </c>
      <c r="X2746" s="2857">
        <v>869</v>
      </c>
      <c r="Y2746" s="696">
        <v>869</v>
      </c>
      <c r="Z2746" s="696">
        <v>869</v>
      </c>
      <c r="AA2746" s="696">
        <v>869</v>
      </c>
      <c r="AB2746" s="696">
        <v>869</v>
      </c>
      <c r="AC2746" s="696">
        <v>869</v>
      </c>
      <c r="AD2746" s="2857"/>
      <c r="AE2746" s="2857"/>
      <c r="AF2746" s="2857"/>
      <c r="AG2746" s="2857"/>
      <c r="AH2746" s="1942"/>
      <c r="AI2746" s="1942"/>
      <c r="AJ2746" s="1942"/>
      <c r="AK2746" s="1942"/>
      <c r="AL2746" s="1942"/>
      <c r="AM2746" s="1942"/>
      <c r="AN2746" s="1942"/>
      <c r="AO2746" s="1942"/>
      <c r="AP2746" s="1942"/>
      <c r="AQ2746" s="1942"/>
      <c r="AR2746" s="1942"/>
      <c r="AS2746" s="1942"/>
      <c r="AT2746" s="1942"/>
      <c r="AU2746" s="1942"/>
      <c r="AV2746" s="1942"/>
      <c r="AW2746" s="1942"/>
      <c r="AX2746" s="1942"/>
      <c r="AY2746" s="1942"/>
      <c r="AZ2746" s="1942"/>
      <c r="BA2746" s="1942"/>
      <c r="BB2746" s="575"/>
      <c r="BC2746" s="576"/>
      <c r="BD2746" s="678"/>
      <c r="BE2746" s="585"/>
    </row>
    <row r="2747" spans="1:57" s="1942" customFormat="1" ht="15" hidden="1" customHeight="1" outlineLevel="1" x14ac:dyDescent="0.25">
      <c r="A2747" s="2060"/>
      <c r="B2747" s="123"/>
      <c r="C2747" s="328"/>
      <c r="D2747" s="3990"/>
      <c r="E2747" s="4009"/>
      <c r="F2747" s="3010" t="str">
        <f>$E$1429</f>
        <v>ASHP-SEER16-Replace_CAC_NonElectricHeat_ER1_SF</v>
      </c>
      <c r="G2747" s="2676"/>
      <c r="H2747" s="2676"/>
      <c r="I2747" s="2677"/>
      <c r="J2747" s="3298" t="str">
        <f>$C$1429</f>
        <v>352510_2021_12_</v>
      </c>
      <c r="K2747" s="3158">
        <v>869</v>
      </c>
      <c r="L2747" s="850"/>
      <c r="M2747" s="3252" t="s">
        <v>1011</v>
      </c>
      <c r="N2747" s="123"/>
      <c r="O2747" s="228"/>
      <c r="P2747" s="844"/>
      <c r="Q2747" s="844"/>
      <c r="R2747" s="844"/>
      <c r="S2747" s="832"/>
      <c r="T2747" s="3082"/>
      <c r="U2747" s="123"/>
      <c r="V2747" s="3990"/>
      <c r="W2747" s="2857"/>
      <c r="X2747" s="2857"/>
      <c r="Y2747" s="696"/>
      <c r="Z2747" s="696"/>
      <c r="AA2747" s="696"/>
      <c r="AB2747" s="696"/>
      <c r="AC2747" s="3158">
        <v>869</v>
      </c>
      <c r="AD2747" s="2857"/>
      <c r="AE2747" s="2857"/>
      <c r="AF2747" s="2857"/>
      <c r="AG2747" s="2857"/>
      <c r="BB2747" s="575"/>
      <c r="BC2747" s="576"/>
      <c r="BD2747" s="678"/>
      <c r="BE2747" s="585"/>
    </row>
    <row r="2748" spans="1:57" s="1942" customFormat="1" ht="15" hidden="1" customHeight="1" outlineLevel="1" x14ac:dyDescent="0.25">
      <c r="A2748" s="2060"/>
      <c r="B2748" s="123"/>
      <c r="C2748" s="328"/>
      <c r="D2748" s="3990"/>
      <c r="E2748" s="4009"/>
      <c r="F2748" s="3010" t="str">
        <f>$E$1431</f>
        <v>ASHP-SEER16-Replace_CAC_NonElectricHeat_ER2_SF</v>
      </c>
      <c r="G2748" s="2676"/>
      <c r="H2748" s="2676"/>
      <c r="I2748" s="2677"/>
      <c r="J2748" s="3298" t="str">
        <f>$C$1431</f>
        <v>352510_2021_12_</v>
      </c>
      <c r="K2748" s="3158">
        <v>869</v>
      </c>
      <c r="L2748" s="850"/>
      <c r="M2748" s="3252" t="s">
        <v>1011</v>
      </c>
      <c r="N2748" s="123"/>
      <c r="O2748" s="228"/>
      <c r="P2748" s="844"/>
      <c r="Q2748" s="844"/>
      <c r="R2748" s="844"/>
      <c r="S2748" s="832"/>
      <c r="T2748" s="3082"/>
      <c r="U2748" s="123"/>
      <c r="V2748" s="3990"/>
      <c r="W2748" s="2857"/>
      <c r="X2748" s="2857"/>
      <c r="Y2748" s="696"/>
      <c r="Z2748" s="696"/>
      <c r="AA2748" s="696"/>
      <c r="AB2748" s="696"/>
      <c r="AC2748" s="3158">
        <v>869</v>
      </c>
      <c r="AD2748" s="2857"/>
      <c r="AE2748" s="2857"/>
      <c r="AF2748" s="2857"/>
      <c r="AG2748" s="2857"/>
      <c r="BB2748" s="575"/>
      <c r="BC2748" s="576"/>
      <c r="BD2748" s="678"/>
      <c r="BE2748" s="585"/>
    </row>
    <row r="2749" spans="1:57" s="51" customFormat="1" ht="15" hidden="1" customHeight="1" outlineLevel="1" x14ac:dyDescent="0.25">
      <c r="A2749" s="2060"/>
      <c r="B2749" s="123"/>
      <c r="C2749" s="328"/>
      <c r="D2749" s="3990"/>
      <c r="E2749" s="4009"/>
      <c r="F2749" s="3010" t="str">
        <f>$E$1433</f>
        <v>ASHP-SEER16_ER1_SF</v>
      </c>
      <c r="G2749" s="2676"/>
      <c r="H2749" s="2676"/>
      <c r="I2749" s="2677"/>
      <c r="J2749" s="3298" t="str">
        <f>$C$1433</f>
        <v>352550_2021_12_</v>
      </c>
      <c r="K2749" s="696">
        <v>869</v>
      </c>
      <c r="L2749" s="850"/>
      <c r="M2749" s="698" t="s">
        <v>1011</v>
      </c>
      <c r="N2749" s="123"/>
      <c r="O2749" s="228"/>
      <c r="P2749" s="844"/>
      <c r="Q2749" s="844"/>
      <c r="R2749" s="844"/>
      <c r="S2749" s="832"/>
      <c r="T2749" s="3082"/>
      <c r="U2749" s="123"/>
      <c r="V2749" s="3990"/>
      <c r="W2749" s="2857">
        <v>869</v>
      </c>
      <c r="X2749" s="2857">
        <v>869</v>
      </c>
      <c r="Y2749" s="696">
        <v>869</v>
      </c>
      <c r="Z2749" s="696">
        <v>869</v>
      </c>
      <c r="AA2749" s="696">
        <v>869</v>
      </c>
      <c r="AB2749" s="696">
        <v>869</v>
      </c>
      <c r="AC2749" s="696">
        <v>869</v>
      </c>
      <c r="AD2749" s="2857"/>
      <c r="AE2749" s="2857"/>
      <c r="AF2749" s="2857"/>
      <c r="AG2749" s="2857"/>
      <c r="AH2749" s="1942"/>
      <c r="AI2749" s="1942"/>
      <c r="AJ2749" s="1942"/>
      <c r="AK2749" s="1942"/>
      <c r="AL2749" s="1942"/>
      <c r="AM2749" s="1942"/>
      <c r="AN2749" s="1942"/>
      <c r="AO2749" s="1942"/>
      <c r="AP2749" s="1942"/>
      <c r="AQ2749" s="1942"/>
      <c r="AR2749" s="1942"/>
      <c r="AS2749" s="1942"/>
      <c r="AT2749" s="1942"/>
      <c r="AU2749" s="1942"/>
      <c r="AV2749" s="1942"/>
      <c r="AW2749" s="1942"/>
      <c r="AX2749" s="1942"/>
      <c r="AY2749" s="1942"/>
      <c r="AZ2749" s="1942"/>
      <c r="BA2749" s="1942"/>
      <c r="BB2749" s="575"/>
      <c r="BC2749" s="576"/>
      <c r="BD2749" s="678"/>
      <c r="BE2749" s="585"/>
    </row>
    <row r="2750" spans="1:57" s="51" customFormat="1" ht="15" hidden="1" customHeight="1" outlineLevel="1" x14ac:dyDescent="0.25">
      <c r="A2750" s="2060"/>
      <c r="B2750" s="123"/>
      <c r="C2750" s="328"/>
      <c r="D2750" s="3990"/>
      <c r="E2750" s="4009"/>
      <c r="F2750" s="3010" t="str">
        <f>$E$1435</f>
        <v>ASHP-SEER16_ER2_SF</v>
      </c>
      <c r="G2750" s="2676"/>
      <c r="H2750" s="2676"/>
      <c r="I2750" s="2677"/>
      <c r="J2750" s="3298" t="str">
        <f>$C$1435</f>
        <v>352550_2021_12_</v>
      </c>
      <c r="K2750" s="696">
        <v>869</v>
      </c>
      <c r="L2750" s="851"/>
      <c r="M2750" s="698" t="s">
        <v>1011</v>
      </c>
      <c r="N2750" s="123"/>
      <c r="O2750" s="228"/>
      <c r="P2750" s="844"/>
      <c r="Q2750" s="844"/>
      <c r="R2750" s="844"/>
      <c r="S2750" s="832"/>
      <c r="T2750" s="3082"/>
      <c r="U2750" s="123"/>
      <c r="V2750" s="3990"/>
      <c r="W2750" s="2857">
        <v>869</v>
      </c>
      <c r="X2750" s="2857">
        <v>869</v>
      </c>
      <c r="Y2750" s="696">
        <v>869</v>
      </c>
      <c r="Z2750" s="696">
        <v>869</v>
      </c>
      <c r="AA2750" s="696">
        <v>869</v>
      </c>
      <c r="AB2750" s="696">
        <v>869</v>
      </c>
      <c r="AC2750" s="696">
        <v>869</v>
      </c>
      <c r="AD2750" s="2857"/>
      <c r="AE2750" s="2857"/>
      <c r="AF2750" s="2857"/>
      <c r="AG2750" s="2857"/>
      <c r="AH2750" s="1942"/>
      <c r="AI2750" s="1942"/>
      <c r="AJ2750" s="1942"/>
      <c r="AK2750" s="1942"/>
      <c r="AL2750" s="1942"/>
      <c r="AM2750" s="1942"/>
      <c r="AN2750" s="1942"/>
      <c r="AO2750" s="1942"/>
      <c r="AP2750" s="1942"/>
      <c r="AQ2750" s="1942"/>
      <c r="AR2750" s="1942"/>
      <c r="AS2750" s="1942"/>
      <c r="AT2750" s="1942"/>
      <c r="AU2750" s="1942"/>
      <c r="AV2750" s="1942"/>
      <c r="AW2750" s="1942"/>
      <c r="AX2750" s="1942"/>
      <c r="AY2750" s="1942"/>
      <c r="AZ2750" s="1942"/>
      <c r="BA2750" s="1942"/>
      <c r="BB2750" s="575"/>
      <c r="BC2750" s="576"/>
      <c r="BD2750" s="678"/>
      <c r="BE2750" s="585"/>
    </row>
    <row r="2751" spans="1:57" s="51" customFormat="1" ht="15" hidden="1" customHeight="1" outlineLevel="1" x14ac:dyDescent="0.25">
      <c r="A2751" s="2060"/>
      <c r="B2751" s="123"/>
      <c r="C2751" s="328"/>
      <c r="D2751" s="3990"/>
      <c r="E2751" s="4009"/>
      <c r="F2751" s="3010" t="str">
        <f>$E$1437</f>
        <v>ASHP-SEER16-Replace_CAC_ElectricHeat_ROF_SF</v>
      </c>
      <c r="G2751" s="2676"/>
      <c r="H2751" s="2676"/>
      <c r="I2751" s="2677"/>
      <c r="J2751" s="3298" t="str">
        <f>$C$1437</f>
        <v>352600_2021_12_</v>
      </c>
      <c r="K2751" s="696">
        <v>869</v>
      </c>
      <c r="L2751" s="851"/>
      <c r="M2751" s="698" t="s">
        <v>1011</v>
      </c>
      <c r="N2751" s="123"/>
      <c r="O2751" s="228"/>
      <c r="P2751" s="844"/>
      <c r="Q2751" s="844"/>
      <c r="R2751" s="844"/>
      <c r="S2751" s="832"/>
      <c r="T2751" s="3082"/>
      <c r="U2751" s="123"/>
      <c r="V2751" s="3990"/>
      <c r="W2751" s="2857">
        <v>869</v>
      </c>
      <c r="X2751" s="2857">
        <v>869</v>
      </c>
      <c r="Y2751" s="696">
        <v>869</v>
      </c>
      <c r="Z2751" s="696">
        <v>869</v>
      </c>
      <c r="AA2751" s="696">
        <v>869</v>
      </c>
      <c r="AB2751" s="696">
        <v>869</v>
      </c>
      <c r="AC2751" s="696">
        <v>869</v>
      </c>
      <c r="AD2751" s="2857"/>
      <c r="AE2751" s="2857"/>
      <c r="AF2751" s="2857"/>
      <c r="AG2751" s="2857"/>
      <c r="AH2751" s="1942"/>
      <c r="AI2751" s="1942"/>
      <c r="AJ2751" s="1942"/>
      <c r="AK2751" s="1942"/>
      <c r="AL2751" s="1942"/>
      <c r="AM2751" s="1942"/>
      <c r="AN2751" s="1942"/>
      <c r="AO2751" s="1942"/>
      <c r="AP2751" s="1942"/>
      <c r="AQ2751" s="1942"/>
      <c r="AR2751" s="1942"/>
      <c r="AS2751" s="1942"/>
      <c r="AT2751" s="1942"/>
      <c r="AU2751" s="1942"/>
      <c r="AV2751" s="1942"/>
      <c r="AW2751" s="1942"/>
      <c r="AX2751" s="1942"/>
      <c r="AY2751" s="1942"/>
      <c r="AZ2751" s="1942"/>
      <c r="BA2751" s="1942"/>
      <c r="BB2751" s="575"/>
      <c r="BC2751" s="576"/>
      <c r="BD2751" s="678"/>
      <c r="BE2751" s="585"/>
    </row>
    <row r="2752" spans="1:57" s="51" customFormat="1" ht="15" hidden="1" customHeight="1" outlineLevel="1" x14ac:dyDescent="0.25">
      <c r="A2752" s="2060"/>
      <c r="B2752" s="123"/>
      <c r="C2752" s="328"/>
      <c r="D2752" s="3990"/>
      <c r="E2752" s="4009"/>
      <c r="F2752" s="3010" t="str">
        <f>$E$1439</f>
        <v>ASHP-SEER16_ROF_SF</v>
      </c>
      <c r="G2752" s="2676"/>
      <c r="H2752" s="2676"/>
      <c r="I2752" s="2677"/>
      <c r="J2752" s="3298" t="str">
        <f>$C$1439</f>
        <v>352650_2021_12_</v>
      </c>
      <c r="K2752" s="696">
        <v>869</v>
      </c>
      <c r="L2752" s="851"/>
      <c r="M2752" s="698" t="s">
        <v>1011</v>
      </c>
      <c r="N2752" s="123"/>
      <c r="O2752" s="228"/>
      <c r="P2752" s="844"/>
      <c r="Q2752" s="844"/>
      <c r="R2752" s="844"/>
      <c r="S2752" s="832"/>
      <c r="T2752" s="3082"/>
      <c r="U2752" s="123"/>
      <c r="V2752" s="3990"/>
      <c r="W2752" s="2857">
        <v>869</v>
      </c>
      <c r="X2752" s="2857">
        <v>869</v>
      </c>
      <c r="Y2752" s="696">
        <v>869</v>
      </c>
      <c r="Z2752" s="696">
        <v>869</v>
      </c>
      <c r="AA2752" s="696">
        <v>869</v>
      </c>
      <c r="AB2752" s="696">
        <v>869</v>
      </c>
      <c r="AC2752" s="696">
        <v>869</v>
      </c>
      <c r="AD2752" s="2857"/>
      <c r="AE2752" s="2857"/>
      <c r="AF2752" s="2857"/>
      <c r="AG2752" s="2857"/>
      <c r="AH2752" s="1942"/>
      <c r="AI2752" s="1942"/>
      <c r="AJ2752" s="1942"/>
      <c r="AK2752" s="1942"/>
      <c r="AL2752" s="1942"/>
      <c r="AM2752" s="1942"/>
      <c r="AN2752" s="1942"/>
      <c r="AO2752" s="1942"/>
      <c r="AP2752" s="1942"/>
      <c r="AQ2752" s="1942"/>
      <c r="AR2752" s="1942"/>
      <c r="AS2752" s="1942"/>
      <c r="AT2752" s="1942"/>
      <c r="AU2752" s="1942"/>
      <c r="AV2752" s="1942"/>
      <c r="AW2752" s="1942"/>
      <c r="AX2752" s="1942"/>
      <c r="AY2752" s="1942"/>
      <c r="AZ2752" s="1942"/>
      <c r="BA2752" s="1942"/>
      <c r="BB2752" s="575"/>
      <c r="BC2752" s="576"/>
      <c r="BD2752" s="678"/>
      <c r="BE2752" s="585"/>
    </row>
    <row r="2753" spans="1:57" s="51" customFormat="1" ht="15" hidden="1" customHeight="1" outlineLevel="1" x14ac:dyDescent="0.25">
      <c r="A2753" s="2060"/>
      <c r="B2753" s="123"/>
      <c r="C2753" s="328"/>
      <c r="D2753" s="3990"/>
      <c r="E2753" s="4009"/>
      <c r="F2753" s="3010" t="str">
        <f>$E$1441</f>
        <v>ASHP-SEER15_ER1_MF</v>
      </c>
      <c r="G2753" s="2676"/>
      <c r="H2753" s="2676"/>
      <c r="I2753" s="2677"/>
      <c r="J2753" s="3298" t="str">
        <f>$C$1441</f>
        <v>352700_2021_12_</v>
      </c>
      <c r="K2753" s="696">
        <v>869</v>
      </c>
      <c r="L2753" s="851"/>
      <c r="M2753" s="698" t="s">
        <v>1011</v>
      </c>
      <c r="N2753" s="123"/>
      <c r="O2753" s="228"/>
      <c r="P2753" s="844"/>
      <c r="Q2753" s="844"/>
      <c r="R2753" s="844"/>
      <c r="S2753" s="832"/>
      <c r="T2753" s="3082"/>
      <c r="U2753" s="123"/>
      <c r="V2753" s="3990"/>
      <c r="W2753" s="2857">
        <v>869</v>
      </c>
      <c r="X2753" s="2857">
        <v>869</v>
      </c>
      <c r="Y2753" s="696">
        <v>869</v>
      </c>
      <c r="Z2753" s="696">
        <v>869</v>
      </c>
      <c r="AA2753" s="696">
        <v>869</v>
      </c>
      <c r="AB2753" s="696">
        <v>869</v>
      </c>
      <c r="AC2753" s="696">
        <v>869</v>
      </c>
      <c r="AD2753" s="2857"/>
      <c r="AE2753" s="2857"/>
      <c r="AF2753" s="2857"/>
      <c r="AG2753" s="2857"/>
      <c r="AH2753" s="1942"/>
      <c r="AI2753" s="1942"/>
      <c r="AJ2753" s="1942"/>
      <c r="AK2753" s="1942"/>
      <c r="AL2753" s="1942"/>
      <c r="AM2753" s="1942"/>
      <c r="AN2753" s="1942"/>
      <c r="AO2753" s="1942"/>
      <c r="AP2753" s="1942"/>
      <c r="AQ2753" s="1942"/>
      <c r="AR2753" s="1942"/>
      <c r="AS2753" s="1942"/>
      <c r="AT2753" s="1942"/>
      <c r="AU2753" s="1942"/>
      <c r="AV2753" s="1942"/>
      <c r="AW2753" s="1942"/>
      <c r="AX2753" s="1942"/>
      <c r="AY2753" s="1942"/>
      <c r="AZ2753" s="1942"/>
      <c r="BA2753" s="1942"/>
      <c r="BB2753" s="575"/>
      <c r="BC2753" s="576"/>
      <c r="BD2753" s="678"/>
      <c r="BE2753" s="585"/>
    </row>
    <row r="2754" spans="1:57" s="51" customFormat="1" ht="15" hidden="1" customHeight="1" outlineLevel="1" x14ac:dyDescent="0.25">
      <c r="A2754" s="2060"/>
      <c r="B2754" s="123"/>
      <c r="C2754" s="328"/>
      <c r="D2754" s="3990"/>
      <c r="E2754" s="4009"/>
      <c r="F2754" s="3010" t="str">
        <f>$E$1443</f>
        <v>ASHP-SEER15_ER2_MF</v>
      </c>
      <c r="G2754" s="2676"/>
      <c r="H2754" s="2676"/>
      <c r="I2754" s="2677"/>
      <c r="J2754" s="3298" t="str">
        <f>$C$1443</f>
        <v>352700_2021_12_</v>
      </c>
      <c r="K2754" s="696">
        <v>869</v>
      </c>
      <c r="L2754" s="851"/>
      <c r="M2754" s="698" t="s">
        <v>1011</v>
      </c>
      <c r="N2754" s="123"/>
      <c r="O2754" s="228"/>
      <c r="P2754" s="844"/>
      <c r="Q2754" s="844"/>
      <c r="R2754" s="844"/>
      <c r="S2754" s="832"/>
      <c r="T2754" s="3082"/>
      <c r="U2754" s="123"/>
      <c r="V2754" s="3990"/>
      <c r="W2754" s="2857">
        <v>869</v>
      </c>
      <c r="X2754" s="2857">
        <v>869</v>
      </c>
      <c r="Y2754" s="696">
        <v>869</v>
      </c>
      <c r="Z2754" s="696">
        <v>869</v>
      </c>
      <c r="AA2754" s="696">
        <v>869</v>
      </c>
      <c r="AB2754" s="696">
        <v>869</v>
      </c>
      <c r="AC2754" s="696">
        <v>869</v>
      </c>
      <c r="AD2754" s="2857"/>
      <c r="AE2754" s="2857"/>
      <c r="AF2754" s="2857"/>
      <c r="AG2754" s="2857"/>
      <c r="AH2754" s="1942"/>
      <c r="AI2754" s="1942"/>
      <c r="AJ2754" s="1942"/>
      <c r="AK2754" s="1942"/>
      <c r="AL2754" s="1942"/>
      <c r="AM2754" s="1942"/>
      <c r="AN2754" s="1942"/>
      <c r="AO2754" s="1942"/>
      <c r="AP2754" s="1942"/>
      <c r="AQ2754" s="1942"/>
      <c r="AR2754" s="1942"/>
      <c r="AS2754" s="1942"/>
      <c r="AT2754" s="1942"/>
      <c r="AU2754" s="1942"/>
      <c r="AV2754" s="1942"/>
      <c r="AW2754" s="1942"/>
      <c r="AX2754" s="1942"/>
      <c r="AY2754" s="1942"/>
      <c r="AZ2754" s="1942"/>
      <c r="BA2754" s="1942"/>
      <c r="BB2754" s="575"/>
      <c r="BC2754" s="576"/>
      <c r="BD2754" s="678"/>
      <c r="BE2754" s="585"/>
    </row>
    <row r="2755" spans="1:57" s="51" customFormat="1" ht="15" hidden="1" customHeight="1" outlineLevel="1" x14ac:dyDescent="0.25">
      <c r="A2755" s="2060"/>
      <c r="B2755" s="123"/>
      <c r="C2755" s="328"/>
      <c r="D2755" s="3990"/>
      <c r="E2755" s="4009"/>
      <c r="F2755" s="3010" t="str">
        <f>$E$1445</f>
        <v>ASHP-SEER15_ER1_MF_CompE</v>
      </c>
      <c r="G2755" s="2676"/>
      <c r="H2755" s="2676"/>
      <c r="I2755" s="2677"/>
      <c r="J2755" s="3298" t="str">
        <f>$C$1445</f>
        <v>352701_2021_12_</v>
      </c>
      <c r="K2755" s="696">
        <v>632</v>
      </c>
      <c r="L2755" s="851"/>
      <c r="M2755" s="786" t="s">
        <v>528</v>
      </c>
      <c r="N2755" s="123"/>
      <c r="O2755" s="228"/>
      <c r="P2755" s="844"/>
      <c r="Q2755" s="844"/>
      <c r="R2755" s="844"/>
      <c r="S2755" s="832"/>
      <c r="T2755" s="3082"/>
      <c r="U2755" s="123"/>
      <c r="V2755" s="3990"/>
      <c r="W2755" s="2857"/>
      <c r="X2755" s="2857"/>
      <c r="Y2755" s="3158">
        <v>632</v>
      </c>
      <c r="Z2755" s="696">
        <v>632</v>
      </c>
      <c r="AA2755" s="696">
        <v>632</v>
      </c>
      <c r="AB2755" s="696">
        <v>632</v>
      </c>
      <c r="AC2755" s="696">
        <v>632</v>
      </c>
      <c r="AD2755" s="2857"/>
      <c r="AE2755" s="2857"/>
      <c r="AF2755" s="2857"/>
      <c r="AG2755" s="2857"/>
      <c r="AH2755" s="1942"/>
      <c r="AI2755" s="1942"/>
      <c r="AJ2755" s="1942"/>
      <c r="AK2755" s="1942"/>
      <c r="AL2755" s="1942"/>
      <c r="AM2755" s="1942"/>
      <c r="AN2755" s="1942"/>
      <c r="AO2755" s="1942"/>
      <c r="AP2755" s="1942"/>
      <c r="AQ2755" s="1942"/>
      <c r="AR2755" s="1942"/>
      <c r="AS2755" s="1942"/>
      <c r="AT2755" s="1942"/>
      <c r="AU2755" s="1942"/>
      <c r="AV2755" s="1942"/>
      <c r="AW2755" s="1942"/>
      <c r="AX2755" s="1942"/>
      <c r="AY2755" s="1942"/>
      <c r="AZ2755" s="1942"/>
      <c r="BA2755" s="1942"/>
      <c r="BB2755" s="575"/>
      <c r="BC2755" s="576"/>
      <c r="BD2755" s="678"/>
      <c r="BE2755" s="585"/>
    </row>
    <row r="2756" spans="1:57" s="51" customFormat="1" ht="15" hidden="1" customHeight="1" outlineLevel="1" x14ac:dyDescent="0.25">
      <c r="A2756" s="2060"/>
      <c r="B2756" s="123"/>
      <c r="C2756" s="328"/>
      <c r="D2756" s="3990"/>
      <c r="E2756" s="4009"/>
      <c r="F2756" s="3010" t="str">
        <f>$E$1447</f>
        <v>ASHP-SEER15_ER2_MF_CompE</v>
      </c>
      <c r="G2756" s="2676"/>
      <c r="H2756" s="2676"/>
      <c r="I2756" s="2677"/>
      <c r="J2756" s="3298" t="str">
        <f>$C$1447</f>
        <v>352701_2021_12_</v>
      </c>
      <c r="K2756" s="696">
        <f>$K$2755</f>
        <v>632</v>
      </c>
      <c r="L2756" s="851"/>
      <c r="M2756" s="786" t="s">
        <v>528</v>
      </c>
      <c r="N2756" s="123"/>
      <c r="O2756" s="228"/>
      <c r="P2756" s="844"/>
      <c r="Q2756" s="844"/>
      <c r="R2756" s="844"/>
      <c r="S2756" s="832"/>
      <c r="T2756" s="3082"/>
      <c r="U2756" s="123"/>
      <c r="V2756" s="3990"/>
      <c r="W2756" s="2857"/>
      <c r="X2756" s="2857"/>
      <c r="Y2756" s="3158">
        <f>$K$2755</f>
        <v>632</v>
      </c>
      <c r="Z2756" s="696">
        <f t="shared" ref="Z2756:AA2756" si="204">$K$2755</f>
        <v>632</v>
      </c>
      <c r="AA2756" s="696">
        <f t="shared" si="204"/>
        <v>632</v>
      </c>
      <c r="AB2756" s="696">
        <v>632</v>
      </c>
      <c r="AC2756" s="696">
        <f>$K$2755</f>
        <v>632</v>
      </c>
      <c r="AD2756" s="2857"/>
      <c r="AE2756" s="2857"/>
      <c r="AF2756" s="2857"/>
      <c r="AG2756" s="2857"/>
      <c r="AH2756" s="1942"/>
      <c r="AI2756" s="1942"/>
      <c r="AJ2756" s="1942"/>
      <c r="AK2756" s="1942"/>
      <c r="AL2756" s="1942"/>
      <c r="AM2756" s="1942"/>
      <c r="AN2756" s="1942"/>
      <c r="AO2756" s="1942"/>
      <c r="AP2756" s="1942"/>
      <c r="AQ2756" s="1942"/>
      <c r="AR2756" s="1942"/>
      <c r="AS2756" s="1942"/>
      <c r="AT2756" s="1942"/>
      <c r="AU2756" s="1942"/>
      <c r="AV2756" s="1942"/>
      <c r="AW2756" s="1942"/>
      <c r="AX2756" s="1942"/>
      <c r="AY2756" s="1942"/>
      <c r="AZ2756" s="1942"/>
      <c r="BA2756" s="1942"/>
      <c r="BB2756" s="575"/>
      <c r="BC2756" s="576"/>
      <c r="BD2756" s="678"/>
      <c r="BE2756" s="585"/>
    </row>
    <row r="2757" spans="1:57" s="51" customFormat="1" ht="15" hidden="1" customHeight="1" outlineLevel="1" x14ac:dyDescent="0.25">
      <c r="A2757" s="2060"/>
      <c r="B2757" s="123"/>
      <c r="C2757" s="328"/>
      <c r="D2757" s="3990"/>
      <c r="E2757" s="4009"/>
      <c r="F2757" s="3010" t="str">
        <f>$E$1449</f>
        <v>ASHP-SEER15-Replace_CAC_ElectricHeat_ER1_MF</v>
      </c>
      <c r="G2757" s="2676"/>
      <c r="H2757" s="2676"/>
      <c r="I2757" s="2677"/>
      <c r="J2757" s="3298" t="str">
        <f>$C$1449</f>
        <v>352750_2021_12_</v>
      </c>
      <c r="K2757" s="696">
        <v>869</v>
      </c>
      <c r="L2757" s="851"/>
      <c r="M2757" s="698" t="s">
        <v>1011</v>
      </c>
      <c r="N2757" s="123"/>
      <c r="O2757" s="228"/>
      <c r="P2757" s="844"/>
      <c r="Q2757" s="844"/>
      <c r="R2757" s="844"/>
      <c r="S2757" s="832"/>
      <c r="T2757" s="3082"/>
      <c r="U2757" s="123"/>
      <c r="V2757" s="3990"/>
      <c r="W2757" s="2857">
        <v>869</v>
      </c>
      <c r="X2757" s="2857">
        <v>869</v>
      </c>
      <c r="Y2757" s="696">
        <v>869</v>
      </c>
      <c r="Z2757" s="696">
        <v>869</v>
      </c>
      <c r="AA2757" s="696">
        <v>869</v>
      </c>
      <c r="AB2757" s="696">
        <v>869</v>
      </c>
      <c r="AC2757" s="696">
        <v>869</v>
      </c>
      <c r="AD2757" s="2857"/>
      <c r="AE2757" s="2857"/>
      <c r="AF2757" s="2857"/>
      <c r="AG2757" s="2857"/>
      <c r="AH2757" s="1942"/>
      <c r="AI2757" s="1942"/>
      <c r="AJ2757" s="1942"/>
      <c r="AK2757" s="1942"/>
      <c r="AL2757" s="1942"/>
      <c r="AM2757" s="1942"/>
      <c r="AN2757" s="1942"/>
      <c r="AO2757" s="1942"/>
      <c r="AP2757" s="1942"/>
      <c r="AQ2757" s="1942"/>
      <c r="AR2757" s="1942"/>
      <c r="AS2757" s="1942"/>
      <c r="AT2757" s="1942"/>
      <c r="AU2757" s="1942"/>
      <c r="AV2757" s="1942"/>
      <c r="AW2757" s="1942"/>
      <c r="AX2757" s="1942"/>
      <c r="AY2757" s="1942"/>
      <c r="AZ2757" s="1942"/>
      <c r="BA2757" s="1942"/>
      <c r="BB2757" s="575"/>
      <c r="BC2757" s="576"/>
      <c r="BD2757" s="678"/>
      <c r="BE2757" s="585"/>
    </row>
    <row r="2758" spans="1:57" s="51" customFormat="1" ht="15" hidden="1" customHeight="1" outlineLevel="1" x14ac:dyDescent="0.25">
      <c r="A2758" s="2060"/>
      <c r="B2758" s="123"/>
      <c r="C2758" s="328"/>
      <c r="D2758" s="3990"/>
      <c r="E2758" s="4009"/>
      <c r="F2758" s="3010" t="str">
        <f>$E$1451</f>
        <v>ASHP-SEER15-Replace_CAC_ElectricHeat_ER2_MF</v>
      </c>
      <c r="G2758" s="2676"/>
      <c r="H2758" s="2676"/>
      <c r="I2758" s="2677"/>
      <c r="J2758" s="3298" t="str">
        <f>$C$1451</f>
        <v>352750_2021_12_</v>
      </c>
      <c r="K2758" s="696">
        <v>869</v>
      </c>
      <c r="L2758" s="851"/>
      <c r="M2758" s="698" t="s">
        <v>1011</v>
      </c>
      <c r="N2758" s="123"/>
      <c r="O2758" s="228"/>
      <c r="P2758" s="844"/>
      <c r="Q2758" s="844"/>
      <c r="R2758" s="844"/>
      <c r="S2758" s="832"/>
      <c r="T2758" s="3082"/>
      <c r="U2758" s="123"/>
      <c r="V2758" s="3990"/>
      <c r="W2758" s="2857">
        <v>869</v>
      </c>
      <c r="X2758" s="2857">
        <v>869</v>
      </c>
      <c r="Y2758" s="696">
        <v>869</v>
      </c>
      <c r="Z2758" s="696">
        <v>869</v>
      </c>
      <c r="AA2758" s="696">
        <v>869</v>
      </c>
      <c r="AB2758" s="696">
        <v>869</v>
      </c>
      <c r="AC2758" s="696">
        <v>869</v>
      </c>
      <c r="AD2758" s="2857"/>
      <c r="AE2758" s="2857"/>
      <c r="AF2758" s="2857"/>
      <c r="AG2758" s="2857"/>
      <c r="AH2758" s="1942"/>
      <c r="AI2758" s="1942"/>
      <c r="AJ2758" s="1942"/>
      <c r="AK2758" s="1942"/>
      <c r="AL2758" s="1942"/>
      <c r="AM2758" s="1942"/>
      <c r="AN2758" s="1942"/>
      <c r="AO2758" s="1942"/>
      <c r="AP2758" s="1942"/>
      <c r="AQ2758" s="1942"/>
      <c r="AR2758" s="1942"/>
      <c r="AS2758" s="1942"/>
      <c r="AT2758" s="1942"/>
      <c r="AU2758" s="1942"/>
      <c r="AV2758" s="1942"/>
      <c r="AW2758" s="1942"/>
      <c r="AX2758" s="1942"/>
      <c r="AY2758" s="1942"/>
      <c r="AZ2758" s="1942"/>
      <c r="BA2758" s="1942"/>
      <c r="BB2758" s="575"/>
      <c r="BC2758" s="576"/>
      <c r="BD2758" s="678"/>
      <c r="BE2758" s="585"/>
    </row>
    <row r="2759" spans="1:57" s="51" customFormat="1" ht="15" hidden="1" customHeight="1" outlineLevel="1" x14ac:dyDescent="0.25">
      <c r="A2759" s="2060"/>
      <c r="B2759" s="123"/>
      <c r="C2759" s="328"/>
      <c r="D2759" s="3990"/>
      <c r="E2759" s="4009"/>
      <c r="F2759" s="3010" t="str">
        <f>$E$1453</f>
        <v>ASHP-SEER15-Replace_CAC_ElectricHeat_ER1_MF_CompE</v>
      </c>
      <c r="G2759" s="2676"/>
      <c r="H2759" s="2676"/>
      <c r="I2759" s="2677"/>
      <c r="J2759" s="3298" t="str">
        <f>$C$1453</f>
        <v>352751_2021_12_</v>
      </c>
      <c r="K2759" s="696">
        <f>$K$2755</f>
        <v>632</v>
      </c>
      <c r="L2759" s="851"/>
      <c r="M2759" s="786" t="s">
        <v>528</v>
      </c>
      <c r="N2759" s="123"/>
      <c r="O2759" s="228"/>
      <c r="P2759" s="844"/>
      <c r="Q2759" s="844"/>
      <c r="R2759" s="844"/>
      <c r="S2759" s="832"/>
      <c r="T2759" s="3082"/>
      <c r="U2759" s="123"/>
      <c r="V2759" s="3990"/>
      <c r="W2759" s="2857"/>
      <c r="X2759" s="2857"/>
      <c r="Y2759" s="3158">
        <f>$K$2755</f>
        <v>632</v>
      </c>
      <c r="Z2759" s="696">
        <f t="shared" ref="Z2759:AA2760" si="205">$K$2755</f>
        <v>632</v>
      </c>
      <c r="AA2759" s="696">
        <f t="shared" si="205"/>
        <v>632</v>
      </c>
      <c r="AB2759" s="696">
        <v>632</v>
      </c>
      <c r="AC2759" s="696">
        <f>$K$2755</f>
        <v>632</v>
      </c>
      <c r="AD2759" s="2857"/>
      <c r="AE2759" s="2857"/>
      <c r="AF2759" s="2857"/>
      <c r="AG2759" s="2857"/>
      <c r="AH2759" s="1942"/>
      <c r="AI2759" s="1942"/>
      <c r="AJ2759" s="1942"/>
      <c r="AK2759" s="1942"/>
      <c r="AL2759" s="1942"/>
      <c r="AM2759" s="1942"/>
      <c r="AN2759" s="1942"/>
      <c r="AO2759" s="1942"/>
      <c r="AP2759" s="1942"/>
      <c r="AQ2759" s="1942"/>
      <c r="AR2759" s="1942"/>
      <c r="AS2759" s="1942"/>
      <c r="AT2759" s="1942"/>
      <c r="AU2759" s="1942"/>
      <c r="AV2759" s="1942"/>
      <c r="AW2759" s="1942"/>
      <c r="AX2759" s="1942"/>
      <c r="AY2759" s="1942"/>
      <c r="AZ2759" s="1942"/>
      <c r="BA2759" s="1942"/>
      <c r="BB2759" s="575"/>
      <c r="BC2759" s="576"/>
      <c r="BD2759" s="678"/>
      <c r="BE2759" s="585"/>
    </row>
    <row r="2760" spans="1:57" s="51" customFormat="1" ht="15" hidden="1" customHeight="1" outlineLevel="1" x14ac:dyDescent="0.25">
      <c r="A2760" s="2060"/>
      <c r="B2760" s="123"/>
      <c r="C2760" s="328"/>
      <c r="D2760" s="3990"/>
      <c r="E2760" s="4009"/>
      <c r="F2760" s="3010" t="str">
        <f>$E$1455</f>
        <v>ASHP-SEER15-Replace_CAC_ElectricHeat_ER2_MF_CompE</v>
      </c>
      <c r="G2760" s="2676"/>
      <c r="H2760" s="2676"/>
      <c r="I2760" s="2677"/>
      <c r="J2760" s="3298" t="str">
        <f>$C$1455</f>
        <v>352751_2021_12_</v>
      </c>
      <c r="K2760" s="696">
        <f>$K$2755</f>
        <v>632</v>
      </c>
      <c r="L2760" s="851"/>
      <c r="M2760" s="786" t="s">
        <v>528</v>
      </c>
      <c r="N2760" s="123"/>
      <c r="O2760" s="228"/>
      <c r="P2760" s="844"/>
      <c r="Q2760" s="844"/>
      <c r="R2760" s="844"/>
      <c r="S2760" s="832"/>
      <c r="T2760" s="3082"/>
      <c r="U2760" s="123"/>
      <c r="V2760" s="3990"/>
      <c r="W2760" s="2857"/>
      <c r="X2760" s="2857"/>
      <c r="Y2760" s="3158">
        <f>$K$2755</f>
        <v>632</v>
      </c>
      <c r="Z2760" s="696">
        <f t="shared" si="205"/>
        <v>632</v>
      </c>
      <c r="AA2760" s="696">
        <f t="shared" si="205"/>
        <v>632</v>
      </c>
      <c r="AB2760" s="696">
        <v>632</v>
      </c>
      <c r="AC2760" s="696">
        <f>$K$2755</f>
        <v>632</v>
      </c>
      <c r="AD2760" s="2857"/>
      <c r="AE2760" s="2857"/>
      <c r="AF2760" s="2857"/>
      <c r="AG2760" s="2857"/>
      <c r="AH2760" s="1942"/>
      <c r="AI2760" s="1942"/>
      <c r="AJ2760" s="1942"/>
      <c r="AK2760" s="1942"/>
      <c r="AL2760" s="1942"/>
      <c r="AM2760" s="1942"/>
      <c r="AN2760" s="1942"/>
      <c r="AO2760" s="1942"/>
      <c r="AP2760" s="1942"/>
      <c r="AQ2760" s="1942"/>
      <c r="AR2760" s="1942"/>
      <c r="AS2760" s="1942"/>
      <c r="AT2760" s="1942"/>
      <c r="AU2760" s="1942"/>
      <c r="AV2760" s="1942"/>
      <c r="AW2760" s="1942"/>
      <c r="AX2760" s="1942"/>
      <c r="AY2760" s="1942"/>
      <c r="AZ2760" s="1942"/>
      <c r="BA2760" s="1942"/>
      <c r="BB2760" s="575"/>
      <c r="BC2760" s="576"/>
      <c r="BD2760" s="678"/>
      <c r="BE2760" s="585"/>
    </row>
    <row r="2761" spans="1:57" s="1942" customFormat="1" ht="15" hidden="1" customHeight="1" outlineLevel="1" x14ac:dyDescent="0.25">
      <c r="A2761" s="2060"/>
      <c r="B2761" s="123"/>
      <c r="C2761" s="328"/>
      <c r="D2761" s="3990"/>
      <c r="E2761" s="4009"/>
      <c r="F2761" s="3010" t="str">
        <f>$E$1457</f>
        <v>ASHP-SEER15-Replace_CAC_NonElectricHeat_ER1_MF</v>
      </c>
      <c r="G2761" s="2676"/>
      <c r="H2761" s="2676"/>
      <c r="I2761" s="2677"/>
      <c r="J2761" s="3298" t="str">
        <f>$C$1457</f>
        <v>352760_2021_12_</v>
      </c>
      <c r="K2761" s="3158">
        <v>869</v>
      </c>
      <c r="L2761" s="851"/>
      <c r="M2761" s="3252" t="s">
        <v>1011</v>
      </c>
      <c r="N2761" s="123"/>
      <c r="O2761" s="228"/>
      <c r="P2761" s="844"/>
      <c r="Q2761" s="844"/>
      <c r="R2761" s="844"/>
      <c r="S2761" s="832"/>
      <c r="T2761" s="3082"/>
      <c r="U2761" s="123"/>
      <c r="V2761" s="3990"/>
      <c r="W2761" s="2857"/>
      <c r="X2761" s="2857"/>
      <c r="Y2761" s="3158"/>
      <c r="Z2761" s="696"/>
      <c r="AA2761" s="696"/>
      <c r="AB2761" s="696"/>
      <c r="AC2761" s="3158">
        <v>869</v>
      </c>
      <c r="AD2761" s="2857"/>
      <c r="AE2761" s="2857"/>
      <c r="AF2761" s="2857"/>
      <c r="AG2761" s="2857"/>
      <c r="BB2761" s="575"/>
      <c r="BC2761" s="576"/>
      <c r="BD2761" s="678"/>
      <c r="BE2761" s="585"/>
    </row>
    <row r="2762" spans="1:57" s="1942" customFormat="1" ht="15" hidden="1" customHeight="1" outlineLevel="1" x14ac:dyDescent="0.25">
      <c r="A2762" s="2060"/>
      <c r="B2762" s="123"/>
      <c r="C2762" s="328"/>
      <c r="D2762" s="3990"/>
      <c r="E2762" s="4009"/>
      <c r="F2762" s="3010" t="str">
        <f>$E$1459</f>
        <v>ASHP-SEER15-Replace_CAC_NonElectricHeat_ER2_MF</v>
      </c>
      <c r="G2762" s="2676"/>
      <c r="H2762" s="2676"/>
      <c r="I2762" s="2677"/>
      <c r="J2762" s="3298" t="str">
        <f>$C$1459</f>
        <v>352760_2021_12_</v>
      </c>
      <c r="K2762" s="3158">
        <v>869</v>
      </c>
      <c r="L2762" s="851"/>
      <c r="M2762" s="3252" t="s">
        <v>1011</v>
      </c>
      <c r="N2762" s="123"/>
      <c r="O2762" s="228"/>
      <c r="P2762" s="844"/>
      <c r="Q2762" s="844"/>
      <c r="R2762" s="844"/>
      <c r="S2762" s="832"/>
      <c r="T2762" s="3082"/>
      <c r="U2762" s="123"/>
      <c r="V2762" s="3990"/>
      <c r="W2762" s="2857"/>
      <c r="X2762" s="2857"/>
      <c r="Y2762" s="3158"/>
      <c r="Z2762" s="696"/>
      <c r="AA2762" s="696"/>
      <c r="AB2762" s="696"/>
      <c r="AC2762" s="3158">
        <v>869</v>
      </c>
      <c r="AD2762" s="2857"/>
      <c r="AE2762" s="2857"/>
      <c r="AF2762" s="2857"/>
      <c r="AG2762" s="2857"/>
      <c r="BB2762" s="575"/>
      <c r="BC2762" s="576"/>
      <c r="BD2762" s="678"/>
      <c r="BE2762" s="585"/>
    </row>
    <row r="2763" spans="1:57" s="1942" customFormat="1" ht="15" hidden="1" customHeight="1" outlineLevel="1" x14ac:dyDescent="0.25">
      <c r="A2763" s="2060"/>
      <c r="B2763" s="123"/>
      <c r="C2763" s="328"/>
      <c r="D2763" s="3990"/>
      <c r="E2763" s="4009"/>
      <c r="F2763" s="3010" t="str">
        <f>$E$1461</f>
        <v>ASHP-SEER15-Replace_CAC_NonElectricHeat_ER1_MF_CompE</v>
      </c>
      <c r="G2763" s="2676"/>
      <c r="H2763" s="2676"/>
      <c r="I2763" s="2677"/>
      <c r="J2763" s="3298" t="str">
        <f>$C$1461</f>
        <v>352761_2021_12_</v>
      </c>
      <c r="K2763" s="3158">
        <f>$K$2755</f>
        <v>632</v>
      </c>
      <c r="L2763" s="851"/>
      <c r="M2763" s="3253" t="s">
        <v>528</v>
      </c>
      <c r="N2763" s="123"/>
      <c r="O2763" s="228"/>
      <c r="P2763" s="844"/>
      <c r="Q2763" s="844"/>
      <c r="R2763" s="844"/>
      <c r="S2763" s="832"/>
      <c r="T2763" s="3082"/>
      <c r="U2763" s="123"/>
      <c r="V2763" s="3990"/>
      <c r="W2763" s="2857"/>
      <c r="X2763" s="2857"/>
      <c r="Y2763" s="3158"/>
      <c r="Z2763" s="696"/>
      <c r="AA2763" s="696"/>
      <c r="AB2763" s="696"/>
      <c r="AC2763" s="3158">
        <f>$K$2755</f>
        <v>632</v>
      </c>
      <c r="AD2763" s="2857"/>
      <c r="AE2763" s="2857"/>
      <c r="AF2763" s="2857"/>
      <c r="AG2763" s="2857"/>
      <c r="BB2763" s="575"/>
      <c r="BC2763" s="576"/>
      <c r="BD2763" s="678"/>
      <c r="BE2763" s="585"/>
    </row>
    <row r="2764" spans="1:57" s="1942" customFormat="1" ht="15" hidden="1" customHeight="1" outlineLevel="1" x14ac:dyDescent="0.25">
      <c r="A2764" s="2060"/>
      <c r="B2764" s="123"/>
      <c r="C2764" s="328"/>
      <c r="D2764" s="3990"/>
      <c r="E2764" s="4009"/>
      <c r="F2764" s="3010" t="str">
        <f>$E$1463</f>
        <v>ASHP-SEER15-Replace_CAC_NonElectricHeat_ER2_MF_CompE</v>
      </c>
      <c r="G2764" s="2676"/>
      <c r="H2764" s="2676"/>
      <c r="I2764" s="2677"/>
      <c r="J2764" s="3298" t="str">
        <f>$C$1463</f>
        <v>352761_2021_12_</v>
      </c>
      <c r="K2764" s="3158">
        <f>$K$2755</f>
        <v>632</v>
      </c>
      <c r="L2764" s="851"/>
      <c r="M2764" s="3253" t="s">
        <v>528</v>
      </c>
      <c r="N2764" s="123"/>
      <c r="O2764" s="228"/>
      <c r="P2764" s="844"/>
      <c r="Q2764" s="844"/>
      <c r="R2764" s="844"/>
      <c r="S2764" s="832"/>
      <c r="T2764" s="3082"/>
      <c r="U2764" s="123"/>
      <c r="V2764" s="3990"/>
      <c r="W2764" s="2857"/>
      <c r="X2764" s="2857"/>
      <c r="Y2764" s="3158"/>
      <c r="Z2764" s="696"/>
      <c r="AA2764" s="696"/>
      <c r="AB2764" s="696"/>
      <c r="AC2764" s="3158">
        <f>$K$2755</f>
        <v>632</v>
      </c>
      <c r="AD2764" s="2857"/>
      <c r="AE2764" s="2857"/>
      <c r="AF2764" s="2857"/>
      <c r="AG2764" s="2857"/>
      <c r="BB2764" s="575"/>
      <c r="BC2764" s="576"/>
      <c r="BD2764" s="678"/>
      <c r="BE2764" s="585"/>
    </row>
    <row r="2765" spans="1:57" s="51" customFormat="1" ht="15" hidden="1" customHeight="1" outlineLevel="1" x14ac:dyDescent="0.25">
      <c r="A2765" s="2060"/>
      <c r="B2765" s="123"/>
      <c r="C2765" s="328"/>
      <c r="D2765" s="3990"/>
      <c r="E2765" s="4009"/>
      <c r="F2765" s="3010" t="str">
        <f>$E$1465</f>
        <v>ASHP-SEER15-Replace_CAC_ElectricHeat_ROF_MF</v>
      </c>
      <c r="G2765" s="2676"/>
      <c r="H2765" s="2676"/>
      <c r="I2765" s="2677"/>
      <c r="J2765" s="3299" t="str">
        <f>$C$1465</f>
        <v>352800_2019_12_</v>
      </c>
      <c r="K2765" s="696">
        <v>869</v>
      </c>
      <c r="L2765" s="851"/>
      <c r="M2765" s="698" t="s">
        <v>1011</v>
      </c>
      <c r="N2765" s="123"/>
      <c r="O2765" s="228"/>
      <c r="P2765" s="844"/>
      <c r="Q2765" s="844"/>
      <c r="R2765" s="844"/>
      <c r="S2765" s="832"/>
      <c r="T2765" s="3082"/>
      <c r="U2765" s="123"/>
      <c r="V2765" s="3990"/>
      <c r="W2765" s="2857">
        <v>869</v>
      </c>
      <c r="X2765" s="2857">
        <v>869</v>
      </c>
      <c r="Y2765" s="696">
        <v>869</v>
      </c>
      <c r="Z2765" s="696">
        <v>869</v>
      </c>
      <c r="AA2765" s="696">
        <v>869</v>
      </c>
      <c r="AB2765" s="696">
        <v>869</v>
      </c>
      <c r="AC2765" s="696">
        <v>869</v>
      </c>
      <c r="AD2765" s="2857"/>
      <c r="AE2765" s="2857"/>
      <c r="AF2765" s="2857"/>
      <c r="AG2765" s="2857"/>
      <c r="AH2765" s="1942"/>
      <c r="AI2765" s="1942"/>
      <c r="AJ2765" s="1942"/>
      <c r="AK2765" s="1942"/>
      <c r="AL2765" s="1942"/>
      <c r="AM2765" s="1942"/>
      <c r="AN2765" s="1942"/>
      <c r="AO2765" s="1942"/>
      <c r="AP2765" s="1942"/>
      <c r="AQ2765" s="1942"/>
      <c r="AR2765" s="1942"/>
      <c r="AS2765" s="1942"/>
      <c r="AT2765" s="1942"/>
      <c r="AU2765" s="1942"/>
      <c r="AV2765" s="1942"/>
      <c r="AW2765" s="1942"/>
      <c r="AX2765" s="1942"/>
      <c r="AY2765" s="1942"/>
      <c r="AZ2765" s="1942"/>
      <c r="BA2765" s="1942"/>
      <c r="BB2765" s="575"/>
      <c r="BC2765" s="576"/>
      <c r="BD2765" s="678"/>
      <c r="BE2765" s="585"/>
    </row>
    <row r="2766" spans="1:57" s="51" customFormat="1" ht="15" hidden="1" customHeight="1" outlineLevel="1" x14ac:dyDescent="0.25">
      <c r="A2766" s="2060"/>
      <c r="B2766" s="123"/>
      <c r="C2766" s="328"/>
      <c r="D2766" s="3990"/>
      <c r="E2766" s="4009"/>
      <c r="F2766" s="3010" t="str">
        <f>$E$1467</f>
        <v>ASHP-SEER15-Replace_CAC_ElectricHeat_ROF_MF_CompE</v>
      </c>
      <c r="G2766" s="2676"/>
      <c r="H2766" s="2676"/>
      <c r="I2766" s="2677"/>
      <c r="J2766" s="3299" t="str">
        <f>$C$1467</f>
        <v>352801_2021_12_</v>
      </c>
      <c r="K2766" s="696">
        <f>$K$2755</f>
        <v>632</v>
      </c>
      <c r="L2766" s="851"/>
      <c r="M2766" s="786" t="s">
        <v>528</v>
      </c>
      <c r="N2766" s="123"/>
      <c r="O2766" s="228"/>
      <c r="P2766" s="844"/>
      <c r="Q2766" s="844"/>
      <c r="R2766" s="844"/>
      <c r="S2766" s="832"/>
      <c r="T2766" s="3082"/>
      <c r="U2766" s="123"/>
      <c r="V2766" s="3990"/>
      <c r="W2766" s="2857"/>
      <c r="X2766" s="2857"/>
      <c r="Y2766" s="3158">
        <f>$K$2755</f>
        <v>632</v>
      </c>
      <c r="Z2766" s="696">
        <f t="shared" ref="Z2766:AA2766" si="206">$K$2755</f>
        <v>632</v>
      </c>
      <c r="AA2766" s="696">
        <f t="shared" si="206"/>
        <v>632</v>
      </c>
      <c r="AB2766" s="696">
        <v>632</v>
      </c>
      <c r="AC2766" s="696">
        <f>$K$2755</f>
        <v>632</v>
      </c>
      <c r="AD2766" s="2857"/>
      <c r="AE2766" s="2857"/>
      <c r="AF2766" s="2857"/>
      <c r="AG2766" s="2857"/>
      <c r="AH2766" s="1942"/>
      <c r="AI2766" s="1942"/>
      <c r="AJ2766" s="1942"/>
      <c r="AK2766" s="1942"/>
      <c r="AL2766" s="1942"/>
      <c r="AM2766" s="1942"/>
      <c r="AN2766" s="1942"/>
      <c r="AO2766" s="1942"/>
      <c r="AP2766" s="1942"/>
      <c r="AQ2766" s="1942"/>
      <c r="AR2766" s="1942"/>
      <c r="AS2766" s="1942"/>
      <c r="AT2766" s="1942"/>
      <c r="AU2766" s="1942"/>
      <c r="AV2766" s="1942"/>
      <c r="AW2766" s="1942"/>
      <c r="AX2766" s="1942"/>
      <c r="AY2766" s="1942"/>
      <c r="AZ2766" s="1942"/>
      <c r="BA2766" s="1942"/>
      <c r="BB2766" s="575"/>
      <c r="BC2766" s="576"/>
      <c r="BD2766" s="678"/>
      <c r="BE2766" s="585"/>
    </row>
    <row r="2767" spans="1:57" s="1942" customFormat="1" ht="15" hidden="1" customHeight="1" outlineLevel="1" x14ac:dyDescent="0.25">
      <c r="A2767" s="2060"/>
      <c r="B2767" s="123"/>
      <c r="C2767" s="328"/>
      <c r="D2767" s="3990"/>
      <c r="E2767" s="4009"/>
      <c r="F2767" s="3010" t="str">
        <f>$E$1469</f>
        <v>ASHP-SEER15-Replace_CAC_NonElectricHeat_ROF_MF</v>
      </c>
      <c r="G2767" s="2676"/>
      <c r="H2767" s="2676"/>
      <c r="I2767" s="2677"/>
      <c r="J2767" s="3298" t="str">
        <f>$C$1469</f>
        <v>352810_2021_12_</v>
      </c>
      <c r="K2767" s="3158">
        <v>869</v>
      </c>
      <c r="L2767" s="851"/>
      <c r="M2767" s="3252" t="s">
        <v>1011</v>
      </c>
      <c r="N2767" s="123"/>
      <c r="O2767" s="228"/>
      <c r="P2767" s="844"/>
      <c r="Q2767" s="844"/>
      <c r="R2767" s="844"/>
      <c r="S2767" s="832"/>
      <c r="T2767" s="3082"/>
      <c r="U2767" s="123"/>
      <c r="V2767" s="3990"/>
      <c r="W2767" s="2857"/>
      <c r="X2767" s="2857"/>
      <c r="Y2767" s="3158"/>
      <c r="Z2767" s="696"/>
      <c r="AA2767" s="696"/>
      <c r="AB2767" s="696"/>
      <c r="AC2767" s="3158">
        <v>869</v>
      </c>
      <c r="AD2767" s="2857"/>
      <c r="AE2767" s="2857"/>
      <c r="AF2767" s="2857"/>
      <c r="AG2767" s="2857"/>
      <c r="BB2767" s="575"/>
      <c r="BC2767" s="576"/>
      <c r="BD2767" s="678"/>
      <c r="BE2767" s="585"/>
    </row>
    <row r="2768" spans="1:57" s="1942" customFormat="1" ht="15" hidden="1" customHeight="1" outlineLevel="1" x14ac:dyDescent="0.25">
      <c r="A2768" s="2060"/>
      <c r="B2768" s="123"/>
      <c r="C2768" s="328"/>
      <c r="D2768" s="3990"/>
      <c r="E2768" s="4009"/>
      <c r="F2768" s="3010" t="str">
        <f>$E$1471</f>
        <v>ASHP-SEER15-Replace_CAC_NonElectricHeat_ROF_MF_CompE</v>
      </c>
      <c r="G2768" s="2676"/>
      <c r="H2768" s="2676"/>
      <c r="I2768" s="2677"/>
      <c r="J2768" s="3298" t="str">
        <f>$C$1471</f>
        <v>352811_2021_12_</v>
      </c>
      <c r="K2768" s="3158">
        <f>$K$2755</f>
        <v>632</v>
      </c>
      <c r="L2768" s="851"/>
      <c r="M2768" s="3253" t="s">
        <v>528</v>
      </c>
      <c r="N2768" s="123"/>
      <c r="O2768" s="228"/>
      <c r="P2768" s="844"/>
      <c r="Q2768" s="844"/>
      <c r="R2768" s="844"/>
      <c r="S2768" s="832"/>
      <c r="T2768" s="3082"/>
      <c r="U2768" s="123"/>
      <c r="V2768" s="3990"/>
      <c r="W2768" s="2857"/>
      <c r="X2768" s="2857"/>
      <c r="Y2768" s="3158"/>
      <c r="Z2768" s="696"/>
      <c r="AA2768" s="696"/>
      <c r="AB2768" s="696"/>
      <c r="AC2768" s="3158">
        <f>$K$2755</f>
        <v>632</v>
      </c>
      <c r="AD2768" s="2857"/>
      <c r="AE2768" s="2857"/>
      <c r="AF2768" s="2857"/>
      <c r="AG2768" s="2857"/>
      <c r="BB2768" s="575"/>
      <c r="BC2768" s="576"/>
      <c r="BD2768" s="678"/>
      <c r="BE2768" s="585"/>
    </row>
    <row r="2769" spans="1:57" s="51" customFormat="1" ht="15" hidden="1" customHeight="1" outlineLevel="1" x14ac:dyDescent="0.25">
      <c r="A2769" s="2060"/>
      <c r="B2769" s="123"/>
      <c r="C2769" s="328"/>
      <c r="D2769" s="3990"/>
      <c r="E2769" s="4009"/>
      <c r="F2769" s="3010" t="str">
        <f>$E$1473</f>
        <v>ASHP-SEER16_ER1_MF</v>
      </c>
      <c r="G2769" s="2676"/>
      <c r="H2769" s="2676"/>
      <c r="I2769" s="2677"/>
      <c r="J2769" s="3298" t="str">
        <f>$C$1473</f>
        <v>352850_2021_12_</v>
      </c>
      <c r="K2769" s="696">
        <v>869</v>
      </c>
      <c r="L2769" s="851"/>
      <c r="M2769" s="698" t="s">
        <v>1011</v>
      </c>
      <c r="N2769" s="123"/>
      <c r="O2769" s="228"/>
      <c r="P2769" s="844"/>
      <c r="Q2769" s="844"/>
      <c r="R2769" s="844"/>
      <c r="S2769" s="832"/>
      <c r="T2769" s="3082"/>
      <c r="U2769" s="123"/>
      <c r="V2769" s="3990"/>
      <c r="W2769" s="2857">
        <v>869</v>
      </c>
      <c r="X2769" s="2857">
        <v>869</v>
      </c>
      <c r="Y2769" s="696">
        <v>869</v>
      </c>
      <c r="Z2769" s="696">
        <v>869</v>
      </c>
      <c r="AA2769" s="696">
        <v>869</v>
      </c>
      <c r="AB2769" s="696">
        <v>869</v>
      </c>
      <c r="AC2769" s="696">
        <v>869</v>
      </c>
      <c r="AD2769" s="2857"/>
      <c r="AE2769" s="2857"/>
      <c r="AF2769" s="2857"/>
      <c r="AG2769" s="2857"/>
      <c r="AH2769" s="1942"/>
      <c r="AI2769" s="1942"/>
      <c r="AJ2769" s="1942"/>
      <c r="AK2769" s="1942"/>
      <c r="AL2769" s="1942"/>
      <c r="AM2769" s="1942"/>
      <c r="AN2769" s="1942"/>
      <c r="AO2769" s="1942"/>
      <c r="AP2769" s="1942"/>
      <c r="AQ2769" s="1942"/>
      <c r="AR2769" s="1942"/>
      <c r="AS2769" s="1942"/>
      <c r="AT2769" s="1942"/>
      <c r="AU2769" s="1942"/>
      <c r="AV2769" s="1942"/>
      <c r="AW2769" s="1942"/>
      <c r="AX2769" s="1942"/>
      <c r="AY2769" s="1942"/>
      <c r="AZ2769" s="1942"/>
      <c r="BA2769" s="1942"/>
      <c r="BB2769" s="575"/>
      <c r="BC2769" s="576"/>
      <c r="BD2769" s="678"/>
      <c r="BE2769" s="585"/>
    </row>
    <row r="2770" spans="1:57" s="51" customFormat="1" ht="15" hidden="1" customHeight="1" outlineLevel="1" x14ac:dyDescent="0.25">
      <c r="A2770" s="2060"/>
      <c r="B2770" s="123"/>
      <c r="C2770" s="328"/>
      <c r="D2770" s="3990"/>
      <c r="E2770" s="4009"/>
      <c r="F2770" s="3010" t="str">
        <f>$E$1475</f>
        <v>ASHP-SEER16_ER2_MF</v>
      </c>
      <c r="G2770" s="2676"/>
      <c r="H2770" s="2676"/>
      <c r="I2770" s="2677"/>
      <c r="J2770" s="3298" t="str">
        <f>$C$1475</f>
        <v>352850_2021_12_</v>
      </c>
      <c r="K2770" s="696">
        <v>869</v>
      </c>
      <c r="L2770" s="851"/>
      <c r="M2770" s="698" t="s">
        <v>1011</v>
      </c>
      <c r="N2770" s="123"/>
      <c r="O2770" s="228"/>
      <c r="P2770" s="844"/>
      <c r="Q2770" s="844"/>
      <c r="R2770" s="844"/>
      <c r="S2770" s="832"/>
      <c r="T2770" s="3082"/>
      <c r="U2770" s="123"/>
      <c r="V2770" s="3990"/>
      <c r="W2770" s="2857">
        <v>869</v>
      </c>
      <c r="X2770" s="2857">
        <v>869</v>
      </c>
      <c r="Y2770" s="696">
        <v>869</v>
      </c>
      <c r="Z2770" s="696">
        <v>869</v>
      </c>
      <c r="AA2770" s="696">
        <v>869</v>
      </c>
      <c r="AB2770" s="696">
        <v>869</v>
      </c>
      <c r="AC2770" s="696">
        <v>869</v>
      </c>
      <c r="AD2770" s="2857"/>
      <c r="AE2770" s="2857"/>
      <c r="AF2770" s="2857"/>
      <c r="AG2770" s="2857"/>
      <c r="AH2770" s="1942"/>
      <c r="AI2770" s="1942"/>
      <c r="AJ2770" s="1942"/>
      <c r="AK2770" s="1942"/>
      <c r="AL2770" s="1942"/>
      <c r="AM2770" s="1942"/>
      <c r="AN2770" s="1942"/>
      <c r="AO2770" s="1942"/>
      <c r="AP2770" s="1942"/>
      <c r="AQ2770" s="1942"/>
      <c r="AR2770" s="1942"/>
      <c r="AS2770" s="1942"/>
      <c r="AT2770" s="1942"/>
      <c r="AU2770" s="1942"/>
      <c r="AV2770" s="1942"/>
      <c r="AW2770" s="1942"/>
      <c r="AX2770" s="1942"/>
      <c r="AY2770" s="1942"/>
      <c r="AZ2770" s="1942"/>
      <c r="BA2770" s="1942"/>
      <c r="BB2770" s="575"/>
      <c r="BC2770" s="576"/>
      <c r="BD2770" s="678"/>
      <c r="BE2770" s="585"/>
    </row>
    <row r="2771" spans="1:57" s="51" customFormat="1" ht="15" hidden="1" customHeight="1" outlineLevel="1" x14ac:dyDescent="0.25">
      <c r="A2771" s="2060"/>
      <c r="B2771" s="123"/>
      <c r="C2771" s="328"/>
      <c r="D2771" s="3990"/>
      <c r="E2771" s="4009"/>
      <c r="F2771" s="3010" t="str">
        <f>$E$1477</f>
        <v>ASHP-SEER16_ER1_MF_CompE</v>
      </c>
      <c r="G2771" s="2676"/>
      <c r="H2771" s="2676"/>
      <c r="I2771" s="2677"/>
      <c r="J2771" s="3298" t="str">
        <f>$C$1477</f>
        <v>352851_2021_12_</v>
      </c>
      <c r="K2771" s="696">
        <f>$K$2755</f>
        <v>632</v>
      </c>
      <c r="L2771" s="851"/>
      <c r="M2771" s="786" t="s">
        <v>528</v>
      </c>
      <c r="N2771" s="123"/>
      <c r="O2771" s="228"/>
      <c r="P2771" s="844"/>
      <c r="Q2771" s="844"/>
      <c r="R2771" s="844"/>
      <c r="S2771" s="832"/>
      <c r="T2771" s="3082"/>
      <c r="U2771" s="123"/>
      <c r="V2771" s="3990"/>
      <c r="W2771" s="2857"/>
      <c r="X2771" s="2857"/>
      <c r="Y2771" s="3158">
        <f>$K$2755</f>
        <v>632</v>
      </c>
      <c r="Z2771" s="696">
        <f t="shared" ref="Z2771:AA2772" si="207">$K$2755</f>
        <v>632</v>
      </c>
      <c r="AA2771" s="696">
        <f t="shared" si="207"/>
        <v>632</v>
      </c>
      <c r="AB2771" s="696">
        <v>632</v>
      </c>
      <c r="AC2771" s="696">
        <f>$K$2755</f>
        <v>632</v>
      </c>
      <c r="AD2771" s="2857"/>
      <c r="AE2771" s="2857"/>
      <c r="AF2771" s="2857"/>
      <c r="AG2771" s="2857"/>
      <c r="AH2771" s="1942"/>
      <c r="AI2771" s="1942"/>
      <c r="AJ2771" s="1942"/>
      <c r="AK2771" s="1942"/>
      <c r="AL2771" s="1942"/>
      <c r="AM2771" s="1942"/>
      <c r="AN2771" s="1942"/>
      <c r="AO2771" s="1942"/>
      <c r="AP2771" s="1942"/>
      <c r="AQ2771" s="1942"/>
      <c r="AR2771" s="1942"/>
      <c r="AS2771" s="1942"/>
      <c r="AT2771" s="1942"/>
      <c r="AU2771" s="1942"/>
      <c r="AV2771" s="1942"/>
      <c r="AW2771" s="1942"/>
      <c r="AX2771" s="1942"/>
      <c r="AY2771" s="1942"/>
      <c r="AZ2771" s="1942"/>
      <c r="BA2771" s="1942"/>
      <c r="BB2771" s="575"/>
      <c r="BC2771" s="576"/>
      <c r="BD2771" s="678"/>
      <c r="BE2771" s="585"/>
    </row>
    <row r="2772" spans="1:57" s="51" customFormat="1" ht="15" hidden="1" customHeight="1" outlineLevel="1" x14ac:dyDescent="0.25">
      <c r="A2772" s="2060"/>
      <c r="B2772" s="123"/>
      <c r="C2772" s="328"/>
      <c r="D2772" s="3990"/>
      <c r="E2772" s="4009"/>
      <c r="F2772" s="3010" t="str">
        <f>$E$1479</f>
        <v>ASHP-SEER16_ER2_MF_CompE</v>
      </c>
      <c r="G2772" s="2676"/>
      <c r="H2772" s="2676"/>
      <c r="I2772" s="2677"/>
      <c r="J2772" s="3298" t="str">
        <f>$C$1479</f>
        <v>352851_2021_12_</v>
      </c>
      <c r="K2772" s="696">
        <f>$K$2755</f>
        <v>632</v>
      </c>
      <c r="L2772" s="851"/>
      <c r="M2772" s="786" t="s">
        <v>528</v>
      </c>
      <c r="N2772" s="123"/>
      <c r="O2772" s="228"/>
      <c r="P2772" s="844"/>
      <c r="Q2772" s="844"/>
      <c r="R2772" s="844"/>
      <c r="S2772" s="832"/>
      <c r="T2772" s="3082"/>
      <c r="U2772" s="123"/>
      <c r="V2772" s="3990"/>
      <c r="W2772" s="2857"/>
      <c r="X2772" s="2857"/>
      <c r="Y2772" s="3158">
        <f>$K$2755</f>
        <v>632</v>
      </c>
      <c r="Z2772" s="696">
        <f t="shared" si="207"/>
        <v>632</v>
      </c>
      <c r="AA2772" s="696">
        <f t="shared" si="207"/>
        <v>632</v>
      </c>
      <c r="AB2772" s="696">
        <v>632</v>
      </c>
      <c r="AC2772" s="696">
        <f>$K$2755</f>
        <v>632</v>
      </c>
      <c r="AD2772" s="2857"/>
      <c r="AE2772" s="2857"/>
      <c r="AF2772" s="2857"/>
      <c r="AG2772" s="2857"/>
      <c r="AH2772" s="1942"/>
      <c r="AI2772" s="1942"/>
      <c r="AJ2772" s="1942"/>
      <c r="AK2772" s="1942"/>
      <c r="AL2772" s="1942"/>
      <c r="AM2772" s="1942"/>
      <c r="AN2772" s="1942"/>
      <c r="AO2772" s="1942"/>
      <c r="AP2772" s="1942"/>
      <c r="AQ2772" s="1942"/>
      <c r="AR2772" s="1942"/>
      <c r="AS2772" s="1942"/>
      <c r="AT2772" s="1942"/>
      <c r="AU2772" s="1942"/>
      <c r="AV2772" s="1942"/>
      <c r="AW2772" s="1942"/>
      <c r="AX2772" s="1942"/>
      <c r="AY2772" s="1942"/>
      <c r="AZ2772" s="1942"/>
      <c r="BA2772" s="1942"/>
      <c r="BB2772" s="575"/>
      <c r="BC2772" s="576"/>
      <c r="BD2772" s="678"/>
      <c r="BE2772" s="585"/>
    </row>
    <row r="2773" spans="1:57" s="51" customFormat="1" ht="15" hidden="1" customHeight="1" outlineLevel="1" x14ac:dyDescent="0.25">
      <c r="A2773" s="2060"/>
      <c r="B2773" s="123"/>
      <c r="C2773" s="328"/>
      <c r="D2773" s="3990"/>
      <c r="E2773" s="4009"/>
      <c r="F2773" s="3010" t="str">
        <f>$E$1481</f>
        <v>ASHP-SEER16_ROF_MF</v>
      </c>
      <c r="G2773" s="2676"/>
      <c r="H2773" s="2676"/>
      <c r="I2773" s="2677"/>
      <c r="J2773" s="3298" t="str">
        <f>$C$1481</f>
        <v>352900_2021_12_</v>
      </c>
      <c r="K2773" s="696">
        <v>869</v>
      </c>
      <c r="L2773" s="851"/>
      <c r="M2773" s="698" t="s">
        <v>1011</v>
      </c>
      <c r="N2773" s="123"/>
      <c r="O2773" s="228"/>
      <c r="P2773" s="844"/>
      <c r="Q2773" s="844"/>
      <c r="R2773" s="844"/>
      <c r="S2773" s="832"/>
      <c r="T2773" s="3082"/>
      <c r="U2773" s="123"/>
      <c r="V2773" s="3990"/>
      <c r="W2773" s="2857">
        <v>869</v>
      </c>
      <c r="X2773" s="2857">
        <v>869</v>
      </c>
      <c r="Y2773" s="696">
        <v>869</v>
      </c>
      <c r="Z2773" s="696">
        <v>869</v>
      </c>
      <c r="AA2773" s="696">
        <v>869</v>
      </c>
      <c r="AB2773" s="696">
        <v>869</v>
      </c>
      <c r="AC2773" s="696">
        <v>869</v>
      </c>
      <c r="AD2773" s="2857"/>
      <c r="AE2773" s="2857"/>
      <c r="AF2773" s="2857"/>
      <c r="AG2773" s="2857"/>
      <c r="AH2773" s="1942"/>
      <c r="AI2773" s="1942"/>
      <c r="AJ2773" s="1942"/>
      <c r="AK2773" s="1942"/>
      <c r="AL2773" s="1942"/>
      <c r="AM2773" s="1942"/>
      <c r="AN2773" s="1942"/>
      <c r="AO2773" s="1942"/>
      <c r="AP2773" s="1942"/>
      <c r="AQ2773" s="1942"/>
      <c r="AR2773" s="1942"/>
      <c r="AS2773" s="1942"/>
      <c r="AT2773" s="1942"/>
      <c r="AU2773" s="1942"/>
      <c r="AV2773" s="1942"/>
      <c r="AW2773" s="1942"/>
      <c r="AX2773" s="1942"/>
      <c r="AY2773" s="1942"/>
      <c r="AZ2773" s="1942"/>
      <c r="BA2773" s="1942"/>
      <c r="BB2773" s="575"/>
      <c r="BC2773" s="576"/>
      <c r="BD2773" s="678"/>
      <c r="BE2773" s="585"/>
    </row>
    <row r="2774" spans="1:57" s="51" customFormat="1" ht="15" hidden="1" customHeight="1" outlineLevel="1" x14ac:dyDescent="0.25">
      <c r="A2774" s="2060"/>
      <c r="B2774" s="123"/>
      <c r="C2774" s="328"/>
      <c r="D2774" s="3990"/>
      <c r="E2774" s="4009"/>
      <c r="F2774" s="3010" t="str">
        <f>$E$1483</f>
        <v>ASHP-SEER16_ROF_MF_CompE</v>
      </c>
      <c r="G2774" s="2676"/>
      <c r="H2774" s="2676"/>
      <c r="I2774" s="2677"/>
      <c r="J2774" s="3298" t="str">
        <f>$C$1483</f>
        <v>352901_2021_12_</v>
      </c>
      <c r="K2774" s="696">
        <f>$K$2755</f>
        <v>632</v>
      </c>
      <c r="L2774" s="851"/>
      <c r="M2774" s="786" t="s">
        <v>528</v>
      </c>
      <c r="N2774" s="123"/>
      <c r="O2774" s="228"/>
      <c r="P2774" s="844"/>
      <c r="Q2774" s="844"/>
      <c r="R2774" s="844"/>
      <c r="S2774" s="832"/>
      <c r="T2774" s="3082"/>
      <c r="U2774" s="123"/>
      <c r="V2774" s="3990"/>
      <c r="W2774" s="2857"/>
      <c r="X2774" s="2857"/>
      <c r="Y2774" s="3158">
        <f>$K$2755</f>
        <v>632</v>
      </c>
      <c r="Z2774" s="696">
        <f t="shared" ref="Z2774:AA2774" si="208">$K$2755</f>
        <v>632</v>
      </c>
      <c r="AA2774" s="696">
        <f t="shared" si="208"/>
        <v>632</v>
      </c>
      <c r="AB2774" s="696">
        <v>632</v>
      </c>
      <c r="AC2774" s="696">
        <f>$K$2755</f>
        <v>632</v>
      </c>
      <c r="AD2774" s="2857"/>
      <c r="AE2774" s="2857"/>
      <c r="AF2774" s="2857"/>
      <c r="AG2774" s="2857"/>
      <c r="AH2774" s="1942"/>
      <c r="AI2774" s="1942"/>
      <c r="AJ2774" s="1942"/>
      <c r="AK2774" s="1942"/>
      <c r="AL2774" s="1942"/>
      <c r="AM2774" s="1942"/>
      <c r="AN2774" s="1942"/>
      <c r="AO2774" s="1942"/>
      <c r="AP2774" s="1942"/>
      <c r="AQ2774" s="1942"/>
      <c r="AR2774" s="1942"/>
      <c r="AS2774" s="1942"/>
      <c r="AT2774" s="1942"/>
      <c r="AU2774" s="1942"/>
      <c r="AV2774" s="1942"/>
      <c r="AW2774" s="1942"/>
      <c r="AX2774" s="1942"/>
      <c r="AY2774" s="1942"/>
      <c r="AZ2774" s="1942"/>
      <c r="BA2774" s="1942"/>
      <c r="BB2774" s="575"/>
      <c r="BC2774" s="576"/>
      <c r="BD2774" s="678"/>
      <c r="BE2774" s="585"/>
    </row>
    <row r="2775" spans="1:57" s="51" customFormat="1" ht="15" hidden="1" customHeight="1" outlineLevel="1" x14ac:dyDescent="0.25">
      <c r="A2775" s="2060"/>
      <c r="B2775" s="123"/>
      <c r="C2775" s="328"/>
      <c r="D2775" s="3990"/>
      <c r="E2775" s="4009"/>
      <c r="F2775" s="3010" t="str">
        <f>$E$1485</f>
        <v>ASHP-SEER16-Replace_CAC_ElectricHeat_ROF_MF</v>
      </c>
      <c r="G2775" s="2676"/>
      <c r="H2775" s="2676"/>
      <c r="I2775" s="2677"/>
      <c r="J2775" s="3299" t="str">
        <f>$C$1485</f>
        <v>352950_2019_12_</v>
      </c>
      <c r="K2775" s="696">
        <v>869</v>
      </c>
      <c r="L2775" s="851"/>
      <c r="M2775" s="698" t="s">
        <v>1011</v>
      </c>
      <c r="N2775" s="123"/>
      <c r="O2775" s="228"/>
      <c r="P2775" s="844"/>
      <c r="Q2775" s="844"/>
      <c r="R2775" s="844"/>
      <c r="S2775" s="832"/>
      <c r="T2775" s="3082"/>
      <c r="U2775" s="123"/>
      <c r="V2775" s="3990"/>
      <c r="W2775" s="2857">
        <v>869</v>
      </c>
      <c r="X2775" s="2857">
        <v>869</v>
      </c>
      <c r="Y2775" s="696">
        <v>869</v>
      </c>
      <c r="Z2775" s="696">
        <v>869</v>
      </c>
      <c r="AA2775" s="696">
        <v>869</v>
      </c>
      <c r="AB2775" s="696">
        <v>869</v>
      </c>
      <c r="AC2775" s="696">
        <v>869</v>
      </c>
      <c r="AD2775" s="2857"/>
      <c r="AE2775" s="2857"/>
      <c r="AF2775" s="2857"/>
      <c r="AG2775" s="2857"/>
      <c r="AH2775" s="1942"/>
      <c r="AI2775" s="1942"/>
      <c r="AJ2775" s="1942"/>
      <c r="AK2775" s="1942"/>
      <c r="AL2775" s="1942"/>
      <c r="AM2775" s="1942"/>
      <c r="AN2775" s="1942"/>
      <c r="AO2775" s="1942"/>
      <c r="AP2775" s="1942"/>
      <c r="AQ2775" s="1942"/>
      <c r="AR2775" s="1942"/>
      <c r="AS2775" s="1942"/>
      <c r="AT2775" s="1942"/>
      <c r="AU2775" s="1942"/>
      <c r="AV2775" s="1942"/>
      <c r="AW2775" s="1942"/>
      <c r="AX2775" s="1942"/>
      <c r="AY2775" s="1942"/>
      <c r="AZ2775" s="1942"/>
      <c r="BA2775" s="1942"/>
      <c r="BB2775" s="575"/>
      <c r="BC2775" s="576"/>
      <c r="BD2775" s="678"/>
      <c r="BE2775" s="585"/>
    </row>
    <row r="2776" spans="1:57" s="51" customFormat="1" ht="15" hidden="1" customHeight="1" outlineLevel="1" x14ac:dyDescent="0.25">
      <c r="A2776" s="2060"/>
      <c r="B2776" s="123"/>
      <c r="C2776" s="328"/>
      <c r="D2776" s="3990"/>
      <c r="E2776" s="4009"/>
      <c r="F2776" s="3010" t="str">
        <f>$E$1487</f>
        <v>ASHP-SEER16-Replace_CAC_ElectricHeat_ROF_MF_CompE</v>
      </c>
      <c r="G2776" s="2676"/>
      <c r="H2776" s="2676"/>
      <c r="I2776" s="2677"/>
      <c r="J2776" s="3299" t="str">
        <f>$C$1487</f>
        <v>352951_2019_12_</v>
      </c>
      <c r="K2776" s="696">
        <f>$K$2755</f>
        <v>632</v>
      </c>
      <c r="L2776" s="851"/>
      <c r="M2776" s="786" t="s">
        <v>528</v>
      </c>
      <c r="N2776" s="123"/>
      <c r="O2776" s="228"/>
      <c r="P2776" s="844"/>
      <c r="Q2776" s="844"/>
      <c r="R2776" s="844"/>
      <c r="S2776" s="832"/>
      <c r="T2776" s="3082"/>
      <c r="U2776" s="123"/>
      <c r="V2776" s="3990"/>
      <c r="W2776" s="2857"/>
      <c r="X2776" s="2857"/>
      <c r="Y2776" s="3158">
        <f>$K$2755</f>
        <v>632</v>
      </c>
      <c r="Z2776" s="696">
        <f t="shared" ref="Z2776:AA2776" si="209">$K$2755</f>
        <v>632</v>
      </c>
      <c r="AA2776" s="696">
        <f t="shared" si="209"/>
        <v>632</v>
      </c>
      <c r="AB2776" s="696">
        <v>632</v>
      </c>
      <c r="AC2776" s="696">
        <f>$K$2755</f>
        <v>632</v>
      </c>
      <c r="AD2776" s="2857"/>
      <c r="AE2776" s="2857"/>
      <c r="AF2776" s="2857"/>
      <c r="AG2776" s="2857"/>
      <c r="AH2776" s="1942"/>
      <c r="AI2776" s="1942"/>
      <c r="AJ2776" s="1942"/>
      <c r="AK2776" s="1942"/>
      <c r="AL2776" s="1942"/>
      <c r="AM2776" s="1942"/>
      <c r="AN2776" s="1942"/>
      <c r="AO2776" s="1942"/>
      <c r="AP2776" s="1942"/>
      <c r="AQ2776" s="1942"/>
      <c r="AR2776" s="1942"/>
      <c r="AS2776" s="1942"/>
      <c r="AT2776" s="1942"/>
      <c r="AU2776" s="1942"/>
      <c r="AV2776" s="1942"/>
      <c r="AW2776" s="1942"/>
      <c r="AX2776" s="1942"/>
      <c r="AY2776" s="1942"/>
      <c r="AZ2776" s="1942"/>
      <c r="BA2776" s="1942"/>
      <c r="BB2776" s="575"/>
      <c r="BC2776" s="576"/>
      <c r="BD2776" s="678"/>
      <c r="BE2776" s="585"/>
    </row>
    <row r="2777" spans="1:57" s="1942" customFormat="1" ht="15" hidden="1" customHeight="1" outlineLevel="1" x14ac:dyDescent="0.25">
      <c r="A2777" s="2060"/>
      <c r="B2777" s="123"/>
      <c r="C2777" s="328"/>
      <c r="D2777" s="3990"/>
      <c r="E2777" s="4009"/>
      <c r="F2777" s="3010" t="str">
        <f>$E$1489</f>
        <v>ASHP-SEER16-Replace_CAC_NonElectricHeat_ROF_MF</v>
      </c>
      <c r="G2777" s="2676"/>
      <c r="H2777" s="2676"/>
      <c r="I2777" s="2677"/>
      <c r="J2777" s="3298" t="str">
        <f>$C$1489</f>
        <v>352960_2021_12_</v>
      </c>
      <c r="K2777" s="3158">
        <v>869</v>
      </c>
      <c r="L2777" s="851"/>
      <c r="M2777" s="3252" t="s">
        <v>1011</v>
      </c>
      <c r="N2777" s="123"/>
      <c r="O2777" s="228"/>
      <c r="P2777" s="844"/>
      <c r="Q2777" s="844"/>
      <c r="R2777" s="844"/>
      <c r="S2777" s="832"/>
      <c r="T2777" s="3082"/>
      <c r="U2777" s="123"/>
      <c r="V2777" s="3990"/>
      <c r="W2777" s="2857"/>
      <c r="X2777" s="2857"/>
      <c r="Y2777" s="3158"/>
      <c r="Z2777" s="696"/>
      <c r="AA2777" s="696"/>
      <c r="AB2777" s="696"/>
      <c r="AC2777" s="3158">
        <v>869</v>
      </c>
      <c r="AD2777" s="2857"/>
      <c r="AE2777" s="2857"/>
      <c r="AF2777" s="2857"/>
      <c r="AG2777" s="2857"/>
      <c r="BB2777" s="575"/>
      <c r="BC2777" s="576"/>
      <c r="BD2777" s="678"/>
      <c r="BE2777" s="585"/>
    </row>
    <row r="2778" spans="1:57" s="1942" customFormat="1" ht="15" hidden="1" customHeight="1" outlineLevel="1" x14ac:dyDescent="0.25">
      <c r="A2778" s="2060"/>
      <c r="B2778" s="123"/>
      <c r="C2778" s="328"/>
      <c r="D2778" s="3990"/>
      <c r="E2778" s="4009"/>
      <c r="F2778" s="3010" t="str">
        <f>$E$1491</f>
        <v>ASHP-SEER16-Replace_CAC_NonElectricHeat_ROF_MF_CompE</v>
      </c>
      <c r="G2778" s="2676"/>
      <c r="H2778" s="2676"/>
      <c r="I2778" s="2677"/>
      <c r="J2778" s="3298" t="str">
        <f>$C$1491</f>
        <v>352961_2021_12_</v>
      </c>
      <c r="K2778" s="3158">
        <f>$K$2755</f>
        <v>632</v>
      </c>
      <c r="L2778" s="851"/>
      <c r="M2778" s="3253" t="s">
        <v>528</v>
      </c>
      <c r="N2778" s="123"/>
      <c r="O2778" s="228"/>
      <c r="P2778" s="844"/>
      <c r="Q2778" s="844"/>
      <c r="R2778" s="844"/>
      <c r="S2778" s="832"/>
      <c r="T2778" s="3082"/>
      <c r="U2778" s="123"/>
      <c r="V2778" s="3990"/>
      <c r="W2778" s="2857"/>
      <c r="X2778" s="2857"/>
      <c r="Y2778" s="3158"/>
      <c r="Z2778" s="696"/>
      <c r="AA2778" s="696"/>
      <c r="AB2778" s="696"/>
      <c r="AC2778" s="3158">
        <f>$K$2755</f>
        <v>632</v>
      </c>
      <c r="AD2778" s="2857"/>
      <c r="AE2778" s="2857"/>
      <c r="AF2778" s="2857"/>
      <c r="AG2778" s="2857"/>
      <c r="BB2778" s="575"/>
      <c r="BC2778" s="576"/>
      <c r="BD2778" s="678"/>
      <c r="BE2778" s="585"/>
    </row>
    <row r="2779" spans="1:57" s="51" customFormat="1" ht="15" hidden="1" customHeight="1" outlineLevel="1" x14ac:dyDescent="0.25">
      <c r="A2779" s="2060"/>
      <c r="B2779" s="123"/>
      <c r="C2779" s="328"/>
      <c r="D2779" s="3990"/>
      <c r="E2779" s="4009"/>
      <c r="F2779" s="3010" t="str">
        <f>$E$1493</f>
        <v>ASHP-SEER16-Replace_CAC_ElectricHeat_ER1_MF</v>
      </c>
      <c r="G2779" s="2676"/>
      <c r="H2779" s="2676"/>
      <c r="I2779" s="2677"/>
      <c r="J2779" s="3298" t="str">
        <f>$C$1493</f>
        <v>353000_2021_12_</v>
      </c>
      <c r="K2779" s="696">
        <v>869</v>
      </c>
      <c r="L2779" s="851"/>
      <c r="M2779" s="698" t="s">
        <v>1011</v>
      </c>
      <c r="N2779" s="123"/>
      <c r="O2779" s="228"/>
      <c r="P2779" s="844"/>
      <c r="Q2779" s="844"/>
      <c r="R2779" s="844"/>
      <c r="S2779" s="832"/>
      <c r="T2779" s="3082"/>
      <c r="U2779" s="123"/>
      <c r="V2779" s="3990"/>
      <c r="W2779" s="2857">
        <v>869</v>
      </c>
      <c r="X2779" s="2857">
        <v>869</v>
      </c>
      <c r="Y2779" s="696">
        <v>869</v>
      </c>
      <c r="Z2779" s="696">
        <v>869</v>
      </c>
      <c r="AA2779" s="696">
        <v>869</v>
      </c>
      <c r="AB2779" s="696">
        <v>869</v>
      </c>
      <c r="AC2779" s="696">
        <v>869</v>
      </c>
      <c r="AD2779" s="2857"/>
      <c r="AE2779" s="2857"/>
      <c r="AF2779" s="2857"/>
      <c r="AG2779" s="2857"/>
      <c r="AH2779" s="1942"/>
      <c r="AI2779" s="1942"/>
      <c r="AJ2779" s="1942"/>
      <c r="AK2779" s="1942"/>
      <c r="AL2779" s="1942"/>
      <c r="AM2779" s="1942"/>
      <c r="AN2779" s="1942"/>
      <c r="AO2779" s="1942"/>
      <c r="AP2779" s="1942"/>
      <c r="AQ2779" s="1942"/>
      <c r="AR2779" s="1942"/>
      <c r="AS2779" s="1942"/>
      <c r="AT2779" s="1942"/>
      <c r="AU2779" s="1942"/>
      <c r="AV2779" s="1942"/>
      <c r="AW2779" s="1942"/>
      <c r="AX2779" s="1942"/>
      <c r="AY2779" s="1942"/>
      <c r="AZ2779" s="1942"/>
      <c r="BA2779" s="1942"/>
      <c r="BB2779" s="575"/>
      <c r="BC2779" s="576"/>
      <c r="BD2779" s="678"/>
      <c r="BE2779" s="585"/>
    </row>
    <row r="2780" spans="1:57" s="51" customFormat="1" ht="15" hidden="1" customHeight="1" outlineLevel="1" x14ac:dyDescent="0.25">
      <c r="A2780" s="2060"/>
      <c r="B2780" s="123"/>
      <c r="C2780" s="328"/>
      <c r="D2780" s="3990"/>
      <c r="E2780" s="4009"/>
      <c r="F2780" s="3010" t="str">
        <f>$E$1495</f>
        <v>ASHP-SEER16-Replace_CAC_ElectricHeat_ER2_MF</v>
      </c>
      <c r="G2780" s="2676"/>
      <c r="H2780" s="2676"/>
      <c r="I2780" s="2677"/>
      <c r="J2780" s="3298" t="str">
        <f>$C$1495</f>
        <v>353000_2021_12_</v>
      </c>
      <c r="K2780" s="696">
        <v>869</v>
      </c>
      <c r="L2780" s="851"/>
      <c r="M2780" s="698" t="s">
        <v>1011</v>
      </c>
      <c r="N2780" s="123"/>
      <c r="O2780" s="228"/>
      <c r="P2780" s="844"/>
      <c r="Q2780" s="844"/>
      <c r="R2780" s="844"/>
      <c r="S2780" s="832"/>
      <c r="T2780" s="3082"/>
      <c r="U2780" s="123"/>
      <c r="V2780" s="3990"/>
      <c r="W2780" s="2857">
        <v>869</v>
      </c>
      <c r="X2780" s="2857">
        <v>869</v>
      </c>
      <c r="Y2780" s="696">
        <v>869</v>
      </c>
      <c r="Z2780" s="696">
        <v>869</v>
      </c>
      <c r="AA2780" s="696">
        <v>869</v>
      </c>
      <c r="AB2780" s="696">
        <v>869</v>
      </c>
      <c r="AC2780" s="696">
        <v>869</v>
      </c>
      <c r="AD2780" s="2857"/>
      <c r="AE2780" s="2857"/>
      <c r="AF2780" s="2857"/>
      <c r="AG2780" s="2857"/>
      <c r="AH2780" s="1942"/>
      <c r="AI2780" s="1942"/>
      <c r="AJ2780" s="1942"/>
      <c r="AK2780" s="1942"/>
      <c r="AL2780" s="1942"/>
      <c r="AM2780" s="1942"/>
      <c r="AN2780" s="1942"/>
      <c r="AO2780" s="1942"/>
      <c r="AP2780" s="1942"/>
      <c r="AQ2780" s="1942"/>
      <c r="AR2780" s="1942"/>
      <c r="AS2780" s="1942"/>
      <c r="AT2780" s="1942"/>
      <c r="AU2780" s="1942"/>
      <c r="AV2780" s="1942"/>
      <c r="AW2780" s="1942"/>
      <c r="AX2780" s="1942"/>
      <c r="AY2780" s="1942"/>
      <c r="AZ2780" s="1942"/>
      <c r="BA2780" s="1942"/>
      <c r="BB2780" s="575"/>
      <c r="BC2780" s="576"/>
      <c r="BD2780" s="678"/>
      <c r="BE2780" s="585"/>
    </row>
    <row r="2781" spans="1:57" s="51" customFormat="1" ht="15" hidden="1" customHeight="1" outlineLevel="1" x14ac:dyDescent="0.25">
      <c r="A2781" s="2060"/>
      <c r="B2781" s="123"/>
      <c r="C2781" s="328"/>
      <c r="D2781" s="3990"/>
      <c r="E2781" s="4009"/>
      <c r="F2781" s="3010" t="str">
        <f>$E$1497</f>
        <v>ASHP-SEER16-Replace_CAC_ElectricHeat_ER1_MF_CompE</v>
      </c>
      <c r="G2781" s="2676"/>
      <c r="H2781" s="2676"/>
      <c r="I2781" s="2677"/>
      <c r="J2781" s="3298" t="str">
        <f>$C$1497</f>
        <v>353001_2021_12_</v>
      </c>
      <c r="K2781" s="696">
        <f>$K$2755</f>
        <v>632</v>
      </c>
      <c r="L2781" s="851"/>
      <c r="M2781" s="786" t="s">
        <v>528</v>
      </c>
      <c r="N2781" s="123"/>
      <c r="O2781" s="228"/>
      <c r="P2781" s="844"/>
      <c r="Q2781" s="844"/>
      <c r="R2781" s="844"/>
      <c r="S2781" s="832"/>
      <c r="T2781" s="3082"/>
      <c r="U2781" s="123"/>
      <c r="V2781" s="3990"/>
      <c r="W2781" s="2857"/>
      <c r="X2781" s="2857"/>
      <c r="Y2781" s="3158">
        <f>$K$2755</f>
        <v>632</v>
      </c>
      <c r="Z2781" s="696">
        <f t="shared" ref="Z2781:AA2782" si="210">$K$2755</f>
        <v>632</v>
      </c>
      <c r="AA2781" s="696">
        <f t="shared" si="210"/>
        <v>632</v>
      </c>
      <c r="AB2781" s="696">
        <v>632</v>
      </c>
      <c r="AC2781" s="696">
        <f>$K$2755</f>
        <v>632</v>
      </c>
      <c r="AD2781" s="2857"/>
      <c r="AE2781" s="2857"/>
      <c r="AF2781" s="2857"/>
      <c r="AG2781" s="2857"/>
      <c r="AH2781" s="1942"/>
      <c r="AI2781" s="1942"/>
      <c r="AJ2781" s="1942"/>
      <c r="AK2781" s="1942"/>
      <c r="AL2781" s="1942"/>
      <c r="AM2781" s="1942"/>
      <c r="AN2781" s="1942"/>
      <c r="AO2781" s="1942"/>
      <c r="AP2781" s="1942"/>
      <c r="AQ2781" s="1942"/>
      <c r="AR2781" s="1942"/>
      <c r="AS2781" s="1942"/>
      <c r="AT2781" s="1942"/>
      <c r="AU2781" s="1942"/>
      <c r="AV2781" s="1942"/>
      <c r="AW2781" s="1942"/>
      <c r="AX2781" s="1942"/>
      <c r="AY2781" s="1942"/>
      <c r="AZ2781" s="1942"/>
      <c r="BA2781" s="1942"/>
      <c r="BB2781" s="575"/>
      <c r="BC2781" s="576"/>
      <c r="BD2781" s="678"/>
      <c r="BE2781" s="585"/>
    </row>
    <row r="2782" spans="1:57" s="51" customFormat="1" ht="15" hidden="1" customHeight="1" outlineLevel="1" x14ac:dyDescent="0.25">
      <c r="A2782" s="2060"/>
      <c r="B2782" s="123"/>
      <c r="C2782" s="328"/>
      <c r="D2782" s="3990"/>
      <c r="E2782" s="4009"/>
      <c r="F2782" s="3010" t="str">
        <f>$E$1499</f>
        <v>ASHP-SEER16-Replace_CAC_ElectricHeat_ER2_MF_CompE</v>
      </c>
      <c r="G2782" s="2676"/>
      <c r="H2782" s="2676"/>
      <c r="I2782" s="2677"/>
      <c r="J2782" s="3298" t="str">
        <f>$C$1499</f>
        <v>353001_2021_12_</v>
      </c>
      <c r="K2782" s="696">
        <f>$K$2755</f>
        <v>632</v>
      </c>
      <c r="L2782" s="851"/>
      <c r="M2782" s="786" t="s">
        <v>528</v>
      </c>
      <c r="N2782" s="123"/>
      <c r="O2782" s="228"/>
      <c r="P2782" s="844"/>
      <c r="Q2782" s="844"/>
      <c r="R2782" s="844"/>
      <c r="S2782" s="832"/>
      <c r="T2782" s="3082"/>
      <c r="U2782" s="123"/>
      <c r="V2782" s="3990"/>
      <c r="W2782" s="2857"/>
      <c r="X2782" s="2857"/>
      <c r="Y2782" s="3158">
        <f>$K$2755</f>
        <v>632</v>
      </c>
      <c r="Z2782" s="696">
        <f t="shared" si="210"/>
        <v>632</v>
      </c>
      <c r="AA2782" s="696">
        <f t="shared" si="210"/>
        <v>632</v>
      </c>
      <c r="AB2782" s="696">
        <v>632</v>
      </c>
      <c r="AC2782" s="696">
        <f>$K$2755</f>
        <v>632</v>
      </c>
      <c r="AD2782" s="2857"/>
      <c r="AE2782" s="2857"/>
      <c r="AF2782" s="2857"/>
      <c r="AG2782" s="2857"/>
      <c r="AH2782" s="1942"/>
      <c r="AI2782" s="1942"/>
      <c r="AJ2782" s="1942"/>
      <c r="AK2782" s="1942"/>
      <c r="AL2782" s="1942"/>
      <c r="AM2782" s="1942"/>
      <c r="AN2782" s="1942"/>
      <c r="AO2782" s="1942"/>
      <c r="AP2782" s="1942"/>
      <c r="AQ2782" s="1942"/>
      <c r="AR2782" s="1942"/>
      <c r="AS2782" s="1942"/>
      <c r="AT2782" s="1942"/>
      <c r="AU2782" s="1942"/>
      <c r="AV2782" s="1942"/>
      <c r="AW2782" s="1942"/>
      <c r="AX2782" s="1942"/>
      <c r="AY2782" s="1942"/>
      <c r="AZ2782" s="1942"/>
      <c r="BA2782" s="1942"/>
      <c r="BB2782" s="575"/>
      <c r="BC2782" s="576"/>
      <c r="BD2782" s="678"/>
      <c r="BE2782" s="585"/>
    </row>
    <row r="2783" spans="1:57" s="1942" customFormat="1" ht="15" hidden="1" customHeight="1" outlineLevel="1" x14ac:dyDescent="0.25">
      <c r="A2783" s="2060"/>
      <c r="B2783" s="123"/>
      <c r="C2783" s="328"/>
      <c r="D2783" s="3990"/>
      <c r="E2783" s="4009"/>
      <c r="F2783" s="3010" t="str">
        <f>$E$1501</f>
        <v>ASHP-SEER16-Replace_CAC_NonElectricHeat_ER1_MF</v>
      </c>
      <c r="G2783" s="2676"/>
      <c r="H2783" s="2676"/>
      <c r="I2783" s="2677"/>
      <c r="J2783" s="3298" t="str">
        <f>$C$1501</f>
        <v>353010_2021_12_</v>
      </c>
      <c r="K2783" s="3158">
        <v>869</v>
      </c>
      <c r="L2783" s="851"/>
      <c r="M2783" s="3252" t="s">
        <v>1011</v>
      </c>
      <c r="N2783" s="123"/>
      <c r="O2783" s="228"/>
      <c r="P2783" s="844"/>
      <c r="Q2783" s="844"/>
      <c r="R2783" s="844"/>
      <c r="S2783" s="832"/>
      <c r="T2783" s="3082"/>
      <c r="U2783" s="123"/>
      <c r="V2783" s="3990"/>
      <c r="W2783" s="2857"/>
      <c r="X2783" s="2857"/>
      <c r="Y2783" s="3158"/>
      <c r="Z2783" s="696"/>
      <c r="AA2783" s="696"/>
      <c r="AB2783" s="696"/>
      <c r="AC2783" s="3158">
        <v>869</v>
      </c>
      <c r="AD2783" s="2857"/>
      <c r="AE2783" s="2857"/>
      <c r="AF2783" s="2857"/>
      <c r="AG2783" s="2857"/>
      <c r="BB2783" s="575"/>
      <c r="BC2783" s="576"/>
      <c r="BD2783" s="678"/>
      <c r="BE2783" s="585"/>
    </row>
    <row r="2784" spans="1:57" s="1942" customFormat="1" ht="15" hidden="1" customHeight="1" outlineLevel="1" x14ac:dyDescent="0.25">
      <c r="A2784" s="2060"/>
      <c r="B2784" s="123"/>
      <c r="C2784" s="328"/>
      <c r="D2784" s="3990"/>
      <c r="E2784" s="4009"/>
      <c r="F2784" s="3010" t="str">
        <f>$E$1503</f>
        <v>ASHP-SEER16-Replace_CAC_NonElectricHeat_ER2_MF</v>
      </c>
      <c r="G2784" s="2676"/>
      <c r="H2784" s="2676"/>
      <c r="I2784" s="2677"/>
      <c r="J2784" s="3298" t="str">
        <f>$C$1503</f>
        <v>353010_2021_12_</v>
      </c>
      <c r="K2784" s="3158">
        <v>869</v>
      </c>
      <c r="L2784" s="851"/>
      <c r="M2784" s="3252" t="s">
        <v>1011</v>
      </c>
      <c r="N2784" s="123"/>
      <c r="O2784" s="228"/>
      <c r="P2784" s="844"/>
      <c r="Q2784" s="844"/>
      <c r="R2784" s="844"/>
      <c r="S2784" s="832"/>
      <c r="T2784" s="3082"/>
      <c r="U2784" s="123"/>
      <c r="V2784" s="3990"/>
      <c r="W2784" s="2857"/>
      <c r="X2784" s="2857"/>
      <c r="Y2784" s="3158"/>
      <c r="Z2784" s="696"/>
      <c r="AA2784" s="696"/>
      <c r="AB2784" s="696"/>
      <c r="AC2784" s="3158">
        <v>869</v>
      </c>
      <c r="AD2784" s="2857"/>
      <c r="AE2784" s="2857"/>
      <c r="AF2784" s="2857"/>
      <c r="AG2784" s="2857"/>
      <c r="BB2784" s="575"/>
      <c r="BC2784" s="576"/>
      <c r="BD2784" s="678"/>
      <c r="BE2784" s="585"/>
    </row>
    <row r="2785" spans="1:57" s="1942" customFormat="1" ht="15" hidden="1" customHeight="1" outlineLevel="1" x14ac:dyDescent="0.25">
      <c r="A2785" s="2060"/>
      <c r="B2785" s="123"/>
      <c r="C2785" s="328"/>
      <c r="D2785" s="3990"/>
      <c r="E2785" s="4009"/>
      <c r="F2785" s="3010" t="str">
        <f>$E$1505</f>
        <v>ASHP-SEER16-Replace_CAC_NonElectricHeat_ER1_MF_CompE</v>
      </c>
      <c r="G2785" s="2676"/>
      <c r="H2785" s="2676"/>
      <c r="I2785" s="2677"/>
      <c r="J2785" s="3298" t="str">
        <f>$C$1505</f>
        <v>353011_2021_12_</v>
      </c>
      <c r="K2785" s="3158">
        <f>$K$2755</f>
        <v>632</v>
      </c>
      <c r="L2785" s="851"/>
      <c r="M2785" s="3253" t="s">
        <v>528</v>
      </c>
      <c r="N2785" s="123"/>
      <c r="O2785" s="228"/>
      <c r="P2785" s="844"/>
      <c r="Q2785" s="844"/>
      <c r="R2785" s="844"/>
      <c r="S2785" s="832"/>
      <c r="T2785" s="3082"/>
      <c r="U2785" s="123"/>
      <c r="V2785" s="3990"/>
      <c r="W2785" s="2857"/>
      <c r="X2785" s="2857"/>
      <c r="Y2785" s="3158"/>
      <c r="Z2785" s="696"/>
      <c r="AA2785" s="696"/>
      <c r="AB2785" s="696"/>
      <c r="AC2785" s="3158">
        <f>$K$2755</f>
        <v>632</v>
      </c>
      <c r="AD2785" s="2857"/>
      <c r="AE2785" s="2857"/>
      <c r="AF2785" s="2857"/>
      <c r="AG2785" s="2857"/>
      <c r="BB2785" s="575"/>
      <c r="BC2785" s="576"/>
      <c r="BD2785" s="678"/>
      <c r="BE2785" s="585"/>
    </row>
    <row r="2786" spans="1:57" s="1942" customFormat="1" ht="15" hidden="1" customHeight="1" outlineLevel="1" x14ac:dyDescent="0.25">
      <c r="A2786" s="2060"/>
      <c r="B2786" s="123"/>
      <c r="C2786" s="328"/>
      <c r="D2786" s="3990"/>
      <c r="E2786" s="4009"/>
      <c r="F2786" s="3010" t="str">
        <f>$E$1507</f>
        <v>ASHP-SEER16-Replace_CAC_NonElectricHeat_ER2_MF_CompE</v>
      </c>
      <c r="G2786" s="2676"/>
      <c r="H2786" s="2676"/>
      <c r="I2786" s="2677"/>
      <c r="J2786" s="3298" t="str">
        <f>$C$1507</f>
        <v>353011_2021_12_</v>
      </c>
      <c r="K2786" s="3158">
        <f>$K$2755</f>
        <v>632</v>
      </c>
      <c r="L2786" s="851"/>
      <c r="M2786" s="3253" t="s">
        <v>528</v>
      </c>
      <c r="N2786" s="123"/>
      <c r="O2786" s="228"/>
      <c r="P2786" s="844"/>
      <c r="Q2786" s="844"/>
      <c r="R2786" s="844"/>
      <c r="S2786" s="832"/>
      <c r="T2786" s="3082"/>
      <c r="U2786" s="123"/>
      <c r="V2786" s="3990"/>
      <c r="W2786" s="2857"/>
      <c r="X2786" s="2857"/>
      <c r="Y2786" s="3158"/>
      <c r="Z2786" s="696"/>
      <c r="AA2786" s="696"/>
      <c r="AB2786" s="696"/>
      <c r="AC2786" s="3158">
        <f>$K$2755</f>
        <v>632</v>
      </c>
      <c r="AD2786" s="2857"/>
      <c r="AE2786" s="2857"/>
      <c r="AF2786" s="2857"/>
      <c r="AG2786" s="2857"/>
      <c r="BB2786" s="575"/>
      <c r="BC2786" s="576"/>
      <c r="BD2786" s="678"/>
      <c r="BE2786" s="585"/>
    </row>
    <row r="2787" spans="1:57" s="51" customFormat="1" ht="15" hidden="1" customHeight="1" outlineLevel="1" x14ac:dyDescent="0.25">
      <c r="A2787" s="2060"/>
      <c r="B2787" s="123"/>
      <c r="C2787" s="328"/>
      <c r="D2787" s="3990"/>
      <c r="E2787" s="4009"/>
      <c r="F2787" s="3011" t="str">
        <f>$E$1509</f>
        <v>ASHP-SEER15_ROF_MF</v>
      </c>
      <c r="G2787" s="2678"/>
      <c r="H2787" s="2678"/>
      <c r="I2787" s="2679"/>
      <c r="J2787" s="3298" t="str">
        <f>$C$1509</f>
        <v>353050_2021_12_</v>
      </c>
      <c r="K2787" s="696">
        <v>869</v>
      </c>
      <c r="L2787" s="851"/>
      <c r="M2787" s="698" t="s">
        <v>1011</v>
      </c>
      <c r="N2787" s="123"/>
      <c r="O2787" s="228"/>
      <c r="P2787" s="844"/>
      <c r="Q2787" s="844"/>
      <c r="R2787" s="844"/>
      <c r="S2787" s="832"/>
      <c r="T2787" s="3082"/>
      <c r="U2787" s="123"/>
      <c r="V2787" s="3990"/>
      <c r="W2787" s="2857">
        <v>869</v>
      </c>
      <c r="X2787" s="2857">
        <v>869</v>
      </c>
      <c r="Y2787" s="696">
        <v>869</v>
      </c>
      <c r="Z2787" s="696">
        <v>869</v>
      </c>
      <c r="AA2787" s="696">
        <v>869</v>
      </c>
      <c r="AB2787" s="696">
        <v>869</v>
      </c>
      <c r="AC2787" s="696">
        <v>869</v>
      </c>
      <c r="AD2787" s="2857"/>
      <c r="AE2787" s="2857"/>
      <c r="AF2787" s="2857"/>
      <c r="AG2787" s="2857"/>
      <c r="AH2787" s="1942"/>
      <c r="AI2787" s="1942"/>
      <c r="AJ2787" s="1942"/>
      <c r="AK2787" s="1942"/>
      <c r="AL2787" s="1942"/>
      <c r="AM2787" s="1942"/>
      <c r="AN2787" s="1942"/>
      <c r="AO2787" s="1942"/>
      <c r="AP2787" s="1942"/>
      <c r="AQ2787" s="1942"/>
      <c r="AR2787" s="1942"/>
      <c r="AS2787" s="1942"/>
      <c r="AT2787" s="1942"/>
      <c r="AU2787" s="1942"/>
      <c r="AV2787" s="1942"/>
      <c r="AW2787" s="1942"/>
      <c r="AX2787" s="1942"/>
      <c r="AY2787" s="1942"/>
      <c r="AZ2787" s="1942"/>
      <c r="BA2787" s="1942"/>
      <c r="BB2787" s="575"/>
      <c r="BC2787" s="576"/>
      <c r="BD2787" s="678"/>
      <c r="BE2787" s="585"/>
    </row>
    <row r="2788" spans="1:57" s="51" customFormat="1" ht="15" hidden="1" customHeight="1" outlineLevel="1" x14ac:dyDescent="0.25">
      <c r="A2788" s="2060"/>
      <c r="B2788" s="123"/>
      <c r="C2788" s="328"/>
      <c r="D2788" s="3990"/>
      <c r="E2788" s="4009"/>
      <c r="F2788" s="3011" t="str">
        <f>$E$1511</f>
        <v>ASHP-SEER15_ROF_MF_CompE</v>
      </c>
      <c r="G2788" s="2678"/>
      <c r="H2788" s="2678"/>
      <c r="I2788" s="2679"/>
      <c r="J2788" s="3298" t="str">
        <f>$C$1511</f>
        <v>353051_2021_12_</v>
      </c>
      <c r="K2788" s="696">
        <f>$K$2755</f>
        <v>632</v>
      </c>
      <c r="L2788" s="851"/>
      <c r="M2788" s="786" t="s">
        <v>528</v>
      </c>
      <c r="N2788" s="123"/>
      <c r="O2788" s="228"/>
      <c r="P2788" s="844"/>
      <c r="Q2788" s="844"/>
      <c r="R2788" s="844"/>
      <c r="S2788" s="832"/>
      <c r="T2788" s="3082"/>
      <c r="U2788" s="123"/>
      <c r="V2788" s="3990"/>
      <c r="W2788" s="2857"/>
      <c r="X2788" s="2857"/>
      <c r="Y2788" s="3158">
        <f>$K$2755</f>
        <v>632</v>
      </c>
      <c r="Z2788" s="696">
        <f t="shared" ref="Z2788:AA2788" si="211">$K$2755</f>
        <v>632</v>
      </c>
      <c r="AA2788" s="696">
        <f t="shared" si="211"/>
        <v>632</v>
      </c>
      <c r="AB2788" s="696">
        <v>632</v>
      </c>
      <c r="AC2788" s="696">
        <f>$K$2755</f>
        <v>632</v>
      </c>
      <c r="AD2788" s="2857"/>
      <c r="AE2788" s="2857"/>
      <c r="AF2788" s="2857"/>
      <c r="AG2788" s="2857"/>
      <c r="AH2788" s="1942"/>
      <c r="AI2788" s="1942"/>
      <c r="AJ2788" s="1942"/>
      <c r="AK2788" s="1942"/>
      <c r="AL2788" s="1942"/>
      <c r="AM2788" s="1942"/>
      <c r="AN2788" s="1942"/>
      <c r="AO2788" s="1942"/>
      <c r="AP2788" s="1942"/>
      <c r="AQ2788" s="1942"/>
      <c r="AR2788" s="1942"/>
      <c r="AS2788" s="1942"/>
      <c r="AT2788" s="1942"/>
      <c r="AU2788" s="1942"/>
      <c r="AV2788" s="1942"/>
      <c r="AW2788" s="1942"/>
      <c r="AX2788" s="1942"/>
      <c r="AY2788" s="1942"/>
      <c r="AZ2788" s="1942"/>
      <c r="BA2788" s="1942"/>
      <c r="BB2788" s="575"/>
      <c r="BC2788" s="576"/>
      <c r="BD2788" s="678"/>
      <c r="BE2788" s="585"/>
    </row>
    <row r="2789" spans="1:57" s="51" customFormat="1" ht="15" hidden="1" customHeight="1" outlineLevel="1" x14ac:dyDescent="0.25">
      <c r="A2789" s="2060"/>
      <c r="B2789" s="123"/>
      <c r="C2789" s="328"/>
      <c r="D2789" s="3990"/>
      <c r="E2789" s="4009"/>
      <c r="F2789" s="3010" t="str">
        <f>$E$1513</f>
        <v>ASHP-SEER17-Replace_CAC_ElectricHeat_ROF_SF</v>
      </c>
      <c r="G2789" s="2676"/>
      <c r="H2789" s="2676"/>
      <c r="I2789" s="2677"/>
      <c r="J2789" s="3298" t="str">
        <f>$C$1513</f>
        <v>353100_2021_12_</v>
      </c>
      <c r="K2789" s="696">
        <v>869</v>
      </c>
      <c r="L2789" s="851"/>
      <c r="M2789" s="698" t="s">
        <v>1011</v>
      </c>
      <c r="N2789" s="123"/>
      <c r="O2789" s="228"/>
      <c r="P2789" s="844"/>
      <c r="Q2789" s="844"/>
      <c r="R2789" s="844"/>
      <c r="S2789" s="832"/>
      <c r="T2789" s="3082"/>
      <c r="U2789" s="123"/>
      <c r="V2789" s="3990"/>
      <c r="W2789" s="2857">
        <v>869</v>
      </c>
      <c r="X2789" s="2857">
        <v>869</v>
      </c>
      <c r="Y2789" s="696">
        <v>869</v>
      </c>
      <c r="Z2789" s="696">
        <v>869</v>
      </c>
      <c r="AA2789" s="696">
        <v>869</v>
      </c>
      <c r="AB2789" s="696">
        <v>869</v>
      </c>
      <c r="AC2789" s="696">
        <v>869</v>
      </c>
      <c r="AD2789" s="2857"/>
      <c r="AE2789" s="2857"/>
      <c r="AF2789" s="2857"/>
      <c r="AG2789" s="2857"/>
      <c r="AH2789" s="1942"/>
      <c r="AI2789" s="1942"/>
      <c r="AJ2789" s="1942"/>
      <c r="AK2789" s="1942"/>
      <c r="AL2789" s="1942"/>
      <c r="AM2789" s="1942"/>
      <c r="AN2789" s="1942"/>
      <c r="AO2789" s="1942"/>
      <c r="AP2789" s="1942"/>
      <c r="AQ2789" s="1942"/>
      <c r="AR2789" s="1942"/>
      <c r="AS2789" s="1942"/>
      <c r="AT2789" s="1942"/>
      <c r="AU2789" s="1942"/>
      <c r="AV2789" s="1942"/>
      <c r="AW2789" s="1942"/>
      <c r="AX2789" s="1942"/>
      <c r="AY2789" s="1942"/>
      <c r="AZ2789" s="1942"/>
      <c r="BA2789" s="1942"/>
      <c r="BB2789" s="575"/>
      <c r="BC2789" s="576"/>
      <c r="BD2789" s="678"/>
      <c r="BE2789" s="585"/>
    </row>
    <row r="2790" spans="1:57" s="51" customFormat="1" ht="15" hidden="1" customHeight="1" outlineLevel="1" x14ac:dyDescent="0.25">
      <c r="A2790" s="2060"/>
      <c r="B2790" s="123"/>
      <c r="C2790" s="328"/>
      <c r="D2790" s="3990"/>
      <c r="E2790" s="4009"/>
      <c r="F2790" s="3010" t="str">
        <f>$E$1515</f>
        <v>ASHP-SEER17-Replace_CAC_ElectricHeat_ROF_MF</v>
      </c>
      <c r="G2790" s="2676"/>
      <c r="H2790" s="2676"/>
      <c r="I2790" s="2677"/>
      <c r="J2790" s="3299" t="str">
        <f>$C$1515</f>
        <v>353150_2019_12_</v>
      </c>
      <c r="K2790" s="696">
        <v>869</v>
      </c>
      <c r="L2790" s="851"/>
      <c r="M2790" s="698" t="s">
        <v>1011</v>
      </c>
      <c r="N2790" s="123"/>
      <c r="O2790" s="228"/>
      <c r="P2790" s="844"/>
      <c r="Q2790" s="844"/>
      <c r="R2790" s="844"/>
      <c r="S2790" s="832"/>
      <c r="T2790" s="3082"/>
      <c r="U2790" s="123"/>
      <c r="V2790" s="3990"/>
      <c r="W2790" s="2857">
        <v>869</v>
      </c>
      <c r="X2790" s="2857">
        <v>869</v>
      </c>
      <c r="Y2790" s="696">
        <v>869</v>
      </c>
      <c r="Z2790" s="696">
        <v>869</v>
      </c>
      <c r="AA2790" s="696">
        <v>869</v>
      </c>
      <c r="AB2790" s="696">
        <v>869</v>
      </c>
      <c r="AC2790" s="696">
        <v>869</v>
      </c>
      <c r="AD2790" s="2857"/>
      <c r="AE2790" s="2857"/>
      <c r="AF2790" s="2857"/>
      <c r="AG2790" s="2857"/>
      <c r="AH2790" s="1942"/>
      <c r="AI2790" s="1942"/>
      <c r="AJ2790" s="1942"/>
      <c r="AK2790" s="1942"/>
      <c r="AL2790" s="1942"/>
      <c r="AM2790" s="1942"/>
      <c r="AN2790" s="1942"/>
      <c r="AO2790" s="1942"/>
      <c r="AP2790" s="1942"/>
      <c r="AQ2790" s="1942"/>
      <c r="AR2790" s="1942"/>
      <c r="AS2790" s="1942"/>
      <c r="AT2790" s="1942"/>
      <c r="AU2790" s="1942"/>
      <c r="AV2790" s="1942"/>
      <c r="AW2790" s="1942"/>
      <c r="AX2790" s="1942"/>
      <c r="AY2790" s="1942"/>
      <c r="AZ2790" s="1942"/>
      <c r="BA2790" s="1942"/>
      <c r="BB2790" s="575"/>
      <c r="BC2790" s="576"/>
      <c r="BD2790" s="678"/>
      <c r="BE2790" s="585"/>
    </row>
    <row r="2791" spans="1:57" s="51" customFormat="1" ht="15" hidden="1" customHeight="1" outlineLevel="1" x14ac:dyDescent="0.25">
      <c r="A2791" s="2060"/>
      <c r="B2791" s="123"/>
      <c r="C2791" s="328"/>
      <c r="D2791" s="3990"/>
      <c r="E2791" s="4009"/>
      <c r="F2791" s="3010" t="str">
        <f>$E$1517</f>
        <v>ASHP-SEER17-Replace_CAC_ElectricHeat_ROF_MF_CompE</v>
      </c>
      <c r="G2791" s="2676"/>
      <c r="H2791" s="2676"/>
      <c r="I2791" s="2677"/>
      <c r="J2791" s="3299" t="str">
        <f>$C$1517</f>
        <v>353151_2019_12_</v>
      </c>
      <c r="K2791" s="696">
        <f>$K$2755</f>
        <v>632</v>
      </c>
      <c r="L2791" s="851"/>
      <c r="M2791" s="786" t="s">
        <v>528</v>
      </c>
      <c r="N2791" s="123"/>
      <c r="O2791" s="228"/>
      <c r="P2791" s="844"/>
      <c r="Q2791" s="844"/>
      <c r="R2791" s="844"/>
      <c r="S2791" s="832"/>
      <c r="T2791" s="3082"/>
      <c r="U2791" s="123"/>
      <c r="V2791" s="3990"/>
      <c r="W2791" s="2857"/>
      <c r="X2791" s="2857"/>
      <c r="Y2791" s="3158">
        <f>$K$2755</f>
        <v>632</v>
      </c>
      <c r="Z2791" s="696">
        <f t="shared" ref="Z2791:AA2791" si="212">$K$2755</f>
        <v>632</v>
      </c>
      <c r="AA2791" s="696">
        <f t="shared" si="212"/>
        <v>632</v>
      </c>
      <c r="AB2791" s="696">
        <v>632</v>
      </c>
      <c r="AC2791" s="696">
        <f>$K$2755</f>
        <v>632</v>
      </c>
      <c r="AD2791" s="2857"/>
      <c r="AE2791" s="2857"/>
      <c r="AF2791" s="2857"/>
      <c r="AG2791" s="2857"/>
      <c r="AH2791" s="1942"/>
      <c r="AI2791" s="1942"/>
      <c r="AJ2791" s="1942"/>
      <c r="AK2791" s="1942"/>
      <c r="AL2791" s="1942"/>
      <c r="AM2791" s="1942"/>
      <c r="AN2791" s="1942"/>
      <c r="AO2791" s="1942"/>
      <c r="AP2791" s="1942"/>
      <c r="AQ2791" s="1942"/>
      <c r="AR2791" s="1942"/>
      <c r="AS2791" s="1942"/>
      <c r="AT2791" s="1942"/>
      <c r="AU2791" s="1942"/>
      <c r="AV2791" s="1942"/>
      <c r="AW2791" s="1942"/>
      <c r="AX2791" s="1942"/>
      <c r="AY2791" s="1942"/>
      <c r="AZ2791" s="1942"/>
      <c r="BA2791" s="1942"/>
      <c r="BB2791" s="575"/>
      <c r="BC2791" s="576"/>
      <c r="BD2791" s="678"/>
      <c r="BE2791" s="585"/>
    </row>
    <row r="2792" spans="1:57" s="1942" customFormat="1" ht="15" hidden="1" customHeight="1" outlineLevel="1" x14ac:dyDescent="0.25">
      <c r="A2792" s="2060"/>
      <c r="B2792" s="123"/>
      <c r="C2792" s="328"/>
      <c r="D2792" s="3990"/>
      <c r="E2792" s="4009"/>
      <c r="F2792" s="3010" t="str">
        <f>$E$1519</f>
        <v>ASHP-SEER17-Replace_CAC_NonElectricHeat_ROF_MF</v>
      </c>
      <c r="G2792" s="2676"/>
      <c r="H2792" s="2676"/>
      <c r="I2792" s="2677"/>
      <c r="J2792" s="3298" t="str">
        <f>$C$1519</f>
        <v>353160_2021_12_</v>
      </c>
      <c r="K2792" s="3158">
        <v>869</v>
      </c>
      <c r="L2792" s="851"/>
      <c r="M2792" s="3252" t="s">
        <v>1011</v>
      </c>
      <c r="N2792" s="123"/>
      <c r="O2792" s="228"/>
      <c r="P2792" s="844"/>
      <c r="Q2792" s="844"/>
      <c r="R2792" s="844"/>
      <c r="S2792" s="832"/>
      <c r="T2792" s="3082"/>
      <c r="U2792" s="123"/>
      <c r="V2792" s="3990"/>
      <c r="W2792" s="2857"/>
      <c r="X2792" s="2857"/>
      <c r="Y2792" s="3158"/>
      <c r="Z2792" s="696"/>
      <c r="AA2792" s="696"/>
      <c r="AB2792" s="696"/>
      <c r="AC2792" s="3158">
        <v>869</v>
      </c>
      <c r="AD2792" s="2857"/>
      <c r="AE2792" s="2857"/>
      <c r="AF2792" s="2857"/>
      <c r="AG2792" s="2857"/>
      <c r="BB2792" s="575"/>
      <c r="BC2792" s="576"/>
      <c r="BD2792" s="678"/>
      <c r="BE2792" s="585"/>
    </row>
    <row r="2793" spans="1:57" s="1942" customFormat="1" ht="15" hidden="1" customHeight="1" outlineLevel="1" x14ac:dyDescent="0.25">
      <c r="A2793" s="2060"/>
      <c r="B2793" s="123"/>
      <c r="C2793" s="328"/>
      <c r="D2793" s="3990"/>
      <c r="E2793" s="4009"/>
      <c r="F2793" s="3010" t="str">
        <f>$E$1521</f>
        <v>ASHP-SEER17-Replace_CAC_NonElectricHeat_ROF_MF_CompE</v>
      </c>
      <c r="G2793" s="2676"/>
      <c r="H2793" s="2676"/>
      <c r="I2793" s="2677"/>
      <c r="J2793" s="3298" t="str">
        <f>$C$1521</f>
        <v>353161_2021_12_</v>
      </c>
      <c r="K2793" s="3158">
        <f>$K$2755</f>
        <v>632</v>
      </c>
      <c r="L2793" s="851"/>
      <c r="M2793" s="3253" t="s">
        <v>528</v>
      </c>
      <c r="N2793" s="123"/>
      <c r="O2793" s="228"/>
      <c r="P2793" s="844"/>
      <c r="Q2793" s="844"/>
      <c r="R2793" s="844"/>
      <c r="S2793" s="832"/>
      <c r="T2793" s="3082"/>
      <c r="U2793" s="123"/>
      <c r="V2793" s="3990"/>
      <c r="W2793" s="2857"/>
      <c r="X2793" s="2857"/>
      <c r="Y2793" s="3158"/>
      <c r="Z2793" s="696"/>
      <c r="AA2793" s="696"/>
      <c r="AB2793" s="696"/>
      <c r="AC2793" s="3158">
        <f>$K$2755</f>
        <v>632</v>
      </c>
      <c r="AD2793" s="2857"/>
      <c r="AE2793" s="2857"/>
      <c r="AF2793" s="2857"/>
      <c r="AG2793" s="2857"/>
      <c r="BB2793" s="575"/>
      <c r="BC2793" s="576"/>
      <c r="BD2793" s="678"/>
      <c r="BE2793" s="585"/>
    </row>
    <row r="2794" spans="1:57" s="51" customFormat="1" ht="15" hidden="1" customHeight="1" outlineLevel="1" x14ac:dyDescent="0.25">
      <c r="A2794" s="2060"/>
      <c r="B2794" s="123"/>
      <c r="C2794" s="328"/>
      <c r="D2794" s="3990"/>
      <c r="E2794" s="4009"/>
      <c r="F2794" s="3010" t="str">
        <f>$E$1523</f>
        <v>ASHP-SEER18-Replace_CAC_ElectricHeat_ROF_SF</v>
      </c>
      <c r="G2794" s="2676"/>
      <c r="H2794" s="2676"/>
      <c r="I2794" s="2677"/>
      <c r="J2794" s="3298" t="str">
        <f>$C$1523</f>
        <v>353200_2021_12_</v>
      </c>
      <c r="K2794" s="696">
        <v>869</v>
      </c>
      <c r="L2794" s="851"/>
      <c r="M2794" s="698" t="s">
        <v>1011</v>
      </c>
      <c r="N2794" s="123"/>
      <c r="O2794" s="228"/>
      <c r="P2794" s="844"/>
      <c r="Q2794" s="844"/>
      <c r="R2794" s="844"/>
      <c r="S2794" s="832"/>
      <c r="T2794" s="3082"/>
      <c r="U2794" s="123"/>
      <c r="V2794" s="3990"/>
      <c r="W2794" s="2857">
        <v>869</v>
      </c>
      <c r="X2794" s="2857">
        <v>869</v>
      </c>
      <c r="Y2794" s="696">
        <v>869</v>
      </c>
      <c r="Z2794" s="696">
        <v>869</v>
      </c>
      <c r="AA2794" s="696">
        <v>869</v>
      </c>
      <c r="AB2794" s="696">
        <v>869</v>
      </c>
      <c r="AC2794" s="696">
        <v>869</v>
      </c>
      <c r="AD2794" s="2857"/>
      <c r="AE2794" s="2857"/>
      <c r="AF2794" s="2857"/>
      <c r="AG2794" s="2857"/>
      <c r="AH2794" s="1942"/>
      <c r="AI2794" s="1942"/>
      <c r="AJ2794" s="1942"/>
      <c r="AK2794" s="1942"/>
      <c r="AL2794" s="1942"/>
      <c r="AM2794" s="1942"/>
      <c r="AN2794" s="1942"/>
      <c r="AO2794" s="1942"/>
      <c r="AP2794" s="1942"/>
      <c r="AQ2794" s="1942"/>
      <c r="AR2794" s="1942"/>
      <c r="AS2794" s="1942"/>
      <c r="AT2794" s="1942"/>
      <c r="AU2794" s="1942"/>
      <c r="AV2794" s="1942"/>
      <c r="AW2794" s="1942"/>
      <c r="AX2794" s="1942"/>
      <c r="AY2794" s="1942"/>
      <c r="AZ2794" s="1942"/>
      <c r="BA2794" s="1942"/>
      <c r="BB2794" s="575"/>
      <c r="BC2794" s="576"/>
      <c r="BD2794" s="678"/>
      <c r="BE2794" s="585"/>
    </row>
    <row r="2795" spans="1:57" s="51" customFormat="1" ht="15" hidden="1" customHeight="1" outlineLevel="1" x14ac:dyDescent="0.25">
      <c r="A2795" s="2060"/>
      <c r="B2795" s="123"/>
      <c r="C2795" s="328"/>
      <c r="D2795" s="3990"/>
      <c r="E2795" s="4009"/>
      <c r="F2795" s="3010" t="str">
        <f>$E$1525</f>
        <v>ASHP-SEER18-Replace_CAC_ElectricHeat_ROF_MF</v>
      </c>
      <c r="G2795" s="2676"/>
      <c r="H2795" s="2676"/>
      <c r="I2795" s="2677"/>
      <c r="J2795" s="3298" t="str">
        <f>$C$1525</f>
        <v>353250_2021_12_</v>
      </c>
      <c r="K2795" s="696">
        <v>869</v>
      </c>
      <c r="L2795" s="851"/>
      <c r="M2795" s="698" t="s">
        <v>1011</v>
      </c>
      <c r="N2795" s="123"/>
      <c r="O2795" s="228"/>
      <c r="P2795" s="844"/>
      <c r="Q2795" s="844"/>
      <c r="R2795" s="844"/>
      <c r="S2795" s="832"/>
      <c r="T2795" s="3082"/>
      <c r="U2795" s="123"/>
      <c r="V2795" s="3990"/>
      <c r="W2795" s="2857">
        <v>869</v>
      </c>
      <c r="X2795" s="2857">
        <v>869</v>
      </c>
      <c r="Y2795" s="696">
        <v>869</v>
      </c>
      <c r="Z2795" s="696">
        <v>869</v>
      </c>
      <c r="AA2795" s="696">
        <v>869</v>
      </c>
      <c r="AB2795" s="696">
        <v>869</v>
      </c>
      <c r="AC2795" s="696">
        <v>869</v>
      </c>
      <c r="AD2795" s="2857"/>
      <c r="AE2795" s="2857"/>
      <c r="AF2795" s="2857"/>
      <c r="AG2795" s="2857"/>
      <c r="AH2795" s="1942"/>
      <c r="AI2795" s="1942"/>
      <c r="AJ2795" s="1942"/>
      <c r="AK2795" s="1942"/>
      <c r="AL2795" s="1942"/>
      <c r="AM2795" s="1942"/>
      <c r="AN2795" s="1942"/>
      <c r="AO2795" s="1942"/>
      <c r="AP2795" s="1942"/>
      <c r="AQ2795" s="1942"/>
      <c r="AR2795" s="1942"/>
      <c r="AS2795" s="1942"/>
      <c r="AT2795" s="1942"/>
      <c r="AU2795" s="1942"/>
      <c r="AV2795" s="1942"/>
      <c r="AW2795" s="1942"/>
      <c r="AX2795" s="1942"/>
      <c r="AY2795" s="1942"/>
      <c r="AZ2795" s="1942"/>
      <c r="BA2795" s="1942"/>
      <c r="BB2795" s="575"/>
      <c r="BC2795" s="576"/>
      <c r="BD2795" s="678"/>
      <c r="BE2795" s="585"/>
    </row>
    <row r="2796" spans="1:57" s="51" customFormat="1" ht="15" hidden="1" customHeight="1" outlineLevel="1" x14ac:dyDescent="0.25">
      <c r="A2796" s="2060"/>
      <c r="B2796" s="123"/>
      <c r="C2796" s="328"/>
      <c r="D2796" s="3990"/>
      <c r="E2796" s="4009"/>
      <c r="F2796" s="3010" t="str">
        <f>$E$1527</f>
        <v>ASHP-SEER18-Replace_CAC_ElectricHeat_ROF_MF_CompE</v>
      </c>
      <c r="G2796" s="2676"/>
      <c r="H2796" s="2676"/>
      <c r="I2796" s="2677"/>
      <c r="J2796" s="3298" t="str">
        <f>$C$1527</f>
        <v>353251_2021_12_</v>
      </c>
      <c r="K2796" s="696">
        <f>$K$2755</f>
        <v>632</v>
      </c>
      <c r="L2796" s="851"/>
      <c r="M2796" s="786" t="s">
        <v>528</v>
      </c>
      <c r="N2796" s="123"/>
      <c r="O2796" s="228"/>
      <c r="P2796" s="844"/>
      <c r="Q2796" s="844"/>
      <c r="R2796" s="844"/>
      <c r="S2796" s="832"/>
      <c r="T2796" s="3082"/>
      <c r="U2796" s="123"/>
      <c r="V2796" s="3990"/>
      <c r="W2796" s="2857"/>
      <c r="X2796" s="2857"/>
      <c r="Y2796" s="3158">
        <f>$K$2755</f>
        <v>632</v>
      </c>
      <c r="Z2796" s="696">
        <f t="shared" ref="Z2796:AA2796" si="213">$K$2755</f>
        <v>632</v>
      </c>
      <c r="AA2796" s="696">
        <f t="shared" si="213"/>
        <v>632</v>
      </c>
      <c r="AB2796" s="696">
        <v>632</v>
      </c>
      <c r="AC2796" s="696">
        <f>$K$2755</f>
        <v>632</v>
      </c>
      <c r="AD2796" s="2857"/>
      <c r="AE2796" s="2857"/>
      <c r="AF2796" s="2857"/>
      <c r="AG2796" s="2857"/>
      <c r="AH2796" s="1942"/>
      <c r="AI2796" s="1942"/>
      <c r="AJ2796" s="1942"/>
      <c r="AK2796" s="1942"/>
      <c r="AL2796" s="1942"/>
      <c r="AM2796" s="1942"/>
      <c r="AN2796" s="1942"/>
      <c r="AO2796" s="1942"/>
      <c r="AP2796" s="1942"/>
      <c r="AQ2796" s="1942"/>
      <c r="AR2796" s="1942"/>
      <c r="AS2796" s="1942"/>
      <c r="AT2796" s="1942"/>
      <c r="AU2796" s="1942"/>
      <c r="AV2796" s="1942"/>
      <c r="AW2796" s="1942"/>
      <c r="AX2796" s="1942"/>
      <c r="AY2796" s="1942"/>
      <c r="AZ2796" s="1942"/>
      <c r="BA2796" s="1942"/>
      <c r="BB2796" s="575"/>
      <c r="BC2796" s="576"/>
      <c r="BD2796" s="678"/>
      <c r="BE2796" s="585"/>
    </row>
    <row r="2797" spans="1:57" s="1942" customFormat="1" ht="15" hidden="1" customHeight="1" outlineLevel="1" x14ac:dyDescent="0.25">
      <c r="A2797" s="2060"/>
      <c r="B2797" s="123"/>
      <c r="C2797" s="328"/>
      <c r="D2797" s="3990"/>
      <c r="E2797" s="4009"/>
      <c r="F2797" s="3010" t="str">
        <f>$E$1529</f>
        <v>ASHP-SEER18-Replace_CAC_NonElectricHeat_ROF_MF</v>
      </c>
      <c r="G2797" s="2676"/>
      <c r="H2797" s="2676"/>
      <c r="I2797" s="2677"/>
      <c r="J2797" s="3298" t="str">
        <f>$C$1529</f>
        <v>353260_2021_12_</v>
      </c>
      <c r="K2797" s="3158">
        <v>869</v>
      </c>
      <c r="L2797" s="851"/>
      <c r="M2797" s="3252" t="s">
        <v>1011</v>
      </c>
      <c r="N2797" s="123"/>
      <c r="O2797" s="228"/>
      <c r="P2797" s="844"/>
      <c r="Q2797" s="844"/>
      <c r="R2797" s="844"/>
      <c r="S2797" s="832"/>
      <c r="T2797" s="3082"/>
      <c r="U2797" s="123"/>
      <c r="V2797" s="3990"/>
      <c r="W2797" s="2857"/>
      <c r="X2797" s="2857"/>
      <c r="Y2797" s="3158"/>
      <c r="Z2797" s="696"/>
      <c r="AA2797" s="696"/>
      <c r="AB2797" s="696"/>
      <c r="AC2797" s="3158">
        <v>869</v>
      </c>
      <c r="AD2797" s="2857"/>
      <c r="AE2797" s="2857"/>
      <c r="AF2797" s="2857"/>
      <c r="AG2797" s="2857"/>
      <c r="BB2797" s="575"/>
      <c r="BC2797" s="576"/>
      <c r="BD2797" s="678"/>
      <c r="BE2797" s="585"/>
    </row>
    <row r="2798" spans="1:57" s="1942" customFormat="1" ht="15" hidden="1" customHeight="1" outlineLevel="1" x14ac:dyDescent="0.25">
      <c r="A2798" s="2060"/>
      <c r="B2798" s="123"/>
      <c r="C2798" s="328"/>
      <c r="D2798" s="3990"/>
      <c r="E2798" s="4009"/>
      <c r="F2798" s="3010" t="str">
        <f>$E$1531</f>
        <v>ASHP-SEER18-Replace_CAC_NonElectricHeat_ROF_MF_CompE</v>
      </c>
      <c r="G2798" s="2676"/>
      <c r="H2798" s="2676"/>
      <c r="I2798" s="2677"/>
      <c r="J2798" s="3298" t="str">
        <f>$C$1531</f>
        <v>353261_2021_12_</v>
      </c>
      <c r="K2798" s="3158">
        <f>$K$2755</f>
        <v>632</v>
      </c>
      <c r="L2798" s="851"/>
      <c r="M2798" s="3253" t="s">
        <v>528</v>
      </c>
      <c r="N2798" s="123"/>
      <c r="O2798" s="228"/>
      <c r="P2798" s="844"/>
      <c r="Q2798" s="844"/>
      <c r="R2798" s="844"/>
      <c r="S2798" s="832"/>
      <c r="T2798" s="3082"/>
      <c r="U2798" s="123"/>
      <c r="V2798" s="3990"/>
      <c r="W2798" s="2857"/>
      <c r="X2798" s="2857"/>
      <c r="Y2798" s="3158"/>
      <c r="Z2798" s="696"/>
      <c r="AA2798" s="696"/>
      <c r="AB2798" s="696"/>
      <c r="AC2798" s="3158">
        <f>$K$2755</f>
        <v>632</v>
      </c>
      <c r="AD2798" s="2857"/>
      <c r="AE2798" s="2857"/>
      <c r="AF2798" s="2857"/>
      <c r="AG2798" s="2857"/>
      <c r="BB2798" s="575"/>
      <c r="BC2798" s="576"/>
      <c r="BD2798" s="678"/>
      <c r="BE2798" s="585"/>
    </row>
    <row r="2799" spans="1:57" s="51" customFormat="1" ht="15" hidden="1" customHeight="1" outlineLevel="1" x14ac:dyDescent="0.25">
      <c r="A2799" s="2060"/>
      <c r="B2799" s="123"/>
      <c r="C2799" s="328"/>
      <c r="D2799" s="3990"/>
      <c r="E2799" s="4009"/>
      <c r="F2799" s="3010" t="str">
        <f>$E$1533</f>
        <v>ASHP-SEER19-Replace_CAC_ElectricHeat_ROF_SF</v>
      </c>
      <c r="G2799" s="2676"/>
      <c r="H2799" s="2676"/>
      <c r="I2799" s="2677"/>
      <c r="J2799" s="3298" t="str">
        <f>$C$1533</f>
        <v>353300_2021_12_</v>
      </c>
      <c r="K2799" s="696">
        <v>869</v>
      </c>
      <c r="L2799" s="851"/>
      <c r="M2799" s="698" t="s">
        <v>1011</v>
      </c>
      <c r="N2799" s="123"/>
      <c r="O2799" s="228"/>
      <c r="P2799" s="844"/>
      <c r="Q2799" s="844"/>
      <c r="R2799" s="844"/>
      <c r="S2799" s="832"/>
      <c r="T2799" s="3082"/>
      <c r="U2799" s="123"/>
      <c r="V2799" s="3990"/>
      <c r="W2799" s="2857">
        <v>869</v>
      </c>
      <c r="X2799" s="2857">
        <v>869</v>
      </c>
      <c r="Y2799" s="696">
        <v>869</v>
      </c>
      <c r="Z2799" s="696">
        <v>869</v>
      </c>
      <c r="AA2799" s="696">
        <v>869</v>
      </c>
      <c r="AB2799" s="696">
        <v>869</v>
      </c>
      <c r="AC2799" s="696">
        <v>869</v>
      </c>
      <c r="AD2799" s="2857"/>
      <c r="AE2799" s="2857"/>
      <c r="AF2799" s="2857"/>
      <c r="AG2799" s="2857"/>
      <c r="AH2799" s="1942"/>
      <c r="AI2799" s="1942"/>
      <c r="AJ2799" s="1942"/>
      <c r="AK2799" s="1942"/>
      <c r="AL2799" s="1942"/>
      <c r="AM2799" s="1942"/>
      <c r="AN2799" s="1942"/>
      <c r="AO2799" s="1942"/>
      <c r="AP2799" s="1942"/>
      <c r="AQ2799" s="1942"/>
      <c r="AR2799" s="1942"/>
      <c r="AS2799" s="1942"/>
      <c r="AT2799" s="1942"/>
      <c r="AU2799" s="1942"/>
      <c r="AV2799" s="1942"/>
      <c r="AW2799" s="1942"/>
      <c r="AX2799" s="1942"/>
      <c r="AY2799" s="1942"/>
      <c r="AZ2799" s="1942"/>
      <c r="BA2799" s="1942"/>
      <c r="BB2799" s="575"/>
      <c r="BC2799" s="576"/>
      <c r="BD2799" s="678"/>
      <c r="BE2799" s="585"/>
    </row>
    <row r="2800" spans="1:57" s="51" customFormat="1" ht="15" hidden="1" customHeight="1" outlineLevel="1" x14ac:dyDescent="0.25">
      <c r="A2800" s="2060"/>
      <c r="B2800" s="123"/>
      <c r="C2800" s="328"/>
      <c r="D2800" s="3990"/>
      <c r="E2800" s="4009"/>
      <c r="F2800" s="3010" t="str">
        <f>$E$1535</f>
        <v>ASHP-SEER19-Replace_CAC_ElectricHeat_ROF_MF</v>
      </c>
      <c r="G2800" s="2676"/>
      <c r="H2800" s="2676"/>
      <c r="I2800" s="2677"/>
      <c r="J2800" s="3298" t="str">
        <f>$C$1535</f>
        <v>353350_2021_12_</v>
      </c>
      <c r="K2800" s="696">
        <v>869</v>
      </c>
      <c r="L2800" s="851"/>
      <c r="M2800" s="698" t="s">
        <v>1011</v>
      </c>
      <c r="N2800" s="123"/>
      <c r="O2800" s="228"/>
      <c r="P2800" s="844"/>
      <c r="Q2800" s="844"/>
      <c r="R2800" s="844"/>
      <c r="S2800" s="832"/>
      <c r="T2800" s="3082"/>
      <c r="U2800" s="123"/>
      <c r="V2800" s="3990"/>
      <c r="W2800" s="2857">
        <v>869</v>
      </c>
      <c r="X2800" s="2857">
        <v>869</v>
      </c>
      <c r="Y2800" s="696">
        <v>869</v>
      </c>
      <c r="Z2800" s="696">
        <v>869</v>
      </c>
      <c r="AA2800" s="696">
        <v>869</v>
      </c>
      <c r="AB2800" s="696">
        <v>869</v>
      </c>
      <c r="AC2800" s="696">
        <v>869</v>
      </c>
      <c r="AD2800" s="2857"/>
      <c r="AE2800" s="2857"/>
      <c r="AF2800" s="2857"/>
      <c r="AG2800" s="2857"/>
      <c r="AH2800" s="1942"/>
      <c r="AI2800" s="1942"/>
      <c r="AJ2800" s="1942"/>
      <c r="AK2800" s="1942"/>
      <c r="AL2800" s="1942"/>
      <c r="AM2800" s="1942"/>
      <c r="AN2800" s="1942"/>
      <c r="AO2800" s="1942"/>
      <c r="AP2800" s="1942"/>
      <c r="AQ2800" s="1942"/>
      <c r="AR2800" s="1942"/>
      <c r="AS2800" s="1942"/>
      <c r="AT2800" s="1942"/>
      <c r="AU2800" s="1942"/>
      <c r="AV2800" s="1942"/>
      <c r="AW2800" s="1942"/>
      <c r="AX2800" s="1942"/>
      <c r="AY2800" s="1942"/>
      <c r="AZ2800" s="1942"/>
      <c r="BA2800" s="1942"/>
      <c r="BB2800" s="575"/>
      <c r="BC2800" s="576"/>
      <c r="BD2800" s="678"/>
      <c r="BE2800" s="585"/>
    </row>
    <row r="2801" spans="1:57" s="51" customFormat="1" ht="15" hidden="1" customHeight="1" outlineLevel="1" x14ac:dyDescent="0.25">
      <c r="A2801" s="2060"/>
      <c r="B2801" s="123"/>
      <c r="C2801" s="328"/>
      <c r="D2801" s="3990"/>
      <c r="E2801" s="4009"/>
      <c r="F2801" s="3010" t="str">
        <f>$E$1537</f>
        <v>ASHP-SEER19-Replace_CAC_ElectricHeat_ROF_MF_CompE</v>
      </c>
      <c r="G2801" s="2676"/>
      <c r="H2801" s="2676"/>
      <c r="I2801" s="2677"/>
      <c r="J2801" s="3299" t="str">
        <f>$C$1537</f>
        <v>353351_2019_12_</v>
      </c>
      <c r="K2801" s="696">
        <f>$K$2755</f>
        <v>632</v>
      </c>
      <c r="L2801" s="851"/>
      <c r="M2801" s="3253" t="s">
        <v>528</v>
      </c>
      <c r="N2801" s="123"/>
      <c r="O2801" s="228"/>
      <c r="P2801" s="844"/>
      <c r="Q2801" s="844"/>
      <c r="R2801" s="844"/>
      <c r="S2801" s="832"/>
      <c r="T2801" s="3082"/>
      <c r="U2801" s="123"/>
      <c r="V2801" s="3990"/>
      <c r="W2801" s="2857"/>
      <c r="X2801" s="2857"/>
      <c r="Y2801" s="3158">
        <f>$K$2755</f>
        <v>632</v>
      </c>
      <c r="Z2801" s="696">
        <f t="shared" ref="Z2801:AA2801" si="214">$K$2755</f>
        <v>632</v>
      </c>
      <c r="AA2801" s="696">
        <f t="shared" si="214"/>
        <v>632</v>
      </c>
      <c r="AB2801" s="696">
        <v>632</v>
      </c>
      <c r="AC2801" s="696">
        <f>$K$2755</f>
        <v>632</v>
      </c>
      <c r="AD2801" s="2857"/>
      <c r="AE2801" s="2857"/>
      <c r="AF2801" s="2857"/>
      <c r="AG2801" s="2857"/>
      <c r="AH2801" s="1942"/>
      <c r="AI2801" s="1942"/>
      <c r="AJ2801" s="1942"/>
      <c r="AK2801" s="1942"/>
      <c r="AL2801" s="1942"/>
      <c r="AM2801" s="1942"/>
      <c r="AN2801" s="1942"/>
      <c r="AO2801" s="1942"/>
      <c r="AP2801" s="1942"/>
      <c r="AQ2801" s="1942"/>
      <c r="AR2801" s="1942"/>
      <c r="AS2801" s="1942"/>
      <c r="AT2801" s="1942"/>
      <c r="AU2801" s="1942"/>
      <c r="AV2801" s="1942"/>
      <c r="AW2801" s="1942"/>
      <c r="AX2801" s="1942"/>
      <c r="AY2801" s="1942"/>
      <c r="AZ2801" s="1942"/>
      <c r="BA2801" s="1942"/>
      <c r="BB2801" s="575"/>
      <c r="BC2801" s="576"/>
      <c r="BD2801" s="678"/>
      <c r="BE2801" s="585"/>
    </row>
    <row r="2802" spans="1:57" s="1942" customFormat="1" ht="15" hidden="1" customHeight="1" outlineLevel="1" x14ac:dyDescent="0.25">
      <c r="A2802" s="2060"/>
      <c r="B2802" s="123"/>
      <c r="C2802" s="328"/>
      <c r="D2802" s="3990"/>
      <c r="E2802" s="4009"/>
      <c r="F2802" s="3010" t="str">
        <f>$E$1539</f>
        <v>ASHP-SEER19-Replace_CAC_NonElectricHeat_ROF_MF</v>
      </c>
      <c r="G2802" s="2676"/>
      <c r="H2802" s="2676"/>
      <c r="I2802" s="2677"/>
      <c r="J2802" s="3298" t="str">
        <f>$C$1539</f>
        <v>353360_2021_12_</v>
      </c>
      <c r="K2802" s="3158">
        <v>869</v>
      </c>
      <c r="L2802" s="851"/>
      <c r="M2802" s="3252" t="s">
        <v>1011</v>
      </c>
      <c r="N2802" s="123"/>
      <c r="O2802" s="228"/>
      <c r="P2802" s="844"/>
      <c r="Q2802" s="844"/>
      <c r="R2802" s="844"/>
      <c r="S2802" s="832"/>
      <c r="T2802" s="3082"/>
      <c r="U2802" s="123"/>
      <c r="V2802" s="3990"/>
      <c r="W2802" s="2857"/>
      <c r="X2802" s="2857"/>
      <c r="Y2802" s="3158"/>
      <c r="Z2802" s="696"/>
      <c r="AA2802" s="696"/>
      <c r="AB2802" s="696"/>
      <c r="AC2802" s="3158">
        <v>869</v>
      </c>
      <c r="AD2802" s="2857"/>
      <c r="AE2802" s="2857"/>
      <c r="AF2802" s="2857"/>
      <c r="AG2802" s="2857"/>
      <c r="BB2802" s="575"/>
      <c r="BC2802" s="576"/>
      <c r="BD2802" s="678"/>
      <c r="BE2802" s="585"/>
    </row>
    <row r="2803" spans="1:57" s="1942" customFormat="1" ht="15" hidden="1" customHeight="1" outlineLevel="1" x14ac:dyDescent="0.25">
      <c r="A2803" s="2060"/>
      <c r="B2803" s="123"/>
      <c r="C2803" s="328"/>
      <c r="D2803" s="3990"/>
      <c r="E2803" s="4009"/>
      <c r="F2803" s="3010" t="str">
        <f>$E$1541</f>
        <v>ASHP-SEER19-Replace_CAC_NonElectricHeat_ROF_MF_CompE</v>
      </c>
      <c r="G2803" s="2676"/>
      <c r="H2803" s="2676"/>
      <c r="I2803" s="2677"/>
      <c r="J2803" s="3298" t="str">
        <f>$C$1541</f>
        <v>353361_2021_12_</v>
      </c>
      <c r="K2803" s="3158">
        <f>$K$2755</f>
        <v>632</v>
      </c>
      <c r="L2803" s="851"/>
      <c r="M2803" s="3253" t="s">
        <v>528</v>
      </c>
      <c r="N2803" s="123"/>
      <c r="O2803" s="228"/>
      <c r="P2803" s="844"/>
      <c r="Q2803" s="844"/>
      <c r="R2803" s="844"/>
      <c r="S2803" s="832"/>
      <c r="T2803" s="3082"/>
      <c r="U2803" s="123"/>
      <c r="V2803" s="3990"/>
      <c r="W2803" s="2857"/>
      <c r="X2803" s="2857"/>
      <c r="Y2803" s="3158"/>
      <c r="Z2803" s="696"/>
      <c r="AA2803" s="696"/>
      <c r="AB2803" s="696"/>
      <c r="AC2803" s="3158">
        <f>$K$2755</f>
        <v>632</v>
      </c>
      <c r="AD2803" s="2857"/>
      <c r="AE2803" s="2857"/>
      <c r="AF2803" s="2857"/>
      <c r="AG2803" s="2857"/>
      <c r="BB2803" s="575"/>
      <c r="BC2803" s="576"/>
      <c r="BD2803" s="678"/>
      <c r="BE2803" s="585"/>
    </row>
    <row r="2804" spans="1:57" s="51" customFormat="1" ht="15" hidden="1" customHeight="1" outlineLevel="1" x14ac:dyDescent="0.25">
      <c r="A2804" s="2060"/>
      <c r="B2804" s="123"/>
      <c r="C2804" s="328"/>
      <c r="D2804" s="3990"/>
      <c r="E2804" s="4009"/>
      <c r="F2804" s="3010" t="str">
        <f>$E$1543</f>
        <v>ASHP-SEER20-Replace_CAC_ElectricHeat_ER1_SF</v>
      </c>
      <c r="G2804" s="2676"/>
      <c r="H2804" s="2676"/>
      <c r="I2804" s="2677"/>
      <c r="J2804" s="3298" t="str">
        <f>$C$1543</f>
        <v>353400_2021_12_</v>
      </c>
      <c r="K2804" s="696">
        <v>869</v>
      </c>
      <c r="L2804" s="851"/>
      <c r="M2804" s="698" t="s">
        <v>1011</v>
      </c>
      <c r="N2804" s="123"/>
      <c r="O2804" s="228"/>
      <c r="P2804" s="844"/>
      <c r="Q2804" s="844"/>
      <c r="R2804" s="844"/>
      <c r="S2804" s="832"/>
      <c r="T2804" s="3082"/>
      <c r="U2804" s="123"/>
      <c r="V2804" s="3990"/>
      <c r="W2804" s="2857">
        <v>869</v>
      </c>
      <c r="X2804" s="2857">
        <v>869</v>
      </c>
      <c r="Y2804" s="696">
        <v>869</v>
      </c>
      <c r="Z2804" s="696">
        <v>869</v>
      </c>
      <c r="AA2804" s="696">
        <v>869</v>
      </c>
      <c r="AB2804" s="696">
        <v>869</v>
      </c>
      <c r="AC2804" s="696">
        <v>869</v>
      </c>
      <c r="AD2804" s="2857"/>
      <c r="AE2804" s="2857"/>
      <c r="AF2804" s="2857"/>
      <c r="AG2804" s="2857"/>
      <c r="AH2804" s="1942"/>
      <c r="AI2804" s="1942"/>
      <c r="AJ2804" s="1942"/>
      <c r="AK2804" s="1942"/>
      <c r="AL2804" s="1942"/>
      <c r="AM2804" s="1942"/>
      <c r="AN2804" s="1942"/>
      <c r="AO2804" s="1942"/>
      <c r="AP2804" s="1942"/>
      <c r="AQ2804" s="1942"/>
      <c r="AR2804" s="1942"/>
      <c r="AS2804" s="1942"/>
      <c r="AT2804" s="1942"/>
      <c r="AU2804" s="1942"/>
      <c r="AV2804" s="1942"/>
      <c r="AW2804" s="1942"/>
      <c r="AX2804" s="1942"/>
      <c r="AY2804" s="1942"/>
      <c r="AZ2804" s="1942"/>
      <c r="BA2804" s="1942"/>
      <c r="BB2804" s="575"/>
      <c r="BC2804" s="576"/>
      <c r="BD2804" s="678"/>
      <c r="BE2804" s="585"/>
    </row>
    <row r="2805" spans="1:57" s="51" customFormat="1" ht="15" hidden="1" customHeight="1" outlineLevel="1" x14ac:dyDescent="0.25">
      <c r="A2805" s="2060"/>
      <c r="B2805" s="123"/>
      <c r="C2805" s="328"/>
      <c r="D2805" s="3990"/>
      <c r="E2805" s="4009"/>
      <c r="F2805" s="3010" t="str">
        <f>$E$1545</f>
        <v>ASHP-SEER20-Replace_CAC_ElectricHeat_ER2_SF</v>
      </c>
      <c r="G2805" s="2676"/>
      <c r="H2805" s="2676"/>
      <c r="I2805" s="2677"/>
      <c r="J2805" s="3298" t="str">
        <f>$C$1545</f>
        <v>353400_2021_12_</v>
      </c>
      <c r="K2805" s="696">
        <v>869</v>
      </c>
      <c r="L2805" s="851"/>
      <c r="M2805" s="698" t="s">
        <v>1011</v>
      </c>
      <c r="N2805" s="123"/>
      <c r="O2805" s="228"/>
      <c r="P2805" s="844"/>
      <c r="Q2805" s="844"/>
      <c r="R2805" s="844"/>
      <c r="S2805" s="832"/>
      <c r="T2805" s="3082"/>
      <c r="U2805" s="123"/>
      <c r="V2805" s="3990"/>
      <c r="W2805" s="2857">
        <v>869</v>
      </c>
      <c r="X2805" s="2857">
        <v>869</v>
      </c>
      <c r="Y2805" s="696">
        <v>869</v>
      </c>
      <c r="Z2805" s="696">
        <v>869</v>
      </c>
      <c r="AA2805" s="696">
        <v>869</v>
      </c>
      <c r="AB2805" s="696">
        <v>869</v>
      </c>
      <c r="AC2805" s="696">
        <v>869</v>
      </c>
      <c r="AD2805" s="2857"/>
      <c r="AE2805" s="2857"/>
      <c r="AF2805" s="2857"/>
      <c r="AG2805" s="2857"/>
      <c r="AH2805" s="1942"/>
      <c r="AI2805" s="1942"/>
      <c r="AJ2805" s="1942"/>
      <c r="AK2805" s="1942"/>
      <c r="AL2805" s="1942"/>
      <c r="AM2805" s="1942"/>
      <c r="AN2805" s="1942"/>
      <c r="AO2805" s="1942"/>
      <c r="AP2805" s="1942"/>
      <c r="AQ2805" s="1942"/>
      <c r="AR2805" s="1942"/>
      <c r="AS2805" s="1942"/>
      <c r="AT2805" s="1942"/>
      <c r="AU2805" s="1942"/>
      <c r="AV2805" s="1942"/>
      <c r="AW2805" s="1942"/>
      <c r="AX2805" s="1942"/>
      <c r="AY2805" s="1942"/>
      <c r="AZ2805" s="1942"/>
      <c r="BA2805" s="1942"/>
      <c r="BB2805" s="575"/>
      <c r="BC2805" s="576"/>
      <c r="BD2805" s="678"/>
      <c r="BE2805" s="585"/>
    </row>
    <row r="2806" spans="1:57" s="1942" customFormat="1" ht="15" hidden="1" customHeight="1" outlineLevel="1" x14ac:dyDescent="0.25">
      <c r="A2806" s="2060"/>
      <c r="B2806" s="123"/>
      <c r="C2806" s="328"/>
      <c r="D2806" s="3990"/>
      <c r="E2806" s="4009"/>
      <c r="F2806" s="3010" t="str">
        <f>$E$1547</f>
        <v>ASHP-SEER20-Replace_CAC_NonElectricHeat_ER1_SF</v>
      </c>
      <c r="G2806" s="2676"/>
      <c r="H2806" s="2676"/>
      <c r="I2806" s="2677"/>
      <c r="J2806" s="3298" t="str">
        <f>$C$1547</f>
        <v>353410_2021_12_</v>
      </c>
      <c r="K2806" s="3158">
        <v>869</v>
      </c>
      <c r="L2806" s="851"/>
      <c r="M2806" s="3252" t="s">
        <v>1011</v>
      </c>
      <c r="N2806" s="123"/>
      <c r="O2806" s="228"/>
      <c r="P2806" s="844"/>
      <c r="Q2806" s="844"/>
      <c r="R2806" s="844"/>
      <c r="S2806" s="832"/>
      <c r="T2806" s="3082"/>
      <c r="U2806" s="123"/>
      <c r="V2806" s="3990"/>
      <c r="W2806" s="2857"/>
      <c r="X2806" s="2857"/>
      <c r="Y2806" s="696"/>
      <c r="Z2806" s="696"/>
      <c r="AA2806" s="696"/>
      <c r="AB2806" s="696"/>
      <c r="AC2806" s="3158">
        <v>869</v>
      </c>
      <c r="AD2806" s="2857"/>
      <c r="AE2806" s="2857"/>
      <c r="AF2806" s="2857"/>
      <c r="AG2806" s="2857"/>
      <c r="BB2806" s="575"/>
      <c r="BC2806" s="576"/>
      <c r="BD2806" s="678"/>
      <c r="BE2806" s="585"/>
    </row>
    <row r="2807" spans="1:57" s="1942" customFormat="1" ht="15" hidden="1" customHeight="1" outlineLevel="1" x14ac:dyDescent="0.25">
      <c r="A2807" s="2060"/>
      <c r="B2807" s="123"/>
      <c r="C2807" s="328"/>
      <c r="D2807" s="3990"/>
      <c r="E2807" s="4009"/>
      <c r="F2807" s="3010" t="str">
        <f>$E$1549</f>
        <v>ASHP-SEER20-Replace_CAC_NonElectricHeat_ER2_SF</v>
      </c>
      <c r="G2807" s="2676"/>
      <c r="H2807" s="2676"/>
      <c r="I2807" s="2677"/>
      <c r="J2807" s="3298" t="str">
        <f>$C$1549</f>
        <v>353410_2021_12_</v>
      </c>
      <c r="K2807" s="3158">
        <v>869</v>
      </c>
      <c r="L2807" s="851"/>
      <c r="M2807" s="3252" t="s">
        <v>1011</v>
      </c>
      <c r="N2807" s="123"/>
      <c r="O2807" s="228"/>
      <c r="P2807" s="844"/>
      <c r="Q2807" s="844"/>
      <c r="R2807" s="844"/>
      <c r="S2807" s="832"/>
      <c r="T2807" s="3082"/>
      <c r="U2807" s="123"/>
      <c r="V2807" s="3990"/>
      <c r="W2807" s="2857"/>
      <c r="X2807" s="2857"/>
      <c r="Y2807" s="696"/>
      <c r="Z2807" s="696"/>
      <c r="AA2807" s="696"/>
      <c r="AB2807" s="696"/>
      <c r="AC2807" s="3158">
        <v>869</v>
      </c>
      <c r="AD2807" s="2857"/>
      <c r="AE2807" s="2857"/>
      <c r="AF2807" s="2857"/>
      <c r="AG2807" s="2857"/>
      <c r="BB2807" s="575"/>
      <c r="BC2807" s="576"/>
      <c r="BD2807" s="678"/>
      <c r="BE2807" s="585"/>
    </row>
    <row r="2808" spans="1:57" s="51" customFormat="1" ht="15" hidden="1" customHeight="1" outlineLevel="1" x14ac:dyDescent="0.25">
      <c r="A2808" s="2060"/>
      <c r="B2808" s="123"/>
      <c r="C2808" s="328"/>
      <c r="D2808" s="3990"/>
      <c r="E2808" s="4009"/>
      <c r="F2808" s="3010" t="str">
        <f>$E$1551</f>
        <v>ASHP-SEER20-Replace_CAC_ElectricHeat_ROF_SF</v>
      </c>
      <c r="G2808" s="2676"/>
      <c r="H2808" s="2676"/>
      <c r="I2808" s="2677"/>
      <c r="J2808" s="3298" t="str">
        <f>$C$1551</f>
        <v>353450_2021_12_</v>
      </c>
      <c r="K2808" s="696">
        <v>869</v>
      </c>
      <c r="L2808" s="851"/>
      <c r="M2808" s="698" t="s">
        <v>1011</v>
      </c>
      <c r="N2808" s="123"/>
      <c r="O2808" s="228"/>
      <c r="P2808" s="844"/>
      <c r="Q2808" s="844"/>
      <c r="R2808" s="844"/>
      <c r="S2808" s="832"/>
      <c r="T2808" s="3082"/>
      <c r="U2808" s="123"/>
      <c r="V2808" s="3990"/>
      <c r="W2808" s="2857">
        <v>869</v>
      </c>
      <c r="X2808" s="2857">
        <v>869</v>
      </c>
      <c r="Y2808" s="696">
        <v>869</v>
      </c>
      <c r="Z2808" s="696">
        <v>869</v>
      </c>
      <c r="AA2808" s="696">
        <v>869</v>
      </c>
      <c r="AB2808" s="696">
        <v>869</v>
      </c>
      <c r="AC2808" s="696">
        <v>869</v>
      </c>
      <c r="AD2808" s="2857"/>
      <c r="AE2808" s="2857"/>
      <c r="AF2808" s="2857"/>
      <c r="AG2808" s="2857"/>
      <c r="AH2808" s="1942"/>
      <c r="AI2808" s="1942"/>
      <c r="AJ2808" s="1942"/>
      <c r="AK2808" s="1942"/>
      <c r="AL2808" s="1942"/>
      <c r="AM2808" s="1942"/>
      <c r="AN2808" s="1942"/>
      <c r="AO2808" s="1942"/>
      <c r="AP2808" s="1942"/>
      <c r="AQ2808" s="1942"/>
      <c r="AR2808" s="1942"/>
      <c r="AS2808" s="1942"/>
      <c r="AT2808" s="1942"/>
      <c r="AU2808" s="1942"/>
      <c r="AV2808" s="1942"/>
      <c r="AW2808" s="1942"/>
      <c r="AX2808" s="1942"/>
      <c r="AY2808" s="1942"/>
      <c r="AZ2808" s="1942"/>
      <c r="BA2808" s="1942"/>
      <c r="BB2808" s="575"/>
      <c r="BC2808" s="576"/>
      <c r="BD2808" s="678"/>
      <c r="BE2808" s="585"/>
    </row>
    <row r="2809" spans="1:57" s="51" customFormat="1" ht="15" hidden="1" customHeight="1" outlineLevel="1" x14ac:dyDescent="0.25">
      <c r="A2809" s="2060"/>
      <c r="B2809" s="123"/>
      <c r="C2809" s="328"/>
      <c r="D2809" s="3990"/>
      <c r="E2809" s="4009"/>
      <c r="F2809" s="3010" t="str">
        <f>$E$1553</f>
        <v>ASHP-SEER20-Replace_CAC_ElectricHeat_ROF_MF</v>
      </c>
      <c r="G2809" s="2676"/>
      <c r="H2809" s="2676"/>
      <c r="I2809" s="2677"/>
      <c r="J2809" s="3299" t="str">
        <f>$C$1553</f>
        <v>353500_2019_12_</v>
      </c>
      <c r="K2809" s="696">
        <v>869</v>
      </c>
      <c r="L2809" s="851"/>
      <c r="M2809" s="698" t="s">
        <v>1011</v>
      </c>
      <c r="N2809" s="123"/>
      <c r="O2809" s="228"/>
      <c r="P2809" s="844"/>
      <c r="Q2809" s="845"/>
      <c r="R2809" s="844"/>
      <c r="S2809" s="832"/>
      <c r="T2809" s="3082"/>
      <c r="U2809" s="123"/>
      <c r="V2809" s="3990"/>
      <c r="W2809" s="2857">
        <v>869</v>
      </c>
      <c r="X2809" s="2857">
        <v>869</v>
      </c>
      <c r="Y2809" s="696">
        <v>869</v>
      </c>
      <c r="Z2809" s="696">
        <v>869</v>
      </c>
      <c r="AA2809" s="696">
        <v>869</v>
      </c>
      <c r="AB2809" s="696">
        <v>869</v>
      </c>
      <c r="AC2809" s="696">
        <v>869</v>
      </c>
      <c r="AD2809" s="2857"/>
      <c r="AE2809" s="2857"/>
      <c r="AF2809" s="2857"/>
      <c r="AG2809" s="2857"/>
      <c r="AH2809" s="1942"/>
      <c r="AI2809" s="1942"/>
      <c r="AJ2809" s="1942"/>
      <c r="AK2809" s="1942"/>
      <c r="AL2809" s="1942"/>
      <c r="AM2809" s="1942"/>
      <c r="AN2809" s="1942"/>
      <c r="AO2809" s="1942"/>
      <c r="AP2809" s="1942"/>
      <c r="AQ2809" s="1942"/>
      <c r="AR2809" s="1942"/>
      <c r="AS2809" s="1942"/>
      <c r="AT2809" s="1942"/>
      <c r="AU2809" s="1942"/>
      <c r="AV2809" s="1942"/>
      <c r="AW2809" s="1942"/>
      <c r="AX2809" s="1942"/>
      <c r="AY2809" s="1942"/>
      <c r="AZ2809" s="1942"/>
      <c r="BA2809" s="1942"/>
      <c r="BB2809" s="575"/>
      <c r="BC2809" s="576"/>
      <c r="BD2809" s="678"/>
      <c r="BE2809" s="585"/>
    </row>
    <row r="2810" spans="1:57" s="51" customFormat="1" ht="15" hidden="1" customHeight="1" outlineLevel="1" x14ac:dyDescent="0.25">
      <c r="A2810" s="2060"/>
      <c r="B2810" s="123"/>
      <c r="C2810" s="328"/>
      <c r="D2810" s="3990"/>
      <c r="E2810" s="4009"/>
      <c r="F2810" s="3010" t="str">
        <f>$E$1555</f>
        <v>ASHP-SEER20-Replace_CAC_ElectricHeat_ROF_MF_CompE</v>
      </c>
      <c r="G2810" s="2676"/>
      <c r="H2810" s="2676"/>
      <c r="I2810" s="2677"/>
      <c r="J2810" s="3299" t="str">
        <f>$C$1555</f>
        <v>353501_2019_12_</v>
      </c>
      <c r="K2810" s="696">
        <f>$K$2755</f>
        <v>632</v>
      </c>
      <c r="L2810" s="851"/>
      <c r="M2810" s="786" t="s">
        <v>528</v>
      </c>
      <c r="N2810" s="123"/>
      <c r="O2810" s="228"/>
      <c r="P2810" s="844"/>
      <c r="Q2810" s="845"/>
      <c r="R2810" s="844"/>
      <c r="S2810" s="832"/>
      <c r="T2810" s="3082"/>
      <c r="U2810" s="123"/>
      <c r="V2810" s="3990"/>
      <c r="W2810" s="2857"/>
      <c r="X2810" s="2857"/>
      <c r="Y2810" s="3158">
        <f>$K$2755</f>
        <v>632</v>
      </c>
      <c r="Z2810" s="696">
        <f t="shared" ref="Z2810:AA2810" si="215">$K$2755</f>
        <v>632</v>
      </c>
      <c r="AA2810" s="696">
        <f t="shared" si="215"/>
        <v>632</v>
      </c>
      <c r="AB2810" s="696">
        <v>632</v>
      </c>
      <c r="AC2810" s="696">
        <f>$K$2755</f>
        <v>632</v>
      </c>
      <c r="AD2810" s="2857"/>
      <c r="AE2810" s="2857"/>
      <c r="AF2810" s="2857"/>
      <c r="AG2810" s="2857"/>
      <c r="AH2810" s="1942"/>
      <c r="AI2810" s="1942"/>
      <c r="AJ2810" s="1942"/>
      <c r="AK2810" s="1942"/>
      <c r="AL2810" s="1942"/>
      <c r="AM2810" s="1942"/>
      <c r="AN2810" s="1942"/>
      <c r="AO2810" s="1942"/>
      <c r="AP2810" s="1942"/>
      <c r="AQ2810" s="1942"/>
      <c r="AR2810" s="1942"/>
      <c r="AS2810" s="1942"/>
      <c r="AT2810" s="1942"/>
      <c r="AU2810" s="1942"/>
      <c r="AV2810" s="1942"/>
      <c r="AW2810" s="1942"/>
      <c r="AX2810" s="1942"/>
      <c r="AY2810" s="1942"/>
      <c r="AZ2810" s="1942"/>
      <c r="BA2810" s="1942"/>
      <c r="BB2810" s="575"/>
      <c r="BC2810" s="576"/>
      <c r="BD2810" s="678"/>
      <c r="BE2810" s="585"/>
    </row>
    <row r="2811" spans="1:57" s="1942" customFormat="1" ht="15" hidden="1" customHeight="1" outlineLevel="1" x14ac:dyDescent="0.25">
      <c r="A2811" s="2060"/>
      <c r="B2811" s="123"/>
      <c r="C2811" s="328"/>
      <c r="D2811" s="3990"/>
      <c r="E2811" s="4009"/>
      <c r="F2811" s="3010" t="str">
        <f>$E$1557</f>
        <v>ASHP-SEER20-Replace_CAC_NonElectricHeat_ROF_MF</v>
      </c>
      <c r="G2811" s="2676"/>
      <c r="H2811" s="2676"/>
      <c r="I2811" s="2677"/>
      <c r="J2811" s="3298" t="str">
        <f>$C$1557</f>
        <v>353510_2021_12_</v>
      </c>
      <c r="K2811" s="3158">
        <v>869</v>
      </c>
      <c r="L2811" s="851"/>
      <c r="M2811" s="3252" t="s">
        <v>1011</v>
      </c>
      <c r="N2811" s="123"/>
      <c r="O2811" s="228"/>
      <c r="P2811" s="844"/>
      <c r="Q2811" s="845"/>
      <c r="R2811" s="844"/>
      <c r="S2811" s="832"/>
      <c r="T2811" s="3082"/>
      <c r="U2811" s="123"/>
      <c r="V2811" s="3990"/>
      <c r="W2811" s="2857"/>
      <c r="X2811" s="2857"/>
      <c r="Y2811" s="3158"/>
      <c r="Z2811" s="696"/>
      <c r="AA2811" s="696"/>
      <c r="AB2811" s="696"/>
      <c r="AC2811" s="3158">
        <v>869</v>
      </c>
      <c r="AD2811" s="2857"/>
      <c r="AE2811" s="2857"/>
      <c r="AF2811" s="2857"/>
      <c r="AG2811" s="2857"/>
      <c r="BB2811" s="575"/>
      <c r="BC2811" s="576"/>
      <c r="BD2811" s="678"/>
      <c r="BE2811" s="585"/>
    </row>
    <row r="2812" spans="1:57" s="1942" customFormat="1" ht="15" hidden="1" customHeight="1" outlineLevel="1" x14ac:dyDescent="0.25">
      <c r="A2812" s="2060"/>
      <c r="B2812" s="123"/>
      <c r="C2812" s="328"/>
      <c r="D2812" s="3990"/>
      <c r="E2812" s="4009"/>
      <c r="F2812" s="3010" t="str">
        <f>$E$1559</f>
        <v>ASHP-SEER20-Replace_CAC_NonElectricHeat_ROF_MF_CompE</v>
      </c>
      <c r="G2812" s="2676"/>
      <c r="H2812" s="2676"/>
      <c r="I2812" s="2677"/>
      <c r="J2812" s="3298" t="str">
        <f>$C$1559</f>
        <v>353511_2021_12_</v>
      </c>
      <c r="K2812" s="3158">
        <f>$K$2755</f>
        <v>632</v>
      </c>
      <c r="L2812" s="851"/>
      <c r="M2812" s="3253" t="s">
        <v>528</v>
      </c>
      <c r="N2812" s="123"/>
      <c r="O2812" s="228"/>
      <c r="P2812" s="844"/>
      <c r="Q2812" s="845"/>
      <c r="R2812" s="844"/>
      <c r="S2812" s="832"/>
      <c r="T2812" s="3082"/>
      <c r="U2812" s="123"/>
      <c r="V2812" s="3990"/>
      <c r="W2812" s="2857"/>
      <c r="X2812" s="2857"/>
      <c r="Y2812" s="3158"/>
      <c r="Z2812" s="696"/>
      <c r="AA2812" s="696"/>
      <c r="AB2812" s="696"/>
      <c r="AC2812" s="3158">
        <f>$K$2755</f>
        <v>632</v>
      </c>
      <c r="AD2812" s="2857"/>
      <c r="AE2812" s="2857"/>
      <c r="AF2812" s="2857"/>
      <c r="AG2812" s="2857"/>
      <c r="BB2812" s="575"/>
      <c r="BC2812" s="576"/>
      <c r="BD2812" s="678"/>
      <c r="BE2812" s="585"/>
    </row>
    <row r="2813" spans="1:57" s="51" customFormat="1" ht="15" hidden="1" customHeight="1" outlineLevel="1" x14ac:dyDescent="0.25">
      <c r="A2813" s="2060"/>
      <c r="B2813" s="123"/>
      <c r="C2813" s="328"/>
      <c r="D2813" s="3990"/>
      <c r="E2813" s="4009"/>
      <c r="F2813" s="3010" t="str">
        <f>$E$1561</f>
        <v>ASHP-SEER21-Replace_CAC_ElectricHeat_ER1_SF</v>
      </c>
      <c r="G2813" s="2676"/>
      <c r="H2813" s="2676"/>
      <c r="I2813" s="2677"/>
      <c r="J2813" s="3298" t="str">
        <f>$C$1561</f>
        <v>353550_2021_12_</v>
      </c>
      <c r="K2813" s="696">
        <v>869</v>
      </c>
      <c r="L2813" s="851"/>
      <c r="M2813" s="698" t="s">
        <v>1011</v>
      </c>
      <c r="N2813" s="123"/>
      <c r="O2813" s="228"/>
      <c r="P2813" s="844"/>
      <c r="Q2813" s="845"/>
      <c r="R2813" s="844"/>
      <c r="S2813" s="832"/>
      <c r="T2813" s="3082"/>
      <c r="U2813" s="123"/>
      <c r="V2813" s="3990"/>
      <c r="W2813" s="2857">
        <v>869</v>
      </c>
      <c r="X2813" s="2857">
        <v>869</v>
      </c>
      <c r="Y2813" s="696">
        <v>869</v>
      </c>
      <c r="Z2813" s="696">
        <v>869</v>
      </c>
      <c r="AA2813" s="696">
        <v>869</v>
      </c>
      <c r="AB2813" s="696">
        <v>869</v>
      </c>
      <c r="AC2813" s="696">
        <v>869</v>
      </c>
      <c r="AD2813" s="2857"/>
      <c r="AE2813" s="2857"/>
      <c r="AF2813" s="2857"/>
      <c r="AG2813" s="2857"/>
      <c r="AH2813" s="1942"/>
      <c r="AI2813" s="1942"/>
      <c r="AJ2813" s="1942"/>
      <c r="AK2813" s="1942"/>
      <c r="AL2813" s="1942"/>
      <c r="AM2813" s="1942"/>
      <c r="AN2813" s="1942"/>
      <c r="AO2813" s="1942"/>
      <c r="AP2813" s="1942"/>
      <c r="AQ2813" s="1942"/>
      <c r="AR2813" s="1942"/>
      <c r="AS2813" s="1942"/>
      <c r="AT2813" s="1942"/>
      <c r="AU2813" s="1942"/>
      <c r="AV2813" s="1942"/>
      <c r="AW2813" s="1942"/>
      <c r="AX2813" s="1942"/>
      <c r="AY2813" s="1942"/>
      <c r="AZ2813" s="1942"/>
      <c r="BA2813" s="1942"/>
      <c r="BB2813" s="575"/>
      <c r="BC2813" s="576"/>
      <c r="BD2813" s="678"/>
      <c r="BE2813" s="585"/>
    </row>
    <row r="2814" spans="1:57" s="51" customFormat="1" ht="15" hidden="1" customHeight="1" outlineLevel="1" x14ac:dyDescent="0.25">
      <c r="A2814" s="2060"/>
      <c r="B2814" s="123"/>
      <c r="C2814" s="328"/>
      <c r="D2814" s="3990"/>
      <c r="E2814" s="4009"/>
      <c r="F2814" s="3010" t="str">
        <f>$E$1563</f>
        <v>ASHP-SEER21-Replace_CAC_ElectricHeat_ER2_SF</v>
      </c>
      <c r="G2814" s="2676"/>
      <c r="H2814" s="2676"/>
      <c r="I2814" s="2677"/>
      <c r="J2814" s="3298" t="str">
        <f>$C$1563</f>
        <v>353550_2021_12_</v>
      </c>
      <c r="K2814" s="696">
        <v>869</v>
      </c>
      <c r="L2814" s="851"/>
      <c r="M2814" s="698" t="s">
        <v>1011</v>
      </c>
      <c r="N2814" s="123"/>
      <c r="O2814" s="228"/>
      <c r="P2814" s="844"/>
      <c r="Q2814" s="845"/>
      <c r="R2814" s="844"/>
      <c r="S2814" s="832"/>
      <c r="T2814" s="3082"/>
      <c r="U2814" s="123"/>
      <c r="V2814" s="3990"/>
      <c r="W2814" s="2857">
        <v>869</v>
      </c>
      <c r="X2814" s="2857">
        <v>869</v>
      </c>
      <c r="Y2814" s="696">
        <v>869</v>
      </c>
      <c r="Z2814" s="696">
        <v>869</v>
      </c>
      <c r="AA2814" s="696">
        <v>869</v>
      </c>
      <c r="AB2814" s="696">
        <v>869</v>
      </c>
      <c r="AC2814" s="696">
        <v>869</v>
      </c>
      <c r="AD2814" s="2857"/>
      <c r="AE2814" s="2857"/>
      <c r="AF2814" s="2857"/>
      <c r="AG2814" s="2857"/>
      <c r="AH2814" s="1942"/>
      <c r="AI2814" s="1942"/>
      <c r="AJ2814" s="1942"/>
      <c r="AK2814" s="1942"/>
      <c r="AL2814" s="1942"/>
      <c r="AM2814" s="1942"/>
      <c r="AN2814" s="1942"/>
      <c r="AO2814" s="1942"/>
      <c r="AP2814" s="1942"/>
      <c r="AQ2814" s="1942"/>
      <c r="AR2814" s="1942"/>
      <c r="AS2814" s="1942"/>
      <c r="AT2814" s="1942"/>
      <c r="AU2814" s="1942"/>
      <c r="AV2814" s="1942"/>
      <c r="AW2814" s="1942"/>
      <c r="AX2814" s="1942"/>
      <c r="AY2814" s="1942"/>
      <c r="AZ2814" s="1942"/>
      <c r="BA2814" s="1942"/>
      <c r="BB2814" s="575"/>
      <c r="BC2814" s="576"/>
      <c r="BD2814" s="678"/>
      <c r="BE2814" s="585"/>
    </row>
    <row r="2815" spans="1:57" s="1942" customFormat="1" ht="15" hidden="1" customHeight="1" outlineLevel="1" x14ac:dyDescent="0.25">
      <c r="A2815" s="2060"/>
      <c r="B2815" s="123"/>
      <c r="C2815" s="328"/>
      <c r="D2815" s="3990"/>
      <c r="E2815" s="4009"/>
      <c r="F2815" s="3010" t="str">
        <f>$E$1565</f>
        <v>ASHP-SEER21-Replace_CAC_NonElectricHeat_ER1_SF</v>
      </c>
      <c r="G2815" s="2676"/>
      <c r="H2815" s="2676"/>
      <c r="I2815" s="2677"/>
      <c r="J2815" s="3298" t="str">
        <f>$C$1565</f>
        <v>353560_2021_12_</v>
      </c>
      <c r="K2815" s="3158">
        <v>869</v>
      </c>
      <c r="L2815" s="851"/>
      <c r="M2815" s="3252" t="s">
        <v>1011</v>
      </c>
      <c r="N2815" s="123"/>
      <c r="O2815" s="228"/>
      <c r="P2815" s="844"/>
      <c r="Q2815" s="845"/>
      <c r="R2815" s="844"/>
      <c r="S2815" s="832"/>
      <c r="T2815" s="3082"/>
      <c r="U2815" s="123"/>
      <c r="V2815" s="3990"/>
      <c r="W2815" s="2857"/>
      <c r="X2815" s="2857"/>
      <c r="Y2815" s="696"/>
      <c r="Z2815" s="696"/>
      <c r="AA2815" s="696"/>
      <c r="AB2815" s="696"/>
      <c r="AC2815" s="3158">
        <v>869</v>
      </c>
      <c r="AD2815" s="2857"/>
      <c r="AE2815" s="2857"/>
      <c r="AF2815" s="2857"/>
      <c r="AG2815" s="2857"/>
      <c r="BB2815" s="575"/>
      <c r="BC2815" s="576"/>
      <c r="BD2815" s="678"/>
      <c r="BE2815" s="585"/>
    </row>
    <row r="2816" spans="1:57" s="1942" customFormat="1" ht="15" hidden="1" customHeight="1" outlineLevel="1" x14ac:dyDescent="0.25">
      <c r="A2816" s="2060"/>
      <c r="B2816" s="123"/>
      <c r="C2816" s="328"/>
      <c r="D2816" s="3990"/>
      <c r="E2816" s="4009"/>
      <c r="F2816" s="3010" t="str">
        <f>$E$1567</f>
        <v>ASHP-SEER21-Replace_CAC_NonElectricHeat_ER2_SF</v>
      </c>
      <c r="G2816" s="2676"/>
      <c r="H2816" s="2676"/>
      <c r="I2816" s="2677"/>
      <c r="J2816" s="3298" t="str">
        <f>$C$1567</f>
        <v>353560_2021_12_</v>
      </c>
      <c r="K2816" s="3158">
        <v>869</v>
      </c>
      <c r="L2816" s="851"/>
      <c r="M2816" s="3252" t="s">
        <v>1011</v>
      </c>
      <c r="N2816" s="123"/>
      <c r="O2816" s="228"/>
      <c r="P2816" s="844"/>
      <c r="Q2816" s="845"/>
      <c r="R2816" s="844"/>
      <c r="S2816" s="832"/>
      <c r="T2816" s="3082"/>
      <c r="U2816" s="123"/>
      <c r="V2816" s="3990"/>
      <c r="W2816" s="2857"/>
      <c r="X2816" s="2857"/>
      <c r="Y2816" s="696"/>
      <c r="Z2816" s="696"/>
      <c r="AA2816" s="696"/>
      <c r="AB2816" s="696"/>
      <c r="AC2816" s="3158">
        <v>869</v>
      </c>
      <c r="AD2816" s="2857"/>
      <c r="AE2816" s="2857"/>
      <c r="AF2816" s="2857"/>
      <c r="AG2816" s="2857"/>
      <c r="BB2816" s="575"/>
      <c r="BC2816" s="576"/>
      <c r="BD2816" s="678"/>
      <c r="BE2816" s="585"/>
    </row>
    <row r="2817" spans="1:57" s="51" customFormat="1" ht="15" hidden="1" customHeight="1" outlineLevel="1" x14ac:dyDescent="0.25">
      <c r="A2817" s="2060"/>
      <c r="B2817" s="123"/>
      <c r="C2817" s="328"/>
      <c r="D2817" s="3990"/>
      <c r="E2817" s="4009"/>
      <c r="F2817" s="3010" t="str">
        <f>$E$1569</f>
        <v>ASHP-SEER21-Replace_CAC_ElectricHeat_ER1_MF</v>
      </c>
      <c r="G2817" s="2676"/>
      <c r="H2817" s="2676"/>
      <c r="I2817" s="2677"/>
      <c r="J2817" s="3299" t="str">
        <f>$C$1569</f>
        <v>353600_2019_12_</v>
      </c>
      <c r="K2817" s="696">
        <v>869</v>
      </c>
      <c r="L2817" s="851"/>
      <c r="M2817" s="698" t="s">
        <v>1011</v>
      </c>
      <c r="N2817" s="123"/>
      <c r="O2817" s="228"/>
      <c r="P2817" s="844"/>
      <c r="Q2817" s="845"/>
      <c r="R2817" s="844"/>
      <c r="S2817" s="832"/>
      <c r="T2817" s="3082"/>
      <c r="U2817" s="123"/>
      <c r="V2817" s="3990"/>
      <c r="W2817" s="2857">
        <v>869</v>
      </c>
      <c r="X2817" s="2857">
        <v>869</v>
      </c>
      <c r="Y2817" s="696">
        <v>869</v>
      </c>
      <c r="Z2817" s="696">
        <v>869</v>
      </c>
      <c r="AA2817" s="696">
        <v>869</v>
      </c>
      <c r="AB2817" s="696">
        <v>869</v>
      </c>
      <c r="AC2817" s="696">
        <v>869</v>
      </c>
      <c r="AD2817" s="2857"/>
      <c r="AE2817" s="2857"/>
      <c r="AF2817" s="2857"/>
      <c r="AG2817" s="2857"/>
      <c r="AH2817" s="1942"/>
      <c r="AI2817" s="1942"/>
      <c r="AJ2817" s="1942"/>
      <c r="AK2817" s="1942"/>
      <c r="AL2817" s="1942"/>
      <c r="AM2817" s="1942"/>
      <c r="AN2817" s="1942"/>
      <c r="AO2817" s="1942"/>
      <c r="AP2817" s="1942"/>
      <c r="AQ2817" s="1942"/>
      <c r="AR2817" s="1942"/>
      <c r="AS2817" s="1942"/>
      <c r="AT2817" s="1942"/>
      <c r="AU2817" s="1942"/>
      <c r="AV2817" s="1942"/>
      <c r="AW2817" s="1942"/>
      <c r="AX2817" s="1942"/>
      <c r="AY2817" s="1942"/>
      <c r="AZ2817" s="1942"/>
      <c r="BA2817" s="1942"/>
      <c r="BB2817" s="575"/>
      <c r="BC2817" s="576"/>
      <c r="BD2817" s="678"/>
      <c r="BE2817" s="585"/>
    </row>
    <row r="2818" spans="1:57" s="51" customFormat="1" ht="15" hidden="1" customHeight="1" outlineLevel="1" x14ac:dyDescent="0.25">
      <c r="A2818" s="2060"/>
      <c r="B2818" s="123"/>
      <c r="C2818" s="328"/>
      <c r="D2818" s="3990"/>
      <c r="E2818" s="4009"/>
      <c r="F2818" s="3010" t="str">
        <f>$E$1571</f>
        <v>ASHP-SEER21-Replace_CAC_ElectricHeat_ER2_MF</v>
      </c>
      <c r="G2818" s="2676"/>
      <c r="H2818" s="2676"/>
      <c r="I2818" s="2677"/>
      <c r="J2818" s="3299" t="str">
        <f>$C$1571</f>
        <v>353600_2019_12_</v>
      </c>
      <c r="K2818" s="696">
        <v>869</v>
      </c>
      <c r="L2818" s="851"/>
      <c r="M2818" s="698" t="s">
        <v>1011</v>
      </c>
      <c r="N2818" s="123"/>
      <c r="O2818" s="228"/>
      <c r="P2818" s="844"/>
      <c r="Q2818" s="845"/>
      <c r="R2818" s="844"/>
      <c r="S2818" s="832"/>
      <c r="T2818" s="3082"/>
      <c r="U2818" s="123"/>
      <c r="V2818" s="3990"/>
      <c r="W2818" s="2857">
        <v>869</v>
      </c>
      <c r="X2818" s="2857">
        <v>869</v>
      </c>
      <c r="Y2818" s="696">
        <v>869</v>
      </c>
      <c r="Z2818" s="696">
        <v>869</v>
      </c>
      <c r="AA2818" s="696">
        <v>869</v>
      </c>
      <c r="AB2818" s="696">
        <v>869</v>
      </c>
      <c r="AC2818" s="696">
        <v>869</v>
      </c>
      <c r="AD2818" s="2857"/>
      <c r="AE2818" s="2857"/>
      <c r="AF2818" s="2857"/>
      <c r="AG2818" s="2857"/>
      <c r="AH2818" s="1942"/>
      <c r="AI2818" s="1942"/>
      <c r="AJ2818" s="1942"/>
      <c r="AK2818" s="1942"/>
      <c r="AL2818" s="1942"/>
      <c r="AM2818" s="1942"/>
      <c r="AN2818" s="1942"/>
      <c r="AO2818" s="1942"/>
      <c r="AP2818" s="1942"/>
      <c r="AQ2818" s="1942"/>
      <c r="AR2818" s="1942"/>
      <c r="AS2818" s="1942"/>
      <c r="AT2818" s="1942"/>
      <c r="AU2818" s="1942"/>
      <c r="AV2818" s="1942"/>
      <c r="AW2818" s="1942"/>
      <c r="AX2818" s="1942"/>
      <c r="AY2818" s="1942"/>
      <c r="AZ2818" s="1942"/>
      <c r="BA2818" s="1942"/>
      <c r="BB2818" s="575"/>
      <c r="BC2818" s="576"/>
      <c r="BD2818" s="678"/>
      <c r="BE2818" s="585"/>
    </row>
    <row r="2819" spans="1:57" s="51" customFormat="1" ht="15" hidden="1" customHeight="1" outlineLevel="1" x14ac:dyDescent="0.25">
      <c r="A2819" s="2060"/>
      <c r="B2819" s="123"/>
      <c r="C2819" s="328"/>
      <c r="D2819" s="3990"/>
      <c r="E2819" s="4009"/>
      <c r="F2819" s="3010" t="str">
        <f>$E$1573</f>
        <v>ASHP-SEER21-Replace_CAC_ElectricHeat_ER1_MF_CompE</v>
      </c>
      <c r="G2819" s="2676"/>
      <c r="H2819" s="2676"/>
      <c r="I2819" s="2677"/>
      <c r="J2819" s="3299" t="str">
        <f>$C$1573</f>
        <v>353601_2019_12_</v>
      </c>
      <c r="K2819" s="696">
        <f>$K$2755</f>
        <v>632</v>
      </c>
      <c r="L2819" s="851"/>
      <c r="M2819" s="786" t="s">
        <v>528</v>
      </c>
      <c r="N2819" s="123"/>
      <c r="O2819" s="228"/>
      <c r="P2819" s="844"/>
      <c r="Q2819" s="845"/>
      <c r="R2819" s="844"/>
      <c r="S2819" s="832"/>
      <c r="T2819" s="3082"/>
      <c r="U2819" s="123"/>
      <c r="V2819" s="3990"/>
      <c r="W2819" s="2857"/>
      <c r="X2819" s="2857"/>
      <c r="Y2819" s="3158">
        <f>$K$2755</f>
        <v>632</v>
      </c>
      <c r="Z2819" s="696">
        <f t="shared" ref="Z2819:AA2820" si="216">$K$2755</f>
        <v>632</v>
      </c>
      <c r="AA2819" s="696">
        <f t="shared" si="216"/>
        <v>632</v>
      </c>
      <c r="AB2819" s="696">
        <v>632</v>
      </c>
      <c r="AC2819" s="696">
        <f>$K$2755</f>
        <v>632</v>
      </c>
      <c r="AD2819" s="2857"/>
      <c r="AE2819" s="2857"/>
      <c r="AF2819" s="2857"/>
      <c r="AG2819" s="2857"/>
      <c r="AH2819" s="1942"/>
      <c r="AI2819" s="1942"/>
      <c r="AJ2819" s="1942"/>
      <c r="AK2819" s="1942"/>
      <c r="AL2819" s="1942"/>
      <c r="AM2819" s="1942"/>
      <c r="AN2819" s="1942"/>
      <c r="AO2819" s="1942"/>
      <c r="AP2819" s="1942"/>
      <c r="AQ2819" s="1942"/>
      <c r="AR2819" s="1942"/>
      <c r="AS2819" s="1942"/>
      <c r="AT2819" s="1942"/>
      <c r="AU2819" s="1942"/>
      <c r="AV2819" s="1942"/>
      <c r="AW2819" s="1942"/>
      <c r="AX2819" s="1942"/>
      <c r="AY2819" s="1942"/>
      <c r="AZ2819" s="1942"/>
      <c r="BA2819" s="1942"/>
      <c r="BB2819" s="575"/>
      <c r="BC2819" s="576"/>
      <c r="BD2819" s="678"/>
      <c r="BE2819" s="585"/>
    </row>
    <row r="2820" spans="1:57" s="51" customFormat="1" ht="15" hidden="1" customHeight="1" outlineLevel="1" x14ac:dyDescent="0.25">
      <c r="A2820" s="2060"/>
      <c r="B2820" s="123"/>
      <c r="C2820" s="328"/>
      <c r="D2820" s="3990"/>
      <c r="E2820" s="4009"/>
      <c r="F2820" s="3010" t="str">
        <f>$E$1575</f>
        <v>ASHP-SEER21-Replace_CAC_ElectricHeat_ER2_MF_CompE</v>
      </c>
      <c r="G2820" s="2676"/>
      <c r="H2820" s="2676"/>
      <c r="I2820" s="2677"/>
      <c r="J2820" s="3299" t="str">
        <f>$C$1575</f>
        <v>353601_2019_12_</v>
      </c>
      <c r="K2820" s="696">
        <f>$K$2755</f>
        <v>632</v>
      </c>
      <c r="L2820" s="851"/>
      <c r="M2820" s="786" t="s">
        <v>528</v>
      </c>
      <c r="N2820" s="123"/>
      <c r="O2820" s="228"/>
      <c r="P2820" s="844"/>
      <c r="Q2820" s="845"/>
      <c r="R2820" s="844"/>
      <c r="S2820" s="832"/>
      <c r="T2820" s="3082"/>
      <c r="U2820" s="123"/>
      <c r="V2820" s="3990"/>
      <c r="W2820" s="2857"/>
      <c r="X2820" s="2857"/>
      <c r="Y2820" s="3158">
        <f>$K$2755</f>
        <v>632</v>
      </c>
      <c r="Z2820" s="696">
        <f t="shared" si="216"/>
        <v>632</v>
      </c>
      <c r="AA2820" s="696">
        <f t="shared" si="216"/>
        <v>632</v>
      </c>
      <c r="AB2820" s="696">
        <v>632</v>
      </c>
      <c r="AC2820" s="696">
        <f>$K$2755</f>
        <v>632</v>
      </c>
      <c r="AD2820" s="2857"/>
      <c r="AE2820" s="2857"/>
      <c r="AF2820" s="2857"/>
      <c r="AG2820" s="2857"/>
      <c r="AH2820" s="1942"/>
      <c r="AI2820" s="1942"/>
      <c r="AJ2820" s="1942"/>
      <c r="AK2820" s="1942"/>
      <c r="AL2820" s="1942"/>
      <c r="AM2820" s="1942"/>
      <c r="AN2820" s="1942"/>
      <c r="AO2820" s="1942"/>
      <c r="AP2820" s="1942"/>
      <c r="AQ2820" s="1942"/>
      <c r="AR2820" s="1942"/>
      <c r="AS2820" s="1942"/>
      <c r="AT2820" s="1942"/>
      <c r="AU2820" s="1942"/>
      <c r="AV2820" s="1942"/>
      <c r="AW2820" s="1942"/>
      <c r="AX2820" s="1942"/>
      <c r="AY2820" s="1942"/>
      <c r="AZ2820" s="1942"/>
      <c r="BA2820" s="1942"/>
      <c r="BB2820" s="575"/>
      <c r="BC2820" s="576"/>
      <c r="BD2820" s="678"/>
      <c r="BE2820" s="585"/>
    </row>
    <row r="2821" spans="1:57" s="1942" customFormat="1" ht="15" hidden="1" customHeight="1" outlineLevel="1" x14ac:dyDescent="0.25">
      <c r="A2821" s="2060"/>
      <c r="B2821" s="123"/>
      <c r="C2821" s="328"/>
      <c r="D2821" s="3990"/>
      <c r="E2821" s="4009"/>
      <c r="F2821" s="3010" t="str">
        <f>$E$1577</f>
        <v>ASHP-SEER21-Replace_CAC_NonElectricHeat_ER1_MF</v>
      </c>
      <c r="G2821" s="2676"/>
      <c r="H2821" s="2676"/>
      <c r="I2821" s="2677"/>
      <c r="J2821" s="3298" t="str">
        <f>$C$1577</f>
        <v>353610_2021_12_</v>
      </c>
      <c r="K2821" s="3158">
        <v>869</v>
      </c>
      <c r="L2821" s="851"/>
      <c r="M2821" s="3252" t="s">
        <v>1011</v>
      </c>
      <c r="N2821" s="123"/>
      <c r="O2821" s="228"/>
      <c r="P2821" s="844"/>
      <c r="Q2821" s="845"/>
      <c r="R2821" s="844"/>
      <c r="S2821" s="832"/>
      <c r="T2821" s="3082"/>
      <c r="U2821" s="123"/>
      <c r="V2821" s="3990"/>
      <c r="W2821" s="2857"/>
      <c r="X2821" s="2857"/>
      <c r="Y2821" s="3158"/>
      <c r="Z2821" s="696"/>
      <c r="AA2821" s="696"/>
      <c r="AB2821" s="696"/>
      <c r="AC2821" s="3158">
        <v>869</v>
      </c>
      <c r="AD2821" s="2857"/>
      <c r="AE2821" s="2857"/>
      <c r="AF2821" s="2857"/>
      <c r="AG2821" s="2857"/>
      <c r="BB2821" s="575"/>
      <c r="BC2821" s="576"/>
      <c r="BD2821" s="678"/>
      <c r="BE2821" s="585"/>
    </row>
    <row r="2822" spans="1:57" s="1942" customFormat="1" ht="15" hidden="1" customHeight="1" outlineLevel="1" x14ac:dyDescent="0.25">
      <c r="A2822" s="2060"/>
      <c r="B2822" s="123"/>
      <c r="C2822" s="328"/>
      <c r="D2822" s="3990"/>
      <c r="E2822" s="4009"/>
      <c r="F2822" s="3010" t="str">
        <f>$E$1579</f>
        <v>ASHP-SEER21-Replace_CAC_NonElectricHeat_ER2_MF</v>
      </c>
      <c r="G2822" s="2676"/>
      <c r="H2822" s="2676"/>
      <c r="I2822" s="2677"/>
      <c r="J2822" s="3298" t="str">
        <f>$C$1579</f>
        <v>353610_2021_12_</v>
      </c>
      <c r="K2822" s="3158">
        <v>869</v>
      </c>
      <c r="L2822" s="851"/>
      <c r="M2822" s="3252" t="s">
        <v>1011</v>
      </c>
      <c r="N2822" s="123"/>
      <c r="O2822" s="228"/>
      <c r="P2822" s="844"/>
      <c r="Q2822" s="845"/>
      <c r="R2822" s="844"/>
      <c r="S2822" s="832"/>
      <c r="T2822" s="3082"/>
      <c r="U2822" s="123"/>
      <c r="V2822" s="3990"/>
      <c r="W2822" s="2857"/>
      <c r="X2822" s="2857"/>
      <c r="Y2822" s="3158"/>
      <c r="Z2822" s="696"/>
      <c r="AA2822" s="696"/>
      <c r="AB2822" s="696"/>
      <c r="AC2822" s="3158">
        <v>869</v>
      </c>
      <c r="AD2822" s="2857"/>
      <c r="AE2822" s="2857"/>
      <c r="AF2822" s="2857"/>
      <c r="AG2822" s="2857"/>
      <c r="BB2822" s="575"/>
      <c r="BC2822" s="576"/>
      <c r="BD2822" s="678"/>
      <c r="BE2822" s="585"/>
    </row>
    <row r="2823" spans="1:57" s="1942" customFormat="1" ht="15" hidden="1" customHeight="1" outlineLevel="1" x14ac:dyDescent="0.25">
      <c r="A2823" s="2060"/>
      <c r="B2823" s="123"/>
      <c r="C2823" s="328"/>
      <c r="D2823" s="3990"/>
      <c r="E2823" s="4009"/>
      <c r="F2823" s="3010" t="str">
        <f>$E$1581</f>
        <v>ASHP-SEER21-Replace_CAC_NonElectricHeat_ER1_MF_CompE</v>
      </c>
      <c r="G2823" s="2676"/>
      <c r="H2823" s="2676"/>
      <c r="I2823" s="2677"/>
      <c r="J2823" s="3298" t="str">
        <f>$C$1581</f>
        <v>353611_2021_12_</v>
      </c>
      <c r="K2823" s="3158">
        <f>$K$2755</f>
        <v>632</v>
      </c>
      <c r="L2823" s="851"/>
      <c r="M2823" s="3253" t="s">
        <v>528</v>
      </c>
      <c r="N2823" s="123"/>
      <c r="O2823" s="228"/>
      <c r="P2823" s="844"/>
      <c r="Q2823" s="845"/>
      <c r="R2823" s="844"/>
      <c r="S2823" s="832"/>
      <c r="T2823" s="3082"/>
      <c r="U2823" s="123"/>
      <c r="V2823" s="3990"/>
      <c r="W2823" s="2857"/>
      <c r="X2823" s="2857"/>
      <c r="Y2823" s="3158"/>
      <c r="Z2823" s="696"/>
      <c r="AA2823" s="696"/>
      <c r="AB2823" s="696"/>
      <c r="AC2823" s="3158">
        <f>$K$2755</f>
        <v>632</v>
      </c>
      <c r="AD2823" s="2857"/>
      <c r="AE2823" s="2857"/>
      <c r="AF2823" s="2857"/>
      <c r="AG2823" s="2857"/>
      <c r="BB2823" s="575"/>
      <c r="BC2823" s="576"/>
      <c r="BD2823" s="678"/>
      <c r="BE2823" s="585"/>
    </row>
    <row r="2824" spans="1:57" s="1942" customFormat="1" ht="15" hidden="1" customHeight="1" outlineLevel="1" x14ac:dyDescent="0.25">
      <c r="A2824" s="2060"/>
      <c r="B2824" s="123"/>
      <c r="C2824" s="328"/>
      <c r="D2824" s="3990"/>
      <c r="E2824" s="4009"/>
      <c r="F2824" s="3010" t="str">
        <f>$E$1583</f>
        <v>ASHP-SEER21-Replace_CAC_NonElectricHeat_ER2_MF_CompE</v>
      </c>
      <c r="G2824" s="2676"/>
      <c r="H2824" s="2676"/>
      <c r="I2824" s="2677"/>
      <c r="J2824" s="3298" t="str">
        <f>$C$1583</f>
        <v>353611_2021_12_</v>
      </c>
      <c r="K2824" s="3158">
        <f>$K$2755</f>
        <v>632</v>
      </c>
      <c r="L2824" s="851"/>
      <c r="M2824" s="3253" t="s">
        <v>528</v>
      </c>
      <c r="N2824" s="123"/>
      <c r="O2824" s="228"/>
      <c r="P2824" s="844"/>
      <c r="Q2824" s="845"/>
      <c r="R2824" s="844"/>
      <c r="S2824" s="832"/>
      <c r="T2824" s="3082"/>
      <c r="U2824" s="123"/>
      <c r="V2824" s="3990"/>
      <c r="W2824" s="2857"/>
      <c r="X2824" s="2857"/>
      <c r="Y2824" s="3158"/>
      <c r="Z2824" s="696"/>
      <c r="AA2824" s="696"/>
      <c r="AB2824" s="696"/>
      <c r="AC2824" s="3158">
        <f>$K$2755</f>
        <v>632</v>
      </c>
      <c r="AD2824" s="2857"/>
      <c r="AE2824" s="2857"/>
      <c r="AF2824" s="2857"/>
      <c r="AG2824" s="2857"/>
      <c r="BB2824" s="575"/>
      <c r="BC2824" s="576"/>
      <c r="BD2824" s="678"/>
      <c r="BE2824" s="585"/>
    </row>
    <row r="2825" spans="1:57" s="51" customFormat="1" ht="15" hidden="1" customHeight="1" outlineLevel="1" x14ac:dyDescent="0.25">
      <c r="A2825" s="2060"/>
      <c r="B2825" s="123"/>
      <c r="C2825" s="328"/>
      <c r="D2825" s="3990"/>
      <c r="E2825" s="4009"/>
      <c r="F2825" s="3010" t="str">
        <f>$E$1585</f>
        <v>ASHP-SEER21-Replace_CAC_ElectricHeat_ROF_SF</v>
      </c>
      <c r="G2825" s="2676"/>
      <c r="H2825" s="2676"/>
      <c r="I2825" s="2677"/>
      <c r="J2825" s="3298" t="str">
        <f>$C$1585</f>
        <v>353650_2021_12_</v>
      </c>
      <c r="K2825" s="696">
        <v>869</v>
      </c>
      <c r="L2825" s="851"/>
      <c r="M2825" s="698" t="s">
        <v>1011</v>
      </c>
      <c r="N2825" s="123"/>
      <c r="O2825" s="228"/>
      <c r="P2825" s="844"/>
      <c r="Q2825" s="845"/>
      <c r="R2825" s="844"/>
      <c r="S2825" s="832"/>
      <c r="T2825" s="3082"/>
      <c r="U2825" s="123"/>
      <c r="V2825" s="3990"/>
      <c r="W2825" s="2857">
        <v>869</v>
      </c>
      <c r="X2825" s="2857">
        <v>869</v>
      </c>
      <c r="Y2825" s="696">
        <v>869</v>
      </c>
      <c r="Z2825" s="696">
        <v>869</v>
      </c>
      <c r="AA2825" s="696">
        <v>869</v>
      </c>
      <c r="AB2825" s="696">
        <v>869</v>
      </c>
      <c r="AC2825" s="696">
        <v>869</v>
      </c>
      <c r="AD2825" s="2857"/>
      <c r="AE2825" s="2857"/>
      <c r="AF2825" s="2857"/>
      <c r="AG2825" s="2857"/>
      <c r="AH2825" s="1942"/>
      <c r="AI2825" s="1942"/>
      <c r="AJ2825" s="1942"/>
      <c r="AK2825" s="1942"/>
      <c r="AL2825" s="1942"/>
      <c r="AM2825" s="1942"/>
      <c r="AN2825" s="1942"/>
      <c r="AO2825" s="1942"/>
      <c r="AP2825" s="1942"/>
      <c r="AQ2825" s="1942"/>
      <c r="AR2825" s="1942"/>
      <c r="AS2825" s="1942"/>
      <c r="AT2825" s="1942"/>
      <c r="AU2825" s="1942"/>
      <c r="AV2825" s="1942"/>
      <c r="AW2825" s="1942"/>
      <c r="AX2825" s="1942"/>
      <c r="AY2825" s="1942"/>
      <c r="AZ2825" s="1942"/>
      <c r="BA2825" s="1942"/>
      <c r="BB2825" s="575"/>
      <c r="BC2825" s="576"/>
      <c r="BD2825" s="678"/>
      <c r="BE2825" s="585"/>
    </row>
    <row r="2826" spans="1:57" s="51" customFormat="1" ht="15" hidden="1" customHeight="1" outlineLevel="1" x14ac:dyDescent="0.25">
      <c r="A2826" s="1267"/>
      <c r="B2826" s="123"/>
      <c r="C2826" s="328"/>
      <c r="D2826" s="3990"/>
      <c r="E2826" s="4009"/>
      <c r="F2826" s="3010" t="str">
        <f>$E$1587</f>
        <v>ASHP-SEER21+-Replace_CAC_ElectricHeat_ROF_MF</v>
      </c>
      <c r="G2826" s="2676"/>
      <c r="H2826" s="2676"/>
      <c r="I2826" s="2677"/>
      <c r="J2826" s="3299" t="str">
        <f>$C$1587</f>
        <v>353700_2019_12_</v>
      </c>
      <c r="K2826" s="696">
        <v>869</v>
      </c>
      <c r="L2826" s="851"/>
      <c r="M2826" s="698" t="s">
        <v>1011</v>
      </c>
      <c r="N2826" s="123"/>
      <c r="O2826" s="228"/>
      <c r="P2826" s="228"/>
      <c r="Q2826" s="228"/>
      <c r="R2826" s="228"/>
      <c r="S2826" s="123"/>
      <c r="T2826" s="123"/>
      <c r="U2826" s="123"/>
      <c r="V2826" s="3990"/>
      <c r="W2826" s="2857">
        <v>869</v>
      </c>
      <c r="X2826" s="2857">
        <v>869</v>
      </c>
      <c r="Y2826" s="696">
        <v>869</v>
      </c>
      <c r="Z2826" s="696">
        <v>869</v>
      </c>
      <c r="AA2826" s="696">
        <v>869</v>
      </c>
      <c r="AB2826" s="696">
        <v>869</v>
      </c>
      <c r="AC2826" s="696">
        <v>869</v>
      </c>
      <c r="AD2826" s="2857"/>
      <c r="AE2826" s="2857"/>
      <c r="AF2826" s="2857"/>
      <c r="AG2826" s="2857"/>
      <c r="AH2826" s="1942"/>
      <c r="AI2826" s="1942"/>
      <c r="AJ2826" s="1942"/>
      <c r="AK2826" s="1942"/>
      <c r="AL2826" s="1942"/>
      <c r="AM2826" s="1942"/>
      <c r="AN2826" s="1942"/>
      <c r="AO2826" s="1942"/>
      <c r="AP2826" s="1942"/>
      <c r="AQ2826" s="1942"/>
      <c r="AR2826" s="1942"/>
      <c r="AS2826" s="1942"/>
      <c r="AT2826" s="1942"/>
      <c r="AU2826" s="1942"/>
      <c r="AV2826" s="1942"/>
      <c r="AW2826" s="1942"/>
      <c r="AX2826" s="1942"/>
      <c r="AY2826" s="1942"/>
      <c r="AZ2826" s="1942"/>
      <c r="BA2826" s="1942"/>
      <c r="BB2826" s="575"/>
      <c r="BC2826" s="576"/>
      <c r="BD2826" s="678"/>
      <c r="BE2826" s="585"/>
    </row>
    <row r="2827" spans="1:57" s="51" customFormat="1" ht="15" hidden="1" customHeight="1" outlineLevel="1" x14ac:dyDescent="0.25">
      <c r="A2827" s="1267"/>
      <c r="B2827" s="123"/>
      <c r="C2827" s="328"/>
      <c r="D2827" s="3990"/>
      <c r="E2827" s="4009"/>
      <c r="F2827" s="3010" t="str">
        <f>$E$1589</f>
        <v>ASHP-SEER21+-Replace_CAC_ElectricHeat_ROF_MF_CompE</v>
      </c>
      <c r="G2827" s="2676"/>
      <c r="H2827" s="2676"/>
      <c r="I2827" s="2677"/>
      <c r="J2827" s="3299" t="str">
        <f>$C$1589</f>
        <v>353701_2019_12_</v>
      </c>
      <c r="K2827" s="696">
        <v>632</v>
      </c>
      <c r="L2827" s="851"/>
      <c r="M2827" s="698" t="s">
        <v>1011</v>
      </c>
      <c r="N2827" s="123"/>
      <c r="O2827" s="228"/>
      <c r="P2827" s="228"/>
      <c r="Q2827" s="228"/>
      <c r="R2827" s="228"/>
      <c r="S2827" s="123"/>
      <c r="T2827" s="123"/>
      <c r="U2827" s="123"/>
      <c r="V2827" s="3990"/>
      <c r="W2827" s="2857"/>
      <c r="X2827" s="2857"/>
      <c r="Y2827" s="3158">
        <v>632</v>
      </c>
      <c r="Z2827" s="696">
        <v>632</v>
      </c>
      <c r="AA2827" s="696">
        <v>632</v>
      </c>
      <c r="AB2827" s="696">
        <v>632</v>
      </c>
      <c r="AC2827" s="696">
        <v>632</v>
      </c>
      <c r="AD2827" s="2857"/>
      <c r="AE2827" s="2857"/>
      <c r="AF2827" s="2857"/>
      <c r="AG2827" s="2857"/>
      <c r="AH2827" s="1942"/>
      <c r="AI2827" s="1942"/>
      <c r="AJ2827" s="1942"/>
      <c r="AK2827" s="1942"/>
      <c r="AL2827" s="1942"/>
      <c r="AM2827" s="1942"/>
      <c r="AN2827" s="1942"/>
      <c r="AO2827" s="1942"/>
      <c r="AP2827" s="1942"/>
      <c r="AQ2827" s="1942"/>
      <c r="AR2827" s="1942"/>
      <c r="AS2827" s="1942"/>
      <c r="AT2827" s="1942"/>
      <c r="AU2827" s="1942"/>
      <c r="AV2827" s="1942"/>
      <c r="AW2827" s="1942"/>
      <c r="AX2827" s="1942"/>
      <c r="AY2827" s="1942"/>
      <c r="AZ2827" s="1942"/>
      <c r="BA2827" s="1942"/>
      <c r="BB2827" s="575"/>
      <c r="BC2827" s="576"/>
      <c r="BD2827" s="678"/>
      <c r="BE2827" s="585"/>
    </row>
    <row r="2828" spans="1:57" s="1942" customFormat="1" ht="15" hidden="1" customHeight="1" outlineLevel="1" x14ac:dyDescent="0.25">
      <c r="A2828" s="1267"/>
      <c r="B2828" s="123"/>
      <c r="C2828" s="328"/>
      <c r="D2828" s="3990"/>
      <c r="E2828" s="4009"/>
      <c r="F2828" s="3010" t="str">
        <f>$E$1591</f>
        <v>ASHP-SEER21+-Replace_CAC_NonElectricHeat_ROF_MF</v>
      </c>
      <c r="G2828" s="2676"/>
      <c r="H2828" s="2676"/>
      <c r="I2828" s="2677"/>
      <c r="J2828" s="3298" t="str">
        <f>$C$1591</f>
        <v>353710_2021_12_</v>
      </c>
      <c r="K2828" s="3158">
        <v>869</v>
      </c>
      <c r="L2828" s="851"/>
      <c r="M2828" s="3252" t="s">
        <v>1011</v>
      </c>
      <c r="N2828" s="123"/>
      <c r="O2828" s="228"/>
      <c r="P2828" s="228"/>
      <c r="Q2828" s="228"/>
      <c r="R2828" s="228"/>
      <c r="S2828" s="123"/>
      <c r="T2828" s="123"/>
      <c r="U2828" s="123"/>
      <c r="V2828" s="3990"/>
      <c r="W2828" s="2857"/>
      <c r="X2828" s="2857"/>
      <c r="Y2828" s="3158"/>
      <c r="Z2828" s="696"/>
      <c r="AA2828" s="696"/>
      <c r="AB2828" s="696"/>
      <c r="AC2828" s="3158">
        <v>869</v>
      </c>
      <c r="AD2828" s="2857"/>
      <c r="AE2828" s="2857"/>
      <c r="AF2828" s="2857"/>
      <c r="AG2828" s="2857"/>
      <c r="BB2828" s="575"/>
      <c r="BC2828" s="576"/>
      <c r="BD2828" s="678"/>
      <c r="BE2828" s="585"/>
    </row>
    <row r="2829" spans="1:57" s="1942" customFormat="1" ht="15" hidden="1" customHeight="1" outlineLevel="1" x14ac:dyDescent="0.25">
      <c r="A2829" s="1267"/>
      <c r="B2829" s="123"/>
      <c r="C2829" s="328"/>
      <c r="D2829" s="3990"/>
      <c r="E2829" s="4009"/>
      <c r="F2829" s="3010" t="str">
        <f>$E$1593</f>
        <v>ASHP-SEER21+-Replace_CAC_NonElectricHeat_ROF_MF_CompE</v>
      </c>
      <c r="G2829" s="2676"/>
      <c r="H2829" s="2676"/>
      <c r="I2829" s="2677"/>
      <c r="J2829" s="3298" t="str">
        <f>$C$1593</f>
        <v>353711_2021_12_</v>
      </c>
      <c r="K2829" s="3158">
        <v>632</v>
      </c>
      <c r="L2829" s="851"/>
      <c r="M2829" s="3253" t="s">
        <v>528</v>
      </c>
      <c r="N2829" s="123"/>
      <c r="O2829" s="228"/>
      <c r="P2829" s="228"/>
      <c r="Q2829" s="228"/>
      <c r="R2829" s="228"/>
      <c r="S2829" s="123"/>
      <c r="T2829" s="123"/>
      <c r="U2829" s="123"/>
      <c r="V2829" s="3990"/>
      <c r="W2829" s="2857"/>
      <c r="X2829" s="2857"/>
      <c r="Y2829" s="3158"/>
      <c r="Z2829" s="696"/>
      <c r="AA2829" s="696"/>
      <c r="AB2829" s="696"/>
      <c r="AC2829" s="3158">
        <v>632</v>
      </c>
      <c r="AD2829" s="2857"/>
      <c r="AE2829" s="2857"/>
      <c r="AF2829" s="2857"/>
      <c r="AG2829" s="2857"/>
      <c r="BB2829" s="575"/>
      <c r="BC2829" s="576"/>
      <c r="BD2829" s="678"/>
      <c r="BE2829" s="585"/>
    </row>
    <row r="2830" spans="1:57" s="51" customFormat="1" ht="15" hidden="1" customHeight="1" outlineLevel="1" x14ac:dyDescent="0.25">
      <c r="A2830" s="2060"/>
      <c r="B2830" s="123"/>
      <c r="C2830" s="328"/>
      <c r="D2830" s="3990"/>
      <c r="E2830" s="4009"/>
      <c r="F2830" s="3010" t="str">
        <f>$E$1595</f>
        <v>ASHP-SEER17_ER1_SF</v>
      </c>
      <c r="G2830" s="2676"/>
      <c r="H2830" s="2676"/>
      <c r="I2830" s="2677"/>
      <c r="J2830" s="3298" t="str">
        <f>$C$1595</f>
        <v>353750_2021_12_</v>
      </c>
      <c r="K2830" s="696">
        <v>869</v>
      </c>
      <c r="L2830" s="851"/>
      <c r="M2830" s="698" t="s">
        <v>1011</v>
      </c>
      <c r="N2830" s="123"/>
      <c r="O2830" s="228"/>
      <c r="P2830" s="844"/>
      <c r="Q2830" s="845"/>
      <c r="R2830" s="844"/>
      <c r="S2830" s="832"/>
      <c r="T2830" s="3082"/>
      <c r="U2830" s="123"/>
      <c r="V2830" s="3990"/>
      <c r="W2830" s="2857">
        <v>869</v>
      </c>
      <c r="X2830" s="2857">
        <v>869</v>
      </c>
      <c r="Y2830" s="696">
        <v>869</v>
      </c>
      <c r="Z2830" s="696">
        <v>869</v>
      </c>
      <c r="AA2830" s="696">
        <v>869</v>
      </c>
      <c r="AB2830" s="696">
        <v>869</v>
      </c>
      <c r="AC2830" s="696">
        <v>869</v>
      </c>
      <c r="AD2830" s="2857"/>
      <c r="AE2830" s="2857"/>
      <c r="AF2830" s="2857"/>
      <c r="AG2830" s="2857"/>
      <c r="AH2830" s="1942"/>
      <c r="AI2830" s="1942"/>
      <c r="AJ2830" s="1942"/>
      <c r="AK2830" s="1942"/>
      <c r="AL2830" s="1942"/>
      <c r="AM2830" s="1942"/>
      <c r="AN2830" s="1942"/>
      <c r="AO2830" s="1942"/>
      <c r="AP2830" s="1942"/>
      <c r="AQ2830" s="1942"/>
      <c r="AR2830" s="1942"/>
      <c r="AS2830" s="1942"/>
      <c r="AT2830" s="1942"/>
      <c r="AU2830" s="1942"/>
      <c r="AV2830" s="1942"/>
      <c r="AW2830" s="1942"/>
      <c r="AX2830" s="1942"/>
      <c r="AY2830" s="1942"/>
      <c r="AZ2830" s="1942"/>
      <c r="BA2830" s="1942"/>
      <c r="BB2830" s="575"/>
      <c r="BC2830" s="576"/>
      <c r="BD2830" s="678"/>
      <c r="BE2830" s="585"/>
    </row>
    <row r="2831" spans="1:57" s="51" customFormat="1" ht="15" hidden="1" customHeight="1" outlineLevel="1" x14ac:dyDescent="0.25">
      <c r="A2831" s="1267"/>
      <c r="B2831" s="123"/>
      <c r="C2831" s="328"/>
      <c r="D2831" s="3990"/>
      <c r="E2831" s="4009"/>
      <c r="F2831" s="3010" t="str">
        <f>$E$1597</f>
        <v>ASHP-SEER17_ER2_SF</v>
      </c>
      <c r="G2831" s="2676"/>
      <c r="H2831" s="2676"/>
      <c r="I2831" s="2677"/>
      <c r="J2831" s="3298" t="str">
        <f>$C$1597</f>
        <v>353750_2021_12_</v>
      </c>
      <c r="K2831" s="696">
        <v>869</v>
      </c>
      <c r="L2831" s="851"/>
      <c r="M2831" s="698" t="s">
        <v>1011</v>
      </c>
      <c r="N2831" s="123"/>
      <c r="O2831" s="228"/>
      <c r="P2831" s="228"/>
      <c r="Q2831" s="228"/>
      <c r="R2831" s="228"/>
      <c r="S2831" s="123"/>
      <c r="T2831" s="123"/>
      <c r="U2831" s="123"/>
      <c r="V2831" s="3990"/>
      <c r="W2831" s="2857">
        <v>869</v>
      </c>
      <c r="X2831" s="2857">
        <v>869</v>
      </c>
      <c r="Y2831" s="696">
        <v>869</v>
      </c>
      <c r="Z2831" s="696">
        <v>869</v>
      </c>
      <c r="AA2831" s="696">
        <v>869</v>
      </c>
      <c r="AB2831" s="696">
        <v>869</v>
      </c>
      <c r="AC2831" s="696">
        <v>869</v>
      </c>
      <c r="AD2831" s="2857"/>
      <c r="AE2831" s="2857"/>
      <c r="AF2831" s="2857"/>
      <c r="AG2831" s="2857"/>
      <c r="AH2831" s="1942"/>
      <c r="AI2831" s="1942"/>
      <c r="AJ2831" s="1942"/>
      <c r="AK2831" s="1942"/>
      <c r="AL2831" s="1942"/>
      <c r="AM2831" s="1942"/>
      <c r="AN2831" s="1942"/>
      <c r="AO2831" s="1942"/>
      <c r="AP2831" s="1942"/>
      <c r="AQ2831" s="1942"/>
      <c r="AR2831" s="1942"/>
      <c r="AS2831" s="1942"/>
      <c r="AT2831" s="1942"/>
      <c r="AU2831" s="1942"/>
      <c r="AV2831" s="1942"/>
      <c r="AW2831" s="1942"/>
      <c r="AX2831" s="1942"/>
      <c r="AY2831" s="1942"/>
      <c r="AZ2831" s="1942"/>
      <c r="BA2831" s="1942"/>
      <c r="BB2831" s="575"/>
      <c r="BC2831" s="576"/>
      <c r="BD2831" s="678"/>
      <c r="BE2831" s="585"/>
    </row>
    <row r="2832" spans="1:57" s="51" customFormat="1" ht="15" hidden="1" customHeight="1" outlineLevel="1" x14ac:dyDescent="0.25">
      <c r="A2832" s="2060"/>
      <c r="B2832" s="123"/>
      <c r="C2832" s="328"/>
      <c r="D2832" s="3990"/>
      <c r="E2832" s="4009"/>
      <c r="F2832" s="3010" t="str">
        <f>$E$1599</f>
        <v>ASHP-SEER17_ROF_SF</v>
      </c>
      <c r="G2832" s="2676"/>
      <c r="H2832" s="2676"/>
      <c r="I2832" s="2677"/>
      <c r="J2832" s="3298" t="str">
        <f>$C$1599</f>
        <v>353800_2021_12_</v>
      </c>
      <c r="K2832" s="696">
        <v>869</v>
      </c>
      <c r="L2832" s="851"/>
      <c r="M2832" s="698" t="s">
        <v>1011</v>
      </c>
      <c r="N2832" s="123"/>
      <c r="O2832" s="228"/>
      <c r="P2832" s="844"/>
      <c r="Q2832" s="845"/>
      <c r="R2832" s="844"/>
      <c r="S2832" s="832"/>
      <c r="T2832" s="3082"/>
      <c r="U2832" s="123"/>
      <c r="V2832" s="3990"/>
      <c r="W2832" s="2857">
        <v>869</v>
      </c>
      <c r="X2832" s="2857">
        <v>869</v>
      </c>
      <c r="Y2832" s="696">
        <v>869</v>
      </c>
      <c r="Z2832" s="696">
        <v>869</v>
      </c>
      <c r="AA2832" s="696">
        <v>869</v>
      </c>
      <c r="AB2832" s="696">
        <v>869</v>
      </c>
      <c r="AC2832" s="696">
        <v>869</v>
      </c>
      <c r="AD2832" s="2857"/>
      <c r="AE2832" s="2857"/>
      <c r="AF2832" s="2857"/>
      <c r="AG2832" s="2857"/>
      <c r="AH2832" s="1942"/>
      <c r="AI2832" s="1942"/>
      <c r="AJ2832" s="1942"/>
      <c r="AK2832" s="1942"/>
      <c r="AL2832" s="1942"/>
      <c r="AM2832" s="1942"/>
      <c r="AN2832" s="1942"/>
      <c r="AO2832" s="1942"/>
      <c r="AP2832" s="1942"/>
      <c r="AQ2832" s="1942"/>
      <c r="AR2832" s="1942"/>
      <c r="AS2832" s="1942"/>
      <c r="AT2832" s="1942"/>
      <c r="AU2832" s="1942"/>
      <c r="AV2832" s="1942"/>
      <c r="AW2832" s="1942"/>
      <c r="AX2832" s="1942"/>
      <c r="AY2832" s="1942"/>
      <c r="AZ2832" s="1942"/>
      <c r="BA2832" s="1942"/>
      <c r="BB2832" s="575"/>
      <c r="BC2832" s="576"/>
      <c r="BD2832" s="678"/>
      <c r="BE2832" s="585"/>
    </row>
    <row r="2833" spans="1:57" s="51" customFormat="1" ht="15" hidden="1" customHeight="1" outlineLevel="1" x14ac:dyDescent="0.25">
      <c r="A2833" s="1267"/>
      <c r="B2833" s="123"/>
      <c r="C2833" s="328"/>
      <c r="D2833" s="3990"/>
      <c r="E2833" s="4009"/>
      <c r="F2833" s="3010" t="str">
        <f>$E$1601</f>
        <v>ASHP-SEER18_ER1_SF</v>
      </c>
      <c r="G2833" s="2676"/>
      <c r="H2833" s="2676"/>
      <c r="I2833" s="2677"/>
      <c r="J2833" s="3298" t="str">
        <f>$C$1601</f>
        <v>353850_2021_12_</v>
      </c>
      <c r="K2833" s="696">
        <v>869</v>
      </c>
      <c r="L2833" s="851"/>
      <c r="M2833" s="698" t="s">
        <v>1011</v>
      </c>
      <c r="N2833" s="123"/>
      <c r="O2833" s="228"/>
      <c r="P2833" s="228"/>
      <c r="Q2833" s="228"/>
      <c r="R2833" s="228"/>
      <c r="S2833" s="123"/>
      <c r="T2833" s="123"/>
      <c r="U2833" s="123"/>
      <c r="V2833" s="3990"/>
      <c r="W2833" s="2857">
        <v>869</v>
      </c>
      <c r="X2833" s="2857">
        <v>869</v>
      </c>
      <c r="Y2833" s="696">
        <v>869</v>
      </c>
      <c r="Z2833" s="696">
        <v>869</v>
      </c>
      <c r="AA2833" s="696">
        <v>869</v>
      </c>
      <c r="AB2833" s="696">
        <v>869</v>
      </c>
      <c r="AC2833" s="696">
        <v>869</v>
      </c>
      <c r="AD2833" s="2857"/>
      <c r="AE2833" s="2857"/>
      <c r="AF2833" s="2857"/>
      <c r="AG2833" s="2857"/>
      <c r="AH2833" s="1942"/>
      <c r="AI2833" s="1942"/>
      <c r="AJ2833" s="1942"/>
      <c r="AK2833" s="1942"/>
      <c r="AL2833" s="1942"/>
      <c r="AM2833" s="1942"/>
      <c r="AN2833" s="1942"/>
      <c r="AO2833" s="1942"/>
      <c r="AP2833" s="1942"/>
      <c r="AQ2833" s="1942"/>
      <c r="AR2833" s="1942"/>
      <c r="AS2833" s="1942"/>
      <c r="AT2833" s="1942"/>
      <c r="AU2833" s="1942"/>
      <c r="AV2833" s="1942"/>
      <c r="AW2833" s="1942"/>
      <c r="AX2833" s="1942"/>
      <c r="AY2833" s="1942"/>
      <c r="AZ2833" s="1942"/>
      <c r="BA2833" s="1942"/>
      <c r="BB2833" s="575"/>
      <c r="BC2833" s="576"/>
      <c r="BD2833" s="678"/>
      <c r="BE2833" s="585"/>
    </row>
    <row r="2834" spans="1:57" s="51" customFormat="1" ht="15" hidden="1" customHeight="1" outlineLevel="1" x14ac:dyDescent="0.25">
      <c r="A2834" s="1267"/>
      <c r="B2834" s="123"/>
      <c r="C2834" s="328"/>
      <c r="D2834" s="3990"/>
      <c r="E2834" s="4009"/>
      <c r="F2834" s="3010" t="str">
        <f>$E$1603</f>
        <v>ASHP-SEER18_ER2_SF</v>
      </c>
      <c r="G2834" s="2676"/>
      <c r="H2834" s="2676"/>
      <c r="I2834" s="2677"/>
      <c r="J2834" s="3298" t="str">
        <f>$C$1603</f>
        <v>353850_2021_12_</v>
      </c>
      <c r="K2834" s="696">
        <v>869</v>
      </c>
      <c r="L2834" s="851"/>
      <c r="M2834" s="698" t="s">
        <v>1011</v>
      </c>
      <c r="N2834" s="123"/>
      <c r="O2834" s="228"/>
      <c r="P2834" s="228"/>
      <c r="Q2834" s="228"/>
      <c r="R2834" s="228"/>
      <c r="S2834" s="123"/>
      <c r="T2834" s="123"/>
      <c r="U2834" s="123"/>
      <c r="V2834" s="3990"/>
      <c r="W2834" s="2857">
        <v>869</v>
      </c>
      <c r="X2834" s="2857">
        <v>869</v>
      </c>
      <c r="Y2834" s="696">
        <v>869</v>
      </c>
      <c r="Z2834" s="696">
        <v>869</v>
      </c>
      <c r="AA2834" s="696">
        <v>869</v>
      </c>
      <c r="AB2834" s="696">
        <v>869</v>
      </c>
      <c r="AC2834" s="696">
        <v>869</v>
      </c>
      <c r="AD2834" s="2857"/>
      <c r="AE2834" s="2857"/>
      <c r="AF2834" s="2857"/>
      <c r="AG2834" s="2857"/>
      <c r="AH2834" s="1942"/>
      <c r="AI2834" s="1942"/>
      <c r="AJ2834" s="1942"/>
      <c r="AK2834" s="1942"/>
      <c r="AL2834" s="1942"/>
      <c r="AM2834" s="1942"/>
      <c r="AN2834" s="1942"/>
      <c r="AO2834" s="1942"/>
      <c r="AP2834" s="1942"/>
      <c r="AQ2834" s="1942"/>
      <c r="AR2834" s="1942"/>
      <c r="AS2834" s="1942"/>
      <c r="AT2834" s="1942"/>
      <c r="AU2834" s="1942"/>
      <c r="AV2834" s="1942"/>
      <c r="AW2834" s="1942"/>
      <c r="AX2834" s="1942"/>
      <c r="AY2834" s="1942"/>
      <c r="AZ2834" s="1942"/>
      <c r="BA2834" s="1942"/>
      <c r="BB2834" s="575"/>
      <c r="BC2834" s="576"/>
      <c r="BD2834" s="678"/>
      <c r="BE2834" s="585"/>
    </row>
    <row r="2835" spans="1:57" s="51" customFormat="1" ht="15" hidden="1" customHeight="1" outlineLevel="1" x14ac:dyDescent="0.25">
      <c r="A2835" s="2060"/>
      <c r="B2835" s="123"/>
      <c r="C2835" s="328"/>
      <c r="D2835" s="3990"/>
      <c r="E2835" s="4009"/>
      <c r="F2835" s="3010" t="str">
        <f>$E$1605</f>
        <v>ASHP-SEER18_ROF_SF</v>
      </c>
      <c r="G2835" s="2676"/>
      <c r="H2835" s="2676"/>
      <c r="I2835" s="2677"/>
      <c r="J2835" s="3298" t="str">
        <f>$C$1605</f>
        <v>353950_2021_12_</v>
      </c>
      <c r="K2835" s="696">
        <v>869</v>
      </c>
      <c r="L2835" s="851"/>
      <c r="M2835" s="698" t="s">
        <v>1011</v>
      </c>
      <c r="N2835" s="123"/>
      <c r="O2835" s="228"/>
      <c r="P2835" s="844"/>
      <c r="Q2835" s="845"/>
      <c r="R2835" s="844"/>
      <c r="S2835" s="832"/>
      <c r="T2835" s="3082"/>
      <c r="U2835" s="123"/>
      <c r="V2835" s="3990"/>
      <c r="W2835" s="2857">
        <v>869</v>
      </c>
      <c r="X2835" s="2857">
        <v>869</v>
      </c>
      <c r="Y2835" s="696">
        <v>869</v>
      </c>
      <c r="Z2835" s="696">
        <v>869</v>
      </c>
      <c r="AA2835" s="696">
        <v>869</v>
      </c>
      <c r="AB2835" s="696">
        <v>869</v>
      </c>
      <c r="AC2835" s="696">
        <v>869</v>
      </c>
      <c r="AD2835" s="2857"/>
      <c r="AE2835" s="2857"/>
      <c r="AF2835" s="2857"/>
      <c r="AG2835" s="2857"/>
      <c r="AH2835" s="1942"/>
      <c r="AI2835" s="1942"/>
      <c r="AJ2835" s="1942"/>
      <c r="AK2835" s="1942"/>
      <c r="AL2835" s="1942"/>
      <c r="AM2835" s="1942"/>
      <c r="AN2835" s="1942"/>
      <c r="AO2835" s="1942"/>
      <c r="AP2835" s="1942"/>
      <c r="AQ2835" s="1942"/>
      <c r="AR2835" s="1942"/>
      <c r="AS2835" s="1942"/>
      <c r="AT2835" s="1942"/>
      <c r="AU2835" s="1942"/>
      <c r="AV2835" s="1942"/>
      <c r="AW2835" s="1942"/>
      <c r="AX2835" s="1942"/>
      <c r="AY2835" s="1942"/>
      <c r="AZ2835" s="1942"/>
      <c r="BA2835" s="1942"/>
      <c r="BB2835" s="575"/>
      <c r="BC2835" s="576"/>
      <c r="BD2835" s="678"/>
      <c r="BE2835" s="585"/>
    </row>
    <row r="2836" spans="1:57" s="51" customFormat="1" ht="15" hidden="1" customHeight="1" outlineLevel="1" x14ac:dyDescent="0.25">
      <c r="A2836" s="1267"/>
      <c r="B2836" s="123"/>
      <c r="C2836" s="328"/>
      <c r="D2836" s="3990"/>
      <c r="E2836" s="4009"/>
      <c r="F2836" s="3010" t="str">
        <f>$E$1607</f>
        <v>ASHP-SEER19_ER1_SF</v>
      </c>
      <c r="G2836" s="2676"/>
      <c r="H2836" s="2676"/>
      <c r="I2836" s="2677"/>
      <c r="J2836" s="3298" t="str">
        <f>$C$1607</f>
        <v>354000_2021_12_</v>
      </c>
      <c r="K2836" s="696">
        <v>869</v>
      </c>
      <c r="L2836" s="851"/>
      <c r="M2836" s="698" t="s">
        <v>1011</v>
      </c>
      <c r="N2836" s="123"/>
      <c r="O2836" s="228"/>
      <c r="P2836" s="228"/>
      <c r="Q2836" s="228"/>
      <c r="R2836" s="228"/>
      <c r="S2836" s="123"/>
      <c r="T2836" s="123"/>
      <c r="U2836" s="123"/>
      <c r="V2836" s="3990"/>
      <c r="W2836" s="2857">
        <v>869</v>
      </c>
      <c r="X2836" s="2857">
        <v>869</v>
      </c>
      <c r="Y2836" s="696">
        <v>869</v>
      </c>
      <c r="Z2836" s="696">
        <v>869</v>
      </c>
      <c r="AA2836" s="696">
        <v>869</v>
      </c>
      <c r="AB2836" s="696">
        <v>869</v>
      </c>
      <c r="AC2836" s="696">
        <v>869</v>
      </c>
      <c r="AD2836" s="2857"/>
      <c r="AE2836" s="2857"/>
      <c r="AF2836" s="2857"/>
      <c r="AG2836" s="2857"/>
      <c r="AH2836" s="1942"/>
      <c r="AI2836" s="1942"/>
      <c r="AJ2836" s="1942"/>
      <c r="AK2836" s="1942"/>
      <c r="AL2836" s="1942"/>
      <c r="AM2836" s="1942"/>
      <c r="AN2836" s="1942"/>
      <c r="AO2836" s="1942"/>
      <c r="AP2836" s="1942"/>
      <c r="AQ2836" s="1942"/>
      <c r="AR2836" s="1942"/>
      <c r="AS2836" s="1942"/>
      <c r="AT2836" s="1942"/>
      <c r="AU2836" s="1942"/>
      <c r="AV2836" s="1942"/>
      <c r="AW2836" s="1942"/>
      <c r="AX2836" s="1942"/>
      <c r="AY2836" s="1942"/>
      <c r="AZ2836" s="1942"/>
      <c r="BA2836" s="1942"/>
      <c r="BB2836" s="575"/>
      <c r="BC2836" s="576"/>
      <c r="BD2836" s="678"/>
      <c r="BE2836" s="585"/>
    </row>
    <row r="2837" spans="1:57" s="51" customFormat="1" ht="15" hidden="1" customHeight="1" outlineLevel="1" x14ac:dyDescent="0.25">
      <c r="A2837" s="1267"/>
      <c r="B2837" s="123"/>
      <c r="C2837" s="328"/>
      <c r="D2837" s="3990"/>
      <c r="E2837" s="4009"/>
      <c r="F2837" s="3010" t="str">
        <f>$E$1609</f>
        <v>ASHP-SEER19_ER2_SF</v>
      </c>
      <c r="G2837" s="2676"/>
      <c r="H2837" s="2676"/>
      <c r="I2837" s="2677"/>
      <c r="J2837" s="3298" t="str">
        <f>$C$1609</f>
        <v>354000_2021_12_</v>
      </c>
      <c r="K2837" s="696">
        <v>869</v>
      </c>
      <c r="L2837" s="851"/>
      <c r="M2837" s="698" t="s">
        <v>1011</v>
      </c>
      <c r="N2837" s="123"/>
      <c r="O2837" s="228"/>
      <c r="P2837" s="228"/>
      <c r="Q2837" s="228"/>
      <c r="R2837" s="228"/>
      <c r="S2837" s="123"/>
      <c r="T2837" s="123"/>
      <c r="U2837" s="123"/>
      <c r="V2837" s="3990"/>
      <c r="W2837" s="2857">
        <v>869</v>
      </c>
      <c r="X2837" s="2857">
        <v>869</v>
      </c>
      <c r="Y2837" s="696">
        <v>869</v>
      </c>
      <c r="Z2837" s="696">
        <v>869</v>
      </c>
      <c r="AA2837" s="696">
        <v>869</v>
      </c>
      <c r="AB2837" s="696">
        <v>869</v>
      </c>
      <c r="AC2837" s="696">
        <v>869</v>
      </c>
      <c r="AD2837" s="2857"/>
      <c r="AE2837" s="2857"/>
      <c r="AF2837" s="2857"/>
      <c r="AG2837" s="2857"/>
      <c r="AH2837" s="1942"/>
      <c r="AI2837" s="1942"/>
      <c r="AJ2837" s="1942"/>
      <c r="AK2837" s="1942"/>
      <c r="AL2837" s="1942"/>
      <c r="AM2837" s="1942"/>
      <c r="AN2837" s="1942"/>
      <c r="AO2837" s="1942"/>
      <c r="AP2837" s="1942"/>
      <c r="AQ2837" s="1942"/>
      <c r="AR2837" s="1942"/>
      <c r="AS2837" s="1942"/>
      <c r="AT2837" s="1942"/>
      <c r="AU2837" s="1942"/>
      <c r="AV2837" s="1942"/>
      <c r="AW2837" s="1942"/>
      <c r="AX2837" s="1942"/>
      <c r="AY2837" s="1942"/>
      <c r="AZ2837" s="1942"/>
      <c r="BA2837" s="1942"/>
      <c r="BB2837" s="575"/>
      <c r="BC2837" s="576"/>
      <c r="BD2837" s="678"/>
      <c r="BE2837" s="585"/>
    </row>
    <row r="2838" spans="1:57" s="51" customFormat="1" ht="15" hidden="1" customHeight="1" outlineLevel="1" x14ac:dyDescent="0.25">
      <c r="A2838" s="2060"/>
      <c r="B2838" s="123"/>
      <c r="C2838" s="328"/>
      <c r="D2838" s="3990"/>
      <c r="E2838" s="4009"/>
      <c r="F2838" s="3010" t="str">
        <f>$E$1611</f>
        <v>ASHP-SEER19_ROF_SF</v>
      </c>
      <c r="G2838" s="2676"/>
      <c r="H2838" s="2676"/>
      <c r="I2838" s="2677"/>
      <c r="J2838" s="3298" t="str">
        <f>$C$1611</f>
        <v>354050_2021_12_</v>
      </c>
      <c r="K2838" s="696">
        <v>869</v>
      </c>
      <c r="L2838" s="851"/>
      <c r="M2838" s="698" t="s">
        <v>1011</v>
      </c>
      <c r="N2838" s="123"/>
      <c r="O2838" s="228"/>
      <c r="P2838" s="844"/>
      <c r="Q2838" s="845"/>
      <c r="R2838" s="844"/>
      <c r="S2838" s="832"/>
      <c r="T2838" s="3082"/>
      <c r="U2838" s="123"/>
      <c r="V2838" s="3990"/>
      <c r="W2838" s="2857">
        <v>869</v>
      </c>
      <c r="X2838" s="2857">
        <v>869</v>
      </c>
      <c r="Y2838" s="696">
        <v>869</v>
      </c>
      <c r="Z2838" s="696">
        <v>869</v>
      </c>
      <c r="AA2838" s="696">
        <v>869</v>
      </c>
      <c r="AB2838" s="696">
        <v>869</v>
      </c>
      <c r="AC2838" s="696">
        <v>869</v>
      </c>
      <c r="AD2838" s="2857"/>
      <c r="AE2838" s="2857"/>
      <c r="AF2838" s="2857"/>
      <c r="AG2838" s="2857"/>
      <c r="AH2838" s="1942"/>
      <c r="AI2838" s="1942"/>
      <c r="AJ2838" s="1942"/>
      <c r="AK2838" s="1942"/>
      <c r="AL2838" s="1942"/>
      <c r="AM2838" s="1942"/>
      <c r="AN2838" s="1942"/>
      <c r="AO2838" s="1942"/>
      <c r="AP2838" s="1942"/>
      <c r="AQ2838" s="1942"/>
      <c r="AR2838" s="1942"/>
      <c r="AS2838" s="1942"/>
      <c r="AT2838" s="1942"/>
      <c r="AU2838" s="1942"/>
      <c r="AV2838" s="1942"/>
      <c r="AW2838" s="1942"/>
      <c r="AX2838" s="1942"/>
      <c r="AY2838" s="1942"/>
      <c r="AZ2838" s="1942"/>
      <c r="BA2838" s="1942"/>
      <c r="BB2838" s="575"/>
      <c r="BC2838" s="576"/>
      <c r="BD2838" s="678"/>
      <c r="BE2838" s="585"/>
    </row>
    <row r="2839" spans="1:57" s="51" customFormat="1" ht="15" hidden="1" customHeight="1" outlineLevel="1" x14ac:dyDescent="0.25">
      <c r="A2839" s="2060"/>
      <c r="B2839" s="123"/>
      <c r="C2839" s="328"/>
      <c r="D2839" s="3990"/>
      <c r="E2839" s="4009"/>
      <c r="F2839" s="3010" t="str">
        <f>$E$1613</f>
        <v>ASHP-SEER17-Replace_CAC_ElectricHeat_ER1_SF</v>
      </c>
      <c r="G2839" s="2676"/>
      <c r="H2839" s="2676"/>
      <c r="I2839" s="2677"/>
      <c r="J2839" s="3298" t="str">
        <f>$C$1613</f>
        <v>354100_2021_12_</v>
      </c>
      <c r="K2839" s="696">
        <v>869</v>
      </c>
      <c r="L2839" s="851"/>
      <c r="M2839" s="3252" t="s">
        <v>1011</v>
      </c>
      <c r="N2839" s="123"/>
      <c r="O2839" s="228"/>
      <c r="P2839" s="844"/>
      <c r="Q2839" s="845"/>
      <c r="R2839" s="844"/>
      <c r="S2839" s="832"/>
      <c r="T2839" s="3082"/>
      <c r="U2839" s="123"/>
      <c r="V2839" s="3990"/>
      <c r="W2839" s="2857">
        <v>869</v>
      </c>
      <c r="X2839" s="2857">
        <v>869</v>
      </c>
      <c r="Y2839" s="696">
        <v>869</v>
      </c>
      <c r="Z2839" s="696">
        <v>869</v>
      </c>
      <c r="AA2839" s="696">
        <v>869</v>
      </c>
      <c r="AB2839" s="696">
        <v>869</v>
      </c>
      <c r="AC2839" s="696">
        <v>869</v>
      </c>
      <c r="AD2839" s="2857"/>
      <c r="AE2839" s="2857"/>
      <c r="AF2839" s="2857"/>
      <c r="AG2839" s="2857"/>
      <c r="AH2839" s="1942"/>
      <c r="AI2839" s="1942"/>
      <c r="AJ2839" s="1942"/>
      <c r="AK2839" s="1942"/>
      <c r="AL2839" s="1942"/>
      <c r="AM2839" s="1942"/>
      <c r="AN2839" s="1942"/>
      <c r="AO2839" s="1942"/>
      <c r="AP2839" s="1942"/>
      <c r="AQ2839" s="1942"/>
      <c r="AR2839" s="1942"/>
      <c r="AS2839" s="1942"/>
      <c r="AT2839" s="1942"/>
      <c r="AU2839" s="1942"/>
      <c r="AV2839" s="1942"/>
      <c r="AW2839" s="1942"/>
      <c r="AX2839" s="1942"/>
      <c r="AY2839" s="1942"/>
      <c r="AZ2839" s="1942"/>
      <c r="BA2839" s="1942"/>
      <c r="BB2839" s="575"/>
      <c r="BC2839" s="576"/>
      <c r="BD2839" s="678"/>
      <c r="BE2839" s="585"/>
    </row>
    <row r="2840" spans="1:57" s="51" customFormat="1" ht="15" hidden="1" customHeight="1" outlineLevel="1" x14ac:dyDescent="0.25">
      <c r="A2840" s="2060"/>
      <c r="B2840" s="123"/>
      <c r="C2840" s="328"/>
      <c r="D2840" s="3990"/>
      <c r="E2840" s="4009"/>
      <c r="F2840" s="3010" t="str">
        <f>$E$1615</f>
        <v>ASHP-SEER17-Replace_CAC_ElectricHeat_ER2_SF</v>
      </c>
      <c r="G2840" s="2676"/>
      <c r="H2840" s="2676"/>
      <c r="I2840" s="2677"/>
      <c r="J2840" s="3298" t="str">
        <f>$C$1615</f>
        <v>354100_2021_12_</v>
      </c>
      <c r="K2840" s="696">
        <v>869</v>
      </c>
      <c r="L2840" s="851"/>
      <c r="M2840" s="3252" t="s">
        <v>1011</v>
      </c>
      <c r="N2840" s="123"/>
      <c r="O2840" s="228"/>
      <c r="P2840" s="844"/>
      <c r="Q2840" s="845"/>
      <c r="R2840" s="844"/>
      <c r="S2840" s="832"/>
      <c r="T2840" s="3082"/>
      <c r="U2840" s="123"/>
      <c r="V2840" s="3990"/>
      <c r="W2840" s="2857">
        <v>869</v>
      </c>
      <c r="X2840" s="2857">
        <v>869</v>
      </c>
      <c r="Y2840" s="696">
        <v>869</v>
      </c>
      <c r="Z2840" s="696">
        <v>869</v>
      </c>
      <c r="AA2840" s="696">
        <v>869</v>
      </c>
      <c r="AB2840" s="696">
        <v>869</v>
      </c>
      <c r="AC2840" s="696">
        <v>869</v>
      </c>
      <c r="AD2840" s="2857"/>
      <c r="AE2840" s="2857"/>
      <c r="AF2840" s="2857"/>
      <c r="AG2840" s="2857"/>
      <c r="AH2840" s="1942"/>
      <c r="AI2840" s="1942"/>
      <c r="AJ2840" s="1942"/>
      <c r="AK2840" s="1942"/>
      <c r="AL2840" s="1942"/>
      <c r="AM2840" s="1942"/>
      <c r="AN2840" s="1942"/>
      <c r="AO2840" s="1942"/>
      <c r="AP2840" s="1942"/>
      <c r="AQ2840" s="1942"/>
      <c r="AR2840" s="1942"/>
      <c r="AS2840" s="1942"/>
      <c r="AT2840" s="1942"/>
      <c r="AU2840" s="1942"/>
      <c r="AV2840" s="1942"/>
      <c r="AW2840" s="1942"/>
      <c r="AX2840" s="1942"/>
      <c r="AY2840" s="1942"/>
      <c r="AZ2840" s="1942"/>
      <c r="BA2840" s="1942"/>
      <c r="BB2840" s="575"/>
      <c r="BC2840" s="576"/>
      <c r="BD2840" s="678"/>
      <c r="BE2840" s="585"/>
    </row>
    <row r="2841" spans="1:57" s="1942" customFormat="1" ht="15" hidden="1" customHeight="1" outlineLevel="1" x14ac:dyDescent="0.25">
      <c r="A2841" s="2060"/>
      <c r="B2841" s="123"/>
      <c r="C2841" s="328"/>
      <c r="D2841" s="3990"/>
      <c r="E2841" s="4009"/>
      <c r="F2841" s="3010" t="str">
        <f>$E$1617</f>
        <v>ASHP-SEER17-Replace_CAC_NonElectricHeat_ER1_SF</v>
      </c>
      <c r="G2841" s="2676"/>
      <c r="H2841" s="2676"/>
      <c r="I2841" s="2677"/>
      <c r="J2841" s="3298" t="str">
        <f>$C$1617</f>
        <v>354110_2021_12_</v>
      </c>
      <c r="K2841" s="3158">
        <v>869</v>
      </c>
      <c r="L2841" s="851"/>
      <c r="M2841" s="3252" t="s">
        <v>1011</v>
      </c>
      <c r="N2841" s="123"/>
      <c r="O2841" s="228"/>
      <c r="P2841" s="844"/>
      <c r="Q2841" s="845"/>
      <c r="R2841" s="844"/>
      <c r="S2841" s="832"/>
      <c r="T2841" s="3082"/>
      <c r="U2841" s="123"/>
      <c r="V2841" s="3990"/>
      <c r="W2841" s="2857"/>
      <c r="X2841" s="2857"/>
      <c r="Y2841" s="696"/>
      <c r="Z2841" s="696"/>
      <c r="AA2841" s="696"/>
      <c r="AB2841" s="696"/>
      <c r="AC2841" s="3158">
        <v>869</v>
      </c>
      <c r="AD2841" s="2857"/>
      <c r="AE2841" s="2857"/>
      <c r="AF2841" s="2857"/>
      <c r="AG2841" s="2857"/>
      <c r="BB2841" s="575"/>
      <c r="BC2841" s="576"/>
      <c r="BD2841" s="678"/>
      <c r="BE2841" s="585"/>
    </row>
    <row r="2842" spans="1:57" s="1942" customFormat="1" ht="15" hidden="1" customHeight="1" outlineLevel="1" x14ac:dyDescent="0.25">
      <c r="A2842" s="2060"/>
      <c r="B2842" s="123"/>
      <c r="C2842" s="328"/>
      <c r="D2842" s="3990"/>
      <c r="E2842" s="4009"/>
      <c r="F2842" s="3010" t="str">
        <f>$E$1619</f>
        <v>ASHP-SEER17-Replace_CAC_NonElectricHeat_ER2_SF</v>
      </c>
      <c r="G2842" s="2676"/>
      <c r="H2842" s="2676"/>
      <c r="I2842" s="2677"/>
      <c r="J2842" s="3298" t="str">
        <f>$C$1619</f>
        <v>354110_2021_12_</v>
      </c>
      <c r="K2842" s="3158">
        <v>869</v>
      </c>
      <c r="L2842" s="851"/>
      <c r="M2842" s="3252" t="s">
        <v>1011</v>
      </c>
      <c r="N2842" s="123"/>
      <c r="O2842" s="228"/>
      <c r="P2842" s="844"/>
      <c r="Q2842" s="845"/>
      <c r="R2842" s="844"/>
      <c r="S2842" s="832"/>
      <c r="T2842" s="3082"/>
      <c r="U2842" s="123"/>
      <c r="V2842" s="3990"/>
      <c r="W2842" s="2857"/>
      <c r="X2842" s="2857"/>
      <c r="Y2842" s="696"/>
      <c r="Z2842" s="696"/>
      <c r="AA2842" s="696"/>
      <c r="AB2842" s="696"/>
      <c r="AC2842" s="3158">
        <v>869</v>
      </c>
      <c r="AD2842" s="2857"/>
      <c r="AE2842" s="2857"/>
      <c r="AF2842" s="2857"/>
      <c r="AG2842" s="2857"/>
      <c r="BB2842" s="575"/>
      <c r="BC2842" s="576"/>
      <c r="BD2842" s="678"/>
      <c r="BE2842" s="585"/>
    </row>
    <row r="2843" spans="1:57" s="51" customFormat="1" ht="15" hidden="1" customHeight="1" outlineLevel="1" x14ac:dyDescent="0.25">
      <c r="A2843" s="2060"/>
      <c r="B2843" s="123"/>
      <c r="C2843" s="328"/>
      <c r="D2843" s="3990"/>
      <c r="E2843" s="4009"/>
      <c r="F2843" s="3010" t="str">
        <f>$E$1621</f>
        <v>ASHP-SEER17-Replace_CAC_ElectricHeat_ER1_MF</v>
      </c>
      <c r="G2843" s="2676"/>
      <c r="H2843" s="2676"/>
      <c r="I2843" s="2677"/>
      <c r="J2843" s="3299" t="str">
        <f>$C$1621</f>
        <v>354150_2019_12_</v>
      </c>
      <c r="K2843" s="696">
        <v>869</v>
      </c>
      <c r="L2843" s="851"/>
      <c r="M2843" s="3252" t="s">
        <v>1011</v>
      </c>
      <c r="N2843" s="123"/>
      <c r="O2843" s="228"/>
      <c r="P2843" s="844"/>
      <c r="Q2843" s="845"/>
      <c r="R2843" s="844"/>
      <c r="S2843" s="832"/>
      <c r="T2843" s="3082"/>
      <c r="U2843" s="123"/>
      <c r="V2843" s="3990"/>
      <c r="W2843" s="2857">
        <v>869</v>
      </c>
      <c r="X2843" s="2857">
        <v>869</v>
      </c>
      <c r="Y2843" s="696">
        <v>869</v>
      </c>
      <c r="Z2843" s="696">
        <v>869</v>
      </c>
      <c r="AA2843" s="696">
        <v>869</v>
      </c>
      <c r="AB2843" s="696">
        <v>869</v>
      </c>
      <c r="AC2843" s="696">
        <v>869</v>
      </c>
      <c r="AD2843" s="2857"/>
      <c r="AE2843" s="2857"/>
      <c r="AF2843" s="2857"/>
      <c r="AG2843" s="2857"/>
      <c r="AH2843" s="1942"/>
      <c r="AI2843" s="1942"/>
      <c r="AJ2843" s="1942"/>
      <c r="AK2843" s="1942"/>
      <c r="AL2843" s="1942"/>
      <c r="AM2843" s="1942"/>
      <c r="AN2843" s="1942"/>
      <c r="AO2843" s="1942"/>
      <c r="AP2843" s="1942"/>
      <c r="AQ2843" s="1942"/>
      <c r="AR2843" s="1942"/>
      <c r="AS2843" s="1942"/>
      <c r="AT2843" s="1942"/>
      <c r="AU2843" s="1942"/>
      <c r="AV2843" s="1942"/>
      <c r="AW2843" s="1942"/>
      <c r="AX2843" s="1942"/>
      <c r="AY2843" s="1942"/>
      <c r="AZ2843" s="1942"/>
      <c r="BA2843" s="1942"/>
      <c r="BB2843" s="575"/>
      <c r="BC2843" s="576"/>
      <c r="BD2843" s="678"/>
      <c r="BE2843" s="585"/>
    </row>
    <row r="2844" spans="1:57" s="51" customFormat="1" ht="15" hidden="1" customHeight="1" outlineLevel="1" x14ac:dyDescent="0.25">
      <c r="A2844" s="2060"/>
      <c r="B2844" s="123"/>
      <c r="C2844" s="328"/>
      <c r="D2844" s="3990"/>
      <c r="E2844" s="4009"/>
      <c r="F2844" s="3010" t="str">
        <f>$E$1623</f>
        <v>ASHP-SEER17-Replace_CAC_ElectricHeat_ER2_MF</v>
      </c>
      <c r="G2844" s="2676"/>
      <c r="H2844" s="2676"/>
      <c r="I2844" s="2677"/>
      <c r="J2844" s="3299" t="str">
        <f>$C$1623</f>
        <v>354150_2019_12_</v>
      </c>
      <c r="K2844" s="696">
        <v>869</v>
      </c>
      <c r="L2844" s="851"/>
      <c r="M2844" s="3252" t="s">
        <v>1011</v>
      </c>
      <c r="N2844" s="123"/>
      <c r="O2844" s="228"/>
      <c r="P2844" s="844"/>
      <c r="Q2844" s="845"/>
      <c r="R2844" s="844"/>
      <c r="S2844" s="832"/>
      <c r="T2844" s="3082"/>
      <c r="U2844" s="123"/>
      <c r="V2844" s="3990"/>
      <c r="W2844" s="2857">
        <v>869</v>
      </c>
      <c r="X2844" s="2857">
        <v>869</v>
      </c>
      <c r="Y2844" s="696">
        <v>869</v>
      </c>
      <c r="Z2844" s="696">
        <v>869</v>
      </c>
      <c r="AA2844" s="696">
        <v>869</v>
      </c>
      <c r="AB2844" s="696">
        <v>869</v>
      </c>
      <c r="AC2844" s="696">
        <v>869</v>
      </c>
      <c r="AD2844" s="2857"/>
      <c r="AE2844" s="2857"/>
      <c r="AF2844" s="2857"/>
      <c r="AG2844" s="2857"/>
      <c r="AH2844" s="1942"/>
      <c r="AI2844" s="1942"/>
      <c r="AJ2844" s="1942"/>
      <c r="AK2844" s="1942"/>
      <c r="AL2844" s="1942"/>
      <c r="AM2844" s="1942"/>
      <c r="AN2844" s="1942"/>
      <c r="AO2844" s="1942"/>
      <c r="AP2844" s="1942"/>
      <c r="AQ2844" s="1942"/>
      <c r="AR2844" s="1942"/>
      <c r="AS2844" s="1942"/>
      <c r="AT2844" s="1942"/>
      <c r="AU2844" s="1942"/>
      <c r="AV2844" s="1942"/>
      <c r="AW2844" s="1942"/>
      <c r="AX2844" s="1942"/>
      <c r="AY2844" s="1942"/>
      <c r="AZ2844" s="1942"/>
      <c r="BA2844" s="1942"/>
      <c r="BB2844" s="575"/>
      <c r="BC2844" s="576"/>
      <c r="BD2844" s="678"/>
      <c r="BE2844" s="585"/>
    </row>
    <row r="2845" spans="1:57" s="51" customFormat="1" ht="15" hidden="1" customHeight="1" outlineLevel="1" x14ac:dyDescent="0.25">
      <c r="A2845" s="2060"/>
      <c r="B2845" s="123"/>
      <c r="C2845" s="328"/>
      <c r="D2845" s="3990"/>
      <c r="E2845" s="4009"/>
      <c r="F2845" s="3010" t="str">
        <f>$E$1625</f>
        <v>ASHP-SEER17-Replace_CAC_ElectricHeat_ER1_MF_CompE</v>
      </c>
      <c r="G2845" s="2676"/>
      <c r="H2845" s="2676"/>
      <c r="I2845" s="2677"/>
      <c r="J2845" s="3299" t="str">
        <f>$C$1625</f>
        <v>354151_2019_12_</v>
      </c>
      <c r="K2845" s="696">
        <f>$K$2755</f>
        <v>632</v>
      </c>
      <c r="L2845" s="851"/>
      <c r="M2845" s="786" t="s">
        <v>528</v>
      </c>
      <c r="N2845" s="123"/>
      <c r="O2845" s="228"/>
      <c r="P2845" s="844"/>
      <c r="Q2845" s="845"/>
      <c r="R2845" s="844"/>
      <c r="S2845" s="832"/>
      <c r="T2845" s="3082"/>
      <c r="U2845" s="123"/>
      <c r="V2845" s="3990"/>
      <c r="W2845" s="2857"/>
      <c r="X2845" s="2857"/>
      <c r="Y2845" s="3158">
        <f>$K$2755</f>
        <v>632</v>
      </c>
      <c r="Z2845" s="696">
        <f t="shared" ref="Z2845:AA2846" si="217">$K$2755</f>
        <v>632</v>
      </c>
      <c r="AA2845" s="696">
        <f t="shared" si="217"/>
        <v>632</v>
      </c>
      <c r="AB2845" s="696">
        <v>632</v>
      </c>
      <c r="AC2845" s="696">
        <f>$K$2755</f>
        <v>632</v>
      </c>
      <c r="AD2845" s="2857"/>
      <c r="AE2845" s="2857"/>
      <c r="AF2845" s="2857"/>
      <c r="AG2845" s="2857"/>
      <c r="AH2845" s="1942"/>
      <c r="AI2845" s="1942"/>
      <c r="AJ2845" s="1942"/>
      <c r="AK2845" s="1942"/>
      <c r="AL2845" s="1942"/>
      <c r="AM2845" s="1942"/>
      <c r="AN2845" s="1942"/>
      <c r="AO2845" s="1942"/>
      <c r="AP2845" s="1942"/>
      <c r="AQ2845" s="1942"/>
      <c r="AR2845" s="1942"/>
      <c r="AS2845" s="1942"/>
      <c r="AT2845" s="1942"/>
      <c r="AU2845" s="1942"/>
      <c r="AV2845" s="1942"/>
      <c r="AW2845" s="1942"/>
      <c r="AX2845" s="1942"/>
      <c r="AY2845" s="1942"/>
      <c r="AZ2845" s="1942"/>
      <c r="BA2845" s="1942"/>
      <c r="BB2845" s="575"/>
      <c r="BC2845" s="576"/>
      <c r="BD2845" s="678"/>
      <c r="BE2845" s="585"/>
    </row>
    <row r="2846" spans="1:57" s="51" customFormat="1" ht="15" hidden="1" customHeight="1" outlineLevel="1" x14ac:dyDescent="0.25">
      <c r="A2846" s="2060"/>
      <c r="B2846" s="123"/>
      <c r="C2846" s="328"/>
      <c r="D2846" s="3990"/>
      <c r="E2846" s="4009"/>
      <c r="F2846" s="3010" t="str">
        <f>$E$1627</f>
        <v>ASHP-SEER17-Replace_CAC_ElectricHeat_ER2_MF_CompE</v>
      </c>
      <c r="G2846" s="2676"/>
      <c r="H2846" s="2676"/>
      <c r="I2846" s="2677"/>
      <c r="J2846" s="3299" t="str">
        <f>$C$1627</f>
        <v>354151_2019_12_</v>
      </c>
      <c r="K2846" s="696">
        <f>$K$2755</f>
        <v>632</v>
      </c>
      <c r="L2846" s="851"/>
      <c r="M2846" s="786" t="s">
        <v>528</v>
      </c>
      <c r="N2846" s="123"/>
      <c r="O2846" s="228"/>
      <c r="P2846" s="844"/>
      <c r="Q2846" s="845"/>
      <c r="R2846" s="844"/>
      <c r="S2846" s="832"/>
      <c r="T2846" s="3082"/>
      <c r="U2846" s="123"/>
      <c r="V2846" s="3990"/>
      <c r="W2846" s="2857"/>
      <c r="X2846" s="2857"/>
      <c r="Y2846" s="3158">
        <f>$K$2755</f>
        <v>632</v>
      </c>
      <c r="Z2846" s="696">
        <f t="shared" si="217"/>
        <v>632</v>
      </c>
      <c r="AA2846" s="696">
        <f t="shared" si="217"/>
        <v>632</v>
      </c>
      <c r="AB2846" s="696">
        <v>632</v>
      </c>
      <c r="AC2846" s="696">
        <f>$K$2755</f>
        <v>632</v>
      </c>
      <c r="AD2846" s="2857"/>
      <c r="AE2846" s="2857"/>
      <c r="AF2846" s="2857"/>
      <c r="AG2846" s="2857"/>
      <c r="AH2846" s="1942"/>
      <c r="AI2846" s="1942"/>
      <c r="AJ2846" s="1942"/>
      <c r="AK2846" s="1942"/>
      <c r="AL2846" s="1942"/>
      <c r="AM2846" s="1942"/>
      <c r="AN2846" s="1942"/>
      <c r="AO2846" s="1942"/>
      <c r="AP2846" s="1942"/>
      <c r="AQ2846" s="1942"/>
      <c r="AR2846" s="1942"/>
      <c r="AS2846" s="1942"/>
      <c r="AT2846" s="1942"/>
      <c r="AU2846" s="1942"/>
      <c r="AV2846" s="1942"/>
      <c r="AW2846" s="1942"/>
      <c r="AX2846" s="1942"/>
      <c r="AY2846" s="1942"/>
      <c r="AZ2846" s="1942"/>
      <c r="BA2846" s="1942"/>
      <c r="BB2846" s="575"/>
      <c r="BC2846" s="576"/>
      <c r="BD2846" s="678"/>
      <c r="BE2846" s="585"/>
    </row>
    <row r="2847" spans="1:57" s="1942" customFormat="1" ht="15" hidden="1" customHeight="1" outlineLevel="1" x14ac:dyDescent="0.25">
      <c r="A2847" s="2060"/>
      <c r="B2847" s="123"/>
      <c r="C2847" s="328"/>
      <c r="D2847" s="3990"/>
      <c r="E2847" s="4009"/>
      <c r="F2847" s="3010" t="str">
        <f>$E$1629</f>
        <v>ASHP-SEER17-Replace_CAC_NonElectricHeat_ER1_MF</v>
      </c>
      <c r="G2847" s="2676"/>
      <c r="H2847" s="2676"/>
      <c r="I2847" s="2677"/>
      <c r="J2847" s="3298" t="str">
        <f>$C$1629</f>
        <v>354160_2021_12_</v>
      </c>
      <c r="K2847" s="3158">
        <v>869</v>
      </c>
      <c r="L2847" s="851"/>
      <c r="M2847" s="3252" t="s">
        <v>1011</v>
      </c>
      <c r="N2847" s="123"/>
      <c r="O2847" s="228"/>
      <c r="P2847" s="844"/>
      <c r="Q2847" s="845"/>
      <c r="R2847" s="844"/>
      <c r="S2847" s="832"/>
      <c r="T2847" s="3082"/>
      <c r="U2847" s="123"/>
      <c r="V2847" s="3990"/>
      <c r="W2847" s="2857"/>
      <c r="X2847" s="2857"/>
      <c r="Y2847" s="3158"/>
      <c r="Z2847" s="696"/>
      <c r="AA2847" s="696"/>
      <c r="AB2847" s="696"/>
      <c r="AC2847" s="3158">
        <v>869</v>
      </c>
      <c r="AD2847" s="2857"/>
      <c r="AE2847" s="2857"/>
      <c r="AF2847" s="2857"/>
      <c r="AG2847" s="2857"/>
      <c r="BB2847" s="575"/>
      <c r="BC2847" s="576"/>
      <c r="BD2847" s="678"/>
      <c r="BE2847" s="585"/>
    </row>
    <row r="2848" spans="1:57" s="1942" customFormat="1" ht="15" hidden="1" customHeight="1" outlineLevel="1" x14ac:dyDescent="0.25">
      <c r="A2848" s="2060"/>
      <c r="B2848" s="123"/>
      <c r="C2848" s="328"/>
      <c r="D2848" s="3990"/>
      <c r="E2848" s="4009"/>
      <c r="F2848" s="3010" t="str">
        <f>$E$1631</f>
        <v>ASHP-SEER17-Replace_CAC_NonElectricHeat_ER2_MF</v>
      </c>
      <c r="G2848" s="2676"/>
      <c r="H2848" s="2676"/>
      <c r="I2848" s="2677"/>
      <c r="J2848" s="3298" t="str">
        <f>$C$1631</f>
        <v>354160_2021_12_</v>
      </c>
      <c r="K2848" s="3158">
        <v>869</v>
      </c>
      <c r="L2848" s="851"/>
      <c r="M2848" s="3252" t="s">
        <v>1011</v>
      </c>
      <c r="N2848" s="123"/>
      <c r="O2848" s="228"/>
      <c r="P2848" s="844"/>
      <c r="Q2848" s="845"/>
      <c r="R2848" s="844"/>
      <c r="S2848" s="832"/>
      <c r="T2848" s="3082"/>
      <c r="U2848" s="123"/>
      <c r="V2848" s="3990"/>
      <c r="W2848" s="2857"/>
      <c r="X2848" s="2857"/>
      <c r="Y2848" s="3158"/>
      <c r="Z2848" s="696"/>
      <c r="AA2848" s="696"/>
      <c r="AB2848" s="696"/>
      <c r="AC2848" s="3158">
        <v>869</v>
      </c>
      <c r="AD2848" s="2857"/>
      <c r="AE2848" s="2857"/>
      <c r="AF2848" s="2857"/>
      <c r="AG2848" s="2857"/>
      <c r="BB2848" s="575"/>
      <c r="BC2848" s="576"/>
      <c r="BD2848" s="678"/>
      <c r="BE2848" s="585"/>
    </row>
    <row r="2849" spans="1:57" s="1942" customFormat="1" ht="15" hidden="1" customHeight="1" outlineLevel="1" x14ac:dyDescent="0.25">
      <c r="A2849" s="2060"/>
      <c r="B2849" s="123"/>
      <c r="C2849" s="328"/>
      <c r="D2849" s="3990"/>
      <c r="E2849" s="4009"/>
      <c r="F2849" s="3010" t="str">
        <f>$E$1633</f>
        <v>ASHP-SEER17-Replace_CAC_NonElectricHeat_ER1_MF_CompE</v>
      </c>
      <c r="G2849" s="2676"/>
      <c r="H2849" s="2676"/>
      <c r="I2849" s="2677"/>
      <c r="J2849" s="3298" t="str">
        <f>$C$1633</f>
        <v>354161_2021_12_</v>
      </c>
      <c r="K2849" s="3158">
        <f>$K$2755</f>
        <v>632</v>
      </c>
      <c r="L2849" s="851"/>
      <c r="M2849" s="3253" t="s">
        <v>528</v>
      </c>
      <c r="N2849" s="123"/>
      <c r="O2849" s="228"/>
      <c r="P2849" s="844"/>
      <c r="Q2849" s="845"/>
      <c r="R2849" s="844"/>
      <c r="S2849" s="832"/>
      <c r="T2849" s="3082"/>
      <c r="U2849" s="123"/>
      <c r="V2849" s="3990"/>
      <c r="W2849" s="2857"/>
      <c r="X2849" s="2857"/>
      <c r="Y2849" s="3158"/>
      <c r="Z2849" s="696"/>
      <c r="AA2849" s="696"/>
      <c r="AB2849" s="696"/>
      <c r="AC2849" s="3158">
        <f>$K$2755</f>
        <v>632</v>
      </c>
      <c r="AD2849" s="2857"/>
      <c r="AE2849" s="2857"/>
      <c r="AF2849" s="2857"/>
      <c r="AG2849" s="2857"/>
      <c r="BB2849" s="575"/>
      <c r="BC2849" s="576"/>
      <c r="BD2849" s="678"/>
      <c r="BE2849" s="585"/>
    </row>
    <row r="2850" spans="1:57" s="1942" customFormat="1" ht="15" hidden="1" customHeight="1" outlineLevel="1" x14ac:dyDescent="0.25">
      <c r="A2850" s="2060"/>
      <c r="B2850" s="123"/>
      <c r="C2850" s="328"/>
      <c r="D2850" s="3990"/>
      <c r="E2850" s="4009"/>
      <c r="F2850" s="3010" t="str">
        <f>$E$1635</f>
        <v>ASHP-SEER17-Replace_CAC_NonElectricHeat_ER2_MF_CompE</v>
      </c>
      <c r="G2850" s="2676"/>
      <c r="H2850" s="2676"/>
      <c r="I2850" s="2677"/>
      <c r="J2850" s="3298" t="str">
        <f>$C$1635</f>
        <v>354161_2021_12_</v>
      </c>
      <c r="K2850" s="3158">
        <f>$K$2755</f>
        <v>632</v>
      </c>
      <c r="L2850" s="851"/>
      <c r="M2850" s="3253" t="s">
        <v>528</v>
      </c>
      <c r="N2850" s="123"/>
      <c r="O2850" s="228"/>
      <c r="P2850" s="844"/>
      <c r="Q2850" s="845"/>
      <c r="R2850" s="844"/>
      <c r="S2850" s="832"/>
      <c r="T2850" s="3082"/>
      <c r="U2850" s="123"/>
      <c r="V2850" s="3990"/>
      <c r="W2850" s="2857"/>
      <c r="X2850" s="2857"/>
      <c r="Y2850" s="3158"/>
      <c r="Z2850" s="696"/>
      <c r="AA2850" s="696"/>
      <c r="AB2850" s="696"/>
      <c r="AC2850" s="3158">
        <f>$K$2755</f>
        <v>632</v>
      </c>
      <c r="AD2850" s="2857"/>
      <c r="AE2850" s="2857"/>
      <c r="AF2850" s="2857"/>
      <c r="AG2850" s="2857"/>
      <c r="BB2850" s="575"/>
      <c r="BC2850" s="576"/>
      <c r="BD2850" s="678"/>
      <c r="BE2850" s="585"/>
    </row>
    <row r="2851" spans="1:57" s="51" customFormat="1" ht="15" hidden="1" customHeight="1" outlineLevel="1" x14ac:dyDescent="0.25">
      <c r="A2851" s="2060"/>
      <c r="B2851" s="123"/>
      <c r="C2851" s="328"/>
      <c r="D2851" s="3990"/>
      <c r="E2851" s="4009"/>
      <c r="F2851" s="3010" t="str">
        <f>$E$1637</f>
        <v>ASHP-SEER17_ER1_MF</v>
      </c>
      <c r="G2851" s="2676"/>
      <c r="H2851" s="2676"/>
      <c r="I2851" s="2677"/>
      <c r="J2851" s="3299" t="str">
        <f>$C$1637</f>
        <v>354200_2019_12_</v>
      </c>
      <c r="K2851" s="696">
        <v>869</v>
      </c>
      <c r="L2851" s="851"/>
      <c r="M2851" s="3252" t="s">
        <v>1011</v>
      </c>
      <c r="N2851" s="123"/>
      <c r="O2851" s="228"/>
      <c r="P2851" s="844"/>
      <c r="Q2851" s="845"/>
      <c r="R2851" s="844"/>
      <c r="S2851" s="832"/>
      <c r="T2851" s="3082"/>
      <c r="U2851" s="123"/>
      <c r="V2851" s="3990"/>
      <c r="W2851" s="2857">
        <v>869</v>
      </c>
      <c r="X2851" s="2857">
        <v>869</v>
      </c>
      <c r="Y2851" s="696">
        <v>869</v>
      </c>
      <c r="Z2851" s="696">
        <v>869</v>
      </c>
      <c r="AA2851" s="696">
        <v>869</v>
      </c>
      <c r="AB2851" s="696">
        <v>869</v>
      </c>
      <c r="AC2851" s="696">
        <v>869</v>
      </c>
      <c r="AD2851" s="2857"/>
      <c r="AE2851" s="2857"/>
      <c r="AF2851" s="2857"/>
      <c r="AG2851" s="2857"/>
      <c r="AH2851" s="1942"/>
      <c r="AI2851" s="1942"/>
      <c r="AJ2851" s="1942"/>
      <c r="AK2851" s="1942"/>
      <c r="AL2851" s="1942"/>
      <c r="AM2851" s="1942"/>
      <c r="AN2851" s="1942"/>
      <c r="AO2851" s="1942"/>
      <c r="AP2851" s="1942"/>
      <c r="AQ2851" s="1942"/>
      <c r="AR2851" s="1942"/>
      <c r="AS2851" s="1942"/>
      <c r="AT2851" s="1942"/>
      <c r="AU2851" s="1942"/>
      <c r="AV2851" s="1942"/>
      <c r="AW2851" s="1942"/>
      <c r="AX2851" s="1942"/>
      <c r="AY2851" s="1942"/>
      <c r="AZ2851" s="1942"/>
      <c r="BA2851" s="1942"/>
      <c r="BB2851" s="575"/>
      <c r="BC2851" s="576"/>
      <c r="BD2851" s="678"/>
      <c r="BE2851" s="585"/>
    </row>
    <row r="2852" spans="1:57" s="51" customFormat="1" ht="15" hidden="1" customHeight="1" outlineLevel="1" x14ac:dyDescent="0.25">
      <c r="A2852" s="2060"/>
      <c r="B2852" s="123"/>
      <c r="C2852" s="328"/>
      <c r="D2852" s="3990"/>
      <c r="E2852" s="4009"/>
      <c r="F2852" s="3010" t="str">
        <f>$E$1639</f>
        <v>ASHP-SEER17_ER2_MF</v>
      </c>
      <c r="G2852" s="2676"/>
      <c r="H2852" s="2676"/>
      <c r="I2852" s="2677"/>
      <c r="J2852" s="3299" t="str">
        <f>$C$1639</f>
        <v>354200_2019_12_</v>
      </c>
      <c r="K2852" s="696">
        <v>869</v>
      </c>
      <c r="L2852" s="851"/>
      <c r="M2852" s="3252" t="s">
        <v>1011</v>
      </c>
      <c r="N2852" s="123"/>
      <c r="O2852" s="228"/>
      <c r="P2852" s="844"/>
      <c r="Q2852" s="845"/>
      <c r="R2852" s="844"/>
      <c r="S2852" s="832"/>
      <c r="T2852" s="3082"/>
      <c r="U2852" s="123"/>
      <c r="V2852" s="3990"/>
      <c r="W2852" s="2857">
        <v>869</v>
      </c>
      <c r="X2852" s="2857">
        <v>869</v>
      </c>
      <c r="Y2852" s="696">
        <v>869</v>
      </c>
      <c r="Z2852" s="696">
        <v>869</v>
      </c>
      <c r="AA2852" s="696">
        <v>869</v>
      </c>
      <c r="AB2852" s="696">
        <v>869</v>
      </c>
      <c r="AC2852" s="696">
        <v>869</v>
      </c>
      <c r="AD2852" s="2857"/>
      <c r="AE2852" s="2857"/>
      <c r="AF2852" s="2857"/>
      <c r="AG2852" s="2857"/>
      <c r="AH2852" s="1942"/>
      <c r="AI2852" s="1942"/>
      <c r="AJ2852" s="1942"/>
      <c r="AK2852" s="1942"/>
      <c r="AL2852" s="1942"/>
      <c r="AM2852" s="1942"/>
      <c r="AN2852" s="1942"/>
      <c r="AO2852" s="1942"/>
      <c r="AP2852" s="1942"/>
      <c r="AQ2852" s="1942"/>
      <c r="AR2852" s="1942"/>
      <c r="AS2852" s="1942"/>
      <c r="AT2852" s="1942"/>
      <c r="AU2852" s="1942"/>
      <c r="AV2852" s="1942"/>
      <c r="AW2852" s="1942"/>
      <c r="AX2852" s="1942"/>
      <c r="AY2852" s="1942"/>
      <c r="AZ2852" s="1942"/>
      <c r="BA2852" s="1942"/>
      <c r="BB2852" s="575"/>
      <c r="BC2852" s="576"/>
      <c r="BD2852" s="678"/>
      <c r="BE2852" s="585"/>
    </row>
    <row r="2853" spans="1:57" s="51" customFormat="1" ht="15" hidden="1" customHeight="1" outlineLevel="1" x14ac:dyDescent="0.25">
      <c r="A2853" s="2060"/>
      <c r="B2853" s="123"/>
      <c r="C2853" s="328"/>
      <c r="D2853" s="3990"/>
      <c r="E2853" s="4009"/>
      <c r="F2853" s="3010" t="str">
        <f>$E$1641</f>
        <v>ASHP-SEER17_ER1_MF_CompE</v>
      </c>
      <c r="G2853" s="2676"/>
      <c r="H2853" s="2676"/>
      <c r="I2853" s="2677"/>
      <c r="J2853" s="3299" t="str">
        <f>$C$1641</f>
        <v>354201_2019_12_</v>
      </c>
      <c r="K2853" s="696">
        <f>$K$2755</f>
        <v>632</v>
      </c>
      <c r="L2853" s="851"/>
      <c r="M2853" s="786" t="s">
        <v>528</v>
      </c>
      <c r="N2853" s="123"/>
      <c r="O2853" s="228"/>
      <c r="P2853" s="844"/>
      <c r="Q2853" s="845"/>
      <c r="R2853" s="844"/>
      <c r="S2853" s="832"/>
      <c r="T2853" s="3082"/>
      <c r="U2853" s="123"/>
      <c r="V2853" s="3990"/>
      <c r="W2853" s="2857"/>
      <c r="X2853" s="2857"/>
      <c r="Y2853" s="3158">
        <f>$K$2755</f>
        <v>632</v>
      </c>
      <c r="Z2853" s="696">
        <f t="shared" ref="Z2853:AA2854" si="218">$K$2755</f>
        <v>632</v>
      </c>
      <c r="AA2853" s="696">
        <f t="shared" si="218"/>
        <v>632</v>
      </c>
      <c r="AB2853" s="696">
        <v>632</v>
      </c>
      <c r="AC2853" s="696">
        <f>$K$2755</f>
        <v>632</v>
      </c>
      <c r="AD2853" s="2857"/>
      <c r="AE2853" s="2857"/>
      <c r="AF2853" s="2857"/>
      <c r="AG2853" s="2857"/>
      <c r="AH2853" s="1942"/>
      <c r="AI2853" s="1942"/>
      <c r="AJ2853" s="1942"/>
      <c r="AK2853" s="1942"/>
      <c r="AL2853" s="1942"/>
      <c r="AM2853" s="1942"/>
      <c r="AN2853" s="1942"/>
      <c r="AO2853" s="1942"/>
      <c r="AP2853" s="1942"/>
      <c r="AQ2853" s="1942"/>
      <c r="AR2853" s="1942"/>
      <c r="AS2853" s="1942"/>
      <c r="AT2853" s="1942"/>
      <c r="AU2853" s="1942"/>
      <c r="AV2853" s="1942"/>
      <c r="AW2853" s="1942"/>
      <c r="AX2853" s="1942"/>
      <c r="AY2853" s="1942"/>
      <c r="AZ2853" s="1942"/>
      <c r="BA2853" s="1942"/>
      <c r="BB2853" s="575"/>
      <c r="BC2853" s="576"/>
      <c r="BD2853" s="678"/>
      <c r="BE2853" s="585"/>
    </row>
    <row r="2854" spans="1:57" s="51" customFormat="1" ht="15" hidden="1" customHeight="1" outlineLevel="1" x14ac:dyDescent="0.25">
      <c r="A2854" s="2060"/>
      <c r="B2854" s="123"/>
      <c r="C2854" s="328"/>
      <c r="D2854" s="3990"/>
      <c r="E2854" s="4009"/>
      <c r="F2854" s="3010" t="str">
        <f>$E$1643</f>
        <v>ASHP-SEER17_ER2_MF_CompE</v>
      </c>
      <c r="G2854" s="2676"/>
      <c r="H2854" s="2676"/>
      <c r="I2854" s="2677"/>
      <c r="J2854" s="3299" t="str">
        <f>$C$1643</f>
        <v>354201_2019_12_</v>
      </c>
      <c r="K2854" s="696">
        <f>$K$2755</f>
        <v>632</v>
      </c>
      <c r="L2854" s="851"/>
      <c r="M2854" s="786" t="s">
        <v>528</v>
      </c>
      <c r="N2854" s="123"/>
      <c r="O2854" s="228"/>
      <c r="P2854" s="844"/>
      <c r="Q2854" s="845"/>
      <c r="R2854" s="844"/>
      <c r="S2854" s="832"/>
      <c r="T2854" s="3082"/>
      <c r="U2854" s="123"/>
      <c r="V2854" s="3990"/>
      <c r="W2854" s="2857"/>
      <c r="X2854" s="2857"/>
      <c r="Y2854" s="3158">
        <f>$K$2755</f>
        <v>632</v>
      </c>
      <c r="Z2854" s="696">
        <f t="shared" si="218"/>
        <v>632</v>
      </c>
      <c r="AA2854" s="696">
        <f t="shared" si="218"/>
        <v>632</v>
      </c>
      <c r="AB2854" s="696">
        <v>632</v>
      </c>
      <c r="AC2854" s="696">
        <f>$K$2755</f>
        <v>632</v>
      </c>
      <c r="AD2854" s="2857"/>
      <c r="AE2854" s="2857"/>
      <c r="AF2854" s="2857"/>
      <c r="AG2854" s="2857"/>
      <c r="AH2854" s="1942"/>
      <c r="AI2854" s="1942"/>
      <c r="AJ2854" s="1942"/>
      <c r="AK2854" s="1942"/>
      <c r="AL2854" s="1942"/>
      <c r="AM2854" s="1942"/>
      <c r="AN2854" s="1942"/>
      <c r="AO2854" s="1942"/>
      <c r="AP2854" s="1942"/>
      <c r="AQ2854" s="1942"/>
      <c r="AR2854" s="1942"/>
      <c r="AS2854" s="1942"/>
      <c r="AT2854" s="1942"/>
      <c r="AU2854" s="1942"/>
      <c r="AV2854" s="1942"/>
      <c r="AW2854" s="1942"/>
      <c r="AX2854" s="1942"/>
      <c r="AY2854" s="1942"/>
      <c r="AZ2854" s="1942"/>
      <c r="BA2854" s="1942"/>
      <c r="BB2854" s="575"/>
      <c r="BC2854" s="576"/>
      <c r="BD2854" s="678"/>
      <c r="BE2854" s="585"/>
    </row>
    <row r="2855" spans="1:57" s="51" customFormat="1" ht="15" hidden="1" customHeight="1" outlineLevel="1" x14ac:dyDescent="0.25">
      <c r="A2855" s="2060"/>
      <c r="B2855" s="123"/>
      <c r="C2855" s="328"/>
      <c r="D2855" s="3990"/>
      <c r="E2855" s="4009"/>
      <c r="F2855" s="3010" t="str">
        <f>$E$1645</f>
        <v>ASHP-SEER18-Replace_CAC_ElectricHeat_ER1_SF</v>
      </c>
      <c r="G2855" s="2676"/>
      <c r="H2855" s="2676"/>
      <c r="I2855" s="2677"/>
      <c r="J2855" s="3298" t="str">
        <f>$C$1645</f>
        <v>354250_2021_12_</v>
      </c>
      <c r="K2855" s="696">
        <v>869</v>
      </c>
      <c r="L2855" s="851"/>
      <c r="M2855" s="3252" t="s">
        <v>1011</v>
      </c>
      <c r="N2855" s="123"/>
      <c r="O2855" s="228"/>
      <c r="P2855" s="844"/>
      <c r="Q2855" s="845"/>
      <c r="R2855" s="844"/>
      <c r="S2855" s="832"/>
      <c r="T2855" s="3082"/>
      <c r="U2855" s="123"/>
      <c r="V2855" s="3990"/>
      <c r="W2855" s="2857">
        <v>869</v>
      </c>
      <c r="X2855" s="2857">
        <v>869</v>
      </c>
      <c r="Y2855" s="696">
        <v>869</v>
      </c>
      <c r="Z2855" s="696">
        <v>869</v>
      </c>
      <c r="AA2855" s="696">
        <v>869</v>
      </c>
      <c r="AB2855" s="696">
        <v>869</v>
      </c>
      <c r="AC2855" s="696">
        <v>869</v>
      </c>
      <c r="AD2855" s="2857"/>
      <c r="AE2855" s="2857"/>
      <c r="AF2855" s="2857"/>
      <c r="AG2855" s="2857"/>
      <c r="AH2855" s="1942"/>
      <c r="AI2855" s="1942"/>
      <c r="AJ2855" s="1942"/>
      <c r="AK2855" s="1942"/>
      <c r="AL2855" s="1942"/>
      <c r="AM2855" s="1942"/>
      <c r="AN2855" s="1942"/>
      <c r="AO2855" s="1942"/>
      <c r="AP2855" s="1942"/>
      <c r="AQ2855" s="1942"/>
      <c r="AR2855" s="1942"/>
      <c r="AS2855" s="1942"/>
      <c r="AT2855" s="1942"/>
      <c r="AU2855" s="1942"/>
      <c r="AV2855" s="1942"/>
      <c r="AW2855" s="1942"/>
      <c r="AX2855" s="1942"/>
      <c r="AY2855" s="1942"/>
      <c r="AZ2855" s="1942"/>
      <c r="BA2855" s="1942"/>
      <c r="BB2855" s="575"/>
      <c r="BC2855" s="576"/>
      <c r="BD2855" s="678"/>
      <c r="BE2855" s="585"/>
    </row>
    <row r="2856" spans="1:57" s="51" customFormat="1" ht="15" hidden="1" customHeight="1" outlineLevel="1" x14ac:dyDescent="0.25">
      <c r="A2856" s="2060"/>
      <c r="B2856" s="123"/>
      <c r="C2856" s="328"/>
      <c r="D2856" s="3990"/>
      <c r="E2856" s="4009"/>
      <c r="F2856" s="3010" t="str">
        <f>$E$1647</f>
        <v>ASHP-SEER18-Replace_CAC_ElectricHeat_ER2_SF</v>
      </c>
      <c r="G2856" s="2676"/>
      <c r="H2856" s="2676"/>
      <c r="I2856" s="2677"/>
      <c r="J2856" s="3298" t="str">
        <f>$C$1647</f>
        <v>354250_2021_12_</v>
      </c>
      <c r="K2856" s="696">
        <v>869</v>
      </c>
      <c r="L2856" s="851"/>
      <c r="M2856" s="3252" t="s">
        <v>1011</v>
      </c>
      <c r="N2856" s="123"/>
      <c r="O2856" s="228"/>
      <c r="P2856" s="844"/>
      <c r="Q2856" s="845"/>
      <c r="R2856" s="844"/>
      <c r="S2856" s="832"/>
      <c r="T2856" s="3082"/>
      <c r="U2856" s="123"/>
      <c r="V2856" s="3990"/>
      <c r="W2856" s="2857">
        <v>869</v>
      </c>
      <c r="X2856" s="2857">
        <v>869</v>
      </c>
      <c r="Y2856" s="696">
        <v>869</v>
      </c>
      <c r="Z2856" s="696">
        <v>869</v>
      </c>
      <c r="AA2856" s="696">
        <v>869</v>
      </c>
      <c r="AB2856" s="696">
        <v>869</v>
      </c>
      <c r="AC2856" s="696">
        <v>869</v>
      </c>
      <c r="AD2856" s="2857"/>
      <c r="AE2856" s="2857"/>
      <c r="AF2856" s="2857"/>
      <c r="AG2856" s="2857"/>
      <c r="AH2856" s="1942"/>
      <c r="AI2856" s="1942"/>
      <c r="AJ2856" s="1942"/>
      <c r="AK2856" s="1942"/>
      <c r="AL2856" s="1942"/>
      <c r="AM2856" s="1942"/>
      <c r="AN2856" s="1942"/>
      <c r="AO2856" s="1942"/>
      <c r="AP2856" s="1942"/>
      <c r="AQ2856" s="1942"/>
      <c r="AR2856" s="1942"/>
      <c r="AS2856" s="1942"/>
      <c r="AT2856" s="1942"/>
      <c r="AU2856" s="1942"/>
      <c r="AV2856" s="1942"/>
      <c r="AW2856" s="1942"/>
      <c r="AX2856" s="1942"/>
      <c r="AY2856" s="1942"/>
      <c r="AZ2856" s="1942"/>
      <c r="BA2856" s="1942"/>
      <c r="BB2856" s="575"/>
      <c r="BC2856" s="576"/>
      <c r="BD2856" s="678"/>
      <c r="BE2856" s="585"/>
    </row>
    <row r="2857" spans="1:57" s="1942" customFormat="1" ht="15" hidden="1" customHeight="1" outlineLevel="1" x14ac:dyDescent="0.25">
      <c r="A2857" s="2060"/>
      <c r="B2857" s="123"/>
      <c r="C2857" s="328"/>
      <c r="D2857" s="3990"/>
      <c r="E2857" s="4009"/>
      <c r="F2857" s="3010" t="str">
        <f>$E$1649</f>
        <v>ASHP-SEER18-Replace_CAC_NonElectricHeat_ER1_SF</v>
      </c>
      <c r="G2857" s="2676"/>
      <c r="H2857" s="2676"/>
      <c r="I2857" s="2677"/>
      <c r="J2857" s="3298" t="str">
        <f>$C$1649</f>
        <v>354260_2021_12_</v>
      </c>
      <c r="K2857" s="3158">
        <v>869</v>
      </c>
      <c r="L2857" s="851"/>
      <c r="M2857" s="3252" t="s">
        <v>1011</v>
      </c>
      <c r="N2857" s="123"/>
      <c r="O2857" s="228"/>
      <c r="P2857" s="844"/>
      <c r="Q2857" s="845"/>
      <c r="R2857" s="844"/>
      <c r="S2857" s="832"/>
      <c r="T2857" s="3082"/>
      <c r="U2857" s="123"/>
      <c r="V2857" s="3990"/>
      <c r="W2857" s="2857"/>
      <c r="X2857" s="2857"/>
      <c r="Y2857" s="696"/>
      <c r="Z2857" s="696"/>
      <c r="AA2857" s="696"/>
      <c r="AB2857" s="696"/>
      <c r="AC2857" s="3158">
        <v>869</v>
      </c>
      <c r="AD2857" s="2857"/>
      <c r="AE2857" s="2857"/>
      <c r="AF2857" s="2857"/>
      <c r="AG2857" s="2857"/>
      <c r="BB2857" s="575"/>
      <c r="BC2857" s="576"/>
      <c r="BD2857" s="678"/>
      <c r="BE2857" s="585"/>
    </row>
    <row r="2858" spans="1:57" s="1942" customFormat="1" ht="15" hidden="1" customHeight="1" outlineLevel="1" x14ac:dyDescent="0.25">
      <c r="A2858" s="2060"/>
      <c r="B2858" s="123"/>
      <c r="C2858" s="328"/>
      <c r="D2858" s="3990"/>
      <c r="E2858" s="4009"/>
      <c r="F2858" s="3010" t="str">
        <f>$E$1651</f>
        <v>ASHP-SEER18-Replace_CAC_NonElectricHeat_ER2_SF</v>
      </c>
      <c r="G2858" s="2676"/>
      <c r="H2858" s="2676"/>
      <c r="I2858" s="2677"/>
      <c r="J2858" s="3298" t="str">
        <f>$C$1651</f>
        <v>354260_2021_12_</v>
      </c>
      <c r="K2858" s="3158">
        <v>869</v>
      </c>
      <c r="L2858" s="851"/>
      <c r="M2858" s="3252" t="s">
        <v>1011</v>
      </c>
      <c r="N2858" s="123"/>
      <c r="O2858" s="228"/>
      <c r="P2858" s="844"/>
      <c r="Q2858" s="845"/>
      <c r="R2858" s="844"/>
      <c r="S2858" s="832"/>
      <c r="T2858" s="3082"/>
      <c r="U2858" s="123"/>
      <c r="V2858" s="3990"/>
      <c r="W2858" s="2857"/>
      <c r="X2858" s="2857"/>
      <c r="Y2858" s="696"/>
      <c r="Z2858" s="696"/>
      <c r="AA2858" s="696"/>
      <c r="AB2858" s="696"/>
      <c r="AC2858" s="3158">
        <v>869</v>
      </c>
      <c r="AD2858" s="2857"/>
      <c r="AE2858" s="2857"/>
      <c r="AF2858" s="2857"/>
      <c r="AG2858" s="2857"/>
      <c r="BB2858" s="575"/>
      <c r="BC2858" s="576"/>
      <c r="BD2858" s="678"/>
      <c r="BE2858" s="585"/>
    </row>
    <row r="2859" spans="1:57" s="51" customFormat="1" ht="15" hidden="1" customHeight="1" outlineLevel="1" x14ac:dyDescent="0.25">
      <c r="A2859" s="2060"/>
      <c r="B2859" s="123"/>
      <c r="C2859" s="328"/>
      <c r="D2859" s="3990"/>
      <c r="E2859" s="4009"/>
      <c r="F2859" s="3010" t="str">
        <f>$E$1653</f>
        <v>ASHP-SEER18-Replace_CAC_ElectricHeat_ER1_MF</v>
      </c>
      <c r="G2859" s="2676"/>
      <c r="H2859" s="2676"/>
      <c r="I2859" s="2677"/>
      <c r="J2859" s="3298" t="str">
        <f>$C$1653</f>
        <v>354300_2021_12_</v>
      </c>
      <c r="K2859" s="696">
        <v>869</v>
      </c>
      <c r="L2859" s="851"/>
      <c r="M2859" s="3252" t="s">
        <v>1011</v>
      </c>
      <c r="N2859" s="123"/>
      <c r="O2859" s="228"/>
      <c r="P2859" s="844"/>
      <c r="Q2859" s="845"/>
      <c r="R2859" s="844"/>
      <c r="S2859" s="832"/>
      <c r="T2859" s="3082"/>
      <c r="U2859" s="123"/>
      <c r="V2859" s="3990"/>
      <c r="W2859" s="2857">
        <v>869</v>
      </c>
      <c r="X2859" s="2857">
        <v>869</v>
      </c>
      <c r="Y2859" s="696">
        <v>869</v>
      </c>
      <c r="Z2859" s="696">
        <v>869</v>
      </c>
      <c r="AA2859" s="696">
        <v>869</v>
      </c>
      <c r="AB2859" s="696">
        <v>869</v>
      </c>
      <c r="AC2859" s="696">
        <v>869</v>
      </c>
      <c r="AD2859" s="2857"/>
      <c r="AE2859" s="2857"/>
      <c r="AF2859" s="2857"/>
      <c r="AG2859" s="2857"/>
      <c r="AH2859" s="1942"/>
      <c r="AI2859" s="1942"/>
      <c r="AJ2859" s="1942"/>
      <c r="AK2859" s="1942"/>
      <c r="AL2859" s="1942"/>
      <c r="AM2859" s="1942"/>
      <c r="AN2859" s="1942"/>
      <c r="AO2859" s="1942"/>
      <c r="AP2859" s="1942"/>
      <c r="AQ2859" s="1942"/>
      <c r="AR2859" s="1942"/>
      <c r="AS2859" s="1942"/>
      <c r="AT2859" s="1942"/>
      <c r="AU2859" s="1942"/>
      <c r="AV2859" s="1942"/>
      <c r="AW2859" s="1942"/>
      <c r="AX2859" s="1942"/>
      <c r="AY2859" s="1942"/>
      <c r="AZ2859" s="1942"/>
      <c r="BA2859" s="1942"/>
      <c r="BB2859" s="575"/>
      <c r="BC2859" s="576"/>
      <c r="BD2859" s="678"/>
      <c r="BE2859" s="585"/>
    </row>
    <row r="2860" spans="1:57" s="51" customFormat="1" ht="15" hidden="1" customHeight="1" outlineLevel="1" x14ac:dyDescent="0.25">
      <c r="A2860" s="2060"/>
      <c r="B2860" s="123"/>
      <c r="C2860" s="328"/>
      <c r="D2860" s="3990"/>
      <c r="E2860" s="4009"/>
      <c r="F2860" s="3010" t="str">
        <f>$E$1655</f>
        <v>ASHP-SEER18-Replace_CAC_ElectricHeat_ER2_MF</v>
      </c>
      <c r="G2860" s="2676"/>
      <c r="H2860" s="2676"/>
      <c r="I2860" s="2677"/>
      <c r="J2860" s="3298" t="str">
        <f>$C$1655</f>
        <v>354300_2021_12_</v>
      </c>
      <c r="K2860" s="696">
        <v>869</v>
      </c>
      <c r="L2860" s="851"/>
      <c r="M2860" s="3252" t="s">
        <v>1011</v>
      </c>
      <c r="N2860" s="123"/>
      <c r="O2860" s="228"/>
      <c r="P2860" s="844"/>
      <c r="Q2860" s="845"/>
      <c r="R2860" s="844"/>
      <c r="S2860" s="832"/>
      <c r="T2860" s="3082"/>
      <c r="U2860" s="123"/>
      <c r="V2860" s="3990"/>
      <c r="W2860" s="2857">
        <v>869</v>
      </c>
      <c r="X2860" s="2857">
        <v>869</v>
      </c>
      <c r="Y2860" s="696">
        <v>869</v>
      </c>
      <c r="Z2860" s="696">
        <v>869</v>
      </c>
      <c r="AA2860" s="696">
        <v>869</v>
      </c>
      <c r="AB2860" s="696">
        <v>869</v>
      </c>
      <c r="AC2860" s="696">
        <v>869</v>
      </c>
      <c r="AD2860" s="2857"/>
      <c r="AE2860" s="2857"/>
      <c r="AF2860" s="2857"/>
      <c r="AG2860" s="2857"/>
      <c r="AH2860" s="1942"/>
      <c r="AI2860" s="1942"/>
      <c r="AJ2860" s="1942"/>
      <c r="AK2860" s="1942"/>
      <c r="AL2860" s="1942"/>
      <c r="AM2860" s="1942"/>
      <c r="AN2860" s="1942"/>
      <c r="AO2860" s="1942"/>
      <c r="AP2860" s="1942"/>
      <c r="AQ2860" s="1942"/>
      <c r="AR2860" s="1942"/>
      <c r="AS2860" s="1942"/>
      <c r="AT2860" s="1942"/>
      <c r="AU2860" s="1942"/>
      <c r="AV2860" s="1942"/>
      <c r="AW2860" s="1942"/>
      <c r="AX2860" s="1942"/>
      <c r="AY2860" s="1942"/>
      <c r="AZ2860" s="1942"/>
      <c r="BA2860" s="1942"/>
      <c r="BB2860" s="575"/>
      <c r="BC2860" s="576"/>
      <c r="BD2860" s="678"/>
      <c r="BE2860" s="585"/>
    </row>
    <row r="2861" spans="1:57" s="51" customFormat="1" ht="15" hidden="1" customHeight="1" outlineLevel="1" x14ac:dyDescent="0.25">
      <c r="A2861" s="2060"/>
      <c r="B2861" s="123"/>
      <c r="C2861" s="328"/>
      <c r="D2861" s="3990"/>
      <c r="E2861" s="4009"/>
      <c r="F2861" s="3010" t="str">
        <f>$E$1657</f>
        <v>ASHP-SEER18-Replace_CAC_ElectricHeat_ER1_MF_CompE</v>
      </c>
      <c r="G2861" s="2676"/>
      <c r="H2861" s="2676"/>
      <c r="I2861" s="2677"/>
      <c r="J2861" s="3298" t="str">
        <f>$C$1657</f>
        <v>354301_2021_12_</v>
      </c>
      <c r="K2861" s="696">
        <f>$K$2755</f>
        <v>632</v>
      </c>
      <c r="L2861" s="851"/>
      <c r="M2861" s="786" t="s">
        <v>528</v>
      </c>
      <c r="N2861" s="123"/>
      <c r="O2861" s="228"/>
      <c r="P2861" s="844"/>
      <c r="Q2861" s="845"/>
      <c r="R2861" s="844"/>
      <c r="S2861" s="832"/>
      <c r="T2861" s="3082"/>
      <c r="U2861" s="123"/>
      <c r="V2861" s="3990"/>
      <c r="W2861" s="2857"/>
      <c r="X2861" s="2857"/>
      <c r="Y2861" s="3158">
        <f>$K$2755</f>
        <v>632</v>
      </c>
      <c r="Z2861" s="696">
        <f t="shared" ref="Z2861:AA2862" si="219">$K$2755</f>
        <v>632</v>
      </c>
      <c r="AA2861" s="696">
        <f t="shared" si="219"/>
        <v>632</v>
      </c>
      <c r="AB2861" s="696">
        <v>632</v>
      </c>
      <c r="AC2861" s="696">
        <f>$K$2755</f>
        <v>632</v>
      </c>
      <c r="AD2861" s="2857"/>
      <c r="AE2861" s="2857"/>
      <c r="AF2861" s="2857"/>
      <c r="AG2861" s="2857"/>
      <c r="AH2861" s="1942"/>
      <c r="AI2861" s="1942"/>
      <c r="AJ2861" s="1942"/>
      <c r="AK2861" s="1942"/>
      <c r="AL2861" s="1942"/>
      <c r="AM2861" s="1942"/>
      <c r="AN2861" s="1942"/>
      <c r="AO2861" s="1942"/>
      <c r="AP2861" s="1942"/>
      <c r="AQ2861" s="1942"/>
      <c r="AR2861" s="1942"/>
      <c r="AS2861" s="1942"/>
      <c r="AT2861" s="1942"/>
      <c r="AU2861" s="1942"/>
      <c r="AV2861" s="1942"/>
      <c r="AW2861" s="1942"/>
      <c r="AX2861" s="1942"/>
      <c r="AY2861" s="1942"/>
      <c r="AZ2861" s="1942"/>
      <c r="BA2861" s="1942"/>
      <c r="BB2861" s="575"/>
      <c r="BC2861" s="576"/>
      <c r="BD2861" s="678"/>
      <c r="BE2861" s="585"/>
    </row>
    <row r="2862" spans="1:57" s="51" customFormat="1" ht="15" hidden="1" customHeight="1" outlineLevel="1" x14ac:dyDescent="0.25">
      <c r="A2862" s="2060"/>
      <c r="B2862" s="123"/>
      <c r="C2862" s="328"/>
      <c r="D2862" s="3990"/>
      <c r="E2862" s="4009"/>
      <c r="F2862" s="3010" t="str">
        <f>$E$1659</f>
        <v>ASHP-SEER18-Replace_CAC_ElectricHeat_ER2_MF_CompE</v>
      </c>
      <c r="G2862" s="2676"/>
      <c r="H2862" s="2676"/>
      <c r="I2862" s="2677"/>
      <c r="J2862" s="3298" t="str">
        <f>$C$1659</f>
        <v>354301_2021_12_</v>
      </c>
      <c r="K2862" s="696">
        <f>$K$2755</f>
        <v>632</v>
      </c>
      <c r="L2862" s="851"/>
      <c r="M2862" s="786" t="s">
        <v>528</v>
      </c>
      <c r="N2862" s="123"/>
      <c r="O2862" s="228"/>
      <c r="P2862" s="844"/>
      <c r="Q2862" s="845"/>
      <c r="R2862" s="844"/>
      <c r="S2862" s="832"/>
      <c r="T2862" s="3082"/>
      <c r="U2862" s="123"/>
      <c r="V2862" s="3990"/>
      <c r="W2862" s="2857"/>
      <c r="X2862" s="2857"/>
      <c r="Y2862" s="3158">
        <f>$K$2755</f>
        <v>632</v>
      </c>
      <c r="Z2862" s="696">
        <f t="shared" si="219"/>
        <v>632</v>
      </c>
      <c r="AA2862" s="696">
        <f t="shared" si="219"/>
        <v>632</v>
      </c>
      <c r="AB2862" s="696">
        <v>632</v>
      </c>
      <c r="AC2862" s="696">
        <f>$K$2755</f>
        <v>632</v>
      </c>
      <c r="AD2862" s="2857"/>
      <c r="AE2862" s="2857"/>
      <c r="AF2862" s="2857"/>
      <c r="AG2862" s="2857"/>
      <c r="AH2862" s="1942"/>
      <c r="AI2862" s="1942"/>
      <c r="AJ2862" s="1942"/>
      <c r="AK2862" s="1942"/>
      <c r="AL2862" s="1942"/>
      <c r="AM2862" s="1942"/>
      <c r="AN2862" s="1942"/>
      <c r="AO2862" s="1942"/>
      <c r="AP2862" s="1942"/>
      <c r="AQ2862" s="1942"/>
      <c r="AR2862" s="1942"/>
      <c r="AS2862" s="1942"/>
      <c r="AT2862" s="1942"/>
      <c r="AU2862" s="1942"/>
      <c r="AV2862" s="1942"/>
      <c r="AW2862" s="1942"/>
      <c r="AX2862" s="1942"/>
      <c r="AY2862" s="1942"/>
      <c r="AZ2862" s="1942"/>
      <c r="BA2862" s="1942"/>
      <c r="BB2862" s="575"/>
      <c r="BC2862" s="576"/>
      <c r="BD2862" s="678"/>
      <c r="BE2862" s="585"/>
    </row>
    <row r="2863" spans="1:57" s="1942" customFormat="1" ht="15" hidden="1" customHeight="1" outlineLevel="1" x14ac:dyDescent="0.25">
      <c r="A2863" s="2060"/>
      <c r="B2863" s="123"/>
      <c r="C2863" s="328"/>
      <c r="D2863" s="3990"/>
      <c r="E2863" s="4009"/>
      <c r="F2863" s="3010" t="str">
        <f>$E$1661</f>
        <v>ASHP-SEER18-Replace_CAC_NonElectricHeat_ER1_MF</v>
      </c>
      <c r="G2863" s="2676"/>
      <c r="H2863" s="2676"/>
      <c r="I2863" s="2677"/>
      <c r="J2863" s="3298" t="str">
        <f>$C$1661</f>
        <v>354310_2021_12_</v>
      </c>
      <c r="K2863" s="3158">
        <v>869</v>
      </c>
      <c r="L2863" s="851"/>
      <c r="M2863" s="3252" t="s">
        <v>1011</v>
      </c>
      <c r="N2863" s="123"/>
      <c r="O2863" s="228"/>
      <c r="P2863" s="844"/>
      <c r="Q2863" s="845"/>
      <c r="R2863" s="844"/>
      <c r="S2863" s="832"/>
      <c r="T2863" s="3082"/>
      <c r="U2863" s="123"/>
      <c r="V2863" s="3990"/>
      <c r="W2863" s="2857"/>
      <c r="X2863" s="2857"/>
      <c r="Y2863" s="3158"/>
      <c r="Z2863" s="696"/>
      <c r="AA2863" s="696"/>
      <c r="AB2863" s="696"/>
      <c r="AC2863" s="3158">
        <v>869</v>
      </c>
      <c r="AD2863" s="2857"/>
      <c r="AE2863" s="2857"/>
      <c r="AF2863" s="2857"/>
      <c r="AG2863" s="2857"/>
      <c r="BB2863" s="575"/>
      <c r="BC2863" s="576"/>
      <c r="BD2863" s="678"/>
      <c r="BE2863" s="585"/>
    </row>
    <row r="2864" spans="1:57" s="1942" customFormat="1" ht="15" hidden="1" customHeight="1" outlineLevel="1" x14ac:dyDescent="0.25">
      <c r="A2864" s="2060"/>
      <c r="B2864" s="123"/>
      <c r="C2864" s="328"/>
      <c r="D2864" s="3990"/>
      <c r="E2864" s="4009"/>
      <c r="F2864" s="3010" t="str">
        <f>$E$1663</f>
        <v>ASHP-SEER18-Replace_CAC_NonElectricHeat_ER2_MF</v>
      </c>
      <c r="G2864" s="2676"/>
      <c r="H2864" s="2676"/>
      <c r="I2864" s="2677"/>
      <c r="J2864" s="3298" t="str">
        <f>$C$1663</f>
        <v>354310_2021_12_</v>
      </c>
      <c r="K2864" s="3158">
        <v>869</v>
      </c>
      <c r="L2864" s="851"/>
      <c r="M2864" s="3252" t="s">
        <v>1011</v>
      </c>
      <c r="N2864" s="123"/>
      <c r="O2864" s="228"/>
      <c r="P2864" s="844"/>
      <c r="Q2864" s="845"/>
      <c r="R2864" s="844"/>
      <c r="S2864" s="832"/>
      <c r="T2864" s="3082"/>
      <c r="U2864" s="123"/>
      <c r="V2864" s="3990"/>
      <c r="W2864" s="2857"/>
      <c r="X2864" s="2857"/>
      <c r="Y2864" s="3158"/>
      <c r="Z2864" s="696"/>
      <c r="AA2864" s="696"/>
      <c r="AB2864" s="696"/>
      <c r="AC2864" s="3158">
        <v>869</v>
      </c>
      <c r="AD2864" s="2857"/>
      <c r="AE2864" s="2857"/>
      <c r="AF2864" s="2857"/>
      <c r="AG2864" s="2857"/>
      <c r="BB2864" s="575"/>
      <c r="BC2864" s="576"/>
      <c r="BD2864" s="678"/>
      <c r="BE2864" s="585"/>
    </row>
    <row r="2865" spans="1:57" s="1942" customFormat="1" ht="15" hidden="1" customHeight="1" outlineLevel="1" x14ac:dyDescent="0.25">
      <c r="A2865" s="2060"/>
      <c r="B2865" s="123"/>
      <c r="C2865" s="328"/>
      <c r="D2865" s="3990"/>
      <c r="E2865" s="4009"/>
      <c r="F2865" s="3010" t="str">
        <f>$E$1665</f>
        <v>ASHP-SEER18-Replace_CAC_NonElectricHeat_ER1_MF_CompE</v>
      </c>
      <c r="G2865" s="2676"/>
      <c r="H2865" s="2676"/>
      <c r="I2865" s="2677"/>
      <c r="J2865" s="3298" t="str">
        <f>$C$1665</f>
        <v>354311_2021_12_</v>
      </c>
      <c r="K2865" s="3158">
        <f>$K$2755</f>
        <v>632</v>
      </c>
      <c r="L2865" s="851"/>
      <c r="M2865" s="3253" t="s">
        <v>528</v>
      </c>
      <c r="N2865" s="123"/>
      <c r="O2865" s="228"/>
      <c r="P2865" s="844"/>
      <c r="Q2865" s="845"/>
      <c r="R2865" s="844"/>
      <c r="S2865" s="832"/>
      <c r="T2865" s="3082"/>
      <c r="U2865" s="123"/>
      <c r="V2865" s="3990"/>
      <c r="W2865" s="2857"/>
      <c r="X2865" s="2857"/>
      <c r="Y2865" s="3158"/>
      <c r="Z2865" s="696"/>
      <c r="AA2865" s="696"/>
      <c r="AB2865" s="696"/>
      <c r="AC2865" s="3158">
        <f>$K$2755</f>
        <v>632</v>
      </c>
      <c r="AD2865" s="2857"/>
      <c r="AE2865" s="2857"/>
      <c r="AF2865" s="2857"/>
      <c r="AG2865" s="2857"/>
      <c r="BB2865" s="575"/>
      <c r="BC2865" s="576"/>
      <c r="BD2865" s="678"/>
      <c r="BE2865" s="585"/>
    </row>
    <row r="2866" spans="1:57" s="1942" customFormat="1" ht="15" hidden="1" customHeight="1" outlineLevel="1" x14ac:dyDescent="0.25">
      <c r="A2866" s="2060"/>
      <c r="B2866" s="123"/>
      <c r="C2866" s="328"/>
      <c r="D2866" s="3990"/>
      <c r="E2866" s="4009"/>
      <c r="F2866" s="3010" t="str">
        <f>$E$1667</f>
        <v>ASHP-SEER18-Replace_CAC_NonElectricHeat_ER2_MF_CompE</v>
      </c>
      <c r="G2866" s="2676"/>
      <c r="H2866" s="2676"/>
      <c r="I2866" s="2677"/>
      <c r="J2866" s="3298" t="str">
        <f>$C$1667</f>
        <v>354311_2021_12_</v>
      </c>
      <c r="K2866" s="3158">
        <f>$K$2755</f>
        <v>632</v>
      </c>
      <c r="L2866" s="851"/>
      <c r="M2866" s="3253" t="s">
        <v>528</v>
      </c>
      <c r="N2866" s="123"/>
      <c r="O2866" s="228"/>
      <c r="P2866" s="844"/>
      <c r="Q2866" s="845"/>
      <c r="R2866" s="844"/>
      <c r="S2866" s="832"/>
      <c r="T2866" s="3082"/>
      <c r="U2866" s="123"/>
      <c r="V2866" s="3990"/>
      <c r="W2866" s="2857"/>
      <c r="X2866" s="2857"/>
      <c r="Y2866" s="3158"/>
      <c r="Z2866" s="696"/>
      <c r="AA2866" s="696"/>
      <c r="AB2866" s="696"/>
      <c r="AC2866" s="3158">
        <f>$K$2755</f>
        <v>632</v>
      </c>
      <c r="AD2866" s="2857"/>
      <c r="AE2866" s="2857"/>
      <c r="AF2866" s="2857"/>
      <c r="AG2866" s="2857"/>
      <c r="BB2866" s="575"/>
      <c r="BC2866" s="576"/>
      <c r="BD2866" s="678"/>
      <c r="BE2866" s="585"/>
    </row>
    <row r="2867" spans="1:57" s="51" customFormat="1" ht="15" hidden="1" customHeight="1" outlineLevel="1" x14ac:dyDescent="0.25">
      <c r="A2867" s="2060"/>
      <c r="B2867" s="123"/>
      <c r="C2867" s="328"/>
      <c r="D2867" s="3990"/>
      <c r="E2867" s="4009"/>
      <c r="F2867" s="3010" t="str">
        <f>$E$1669</f>
        <v>ASHP-SEER18_ER1_MF</v>
      </c>
      <c r="G2867" s="2676"/>
      <c r="H2867" s="2676"/>
      <c r="I2867" s="2677"/>
      <c r="J2867" s="3298" t="str">
        <f>$C$1669</f>
        <v>354350_2021_12_</v>
      </c>
      <c r="K2867" s="696">
        <v>869</v>
      </c>
      <c r="L2867" s="851"/>
      <c r="M2867" s="3252" t="s">
        <v>1011</v>
      </c>
      <c r="N2867" s="123"/>
      <c r="O2867" s="228"/>
      <c r="P2867" s="844"/>
      <c r="Q2867" s="845"/>
      <c r="R2867" s="844"/>
      <c r="S2867" s="832"/>
      <c r="T2867" s="3082"/>
      <c r="U2867" s="123"/>
      <c r="V2867" s="3990"/>
      <c r="W2867" s="2857">
        <v>869</v>
      </c>
      <c r="X2867" s="2857">
        <v>869</v>
      </c>
      <c r="Y2867" s="696">
        <v>869</v>
      </c>
      <c r="Z2867" s="696">
        <v>869</v>
      </c>
      <c r="AA2867" s="696">
        <v>869</v>
      </c>
      <c r="AB2867" s="696">
        <v>869</v>
      </c>
      <c r="AC2867" s="696">
        <v>869</v>
      </c>
      <c r="AD2867" s="2857"/>
      <c r="AE2867" s="2857"/>
      <c r="AF2867" s="2857"/>
      <c r="AG2867" s="2857"/>
      <c r="AH2867" s="1942"/>
      <c r="AI2867" s="1942"/>
      <c r="AJ2867" s="1942"/>
      <c r="AK2867" s="1942"/>
      <c r="AL2867" s="1942"/>
      <c r="AM2867" s="1942"/>
      <c r="AN2867" s="1942"/>
      <c r="AO2867" s="1942"/>
      <c r="AP2867" s="1942"/>
      <c r="AQ2867" s="1942"/>
      <c r="AR2867" s="1942"/>
      <c r="AS2867" s="1942"/>
      <c r="AT2867" s="1942"/>
      <c r="AU2867" s="1942"/>
      <c r="AV2867" s="1942"/>
      <c r="AW2867" s="1942"/>
      <c r="AX2867" s="1942"/>
      <c r="AY2867" s="1942"/>
      <c r="AZ2867" s="1942"/>
      <c r="BA2867" s="1942"/>
      <c r="BB2867" s="575"/>
      <c r="BC2867" s="576"/>
      <c r="BD2867" s="678"/>
      <c r="BE2867" s="585"/>
    </row>
    <row r="2868" spans="1:57" s="51" customFormat="1" ht="15" hidden="1" customHeight="1" outlineLevel="1" x14ac:dyDescent="0.25">
      <c r="A2868" s="2060"/>
      <c r="B2868" s="123"/>
      <c r="C2868" s="328"/>
      <c r="D2868" s="3990"/>
      <c r="E2868" s="4009"/>
      <c r="F2868" s="3010" t="str">
        <f>$E$1671</f>
        <v>ASHP-SEER18_ER2_MF</v>
      </c>
      <c r="G2868" s="2676"/>
      <c r="H2868" s="2676"/>
      <c r="I2868" s="2677"/>
      <c r="J2868" s="3298" t="str">
        <f>$C$1671</f>
        <v>354350_2021_12_</v>
      </c>
      <c r="K2868" s="696">
        <v>869</v>
      </c>
      <c r="L2868" s="851"/>
      <c r="M2868" s="3252" t="s">
        <v>1011</v>
      </c>
      <c r="N2868" s="123"/>
      <c r="O2868" s="228"/>
      <c r="P2868" s="844"/>
      <c r="Q2868" s="845"/>
      <c r="R2868" s="844"/>
      <c r="S2868" s="832"/>
      <c r="T2868" s="3082"/>
      <c r="U2868" s="123"/>
      <c r="V2868" s="3990"/>
      <c r="W2868" s="2857">
        <v>869</v>
      </c>
      <c r="X2868" s="2857">
        <v>869</v>
      </c>
      <c r="Y2868" s="696">
        <v>869</v>
      </c>
      <c r="Z2868" s="696">
        <v>869</v>
      </c>
      <c r="AA2868" s="696">
        <v>869</v>
      </c>
      <c r="AB2868" s="696">
        <v>869</v>
      </c>
      <c r="AC2868" s="696">
        <v>869</v>
      </c>
      <c r="AD2868" s="2857"/>
      <c r="AE2868" s="2857"/>
      <c r="AF2868" s="2857"/>
      <c r="AG2868" s="2857"/>
      <c r="AH2868" s="1942"/>
      <c r="AI2868" s="1942"/>
      <c r="AJ2868" s="1942"/>
      <c r="AK2868" s="1942"/>
      <c r="AL2868" s="1942"/>
      <c r="AM2868" s="1942"/>
      <c r="AN2868" s="1942"/>
      <c r="AO2868" s="1942"/>
      <c r="AP2868" s="1942"/>
      <c r="AQ2868" s="1942"/>
      <c r="AR2868" s="1942"/>
      <c r="AS2868" s="1942"/>
      <c r="AT2868" s="1942"/>
      <c r="AU2868" s="1942"/>
      <c r="AV2868" s="1942"/>
      <c r="AW2868" s="1942"/>
      <c r="AX2868" s="1942"/>
      <c r="AY2868" s="1942"/>
      <c r="AZ2868" s="1942"/>
      <c r="BA2868" s="1942"/>
      <c r="BB2868" s="575"/>
      <c r="BC2868" s="576"/>
      <c r="BD2868" s="678"/>
      <c r="BE2868" s="585"/>
    </row>
    <row r="2869" spans="1:57" s="51" customFormat="1" ht="15" hidden="1" customHeight="1" outlineLevel="1" x14ac:dyDescent="0.25">
      <c r="A2869" s="2060"/>
      <c r="B2869" s="123"/>
      <c r="C2869" s="328"/>
      <c r="D2869" s="3990"/>
      <c r="E2869" s="4009"/>
      <c r="F2869" s="3010" t="str">
        <f>$E$1673</f>
        <v>ASHP-SEER18_ER1_MF_CompE</v>
      </c>
      <c r="G2869" s="2676"/>
      <c r="H2869" s="2676"/>
      <c r="I2869" s="2677"/>
      <c r="J2869" s="3298" t="str">
        <f>$C$1673</f>
        <v>354351_2021_12_</v>
      </c>
      <c r="K2869" s="696">
        <f>$K$2755</f>
        <v>632</v>
      </c>
      <c r="L2869" s="851"/>
      <c r="M2869" s="786" t="s">
        <v>528</v>
      </c>
      <c r="N2869" s="123"/>
      <c r="O2869" s="228"/>
      <c r="P2869" s="844"/>
      <c r="Q2869" s="845"/>
      <c r="R2869" s="844"/>
      <c r="S2869" s="832"/>
      <c r="T2869" s="3082"/>
      <c r="U2869" s="123"/>
      <c r="V2869" s="3990"/>
      <c r="W2869" s="2857"/>
      <c r="X2869" s="2857"/>
      <c r="Y2869" s="3158">
        <f>$K$2755</f>
        <v>632</v>
      </c>
      <c r="Z2869" s="696">
        <f t="shared" ref="Z2869:AA2870" si="220">$K$2755</f>
        <v>632</v>
      </c>
      <c r="AA2869" s="696">
        <f t="shared" si="220"/>
        <v>632</v>
      </c>
      <c r="AB2869" s="696">
        <v>632</v>
      </c>
      <c r="AC2869" s="696">
        <f>$K$2755</f>
        <v>632</v>
      </c>
      <c r="AD2869" s="2857"/>
      <c r="AE2869" s="2857"/>
      <c r="AF2869" s="2857"/>
      <c r="AG2869" s="2857"/>
      <c r="AH2869" s="1942"/>
      <c r="AI2869" s="1942"/>
      <c r="AJ2869" s="1942"/>
      <c r="AK2869" s="1942"/>
      <c r="AL2869" s="1942"/>
      <c r="AM2869" s="1942"/>
      <c r="AN2869" s="1942"/>
      <c r="AO2869" s="1942"/>
      <c r="AP2869" s="1942"/>
      <c r="AQ2869" s="1942"/>
      <c r="AR2869" s="1942"/>
      <c r="AS2869" s="1942"/>
      <c r="AT2869" s="1942"/>
      <c r="AU2869" s="1942"/>
      <c r="AV2869" s="1942"/>
      <c r="AW2869" s="1942"/>
      <c r="AX2869" s="1942"/>
      <c r="AY2869" s="1942"/>
      <c r="AZ2869" s="1942"/>
      <c r="BA2869" s="1942"/>
      <c r="BB2869" s="575"/>
      <c r="BC2869" s="576"/>
      <c r="BD2869" s="678"/>
      <c r="BE2869" s="585"/>
    </row>
    <row r="2870" spans="1:57" s="51" customFormat="1" ht="15" hidden="1" customHeight="1" outlineLevel="1" x14ac:dyDescent="0.25">
      <c r="A2870" s="2060"/>
      <c r="B2870" s="123"/>
      <c r="C2870" s="328"/>
      <c r="D2870" s="3990"/>
      <c r="E2870" s="4009"/>
      <c r="F2870" s="3010" t="str">
        <f>$E$1675</f>
        <v>ASHP-SEER18_ER2_MF_CompE</v>
      </c>
      <c r="G2870" s="2676"/>
      <c r="H2870" s="2676"/>
      <c r="I2870" s="2677"/>
      <c r="J2870" s="3298" t="str">
        <f>$C$1675</f>
        <v>354351_2021_12_</v>
      </c>
      <c r="K2870" s="696">
        <f>$K$2755</f>
        <v>632</v>
      </c>
      <c r="L2870" s="851"/>
      <c r="M2870" s="786" t="s">
        <v>528</v>
      </c>
      <c r="N2870" s="123"/>
      <c r="O2870" s="228"/>
      <c r="P2870" s="844"/>
      <c r="Q2870" s="845"/>
      <c r="R2870" s="844"/>
      <c r="S2870" s="832"/>
      <c r="T2870" s="3082"/>
      <c r="U2870" s="123"/>
      <c r="V2870" s="3990"/>
      <c r="W2870" s="2857"/>
      <c r="X2870" s="2857"/>
      <c r="Y2870" s="3158">
        <f>$K$2755</f>
        <v>632</v>
      </c>
      <c r="Z2870" s="696">
        <f t="shared" si="220"/>
        <v>632</v>
      </c>
      <c r="AA2870" s="696">
        <f t="shared" si="220"/>
        <v>632</v>
      </c>
      <c r="AB2870" s="696">
        <v>632</v>
      </c>
      <c r="AC2870" s="696">
        <f>$K$2755</f>
        <v>632</v>
      </c>
      <c r="AD2870" s="2857"/>
      <c r="AE2870" s="2857"/>
      <c r="AF2870" s="2857"/>
      <c r="AG2870" s="2857"/>
      <c r="AH2870" s="1942"/>
      <c r="AI2870" s="1942"/>
      <c r="AJ2870" s="1942"/>
      <c r="AK2870" s="1942"/>
      <c r="AL2870" s="1942"/>
      <c r="AM2870" s="1942"/>
      <c r="AN2870" s="1942"/>
      <c r="AO2870" s="1942"/>
      <c r="AP2870" s="1942"/>
      <c r="AQ2870" s="1942"/>
      <c r="AR2870" s="1942"/>
      <c r="AS2870" s="1942"/>
      <c r="AT2870" s="1942"/>
      <c r="AU2870" s="1942"/>
      <c r="AV2870" s="1942"/>
      <c r="AW2870" s="1942"/>
      <c r="AX2870" s="1942"/>
      <c r="AY2870" s="1942"/>
      <c r="AZ2870" s="1942"/>
      <c r="BA2870" s="1942"/>
      <c r="BB2870" s="575"/>
      <c r="BC2870" s="576"/>
      <c r="BD2870" s="678"/>
      <c r="BE2870" s="585"/>
    </row>
    <row r="2871" spans="1:57" s="51" customFormat="1" ht="15" hidden="1" customHeight="1" outlineLevel="1" x14ac:dyDescent="0.25">
      <c r="A2871" s="2060"/>
      <c r="B2871" s="123"/>
      <c r="C2871" s="328"/>
      <c r="D2871" s="3990"/>
      <c r="E2871" s="4009"/>
      <c r="F2871" s="3010" t="str">
        <f>$E$1677</f>
        <v>ASHP-SEER19-Replace_CAC_ElectricHeat_ER1_SF</v>
      </c>
      <c r="G2871" s="2676"/>
      <c r="H2871" s="2676"/>
      <c r="I2871" s="2677"/>
      <c r="J2871" s="3298" t="str">
        <f>$C$1677</f>
        <v>354400_2021_12_</v>
      </c>
      <c r="K2871" s="696">
        <v>869</v>
      </c>
      <c r="L2871" s="851"/>
      <c r="M2871" s="3252" t="s">
        <v>1011</v>
      </c>
      <c r="N2871" s="123"/>
      <c r="O2871" s="228"/>
      <c r="P2871" s="844"/>
      <c r="Q2871" s="845"/>
      <c r="R2871" s="844"/>
      <c r="S2871" s="832"/>
      <c r="T2871" s="3082"/>
      <c r="U2871" s="123"/>
      <c r="V2871" s="3990"/>
      <c r="W2871" s="2857">
        <v>869</v>
      </c>
      <c r="X2871" s="2857">
        <v>869</v>
      </c>
      <c r="Y2871" s="696">
        <v>869</v>
      </c>
      <c r="Z2871" s="696">
        <v>869</v>
      </c>
      <c r="AA2871" s="696">
        <v>869</v>
      </c>
      <c r="AB2871" s="696">
        <v>869</v>
      </c>
      <c r="AC2871" s="696">
        <v>869</v>
      </c>
      <c r="AD2871" s="2857"/>
      <c r="AE2871" s="2857"/>
      <c r="AF2871" s="2857"/>
      <c r="AG2871" s="2857"/>
      <c r="AH2871" s="1942"/>
      <c r="AI2871" s="1942"/>
      <c r="AJ2871" s="1942"/>
      <c r="AK2871" s="1942"/>
      <c r="AL2871" s="1942"/>
      <c r="AM2871" s="1942"/>
      <c r="AN2871" s="1942"/>
      <c r="AO2871" s="1942"/>
      <c r="AP2871" s="1942"/>
      <c r="AQ2871" s="1942"/>
      <c r="AR2871" s="1942"/>
      <c r="AS2871" s="1942"/>
      <c r="AT2871" s="1942"/>
      <c r="AU2871" s="1942"/>
      <c r="AV2871" s="1942"/>
      <c r="AW2871" s="1942"/>
      <c r="AX2871" s="1942"/>
      <c r="AY2871" s="1942"/>
      <c r="AZ2871" s="1942"/>
      <c r="BA2871" s="1942"/>
      <c r="BB2871" s="575"/>
      <c r="BC2871" s="576"/>
      <c r="BD2871" s="678"/>
      <c r="BE2871" s="585"/>
    </row>
    <row r="2872" spans="1:57" s="51" customFormat="1" ht="15" hidden="1" customHeight="1" outlineLevel="1" x14ac:dyDescent="0.25">
      <c r="A2872" s="2060"/>
      <c r="B2872" s="123"/>
      <c r="C2872" s="328"/>
      <c r="D2872" s="3990"/>
      <c r="E2872" s="4009"/>
      <c r="F2872" s="3010" t="str">
        <f>$E$1679</f>
        <v>ASHP-SEER19-Replace_CAC_ElectricHeat_ER2_SF</v>
      </c>
      <c r="G2872" s="2676"/>
      <c r="H2872" s="2676"/>
      <c r="I2872" s="2677"/>
      <c r="J2872" s="3298" t="str">
        <f>$C$1679</f>
        <v>354400_2021_12_</v>
      </c>
      <c r="K2872" s="696">
        <v>869</v>
      </c>
      <c r="L2872" s="851"/>
      <c r="M2872" s="3252" t="s">
        <v>1011</v>
      </c>
      <c r="N2872" s="123"/>
      <c r="O2872" s="228"/>
      <c r="P2872" s="844"/>
      <c r="Q2872" s="845"/>
      <c r="R2872" s="844"/>
      <c r="S2872" s="832"/>
      <c r="T2872" s="3082"/>
      <c r="U2872" s="123"/>
      <c r="V2872" s="3990"/>
      <c r="W2872" s="2857">
        <v>869</v>
      </c>
      <c r="X2872" s="2857">
        <v>869</v>
      </c>
      <c r="Y2872" s="696">
        <v>869</v>
      </c>
      <c r="Z2872" s="696">
        <v>869</v>
      </c>
      <c r="AA2872" s="696">
        <v>869</v>
      </c>
      <c r="AB2872" s="696">
        <v>869</v>
      </c>
      <c r="AC2872" s="696">
        <v>869</v>
      </c>
      <c r="AD2872" s="2857"/>
      <c r="AE2872" s="2857"/>
      <c r="AF2872" s="2857"/>
      <c r="AG2872" s="2857"/>
      <c r="AH2872" s="1942"/>
      <c r="AI2872" s="1942"/>
      <c r="AJ2872" s="1942"/>
      <c r="AK2872" s="1942"/>
      <c r="AL2872" s="1942"/>
      <c r="AM2872" s="1942"/>
      <c r="AN2872" s="1942"/>
      <c r="AO2872" s="1942"/>
      <c r="AP2872" s="1942"/>
      <c r="AQ2872" s="1942"/>
      <c r="AR2872" s="1942"/>
      <c r="AS2872" s="1942"/>
      <c r="AT2872" s="1942"/>
      <c r="AU2872" s="1942"/>
      <c r="AV2872" s="1942"/>
      <c r="AW2872" s="1942"/>
      <c r="AX2872" s="1942"/>
      <c r="AY2872" s="1942"/>
      <c r="AZ2872" s="1942"/>
      <c r="BA2872" s="1942"/>
      <c r="BB2872" s="575"/>
      <c r="BC2872" s="576"/>
      <c r="BD2872" s="678"/>
      <c r="BE2872" s="585"/>
    </row>
    <row r="2873" spans="1:57" s="1942" customFormat="1" ht="15" hidden="1" customHeight="1" outlineLevel="1" x14ac:dyDescent="0.25">
      <c r="A2873" s="2060"/>
      <c r="B2873" s="123"/>
      <c r="C2873" s="328"/>
      <c r="D2873" s="3990"/>
      <c r="E2873" s="4009"/>
      <c r="F2873" s="3010" t="str">
        <f>$E$1681</f>
        <v>ASHP-SEER19-Replace_CAC_NonElectricHeat_ER1_SF</v>
      </c>
      <c r="G2873" s="2676"/>
      <c r="H2873" s="2676"/>
      <c r="I2873" s="2677"/>
      <c r="J2873" s="3298" t="str">
        <f>$C$1681</f>
        <v>354410_2021_12_</v>
      </c>
      <c r="K2873" s="3158">
        <v>869</v>
      </c>
      <c r="L2873" s="851"/>
      <c r="M2873" s="3252" t="s">
        <v>1011</v>
      </c>
      <c r="N2873" s="123"/>
      <c r="O2873" s="228"/>
      <c r="P2873" s="844"/>
      <c r="Q2873" s="845"/>
      <c r="R2873" s="844"/>
      <c r="S2873" s="832"/>
      <c r="T2873" s="3082"/>
      <c r="U2873" s="123"/>
      <c r="V2873" s="3990"/>
      <c r="W2873" s="2857"/>
      <c r="X2873" s="2857"/>
      <c r="Y2873" s="696"/>
      <c r="Z2873" s="696"/>
      <c r="AA2873" s="696"/>
      <c r="AB2873" s="696"/>
      <c r="AC2873" s="3158">
        <v>869</v>
      </c>
      <c r="AD2873" s="2857"/>
      <c r="AE2873" s="2857"/>
      <c r="AF2873" s="2857"/>
      <c r="AG2873" s="2857"/>
      <c r="BB2873" s="575"/>
      <c r="BC2873" s="576"/>
      <c r="BD2873" s="678"/>
      <c r="BE2873" s="585"/>
    </row>
    <row r="2874" spans="1:57" s="1942" customFormat="1" ht="15" hidden="1" customHeight="1" outlineLevel="1" x14ac:dyDescent="0.25">
      <c r="A2874" s="2060"/>
      <c r="B2874" s="123"/>
      <c r="C2874" s="328"/>
      <c r="D2874" s="3990"/>
      <c r="E2874" s="4009"/>
      <c r="F2874" s="3010" t="str">
        <f>$E$1683</f>
        <v>ASHP-SEER19-Replace_CAC_NonElectricHeat_ER2_SF</v>
      </c>
      <c r="G2874" s="2676"/>
      <c r="H2874" s="2676"/>
      <c r="I2874" s="2677"/>
      <c r="J2874" s="3298" t="str">
        <f>$C$1683</f>
        <v>354410_2021_12_</v>
      </c>
      <c r="K2874" s="3158">
        <v>869</v>
      </c>
      <c r="L2874" s="851"/>
      <c r="M2874" s="3252" t="s">
        <v>1011</v>
      </c>
      <c r="N2874" s="123"/>
      <c r="O2874" s="228"/>
      <c r="P2874" s="844"/>
      <c r="Q2874" s="845"/>
      <c r="R2874" s="844"/>
      <c r="S2874" s="832"/>
      <c r="T2874" s="3082"/>
      <c r="U2874" s="123"/>
      <c r="V2874" s="3990"/>
      <c r="W2874" s="2857"/>
      <c r="X2874" s="2857"/>
      <c r="Y2874" s="696"/>
      <c r="Z2874" s="696"/>
      <c r="AA2874" s="696"/>
      <c r="AB2874" s="696"/>
      <c r="AC2874" s="3158">
        <v>869</v>
      </c>
      <c r="AD2874" s="2857"/>
      <c r="AE2874" s="2857"/>
      <c r="AF2874" s="2857"/>
      <c r="AG2874" s="2857"/>
      <c r="BB2874" s="575"/>
      <c r="BC2874" s="576"/>
      <c r="BD2874" s="678"/>
      <c r="BE2874" s="585"/>
    </row>
    <row r="2875" spans="1:57" s="51" customFormat="1" ht="15" hidden="1" customHeight="1" outlineLevel="1" x14ac:dyDescent="0.25">
      <c r="A2875" s="2060"/>
      <c r="B2875" s="123"/>
      <c r="C2875" s="328"/>
      <c r="D2875" s="3990"/>
      <c r="E2875" s="4009"/>
      <c r="F2875" s="3010" t="str">
        <f>$E$1685</f>
        <v>ASHP-SEER19-Replace_CAC_ElectricHeat_ER1_MF</v>
      </c>
      <c r="G2875" s="2676"/>
      <c r="H2875" s="2676"/>
      <c r="I2875" s="2677"/>
      <c r="J2875" s="3299" t="str">
        <f>$C$1685</f>
        <v>354450_2019_12_</v>
      </c>
      <c r="K2875" s="696">
        <v>869</v>
      </c>
      <c r="L2875" s="851"/>
      <c r="M2875" s="3252" t="s">
        <v>1011</v>
      </c>
      <c r="N2875" s="123"/>
      <c r="O2875" s="228"/>
      <c r="P2875" s="844"/>
      <c r="Q2875" s="845"/>
      <c r="R2875" s="844"/>
      <c r="S2875" s="832"/>
      <c r="T2875" s="3082"/>
      <c r="U2875" s="123"/>
      <c r="V2875" s="3990"/>
      <c r="W2875" s="2857">
        <v>869</v>
      </c>
      <c r="X2875" s="2857">
        <v>869</v>
      </c>
      <c r="Y2875" s="696">
        <v>869</v>
      </c>
      <c r="Z2875" s="696">
        <v>869</v>
      </c>
      <c r="AA2875" s="696">
        <v>869</v>
      </c>
      <c r="AB2875" s="696">
        <v>869</v>
      </c>
      <c r="AC2875" s="696">
        <v>869</v>
      </c>
      <c r="AD2875" s="2857"/>
      <c r="AE2875" s="2857"/>
      <c r="AF2875" s="2857"/>
      <c r="AG2875" s="2857"/>
      <c r="AH2875" s="1942"/>
      <c r="AI2875" s="1942"/>
      <c r="AJ2875" s="1942"/>
      <c r="AK2875" s="1942"/>
      <c r="AL2875" s="1942"/>
      <c r="AM2875" s="1942"/>
      <c r="AN2875" s="1942"/>
      <c r="AO2875" s="1942"/>
      <c r="AP2875" s="1942"/>
      <c r="AQ2875" s="1942"/>
      <c r="AR2875" s="1942"/>
      <c r="AS2875" s="1942"/>
      <c r="AT2875" s="1942"/>
      <c r="AU2875" s="1942"/>
      <c r="AV2875" s="1942"/>
      <c r="AW2875" s="1942"/>
      <c r="AX2875" s="1942"/>
      <c r="AY2875" s="1942"/>
      <c r="AZ2875" s="1942"/>
      <c r="BA2875" s="1942"/>
      <c r="BB2875" s="575"/>
      <c r="BC2875" s="576"/>
      <c r="BD2875" s="678"/>
      <c r="BE2875" s="585"/>
    </row>
    <row r="2876" spans="1:57" s="51" customFormat="1" ht="15" hidden="1" customHeight="1" outlineLevel="1" x14ac:dyDescent="0.25">
      <c r="A2876" s="2060"/>
      <c r="B2876" s="123"/>
      <c r="C2876" s="328"/>
      <c r="D2876" s="3990"/>
      <c r="E2876" s="4009"/>
      <c r="F2876" s="3010" t="str">
        <f>$E$1687</f>
        <v>ASHP-SEER19-Replace_CAC_ElectricHeat_ER2_MF</v>
      </c>
      <c r="G2876" s="2676"/>
      <c r="H2876" s="2676"/>
      <c r="I2876" s="2677"/>
      <c r="J2876" s="3299" t="str">
        <f>$C$1687</f>
        <v>354450_2019_12_</v>
      </c>
      <c r="K2876" s="696">
        <v>869</v>
      </c>
      <c r="L2876" s="851"/>
      <c r="M2876" s="3252" t="s">
        <v>1011</v>
      </c>
      <c r="N2876" s="123"/>
      <c r="O2876" s="228"/>
      <c r="P2876" s="844"/>
      <c r="Q2876" s="845"/>
      <c r="R2876" s="844"/>
      <c r="S2876" s="832"/>
      <c r="T2876" s="3082"/>
      <c r="U2876" s="123"/>
      <c r="V2876" s="3990"/>
      <c r="W2876" s="2857">
        <v>869</v>
      </c>
      <c r="X2876" s="2857">
        <v>869</v>
      </c>
      <c r="Y2876" s="696">
        <v>869</v>
      </c>
      <c r="Z2876" s="696">
        <v>869</v>
      </c>
      <c r="AA2876" s="696">
        <v>869</v>
      </c>
      <c r="AB2876" s="696">
        <v>869</v>
      </c>
      <c r="AC2876" s="696">
        <v>869</v>
      </c>
      <c r="AD2876" s="2857"/>
      <c r="AE2876" s="2857"/>
      <c r="AF2876" s="2857"/>
      <c r="AG2876" s="2857"/>
      <c r="AH2876" s="1942"/>
      <c r="AI2876" s="1942"/>
      <c r="AJ2876" s="1942"/>
      <c r="AK2876" s="1942"/>
      <c r="AL2876" s="1942"/>
      <c r="AM2876" s="1942"/>
      <c r="AN2876" s="1942"/>
      <c r="AO2876" s="1942"/>
      <c r="AP2876" s="1942"/>
      <c r="AQ2876" s="1942"/>
      <c r="AR2876" s="1942"/>
      <c r="AS2876" s="1942"/>
      <c r="AT2876" s="1942"/>
      <c r="AU2876" s="1942"/>
      <c r="AV2876" s="1942"/>
      <c r="AW2876" s="1942"/>
      <c r="AX2876" s="1942"/>
      <c r="AY2876" s="1942"/>
      <c r="AZ2876" s="1942"/>
      <c r="BA2876" s="1942"/>
      <c r="BB2876" s="575"/>
      <c r="BC2876" s="576"/>
      <c r="BD2876" s="678"/>
      <c r="BE2876" s="585"/>
    </row>
    <row r="2877" spans="1:57" s="51" customFormat="1" ht="15" hidden="1" customHeight="1" outlineLevel="1" x14ac:dyDescent="0.25">
      <c r="A2877" s="2060"/>
      <c r="B2877" s="123"/>
      <c r="C2877" s="328"/>
      <c r="D2877" s="3990"/>
      <c r="E2877" s="4009"/>
      <c r="F2877" s="3010" t="str">
        <f>$E$1689</f>
        <v>ASHP-SEER19-Replace_CAC_ElectricHeat_ER1_MF_CompE</v>
      </c>
      <c r="G2877" s="2676"/>
      <c r="H2877" s="2676"/>
      <c r="I2877" s="2677"/>
      <c r="J2877" s="3299" t="str">
        <f>$C$1689</f>
        <v>354451_2019_12_</v>
      </c>
      <c r="K2877" s="696">
        <f>$K$2755</f>
        <v>632</v>
      </c>
      <c r="L2877" s="851"/>
      <c r="M2877" s="786" t="s">
        <v>528</v>
      </c>
      <c r="N2877" s="123"/>
      <c r="O2877" s="228"/>
      <c r="P2877" s="844"/>
      <c r="Q2877" s="845"/>
      <c r="R2877" s="844"/>
      <c r="S2877" s="832"/>
      <c r="T2877" s="3082"/>
      <c r="U2877" s="123"/>
      <c r="V2877" s="3990"/>
      <c r="W2877" s="2857"/>
      <c r="X2877" s="2857"/>
      <c r="Y2877" s="3158">
        <f>$K$2755</f>
        <v>632</v>
      </c>
      <c r="Z2877" s="696">
        <f t="shared" ref="Z2877:AA2878" si="221">$K$2755</f>
        <v>632</v>
      </c>
      <c r="AA2877" s="696">
        <f t="shared" si="221"/>
        <v>632</v>
      </c>
      <c r="AB2877" s="696">
        <v>632</v>
      </c>
      <c r="AC2877" s="696">
        <f>$K$2755</f>
        <v>632</v>
      </c>
      <c r="AD2877" s="2857"/>
      <c r="AE2877" s="2857"/>
      <c r="AF2877" s="2857"/>
      <c r="AG2877" s="2857"/>
      <c r="AH2877" s="1942"/>
      <c r="AI2877" s="1942"/>
      <c r="AJ2877" s="1942"/>
      <c r="AK2877" s="1942"/>
      <c r="AL2877" s="1942"/>
      <c r="AM2877" s="1942"/>
      <c r="AN2877" s="1942"/>
      <c r="AO2877" s="1942"/>
      <c r="AP2877" s="1942"/>
      <c r="AQ2877" s="1942"/>
      <c r="AR2877" s="1942"/>
      <c r="AS2877" s="1942"/>
      <c r="AT2877" s="1942"/>
      <c r="AU2877" s="1942"/>
      <c r="AV2877" s="1942"/>
      <c r="AW2877" s="1942"/>
      <c r="AX2877" s="1942"/>
      <c r="AY2877" s="1942"/>
      <c r="AZ2877" s="1942"/>
      <c r="BA2877" s="1942"/>
      <c r="BB2877" s="575"/>
      <c r="BC2877" s="576"/>
      <c r="BD2877" s="678"/>
      <c r="BE2877" s="585"/>
    </row>
    <row r="2878" spans="1:57" s="51" customFormat="1" ht="15" hidden="1" customHeight="1" outlineLevel="1" x14ac:dyDescent="0.25">
      <c r="A2878" s="2060"/>
      <c r="B2878" s="123"/>
      <c r="C2878" s="328"/>
      <c r="D2878" s="3990"/>
      <c r="E2878" s="4009"/>
      <c r="F2878" s="3010" t="str">
        <f>$E$1691</f>
        <v>ASHP-SEER19-Replace_CAC_ElectricHeat_ER2_MF_CompE</v>
      </c>
      <c r="G2878" s="2676"/>
      <c r="H2878" s="2676"/>
      <c r="I2878" s="2677"/>
      <c r="J2878" s="3299" t="str">
        <f>$C$1691</f>
        <v>354451_2019_12_</v>
      </c>
      <c r="K2878" s="696">
        <f>$K$2755</f>
        <v>632</v>
      </c>
      <c r="L2878" s="851"/>
      <c r="M2878" s="786" t="s">
        <v>528</v>
      </c>
      <c r="N2878" s="123"/>
      <c r="O2878" s="228"/>
      <c r="P2878" s="844"/>
      <c r="Q2878" s="845"/>
      <c r="R2878" s="844"/>
      <c r="S2878" s="832"/>
      <c r="T2878" s="3082"/>
      <c r="U2878" s="123"/>
      <c r="V2878" s="3990"/>
      <c r="W2878" s="2857"/>
      <c r="X2878" s="2857"/>
      <c r="Y2878" s="3158">
        <f>$K$2755</f>
        <v>632</v>
      </c>
      <c r="Z2878" s="696">
        <f t="shared" si="221"/>
        <v>632</v>
      </c>
      <c r="AA2878" s="696">
        <f t="shared" si="221"/>
        <v>632</v>
      </c>
      <c r="AB2878" s="696">
        <v>632</v>
      </c>
      <c r="AC2878" s="696">
        <f>$K$2755</f>
        <v>632</v>
      </c>
      <c r="AD2878" s="2857"/>
      <c r="AE2878" s="2857"/>
      <c r="AF2878" s="2857"/>
      <c r="AG2878" s="2857"/>
      <c r="AH2878" s="1942"/>
      <c r="AI2878" s="1942"/>
      <c r="AJ2878" s="1942"/>
      <c r="AK2878" s="1942"/>
      <c r="AL2878" s="1942"/>
      <c r="AM2878" s="1942"/>
      <c r="AN2878" s="1942"/>
      <c r="AO2878" s="1942"/>
      <c r="AP2878" s="1942"/>
      <c r="AQ2878" s="1942"/>
      <c r="AR2878" s="1942"/>
      <c r="AS2878" s="1942"/>
      <c r="AT2878" s="1942"/>
      <c r="AU2878" s="1942"/>
      <c r="AV2878" s="1942"/>
      <c r="AW2878" s="1942"/>
      <c r="AX2878" s="1942"/>
      <c r="AY2878" s="1942"/>
      <c r="AZ2878" s="1942"/>
      <c r="BA2878" s="1942"/>
      <c r="BB2878" s="575"/>
      <c r="BC2878" s="576"/>
      <c r="BD2878" s="678"/>
      <c r="BE2878" s="585"/>
    </row>
    <row r="2879" spans="1:57" s="1942" customFormat="1" ht="15" hidden="1" customHeight="1" outlineLevel="1" x14ac:dyDescent="0.25">
      <c r="A2879" s="2060"/>
      <c r="B2879" s="123"/>
      <c r="C2879" s="328"/>
      <c r="D2879" s="3990"/>
      <c r="E2879" s="4009"/>
      <c r="F2879" s="3010" t="str">
        <f>$E$1693</f>
        <v>ASHP-SEER19-Replace_CAC_NonElectricHeat_ER1_MF</v>
      </c>
      <c r="G2879" s="2676"/>
      <c r="H2879" s="2676"/>
      <c r="I2879" s="2677"/>
      <c r="J2879" s="3298" t="str">
        <f>$C$1693</f>
        <v>354460_2021_12_</v>
      </c>
      <c r="K2879" s="3158">
        <v>869</v>
      </c>
      <c r="L2879" s="851"/>
      <c r="M2879" s="3252" t="s">
        <v>1011</v>
      </c>
      <c r="N2879" s="123"/>
      <c r="O2879" s="228"/>
      <c r="P2879" s="844"/>
      <c r="Q2879" s="845"/>
      <c r="R2879" s="844"/>
      <c r="S2879" s="832"/>
      <c r="T2879" s="3082"/>
      <c r="U2879" s="123"/>
      <c r="V2879" s="3990"/>
      <c r="W2879" s="2857"/>
      <c r="X2879" s="2857"/>
      <c r="Y2879" s="3158"/>
      <c r="Z2879" s="696"/>
      <c r="AA2879" s="696"/>
      <c r="AB2879" s="696"/>
      <c r="AC2879" s="3158">
        <v>869</v>
      </c>
      <c r="AD2879" s="2857"/>
      <c r="AE2879" s="2857"/>
      <c r="AF2879" s="2857"/>
      <c r="AG2879" s="2857"/>
      <c r="BB2879" s="575"/>
      <c r="BC2879" s="576"/>
      <c r="BD2879" s="678"/>
      <c r="BE2879" s="585"/>
    </row>
    <row r="2880" spans="1:57" s="1942" customFormat="1" ht="15" hidden="1" customHeight="1" outlineLevel="1" x14ac:dyDescent="0.25">
      <c r="A2880" s="2060"/>
      <c r="B2880" s="123"/>
      <c r="C2880" s="328"/>
      <c r="D2880" s="3990"/>
      <c r="E2880" s="4009"/>
      <c r="F2880" s="3010" t="str">
        <f>$E$1695</f>
        <v>ASHP-SEER19-Replace_CAC_NonElectricHeat_ER2_MF</v>
      </c>
      <c r="G2880" s="2676"/>
      <c r="H2880" s="2676"/>
      <c r="I2880" s="2677"/>
      <c r="J2880" s="3298" t="str">
        <f>$C$1695</f>
        <v>354460_2021_12_</v>
      </c>
      <c r="K2880" s="3158">
        <v>869</v>
      </c>
      <c r="L2880" s="851"/>
      <c r="M2880" s="3252" t="s">
        <v>1011</v>
      </c>
      <c r="N2880" s="123"/>
      <c r="O2880" s="228"/>
      <c r="P2880" s="844"/>
      <c r="Q2880" s="845"/>
      <c r="R2880" s="844"/>
      <c r="S2880" s="832"/>
      <c r="T2880" s="3082"/>
      <c r="U2880" s="123"/>
      <c r="V2880" s="3990"/>
      <c r="W2880" s="2857"/>
      <c r="X2880" s="2857"/>
      <c r="Y2880" s="3158"/>
      <c r="Z2880" s="696"/>
      <c r="AA2880" s="696"/>
      <c r="AB2880" s="696"/>
      <c r="AC2880" s="3158">
        <v>869</v>
      </c>
      <c r="AD2880" s="2857"/>
      <c r="AE2880" s="2857"/>
      <c r="AF2880" s="2857"/>
      <c r="AG2880" s="2857"/>
      <c r="BB2880" s="575"/>
      <c r="BC2880" s="576"/>
      <c r="BD2880" s="678"/>
      <c r="BE2880" s="585"/>
    </row>
    <row r="2881" spans="1:57" s="1942" customFormat="1" ht="15" hidden="1" customHeight="1" outlineLevel="1" x14ac:dyDescent="0.25">
      <c r="A2881" s="2060"/>
      <c r="B2881" s="123"/>
      <c r="C2881" s="328"/>
      <c r="D2881" s="3990"/>
      <c r="E2881" s="4009"/>
      <c r="F2881" s="3010" t="str">
        <f>$E$1697</f>
        <v>ASHP-SEER19-Replace_CAC_NonElectricHeat_ER1_MF_CompE</v>
      </c>
      <c r="G2881" s="2676"/>
      <c r="H2881" s="2676"/>
      <c r="I2881" s="2677"/>
      <c r="J2881" s="3298" t="str">
        <f>$C$1697</f>
        <v>354461_2021_12_</v>
      </c>
      <c r="K2881" s="3158">
        <f>$K$2755</f>
        <v>632</v>
      </c>
      <c r="L2881" s="851"/>
      <c r="M2881" s="3253" t="s">
        <v>528</v>
      </c>
      <c r="N2881" s="123"/>
      <c r="O2881" s="228"/>
      <c r="P2881" s="844"/>
      <c r="Q2881" s="845"/>
      <c r="R2881" s="844"/>
      <c r="S2881" s="832"/>
      <c r="T2881" s="3082"/>
      <c r="U2881" s="123"/>
      <c r="V2881" s="3990"/>
      <c r="W2881" s="2857"/>
      <c r="X2881" s="2857"/>
      <c r="Y2881" s="3158"/>
      <c r="Z2881" s="696"/>
      <c r="AA2881" s="696"/>
      <c r="AB2881" s="696"/>
      <c r="AC2881" s="3158">
        <f>$K$2755</f>
        <v>632</v>
      </c>
      <c r="AD2881" s="2857"/>
      <c r="AE2881" s="2857"/>
      <c r="AF2881" s="2857"/>
      <c r="AG2881" s="2857"/>
      <c r="BB2881" s="575"/>
      <c r="BC2881" s="576"/>
      <c r="BD2881" s="678"/>
      <c r="BE2881" s="585"/>
    </row>
    <row r="2882" spans="1:57" s="1942" customFormat="1" ht="15" hidden="1" customHeight="1" outlineLevel="1" x14ac:dyDescent="0.25">
      <c r="A2882" s="2060"/>
      <c r="B2882" s="123"/>
      <c r="C2882" s="328"/>
      <c r="D2882" s="3990"/>
      <c r="E2882" s="4009"/>
      <c r="F2882" s="3010" t="str">
        <f>$E$1699</f>
        <v>ASHP-SEER19-Replace_CAC_NonElectricHeat_ER2_MF_CompE</v>
      </c>
      <c r="G2882" s="2676"/>
      <c r="H2882" s="2676"/>
      <c r="I2882" s="2677"/>
      <c r="J2882" s="3298" t="str">
        <f>$C$1699</f>
        <v>354461_2021_12_</v>
      </c>
      <c r="K2882" s="3158">
        <f>$K$2755</f>
        <v>632</v>
      </c>
      <c r="L2882" s="851"/>
      <c r="M2882" s="3253" t="s">
        <v>528</v>
      </c>
      <c r="N2882" s="123"/>
      <c r="O2882" s="228"/>
      <c r="P2882" s="844"/>
      <c r="Q2882" s="845"/>
      <c r="R2882" s="844"/>
      <c r="S2882" s="832"/>
      <c r="T2882" s="3082"/>
      <c r="U2882" s="123"/>
      <c r="V2882" s="3990"/>
      <c r="W2882" s="2857"/>
      <c r="X2882" s="2857"/>
      <c r="Y2882" s="3158"/>
      <c r="Z2882" s="696"/>
      <c r="AA2882" s="696"/>
      <c r="AB2882" s="696"/>
      <c r="AC2882" s="3158">
        <f>$K$2755</f>
        <v>632</v>
      </c>
      <c r="AD2882" s="2857"/>
      <c r="AE2882" s="2857"/>
      <c r="AF2882" s="2857"/>
      <c r="AG2882" s="2857"/>
      <c r="BB2882" s="575"/>
      <c r="BC2882" s="576"/>
      <c r="BD2882" s="678"/>
      <c r="BE2882" s="585"/>
    </row>
    <row r="2883" spans="1:57" s="51" customFormat="1" ht="15" hidden="1" customHeight="1" outlineLevel="1" x14ac:dyDescent="0.25">
      <c r="A2883" s="2060"/>
      <c r="B2883" s="123"/>
      <c r="C2883" s="328"/>
      <c r="D2883" s="3990"/>
      <c r="E2883" s="4009"/>
      <c r="F2883" s="3010" t="str">
        <f>$E$1701</f>
        <v>ASHP-SEER19_ER1_MF</v>
      </c>
      <c r="G2883" s="2676"/>
      <c r="H2883" s="2676"/>
      <c r="I2883" s="2677"/>
      <c r="J2883" s="3299" t="str">
        <f>$C$1701</f>
        <v>354500_2019_12_</v>
      </c>
      <c r="K2883" s="696">
        <v>869</v>
      </c>
      <c r="L2883" s="851"/>
      <c r="M2883" s="3252" t="s">
        <v>1011</v>
      </c>
      <c r="N2883" s="123"/>
      <c r="O2883" s="228"/>
      <c r="P2883" s="844"/>
      <c r="Q2883" s="845"/>
      <c r="R2883" s="844"/>
      <c r="S2883" s="832"/>
      <c r="T2883" s="3082"/>
      <c r="U2883" s="123"/>
      <c r="V2883" s="3990"/>
      <c r="W2883" s="2857">
        <v>869</v>
      </c>
      <c r="X2883" s="2857">
        <v>869</v>
      </c>
      <c r="Y2883" s="696">
        <v>869</v>
      </c>
      <c r="Z2883" s="696">
        <v>869</v>
      </c>
      <c r="AA2883" s="696">
        <v>869</v>
      </c>
      <c r="AB2883" s="696">
        <v>869</v>
      </c>
      <c r="AC2883" s="696">
        <v>869</v>
      </c>
      <c r="AD2883" s="2857"/>
      <c r="AE2883" s="2857"/>
      <c r="AF2883" s="2857"/>
      <c r="AG2883" s="2857"/>
      <c r="AH2883" s="1942"/>
      <c r="AI2883" s="1942"/>
      <c r="AJ2883" s="1942"/>
      <c r="AK2883" s="1942"/>
      <c r="AL2883" s="1942"/>
      <c r="AM2883" s="1942"/>
      <c r="AN2883" s="1942"/>
      <c r="AO2883" s="1942"/>
      <c r="AP2883" s="1942"/>
      <c r="AQ2883" s="1942"/>
      <c r="AR2883" s="1942"/>
      <c r="AS2883" s="1942"/>
      <c r="AT2883" s="1942"/>
      <c r="AU2883" s="1942"/>
      <c r="AV2883" s="1942"/>
      <c r="AW2883" s="1942"/>
      <c r="AX2883" s="1942"/>
      <c r="AY2883" s="1942"/>
      <c r="AZ2883" s="1942"/>
      <c r="BA2883" s="1942"/>
      <c r="BB2883" s="575"/>
      <c r="BC2883" s="576"/>
      <c r="BD2883" s="678"/>
      <c r="BE2883" s="585"/>
    </row>
    <row r="2884" spans="1:57" s="51" customFormat="1" ht="15" hidden="1" customHeight="1" outlineLevel="1" x14ac:dyDescent="0.25">
      <c r="A2884" s="2060"/>
      <c r="B2884" s="123"/>
      <c r="C2884" s="328"/>
      <c r="D2884" s="3990"/>
      <c r="E2884" s="4009"/>
      <c r="F2884" s="3010" t="str">
        <f>$E$1703</f>
        <v>ASHP-SEER19_ER2_MF</v>
      </c>
      <c r="G2884" s="2676"/>
      <c r="H2884" s="2676"/>
      <c r="I2884" s="2677"/>
      <c r="J2884" s="3299" t="str">
        <f>$C$1703</f>
        <v>354500_2019_12_</v>
      </c>
      <c r="K2884" s="696">
        <v>869</v>
      </c>
      <c r="L2884" s="851"/>
      <c r="M2884" s="3252" t="s">
        <v>1011</v>
      </c>
      <c r="N2884" s="123"/>
      <c r="O2884" s="228"/>
      <c r="P2884" s="844"/>
      <c r="Q2884" s="845"/>
      <c r="R2884" s="844"/>
      <c r="S2884" s="832"/>
      <c r="T2884" s="3082"/>
      <c r="U2884" s="123"/>
      <c r="V2884" s="3990"/>
      <c r="W2884" s="2857">
        <v>869</v>
      </c>
      <c r="X2884" s="2857">
        <v>869</v>
      </c>
      <c r="Y2884" s="696">
        <v>869</v>
      </c>
      <c r="Z2884" s="696">
        <v>869</v>
      </c>
      <c r="AA2884" s="696">
        <v>869</v>
      </c>
      <c r="AB2884" s="696">
        <v>869</v>
      </c>
      <c r="AC2884" s="696">
        <v>869</v>
      </c>
      <c r="AD2884" s="2857"/>
      <c r="AE2884" s="2857"/>
      <c r="AF2884" s="2857"/>
      <c r="AG2884" s="2857"/>
      <c r="AH2884" s="1942"/>
      <c r="AI2884" s="1942"/>
      <c r="AJ2884" s="1942"/>
      <c r="AK2884" s="1942"/>
      <c r="AL2884" s="1942"/>
      <c r="AM2884" s="1942"/>
      <c r="AN2884" s="1942"/>
      <c r="AO2884" s="1942"/>
      <c r="AP2884" s="1942"/>
      <c r="AQ2884" s="1942"/>
      <c r="AR2884" s="1942"/>
      <c r="AS2884" s="1942"/>
      <c r="AT2884" s="1942"/>
      <c r="AU2884" s="1942"/>
      <c r="AV2884" s="1942"/>
      <c r="AW2884" s="1942"/>
      <c r="AX2884" s="1942"/>
      <c r="AY2884" s="1942"/>
      <c r="AZ2884" s="1942"/>
      <c r="BA2884" s="1942"/>
      <c r="BB2884" s="575"/>
      <c r="BC2884" s="576"/>
      <c r="BD2884" s="678"/>
      <c r="BE2884" s="585"/>
    </row>
    <row r="2885" spans="1:57" s="51" customFormat="1" ht="15" hidden="1" customHeight="1" outlineLevel="1" x14ac:dyDescent="0.25">
      <c r="A2885" s="2060"/>
      <c r="B2885" s="123"/>
      <c r="C2885" s="328"/>
      <c r="D2885" s="3990"/>
      <c r="E2885" s="4009"/>
      <c r="F2885" s="3010" t="str">
        <f>$E$1705</f>
        <v>ASHP-SEER19_ER1_MF_CompE</v>
      </c>
      <c r="G2885" s="2676"/>
      <c r="H2885" s="2676"/>
      <c r="I2885" s="2677"/>
      <c r="J2885" s="3299" t="str">
        <f>$C$1705</f>
        <v>354501_2019_12_</v>
      </c>
      <c r="K2885" s="696">
        <f>$K$2755</f>
        <v>632</v>
      </c>
      <c r="L2885" s="851"/>
      <c r="M2885" s="786" t="s">
        <v>528</v>
      </c>
      <c r="N2885" s="123"/>
      <c r="O2885" s="228"/>
      <c r="P2885" s="844"/>
      <c r="Q2885" s="845"/>
      <c r="R2885" s="844"/>
      <c r="S2885" s="832"/>
      <c r="T2885" s="3082"/>
      <c r="U2885" s="123"/>
      <c r="V2885" s="3990"/>
      <c r="W2885" s="2857"/>
      <c r="X2885" s="2857"/>
      <c r="Y2885" s="3158">
        <f>$K$2755</f>
        <v>632</v>
      </c>
      <c r="Z2885" s="696">
        <f t="shared" ref="Z2885:AA2886" si="222">$K$2755</f>
        <v>632</v>
      </c>
      <c r="AA2885" s="696">
        <f t="shared" si="222"/>
        <v>632</v>
      </c>
      <c r="AB2885" s="696">
        <v>632</v>
      </c>
      <c r="AC2885" s="696">
        <f>$K$2755</f>
        <v>632</v>
      </c>
      <c r="AD2885" s="2857"/>
      <c r="AE2885" s="2857"/>
      <c r="AF2885" s="2857"/>
      <c r="AG2885" s="2857"/>
      <c r="AH2885" s="1942"/>
      <c r="AI2885" s="1942"/>
      <c r="AJ2885" s="1942"/>
      <c r="AK2885" s="1942"/>
      <c r="AL2885" s="1942"/>
      <c r="AM2885" s="1942"/>
      <c r="AN2885" s="1942"/>
      <c r="AO2885" s="1942"/>
      <c r="AP2885" s="1942"/>
      <c r="AQ2885" s="1942"/>
      <c r="AR2885" s="1942"/>
      <c r="AS2885" s="1942"/>
      <c r="AT2885" s="1942"/>
      <c r="AU2885" s="1942"/>
      <c r="AV2885" s="1942"/>
      <c r="AW2885" s="1942"/>
      <c r="AX2885" s="1942"/>
      <c r="AY2885" s="1942"/>
      <c r="AZ2885" s="1942"/>
      <c r="BA2885" s="1942"/>
      <c r="BB2885" s="575"/>
      <c r="BC2885" s="576"/>
      <c r="BD2885" s="678"/>
      <c r="BE2885" s="585"/>
    </row>
    <row r="2886" spans="1:57" s="51" customFormat="1" ht="15" hidden="1" customHeight="1" outlineLevel="1" x14ac:dyDescent="0.25">
      <c r="A2886" s="2060"/>
      <c r="B2886" s="123"/>
      <c r="C2886" s="328"/>
      <c r="D2886" s="3990"/>
      <c r="E2886" s="4009"/>
      <c r="F2886" s="3010" t="str">
        <f>$E$1707</f>
        <v>ASHP-SEER19_ER2_MF_CompE</v>
      </c>
      <c r="G2886" s="2676"/>
      <c r="H2886" s="2676"/>
      <c r="I2886" s="2677"/>
      <c r="J2886" s="3299" t="str">
        <f>$C$1707</f>
        <v>354501_2019_12_</v>
      </c>
      <c r="K2886" s="696">
        <f>$K$2755</f>
        <v>632</v>
      </c>
      <c r="L2886" s="851"/>
      <c r="M2886" s="786" t="s">
        <v>528</v>
      </c>
      <c r="N2886" s="123"/>
      <c r="O2886" s="228"/>
      <c r="P2886" s="844"/>
      <c r="Q2886" s="845"/>
      <c r="R2886" s="844"/>
      <c r="S2886" s="832"/>
      <c r="T2886" s="3082"/>
      <c r="U2886" s="123"/>
      <c r="V2886" s="3990"/>
      <c r="W2886" s="2857"/>
      <c r="X2886" s="2857"/>
      <c r="Y2886" s="3158">
        <f>$K$2755</f>
        <v>632</v>
      </c>
      <c r="Z2886" s="696">
        <f t="shared" si="222"/>
        <v>632</v>
      </c>
      <c r="AA2886" s="696">
        <f t="shared" si="222"/>
        <v>632</v>
      </c>
      <c r="AB2886" s="696">
        <v>632</v>
      </c>
      <c r="AC2886" s="696">
        <f>$K$2755</f>
        <v>632</v>
      </c>
      <c r="AD2886" s="2857"/>
      <c r="AE2886" s="2857"/>
      <c r="AF2886" s="2857"/>
      <c r="AG2886" s="2857"/>
      <c r="AH2886" s="1942"/>
      <c r="AI2886" s="1942"/>
      <c r="AJ2886" s="1942"/>
      <c r="AK2886" s="1942"/>
      <c r="AL2886" s="1942"/>
      <c r="AM2886" s="1942"/>
      <c r="AN2886" s="1942"/>
      <c r="AO2886" s="1942"/>
      <c r="AP2886" s="1942"/>
      <c r="AQ2886" s="1942"/>
      <c r="AR2886" s="1942"/>
      <c r="AS2886" s="1942"/>
      <c r="AT2886" s="1942"/>
      <c r="AU2886" s="1942"/>
      <c r="AV2886" s="1942"/>
      <c r="AW2886" s="1942"/>
      <c r="AX2886" s="1942"/>
      <c r="AY2886" s="1942"/>
      <c r="AZ2886" s="1942"/>
      <c r="BA2886" s="1942"/>
      <c r="BB2886" s="575"/>
      <c r="BC2886" s="576"/>
      <c r="BD2886" s="678"/>
      <c r="BE2886" s="585"/>
    </row>
    <row r="2887" spans="1:57" s="51" customFormat="1" ht="15" hidden="1" customHeight="1" outlineLevel="1" x14ac:dyDescent="0.25">
      <c r="A2887" s="2060"/>
      <c r="B2887" s="123"/>
      <c r="C2887" s="328"/>
      <c r="D2887" s="3990"/>
      <c r="E2887" s="4009"/>
      <c r="F2887" s="3010" t="str">
        <f>$E$1709</f>
        <v>ASHP-SEER20_ER1_SF</v>
      </c>
      <c r="G2887" s="2676"/>
      <c r="H2887" s="2676"/>
      <c r="I2887" s="2677"/>
      <c r="J2887" s="3298" t="str">
        <f>$C$1709</f>
        <v>354550_2021_12_</v>
      </c>
      <c r="K2887" s="696">
        <v>869</v>
      </c>
      <c r="L2887" s="851"/>
      <c r="M2887" s="3252" t="s">
        <v>1011</v>
      </c>
      <c r="N2887" s="123"/>
      <c r="O2887" s="228"/>
      <c r="P2887" s="844"/>
      <c r="Q2887" s="845"/>
      <c r="R2887" s="844"/>
      <c r="S2887" s="832"/>
      <c r="T2887" s="3082"/>
      <c r="U2887" s="123"/>
      <c r="V2887" s="3990"/>
      <c r="W2887" s="2857">
        <v>869</v>
      </c>
      <c r="X2887" s="2857">
        <v>869</v>
      </c>
      <c r="Y2887" s="696">
        <v>869</v>
      </c>
      <c r="Z2887" s="696">
        <v>869</v>
      </c>
      <c r="AA2887" s="696">
        <v>869</v>
      </c>
      <c r="AB2887" s="696">
        <v>869</v>
      </c>
      <c r="AC2887" s="696">
        <v>869</v>
      </c>
      <c r="AD2887" s="2857"/>
      <c r="AE2887" s="2857"/>
      <c r="AF2887" s="2857"/>
      <c r="AG2887" s="2857"/>
      <c r="AH2887" s="1942"/>
      <c r="AI2887" s="1942"/>
      <c r="AJ2887" s="1942"/>
      <c r="AK2887" s="1942"/>
      <c r="AL2887" s="1942"/>
      <c r="AM2887" s="1942"/>
      <c r="AN2887" s="1942"/>
      <c r="AO2887" s="1942"/>
      <c r="AP2887" s="1942"/>
      <c r="AQ2887" s="1942"/>
      <c r="AR2887" s="1942"/>
      <c r="AS2887" s="1942"/>
      <c r="AT2887" s="1942"/>
      <c r="AU2887" s="1942"/>
      <c r="AV2887" s="1942"/>
      <c r="AW2887" s="1942"/>
      <c r="AX2887" s="1942"/>
      <c r="AY2887" s="1942"/>
      <c r="AZ2887" s="1942"/>
      <c r="BA2887" s="1942"/>
      <c r="BB2887" s="575"/>
      <c r="BC2887" s="576"/>
      <c r="BD2887" s="678"/>
      <c r="BE2887" s="585"/>
    </row>
    <row r="2888" spans="1:57" s="51" customFormat="1" ht="15" hidden="1" customHeight="1" outlineLevel="1" x14ac:dyDescent="0.25">
      <c r="A2888" s="2060"/>
      <c r="B2888" s="123"/>
      <c r="C2888" s="328"/>
      <c r="D2888" s="3990"/>
      <c r="E2888" s="4009"/>
      <c r="F2888" s="3010" t="str">
        <f>$E$1711</f>
        <v>ASHP-SEER20_ER2_SF</v>
      </c>
      <c r="G2888" s="2676"/>
      <c r="H2888" s="2676"/>
      <c r="I2888" s="2677"/>
      <c r="J2888" s="3298" t="str">
        <f>$C$1711</f>
        <v>354550_2021_12_</v>
      </c>
      <c r="K2888" s="696">
        <v>869</v>
      </c>
      <c r="L2888" s="851"/>
      <c r="M2888" s="3252" t="s">
        <v>1011</v>
      </c>
      <c r="N2888" s="123"/>
      <c r="O2888" s="228"/>
      <c r="P2888" s="844"/>
      <c r="Q2888" s="845"/>
      <c r="R2888" s="844"/>
      <c r="S2888" s="832"/>
      <c r="T2888" s="3082"/>
      <c r="U2888" s="123"/>
      <c r="V2888" s="3990"/>
      <c r="W2888" s="2857">
        <v>869</v>
      </c>
      <c r="X2888" s="2857">
        <v>869</v>
      </c>
      <c r="Y2888" s="696">
        <v>869</v>
      </c>
      <c r="Z2888" s="696">
        <v>869</v>
      </c>
      <c r="AA2888" s="696">
        <v>869</v>
      </c>
      <c r="AB2888" s="696">
        <v>869</v>
      </c>
      <c r="AC2888" s="696">
        <v>869</v>
      </c>
      <c r="AD2888" s="2857"/>
      <c r="AE2888" s="2857"/>
      <c r="AF2888" s="2857"/>
      <c r="AG2888" s="2857"/>
      <c r="AH2888" s="1942"/>
      <c r="AI2888" s="1942"/>
      <c r="AJ2888" s="1942"/>
      <c r="AK2888" s="1942"/>
      <c r="AL2888" s="1942"/>
      <c r="AM2888" s="1942"/>
      <c r="AN2888" s="1942"/>
      <c r="AO2888" s="1942"/>
      <c r="AP2888" s="1942"/>
      <c r="AQ2888" s="1942"/>
      <c r="AR2888" s="1942"/>
      <c r="AS2888" s="1942"/>
      <c r="AT2888" s="1942"/>
      <c r="AU2888" s="1942"/>
      <c r="AV2888" s="1942"/>
      <c r="AW2888" s="1942"/>
      <c r="AX2888" s="1942"/>
      <c r="AY2888" s="1942"/>
      <c r="AZ2888" s="1942"/>
      <c r="BA2888" s="1942"/>
      <c r="BB2888" s="575"/>
      <c r="BC2888" s="576"/>
      <c r="BD2888" s="678"/>
      <c r="BE2888" s="585"/>
    </row>
    <row r="2889" spans="1:57" s="51" customFormat="1" ht="15" hidden="1" customHeight="1" outlineLevel="1" x14ac:dyDescent="0.25">
      <c r="A2889" s="2060"/>
      <c r="B2889" s="123"/>
      <c r="C2889" s="328"/>
      <c r="D2889" s="3990"/>
      <c r="E2889" s="4009"/>
      <c r="F2889" s="3010" t="str">
        <f>$E$1713</f>
        <v>ASHP-SEER20_ROF_SF</v>
      </c>
      <c r="G2889" s="2676"/>
      <c r="H2889" s="2676"/>
      <c r="I2889" s="2677"/>
      <c r="J2889" s="3298" t="str">
        <f>$C$1713</f>
        <v>354600_2021_12_</v>
      </c>
      <c r="K2889" s="696">
        <v>869</v>
      </c>
      <c r="L2889" s="851"/>
      <c r="M2889" s="3252" t="s">
        <v>1011</v>
      </c>
      <c r="N2889" s="123"/>
      <c r="O2889" s="228"/>
      <c r="P2889" s="844"/>
      <c r="Q2889" s="845"/>
      <c r="R2889" s="844"/>
      <c r="S2889" s="832"/>
      <c r="T2889" s="3082"/>
      <c r="U2889" s="123"/>
      <c r="V2889" s="3990"/>
      <c r="W2889" s="2857">
        <v>869</v>
      </c>
      <c r="X2889" s="2857">
        <v>869</v>
      </c>
      <c r="Y2889" s="696">
        <v>869</v>
      </c>
      <c r="Z2889" s="696">
        <v>869</v>
      </c>
      <c r="AA2889" s="696">
        <v>869</v>
      </c>
      <c r="AB2889" s="696">
        <v>869</v>
      </c>
      <c r="AC2889" s="696">
        <v>869</v>
      </c>
      <c r="AD2889" s="2857"/>
      <c r="AE2889" s="2857"/>
      <c r="AF2889" s="2857"/>
      <c r="AG2889" s="2857"/>
      <c r="AH2889" s="1942"/>
      <c r="AI2889" s="1942"/>
      <c r="AJ2889" s="1942"/>
      <c r="AK2889" s="1942"/>
      <c r="AL2889" s="1942"/>
      <c r="AM2889" s="1942"/>
      <c r="AN2889" s="1942"/>
      <c r="AO2889" s="1942"/>
      <c r="AP2889" s="1942"/>
      <c r="AQ2889" s="1942"/>
      <c r="AR2889" s="1942"/>
      <c r="AS2889" s="1942"/>
      <c r="AT2889" s="1942"/>
      <c r="AU2889" s="1942"/>
      <c r="AV2889" s="1942"/>
      <c r="AW2889" s="1942"/>
      <c r="AX2889" s="1942"/>
      <c r="AY2889" s="1942"/>
      <c r="AZ2889" s="1942"/>
      <c r="BA2889" s="1942"/>
      <c r="BB2889" s="575"/>
      <c r="BC2889" s="576"/>
      <c r="BD2889" s="678"/>
      <c r="BE2889" s="585"/>
    </row>
    <row r="2890" spans="1:57" s="51" customFormat="1" ht="15" hidden="1" customHeight="1" outlineLevel="1" x14ac:dyDescent="0.25">
      <c r="A2890" s="2060"/>
      <c r="B2890" s="123"/>
      <c r="C2890" s="328"/>
      <c r="D2890" s="3990"/>
      <c r="E2890" s="4009"/>
      <c r="F2890" s="3010" t="str">
        <f>$E$1715</f>
        <v>ASHP-SEER20-Replace_CAC_ElectricHeat_ER1_MF</v>
      </c>
      <c r="G2890" s="2676"/>
      <c r="H2890" s="2676"/>
      <c r="I2890" s="2677"/>
      <c r="J2890" s="3299" t="str">
        <f>$C$1715</f>
        <v>354650_2019_12_</v>
      </c>
      <c r="K2890" s="696">
        <v>869</v>
      </c>
      <c r="L2890" s="851"/>
      <c r="M2890" s="3252" t="s">
        <v>1011</v>
      </c>
      <c r="N2890" s="123"/>
      <c r="O2890" s="228"/>
      <c r="P2890" s="844"/>
      <c r="Q2890" s="845"/>
      <c r="R2890" s="844"/>
      <c r="S2890" s="832"/>
      <c r="T2890" s="3082"/>
      <c r="U2890" s="123"/>
      <c r="V2890" s="3990"/>
      <c r="W2890" s="2857">
        <v>869</v>
      </c>
      <c r="X2890" s="2857">
        <v>869</v>
      </c>
      <c r="Y2890" s="696">
        <v>869</v>
      </c>
      <c r="Z2890" s="696">
        <v>869</v>
      </c>
      <c r="AA2890" s="696">
        <v>869</v>
      </c>
      <c r="AB2890" s="696">
        <v>869</v>
      </c>
      <c r="AC2890" s="696">
        <v>869</v>
      </c>
      <c r="AD2890" s="2857"/>
      <c r="AE2890" s="2857"/>
      <c r="AF2890" s="2857"/>
      <c r="AG2890" s="2857"/>
      <c r="AH2890" s="1942"/>
      <c r="AI2890" s="1942"/>
      <c r="AJ2890" s="1942"/>
      <c r="AK2890" s="1942"/>
      <c r="AL2890" s="1942"/>
      <c r="AM2890" s="1942"/>
      <c r="AN2890" s="1942"/>
      <c r="AO2890" s="1942"/>
      <c r="AP2890" s="1942"/>
      <c r="AQ2890" s="1942"/>
      <c r="AR2890" s="1942"/>
      <c r="AS2890" s="1942"/>
      <c r="AT2890" s="1942"/>
      <c r="AU2890" s="1942"/>
      <c r="AV2890" s="1942"/>
      <c r="AW2890" s="1942"/>
      <c r="AX2890" s="1942"/>
      <c r="AY2890" s="1942"/>
      <c r="AZ2890" s="1942"/>
      <c r="BA2890" s="1942"/>
      <c r="BB2890" s="575"/>
      <c r="BC2890" s="576"/>
      <c r="BD2890" s="678"/>
      <c r="BE2890" s="585"/>
    </row>
    <row r="2891" spans="1:57" s="51" customFormat="1" ht="15" hidden="1" customHeight="1" outlineLevel="1" x14ac:dyDescent="0.25">
      <c r="A2891" s="2060"/>
      <c r="B2891" s="123"/>
      <c r="C2891" s="328"/>
      <c r="D2891" s="3990"/>
      <c r="E2891" s="4009"/>
      <c r="F2891" s="3010" t="str">
        <f>$E$1717</f>
        <v>ASHP-SEER20-Replace_CAC_ElectricHeat_ER2_MF</v>
      </c>
      <c r="G2891" s="2676"/>
      <c r="H2891" s="2676"/>
      <c r="I2891" s="2677"/>
      <c r="J2891" s="3299" t="str">
        <f>$C$1717</f>
        <v>354650_2019_12_</v>
      </c>
      <c r="K2891" s="696">
        <v>869</v>
      </c>
      <c r="L2891" s="851"/>
      <c r="M2891" s="3252" t="s">
        <v>1011</v>
      </c>
      <c r="N2891" s="123"/>
      <c r="O2891" s="228"/>
      <c r="P2891" s="844"/>
      <c r="Q2891" s="845"/>
      <c r="R2891" s="844"/>
      <c r="S2891" s="832"/>
      <c r="T2891" s="3082"/>
      <c r="U2891" s="123"/>
      <c r="V2891" s="3990"/>
      <c r="W2891" s="2857">
        <v>869</v>
      </c>
      <c r="X2891" s="2857">
        <v>869</v>
      </c>
      <c r="Y2891" s="696">
        <v>869</v>
      </c>
      <c r="Z2891" s="696">
        <v>869</v>
      </c>
      <c r="AA2891" s="696">
        <v>869</v>
      </c>
      <c r="AB2891" s="696">
        <v>869</v>
      </c>
      <c r="AC2891" s="696">
        <v>869</v>
      </c>
      <c r="AD2891" s="2857"/>
      <c r="AE2891" s="2857"/>
      <c r="AF2891" s="2857"/>
      <c r="AG2891" s="2857"/>
      <c r="AH2891" s="1942"/>
      <c r="AI2891" s="1942"/>
      <c r="AJ2891" s="1942"/>
      <c r="AK2891" s="1942"/>
      <c r="AL2891" s="1942"/>
      <c r="AM2891" s="1942"/>
      <c r="AN2891" s="1942"/>
      <c r="AO2891" s="1942"/>
      <c r="AP2891" s="1942"/>
      <c r="AQ2891" s="1942"/>
      <c r="AR2891" s="1942"/>
      <c r="AS2891" s="1942"/>
      <c r="AT2891" s="1942"/>
      <c r="AU2891" s="1942"/>
      <c r="AV2891" s="1942"/>
      <c r="AW2891" s="1942"/>
      <c r="AX2891" s="1942"/>
      <c r="AY2891" s="1942"/>
      <c r="AZ2891" s="1942"/>
      <c r="BA2891" s="1942"/>
      <c r="BB2891" s="575"/>
      <c r="BC2891" s="576"/>
      <c r="BD2891" s="678"/>
      <c r="BE2891" s="585"/>
    </row>
    <row r="2892" spans="1:57" s="51" customFormat="1" ht="15" hidden="1" customHeight="1" outlineLevel="1" x14ac:dyDescent="0.25">
      <c r="A2892" s="2060"/>
      <c r="B2892" s="123"/>
      <c r="C2892" s="328"/>
      <c r="D2892" s="3990"/>
      <c r="E2892" s="4009"/>
      <c r="F2892" s="3010" t="str">
        <f>$E$1719</f>
        <v>ASHP-SEER20-Replace_CAC_ElectricHeat_ER1_MF_CompE</v>
      </c>
      <c r="G2892" s="2676"/>
      <c r="H2892" s="2676"/>
      <c r="I2892" s="2677"/>
      <c r="J2892" s="3299" t="str">
        <f>$C$1719</f>
        <v>354651_2019_12_</v>
      </c>
      <c r="K2892" s="696">
        <f>$K$2755</f>
        <v>632</v>
      </c>
      <c r="L2892" s="851"/>
      <c r="M2892" s="786" t="s">
        <v>528</v>
      </c>
      <c r="N2892" s="123"/>
      <c r="O2892" s="228"/>
      <c r="P2892" s="844"/>
      <c r="Q2892" s="845"/>
      <c r="R2892" s="844"/>
      <c r="S2892" s="832"/>
      <c r="T2892" s="3082"/>
      <c r="U2892" s="123"/>
      <c r="V2892" s="3990"/>
      <c r="W2892" s="2857"/>
      <c r="X2892" s="2857"/>
      <c r="Y2892" s="3158">
        <f>$K$2755</f>
        <v>632</v>
      </c>
      <c r="Z2892" s="696">
        <f t="shared" ref="Z2892:AA2893" si="223">$K$2755</f>
        <v>632</v>
      </c>
      <c r="AA2892" s="696">
        <f t="shared" si="223"/>
        <v>632</v>
      </c>
      <c r="AB2892" s="696">
        <v>632</v>
      </c>
      <c r="AC2892" s="696">
        <f>$K$2755</f>
        <v>632</v>
      </c>
      <c r="AD2892" s="2857"/>
      <c r="AE2892" s="2857"/>
      <c r="AF2892" s="2857"/>
      <c r="AG2892" s="2857"/>
      <c r="AH2892" s="1942"/>
      <c r="AI2892" s="1942"/>
      <c r="AJ2892" s="1942"/>
      <c r="AK2892" s="1942"/>
      <c r="AL2892" s="1942"/>
      <c r="AM2892" s="1942"/>
      <c r="AN2892" s="1942"/>
      <c r="AO2892" s="1942"/>
      <c r="AP2892" s="1942"/>
      <c r="AQ2892" s="1942"/>
      <c r="AR2892" s="1942"/>
      <c r="AS2892" s="1942"/>
      <c r="AT2892" s="1942"/>
      <c r="AU2892" s="1942"/>
      <c r="AV2892" s="1942"/>
      <c r="AW2892" s="1942"/>
      <c r="AX2892" s="1942"/>
      <c r="AY2892" s="1942"/>
      <c r="AZ2892" s="1942"/>
      <c r="BA2892" s="1942"/>
      <c r="BB2892" s="575"/>
      <c r="BC2892" s="576"/>
      <c r="BD2892" s="678"/>
      <c r="BE2892" s="585"/>
    </row>
    <row r="2893" spans="1:57" s="51" customFormat="1" ht="15" hidden="1" customHeight="1" outlineLevel="1" x14ac:dyDescent="0.25">
      <c r="A2893" s="2060"/>
      <c r="B2893" s="123"/>
      <c r="C2893" s="328"/>
      <c r="D2893" s="3990"/>
      <c r="E2893" s="4009"/>
      <c r="F2893" s="3010" t="str">
        <f>$E$1721</f>
        <v>ASHP-SEER20-Replace_CAC_ElectricHeat_ER2_MF_CompE</v>
      </c>
      <c r="G2893" s="2676"/>
      <c r="H2893" s="2676"/>
      <c r="I2893" s="2677"/>
      <c r="J2893" s="3299" t="str">
        <f>$C$1721</f>
        <v>354651_2019_12_</v>
      </c>
      <c r="K2893" s="696">
        <f>$K$2755</f>
        <v>632</v>
      </c>
      <c r="L2893" s="851"/>
      <c r="M2893" s="786" t="s">
        <v>528</v>
      </c>
      <c r="N2893" s="123"/>
      <c r="O2893" s="228"/>
      <c r="P2893" s="844"/>
      <c r="Q2893" s="845"/>
      <c r="R2893" s="844"/>
      <c r="S2893" s="832"/>
      <c r="T2893" s="3082"/>
      <c r="U2893" s="123"/>
      <c r="V2893" s="3990"/>
      <c r="W2893" s="2857"/>
      <c r="X2893" s="2857"/>
      <c r="Y2893" s="3158">
        <f>$K$2755</f>
        <v>632</v>
      </c>
      <c r="Z2893" s="696">
        <f t="shared" si="223"/>
        <v>632</v>
      </c>
      <c r="AA2893" s="696">
        <f t="shared" si="223"/>
        <v>632</v>
      </c>
      <c r="AB2893" s="696">
        <v>632</v>
      </c>
      <c r="AC2893" s="696">
        <f>$K$2755</f>
        <v>632</v>
      </c>
      <c r="AD2893" s="2857"/>
      <c r="AE2893" s="2857"/>
      <c r="AF2893" s="2857"/>
      <c r="AG2893" s="2857"/>
      <c r="AH2893" s="1942"/>
      <c r="AI2893" s="1942"/>
      <c r="AJ2893" s="1942"/>
      <c r="AK2893" s="1942"/>
      <c r="AL2893" s="1942"/>
      <c r="AM2893" s="1942"/>
      <c r="AN2893" s="1942"/>
      <c r="AO2893" s="1942"/>
      <c r="AP2893" s="1942"/>
      <c r="AQ2893" s="1942"/>
      <c r="AR2893" s="1942"/>
      <c r="AS2893" s="1942"/>
      <c r="AT2893" s="1942"/>
      <c r="AU2893" s="1942"/>
      <c r="AV2893" s="1942"/>
      <c r="AW2893" s="1942"/>
      <c r="AX2893" s="1942"/>
      <c r="AY2893" s="1942"/>
      <c r="AZ2893" s="1942"/>
      <c r="BA2893" s="1942"/>
      <c r="BB2893" s="575"/>
      <c r="BC2893" s="576"/>
      <c r="BD2893" s="678"/>
      <c r="BE2893" s="585"/>
    </row>
    <row r="2894" spans="1:57" s="1942" customFormat="1" ht="15" hidden="1" customHeight="1" outlineLevel="1" x14ac:dyDescent="0.25">
      <c r="A2894" s="2060"/>
      <c r="B2894" s="123"/>
      <c r="C2894" s="328"/>
      <c r="D2894" s="3990"/>
      <c r="E2894" s="4009"/>
      <c r="F2894" s="3010" t="str">
        <f>$E$1723</f>
        <v>ASHP-SEER20-Replace_CAC_NonElectricHeat_ER1_MF</v>
      </c>
      <c r="G2894" s="2676"/>
      <c r="H2894" s="2676"/>
      <c r="I2894" s="2677"/>
      <c r="J2894" s="3298" t="str">
        <f>$C$1723</f>
        <v>354660_2021_12_</v>
      </c>
      <c r="K2894" s="3158">
        <v>869</v>
      </c>
      <c r="L2894" s="851"/>
      <c r="M2894" s="3252" t="s">
        <v>1011</v>
      </c>
      <c r="N2894" s="123"/>
      <c r="O2894" s="228"/>
      <c r="P2894" s="844"/>
      <c r="Q2894" s="845"/>
      <c r="R2894" s="844"/>
      <c r="S2894" s="832"/>
      <c r="T2894" s="3082"/>
      <c r="U2894" s="123"/>
      <c r="V2894" s="3990"/>
      <c r="W2894" s="2857"/>
      <c r="X2894" s="2857"/>
      <c r="Y2894" s="3158"/>
      <c r="Z2894" s="696"/>
      <c r="AA2894" s="696"/>
      <c r="AB2894" s="696"/>
      <c r="AC2894" s="3158">
        <v>869</v>
      </c>
      <c r="AD2894" s="2857"/>
      <c r="AE2894" s="2857"/>
      <c r="AF2894" s="2857"/>
      <c r="AG2894" s="2857"/>
      <c r="BB2894" s="575"/>
      <c r="BC2894" s="576"/>
      <c r="BD2894" s="678"/>
      <c r="BE2894" s="585"/>
    </row>
    <row r="2895" spans="1:57" s="1942" customFormat="1" ht="15" hidden="1" customHeight="1" outlineLevel="1" x14ac:dyDescent="0.25">
      <c r="A2895" s="2060"/>
      <c r="B2895" s="123"/>
      <c r="C2895" s="328"/>
      <c r="D2895" s="3990"/>
      <c r="E2895" s="4009"/>
      <c r="F2895" s="3010" t="str">
        <f>$E$1725</f>
        <v>ASHP-SEER20-Replace_CAC_NonElectricHeat_ER2_MF</v>
      </c>
      <c r="G2895" s="2676"/>
      <c r="H2895" s="2676"/>
      <c r="I2895" s="2677"/>
      <c r="J2895" s="3298" t="str">
        <f>$C$1725</f>
        <v>354660_2021_12_</v>
      </c>
      <c r="K2895" s="3158">
        <v>869</v>
      </c>
      <c r="L2895" s="851"/>
      <c r="M2895" s="3252" t="s">
        <v>1011</v>
      </c>
      <c r="N2895" s="123"/>
      <c r="O2895" s="228"/>
      <c r="P2895" s="844"/>
      <c r="Q2895" s="845"/>
      <c r="R2895" s="844"/>
      <c r="S2895" s="832"/>
      <c r="T2895" s="3082"/>
      <c r="U2895" s="123"/>
      <c r="V2895" s="3990"/>
      <c r="W2895" s="2857"/>
      <c r="X2895" s="2857"/>
      <c r="Y2895" s="3158"/>
      <c r="Z2895" s="696"/>
      <c r="AA2895" s="696"/>
      <c r="AB2895" s="696"/>
      <c r="AC2895" s="3158">
        <v>869</v>
      </c>
      <c r="AD2895" s="2857"/>
      <c r="AE2895" s="2857"/>
      <c r="AF2895" s="2857"/>
      <c r="AG2895" s="2857"/>
      <c r="BB2895" s="575"/>
      <c r="BC2895" s="576"/>
      <c r="BD2895" s="678"/>
      <c r="BE2895" s="585"/>
    </row>
    <row r="2896" spans="1:57" s="1942" customFormat="1" ht="15" hidden="1" customHeight="1" outlineLevel="1" x14ac:dyDescent="0.25">
      <c r="A2896" s="2060"/>
      <c r="B2896" s="123"/>
      <c r="C2896" s="328"/>
      <c r="D2896" s="3990"/>
      <c r="E2896" s="4009"/>
      <c r="F2896" s="3010" t="str">
        <f>$E$1727</f>
        <v>ASHP-SEER20-Replace_CAC_NonElectricHeat_ER1_MF_CompE</v>
      </c>
      <c r="G2896" s="2676"/>
      <c r="H2896" s="2676"/>
      <c r="I2896" s="2677"/>
      <c r="J2896" s="3298" t="str">
        <f>$C$1727</f>
        <v>354661_2021_12_</v>
      </c>
      <c r="K2896" s="3158">
        <f>$K$2755</f>
        <v>632</v>
      </c>
      <c r="L2896" s="851"/>
      <c r="M2896" s="3253" t="s">
        <v>528</v>
      </c>
      <c r="N2896" s="123"/>
      <c r="O2896" s="228"/>
      <c r="P2896" s="844"/>
      <c r="Q2896" s="845"/>
      <c r="R2896" s="844"/>
      <c r="S2896" s="832"/>
      <c r="T2896" s="3082"/>
      <c r="U2896" s="123"/>
      <c r="V2896" s="3990"/>
      <c r="W2896" s="2857"/>
      <c r="X2896" s="2857"/>
      <c r="Y2896" s="3158"/>
      <c r="Z2896" s="696"/>
      <c r="AA2896" s="696"/>
      <c r="AB2896" s="696"/>
      <c r="AC2896" s="3158">
        <f>$K$2755</f>
        <v>632</v>
      </c>
      <c r="AD2896" s="2857"/>
      <c r="AE2896" s="2857"/>
      <c r="AF2896" s="2857"/>
      <c r="AG2896" s="2857"/>
      <c r="BB2896" s="575"/>
      <c r="BC2896" s="576"/>
      <c r="BD2896" s="678"/>
      <c r="BE2896" s="585"/>
    </row>
    <row r="2897" spans="1:57" s="1942" customFormat="1" ht="15" hidden="1" customHeight="1" outlineLevel="1" x14ac:dyDescent="0.25">
      <c r="A2897" s="2060"/>
      <c r="B2897" s="123"/>
      <c r="C2897" s="328"/>
      <c r="D2897" s="3990"/>
      <c r="E2897" s="4009"/>
      <c r="F2897" s="3010" t="str">
        <f>$E$1729</f>
        <v>ASHP-SEER20-Replace_CAC_NonElectricHeat_ER2_MF_CompE</v>
      </c>
      <c r="G2897" s="2676"/>
      <c r="H2897" s="2676"/>
      <c r="I2897" s="2677"/>
      <c r="J2897" s="3298" t="str">
        <f>$C$1729</f>
        <v>354661_2021_12_</v>
      </c>
      <c r="K2897" s="3158">
        <f>$K$2755</f>
        <v>632</v>
      </c>
      <c r="L2897" s="851"/>
      <c r="M2897" s="3253" t="s">
        <v>528</v>
      </c>
      <c r="N2897" s="123"/>
      <c r="O2897" s="228"/>
      <c r="P2897" s="844"/>
      <c r="Q2897" s="845"/>
      <c r="R2897" s="844"/>
      <c r="S2897" s="832"/>
      <c r="T2897" s="3082"/>
      <c r="U2897" s="123"/>
      <c r="V2897" s="3990"/>
      <c r="W2897" s="2857"/>
      <c r="X2897" s="2857"/>
      <c r="Y2897" s="3158"/>
      <c r="Z2897" s="696"/>
      <c r="AA2897" s="696"/>
      <c r="AB2897" s="696"/>
      <c r="AC2897" s="3158">
        <f>$K$2755</f>
        <v>632</v>
      </c>
      <c r="AD2897" s="2857"/>
      <c r="AE2897" s="2857"/>
      <c r="AF2897" s="2857"/>
      <c r="AG2897" s="2857"/>
      <c r="BB2897" s="575"/>
      <c r="BC2897" s="576"/>
      <c r="BD2897" s="678"/>
      <c r="BE2897" s="585"/>
    </row>
    <row r="2898" spans="1:57" s="51" customFormat="1" ht="15" hidden="1" customHeight="1" outlineLevel="1" x14ac:dyDescent="0.25">
      <c r="A2898" s="2060"/>
      <c r="B2898" s="123"/>
      <c r="C2898" s="328"/>
      <c r="D2898" s="3990"/>
      <c r="E2898" s="4009"/>
      <c r="F2898" s="3010" t="str">
        <f>$E$1731</f>
        <v>ASHP-SEER20_ER1_MF</v>
      </c>
      <c r="G2898" s="2676"/>
      <c r="H2898" s="2676"/>
      <c r="I2898" s="2677"/>
      <c r="J2898" s="3299" t="str">
        <f>$C$1731</f>
        <v>354700_2019_12_</v>
      </c>
      <c r="K2898" s="696">
        <v>869</v>
      </c>
      <c r="L2898" s="851"/>
      <c r="M2898" s="3252" t="s">
        <v>1011</v>
      </c>
      <c r="N2898" s="123"/>
      <c r="O2898" s="228"/>
      <c r="P2898" s="844"/>
      <c r="Q2898" s="845"/>
      <c r="R2898" s="844"/>
      <c r="S2898" s="832"/>
      <c r="T2898" s="3082"/>
      <c r="U2898" s="123"/>
      <c r="V2898" s="3990"/>
      <c r="W2898" s="2857">
        <v>869</v>
      </c>
      <c r="X2898" s="2857">
        <v>869</v>
      </c>
      <c r="Y2898" s="696">
        <v>869</v>
      </c>
      <c r="Z2898" s="696">
        <v>869</v>
      </c>
      <c r="AA2898" s="696">
        <v>869</v>
      </c>
      <c r="AB2898" s="696">
        <v>869</v>
      </c>
      <c r="AC2898" s="696">
        <v>869</v>
      </c>
      <c r="AD2898" s="2857"/>
      <c r="AE2898" s="2857"/>
      <c r="AF2898" s="2857"/>
      <c r="AG2898" s="2857"/>
      <c r="AH2898" s="1942"/>
      <c r="AI2898" s="1942"/>
      <c r="AJ2898" s="1942"/>
      <c r="AK2898" s="1942"/>
      <c r="AL2898" s="1942"/>
      <c r="AM2898" s="1942"/>
      <c r="AN2898" s="1942"/>
      <c r="AO2898" s="1942"/>
      <c r="AP2898" s="1942"/>
      <c r="AQ2898" s="1942"/>
      <c r="AR2898" s="1942"/>
      <c r="AS2898" s="1942"/>
      <c r="AT2898" s="1942"/>
      <c r="AU2898" s="1942"/>
      <c r="AV2898" s="1942"/>
      <c r="AW2898" s="1942"/>
      <c r="AX2898" s="1942"/>
      <c r="AY2898" s="1942"/>
      <c r="AZ2898" s="1942"/>
      <c r="BA2898" s="1942"/>
      <c r="BB2898" s="575"/>
      <c r="BC2898" s="576"/>
      <c r="BD2898" s="678"/>
      <c r="BE2898" s="585"/>
    </row>
    <row r="2899" spans="1:57" s="51" customFormat="1" ht="15" hidden="1" customHeight="1" outlineLevel="1" x14ac:dyDescent="0.25">
      <c r="A2899" s="2060"/>
      <c r="B2899" s="123"/>
      <c r="C2899" s="328"/>
      <c r="D2899" s="3990"/>
      <c r="E2899" s="4009"/>
      <c r="F2899" s="3010" t="str">
        <f>$E$1733</f>
        <v>ASHP-SEER20_ER2_MF</v>
      </c>
      <c r="G2899" s="2676"/>
      <c r="H2899" s="2676"/>
      <c r="I2899" s="2677"/>
      <c r="J2899" s="3299" t="str">
        <f>$C$1733</f>
        <v>354700_2019_12_</v>
      </c>
      <c r="K2899" s="696">
        <v>869</v>
      </c>
      <c r="L2899" s="851"/>
      <c r="M2899" s="3252" t="s">
        <v>1011</v>
      </c>
      <c r="N2899" s="123"/>
      <c r="O2899" s="228"/>
      <c r="P2899" s="844"/>
      <c r="Q2899" s="845"/>
      <c r="R2899" s="844"/>
      <c r="S2899" s="832"/>
      <c r="T2899" s="3082"/>
      <c r="U2899" s="123"/>
      <c r="V2899" s="3990"/>
      <c r="W2899" s="2857">
        <v>869</v>
      </c>
      <c r="X2899" s="2857">
        <v>869</v>
      </c>
      <c r="Y2899" s="696">
        <v>869</v>
      </c>
      <c r="Z2899" s="696">
        <v>869</v>
      </c>
      <c r="AA2899" s="696">
        <v>869</v>
      </c>
      <c r="AB2899" s="696">
        <v>869</v>
      </c>
      <c r="AC2899" s="696">
        <v>869</v>
      </c>
      <c r="AD2899" s="2857"/>
      <c r="AE2899" s="2857"/>
      <c r="AF2899" s="2857"/>
      <c r="AG2899" s="2857"/>
      <c r="AH2899" s="1942"/>
      <c r="AI2899" s="1942"/>
      <c r="AJ2899" s="1942"/>
      <c r="AK2899" s="1942"/>
      <c r="AL2899" s="1942"/>
      <c r="AM2899" s="1942"/>
      <c r="AN2899" s="1942"/>
      <c r="AO2899" s="1942"/>
      <c r="AP2899" s="1942"/>
      <c r="AQ2899" s="1942"/>
      <c r="AR2899" s="1942"/>
      <c r="AS2899" s="1942"/>
      <c r="AT2899" s="1942"/>
      <c r="AU2899" s="1942"/>
      <c r="AV2899" s="1942"/>
      <c r="AW2899" s="1942"/>
      <c r="AX2899" s="1942"/>
      <c r="AY2899" s="1942"/>
      <c r="AZ2899" s="1942"/>
      <c r="BA2899" s="1942"/>
      <c r="BB2899" s="575"/>
      <c r="BC2899" s="576"/>
      <c r="BD2899" s="678"/>
      <c r="BE2899" s="585"/>
    </row>
    <row r="2900" spans="1:57" s="51" customFormat="1" ht="15" hidden="1" customHeight="1" outlineLevel="1" x14ac:dyDescent="0.25">
      <c r="A2900" s="2060"/>
      <c r="B2900" s="123"/>
      <c r="C2900" s="328"/>
      <c r="D2900" s="3990"/>
      <c r="E2900" s="4009"/>
      <c r="F2900" s="3010" t="str">
        <f>$E$1735</f>
        <v>ASHP-SEER20_ER1_MF_CompE</v>
      </c>
      <c r="G2900" s="2676"/>
      <c r="H2900" s="2676"/>
      <c r="I2900" s="2677"/>
      <c r="J2900" s="3299" t="str">
        <f>$C$1735</f>
        <v>354701_2019_12_</v>
      </c>
      <c r="K2900" s="696">
        <f>$K$2755</f>
        <v>632</v>
      </c>
      <c r="L2900" s="851"/>
      <c r="M2900" s="786" t="s">
        <v>528</v>
      </c>
      <c r="N2900" s="123"/>
      <c r="O2900" s="228"/>
      <c r="P2900" s="844"/>
      <c r="Q2900" s="845"/>
      <c r="R2900" s="844"/>
      <c r="S2900" s="832"/>
      <c r="T2900" s="3082"/>
      <c r="U2900" s="123"/>
      <c r="V2900" s="3990"/>
      <c r="W2900" s="2857"/>
      <c r="X2900" s="2857"/>
      <c r="Y2900" s="3158">
        <f>$K$2755</f>
        <v>632</v>
      </c>
      <c r="Z2900" s="696">
        <f t="shared" ref="Z2900:AA2901" si="224">$K$2755</f>
        <v>632</v>
      </c>
      <c r="AA2900" s="696">
        <f t="shared" si="224"/>
        <v>632</v>
      </c>
      <c r="AB2900" s="696">
        <v>632</v>
      </c>
      <c r="AC2900" s="696">
        <f>$K$2755</f>
        <v>632</v>
      </c>
      <c r="AD2900" s="2857"/>
      <c r="AE2900" s="2857"/>
      <c r="AF2900" s="2857"/>
      <c r="AG2900" s="2857"/>
      <c r="AH2900" s="1942"/>
      <c r="AI2900" s="1942"/>
      <c r="AJ2900" s="1942"/>
      <c r="AK2900" s="1942"/>
      <c r="AL2900" s="1942"/>
      <c r="AM2900" s="1942"/>
      <c r="AN2900" s="1942"/>
      <c r="AO2900" s="1942"/>
      <c r="AP2900" s="1942"/>
      <c r="AQ2900" s="1942"/>
      <c r="AR2900" s="1942"/>
      <c r="AS2900" s="1942"/>
      <c r="AT2900" s="1942"/>
      <c r="AU2900" s="1942"/>
      <c r="AV2900" s="1942"/>
      <c r="AW2900" s="1942"/>
      <c r="AX2900" s="1942"/>
      <c r="AY2900" s="1942"/>
      <c r="AZ2900" s="1942"/>
      <c r="BA2900" s="1942"/>
      <c r="BB2900" s="575"/>
      <c r="BC2900" s="576"/>
      <c r="BD2900" s="678"/>
      <c r="BE2900" s="585"/>
    </row>
    <row r="2901" spans="1:57" s="51" customFormat="1" ht="15" hidden="1" customHeight="1" outlineLevel="1" x14ac:dyDescent="0.25">
      <c r="A2901" s="2060"/>
      <c r="B2901" s="123"/>
      <c r="C2901" s="328"/>
      <c r="D2901" s="3990"/>
      <c r="E2901" s="4009"/>
      <c r="F2901" s="3010" t="str">
        <f>$E$1737</f>
        <v>ASHP-SEER20_ER2_MF_CompE</v>
      </c>
      <c r="G2901" s="2676"/>
      <c r="H2901" s="2676"/>
      <c r="I2901" s="2677"/>
      <c r="J2901" s="3299" t="str">
        <f>$C$1737</f>
        <v>354701_2019_12_</v>
      </c>
      <c r="K2901" s="696">
        <f>$K$2755</f>
        <v>632</v>
      </c>
      <c r="L2901" s="851"/>
      <c r="M2901" s="786" t="s">
        <v>528</v>
      </c>
      <c r="N2901" s="123"/>
      <c r="O2901" s="228"/>
      <c r="P2901" s="844"/>
      <c r="Q2901" s="845"/>
      <c r="R2901" s="844"/>
      <c r="S2901" s="832"/>
      <c r="T2901" s="3082"/>
      <c r="U2901" s="123"/>
      <c r="V2901" s="3990"/>
      <c r="W2901" s="2857"/>
      <c r="X2901" s="2857"/>
      <c r="Y2901" s="3158">
        <f>$K$2755</f>
        <v>632</v>
      </c>
      <c r="Z2901" s="696">
        <f t="shared" si="224"/>
        <v>632</v>
      </c>
      <c r="AA2901" s="696">
        <f t="shared" si="224"/>
        <v>632</v>
      </c>
      <c r="AB2901" s="696">
        <v>632</v>
      </c>
      <c r="AC2901" s="696">
        <f>$K$2755</f>
        <v>632</v>
      </c>
      <c r="AD2901" s="2857"/>
      <c r="AE2901" s="2857"/>
      <c r="AF2901" s="2857"/>
      <c r="AG2901" s="2857"/>
      <c r="AH2901" s="1942"/>
      <c r="AI2901" s="1942"/>
      <c r="AJ2901" s="1942"/>
      <c r="AK2901" s="1942"/>
      <c r="AL2901" s="1942"/>
      <c r="AM2901" s="1942"/>
      <c r="AN2901" s="1942"/>
      <c r="AO2901" s="1942"/>
      <c r="AP2901" s="1942"/>
      <c r="AQ2901" s="1942"/>
      <c r="AR2901" s="1942"/>
      <c r="AS2901" s="1942"/>
      <c r="AT2901" s="1942"/>
      <c r="AU2901" s="1942"/>
      <c r="AV2901" s="1942"/>
      <c r="AW2901" s="1942"/>
      <c r="AX2901" s="1942"/>
      <c r="AY2901" s="1942"/>
      <c r="AZ2901" s="1942"/>
      <c r="BA2901" s="1942"/>
      <c r="BB2901" s="575"/>
      <c r="BC2901" s="576"/>
      <c r="BD2901" s="678"/>
      <c r="BE2901" s="585"/>
    </row>
    <row r="2902" spans="1:57" s="51" customFormat="1" ht="15" hidden="1" customHeight="1" outlineLevel="1" x14ac:dyDescent="0.25">
      <c r="A2902" s="2060"/>
      <c r="B2902" s="123"/>
      <c r="C2902" s="328"/>
      <c r="D2902" s="3990"/>
      <c r="E2902" s="4009"/>
      <c r="F2902" s="3010" t="str">
        <f>$E$1739</f>
        <v>ASHP-SEER21_ER1_SF</v>
      </c>
      <c r="G2902" s="2676"/>
      <c r="H2902" s="2676"/>
      <c r="I2902" s="2677"/>
      <c r="J2902" s="3298" t="str">
        <f>$C$1739</f>
        <v>354750_2021_12_</v>
      </c>
      <c r="K2902" s="696">
        <v>869</v>
      </c>
      <c r="L2902" s="851"/>
      <c r="M2902" s="3252" t="s">
        <v>1011</v>
      </c>
      <c r="N2902" s="123"/>
      <c r="O2902" s="228"/>
      <c r="P2902" s="844"/>
      <c r="Q2902" s="845"/>
      <c r="R2902" s="844"/>
      <c r="S2902" s="832"/>
      <c r="T2902" s="3082"/>
      <c r="U2902" s="123"/>
      <c r="V2902" s="3990"/>
      <c r="W2902" s="2857">
        <v>869</v>
      </c>
      <c r="X2902" s="2857">
        <v>869</v>
      </c>
      <c r="Y2902" s="696">
        <v>869</v>
      </c>
      <c r="Z2902" s="696">
        <v>869</v>
      </c>
      <c r="AA2902" s="696">
        <v>869</v>
      </c>
      <c r="AB2902" s="696">
        <v>869</v>
      </c>
      <c r="AC2902" s="696">
        <v>869</v>
      </c>
      <c r="AD2902" s="2857"/>
      <c r="AE2902" s="2857"/>
      <c r="AF2902" s="2857"/>
      <c r="AG2902" s="2857"/>
      <c r="AH2902" s="1942"/>
      <c r="AI2902" s="1942"/>
      <c r="AJ2902" s="1942"/>
      <c r="AK2902" s="1942"/>
      <c r="AL2902" s="1942"/>
      <c r="AM2902" s="1942"/>
      <c r="AN2902" s="1942"/>
      <c r="AO2902" s="1942"/>
      <c r="AP2902" s="1942"/>
      <c r="AQ2902" s="1942"/>
      <c r="AR2902" s="1942"/>
      <c r="AS2902" s="1942"/>
      <c r="AT2902" s="1942"/>
      <c r="AU2902" s="1942"/>
      <c r="AV2902" s="1942"/>
      <c r="AW2902" s="1942"/>
      <c r="AX2902" s="1942"/>
      <c r="AY2902" s="1942"/>
      <c r="AZ2902" s="1942"/>
      <c r="BA2902" s="1942"/>
      <c r="BB2902" s="575"/>
      <c r="BC2902" s="576"/>
      <c r="BD2902" s="678"/>
      <c r="BE2902" s="585"/>
    </row>
    <row r="2903" spans="1:57" s="51" customFormat="1" ht="15" hidden="1" customHeight="1" outlineLevel="1" x14ac:dyDescent="0.25">
      <c r="A2903" s="2060"/>
      <c r="B2903" s="123"/>
      <c r="C2903" s="328"/>
      <c r="D2903" s="3990"/>
      <c r="E2903" s="4009"/>
      <c r="F2903" s="3010" t="str">
        <f>$E$1741</f>
        <v>ASHP-SEER21_ER2_SF</v>
      </c>
      <c r="G2903" s="2676"/>
      <c r="H2903" s="2676"/>
      <c r="I2903" s="2677"/>
      <c r="J2903" s="3298" t="str">
        <f>$C$1741</f>
        <v>354750_2021_12_</v>
      </c>
      <c r="K2903" s="696">
        <v>869</v>
      </c>
      <c r="L2903" s="851"/>
      <c r="M2903" s="3252" t="s">
        <v>1011</v>
      </c>
      <c r="N2903" s="123"/>
      <c r="O2903" s="228"/>
      <c r="P2903" s="844"/>
      <c r="Q2903" s="845"/>
      <c r="R2903" s="844"/>
      <c r="S2903" s="832"/>
      <c r="T2903" s="3082"/>
      <c r="U2903" s="123"/>
      <c r="V2903" s="3990"/>
      <c r="W2903" s="2857">
        <v>869</v>
      </c>
      <c r="X2903" s="2857">
        <v>869</v>
      </c>
      <c r="Y2903" s="696">
        <v>869</v>
      </c>
      <c r="Z2903" s="696">
        <v>869</v>
      </c>
      <c r="AA2903" s="696">
        <v>869</v>
      </c>
      <c r="AB2903" s="696">
        <v>869</v>
      </c>
      <c r="AC2903" s="696">
        <v>869</v>
      </c>
      <c r="AD2903" s="2857"/>
      <c r="AE2903" s="2857"/>
      <c r="AF2903" s="2857"/>
      <c r="AG2903" s="2857"/>
      <c r="AH2903" s="1942"/>
      <c r="AI2903" s="1942"/>
      <c r="AJ2903" s="1942"/>
      <c r="AK2903" s="1942"/>
      <c r="AL2903" s="1942"/>
      <c r="AM2903" s="1942"/>
      <c r="AN2903" s="1942"/>
      <c r="AO2903" s="1942"/>
      <c r="AP2903" s="1942"/>
      <c r="AQ2903" s="1942"/>
      <c r="AR2903" s="1942"/>
      <c r="AS2903" s="1942"/>
      <c r="AT2903" s="1942"/>
      <c r="AU2903" s="1942"/>
      <c r="AV2903" s="1942"/>
      <c r="AW2903" s="1942"/>
      <c r="AX2903" s="1942"/>
      <c r="AY2903" s="1942"/>
      <c r="AZ2903" s="1942"/>
      <c r="BA2903" s="1942"/>
      <c r="BB2903" s="575"/>
      <c r="BC2903" s="576"/>
      <c r="BD2903" s="678"/>
      <c r="BE2903" s="585"/>
    </row>
    <row r="2904" spans="1:57" s="51" customFormat="1" ht="15" hidden="1" customHeight="1" outlineLevel="1" x14ac:dyDescent="0.25">
      <c r="A2904" s="2060"/>
      <c r="B2904" s="123"/>
      <c r="C2904" s="328"/>
      <c r="D2904" s="3990"/>
      <c r="E2904" s="4009"/>
      <c r="F2904" s="3010" t="str">
        <f>$E$1743</f>
        <v>ASHP-SEER21_ROF_SF</v>
      </c>
      <c r="G2904" s="2676"/>
      <c r="H2904" s="2676"/>
      <c r="I2904" s="2677"/>
      <c r="J2904" s="3298" t="str">
        <f>$C$1743</f>
        <v>354800_2021_12_</v>
      </c>
      <c r="K2904" s="696">
        <v>869</v>
      </c>
      <c r="L2904" s="851"/>
      <c r="M2904" s="3252" t="s">
        <v>1011</v>
      </c>
      <c r="N2904" s="123"/>
      <c r="O2904" s="228"/>
      <c r="P2904" s="844"/>
      <c r="Q2904" s="845"/>
      <c r="R2904" s="844"/>
      <c r="S2904" s="832"/>
      <c r="T2904" s="3082"/>
      <c r="U2904" s="123"/>
      <c r="V2904" s="3990"/>
      <c r="W2904" s="2857">
        <v>869</v>
      </c>
      <c r="X2904" s="2857">
        <v>869</v>
      </c>
      <c r="Y2904" s="696">
        <v>869</v>
      </c>
      <c r="Z2904" s="696">
        <v>869</v>
      </c>
      <c r="AA2904" s="696">
        <v>869</v>
      </c>
      <c r="AB2904" s="696">
        <v>869</v>
      </c>
      <c r="AC2904" s="696">
        <v>869</v>
      </c>
      <c r="AD2904" s="2857"/>
      <c r="AE2904" s="2857"/>
      <c r="AF2904" s="2857"/>
      <c r="AG2904" s="2857"/>
      <c r="AH2904" s="1942"/>
      <c r="AI2904" s="1942"/>
      <c r="AJ2904" s="1942"/>
      <c r="AK2904" s="1942"/>
      <c r="AL2904" s="1942"/>
      <c r="AM2904" s="1942"/>
      <c r="AN2904" s="1942"/>
      <c r="AO2904" s="1942"/>
      <c r="AP2904" s="1942"/>
      <c r="AQ2904" s="1942"/>
      <c r="AR2904" s="1942"/>
      <c r="AS2904" s="1942"/>
      <c r="AT2904" s="1942"/>
      <c r="AU2904" s="1942"/>
      <c r="AV2904" s="1942"/>
      <c r="AW2904" s="1942"/>
      <c r="AX2904" s="1942"/>
      <c r="AY2904" s="1942"/>
      <c r="AZ2904" s="1942"/>
      <c r="BA2904" s="1942"/>
      <c r="BB2904" s="575"/>
      <c r="BC2904" s="576"/>
      <c r="BD2904" s="678"/>
      <c r="BE2904" s="585"/>
    </row>
    <row r="2905" spans="1:57" s="51" customFormat="1" ht="15" hidden="1" customHeight="1" outlineLevel="1" x14ac:dyDescent="0.25">
      <c r="A2905" s="2060"/>
      <c r="B2905" s="123"/>
      <c r="C2905" s="328"/>
      <c r="D2905" s="3990"/>
      <c r="E2905" s="4009"/>
      <c r="F2905" s="3010" t="str">
        <f>$E$1745</f>
        <v>ASHP-SEER21-Replace_CAC_ElectricHeat_ROF_MF</v>
      </c>
      <c r="G2905" s="2676"/>
      <c r="H2905" s="2676"/>
      <c r="I2905" s="2677"/>
      <c r="J2905" s="3299" t="str">
        <f>$C$1745</f>
        <v>354850_2019_12_</v>
      </c>
      <c r="K2905" s="696">
        <v>869</v>
      </c>
      <c r="L2905" s="851"/>
      <c r="M2905" s="3253" t="s">
        <v>528</v>
      </c>
      <c r="N2905" s="123"/>
      <c r="O2905" s="228"/>
      <c r="P2905" s="844"/>
      <c r="Q2905" s="845"/>
      <c r="R2905" s="844"/>
      <c r="S2905" s="832"/>
      <c r="T2905" s="3082"/>
      <c r="U2905" s="123"/>
      <c r="V2905" s="3990"/>
      <c r="W2905" s="2857">
        <v>869</v>
      </c>
      <c r="X2905" s="2857">
        <v>869</v>
      </c>
      <c r="Y2905" s="696">
        <v>869</v>
      </c>
      <c r="Z2905" s="696">
        <v>869</v>
      </c>
      <c r="AA2905" s="696">
        <v>869</v>
      </c>
      <c r="AB2905" s="696">
        <v>869</v>
      </c>
      <c r="AC2905" s="696">
        <v>869</v>
      </c>
      <c r="AD2905" s="2857"/>
      <c r="AE2905" s="2857"/>
      <c r="AF2905" s="2857"/>
      <c r="AG2905" s="2857"/>
      <c r="AH2905" s="1942"/>
      <c r="AI2905" s="1942"/>
      <c r="AJ2905" s="1942"/>
      <c r="AK2905" s="1942"/>
      <c r="AL2905" s="1942"/>
      <c r="AM2905" s="1942"/>
      <c r="AN2905" s="1942"/>
      <c r="AO2905" s="1942"/>
      <c r="AP2905" s="1942"/>
      <c r="AQ2905" s="1942"/>
      <c r="AR2905" s="1942"/>
      <c r="AS2905" s="1942"/>
      <c r="AT2905" s="1942"/>
      <c r="AU2905" s="1942"/>
      <c r="AV2905" s="1942"/>
      <c r="AW2905" s="1942"/>
      <c r="AX2905" s="1942"/>
      <c r="AY2905" s="1942"/>
      <c r="AZ2905" s="1942"/>
      <c r="BA2905" s="1942"/>
      <c r="BB2905" s="575"/>
      <c r="BC2905" s="576"/>
      <c r="BD2905" s="678"/>
      <c r="BE2905" s="585"/>
    </row>
    <row r="2906" spans="1:57" s="51" customFormat="1" ht="15" hidden="1" customHeight="1" outlineLevel="1" x14ac:dyDescent="0.25">
      <c r="A2906" s="2060"/>
      <c r="B2906" s="123"/>
      <c r="C2906" s="328"/>
      <c r="D2906" s="3990"/>
      <c r="E2906" s="4009"/>
      <c r="F2906" s="3010" t="str">
        <f>$E$1747</f>
        <v>ASHP-SEER21-Replace_CAC_ElectricHeat_ROF_MF_CompE</v>
      </c>
      <c r="G2906" s="2676"/>
      <c r="H2906" s="2676"/>
      <c r="I2906" s="2677"/>
      <c r="J2906" s="3299" t="str">
        <f>$C$1747</f>
        <v>354851_2019_12_</v>
      </c>
      <c r="K2906" s="696">
        <f>$K$2755</f>
        <v>632</v>
      </c>
      <c r="L2906" s="851"/>
      <c r="M2906" s="786" t="s">
        <v>528</v>
      </c>
      <c r="N2906" s="123"/>
      <c r="O2906" s="228"/>
      <c r="P2906" s="844"/>
      <c r="Q2906" s="845"/>
      <c r="R2906" s="844"/>
      <c r="S2906" s="832"/>
      <c r="T2906" s="3082"/>
      <c r="U2906" s="123"/>
      <c r="V2906" s="3990"/>
      <c r="W2906" s="2857"/>
      <c r="X2906" s="2857"/>
      <c r="Y2906" s="3158">
        <f>$K$2755</f>
        <v>632</v>
      </c>
      <c r="Z2906" s="696">
        <f t="shared" ref="Z2906:AA2906" si="225">$K$2755</f>
        <v>632</v>
      </c>
      <c r="AA2906" s="696">
        <f t="shared" si="225"/>
        <v>632</v>
      </c>
      <c r="AB2906" s="696">
        <v>632</v>
      </c>
      <c r="AC2906" s="696">
        <f>$K$2755</f>
        <v>632</v>
      </c>
      <c r="AD2906" s="2857"/>
      <c r="AE2906" s="2857"/>
      <c r="AF2906" s="2857"/>
      <c r="AG2906" s="2857"/>
      <c r="AH2906" s="1942"/>
      <c r="AI2906" s="1942"/>
      <c r="AJ2906" s="1942"/>
      <c r="AK2906" s="1942"/>
      <c r="AL2906" s="1942"/>
      <c r="AM2906" s="1942"/>
      <c r="AN2906" s="1942"/>
      <c r="AO2906" s="1942"/>
      <c r="AP2906" s="1942"/>
      <c r="AQ2906" s="1942"/>
      <c r="AR2906" s="1942"/>
      <c r="AS2906" s="1942"/>
      <c r="AT2906" s="1942"/>
      <c r="AU2906" s="1942"/>
      <c r="AV2906" s="1942"/>
      <c r="AW2906" s="1942"/>
      <c r="AX2906" s="1942"/>
      <c r="AY2906" s="1942"/>
      <c r="AZ2906" s="1942"/>
      <c r="BA2906" s="1942"/>
      <c r="BB2906" s="575"/>
      <c r="BC2906" s="576"/>
      <c r="BD2906" s="678"/>
      <c r="BE2906" s="585"/>
    </row>
    <row r="2907" spans="1:57" s="1942" customFormat="1" ht="15" hidden="1" customHeight="1" outlineLevel="1" x14ac:dyDescent="0.25">
      <c r="A2907" s="2060"/>
      <c r="B2907" s="123"/>
      <c r="C2907" s="328"/>
      <c r="D2907" s="3990"/>
      <c r="E2907" s="4009"/>
      <c r="F2907" s="3010" t="str">
        <f>$E$1749</f>
        <v>ASHP-SEER21-Replace_CAC_NonElectricHeat_ROF_MF</v>
      </c>
      <c r="G2907" s="2676"/>
      <c r="H2907" s="2676"/>
      <c r="I2907" s="2677"/>
      <c r="J2907" s="3298" t="str">
        <f>$C$1749</f>
        <v>354860_2021_12_</v>
      </c>
      <c r="K2907" s="3158">
        <v>869</v>
      </c>
      <c r="L2907" s="851"/>
      <c r="M2907" s="3252" t="s">
        <v>1011</v>
      </c>
      <c r="N2907" s="123"/>
      <c r="O2907" s="228"/>
      <c r="P2907" s="844"/>
      <c r="Q2907" s="845"/>
      <c r="R2907" s="844"/>
      <c r="S2907" s="832"/>
      <c r="T2907" s="3082"/>
      <c r="U2907" s="123"/>
      <c r="V2907" s="3990"/>
      <c r="W2907" s="2857"/>
      <c r="X2907" s="2857"/>
      <c r="Y2907" s="3158"/>
      <c r="Z2907" s="696"/>
      <c r="AA2907" s="696"/>
      <c r="AB2907" s="696"/>
      <c r="AC2907" s="3158">
        <v>869</v>
      </c>
      <c r="AD2907" s="2857"/>
      <c r="AE2907" s="2857"/>
      <c r="AF2907" s="2857"/>
      <c r="AG2907" s="2857"/>
      <c r="BB2907" s="575"/>
      <c r="BC2907" s="576"/>
      <c r="BD2907" s="678"/>
      <c r="BE2907" s="585"/>
    </row>
    <row r="2908" spans="1:57" s="1942" customFormat="1" ht="15" hidden="1" customHeight="1" outlineLevel="1" x14ac:dyDescent="0.25">
      <c r="A2908" s="2060"/>
      <c r="B2908" s="123"/>
      <c r="C2908" s="328"/>
      <c r="D2908" s="3990"/>
      <c r="E2908" s="4009"/>
      <c r="F2908" s="3010" t="str">
        <f>$E$1751</f>
        <v>ASHP-SEER21-Replace_CAC_NonElectricHeat_ROF_MF_CompE</v>
      </c>
      <c r="G2908" s="2676"/>
      <c r="H2908" s="2676"/>
      <c r="I2908" s="2677"/>
      <c r="J2908" s="3298" t="str">
        <f>$C$1751</f>
        <v>354861_2021_12_</v>
      </c>
      <c r="K2908" s="3158">
        <f>$K$2755</f>
        <v>632</v>
      </c>
      <c r="L2908" s="851"/>
      <c r="M2908" s="3253" t="s">
        <v>528</v>
      </c>
      <c r="N2908" s="123"/>
      <c r="O2908" s="228"/>
      <c r="P2908" s="844"/>
      <c r="Q2908" s="845"/>
      <c r="R2908" s="844"/>
      <c r="S2908" s="832"/>
      <c r="T2908" s="3082"/>
      <c r="U2908" s="123"/>
      <c r="V2908" s="3990"/>
      <c r="W2908" s="2857"/>
      <c r="X2908" s="2857"/>
      <c r="Y2908" s="3158"/>
      <c r="Z2908" s="696"/>
      <c r="AA2908" s="696"/>
      <c r="AB2908" s="696"/>
      <c r="AC2908" s="3158">
        <f>$K$2755</f>
        <v>632</v>
      </c>
      <c r="AD2908" s="2857"/>
      <c r="AE2908" s="2857"/>
      <c r="AF2908" s="2857"/>
      <c r="AG2908" s="2857"/>
      <c r="BB2908" s="575"/>
      <c r="BC2908" s="576"/>
      <c r="BD2908" s="678"/>
      <c r="BE2908" s="585"/>
    </row>
    <row r="2909" spans="1:57" s="51" customFormat="1" ht="15" hidden="1" customHeight="1" outlineLevel="1" x14ac:dyDescent="0.25">
      <c r="A2909" s="2060"/>
      <c r="B2909" s="123"/>
      <c r="C2909" s="328"/>
      <c r="D2909" s="3990"/>
      <c r="E2909" s="4009"/>
      <c r="F2909" s="3010" t="str">
        <f>$E$1753</f>
        <v>ASHP-SEER21_ER1_MF</v>
      </c>
      <c r="G2909" s="2676"/>
      <c r="H2909" s="2676"/>
      <c r="I2909" s="2677"/>
      <c r="J2909" s="3299" t="str">
        <f>$C$1753</f>
        <v>354900_2019_12_</v>
      </c>
      <c r="K2909" s="696">
        <v>869</v>
      </c>
      <c r="L2909" s="851"/>
      <c r="M2909" s="786" t="s">
        <v>528</v>
      </c>
      <c r="N2909" s="123"/>
      <c r="O2909" s="228"/>
      <c r="P2909" s="844"/>
      <c r="Q2909" s="845"/>
      <c r="R2909" s="844"/>
      <c r="S2909" s="832"/>
      <c r="T2909" s="3082"/>
      <c r="U2909" s="123"/>
      <c r="V2909" s="3990"/>
      <c r="W2909" s="2857">
        <v>869</v>
      </c>
      <c r="X2909" s="2857">
        <v>869</v>
      </c>
      <c r="Y2909" s="696">
        <v>869</v>
      </c>
      <c r="Z2909" s="696">
        <v>869</v>
      </c>
      <c r="AA2909" s="696">
        <v>869</v>
      </c>
      <c r="AB2909" s="696">
        <v>869</v>
      </c>
      <c r="AC2909" s="696">
        <v>869</v>
      </c>
      <c r="AD2909" s="2857"/>
      <c r="AE2909" s="2857"/>
      <c r="AF2909" s="2857"/>
      <c r="AG2909" s="2857"/>
      <c r="AH2909" s="1942"/>
      <c r="AI2909" s="1942"/>
      <c r="AJ2909" s="1942"/>
      <c r="AK2909" s="1942"/>
      <c r="AL2909" s="1942"/>
      <c r="AM2909" s="1942"/>
      <c r="AN2909" s="1942"/>
      <c r="AO2909" s="1942"/>
      <c r="AP2909" s="1942"/>
      <c r="AQ2909" s="1942"/>
      <c r="AR2909" s="1942"/>
      <c r="AS2909" s="1942"/>
      <c r="AT2909" s="1942"/>
      <c r="AU2909" s="1942"/>
      <c r="AV2909" s="1942"/>
      <c r="AW2909" s="1942"/>
      <c r="AX2909" s="1942"/>
      <c r="AY2909" s="1942"/>
      <c r="AZ2909" s="1942"/>
      <c r="BA2909" s="1942"/>
      <c r="BB2909" s="575"/>
      <c r="BC2909" s="576"/>
      <c r="BD2909" s="678"/>
      <c r="BE2909" s="585"/>
    </row>
    <row r="2910" spans="1:57" s="51" customFormat="1" ht="15" hidden="1" customHeight="1" outlineLevel="1" x14ac:dyDescent="0.25">
      <c r="A2910" s="2060"/>
      <c r="B2910" s="123"/>
      <c r="C2910" s="328"/>
      <c r="D2910" s="3990"/>
      <c r="E2910" s="4009"/>
      <c r="F2910" s="3010" t="str">
        <f>$E$1755</f>
        <v>ASHP-SEER21_ER2_MF</v>
      </c>
      <c r="G2910" s="2676"/>
      <c r="H2910" s="2676"/>
      <c r="I2910" s="2677"/>
      <c r="J2910" s="3299" t="str">
        <f>$C$1755</f>
        <v>354900_2019_12_</v>
      </c>
      <c r="K2910" s="696">
        <v>869</v>
      </c>
      <c r="L2910" s="851"/>
      <c r="M2910" s="3252" t="s">
        <v>1011</v>
      </c>
      <c r="N2910" s="123"/>
      <c r="O2910" s="228"/>
      <c r="P2910" s="844"/>
      <c r="Q2910" s="845"/>
      <c r="R2910" s="844"/>
      <c r="S2910" s="832"/>
      <c r="T2910" s="3082"/>
      <c r="U2910" s="123"/>
      <c r="V2910" s="3990"/>
      <c r="W2910" s="2857">
        <v>869</v>
      </c>
      <c r="X2910" s="2857">
        <v>869</v>
      </c>
      <c r="Y2910" s="696">
        <v>869</v>
      </c>
      <c r="Z2910" s="696">
        <v>869</v>
      </c>
      <c r="AA2910" s="696">
        <v>869</v>
      </c>
      <c r="AB2910" s="696">
        <v>869</v>
      </c>
      <c r="AC2910" s="696">
        <v>869</v>
      </c>
      <c r="AD2910" s="2857"/>
      <c r="AE2910" s="2857"/>
      <c r="AF2910" s="2857"/>
      <c r="AG2910" s="2857"/>
      <c r="AH2910" s="1942"/>
      <c r="AI2910" s="1942"/>
      <c r="AJ2910" s="1942"/>
      <c r="AK2910" s="1942"/>
      <c r="AL2910" s="1942"/>
      <c r="AM2910" s="1942"/>
      <c r="AN2910" s="1942"/>
      <c r="AO2910" s="1942"/>
      <c r="AP2910" s="1942"/>
      <c r="AQ2910" s="1942"/>
      <c r="AR2910" s="1942"/>
      <c r="AS2910" s="1942"/>
      <c r="AT2910" s="1942"/>
      <c r="AU2910" s="1942"/>
      <c r="AV2910" s="1942"/>
      <c r="AW2910" s="1942"/>
      <c r="AX2910" s="1942"/>
      <c r="AY2910" s="1942"/>
      <c r="AZ2910" s="1942"/>
      <c r="BA2910" s="1942"/>
      <c r="BB2910" s="575"/>
      <c r="BC2910" s="576"/>
      <c r="BD2910" s="678"/>
      <c r="BE2910" s="585"/>
    </row>
    <row r="2911" spans="1:57" s="51" customFormat="1" ht="15" hidden="1" customHeight="1" outlineLevel="1" x14ac:dyDescent="0.25">
      <c r="A2911" s="2060"/>
      <c r="B2911" s="123"/>
      <c r="C2911" s="328"/>
      <c r="D2911" s="3990"/>
      <c r="E2911" s="4009"/>
      <c r="F2911" s="3010" t="str">
        <f>$E$1757</f>
        <v>ASHP-SEER21_ER1_MF_CompE</v>
      </c>
      <c r="G2911" s="2676"/>
      <c r="H2911" s="2676"/>
      <c r="I2911" s="2677"/>
      <c r="J2911" s="3299" t="str">
        <f>$C$1757</f>
        <v>354901_2019_12_</v>
      </c>
      <c r="K2911" s="696">
        <f>$K$2755</f>
        <v>632</v>
      </c>
      <c r="L2911" s="851"/>
      <c r="M2911" s="786" t="s">
        <v>528</v>
      </c>
      <c r="N2911" s="123"/>
      <c r="O2911" s="228"/>
      <c r="P2911" s="844"/>
      <c r="Q2911" s="845"/>
      <c r="R2911" s="844"/>
      <c r="S2911" s="832"/>
      <c r="T2911" s="3082"/>
      <c r="U2911" s="123"/>
      <c r="V2911" s="3990"/>
      <c r="W2911" s="2857"/>
      <c r="X2911" s="2857"/>
      <c r="Y2911" s="3158">
        <f>$K$2755</f>
        <v>632</v>
      </c>
      <c r="Z2911" s="696">
        <f t="shared" ref="Z2911:AA2912" si="226">$K$2755</f>
        <v>632</v>
      </c>
      <c r="AA2911" s="696">
        <f t="shared" si="226"/>
        <v>632</v>
      </c>
      <c r="AB2911" s="696">
        <v>632</v>
      </c>
      <c r="AC2911" s="696">
        <f>$K$2755</f>
        <v>632</v>
      </c>
      <c r="AD2911" s="2857"/>
      <c r="AE2911" s="2857"/>
      <c r="AF2911" s="2857"/>
      <c r="AG2911" s="2857"/>
      <c r="AH2911" s="1942"/>
      <c r="AI2911" s="1942"/>
      <c r="AJ2911" s="1942"/>
      <c r="AK2911" s="1942"/>
      <c r="AL2911" s="1942"/>
      <c r="AM2911" s="1942"/>
      <c r="AN2911" s="1942"/>
      <c r="AO2911" s="1942"/>
      <c r="AP2911" s="1942"/>
      <c r="AQ2911" s="1942"/>
      <c r="AR2911" s="1942"/>
      <c r="AS2911" s="1942"/>
      <c r="AT2911" s="1942"/>
      <c r="AU2911" s="1942"/>
      <c r="AV2911" s="1942"/>
      <c r="AW2911" s="1942"/>
      <c r="AX2911" s="1942"/>
      <c r="AY2911" s="1942"/>
      <c r="AZ2911" s="1942"/>
      <c r="BA2911" s="1942"/>
      <c r="BB2911" s="575"/>
      <c r="BC2911" s="576"/>
      <c r="BD2911" s="678"/>
      <c r="BE2911" s="585"/>
    </row>
    <row r="2912" spans="1:57" s="51" customFormat="1" ht="15" hidden="1" customHeight="1" outlineLevel="1" x14ac:dyDescent="0.25">
      <c r="A2912" s="2060"/>
      <c r="B2912" s="123"/>
      <c r="C2912" s="328"/>
      <c r="D2912" s="3990"/>
      <c r="E2912" s="4009"/>
      <c r="F2912" s="3010" t="str">
        <f>$E$1759</f>
        <v>ASHP-SEER21_ER2_MF_CompE</v>
      </c>
      <c r="G2912" s="2676"/>
      <c r="H2912" s="2676"/>
      <c r="I2912" s="2677"/>
      <c r="J2912" s="3299" t="str">
        <f>$C$1759</f>
        <v>354901_2019_12_</v>
      </c>
      <c r="K2912" s="696">
        <f>$K$2755</f>
        <v>632</v>
      </c>
      <c r="L2912" s="851"/>
      <c r="M2912" s="786" t="s">
        <v>528</v>
      </c>
      <c r="N2912" s="123"/>
      <c r="O2912" s="228"/>
      <c r="P2912" s="844"/>
      <c r="Q2912" s="845"/>
      <c r="R2912" s="844"/>
      <c r="S2912" s="832"/>
      <c r="T2912" s="3082"/>
      <c r="U2912" s="123"/>
      <c r="V2912" s="3990"/>
      <c r="W2912" s="2857"/>
      <c r="X2912" s="2857"/>
      <c r="Y2912" s="3158">
        <f>$K$2755</f>
        <v>632</v>
      </c>
      <c r="Z2912" s="696">
        <f t="shared" si="226"/>
        <v>632</v>
      </c>
      <c r="AA2912" s="696">
        <f t="shared" si="226"/>
        <v>632</v>
      </c>
      <c r="AB2912" s="696">
        <v>632</v>
      </c>
      <c r="AC2912" s="696">
        <f>$K$2755</f>
        <v>632</v>
      </c>
      <c r="AD2912" s="2857"/>
      <c r="AE2912" s="2857"/>
      <c r="AF2912" s="2857"/>
      <c r="AG2912" s="2857"/>
      <c r="AH2912" s="1942"/>
      <c r="AI2912" s="1942"/>
      <c r="AJ2912" s="1942"/>
      <c r="AK2912" s="1942"/>
      <c r="AL2912" s="1942"/>
      <c r="AM2912" s="1942"/>
      <c r="AN2912" s="1942"/>
      <c r="AO2912" s="1942"/>
      <c r="AP2912" s="1942"/>
      <c r="AQ2912" s="1942"/>
      <c r="AR2912" s="1942"/>
      <c r="AS2912" s="1942"/>
      <c r="AT2912" s="1942"/>
      <c r="AU2912" s="1942"/>
      <c r="AV2912" s="1942"/>
      <c r="AW2912" s="1942"/>
      <c r="AX2912" s="1942"/>
      <c r="AY2912" s="1942"/>
      <c r="AZ2912" s="1942"/>
      <c r="BA2912" s="1942"/>
      <c r="BB2912" s="575"/>
      <c r="BC2912" s="576"/>
      <c r="BD2912" s="678"/>
      <c r="BE2912" s="585"/>
    </row>
    <row r="2913" spans="1:57" s="51" customFormat="1" ht="15" hidden="1" customHeight="1" outlineLevel="1" x14ac:dyDescent="0.25">
      <c r="A2913" s="2060"/>
      <c r="B2913" s="123"/>
      <c r="C2913" s="328"/>
      <c r="D2913" s="3990"/>
      <c r="E2913" s="4009"/>
      <c r="F2913" s="3010" t="str">
        <f>$E$1761</f>
        <v>ASHP-SEER17_ROF_MF</v>
      </c>
      <c r="G2913" s="2676"/>
      <c r="H2913" s="2676"/>
      <c r="I2913" s="2677"/>
      <c r="J2913" s="3299" t="str">
        <f>$C$1761</f>
        <v>354950_2019_12_</v>
      </c>
      <c r="K2913" s="696">
        <v>869</v>
      </c>
      <c r="L2913" s="851"/>
      <c r="M2913" s="858" t="s">
        <v>1011</v>
      </c>
      <c r="N2913" s="123"/>
      <c r="O2913" s="228"/>
      <c r="P2913" s="844"/>
      <c r="Q2913" s="845"/>
      <c r="R2913" s="844"/>
      <c r="S2913" s="832"/>
      <c r="T2913" s="3082"/>
      <c r="U2913" s="123"/>
      <c r="V2913" s="3990"/>
      <c r="W2913" s="2857">
        <v>869</v>
      </c>
      <c r="X2913" s="2857">
        <v>869</v>
      </c>
      <c r="Y2913" s="696">
        <v>869</v>
      </c>
      <c r="Z2913" s="696">
        <v>869</v>
      </c>
      <c r="AA2913" s="696">
        <v>869</v>
      </c>
      <c r="AB2913" s="696">
        <v>869</v>
      </c>
      <c r="AC2913" s="696">
        <v>869</v>
      </c>
      <c r="AD2913" s="2857"/>
      <c r="AE2913" s="2857"/>
      <c r="AF2913" s="2857"/>
      <c r="AG2913" s="2857"/>
      <c r="AH2913" s="1942"/>
      <c r="AI2913" s="1942"/>
      <c r="AJ2913" s="1942"/>
      <c r="AK2913" s="1942"/>
      <c r="AL2913" s="1942"/>
      <c r="AM2913" s="1942"/>
      <c r="AN2913" s="1942"/>
      <c r="AO2913" s="1942"/>
      <c r="AP2913" s="1942"/>
      <c r="AQ2913" s="1942"/>
      <c r="AR2913" s="1942"/>
      <c r="AS2913" s="1942"/>
      <c r="AT2913" s="1942"/>
      <c r="AU2913" s="1942"/>
      <c r="AV2913" s="1942"/>
      <c r="AW2913" s="1942"/>
      <c r="AX2913" s="1942"/>
      <c r="AY2913" s="1942"/>
      <c r="AZ2913" s="1942"/>
      <c r="BA2913" s="1942"/>
      <c r="BB2913" s="575"/>
      <c r="BC2913" s="576"/>
      <c r="BD2913" s="678"/>
      <c r="BE2913" s="585"/>
    </row>
    <row r="2914" spans="1:57" s="51" customFormat="1" ht="15" hidden="1" customHeight="1" outlineLevel="1" x14ac:dyDescent="0.25">
      <c r="A2914" s="2060"/>
      <c r="B2914" s="123"/>
      <c r="C2914" s="328"/>
      <c r="D2914" s="3990"/>
      <c r="E2914" s="4009"/>
      <c r="F2914" s="3010" t="str">
        <f>$E$1763</f>
        <v>ASHP-SEER17_ROF_MF_CompE</v>
      </c>
      <c r="G2914" s="2676"/>
      <c r="H2914" s="2676"/>
      <c r="I2914" s="2677"/>
      <c r="J2914" s="3299" t="str">
        <f>$C$1763</f>
        <v>354951_2019_12_</v>
      </c>
      <c r="K2914" s="696">
        <f>$K$2755</f>
        <v>632</v>
      </c>
      <c r="L2914" s="851"/>
      <c r="M2914" s="786" t="s">
        <v>528</v>
      </c>
      <c r="N2914" s="123"/>
      <c r="O2914" s="228"/>
      <c r="P2914" s="844"/>
      <c r="Q2914" s="845"/>
      <c r="R2914" s="844"/>
      <c r="S2914" s="832"/>
      <c r="T2914" s="3082"/>
      <c r="U2914" s="123"/>
      <c r="V2914" s="3990"/>
      <c r="W2914" s="2857"/>
      <c r="X2914" s="2857"/>
      <c r="Y2914" s="3158">
        <f>$K$2755</f>
        <v>632</v>
      </c>
      <c r="Z2914" s="696">
        <f t="shared" ref="Z2914:AA2914" si="227">$K$2755</f>
        <v>632</v>
      </c>
      <c r="AA2914" s="696">
        <f t="shared" si="227"/>
        <v>632</v>
      </c>
      <c r="AB2914" s="696">
        <v>632</v>
      </c>
      <c r="AC2914" s="696">
        <f>$K$2755</f>
        <v>632</v>
      </c>
      <c r="AD2914" s="2857"/>
      <c r="AE2914" s="2857"/>
      <c r="AF2914" s="2857"/>
      <c r="AG2914" s="2857"/>
      <c r="AH2914" s="1942"/>
      <c r="AI2914" s="1942"/>
      <c r="AJ2914" s="1942"/>
      <c r="AK2914" s="1942"/>
      <c r="AL2914" s="1942"/>
      <c r="AM2914" s="1942"/>
      <c r="AN2914" s="1942"/>
      <c r="AO2914" s="1942"/>
      <c r="AP2914" s="1942"/>
      <c r="AQ2914" s="1942"/>
      <c r="AR2914" s="1942"/>
      <c r="AS2914" s="1942"/>
      <c r="AT2914" s="1942"/>
      <c r="AU2914" s="1942"/>
      <c r="AV2914" s="1942"/>
      <c r="AW2914" s="1942"/>
      <c r="AX2914" s="1942"/>
      <c r="AY2914" s="1942"/>
      <c r="AZ2914" s="1942"/>
      <c r="BA2914" s="1942"/>
      <c r="BB2914" s="575"/>
      <c r="BC2914" s="576"/>
      <c r="BD2914" s="678"/>
      <c r="BE2914" s="585"/>
    </row>
    <row r="2915" spans="1:57" s="51" customFormat="1" ht="15" hidden="1" customHeight="1" outlineLevel="1" x14ac:dyDescent="0.25">
      <c r="A2915" s="1267"/>
      <c r="B2915" s="123"/>
      <c r="C2915" s="328"/>
      <c r="D2915" s="3990"/>
      <c r="E2915" s="4009"/>
      <c r="F2915" s="3010" t="str">
        <f>$E$1765</f>
        <v>ASHP-SEER18_ROF_MF</v>
      </c>
      <c r="G2915" s="2676"/>
      <c r="H2915" s="2676"/>
      <c r="I2915" s="2677"/>
      <c r="J2915" s="3299" t="str">
        <f>$C$1765</f>
        <v>355000_2019_12_</v>
      </c>
      <c r="K2915" s="696">
        <v>869</v>
      </c>
      <c r="L2915" s="851"/>
      <c r="M2915" s="858" t="s">
        <v>1011</v>
      </c>
      <c r="N2915" s="123"/>
      <c r="O2915" s="228"/>
      <c r="P2915" s="228"/>
      <c r="Q2915" s="228"/>
      <c r="R2915" s="228"/>
      <c r="S2915" s="123"/>
      <c r="T2915" s="123"/>
      <c r="U2915" s="123"/>
      <c r="V2915" s="3990"/>
      <c r="W2915" s="2857">
        <v>869</v>
      </c>
      <c r="X2915" s="2857">
        <v>869</v>
      </c>
      <c r="Y2915" s="696">
        <v>869</v>
      </c>
      <c r="Z2915" s="696">
        <v>869</v>
      </c>
      <c r="AA2915" s="696">
        <v>869</v>
      </c>
      <c r="AB2915" s="696">
        <v>869</v>
      </c>
      <c r="AC2915" s="696">
        <v>869</v>
      </c>
      <c r="AD2915" s="2857"/>
      <c r="AE2915" s="2857"/>
      <c r="AF2915" s="2857"/>
      <c r="AG2915" s="2857"/>
      <c r="AH2915" s="1942"/>
      <c r="AI2915" s="1942"/>
      <c r="AJ2915" s="1942"/>
      <c r="AK2915" s="1942"/>
      <c r="AL2915" s="1942"/>
      <c r="AM2915" s="1942"/>
      <c r="AN2915" s="1942"/>
      <c r="AO2915" s="1942"/>
      <c r="AP2915" s="1942"/>
      <c r="AQ2915" s="1942"/>
      <c r="AR2915" s="1942"/>
      <c r="AS2915" s="1942"/>
      <c r="AT2915" s="1942"/>
      <c r="AU2915" s="1942"/>
      <c r="AV2915" s="1942"/>
      <c r="AW2915" s="1942"/>
      <c r="AX2915" s="1942"/>
      <c r="AY2915" s="1942"/>
      <c r="AZ2915" s="1942"/>
      <c r="BA2915" s="1942"/>
      <c r="BB2915" s="575"/>
      <c r="BC2915" s="576"/>
      <c r="BD2915" s="678"/>
      <c r="BE2915" s="585"/>
    </row>
    <row r="2916" spans="1:57" s="51" customFormat="1" ht="15" hidden="1" customHeight="1" outlineLevel="1" x14ac:dyDescent="0.25">
      <c r="A2916" s="1267"/>
      <c r="B2916" s="123"/>
      <c r="C2916" s="328"/>
      <c r="D2916" s="3990"/>
      <c r="E2916" s="4009"/>
      <c r="F2916" s="3010" t="str">
        <f>$E$1767</f>
        <v>ASHP-SEER18_ROF_MF_CompE</v>
      </c>
      <c r="G2916" s="2676"/>
      <c r="H2916" s="2676"/>
      <c r="I2916" s="2677"/>
      <c r="J2916" s="3299" t="str">
        <f>$C$1767</f>
        <v>355001_2021_12_</v>
      </c>
      <c r="K2916" s="696">
        <f>$K$2755</f>
        <v>632</v>
      </c>
      <c r="L2916" s="851"/>
      <c r="M2916" s="786" t="s">
        <v>528</v>
      </c>
      <c r="N2916" s="123"/>
      <c r="O2916" s="228"/>
      <c r="P2916" s="228"/>
      <c r="Q2916" s="228"/>
      <c r="R2916" s="228"/>
      <c r="S2916" s="123"/>
      <c r="T2916" s="123"/>
      <c r="U2916" s="123"/>
      <c r="V2916" s="3990"/>
      <c r="W2916" s="2857"/>
      <c r="X2916" s="2857"/>
      <c r="Y2916" s="3158">
        <f>$K$2755</f>
        <v>632</v>
      </c>
      <c r="Z2916" s="696">
        <f t="shared" ref="Z2916:AA2916" si="228">$K$2755</f>
        <v>632</v>
      </c>
      <c r="AA2916" s="696">
        <f t="shared" si="228"/>
        <v>632</v>
      </c>
      <c r="AB2916" s="696">
        <v>632</v>
      </c>
      <c r="AC2916" s="696">
        <f>$K$2755</f>
        <v>632</v>
      </c>
      <c r="AD2916" s="2857"/>
      <c r="AE2916" s="2857"/>
      <c r="AF2916" s="2857"/>
      <c r="AG2916" s="2857"/>
      <c r="AH2916" s="1942"/>
      <c r="AI2916" s="1942"/>
      <c r="AJ2916" s="1942"/>
      <c r="AK2916" s="1942"/>
      <c r="AL2916" s="1942"/>
      <c r="AM2916" s="1942"/>
      <c r="AN2916" s="1942"/>
      <c r="AO2916" s="1942"/>
      <c r="AP2916" s="1942"/>
      <c r="AQ2916" s="1942"/>
      <c r="AR2916" s="1942"/>
      <c r="AS2916" s="1942"/>
      <c r="AT2916" s="1942"/>
      <c r="AU2916" s="1942"/>
      <c r="AV2916" s="1942"/>
      <c r="AW2916" s="1942"/>
      <c r="AX2916" s="1942"/>
      <c r="AY2916" s="1942"/>
      <c r="AZ2916" s="1942"/>
      <c r="BA2916" s="1942"/>
      <c r="BB2916" s="575"/>
      <c r="BC2916" s="576"/>
      <c r="BD2916" s="678"/>
      <c r="BE2916" s="585"/>
    </row>
    <row r="2917" spans="1:57" s="51" customFormat="1" ht="15" hidden="1" customHeight="1" outlineLevel="1" x14ac:dyDescent="0.25">
      <c r="A2917" s="1267"/>
      <c r="B2917" s="123"/>
      <c r="C2917" s="328"/>
      <c r="D2917" s="3990"/>
      <c r="E2917" s="4009"/>
      <c r="F2917" s="3010" t="str">
        <f>$E$1769</f>
        <v>ASHP-SEER19_ROF_MF</v>
      </c>
      <c r="G2917" s="2676"/>
      <c r="H2917" s="2676"/>
      <c r="I2917" s="2677"/>
      <c r="J2917" s="3299" t="str">
        <f>$C$1769</f>
        <v>355050_2019_12_</v>
      </c>
      <c r="K2917" s="696">
        <v>869</v>
      </c>
      <c r="L2917" s="851"/>
      <c r="M2917" s="858" t="s">
        <v>1011</v>
      </c>
      <c r="N2917" s="123"/>
      <c r="O2917" s="228"/>
      <c r="P2917" s="228"/>
      <c r="Q2917" s="228"/>
      <c r="R2917" s="228"/>
      <c r="S2917" s="123"/>
      <c r="T2917" s="123"/>
      <c r="U2917" s="123"/>
      <c r="V2917" s="3990"/>
      <c r="W2917" s="2857">
        <v>869</v>
      </c>
      <c r="X2917" s="2857">
        <v>869</v>
      </c>
      <c r="Y2917" s="696">
        <v>869</v>
      </c>
      <c r="Z2917" s="696">
        <v>869</v>
      </c>
      <c r="AA2917" s="696">
        <v>869</v>
      </c>
      <c r="AB2917" s="696">
        <v>869</v>
      </c>
      <c r="AC2917" s="696">
        <v>869</v>
      </c>
      <c r="AD2917" s="2857"/>
      <c r="AE2917" s="2857"/>
      <c r="AF2917" s="2857"/>
      <c r="AG2917" s="2857"/>
      <c r="AH2917" s="1942"/>
      <c r="AI2917" s="1942"/>
      <c r="AJ2917" s="1942"/>
      <c r="AK2917" s="1942"/>
      <c r="AL2917" s="1942"/>
      <c r="AM2917" s="1942"/>
      <c r="AN2917" s="1942"/>
      <c r="AO2917" s="1942"/>
      <c r="AP2917" s="1942"/>
      <c r="AQ2917" s="1942"/>
      <c r="AR2917" s="1942"/>
      <c r="AS2917" s="1942"/>
      <c r="AT2917" s="1942"/>
      <c r="AU2917" s="1942"/>
      <c r="AV2917" s="1942"/>
      <c r="AW2917" s="1942"/>
      <c r="AX2917" s="1942"/>
      <c r="AY2917" s="1942"/>
      <c r="AZ2917" s="1942"/>
      <c r="BA2917" s="1942"/>
      <c r="BB2917" s="575"/>
      <c r="BC2917" s="576"/>
      <c r="BD2917" s="678"/>
      <c r="BE2917" s="585"/>
    </row>
    <row r="2918" spans="1:57" s="51" customFormat="1" ht="15" hidden="1" customHeight="1" outlineLevel="1" x14ac:dyDescent="0.25">
      <c r="A2918" s="1267"/>
      <c r="B2918" s="123"/>
      <c r="C2918" s="328"/>
      <c r="D2918" s="3990"/>
      <c r="E2918" s="4009"/>
      <c r="F2918" s="3010" t="str">
        <f>$E$1771</f>
        <v>ASHP-SEER19_ROF_MF_CompE</v>
      </c>
      <c r="G2918" s="2676"/>
      <c r="H2918" s="2676"/>
      <c r="I2918" s="2677"/>
      <c r="J2918" s="3299" t="str">
        <f>$C$1771</f>
        <v>355051_2019_12_</v>
      </c>
      <c r="K2918" s="696">
        <f>$K$2755</f>
        <v>632</v>
      </c>
      <c r="L2918" s="851"/>
      <c r="M2918" s="786" t="s">
        <v>528</v>
      </c>
      <c r="N2918" s="123"/>
      <c r="O2918" s="228"/>
      <c r="P2918" s="228"/>
      <c r="Q2918" s="228"/>
      <c r="R2918" s="228"/>
      <c r="S2918" s="123"/>
      <c r="T2918" s="123"/>
      <c r="U2918" s="123"/>
      <c r="V2918" s="3990"/>
      <c r="W2918" s="2857"/>
      <c r="X2918" s="2857"/>
      <c r="Y2918" s="3158">
        <f>$K$2755</f>
        <v>632</v>
      </c>
      <c r="Z2918" s="696">
        <f t="shared" ref="Z2918:AA2918" si="229">$K$2755</f>
        <v>632</v>
      </c>
      <c r="AA2918" s="696">
        <f t="shared" si="229"/>
        <v>632</v>
      </c>
      <c r="AB2918" s="696">
        <v>632</v>
      </c>
      <c r="AC2918" s="696">
        <f>$K$2755</f>
        <v>632</v>
      </c>
      <c r="AD2918" s="2857"/>
      <c r="AE2918" s="2857"/>
      <c r="AF2918" s="2857"/>
      <c r="AG2918" s="2857"/>
      <c r="AH2918" s="1942"/>
      <c r="AI2918" s="1942"/>
      <c r="AJ2918" s="1942"/>
      <c r="AK2918" s="1942"/>
      <c r="AL2918" s="1942"/>
      <c r="AM2918" s="1942"/>
      <c r="AN2918" s="1942"/>
      <c r="AO2918" s="1942"/>
      <c r="AP2918" s="1942"/>
      <c r="AQ2918" s="1942"/>
      <c r="AR2918" s="1942"/>
      <c r="AS2918" s="1942"/>
      <c r="AT2918" s="1942"/>
      <c r="AU2918" s="1942"/>
      <c r="AV2918" s="1942"/>
      <c r="AW2918" s="1942"/>
      <c r="AX2918" s="1942"/>
      <c r="AY2918" s="1942"/>
      <c r="AZ2918" s="1942"/>
      <c r="BA2918" s="1942"/>
      <c r="BB2918" s="575"/>
      <c r="BC2918" s="576"/>
      <c r="BD2918" s="678"/>
      <c r="BE2918" s="585"/>
    </row>
    <row r="2919" spans="1:57" s="51" customFormat="1" ht="15" hidden="1" customHeight="1" outlineLevel="1" x14ac:dyDescent="0.25">
      <c r="A2919" s="2060"/>
      <c r="B2919" s="123"/>
      <c r="C2919" s="328"/>
      <c r="D2919" s="3990"/>
      <c r="E2919" s="4009"/>
      <c r="F2919" s="3010" t="str">
        <f>$E$1773</f>
        <v>ASHP-SEER20_ROF_MF</v>
      </c>
      <c r="G2919" s="2676"/>
      <c r="H2919" s="2676"/>
      <c r="I2919" s="2677"/>
      <c r="J2919" s="3299" t="str">
        <f>$C$1773</f>
        <v>355100_2019_12_</v>
      </c>
      <c r="K2919" s="696">
        <v>869</v>
      </c>
      <c r="L2919" s="851"/>
      <c r="M2919" s="858" t="s">
        <v>1011</v>
      </c>
      <c r="N2919" s="123"/>
      <c r="O2919" s="228"/>
      <c r="P2919" s="844"/>
      <c r="Q2919" s="845"/>
      <c r="R2919" s="844"/>
      <c r="S2919" s="832"/>
      <c r="T2919" s="3082"/>
      <c r="U2919" s="123"/>
      <c r="V2919" s="3990"/>
      <c r="W2919" s="2857">
        <v>869</v>
      </c>
      <c r="X2919" s="2857">
        <v>869</v>
      </c>
      <c r="Y2919" s="696">
        <v>869</v>
      </c>
      <c r="Z2919" s="696">
        <v>869</v>
      </c>
      <c r="AA2919" s="696">
        <v>869</v>
      </c>
      <c r="AB2919" s="696">
        <v>869</v>
      </c>
      <c r="AC2919" s="696">
        <v>869</v>
      </c>
      <c r="AD2919" s="2857"/>
      <c r="AE2919" s="2857"/>
      <c r="AF2919" s="2857"/>
      <c r="AG2919" s="2857"/>
      <c r="AH2919" s="1942"/>
      <c r="AI2919" s="1942"/>
      <c r="AJ2919" s="1942"/>
      <c r="AK2919" s="1942"/>
      <c r="AL2919" s="1942"/>
      <c r="AM2919" s="1942"/>
      <c r="AN2919" s="1942"/>
      <c r="AO2919" s="1942"/>
      <c r="AP2919" s="1942"/>
      <c r="AQ2919" s="1942"/>
      <c r="AR2919" s="1942"/>
      <c r="AS2919" s="1942"/>
      <c r="AT2919" s="1942"/>
      <c r="AU2919" s="1942"/>
      <c r="AV2919" s="1942"/>
      <c r="AW2919" s="1942"/>
      <c r="AX2919" s="1942"/>
      <c r="AY2919" s="1942"/>
      <c r="AZ2919" s="1942"/>
      <c r="BA2919" s="1942"/>
      <c r="BB2919" s="575"/>
      <c r="BC2919" s="576"/>
      <c r="BD2919" s="678"/>
      <c r="BE2919" s="585"/>
    </row>
    <row r="2920" spans="1:57" s="51" customFormat="1" ht="15" hidden="1" customHeight="1" outlineLevel="1" x14ac:dyDescent="0.25">
      <c r="A2920" s="2060"/>
      <c r="B2920" s="123"/>
      <c r="C2920" s="328"/>
      <c r="D2920" s="3990"/>
      <c r="E2920" s="4009"/>
      <c r="F2920" s="3010" t="str">
        <f>$E$1775</f>
        <v>ASHP-SEER20_ROF_MF_CompE</v>
      </c>
      <c r="G2920" s="2676"/>
      <c r="H2920" s="2676"/>
      <c r="I2920" s="2677"/>
      <c r="J2920" s="3299" t="str">
        <f>$C$1775</f>
        <v>355101_2019_12_</v>
      </c>
      <c r="K2920" s="696">
        <f>$K$2755</f>
        <v>632</v>
      </c>
      <c r="L2920" s="852"/>
      <c r="M2920" s="786" t="s">
        <v>528</v>
      </c>
      <c r="N2920" s="123"/>
      <c r="O2920" s="228"/>
      <c r="P2920" s="844"/>
      <c r="Q2920" s="845"/>
      <c r="R2920" s="844"/>
      <c r="S2920" s="832"/>
      <c r="T2920" s="3082"/>
      <c r="U2920" s="123"/>
      <c r="V2920" s="3990"/>
      <c r="W2920" s="693"/>
      <c r="X2920" s="693"/>
      <c r="Y2920" s="3158">
        <f>$K$2755</f>
        <v>632</v>
      </c>
      <c r="Z2920" s="696">
        <f t="shared" ref="Z2920:AA2920" si="230">$K$2755</f>
        <v>632</v>
      </c>
      <c r="AA2920" s="696">
        <f t="shared" si="230"/>
        <v>632</v>
      </c>
      <c r="AB2920" s="696">
        <v>632</v>
      </c>
      <c r="AC2920" s="696">
        <f>$K$2755</f>
        <v>632</v>
      </c>
      <c r="AD2920" s="693"/>
      <c r="AE2920" s="693"/>
      <c r="AF2920" s="693"/>
      <c r="AG2920" s="693"/>
      <c r="AH2920" s="1942"/>
      <c r="AI2920" s="1942"/>
      <c r="AJ2920" s="1942"/>
      <c r="AK2920" s="1942"/>
      <c r="AL2920" s="1942"/>
      <c r="AM2920" s="1942"/>
      <c r="AN2920" s="1942"/>
      <c r="AO2920" s="1942"/>
      <c r="AP2920" s="1942"/>
      <c r="AQ2920" s="1942"/>
      <c r="AR2920" s="1942"/>
      <c r="AS2920" s="1942"/>
      <c r="AT2920" s="1942"/>
      <c r="AU2920" s="1942"/>
      <c r="AV2920" s="1942"/>
      <c r="AW2920" s="1942"/>
      <c r="AX2920" s="1942"/>
      <c r="AY2920" s="1942"/>
      <c r="AZ2920" s="1942"/>
      <c r="BA2920" s="1942"/>
      <c r="BB2920" s="575"/>
      <c r="BC2920" s="576"/>
      <c r="BD2920" s="678"/>
      <c r="BE2920" s="585"/>
    </row>
    <row r="2921" spans="1:57" s="51" customFormat="1" ht="15.75" hidden="1" customHeight="1" outlineLevel="1" x14ac:dyDescent="0.25">
      <c r="A2921" s="2060"/>
      <c r="B2921" s="123"/>
      <c r="C2921" s="328"/>
      <c r="D2921" s="3990"/>
      <c r="E2921" s="4009"/>
      <c r="F2921" s="3010" t="str">
        <f>$E$1777</f>
        <v>ASHP-SEER21_ROF_MF</v>
      </c>
      <c r="G2921" s="2676"/>
      <c r="H2921" s="2676"/>
      <c r="I2921" s="2677"/>
      <c r="J2921" s="3299" t="str">
        <f>$C$1777</f>
        <v>355150_2019_12_</v>
      </c>
      <c r="K2921" s="2857">
        <v>869</v>
      </c>
      <c r="L2921" s="851"/>
      <c r="M2921" s="858" t="s">
        <v>1011</v>
      </c>
      <c r="N2921" s="123"/>
      <c r="O2921" s="228"/>
      <c r="P2921" s="844"/>
      <c r="Q2921" s="845"/>
      <c r="R2921" s="844"/>
      <c r="S2921" s="832"/>
      <c r="T2921" s="3082"/>
      <c r="U2921" s="123"/>
      <c r="V2921" s="3990"/>
      <c r="W2921" s="693">
        <v>869</v>
      </c>
      <c r="X2921" s="693">
        <v>869</v>
      </c>
      <c r="Y2921" s="693">
        <v>869</v>
      </c>
      <c r="Z2921" s="693">
        <v>869</v>
      </c>
      <c r="AA2921" s="693">
        <v>869</v>
      </c>
      <c r="AB2921" s="2857">
        <v>869</v>
      </c>
      <c r="AC2921" s="2857">
        <v>869</v>
      </c>
      <c r="AD2921" s="693"/>
      <c r="AE2921" s="693"/>
      <c r="AF2921" s="693"/>
      <c r="AG2921" s="693"/>
      <c r="AH2921" s="1942"/>
      <c r="AI2921" s="1942"/>
      <c r="AJ2921" s="1942"/>
      <c r="AK2921" s="1942"/>
      <c r="AL2921" s="1942"/>
      <c r="AM2921" s="1942"/>
      <c r="AN2921" s="1942"/>
      <c r="AO2921" s="1942"/>
      <c r="AP2921" s="1942"/>
      <c r="AQ2921" s="1942"/>
      <c r="AR2921" s="1942"/>
      <c r="AS2921" s="1942"/>
      <c r="AT2921" s="1942"/>
      <c r="AU2921" s="1942"/>
      <c r="AV2921" s="1942"/>
      <c r="AW2921" s="1942"/>
      <c r="AX2921" s="1942"/>
      <c r="AY2921" s="1942"/>
      <c r="AZ2921" s="1942"/>
      <c r="BA2921" s="1942"/>
      <c r="BB2921" s="575"/>
      <c r="BC2921" s="576"/>
      <c r="BD2921" s="678"/>
      <c r="BE2921" s="585"/>
    </row>
    <row r="2922" spans="1:57" s="51" customFormat="1" ht="15.75" hidden="1" customHeight="1" outlineLevel="1" thickBot="1" x14ac:dyDescent="0.3">
      <c r="A2922" s="2060"/>
      <c r="B2922" s="123"/>
      <c r="C2922" s="328"/>
      <c r="D2922" s="4035"/>
      <c r="E2922" s="4036"/>
      <c r="F2922" s="3014" t="str">
        <f>$E$1779</f>
        <v>ASHP-SEER21_ROF_MF_CompE</v>
      </c>
      <c r="G2922" s="2814"/>
      <c r="H2922" s="2814"/>
      <c r="I2922" s="2815"/>
      <c r="J2922" s="2607" t="str">
        <f>$C$1779</f>
        <v>355151_2019_12_</v>
      </c>
      <c r="K2922" s="855">
        <f>$K$2755</f>
        <v>632</v>
      </c>
      <c r="L2922" s="854"/>
      <c r="M2922" s="1599" t="s">
        <v>528</v>
      </c>
      <c r="N2922" s="123"/>
      <c r="O2922" s="228"/>
      <c r="P2922" s="844"/>
      <c r="Q2922" s="845"/>
      <c r="R2922" s="844"/>
      <c r="S2922" s="832"/>
      <c r="T2922" s="3082"/>
      <c r="U2922" s="123"/>
      <c r="V2922" s="4035"/>
      <c r="W2922" s="2860"/>
      <c r="X2922" s="2860"/>
      <c r="Y2922" s="3156">
        <f>$K$2755</f>
        <v>632</v>
      </c>
      <c r="Z2922" s="2860">
        <f t="shared" ref="Z2922:AA2922" si="231">$K$2755</f>
        <v>632</v>
      </c>
      <c r="AA2922" s="2860">
        <f t="shared" si="231"/>
        <v>632</v>
      </c>
      <c r="AB2922" s="855">
        <v>632</v>
      </c>
      <c r="AC2922" s="855">
        <f>$K$2755</f>
        <v>632</v>
      </c>
      <c r="AD2922" s="2860"/>
      <c r="AE2922" s="2860"/>
      <c r="AF2922" s="2860"/>
      <c r="AG2922" s="2860"/>
      <c r="AH2922" s="1942"/>
      <c r="AI2922" s="1942"/>
      <c r="AJ2922" s="1942"/>
      <c r="AK2922" s="1942"/>
      <c r="AL2922" s="1942"/>
      <c r="AM2922" s="1942"/>
      <c r="AN2922" s="1942"/>
      <c r="AO2922" s="1942"/>
      <c r="AP2922" s="1942"/>
      <c r="AQ2922" s="1942"/>
      <c r="AR2922" s="1942"/>
      <c r="AS2922" s="1942"/>
      <c r="AT2922" s="1942"/>
      <c r="AU2922" s="1942"/>
      <c r="AV2922" s="1942"/>
      <c r="AW2922" s="1942"/>
      <c r="AX2922" s="1942"/>
      <c r="AY2922" s="1942"/>
      <c r="AZ2922" s="1942"/>
      <c r="BA2922" s="1942"/>
      <c r="BB2922" s="575"/>
      <c r="BC2922" s="576"/>
      <c r="BD2922" s="678"/>
      <c r="BE2922" s="585"/>
    </row>
    <row r="2923" spans="1:57" s="51" customFormat="1" ht="15" hidden="1" customHeight="1" outlineLevel="1" x14ac:dyDescent="0.25">
      <c r="A2923" s="2060"/>
      <c r="B2923" s="123"/>
      <c r="C2923" s="328"/>
      <c r="D2923" s="3989" t="s">
        <v>1163</v>
      </c>
      <c r="E2923" s="4038" t="s">
        <v>1164</v>
      </c>
      <c r="F2923" s="3013" t="str">
        <f>$E$1407</f>
        <v>ASHP-SEER15-Replace_CAC_ElectricHeat_ER1_SF</v>
      </c>
      <c r="G2923" s="847"/>
      <c r="H2923" s="847"/>
      <c r="I2923" s="848"/>
      <c r="J2923" s="3297" t="str">
        <f>$C$1407</f>
        <v>352300_2021_12_</v>
      </c>
      <c r="K2923" s="2281">
        <v>8.1543772216897246</v>
      </c>
      <c r="L2923" s="745"/>
      <c r="M2923" s="2723" t="s">
        <v>1005</v>
      </c>
      <c r="N2923" s="123"/>
      <c r="O2923" s="228"/>
      <c r="P2923" s="844"/>
      <c r="Q2923" s="844"/>
      <c r="R2923" s="844"/>
      <c r="S2923" s="832"/>
      <c r="T2923" s="3082"/>
      <c r="U2923" s="123"/>
      <c r="V2923" s="3989" t="s">
        <v>1163</v>
      </c>
      <c r="W2923" s="2861">
        <v>6.8</v>
      </c>
      <c r="X2923" s="3157">
        <v>8.33</v>
      </c>
      <c r="Y2923" s="696">
        <v>8.33</v>
      </c>
      <c r="Z2923" s="696">
        <v>8.33</v>
      </c>
      <c r="AA2923" s="696">
        <v>8.33</v>
      </c>
      <c r="AB2923" s="2281">
        <v>7.2250895092808101</v>
      </c>
      <c r="AC2923" s="2281">
        <v>8.1543772216897246</v>
      </c>
      <c r="AD2923" s="2861"/>
      <c r="AE2923" s="2861"/>
      <c r="AF2923" s="2861"/>
      <c r="AG2923" s="2861"/>
      <c r="AH2923" s="1942"/>
      <c r="AI2923" s="1942"/>
      <c r="AJ2923" s="1942"/>
      <c r="AK2923" s="1942"/>
      <c r="AL2923" s="1942"/>
      <c r="AM2923" s="1942"/>
      <c r="AN2923" s="1942"/>
      <c r="AO2923" s="1942"/>
      <c r="AP2923" s="1942"/>
      <c r="AQ2923" s="1942"/>
      <c r="AR2923" s="1942"/>
      <c r="AS2923" s="1942"/>
      <c r="AT2923" s="1942"/>
      <c r="AU2923" s="1942"/>
      <c r="AV2923" s="1942"/>
      <c r="AW2923" s="1942"/>
      <c r="AX2923" s="1942"/>
      <c r="AY2923" s="1942"/>
      <c r="AZ2923" s="1942"/>
      <c r="BA2923" s="1942"/>
      <c r="BB2923" s="575"/>
      <c r="BC2923" s="576"/>
      <c r="BD2923" s="678"/>
      <c r="BE2923" s="585"/>
    </row>
    <row r="2924" spans="1:57" s="51" customFormat="1" ht="15" hidden="1" customHeight="1" outlineLevel="1" x14ac:dyDescent="0.25">
      <c r="A2924" s="2060"/>
      <c r="B2924" s="123"/>
      <c r="C2924" s="328"/>
      <c r="D2924" s="3990"/>
      <c r="E2924" s="4009"/>
      <c r="F2924" s="3012" t="str">
        <f>$E$1409</f>
        <v>ASHP-SEER15-Replace_CAC_ElectricHeat_ER2_SF</v>
      </c>
      <c r="G2924" s="2676"/>
      <c r="H2924" s="2676"/>
      <c r="I2924" s="2677"/>
      <c r="J2924" s="3298" t="str">
        <f>$C$1409</f>
        <v>352300_2021_12_</v>
      </c>
      <c r="K2924" s="2282">
        <v>13</v>
      </c>
      <c r="L2924" s="850"/>
      <c r="M2924" s="2284" t="s">
        <v>1110</v>
      </c>
      <c r="N2924" s="123"/>
      <c r="O2924" s="228"/>
      <c r="P2924" s="844"/>
      <c r="Q2924" s="844"/>
      <c r="R2924" s="844"/>
      <c r="S2924" s="832"/>
      <c r="T2924" s="3082"/>
      <c r="U2924" s="123"/>
      <c r="V2924" s="3990"/>
      <c r="W2924" s="2857">
        <v>13</v>
      </c>
      <c r="X2924" s="2857">
        <v>13</v>
      </c>
      <c r="Y2924" s="696">
        <v>13</v>
      </c>
      <c r="Z2924" s="696">
        <v>13</v>
      </c>
      <c r="AA2924" s="696">
        <v>13</v>
      </c>
      <c r="AB2924" s="2282">
        <v>13</v>
      </c>
      <c r="AC2924" s="2282">
        <v>13</v>
      </c>
      <c r="AD2924" s="2857"/>
      <c r="AE2924" s="2857"/>
      <c r="AF2924" s="2857"/>
      <c r="AG2924" s="2857"/>
      <c r="AH2924" s="1942"/>
      <c r="AI2924" s="1942"/>
      <c r="AJ2924" s="1942"/>
      <c r="AK2924" s="1942"/>
      <c r="AL2924" s="1942"/>
      <c r="AM2924" s="1942"/>
      <c r="AN2924" s="1942"/>
      <c r="AO2924" s="1942"/>
      <c r="AP2924" s="1942"/>
      <c r="AQ2924" s="1942"/>
      <c r="AR2924" s="1942"/>
      <c r="AS2924" s="1942"/>
      <c r="AT2924" s="1942"/>
      <c r="AU2924" s="1942"/>
      <c r="AV2924" s="1942"/>
      <c r="AW2924" s="1942"/>
      <c r="AX2924" s="1942"/>
      <c r="AY2924" s="1942"/>
      <c r="AZ2924" s="1942"/>
      <c r="BA2924" s="1942"/>
      <c r="BB2924" s="575"/>
      <c r="BC2924" s="576"/>
      <c r="BD2924" s="678"/>
      <c r="BE2924" s="585"/>
    </row>
    <row r="2925" spans="1:57" s="1942" customFormat="1" ht="15" hidden="1" customHeight="1" outlineLevel="1" x14ac:dyDescent="0.25">
      <c r="A2925" s="2060"/>
      <c r="B2925" s="123"/>
      <c r="C2925" s="328"/>
      <c r="D2925" s="3990"/>
      <c r="E2925" s="4009"/>
      <c r="F2925" s="3012" t="str">
        <f>$E$1411</f>
        <v>ASHP-SEER15-Replace_CAC_NonElectricHeat_ER1_SF</v>
      </c>
      <c r="G2925" s="2676"/>
      <c r="H2925" s="2676"/>
      <c r="I2925" s="2677"/>
      <c r="J2925" s="3298" t="str">
        <f>$C$1411</f>
        <v>352310_2021_12_</v>
      </c>
      <c r="K2925" s="3051">
        <v>8.1543772216897246</v>
      </c>
      <c r="L2925" s="850"/>
      <c r="M2925" s="2817" t="s">
        <v>1125</v>
      </c>
      <c r="N2925" s="123"/>
      <c r="O2925" s="228"/>
      <c r="P2925" s="844"/>
      <c r="Q2925" s="844"/>
      <c r="R2925" s="844"/>
      <c r="S2925" s="832"/>
      <c r="T2925" s="3082"/>
      <c r="U2925" s="123"/>
      <c r="V2925" s="3990"/>
      <c r="W2925" s="2857"/>
      <c r="X2925" s="2857"/>
      <c r="Y2925" s="696"/>
      <c r="Z2925" s="696"/>
      <c r="AA2925" s="696"/>
      <c r="AB2925" s="2282"/>
      <c r="AC2925" s="3051">
        <v>8.1543772216897246</v>
      </c>
      <c r="AD2925" s="2857"/>
      <c r="AE2925" s="2857"/>
      <c r="AF2925" s="2857"/>
      <c r="AG2925" s="2857"/>
      <c r="BB2925" s="575"/>
      <c r="BC2925" s="576"/>
      <c r="BD2925" s="678"/>
      <c r="BE2925" s="585"/>
    </row>
    <row r="2926" spans="1:57" s="1942" customFormat="1" ht="15" hidden="1" customHeight="1" outlineLevel="1" x14ac:dyDescent="0.25">
      <c r="A2926" s="2060"/>
      <c r="B2926" s="123"/>
      <c r="C2926" s="328"/>
      <c r="D2926" s="3990"/>
      <c r="E2926" s="4009"/>
      <c r="F2926" s="3012" t="str">
        <f>$E$1413</f>
        <v>ASHP-SEER15-Replace_CAC_NonElectricHeat_ER2_SF</v>
      </c>
      <c r="G2926" s="2676"/>
      <c r="H2926" s="2676"/>
      <c r="I2926" s="2677"/>
      <c r="J2926" s="3298" t="str">
        <f>$C$1413</f>
        <v>352310_2021_12_</v>
      </c>
      <c r="K2926" s="2228">
        <v>13</v>
      </c>
      <c r="L2926" s="850"/>
      <c r="M2926" s="2817" t="s">
        <v>1110</v>
      </c>
      <c r="N2926" s="123"/>
      <c r="O2926" s="228"/>
      <c r="P2926" s="844"/>
      <c r="Q2926" s="844"/>
      <c r="R2926" s="844"/>
      <c r="S2926" s="832"/>
      <c r="T2926" s="3082"/>
      <c r="U2926" s="123"/>
      <c r="V2926" s="3990"/>
      <c r="W2926" s="2857"/>
      <c r="X2926" s="2857"/>
      <c r="Y2926" s="696"/>
      <c r="Z2926" s="696"/>
      <c r="AA2926" s="696"/>
      <c r="AB2926" s="2282"/>
      <c r="AC2926" s="2228">
        <v>13</v>
      </c>
      <c r="AD2926" s="2857"/>
      <c r="AE2926" s="2857"/>
      <c r="AF2926" s="2857"/>
      <c r="AG2926" s="2857"/>
      <c r="BB2926" s="575"/>
      <c r="BC2926" s="576"/>
      <c r="BD2926" s="678"/>
      <c r="BE2926" s="585"/>
    </row>
    <row r="2927" spans="1:57" s="51" customFormat="1" ht="15" hidden="1" customHeight="1" outlineLevel="1" x14ac:dyDescent="0.25">
      <c r="A2927" s="2060"/>
      <c r="B2927" s="123"/>
      <c r="C2927" s="328"/>
      <c r="D2927" s="3990"/>
      <c r="E2927" s="4009"/>
      <c r="F2927" s="3010" t="str">
        <f>$E$1415</f>
        <v>ASHP-SEER15_ER1_SF</v>
      </c>
      <c r="G2927" s="2676"/>
      <c r="H2927" s="2676"/>
      <c r="I2927" s="2677"/>
      <c r="J2927" s="3298" t="str">
        <f>$C$1415</f>
        <v>352350_2021_12_</v>
      </c>
      <c r="K2927" s="2228">
        <v>8.380670139147373</v>
      </c>
      <c r="L2927" s="850"/>
      <c r="M2927" s="2723" t="s">
        <v>1005</v>
      </c>
      <c r="N2927" s="123"/>
      <c r="O2927" s="228"/>
      <c r="P2927" s="844"/>
      <c r="Q2927" s="844"/>
      <c r="R2927" s="844"/>
      <c r="S2927" s="832"/>
      <c r="T2927" s="3082"/>
      <c r="U2927" s="123"/>
      <c r="V2927" s="3990"/>
      <c r="W2927" s="2857">
        <v>7.2</v>
      </c>
      <c r="X2927" s="3155">
        <v>8.33</v>
      </c>
      <c r="Y2927" s="696">
        <v>8.33</v>
      </c>
      <c r="Z2927" s="696">
        <v>8.33</v>
      </c>
      <c r="AA2927" s="696">
        <v>8.33</v>
      </c>
      <c r="AB2927" s="2228">
        <v>7.4709062755842588</v>
      </c>
      <c r="AC2927" s="2228">
        <v>8.380670139147373</v>
      </c>
      <c r="AD2927" s="2857"/>
      <c r="AE2927" s="2857"/>
      <c r="AF2927" s="2857"/>
      <c r="AG2927" s="2857"/>
      <c r="AH2927" s="1942"/>
      <c r="AI2927" s="1942"/>
      <c r="AJ2927" s="1942"/>
      <c r="AK2927" s="1942"/>
      <c r="AL2927" s="1942"/>
      <c r="AM2927" s="1942"/>
      <c r="AN2927" s="1942"/>
      <c r="AO2927" s="1942"/>
      <c r="AP2927" s="1942"/>
      <c r="AQ2927" s="1942"/>
      <c r="AR2927" s="1942"/>
      <c r="AS2927" s="1942"/>
      <c r="AT2927" s="1942"/>
      <c r="AU2927" s="1942"/>
      <c r="AV2927" s="1942"/>
      <c r="AW2927" s="1942"/>
      <c r="AX2927" s="1942"/>
      <c r="AY2927" s="1942"/>
      <c r="AZ2927" s="1942"/>
      <c r="BA2927" s="1942"/>
      <c r="BB2927" s="575"/>
      <c r="BC2927" s="576"/>
      <c r="BD2927" s="678"/>
      <c r="BE2927" s="585"/>
    </row>
    <row r="2928" spans="1:57" s="51" customFormat="1" ht="15" hidden="1" customHeight="1" outlineLevel="1" x14ac:dyDescent="0.25">
      <c r="A2928" s="2060"/>
      <c r="B2928" s="123"/>
      <c r="C2928" s="328"/>
      <c r="D2928" s="3990"/>
      <c r="E2928" s="4009"/>
      <c r="F2928" s="3010" t="str">
        <f>$E$1417</f>
        <v>ASHP-SEER15_ER2_SF</v>
      </c>
      <c r="G2928" s="2676"/>
      <c r="H2928" s="2676"/>
      <c r="I2928" s="2677"/>
      <c r="J2928" s="3298" t="str">
        <f>$C$1417</f>
        <v>352350_2021_12_</v>
      </c>
      <c r="K2928" s="2282">
        <v>14</v>
      </c>
      <c r="L2928" s="850"/>
      <c r="M2928" s="2284" t="s">
        <v>1110</v>
      </c>
      <c r="N2928" s="123"/>
      <c r="O2928" s="228"/>
      <c r="P2928" s="844"/>
      <c r="Q2928" s="844"/>
      <c r="R2928" s="844"/>
      <c r="S2928" s="832"/>
      <c r="T2928" s="3082"/>
      <c r="U2928" s="123"/>
      <c r="V2928" s="3990"/>
      <c r="W2928" s="2857">
        <v>14</v>
      </c>
      <c r="X2928" s="2857">
        <v>14</v>
      </c>
      <c r="Y2928" s="696">
        <v>14</v>
      </c>
      <c r="Z2928" s="696">
        <v>14</v>
      </c>
      <c r="AA2928" s="696">
        <v>14</v>
      </c>
      <c r="AB2928" s="2282">
        <v>14</v>
      </c>
      <c r="AC2928" s="2282">
        <v>14</v>
      </c>
      <c r="AD2928" s="2857"/>
      <c r="AE2928" s="2857"/>
      <c r="AF2928" s="2857"/>
      <c r="AG2928" s="2857"/>
      <c r="AH2928" s="1942"/>
      <c r="AI2928" s="1942"/>
      <c r="AJ2928" s="1942"/>
      <c r="AK2928" s="1942"/>
      <c r="AL2928" s="1942"/>
      <c r="AM2928" s="1942"/>
      <c r="AN2928" s="1942"/>
      <c r="AO2928" s="1942"/>
      <c r="AP2928" s="1942"/>
      <c r="AQ2928" s="1942"/>
      <c r="AR2928" s="1942"/>
      <c r="AS2928" s="1942"/>
      <c r="AT2928" s="1942"/>
      <c r="AU2928" s="1942"/>
      <c r="AV2928" s="1942"/>
      <c r="AW2928" s="1942"/>
      <c r="AX2928" s="1942"/>
      <c r="AY2928" s="1942"/>
      <c r="AZ2928" s="1942"/>
      <c r="BA2928" s="1942"/>
      <c r="BB2928" s="575"/>
      <c r="BC2928" s="576"/>
      <c r="BD2928" s="678"/>
      <c r="BE2928" s="585"/>
    </row>
    <row r="2929" spans="1:57" s="51" customFormat="1" ht="15" hidden="1" customHeight="1" outlineLevel="1" x14ac:dyDescent="0.25">
      <c r="A2929" s="2060"/>
      <c r="B2929" s="123"/>
      <c r="C2929" s="328"/>
      <c r="D2929" s="3990"/>
      <c r="E2929" s="4009"/>
      <c r="F2929" s="3010" t="str">
        <f>$E$1419</f>
        <v>ASHP-SEER15-Replace_CAC_ElectricHeat_ROF_SF</v>
      </c>
      <c r="G2929" s="2676"/>
      <c r="H2929" s="2676"/>
      <c r="I2929" s="2677"/>
      <c r="J2929" s="3298" t="str">
        <f>$C$1419</f>
        <v>352400_2021_12_</v>
      </c>
      <c r="K2929" s="2282">
        <v>13</v>
      </c>
      <c r="L2929" s="850"/>
      <c r="M2929" s="2284" t="s">
        <v>1110</v>
      </c>
      <c r="N2929" s="123"/>
      <c r="O2929" s="228"/>
      <c r="P2929" s="844"/>
      <c r="Q2929" s="844"/>
      <c r="R2929" s="844"/>
      <c r="S2929" s="832"/>
      <c r="T2929" s="3082"/>
      <c r="U2929" s="123"/>
      <c r="V2929" s="3990"/>
      <c r="W2929" s="2857">
        <v>13</v>
      </c>
      <c r="X2929" s="2857">
        <v>13</v>
      </c>
      <c r="Y2929" s="696">
        <v>13</v>
      </c>
      <c r="Z2929" s="696">
        <v>13</v>
      </c>
      <c r="AA2929" s="696">
        <v>13</v>
      </c>
      <c r="AB2929" s="2282">
        <v>13</v>
      </c>
      <c r="AC2929" s="2282">
        <v>13</v>
      </c>
      <c r="AD2929" s="2857"/>
      <c r="AE2929" s="2857"/>
      <c r="AF2929" s="2857"/>
      <c r="AG2929" s="2857"/>
      <c r="AH2929" s="1942"/>
      <c r="AI2929" s="1942"/>
      <c r="AJ2929" s="1942"/>
      <c r="AK2929" s="1942"/>
      <c r="AL2929" s="1942"/>
      <c r="AM2929" s="1942"/>
      <c r="AN2929" s="1942"/>
      <c r="AO2929" s="1942"/>
      <c r="AP2929" s="1942"/>
      <c r="AQ2929" s="1942"/>
      <c r="AR2929" s="1942"/>
      <c r="AS2929" s="1942"/>
      <c r="AT2929" s="1942"/>
      <c r="AU2929" s="1942"/>
      <c r="AV2929" s="1942"/>
      <c r="AW2929" s="1942"/>
      <c r="AX2929" s="1942"/>
      <c r="AY2929" s="1942"/>
      <c r="AZ2929" s="1942"/>
      <c r="BA2929" s="1942"/>
      <c r="BB2929" s="575"/>
      <c r="BC2929" s="576"/>
      <c r="BD2929" s="678"/>
      <c r="BE2929" s="585"/>
    </row>
    <row r="2930" spans="1:57" s="1942" customFormat="1" ht="15" hidden="1" customHeight="1" outlineLevel="1" x14ac:dyDescent="0.25">
      <c r="A2930" s="2060"/>
      <c r="B2930" s="123"/>
      <c r="C2930" s="328"/>
      <c r="D2930" s="3990"/>
      <c r="E2930" s="4009"/>
      <c r="F2930" s="3010" t="str">
        <f>$E$1421</f>
        <v>ASHP-SEER15-Replace_CAC_NonElectricHeat_ROF_SF</v>
      </c>
      <c r="G2930" s="2676"/>
      <c r="H2930" s="2676"/>
      <c r="I2930" s="2677"/>
      <c r="J2930" s="3298" t="str">
        <f>$C$1421</f>
        <v>352410_2021_12_</v>
      </c>
      <c r="K2930" s="2228">
        <v>13</v>
      </c>
      <c r="L2930" s="850"/>
      <c r="M2930" s="2817" t="s">
        <v>1110</v>
      </c>
      <c r="N2930" s="123"/>
      <c r="O2930" s="228"/>
      <c r="P2930" s="844"/>
      <c r="Q2930" s="844"/>
      <c r="R2930" s="844"/>
      <c r="S2930" s="832"/>
      <c r="T2930" s="3082"/>
      <c r="U2930" s="123"/>
      <c r="V2930" s="3990"/>
      <c r="W2930" s="2857"/>
      <c r="X2930" s="2857"/>
      <c r="Y2930" s="696"/>
      <c r="Z2930" s="696"/>
      <c r="AA2930" s="696"/>
      <c r="AB2930" s="2282"/>
      <c r="AC2930" s="2228">
        <v>13</v>
      </c>
      <c r="AD2930" s="2857"/>
      <c r="AE2930" s="2857"/>
      <c r="AF2930" s="2857"/>
      <c r="AG2930" s="2857"/>
      <c r="BB2930" s="575"/>
      <c r="BC2930" s="576"/>
      <c r="BD2930" s="678"/>
      <c r="BE2930" s="585"/>
    </row>
    <row r="2931" spans="1:57" s="51" customFormat="1" ht="15" hidden="1" customHeight="1" outlineLevel="1" x14ac:dyDescent="0.25">
      <c r="A2931" s="2060"/>
      <c r="B2931" s="123"/>
      <c r="C2931" s="328"/>
      <c r="D2931" s="3990"/>
      <c r="E2931" s="4009"/>
      <c r="F2931" s="3010" t="str">
        <f>$E$1423</f>
        <v>ASHP-SEER15_ROF_SF</v>
      </c>
      <c r="G2931" s="2676"/>
      <c r="H2931" s="2676"/>
      <c r="I2931" s="2677"/>
      <c r="J2931" s="3298" t="str">
        <f>$C$1423</f>
        <v>352450_2021_12_</v>
      </c>
      <c r="K2931" s="2282">
        <v>14</v>
      </c>
      <c r="L2931" s="850"/>
      <c r="M2931" s="2284" t="s">
        <v>1110</v>
      </c>
      <c r="N2931" s="123"/>
      <c r="O2931" s="228"/>
      <c r="P2931" s="844"/>
      <c r="Q2931" s="844"/>
      <c r="R2931" s="844"/>
      <c r="S2931" s="832"/>
      <c r="T2931" s="3082"/>
      <c r="U2931" s="123"/>
      <c r="V2931" s="3990"/>
      <c r="W2931" s="2857">
        <v>14</v>
      </c>
      <c r="X2931" s="2857">
        <v>14</v>
      </c>
      <c r="Y2931" s="696">
        <v>14</v>
      </c>
      <c r="Z2931" s="696">
        <v>14</v>
      </c>
      <c r="AA2931" s="696">
        <v>14</v>
      </c>
      <c r="AB2931" s="2282">
        <v>14</v>
      </c>
      <c r="AC2931" s="2282">
        <v>14</v>
      </c>
      <c r="AD2931" s="2857"/>
      <c r="AE2931" s="2857"/>
      <c r="AF2931" s="2857"/>
      <c r="AG2931" s="2857"/>
      <c r="AH2931" s="1942"/>
      <c r="AI2931" s="1942"/>
      <c r="AJ2931" s="1942"/>
      <c r="AK2931" s="1942"/>
      <c r="AL2931" s="1942"/>
      <c r="AM2931" s="1942"/>
      <c r="AN2931" s="1942"/>
      <c r="AO2931" s="1942"/>
      <c r="AP2931" s="1942"/>
      <c r="AQ2931" s="1942"/>
      <c r="AR2931" s="1942"/>
      <c r="AS2931" s="1942"/>
      <c r="AT2931" s="1942"/>
      <c r="AU2931" s="1942"/>
      <c r="AV2931" s="1942"/>
      <c r="AW2931" s="1942"/>
      <c r="AX2931" s="1942"/>
      <c r="AY2931" s="1942"/>
      <c r="AZ2931" s="1942"/>
      <c r="BA2931" s="1942"/>
      <c r="BB2931" s="575"/>
      <c r="BC2931" s="576"/>
      <c r="BD2931" s="678"/>
      <c r="BE2931" s="585"/>
    </row>
    <row r="2932" spans="1:57" s="51" customFormat="1" ht="15" hidden="1" customHeight="1" outlineLevel="1" x14ac:dyDescent="0.25">
      <c r="A2932" s="2060"/>
      <c r="B2932" s="123"/>
      <c r="C2932" s="328"/>
      <c r="D2932" s="3990"/>
      <c r="E2932" s="4009"/>
      <c r="F2932" s="3010" t="str">
        <f>$E$1425</f>
        <v>ASHP-SEER16-Replace_CAC_ElectricHeat_ER1_SF</v>
      </c>
      <c r="G2932" s="2676"/>
      <c r="H2932" s="2676"/>
      <c r="I2932" s="2677"/>
      <c r="J2932" s="3298" t="str">
        <f>$C$1425</f>
        <v>352500_2021_12_</v>
      </c>
      <c r="K2932" s="2228">
        <v>8.1664591605461361</v>
      </c>
      <c r="L2932" s="850"/>
      <c r="M2932" s="2723" t="s">
        <v>1005</v>
      </c>
      <c r="N2932" s="123"/>
      <c r="O2932" s="228"/>
      <c r="P2932" s="844"/>
      <c r="Q2932" s="844"/>
      <c r="R2932" s="844"/>
      <c r="S2932" s="832"/>
      <c r="T2932" s="3082"/>
      <c r="U2932" s="123"/>
      <c r="V2932" s="3990"/>
      <c r="W2932" s="2857">
        <v>6.8</v>
      </c>
      <c r="X2932" s="3155">
        <v>8.33</v>
      </c>
      <c r="Y2932" s="696">
        <v>8.33</v>
      </c>
      <c r="Z2932" s="696">
        <v>8.33</v>
      </c>
      <c r="AA2932" s="696">
        <v>8.33</v>
      </c>
      <c r="AB2932" s="2228">
        <v>7.3736145314130352</v>
      </c>
      <c r="AC2932" s="2228">
        <v>8.1664591605461361</v>
      </c>
      <c r="AD2932" s="2857"/>
      <c r="AE2932" s="2857"/>
      <c r="AF2932" s="2857"/>
      <c r="AG2932" s="2857"/>
      <c r="AH2932" s="1942"/>
      <c r="AI2932" s="1942"/>
      <c r="AJ2932" s="1942"/>
      <c r="AK2932" s="1942"/>
      <c r="AL2932" s="1942"/>
      <c r="AM2932" s="1942"/>
      <c r="AN2932" s="1942"/>
      <c r="AO2932" s="1942"/>
      <c r="AP2932" s="1942"/>
      <c r="AQ2932" s="1942"/>
      <c r="AR2932" s="1942"/>
      <c r="AS2932" s="1942"/>
      <c r="AT2932" s="1942"/>
      <c r="AU2932" s="1942"/>
      <c r="AV2932" s="1942"/>
      <c r="AW2932" s="1942"/>
      <c r="AX2932" s="1942"/>
      <c r="AY2932" s="1942"/>
      <c r="AZ2932" s="1942"/>
      <c r="BA2932" s="1942"/>
      <c r="BB2932" s="575"/>
      <c r="BC2932" s="576"/>
      <c r="BD2932" s="678"/>
      <c r="BE2932" s="585"/>
    </row>
    <row r="2933" spans="1:57" s="51" customFormat="1" ht="15" hidden="1" customHeight="1" outlineLevel="1" x14ac:dyDescent="0.25">
      <c r="A2933" s="1267"/>
      <c r="B2933" s="123"/>
      <c r="C2933" s="328"/>
      <c r="D2933" s="3990"/>
      <c r="E2933" s="4009"/>
      <c r="F2933" s="3010" t="str">
        <f>$E$1427</f>
        <v>ASHP-SEER16-Replace_CAC_ElectricHeat_ER2_SF</v>
      </c>
      <c r="G2933" s="2676"/>
      <c r="H2933" s="2676"/>
      <c r="I2933" s="2677"/>
      <c r="J2933" s="3298" t="str">
        <f>$C$1427</f>
        <v>352500_2021_12_</v>
      </c>
      <c r="K2933" s="2282">
        <v>13</v>
      </c>
      <c r="L2933" s="850"/>
      <c r="M2933" s="2284" t="s">
        <v>1110</v>
      </c>
      <c r="N2933" s="123"/>
      <c r="O2933" s="228"/>
      <c r="P2933" s="844"/>
      <c r="Q2933" s="844"/>
      <c r="R2933" s="844"/>
      <c r="S2933" s="832"/>
      <c r="T2933" s="3082"/>
      <c r="U2933" s="123"/>
      <c r="V2933" s="3990"/>
      <c r="W2933" s="2857">
        <v>13</v>
      </c>
      <c r="X2933" s="2857">
        <v>13</v>
      </c>
      <c r="Y2933" s="696">
        <v>13</v>
      </c>
      <c r="Z2933" s="696">
        <v>13</v>
      </c>
      <c r="AA2933" s="696">
        <v>13</v>
      </c>
      <c r="AB2933" s="2282">
        <v>13</v>
      </c>
      <c r="AC2933" s="2282">
        <v>13</v>
      </c>
      <c r="AD2933" s="2857"/>
      <c r="AE2933" s="2857"/>
      <c r="AF2933" s="2857"/>
      <c r="AG2933" s="2857"/>
      <c r="AH2933" s="1942"/>
      <c r="AI2933" s="1942"/>
      <c r="AJ2933" s="1942"/>
      <c r="AK2933" s="1942"/>
      <c r="AL2933" s="1942"/>
      <c r="AM2933" s="1942"/>
      <c r="AN2933" s="1942"/>
      <c r="AO2933" s="1942"/>
      <c r="AP2933" s="1942"/>
      <c r="AQ2933" s="1942"/>
      <c r="AR2933" s="1942"/>
      <c r="AS2933" s="1942"/>
      <c r="AT2933" s="1942"/>
      <c r="AU2933" s="1942"/>
      <c r="AV2933" s="1942"/>
      <c r="AW2933" s="1942"/>
      <c r="AX2933" s="1942"/>
      <c r="AY2933" s="1942"/>
      <c r="AZ2933" s="1942"/>
      <c r="BA2933" s="1942"/>
      <c r="BB2933" s="575"/>
      <c r="BC2933" s="576"/>
      <c r="BD2933" s="678"/>
      <c r="BE2933" s="585"/>
    </row>
    <row r="2934" spans="1:57" s="1942" customFormat="1" ht="15" hidden="1" customHeight="1" outlineLevel="1" x14ac:dyDescent="0.25">
      <c r="A2934" s="1267"/>
      <c r="B2934" s="123"/>
      <c r="C2934" s="328"/>
      <c r="D2934" s="3990"/>
      <c r="E2934" s="4009"/>
      <c r="F2934" s="3010" t="str">
        <f>$E$1429</f>
        <v>ASHP-SEER16-Replace_CAC_NonElectricHeat_ER1_SF</v>
      </c>
      <c r="G2934" s="2676"/>
      <c r="H2934" s="2676"/>
      <c r="I2934" s="2677"/>
      <c r="J2934" s="3298" t="str">
        <f>$C$1429</f>
        <v>352510_2021_12_</v>
      </c>
      <c r="K2934" s="2228">
        <v>8.1664591605461361</v>
      </c>
      <c r="L2934" s="850"/>
      <c r="M2934" s="2817" t="s">
        <v>1125</v>
      </c>
      <c r="N2934" s="123"/>
      <c r="O2934" s="228"/>
      <c r="P2934" s="844"/>
      <c r="Q2934" s="844"/>
      <c r="R2934" s="844"/>
      <c r="S2934" s="832"/>
      <c r="T2934" s="3082"/>
      <c r="U2934" s="123"/>
      <c r="V2934" s="3990"/>
      <c r="W2934" s="2857"/>
      <c r="X2934" s="2857"/>
      <c r="Y2934" s="696"/>
      <c r="Z2934" s="696"/>
      <c r="AA2934" s="696"/>
      <c r="AB2934" s="2282"/>
      <c r="AC2934" s="2228">
        <v>8.1664591605461361</v>
      </c>
      <c r="AD2934" s="2857"/>
      <c r="AE2934" s="2857"/>
      <c r="AF2934" s="2857"/>
      <c r="AG2934" s="2857"/>
      <c r="BB2934" s="575"/>
      <c r="BC2934" s="576"/>
      <c r="BD2934" s="678"/>
      <c r="BE2934" s="585"/>
    </row>
    <row r="2935" spans="1:57" s="1942" customFormat="1" ht="15" hidden="1" customHeight="1" outlineLevel="1" x14ac:dyDescent="0.25">
      <c r="A2935" s="1267"/>
      <c r="B2935" s="123"/>
      <c r="C2935" s="328"/>
      <c r="D2935" s="3990"/>
      <c r="E2935" s="4009"/>
      <c r="F2935" s="3010" t="str">
        <f>$E$1431</f>
        <v>ASHP-SEER16-Replace_CAC_NonElectricHeat_ER2_SF</v>
      </c>
      <c r="G2935" s="2676"/>
      <c r="H2935" s="2676"/>
      <c r="I2935" s="2677"/>
      <c r="J2935" s="3298" t="str">
        <f>$C$1431</f>
        <v>352510_2021_12_</v>
      </c>
      <c r="K2935" s="2228">
        <v>13</v>
      </c>
      <c r="L2935" s="850"/>
      <c r="M2935" s="2817" t="s">
        <v>1110</v>
      </c>
      <c r="N2935" s="123"/>
      <c r="O2935" s="228"/>
      <c r="P2935" s="844"/>
      <c r="Q2935" s="844"/>
      <c r="R2935" s="844"/>
      <c r="S2935" s="832"/>
      <c r="T2935" s="3082"/>
      <c r="U2935" s="123"/>
      <c r="V2935" s="3990"/>
      <c r="W2935" s="2857"/>
      <c r="X2935" s="2857"/>
      <c r="Y2935" s="696"/>
      <c r="Z2935" s="696"/>
      <c r="AA2935" s="696"/>
      <c r="AB2935" s="2282"/>
      <c r="AC2935" s="2228">
        <v>13</v>
      </c>
      <c r="AD2935" s="2857"/>
      <c r="AE2935" s="2857"/>
      <c r="AF2935" s="2857"/>
      <c r="AG2935" s="2857"/>
      <c r="BB2935" s="575"/>
      <c r="BC2935" s="576"/>
      <c r="BD2935" s="678"/>
      <c r="BE2935" s="585"/>
    </row>
    <row r="2936" spans="1:57" s="51" customFormat="1" ht="15" hidden="1" customHeight="1" outlineLevel="1" x14ac:dyDescent="0.25">
      <c r="A2936" s="2060"/>
      <c r="B2936" s="123"/>
      <c r="C2936" s="328"/>
      <c r="D2936" s="3990"/>
      <c r="E2936" s="4009"/>
      <c r="F2936" s="3010" t="str">
        <f>$E$1433</f>
        <v>ASHP-SEER16_ER1_SF</v>
      </c>
      <c r="G2936" s="2676"/>
      <c r="H2936" s="2676"/>
      <c r="I2936" s="2677"/>
      <c r="J2936" s="3298" t="str">
        <f>$C$1433</f>
        <v>352550_2021_12_</v>
      </c>
      <c r="K2936" s="2228">
        <v>8.4255600602484932</v>
      </c>
      <c r="L2936" s="850"/>
      <c r="M2936" s="2723" t="s">
        <v>1005</v>
      </c>
      <c r="N2936" s="123"/>
      <c r="O2936" s="228"/>
      <c r="P2936" s="844"/>
      <c r="Q2936" s="844"/>
      <c r="R2936" s="844"/>
      <c r="S2936" s="832"/>
      <c r="T2936" s="3082"/>
      <c r="U2936" s="123"/>
      <c r="V2936" s="3990"/>
      <c r="W2936" s="2857">
        <v>7.2</v>
      </c>
      <c r="X2936" s="3155">
        <v>8.33</v>
      </c>
      <c r="Y2936" s="696">
        <v>8.33</v>
      </c>
      <c r="Z2936" s="696">
        <v>8.33</v>
      </c>
      <c r="AA2936" s="696">
        <v>8.33</v>
      </c>
      <c r="AB2936" s="2228">
        <v>7.7898582649437182</v>
      </c>
      <c r="AC2936" s="2228">
        <v>8.4255600602484932</v>
      </c>
      <c r="AD2936" s="2857"/>
      <c r="AE2936" s="2857"/>
      <c r="AF2936" s="2857"/>
      <c r="AG2936" s="2857"/>
      <c r="AH2936" s="1942"/>
      <c r="AI2936" s="1942"/>
      <c r="AJ2936" s="1942"/>
      <c r="AK2936" s="1942"/>
      <c r="AL2936" s="1942"/>
      <c r="AM2936" s="1942"/>
      <c r="AN2936" s="1942"/>
      <c r="AO2936" s="1942"/>
      <c r="AP2936" s="1942"/>
      <c r="AQ2936" s="1942"/>
      <c r="AR2936" s="1942"/>
      <c r="AS2936" s="1942"/>
      <c r="AT2936" s="1942"/>
      <c r="AU2936" s="1942"/>
      <c r="AV2936" s="1942"/>
      <c r="AW2936" s="1942"/>
      <c r="AX2936" s="1942"/>
      <c r="AY2936" s="1942"/>
      <c r="AZ2936" s="1942"/>
      <c r="BA2936" s="1942"/>
      <c r="BB2936" s="575"/>
      <c r="BC2936" s="576"/>
      <c r="BD2936" s="678"/>
      <c r="BE2936" s="585"/>
    </row>
    <row r="2937" spans="1:57" s="51" customFormat="1" ht="15" hidden="1" customHeight="1" outlineLevel="1" x14ac:dyDescent="0.25">
      <c r="A2937" s="2060"/>
      <c r="B2937" s="123"/>
      <c r="C2937" s="328"/>
      <c r="D2937" s="3990"/>
      <c r="E2937" s="4009"/>
      <c r="F2937" s="3010" t="str">
        <f>$E$1435</f>
        <v>ASHP-SEER16_ER2_SF</v>
      </c>
      <c r="G2937" s="2676"/>
      <c r="H2937" s="2676"/>
      <c r="I2937" s="2677"/>
      <c r="J2937" s="3298" t="str">
        <f>$C$1435</f>
        <v>352550_2021_12_</v>
      </c>
      <c r="K2937" s="2282">
        <v>14</v>
      </c>
      <c r="L2937" s="851"/>
      <c r="M2937" s="2284" t="s">
        <v>1110</v>
      </c>
      <c r="N2937" s="123"/>
      <c r="O2937" s="228"/>
      <c r="P2937" s="844"/>
      <c r="Q2937" s="844"/>
      <c r="R2937" s="844"/>
      <c r="S2937" s="832"/>
      <c r="T2937" s="3082"/>
      <c r="U2937" s="123"/>
      <c r="V2937" s="3990"/>
      <c r="W2937" s="2857">
        <v>14</v>
      </c>
      <c r="X2937" s="2857">
        <v>14</v>
      </c>
      <c r="Y2937" s="696">
        <v>14</v>
      </c>
      <c r="Z2937" s="696">
        <v>14</v>
      </c>
      <c r="AA2937" s="696">
        <v>14</v>
      </c>
      <c r="AB2937" s="2282">
        <v>14</v>
      </c>
      <c r="AC2937" s="2282">
        <v>14</v>
      </c>
      <c r="AD2937" s="2857"/>
      <c r="AE2937" s="2857"/>
      <c r="AF2937" s="2857"/>
      <c r="AG2937" s="2857"/>
      <c r="AH2937" s="1942"/>
      <c r="AI2937" s="1942"/>
      <c r="AJ2937" s="1942"/>
      <c r="AK2937" s="1942"/>
      <c r="AL2937" s="1942"/>
      <c r="AM2937" s="1942"/>
      <c r="AN2937" s="1942"/>
      <c r="AO2937" s="1942"/>
      <c r="AP2937" s="1942"/>
      <c r="AQ2937" s="1942"/>
      <c r="AR2937" s="1942"/>
      <c r="AS2937" s="1942"/>
      <c r="AT2937" s="1942"/>
      <c r="AU2937" s="1942"/>
      <c r="AV2937" s="1942"/>
      <c r="AW2937" s="1942"/>
      <c r="AX2937" s="1942"/>
      <c r="AY2937" s="1942"/>
      <c r="AZ2937" s="1942"/>
      <c r="BA2937" s="1942"/>
      <c r="BB2937" s="575"/>
      <c r="BC2937" s="576"/>
      <c r="BD2937" s="678"/>
      <c r="BE2937" s="585"/>
    </row>
    <row r="2938" spans="1:57" s="51" customFormat="1" ht="15" hidden="1" customHeight="1" outlineLevel="1" x14ac:dyDescent="0.25">
      <c r="A2938" s="2060"/>
      <c r="B2938" s="123"/>
      <c r="C2938" s="328"/>
      <c r="D2938" s="3990"/>
      <c r="E2938" s="4009"/>
      <c r="F2938" s="3010" t="str">
        <f>$E$1437</f>
        <v>ASHP-SEER16-Replace_CAC_ElectricHeat_ROF_SF</v>
      </c>
      <c r="G2938" s="2676"/>
      <c r="H2938" s="2676"/>
      <c r="I2938" s="2677"/>
      <c r="J2938" s="3298" t="str">
        <f>$C$1437</f>
        <v>352600_2021_12_</v>
      </c>
      <c r="K2938" s="2282">
        <v>13</v>
      </c>
      <c r="L2938" s="851"/>
      <c r="M2938" s="2284" t="s">
        <v>1110</v>
      </c>
      <c r="N2938" s="123"/>
      <c r="O2938" s="228"/>
      <c r="P2938" s="844"/>
      <c r="Q2938" s="844"/>
      <c r="R2938" s="844"/>
      <c r="S2938" s="832"/>
      <c r="T2938" s="3082"/>
      <c r="U2938" s="123"/>
      <c r="V2938" s="3990"/>
      <c r="W2938" s="2857">
        <v>13</v>
      </c>
      <c r="X2938" s="2857">
        <v>13</v>
      </c>
      <c r="Y2938" s="696">
        <v>13</v>
      </c>
      <c r="Z2938" s="696">
        <v>13</v>
      </c>
      <c r="AA2938" s="696">
        <v>13</v>
      </c>
      <c r="AB2938" s="2282">
        <v>13</v>
      </c>
      <c r="AC2938" s="2282">
        <v>13</v>
      </c>
      <c r="AD2938" s="2857"/>
      <c r="AE2938" s="2857"/>
      <c r="AF2938" s="2857"/>
      <c r="AG2938" s="2857"/>
      <c r="AH2938" s="1942"/>
      <c r="AI2938" s="1942"/>
      <c r="AJ2938" s="1942"/>
      <c r="AK2938" s="1942"/>
      <c r="AL2938" s="1942"/>
      <c r="AM2938" s="1942"/>
      <c r="AN2938" s="1942"/>
      <c r="AO2938" s="1942"/>
      <c r="AP2938" s="1942"/>
      <c r="AQ2938" s="1942"/>
      <c r="AR2938" s="1942"/>
      <c r="AS2938" s="1942"/>
      <c r="AT2938" s="1942"/>
      <c r="AU2938" s="1942"/>
      <c r="AV2938" s="1942"/>
      <c r="AW2938" s="1942"/>
      <c r="AX2938" s="1942"/>
      <c r="AY2938" s="1942"/>
      <c r="AZ2938" s="1942"/>
      <c r="BA2938" s="1942"/>
      <c r="BB2938" s="575"/>
      <c r="BC2938" s="576"/>
      <c r="BD2938" s="678"/>
      <c r="BE2938" s="585"/>
    </row>
    <row r="2939" spans="1:57" s="51" customFormat="1" ht="15" hidden="1" customHeight="1" outlineLevel="1" x14ac:dyDescent="0.25">
      <c r="A2939" s="2060"/>
      <c r="B2939" s="123"/>
      <c r="C2939" s="328"/>
      <c r="D2939" s="3990"/>
      <c r="E2939" s="4009"/>
      <c r="F2939" s="3010" t="str">
        <f>$E$1439</f>
        <v>ASHP-SEER16_ROF_SF</v>
      </c>
      <c r="G2939" s="2676"/>
      <c r="H2939" s="2676"/>
      <c r="I2939" s="2677"/>
      <c r="J2939" s="3298" t="str">
        <f>$C$1439</f>
        <v>352650_2021_12_</v>
      </c>
      <c r="K2939" s="2282">
        <v>14</v>
      </c>
      <c r="L2939" s="851"/>
      <c r="M2939" s="2284" t="s">
        <v>1110</v>
      </c>
      <c r="N2939" s="123"/>
      <c r="O2939" s="228"/>
      <c r="P2939" s="844"/>
      <c r="Q2939" s="844"/>
      <c r="R2939" s="844"/>
      <c r="S2939" s="832"/>
      <c r="T2939" s="3082"/>
      <c r="U2939" s="123"/>
      <c r="V2939" s="3990"/>
      <c r="W2939" s="2857">
        <v>14</v>
      </c>
      <c r="X2939" s="2857">
        <v>14</v>
      </c>
      <c r="Y2939" s="696">
        <v>14</v>
      </c>
      <c r="Z2939" s="696">
        <v>14</v>
      </c>
      <c r="AA2939" s="696">
        <v>14</v>
      </c>
      <c r="AB2939" s="2282">
        <v>14</v>
      </c>
      <c r="AC2939" s="2282">
        <v>14</v>
      </c>
      <c r="AD2939" s="2857"/>
      <c r="AE2939" s="2857"/>
      <c r="AF2939" s="2857"/>
      <c r="AG2939" s="2857"/>
      <c r="AH2939" s="1942"/>
      <c r="AI2939" s="1942"/>
      <c r="AJ2939" s="1942"/>
      <c r="AK2939" s="1942"/>
      <c r="AL2939" s="1942"/>
      <c r="AM2939" s="1942"/>
      <c r="AN2939" s="1942"/>
      <c r="AO2939" s="1942"/>
      <c r="AP2939" s="1942"/>
      <c r="AQ2939" s="1942"/>
      <c r="AR2939" s="1942"/>
      <c r="AS2939" s="1942"/>
      <c r="AT2939" s="1942"/>
      <c r="AU2939" s="1942"/>
      <c r="AV2939" s="1942"/>
      <c r="AW2939" s="1942"/>
      <c r="AX2939" s="1942"/>
      <c r="AY2939" s="1942"/>
      <c r="AZ2939" s="1942"/>
      <c r="BA2939" s="1942"/>
      <c r="BB2939" s="575"/>
      <c r="BC2939" s="576"/>
      <c r="BD2939" s="678"/>
      <c r="BE2939" s="585"/>
    </row>
    <row r="2940" spans="1:57" s="51" customFormat="1" ht="15" hidden="1" customHeight="1" outlineLevel="1" x14ac:dyDescent="0.25">
      <c r="A2940" s="2060"/>
      <c r="B2940" s="123"/>
      <c r="C2940" s="328"/>
      <c r="D2940" s="3990"/>
      <c r="E2940" s="4009"/>
      <c r="F2940" s="3010" t="str">
        <f>$E$1441</f>
        <v>ASHP-SEER15_ER1_MF</v>
      </c>
      <c r="G2940" s="2676"/>
      <c r="H2940" s="2676"/>
      <c r="I2940" s="2677"/>
      <c r="J2940" s="3298" t="str">
        <f>$C$1441</f>
        <v>352700_2021_12_</v>
      </c>
      <c r="K2940" s="2228">
        <v>8.3235581631061049</v>
      </c>
      <c r="L2940" s="851"/>
      <c r="M2940" s="2723" t="s">
        <v>1005</v>
      </c>
      <c r="N2940" s="123"/>
      <c r="O2940" s="228"/>
      <c r="P2940" s="844"/>
      <c r="Q2940" s="844"/>
      <c r="R2940" s="844"/>
      <c r="S2940" s="832"/>
      <c r="T2940" s="3082"/>
      <c r="U2940" s="123"/>
      <c r="V2940" s="3990"/>
      <c r="W2940" s="2857">
        <v>7.2</v>
      </c>
      <c r="X2940" s="3155">
        <v>8.33</v>
      </c>
      <c r="Y2940" s="696">
        <v>8.33</v>
      </c>
      <c r="Z2940" s="696">
        <v>8.33</v>
      </c>
      <c r="AA2940" s="696">
        <v>8.33</v>
      </c>
      <c r="AB2940" s="2228">
        <v>7.4463820519283335</v>
      </c>
      <c r="AC2940" s="2228">
        <v>8.3235581631061049</v>
      </c>
      <c r="AD2940" s="2857"/>
      <c r="AE2940" s="2857"/>
      <c r="AF2940" s="2857"/>
      <c r="AG2940" s="2857"/>
      <c r="AH2940" s="1942"/>
      <c r="AI2940" s="1942"/>
      <c r="AJ2940" s="1942"/>
      <c r="AK2940" s="1942"/>
      <c r="AL2940" s="1942"/>
      <c r="AM2940" s="1942"/>
      <c r="AN2940" s="1942"/>
      <c r="AO2940" s="1942"/>
      <c r="AP2940" s="1942"/>
      <c r="AQ2940" s="1942"/>
      <c r="AR2940" s="1942"/>
      <c r="AS2940" s="1942"/>
      <c r="AT2940" s="1942"/>
      <c r="AU2940" s="1942"/>
      <c r="AV2940" s="1942"/>
      <c r="AW2940" s="1942"/>
      <c r="AX2940" s="1942"/>
      <c r="AY2940" s="1942"/>
      <c r="AZ2940" s="1942"/>
      <c r="BA2940" s="1942"/>
      <c r="BB2940" s="575"/>
      <c r="BC2940" s="576"/>
      <c r="BD2940" s="678"/>
      <c r="BE2940" s="585"/>
    </row>
    <row r="2941" spans="1:57" s="51" customFormat="1" ht="15" hidden="1" customHeight="1" outlineLevel="1" x14ac:dyDescent="0.25">
      <c r="A2941" s="2060"/>
      <c r="B2941" s="123"/>
      <c r="C2941" s="328"/>
      <c r="D2941" s="3990"/>
      <c r="E2941" s="4009"/>
      <c r="F2941" s="3010" t="str">
        <f>$E$1443</f>
        <v>ASHP-SEER15_ER2_MF</v>
      </c>
      <c r="G2941" s="2676"/>
      <c r="H2941" s="2676"/>
      <c r="I2941" s="2677"/>
      <c r="J2941" s="3298" t="str">
        <f>$C$1443</f>
        <v>352700_2021_12_</v>
      </c>
      <c r="K2941" s="2282">
        <v>14</v>
      </c>
      <c r="L2941" s="851"/>
      <c r="M2941" s="2284" t="s">
        <v>1110</v>
      </c>
      <c r="N2941" s="123"/>
      <c r="O2941" s="228"/>
      <c r="P2941" s="844"/>
      <c r="Q2941" s="844"/>
      <c r="R2941" s="844"/>
      <c r="S2941" s="832"/>
      <c r="T2941" s="3082"/>
      <c r="U2941" s="123"/>
      <c r="V2941" s="3990"/>
      <c r="W2941" s="2857">
        <v>14</v>
      </c>
      <c r="X2941" s="2857">
        <v>14</v>
      </c>
      <c r="Y2941" s="696">
        <v>14</v>
      </c>
      <c r="Z2941" s="696">
        <v>14</v>
      </c>
      <c r="AA2941" s="696">
        <v>14</v>
      </c>
      <c r="AB2941" s="2282">
        <v>14</v>
      </c>
      <c r="AC2941" s="2282">
        <v>14</v>
      </c>
      <c r="AD2941" s="2857"/>
      <c r="AE2941" s="2857"/>
      <c r="AF2941" s="2857"/>
      <c r="AG2941" s="2857"/>
      <c r="AH2941" s="1942"/>
      <c r="AI2941" s="1942"/>
      <c r="AJ2941" s="1942"/>
      <c r="AK2941" s="1942"/>
      <c r="AL2941" s="1942"/>
      <c r="AM2941" s="1942"/>
      <c r="AN2941" s="1942"/>
      <c r="AO2941" s="1942"/>
      <c r="AP2941" s="1942"/>
      <c r="AQ2941" s="1942"/>
      <c r="AR2941" s="1942"/>
      <c r="AS2941" s="1942"/>
      <c r="AT2941" s="1942"/>
      <c r="AU2941" s="1942"/>
      <c r="AV2941" s="1942"/>
      <c r="AW2941" s="1942"/>
      <c r="AX2941" s="1942"/>
      <c r="AY2941" s="1942"/>
      <c r="AZ2941" s="1942"/>
      <c r="BA2941" s="1942"/>
      <c r="BB2941" s="575"/>
      <c r="BC2941" s="576"/>
      <c r="BD2941" s="678"/>
      <c r="BE2941" s="585"/>
    </row>
    <row r="2942" spans="1:57" s="51" customFormat="1" ht="15" hidden="1" customHeight="1" outlineLevel="1" x14ac:dyDescent="0.25">
      <c r="A2942" s="2060"/>
      <c r="B2942" s="123"/>
      <c r="C2942" s="328"/>
      <c r="D2942" s="3990"/>
      <c r="E2942" s="4009"/>
      <c r="F2942" s="3010" t="str">
        <f>$E$1445</f>
        <v>ASHP-SEER15_ER1_MF_CompE</v>
      </c>
      <c r="G2942" s="2676"/>
      <c r="H2942" s="2676"/>
      <c r="I2942" s="2677"/>
      <c r="J2942" s="3298" t="str">
        <f>$C$1445</f>
        <v>352701_2021_12_</v>
      </c>
      <c r="K2942" s="2282">
        <v>7.4463820519283335</v>
      </c>
      <c r="L2942" s="851"/>
      <c r="M2942" s="2284" t="s">
        <v>1017</v>
      </c>
      <c r="N2942" s="123"/>
      <c r="O2942" s="228"/>
      <c r="P2942" s="844"/>
      <c r="Q2942" s="844"/>
      <c r="R2942" s="844"/>
      <c r="S2942" s="832"/>
      <c r="T2942" s="3082"/>
      <c r="U2942" s="123"/>
      <c r="V2942" s="3990"/>
      <c r="W2942" s="2857"/>
      <c r="X2942" s="2857"/>
      <c r="Y2942" s="3158">
        <v>8.33</v>
      </c>
      <c r="Z2942" s="696">
        <v>8.33</v>
      </c>
      <c r="AA2942" s="696">
        <v>8.33</v>
      </c>
      <c r="AB2942" s="2228">
        <v>7.4463820519283335</v>
      </c>
      <c r="AC2942" s="2282">
        <v>7.4463820519283335</v>
      </c>
      <c r="AD2942" s="2857"/>
      <c r="AE2942" s="2857"/>
      <c r="AF2942" s="2857"/>
      <c r="AG2942" s="2857"/>
      <c r="AH2942" s="1942"/>
      <c r="AI2942" s="1942"/>
      <c r="AJ2942" s="1942"/>
      <c r="AK2942" s="1942"/>
      <c r="AL2942" s="1942"/>
      <c r="AM2942" s="1942"/>
      <c r="AN2942" s="1942"/>
      <c r="AO2942" s="1942"/>
      <c r="AP2942" s="1942"/>
      <c r="AQ2942" s="1942"/>
      <c r="AR2942" s="1942"/>
      <c r="AS2942" s="1942"/>
      <c r="AT2942" s="1942"/>
      <c r="AU2942" s="1942"/>
      <c r="AV2942" s="1942"/>
      <c r="AW2942" s="1942"/>
      <c r="AX2942" s="1942"/>
      <c r="AY2942" s="1942"/>
      <c r="AZ2942" s="1942"/>
      <c r="BA2942" s="1942"/>
      <c r="BB2942" s="575"/>
      <c r="BC2942" s="576"/>
      <c r="BD2942" s="678"/>
      <c r="BE2942" s="585"/>
    </row>
    <row r="2943" spans="1:57" s="51" customFormat="1" ht="15" hidden="1" customHeight="1" outlineLevel="1" x14ac:dyDescent="0.25">
      <c r="A2943" s="2060"/>
      <c r="B2943" s="123"/>
      <c r="C2943" s="328"/>
      <c r="D2943" s="3990"/>
      <c r="E2943" s="4009"/>
      <c r="F2943" s="3010" t="str">
        <f>$E$1447</f>
        <v>ASHP-SEER15_ER2_MF_CompE</v>
      </c>
      <c r="G2943" s="2676"/>
      <c r="H2943" s="2676"/>
      <c r="I2943" s="2677"/>
      <c r="J2943" s="3298" t="str">
        <f>$C$1447</f>
        <v>352701_2021_12_</v>
      </c>
      <c r="K2943" s="2282">
        <v>14</v>
      </c>
      <c r="L2943" s="851"/>
      <c r="M2943" s="2284" t="s">
        <v>1110</v>
      </c>
      <c r="N2943" s="123"/>
      <c r="O2943" s="228"/>
      <c r="P2943" s="844"/>
      <c r="Q2943" s="844"/>
      <c r="R2943" s="844"/>
      <c r="S2943" s="832"/>
      <c r="T2943" s="3082"/>
      <c r="U2943" s="123"/>
      <c r="V2943" s="3990"/>
      <c r="W2943" s="2857"/>
      <c r="X2943" s="2857"/>
      <c r="Y2943" s="3158">
        <v>14</v>
      </c>
      <c r="Z2943" s="696">
        <v>14</v>
      </c>
      <c r="AA2943" s="696">
        <v>14</v>
      </c>
      <c r="AB2943" s="2282">
        <v>14</v>
      </c>
      <c r="AC2943" s="2282">
        <v>14</v>
      </c>
      <c r="AD2943" s="2857"/>
      <c r="AE2943" s="2857"/>
      <c r="AF2943" s="2857"/>
      <c r="AG2943" s="2857"/>
      <c r="AH2943" s="1942"/>
      <c r="AI2943" s="1942"/>
      <c r="AJ2943" s="1942"/>
      <c r="AK2943" s="1942"/>
      <c r="AL2943" s="1942"/>
      <c r="AM2943" s="1942"/>
      <c r="AN2943" s="1942"/>
      <c r="AO2943" s="1942"/>
      <c r="AP2943" s="1942"/>
      <c r="AQ2943" s="1942"/>
      <c r="AR2943" s="1942"/>
      <c r="AS2943" s="1942"/>
      <c r="AT2943" s="1942"/>
      <c r="AU2943" s="1942"/>
      <c r="AV2943" s="1942"/>
      <c r="AW2943" s="1942"/>
      <c r="AX2943" s="1942"/>
      <c r="AY2943" s="1942"/>
      <c r="AZ2943" s="1942"/>
      <c r="BA2943" s="1942"/>
      <c r="BB2943" s="575"/>
      <c r="BC2943" s="576"/>
      <c r="BD2943" s="678"/>
      <c r="BE2943" s="585"/>
    </row>
    <row r="2944" spans="1:57" s="51" customFormat="1" ht="15" hidden="1" customHeight="1" outlineLevel="1" x14ac:dyDescent="0.25">
      <c r="A2944" s="2060"/>
      <c r="B2944" s="123"/>
      <c r="C2944" s="328"/>
      <c r="D2944" s="3990"/>
      <c r="E2944" s="4009"/>
      <c r="F2944" s="3010" t="str">
        <f>$E$1449</f>
        <v>ASHP-SEER15-Replace_CAC_ElectricHeat_ER1_MF</v>
      </c>
      <c r="G2944" s="2676"/>
      <c r="H2944" s="2676"/>
      <c r="I2944" s="2677"/>
      <c r="J2944" s="3298" t="str">
        <f>$C$1449</f>
        <v>352750_2021_12_</v>
      </c>
      <c r="K2944" s="2228">
        <v>8.402496453661275</v>
      </c>
      <c r="L2944" s="851"/>
      <c r="M2944" s="2723" t="s">
        <v>1005</v>
      </c>
      <c r="N2944" s="123"/>
      <c r="O2944" s="228"/>
      <c r="P2944" s="844"/>
      <c r="Q2944" s="844"/>
      <c r="R2944" s="844"/>
      <c r="S2944" s="832"/>
      <c r="T2944" s="3082"/>
      <c r="U2944" s="123"/>
      <c r="V2944" s="3990"/>
      <c r="W2944" s="2857">
        <v>6.8</v>
      </c>
      <c r="X2944" s="3155">
        <v>8.33</v>
      </c>
      <c r="Y2944" s="696">
        <v>8.33</v>
      </c>
      <c r="Z2944" s="696">
        <v>8.33</v>
      </c>
      <c r="AA2944" s="696">
        <v>8.33</v>
      </c>
      <c r="AB2944" s="2228">
        <v>7.4436972862639159</v>
      </c>
      <c r="AC2944" s="2228">
        <v>8.402496453661275</v>
      </c>
      <c r="AD2944" s="2857"/>
      <c r="AE2944" s="2857"/>
      <c r="AF2944" s="2857"/>
      <c r="AG2944" s="2857"/>
      <c r="AH2944" s="1942"/>
      <c r="AI2944" s="1942"/>
      <c r="AJ2944" s="1942"/>
      <c r="AK2944" s="1942"/>
      <c r="AL2944" s="1942"/>
      <c r="AM2944" s="1942"/>
      <c r="AN2944" s="1942"/>
      <c r="AO2944" s="1942"/>
      <c r="AP2944" s="1942"/>
      <c r="AQ2944" s="1942"/>
      <c r="AR2944" s="1942"/>
      <c r="AS2944" s="1942"/>
      <c r="AT2944" s="1942"/>
      <c r="AU2944" s="1942"/>
      <c r="AV2944" s="1942"/>
      <c r="AW2944" s="1942"/>
      <c r="AX2944" s="1942"/>
      <c r="AY2944" s="1942"/>
      <c r="AZ2944" s="1942"/>
      <c r="BA2944" s="1942"/>
      <c r="BB2944" s="575"/>
      <c r="BC2944" s="576"/>
      <c r="BD2944" s="678"/>
      <c r="BE2944" s="585"/>
    </row>
    <row r="2945" spans="1:57" s="51" customFormat="1" ht="15" hidden="1" customHeight="1" outlineLevel="1" x14ac:dyDescent="0.25">
      <c r="A2945" s="2060"/>
      <c r="B2945" s="123"/>
      <c r="C2945" s="328"/>
      <c r="D2945" s="3990"/>
      <c r="E2945" s="4009"/>
      <c r="F2945" s="3010" t="str">
        <f>$E$1451</f>
        <v>ASHP-SEER15-Replace_CAC_ElectricHeat_ER2_MF</v>
      </c>
      <c r="G2945" s="2676"/>
      <c r="H2945" s="2676"/>
      <c r="I2945" s="2677"/>
      <c r="J2945" s="3298" t="str">
        <f>$C$1451</f>
        <v>352750_2021_12_</v>
      </c>
      <c r="K2945" s="2282">
        <v>13</v>
      </c>
      <c r="L2945" s="851"/>
      <c r="M2945" s="2284" t="s">
        <v>1110</v>
      </c>
      <c r="N2945" s="123"/>
      <c r="O2945" s="228"/>
      <c r="P2945" s="844"/>
      <c r="Q2945" s="844"/>
      <c r="R2945" s="844"/>
      <c r="S2945" s="832"/>
      <c r="T2945" s="3082"/>
      <c r="U2945" s="123"/>
      <c r="V2945" s="3990"/>
      <c r="W2945" s="2857">
        <v>13</v>
      </c>
      <c r="X2945" s="2857">
        <v>13</v>
      </c>
      <c r="Y2945" s="696">
        <v>13</v>
      </c>
      <c r="Z2945" s="696">
        <v>13</v>
      </c>
      <c r="AA2945" s="696">
        <v>13</v>
      </c>
      <c r="AB2945" s="2282">
        <v>13</v>
      </c>
      <c r="AC2945" s="2282">
        <v>13</v>
      </c>
      <c r="AD2945" s="2857"/>
      <c r="AE2945" s="2857"/>
      <c r="AF2945" s="2857"/>
      <c r="AG2945" s="2857"/>
      <c r="AH2945" s="1942"/>
      <c r="AI2945" s="1942"/>
      <c r="AJ2945" s="1942"/>
      <c r="AK2945" s="1942"/>
      <c r="AL2945" s="1942"/>
      <c r="AM2945" s="1942"/>
      <c r="AN2945" s="1942"/>
      <c r="AO2945" s="1942"/>
      <c r="AP2945" s="1942"/>
      <c r="AQ2945" s="1942"/>
      <c r="AR2945" s="1942"/>
      <c r="AS2945" s="1942"/>
      <c r="AT2945" s="1942"/>
      <c r="AU2945" s="1942"/>
      <c r="AV2945" s="1942"/>
      <c r="AW2945" s="1942"/>
      <c r="AX2945" s="1942"/>
      <c r="AY2945" s="1942"/>
      <c r="AZ2945" s="1942"/>
      <c r="BA2945" s="1942"/>
      <c r="BB2945" s="575"/>
      <c r="BC2945" s="576"/>
      <c r="BD2945" s="678"/>
      <c r="BE2945" s="585"/>
    </row>
    <row r="2946" spans="1:57" s="51" customFormat="1" ht="15" hidden="1" customHeight="1" outlineLevel="1" x14ac:dyDescent="0.25">
      <c r="A2946" s="2060"/>
      <c r="B2946" s="123"/>
      <c r="C2946" s="328"/>
      <c r="D2946" s="3990"/>
      <c r="E2946" s="4009"/>
      <c r="F2946" s="3010" t="str">
        <f>$E$1453</f>
        <v>ASHP-SEER15-Replace_CAC_ElectricHeat_ER1_MF_CompE</v>
      </c>
      <c r="G2946" s="2676"/>
      <c r="H2946" s="2676"/>
      <c r="I2946" s="2677"/>
      <c r="J2946" s="3298" t="str">
        <f>$C$1453</f>
        <v>352751_2021_12_</v>
      </c>
      <c r="K2946" s="2282">
        <v>7.4436972862639159</v>
      </c>
      <c r="L2946" s="851"/>
      <c r="M2946" s="2284" t="s">
        <v>1125</v>
      </c>
      <c r="N2946" s="123"/>
      <c r="O2946" s="228"/>
      <c r="P2946" s="844"/>
      <c r="Q2946" s="844"/>
      <c r="R2946" s="844"/>
      <c r="S2946" s="832"/>
      <c r="T2946" s="3082"/>
      <c r="U2946" s="123"/>
      <c r="V2946" s="3990"/>
      <c r="W2946" s="2857"/>
      <c r="X2946" s="2857"/>
      <c r="Y2946" s="3158">
        <v>8.33</v>
      </c>
      <c r="Z2946" s="696">
        <v>8.33</v>
      </c>
      <c r="AA2946" s="696">
        <v>8.33</v>
      </c>
      <c r="AB2946" s="2228">
        <v>7.4436972862639159</v>
      </c>
      <c r="AC2946" s="2282">
        <v>7.4436972862639159</v>
      </c>
      <c r="AD2946" s="2857"/>
      <c r="AE2946" s="2857"/>
      <c r="AF2946" s="2857"/>
      <c r="AG2946" s="2857"/>
      <c r="AH2946" s="1942"/>
      <c r="AI2946" s="1942"/>
      <c r="AJ2946" s="1942"/>
      <c r="AK2946" s="1942"/>
      <c r="AL2946" s="1942"/>
      <c r="AM2946" s="1942"/>
      <c r="AN2946" s="1942"/>
      <c r="AO2946" s="1942"/>
      <c r="AP2946" s="1942"/>
      <c r="AQ2946" s="1942"/>
      <c r="AR2946" s="1942"/>
      <c r="AS2946" s="1942"/>
      <c r="AT2946" s="1942"/>
      <c r="AU2946" s="1942"/>
      <c r="AV2946" s="1942"/>
      <c r="AW2946" s="1942"/>
      <c r="AX2946" s="1942"/>
      <c r="AY2946" s="1942"/>
      <c r="AZ2946" s="1942"/>
      <c r="BA2946" s="1942"/>
      <c r="BB2946" s="575"/>
      <c r="BC2946" s="576"/>
      <c r="BD2946" s="678"/>
      <c r="BE2946" s="585"/>
    </row>
    <row r="2947" spans="1:57" s="51" customFormat="1" ht="15" hidden="1" customHeight="1" outlineLevel="1" x14ac:dyDescent="0.25">
      <c r="A2947" s="2060"/>
      <c r="B2947" s="123"/>
      <c r="C2947" s="328"/>
      <c r="D2947" s="3990"/>
      <c r="E2947" s="4009"/>
      <c r="F2947" s="3010" t="str">
        <f>$E$1455</f>
        <v>ASHP-SEER15-Replace_CAC_ElectricHeat_ER2_MF_CompE</v>
      </c>
      <c r="G2947" s="2676"/>
      <c r="H2947" s="2676"/>
      <c r="I2947" s="2677"/>
      <c r="J2947" s="3298" t="str">
        <f>$C$1455</f>
        <v>352751_2021_12_</v>
      </c>
      <c r="K2947" s="2282">
        <v>13</v>
      </c>
      <c r="L2947" s="851"/>
      <c r="M2947" s="2284" t="s">
        <v>1110</v>
      </c>
      <c r="N2947" s="123"/>
      <c r="O2947" s="228"/>
      <c r="P2947" s="844"/>
      <c r="Q2947" s="844"/>
      <c r="R2947" s="844"/>
      <c r="S2947" s="832"/>
      <c r="T2947" s="3082"/>
      <c r="U2947" s="123"/>
      <c r="V2947" s="3990"/>
      <c r="W2947" s="2857"/>
      <c r="X2947" s="2857"/>
      <c r="Y2947" s="3158">
        <v>13</v>
      </c>
      <c r="Z2947" s="696">
        <v>13</v>
      </c>
      <c r="AA2947" s="696">
        <v>13</v>
      </c>
      <c r="AB2947" s="2282">
        <v>13</v>
      </c>
      <c r="AC2947" s="2282">
        <v>13</v>
      </c>
      <c r="AD2947" s="2857"/>
      <c r="AE2947" s="2857"/>
      <c r="AF2947" s="2857"/>
      <c r="AG2947" s="2857"/>
      <c r="AH2947" s="1942"/>
      <c r="AI2947" s="1942"/>
      <c r="AJ2947" s="1942"/>
      <c r="AK2947" s="1942"/>
      <c r="AL2947" s="1942"/>
      <c r="AM2947" s="1942"/>
      <c r="AN2947" s="1942"/>
      <c r="AO2947" s="1942"/>
      <c r="AP2947" s="1942"/>
      <c r="AQ2947" s="1942"/>
      <c r="AR2947" s="1942"/>
      <c r="AS2947" s="1942"/>
      <c r="AT2947" s="1942"/>
      <c r="AU2947" s="1942"/>
      <c r="AV2947" s="1942"/>
      <c r="AW2947" s="1942"/>
      <c r="AX2947" s="1942"/>
      <c r="AY2947" s="1942"/>
      <c r="AZ2947" s="1942"/>
      <c r="BA2947" s="1942"/>
      <c r="BB2947" s="575"/>
      <c r="BC2947" s="576"/>
      <c r="BD2947" s="678"/>
      <c r="BE2947" s="585"/>
    </row>
    <row r="2948" spans="1:57" s="1942" customFormat="1" ht="15" hidden="1" customHeight="1" outlineLevel="1" x14ac:dyDescent="0.25">
      <c r="A2948" s="2060"/>
      <c r="B2948" s="123"/>
      <c r="C2948" s="328"/>
      <c r="D2948" s="3990"/>
      <c r="E2948" s="4009"/>
      <c r="F2948" s="3010" t="str">
        <f>$E$1457</f>
        <v>ASHP-SEER15-Replace_CAC_NonElectricHeat_ER1_MF</v>
      </c>
      <c r="G2948" s="2676"/>
      <c r="H2948" s="2676"/>
      <c r="I2948" s="2677"/>
      <c r="J2948" s="3298" t="str">
        <f>$C$1457</f>
        <v>352760_2021_12_</v>
      </c>
      <c r="K2948" s="2228">
        <v>8.402496453661275</v>
      </c>
      <c r="L2948" s="851"/>
      <c r="M2948" s="2817" t="s">
        <v>1125</v>
      </c>
      <c r="N2948" s="123"/>
      <c r="O2948" s="228"/>
      <c r="P2948" s="844"/>
      <c r="Q2948" s="844"/>
      <c r="R2948" s="844"/>
      <c r="S2948" s="832"/>
      <c r="T2948" s="3082"/>
      <c r="U2948" s="123"/>
      <c r="V2948" s="3990"/>
      <c r="W2948" s="2857"/>
      <c r="X2948" s="2857"/>
      <c r="Y2948" s="3158"/>
      <c r="Z2948" s="696"/>
      <c r="AA2948" s="696"/>
      <c r="AB2948" s="2282"/>
      <c r="AC2948" s="2228">
        <v>8.402496453661275</v>
      </c>
      <c r="AD2948" s="2857"/>
      <c r="AE2948" s="2857"/>
      <c r="AF2948" s="2857"/>
      <c r="AG2948" s="2857"/>
      <c r="BB2948" s="575"/>
      <c r="BC2948" s="576"/>
      <c r="BD2948" s="678"/>
      <c r="BE2948" s="585"/>
    </row>
    <row r="2949" spans="1:57" s="1942" customFormat="1" ht="15" hidden="1" customHeight="1" outlineLevel="1" x14ac:dyDescent="0.25">
      <c r="A2949" s="2060"/>
      <c r="B2949" s="123"/>
      <c r="C2949" s="328"/>
      <c r="D2949" s="3990"/>
      <c r="E2949" s="4009"/>
      <c r="F2949" s="3010" t="str">
        <f>$E$1459</f>
        <v>ASHP-SEER15-Replace_CAC_NonElectricHeat_ER2_MF</v>
      </c>
      <c r="G2949" s="2676"/>
      <c r="H2949" s="2676"/>
      <c r="I2949" s="2677"/>
      <c r="J2949" s="3298" t="str">
        <f>$C$1459</f>
        <v>352760_2021_12_</v>
      </c>
      <c r="K2949" s="2228">
        <v>13</v>
      </c>
      <c r="L2949" s="851"/>
      <c r="M2949" s="2817" t="s">
        <v>1110</v>
      </c>
      <c r="N2949" s="123"/>
      <c r="O2949" s="228"/>
      <c r="P2949" s="844"/>
      <c r="Q2949" s="844"/>
      <c r="R2949" s="844"/>
      <c r="S2949" s="832"/>
      <c r="T2949" s="3082"/>
      <c r="U2949" s="123"/>
      <c r="V2949" s="3990"/>
      <c r="W2949" s="2857"/>
      <c r="X2949" s="2857"/>
      <c r="Y2949" s="3158"/>
      <c r="Z2949" s="696"/>
      <c r="AA2949" s="696"/>
      <c r="AB2949" s="2282"/>
      <c r="AC2949" s="2228">
        <v>13</v>
      </c>
      <c r="AD2949" s="2857"/>
      <c r="AE2949" s="2857"/>
      <c r="AF2949" s="2857"/>
      <c r="AG2949" s="2857"/>
      <c r="BB2949" s="575"/>
      <c r="BC2949" s="576"/>
      <c r="BD2949" s="678"/>
      <c r="BE2949" s="585"/>
    </row>
    <row r="2950" spans="1:57" s="1942" customFormat="1" ht="15" hidden="1" customHeight="1" outlineLevel="1" x14ac:dyDescent="0.25">
      <c r="A2950" s="2060"/>
      <c r="B2950" s="123"/>
      <c r="C2950" s="328"/>
      <c r="D2950" s="3990"/>
      <c r="E2950" s="4009"/>
      <c r="F2950" s="3010" t="str">
        <f>$E$1461</f>
        <v>ASHP-SEER15-Replace_CAC_NonElectricHeat_ER1_MF_CompE</v>
      </c>
      <c r="G2950" s="2676"/>
      <c r="H2950" s="2676"/>
      <c r="I2950" s="2677"/>
      <c r="J2950" s="3298" t="str">
        <f>$C$1461</f>
        <v>352761_2021_12_</v>
      </c>
      <c r="K2950" s="2228">
        <v>7.4436972862639159</v>
      </c>
      <c r="L2950" s="851"/>
      <c r="M2950" s="2817" t="s">
        <v>1125</v>
      </c>
      <c r="N2950" s="123"/>
      <c r="O2950" s="228"/>
      <c r="P2950" s="844"/>
      <c r="Q2950" s="844"/>
      <c r="R2950" s="844"/>
      <c r="S2950" s="832"/>
      <c r="T2950" s="3082"/>
      <c r="U2950" s="123"/>
      <c r="V2950" s="3990"/>
      <c r="W2950" s="2857"/>
      <c r="X2950" s="2857"/>
      <c r="Y2950" s="3158"/>
      <c r="Z2950" s="696"/>
      <c r="AA2950" s="696"/>
      <c r="AB2950" s="2282"/>
      <c r="AC2950" s="2228">
        <v>7.4436972862639159</v>
      </c>
      <c r="AD2950" s="2857"/>
      <c r="AE2950" s="2857"/>
      <c r="AF2950" s="2857"/>
      <c r="AG2950" s="2857"/>
      <c r="BB2950" s="575"/>
      <c r="BC2950" s="576"/>
      <c r="BD2950" s="678"/>
      <c r="BE2950" s="585"/>
    </row>
    <row r="2951" spans="1:57" s="1942" customFormat="1" ht="15" hidden="1" customHeight="1" outlineLevel="1" x14ac:dyDescent="0.25">
      <c r="A2951" s="2060"/>
      <c r="B2951" s="123"/>
      <c r="C2951" s="328"/>
      <c r="D2951" s="3990"/>
      <c r="E2951" s="4009"/>
      <c r="F2951" s="3010" t="str">
        <f>$E$1463</f>
        <v>ASHP-SEER15-Replace_CAC_NonElectricHeat_ER2_MF_CompE</v>
      </c>
      <c r="G2951" s="2676"/>
      <c r="H2951" s="2676"/>
      <c r="I2951" s="2677"/>
      <c r="J2951" s="3298" t="str">
        <f>$C$1463</f>
        <v>352761_2021_12_</v>
      </c>
      <c r="K2951" s="2228">
        <v>13</v>
      </c>
      <c r="L2951" s="851"/>
      <c r="M2951" s="2817" t="s">
        <v>1110</v>
      </c>
      <c r="N2951" s="123"/>
      <c r="O2951" s="228"/>
      <c r="P2951" s="844"/>
      <c r="Q2951" s="844"/>
      <c r="R2951" s="844"/>
      <c r="S2951" s="832"/>
      <c r="T2951" s="3082"/>
      <c r="U2951" s="123"/>
      <c r="V2951" s="3990"/>
      <c r="W2951" s="2857"/>
      <c r="X2951" s="2857"/>
      <c r="Y2951" s="3158"/>
      <c r="Z2951" s="696"/>
      <c r="AA2951" s="696"/>
      <c r="AB2951" s="2282"/>
      <c r="AC2951" s="2228">
        <v>13</v>
      </c>
      <c r="AD2951" s="2857"/>
      <c r="AE2951" s="2857"/>
      <c r="AF2951" s="2857"/>
      <c r="AG2951" s="2857"/>
      <c r="BB2951" s="575"/>
      <c r="BC2951" s="576"/>
      <c r="BD2951" s="678"/>
      <c r="BE2951" s="585"/>
    </row>
    <row r="2952" spans="1:57" s="51" customFormat="1" ht="15" hidden="1" customHeight="1" outlineLevel="1" x14ac:dyDescent="0.25">
      <c r="A2952" s="2060"/>
      <c r="B2952" s="123"/>
      <c r="C2952" s="328"/>
      <c r="D2952" s="3990"/>
      <c r="E2952" s="4009"/>
      <c r="F2952" s="3010" t="str">
        <f>$E$1465</f>
        <v>ASHP-SEER15-Replace_CAC_ElectricHeat_ROF_MF</v>
      </c>
      <c r="G2952" s="2676"/>
      <c r="H2952" s="2676"/>
      <c r="I2952" s="2677"/>
      <c r="J2952" s="3299" t="str">
        <f>$C$1465</f>
        <v>352800_2019_12_</v>
      </c>
      <c r="K2952" s="2282">
        <v>13</v>
      </c>
      <c r="L2952" s="851"/>
      <c r="M2952" s="2284" t="s">
        <v>1110</v>
      </c>
      <c r="N2952" s="123"/>
      <c r="O2952" s="228"/>
      <c r="P2952" s="844"/>
      <c r="Q2952" s="844"/>
      <c r="R2952" s="844"/>
      <c r="S2952" s="832"/>
      <c r="T2952" s="3082"/>
      <c r="U2952" s="123"/>
      <c r="V2952" s="3990"/>
      <c r="W2952" s="2857">
        <v>13</v>
      </c>
      <c r="X2952" s="2857">
        <v>13</v>
      </c>
      <c r="Y2952" s="696">
        <v>13</v>
      </c>
      <c r="Z2952" s="696">
        <v>13</v>
      </c>
      <c r="AA2952" s="696">
        <v>13</v>
      </c>
      <c r="AB2952" s="2282">
        <v>13</v>
      </c>
      <c r="AC2952" s="2282">
        <v>13</v>
      </c>
      <c r="AD2952" s="2857"/>
      <c r="AE2952" s="2857"/>
      <c r="AF2952" s="2857"/>
      <c r="AG2952" s="2857"/>
      <c r="AH2952" s="1942"/>
      <c r="AI2952" s="1942"/>
      <c r="AJ2952" s="1942"/>
      <c r="AK2952" s="1942"/>
      <c r="AL2952" s="1942"/>
      <c r="AM2952" s="1942"/>
      <c r="AN2952" s="1942"/>
      <c r="AO2952" s="1942"/>
      <c r="AP2952" s="1942"/>
      <c r="AQ2952" s="1942"/>
      <c r="AR2952" s="1942"/>
      <c r="AS2952" s="1942"/>
      <c r="AT2952" s="1942"/>
      <c r="AU2952" s="1942"/>
      <c r="AV2952" s="1942"/>
      <c r="AW2952" s="1942"/>
      <c r="AX2952" s="1942"/>
      <c r="AY2952" s="1942"/>
      <c r="AZ2952" s="1942"/>
      <c r="BA2952" s="1942"/>
      <c r="BB2952" s="575"/>
      <c r="BC2952" s="576"/>
      <c r="BD2952" s="678"/>
      <c r="BE2952" s="585"/>
    </row>
    <row r="2953" spans="1:57" s="51" customFormat="1" ht="15" hidden="1" customHeight="1" outlineLevel="1" x14ac:dyDescent="0.25">
      <c r="A2953" s="2060"/>
      <c r="B2953" s="123"/>
      <c r="C2953" s="328"/>
      <c r="D2953" s="3990"/>
      <c r="E2953" s="4009"/>
      <c r="F2953" s="3010" t="str">
        <f>$E$1467</f>
        <v>ASHP-SEER15-Replace_CAC_ElectricHeat_ROF_MF_CompE</v>
      </c>
      <c r="G2953" s="2676"/>
      <c r="H2953" s="2676"/>
      <c r="I2953" s="2677"/>
      <c r="J2953" s="3299" t="str">
        <f>$C$1467</f>
        <v>352801_2021_12_</v>
      </c>
      <c r="K2953" s="2282">
        <v>13</v>
      </c>
      <c r="L2953" s="851"/>
      <c r="M2953" s="2284" t="s">
        <v>1110</v>
      </c>
      <c r="N2953" s="123"/>
      <c r="O2953" s="228"/>
      <c r="P2953" s="844"/>
      <c r="Q2953" s="844"/>
      <c r="R2953" s="844"/>
      <c r="S2953" s="832"/>
      <c r="T2953" s="3082"/>
      <c r="U2953" s="123"/>
      <c r="V2953" s="3990"/>
      <c r="W2953" s="2857"/>
      <c r="X2953" s="2857"/>
      <c r="Y2953" s="3158">
        <v>13</v>
      </c>
      <c r="Z2953" s="696">
        <v>13</v>
      </c>
      <c r="AA2953" s="696">
        <v>13</v>
      </c>
      <c r="AB2953" s="2282">
        <v>13</v>
      </c>
      <c r="AC2953" s="2282">
        <v>13</v>
      </c>
      <c r="AD2953" s="2857"/>
      <c r="AE2953" s="2857"/>
      <c r="AF2953" s="2857"/>
      <c r="AG2953" s="2857"/>
      <c r="AH2953" s="1942"/>
      <c r="AI2953" s="1942"/>
      <c r="AJ2953" s="1942"/>
      <c r="AK2953" s="1942"/>
      <c r="AL2953" s="1942"/>
      <c r="AM2953" s="1942"/>
      <c r="AN2953" s="1942"/>
      <c r="AO2953" s="1942"/>
      <c r="AP2953" s="1942"/>
      <c r="AQ2953" s="1942"/>
      <c r="AR2953" s="1942"/>
      <c r="AS2953" s="1942"/>
      <c r="AT2953" s="1942"/>
      <c r="AU2953" s="1942"/>
      <c r="AV2953" s="1942"/>
      <c r="AW2953" s="1942"/>
      <c r="AX2953" s="1942"/>
      <c r="AY2953" s="1942"/>
      <c r="AZ2953" s="1942"/>
      <c r="BA2953" s="1942"/>
      <c r="BB2953" s="575"/>
      <c r="BC2953" s="576"/>
      <c r="BD2953" s="678"/>
      <c r="BE2953" s="585"/>
    </row>
    <row r="2954" spans="1:57" s="1942" customFormat="1" ht="15" hidden="1" customHeight="1" outlineLevel="1" x14ac:dyDescent="0.25">
      <c r="A2954" s="2060"/>
      <c r="B2954" s="123"/>
      <c r="C2954" s="328"/>
      <c r="D2954" s="3990"/>
      <c r="E2954" s="4009"/>
      <c r="F2954" s="3010" t="str">
        <f>$E$1469</f>
        <v>ASHP-SEER15-Replace_CAC_NonElectricHeat_ROF_MF</v>
      </c>
      <c r="G2954" s="2676"/>
      <c r="H2954" s="2676"/>
      <c r="I2954" s="2677"/>
      <c r="J2954" s="3298" t="str">
        <f>$C$1469</f>
        <v>352810_2021_12_</v>
      </c>
      <c r="K2954" s="2228">
        <v>13</v>
      </c>
      <c r="L2954" s="851"/>
      <c r="M2954" s="2817" t="s">
        <v>1110</v>
      </c>
      <c r="N2954" s="123"/>
      <c r="O2954" s="228"/>
      <c r="P2954" s="844"/>
      <c r="Q2954" s="844"/>
      <c r="R2954" s="844"/>
      <c r="S2954" s="832"/>
      <c r="T2954" s="3082"/>
      <c r="U2954" s="123"/>
      <c r="V2954" s="3990"/>
      <c r="W2954" s="2857"/>
      <c r="X2954" s="2857"/>
      <c r="Y2954" s="3158"/>
      <c r="Z2954" s="696"/>
      <c r="AA2954" s="696"/>
      <c r="AB2954" s="2282"/>
      <c r="AC2954" s="2228">
        <v>13</v>
      </c>
      <c r="AD2954" s="2857"/>
      <c r="AE2954" s="2857"/>
      <c r="AF2954" s="2857"/>
      <c r="AG2954" s="2857"/>
      <c r="BB2954" s="575"/>
      <c r="BC2954" s="576"/>
      <c r="BD2954" s="678"/>
      <c r="BE2954" s="585"/>
    </row>
    <row r="2955" spans="1:57" s="1942" customFormat="1" ht="15" hidden="1" customHeight="1" outlineLevel="1" x14ac:dyDescent="0.25">
      <c r="A2955" s="2060"/>
      <c r="B2955" s="123"/>
      <c r="C2955" s="328"/>
      <c r="D2955" s="3990"/>
      <c r="E2955" s="4009"/>
      <c r="F2955" s="3010" t="str">
        <f>$E$1471</f>
        <v>ASHP-SEER15-Replace_CAC_NonElectricHeat_ROF_MF_CompE</v>
      </c>
      <c r="G2955" s="2676"/>
      <c r="H2955" s="2676"/>
      <c r="I2955" s="2677"/>
      <c r="J2955" s="3298" t="str">
        <f>$C$1471</f>
        <v>352811_2021_12_</v>
      </c>
      <c r="K2955" s="2228">
        <v>13</v>
      </c>
      <c r="L2955" s="851"/>
      <c r="M2955" s="2817" t="s">
        <v>1110</v>
      </c>
      <c r="N2955" s="123"/>
      <c r="O2955" s="228"/>
      <c r="P2955" s="844"/>
      <c r="Q2955" s="844"/>
      <c r="R2955" s="844"/>
      <c r="S2955" s="832"/>
      <c r="T2955" s="3082"/>
      <c r="U2955" s="123"/>
      <c r="V2955" s="3990"/>
      <c r="W2955" s="2857"/>
      <c r="X2955" s="2857"/>
      <c r="Y2955" s="3158"/>
      <c r="Z2955" s="696"/>
      <c r="AA2955" s="696"/>
      <c r="AB2955" s="2282"/>
      <c r="AC2955" s="2228">
        <v>13</v>
      </c>
      <c r="AD2955" s="2857"/>
      <c r="AE2955" s="2857"/>
      <c r="AF2955" s="2857"/>
      <c r="AG2955" s="2857"/>
      <c r="BB2955" s="575"/>
      <c r="BC2955" s="576"/>
      <c r="BD2955" s="678"/>
      <c r="BE2955" s="585"/>
    </row>
    <row r="2956" spans="1:57" s="51" customFormat="1" ht="15" hidden="1" customHeight="1" outlineLevel="1" x14ac:dyDescent="0.25">
      <c r="A2956" s="2060"/>
      <c r="B2956" s="123"/>
      <c r="C2956" s="328"/>
      <c r="D2956" s="3990"/>
      <c r="E2956" s="4009"/>
      <c r="F2956" s="3010" t="str">
        <f>$E$1473</f>
        <v>ASHP-SEER16_ER1_MF</v>
      </c>
      <c r="G2956" s="2676"/>
      <c r="H2956" s="2676"/>
      <c r="I2956" s="2677"/>
      <c r="J2956" s="3298" t="str">
        <f>$C$1473</f>
        <v>352850_2021_12_</v>
      </c>
      <c r="K2956" s="2228">
        <v>8.1723559416639002</v>
      </c>
      <c r="L2956" s="851"/>
      <c r="M2956" s="2817" t="s">
        <v>1563</v>
      </c>
      <c r="N2956" s="123"/>
      <c r="O2956" s="228"/>
      <c r="P2956" s="844"/>
      <c r="Q2956" s="844"/>
      <c r="R2956" s="844"/>
      <c r="S2956" s="832"/>
      <c r="T2956" s="3082"/>
      <c r="U2956" s="123"/>
      <c r="V2956" s="3990"/>
      <c r="W2956" s="2857">
        <v>7.2</v>
      </c>
      <c r="X2956" s="3155">
        <v>8.33</v>
      </c>
      <c r="Y2956" s="696">
        <v>8.33</v>
      </c>
      <c r="Z2956" s="696">
        <v>8.33</v>
      </c>
      <c r="AA2956" s="696">
        <v>8.33</v>
      </c>
      <c r="AB2956" s="2282">
        <v>8.33</v>
      </c>
      <c r="AC2956" s="2228">
        <v>8.1723559416639002</v>
      </c>
      <c r="AD2956" s="2857"/>
      <c r="AE2956" s="2857"/>
      <c r="AF2956" s="2857"/>
      <c r="AG2956" s="2857"/>
      <c r="AH2956" s="1942"/>
      <c r="AI2956" s="1942"/>
      <c r="AJ2956" s="1942"/>
      <c r="AK2956" s="1942"/>
      <c r="AL2956" s="1942"/>
      <c r="AM2956" s="1942"/>
      <c r="AN2956" s="1942"/>
      <c r="AO2956" s="1942"/>
      <c r="AP2956" s="1942"/>
      <c r="AQ2956" s="1942"/>
      <c r="AR2956" s="1942"/>
      <c r="AS2956" s="1942"/>
      <c r="AT2956" s="1942"/>
      <c r="AU2956" s="1942"/>
      <c r="AV2956" s="1942"/>
      <c r="AW2956" s="1942"/>
      <c r="AX2956" s="1942"/>
      <c r="AY2956" s="1942"/>
      <c r="AZ2956" s="1942"/>
      <c r="BA2956" s="1942"/>
      <c r="BB2956" s="575"/>
      <c r="BC2956" s="576"/>
      <c r="BD2956" s="678"/>
      <c r="BE2956" s="585"/>
    </row>
    <row r="2957" spans="1:57" s="51" customFormat="1" ht="15" hidden="1" customHeight="1" outlineLevel="1" x14ac:dyDescent="0.25">
      <c r="A2957" s="2060"/>
      <c r="B2957" s="123"/>
      <c r="C2957" s="328"/>
      <c r="D2957" s="3990"/>
      <c r="E2957" s="4009"/>
      <c r="F2957" s="3010" t="str">
        <f>$E$1475</f>
        <v>ASHP-SEER16_ER2_MF</v>
      </c>
      <c r="G2957" s="2676"/>
      <c r="H2957" s="2676"/>
      <c r="I2957" s="2677"/>
      <c r="J2957" s="3298" t="str">
        <f>$C$1475</f>
        <v>352850_2021_12_</v>
      </c>
      <c r="K2957" s="2282">
        <v>14</v>
      </c>
      <c r="L2957" s="851"/>
      <c r="M2957" s="2284" t="s">
        <v>1110</v>
      </c>
      <c r="N2957" s="123"/>
      <c r="O2957" s="228"/>
      <c r="P2957" s="844"/>
      <c r="Q2957" s="844"/>
      <c r="R2957" s="844"/>
      <c r="S2957" s="832"/>
      <c r="T2957" s="3082"/>
      <c r="U2957" s="123"/>
      <c r="V2957" s="3990"/>
      <c r="W2957" s="2857">
        <v>14</v>
      </c>
      <c r="X2957" s="2857">
        <v>14</v>
      </c>
      <c r="Y2957" s="696">
        <v>14</v>
      </c>
      <c r="Z2957" s="696">
        <v>14</v>
      </c>
      <c r="AA2957" s="696">
        <v>14</v>
      </c>
      <c r="AB2957" s="2282">
        <v>14</v>
      </c>
      <c r="AC2957" s="2282">
        <v>14</v>
      </c>
      <c r="AD2957" s="2857"/>
      <c r="AE2957" s="2857"/>
      <c r="AF2957" s="2857"/>
      <c r="AG2957" s="2857"/>
      <c r="AH2957" s="1942"/>
      <c r="AI2957" s="1942"/>
      <c r="AJ2957" s="1942"/>
      <c r="AK2957" s="1942"/>
      <c r="AL2957" s="1942"/>
      <c r="AM2957" s="1942"/>
      <c r="AN2957" s="1942"/>
      <c r="AO2957" s="1942"/>
      <c r="AP2957" s="1942"/>
      <c r="AQ2957" s="1942"/>
      <c r="AR2957" s="1942"/>
      <c r="AS2957" s="1942"/>
      <c r="AT2957" s="1942"/>
      <c r="AU2957" s="1942"/>
      <c r="AV2957" s="1942"/>
      <c r="AW2957" s="1942"/>
      <c r="AX2957" s="1942"/>
      <c r="AY2957" s="1942"/>
      <c r="AZ2957" s="1942"/>
      <c r="BA2957" s="1942"/>
      <c r="BB2957" s="575"/>
      <c r="BC2957" s="576"/>
      <c r="BD2957" s="678"/>
      <c r="BE2957" s="585"/>
    </row>
    <row r="2958" spans="1:57" s="51" customFormat="1" ht="15" hidden="1" customHeight="1" outlineLevel="1" x14ac:dyDescent="0.25">
      <c r="A2958" s="2060"/>
      <c r="B2958" s="123"/>
      <c r="C2958" s="328"/>
      <c r="D2958" s="3990"/>
      <c r="E2958" s="4009"/>
      <c r="F2958" s="3010" t="str">
        <f>$E$1477</f>
        <v>ASHP-SEER16_ER1_MF_CompE</v>
      </c>
      <c r="G2958" s="2676"/>
      <c r="H2958" s="2676"/>
      <c r="I2958" s="2677"/>
      <c r="J2958" s="3298" t="str">
        <f>$C$1477</f>
        <v>352851_2021_12_</v>
      </c>
      <c r="K2958" s="2282">
        <v>8.33</v>
      </c>
      <c r="L2958" s="851"/>
      <c r="M2958" s="2284" t="s">
        <v>1110</v>
      </c>
      <c r="N2958" s="123"/>
      <c r="O2958" s="228"/>
      <c r="P2958" s="844"/>
      <c r="Q2958" s="844"/>
      <c r="R2958" s="844"/>
      <c r="S2958" s="832"/>
      <c r="T2958" s="3082"/>
      <c r="U2958" s="123"/>
      <c r="V2958" s="3990"/>
      <c r="W2958" s="2857"/>
      <c r="X2958" s="2857"/>
      <c r="Y2958" s="3158">
        <v>8.33</v>
      </c>
      <c r="Z2958" s="696">
        <v>8.33</v>
      </c>
      <c r="AA2958" s="696">
        <v>8.33</v>
      </c>
      <c r="AB2958" s="2282">
        <v>8.33</v>
      </c>
      <c r="AC2958" s="2282">
        <v>8.33</v>
      </c>
      <c r="AD2958" s="2857"/>
      <c r="AE2958" s="2857"/>
      <c r="AF2958" s="2857"/>
      <c r="AG2958" s="2857"/>
      <c r="AH2958" s="1942"/>
      <c r="AI2958" s="1942"/>
      <c r="AJ2958" s="1942"/>
      <c r="AK2958" s="1942"/>
      <c r="AL2958" s="1942"/>
      <c r="AM2958" s="1942"/>
      <c r="AN2958" s="1942"/>
      <c r="AO2958" s="1942"/>
      <c r="AP2958" s="1942"/>
      <c r="AQ2958" s="1942"/>
      <c r="AR2958" s="1942"/>
      <c r="AS2958" s="1942"/>
      <c r="AT2958" s="1942"/>
      <c r="AU2958" s="1942"/>
      <c r="AV2958" s="1942"/>
      <c r="AW2958" s="1942"/>
      <c r="AX2958" s="1942"/>
      <c r="AY2958" s="1942"/>
      <c r="AZ2958" s="1942"/>
      <c r="BA2958" s="1942"/>
      <c r="BB2958" s="575"/>
      <c r="BC2958" s="576"/>
      <c r="BD2958" s="678"/>
      <c r="BE2958" s="585"/>
    </row>
    <row r="2959" spans="1:57" s="51" customFormat="1" ht="15" hidden="1" customHeight="1" outlineLevel="1" x14ac:dyDescent="0.25">
      <c r="A2959" s="2060"/>
      <c r="B2959" s="123"/>
      <c r="C2959" s="328"/>
      <c r="D2959" s="3990"/>
      <c r="E2959" s="4009"/>
      <c r="F2959" s="3010" t="str">
        <f>$E$1479</f>
        <v>ASHP-SEER16_ER2_MF_CompE</v>
      </c>
      <c r="G2959" s="2676"/>
      <c r="H2959" s="2676"/>
      <c r="I2959" s="2677"/>
      <c r="J2959" s="3298" t="str">
        <f>$C$1479</f>
        <v>352851_2021_12_</v>
      </c>
      <c r="K2959" s="2282">
        <v>14</v>
      </c>
      <c r="L2959" s="851"/>
      <c r="M2959" s="2284" t="s">
        <v>1110</v>
      </c>
      <c r="N2959" s="123"/>
      <c r="O2959" s="228"/>
      <c r="P2959" s="844"/>
      <c r="Q2959" s="844"/>
      <c r="R2959" s="844"/>
      <c r="S2959" s="832"/>
      <c r="T2959" s="3082"/>
      <c r="U2959" s="123"/>
      <c r="V2959" s="3990"/>
      <c r="W2959" s="2857"/>
      <c r="X2959" s="2857"/>
      <c r="Y2959" s="3158">
        <v>14</v>
      </c>
      <c r="Z2959" s="696">
        <v>14</v>
      </c>
      <c r="AA2959" s="696">
        <v>14</v>
      </c>
      <c r="AB2959" s="2282">
        <v>14</v>
      </c>
      <c r="AC2959" s="2282">
        <v>14</v>
      </c>
      <c r="AD2959" s="2857"/>
      <c r="AE2959" s="2857"/>
      <c r="AF2959" s="2857"/>
      <c r="AG2959" s="2857"/>
      <c r="AH2959" s="1942"/>
      <c r="AI2959" s="1942"/>
      <c r="AJ2959" s="1942"/>
      <c r="AK2959" s="1942"/>
      <c r="AL2959" s="1942"/>
      <c r="AM2959" s="1942"/>
      <c r="AN2959" s="1942"/>
      <c r="AO2959" s="1942"/>
      <c r="AP2959" s="1942"/>
      <c r="AQ2959" s="1942"/>
      <c r="AR2959" s="1942"/>
      <c r="AS2959" s="1942"/>
      <c r="AT2959" s="1942"/>
      <c r="AU2959" s="1942"/>
      <c r="AV2959" s="1942"/>
      <c r="AW2959" s="1942"/>
      <c r="AX2959" s="1942"/>
      <c r="AY2959" s="1942"/>
      <c r="AZ2959" s="1942"/>
      <c r="BA2959" s="1942"/>
      <c r="BB2959" s="575"/>
      <c r="BC2959" s="576"/>
      <c r="BD2959" s="678"/>
      <c r="BE2959" s="585"/>
    </row>
    <row r="2960" spans="1:57" s="51" customFormat="1" ht="15" hidden="1" customHeight="1" outlineLevel="1" x14ac:dyDescent="0.25">
      <c r="A2960" s="2060"/>
      <c r="B2960" s="123"/>
      <c r="C2960" s="328"/>
      <c r="D2960" s="3990"/>
      <c r="E2960" s="4009"/>
      <c r="F2960" s="3010" t="str">
        <f>$E$1481</f>
        <v>ASHP-SEER16_ROF_MF</v>
      </c>
      <c r="G2960" s="2676"/>
      <c r="H2960" s="2676"/>
      <c r="I2960" s="2677"/>
      <c r="J2960" s="3298" t="str">
        <f>$C$1481</f>
        <v>352900_2021_12_</v>
      </c>
      <c r="K2960" s="2282">
        <v>14</v>
      </c>
      <c r="L2960" s="851"/>
      <c r="M2960" s="2284" t="s">
        <v>1110</v>
      </c>
      <c r="N2960" s="123"/>
      <c r="O2960" s="228"/>
      <c r="P2960" s="844"/>
      <c r="Q2960" s="844"/>
      <c r="R2960" s="844"/>
      <c r="S2960" s="832"/>
      <c r="T2960" s="3082"/>
      <c r="U2960" s="123"/>
      <c r="V2960" s="3990"/>
      <c r="W2960" s="2857">
        <v>14</v>
      </c>
      <c r="X2960" s="2857">
        <v>14</v>
      </c>
      <c r="Y2960" s="696">
        <v>14</v>
      </c>
      <c r="Z2960" s="696">
        <v>14</v>
      </c>
      <c r="AA2960" s="696">
        <v>14</v>
      </c>
      <c r="AB2960" s="2282">
        <v>14</v>
      </c>
      <c r="AC2960" s="2282">
        <v>14</v>
      </c>
      <c r="AD2960" s="2857"/>
      <c r="AE2960" s="2857"/>
      <c r="AF2960" s="2857"/>
      <c r="AG2960" s="2857"/>
      <c r="AH2960" s="1942"/>
      <c r="AI2960" s="1942"/>
      <c r="AJ2960" s="1942"/>
      <c r="AK2960" s="1942"/>
      <c r="AL2960" s="1942"/>
      <c r="AM2960" s="1942"/>
      <c r="AN2960" s="1942"/>
      <c r="AO2960" s="1942"/>
      <c r="AP2960" s="1942"/>
      <c r="AQ2960" s="1942"/>
      <c r="AR2960" s="1942"/>
      <c r="AS2960" s="1942"/>
      <c r="AT2960" s="1942"/>
      <c r="AU2960" s="1942"/>
      <c r="AV2960" s="1942"/>
      <c r="AW2960" s="1942"/>
      <c r="AX2960" s="1942"/>
      <c r="AY2960" s="1942"/>
      <c r="AZ2960" s="1942"/>
      <c r="BA2960" s="1942"/>
      <c r="BB2960" s="575"/>
      <c r="BC2960" s="576"/>
      <c r="BD2960" s="678"/>
      <c r="BE2960" s="585"/>
    </row>
    <row r="2961" spans="1:57" s="51" customFormat="1" ht="15" hidden="1" customHeight="1" outlineLevel="1" x14ac:dyDescent="0.25">
      <c r="A2961" s="2060"/>
      <c r="B2961" s="123"/>
      <c r="C2961" s="328"/>
      <c r="D2961" s="3990"/>
      <c r="E2961" s="4009"/>
      <c r="F2961" s="3010" t="str">
        <f>$E$1483</f>
        <v>ASHP-SEER16_ROF_MF_CompE</v>
      </c>
      <c r="G2961" s="2676"/>
      <c r="H2961" s="2676"/>
      <c r="I2961" s="2677"/>
      <c r="J2961" s="3298" t="str">
        <f>$C$1483</f>
        <v>352901_2021_12_</v>
      </c>
      <c r="K2961" s="2282">
        <v>14</v>
      </c>
      <c r="L2961" s="851"/>
      <c r="M2961" s="2284" t="s">
        <v>1110</v>
      </c>
      <c r="N2961" s="123"/>
      <c r="O2961" s="228"/>
      <c r="P2961" s="844"/>
      <c r="Q2961" s="844"/>
      <c r="R2961" s="844"/>
      <c r="S2961" s="832"/>
      <c r="T2961" s="3082"/>
      <c r="U2961" s="123"/>
      <c r="V2961" s="3990"/>
      <c r="W2961" s="2857"/>
      <c r="X2961" s="2857"/>
      <c r="Y2961" s="3158">
        <v>14</v>
      </c>
      <c r="Z2961" s="696">
        <v>14</v>
      </c>
      <c r="AA2961" s="696">
        <v>14</v>
      </c>
      <c r="AB2961" s="2282">
        <v>14</v>
      </c>
      <c r="AC2961" s="2282">
        <v>14</v>
      </c>
      <c r="AD2961" s="2857"/>
      <c r="AE2961" s="2857"/>
      <c r="AF2961" s="2857"/>
      <c r="AG2961" s="2857"/>
      <c r="AH2961" s="1942"/>
      <c r="AI2961" s="1942"/>
      <c r="AJ2961" s="1942"/>
      <c r="AK2961" s="1942"/>
      <c r="AL2961" s="1942"/>
      <c r="AM2961" s="1942"/>
      <c r="AN2961" s="1942"/>
      <c r="AO2961" s="1942"/>
      <c r="AP2961" s="1942"/>
      <c r="AQ2961" s="1942"/>
      <c r="AR2961" s="1942"/>
      <c r="AS2961" s="1942"/>
      <c r="AT2961" s="1942"/>
      <c r="AU2961" s="1942"/>
      <c r="AV2961" s="1942"/>
      <c r="AW2961" s="1942"/>
      <c r="AX2961" s="1942"/>
      <c r="AY2961" s="1942"/>
      <c r="AZ2961" s="1942"/>
      <c r="BA2961" s="1942"/>
      <c r="BB2961" s="575"/>
      <c r="BC2961" s="576"/>
      <c r="BD2961" s="678"/>
      <c r="BE2961" s="585"/>
    </row>
    <row r="2962" spans="1:57" s="51" customFormat="1" ht="15" hidden="1" customHeight="1" outlineLevel="1" x14ac:dyDescent="0.25">
      <c r="A2962" s="2060"/>
      <c r="B2962" s="123"/>
      <c r="C2962" s="328"/>
      <c r="D2962" s="3990"/>
      <c r="E2962" s="4009"/>
      <c r="F2962" s="3010" t="str">
        <f>$E$1485</f>
        <v>ASHP-SEER16-Replace_CAC_ElectricHeat_ROF_MF</v>
      </c>
      <c r="G2962" s="2676"/>
      <c r="H2962" s="2676"/>
      <c r="I2962" s="2677"/>
      <c r="J2962" s="3299" t="str">
        <f>$C$1485</f>
        <v>352950_2019_12_</v>
      </c>
      <c r="K2962" s="2282">
        <v>13</v>
      </c>
      <c r="L2962" s="851"/>
      <c r="M2962" s="2284" t="s">
        <v>1110</v>
      </c>
      <c r="N2962" s="123"/>
      <c r="O2962" s="228"/>
      <c r="P2962" s="844"/>
      <c r="Q2962" s="844"/>
      <c r="R2962" s="844"/>
      <c r="S2962" s="832"/>
      <c r="T2962" s="3082"/>
      <c r="U2962" s="123"/>
      <c r="V2962" s="3990"/>
      <c r="W2962" s="2857">
        <v>13</v>
      </c>
      <c r="X2962" s="2857">
        <v>13</v>
      </c>
      <c r="Y2962" s="696">
        <v>13</v>
      </c>
      <c r="Z2962" s="696">
        <v>13</v>
      </c>
      <c r="AA2962" s="696">
        <v>13</v>
      </c>
      <c r="AB2962" s="2282">
        <v>13</v>
      </c>
      <c r="AC2962" s="2282">
        <v>13</v>
      </c>
      <c r="AD2962" s="2857"/>
      <c r="AE2962" s="2857"/>
      <c r="AF2962" s="2857"/>
      <c r="AG2962" s="2857"/>
      <c r="AH2962" s="1942"/>
      <c r="AI2962" s="1942"/>
      <c r="AJ2962" s="1942"/>
      <c r="AK2962" s="1942"/>
      <c r="AL2962" s="1942"/>
      <c r="AM2962" s="1942"/>
      <c r="AN2962" s="1942"/>
      <c r="AO2962" s="1942"/>
      <c r="AP2962" s="1942"/>
      <c r="AQ2962" s="1942"/>
      <c r="AR2962" s="1942"/>
      <c r="AS2962" s="1942"/>
      <c r="AT2962" s="1942"/>
      <c r="AU2962" s="1942"/>
      <c r="AV2962" s="1942"/>
      <c r="AW2962" s="1942"/>
      <c r="AX2962" s="1942"/>
      <c r="AY2962" s="1942"/>
      <c r="AZ2962" s="1942"/>
      <c r="BA2962" s="1942"/>
      <c r="BB2962" s="575"/>
      <c r="BC2962" s="576"/>
      <c r="BD2962" s="678"/>
      <c r="BE2962" s="585"/>
    </row>
    <row r="2963" spans="1:57" s="51" customFormat="1" ht="15" hidden="1" customHeight="1" outlineLevel="1" x14ac:dyDescent="0.25">
      <c r="A2963" s="2060"/>
      <c r="B2963" s="123"/>
      <c r="C2963" s="328"/>
      <c r="D2963" s="3990"/>
      <c r="E2963" s="4009"/>
      <c r="F2963" s="3010" t="str">
        <f>$E$1487</f>
        <v>ASHP-SEER16-Replace_CAC_ElectricHeat_ROF_MF_CompE</v>
      </c>
      <c r="G2963" s="2676"/>
      <c r="H2963" s="2676"/>
      <c r="I2963" s="2677"/>
      <c r="J2963" s="3299" t="str">
        <f>$C$1487</f>
        <v>352951_2019_12_</v>
      </c>
      <c r="K2963" s="2282">
        <v>13</v>
      </c>
      <c r="L2963" s="851"/>
      <c r="M2963" s="2284" t="s">
        <v>1110</v>
      </c>
      <c r="N2963" s="123"/>
      <c r="O2963" s="228"/>
      <c r="P2963" s="844"/>
      <c r="Q2963" s="844"/>
      <c r="R2963" s="844"/>
      <c r="S2963" s="832"/>
      <c r="T2963" s="3082"/>
      <c r="U2963" s="123"/>
      <c r="V2963" s="3990"/>
      <c r="W2963" s="2857"/>
      <c r="X2963" s="2857"/>
      <c r="Y2963" s="3158">
        <v>13</v>
      </c>
      <c r="Z2963" s="696">
        <v>13</v>
      </c>
      <c r="AA2963" s="696">
        <v>13</v>
      </c>
      <c r="AB2963" s="2282">
        <v>13</v>
      </c>
      <c r="AC2963" s="2282">
        <v>13</v>
      </c>
      <c r="AD2963" s="2857"/>
      <c r="AE2963" s="2857"/>
      <c r="AF2963" s="2857"/>
      <c r="AG2963" s="2857"/>
      <c r="AH2963" s="1942"/>
      <c r="AI2963" s="1942"/>
      <c r="AJ2963" s="1942"/>
      <c r="AK2963" s="1942"/>
      <c r="AL2963" s="1942"/>
      <c r="AM2963" s="1942"/>
      <c r="AN2963" s="1942"/>
      <c r="AO2963" s="1942"/>
      <c r="AP2963" s="1942"/>
      <c r="AQ2963" s="1942"/>
      <c r="AR2963" s="1942"/>
      <c r="AS2963" s="1942"/>
      <c r="AT2963" s="1942"/>
      <c r="AU2963" s="1942"/>
      <c r="AV2963" s="1942"/>
      <c r="AW2963" s="1942"/>
      <c r="AX2963" s="1942"/>
      <c r="AY2963" s="1942"/>
      <c r="AZ2963" s="1942"/>
      <c r="BA2963" s="1942"/>
      <c r="BB2963" s="575"/>
      <c r="BC2963" s="576"/>
      <c r="BD2963" s="678"/>
      <c r="BE2963" s="585"/>
    </row>
    <row r="2964" spans="1:57" s="1942" customFormat="1" ht="15" hidden="1" customHeight="1" outlineLevel="1" x14ac:dyDescent="0.25">
      <c r="A2964" s="2060"/>
      <c r="B2964" s="123"/>
      <c r="C2964" s="328"/>
      <c r="D2964" s="3990"/>
      <c r="E2964" s="4009"/>
      <c r="F2964" s="3010" t="str">
        <f>$E$1489</f>
        <v>ASHP-SEER16-Replace_CAC_NonElectricHeat_ROF_MF</v>
      </c>
      <c r="G2964" s="2676"/>
      <c r="H2964" s="2676"/>
      <c r="I2964" s="2677"/>
      <c r="J2964" s="3298" t="str">
        <f>$C$1489</f>
        <v>352960_2021_12_</v>
      </c>
      <c r="K2964" s="2228">
        <v>13</v>
      </c>
      <c r="L2964" s="851"/>
      <c r="M2964" s="2817" t="s">
        <v>1110</v>
      </c>
      <c r="N2964" s="123"/>
      <c r="O2964" s="228"/>
      <c r="P2964" s="844"/>
      <c r="Q2964" s="844"/>
      <c r="R2964" s="844"/>
      <c r="S2964" s="832"/>
      <c r="T2964" s="3082"/>
      <c r="U2964" s="123"/>
      <c r="V2964" s="3990"/>
      <c r="W2964" s="2857"/>
      <c r="X2964" s="2857"/>
      <c r="Y2964" s="3158"/>
      <c r="Z2964" s="696"/>
      <c r="AA2964" s="696"/>
      <c r="AB2964" s="2282"/>
      <c r="AC2964" s="2228">
        <v>13</v>
      </c>
      <c r="AD2964" s="2857"/>
      <c r="AE2964" s="2857"/>
      <c r="AF2964" s="2857"/>
      <c r="AG2964" s="2857"/>
      <c r="BB2964" s="575"/>
      <c r="BC2964" s="576"/>
      <c r="BD2964" s="678"/>
      <c r="BE2964" s="585"/>
    </row>
    <row r="2965" spans="1:57" s="1942" customFormat="1" ht="15" hidden="1" customHeight="1" outlineLevel="1" x14ac:dyDescent="0.25">
      <c r="A2965" s="2060"/>
      <c r="B2965" s="123"/>
      <c r="C2965" s="328"/>
      <c r="D2965" s="3990"/>
      <c r="E2965" s="4009"/>
      <c r="F2965" s="3010" t="str">
        <f>$E$1491</f>
        <v>ASHP-SEER16-Replace_CAC_NonElectricHeat_ROF_MF_CompE</v>
      </c>
      <c r="G2965" s="2676"/>
      <c r="H2965" s="2676"/>
      <c r="I2965" s="2677"/>
      <c r="J2965" s="3298" t="str">
        <f>$C$1491</f>
        <v>352961_2021_12_</v>
      </c>
      <c r="K2965" s="2228">
        <v>13</v>
      </c>
      <c r="L2965" s="851"/>
      <c r="M2965" s="2817" t="s">
        <v>1110</v>
      </c>
      <c r="N2965" s="123"/>
      <c r="O2965" s="228"/>
      <c r="P2965" s="844"/>
      <c r="Q2965" s="844"/>
      <c r="R2965" s="844"/>
      <c r="S2965" s="832"/>
      <c r="T2965" s="3082"/>
      <c r="U2965" s="123"/>
      <c r="V2965" s="3990"/>
      <c r="W2965" s="2857"/>
      <c r="X2965" s="2857"/>
      <c r="Y2965" s="3158"/>
      <c r="Z2965" s="696"/>
      <c r="AA2965" s="696"/>
      <c r="AB2965" s="2282"/>
      <c r="AC2965" s="2228">
        <v>13</v>
      </c>
      <c r="AD2965" s="2857"/>
      <c r="AE2965" s="2857"/>
      <c r="AF2965" s="2857"/>
      <c r="AG2965" s="2857"/>
      <c r="BB2965" s="575"/>
      <c r="BC2965" s="576"/>
      <c r="BD2965" s="678"/>
      <c r="BE2965" s="585"/>
    </row>
    <row r="2966" spans="1:57" s="51" customFormat="1" ht="15" hidden="1" customHeight="1" outlineLevel="1" x14ac:dyDescent="0.25">
      <c r="A2966" s="2060"/>
      <c r="B2966" s="123"/>
      <c r="C2966" s="328"/>
      <c r="D2966" s="3990"/>
      <c r="E2966" s="4009"/>
      <c r="F2966" s="3010" t="str">
        <f>$E$1493</f>
        <v>ASHP-SEER16-Replace_CAC_ElectricHeat_ER1_MF</v>
      </c>
      <c r="G2966" s="2676"/>
      <c r="H2966" s="2676"/>
      <c r="I2966" s="2677"/>
      <c r="J2966" s="3298" t="str">
        <f>$C$1493</f>
        <v>353000_2021_12_</v>
      </c>
      <c r="K2966" s="2228">
        <v>6.7219971629290205</v>
      </c>
      <c r="L2966" s="851"/>
      <c r="M2966" s="2817" t="s">
        <v>1563</v>
      </c>
      <c r="N2966" s="123"/>
      <c r="O2966" s="228"/>
      <c r="P2966" s="844"/>
      <c r="Q2966" s="844"/>
      <c r="R2966" s="844"/>
      <c r="S2966" s="832"/>
      <c r="T2966" s="3082"/>
      <c r="U2966" s="123"/>
      <c r="V2966" s="3990"/>
      <c r="W2966" s="2857">
        <v>6.8</v>
      </c>
      <c r="X2966" s="3155">
        <v>8.33</v>
      </c>
      <c r="Y2966" s="696">
        <v>8.33</v>
      </c>
      <c r="Z2966" s="696">
        <v>8.33</v>
      </c>
      <c r="AA2966" s="696">
        <v>8.33</v>
      </c>
      <c r="AB2966" s="2282">
        <v>8.33</v>
      </c>
      <c r="AC2966" s="2228">
        <v>6.7219971629290205</v>
      </c>
      <c r="AD2966" s="2857"/>
      <c r="AE2966" s="2857"/>
      <c r="AF2966" s="2857"/>
      <c r="AG2966" s="2857"/>
      <c r="AH2966" s="1942"/>
      <c r="AI2966" s="1942"/>
      <c r="AJ2966" s="1942"/>
      <c r="AK2966" s="1942"/>
      <c r="AL2966" s="1942"/>
      <c r="AM2966" s="1942"/>
      <c r="AN2966" s="1942"/>
      <c r="AO2966" s="1942"/>
      <c r="AP2966" s="1942"/>
      <c r="AQ2966" s="1942"/>
      <c r="AR2966" s="1942"/>
      <c r="AS2966" s="1942"/>
      <c r="AT2966" s="1942"/>
      <c r="AU2966" s="1942"/>
      <c r="AV2966" s="1942"/>
      <c r="AW2966" s="1942"/>
      <c r="AX2966" s="1942"/>
      <c r="AY2966" s="1942"/>
      <c r="AZ2966" s="1942"/>
      <c r="BA2966" s="1942"/>
      <c r="BB2966" s="575"/>
      <c r="BC2966" s="576"/>
      <c r="BD2966" s="678"/>
      <c r="BE2966" s="585"/>
    </row>
    <row r="2967" spans="1:57" s="51" customFormat="1" ht="15" hidden="1" customHeight="1" outlineLevel="1" x14ac:dyDescent="0.25">
      <c r="A2967" s="2060"/>
      <c r="B2967" s="123"/>
      <c r="C2967" s="328"/>
      <c r="D2967" s="3990"/>
      <c r="E2967" s="4009"/>
      <c r="F2967" s="3010" t="str">
        <f>$E$1495</f>
        <v>ASHP-SEER16-Replace_CAC_ElectricHeat_ER2_MF</v>
      </c>
      <c r="G2967" s="2676"/>
      <c r="H2967" s="2676"/>
      <c r="I2967" s="2677"/>
      <c r="J2967" s="3298" t="str">
        <f>$C$1495</f>
        <v>353000_2021_12_</v>
      </c>
      <c r="K2967" s="2282">
        <v>13</v>
      </c>
      <c r="L2967" s="851"/>
      <c r="M2967" s="2284" t="s">
        <v>1110</v>
      </c>
      <c r="N2967" s="123"/>
      <c r="O2967" s="228"/>
      <c r="P2967" s="844"/>
      <c r="Q2967" s="844"/>
      <c r="R2967" s="844"/>
      <c r="S2967" s="832"/>
      <c r="T2967" s="3082"/>
      <c r="U2967" s="123"/>
      <c r="V2967" s="3990"/>
      <c r="W2967" s="2857">
        <v>13</v>
      </c>
      <c r="X2967" s="2857">
        <v>13</v>
      </c>
      <c r="Y2967" s="696">
        <v>13</v>
      </c>
      <c r="Z2967" s="696">
        <v>13</v>
      </c>
      <c r="AA2967" s="696">
        <v>13</v>
      </c>
      <c r="AB2967" s="2282">
        <v>13</v>
      </c>
      <c r="AC2967" s="2282">
        <v>13</v>
      </c>
      <c r="AD2967" s="2857"/>
      <c r="AE2967" s="2857"/>
      <c r="AF2967" s="2857"/>
      <c r="AG2967" s="2857"/>
      <c r="AH2967" s="1942"/>
      <c r="AI2967" s="1942"/>
      <c r="AJ2967" s="1942"/>
      <c r="AK2967" s="1942"/>
      <c r="AL2967" s="1942"/>
      <c r="AM2967" s="1942"/>
      <c r="AN2967" s="1942"/>
      <c r="AO2967" s="1942"/>
      <c r="AP2967" s="1942"/>
      <c r="AQ2967" s="1942"/>
      <c r="AR2967" s="1942"/>
      <c r="AS2967" s="1942"/>
      <c r="AT2967" s="1942"/>
      <c r="AU2967" s="1942"/>
      <c r="AV2967" s="1942"/>
      <c r="AW2967" s="1942"/>
      <c r="AX2967" s="1942"/>
      <c r="AY2967" s="1942"/>
      <c r="AZ2967" s="1942"/>
      <c r="BA2967" s="1942"/>
      <c r="BB2967" s="575"/>
      <c r="BC2967" s="576"/>
      <c r="BD2967" s="678"/>
      <c r="BE2967" s="585"/>
    </row>
    <row r="2968" spans="1:57" s="51" customFormat="1" ht="15" hidden="1" customHeight="1" outlineLevel="1" x14ac:dyDescent="0.25">
      <c r="A2968" s="2060"/>
      <c r="B2968" s="123"/>
      <c r="C2968" s="328"/>
      <c r="D2968" s="3990"/>
      <c r="E2968" s="4009"/>
      <c r="F2968" s="3010" t="str">
        <f>$E$1497</f>
        <v>ASHP-SEER16-Replace_CAC_ElectricHeat_ER1_MF_CompE</v>
      </c>
      <c r="G2968" s="2676"/>
      <c r="H2968" s="2676"/>
      <c r="I2968" s="2677"/>
      <c r="J2968" s="3298" t="str">
        <f>$C$1497</f>
        <v>353001_2021_12_</v>
      </c>
      <c r="K2968" s="2282">
        <v>8.33</v>
      </c>
      <c r="L2968" s="851"/>
      <c r="M2968" s="2284" t="s">
        <v>1110</v>
      </c>
      <c r="N2968" s="123"/>
      <c r="O2968" s="228"/>
      <c r="P2968" s="844"/>
      <c r="Q2968" s="844"/>
      <c r="R2968" s="844"/>
      <c r="S2968" s="832"/>
      <c r="T2968" s="3082"/>
      <c r="U2968" s="123"/>
      <c r="V2968" s="3990"/>
      <c r="W2968" s="2857"/>
      <c r="X2968" s="2857"/>
      <c r="Y2968" s="3158">
        <v>8.33</v>
      </c>
      <c r="Z2968" s="696">
        <v>8.33</v>
      </c>
      <c r="AA2968" s="696">
        <v>8.33</v>
      </c>
      <c r="AB2968" s="2282">
        <v>8.33</v>
      </c>
      <c r="AC2968" s="2282">
        <v>8.33</v>
      </c>
      <c r="AD2968" s="2857"/>
      <c r="AE2968" s="2857"/>
      <c r="AF2968" s="2857"/>
      <c r="AG2968" s="2857"/>
      <c r="AH2968" s="1942"/>
      <c r="AI2968" s="1942"/>
      <c r="AJ2968" s="1942"/>
      <c r="AK2968" s="1942"/>
      <c r="AL2968" s="1942"/>
      <c r="AM2968" s="1942"/>
      <c r="AN2968" s="1942"/>
      <c r="AO2968" s="1942"/>
      <c r="AP2968" s="1942"/>
      <c r="AQ2968" s="1942"/>
      <c r="AR2968" s="1942"/>
      <c r="AS2968" s="1942"/>
      <c r="AT2968" s="1942"/>
      <c r="AU2968" s="1942"/>
      <c r="AV2968" s="1942"/>
      <c r="AW2968" s="1942"/>
      <c r="AX2968" s="1942"/>
      <c r="AY2968" s="1942"/>
      <c r="AZ2968" s="1942"/>
      <c r="BA2968" s="1942"/>
      <c r="BB2968" s="575"/>
      <c r="BC2968" s="576"/>
      <c r="BD2968" s="678"/>
      <c r="BE2968" s="585"/>
    </row>
    <row r="2969" spans="1:57" s="51" customFormat="1" ht="15" hidden="1" customHeight="1" outlineLevel="1" x14ac:dyDescent="0.25">
      <c r="A2969" s="2060"/>
      <c r="B2969" s="123"/>
      <c r="C2969" s="328"/>
      <c r="D2969" s="3990"/>
      <c r="E2969" s="4009"/>
      <c r="F2969" s="3010" t="str">
        <f>$E$1499</f>
        <v>ASHP-SEER16-Replace_CAC_ElectricHeat_ER2_MF_CompE</v>
      </c>
      <c r="G2969" s="2676"/>
      <c r="H2969" s="2676"/>
      <c r="I2969" s="2677"/>
      <c r="J2969" s="3298" t="str">
        <f>$C$1499</f>
        <v>353001_2021_12_</v>
      </c>
      <c r="K2969" s="2282">
        <v>13</v>
      </c>
      <c r="L2969" s="851"/>
      <c r="M2969" s="2284" t="s">
        <v>1110</v>
      </c>
      <c r="N2969" s="123"/>
      <c r="O2969" s="228"/>
      <c r="P2969" s="844"/>
      <c r="Q2969" s="844"/>
      <c r="R2969" s="844"/>
      <c r="S2969" s="832"/>
      <c r="T2969" s="3082"/>
      <c r="U2969" s="123"/>
      <c r="V2969" s="3990"/>
      <c r="W2969" s="2857"/>
      <c r="X2969" s="2857"/>
      <c r="Y2969" s="3158">
        <v>13</v>
      </c>
      <c r="Z2969" s="696">
        <v>13</v>
      </c>
      <c r="AA2969" s="696">
        <v>13</v>
      </c>
      <c r="AB2969" s="2282">
        <v>13</v>
      </c>
      <c r="AC2969" s="2282">
        <v>13</v>
      </c>
      <c r="AD2969" s="2857"/>
      <c r="AE2969" s="2857"/>
      <c r="AF2969" s="2857"/>
      <c r="AG2969" s="2857"/>
      <c r="AH2969" s="1942"/>
      <c r="AI2969" s="1942"/>
      <c r="AJ2969" s="1942"/>
      <c r="AK2969" s="1942"/>
      <c r="AL2969" s="1942"/>
      <c r="AM2969" s="1942"/>
      <c r="AN2969" s="1942"/>
      <c r="AO2969" s="1942"/>
      <c r="AP2969" s="1942"/>
      <c r="AQ2969" s="1942"/>
      <c r="AR2969" s="1942"/>
      <c r="AS2969" s="1942"/>
      <c r="AT2969" s="1942"/>
      <c r="AU2969" s="1942"/>
      <c r="AV2969" s="1942"/>
      <c r="AW2969" s="1942"/>
      <c r="AX2969" s="1942"/>
      <c r="AY2969" s="1942"/>
      <c r="AZ2969" s="1942"/>
      <c r="BA2969" s="1942"/>
      <c r="BB2969" s="575"/>
      <c r="BC2969" s="576"/>
      <c r="BD2969" s="678"/>
      <c r="BE2969" s="585"/>
    </row>
    <row r="2970" spans="1:57" s="1942" customFormat="1" ht="15" hidden="1" customHeight="1" outlineLevel="1" x14ac:dyDescent="0.25">
      <c r="A2970" s="2060"/>
      <c r="B2970" s="123"/>
      <c r="C2970" s="328"/>
      <c r="D2970" s="3990"/>
      <c r="E2970" s="4009"/>
      <c r="F2970" s="3010" t="str">
        <f>$E$1501</f>
        <v>ASHP-SEER16-Replace_CAC_NonElectricHeat_ER1_MF</v>
      </c>
      <c r="G2970" s="2676"/>
      <c r="H2970" s="2676"/>
      <c r="I2970" s="2677"/>
      <c r="J2970" s="3298" t="str">
        <f>$C$1501</f>
        <v>353010_2021_12_</v>
      </c>
      <c r="K2970" s="2228">
        <v>6.7219971629290205</v>
      </c>
      <c r="L2970" s="851"/>
      <c r="M2970" s="2817" t="s">
        <v>1125</v>
      </c>
      <c r="N2970" s="123"/>
      <c r="O2970" s="228"/>
      <c r="P2970" s="844"/>
      <c r="Q2970" s="844"/>
      <c r="R2970" s="844"/>
      <c r="S2970" s="832"/>
      <c r="T2970" s="3082"/>
      <c r="U2970" s="123"/>
      <c r="V2970" s="3990"/>
      <c r="W2970" s="2857"/>
      <c r="X2970" s="2857"/>
      <c r="Y2970" s="3158"/>
      <c r="Z2970" s="696"/>
      <c r="AA2970" s="696"/>
      <c r="AB2970" s="2282"/>
      <c r="AC2970" s="2228">
        <v>6.7219971629290205</v>
      </c>
      <c r="AD2970" s="2857"/>
      <c r="AE2970" s="2857"/>
      <c r="AF2970" s="2857"/>
      <c r="AG2970" s="2857"/>
      <c r="BB2970" s="575"/>
      <c r="BC2970" s="576"/>
      <c r="BD2970" s="678"/>
      <c r="BE2970" s="585"/>
    </row>
    <row r="2971" spans="1:57" s="1942" customFormat="1" ht="15" hidden="1" customHeight="1" outlineLevel="1" x14ac:dyDescent="0.25">
      <c r="A2971" s="2060"/>
      <c r="B2971" s="123"/>
      <c r="C2971" s="328"/>
      <c r="D2971" s="3990"/>
      <c r="E2971" s="4009"/>
      <c r="F2971" s="3010" t="str">
        <f>$E$1503</f>
        <v>ASHP-SEER16-Replace_CAC_NonElectricHeat_ER2_MF</v>
      </c>
      <c r="G2971" s="2676"/>
      <c r="H2971" s="2676"/>
      <c r="I2971" s="2677"/>
      <c r="J2971" s="3298" t="str">
        <f>$C$1503</f>
        <v>353010_2021_12_</v>
      </c>
      <c r="K2971" s="2228">
        <v>13</v>
      </c>
      <c r="L2971" s="851"/>
      <c r="M2971" s="2817" t="s">
        <v>1110</v>
      </c>
      <c r="N2971" s="123"/>
      <c r="O2971" s="228"/>
      <c r="P2971" s="844"/>
      <c r="Q2971" s="844"/>
      <c r="R2971" s="844"/>
      <c r="S2971" s="832"/>
      <c r="T2971" s="3082"/>
      <c r="U2971" s="123"/>
      <c r="V2971" s="3990"/>
      <c r="W2971" s="2857"/>
      <c r="X2971" s="2857"/>
      <c r="Y2971" s="3158"/>
      <c r="Z2971" s="696"/>
      <c r="AA2971" s="696"/>
      <c r="AB2971" s="2282"/>
      <c r="AC2971" s="2228">
        <v>13</v>
      </c>
      <c r="AD2971" s="2857"/>
      <c r="AE2971" s="2857"/>
      <c r="AF2971" s="2857"/>
      <c r="AG2971" s="2857"/>
      <c r="BB2971" s="575"/>
      <c r="BC2971" s="576"/>
      <c r="BD2971" s="678"/>
      <c r="BE2971" s="585"/>
    </row>
    <row r="2972" spans="1:57" s="1942" customFormat="1" ht="15" hidden="1" customHeight="1" outlineLevel="1" x14ac:dyDescent="0.25">
      <c r="A2972" s="2060"/>
      <c r="B2972" s="123"/>
      <c r="C2972" s="328"/>
      <c r="D2972" s="3990"/>
      <c r="E2972" s="4009"/>
      <c r="F2972" s="3010" t="str">
        <f>$E$1505</f>
        <v>ASHP-SEER16-Replace_CAC_NonElectricHeat_ER1_MF_CompE</v>
      </c>
      <c r="G2972" s="2676"/>
      <c r="H2972" s="2676"/>
      <c r="I2972" s="2677"/>
      <c r="J2972" s="3298" t="str">
        <f>$C$1505</f>
        <v>353011_2021_12_</v>
      </c>
      <c r="K2972" s="2228">
        <v>8.33</v>
      </c>
      <c r="L2972" s="851"/>
      <c r="M2972" s="2817" t="s">
        <v>1125</v>
      </c>
      <c r="N2972" s="123"/>
      <c r="O2972" s="228"/>
      <c r="P2972" s="844"/>
      <c r="Q2972" s="844"/>
      <c r="R2972" s="844"/>
      <c r="S2972" s="832"/>
      <c r="T2972" s="3082"/>
      <c r="U2972" s="123"/>
      <c r="V2972" s="3990"/>
      <c r="W2972" s="2857"/>
      <c r="X2972" s="2857"/>
      <c r="Y2972" s="3158"/>
      <c r="Z2972" s="696"/>
      <c r="AA2972" s="696"/>
      <c r="AB2972" s="2282"/>
      <c r="AC2972" s="2228">
        <v>8.33</v>
      </c>
      <c r="AD2972" s="2857"/>
      <c r="AE2972" s="2857"/>
      <c r="AF2972" s="2857"/>
      <c r="AG2972" s="2857"/>
      <c r="BB2972" s="575"/>
      <c r="BC2972" s="576"/>
      <c r="BD2972" s="678"/>
      <c r="BE2972" s="585"/>
    </row>
    <row r="2973" spans="1:57" s="1942" customFormat="1" ht="15" hidden="1" customHeight="1" outlineLevel="1" x14ac:dyDescent="0.25">
      <c r="A2973" s="2060"/>
      <c r="B2973" s="123"/>
      <c r="C2973" s="328"/>
      <c r="D2973" s="3990"/>
      <c r="E2973" s="4009"/>
      <c r="F2973" s="3010" t="str">
        <f>$E$1507</f>
        <v>ASHP-SEER16-Replace_CAC_NonElectricHeat_ER2_MF_CompE</v>
      </c>
      <c r="G2973" s="2676"/>
      <c r="H2973" s="2676"/>
      <c r="I2973" s="2677"/>
      <c r="J2973" s="3298" t="str">
        <f>$C$1507</f>
        <v>353011_2021_12_</v>
      </c>
      <c r="K2973" s="2228">
        <v>13</v>
      </c>
      <c r="L2973" s="851"/>
      <c r="M2973" s="2817" t="s">
        <v>1110</v>
      </c>
      <c r="N2973" s="123"/>
      <c r="O2973" s="228"/>
      <c r="P2973" s="844"/>
      <c r="Q2973" s="844"/>
      <c r="R2973" s="844"/>
      <c r="S2973" s="832"/>
      <c r="T2973" s="3082"/>
      <c r="U2973" s="123"/>
      <c r="V2973" s="3990"/>
      <c r="W2973" s="2857"/>
      <c r="X2973" s="2857"/>
      <c r="Y2973" s="3158"/>
      <c r="Z2973" s="696"/>
      <c r="AA2973" s="696"/>
      <c r="AB2973" s="2282"/>
      <c r="AC2973" s="2228">
        <v>13</v>
      </c>
      <c r="AD2973" s="2857"/>
      <c r="AE2973" s="2857"/>
      <c r="AF2973" s="2857"/>
      <c r="AG2973" s="2857"/>
      <c r="BB2973" s="575"/>
      <c r="BC2973" s="576"/>
      <c r="BD2973" s="678"/>
      <c r="BE2973" s="585"/>
    </row>
    <row r="2974" spans="1:57" s="51" customFormat="1" ht="15" hidden="1" customHeight="1" outlineLevel="1" x14ac:dyDescent="0.25">
      <c r="A2974" s="2060"/>
      <c r="B2974" s="123"/>
      <c r="C2974" s="328"/>
      <c r="D2974" s="3990"/>
      <c r="E2974" s="4009"/>
      <c r="F2974" s="3011" t="str">
        <f>$E$1509</f>
        <v>ASHP-SEER15_ROF_MF</v>
      </c>
      <c r="G2974" s="2678"/>
      <c r="H2974" s="2678"/>
      <c r="I2974" s="2679"/>
      <c r="J2974" s="3298" t="str">
        <f>$C$1509</f>
        <v>353050_2021_12_</v>
      </c>
      <c r="K2974" s="2282">
        <v>14</v>
      </c>
      <c r="L2974" s="851"/>
      <c r="M2974" s="2284" t="s">
        <v>1110</v>
      </c>
      <c r="N2974" s="123"/>
      <c r="O2974" s="228"/>
      <c r="P2974" s="844"/>
      <c r="Q2974" s="844"/>
      <c r="R2974" s="844"/>
      <c r="S2974" s="832"/>
      <c r="T2974" s="3082"/>
      <c r="U2974" s="123"/>
      <c r="V2974" s="3990"/>
      <c r="W2974" s="2857">
        <v>14</v>
      </c>
      <c r="X2974" s="2857">
        <v>14</v>
      </c>
      <c r="Y2974" s="696">
        <v>14</v>
      </c>
      <c r="Z2974" s="696">
        <v>14</v>
      </c>
      <c r="AA2974" s="696">
        <v>14</v>
      </c>
      <c r="AB2974" s="2282">
        <v>14</v>
      </c>
      <c r="AC2974" s="2282">
        <v>14</v>
      </c>
      <c r="AD2974" s="2857"/>
      <c r="AE2974" s="2857"/>
      <c r="AF2974" s="2857"/>
      <c r="AG2974" s="2857"/>
      <c r="AH2974" s="1942"/>
      <c r="AI2974" s="1942"/>
      <c r="AJ2974" s="1942"/>
      <c r="AK2974" s="1942"/>
      <c r="AL2974" s="1942"/>
      <c r="AM2974" s="1942"/>
      <c r="AN2974" s="1942"/>
      <c r="AO2974" s="1942"/>
      <c r="AP2974" s="1942"/>
      <c r="AQ2974" s="1942"/>
      <c r="AR2974" s="1942"/>
      <c r="AS2974" s="1942"/>
      <c r="AT2974" s="1942"/>
      <c r="AU2974" s="1942"/>
      <c r="AV2974" s="1942"/>
      <c r="AW2974" s="1942"/>
      <c r="AX2974" s="1942"/>
      <c r="AY2974" s="1942"/>
      <c r="AZ2974" s="1942"/>
      <c r="BA2974" s="1942"/>
      <c r="BB2974" s="575"/>
      <c r="BC2974" s="576"/>
      <c r="BD2974" s="678"/>
      <c r="BE2974" s="585"/>
    </row>
    <row r="2975" spans="1:57" s="51" customFormat="1" ht="15" hidden="1" customHeight="1" outlineLevel="1" x14ac:dyDescent="0.25">
      <c r="A2975" s="2060"/>
      <c r="B2975" s="123"/>
      <c r="C2975" s="328"/>
      <c r="D2975" s="3990"/>
      <c r="E2975" s="4009"/>
      <c r="F2975" s="3011" t="str">
        <f>$E$1511</f>
        <v>ASHP-SEER15_ROF_MF_CompE</v>
      </c>
      <c r="G2975" s="2678"/>
      <c r="H2975" s="2678"/>
      <c r="I2975" s="2679"/>
      <c r="J2975" s="3298" t="str">
        <f>$C$1511</f>
        <v>353051_2021_12_</v>
      </c>
      <c r="K2975" s="2282">
        <v>14</v>
      </c>
      <c r="L2975" s="851"/>
      <c r="M2975" s="2284" t="s">
        <v>1110</v>
      </c>
      <c r="N2975" s="123"/>
      <c r="O2975" s="228"/>
      <c r="P2975" s="844"/>
      <c r="Q2975" s="844"/>
      <c r="R2975" s="844"/>
      <c r="S2975" s="832"/>
      <c r="T2975" s="3082"/>
      <c r="U2975" s="123"/>
      <c r="V2975" s="3990"/>
      <c r="W2975" s="2857"/>
      <c r="X2975" s="2857"/>
      <c r="Y2975" s="3158">
        <v>14</v>
      </c>
      <c r="Z2975" s="696">
        <v>14</v>
      </c>
      <c r="AA2975" s="696">
        <v>14</v>
      </c>
      <c r="AB2975" s="2282">
        <v>14</v>
      </c>
      <c r="AC2975" s="2282">
        <v>14</v>
      </c>
      <c r="AD2975" s="2857"/>
      <c r="AE2975" s="2857"/>
      <c r="AF2975" s="2857"/>
      <c r="AG2975" s="2857"/>
      <c r="AH2975" s="1942"/>
      <c r="AI2975" s="1942"/>
      <c r="AJ2975" s="1942"/>
      <c r="AK2975" s="1942"/>
      <c r="AL2975" s="1942"/>
      <c r="AM2975" s="1942"/>
      <c r="AN2975" s="1942"/>
      <c r="AO2975" s="1942"/>
      <c r="AP2975" s="1942"/>
      <c r="AQ2975" s="1942"/>
      <c r="AR2975" s="1942"/>
      <c r="AS2975" s="1942"/>
      <c r="AT2975" s="1942"/>
      <c r="AU2975" s="1942"/>
      <c r="AV2975" s="1942"/>
      <c r="AW2975" s="1942"/>
      <c r="AX2975" s="1942"/>
      <c r="AY2975" s="1942"/>
      <c r="AZ2975" s="1942"/>
      <c r="BA2975" s="1942"/>
      <c r="BB2975" s="575"/>
      <c r="BC2975" s="576"/>
      <c r="BD2975" s="678"/>
      <c r="BE2975" s="585"/>
    </row>
    <row r="2976" spans="1:57" s="51" customFormat="1" ht="15" hidden="1" customHeight="1" outlineLevel="1" x14ac:dyDescent="0.25">
      <c r="A2976" s="2060"/>
      <c r="B2976" s="123"/>
      <c r="C2976" s="328"/>
      <c r="D2976" s="3990"/>
      <c r="E2976" s="4009"/>
      <c r="F2976" s="3010" t="str">
        <f>$E$1513</f>
        <v>ASHP-SEER17-Replace_CAC_ElectricHeat_ROF_SF</v>
      </c>
      <c r="G2976" s="2676"/>
      <c r="H2976" s="2676"/>
      <c r="I2976" s="2677"/>
      <c r="J2976" s="3298" t="str">
        <f>$C$1513</f>
        <v>353100_2021_12_</v>
      </c>
      <c r="K2976" s="2282">
        <v>13</v>
      </c>
      <c r="L2976" s="851"/>
      <c r="M2976" s="2284" t="s">
        <v>1110</v>
      </c>
      <c r="N2976" s="123"/>
      <c r="O2976" s="228"/>
      <c r="P2976" s="844"/>
      <c r="Q2976" s="844"/>
      <c r="R2976" s="844"/>
      <c r="S2976" s="832"/>
      <c r="T2976" s="3082"/>
      <c r="U2976" s="123"/>
      <c r="V2976" s="3990"/>
      <c r="W2976" s="2857">
        <v>6.8</v>
      </c>
      <c r="X2976" s="3155">
        <v>8.33</v>
      </c>
      <c r="Y2976" s="3158">
        <v>13</v>
      </c>
      <c r="Z2976" s="696">
        <v>13</v>
      </c>
      <c r="AA2976" s="696">
        <v>13</v>
      </c>
      <c r="AB2976" s="2282">
        <v>13</v>
      </c>
      <c r="AC2976" s="2282">
        <v>13</v>
      </c>
      <c r="AD2976" s="2857"/>
      <c r="AE2976" s="2857"/>
      <c r="AF2976" s="2857"/>
      <c r="AG2976" s="2857"/>
      <c r="AH2976" s="1942"/>
      <c r="AI2976" s="1942"/>
      <c r="AJ2976" s="1942"/>
      <c r="AK2976" s="1942"/>
      <c r="AL2976" s="1942"/>
      <c r="AM2976" s="1942"/>
      <c r="AN2976" s="1942"/>
      <c r="AO2976" s="1942"/>
      <c r="AP2976" s="1942"/>
      <c r="AQ2976" s="1942"/>
      <c r="AR2976" s="1942"/>
      <c r="AS2976" s="1942"/>
      <c r="AT2976" s="1942"/>
      <c r="AU2976" s="1942"/>
      <c r="AV2976" s="1942"/>
      <c r="AW2976" s="1942"/>
      <c r="AX2976" s="1942"/>
      <c r="AY2976" s="1942"/>
      <c r="AZ2976" s="1942"/>
      <c r="BA2976" s="1942"/>
      <c r="BB2976" s="575"/>
      <c r="BC2976" s="576"/>
      <c r="BD2976" s="678"/>
      <c r="BE2976" s="585"/>
    </row>
    <row r="2977" spans="1:57" s="51" customFormat="1" ht="15" hidden="1" customHeight="1" outlineLevel="1" x14ac:dyDescent="0.25">
      <c r="A2977" s="2060"/>
      <c r="B2977" s="123"/>
      <c r="C2977" s="328"/>
      <c r="D2977" s="3990"/>
      <c r="E2977" s="4009"/>
      <c r="F2977" s="3010" t="str">
        <f>$E$1515</f>
        <v>ASHP-SEER17-Replace_CAC_ElectricHeat_ROF_MF</v>
      </c>
      <c r="G2977" s="2676"/>
      <c r="H2977" s="2676"/>
      <c r="I2977" s="2677"/>
      <c r="J2977" s="3299" t="str">
        <f>$C$1515</f>
        <v>353150_2019_12_</v>
      </c>
      <c r="K2977" s="2282">
        <v>13</v>
      </c>
      <c r="L2977" s="851"/>
      <c r="M2977" s="2284" t="s">
        <v>1110</v>
      </c>
      <c r="N2977" s="123"/>
      <c r="O2977" s="228"/>
      <c r="P2977" s="844"/>
      <c r="Q2977" s="844"/>
      <c r="R2977" s="844"/>
      <c r="S2977" s="832"/>
      <c r="T2977" s="3082"/>
      <c r="U2977" s="123"/>
      <c r="V2977" s="3990"/>
      <c r="W2977" s="2857">
        <v>6.8</v>
      </c>
      <c r="X2977" s="3155">
        <v>8.33</v>
      </c>
      <c r="Y2977" s="3158">
        <v>13</v>
      </c>
      <c r="Z2977" s="696">
        <v>13</v>
      </c>
      <c r="AA2977" s="696">
        <v>13</v>
      </c>
      <c r="AB2977" s="2282">
        <v>13</v>
      </c>
      <c r="AC2977" s="2282">
        <v>13</v>
      </c>
      <c r="AD2977" s="2857"/>
      <c r="AE2977" s="2857"/>
      <c r="AF2977" s="2857"/>
      <c r="AG2977" s="2857"/>
      <c r="AH2977" s="1942"/>
      <c r="AI2977" s="1942"/>
      <c r="AJ2977" s="1942"/>
      <c r="AK2977" s="1942"/>
      <c r="AL2977" s="1942"/>
      <c r="AM2977" s="1942"/>
      <c r="AN2977" s="1942"/>
      <c r="AO2977" s="1942"/>
      <c r="AP2977" s="1942"/>
      <c r="AQ2977" s="1942"/>
      <c r="AR2977" s="1942"/>
      <c r="AS2977" s="1942"/>
      <c r="AT2977" s="1942"/>
      <c r="AU2977" s="1942"/>
      <c r="AV2977" s="1942"/>
      <c r="AW2977" s="1942"/>
      <c r="AX2977" s="1942"/>
      <c r="AY2977" s="1942"/>
      <c r="AZ2977" s="1942"/>
      <c r="BA2977" s="1942"/>
      <c r="BB2977" s="575"/>
      <c r="BC2977" s="576"/>
      <c r="BD2977" s="678"/>
      <c r="BE2977" s="585"/>
    </row>
    <row r="2978" spans="1:57" s="51" customFormat="1" ht="15" hidden="1" customHeight="1" outlineLevel="1" x14ac:dyDescent="0.25">
      <c r="A2978" s="2060"/>
      <c r="B2978" s="123"/>
      <c r="C2978" s="328"/>
      <c r="D2978" s="3990"/>
      <c r="E2978" s="4009"/>
      <c r="F2978" s="3010" t="str">
        <f>$E$1517</f>
        <v>ASHP-SEER17-Replace_CAC_ElectricHeat_ROF_MF_CompE</v>
      </c>
      <c r="G2978" s="2676"/>
      <c r="H2978" s="2676"/>
      <c r="I2978" s="2677"/>
      <c r="J2978" s="3299" t="str">
        <f>$C$1517</f>
        <v>353151_2019_12_</v>
      </c>
      <c r="K2978" s="2282">
        <v>13</v>
      </c>
      <c r="L2978" s="851"/>
      <c r="M2978" s="2284" t="s">
        <v>1110</v>
      </c>
      <c r="N2978" s="123"/>
      <c r="O2978" s="228"/>
      <c r="P2978" s="844"/>
      <c r="Q2978" s="844"/>
      <c r="R2978" s="844"/>
      <c r="S2978" s="832"/>
      <c r="T2978" s="3082"/>
      <c r="U2978" s="123"/>
      <c r="V2978" s="3990"/>
      <c r="W2978" s="2857"/>
      <c r="X2978" s="3155"/>
      <c r="Y2978" s="3158">
        <v>13</v>
      </c>
      <c r="Z2978" s="696">
        <v>13</v>
      </c>
      <c r="AA2978" s="696">
        <v>13</v>
      </c>
      <c r="AB2978" s="2282">
        <v>13</v>
      </c>
      <c r="AC2978" s="2282">
        <v>13</v>
      </c>
      <c r="AD2978" s="2857"/>
      <c r="AE2978" s="2857"/>
      <c r="AF2978" s="2857"/>
      <c r="AG2978" s="2857"/>
      <c r="AH2978" s="1942"/>
      <c r="AI2978" s="1942"/>
      <c r="AJ2978" s="1942"/>
      <c r="AK2978" s="1942"/>
      <c r="AL2978" s="1942"/>
      <c r="AM2978" s="1942"/>
      <c r="AN2978" s="1942"/>
      <c r="AO2978" s="1942"/>
      <c r="AP2978" s="1942"/>
      <c r="AQ2978" s="1942"/>
      <c r="AR2978" s="1942"/>
      <c r="AS2978" s="1942"/>
      <c r="AT2978" s="1942"/>
      <c r="AU2978" s="1942"/>
      <c r="AV2978" s="1942"/>
      <c r="AW2978" s="1942"/>
      <c r="AX2978" s="1942"/>
      <c r="AY2978" s="1942"/>
      <c r="AZ2978" s="1942"/>
      <c r="BA2978" s="1942"/>
      <c r="BB2978" s="575"/>
      <c r="BC2978" s="576"/>
      <c r="BD2978" s="678"/>
      <c r="BE2978" s="585"/>
    </row>
    <row r="2979" spans="1:57" s="1942" customFormat="1" ht="15" hidden="1" customHeight="1" outlineLevel="1" x14ac:dyDescent="0.25">
      <c r="A2979" s="2060"/>
      <c r="B2979" s="123"/>
      <c r="C2979" s="328"/>
      <c r="D2979" s="3990"/>
      <c r="E2979" s="4009"/>
      <c r="F2979" s="3010" t="str">
        <f>$E$1519</f>
        <v>ASHP-SEER17-Replace_CAC_NonElectricHeat_ROF_MF</v>
      </c>
      <c r="G2979" s="2676"/>
      <c r="H2979" s="2676"/>
      <c r="I2979" s="2677"/>
      <c r="J2979" s="3298" t="str">
        <f>$C$1519</f>
        <v>353160_2021_12_</v>
      </c>
      <c r="K2979" s="2228">
        <v>13</v>
      </c>
      <c r="L2979" s="851"/>
      <c r="M2979" s="2817" t="s">
        <v>1110</v>
      </c>
      <c r="N2979" s="123"/>
      <c r="O2979" s="228"/>
      <c r="P2979" s="844"/>
      <c r="Q2979" s="844"/>
      <c r="R2979" s="844"/>
      <c r="S2979" s="832"/>
      <c r="T2979" s="3082"/>
      <c r="U2979" s="123"/>
      <c r="V2979" s="3990"/>
      <c r="W2979" s="2857"/>
      <c r="X2979" s="3155"/>
      <c r="Y2979" s="3158"/>
      <c r="Z2979" s="696"/>
      <c r="AA2979" s="696"/>
      <c r="AB2979" s="2282"/>
      <c r="AC2979" s="2228">
        <v>13</v>
      </c>
      <c r="AD2979" s="2857"/>
      <c r="AE2979" s="2857"/>
      <c r="AF2979" s="2857"/>
      <c r="AG2979" s="2857"/>
      <c r="BB2979" s="575"/>
      <c r="BC2979" s="576"/>
      <c r="BD2979" s="678"/>
      <c r="BE2979" s="585"/>
    </row>
    <row r="2980" spans="1:57" s="1942" customFormat="1" ht="15" hidden="1" customHeight="1" outlineLevel="1" x14ac:dyDescent="0.25">
      <c r="A2980" s="2060"/>
      <c r="B2980" s="123"/>
      <c r="C2980" s="328"/>
      <c r="D2980" s="3990"/>
      <c r="E2980" s="4009"/>
      <c r="F2980" s="3010" t="str">
        <f>$E$1521</f>
        <v>ASHP-SEER17-Replace_CAC_NonElectricHeat_ROF_MF_CompE</v>
      </c>
      <c r="G2980" s="2676"/>
      <c r="H2980" s="2676"/>
      <c r="I2980" s="2677"/>
      <c r="J2980" s="3298" t="str">
        <f>$C$1521</f>
        <v>353161_2021_12_</v>
      </c>
      <c r="K2980" s="2228">
        <v>13</v>
      </c>
      <c r="L2980" s="851"/>
      <c r="M2980" s="2817" t="s">
        <v>1110</v>
      </c>
      <c r="N2980" s="123"/>
      <c r="O2980" s="228"/>
      <c r="P2980" s="844"/>
      <c r="Q2980" s="844"/>
      <c r="R2980" s="844"/>
      <c r="S2980" s="832"/>
      <c r="T2980" s="3082"/>
      <c r="U2980" s="123"/>
      <c r="V2980" s="3990"/>
      <c r="W2980" s="2857"/>
      <c r="X2980" s="3155"/>
      <c r="Y2980" s="3158"/>
      <c r="Z2980" s="696"/>
      <c r="AA2980" s="696"/>
      <c r="AB2980" s="2282"/>
      <c r="AC2980" s="2228">
        <v>13</v>
      </c>
      <c r="AD2980" s="2857"/>
      <c r="AE2980" s="2857"/>
      <c r="AF2980" s="2857"/>
      <c r="AG2980" s="2857"/>
      <c r="BB2980" s="575"/>
      <c r="BC2980" s="576"/>
      <c r="BD2980" s="678"/>
      <c r="BE2980" s="585"/>
    </row>
    <row r="2981" spans="1:57" s="51" customFormat="1" ht="15" hidden="1" customHeight="1" outlineLevel="1" x14ac:dyDescent="0.25">
      <c r="A2981" s="2060"/>
      <c r="B2981" s="123"/>
      <c r="C2981" s="328"/>
      <c r="D2981" s="3990"/>
      <c r="E2981" s="4009"/>
      <c r="F2981" s="3010" t="str">
        <f>$E$1523</f>
        <v>ASHP-SEER18-Replace_CAC_ElectricHeat_ROF_SF</v>
      </c>
      <c r="G2981" s="2676"/>
      <c r="H2981" s="2676"/>
      <c r="I2981" s="2677"/>
      <c r="J2981" s="3298" t="str">
        <f>$C$1523</f>
        <v>353200_2021_12_</v>
      </c>
      <c r="K2981" s="2282">
        <v>13</v>
      </c>
      <c r="L2981" s="851"/>
      <c r="M2981" s="2284" t="s">
        <v>1110</v>
      </c>
      <c r="N2981" s="123"/>
      <c r="O2981" s="228"/>
      <c r="P2981" s="844"/>
      <c r="Q2981" s="844"/>
      <c r="R2981" s="844"/>
      <c r="S2981" s="832"/>
      <c r="T2981" s="3082"/>
      <c r="U2981" s="123"/>
      <c r="V2981" s="3990"/>
      <c r="W2981" s="2857">
        <v>6.8</v>
      </c>
      <c r="X2981" s="3155">
        <v>8.33</v>
      </c>
      <c r="Y2981" s="3158">
        <v>13</v>
      </c>
      <c r="Z2981" s="696">
        <v>13</v>
      </c>
      <c r="AA2981" s="696">
        <v>13</v>
      </c>
      <c r="AB2981" s="2282">
        <v>13</v>
      </c>
      <c r="AC2981" s="2282">
        <v>13</v>
      </c>
      <c r="AD2981" s="2857"/>
      <c r="AE2981" s="2857"/>
      <c r="AF2981" s="2857"/>
      <c r="AG2981" s="2857"/>
      <c r="AH2981" s="1942"/>
      <c r="AI2981" s="1942"/>
      <c r="AJ2981" s="1942"/>
      <c r="AK2981" s="1942"/>
      <c r="AL2981" s="1942"/>
      <c r="AM2981" s="1942"/>
      <c r="AN2981" s="1942"/>
      <c r="AO2981" s="1942"/>
      <c r="AP2981" s="1942"/>
      <c r="AQ2981" s="1942"/>
      <c r="AR2981" s="1942"/>
      <c r="AS2981" s="1942"/>
      <c r="AT2981" s="1942"/>
      <c r="AU2981" s="1942"/>
      <c r="AV2981" s="1942"/>
      <c r="AW2981" s="1942"/>
      <c r="AX2981" s="1942"/>
      <c r="AY2981" s="1942"/>
      <c r="AZ2981" s="1942"/>
      <c r="BA2981" s="1942"/>
      <c r="BB2981" s="575"/>
      <c r="BC2981" s="576"/>
      <c r="BD2981" s="678"/>
      <c r="BE2981" s="585"/>
    </row>
    <row r="2982" spans="1:57" s="51" customFormat="1" ht="15" hidden="1" customHeight="1" outlineLevel="1" x14ac:dyDescent="0.25">
      <c r="A2982" s="2060"/>
      <c r="B2982" s="123"/>
      <c r="C2982" s="328"/>
      <c r="D2982" s="3990"/>
      <c r="E2982" s="4009"/>
      <c r="F2982" s="3010" t="str">
        <f>$E$1525</f>
        <v>ASHP-SEER18-Replace_CAC_ElectricHeat_ROF_MF</v>
      </c>
      <c r="G2982" s="2676"/>
      <c r="H2982" s="2676"/>
      <c r="I2982" s="2677"/>
      <c r="J2982" s="3298" t="str">
        <f>$C$1525</f>
        <v>353250_2021_12_</v>
      </c>
      <c r="K2982" s="2282">
        <v>13</v>
      </c>
      <c r="L2982" s="851"/>
      <c r="M2982" s="2284" t="s">
        <v>1110</v>
      </c>
      <c r="N2982" s="123"/>
      <c r="O2982" s="228"/>
      <c r="P2982" s="844"/>
      <c r="Q2982" s="844"/>
      <c r="R2982" s="844"/>
      <c r="S2982" s="832"/>
      <c r="T2982" s="3082"/>
      <c r="U2982" s="123"/>
      <c r="V2982" s="3990"/>
      <c r="W2982" s="2857">
        <v>6.8</v>
      </c>
      <c r="X2982" s="3155">
        <v>8.33</v>
      </c>
      <c r="Y2982" s="3158">
        <v>13</v>
      </c>
      <c r="Z2982" s="696">
        <v>13</v>
      </c>
      <c r="AA2982" s="696">
        <v>13</v>
      </c>
      <c r="AB2982" s="2282">
        <v>13</v>
      </c>
      <c r="AC2982" s="2282">
        <v>13</v>
      </c>
      <c r="AD2982" s="2857"/>
      <c r="AE2982" s="2857"/>
      <c r="AF2982" s="2857"/>
      <c r="AG2982" s="2857"/>
      <c r="AH2982" s="1942"/>
      <c r="AI2982" s="1942"/>
      <c r="AJ2982" s="1942"/>
      <c r="AK2982" s="1942"/>
      <c r="AL2982" s="1942"/>
      <c r="AM2982" s="1942"/>
      <c r="AN2982" s="1942"/>
      <c r="AO2982" s="1942"/>
      <c r="AP2982" s="1942"/>
      <c r="AQ2982" s="1942"/>
      <c r="AR2982" s="1942"/>
      <c r="AS2982" s="1942"/>
      <c r="AT2982" s="1942"/>
      <c r="AU2982" s="1942"/>
      <c r="AV2982" s="1942"/>
      <c r="AW2982" s="1942"/>
      <c r="AX2982" s="1942"/>
      <c r="AY2982" s="1942"/>
      <c r="AZ2982" s="1942"/>
      <c r="BA2982" s="1942"/>
      <c r="BB2982" s="575"/>
      <c r="BC2982" s="576"/>
      <c r="BD2982" s="678"/>
      <c r="BE2982" s="585"/>
    </row>
    <row r="2983" spans="1:57" s="51" customFormat="1" ht="15" hidden="1" customHeight="1" outlineLevel="1" x14ac:dyDescent="0.25">
      <c r="A2983" s="2060"/>
      <c r="B2983" s="123"/>
      <c r="C2983" s="328"/>
      <c r="D2983" s="3990"/>
      <c r="E2983" s="4009"/>
      <c r="F2983" s="3010" t="str">
        <f>$E$1527</f>
        <v>ASHP-SEER18-Replace_CAC_ElectricHeat_ROF_MF_CompE</v>
      </c>
      <c r="G2983" s="2676"/>
      <c r="H2983" s="2676"/>
      <c r="I2983" s="2677"/>
      <c r="J2983" s="3298" t="str">
        <f>$C$1527</f>
        <v>353251_2021_12_</v>
      </c>
      <c r="K2983" s="2282">
        <v>13</v>
      </c>
      <c r="L2983" s="851"/>
      <c r="M2983" s="2284" t="s">
        <v>1110</v>
      </c>
      <c r="N2983" s="123"/>
      <c r="O2983" s="228"/>
      <c r="P2983" s="844"/>
      <c r="Q2983" s="844"/>
      <c r="R2983" s="844"/>
      <c r="S2983" s="832"/>
      <c r="T2983" s="3082"/>
      <c r="U2983" s="123"/>
      <c r="V2983" s="3990"/>
      <c r="W2983" s="2857"/>
      <c r="X2983" s="3155"/>
      <c r="Y2983" s="3158">
        <v>13</v>
      </c>
      <c r="Z2983" s="696">
        <v>13</v>
      </c>
      <c r="AA2983" s="696">
        <v>13</v>
      </c>
      <c r="AB2983" s="2282">
        <v>13</v>
      </c>
      <c r="AC2983" s="2282">
        <v>13</v>
      </c>
      <c r="AD2983" s="2857"/>
      <c r="AE2983" s="2857"/>
      <c r="AF2983" s="2857"/>
      <c r="AG2983" s="2857"/>
      <c r="AH2983" s="1942"/>
      <c r="AI2983" s="1942"/>
      <c r="AJ2983" s="1942"/>
      <c r="AK2983" s="1942"/>
      <c r="AL2983" s="1942"/>
      <c r="AM2983" s="1942"/>
      <c r="AN2983" s="1942"/>
      <c r="AO2983" s="1942"/>
      <c r="AP2983" s="1942"/>
      <c r="AQ2983" s="1942"/>
      <c r="AR2983" s="1942"/>
      <c r="AS2983" s="1942"/>
      <c r="AT2983" s="1942"/>
      <c r="AU2983" s="1942"/>
      <c r="AV2983" s="1942"/>
      <c r="AW2983" s="1942"/>
      <c r="AX2983" s="1942"/>
      <c r="AY2983" s="1942"/>
      <c r="AZ2983" s="1942"/>
      <c r="BA2983" s="1942"/>
      <c r="BB2983" s="575"/>
      <c r="BC2983" s="576"/>
      <c r="BD2983" s="678"/>
      <c r="BE2983" s="585"/>
    </row>
    <row r="2984" spans="1:57" s="1942" customFormat="1" ht="15" hidden="1" customHeight="1" outlineLevel="1" x14ac:dyDescent="0.25">
      <c r="A2984" s="2060"/>
      <c r="B2984" s="123"/>
      <c r="C2984" s="328"/>
      <c r="D2984" s="3990"/>
      <c r="E2984" s="4009"/>
      <c r="F2984" s="3010" t="str">
        <f>$E$1529</f>
        <v>ASHP-SEER18-Replace_CAC_NonElectricHeat_ROF_MF</v>
      </c>
      <c r="G2984" s="2676"/>
      <c r="H2984" s="2676"/>
      <c r="I2984" s="2677"/>
      <c r="J2984" s="3298" t="str">
        <f>$C$1529</f>
        <v>353260_2021_12_</v>
      </c>
      <c r="K2984" s="2228">
        <v>13</v>
      </c>
      <c r="L2984" s="851"/>
      <c r="M2984" s="2817" t="s">
        <v>1110</v>
      </c>
      <c r="N2984" s="123"/>
      <c r="O2984" s="228"/>
      <c r="P2984" s="844"/>
      <c r="Q2984" s="844"/>
      <c r="R2984" s="844"/>
      <c r="S2984" s="832"/>
      <c r="T2984" s="3082"/>
      <c r="U2984" s="123"/>
      <c r="V2984" s="3990"/>
      <c r="W2984" s="2857"/>
      <c r="X2984" s="3155"/>
      <c r="Y2984" s="3158"/>
      <c r="Z2984" s="696"/>
      <c r="AA2984" s="696"/>
      <c r="AB2984" s="2282"/>
      <c r="AC2984" s="2228">
        <v>13</v>
      </c>
      <c r="AD2984" s="2857"/>
      <c r="AE2984" s="2857"/>
      <c r="AF2984" s="2857"/>
      <c r="AG2984" s="2857"/>
      <c r="BB2984" s="575"/>
      <c r="BC2984" s="576"/>
      <c r="BD2984" s="678"/>
      <c r="BE2984" s="585"/>
    </row>
    <row r="2985" spans="1:57" s="1942" customFormat="1" ht="15" hidden="1" customHeight="1" outlineLevel="1" x14ac:dyDescent="0.25">
      <c r="A2985" s="2060"/>
      <c r="B2985" s="123"/>
      <c r="C2985" s="328"/>
      <c r="D2985" s="3990"/>
      <c r="E2985" s="4009"/>
      <c r="F2985" s="3010" t="str">
        <f>$E$1531</f>
        <v>ASHP-SEER18-Replace_CAC_NonElectricHeat_ROF_MF_CompE</v>
      </c>
      <c r="G2985" s="2676"/>
      <c r="H2985" s="2676"/>
      <c r="I2985" s="2677"/>
      <c r="J2985" s="3298" t="str">
        <f>$C$1531</f>
        <v>353261_2021_12_</v>
      </c>
      <c r="K2985" s="2228">
        <v>13</v>
      </c>
      <c r="L2985" s="851"/>
      <c r="M2985" s="2817" t="s">
        <v>1110</v>
      </c>
      <c r="N2985" s="123"/>
      <c r="O2985" s="228"/>
      <c r="P2985" s="844"/>
      <c r="Q2985" s="844"/>
      <c r="R2985" s="844"/>
      <c r="S2985" s="832"/>
      <c r="T2985" s="3082"/>
      <c r="U2985" s="123"/>
      <c r="V2985" s="3990"/>
      <c r="W2985" s="2857"/>
      <c r="X2985" s="3155"/>
      <c r="Y2985" s="3158"/>
      <c r="Z2985" s="696"/>
      <c r="AA2985" s="696"/>
      <c r="AB2985" s="2282"/>
      <c r="AC2985" s="2228">
        <v>13</v>
      </c>
      <c r="AD2985" s="2857"/>
      <c r="AE2985" s="2857"/>
      <c r="AF2985" s="2857"/>
      <c r="AG2985" s="2857"/>
      <c r="BB2985" s="575"/>
      <c r="BC2985" s="576"/>
      <c r="BD2985" s="678"/>
      <c r="BE2985" s="585"/>
    </row>
    <row r="2986" spans="1:57" s="51" customFormat="1" ht="15" hidden="1" customHeight="1" outlineLevel="1" x14ac:dyDescent="0.25">
      <c r="A2986" s="2060"/>
      <c r="B2986" s="123"/>
      <c r="C2986" s="328"/>
      <c r="D2986" s="3990"/>
      <c r="E2986" s="4009"/>
      <c r="F2986" s="3010" t="str">
        <f>$E$1533</f>
        <v>ASHP-SEER19-Replace_CAC_ElectricHeat_ROF_SF</v>
      </c>
      <c r="G2986" s="2676"/>
      <c r="H2986" s="2676"/>
      <c r="I2986" s="2677"/>
      <c r="J2986" s="3298" t="str">
        <f>$C$1533</f>
        <v>353300_2021_12_</v>
      </c>
      <c r="K2986" s="2282">
        <v>13</v>
      </c>
      <c r="L2986" s="851"/>
      <c r="M2986" s="2284" t="s">
        <v>1110</v>
      </c>
      <c r="N2986" s="123"/>
      <c r="O2986" s="228"/>
      <c r="P2986" s="844"/>
      <c r="Q2986" s="844"/>
      <c r="R2986" s="844"/>
      <c r="S2986" s="832"/>
      <c r="T2986" s="3082"/>
      <c r="U2986" s="123"/>
      <c r="V2986" s="3990"/>
      <c r="W2986" s="2857">
        <v>6.8</v>
      </c>
      <c r="X2986" s="3155">
        <v>8.33</v>
      </c>
      <c r="Y2986" s="3158">
        <v>13</v>
      </c>
      <c r="Z2986" s="696">
        <v>13</v>
      </c>
      <c r="AA2986" s="696">
        <v>13</v>
      </c>
      <c r="AB2986" s="2282">
        <v>13</v>
      </c>
      <c r="AC2986" s="2282">
        <v>13</v>
      </c>
      <c r="AD2986" s="2857"/>
      <c r="AE2986" s="2857"/>
      <c r="AF2986" s="2857"/>
      <c r="AG2986" s="2857"/>
      <c r="AH2986" s="1942"/>
      <c r="AI2986" s="1942"/>
      <c r="AJ2986" s="1942"/>
      <c r="AK2986" s="1942"/>
      <c r="AL2986" s="1942"/>
      <c r="AM2986" s="1942"/>
      <c r="AN2986" s="1942"/>
      <c r="AO2986" s="1942"/>
      <c r="AP2986" s="1942"/>
      <c r="AQ2986" s="1942"/>
      <c r="AR2986" s="1942"/>
      <c r="AS2986" s="1942"/>
      <c r="AT2986" s="1942"/>
      <c r="AU2986" s="1942"/>
      <c r="AV2986" s="1942"/>
      <c r="AW2986" s="1942"/>
      <c r="AX2986" s="1942"/>
      <c r="AY2986" s="1942"/>
      <c r="AZ2986" s="1942"/>
      <c r="BA2986" s="1942"/>
      <c r="BB2986" s="575"/>
      <c r="BC2986" s="576"/>
      <c r="BD2986" s="678"/>
      <c r="BE2986" s="585"/>
    </row>
    <row r="2987" spans="1:57" s="51" customFormat="1" ht="15" hidden="1" customHeight="1" outlineLevel="1" x14ac:dyDescent="0.25">
      <c r="A2987" s="2060"/>
      <c r="B2987" s="123"/>
      <c r="C2987" s="328"/>
      <c r="D2987" s="3990"/>
      <c r="E2987" s="4009"/>
      <c r="F2987" s="3010" t="str">
        <f>$E$1535</f>
        <v>ASHP-SEER19-Replace_CAC_ElectricHeat_ROF_MF</v>
      </c>
      <c r="G2987" s="2676"/>
      <c r="H2987" s="2676"/>
      <c r="I2987" s="2677"/>
      <c r="J2987" s="3298" t="str">
        <f>$C$1535</f>
        <v>353350_2021_12_</v>
      </c>
      <c r="K2987" s="2282">
        <v>13</v>
      </c>
      <c r="L2987" s="851"/>
      <c r="M2987" s="2284" t="s">
        <v>1110</v>
      </c>
      <c r="N2987" s="123"/>
      <c r="O2987" s="228"/>
      <c r="P2987" s="844"/>
      <c r="Q2987" s="844"/>
      <c r="R2987" s="844"/>
      <c r="S2987" s="832"/>
      <c r="T2987" s="3082"/>
      <c r="U2987" s="123"/>
      <c r="V2987" s="3990"/>
      <c r="W2987" s="2857">
        <v>6.8</v>
      </c>
      <c r="X2987" s="3155">
        <v>8.33</v>
      </c>
      <c r="Y2987" s="3158">
        <v>13</v>
      </c>
      <c r="Z2987" s="696">
        <v>13</v>
      </c>
      <c r="AA2987" s="696">
        <v>13</v>
      </c>
      <c r="AB2987" s="2282">
        <v>13</v>
      </c>
      <c r="AC2987" s="2282">
        <v>13</v>
      </c>
      <c r="AD2987" s="2857"/>
      <c r="AE2987" s="2857"/>
      <c r="AF2987" s="2857"/>
      <c r="AG2987" s="2857"/>
      <c r="AH2987" s="1942"/>
      <c r="AI2987" s="1942"/>
      <c r="AJ2987" s="1942"/>
      <c r="AK2987" s="1942"/>
      <c r="AL2987" s="1942"/>
      <c r="AM2987" s="1942"/>
      <c r="AN2987" s="1942"/>
      <c r="AO2987" s="1942"/>
      <c r="AP2987" s="1942"/>
      <c r="AQ2987" s="1942"/>
      <c r="AR2987" s="1942"/>
      <c r="AS2987" s="1942"/>
      <c r="AT2987" s="1942"/>
      <c r="AU2987" s="1942"/>
      <c r="AV2987" s="1942"/>
      <c r="AW2987" s="1942"/>
      <c r="AX2987" s="1942"/>
      <c r="AY2987" s="1942"/>
      <c r="AZ2987" s="1942"/>
      <c r="BA2987" s="1942"/>
      <c r="BB2987" s="575"/>
      <c r="BC2987" s="576"/>
      <c r="BD2987" s="678"/>
      <c r="BE2987" s="585"/>
    </row>
    <row r="2988" spans="1:57" s="51" customFormat="1" ht="15" hidden="1" customHeight="1" outlineLevel="1" x14ac:dyDescent="0.25">
      <c r="A2988" s="2060"/>
      <c r="B2988" s="123"/>
      <c r="C2988" s="328"/>
      <c r="D2988" s="3990"/>
      <c r="E2988" s="4009"/>
      <c r="F2988" s="3010" t="str">
        <f>$E$1537</f>
        <v>ASHP-SEER19-Replace_CAC_ElectricHeat_ROF_MF_CompE</v>
      </c>
      <c r="G2988" s="2676"/>
      <c r="H2988" s="2676"/>
      <c r="I2988" s="2677"/>
      <c r="J2988" s="3299" t="str">
        <f>$C$1537</f>
        <v>353351_2019_12_</v>
      </c>
      <c r="K2988" s="2282">
        <v>13</v>
      </c>
      <c r="L2988" s="851"/>
      <c r="M2988" s="2284" t="s">
        <v>1110</v>
      </c>
      <c r="N2988" s="123"/>
      <c r="O2988" s="228"/>
      <c r="P2988" s="844"/>
      <c r="Q2988" s="844"/>
      <c r="R2988" s="844"/>
      <c r="S2988" s="832"/>
      <c r="T2988" s="3082"/>
      <c r="U2988" s="123"/>
      <c r="V2988" s="3990"/>
      <c r="W2988" s="2857"/>
      <c r="X2988" s="3155"/>
      <c r="Y2988" s="3158">
        <v>13</v>
      </c>
      <c r="Z2988" s="696">
        <v>13</v>
      </c>
      <c r="AA2988" s="696">
        <v>13</v>
      </c>
      <c r="AB2988" s="2282">
        <v>13</v>
      </c>
      <c r="AC2988" s="2282">
        <v>13</v>
      </c>
      <c r="AD2988" s="2857"/>
      <c r="AE2988" s="2857"/>
      <c r="AF2988" s="2857"/>
      <c r="AG2988" s="2857"/>
      <c r="AH2988" s="1942"/>
      <c r="AI2988" s="1942"/>
      <c r="AJ2988" s="1942"/>
      <c r="AK2988" s="1942"/>
      <c r="AL2988" s="1942"/>
      <c r="AM2988" s="1942"/>
      <c r="AN2988" s="1942"/>
      <c r="AO2988" s="1942"/>
      <c r="AP2988" s="1942"/>
      <c r="AQ2988" s="1942"/>
      <c r="AR2988" s="1942"/>
      <c r="AS2988" s="1942"/>
      <c r="AT2988" s="1942"/>
      <c r="AU2988" s="1942"/>
      <c r="AV2988" s="1942"/>
      <c r="AW2988" s="1942"/>
      <c r="AX2988" s="1942"/>
      <c r="AY2988" s="1942"/>
      <c r="AZ2988" s="1942"/>
      <c r="BA2988" s="1942"/>
      <c r="BB2988" s="575"/>
      <c r="BC2988" s="576"/>
      <c r="BD2988" s="678"/>
      <c r="BE2988" s="585"/>
    </row>
    <row r="2989" spans="1:57" s="1942" customFormat="1" ht="15" hidden="1" customHeight="1" outlineLevel="1" x14ac:dyDescent="0.25">
      <c r="A2989" s="2060"/>
      <c r="B2989" s="123"/>
      <c r="C2989" s="328"/>
      <c r="D2989" s="3990"/>
      <c r="E2989" s="4009"/>
      <c r="F2989" s="3010" t="str">
        <f>$E$1539</f>
        <v>ASHP-SEER19-Replace_CAC_NonElectricHeat_ROF_MF</v>
      </c>
      <c r="G2989" s="2676"/>
      <c r="H2989" s="2676"/>
      <c r="I2989" s="2677"/>
      <c r="J2989" s="3298" t="str">
        <f>$C$1539</f>
        <v>353360_2021_12_</v>
      </c>
      <c r="K2989" s="2228">
        <v>13</v>
      </c>
      <c r="L2989" s="851"/>
      <c r="M2989" s="2817" t="s">
        <v>1110</v>
      </c>
      <c r="N2989" s="123"/>
      <c r="O2989" s="228"/>
      <c r="P2989" s="844"/>
      <c r="Q2989" s="844"/>
      <c r="R2989" s="844"/>
      <c r="S2989" s="832"/>
      <c r="T2989" s="3082"/>
      <c r="U2989" s="123"/>
      <c r="V2989" s="3990"/>
      <c r="W2989" s="2857"/>
      <c r="X2989" s="3155"/>
      <c r="Y2989" s="3158"/>
      <c r="Z2989" s="696"/>
      <c r="AA2989" s="696"/>
      <c r="AB2989" s="2282"/>
      <c r="AC2989" s="2228">
        <v>13</v>
      </c>
      <c r="AD2989" s="2857"/>
      <c r="AE2989" s="2857"/>
      <c r="AF2989" s="2857"/>
      <c r="AG2989" s="2857"/>
      <c r="BB2989" s="575"/>
      <c r="BC2989" s="576"/>
      <c r="BD2989" s="678"/>
      <c r="BE2989" s="585"/>
    </row>
    <row r="2990" spans="1:57" s="1942" customFormat="1" ht="15" hidden="1" customHeight="1" outlineLevel="1" x14ac:dyDescent="0.25">
      <c r="A2990" s="2060"/>
      <c r="B2990" s="123"/>
      <c r="C2990" s="328"/>
      <c r="D2990" s="3990"/>
      <c r="E2990" s="4009"/>
      <c r="F2990" s="3010" t="str">
        <f>$E$1541</f>
        <v>ASHP-SEER19-Replace_CAC_NonElectricHeat_ROF_MF_CompE</v>
      </c>
      <c r="G2990" s="2676"/>
      <c r="H2990" s="2676"/>
      <c r="I2990" s="2677"/>
      <c r="J2990" s="3298" t="str">
        <f>$C$1541</f>
        <v>353361_2021_12_</v>
      </c>
      <c r="K2990" s="2228">
        <v>13</v>
      </c>
      <c r="L2990" s="851"/>
      <c r="M2990" s="2817" t="s">
        <v>1110</v>
      </c>
      <c r="N2990" s="123"/>
      <c r="O2990" s="228"/>
      <c r="P2990" s="844"/>
      <c r="Q2990" s="844"/>
      <c r="R2990" s="844"/>
      <c r="S2990" s="832"/>
      <c r="T2990" s="3082"/>
      <c r="U2990" s="123"/>
      <c r="V2990" s="3990"/>
      <c r="W2990" s="2857"/>
      <c r="X2990" s="3155"/>
      <c r="Y2990" s="3158"/>
      <c r="Z2990" s="696"/>
      <c r="AA2990" s="696"/>
      <c r="AB2990" s="2282"/>
      <c r="AC2990" s="2228">
        <v>13</v>
      </c>
      <c r="AD2990" s="2857"/>
      <c r="AE2990" s="2857"/>
      <c r="AF2990" s="2857"/>
      <c r="AG2990" s="2857"/>
      <c r="BB2990" s="575"/>
      <c r="BC2990" s="576"/>
      <c r="BD2990" s="678"/>
      <c r="BE2990" s="585"/>
    </row>
    <row r="2991" spans="1:57" s="51" customFormat="1" ht="15" hidden="1" customHeight="1" outlineLevel="1" x14ac:dyDescent="0.25">
      <c r="A2991" s="2060"/>
      <c r="B2991" s="123"/>
      <c r="C2991" s="328"/>
      <c r="D2991" s="3990"/>
      <c r="E2991" s="4009"/>
      <c r="F2991" s="3010" t="str">
        <f>$E$1543</f>
        <v>ASHP-SEER20-Replace_CAC_ElectricHeat_ER1_SF</v>
      </c>
      <c r="G2991" s="2676"/>
      <c r="H2991" s="2676"/>
      <c r="I2991" s="2677"/>
      <c r="J2991" s="3298" t="str">
        <f>$C$1543</f>
        <v>353400_2021_12_</v>
      </c>
      <c r="K2991" s="2228">
        <v>8.3166278348954581</v>
      </c>
      <c r="L2991" s="851"/>
      <c r="M2991" s="2817" t="s">
        <v>1563</v>
      </c>
      <c r="N2991" s="123"/>
      <c r="O2991" s="228"/>
      <c r="P2991" s="844"/>
      <c r="Q2991" s="844"/>
      <c r="R2991" s="844"/>
      <c r="S2991" s="832"/>
      <c r="T2991" s="3082"/>
      <c r="U2991" s="123"/>
      <c r="V2991" s="3990"/>
      <c r="W2991" s="2857">
        <v>6.8</v>
      </c>
      <c r="X2991" s="3155">
        <v>8.33</v>
      </c>
      <c r="Y2991" s="696">
        <v>8.33</v>
      </c>
      <c r="Z2991" s="696">
        <v>8.33</v>
      </c>
      <c r="AA2991" s="696">
        <v>8.33</v>
      </c>
      <c r="AB2991" s="2282">
        <v>8.33</v>
      </c>
      <c r="AC2991" s="2228">
        <v>8.3166278348954581</v>
      </c>
      <c r="AD2991" s="2857"/>
      <c r="AE2991" s="2857"/>
      <c r="AF2991" s="2857"/>
      <c r="AG2991" s="2857"/>
      <c r="AH2991" s="1942"/>
      <c r="AI2991" s="1942"/>
      <c r="AJ2991" s="1942"/>
      <c r="AK2991" s="1942"/>
      <c r="AL2991" s="1942"/>
      <c r="AM2991" s="1942"/>
      <c r="AN2991" s="1942"/>
      <c r="AO2991" s="1942"/>
      <c r="AP2991" s="1942"/>
      <c r="AQ2991" s="1942"/>
      <c r="AR2991" s="1942"/>
      <c r="AS2991" s="1942"/>
      <c r="AT2991" s="1942"/>
      <c r="AU2991" s="1942"/>
      <c r="AV2991" s="1942"/>
      <c r="AW2991" s="1942"/>
      <c r="AX2991" s="1942"/>
      <c r="AY2991" s="1942"/>
      <c r="AZ2991" s="1942"/>
      <c r="BA2991" s="1942"/>
      <c r="BB2991" s="575"/>
      <c r="BC2991" s="576"/>
      <c r="BD2991" s="678"/>
      <c r="BE2991" s="585"/>
    </row>
    <row r="2992" spans="1:57" s="51" customFormat="1" ht="15" hidden="1" customHeight="1" outlineLevel="1" x14ac:dyDescent="0.25">
      <c r="A2992" s="2060"/>
      <c r="B2992" s="123"/>
      <c r="C2992" s="328"/>
      <c r="D2992" s="3990"/>
      <c r="E2992" s="4009"/>
      <c r="F2992" s="3010" t="str">
        <f>$E$1545</f>
        <v>ASHP-SEER20-Replace_CAC_ElectricHeat_ER2_SF</v>
      </c>
      <c r="G2992" s="2676"/>
      <c r="H2992" s="2676"/>
      <c r="I2992" s="2677"/>
      <c r="J2992" s="3298" t="str">
        <f>$C$1545</f>
        <v>353400_2021_12_</v>
      </c>
      <c r="K2992" s="2282">
        <v>13</v>
      </c>
      <c r="L2992" s="851"/>
      <c r="M2992" s="2284" t="s">
        <v>1110</v>
      </c>
      <c r="N2992" s="123"/>
      <c r="O2992" s="228"/>
      <c r="P2992" s="844"/>
      <c r="Q2992" s="844"/>
      <c r="R2992" s="844"/>
      <c r="S2992" s="832"/>
      <c r="T2992" s="3082"/>
      <c r="U2992" s="123"/>
      <c r="V2992" s="3990"/>
      <c r="W2992" s="2857">
        <v>13</v>
      </c>
      <c r="X2992" s="2857">
        <v>13</v>
      </c>
      <c r="Y2992" s="696">
        <v>13</v>
      </c>
      <c r="Z2992" s="696">
        <v>13</v>
      </c>
      <c r="AA2992" s="696">
        <v>13</v>
      </c>
      <c r="AB2992" s="2282">
        <v>13</v>
      </c>
      <c r="AC2992" s="2282">
        <v>13</v>
      </c>
      <c r="AD2992" s="2857"/>
      <c r="AE2992" s="2857"/>
      <c r="AF2992" s="2857"/>
      <c r="AG2992" s="2857"/>
      <c r="AH2992" s="1942"/>
      <c r="AI2992" s="1942"/>
      <c r="AJ2992" s="1942"/>
      <c r="AK2992" s="1942"/>
      <c r="AL2992" s="1942"/>
      <c r="AM2992" s="1942"/>
      <c r="AN2992" s="1942"/>
      <c r="AO2992" s="1942"/>
      <c r="AP2992" s="1942"/>
      <c r="AQ2992" s="1942"/>
      <c r="AR2992" s="1942"/>
      <c r="AS2992" s="1942"/>
      <c r="AT2992" s="1942"/>
      <c r="AU2992" s="1942"/>
      <c r="AV2992" s="1942"/>
      <c r="AW2992" s="1942"/>
      <c r="AX2992" s="1942"/>
      <c r="AY2992" s="1942"/>
      <c r="AZ2992" s="1942"/>
      <c r="BA2992" s="1942"/>
      <c r="BB2992" s="575"/>
      <c r="BC2992" s="576"/>
      <c r="BD2992" s="678"/>
      <c r="BE2992" s="585"/>
    </row>
    <row r="2993" spans="1:57" s="1942" customFormat="1" ht="15" hidden="1" customHeight="1" outlineLevel="1" x14ac:dyDescent="0.25">
      <c r="A2993" s="2060"/>
      <c r="B2993" s="123"/>
      <c r="C2993" s="328"/>
      <c r="D2993" s="3990"/>
      <c r="E2993" s="4009"/>
      <c r="F2993" s="3010" t="str">
        <f>$E$1547</f>
        <v>ASHP-SEER20-Replace_CAC_NonElectricHeat_ER1_SF</v>
      </c>
      <c r="G2993" s="2676"/>
      <c r="H2993" s="2676"/>
      <c r="I2993" s="2677"/>
      <c r="J2993" s="3298" t="str">
        <f>$C$1547</f>
        <v>353410_2021_12_</v>
      </c>
      <c r="K2993" s="2228">
        <v>8.3166278348954581</v>
      </c>
      <c r="L2993" s="851"/>
      <c r="M2993" s="2817" t="s">
        <v>1125</v>
      </c>
      <c r="N2993" s="123"/>
      <c r="O2993" s="228"/>
      <c r="P2993" s="844"/>
      <c r="Q2993" s="844"/>
      <c r="R2993" s="844"/>
      <c r="S2993" s="832"/>
      <c r="T2993" s="3082"/>
      <c r="U2993" s="123"/>
      <c r="V2993" s="3990"/>
      <c r="W2993" s="2857"/>
      <c r="X2993" s="2857"/>
      <c r="Y2993" s="696"/>
      <c r="Z2993" s="696"/>
      <c r="AA2993" s="696"/>
      <c r="AB2993" s="2282"/>
      <c r="AC2993" s="2228">
        <v>8.3166278348954581</v>
      </c>
      <c r="AD2993" s="2857"/>
      <c r="AE2993" s="2857"/>
      <c r="AF2993" s="2857"/>
      <c r="AG2993" s="2857"/>
      <c r="BB2993" s="575"/>
      <c r="BC2993" s="576"/>
      <c r="BD2993" s="678"/>
      <c r="BE2993" s="585"/>
    </row>
    <row r="2994" spans="1:57" s="1942" customFormat="1" ht="15" hidden="1" customHeight="1" outlineLevel="1" x14ac:dyDescent="0.25">
      <c r="A2994" s="2060"/>
      <c r="B2994" s="123"/>
      <c r="C2994" s="328"/>
      <c r="D2994" s="3990"/>
      <c r="E2994" s="4009"/>
      <c r="F2994" s="3010" t="str">
        <f>$E$1549</f>
        <v>ASHP-SEER20-Replace_CAC_NonElectricHeat_ER2_SF</v>
      </c>
      <c r="G2994" s="2676"/>
      <c r="H2994" s="2676"/>
      <c r="I2994" s="2677"/>
      <c r="J2994" s="3298" t="str">
        <f>$C$1549</f>
        <v>353410_2021_12_</v>
      </c>
      <c r="K2994" s="2228">
        <v>13</v>
      </c>
      <c r="L2994" s="851"/>
      <c r="M2994" s="2817" t="s">
        <v>1110</v>
      </c>
      <c r="N2994" s="123"/>
      <c r="O2994" s="228"/>
      <c r="P2994" s="844"/>
      <c r="Q2994" s="844"/>
      <c r="R2994" s="844"/>
      <c r="S2994" s="832"/>
      <c r="T2994" s="3082"/>
      <c r="U2994" s="123"/>
      <c r="V2994" s="3990"/>
      <c r="W2994" s="2857"/>
      <c r="X2994" s="2857"/>
      <c r="Y2994" s="696"/>
      <c r="Z2994" s="696"/>
      <c r="AA2994" s="696"/>
      <c r="AB2994" s="2282"/>
      <c r="AC2994" s="2228">
        <v>13</v>
      </c>
      <c r="AD2994" s="2857"/>
      <c r="AE2994" s="2857"/>
      <c r="AF2994" s="2857"/>
      <c r="AG2994" s="2857"/>
      <c r="BB2994" s="575"/>
      <c r="BC2994" s="576"/>
      <c r="BD2994" s="678"/>
      <c r="BE2994" s="585"/>
    </row>
    <row r="2995" spans="1:57" s="51" customFormat="1" ht="15" hidden="1" customHeight="1" outlineLevel="1" x14ac:dyDescent="0.25">
      <c r="A2995" s="2060"/>
      <c r="B2995" s="123"/>
      <c r="C2995" s="328"/>
      <c r="D2995" s="3990"/>
      <c r="E2995" s="4009"/>
      <c r="F2995" s="3010" t="str">
        <f>$E$1551</f>
        <v>ASHP-SEER20-Replace_CAC_ElectricHeat_ROF_SF</v>
      </c>
      <c r="G2995" s="2676"/>
      <c r="H2995" s="2676"/>
      <c r="I2995" s="2677"/>
      <c r="J2995" s="3298" t="str">
        <f>$C$1551</f>
        <v>353450_2021_12_</v>
      </c>
      <c r="K2995" s="2282">
        <v>13</v>
      </c>
      <c r="L2995" s="851"/>
      <c r="M2995" s="2284" t="s">
        <v>1110</v>
      </c>
      <c r="N2995" s="123"/>
      <c r="O2995" s="228"/>
      <c r="P2995" s="844"/>
      <c r="Q2995" s="844"/>
      <c r="R2995" s="844"/>
      <c r="S2995" s="832"/>
      <c r="T2995" s="3082"/>
      <c r="U2995" s="123"/>
      <c r="V2995" s="3990"/>
      <c r="W2995" s="2857">
        <v>13</v>
      </c>
      <c r="X2995" s="2857">
        <v>13</v>
      </c>
      <c r="Y2995" s="696">
        <v>13</v>
      </c>
      <c r="Z2995" s="696">
        <v>13</v>
      </c>
      <c r="AA2995" s="696">
        <v>13</v>
      </c>
      <c r="AB2995" s="2282">
        <v>13</v>
      </c>
      <c r="AC2995" s="2282">
        <v>13</v>
      </c>
      <c r="AD2995" s="2857"/>
      <c r="AE2995" s="2857"/>
      <c r="AF2995" s="2857"/>
      <c r="AG2995" s="2857"/>
      <c r="AH2995" s="1942"/>
      <c r="AI2995" s="1942"/>
      <c r="AJ2995" s="1942"/>
      <c r="AK2995" s="1942"/>
      <c r="AL2995" s="1942"/>
      <c r="AM2995" s="1942"/>
      <c r="AN2995" s="1942"/>
      <c r="AO2995" s="1942"/>
      <c r="AP2995" s="1942"/>
      <c r="AQ2995" s="1942"/>
      <c r="AR2995" s="1942"/>
      <c r="AS2995" s="1942"/>
      <c r="AT2995" s="1942"/>
      <c r="AU2995" s="1942"/>
      <c r="AV2995" s="1942"/>
      <c r="AW2995" s="1942"/>
      <c r="AX2995" s="1942"/>
      <c r="AY2995" s="1942"/>
      <c r="AZ2995" s="1942"/>
      <c r="BA2995" s="1942"/>
      <c r="BB2995" s="575"/>
      <c r="BC2995" s="576"/>
      <c r="BD2995" s="678"/>
      <c r="BE2995" s="585"/>
    </row>
    <row r="2996" spans="1:57" s="51" customFormat="1" ht="15" hidden="1" customHeight="1" outlineLevel="1" x14ac:dyDescent="0.25">
      <c r="A2996" s="2060"/>
      <c r="B2996" s="123"/>
      <c r="C2996" s="328"/>
      <c r="D2996" s="3990"/>
      <c r="E2996" s="4009"/>
      <c r="F2996" s="3010" t="str">
        <f>$E$1553</f>
        <v>ASHP-SEER20-Replace_CAC_ElectricHeat_ROF_MF</v>
      </c>
      <c r="G2996" s="2676"/>
      <c r="H2996" s="2676"/>
      <c r="I2996" s="2677"/>
      <c r="J2996" s="3299" t="str">
        <f>$C$1553</f>
        <v>353500_2019_12_</v>
      </c>
      <c r="K2996" s="2282">
        <v>13</v>
      </c>
      <c r="L2996" s="851"/>
      <c r="M2996" s="2284" t="s">
        <v>1110</v>
      </c>
      <c r="N2996" s="123"/>
      <c r="O2996" s="228"/>
      <c r="P2996" s="844"/>
      <c r="Q2996" s="844"/>
      <c r="R2996" s="844"/>
      <c r="S2996" s="832"/>
      <c r="T2996" s="3082"/>
      <c r="U2996" s="123"/>
      <c r="V2996" s="3990"/>
      <c r="W2996" s="2857">
        <v>13</v>
      </c>
      <c r="X2996" s="2857">
        <v>13</v>
      </c>
      <c r="Y2996" s="696">
        <v>13</v>
      </c>
      <c r="Z2996" s="696">
        <v>13</v>
      </c>
      <c r="AA2996" s="696">
        <v>13</v>
      </c>
      <c r="AB2996" s="2282">
        <v>13</v>
      </c>
      <c r="AC2996" s="2282">
        <v>13</v>
      </c>
      <c r="AD2996" s="2857"/>
      <c r="AE2996" s="2857"/>
      <c r="AF2996" s="2857"/>
      <c r="AG2996" s="2857"/>
      <c r="AH2996" s="1942"/>
      <c r="AI2996" s="1942"/>
      <c r="AJ2996" s="1942"/>
      <c r="AK2996" s="1942"/>
      <c r="AL2996" s="1942"/>
      <c r="AM2996" s="1942"/>
      <c r="AN2996" s="1942"/>
      <c r="AO2996" s="1942"/>
      <c r="AP2996" s="1942"/>
      <c r="AQ2996" s="1942"/>
      <c r="AR2996" s="1942"/>
      <c r="AS2996" s="1942"/>
      <c r="AT2996" s="1942"/>
      <c r="AU2996" s="1942"/>
      <c r="AV2996" s="1942"/>
      <c r="AW2996" s="1942"/>
      <c r="AX2996" s="1942"/>
      <c r="AY2996" s="1942"/>
      <c r="AZ2996" s="1942"/>
      <c r="BA2996" s="1942"/>
      <c r="BB2996" s="575"/>
      <c r="BC2996" s="576"/>
      <c r="BD2996" s="678"/>
      <c r="BE2996" s="585"/>
    </row>
    <row r="2997" spans="1:57" s="51" customFormat="1" ht="15" hidden="1" customHeight="1" outlineLevel="1" x14ac:dyDescent="0.25">
      <c r="A2997" s="2060"/>
      <c r="B2997" s="123"/>
      <c r="C2997" s="328"/>
      <c r="D2997" s="3990"/>
      <c r="E2997" s="4009"/>
      <c r="F2997" s="3010" t="str">
        <f>$E$1555</f>
        <v>ASHP-SEER20-Replace_CAC_ElectricHeat_ROF_MF_CompE</v>
      </c>
      <c r="G2997" s="2676"/>
      <c r="H2997" s="2676"/>
      <c r="I2997" s="2677"/>
      <c r="J2997" s="3299" t="str">
        <f>$C$1555</f>
        <v>353501_2019_12_</v>
      </c>
      <c r="K2997" s="2282">
        <v>13</v>
      </c>
      <c r="L2997" s="851"/>
      <c r="M2997" s="2284" t="s">
        <v>1110</v>
      </c>
      <c r="N2997" s="123"/>
      <c r="O2997" s="228"/>
      <c r="P2997" s="844"/>
      <c r="Q2997" s="844"/>
      <c r="R2997" s="844"/>
      <c r="S2997" s="832"/>
      <c r="T2997" s="3082"/>
      <c r="U2997" s="123"/>
      <c r="V2997" s="3990"/>
      <c r="W2997" s="2857"/>
      <c r="X2997" s="2857"/>
      <c r="Y2997" s="3158">
        <v>13</v>
      </c>
      <c r="Z2997" s="696">
        <v>13</v>
      </c>
      <c r="AA2997" s="696">
        <v>13</v>
      </c>
      <c r="AB2997" s="2282">
        <v>13</v>
      </c>
      <c r="AC2997" s="2282">
        <v>13</v>
      </c>
      <c r="AD2997" s="2857"/>
      <c r="AE2997" s="2857"/>
      <c r="AF2997" s="2857"/>
      <c r="AG2997" s="2857"/>
      <c r="AH2997" s="1942"/>
      <c r="AI2997" s="1942"/>
      <c r="AJ2997" s="1942"/>
      <c r="AK2997" s="1942"/>
      <c r="AL2997" s="1942"/>
      <c r="AM2997" s="1942"/>
      <c r="AN2997" s="1942"/>
      <c r="AO2997" s="1942"/>
      <c r="AP2997" s="1942"/>
      <c r="AQ2997" s="1942"/>
      <c r="AR2997" s="1942"/>
      <c r="AS2997" s="1942"/>
      <c r="AT2997" s="1942"/>
      <c r="AU2997" s="1942"/>
      <c r="AV2997" s="1942"/>
      <c r="AW2997" s="1942"/>
      <c r="AX2997" s="1942"/>
      <c r="AY2997" s="1942"/>
      <c r="AZ2997" s="1942"/>
      <c r="BA2997" s="1942"/>
      <c r="BB2997" s="575"/>
      <c r="BC2997" s="576"/>
      <c r="BD2997" s="678"/>
      <c r="BE2997" s="585"/>
    </row>
    <row r="2998" spans="1:57" s="1942" customFormat="1" ht="15" hidden="1" customHeight="1" outlineLevel="1" x14ac:dyDescent="0.25">
      <c r="A2998" s="2060"/>
      <c r="B2998" s="123"/>
      <c r="C2998" s="328"/>
      <c r="D2998" s="3990"/>
      <c r="E2998" s="4009"/>
      <c r="F2998" s="3010" t="str">
        <f>$E$1557</f>
        <v>ASHP-SEER20-Replace_CAC_NonElectricHeat_ROF_MF</v>
      </c>
      <c r="G2998" s="2676"/>
      <c r="H2998" s="2676"/>
      <c r="I2998" s="2677"/>
      <c r="J2998" s="3298" t="str">
        <f>$C$1557</f>
        <v>353510_2021_12_</v>
      </c>
      <c r="K2998" s="2228">
        <v>13</v>
      </c>
      <c r="L2998" s="851"/>
      <c r="M2998" s="2817" t="s">
        <v>1110</v>
      </c>
      <c r="N2998" s="123"/>
      <c r="O2998" s="228"/>
      <c r="P2998" s="844"/>
      <c r="Q2998" s="844"/>
      <c r="R2998" s="844"/>
      <c r="S2998" s="832"/>
      <c r="T2998" s="3082"/>
      <c r="U2998" s="123"/>
      <c r="V2998" s="3990"/>
      <c r="W2998" s="2857"/>
      <c r="X2998" s="2857"/>
      <c r="Y2998" s="3158"/>
      <c r="Z2998" s="696"/>
      <c r="AA2998" s="696"/>
      <c r="AB2998" s="2282"/>
      <c r="AC2998" s="2228">
        <v>13</v>
      </c>
      <c r="AD2998" s="2857"/>
      <c r="AE2998" s="2857"/>
      <c r="AF2998" s="2857"/>
      <c r="AG2998" s="2857"/>
      <c r="BB2998" s="575"/>
      <c r="BC2998" s="576"/>
      <c r="BD2998" s="678"/>
      <c r="BE2998" s="585"/>
    </row>
    <row r="2999" spans="1:57" s="1942" customFormat="1" ht="15" hidden="1" customHeight="1" outlineLevel="1" x14ac:dyDescent="0.25">
      <c r="A2999" s="2060"/>
      <c r="B2999" s="123"/>
      <c r="C2999" s="328"/>
      <c r="D2999" s="3990"/>
      <c r="E2999" s="4009"/>
      <c r="F2999" s="3010" t="str">
        <f>$E$1559</f>
        <v>ASHP-SEER20-Replace_CAC_NonElectricHeat_ROF_MF_CompE</v>
      </c>
      <c r="G2999" s="2676"/>
      <c r="H2999" s="2676"/>
      <c r="I2999" s="2677"/>
      <c r="J2999" s="3298" t="str">
        <f>$C$1559</f>
        <v>353511_2021_12_</v>
      </c>
      <c r="K2999" s="2228">
        <v>13</v>
      </c>
      <c r="L2999" s="851"/>
      <c r="M2999" s="2817" t="s">
        <v>1110</v>
      </c>
      <c r="N2999" s="123"/>
      <c r="O2999" s="228"/>
      <c r="P2999" s="844"/>
      <c r="Q2999" s="844"/>
      <c r="R2999" s="844"/>
      <c r="S2999" s="832"/>
      <c r="T2999" s="3082"/>
      <c r="U2999" s="123"/>
      <c r="V2999" s="3990"/>
      <c r="W2999" s="2857"/>
      <c r="X2999" s="2857"/>
      <c r="Y2999" s="3158"/>
      <c r="Z2999" s="696"/>
      <c r="AA2999" s="696"/>
      <c r="AB2999" s="2282"/>
      <c r="AC2999" s="2228">
        <v>13</v>
      </c>
      <c r="AD2999" s="2857"/>
      <c r="AE2999" s="2857"/>
      <c r="AF2999" s="2857"/>
      <c r="AG2999" s="2857"/>
      <c r="BB2999" s="575"/>
      <c r="BC2999" s="576"/>
      <c r="BD2999" s="678"/>
      <c r="BE2999" s="585"/>
    </row>
    <row r="3000" spans="1:57" s="51" customFormat="1" ht="15" hidden="1" customHeight="1" outlineLevel="1" x14ac:dyDescent="0.25">
      <c r="A3000" s="2060"/>
      <c r="B3000" s="123"/>
      <c r="C3000" s="328"/>
      <c r="D3000" s="3990"/>
      <c r="E3000" s="4009"/>
      <c r="F3000" s="3010" t="str">
        <f>$E$1561</f>
        <v>ASHP-SEER21-Replace_CAC_ElectricHeat_ER1_SF</v>
      </c>
      <c r="G3000" s="2676"/>
      <c r="H3000" s="2676"/>
      <c r="I3000" s="2677"/>
      <c r="J3000" s="3298" t="str">
        <f>$C$1561</f>
        <v>353550_2021_12_</v>
      </c>
      <c r="K3000" s="2228">
        <v>8.4603597630441261</v>
      </c>
      <c r="L3000" s="851"/>
      <c r="M3000" s="2817" t="s">
        <v>1563</v>
      </c>
      <c r="N3000" s="123"/>
      <c r="O3000" s="228"/>
      <c r="P3000" s="844"/>
      <c r="Q3000" s="845"/>
      <c r="R3000" s="844"/>
      <c r="S3000" s="832"/>
      <c r="T3000" s="3082"/>
      <c r="U3000" s="123"/>
      <c r="V3000" s="3990"/>
      <c r="W3000" s="2857">
        <v>6.8</v>
      </c>
      <c r="X3000" s="3155">
        <v>8.33</v>
      </c>
      <c r="Y3000" s="696">
        <v>8.33</v>
      </c>
      <c r="Z3000" s="696">
        <v>8.33</v>
      </c>
      <c r="AA3000" s="696">
        <v>8.33</v>
      </c>
      <c r="AB3000" s="2282">
        <v>8.33</v>
      </c>
      <c r="AC3000" s="2228">
        <v>8.4603597630441261</v>
      </c>
      <c r="AD3000" s="2857"/>
      <c r="AE3000" s="2857"/>
      <c r="AF3000" s="2857"/>
      <c r="AG3000" s="2857"/>
      <c r="AH3000" s="1942"/>
      <c r="AI3000" s="1942"/>
      <c r="AJ3000" s="1942"/>
      <c r="AK3000" s="1942"/>
      <c r="AL3000" s="1942"/>
      <c r="AM3000" s="1942"/>
      <c r="AN3000" s="1942"/>
      <c r="AO3000" s="1942"/>
      <c r="AP3000" s="1942"/>
      <c r="AQ3000" s="1942"/>
      <c r="AR3000" s="1942"/>
      <c r="AS3000" s="1942"/>
      <c r="AT3000" s="1942"/>
      <c r="AU3000" s="1942"/>
      <c r="AV3000" s="1942"/>
      <c r="AW3000" s="1942"/>
      <c r="AX3000" s="1942"/>
      <c r="AY3000" s="1942"/>
      <c r="AZ3000" s="1942"/>
      <c r="BA3000" s="1942"/>
      <c r="BB3000" s="575"/>
      <c r="BC3000" s="576"/>
      <c r="BD3000" s="678"/>
      <c r="BE3000" s="585"/>
    </row>
    <row r="3001" spans="1:57" s="51" customFormat="1" ht="15" hidden="1" customHeight="1" outlineLevel="1" x14ac:dyDescent="0.25">
      <c r="A3001" s="2060"/>
      <c r="B3001" s="123"/>
      <c r="C3001" s="328"/>
      <c r="D3001" s="3990"/>
      <c r="E3001" s="4009"/>
      <c r="F3001" s="3010" t="str">
        <f>$E$1563</f>
        <v>ASHP-SEER21-Replace_CAC_ElectricHeat_ER2_SF</v>
      </c>
      <c r="G3001" s="2676"/>
      <c r="H3001" s="2676"/>
      <c r="I3001" s="2677"/>
      <c r="J3001" s="3298" t="str">
        <f>$C$1563</f>
        <v>353550_2021_12_</v>
      </c>
      <c r="K3001" s="2282">
        <v>13</v>
      </c>
      <c r="L3001" s="851"/>
      <c r="M3001" s="2284" t="s">
        <v>1110</v>
      </c>
      <c r="N3001" s="123"/>
      <c r="O3001" s="228"/>
      <c r="P3001" s="844"/>
      <c r="Q3001" s="845"/>
      <c r="R3001" s="844"/>
      <c r="S3001" s="832"/>
      <c r="T3001" s="3082"/>
      <c r="U3001" s="123"/>
      <c r="V3001" s="3990"/>
      <c r="W3001" s="2857">
        <v>13</v>
      </c>
      <c r="X3001" s="2857">
        <v>13</v>
      </c>
      <c r="Y3001" s="696">
        <v>13</v>
      </c>
      <c r="Z3001" s="696">
        <v>13</v>
      </c>
      <c r="AA3001" s="696">
        <v>13</v>
      </c>
      <c r="AB3001" s="2282">
        <v>13</v>
      </c>
      <c r="AC3001" s="2282">
        <v>13</v>
      </c>
      <c r="AD3001" s="2857"/>
      <c r="AE3001" s="2857"/>
      <c r="AF3001" s="2857"/>
      <c r="AG3001" s="2857"/>
      <c r="AH3001" s="1942"/>
      <c r="AI3001" s="1942"/>
      <c r="AJ3001" s="1942"/>
      <c r="AK3001" s="1942"/>
      <c r="AL3001" s="1942"/>
      <c r="AM3001" s="1942"/>
      <c r="AN3001" s="1942"/>
      <c r="AO3001" s="1942"/>
      <c r="AP3001" s="1942"/>
      <c r="AQ3001" s="1942"/>
      <c r="AR3001" s="1942"/>
      <c r="AS3001" s="1942"/>
      <c r="AT3001" s="1942"/>
      <c r="AU3001" s="1942"/>
      <c r="AV3001" s="1942"/>
      <c r="AW3001" s="1942"/>
      <c r="AX3001" s="1942"/>
      <c r="AY3001" s="1942"/>
      <c r="AZ3001" s="1942"/>
      <c r="BA3001" s="1942"/>
      <c r="BB3001" s="575"/>
      <c r="BC3001" s="576"/>
      <c r="BD3001" s="678"/>
      <c r="BE3001" s="585"/>
    </row>
    <row r="3002" spans="1:57" s="1942" customFormat="1" ht="15" hidden="1" customHeight="1" outlineLevel="1" x14ac:dyDescent="0.25">
      <c r="A3002" s="2060"/>
      <c r="B3002" s="123"/>
      <c r="C3002" s="328"/>
      <c r="D3002" s="3990"/>
      <c r="E3002" s="4009"/>
      <c r="F3002" s="3010" t="str">
        <f>$E$1565</f>
        <v>ASHP-SEER21-Replace_CAC_NonElectricHeat_ER1_SF</v>
      </c>
      <c r="G3002" s="2676"/>
      <c r="H3002" s="2676"/>
      <c r="I3002" s="2677"/>
      <c r="J3002" s="3298" t="str">
        <f>$C$1565</f>
        <v>353560_2021_12_</v>
      </c>
      <c r="K3002" s="2228">
        <v>8.4603597630441261</v>
      </c>
      <c r="L3002" s="851"/>
      <c r="M3002" s="2817" t="s">
        <v>1125</v>
      </c>
      <c r="N3002" s="123"/>
      <c r="O3002" s="228"/>
      <c r="P3002" s="844"/>
      <c r="Q3002" s="845"/>
      <c r="R3002" s="844"/>
      <c r="S3002" s="832"/>
      <c r="T3002" s="3082"/>
      <c r="U3002" s="123"/>
      <c r="V3002" s="3990"/>
      <c r="W3002" s="2857"/>
      <c r="X3002" s="2857"/>
      <c r="Y3002" s="696"/>
      <c r="Z3002" s="696"/>
      <c r="AA3002" s="696"/>
      <c r="AB3002" s="2282"/>
      <c r="AC3002" s="2228">
        <v>8.4603597630441261</v>
      </c>
      <c r="AD3002" s="2857"/>
      <c r="AE3002" s="2857"/>
      <c r="AF3002" s="2857"/>
      <c r="AG3002" s="2857"/>
      <c r="BB3002" s="575"/>
      <c r="BC3002" s="576"/>
      <c r="BD3002" s="678"/>
      <c r="BE3002" s="585"/>
    </row>
    <row r="3003" spans="1:57" s="1942" customFormat="1" ht="15" hidden="1" customHeight="1" outlineLevel="1" x14ac:dyDescent="0.25">
      <c r="A3003" s="2060"/>
      <c r="B3003" s="123"/>
      <c r="C3003" s="328"/>
      <c r="D3003" s="3990"/>
      <c r="E3003" s="4009"/>
      <c r="F3003" s="3010" t="str">
        <f>$E$1567</f>
        <v>ASHP-SEER21-Replace_CAC_NonElectricHeat_ER2_SF</v>
      </c>
      <c r="G3003" s="2676"/>
      <c r="H3003" s="2676"/>
      <c r="I3003" s="2677"/>
      <c r="J3003" s="3298" t="str">
        <f>$C$1567</f>
        <v>353560_2021_12_</v>
      </c>
      <c r="K3003" s="2228">
        <v>13</v>
      </c>
      <c r="L3003" s="851"/>
      <c r="M3003" s="2817" t="s">
        <v>1110</v>
      </c>
      <c r="N3003" s="123"/>
      <c r="O3003" s="228"/>
      <c r="P3003" s="844"/>
      <c r="Q3003" s="845"/>
      <c r="R3003" s="844"/>
      <c r="S3003" s="832"/>
      <c r="T3003" s="3082"/>
      <c r="U3003" s="123"/>
      <c r="V3003" s="3990"/>
      <c r="W3003" s="2857"/>
      <c r="X3003" s="2857"/>
      <c r="Y3003" s="696"/>
      <c r="Z3003" s="696"/>
      <c r="AA3003" s="696"/>
      <c r="AB3003" s="2282"/>
      <c r="AC3003" s="2228">
        <v>13</v>
      </c>
      <c r="AD3003" s="2857"/>
      <c r="AE3003" s="2857"/>
      <c r="AF3003" s="2857"/>
      <c r="AG3003" s="2857"/>
      <c r="BB3003" s="575"/>
      <c r="BC3003" s="576"/>
      <c r="BD3003" s="678"/>
      <c r="BE3003" s="585"/>
    </row>
    <row r="3004" spans="1:57" s="51" customFormat="1" ht="15" hidden="1" customHeight="1" outlineLevel="1" x14ac:dyDescent="0.25">
      <c r="A3004" s="2060"/>
      <c r="B3004" s="123"/>
      <c r="C3004" s="328"/>
      <c r="D3004" s="3990"/>
      <c r="E3004" s="4009"/>
      <c r="F3004" s="3010" t="str">
        <f>$E$1569</f>
        <v>ASHP-SEER21-Replace_CAC_ElectricHeat_ER1_MF</v>
      </c>
      <c r="G3004" s="2676"/>
      <c r="H3004" s="2676"/>
      <c r="I3004" s="2677"/>
      <c r="J3004" s="3299" t="str">
        <f>$C$1569</f>
        <v>353600_2019_12_</v>
      </c>
      <c r="K3004" s="2282">
        <v>8.33</v>
      </c>
      <c r="L3004" s="851"/>
      <c r="M3004" s="2284" t="s">
        <v>1110</v>
      </c>
      <c r="N3004" s="123"/>
      <c r="O3004" s="228"/>
      <c r="P3004" s="844"/>
      <c r="Q3004" s="845"/>
      <c r="R3004" s="844"/>
      <c r="S3004" s="832"/>
      <c r="T3004" s="3082"/>
      <c r="U3004" s="123"/>
      <c r="V3004" s="3990"/>
      <c r="W3004" s="2857">
        <v>6.8</v>
      </c>
      <c r="X3004" s="3155">
        <v>8.33</v>
      </c>
      <c r="Y3004" s="696">
        <v>8.33</v>
      </c>
      <c r="Z3004" s="696">
        <v>8.33</v>
      </c>
      <c r="AA3004" s="696">
        <v>8.33</v>
      </c>
      <c r="AB3004" s="2282">
        <v>8.33</v>
      </c>
      <c r="AC3004" s="2282">
        <v>8.33</v>
      </c>
      <c r="AD3004" s="2857"/>
      <c r="AE3004" s="2857"/>
      <c r="AF3004" s="2857"/>
      <c r="AG3004" s="2857"/>
      <c r="AH3004" s="1942"/>
      <c r="AI3004" s="1942"/>
      <c r="AJ3004" s="1942"/>
      <c r="AK3004" s="1942"/>
      <c r="AL3004" s="1942"/>
      <c r="AM3004" s="1942"/>
      <c r="AN3004" s="1942"/>
      <c r="AO3004" s="1942"/>
      <c r="AP3004" s="1942"/>
      <c r="AQ3004" s="1942"/>
      <c r="AR3004" s="1942"/>
      <c r="AS3004" s="1942"/>
      <c r="AT3004" s="1942"/>
      <c r="AU3004" s="1942"/>
      <c r="AV3004" s="1942"/>
      <c r="AW3004" s="1942"/>
      <c r="AX3004" s="1942"/>
      <c r="AY3004" s="1942"/>
      <c r="AZ3004" s="1942"/>
      <c r="BA3004" s="1942"/>
      <c r="BB3004" s="575"/>
      <c r="BC3004" s="576"/>
      <c r="BD3004" s="678"/>
      <c r="BE3004" s="585"/>
    </row>
    <row r="3005" spans="1:57" s="51" customFormat="1" ht="15" hidden="1" customHeight="1" outlineLevel="1" x14ac:dyDescent="0.25">
      <c r="A3005" s="2060"/>
      <c r="B3005" s="123"/>
      <c r="C3005" s="328"/>
      <c r="D3005" s="3990"/>
      <c r="E3005" s="4009"/>
      <c r="F3005" s="3010" t="str">
        <f>$E$1571</f>
        <v>ASHP-SEER21-Replace_CAC_ElectricHeat_ER2_MF</v>
      </c>
      <c r="G3005" s="2676"/>
      <c r="H3005" s="2676"/>
      <c r="I3005" s="2677"/>
      <c r="J3005" s="3299" t="str">
        <f>$C$1571</f>
        <v>353600_2019_12_</v>
      </c>
      <c r="K3005" s="2282">
        <v>13</v>
      </c>
      <c r="L3005" s="851"/>
      <c r="M3005" s="2284" t="s">
        <v>1110</v>
      </c>
      <c r="N3005" s="123"/>
      <c r="O3005" s="228"/>
      <c r="P3005" s="844"/>
      <c r="Q3005" s="845"/>
      <c r="R3005" s="844"/>
      <c r="S3005" s="832"/>
      <c r="T3005" s="3082"/>
      <c r="U3005" s="123"/>
      <c r="V3005" s="3990"/>
      <c r="W3005" s="2857">
        <v>13</v>
      </c>
      <c r="X3005" s="2857">
        <v>13</v>
      </c>
      <c r="Y3005" s="696">
        <v>13</v>
      </c>
      <c r="Z3005" s="696">
        <v>13</v>
      </c>
      <c r="AA3005" s="696">
        <v>13</v>
      </c>
      <c r="AB3005" s="2282">
        <v>13</v>
      </c>
      <c r="AC3005" s="2282">
        <v>13</v>
      </c>
      <c r="AD3005" s="2857"/>
      <c r="AE3005" s="2857"/>
      <c r="AF3005" s="2857"/>
      <c r="AG3005" s="2857"/>
      <c r="AH3005" s="1942"/>
      <c r="AI3005" s="1942"/>
      <c r="AJ3005" s="1942"/>
      <c r="AK3005" s="1942"/>
      <c r="AL3005" s="1942"/>
      <c r="AM3005" s="1942"/>
      <c r="AN3005" s="1942"/>
      <c r="AO3005" s="1942"/>
      <c r="AP3005" s="1942"/>
      <c r="AQ3005" s="1942"/>
      <c r="AR3005" s="1942"/>
      <c r="AS3005" s="1942"/>
      <c r="AT3005" s="1942"/>
      <c r="AU3005" s="1942"/>
      <c r="AV3005" s="1942"/>
      <c r="AW3005" s="1942"/>
      <c r="AX3005" s="1942"/>
      <c r="AY3005" s="1942"/>
      <c r="AZ3005" s="1942"/>
      <c r="BA3005" s="1942"/>
      <c r="BB3005" s="575"/>
      <c r="BC3005" s="576"/>
      <c r="BD3005" s="678"/>
      <c r="BE3005" s="585"/>
    </row>
    <row r="3006" spans="1:57" s="51" customFormat="1" ht="15" hidden="1" customHeight="1" outlineLevel="1" x14ac:dyDescent="0.25">
      <c r="A3006" s="2060"/>
      <c r="B3006" s="123"/>
      <c r="C3006" s="328"/>
      <c r="D3006" s="3990"/>
      <c r="E3006" s="4009"/>
      <c r="F3006" s="3010" t="str">
        <f>$E$1573</f>
        <v>ASHP-SEER21-Replace_CAC_ElectricHeat_ER1_MF_CompE</v>
      </c>
      <c r="G3006" s="2676"/>
      <c r="H3006" s="2676"/>
      <c r="I3006" s="2677"/>
      <c r="J3006" s="3299" t="str">
        <f>$C$1573</f>
        <v>353601_2019_12_</v>
      </c>
      <c r="K3006" s="2282">
        <v>8.33</v>
      </c>
      <c r="L3006" s="851"/>
      <c r="M3006" s="2284" t="s">
        <v>1110</v>
      </c>
      <c r="N3006" s="123"/>
      <c r="O3006" s="228"/>
      <c r="P3006" s="844"/>
      <c r="Q3006" s="845"/>
      <c r="R3006" s="844"/>
      <c r="S3006" s="832"/>
      <c r="T3006" s="3082"/>
      <c r="U3006" s="123"/>
      <c r="V3006" s="3990"/>
      <c r="W3006" s="2857"/>
      <c r="X3006" s="2857"/>
      <c r="Y3006" s="3158">
        <v>8.33</v>
      </c>
      <c r="Z3006" s="696">
        <v>8.33</v>
      </c>
      <c r="AA3006" s="696">
        <v>8.33</v>
      </c>
      <c r="AB3006" s="2282">
        <v>8.33</v>
      </c>
      <c r="AC3006" s="2282">
        <v>8.33</v>
      </c>
      <c r="AD3006" s="2857"/>
      <c r="AE3006" s="2857"/>
      <c r="AF3006" s="2857"/>
      <c r="AG3006" s="2857"/>
      <c r="AH3006" s="1942"/>
      <c r="AI3006" s="1942"/>
      <c r="AJ3006" s="1942"/>
      <c r="AK3006" s="1942"/>
      <c r="AL3006" s="1942"/>
      <c r="AM3006" s="1942"/>
      <c r="AN3006" s="1942"/>
      <c r="AO3006" s="1942"/>
      <c r="AP3006" s="1942"/>
      <c r="AQ3006" s="1942"/>
      <c r="AR3006" s="1942"/>
      <c r="AS3006" s="1942"/>
      <c r="AT3006" s="1942"/>
      <c r="AU3006" s="1942"/>
      <c r="AV3006" s="1942"/>
      <c r="AW3006" s="1942"/>
      <c r="AX3006" s="1942"/>
      <c r="AY3006" s="1942"/>
      <c r="AZ3006" s="1942"/>
      <c r="BA3006" s="1942"/>
      <c r="BB3006" s="575"/>
      <c r="BC3006" s="576"/>
      <c r="BD3006" s="678"/>
      <c r="BE3006" s="585"/>
    </row>
    <row r="3007" spans="1:57" s="51" customFormat="1" ht="15" hidden="1" customHeight="1" outlineLevel="1" x14ac:dyDescent="0.25">
      <c r="A3007" s="2060"/>
      <c r="B3007" s="123"/>
      <c r="C3007" s="328"/>
      <c r="D3007" s="3990"/>
      <c r="E3007" s="4009"/>
      <c r="F3007" s="3010" t="str">
        <f>$E$1575</f>
        <v>ASHP-SEER21-Replace_CAC_ElectricHeat_ER2_MF_CompE</v>
      </c>
      <c r="G3007" s="2676"/>
      <c r="H3007" s="2676"/>
      <c r="I3007" s="2677"/>
      <c r="J3007" s="3299" t="str">
        <f>$C$1575</f>
        <v>353601_2019_12_</v>
      </c>
      <c r="K3007" s="2282">
        <v>13</v>
      </c>
      <c r="L3007" s="851"/>
      <c r="M3007" s="2284" t="s">
        <v>1110</v>
      </c>
      <c r="N3007" s="123"/>
      <c r="O3007" s="228"/>
      <c r="P3007" s="844"/>
      <c r="Q3007" s="845"/>
      <c r="R3007" s="844"/>
      <c r="S3007" s="832"/>
      <c r="T3007" s="3082"/>
      <c r="U3007" s="123"/>
      <c r="V3007" s="3990"/>
      <c r="W3007" s="2857"/>
      <c r="X3007" s="2857"/>
      <c r="Y3007" s="3158">
        <v>13</v>
      </c>
      <c r="Z3007" s="696">
        <v>13</v>
      </c>
      <c r="AA3007" s="696">
        <v>13</v>
      </c>
      <c r="AB3007" s="2282">
        <v>13</v>
      </c>
      <c r="AC3007" s="2282">
        <v>13</v>
      </c>
      <c r="AD3007" s="2857"/>
      <c r="AE3007" s="2857"/>
      <c r="AF3007" s="2857"/>
      <c r="AG3007" s="2857"/>
      <c r="AH3007" s="1942"/>
      <c r="AI3007" s="1942"/>
      <c r="AJ3007" s="1942"/>
      <c r="AK3007" s="1942"/>
      <c r="AL3007" s="1942"/>
      <c r="AM3007" s="1942"/>
      <c r="AN3007" s="1942"/>
      <c r="AO3007" s="1942"/>
      <c r="AP3007" s="1942"/>
      <c r="AQ3007" s="1942"/>
      <c r="AR3007" s="1942"/>
      <c r="AS3007" s="1942"/>
      <c r="AT3007" s="1942"/>
      <c r="AU3007" s="1942"/>
      <c r="AV3007" s="1942"/>
      <c r="AW3007" s="1942"/>
      <c r="AX3007" s="1942"/>
      <c r="AY3007" s="1942"/>
      <c r="AZ3007" s="1942"/>
      <c r="BA3007" s="1942"/>
      <c r="BB3007" s="575"/>
      <c r="BC3007" s="576"/>
      <c r="BD3007" s="678"/>
      <c r="BE3007" s="585"/>
    </row>
    <row r="3008" spans="1:57" s="1942" customFormat="1" ht="15" hidden="1" customHeight="1" outlineLevel="1" x14ac:dyDescent="0.25">
      <c r="A3008" s="2060"/>
      <c r="B3008" s="123"/>
      <c r="C3008" s="328"/>
      <c r="D3008" s="3990"/>
      <c r="E3008" s="4009"/>
      <c r="F3008" s="3010" t="str">
        <f>$E$1577</f>
        <v>ASHP-SEER21-Replace_CAC_NonElectricHeat_ER1_MF</v>
      </c>
      <c r="G3008" s="2676"/>
      <c r="H3008" s="2676"/>
      <c r="I3008" s="2677"/>
      <c r="J3008" s="3298" t="str">
        <f>$C$1577</f>
        <v>353610_2021_12_</v>
      </c>
      <c r="K3008" s="2228">
        <v>8.33</v>
      </c>
      <c r="L3008" s="851"/>
      <c r="M3008" s="2817" t="s">
        <v>1125</v>
      </c>
      <c r="N3008" s="123"/>
      <c r="O3008" s="228"/>
      <c r="P3008" s="844"/>
      <c r="Q3008" s="845"/>
      <c r="R3008" s="844"/>
      <c r="S3008" s="832"/>
      <c r="T3008" s="3082"/>
      <c r="U3008" s="123"/>
      <c r="V3008" s="3990"/>
      <c r="W3008" s="2857"/>
      <c r="X3008" s="2857"/>
      <c r="Y3008" s="3158"/>
      <c r="Z3008" s="696"/>
      <c r="AA3008" s="696"/>
      <c r="AB3008" s="2282"/>
      <c r="AC3008" s="2228">
        <v>8.33</v>
      </c>
      <c r="AD3008" s="2857"/>
      <c r="AE3008" s="2857"/>
      <c r="AF3008" s="2857"/>
      <c r="AG3008" s="2857"/>
      <c r="BB3008" s="575"/>
      <c r="BC3008" s="576"/>
      <c r="BD3008" s="678"/>
      <c r="BE3008" s="585"/>
    </row>
    <row r="3009" spans="1:57" s="1942" customFormat="1" ht="15" hidden="1" customHeight="1" outlineLevel="1" x14ac:dyDescent="0.25">
      <c r="A3009" s="2060"/>
      <c r="B3009" s="123"/>
      <c r="C3009" s="328"/>
      <c r="D3009" s="3990"/>
      <c r="E3009" s="4009"/>
      <c r="F3009" s="3010" t="str">
        <f>$E$1579</f>
        <v>ASHP-SEER21-Replace_CAC_NonElectricHeat_ER2_MF</v>
      </c>
      <c r="G3009" s="2676"/>
      <c r="H3009" s="2676"/>
      <c r="I3009" s="2677"/>
      <c r="J3009" s="3298" t="str">
        <f>$C$1579</f>
        <v>353610_2021_12_</v>
      </c>
      <c r="K3009" s="2228">
        <v>13</v>
      </c>
      <c r="L3009" s="851"/>
      <c r="M3009" s="2817" t="s">
        <v>1110</v>
      </c>
      <c r="N3009" s="123"/>
      <c r="O3009" s="228"/>
      <c r="P3009" s="844"/>
      <c r="Q3009" s="845"/>
      <c r="R3009" s="844"/>
      <c r="S3009" s="832"/>
      <c r="T3009" s="3082"/>
      <c r="U3009" s="123"/>
      <c r="V3009" s="3990"/>
      <c r="W3009" s="2857"/>
      <c r="X3009" s="2857"/>
      <c r="Y3009" s="3158"/>
      <c r="Z3009" s="696"/>
      <c r="AA3009" s="696"/>
      <c r="AB3009" s="2282"/>
      <c r="AC3009" s="2228">
        <v>13</v>
      </c>
      <c r="AD3009" s="2857"/>
      <c r="AE3009" s="2857"/>
      <c r="AF3009" s="2857"/>
      <c r="AG3009" s="2857"/>
      <c r="BB3009" s="575"/>
      <c r="BC3009" s="576"/>
      <c r="BD3009" s="678"/>
      <c r="BE3009" s="585"/>
    </row>
    <row r="3010" spans="1:57" s="1942" customFormat="1" ht="15" hidden="1" customHeight="1" outlineLevel="1" x14ac:dyDescent="0.25">
      <c r="A3010" s="2060"/>
      <c r="B3010" s="123"/>
      <c r="C3010" s="328"/>
      <c r="D3010" s="3990"/>
      <c r="E3010" s="4009"/>
      <c r="F3010" s="3010" t="str">
        <f>$E$1581</f>
        <v>ASHP-SEER21-Replace_CAC_NonElectricHeat_ER1_MF_CompE</v>
      </c>
      <c r="G3010" s="2676"/>
      <c r="H3010" s="2676"/>
      <c r="I3010" s="2677"/>
      <c r="J3010" s="3298" t="str">
        <f>$C$1581</f>
        <v>353611_2021_12_</v>
      </c>
      <c r="K3010" s="2228">
        <v>8.33</v>
      </c>
      <c r="L3010" s="851"/>
      <c r="M3010" s="2817" t="s">
        <v>1125</v>
      </c>
      <c r="N3010" s="123"/>
      <c r="O3010" s="228"/>
      <c r="P3010" s="844"/>
      <c r="Q3010" s="845"/>
      <c r="R3010" s="844"/>
      <c r="S3010" s="832"/>
      <c r="T3010" s="3082"/>
      <c r="U3010" s="123"/>
      <c r="V3010" s="3990"/>
      <c r="W3010" s="2857"/>
      <c r="X3010" s="2857"/>
      <c r="Y3010" s="3158"/>
      <c r="Z3010" s="696"/>
      <c r="AA3010" s="696"/>
      <c r="AB3010" s="2282"/>
      <c r="AC3010" s="2228">
        <v>8.33</v>
      </c>
      <c r="AD3010" s="2857"/>
      <c r="AE3010" s="2857"/>
      <c r="AF3010" s="2857"/>
      <c r="AG3010" s="2857"/>
      <c r="BB3010" s="575"/>
      <c r="BC3010" s="576"/>
      <c r="BD3010" s="678"/>
      <c r="BE3010" s="585"/>
    </row>
    <row r="3011" spans="1:57" s="1942" customFormat="1" ht="15" hidden="1" customHeight="1" outlineLevel="1" x14ac:dyDescent="0.25">
      <c r="A3011" s="2060"/>
      <c r="B3011" s="123"/>
      <c r="C3011" s="328"/>
      <c r="D3011" s="3990"/>
      <c r="E3011" s="4009"/>
      <c r="F3011" s="3010" t="str">
        <f>$E$1583</f>
        <v>ASHP-SEER21-Replace_CAC_NonElectricHeat_ER2_MF_CompE</v>
      </c>
      <c r="G3011" s="2676"/>
      <c r="H3011" s="2676"/>
      <c r="I3011" s="2677"/>
      <c r="J3011" s="3298" t="str">
        <f>$C$1583</f>
        <v>353611_2021_12_</v>
      </c>
      <c r="K3011" s="2228">
        <v>13</v>
      </c>
      <c r="L3011" s="851"/>
      <c r="M3011" s="2817" t="s">
        <v>1110</v>
      </c>
      <c r="N3011" s="123"/>
      <c r="O3011" s="228"/>
      <c r="P3011" s="844"/>
      <c r="Q3011" s="845"/>
      <c r="R3011" s="844"/>
      <c r="S3011" s="832"/>
      <c r="T3011" s="3082"/>
      <c r="U3011" s="123"/>
      <c r="V3011" s="3990"/>
      <c r="W3011" s="2857"/>
      <c r="X3011" s="2857"/>
      <c r="Y3011" s="3158"/>
      <c r="Z3011" s="696"/>
      <c r="AA3011" s="696"/>
      <c r="AB3011" s="2282"/>
      <c r="AC3011" s="2228">
        <v>13</v>
      </c>
      <c r="AD3011" s="2857"/>
      <c r="AE3011" s="2857"/>
      <c r="AF3011" s="2857"/>
      <c r="AG3011" s="2857"/>
      <c r="BB3011" s="575"/>
      <c r="BC3011" s="576"/>
      <c r="BD3011" s="678"/>
      <c r="BE3011" s="585"/>
    </row>
    <row r="3012" spans="1:57" s="51" customFormat="1" ht="15" hidden="1" customHeight="1" outlineLevel="1" x14ac:dyDescent="0.25">
      <c r="A3012" s="2060"/>
      <c r="B3012" s="123"/>
      <c r="C3012" s="328"/>
      <c r="D3012" s="3990"/>
      <c r="E3012" s="4009"/>
      <c r="F3012" s="3010" t="str">
        <f>$E$1585</f>
        <v>ASHP-SEER21-Replace_CAC_ElectricHeat_ROF_SF</v>
      </c>
      <c r="G3012" s="2676"/>
      <c r="H3012" s="2676"/>
      <c r="I3012" s="2677"/>
      <c r="J3012" s="3298" t="str">
        <f>$C$1585</f>
        <v>353650_2021_12_</v>
      </c>
      <c r="K3012" s="2282">
        <v>13</v>
      </c>
      <c r="L3012" s="851"/>
      <c r="M3012" s="2284" t="s">
        <v>1110</v>
      </c>
      <c r="N3012" s="123"/>
      <c r="O3012" s="228"/>
      <c r="P3012" s="844"/>
      <c r="Q3012" s="845"/>
      <c r="R3012" s="844"/>
      <c r="S3012" s="832"/>
      <c r="T3012" s="3082"/>
      <c r="U3012" s="123"/>
      <c r="V3012" s="3990"/>
      <c r="W3012" s="2857">
        <v>13</v>
      </c>
      <c r="X3012" s="2857">
        <v>13</v>
      </c>
      <c r="Y3012" s="696">
        <v>13</v>
      </c>
      <c r="Z3012" s="696">
        <v>13</v>
      </c>
      <c r="AA3012" s="696">
        <v>13</v>
      </c>
      <c r="AB3012" s="2282">
        <v>13</v>
      </c>
      <c r="AC3012" s="2282">
        <v>13</v>
      </c>
      <c r="AD3012" s="2857"/>
      <c r="AE3012" s="2857"/>
      <c r="AF3012" s="2857"/>
      <c r="AG3012" s="2857"/>
      <c r="AH3012" s="1942"/>
      <c r="AI3012" s="1942"/>
      <c r="AJ3012" s="1942"/>
      <c r="AK3012" s="1942"/>
      <c r="AL3012" s="1942"/>
      <c r="AM3012" s="1942"/>
      <c r="AN3012" s="1942"/>
      <c r="AO3012" s="1942"/>
      <c r="AP3012" s="1942"/>
      <c r="AQ3012" s="1942"/>
      <c r="AR3012" s="1942"/>
      <c r="AS3012" s="1942"/>
      <c r="AT3012" s="1942"/>
      <c r="AU3012" s="1942"/>
      <c r="AV3012" s="1942"/>
      <c r="AW3012" s="1942"/>
      <c r="AX3012" s="1942"/>
      <c r="AY3012" s="1942"/>
      <c r="AZ3012" s="1942"/>
      <c r="BA3012" s="1942"/>
      <c r="BB3012" s="575"/>
      <c r="BC3012" s="576"/>
      <c r="BD3012" s="678"/>
      <c r="BE3012" s="585"/>
    </row>
    <row r="3013" spans="1:57" s="51" customFormat="1" ht="15" hidden="1" customHeight="1" outlineLevel="1" x14ac:dyDescent="0.25">
      <c r="A3013" s="2060"/>
      <c r="B3013" s="123"/>
      <c r="C3013" s="328"/>
      <c r="D3013" s="3990"/>
      <c r="E3013" s="4009"/>
      <c r="F3013" s="3010" t="str">
        <f>$E$1587</f>
        <v>ASHP-SEER21+-Replace_CAC_ElectricHeat_ROF_MF</v>
      </c>
      <c r="G3013" s="2676"/>
      <c r="H3013" s="2676"/>
      <c r="I3013" s="2677"/>
      <c r="J3013" s="3298" t="str">
        <f>$C$1587</f>
        <v>353700_2019_12_</v>
      </c>
      <c r="K3013" s="2282">
        <v>13</v>
      </c>
      <c r="L3013" s="851"/>
      <c r="M3013" s="2284" t="s">
        <v>1110</v>
      </c>
      <c r="N3013" s="123"/>
      <c r="O3013" s="228"/>
      <c r="P3013" s="844"/>
      <c r="Q3013" s="845"/>
      <c r="R3013" s="844"/>
      <c r="S3013" s="832"/>
      <c r="T3013" s="3082"/>
      <c r="U3013" s="123"/>
      <c r="V3013" s="3990"/>
      <c r="W3013" s="2857">
        <v>13</v>
      </c>
      <c r="X3013" s="2857">
        <v>13</v>
      </c>
      <c r="Y3013" s="696">
        <v>13</v>
      </c>
      <c r="Z3013" s="696">
        <v>13</v>
      </c>
      <c r="AA3013" s="696">
        <v>13</v>
      </c>
      <c r="AB3013" s="2282">
        <v>13</v>
      </c>
      <c r="AC3013" s="2282">
        <v>13</v>
      </c>
      <c r="AD3013" s="2857"/>
      <c r="AE3013" s="2857"/>
      <c r="AF3013" s="2857"/>
      <c r="AG3013" s="2857"/>
      <c r="AH3013" s="1942"/>
      <c r="AI3013" s="1942"/>
      <c r="AJ3013" s="1942"/>
      <c r="AK3013" s="1942"/>
      <c r="AL3013" s="1942"/>
      <c r="AM3013" s="1942"/>
      <c r="AN3013" s="1942"/>
      <c r="AO3013" s="1942"/>
      <c r="AP3013" s="1942"/>
      <c r="AQ3013" s="1942"/>
      <c r="AR3013" s="1942"/>
      <c r="AS3013" s="1942"/>
      <c r="AT3013" s="1942"/>
      <c r="AU3013" s="1942"/>
      <c r="AV3013" s="1942"/>
      <c r="AW3013" s="1942"/>
      <c r="AX3013" s="1942"/>
      <c r="AY3013" s="1942"/>
      <c r="AZ3013" s="1942"/>
      <c r="BA3013" s="1942"/>
      <c r="BB3013" s="575"/>
      <c r="BC3013" s="576"/>
      <c r="BD3013" s="678"/>
      <c r="BE3013" s="585"/>
    </row>
    <row r="3014" spans="1:57" s="51" customFormat="1" ht="15" hidden="1" customHeight="1" outlineLevel="1" x14ac:dyDescent="0.25">
      <c r="A3014" s="2060"/>
      <c r="B3014" s="123"/>
      <c r="C3014" s="328"/>
      <c r="D3014" s="3990"/>
      <c r="E3014" s="4009"/>
      <c r="F3014" s="3010" t="str">
        <f>$E$1589</f>
        <v>ASHP-SEER21+-Replace_CAC_ElectricHeat_ROF_MF_CompE</v>
      </c>
      <c r="G3014" s="2676"/>
      <c r="H3014" s="2676"/>
      <c r="I3014" s="2677"/>
      <c r="J3014" s="3298" t="str">
        <f>$C$1589</f>
        <v>353701_2019_12_</v>
      </c>
      <c r="K3014" s="2282">
        <v>13</v>
      </c>
      <c r="L3014" s="851"/>
      <c r="M3014" s="2284" t="s">
        <v>1110</v>
      </c>
      <c r="N3014" s="123"/>
      <c r="O3014" s="228"/>
      <c r="P3014" s="844"/>
      <c r="Q3014" s="845"/>
      <c r="R3014" s="844"/>
      <c r="S3014" s="832"/>
      <c r="T3014" s="3082"/>
      <c r="U3014" s="123"/>
      <c r="V3014" s="3990"/>
      <c r="W3014" s="2857"/>
      <c r="X3014" s="2857"/>
      <c r="Y3014" s="3158">
        <v>13</v>
      </c>
      <c r="Z3014" s="696">
        <v>13</v>
      </c>
      <c r="AA3014" s="696">
        <v>13</v>
      </c>
      <c r="AB3014" s="2282">
        <v>13</v>
      </c>
      <c r="AC3014" s="2282">
        <v>13</v>
      </c>
      <c r="AD3014" s="2857"/>
      <c r="AE3014" s="2857"/>
      <c r="AF3014" s="2857"/>
      <c r="AG3014" s="2857"/>
      <c r="AH3014" s="1942"/>
      <c r="AI3014" s="1942"/>
      <c r="AJ3014" s="1942"/>
      <c r="AK3014" s="1942"/>
      <c r="AL3014" s="1942"/>
      <c r="AM3014" s="1942"/>
      <c r="AN3014" s="1942"/>
      <c r="AO3014" s="1942"/>
      <c r="AP3014" s="1942"/>
      <c r="AQ3014" s="1942"/>
      <c r="AR3014" s="1942"/>
      <c r="AS3014" s="1942"/>
      <c r="AT3014" s="1942"/>
      <c r="AU3014" s="1942"/>
      <c r="AV3014" s="1942"/>
      <c r="AW3014" s="1942"/>
      <c r="AX3014" s="1942"/>
      <c r="AY3014" s="1942"/>
      <c r="AZ3014" s="1942"/>
      <c r="BA3014" s="1942"/>
      <c r="BB3014" s="575"/>
      <c r="BC3014" s="576"/>
      <c r="BD3014" s="678"/>
      <c r="BE3014" s="585"/>
    </row>
    <row r="3015" spans="1:57" s="1942" customFormat="1" ht="15" hidden="1" customHeight="1" outlineLevel="1" x14ac:dyDescent="0.25">
      <c r="A3015" s="2060"/>
      <c r="B3015" s="123"/>
      <c r="C3015" s="328"/>
      <c r="D3015" s="3990"/>
      <c r="E3015" s="4009"/>
      <c r="F3015" s="3010" t="str">
        <f>$E$1591</f>
        <v>ASHP-SEER21+-Replace_CAC_NonElectricHeat_ROF_MF</v>
      </c>
      <c r="G3015" s="2676"/>
      <c r="H3015" s="2676"/>
      <c r="I3015" s="2677"/>
      <c r="J3015" s="3298" t="str">
        <f>$C$1591</f>
        <v>353710_2021_12_</v>
      </c>
      <c r="K3015" s="2228">
        <v>13</v>
      </c>
      <c r="L3015" s="851"/>
      <c r="M3015" s="2817" t="s">
        <v>1110</v>
      </c>
      <c r="N3015" s="123"/>
      <c r="O3015" s="228"/>
      <c r="P3015" s="844"/>
      <c r="Q3015" s="845"/>
      <c r="R3015" s="844"/>
      <c r="S3015" s="832"/>
      <c r="T3015" s="3082"/>
      <c r="U3015" s="123"/>
      <c r="V3015" s="3990"/>
      <c r="W3015" s="2857"/>
      <c r="X3015" s="2857"/>
      <c r="Y3015" s="3158"/>
      <c r="Z3015" s="696"/>
      <c r="AA3015" s="696"/>
      <c r="AB3015" s="2282"/>
      <c r="AC3015" s="2228">
        <v>13</v>
      </c>
      <c r="AD3015" s="2857"/>
      <c r="AE3015" s="2857"/>
      <c r="AF3015" s="2857"/>
      <c r="AG3015" s="2857"/>
      <c r="BB3015" s="575"/>
      <c r="BC3015" s="576"/>
      <c r="BD3015" s="678"/>
      <c r="BE3015" s="585"/>
    </row>
    <row r="3016" spans="1:57" s="1942" customFormat="1" ht="15" hidden="1" customHeight="1" outlineLevel="1" x14ac:dyDescent="0.25">
      <c r="A3016" s="2060"/>
      <c r="B3016" s="123"/>
      <c r="C3016" s="328"/>
      <c r="D3016" s="3990"/>
      <c r="E3016" s="4009"/>
      <c r="F3016" s="3010" t="str">
        <f>$E$1593</f>
        <v>ASHP-SEER21+-Replace_CAC_NonElectricHeat_ROF_MF_CompE</v>
      </c>
      <c r="G3016" s="2676"/>
      <c r="H3016" s="2676"/>
      <c r="I3016" s="2677"/>
      <c r="J3016" s="3298" t="str">
        <f>$C$1593</f>
        <v>353711_2021_12_</v>
      </c>
      <c r="K3016" s="2228">
        <v>13</v>
      </c>
      <c r="L3016" s="851"/>
      <c r="M3016" s="2817" t="s">
        <v>1110</v>
      </c>
      <c r="N3016" s="123"/>
      <c r="O3016" s="228"/>
      <c r="P3016" s="844"/>
      <c r="Q3016" s="845"/>
      <c r="R3016" s="844"/>
      <c r="S3016" s="832"/>
      <c r="T3016" s="3082"/>
      <c r="U3016" s="123"/>
      <c r="V3016" s="3990"/>
      <c r="W3016" s="2857"/>
      <c r="X3016" s="2857"/>
      <c r="Y3016" s="3158"/>
      <c r="Z3016" s="696"/>
      <c r="AA3016" s="696"/>
      <c r="AB3016" s="2282"/>
      <c r="AC3016" s="2228">
        <v>13</v>
      </c>
      <c r="AD3016" s="2857"/>
      <c r="AE3016" s="2857"/>
      <c r="AF3016" s="2857"/>
      <c r="AG3016" s="2857"/>
      <c r="BB3016" s="575"/>
      <c r="BC3016" s="576"/>
      <c r="BD3016" s="678"/>
      <c r="BE3016" s="585"/>
    </row>
    <row r="3017" spans="1:57" s="51" customFormat="1" ht="15" hidden="1" customHeight="1" outlineLevel="1" x14ac:dyDescent="0.25">
      <c r="A3017" s="1267"/>
      <c r="B3017" s="123"/>
      <c r="C3017" s="328"/>
      <c r="D3017" s="3990"/>
      <c r="E3017" s="4009"/>
      <c r="F3017" s="3010" t="str">
        <f>$E$1595</f>
        <v>ASHP-SEER17_ER1_SF</v>
      </c>
      <c r="G3017" s="2676"/>
      <c r="H3017" s="2676"/>
      <c r="I3017" s="2677"/>
      <c r="J3017" s="3298" t="str">
        <f>$C$1595</f>
        <v>353750_2021_12_</v>
      </c>
      <c r="K3017" s="2228">
        <v>8.7303880814835253</v>
      </c>
      <c r="L3017" s="851"/>
      <c r="M3017" s="2817" t="s">
        <v>1563</v>
      </c>
      <c r="N3017" s="123"/>
      <c r="O3017" s="228"/>
      <c r="P3017" s="228"/>
      <c r="Q3017" s="228"/>
      <c r="R3017" s="228"/>
      <c r="S3017" s="123"/>
      <c r="T3017" s="123"/>
      <c r="U3017" s="123"/>
      <c r="V3017" s="3990"/>
      <c r="W3017" s="2857">
        <v>7.2</v>
      </c>
      <c r="X3017" s="3155">
        <v>8.33</v>
      </c>
      <c r="Y3017" s="696">
        <v>8.33</v>
      </c>
      <c r="Z3017" s="696">
        <v>8.33</v>
      </c>
      <c r="AA3017" s="696">
        <v>8.33</v>
      </c>
      <c r="AB3017" s="2282">
        <v>8.33</v>
      </c>
      <c r="AC3017" s="2228">
        <v>8.7303880814835253</v>
      </c>
      <c r="AD3017" s="2857"/>
      <c r="AE3017" s="2857"/>
      <c r="AF3017" s="2857"/>
      <c r="AG3017" s="2857"/>
      <c r="AH3017" s="1942"/>
      <c r="AI3017" s="1942"/>
      <c r="AJ3017" s="1942"/>
      <c r="AK3017" s="1942"/>
      <c r="AL3017" s="1942"/>
      <c r="AM3017" s="1942"/>
      <c r="AN3017" s="1942"/>
      <c r="AO3017" s="1942"/>
      <c r="AP3017" s="1942"/>
      <c r="AQ3017" s="1942"/>
      <c r="AR3017" s="1942"/>
      <c r="AS3017" s="1942"/>
      <c r="AT3017" s="1942"/>
      <c r="AU3017" s="1942"/>
      <c r="AV3017" s="1942"/>
      <c r="AW3017" s="1942"/>
      <c r="AX3017" s="1942"/>
      <c r="AY3017" s="1942"/>
      <c r="AZ3017" s="1942"/>
      <c r="BA3017" s="1942"/>
      <c r="BB3017" s="575"/>
      <c r="BC3017" s="576"/>
      <c r="BD3017" s="678"/>
      <c r="BE3017" s="585"/>
    </row>
    <row r="3018" spans="1:57" s="51" customFormat="1" ht="15" hidden="1" customHeight="1" outlineLevel="1" x14ac:dyDescent="0.25">
      <c r="A3018" s="2060"/>
      <c r="B3018" s="123"/>
      <c r="C3018" s="328"/>
      <c r="D3018" s="3990"/>
      <c r="E3018" s="4009"/>
      <c r="F3018" s="3010" t="str">
        <f>$E$1597</f>
        <v>ASHP-SEER17_ER2_SF</v>
      </c>
      <c r="G3018" s="2676"/>
      <c r="H3018" s="2676"/>
      <c r="I3018" s="2677"/>
      <c r="J3018" s="3298" t="str">
        <f>$C$1597</f>
        <v>353750_2021_12_</v>
      </c>
      <c r="K3018" s="2282">
        <v>14</v>
      </c>
      <c r="L3018" s="851"/>
      <c r="M3018" s="2284" t="s">
        <v>1110</v>
      </c>
      <c r="N3018" s="123"/>
      <c r="O3018" s="228"/>
      <c r="P3018" s="844"/>
      <c r="Q3018" s="845"/>
      <c r="R3018" s="844"/>
      <c r="S3018" s="832"/>
      <c r="T3018" s="3082"/>
      <c r="U3018" s="123"/>
      <c r="V3018" s="3990"/>
      <c r="W3018" s="2857">
        <v>14</v>
      </c>
      <c r="X3018" s="2857">
        <v>14</v>
      </c>
      <c r="Y3018" s="696">
        <v>14</v>
      </c>
      <c r="Z3018" s="696">
        <v>14</v>
      </c>
      <c r="AA3018" s="696">
        <v>14</v>
      </c>
      <c r="AB3018" s="2282">
        <v>14</v>
      </c>
      <c r="AC3018" s="2282">
        <v>14</v>
      </c>
      <c r="AD3018" s="2857"/>
      <c r="AE3018" s="2857"/>
      <c r="AF3018" s="2857"/>
      <c r="AG3018" s="2857"/>
      <c r="AH3018" s="1942"/>
      <c r="AI3018" s="1942"/>
      <c r="AJ3018" s="1942"/>
      <c r="AK3018" s="1942"/>
      <c r="AL3018" s="1942"/>
      <c r="AM3018" s="1942"/>
      <c r="AN3018" s="1942"/>
      <c r="AO3018" s="1942"/>
      <c r="AP3018" s="1942"/>
      <c r="AQ3018" s="1942"/>
      <c r="AR3018" s="1942"/>
      <c r="AS3018" s="1942"/>
      <c r="AT3018" s="1942"/>
      <c r="AU3018" s="1942"/>
      <c r="AV3018" s="1942"/>
      <c r="AW3018" s="1942"/>
      <c r="AX3018" s="1942"/>
      <c r="AY3018" s="1942"/>
      <c r="AZ3018" s="1942"/>
      <c r="BA3018" s="1942"/>
      <c r="BB3018" s="575"/>
      <c r="BC3018" s="576"/>
      <c r="BD3018" s="678"/>
      <c r="BE3018" s="585"/>
    </row>
    <row r="3019" spans="1:57" s="51" customFormat="1" ht="15" hidden="1" customHeight="1" outlineLevel="1" x14ac:dyDescent="0.25">
      <c r="A3019" s="1267"/>
      <c r="B3019" s="123"/>
      <c r="C3019" s="328"/>
      <c r="D3019" s="3990"/>
      <c r="E3019" s="4009"/>
      <c r="F3019" s="3010" t="str">
        <f>$E$1599</f>
        <v>ASHP-SEER17_ROF_SF</v>
      </c>
      <c r="G3019" s="2676"/>
      <c r="H3019" s="2676"/>
      <c r="I3019" s="2677"/>
      <c r="J3019" s="3298" t="str">
        <f>$C$1599</f>
        <v>353800_2021_12_</v>
      </c>
      <c r="K3019" s="2282">
        <v>14</v>
      </c>
      <c r="L3019" s="851"/>
      <c r="M3019" s="2284" t="s">
        <v>1110</v>
      </c>
      <c r="N3019" s="123"/>
      <c r="O3019" s="228"/>
      <c r="P3019" s="228"/>
      <c r="Q3019" s="228"/>
      <c r="R3019" s="228"/>
      <c r="S3019" s="123"/>
      <c r="T3019" s="123"/>
      <c r="U3019" s="123"/>
      <c r="V3019" s="3990"/>
      <c r="W3019" s="2857">
        <v>14</v>
      </c>
      <c r="X3019" s="2857">
        <v>14</v>
      </c>
      <c r="Y3019" s="696">
        <v>14</v>
      </c>
      <c r="Z3019" s="696">
        <v>14</v>
      </c>
      <c r="AA3019" s="696">
        <v>14</v>
      </c>
      <c r="AB3019" s="2282">
        <v>14</v>
      </c>
      <c r="AC3019" s="2282">
        <v>14</v>
      </c>
      <c r="AD3019" s="2857"/>
      <c r="AE3019" s="2857"/>
      <c r="AF3019" s="2857"/>
      <c r="AG3019" s="2857"/>
      <c r="AH3019" s="1942"/>
      <c r="AI3019" s="1942"/>
      <c r="AJ3019" s="1942"/>
      <c r="AK3019" s="1942"/>
      <c r="AL3019" s="1942"/>
      <c r="AM3019" s="1942"/>
      <c r="AN3019" s="1942"/>
      <c r="AO3019" s="1942"/>
      <c r="AP3019" s="1942"/>
      <c r="AQ3019" s="1942"/>
      <c r="AR3019" s="1942"/>
      <c r="AS3019" s="1942"/>
      <c r="AT3019" s="1942"/>
      <c r="AU3019" s="1942"/>
      <c r="AV3019" s="1942"/>
      <c r="AW3019" s="1942"/>
      <c r="AX3019" s="1942"/>
      <c r="AY3019" s="1942"/>
      <c r="AZ3019" s="1942"/>
      <c r="BA3019" s="1942"/>
      <c r="BB3019" s="575"/>
      <c r="BC3019" s="576"/>
      <c r="BD3019" s="678"/>
      <c r="BE3019" s="585"/>
    </row>
    <row r="3020" spans="1:57" s="51" customFormat="1" ht="15" hidden="1" customHeight="1" outlineLevel="1" x14ac:dyDescent="0.25">
      <c r="A3020" s="2060"/>
      <c r="B3020" s="123"/>
      <c r="C3020" s="328"/>
      <c r="D3020" s="3990"/>
      <c r="E3020" s="4009"/>
      <c r="F3020" s="3010" t="str">
        <f>$E$1601</f>
        <v>ASHP-SEER18_ER1_SF</v>
      </c>
      <c r="G3020" s="2676"/>
      <c r="H3020" s="2676"/>
      <c r="I3020" s="2677"/>
      <c r="J3020" s="3298" t="str">
        <f>$C$1601</f>
        <v>353850_2021_12_</v>
      </c>
      <c r="K3020" s="2228">
        <v>8.5136840013184276</v>
      </c>
      <c r="L3020" s="851"/>
      <c r="M3020" s="2723" t="s">
        <v>1005</v>
      </c>
      <c r="N3020" s="123"/>
      <c r="O3020" s="228"/>
      <c r="P3020" s="844"/>
      <c r="Q3020" s="845"/>
      <c r="R3020" s="844"/>
      <c r="S3020" s="832"/>
      <c r="T3020" s="3082"/>
      <c r="U3020" s="123"/>
      <c r="V3020" s="3990"/>
      <c r="W3020" s="2857">
        <v>7.2</v>
      </c>
      <c r="X3020" s="3155">
        <v>8.33</v>
      </c>
      <c r="Y3020" s="696">
        <v>8.33</v>
      </c>
      <c r="Z3020" s="696">
        <v>8.33</v>
      </c>
      <c r="AA3020" s="696">
        <v>8.33</v>
      </c>
      <c r="AB3020" s="2228">
        <v>7.9029574060126802</v>
      </c>
      <c r="AC3020" s="2228">
        <v>8.5136840013184276</v>
      </c>
      <c r="AD3020" s="2857"/>
      <c r="AE3020" s="2857"/>
      <c r="AF3020" s="2857"/>
      <c r="AG3020" s="2857"/>
      <c r="AH3020" s="1942"/>
      <c r="AI3020" s="1942"/>
      <c r="AJ3020" s="1942"/>
      <c r="AK3020" s="1942"/>
      <c r="AL3020" s="1942"/>
      <c r="AM3020" s="1942"/>
      <c r="AN3020" s="1942"/>
      <c r="AO3020" s="1942"/>
      <c r="AP3020" s="1942"/>
      <c r="AQ3020" s="1942"/>
      <c r="AR3020" s="1942"/>
      <c r="AS3020" s="1942"/>
      <c r="AT3020" s="1942"/>
      <c r="AU3020" s="1942"/>
      <c r="AV3020" s="1942"/>
      <c r="AW3020" s="1942"/>
      <c r="AX3020" s="1942"/>
      <c r="AY3020" s="1942"/>
      <c r="AZ3020" s="1942"/>
      <c r="BA3020" s="1942"/>
      <c r="BB3020" s="575"/>
      <c r="BC3020" s="576"/>
      <c r="BD3020" s="678"/>
      <c r="BE3020" s="585"/>
    </row>
    <row r="3021" spans="1:57" s="51" customFormat="1" ht="15" hidden="1" customHeight="1" outlineLevel="1" x14ac:dyDescent="0.25">
      <c r="A3021" s="1267"/>
      <c r="B3021" s="123"/>
      <c r="C3021" s="328"/>
      <c r="D3021" s="3990"/>
      <c r="E3021" s="4009"/>
      <c r="F3021" s="3010" t="str">
        <f>$E$1603</f>
        <v>ASHP-SEER18_ER2_SF</v>
      </c>
      <c r="G3021" s="2676"/>
      <c r="H3021" s="2676"/>
      <c r="I3021" s="2677"/>
      <c r="J3021" s="3298" t="str">
        <f>$C$1603</f>
        <v>353850_2021_12_</v>
      </c>
      <c r="K3021" s="2282">
        <v>14</v>
      </c>
      <c r="L3021" s="851"/>
      <c r="M3021" s="2284" t="s">
        <v>1110</v>
      </c>
      <c r="N3021" s="123"/>
      <c r="O3021" s="228"/>
      <c r="P3021" s="228"/>
      <c r="Q3021" s="228"/>
      <c r="R3021" s="228"/>
      <c r="S3021" s="123"/>
      <c r="T3021" s="123"/>
      <c r="U3021" s="123"/>
      <c r="V3021" s="3990"/>
      <c r="W3021" s="2857">
        <v>14</v>
      </c>
      <c r="X3021" s="2857">
        <v>14</v>
      </c>
      <c r="Y3021" s="696">
        <v>14</v>
      </c>
      <c r="Z3021" s="696">
        <v>14</v>
      </c>
      <c r="AA3021" s="696">
        <v>14</v>
      </c>
      <c r="AB3021" s="2282">
        <v>14</v>
      </c>
      <c r="AC3021" s="2282">
        <v>14</v>
      </c>
      <c r="AD3021" s="2857"/>
      <c r="AE3021" s="2857"/>
      <c r="AF3021" s="2857"/>
      <c r="AG3021" s="2857"/>
      <c r="AH3021" s="1942"/>
      <c r="AI3021" s="1942"/>
      <c r="AJ3021" s="1942"/>
      <c r="AK3021" s="1942"/>
      <c r="AL3021" s="1942"/>
      <c r="AM3021" s="1942"/>
      <c r="AN3021" s="1942"/>
      <c r="AO3021" s="1942"/>
      <c r="AP3021" s="1942"/>
      <c r="AQ3021" s="1942"/>
      <c r="AR3021" s="1942"/>
      <c r="AS3021" s="1942"/>
      <c r="AT3021" s="1942"/>
      <c r="AU3021" s="1942"/>
      <c r="AV3021" s="1942"/>
      <c r="AW3021" s="1942"/>
      <c r="AX3021" s="1942"/>
      <c r="AY3021" s="1942"/>
      <c r="AZ3021" s="1942"/>
      <c r="BA3021" s="1942"/>
      <c r="BB3021" s="575"/>
      <c r="BC3021" s="576"/>
      <c r="BD3021" s="678"/>
      <c r="BE3021" s="585"/>
    </row>
    <row r="3022" spans="1:57" s="51" customFormat="1" ht="15" hidden="1" customHeight="1" outlineLevel="1" x14ac:dyDescent="0.25">
      <c r="A3022" s="2060"/>
      <c r="B3022" s="123"/>
      <c r="C3022" s="328"/>
      <c r="D3022" s="3990"/>
      <c r="E3022" s="4009"/>
      <c r="F3022" s="3010" t="str">
        <f>$E$1605</f>
        <v>ASHP-SEER18_ROF_SF</v>
      </c>
      <c r="G3022" s="2676"/>
      <c r="H3022" s="2676"/>
      <c r="I3022" s="2677"/>
      <c r="J3022" s="3298" t="str">
        <f>$C$1605</f>
        <v>353950_2021_12_</v>
      </c>
      <c r="K3022" s="2282">
        <v>14</v>
      </c>
      <c r="L3022" s="851"/>
      <c r="M3022" s="2284" t="s">
        <v>1110</v>
      </c>
      <c r="N3022" s="123"/>
      <c r="O3022" s="228"/>
      <c r="P3022" s="844"/>
      <c r="Q3022" s="845"/>
      <c r="R3022" s="844"/>
      <c r="S3022" s="832"/>
      <c r="T3022" s="3082"/>
      <c r="U3022" s="123"/>
      <c r="V3022" s="3990"/>
      <c r="W3022" s="2857">
        <v>14</v>
      </c>
      <c r="X3022" s="2857">
        <v>14</v>
      </c>
      <c r="Y3022" s="696">
        <v>14</v>
      </c>
      <c r="Z3022" s="696">
        <v>14</v>
      </c>
      <c r="AA3022" s="696">
        <v>14</v>
      </c>
      <c r="AB3022" s="2282">
        <v>14</v>
      </c>
      <c r="AC3022" s="2282">
        <v>14</v>
      </c>
      <c r="AD3022" s="2857"/>
      <c r="AE3022" s="2857"/>
      <c r="AF3022" s="2857"/>
      <c r="AG3022" s="2857"/>
      <c r="AH3022" s="1942"/>
      <c r="AI3022" s="1942"/>
      <c r="AJ3022" s="1942"/>
      <c r="AK3022" s="1942"/>
      <c r="AL3022" s="1942"/>
      <c r="AM3022" s="1942"/>
      <c r="AN3022" s="1942"/>
      <c r="AO3022" s="1942"/>
      <c r="AP3022" s="1942"/>
      <c r="AQ3022" s="1942"/>
      <c r="AR3022" s="1942"/>
      <c r="AS3022" s="1942"/>
      <c r="AT3022" s="1942"/>
      <c r="AU3022" s="1942"/>
      <c r="AV3022" s="1942"/>
      <c r="AW3022" s="1942"/>
      <c r="AX3022" s="1942"/>
      <c r="AY3022" s="1942"/>
      <c r="AZ3022" s="1942"/>
      <c r="BA3022" s="1942"/>
      <c r="BB3022" s="575"/>
      <c r="BC3022" s="576"/>
      <c r="BD3022" s="678"/>
      <c r="BE3022" s="585"/>
    </row>
    <row r="3023" spans="1:57" s="51" customFormat="1" ht="15" hidden="1" customHeight="1" outlineLevel="1" x14ac:dyDescent="0.25">
      <c r="A3023" s="2060"/>
      <c r="B3023" s="123"/>
      <c r="C3023" s="328"/>
      <c r="D3023" s="3990"/>
      <c r="E3023" s="4009"/>
      <c r="F3023" s="3010" t="str">
        <f>$E$1607</f>
        <v>ASHP-SEER19_ER1_SF</v>
      </c>
      <c r="G3023" s="2676"/>
      <c r="H3023" s="2676"/>
      <c r="I3023" s="2677"/>
      <c r="J3023" s="3298" t="str">
        <f>$C$1607</f>
        <v>354000_2021_12_</v>
      </c>
      <c r="K3023" s="2228">
        <v>9.0504969801676332</v>
      </c>
      <c r="L3023" s="851"/>
      <c r="M3023" s="2817" t="s">
        <v>1563</v>
      </c>
      <c r="N3023" s="123"/>
      <c r="O3023" s="228"/>
      <c r="P3023" s="844"/>
      <c r="Q3023" s="845"/>
      <c r="R3023" s="844"/>
      <c r="S3023" s="832"/>
      <c r="T3023" s="3082"/>
      <c r="U3023" s="123"/>
      <c r="V3023" s="3990"/>
      <c r="W3023" s="2857">
        <v>7.2</v>
      </c>
      <c r="X3023" s="3155">
        <v>8.33</v>
      </c>
      <c r="Y3023" s="696">
        <v>8.33</v>
      </c>
      <c r="Z3023" s="696">
        <v>8.33</v>
      </c>
      <c r="AA3023" s="696">
        <v>8.33</v>
      </c>
      <c r="AB3023" s="2282">
        <v>8.33</v>
      </c>
      <c r="AC3023" s="2228">
        <v>9.0504969801676332</v>
      </c>
      <c r="AD3023" s="2857"/>
      <c r="AE3023" s="2857"/>
      <c r="AF3023" s="2857"/>
      <c r="AG3023" s="2857"/>
      <c r="AH3023" s="1942"/>
      <c r="AI3023" s="1942"/>
      <c r="AJ3023" s="1942"/>
      <c r="AK3023" s="1942"/>
      <c r="AL3023" s="1942"/>
      <c r="AM3023" s="1942"/>
      <c r="AN3023" s="1942"/>
      <c r="AO3023" s="1942"/>
      <c r="AP3023" s="1942"/>
      <c r="AQ3023" s="1942"/>
      <c r="AR3023" s="1942"/>
      <c r="AS3023" s="1942"/>
      <c r="AT3023" s="1942"/>
      <c r="AU3023" s="1942"/>
      <c r="AV3023" s="1942"/>
      <c r="AW3023" s="1942"/>
      <c r="AX3023" s="1942"/>
      <c r="AY3023" s="1942"/>
      <c r="AZ3023" s="1942"/>
      <c r="BA3023" s="1942"/>
      <c r="BB3023" s="575"/>
      <c r="BC3023" s="576"/>
      <c r="BD3023" s="678"/>
      <c r="BE3023" s="585"/>
    </row>
    <row r="3024" spans="1:57" s="51" customFormat="1" ht="15" hidden="1" customHeight="1" outlineLevel="1" x14ac:dyDescent="0.25">
      <c r="A3024" s="1267"/>
      <c r="B3024" s="123"/>
      <c r="C3024" s="328"/>
      <c r="D3024" s="3990"/>
      <c r="E3024" s="4009"/>
      <c r="F3024" s="3010" t="str">
        <f>$E$1609</f>
        <v>ASHP-SEER19_ER2_SF</v>
      </c>
      <c r="G3024" s="2676"/>
      <c r="H3024" s="2676"/>
      <c r="I3024" s="2677"/>
      <c r="J3024" s="3298" t="str">
        <f>$C$1609</f>
        <v>354000_2021_12_</v>
      </c>
      <c r="K3024" s="2282">
        <v>14</v>
      </c>
      <c r="L3024" s="851"/>
      <c r="M3024" s="2284" t="s">
        <v>1110</v>
      </c>
      <c r="N3024" s="123"/>
      <c r="O3024" s="228"/>
      <c r="P3024" s="228"/>
      <c r="Q3024" s="228"/>
      <c r="R3024" s="228"/>
      <c r="S3024" s="123"/>
      <c r="T3024" s="123"/>
      <c r="U3024" s="123"/>
      <c r="V3024" s="3990"/>
      <c r="W3024" s="2857">
        <v>14</v>
      </c>
      <c r="X3024" s="2857">
        <v>14</v>
      </c>
      <c r="Y3024" s="696">
        <v>14</v>
      </c>
      <c r="Z3024" s="696">
        <v>14</v>
      </c>
      <c r="AA3024" s="696">
        <v>14</v>
      </c>
      <c r="AB3024" s="2282">
        <v>14</v>
      </c>
      <c r="AC3024" s="2282">
        <v>14</v>
      </c>
      <c r="AD3024" s="2857"/>
      <c r="AE3024" s="2857"/>
      <c r="AF3024" s="2857"/>
      <c r="AG3024" s="2857"/>
      <c r="AH3024" s="1942"/>
      <c r="AI3024" s="1942"/>
      <c r="AJ3024" s="1942"/>
      <c r="AK3024" s="1942"/>
      <c r="AL3024" s="1942"/>
      <c r="AM3024" s="1942"/>
      <c r="AN3024" s="1942"/>
      <c r="AO3024" s="1942"/>
      <c r="AP3024" s="1942"/>
      <c r="AQ3024" s="1942"/>
      <c r="AR3024" s="1942"/>
      <c r="AS3024" s="1942"/>
      <c r="AT3024" s="1942"/>
      <c r="AU3024" s="1942"/>
      <c r="AV3024" s="1942"/>
      <c r="AW3024" s="1942"/>
      <c r="AX3024" s="1942"/>
      <c r="AY3024" s="1942"/>
      <c r="AZ3024" s="1942"/>
      <c r="BA3024" s="1942"/>
      <c r="BB3024" s="575"/>
      <c r="BC3024" s="576"/>
      <c r="BD3024" s="678"/>
      <c r="BE3024" s="585"/>
    </row>
    <row r="3025" spans="1:57" s="51" customFormat="1" ht="15" hidden="1" customHeight="1" outlineLevel="1" x14ac:dyDescent="0.25">
      <c r="A3025" s="1267"/>
      <c r="B3025" s="123"/>
      <c r="C3025" s="328"/>
      <c r="D3025" s="3990"/>
      <c r="E3025" s="4009"/>
      <c r="F3025" s="3010" t="str">
        <f>$E$1611</f>
        <v>ASHP-SEER19_ROF_SF</v>
      </c>
      <c r="G3025" s="2676"/>
      <c r="H3025" s="2676"/>
      <c r="I3025" s="2677"/>
      <c r="J3025" s="3298" t="str">
        <f>$C$1611</f>
        <v>354050_2021_12_</v>
      </c>
      <c r="K3025" s="2282">
        <v>14</v>
      </c>
      <c r="L3025" s="851"/>
      <c r="M3025" s="2284" t="s">
        <v>1110</v>
      </c>
      <c r="N3025" s="123"/>
      <c r="O3025" s="228"/>
      <c r="P3025" s="228"/>
      <c r="Q3025" s="228"/>
      <c r="R3025" s="228"/>
      <c r="S3025" s="123"/>
      <c r="T3025" s="123"/>
      <c r="U3025" s="123"/>
      <c r="V3025" s="3990"/>
      <c r="W3025" s="2857">
        <v>14</v>
      </c>
      <c r="X3025" s="2857">
        <v>14</v>
      </c>
      <c r="Y3025" s="696">
        <v>14</v>
      </c>
      <c r="Z3025" s="696">
        <v>14</v>
      </c>
      <c r="AA3025" s="696">
        <v>14</v>
      </c>
      <c r="AB3025" s="2282">
        <v>14</v>
      </c>
      <c r="AC3025" s="2282">
        <v>14</v>
      </c>
      <c r="AD3025" s="2857"/>
      <c r="AE3025" s="2857"/>
      <c r="AF3025" s="2857"/>
      <c r="AG3025" s="2857"/>
      <c r="AH3025" s="1942"/>
      <c r="AI3025" s="1942"/>
      <c r="AJ3025" s="1942"/>
      <c r="AK3025" s="1942"/>
      <c r="AL3025" s="1942"/>
      <c r="AM3025" s="1942"/>
      <c r="AN3025" s="1942"/>
      <c r="AO3025" s="1942"/>
      <c r="AP3025" s="1942"/>
      <c r="AQ3025" s="1942"/>
      <c r="AR3025" s="1942"/>
      <c r="AS3025" s="1942"/>
      <c r="AT3025" s="1942"/>
      <c r="AU3025" s="1942"/>
      <c r="AV3025" s="1942"/>
      <c r="AW3025" s="1942"/>
      <c r="AX3025" s="1942"/>
      <c r="AY3025" s="1942"/>
      <c r="AZ3025" s="1942"/>
      <c r="BA3025" s="1942"/>
      <c r="BB3025" s="575"/>
      <c r="BC3025" s="576"/>
      <c r="BD3025" s="678"/>
      <c r="BE3025" s="585"/>
    </row>
    <row r="3026" spans="1:57" s="51" customFormat="1" ht="15" hidden="1" customHeight="1" outlineLevel="1" x14ac:dyDescent="0.25">
      <c r="A3026" s="1267"/>
      <c r="B3026" s="123"/>
      <c r="C3026" s="328"/>
      <c r="D3026" s="3990"/>
      <c r="E3026" s="4009"/>
      <c r="F3026" s="3010" t="str">
        <f>$E$1613</f>
        <v>ASHP-SEER17-Replace_CAC_ElectricHeat_ER1_SF</v>
      </c>
      <c r="G3026" s="2676"/>
      <c r="H3026" s="2676"/>
      <c r="I3026" s="2677"/>
      <c r="J3026" s="3298" t="str">
        <f>$C$1613</f>
        <v>354100_2021_12_</v>
      </c>
      <c r="K3026" s="2228">
        <v>8.0559951349156371</v>
      </c>
      <c r="L3026" s="851"/>
      <c r="M3026" s="2817" t="s">
        <v>1563</v>
      </c>
      <c r="N3026" s="123"/>
      <c r="O3026" s="228"/>
      <c r="P3026" s="228"/>
      <c r="Q3026" s="228"/>
      <c r="R3026" s="228"/>
      <c r="S3026" s="123"/>
      <c r="T3026" s="123"/>
      <c r="U3026" s="123"/>
      <c r="V3026" s="3990"/>
      <c r="W3026" s="2857">
        <v>6.8</v>
      </c>
      <c r="X3026" s="3155">
        <v>8.33</v>
      </c>
      <c r="Y3026" s="696">
        <v>8.33</v>
      </c>
      <c r="Z3026" s="696">
        <v>8.33</v>
      </c>
      <c r="AA3026" s="696">
        <v>8.33</v>
      </c>
      <c r="AB3026" s="2282">
        <v>8.33</v>
      </c>
      <c r="AC3026" s="2228">
        <v>8.0559951349156371</v>
      </c>
      <c r="AD3026" s="2857"/>
      <c r="AE3026" s="2857"/>
      <c r="AF3026" s="2857"/>
      <c r="AG3026" s="2857"/>
      <c r="AH3026" s="1942"/>
      <c r="AI3026" s="1942"/>
      <c r="AJ3026" s="1942"/>
      <c r="AK3026" s="1942"/>
      <c r="AL3026" s="1942"/>
      <c r="AM3026" s="1942"/>
      <c r="AN3026" s="1942"/>
      <c r="AO3026" s="1942"/>
      <c r="AP3026" s="1942"/>
      <c r="AQ3026" s="1942"/>
      <c r="AR3026" s="1942"/>
      <c r="AS3026" s="1942"/>
      <c r="AT3026" s="1942"/>
      <c r="AU3026" s="1942"/>
      <c r="AV3026" s="1942"/>
      <c r="AW3026" s="1942"/>
      <c r="AX3026" s="1942"/>
      <c r="AY3026" s="1942"/>
      <c r="AZ3026" s="1942"/>
      <c r="BA3026" s="1942"/>
      <c r="BB3026" s="575"/>
      <c r="BC3026" s="576"/>
      <c r="BD3026" s="678"/>
      <c r="BE3026" s="585"/>
    </row>
    <row r="3027" spans="1:57" s="51" customFormat="1" ht="15" hidden="1" customHeight="1" outlineLevel="1" x14ac:dyDescent="0.25">
      <c r="A3027" s="1267"/>
      <c r="B3027" s="123"/>
      <c r="C3027" s="328"/>
      <c r="D3027" s="3990"/>
      <c r="E3027" s="4009"/>
      <c r="F3027" s="3010" t="str">
        <f>$E$1615</f>
        <v>ASHP-SEER17-Replace_CAC_ElectricHeat_ER2_SF</v>
      </c>
      <c r="G3027" s="2676"/>
      <c r="H3027" s="2676"/>
      <c r="I3027" s="2677"/>
      <c r="J3027" s="3298" t="str">
        <f>$C$1615</f>
        <v>354100_2021_12_</v>
      </c>
      <c r="K3027" s="2282">
        <v>13</v>
      </c>
      <c r="L3027" s="851"/>
      <c r="M3027" s="2284" t="s">
        <v>1110</v>
      </c>
      <c r="N3027" s="123"/>
      <c r="O3027" s="228"/>
      <c r="P3027" s="228"/>
      <c r="Q3027" s="228"/>
      <c r="R3027" s="228"/>
      <c r="S3027" s="123"/>
      <c r="T3027" s="123"/>
      <c r="U3027" s="123"/>
      <c r="V3027" s="3990"/>
      <c r="W3027" s="2857">
        <v>13</v>
      </c>
      <c r="X3027" s="2857">
        <v>13</v>
      </c>
      <c r="Y3027" s="696">
        <v>13</v>
      </c>
      <c r="Z3027" s="696">
        <v>13</v>
      </c>
      <c r="AA3027" s="696">
        <v>13</v>
      </c>
      <c r="AB3027" s="2282">
        <v>13</v>
      </c>
      <c r="AC3027" s="2282">
        <v>13</v>
      </c>
      <c r="AD3027" s="2857"/>
      <c r="AE3027" s="2857"/>
      <c r="AF3027" s="2857"/>
      <c r="AG3027" s="2857"/>
      <c r="AH3027" s="1942"/>
      <c r="AI3027" s="1942"/>
      <c r="AJ3027" s="1942"/>
      <c r="AK3027" s="1942"/>
      <c r="AL3027" s="1942"/>
      <c r="AM3027" s="1942"/>
      <c r="AN3027" s="1942"/>
      <c r="AO3027" s="1942"/>
      <c r="AP3027" s="1942"/>
      <c r="AQ3027" s="1942"/>
      <c r="AR3027" s="1942"/>
      <c r="AS3027" s="1942"/>
      <c r="AT3027" s="1942"/>
      <c r="AU3027" s="1942"/>
      <c r="AV3027" s="1942"/>
      <c r="AW3027" s="1942"/>
      <c r="AX3027" s="1942"/>
      <c r="AY3027" s="1942"/>
      <c r="AZ3027" s="1942"/>
      <c r="BA3027" s="1942"/>
      <c r="BB3027" s="575"/>
      <c r="BC3027" s="576"/>
      <c r="BD3027" s="678"/>
      <c r="BE3027" s="585"/>
    </row>
    <row r="3028" spans="1:57" s="1942" customFormat="1" ht="15" hidden="1" customHeight="1" outlineLevel="1" x14ac:dyDescent="0.25">
      <c r="A3028" s="1267"/>
      <c r="B3028" s="123"/>
      <c r="C3028" s="328"/>
      <c r="D3028" s="3990"/>
      <c r="E3028" s="4009"/>
      <c r="F3028" s="3010" t="str">
        <f>$E$1617</f>
        <v>ASHP-SEER17-Replace_CAC_NonElectricHeat_ER1_SF</v>
      </c>
      <c r="G3028" s="2676"/>
      <c r="H3028" s="2676"/>
      <c r="I3028" s="2677"/>
      <c r="J3028" s="3298" t="str">
        <f>$C$1617</f>
        <v>354110_2021_12_</v>
      </c>
      <c r="K3028" s="2228">
        <v>8.0559951349156371</v>
      </c>
      <c r="L3028" s="851"/>
      <c r="M3028" s="2817" t="s">
        <v>1125</v>
      </c>
      <c r="N3028" s="123"/>
      <c r="O3028" s="228"/>
      <c r="P3028" s="228"/>
      <c r="Q3028" s="228"/>
      <c r="R3028" s="228"/>
      <c r="S3028" s="123"/>
      <c r="T3028" s="123"/>
      <c r="U3028" s="123"/>
      <c r="V3028" s="3990"/>
      <c r="W3028" s="2857"/>
      <c r="X3028" s="2857"/>
      <c r="Y3028" s="696"/>
      <c r="Z3028" s="696"/>
      <c r="AA3028" s="696"/>
      <c r="AB3028" s="2282"/>
      <c r="AC3028" s="2228">
        <v>8.0559951349156371</v>
      </c>
      <c r="AD3028" s="2857"/>
      <c r="AE3028" s="2857"/>
      <c r="AF3028" s="2857"/>
      <c r="AG3028" s="2857"/>
      <c r="BB3028" s="575"/>
      <c r="BC3028" s="576"/>
      <c r="BD3028" s="678"/>
      <c r="BE3028" s="585"/>
    </row>
    <row r="3029" spans="1:57" s="1942" customFormat="1" ht="15" hidden="1" customHeight="1" outlineLevel="1" x14ac:dyDescent="0.25">
      <c r="A3029" s="1267"/>
      <c r="B3029" s="123"/>
      <c r="C3029" s="328"/>
      <c r="D3029" s="3990"/>
      <c r="E3029" s="4009"/>
      <c r="F3029" s="3010" t="str">
        <f>$E$1619</f>
        <v>ASHP-SEER17-Replace_CAC_NonElectricHeat_ER2_SF</v>
      </c>
      <c r="G3029" s="2676"/>
      <c r="H3029" s="2676"/>
      <c r="I3029" s="2677"/>
      <c r="J3029" s="3298" t="str">
        <f>$C$1619</f>
        <v>354110_2021_12_</v>
      </c>
      <c r="K3029" s="2228">
        <v>13</v>
      </c>
      <c r="L3029" s="851"/>
      <c r="M3029" s="2817" t="s">
        <v>1110</v>
      </c>
      <c r="N3029" s="123"/>
      <c r="O3029" s="228"/>
      <c r="P3029" s="228"/>
      <c r="Q3029" s="228"/>
      <c r="R3029" s="228"/>
      <c r="S3029" s="123"/>
      <c r="T3029" s="123"/>
      <c r="U3029" s="123"/>
      <c r="V3029" s="3990"/>
      <c r="W3029" s="2857"/>
      <c r="X3029" s="2857"/>
      <c r="Y3029" s="696"/>
      <c r="Z3029" s="696"/>
      <c r="AA3029" s="696"/>
      <c r="AB3029" s="2282"/>
      <c r="AC3029" s="2228">
        <v>13</v>
      </c>
      <c r="AD3029" s="2857"/>
      <c r="AE3029" s="2857"/>
      <c r="AF3029" s="2857"/>
      <c r="AG3029" s="2857"/>
      <c r="BB3029" s="575"/>
      <c r="BC3029" s="576"/>
      <c r="BD3029" s="678"/>
      <c r="BE3029" s="585"/>
    </row>
    <row r="3030" spans="1:57" s="51" customFormat="1" ht="15" hidden="1" customHeight="1" outlineLevel="1" x14ac:dyDescent="0.25">
      <c r="A3030" s="1267"/>
      <c r="B3030" s="123"/>
      <c r="C3030" s="328"/>
      <c r="D3030" s="3990"/>
      <c r="E3030" s="4009"/>
      <c r="F3030" s="3010" t="str">
        <f>$E$1621</f>
        <v>ASHP-SEER17-Replace_CAC_ElectricHeat_ER1_MF</v>
      </c>
      <c r="G3030" s="2676"/>
      <c r="H3030" s="2676"/>
      <c r="I3030" s="2677"/>
      <c r="J3030" s="3299" t="str">
        <f>$C$1621</f>
        <v>354150_2019_12_</v>
      </c>
      <c r="K3030" s="2282">
        <v>8.33</v>
      </c>
      <c r="L3030" s="851"/>
      <c r="M3030" s="2284" t="s">
        <v>1110</v>
      </c>
      <c r="N3030" s="123"/>
      <c r="O3030" s="228"/>
      <c r="P3030" s="228"/>
      <c r="Q3030" s="228"/>
      <c r="R3030" s="228"/>
      <c r="S3030" s="123"/>
      <c r="T3030" s="123"/>
      <c r="U3030" s="123"/>
      <c r="V3030" s="3990"/>
      <c r="W3030" s="2857">
        <v>6.8</v>
      </c>
      <c r="X3030" s="3155">
        <v>8.33</v>
      </c>
      <c r="Y3030" s="696">
        <v>8.33</v>
      </c>
      <c r="Z3030" s="696">
        <v>8.33</v>
      </c>
      <c r="AA3030" s="696">
        <v>8.33</v>
      </c>
      <c r="AB3030" s="2282">
        <v>8.33</v>
      </c>
      <c r="AC3030" s="2282">
        <v>8.33</v>
      </c>
      <c r="AD3030" s="2857"/>
      <c r="AE3030" s="2857"/>
      <c r="AF3030" s="2857"/>
      <c r="AG3030" s="2857"/>
      <c r="AH3030" s="1942"/>
      <c r="AI3030" s="1942"/>
      <c r="AJ3030" s="1942"/>
      <c r="AK3030" s="1942"/>
      <c r="AL3030" s="1942"/>
      <c r="AM3030" s="1942"/>
      <c r="AN3030" s="1942"/>
      <c r="AO3030" s="1942"/>
      <c r="AP3030" s="1942"/>
      <c r="AQ3030" s="1942"/>
      <c r="AR3030" s="1942"/>
      <c r="AS3030" s="1942"/>
      <c r="AT3030" s="1942"/>
      <c r="AU3030" s="1942"/>
      <c r="AV3030" s="1942"/>
      <c r="AW3030" s="1942"/>
      <c r="AX3030" s="1942"/>
      <c r="AY3030" s="1942"/>
      <c r="AZ3030" s="1942"/>
      <c r="BA3030" s="1942"/>
      <c r="BB3030" s="575"/>
      <c r="BC3030" s="576"/>
      <c r="BD3030" s="678"/>
      <c r="BE3030" s="585"/>
    </row>
    <row r="3031" spans="1:57" s="51" customFormat="1" ht="15" hidden="1" customHeight="1" outlineLevel="1" x14ac:dyDescent="0.25">
      <c r="A3031" s="1267"/>
      <c r="B3031" s="123"/>
      <c r="C3031" s="328"/>
      <c r="D3031" s="3990"/>
      <c r="E3031" s="4009"/>
      <c r="F3031" s="3010" t="str">
        <f>$E$1623</f>
        <v>ASHP-SEER17-Replace_CAC_ElectricHeat_ER2_MF</v>
      </c>
      <c r="G3031" s="2676"/>
      <c r="H3031" s="2676"/>
      <c r="I3031" s="2677"/>
      <c r="J3031" s="3299" t="str">
        <f>$C$1623</f>
        <v>354150_2019_12_</v>
      </c>
      <c r="K3031" s="2282">
        <v>13</v>
      </c>
      <c r="L3031" s="851"/>
      <c r="M3031" s="2284" t="s">
        <v>1110</v>
      </c>
      <c r="N3031" s="123"/>
      <c r="O3031" s="228"/>
      <c r="P3031" s="228"/>
      <c r="Q3031" s="228"/>
      <c r="R3031" s="228"/>
      <c r="S3031" s="123"/>
      <c r="T3031" s="123"/>
      <c r="U3031" s="123"/>
      <c r="V3031" s="3990"/>
      <c r="W3031" s="2857">
        <v>13</v>
      </c>
      <c r="X3031" s="2857">
        <v>13</v>
      </c>
      <c r="Y3031" s="696">
        <v>13</v>
      </c>
      <c r="Z3031" s="696">
        <v>13</v>
      </c>
      <c r="AA3031" s="696">
        <v>13</v>
      </c>
      <c r="AB3031" s="2282">
        <v>13</v>
      </c>
      <c r="AC3031" s="2282">
        <v>13</v>
      </c>
      <c r="AD3031" s="2857"/>
      <c r="AE3031" s="2857"/>
      <c r="AF3031" s="2857"/>
      <c r="AG3031" s="2857"/>
      <c r="AH3031" s="1942"/>
      <c r="AI3031" s="1942"/>
      <c r="AJ3031" s="1942"/>
      <c r="AK3031" s="1942"/>
      <c r="AL3031" s="1942"/>
      <c r="AM3031" s="1942"/>
      <c r="AN3031" s="1942"/>
      <c r="AO3031" s="1942"/>
      <c r="AP3031" s="1942"/>
      <c r="AQ3031" s="1942"/>
      <c r="AR3031" s="1942"/>
      <c r="AS3031" s="1942"/>
      <c r="AT3031" s="1942"/>
      <c r="AU3031" s="1942"/>
      <c r="AV3031" s="1942"/>
      <c r="AW3031" s="1942"/>
      <c r="AX3031" s="1942"/>
      <c r="AY3031" s="1942"/>
      <c r="AZ3031" s="1942"/>
      <c r="BA3031" s="1942"/>
      <c r="BB3031" s="575"/>
      <c r="BC3031" s="576"/>
      <c r="BD3031" s="678"/>
      <c r="BE3031" s="585"/>
    </row>
    <row r="3032" spans="1:57" s="51" customFormat="1" ht="15" hidden="1" customHeight="1" outlineLevel="1" x14ac:dyDescent="0.25">
      <c r="A3032" s="1267"/>
      <c r="B3032" s="123"/>
      <c r="C3032" s="328"/>
      <c r="D3032" s="3990"/>
      <c r="E3032" s="4009"/>
      <c r="F3032" s="3010" t="str">
        <f>$E$1625</f>
        <v>ASHP-SEER17-Replace_CAC_ElectricHeat_ER1_MF_CompE</v>
      </c>
      <c r="G3032" s="2676"/>
      <c r="H3032" s="2676"/>
      <c r="I3032" s="2677"/>
      <c r="J3032" s="3299" t="str">
        <f>$C$1625</f>
        <v>354151_2019_12_</v>
      </c>
      <c r="K3032" s="2282">
        <v>8.33</v>
      </c>
      <c r="L3032" s="851"/>
      <c r="M3032" s="2284" t="s">
        <v>1110</v>
      </c>
      <c r="N3032" s="123"/>
      <c r="O3032" s="228"/>
      <c r="P3032" s="228"/>
      <c r="Q3032" s="228"/>
      <c r="R3032" s="228"/>
      <c r="S3032" s="123"/>
      <c r="T3032" s="123"/>
      <c r="U3032" s="123"/>
      <c r="V3032" s="3990"/>
      <c r="W3032" s="2857"/>
      <c r="X3032" s="2857"/>
      <c r="Y3032" s="3158">
        <v>8.33</v>
      </c>
      <c r="Z3032" s="696">
        <v>8.33</v>
      </c>
      <c r="AA3032" s="696">
        <v>8.33</v>
      </c>
      <c r="AB3032" s="2282">
        <v>8.33</v>
      </c>
      <c r="AC3032" s="2282">
        <v>8.33</v>
      </c>
      <c r="AD3032" s="2857"/>
      <c r="AE3032" s="2857"/>
      <c r="AF3032" s="2857"/>
      <c r="AG3032" s="2857"/>
      <c r="AH3032" s="1942"/>
      <c r="AI3032" s="1942"/>
      <c r="AJ3032" s="1942"/>
      <c r="AK3032" s="1942"/>
      <c r="AL3032" s="1942"/>
      <c r="AM3032" s="1942"/>
      <c r="AN3032" s="1942"/>
      <c r="AO3032" s="1942"/>
      <c r="AP3032" s="1942"/>
      <c r="AQ3032" s="1942"/>
      <c r="AR3032" s="1942"/>
      <c r="AS3032" s="1942"/>
      <c r="AT3032" s="1942"/>
      <c r="AU3032" s="1942"/>
      <c r="AV3032" s="1942"/>
      <c r="AW3032" s="1942"/>
      <c r="AX3032" s="1942"/>
      <c r="AY3032" s="1942"/>
      <c r="AZ3032" s="1942"/>
      <c r="BA3032" s="1942"/>
      <c r="BB3032" s="575"/>
      <c r="BC3032" s="576"/>
      <c r="BD3032" s="678"/>
      <c r="BE3032" s="585"/>
    </row>
    <row r="3033" spans="1:57" s="51" customFormat="1" ht="15" hidden="1" customHeight="1" outlineLevel="1" x14ac:dyDescent="0.25">
      <c r="A3033" s="1267"/>
      <c r="B3033" s="123"/>
      <c r="C3033" s="328"/>
      <c r="D3033" s="3990"/>
      <c r="E3033" s="4009"/>
      <c r="F3033" s="3010" t="str">
        <f>$E$1627</f>
        <v>ASHP-SEER17-Replace_CAC_ElectricHeat_ER2_MF_CompE</v>
      </c>
      <c r="G3033" s="2676"/>
      <c r="H3033" s="2676"/>
      <c r="I3033" s="2677"/>
      <c r="J3033" s="3299" t="str">
        <f>$C$1627</f>
        <v>354151_2019_12_</v>
      </c>
      <c r="K3033" s="2282">
        <v>13</v>
      </c>
      <c r="L3033" s="851"/>
      <c r="M3033" s="2284" t="s">
        <v>1110</v>
      </c>
      <c r="N3033" s="123"/>
      <c r="O3033" s="228"/>
      <c r="P3033" s="228"/>
      <c r="Q3033" s="228"/>
      <c r="R3033" s="228"/>
      <c r="S3033" s="123"/>
      <c r="T3033" s="123"/>
      <c r="U3033" s="123"/>
      <c r="V3033" s="3990"/>
      <c r="W3033" s="2857"/>
      <c r="X3033" s="2857"/>
      <c r="Y3033" s="3158">
        <v>13</v>
      </c>
      <c r="Z3033" s="696">
        <v>13</v>
      </c>
      <c r="AA3033" s="696">
        <v>13</v>
      </c>
      <c r="AB3033" s="2282">
        <v>13</v>
      </c>
      <c r="AC3033" s="2282">
        <v>13</v>
      </c>
      <c r="AD3033" s="2857"/>
      <c r="AE3033" s="2857"/>
      <c r="AF3033" s="2857"/>
      <c r="AG3033" s="2857"/>
      <c r="AH3033" s="1942"/>
      <c r="AI3033" s="1942"/>
      <c r="AJ3033" s="1942"/>
      <c r="AK3033" s="1942"/>
      <c r="AL3033" s="1942"/>
      <c r="AM3033" s="1942"/>
      <c r="AN3033" s="1942"/>
      <c r="AO3033" s="1942"/>
      <c r="AP3033" s="1942"/>
      <c r="AQ3033" s="1942"/>
      <c r="AR3033" s="1942"/>
      <c r="AS3033" s="1942"/>
      <c r="AT3033" s="1942"/>
      <c r="AU3033" s="1942"/>
      <c r="AV3033" s="1942"/>
      <c r="AW3033" s="1942"/>
      <c r="AX3033" s="1942"/>
      <c r="AY3033" s="1942"/>
      <c r="AZ3033" s="1942"/>
      <c r="BA3033" s="1942"/>
      <c r="BB3033" s="575"/>
      <c r="BC3033" s="576"/>
      <c r="BD3033" s="678"/>
      <c r="BE3033" s="585"/>
    </row>
    <row r="3034" spans="1:57" s="1942" customFormat="1" ht="15" hidden="1" customHeight="1" outlineLevel="1" x14ac:dyDescent="0.25">
      <c r="A3034" s="1267"/>
      <c r="B3034" s="123"/>
      <c r="C3034" s="328"/>
      <c r="D3034" s="3990"/>
      <c r="E3034" s="4009"/>
      <c r="F3034" s="3010" t="str">
        <f>$E$1629</f>
        <v>ASHP-SEER17-Replace_CAC_NonElectricHeat_ER1_MF</v>
      </c>
      <c r="G3034" s="2676"/>
      <c r="H3034" s="2676"/>
      <c r="I3034" s="2677"/>
      <c r="J3034" s="3298" t="str">
        <f>$C$1629</f>
        <v>354160_2021_12_</v>
      </c>
      <c r="K3034" s="2228">
        <v>8.33</v>
      </c>
      <c r="L3034" s="851"/>
      <c r="M3034" s="2817" t="s">
        <v>1125</v>
      </c>
      <c r="N3034" s="123"/>
      <c r="O3034" s="228"/>
      <c r="P3034" s="228"/>
      <c r="Q3034" s="228"/>
      <c r="R3034" s="228"/>
      <c r="S3034" s="123"/>
      <c r="T3034" s="123"/>
      <c r="U3034" s="123"/>
      <c r="V3034" s="3990"/>
      <c r="W3034" s="2857"/>
      <c r="X3034" s="2857"/>
      <c r="Y3034" s="3158"/>
      <c r="Z3034" s="696"/>
      <c r="AA3034" s="696"/>
      <c r="AB3034" s="2282"/>
      <c r="AC3034" s="2228">
        <v>8.33</v>
      </c>
      <c r="AD3034" s="2857"/>
      <c r="AE3034" s="2857"/>
      <c r="AF3034" s="2857"/>
      <c r="AG3034" s="2857"/>
      <c r="BB3034" s="575"/>
      <c r="BC3034" s="576"/>
      <c r="BD3034" s="678"/>
      <c r="BE3034" s="585"/>
    </row>
    <row r="3035" spans="1:57" s="1942" customFormat="1" ht="15" hidden="1" customHeight="1" outlineLevel="1" x14ac:dyDescent="0.25">
      <c r="A3035" s="1267"/>
      <c r="B3035" s="123"/>
      <c r="C3035" s="328"/>
      <c r="D3035" s="3990"/>
      <c r="E3035" s="4009"/>
      <c r="F3035" s="3010" t="str">
        <f>$E$1631</f>
        <v>ASHP-SEER17-Replace_CAC_NonElectricHeat_ER2_MF</v>
      </c>
      <c r="G3035" s="2676"/>
      <c r="H3035" s="2676"/>
      <c r="I3035" s="2677"/>
      <c r="J3035" s="3298" t="str">
        <f>$C$1631</f>
        <v>354160_2021_12_</v>
      </c>
      <c r="K3035" s="2228">
        <v>13</v>
      </c>
      <c r="L3035" s="851"/>
      <c r="M3035" s="2817" t="s">
        <v>1110</v>
      </c>
      <c r="N3035" s="123"/>
      <c r="O3035" s="228"/>
      <c r="P3035" s="228"/>
      <c r="Q3035" s="228"/>
      <c r="R3035" s="228"/>
      <c r="S3035" s="123"/>
      <c r="T3035" s="123"/>
      <c r="U3035" s="123"/>
      <c r="V3035" s="3990"/>
      <c r="W3035" s="2857"/>
      <c r="X3035" s="2857"/>
      <c r="Y3035" s="3158"/>
      <c r="Z3035" s="696"/>
      <c r="AA3035" s="696"/>
      <c r="AB3035" s="2282"/>
      <c r="AC3035" s="2228">
        <v>13</v>
      </c>
      <c r="AD3035" s="2857"/>
      <c r="AE3035" s="2857"/>
      <c r="AF3035" s="2857"/>
      <c r="AG3035" s="2857"/>
      <c r="BB3035" s="575"/>
      <c r="BC3035" s="576"/>
      <c r="BD3035" s="678"/>
      <c r="BE3035" s="585"/>
    </row>
    <row r="3036" spans="1:57" s="1942" customFormat="1" ht="15" hidden="1" customHeight="1" outlineLevel="1" x14ac:dyDescent="0.25">
      <c r="A3036" s="1267"/>
      <c r="B3036" s="123"/>
      <c r="C3036" s="328"/>
      <c r="D3036" s="3990"/>
      <c r="E3036" s="4009"/>
      <c r="F3036" s="3010" t="str">
        <f>$E$1633</f>
        <v>ASHP-SEER17-Replace_CAC_NonElectricHeat_ER1_MF_CompE</v>
      </c>
      <c r="G3036" s="2676"/>
      <c r="H3036" s="2676"/>
      <c r="I3036" s="2677"/>
      <c r="J3036" s="3298" t="str">
        <f>$C$1633</f>
        <v>354161_2021_12_</v>
      </c>
      <c r="K3036" s="2228">
        <v>8.33</v>
      </c>
      <c r="L3036" s="851"/>
      <c r="M3036" s="2817" t="s">
        <v>1125</v>
      </c>
      <c r="N3036" s="123"/>
      <c r="O3036" s="228"/>
      <c r="P3036" s="228"/>
      <c r="Q3036" s="228"/>
      <c r="R3036" s="228"/>
      <c r="S3036" s="123"/>
      <c r="T3036" s="123"/>
      <c r="U3036" s="123"/>
      <c r="V3036" s="3990"/>
      <c r="W3036" s="2857"/>
      <c r="X3036" s="2857"/>
      <c r="Y3036" s="3158"/>
      <c r="Z3036" s="696"/>
      <c r="AA3036" s="696"/>
      <c r="AB3036" s="2282"/>
      <c r="AC3036" s="2228">
        <v>8.33</v>
      </c>
      <c r="AD3036" s="2857"/>
      <c r="AE3036" s="2857"/>
      <c r="AF3036" s="2857"/>
      <c r="AG3036" s="2857"/>
      <c r="BB3036" s="575"/>
      <c r="BC3036" s="576"/>
      <c r="BD3036" s="678"/>
      <c r="BE3036" s="585"/>
    </row>
    <row r="3037" spans="1:57" s="1942" customFormat="1" ht="15" hidden="1" customHeight="1" outlineLevel="1" x14ac:dyDescent="0.25">
      <c r="A3037" s="1267"/>
      <c r="B3037" s="123"/>
      <c r="C3037" s="328"/>
      <c r="D3037" s="3990"/>
      <c r="E3037" s="4009"/>
      <c r="F3037" s="3010" t="str">
        <f>$E$1635</f>
        <v>ASHP-SEER17-Replace_CAC_NonElectricHeat_ER2_MF_CompE</v>
      </c>
      <c r="G3037" s="2676"/>
      <c r="H3037" s="2676"/>
      <c r="I3037" s="2677"/>
      <c r="J3037" s="3298" t="str">
        <f>$C$1635</f>
        <v>354161_2021_12_</v>
      </c>
      <c r="K3037" s="2228">
        <v>13</v>
      </c>
      <c r="L3037" s="851"/>
      <c r="M3037" s="2817" t="s">
        <v>1110</v>
      </c>
      <c r="N3037" s="123"/>
      <c r="O3037" s="228"/>
      <c r="P3037" s="228"/>
      <c r="Q3037" s="228"/>
      <c r="R3037" s="228"/>
      <c r="S3037" s="123"/>
      <c r="T3037" s="123"/>
      <c r="U3037" s="123"/>
      <c r="V3037" s="3990"/>
      <c r="W3037" s="2857"/>
      <c r="X3037" s="2857"/>
      <c r="Y3037" s="3158"/>
      <c r="Z3037" s="696"/>
      <c r="AA3037" s="696"/>
      <c r="AB3037" s="2282"/>
      <c r="AC3037" s="2228">
        <v>13</v>
      </c>
      <c r="AD3037" s="2857"/>
      <c r="AE3037" s="2857"/>
      <c r="AF3037" s="2857"/>
      <c r="AG3037" s="2857"/>
      <c r="BB3037" s="575"/>
      <c r="BC3037" s="576"/>
      <c r="BD3037" s="678"/>
      <c r="BE3037" s="585"/>
    </row>
    <row r="3038" spans="1:57" s="51" customFormat="1" ht="15" hidden="1" customHeight="1" outlineLevel="1" x14ac:dyDescent="0.25">
      <c r="A3038" s="1267"/>
      <c r="B3038" s="123"/>
      <c r="C3038" s="328"/>
      <c r="D3038" s="3990"/>
      <c r="E3038" s="4009"/>
      <c r="F3038" s="3010" t="str">
        <f>$E$1637</f>
        <v>ASHP-SEER17_ER1_MF</v>
      </c>
      <c r="G3038" s="2676"/>
      <c r="H3038" s="2676"/>
      <c r="I3038" s="2677"/>
      <c r="J3038" s="3299" t="str">
        <f>$C$1637</f>
        <v>354200_2019_12_</v>
      </c>
      <c r="K3038" s="2282">
        <v>8.33</v>
      </c>
      <c r="L3038" s="851"/>
      <c r="M3038" s="2284" t="s">
        <v>1110</v>
      </c>
      <c r="N3038" s="123"/>
      <c r="O3038" s="228"/>
      <c r="P3038" s="228"/>
      <c r="Q3038" s="228"/>
      <c r="R3038" s="228"/>
      <c r="S3038" s="123"/>
      <c r="T3038" s="123"/>
      <c r="U3038" s="123"/>
      <c r="V3038" s="3990"/>
      <c r="W3038" s="2857">
        <v>7.2</v>
      </c>
      <c r="X3038" s="3155">
        <v>8.33</v>
      </c>
      <c r="Y3038" s="696">
        <v>8.33</v>
      </c>
      <c r="Z3038" s="696">
        <v>8.33</v>
      </c>
      <c r="AA3038" s="696">
        <v>8.33</v>
      </c>
      <c r="AB3038" s="2282">
        <v>8.33</v>
      </c>
      <c r="AC3038" s="2282">
        <v>8.33</v>
      </c>
      <c r="AD3038" s="2857"/>
      <c r="AE3038" s="2857"/>
      <c r="AF3038" s="2857"/>
      <c r="AG3038" s="2857"/>
      <c r="AH3038" s="1942"/>
      <c r="AI3038" s="1942"/>
      <c r="AJ3038" s="1942"/>
      <c r="AK3038" s="1942"/>
      <c r="AL3038" s="1942"/>
      <c r="AM3038" s="1942"/>
      <c r="AN3038" s="1942"/>
      <c r="AO3038" s="1942"/>
      <c r="AP3038" s="1942"/>
      <c r="AQ3038" s="1942"/>
      <c r="AR3038" s="1942"/>
      <c r="AS3038" s="1942"/>
      <c r="AT3038" s="1942"/>
      <c r="AU3038" s="1942"/>
      <c r="AV3038" s="1942"/>
      <c r="AW3038" s="1942"/>
      <c r="AX3038" s="1942"/>
      <c r="AY3038" s="1942"/>
      <c r="AZ3038" s="1942"/>
      <c r="BA3038" s="1942"/>
      <c r="BB3038" s="575"/>
      <c r="BC3038" s="576"/>
      <c r="BD3038" s="678"/>
      <c r="BE3038" s="585"/>
    </row>
    <row r="3039" spans="1:57" s="51" customFormat="1" ht="15" hidden="1" customHeight="1" outlineLevel="1" x14ac:dyDescent="0.25">
      <c r="A3039" s="1267"/>
      <c r="B3039" s="123"/>
      <c r="C3039" s="328"/>
      <c r="D3039" s="3990"/>
      <c r="E3039" s="4009"/>
      <c r="F3039" s="3010" t="str">
        <f>$E$1639</f>
        <v>ASHP-SEER17_ER2_MF</v>
      </c>
      <c r="G3039" s="2676"/>
      <c r="H3039" s="2676"/>
      <c r="I3039" s="2677"/>
      <c r="J3039" s="3299" t="str">
        <f>$C$1639</f>
        <v>354200_2019_12_</v>
      </c>
      <c r="K3039" s="2282">
        <v>14</v>
      </c>
      <c r="L3039" s="851"/>
      <c r="M3039" s="2284" t="s">
        <v>1110</v>
      </c>
      <c r="N3039" s="123"/>
      <c r="O3039" s="228"/>
      <c r="P3039" s="228"/>
      <c r="Q3039" s="228"/>
      <c r="R3039" s="228"/>
      <c r="S3039" s="123"/>
      <c r="T3039" s="123"/>
      <c r="U3039" s="123"/>
      <c r="V3039" s="3990"/>
      <c r="W3039" s="2857">
        <v>14</v>
      </c>
      <c r="X3039" s="2857">
        <v>14</v>
      </c>
      <c r="Y3039" s="696">
        <v>14</v>
      </c>
      <c r="Z3039" s="696">
        <v>14</v>
      </c>
      <c r="AA3039" s="696">
        <v>14</v>
      </c>
      <c r="AB3039" s="2282">
        <v>14</v>
      </c>
      <c r="AC3039" s="2282">
        <v>14</v>
      </c>
      <c r="AD3039" s="2857"/>
      <c r="AE3039" s="2857"/>
      <c r="AF3039" s="2857"/>
      <c r="AG3039" s="2857"/>
      <c r="AH3039" s="1942"/>
      <c r="AI3039" s="1942"/>
      <c r="AJ3039" s="1942"/>
      <c r="AK3039" s="1942"/>
      <c r="AL3039" s="1942"/>
      <c r="AM3039" s="1942"/>
      <c r="AN3039" s="1942"/>
      <c r="AO3039" s="1942"/>
      <c r="AP3039" s="1942"/>
      <c r="AQ3039" s="1942"/>
      <c r="AR3039" s="1942"/>
      <c r="AS3039" s="1942"/>
      <c r="AT3039" s="1942"/>
      <c r="AU3039" s="1942"/>
      <c r="AV3039" s="1942"/>
      <c r="AW3039" s="1942"/>
      <c r="AX3039" s="1942"/>
      <c r="AY3039" s="1942"/>
      <c r="AZ3039" s="1942"/>
      <c r="BA3039" s="1942"/>
      <c r="BB3039" s="575"/>
      <c r="BC3039" s="576"/>
      <c r="BD3039" s="678"/>
      <c r="BE3039" s="585"/>
    </row>
    <row r="3040" spans="1:57" s="51" customFormat="1" ht="15" hidden="1" customHeight="1" outlineLevel="1" x14ac:dyDescent="0.25">
      <c r="A3040" s="1267"/>
      <c r="B3040" s="123"/>
      <c r="C3040" s="328"/>
      <c r="D3040" s="3990"/>
      <c r="E3040" s="4009"/>
      <c r="F3040" s="3010" t="str">
        <f>$E$1641</f>
        <v>ASHP-SEER17_ER1_MF_CompE</v>
      </c>
      <c r="G3040" s="2676"/>
      <c r="H3040" s="2676"/>
      <c r="I3040" s="2677"/>
      <c r="J3040" s="3299" t="str">
        <f>$C$1641</f>
        <v>354201_2019_12_</v>
      </c>
      <c r="K3040" s="2282">
        <v>8.33</v>
      </c>
      <c r="L3040" s="851"/>
      <c r="M3040" s="2284" t="s">
        <v>1110</v>
      </c>
      <c r="N3040" s="123"/>
      <c r="O3040" s="228"/>
      <c r="P3040" s="228"/>
      <c r="Q3040" s="228"/>
      <c r="R3040" s="228"/>
      <c r="S3040" s="123"/>
      <c r="T3040" s="123"/>
      <c r="U3040" s="123"/>
      <c r="V3040" s="3990"/>
      <c r="W3040" s="2857"/>
      <c r="X3040" s="2857"/>
      <c r="Y3040" s="3158">
        <v>8.33</v>
      </c>
      <c r="Z3040" s="696">
        <v>8.33</v>
      </c>
      <c r="AA3040" s="696">
        <v>8.33</v>
      </c>
      <c r="AB3040" s="2282">
        <v>8.33</v>
      </c>
      <c r="AC3040" s="2282">
        <v>8.33</v>
      </c>
      <c r="AD3040" s="2857"/>
      <c r="AE3040" s="2857"/>
      <c r="AF3040" s="2857"/>
      <c r="AG3040" s="2857"/>
      <c r="AH3040" s="1942"/>
      <c r="AI3040" s="1942"/>
      <c r="AJ3040" s="1942"/>
      <c r="AK3040" s="1942"/>
      <c r="AL3040" s="1942"/>
      <c r="AM3040" s="1942"/>
      <c r="AN3040" s="1942"/>
      <c r="AO3040" s="1942"/>
      <c r="AP3040" s="1942"/>
      <c r="AQ3040" s="1942"/>
      <c r="AR3040" s="1942"/>
      <c r="AS3040" s="1942"/>
      <c r="AT3040" s="1942"/>
      <c r="AU3040" s="1942"/>
      <c r="AV3040" s="1942"/>
      <c r="AW3040" s="1942"/>
      <c r="AX3040" s="1942"/>
      <c r="AY3040" s="1942"/>
      <c r="AZ3040" s="1942"/>
      <c r="BA3040" s="1942"/>
      <c r="BB3040" s="575"/>
      <c r="BC3040" s="576"/>
      <c r="BD3040" s="678"/>
      <c r="BE3040" s="585"/>
    </row>
    <row r="3041" spans="1:57" s="51" customFormat="1" ht="15" hidden="1" customHeight="1" outlineLevel="1" x14ac:dyDescent="0.25">
      <c r="A3041" s="1267"/>
      <c r="B3041" s="123"/>
      <c r="C3041" s="328"/>
      <c r="D3041" s="3990"/>
      <c r="E3041" s="4009"/>
      <c r="F3041" s="3010" t="str">
        <f>$E$1643</f>
        <v>ASHP-SEER17_ER2_MF_CompE</v>
      </c>
      <c r="G3041" s="2676"/>
      <c r="H3041" s="2676"/>
      <c r="I3041" s="2677"/>
      <c r="J3041" s="3299" t="str">
        <f>$C$1643</f>
        <v>354201_2019_12_</v>
      </c>
      <c r="K3041" s="2282">
        <v>14</v>
      </c>
      <c r="L3041" s="851"/>
      <c r="M3041" s="2284" t="s">
        <v>1110</v>
      </c>
      <c r="N3041" s="123"/>
      <c r="O3041" s="228"/>
      <c r="P3041" s="228"/>
      <c r="Q3041" s="228"/>
      <c r="R3041" s="228"/>
      <c r="S3041" s="123"/>
      <c r="T3041" s="123"/>
      <c r="U3041" s="123"/>
      <c r="V3041" s="3990"/>
      <c r="W3041" s="2857"/>
      <c r="X3041" s="2857"/>
      <c r="Y3041" s="3158">
        <v>14</v>
      </c>
      <c r="Z3041" s="696">
        <v>14</v>
      </c>
      <c r="AA3041" s="696">
        <v>14</v>
      </c>
      <c r="AB3041" s="2282">
        <v>14</v>
      </c>
      <c r="AC3041" s="2282">
        <v>14</v>
      </c>
      <c r="AD3041" s="2857"/>
      <c r="AE3041" s="2857"/>
      <c r="AF3041" s="2857"/>
      <c r="AG3041" s="2857"/>
      <c r="AH3041" s="1942"/>
      <c r="AI3041" s="1942"/>
      <c r="AJ3041" s="1942"/>
      <c r="AK3041" s="1942"/>
      <c r="AL3041" s="1942"/>
      <c r="AM3041" s="1942"/>
      <c r="AN3041" s="1942"/>
      <c r="AO3041" s="1942"/>
      <c r="AP3041" s="1942"/>
      <c r="AQ3041" s="1942"/>
      <c r="AR3041" s="1942"/>
      <c r="AS3041" s="1942"/>
      <c r="AT3041" s="1942"/>
      <c r="AU3041" s="1942"/>
      <c r="AV3041" s="1942"/>
      <c r="AW3041" s="1942"/>
      <c r="AX3041" s="1942"/>
      <c r="AY3041" s="1942"/>
      <c r="AZ3041" s="1942"/>
      <c r="BA3041" s="1942"/>
      <c r="BB3041" s="575"/>
      <c r="BC3041" s="576"/>
      <c r="BD3041" s="678"/>
      <c r="BE3041" s="585"/>
    </row>
    <row r="3042" spans="1:57" s="51" customFormat="1" ht="15" hidden="1" customHeight="1" outlineLevel="1" x14ac:dyDescent="0.25">
      <c r="A3042" s="1267"/>
      <c r="B3042" s="123"/>
      <c r="C3042" s="328"/>
      <c r="D3042" s="3990"/>
      <c r="E3042" s="4009"/>
      <c r="F3042" s="3010" t="str">
        <f>$E$1645</f>
        <v>ASHP-SEER18-Replace_CAC_ElectricHeat_ER1_SF</v>
      </c>
      <c r="G3042" s="2676"/>
      <c r="H3042" s="2676"/>
      <c r="I3042" s="2677"/>
      <c r="J3042" s="3298" t="str">
        <f>$C$1645</f>
        <v>354250_2021_12_</v>
      </c>
      <c r="K3042" s="2228">
        <v>8.4215383390942158</v>
      </c>
      <c r="L3042" s="851"/>
      <c r="M3042" s="2723" t="s">
        <v>1005</v>
      </c>
      <c r="N3042" s="123"/>
      <c r="O3042" s="228"/>
      <c r="P3042" s="228"/>
      <c r="Q3042" s="228"/>
      <c r="R3042" s="228"/>
      <c r="S3042" s="123"/>
      <c r="T3042" s="123"/>
      <c r="U3042" s="123"/>
      <c r="V3042" s="3990"/>
      <c r="W3042" s="2857">
        <v>6.8</v>
      </c>
      <c r="X3042" s="3155">
        <v>8.33</v>
      </c>
      <c r="Y3042" s="696">
        <v>8.33</v>
      </c>
      <c r="Z3042" s="696">
        <v>8.33</v>
      </c>
      <c r="AA3042" s="696">
        <v>8.33</v>
      </c>
      <c r="AB3042" s="2228">
        <v>7.6973343211156395</v>
      </c>
      <c r="AC3042" s="2228">
        <v>8.4215383390942158</v>
      </c>
      <c r="AD3042" s="2857"/>
      <c r="AE3042" s="2857"/>
      <c r="AF3042" s="2857"/>
      <c r="AG3042" s="2857"/>
      <c r="AH3042" s="1942"/>
      <c r="AI3042" s="1942"/>
      <c r="AJ3042" s="1942"/>
      <c r="AK3042" s="1942"/>
      <c r="AL3042" s="1942"/>
      <c r="AM3042" s="1942"/>
      <c r="AN3042" s="1942"/>
      <c r="AO3042" s="1942"/>
      <c r="AP3042" s="1942"/>
      <c r="AQ3042" s="1942"/>
      <c r="AR3042" s="1942"/>
      <c r="AS3042" s="1942"/>
      <c r="AT3042" s="1942"/>
      <c r="AU3042" s="1942"/>
      <c r="AV3042" s="1942"/>
      <c r="AW3042" s="1942"/>
      <c r="AX3042" s="1942"/>
      <c r="AY3042" s="1942"/>
      <c r="AZ3042" s="1942"/>
      <c r="BA3042" s="1942"/>
      <c r="BB3042" s="575"/>
      <c r="BC3042" s="576"/>
      <c r="BD3042" s="678"/>
      <c r="BE3042" s="585"/>
    </row>
    <row r="3043" spans="1:57" s="51" customFormat="1" ht="15" hidden="1" customHeight="1" outlineLevel="1" x14ac:dyDescent="0.25">
      <c r="A3043" s="1267"/>
      <c r="B3043" s="123"/>
      <c r="C3043" s="328"/>
      <c r="D3043" s="3990"/>
      <c r="E3043" s="4009"/>
      <c r="F3043" s="3010" t="str">
        <f>$E$1647</f>
        <v>ASHP-SEER18-Replace_CAC_ElectricHeat_ER2_SF</v>
      </c>
      <c r="G3043" s="2676"/>
      <c r="H3043" s="2676"/>
      <c r="I3043" s="2677"/>
      <c r="J3043" s="3298" t="str">
        <f>$C$1647</f>
        <v>354250_2021_12_</v>
      </c>
      <c r="K3043" s="2282">
        <v>13</v>
      </c>
      <c r="L3043" s="851"/>
      <c r="M3043" s="2284" t="s">
        <v>1110</v>
      </c>
      <c r="N3043" s="123"/>
      <c r="O3043" s="228"/>
      <c r="P3043" s="228"/>
      <c r="Q3043" s="228"/>
      <c r="R3043" s="228"/>
      <c r="S3043" s="123"/>
      <c r="T3043" s="123"/>
      <c r="U3043" s="123"/>
      <c r="V3043" s="3990"/>
      <c r="W3043" s="2857">
        <v>13</v>
      </c>
      <c r="X3043" s="2857">
        <v>13</v>
      </c>
      <c r="Y3043" s="696">
        <v>13</v>
      </c>
      <c r="Z3043" s="696">
        <v>13</v>
      </c>
      <c r="AA3043" s="696">
        <v>13</v>
      </c>
      <c r="AB3043" s="2282">
        <v>13</v>
      </c>
      <c r="AC3043" s="2282">
        <v>13</v>
      </c>
      <c r="AD3043" s="2857"/>
      <c r="AE3043" s="2857"/>
      <c r="AF3043" s="2857"/>
      <c r="AG3043" s="2857"/>
      <c r="AH3043" s="1942"/>
      <c r="AI3043" s="1942"/>
      <c r="AJ3043" s="1942"/>
      <c r="AK3043" s="1942"/>
      <c r="AL3043" s="1942"/>
      <c r="AM3043" s="1942"/>
      <c r="AN3043" s="1942"/>
      <c r="AO3043" s="1942"/>
      <c r="AP3043" s="1942"/>
      <c r="AQ3043" s="1942"/>
      <c r="AR3043" s="1942"/>
      <c r="AS3043" s="1942"/>
      <c r="AT3043" s="1942"/>
      <c r="AU3043" s="1942"/>
      <c r="AV3043" s="1942"/>
      <c r="AW3043" s="1942"/>
      <c r="AX3043" s="1942"/>
      <c r="AY3043" s="1942"/>
      <c r="AZ3043" s="1942"/>
      <c r="BA3043" s="1942"/>
      <c r="BB3043" s="575"/>
      <c r="BC3043" s="576"/>
      <c r="BD3043" s="678"/>
      <c r="BE3043" s="585"/>
    </row>
    <row r="3044" spans="1:57" s="1942" customFormat="1" ht="15" hidden="1" customHeight="1" outlineLevel="1" x14ac:dyDescent="0.25">
      <c r="A3044" s="1267"/>
      <c r="B3044" s="123"/>
      <c r="C3044" s="328"/>
      <c r="D3044" s="3990"/>
      <c r="E3044" s="4009"/>
      <c r="F3044" s="3010" t="str">
        <f>$E$1649</f>
        <v>ASHP-SEER18-Replace_CAC_NonElectricHeat_ER1_SF</v>
      </c>
      <c r="G3044" s="2676"/>
      <c r="H3044" s="2676"/>
      <c r="I3044" s="2677"/>
      <c r="J3044" s="3298" t="str">
        <f>$C$1649</f>
        <v>354260_2021_12_</v>
      </c>
      <c r="K3044" s="2228">
        <v>8.4215383390942158</v>
      </c>
      <c r="L3044" s="851"/>
      <c r="M3044" s="2817" t="s">
        <v>1125</v>
      </c>
      <c r="N3044" s="123"/>
      <c r="O3044" s="228"/>
      <c r="P3044" s="228"/>
      <c r="Q3044" s="228"/>
      <c r="R3044" s="228"/>
      <c r="S3044" s="123"/>
      <c r="T3044" s="123"/>
      <c r="U3044" s="123"/>
      <c r="V3044" s="3990"/>
      <c r="W3044" s="2857"/>
      <c r="X3044" s="2857"/>
      <c r="Y3044" s="696"/>
      <c r="Z3044" s="696"/>
      <c r="AA3044" s="696"/>
      <c r="AB3044" s="2282"/>
      <c r="AC3044" s="2228">
        <v>8.4215383390942158</v>
      </c>
      <c r="AD3044" s="2857"/>
      <c r="AE3044" s="2857"/>
      <c r="AF3044" s="2857"/>
      <c r="AG3044" s="2857"/>
      <c r="BB3044" s="575"/>
      <c r="BC3044" s="576"/>
      <c r="BD3044" s="678"/>
      <c r="BE3044" s="585"/>
    </row>
    <row r="3045" spans="1:57" s="1942" customFormat="1" ht="15" hidden="1" customHeight="1" outlineLevel="1" x14ac:dyDescent="0.25">
      <c r="A3045" s="1267"/>
      <c r="B3045" s="123"/>
      <c r="C3045" s="328"/>
      <c r="D3045" s="3990"/>
      <c r="E3045" s="4009"/>
      <c r="F3045" s="3010" t="str">
        <f>$E$1651</f>
        <v>ASHP-SEER18-Replace_CAC_NonElectricHeat_ER2_SF</v>
      </c>
      <c r="G3045" s="2676"/>
      <c r="H3045" s="2676"/>
      <c r="I3045" s="2677"/>
      <c r="J3045" s="3298" t="str">
        <f>$C$1651</f>
        <v>354260_2021_12_</v>
      </c>
      <c r="K3045" s="2228">
        <v>13</v>
      </c>
      <c r="L3045" s="851"/>
      <c r="M3045" s="2817" t="s">
        <v>1110</v>
      </c>
      <c r="N3045" s="123"/>
      <c r="O3045" s="228"/>
      <c r="P3045" s="228"/>
      <c r="Q3045" s="228"/>
      <c r="R3045" s="228"/>
      <c r="S3045" s="123"/>
      <c r="T3045" s="123"/>
      <c r="U3045" s="123"/>
      <c r="V3045" s="3990"/>
      <c r="W3045" s="2857"/>
      <c r="X3045" s="2857"/>
      <c r="Y3045" s="696"/>
      <c r="Z3045" s="696"/>
      <c r="AA3045" s="696"/>
      <c r="AB3045" s="2282"/>
      <c r="AC3045" s="2228">
        <v>13</v>
      </c>
      <c r="AD3045" s="2857"/>
      <c r="AE3045" s="2857"/>
      <c r="AF3045" s="2857"/>
      <c r="AG3045" s="2857"/>
      <c r="BB3045" s="575"/>
      <c r="BC3045" s="576"/>
      <c r="BD3045" s="678"/>
      <c r="BE3045" s="585"/>
    </row>
    <row r="3046" spans="1:57" s="51" customFormat="1" ht="15" hidden="1" customHeight="1" outlineLevel="1" x14ac:dyDescent="0.25">
      <c r="A3046" s="1267"/>
      <c r="B3046" s="123"/>
      <c r="C3046" s="328"/>
      <c r="D3046" s="3990"/>
      <c r="E3046" s="4009"/>
      <c r="F3046" s="3010" t="str">
        <f>$E$1653</f>
        <v>ASHP-SEER18-Replace_CAC_ElectricHeat_ER1_MF</v>
      </c>
      <c r="G3046" s="2676"/>
      <c r="H3046" s="2676"/>
      <c r="I3046" s="2677"/>
      <c r="J3046" s="3298" t="str">
        <f>$C$1653</f>
        <v>354300_2021_12_</v>
      </c>
      <c r="K3046" s="2228">
        <v>5.4170996929996953</v>
      </c>
      <c r="L3046" s="851"/>
      <c r="M3046" s="2723" t="s">
        <v>1005</v>
      </c>
      <c r="N3046" s="123"/>
      <c r="O3046" s="228"/>
      <c r="P3046" s="228"/>
      <c r="Q3046" s="228"/>
      <c r="R3046" s="228"/>
      <c r="S3046" s="123"/>
      <c r="T3046" s="123"/>
      <c r="U3046" s="123"/>
      <c r="V3046" s="3990"/>
      <c r="W3046" s="2857">
        <v>6.8</v>
      </c>
      <c r="X3046" s="3155">
        <v>8.33</v>
      </c>
      <c r="Y3046" s="696">
        <v>8.33</v>
      </c>
      <c r="Z3046" s="696">
        <v>8.33</v>
      </c>
      <c r="AA3046" s="696">
        <v>8.33</v>
      </c>
      <c r="AB3046" s="2228">
        <v>6.541205533836111</v>
      </c>
      <c r="AC3046" s="2228">
        <v>5.4170996929996953</v>
      </c>
      <c r="AD3046" s="2857"/>
      <c r="AE3046" s="2857"/>
      <c r="AF3046" s="2857"/>
      <c r="AG3046" s="2857"/>
      <c r="AH3046" s="1942"/>
      <c r="AI3046" s="1942"/>
      <c r="AJ3046" s="1942"/>
      <c r="AK3046" s="1942"/>
      <c r="AL3046" s="1942"/>
      <c r="AM3046" s="1942"/>
      <c r="AN3046" s="1942"/>
      <c r="AO3046" s="1942"/>
      <c r="AP3046" s="1942"/>
      <c r="AQ3046" s="1942"/>
      <c r="AR3046" s="1942"/>
      <c r="AS3046" s="1942"/>
      <c r="AT3046" s="1942"/>
      <c r="AU3046" s="1942"/>
      <c r="AV3046" s="1942"/>
      <c r="AW3046" s="1942"/>
      <c r="AX3046" s="1942"/>
      <c r="AY3046" s="1942"/>
      <c r="AZ3046" s="1942"/>
      <c r="BA3046" s="1942"/>
      <c r="BB3046" s="575"/>
      <c r="BC3046" s="576"/>
      <c r="BD3046" s="678"/>
      <c r="BE3046" s="585"/>
    </row>
    <row r="3047" spans="1:57" s="51" customFormat="1" ht="15" hidden="1" customHeight="1" outlineLevel="1" x14ac:dyDescent="0.25">
      <c r="A3047" s="1267"/>
      <c r="B3047" s="123"/>
      <c r="C3047" s="328"/>
      <c r="D3047" s="3990"/>
      <c r="E3047" s="4009"/>
      <c r="F3047" s="3010" t="str">
        <f>$E$1655</f>
        <v>ASHP-SEER18-Replace_CAC_ElectricHeat_ER2_MF</v>
      </c>
      <c r="G3047" s="2676"/>
      <c r="H3047" s="2676"/>
      <c r="I3047" s="2677"/>
      <c r="J3047" s="3298" t="str">
        <f>$C$1655</f>
        <v>354300_2021_12_</v>
      </c>
      <c r="K3047" s="2282">
        <v>13</v>
      </c>
      <c r="L3047" s="851"/>
      <c r="M3047" s="2284" t="s">
        <v>1110</v>
      </c>
      <c r="N3047" s="123"/>
      <c r="O3047" s="228"/>
      <c r="P3047" s="228"/>
      <c r="Q3047" s="228"/>
      <c r="R3047" s="228"/>
      <c r="S3047" s="123"/>
      <c r="T3047" s="123"/>
      <c r="U3047" s="123"/>
      <c r="V3047" s="3990"/>
      <c r="W3047" s="2857">
        <v>13</v>
      </c>
      <c r="X3047" s="2857">
        <v>13</v>
      </c>
      <c r="Y3047" s="696">
        <v>13</v>
      </c>
      <c r="Z3047" s="696">
        <v>13</v>
      </c>
      <c r="AA3047" s="696">
        <v>13</v>
      </c>
      <c r="AB3047" s="2282">
        <v>13</v>
      </c>
      <c r="AC3047" s="2282">
        <v>13</v>
      </c>
      <c r="AD3047" s="2857"/>
      <c r="AE3047" s="2857"/>
      <c r="AF3047" s="2857"/>
      <c r="AG3047" s="2857"/>
      <c r="AH3047" s="1942"/>
      <c r="AI3047" s="1942"/>
      <c r="AJ3047" s="1942"/>
      <c r="AK3047" s="1942"/>
      <c r="AL3047" s="1942"/>
      <c r="AM3047" s="1942"/>
      <c r="AN3047" s="1942"/>
      <c r="AO3047" s="1942"/>
      <c r="AP3047" s="1942"/>
      <c r="AQ3047" s="1942"/>
      <c r="AR3047" s="1942"/>
      <c r="AS3047" s="1942"/>
      <c r="AT3047" s="1942"/>
      <c r="AU3047" s="1942"/>
      <c r="AV3047" s="1942"/>
      <c r="AW3047" s="1942"/>
      <c r="AX3047" s="1942"/>
      <c r="AY3047" s="1942"/>
      <c r="AZ3047" s="1942"/>
      <c r="BA3047" s="1942"/>
      <c r="BB3047" s="575"/>
      <c r="BC3047" s="576"/>
      <c r="BD3047" s="678"/>
      <c r="BE3047" s="585"/>
    </row>
    <row r="3048" spans="1:57" s="51" customFormat="1" ht="15" hidden="1" customHeight="1" outlineLevel="1" x14ac:dyDescent="0.25">
      <c r="A3048" s="1267"/>
      <c r="B3048" s="123"/>
      <c r="C3048" s="328"/>
      <c r="D3048" s="3990"/>
      <c r="E3048" s="4009"/>
      <c r="F3048" s="3010" t="str">
        <f>$E$1657</f>
        <v>ASHP-SEER18-Replace_CAC_ElectricHeat_ER1_MF_CompE</v>
      </c>
      <c r="G3048" s="2676"/>
      <c r="H3048" s="2676"/>
      <c r="I3048" s="2677"/>
      <c r="J3048" s="3298" t="str">
        <f>$C$1657</f>
        <v>354301_2021_12_</v>
      </c>
      <c r="K3048" s="2282">
        <v>8.33</v>
      </c>
      <c r="L3048" s="851"/>
      <c r="M3048" s="2284" t="s">
        <v>1110</v>
      </c>
      <c r="N3048" s="123"/>
      <c r="O3048" s="228"/>
      <c r="P3048" s="228"/>
      <c r="Q3048" s="228"/>
      <c r="R3048" s="228"/>
      <c r="S3048" s="123"/>
      <c r="T3048" s="123"/>
      <c r="U3048" s="123"/>
      <c r="V3048" s="3990"/>
      <c r="W3048" s="2857"/>
      <c r="X3048" s="2857"/>
      <c r="Y3048" s="3158">
        <v>8.33</v>
      </c>
      <c r="Z3048" s="696">
        <v>8.33</v>
      </c>
      <c r="AA3048" s="696">
        <v>8.33</v>
      </c>
      <c r="AB3048" s="2282">
        <v>8.33</v>
      </c>
      <c r="AC3048" s="2282">
        <v>8.33</v>
      </c>
      <c r="AD3048" s="2857"/>
      <c r="AE3048" s="2857"/>
      <c r="AF3048" s="2857"/>
      <c r="AG3048" s="2857"/>
      <c r="AH3048" s="1942"/>
      <c r="AI3048" s="1942"/>
      <c r="AJ3048" s="1942"/>
      <c r="AK3048" s="1942"/>
      <c r="AL3048" s="1942"/>
      <c r="AM3048" s="1942"/>
      <c r="AN3048" s="1942"/>
      <c r="AO3048" s="1942"/>
      <c r="AP3048" s="1942"/>
      <c r="AQ3048" s="1942"/>
      <c r="AR3048" s="1942"/>
      <c r="AS3048" s="1942"/>
      <c r="AT3048" s="1942"/>
      <c r="AU3048" s="1942"/>
      <c r="AV3048" s="1942"/>
      <c r="AW3048" s="1942"/>
      <c r="AX3048" s="1942"/>
      <c r="AY3048" s="1942"/>
      <c r="AZ3048" s="1942"/>
      <c r="BA3048" s="1942"/>
      <c r="BB3048" s="575"/>
      <c r="BC3048" s="576"/>
      <c r="BD3048" s="678"/>
      <c r="BE3048" s="585"/>
    </row>
    <row r="3049" spans="1:57" s="51" customFormat="1" ht="15" hidden="1" customHeight="1" outlineLevel="1" x14ac:dyDescent="0.25">
      <c r="A3049" s="1267"/>
      <c r="B3049" s="123"/>
      <c r="C3049" s="328"/>
      <c r="D3049" s="3990"/>
      <c r="E3049" s="4009"/>
      <c r="F3049" s="3010" t="str">
        <f>$E$1659</f>
        <v>ASHP-SEER18-Replace_CAC_ElectricHeat_ER2_MF_CompE</v>
      </c>
      <c r="G3049" s="2676"/>
      <c r="H3049" s="2676"/>
      <c r="I3049" s="2677"/>
      <c r="J3049" s="3298" t="str">
        <f>$C$1659</f>
        <v>354301_2021_12_</v>
      </c>
      <c r="K3049" s="2282">
        <v>13</v>
      </c>
      <c r="L3049" s="851"/>
      <c r="M3049" s="2284" t="s">
        <v>1110</v>
      </c>
      <c r="N3049" s="123"/>
      <c r="O3049" s="228"/>
      <c r="P3049" s="228"/>
      <c r="Q3049" s="228"/>
      <c r="R3049" s="228"/>
      <c r="S3049" s="123"/>
      <c r="T3049" s="123"/>
      <c r="U3049" s="123"/>
      <c r="V3049" s="3990"/>
      <c r="W3049" s="2857"/>
      <c r="X3049" s="2857"/>
      <c r="Y3049" s="3158">
        <v>13</v>
      </c>
      <c r="Z3049" s="696">
        <v>13</v>
      </c>
      <c r="AA3049" s="696">
        <v>13</v>
      </c>
      <c r="AB3049" s="2282">
        <v>13</v>
      </c>
      <c r="AC3049" s="2282">
        <v>13</v>
      </c>
      <c r="AD3049" s="2857"/>
      <c r="AE3049" s="2857"/>
      <c r="AF3049" s="2857"/>
      <c r="AG3049" s="2857"/>
      <c r="AH3049" s="1942"/>
      <c r="AI3049" s="1942"/>
      <c r="AJ3049" s="1942"/>
      <c r="AK3049" s="1942"/>
      <c r="AL3049" s="1942"/>
      <c r="AM3049" s="1942"/>
      <c r="AN3049" s="1942"/>
      <c r="AO3049" s="1942"/>
      <c r="AP3049" s="1942"/>
      <c r="AQ3049" s="1942"/>
      <c r="AR3049" s="1942"/>
      <c r="AS3049" s="1942"/>
      <c r="AT3049" s="1942"/>
      <c r="AU3049" s="1942"/>
      <c r="AV3049" s="1942"/>
      <c r="AW3049" s="1942"/>
      <c r="AX3049" s="1942"/>
      <c r="AY3049" s="1942"/>
      <c r="AZ3049" s="1942"/>
      <c r="BA3049" s="1942"/>
      <c r="BB3049" s="575"/>
      <c r="BC3049" s="576"/>
      <c r="BD3049" s="678"/>
      <c r="BE3049" s="585"/>
    </row>
    <row r="3050" spans="1:57" s="1942" customFormat="1" ht="15" hidden="1" customHeight="1" outlineLevel="1" x14ac:dyDescent="0.25">
      <c r="A3050" s="1267"/>
      <c r="B3050" s="123"/>
      <c r="C3050" s="328"/>
      <c r="D3050" s="3990"/>
      <c r="E3050" s="4009"/>
      <c r="F3050" s="3010" t="str">
        <f>$E$1661</f>
        <v>ASHP-SEER18-Replace_CAC_NonElectricHeat_ER1_MF</v>
      </c>
      <c r="G3050" s="2676"/>
      <c r="H3050" s="2676"/>
      <c r="I3050" s="2677"/>
      <c r="J3050" s="3298" t="str">
        <f>$C$1661</f>
        <v>354310_2021_12_</v>
      </c>
      <c r="K3050" s="2228">
        <v>5.4170996929996953</v>
      </c>
      <c r="L3050" s="851"/>
      <c r="M3050" s="2817" t="s">
        <v>1125</v>
      </c>
      <c r="N3050" s="123"/>
      <c r="O3050" s="228"/>
      <c r="P3050" s="228"/>
      <c r="Q3050" s="228"/>
      <c r="R3050" s="228"/>
      <c r="S3050" s="123"/>
      <c r="T3050" s="123"/>
      <c r="U3050" s="123"/>
      <c r="V3050" s="3990"/>
      <c r="W3050" s="2857"/>
      <c r="X3050" s="2857"/>
      <c r="Y3050" s="3158"/>
      <c r="Z3050" s="696"/>
      <c r="AA3050" s="696"/>
      <c r="AB3050" s="2282"/>
      <c r="AC3050" s="2228">
        <v>5.4170996929996953</v>
      </c>
      <c r="AD3050" s="2857"/>
      <c r="AE3050" s="2857"/>
      <c r="AF3050" s="2857"/>
      <c r="AG3050" s="2857"/>
      <c r="BB3050" s="575"/>
      <c r="BC3050" s="576"/>
      <c r="BD3050" s="678"/>
      <c r="BE3050" s="585"/>
    </row>
    <row r="3051" spans="1:57" s="1942" customFormat="1" ht="15" hidden="1" customHeight="1" outlineLevel="1" x14ac:dyDescent="0.25">
      <c r="A3051" s="1267"/>
      <c r="B3051" s="123"/>
      <c r="C3051" s="328"/>
      <c r="D3051" s="3990"/>
      <c r="E3051" s="4009"/>
      <c r="F3051" s="3010" t="str">
        <f>$E$1663</f>
        <v>ASHP-SEER18-Replace_CAC_NonElectricHeat_ER2_MF</v>
      </c>
      <c r="G3051" s="2676"/>
      <c r="H3051" s="2676"/>
      <c r="I3051" s="2677"/>
      <c r="J3051" s="3298" t="str">
        <f>$C$1663</f>
        <v>354310_2021_12_</v>
      </c>
      <c r="K3051" s="2228">
        <v>13</v>
      </c>
      <c r="L3051" s="851"/>
      <c r="M3051" s="2817" t="s">
        <v>1110</v>
      </c>
      <c r="N3051" s="123"/>
      <c r="O3051" s="228"/>
      <c r="P3051" s="228"/>
      <c r="Q3051" s="228"/>
      <c r="R3051" s="228"/>
      <c r="S3051" s="123"/>
      <c r="T3051" s="123"/>
      <c r="U3051" s="123"/>
      <c r="V3051" s="3990"/>
      <c r="W3051" s="2857"/>
      <c r="X3051" s="2857"/>
      <c r="Y3051" s="3158"/>
      <c r="Z3051" s="696"/>
      <c r="AA3051" s="696"/>
      <c r="AB3051" s="2282"/>
      <c r="AC3051" s="2228">
        <v>13</v>
      </c>
      <c r="AD3051" s="2857"/>
      <c r="AE3051" s="2857"/>
      <c r="AF3051" s="2857"/>
      <c r="AG3051" s="2857"/>
      <c r="BB3051" s="575"/>
      <c r="BC3051" s="576"/>
      <c r="BD3051" s="678"/>
      <c r="BE3051" s="585"/>
    </row>
    <row r="3052" spans="1:57" s="1942" customFormat="1" ht="15" hidden="1" customHeight="1" outlineLevel="1" x14ac:dyDescent="0.25">
      <c r="A3052" s="1267"/>
      <c r="B3052" s="123"/>
      <c r="C3052" s="328"/>
      <c r="D3052" s="3990"/>
      <c r="E3052" s="4009"/>
      <c r="F3052" s="3010" t="str">
        <f>$E$1665</f>
        <v>ASHP-SEER18-Replace_CAC_NonElectricHeat_ER1_MF_CompE</v>
      </c>
      <c r="G3052" s="2676"/>
      <c r="H3052" s="2676"/>
      <c r="I3052" s="2677"/>
      <c r="J3052" s="3298" t="str">
        <f>$C$1665</f>
        <v>354311_2021_12_</v>
      </c>
      <c r="K3052" s="2228">
        <v>8.33</v>
      </c>
      <c r="L3052" s="851"/>
      <c r="M3052" s="2817" t="s">
        <v>1125</v>
      </c>
      <c r="N3052" s="123"/>
      <c r="O3052" s="228"/>
      <c r="P3052" s="228"/>
      <c r="Q3052" s="228"/>
      <c r="R3052" s="228"/>
      <c r="S3052" s="123"/>
      <c r="T3052" s="123"/>
      <c r="U3052" s="123"/>
      <c r="V3052" s="3990"/>
      <c r="W3052" s="2857"/>
      <c r="X3052" s="2857"/>
      <c r="Y3052" s="3158"/>
      <c r="Z3052" s="696"/>
      <c r="AA3052" s="696"/>
      <c r="AB3052" s="2282"/>
      <c r="AC3052" s="2228">
        <v>8.33</v>
      </c>
      <c r="AD3052" s="2857"/>
      <c r="AE3052" s="2857"/>
      <c r="AF3052" s="2857"/>
      <c r="AG3052" s="2857"/>
      <c r="BB3052" s="575"/>
      <c r="BC3052" s="576"/>
      <c r="BD3052" s="678"/>
      <c r="BE3052" s="585"/>
    </row>
    <row r="3053" spans="1:57" s="1942" customFormat="1" ht="15" hidden="1" customHeight="1" outlineLevel="1" x14ac:dyDescent="0.25">
      <c r="A3053" s="1267"/>
      <c r="B3053" s="123"/>
      <c r="C3053" s="328"/>
      <c r="D3053" s="3990"/>
      <c r="E3053" s="4009"/>
      <c r="F3053" s="3010" t="str">
        <f>$E$1667</f>
        <v>ASHP-SEER18-Replace_CAC_NonElectricHeat_ER2_MF_CompE</v>
      </c>
      <c r="G3053" s="2676"/>
      <c r="H3053" s="2676"/>
      <c r="I3053" s="2677"/>
      <c r="J3053" s="3298" t="str">
        <f>$C$1667</f>
        <v>354311_2021_12_</v>
      </c>
      <c r="K3053" s="2228">
        <v>13</v>
      </c>
      <c r="L3053" s="851"/>
      <c r="M3053" s="2817" t="s">
        <v>1110</v>
      </c>
      <c r="N3053" s="123"/>
      <c r="O3053" s="228"/>
      <c r="P3053" s="228"/>
      <c r="Q3053" s="228"/>
      <c r="R3053" s="228"/>
      <c r="S3053" s="123"/>
      <c r="T3053" s="123"/>
      <c r="U3053" s="123"/>
      <c r="V3053" s="3990"/>
      <c r="W3053" s="2857"/>
      <c r="X3053" s="2857"/>
      <c r="Y3053" s="3158"/>
      <c r="Z3053" s="696"/>
      <c r="AA3053" s="696"/>
      <c r="AB3053" s="2282"/>
      <c r="AC3053" s="2228">
        <v>13</v>
      </c>
      <c r="AD3053" s="2857"/>
      <c r="AE3053" s="2857"/>
      <c r="AF3053" s="2857"/>
      <c r="AG3053" s="2857"/>
      <c r="BB3053" s="575"/>
      <c r="BC3053" s="576"/>
      <c r="BD3053" s="678"/>
      <c r="BE3053" s="585"/>
    </row>
    <row r="3054" spans="1:57" s="51" customFormat="1" ht="15" hidden="1" customHeight="1" outlineLevel="1" x14ac:dyDescent="0.25">
      <c r="A3054" s="1267"/>
      <c r="B3054" s="123"/>
      <c r="C3054" s="328"/>
      <c r="D3054" s="3990"/>
      <c r="E3054" s="4009"/>
      <c r="F3054" s="3010" t="str">
        <f>$E$1669</f>
        <v>ASHP-SEER18_ER1_MF</v>
      </c>
      <c r="G3054" s="2676"/>
      <c r="H3054" s="2676"/>
      <c r="I3054" s="2677"/>
      <c r="J3054" s="3298" t="str">
        <f>$C$1669</f>
        <v>354350_2021_12_</v>
      </c>
      <c r="K3054" s="2228">
        <v>8.402496453661275</v>
      </c>
      <c r="L3054" s="851"/>
      <c r="M3054" s="2817" t="s">
        <v>1563</v>
      </c>
      <c r="N3054" s="123"/>
      <c r="O3054" s="228"/>
      <c r="P3054" s="228"/>
      <c r="Q3054" s="228"/>
      <c r="R3054" s="228"/>
      <c r="S3054" s="123"/>
      <c r="T3054" s="123"/>
      <c r="U3054" s="123"/>
      <c r="V3054" s="3990"/>
      <c r="W3054" s="2857">
        <v>7.2</v>
      </c>
      <c r="X3054" s="3155">
        <v>8.33</v>
      </c>
      <c r="Y3054" s="696">
        <v>8.33</v>
      </c>
      <c r="Z3054" s="696">
        <v>8.33</v>
      </c>
      <c r="AA3054" s="696">
        <v>8.33</v>
      </c>
      <c r="AB3054" s="2282">
        <v>8.33</v>
      </c>
      <c r="AC3054" s="2228">
        <v>8.402496453661275</v>
      </c>
      <c r="AD3054" s="2857"/>
      <c r="AE3054" s="2857"/>
      <c r="AF3054" s="2857"/>
      <c r="AG3054" s="2857"/>
      <c r="AH3054" s="1942"/>
      <c r="AI3054" s="1942"/>
      <c r="AJ3054" s="1942"/>
      <c r="AK3054" s="1942"/>
      <c r="AL3054" s="1942"/>
      <c r="AM3054" s="1942"/>
      <c r="AN3054" s="1942"/>
      <c r="AO3054" s="1942"/>
      <c r="AP3054" s="1942"/>
      <c r="AQ3054" s="1942"/>
      <c r="AR3054" s="1942"/>
      <c r="AS3054" s="1942"/>
      <c r="AT3054" s="1942"/>
      <c r="AU3054" s="1942"/>
      <c r="AV3054" s="1942"/>
      <c r="AW3054" s="1942"/>
      <c r="AX3054" s="1942"/>
      <c r="AY3054" s="1942"/>
      <c r="AZ3054" s="1942"/>
      <c r="BA3054" s="1942"/>
      <c r="BB3054" s="575"/>
      <c r="BC3054" s="576"/>
      <c r="BD3054" s="678"/>
      <c r="BE3054" s="585"/>
    </row>
    <row r="3055" spans="1:57" s="51" customFormat="1" ht="15" hidden="1" customHeight="1" outlineLevel="1" x14ac:dyDescent="0.25">
      <c r="A3055" s="1267"/>
      <c r="B3055" s="123"/>
      <c r="C3055" s="328"/>
      <c r="D3055" s="3990"/>
      <c r="E3055" s="4009"/>
      <c r="F3055" s="3010" t="str">
        <f>$E$1671</f>
        <v>ASHP-SEER18_ER2_MF</v>
      </c>
      <c r="G3055" s="2676"/>
      <c r="H3055" s="2676"/>
      <c r="I3055" s="2677"/>
      <c r="J3055" s="3298" t="str">
        <f>$C$1671</f>
        <v>354350_2021_12_</v>
      </c>
      <c r="K3055" s="2282">
        <v>14</v>
      </c>
      <c r="L3055" s="851"/>
      <c r="M3055" s="2284" t="s">
        <v>1110</v>
      </c>
      <c r="N3055" s="123"/>
      <c r="O3055" s="228"/>
      <c r="P3055" s="228"/>
      <c r="Q3055" s="228"/>
      <c r="R3055" s="228"/>
      <c r="S3055" s="123"/>
      <c r="T3055" s="123"/>
      <c r="U3055" s="123"/>
      <c r="V3055" s="3990"/>
      <c r="W3055" s="2857">
        <v>14</v>
      </c>
      <c r="X3055" s="2857">
        <v>14</v>
      </c>
      <c r="Y3055" s="696">
        <v>14</v>
      </c>
      <c r="Z3055" s="696">
        <v>14</v>
      </c>
      <c r="AA3055" s="696">
        <v>14</v>
      </c>
      <c r="AB3055" s="2282">
        <v>14</v>
      </c>
      <c r="AC3055" s="2282">
        <v>14</v>
      </c>
      <c r="AD3055" s="2857"/>
      <c r="AE3055" s="2857"/>
      <c r="AF3055" s="2857"/>
      <c r="AG3055" s="2857"/>
      <c r="AH3055" s="1942"/>
      <c r="AI3055" s="1942"/>
      <c r="AJ3055" s="1942"/>
      <c r="AK3055" s="1942"/>
      <c r="AL3055" s="1942"/>
      <c r="AM3055" s="1942"/>
      <c r="AN3055" s="1942"/>
      <c r="AO3055" s="1942"/>
      <c r="AP3055" s="1942"/>
      <c r="AQ3055" s="1942"/>
      <c r="AR3055" s="1942"/>
      <c r="AS3055" s="1942"/>
      <c r="AT3055" s="1942"/>
      <c r="AU3055" s="1942"/>
      <c r="AV3055" s="1942"/>
      <c r="AW3055" s="1942"/>
      <c r="AX3055" s="1942"/>
      <c r="AY3055" s="1942"/>
      <c r="AZ3055" s="1942"/>
      <c r="BA3055" s="1942"/>
      <c r="BB3055" s="575"/>
      <c r="BC3055" s="576"/>
      <c r="BD3055" s="678"/>
      <c r="BE3055" s="585"/>
    </row>
    <row r="3056" spans="1:57" s="51" customFormat="1" ht="15" hidden="1" customHeight="1" outlineLevel="1" x14ac:dyDescent="0.25">
      <c r="A3056" s="1267"/>
      <c r="B3056" s="123"/>
      <c r="C3056" s="328"/>
      <c r="D3056" s="3990"/>
      <c r="E3056" s="4009"/>
      <c r="F3056" s="3010" t="str">
        <f>$E$1673</f>
        <v>ASHP-SEER18_ER1_MF_CompE</v>
      </c>
      <c r="G3056" s="2676"/>
      <c r="H3056" s="2676"/>
      <c r="I3056" s="2677"/>
      <c r="J3056" s="3298" t="str">
        <f>$C$1673</f>
        <v>354351_2021_12_</v>
      </c>
      <c r="K3056" s="2282">
        <v>8.33</v>
      </c>
      <c r="L3056" s="851"/>
      <c r="M3056" s="2284" t="s">
        <v>1110</v>
      </c>
      <c r="N3056" s="123"/>
      <c r="O3056" s="228"/>
      <c r="P3056" s="228"/>
      <c r="Q3056" s="228"/>
      <c r="R3056" s="228"/>
      <c r="S3056" s="123"/>
      <c r="T3056" s="123"/>
      <c r="U3056" s="123"/>
      <c r="V3056" s="3990"/>
      <c r="W3056" s="2857"/>
      <c r="X3056" s="2857"/>
      <c r="Y3056" s="3158">
        <v>8.33</v>
      </c>
      <c r="Z3056" s="696">
        <v>8.33</v>
      </c>
      <c r="AA3056" s="696">
        <v>8.33</v>
      </c>
      <c r="AB3056" s="2282">
        <v>8.33</v>
      </c>
      <c r="AC3056" s="2282">
        <v>8.33</v>
      </c>
      <c r="AD3056" s="2857"/>
      <c r="AE3056" s="2857"/>
      <c r="AF3056" s="2857"/>
      <c r="AG3056" s="2857"/>
      <c r="AH3056" s="1942"/>
      <c r="AI3056" s="1942"/>
      <c r="AJ3056" s="1942"/>
      <c r="AK3056" s="1942"/>
      <c r="AL3056" s="1942"/>
      <c r="AM3056" s="1942"/>
      <c r="AN3056" s="1942"/>
      <c r="AO3056" s="1942"/>
      <c r="AP3056" s="1942"/>
      <c r="AQ3056" s="1942"/>
      <c r="AR3056" s="1942"/>
      <c r="AS3056" s="1942"/>
      <c r="AT3056" s="1942"/>
      <c r="AU3056" s="1942"/>
      <c r="AV3056" s="1942"/>
      <c r="AW3056" s="1942"/>
      <c r="AX3056" s="1942"/>
      <c r="AY3056" s="1942"/>
      <c r="AZ3056" s="1942"/>
      <c r="BA3056" s="1942"/>
      <c r="BB3056" s="575"/>
      <c r="BC3056" s="576"/>
      <c r="BD3056" s="678"/>
      <c r="BE3056" s="585"/>
    </row>
    <row r="3057" spans="1:57" s="51" customFormat="1" ht="15" hidden="1" customHeight="1" outlineLevel="1" x14ac:dyDescent="0.25">
      <c r="A3057" s="1267"/>
      <c r="B3057" s="123"/>
      <c r="C3057" s="328"/>
      <c r="D3057" s="3990"/>
      <c r="E3057" s="4009"/>
      <c r="F3057" s="3010" t="str">
        <f>$E$1675</f>
        <v>ASHP-SEER18_ER2_MF_CompE</v>
      </c>
      <c r="G3057" s="2676"/>
      <c r="H3057" s="2676"/>
      <c r="I3057" s="2677"/>
      <c r="J3057" s="3298" t="str">
        <f>$C$1675</f>
        <v>354351_2021_12_</v>
      </c>
      <c r="K3057" s="2282">
        <v>14</v>
      </c>
      <c r="L3057" s="851"/>
      <c r="M3057" s="2284" t="s">
        <v>1110</v>
      </c>
      <c r="N3057" s="123"/>
      <c r="O3057" s="228"/>
      <c r="P3057" s="228"/>
      <c r="Q3057" s="228"/>
      <c r="R3057" s="228"/>
      <c r="S3057" s="123"/>
      <c r="T3057" s="123"/>
      <c r="U3057" s="123"/>
      <c r="V3057" s="3990"/>
      <c r="W3057" s="2857"/>
      <c r="X3057" s="2857"/>
      <c r="Y3057" s="3158">
        <v>14</v>
      </c>
      <c r="Z3057" s="696">
        <v>14</v>
      </c>
      <c r="AA3057" s="696">
        <v>14</v>
      </c>
      <c r="AB3057" s="2282">
        <v>14</v>
      </c>
      <c r="AC3057" s="2282">
        <v>14</v>
      </c>
      <c r="AD3057" s="2857"/>
      <c r="AE3057" s="2857"/>
      <c r="AF3057" s="2857"/>
      <c r="AG3057" s="2857"/>
      <c r="AH3057" s="1942"/>
      <c r="AI3057" s="1942"/>
      <c r="AJ3057" s="1942"/>
      <c r="AK3057" s="1942"/>
      <c r="AL3057" s="1942"/>
      <c r="AM3057" s="1942"/>
      <c r="AN3057" s="1942"/>
      <c r="AO3057" s="1942"/>
      <c r="AP3057" s="1942"/>
      <c r="AQ3057" s="1942"/>
      <c r="AR3057" s="1942"/>
      <c r="AS3057" s="1942"/>
      <c r="AT3057" s="1942"/>
      <c r="AU3057" s="1942"/>
      <c r="AV3057" s="1942"/>
      <c r="AW3057" s="1942"/>
      <c r="AX3057" s="1942"/>
      <c r="AY3057" s="1942"/>
      <c r="AZ3057" s="1942"/>
      <c r="BA3057" s="1942"/>
      <c r="BB3057" s="575"/>
      <c r="BC3057" s="576"/>
      <c r="BD3057" s="678"/>
      <c r="BE3057" s="585"/>
    </row>
    <row r="3058" spans="1:57" s="51" customFormat="1" ht="15" hidden="1" customHeight="1" outlineLevel="1" x14ac:dyDescent="0.25">
      <c r="A3058" s="1267"/>
      <c r="B3058" s="123"/>
      <c r="C3058" s="328"/>
      <c r="D3058" s="3990"/>
      <c r="E3058" s="4009"/>
      <c r="F3058" s="3010" t="str">
        <f>$E$1677</f>
        <v>ASHP-SEER19-Replace_CAC_ElectricHeat_ER1_SF</v>
      </c>
      <c r="G3058" s="2676"/>
      <c r="H3058" s="2676"/>
      <c r="I3058" s="2677"/>
      <c r="J3058" s="3298" t="str">
        <f>$C$1677</f>
        <v>354400_2021_12_</v>
      </c>
      <c r="K3058" s="2228">
        <v>8.5327178544626143</v>
      </c>
      <c r="L3058" s="851"/>
      <c r="M3058" s="2817" t="s">
        <v>1563</v>
      </c>
      <c r="N3058" s="123"/>
      <c r="O3058" s="228"/>
      <c r="P3058" s="228"/>
      <c r="Q3058" s="228"/>
      <c r="R3058" s="228"/>
      <c r="S3058" s="123"/>
      <c r="T3058" s="123"/>
      <c r="U3058" s="123"/>
      <c r="V3058" s="3990"/>
      <c r="W3058" s="2857">
        <v>6.8</v>
      </c>
      <c r="X3058" s="3155">
        <v>8.33</v>
      </c>
      <c r="Y3058" s="696">
        <v>8.33</v>
      </c>
      <c r="Z3058" s="696">
        <v>8.33</v>
      </c>
      <c r="AA3058" s="696">
        <v>8.33</v>
      </c>
      <c r="AB3058" s="2282">
        <v>8.33</v>
      </c>
      <c r="AC3058" s="2228">
        <v>8.5327178544626143</v>
      </c>
      <c r="AD3058" s="2857"/>
      <c r="AE3058" s="2857"/>
      <c r="AF3058" s="2857"/>
      <c r="AG3058" s="2857"/>
      <c r="AH3058" s="1942"/>
      <c r="AI3058" s="1942"/>
      <c r="AJ3058" s="1942"/>
      <c r="AK3058" s="1942"/>
      <c r="AL3058" s="1942"/>
      <c r="AM3058" s="1942"/>
      <c r="AN3058" s="1942"/>
      <c r="AO3058" s="1942"/>
      <c r="AP3058" s="1942"/>
      <c r="AQ3058" s="1942"/>
      <c r="AR3058" s="1942"/>
      <c r="AS3058" s="1942"/>
      <c r="AT3058" s="1942"/>
      <c r="AU3058" s="1942"/>
      <c r="AV3058" s="1942"/>
      <c r="AW3058" s="1942"/>
      <c r="AX3058" s="1942"/>
      <c r="AY3058" s="1942"/>
      <c r="AZ3058" s="1942"/>
      <c r="BA3058" s="1942"/>
      <c r="BB3058" s="575"/>
      <c r="BC3058" s="576"/>
      <c r="BD3058" s="678"/>
      <c r="BE3058" s="585"/>
    </row>
    <row r="3059" spans="1:57" s="51" customFormat="1" ht="15" hidden="1" customHeight="1" outlineLevel="1" x14ac:dyDescent="0.25">
      <c r="A3059" s="1267"/>
      <c r="B3059" s="123"/>
      <c r="C3059" s="328"/>
      <c r="D3059" s="3990"/>
      <c r="E3059" s="4009"/>
      <c r="F3059" s="3010" t="str">
        <f>$E$1679</f>
        <v>ASHP-SEER19-Replace_CAC_ElectricHeat_ER2_SF</v>
      </c>
      <c r="G3059" s="2676"/>
      <c r="H3059" s="2676"/>
      <c r="I3059" s="2677"/>
      <c r="J3059" s="3298" t="str">
        <f>$C$1679</f>
        <v>354400_2021_12_</v>
      </c>
      <c r="K3059" s="2282">
        <v>13</v>
      </c>
      <c r="L3059" s="851"/>
      <c r="M3059" s="2284" t="s">
        <v>1110</v>
      </c>
      <c r="N3059" s="123"/>
      <c r="O3059" s="228"/>
      <c r="P3059" s="228"/>
      <c r="Q3059" s="228"/>
      <c r="R3059" s="228"/>
      <c r="S3059" s="123"/>
      <c r="T3059" s="123"/>
      <c r="U3059" s="123"/>
      <c r="V3059" s="3990"/>
      <c r="W3059" s="2857">
        <v>13</v>
      </c>
      <c r="X3059" s="2857">
        <v>13</v>
      </c>
      <c r="Y3059" s="696">
        <v>13</v>
      </c>
      <c r="Z3059" s="696">
        <v>13</v>
      </c>
      <c r="AA3059" s="696">
        <v>13</v>
      </c>
      <c r="AB3059" s="2282">
        <v>13</v>
      </c>
      <c r="AC3059" s="2282">
        <v>13</v>
      </c>
      <c r="AD3059" s="2857"/>
      <c r="AE3059" s="2857"/>
      <c r="AF3059" s="2857"/>
      <c r="AG3059" s="2857"/>
      <c r="AH3059" s="1942"/>
      <c r="AI3059" s="1942"/>
      <c r="AJ3059" s="1942"/>
      <c r="AK3059" s="1942"/>
      <c r="AL3059" s="1942"/>
      <c r="AM3059" s="1942"/>
      <c r="AN3059" s="1942"/>
      <c r="AO3059" s="1942"/>
      <c r="AP3059" s="1942"/>
      <c r="AQ3059" s="1942"/>
      <c r="AR3059" s="1942"/>
      <c r="AS3059" s="1942"/>
      <c r="AT3059" s="1942"/>
      <c r="AU3059" s="1942"/>
      <c r="AV3059" s="1942"/>
      <c r="AW3059" s="1942"/>
      <c r="AX3059" s="1942"/>
      <c r="AY3059" s="1942"/>
      <c r="AZ3059" s="1942"/>
      <c r="BA3059" s="1942"/>
      <c r="BB3059" s="575"/>
      <c r="BC3059" s="576"/>
      <c r="BD3059" s="678"/>
      <c r="BE3059" s="585"/>
    </row>
    <row r="3060" spans="1:57" s="1942" customFormat="1" ht="15" hidden="1" customHeight="1" outlineLevel="1" x14ac:dyDescent="0.25">
      <c r="A3060" s="1267"/>
      <c r="B3060" s="123"/>
      <c r="C3060" s="328"/>
      <c r="D3060" s="3990"/>
      <c r="E3060" s="4009"/>
      <c r="F3060" s="3010" t="str">
        <f>$E$1681</f>
        <v>ASHP-SEER19-Replace_CAC_NonElectricHeat_ER1_SF</v>
      </c>
      <c r="G3060" s="2676"/>
      <c r="H3060" s="2676"/>
      <c r="I3060" s="2677"/>
      <c r="J3060" s="3298" t="str">
        <f>$C$1681</f>
        <v>354410_2021_12_</v>
      </c>
      <c r="K3060" s="2228">
        <v>8.5327178544626143</v>
      </c>
      <c r="L3060" s="851"/>
      <c r="M3060" s="2817" t="s">
        <v>1125</v>
      </c>
      <c r="N3060" s="123"/>
      <c r="O3060" s="228"/>
      <c r="P3060" s="228"/>
      <c r="Q3060" s="228"/>
      <c r="R3060" s="228"/>
      <c r="S3060" s="123"/>
      <c r="T3060" s="123"/>
      <c r="U3060" s="123"/>
      <c r="V3060" s="3990"/>
      <c r="W3060" s="2857"/>
      <c r="X3060" s="2857"/>
      <c r="Y3060" s="696"/>
      <c r="Z3060" s="696"/>
      <c r="AA3060" s="696"/>
      <c r="AB3060" s="2282"/>
      <c r="AC3060" s="2228">
        <v>8.5327178544626143</v>
      </c>
      <c r="AD3060" s="2857"/>
      <c r="AE3060" s="2857"/>
      <c r="AF3060" s="2857"/>
      <c r="AG3060" s="2857"/>
      <c r="BB3060" s="575"/>
      <c r="BC3060" s="576"/>
      <c r="BD3060" s="678"/>
      <c r="BE3060" s="585"/>
    </row>
    <row r="3061" spans="1:57" s="1942" customFormat="1" ht="15" hidden="1" customHeight="1" outlineLevel="1" x14ac:dyDescent="0.25">
      <c r="A3061" s="1267"/>
      <c r="B3061" s="123"/>
      <c r="C3061" s="328"/>
      <c r="D3061" s="3990"/>
      <c r="E3061" s="4009"/>
      <c r="F3061" s="3010" t="str">
        <f>$E$1683</f>
        <v>ASHP-SEER19-Replace_CAC_NonElectricHeat_ER2_SF</v>
      </c>
      <c r="G3061" s="2676"/>
      <c r="H3061" s="2676"/>
      <c r="I3061" s="2677"/>
      <c r="J3061" s="3298" t="str">
        <f>$C$1683</f>
        <v>354410_2021_12_</v>
      </c>
      <c r="K3061" s="2228">
        <v>13</v>
      </c>
      <c r="L3061" s="851"/>
      <c r="M3061" s="2817" t="s">
        <v>1110</v>
      </c>
      <c r="N3061" s="123"/>
      <c r="O3061" s="228"/>
      <c r="P3061" s="228"/>
      <c r="Q3061" s="228"/>
      <c r="R3061" s="228"/>
      <c r="S3061" s="123"/>
      <c r="T3061" s="123"/>
      <c r="U3061" s="123"/>
      <c r="V3061" s="3990"/>
      <c r="W3061" s="2857"/>
      <c r="X3061" s="2857"/>
      <c r="Y3061" s="696"/>
      <c r="Z3061" s="696"/>
      <c r="AA3061" s="696"/>
      <c r="AB3061" s="2282"/>
      <c r="AC3061" s="2228">
        <v>13</v>
      </c>
      <c r="AD3061" s="2857"/>
      <c r="AE3061" s="2857"/>
      <c r="AF3061" s="2857"/>
      <c r="AG3061" s="2857"/>
      <c r="BB3061" s="575"/>
      <c r="BC3061" s="576"/>
      <c r="BD3061" s="678"/>
      <c r="BE3061" s="585"/>
    </row>
    <row r="3062" spans="1:57" s="51" customFormat="1" ht="15" hidden="1" customHeight="1" outlineLevel="1" x14ac:dyDescent="0.25">
      <c r="A3062" s="1267"/>
      <c r="B3062" s="123"/>
      <c r="C3062" s="328"/>
      <c r="D3062" s="3990"/>
      <c r="E3062" s="4009"/>
      <c r="F3062" s="3010" t="str">
        <f>$E$1685</f>
        <v>ASHP-SEER19-Replace_CAC_ElectricHeat_ER1_MF</v>
      </c>
      <c r="G3062" s="2676"/>
      <c r="H3062" s="2676"/>
      <c r="I3062" s="2677"/>
      <c r="J3062" s="3299" t="str">
        <f>$C$1685</f>
        <v>354450_2019_12_</v>
      </c>
      <c r="K3062" s="2282">
        <v>8.33</v>
      </c>
      <c r="L3062" s="851"/>
      <c r="M3062" s="2284" t="s">
        <v>1110</v>
      </c>
      <c r="N3062" s="123"/>
      <c r="O3062" s="228"/>
      <c r="P3062" s="228"/>
      <c r="Q3062" s="228"/>
      <c r="R3062" s="228"/>
      <c r="S3062" s="123"/>
      <c r="T3062" s="123"/>
      <c r="U3062" s="123"/>
      <c r="V3062" s="3990"/>
      <c r="W3062" s="2857">
        <v>6.8</v>
      </c>
      <c r="X3062" s="3155">
        <v>8.33</v>
      </c>
      <c r="Y3062" s="696">
        <v>8.33</v>
      </c>
      <c r="Z3062" s="696">
        <v>8.33</v>
      </c>
      <c r="AA3062" s="696">
        <v>8.33</v>
      </c>
      <c r="AB3062" s="2282">
        <v>8.33</v>
      </c>
      <c r="AC3062" s="2282">
        <v>8.33</v>
      </c>
      <c r="AD3062" s="2857"/>
      <c r="AE3062" s="2857"/>
      <c r="AF3062" s="2857"/>
      <c r="AG3062" s="2857"/>
      <c r="AH3062" s="1942"/>
      <c r="AI3062" s="1942"/>
      <c r="AJ3062" s="1942"/>
      <c r="AK3062" s="1942"/>
      <c r="AL3062" s="1942"/>
      <c r="AM3062" s="1942"/>
      <c r="AN3062" s="1942"/>
      <c r="AO3062" s="1942"/>
      <c r="AP3062" s="1942"/>
      <c r="AQ3062" s="1942"/>
      <c r="AR3062" s="1942"/>
      <c r="AS3062" s="1942"/>
      <c r="AT3062" s="1942"/>
      <c r="AU3062" s="1942"/>
      <c r="AV3062" s="1942"/>
      <c r="AW3062" s="1942"/>
      <c r="AX3062" s="1942"/>
      <c r="AY3062" s="1942"/>
      <c r="AZ3062" s="1942"/>
      <c r="BA3062" s="1942"/>
      <c r="BB3062" s="575"/>
      <c r="BC3062" s="576"/>
      <c r="BD3062" s="678"/>
      <c r="BE3062" s="585"/>
    </row>
    <row r="3063" spans="1:57" s="51" customFormat="1" ht="15" hidden="1" customHeight="1" outlineLevel="1" x14ac:dyDescent="0.25">
      <c r="A3063" s="1267"/>
      <c r="B3063" s="123"/>
      <c r="C3063" s="328"/>
      <c r="D3063" s="3990"/>
      <c r="E3063" s="4009"/>
      <c r="F3063" s="3010" t="str">
        <f>$E$1687</f>
        <v>ASHP-SEER19-Replace_CAC_ElectricHeat_ER2_MF</v>
      </c>
      <c r="G3063" s="2676"/>
      <c r="H3063" s="2676"/>
      <c r="I3063" s="2677"/>
      <c r="J3063" s="3299" t="str">
        <f>$C$1687</f>
        <v>354450_2019_12_</v>
      </c>
      <c r="K3063" s="2282">
        <v>13</v>
      </c>
      <c r="L3063" s="851"/>
      <c r="M3063" s="2284" t="s">
        <v>1110</v>
      </c>
      <c r="N3063" s="123"/>
      <c r="O3063" s="228"/>
      <c r="P3063" s="228"/>
      <c r="Q3063" s="228"/>
      <c r="R3063" s="228"/>
      <c r="S3063" s="123"/>
      <c r="T3063" s="123"/>
      <c r="U3063" s="123"/>
      <c r="V3063" s="3990"/>
      <c r="W3063" s="2857">
        <v>13</v>
      </c>
      <c r="X3063" s="2857">
        <v>13</v>
      </c>
      <c r="Y3063" s="696">
        <v>13</v>
      </c>
      <c r="Z3063" s="696">
        <v>13</v>
      </c>
      <c r="AA3063" s="696">
        <v>13</v>
      </c>
      <c r="AB3063" s="2282">
        <v>13</v>
      </c>
      <c r="AC3063" s="2282">
        <v>13</v>
      </c>
      <c r="AD3063" s="2857"/>
      <c r="AE3063" s="2857"/>
      <c r="AF3063" s="2857"/>
      <c r="AG3063" s="2857"/>
      <c r="AH3063" s="1942"/>
      <c r="AI3063" s="1942"/>
      <c r="AJ3063" s="1942"/>
      <c r="AK3063" s="1942"/>
      <c r="AL3063" s="1942"/>
      <c r="AM3063" s="1942"/>
      <c r="AN3063" s="1942"/>
      <c r="AO3063" s="1942"/>
      <c r="AP3063" s="1942"/>
      <c r="AQ3063" s="1942"/>
      <c r="AR3063" s="1942"/>
      <c r="AS3063" s="1942"/>
      <c r="AT3063" s="1942"/>
      <c r="AU3063" s="1942"/>
      <c r="AV3063" s="1942"/>
      <c r="AW3063" s="1942"/>
      <c r="AX3063" s="1942"/>
      <c r="AY3063" s="1942"/>
      <c r="AZ3063" s="1942"/>
      <c r="BA3063" s="1942"/>
      <c r="BB3063" s="575"/>
      <c r="BC3063" s="576"/>
      <c r="BD3063" s="678"/>
      <c r="BE3063" s="585"/>
    </row>
    <row r="3064" spans="1:57" s="51" customFormat="1" ht="15" hidden="1" customHeight="1" outlineLevel="1" x14ac:dyDescent="0.25">
      <c r="A3064" s="1267"/>
      <c r="B3064" s="123"/>
      <c r="C3064" s="328"/>
      <c r="D3064" s="3990"/>
      <c r="E3064" s="4009"/>
      <c r="F3064" s="3010" t="str">
        <f>$E$1689</f>
        <v>ASHP-SEER19-Replace_CAC_ElectricHeat_ER1_MF_CompE</v>
      </c>
      <c r="G3064" s="2676"/>
      <c r="H3064" s="2676"/>
      <c r="I3064" s="2677"/>
      <c r="J3064" s="3299" t="str">
        <f>$C$1689</f>
        <v>354451_2019_12_</v>
      </c>
      <c r="K3064" s="2282">
        <v>8.33</v>
      </c>
      <c r="L3064" s="851"/>
      <c r="M3064" s="2284" t="s">
        <v>1110</v>
      </c>
      <c r="N3064" s="123"/>
      <c r="O3064" s="228"/>
      <c r="P3064" s="228"/>
      <c r="Q3064" s="228"/>
      <c r="R3064" s="228"/>
      <c r="S3064" s="123"/>
      <c r="T3064" s="123"/>
      <c r="U3064" s="123"/>
      <c r="V3064" s="3990"/>
      <c r="W3064" s="2857"/>
      <c r="X3064" s="2857"/>
      <c r="Y3064" s="3158">
        <v>8.33</v>
      </c>
      <c r="Z3064" s="696">
        <v>8.33</v>
      </c>
      <c r="AA3064" s="696">
        <v>8.33</v>
      </c>
      <c r="AB3064" s="2282">
        <v>8.33</v>
      </c>
      <c r="AC3064" s="2282">
        <v>8.33</v>
      </c>
      <c r="AD3064" s="2857"/>
      <c r="AE3064" s="2857"/>
      <c r="AF3064" s="2857"/>
      <c r="AG3064" s="2857"/>
      <c r="AH3064" s="1942"/>
      <c r="AI3064" s="1942"/>
      <c r="AJ3064" s="1942"/>
      <c r="AK3064" s="1942"/>
      <c r="AL3064" s="1942"/>
      <c r="AM3064" s="1942"/>
      <c r="AN3064" s="1942"/>
      <c r="AO3064" s="1942"/>
      <c r="AP3064" s="1942"/>
      <c r="AQ3064" s="1942"/>
      <c r="AR3064" s="1942"/>
      <c r="AS3064" s="1942"/>
      <c r="AT3064" s="1942"/>
      <c r="AU3064" s="1942"/>
      <c r="AV3064" s="1942"/>
      <c r="AW3064" s="1942"/>
      <c r="AX3064" s="1942"/>
      <c r="AY3064" s="1942"/>
      <c r="AZ3064" s="1942"/>
      <c r="BA3064" s="1942"/>
      <c r="BB3064" s="575"/>
      <c r="BC3064" s="576"/>
      <c r="BD3064" s="678"/>
      <c r="BE3064" s="585"/>
    </row>
    <row r="3065" spans="1:57" s="51" customFormat="1" ht="15" hidden="1" customHeight="1" outlineLevel="1" x14ac:dyDescent="0.25">
      <c r="A3065" s="1267"/>
      <c r="B3065" s="123"/>
      <c r="C3065" s="328"/>
      <c r="D3065" s="3990"/>
      <c r="E3065" s="4009"/>
      <c r="F3065" s="3010" t="str">
        <f>$E$1691</f>
        <v>ASHP-SEER19-Replace_CAC_ElectricHeat_ER2_MF_CompE</v>
      </c>
      <c r="G3065" s="2676"/>
      <c r="H3065" s="2676"/>
      <c r="I3065" s="2677"/>
      <c r="J3065" s="3299" t="str">
        <f>$C$1691</f>
        <v>354451_2019_12_</v>
      </c>
      <c r="K3065" s="2282">
        <v>13</v>
      </c>
      <c r="L3065" s="851"/>
      <c r="M3065" s="2284" t="s">
        <v>1110</v>
      </c>
      <c r="N3065" s="123"/>
      <c r="O3065" s="228"/>
      <c r="P3065" s="228"/>
      <c r="Q3065" s="228"/>
      <c r="R3065" s="228"/>
      <c r="S3065" s="123"/>
      <c r="T3065" s="123"/>
      <c r="U3065" s="123"/>
      <c r="V3065" s="3990"/>
      <c r="W3065" s="2857"/>
      <c r="X3065" s="2857"/>
      <c r="Y3065" s="3158">
        <v>13</v>
      </c>
      <c r="Z3065" s="696">
        <v>13</v>
      </c>
      <c r="AA3065" s="696">
        <v>13</v>
      </c>
      <c r="AB3065" s="2282">
        <v>13</v>
      </c>
      <c r="AC3065" s="2282">
        <v>13</v>
      </c>
      <c r="AD3065" s="2857"/>
      <c r="AE3065" s="2857"/>
      <c r="AF3065" s="2857"/>
      <c r="AG3065" s="2857"/>
      <c r="AH3065" s="1942"/>
      <c r="AI3065" s="1942"/>
      <c r="AJ3065" s="1942"/>
      <c r="AK3065" s="1942"/>
      <c r="AL3065" s="1942"/>
      <c r="AM3065" s="1942"/>
      <c r="AN3065" s="1942"/>
      <c r="AO3065" s="1942"/>
      <c r="AP3065" s="1942"/>
      <c r="AQ3065" s="1942"/>
      <c r="AR3065" s="1942"/>
      <c r="AS3065" s="1942"/>
      <c r="AT3065" s="1942"/>
      <c r="AU3065" s="1942"/>
      <c r="AV3065" s="1942"/>
      <c r="AW3065" s="1942"/>
      <c r="AX3065" s="1942"/>
      <c r="AY3065" s="1942"/>
      <c r="AZ3065" s="1942"/>
      <c r="BA3065" s="1942"/>
      <c r="BB3065" s="575"/>
      <c r="BC3065" s="576"/>
      <c r="BD3065" s="678"/>
      <c r="BE3065" s="585"/>
    </row>
    <row r="3066" spans="1:57" s="1942" customFormat="1" ht="15" hidden="1" customHeight="1" outlineLevel="1" x14ac:dyDescent="0.25">
      <c r="A3066" s="1267"/>
      <c r="B3066" s="123"/>
      <c r="C3066" s="328"/>
      <c r="D3066" s="3990"/>
      <c r="E3066" s="4009"/>
      <c r="F3066" s="3010" t="str">
        <f>$E$1693</f>
        <v>ASHP-SEER19-Replace_CAC_NonElectricHeat_ER1_MF</v>
      </c>
      <c r="G3066" s="2676"/>
      <c r="H3066" s="2676"/>
      <c r="I3066" s="2677"/>
      <c r="J3066" s="3298" t="str">
        <f>$C$1693</f>
        <v>354460_2021_12_</v>
      </c>
      <c r="K3066" s="2228">
        <v>8.33</v>
      </c>
      <c r="L3066" s="851"/>
      <c r="M3066" s="2817" t="s">
        <v>1125</v>
      </c>
      <c r="N3066" s="123"/>
      <c r="O3066" s="228"/>
      <c r="P3066" s="228"/>
      <c r="Q3066" s="228"/>
      <c r="R3066" s="228"/>
      <c r="S3066" s="123"/>
      <c r="T3066" s="123"/>
      <c r="U3066" s="123"/>
      <c r="V3066" s="3990"/>
      <c r="W3066" s="2857"/>
      <c r="X3066" s="2857"/>
      <c r="Y3066" s="3158"/>
      <c r="Z3066" s="696"/>
      <c r="AA3066" s="696"/>
      <c r="AB3066" s="2282"/>
      <c r="AC3066" s="2228">
        <v>8.33</v>
      </c>
      <c r="AD3066" s="2857"/>
      <c r="AE3066" s="2857"/>
      <c r="AF3066" s="2857"/>
      <c r="AG3066" s="2857"/>
      <c r="BB3066" s="575"/>
      <c r="BC3066" s="576"/>
      <c r="BD3066" s="678"/>
      <c r="BE3066" s="585"/>
    </row>
    <row r="3067" spans="1:57" s="1942" customFormat="1" ht="15" hidden="1" customHeight="1" outlineLevel="1" x14ac:dyDescent="0.25">
      <c r="A3067" s="1267"/>
      <c r="B3067" s="123"/>
      <c r="C3067" s="328"/>
      <c r="D3067" s="3990"/>
      <c r="E3067" s="4009"/>
      <c r="F3067" s="3010" t="str">
        <f>$E$1695</f>
        <v>ASHP-SEER19-Replace_CAC_NonElectricHeat_ER2_MF</v>
      </c>
      <c r="G3067" s="2676"/>
      <c r="H3067" s="2676"/>
      <c r="I3067" s="2677"/>
      <c r="J3067" s="3298" t="str">
        <f>$C$1695</f>
        <v>354460_2021_12_</v>
      </c>
      <c r="K3067" s="2228">
        <v>13</v>
      </c>
      <c r="L3067" s="851"/>
      <c r="M3067" s="2817" t="s">
        <v>1110</v>
      </c>
      <c r="N3067" s="123"/>
      <c r="O3067" s="228"/>
      <c r="P3067" s="228"/>
      <c r="Q3067" s="228"/>
      <c r="R3067" s="228"/>
      <c r="S3067" s="123"/>
      <c r="T3067" s="123"/>
      <c r="U3067" s="123"/>
      <c r="V3067" s="3990"/>
      <c r="W3067" s="2857"/>
      <c r="X3067" s="2857"/>
      <c r="Y3067" s="3158"/>
      <c r="Z3067" s="696"/>
      <c r="AA3067" s="696"/>
      <c r="AB3067" s="2282"/>
      <c r="AC3067" s="2228">
        <v>13</v>
      </c>
      <c r="AD3067" s="2857"/>
      <c r="AE3067" s="2857"/>
      <c r="AF3067" s="2857"/>
      <c r="AG3067" s="2857"/>
      <c r="BB3067" s="575"/>
      <c r="BC3067" s="576"/>
      <c r="BD3067" s="678"/>
      <c r="BE3067" s="585"/>
    </row>
    <row r="3068" spans="1:57" s="1942" customFormat="1" ht="15" hidden="1" customHeight="1" outlineLevel="1" x14ac:dyDescent="0.25">
      <c r="A3068" s="1267"/>
      <c r="B3068" s="123"/>
      <c r="C3068" s="328"/>
      <c r="D3068" s="3990"/>
      <c r="E3068" s="4009"/>
      <c r="F3068" s="3010" t="str">
        <f>$E$1697</f>
        <v>ASHP-SEER19-Replace_CAC_NonElectricHeat_ER1_MF_CompE</v>
      </c>
      <c r="G3068" s="2676"/>
      <c r="H3068" s="2676"/>
      <c r="I3068" s="2677"/>
      <c r="J3068" s="3298" t="str">
        <f>$C$1697</f>
        <v>354461_2021_12_</v>
      </c>
      <c r="K3068" s="2228">
        <v>8.33</v>
      </c>
      <c r="L3068" s="851"/>
      <c r="M3068" s="2817" t="s">
        <v>1125</v>
      </c>
      <c r="N3068" s="123"/>
      <c r="O3068" s="228"/>
      <c r="P3068" s="228"/>
      <c r="Q3068" s="228"/>
      <c r="R3068" s="228"/>
      <c r="S3068" s="123"/>
      <c r="T3068" s="123"/>
      <c r="U3068" s="123"/>
      <c r="V3068" s="3990"/>
      <c r="W3068" s="2857"/>
      <c r="X3068" s="2857"/>
      <c r="Y3068" s="3158"/>
      <c r="Z3068" s="696"/>
      <c r="AA3068" s="696"/>
      <c r="AB3068" s="2282"/>
      <c r="AC3068" s="2228">
        <v>8.33</v>
      </c>
      <c r="AD3068" s="2857"/>
      <c r="AE3068" s="2857"/>
      <c r="AF3068" s="2857"/>
      <c r="AG3068" s="2857"/>
      <c r="BB3068" s="575"/>
      <c r="BC3068" s="576"/>
      <c r="BD3068" s="678"/>
      <c r="BE3068" s="585"/>
    </row>
    <row r="3069" spans="1:57" s="1942" customFormat="1" ht="15" hidden="1" customHeight="1" outlineLevel="1" x14ac:dyDescent="0.25">
      <c r="A3069" s="1267"/>
      <c r="B3069" s="123"/>
      <c r="C3069" s="328"/>
      <c r="D3069" s="3990"/>
      <c r="E3069" s="4009"/>
      <c r="F3069" s="3010" t="str">
        <f>$E$1699</f>
        <v>ASHP-SEER19-Replace_CAC_NonElectricHeat_ER2_MF_CompE</v>
      </c>
      <c r="G3069" s="2676"/>
      <c r="H3069" s="2676"/>
      <c r="I3069" s="2677"/>
      <c r="J3069" s="3298" t="str">
        <f>$C$1699</f>
        <v>354461_2021_12_</v>
      </c>
      <c r="K3069" s="2228">
        <v>13</v>
      </c>
      <c r="L3069" s="851"/>
      <c r="M3069" s="2817" t="s">
        <v>1110</v>
      </c>
      <c r="N3069" s="123"/>
      <c r="O3069" s="228"/>
      <c r="P3069" s="228"/>
      <c r="Q3069" s="228"/>
      <c r="R3069" s="228"/>
      <c r="S3069" s="123"/>
      <c r="T3069" s="123"/>
      <c r="U3069" s="123"/>
      <c r="V3069" s="3990"/>
      <c r="W3069" s="2857"/>
      <c r="X3069" s="2857"/>
      <c r="Y3069" s="3158"/>
      <c r="Z3069" s="696"/>
      <c r="AA3069" s="696"/>
      <c r="AB3069" s="2282"/>
      <c r="AC3069" s="2228">
        <v>13</v>
      </c>
      <c r="AD3069" s="2857"/>
      <c r="AE3069" s="2857"/>
      <c r="AF3069" s="2857"/>
      <c r="AG3069" s="2857"/>
      <c r="BB3069" s="575"/>
      <c r="BC3069" s="576"/>
      <c r="BD3069" s="678"/>
      <c r="BE3069" s="585"/>
    </row>
    <row r="3070" spans="1:57" s="51" customFormat="1" ht="15" hidden="1" customHeight="1" outlineLevel="1" x14ac:dyDescent="0.25">
      <c r="A3070" s="1267"/>
      <c r="B3070" s="123"/>
      <c r="C3070" s="328"/>
      <c r="D3070" s="3990"/>
      <c r="E3070" s="4009"/>
      <c r="F3070" s="3010" t="str">
        <f>$E$1701</f>
        <v>ASHP-SEER19_ER1_MF</v>
      </c>
      <c r="G3070" s="2676"/>
      <c r="H3070" s="2676"/>
      <c r="I3070" s="2677"/>
      <c r="J3070" s="3299" t="str">
        <f>$C$1701</f>
        <v>354500_2019_12_</v>
      </c>
      <c r="K3070" s="2282">
        <v>8.33</v>
      </c>
      <c r="L3070" s="851"/>
      <c r="M3070" s="2284" t="s">
        <v>1110</v>
      </c>
      <c r="N3070" s="123"/>
      <c r="O3070" s="228"/>
      <c r="P3070" s="228"/>
      <c r="Q3070" s="228"/>
      <c r="R3070" s="228"/>
      <c r="S3070" s="123"/>
      <c r="T3070" s="123"/>
      <c r="U3070" s="123"/>
      <c r="V3070" s="3990"/>
      <c r="W3070" s="2857">
        <v>7.2</v>
      </c>
      <c r="X3070" s="3155">
        <v>8.33</v>
      </c>
      <c r="Y3070" s="696">
        <v>8.33</v>
      </c>
      <c r="Z3070" s="696">
        <v>8.33</v>
      </c>
      <c r="AA3070" s="696">
        <v>8.33</v>
      </c>
      <c r="AB3070" s="2282">
        <v>8.33</v>
      </c>
      <c r="AC3070" s="2282">
        <v>8.33</v>
      </c>
      <c r="AD3070" s="2857"/>
      <c r="AE3070" s="2857"/>
      <c r="AF3070" s="2857"/>
      <c r="AG3070" s="2857"/>
      <c r="AH3070" s="1942"/>
      <c r="AI3070" s="1942"/>
      <c r="AJ3070" s="1942"/>
      <c r="AK3070" s="1942"/>
      <c r="AL3070" s="1942"/>
      <c r="AM3070" s="1942"/>
      <c r="AN3070" s="1942"/>
      <c r="AO3070" s="1942"/>
      <c r="AP3070" s="1942"/>
      <c r="AQ3070" s="1942"/>
      <c r="AR3070" s="1942"/>
      <c r="AS3070" s="1942"/>
      <c r="AT3070" s="1942"/>
      <c r="AU3070" s="1942"/>
      <c r="AV3070" s="1942"/>
      <c r="AW3070" s="1942"/>
      <c r="AX3070" s="1942"/>
      <c r="AY3070" s="1942"/>
      <c r="AZ3070" s="1942"/>
      <c r="BA3070" s="1942"/>
      <c r="BB3070" s="575"/>
      <c r="BC3070" s="576"/>
      <c r="BD3070" s="678"/>
      <c r="BE3070" s="585"/>
    </row>
    <row r="3071" spans="1:57" s="51" customFormat="1" ht="15" hidden="1" customHeight="1" outlineLevel="1" x14ac:dyDescent="0.25">
      <c r="A3071" s="1267"/>
      <c r="B3071" s="123"/>
      <c r="C3071" s="328"/>
      <c r="D3071" s="3990"/>
      <c r="E3071" s="4009"/>
      <c r="F3071" s="3010" t="str">
        <f>$E$1703</f>
        <v>ASHP-SEER19_ER2_MF</v>
      </c>
      <c r="G3071" s="2676"/>
      <c r="H3071" s="2676"/>
      <c r="I3071" s="2677"/>
      <c r="J3071" s="3299" t="str">
        <f>$C$1703</f>
        <v>354500_2019_12_</v>
      </c>
      <c r="K3071" s="2282">
        <v>14</v>
      </c>
      <c r="L3071" s="851"/>
      <c r="M3071" s="2284" t="s">
        <v>1110</v>
      </c>
      <c r="N3071" s="123"/>
      <c r="O3071" s="228"/>
      <c r="P3071" s="228"/>
      <c r="Q3071" s="228"/>
      <c r="R3071" s="228"/>
      <c r="S3071" s="123"/>
      <c r="T3071" s="123"/>
      <c r="U3071" s="123"/>
      <c r="V3071" s="3990"/>
      <c r="W3071" s="2857">
        <v>14</v>
      </c>
      <c r="X3071" s="2857">
        <v>14</v>
      </c>
      <c r="Y3071" s="696">
        <v>14</v>
      </c>
      <c r="Z3071" s="696">
        <v>14</v>
      </c>
      <c r="AA3071" s="696">
        <v>14</v>
      </c>
      <c r="AB3071" s="2282">
        <v>14</v>
      </c>
      <c r="AC3071" s="2282">
        <v>14</v>
      </c>
      <c r="AD3071" s="2857"/>
      <c r="AE3071" s="2857"/>
      <c r="AF3071" s="2857"/>
      <c r="AG3071" s="2857"/>
      <c r="AH3071" s="1942"/>
      <c r="AI3071" s="1942"/>
      <c r="AJ3071" s="1942"/>
      <c r="AK3071" s="1942"/>
      <c r="AL3071" s="1942"/>
      <c r="AM3071" s="1942"/>
      <c r="AN3071" s="1942"/>
      <c r="AO3071" s="1942"/>
      <c r="AP3071" s="1942"/>
      <c r="AQ3071" s="1942"/>
      <c r="AR3071" s="1942"/>
      <c r="AS3071" s="1942"/>
      <c r="AT3071" s="1942"/>
      <c r="AU3071" s="1942"/>
      <c r="AV3071" s="1942"/>
      <c r="AW3071" s="1942"/>
      <c r="AX3071" s="1942"/>
      <c r="AY3071" s="1942"/>
      <c r="AZ3071" s="1942"/>
      <c r="BA3071" s="1942"/>
      <c r="BB3071" s="575"/>
      <c r="BC3071" s="576"/>
      <c r="BD3071" s="678"/>
      <c r="BE3071" s="585"/>
    </row>
    <row r="3072" spans="1:57" s="51" customFormat="1" ht="15" hidden="1" customHeight="1" outlineLevel="1" x14ac:dyDescent="0.25">
      <c r="A3072" s="1267"/>
      <c r="B3072" s="123"/>
      <c r="C3072" s="328"/>
      <c r="D3072" s="3990"/>
      <c r="E3072" s="4009"/>
      <c r="F3072" s="3010" t="str">
        <f>$E$1705</f>
        <v>ASHP-SEER19_ER1_MF_CompE</v>
      </c>
      <c r="G3072" s="2676"/>
      <c r="H3072" s="2676"/>
      <c r="I3072" s="2677"/>
      <c r="J3072" s="3299" t="str">
        <f>$C$1705</f>
        <v>354501_2019_12_</v>
      </c>
      <c r="K3072" s="2282">
        <v>8.33</v>
      </c>
      <c r="L3072" s="851"/>
      <c r="M3072" s="2284" t="s">
        <v>1110</v>
      </c>
      <c r="N3072" s="123"/>
      <c r="O3072" s="228"/>
      <c r="P3072" s="228"/>
      <c r="Q3072" s="228"/>
      <c r="R3072" s="228"/>
      <c r="S3072" s="123"/>
      <c r="T3072" s="123"/>
      <c r="U3072" s="123"/>
      <c r="V3072" s="3990"/>
      <c r="W3072" s="2857"/>
      <c r="X3072" s="2857"/>
      <c r="Y3072" s="3158">
        <v>8.33</v>
      </c>
      <c r="Z3072" s="696">
        <v>8.33</v>
      </c>
      <c r="AA3072" s="696">
        <v>8.33</v>
      </c>
      <c r="AB3072" s="2282">
        <v>8.33</v>
      </c>
      <c r="AC3072" s="2282">
        <v>8.33</v>
      </c>
      <c r="AD3072" s="2857"/>
      <c r="AE3072" s="2857"/>
      <c r="AF3072" s="2857"/>
      <c r="AG3072" s="2857"/>
      <c r="AH3072" s="1942"/>
      <c r="AI3072" s="1942"/>
      <c r="AJ3072" s="1942"/>
      <c r="AK3072" s="1942"/>
      <c r="AL3072" s="1942"/>
      <c r="AM3072" s="1942"/>
      <c r="AN3072" s="1942"/>
      <c r="AO3072" s="1942"/>
      <c r="AP3072" s="1942"/>
      <c r="AQ3072" s="1942"/>
      <c r="AR3072" s="1942"/>
      <c r="AS3072" s="1942"/>
      <c r="AT3072" s="1942"/>
      <c r="AU3072" s="1942"/>
      <c r="AV3072" s="1942"/>
      <c r="AW3072" s="1942"/>
      <c r="AX3072" s="1942"/>
      <c r="AY3072" s="1942"/>
      <c r="AZ3072" s="1942"/>
      <c r="BA3072" s="1942"/>
      <c r="BB3072" s="575"/>
      <c r="BC3072" s="576"/>
      <c r="BD3072" s="678"/>
      <c r="BE3072" s="585"/>
    </row>
    <row r="3073" spans="1:57" s="51" customFormat="1" ht="15" hidden="1" customHeight="1" outlineLevel="1" x14ac:dyDescent="0.25">
      <c r="A3073" s="1267"/>
      <c r="B3073" s="123"/>
      <c r="C3073" s="328"/>
      <c r="D3073" s="3990"/>
      <c r="E3073" s="4009"/>
      <c r="F3073" s="3010" t="str">
        <f>$E$1707</f>
        <v>ASHP-SEER19_ER2_MF_CompE</v>
      </c>
      <c r="G3073" s="2676"/>
      <c r="H3073" s="2676"/>
      <c r="I3073" s="2677"/>
      <c r="J3073" s="3299" t="str">
        <f>$C$1707</f>
        <v>354501_2019_12_</v>
      </c>
      <c r="K3073" s="2282">
        <v>14</v>
      </c>
      <c r="L3073" s="851"/>
      <c r="M3073" s="2284" t="s">
        <v>1110</v>
      </c>
      <c r="N3073" s="123"/>
      <c r="O3073" s="228"/>
      <c r="P3073" s="228"/>
      <c r="Q3073" s="228"/>
      <c r="R3073" s="228"/>
      <c r="S3073" s="123"/>
      <c r="T3073" s="123"/>
      <c r="U3073" s="123"/>
      <c r="V3073" s="3990"/>
      <c r="W3073" s="2857"/>
      <c r="X3073" s="2857"/>
      <c r="Y3073" s="3158">
        <v>14</v>
      </c>
      <c r="Z3073" s="696">
        <v>14</v>
      </c>
      <c r="AA3073" s="696">
        <v>14</v>
      </c>
      <c r="AB3073" s="2282">
        <v>14</v>
      </c>
      <c r="AC3073" s="2282">
        <v>14</v>
      </c>
      <c r="AD3073" s="2857"/>
      <c r="AE3073" s="2857"/>
      <c r="AF3073" s="2857"/>
      <c r="AG3073" s="2857"/>
      <c r="AH3073" s="1942"/>
      <c r="AI3073" s="1942"/>
      <c r="AJ3073" s="1942"/>
      <c r="AK3073" s="1942"/>
      <c r="AL3073" s="1942"/>
      <c r="AM3073" s="1942"/>
      <c r="AN3073" s="1942"/>
      <c r="AO3073" s="1942"/>
      <c r="AP3073" s="1942"/>
      <c r="AQ3073" s="1942"/>
      <c r="AR3073" s="1942"/>
      <c r="AS3073" s="1942"/>
      <c r="AT3073" s="1942"/>
      <c r="AU3073" s="1942"/>
      <c r="AV3073" s="1942"/>
      <c r="AW3073" s="1942"/>
      <c r="AX3073" s="1942"/>
      <c r="AY3073" s="1942"/>
      <c r="AZ3073" s="1942"/>
      <c r="BA3073" s="1942"/>
      <c r="BB3073" s="575"/>
      <c r="BC3073" s="576"/>
      <c r="BD3073" s="678"/>
      <c r="BE3073" s="585"/>
    </row>
    <row r="3074" spans="1:57" s="51" customFormat="1" ht="15" hidden="1" customHeight="1" outlineLevel="1" x14ac:dyDescent="0.25">
      <c r="A3074" s="1267"/>
      <c r="B3074" s="123"/>
      <c r="C3074" s="328"/>
      <c r="D3074" s="3990"/>
      <c r="E3074" s="4009"/>
      <c r="F3074" s="3010" t="str">
        <f>$E$1709</f>
        <v>ASHP-SEER20_ER1_SF</v>
      </c>
      <c r="G3074" s="2676"/>
      <c r="H3074" s="2676"/>
      <c r="I3074" s="2677"/>
      <c r="J3074" s="3298" t="str">
        <f>$C$1709</f>
        <v>354550_2021_12_</v>
      </c>
      <c r="K3074" s="2282">
        <v>8.33</v>
      </c>
      <c r="L3074" s="851"/>
      <c r="M3074" s="2284" t="s">
        <v>1110</v>
      </c>
      <c r="N3074" s="123"/>
      <c r="O3074" s="228"/>
      <c r="P3074" s="228"/>
      <c r="Q3074" s="228"/>
      <c r="R3074" s="228"/>
      <c r="S3074" s="123"/>
      <c r="T3074" s="123"/>
      <c r="U3074" s="123"/>
      <c r="V3074" s="3990"/>
      <c r="W3074" s="2857">
        <v>7.2</v>
      </c>
      <c r="X3074" s="3155">
        <v>8.33</v>
      </c>
      <c r="Y3074" s="696">
        <v>8.33</v>
      </c>
      <c r="Z3074" s="696">
        <v>8.33</v>
      </c>
      <c r="AA3074" s="696">
        <v>8.33</v>
      </c>
      <c r="AB3074" s="2282">
        <v>8.33</v>
      </c>
      <c r="AC3074" s="2282">
        <v>8.33</v>
      </c>
      <c r="AD3074" s="2857"/>
      <c r="AE3074" s="2857"/>
      <c r="AF3074" s="2857"/>
      <c r="AG3074" s="2857"/>
      <c r="AH3074" s="1942"/>
      <c r="AI3074" s="1942"/>
      <c r="AJ3074" s="1942"/>
      <c r="AK3074" s="1942"/>
      <c r="AL3074" s="1942"/>
      <c r="AM3074" s="1942"/>
      <c r="AN3074" s="1942"/>
      <c r="AO3074" s="1942"/>
      <c r="AP3074" s="1942"/>
      <c r="AQ3074" s="1942"/>
      <c r="AR3074" s="1942"/>
      <c r="AS3074" s="1942"/>
      <c r="AT3074" s="1942"/>
      <c r="AU3074" s="1942"/>
      <c r="AV3074" s="1942"/>
      <c r="AW3074" s="1942"/>
      <c r="AX3074" s="1942"/>
      <c r="AY3074" s="1942"/>
      <c r="AZ3074" s="1942"/>
      <c r="BA3074" s="1942"/>
      <c r="BB3074" s="575"/>
      <c r="BC3074" s="576"/>
      <c r="BD3074" s="678"/>
      <c r="BE3074" s="585"/>
    </row>
    <row r="3075" spans="1:57" s="51" customFormat="1" ht="15" hidden="1" customHeight="1" outlineLevel="1" x14ac:dyDescent="0.25">
      <c r="A3075" s="1267"/>
      <c r="B3075" s="123"/>
      <c r="C3075" s="328"/>
      <c r="D3075" s="3990"/>
      <c r="E3075" s="4009"/>
      <c r="F3075" s="3010" t="str">
        <f>$E$1711</f>
        <v>ASHP-SEER20_ER2_SF</v>
      </c>
      <c r="G3075" s="2676"/>
      <c r="H3075" s="2676"/>
      <c r="I3075" s="2677"/>
      <c r="J3075" s="3298" t="str">
        <f>$C$1711</f>
        <v>354550_2021_12_</v>
      </c>
      <c r="K3075" s="2282">
        <v>14</v>
      </c>
      <c r="L3075" s="851"/>
      <c r="M3075" s="2284" t="s">
        <v>1110</v>
      </c>
      <c r="N3075" s="123"/>
      <c r="O3075" s="228"/>
      <c r="P3075" s="228"/>
      <c r="Q3075" s="228"/>
      <c r="R3075" s="228"/>
      <c r="S3075" s="123"/>
      <c r="T3075" s="123"/>
      <c r="U3075" s="123"/>
      <c r="V3075" s="3990"/>
      <c r="W3075" s="2857">
        <v>14</v>
      </c>
      <c r="X3075" s="2857">
        <v>14</v>
      </c>
      <c r="Y3075" s="696">
        <v>14</v>
      </c>
      <c r="Z3075" s="696">
        <v>14</v>
      </c>
      <c r="AA3075" s="696">
        <v>14</v>
      </c>
      <c r="AB3075" s="2282">
        <v>14</v>
      </c>
      <c r="AC3075" s="2282">
        <v>14</v>
      </c>
      <c r="AD3075" s="2857"/>
      <c r="AE3075" s="2857"/>
      <c r="AF3075" s="2857"/>
      <c r="AG3075" s="2857"/>
      <c r="AH3075" s="1942"/>
      <c r="AI3075" s="1942"/>
      <c r="AJ3075" s="1942"/>
      <c r="AK3075" s="1942"/>
      <c r="AL3075" s="1942"/>
      <c r="AM3075" s="1942"/>
      <c r="AN3075" s="1942"/>
      <c r="AO3075" s="1942"/>
      <c r="AP3075" s="1942"/>
      <c r="AQ3075" s="1942"/>
      <c r="AR3075" s="1942"/>
      <c r="AS3075" s="1942"/>
      <c r="AT3075" s="1942"/>
      <c r="AU3075" s="1942"/>
      <c r="AV3075" s="1942"/>
      <c r="AW3075" s="1942"/>
      <c r="AX3075" s="1942"/>
      <c r="AY3075" s="1942"/>
      <c r="AZ3075" s="1942"/>
      <c r="BA3075" s="1942"/>
      <c r="BB3075" s="575"/>
      <c r="BC3075" s="576"/>
      <c r="BD3075" s="678"/>
      <c r="BE3075" s="585"/>
    </row>
    <row r="3076" spans="1:57" s="51" customFormat="1" ht="15" hidden="1" customHeight="1" outlineLevel="1" x14ac:dyDescent="0.25">
      <c r="A3076" s="1267"/>
      <c r="B3076" s="123"/>
      <c r="C3076" s="328"/>
      <c r="D3076" s="3990"/>
      <c r="E3076" s="4009"/>
      <c r="F3076" s="3010" t="str">
        <f>$E$1713</f>
        <v>ASHP-SEER20_ROF_SF</v>
      </c>
      <c r="G3076" s="2676"/>
      <c r="H3076" s="2676"/>
      <c r="I3076" s="2677"/>
      <c r="J3076" s="3298" t="str">
        <f>$C$1713</f>
        <v>354600_2021_12_</v>
      </c>
      <c r="K3076" s="2282">
        <v>14</v>
      </c>
      <c r="L3076" s="851"/>
      <c r="M3076" s="2284" t="s">
        <v>1110</v>
      </c>
      <c r="N3076" s="123"/>
      <c r="O3076" s="228"/>
      <c r="P3076" s="228"/>
      <c r="Q3076" s="228"/>
      <c r="R3076" s="228"/>
      <c r="S3076" s="123"/>
      <c r="T3076" s="123"/>
      <c r="U3076" s="123"/>
      <c r="V3076" s="3990"/>
      <c r="W3076" s="2857">
        <v>14</v>
      </c>
      <c r="X3076" s="2857">
        <v>14</v>
      </c>
      <c r="Y3076" s="696">
        <v>14</v>
      </c>
      <c r="Z3076" s="696">
        <v>14</v>
      </c>
      <c r="AA3076" s="696">
        <v>14</v>
      </c>
      <c r="AB3076" s="2282">
        <v>14</v>
      </c>
      <c r="AC3076" s="2282">
        <v>14</v>
      </c>
      <c r="AD3076" s="2857"/>
      <c r="AE3076" s="2857"/>
      <c r="AF3076" s="2857"/>
      <c r="AG3076" s="2857"/>
      <c r="AH3076" s="1942"/>
      <c r="AI3076" s="1942"/>
      <c r="AJ3076" s="1942"/>
      <c r="AK3076" s="1942"/>
      <c r="AL3076" s="1942"/>
      <c r="AM3076" s="1942"/>
      <c r="AN3076" s="1942"/>
      <c r="AO3076" s="1942"/>
      <c r="AP3076" s="1942"/>
      <c r="AQ3076" s="1942"/>
      <c r="AR3076" s="1942"/>
      <c r="AS3076" s="1942"/>
      <c r="AT3076" s="1942"/>
      <c r="AU3076" s="1942"/>
      <c r="AV3076" s="1942"/>
      <c r="AW3076" s="1942"/>
      <c r="AX3076" s="1942"/>
      <c r="AY3076" s="1942"/>
      <c r="AZ3076" s="1942"/>
      <c r="BA3076" s="1942"/>
      <c r="BB3076" s="575"/>
      <c r="BC3076" s="576"/>
      <c r="BD3076" s="678"/>
      <c r="BE3076" s="585"/>
    </row>
    <row r="3077" spans="1:57" s="51" customFormat="1" ht="15" hidden="1" customHeight="1" outlineLevel="1" x14ac:dyDescent="0.25">
      <c r="A3077" s="1267"/>
      <c r="B3077" s="123"/>
      <c r="C3077" s="328"/>
      <c r="D3077" s="3990"/>
      <c r="E3077" s="4009"/>
      <c r="F3077" s="3010" t="str">
        <f>$E$1715</f>
        <v>ASHP-SEER20-Replace_CAC_ElectricHeat_ER1_MF</v>
      </c>
      <c r="G3077" s="2676"/>
      <c r="H3077" s="2676"/>
      <c r="I3077" s="2677"/>
      <c r="J3077" s="3299" t="str">
        <f>$C$1715</f>
        <v>354650_2019_12_</v>
      </c>
      <c r="K3077" s="2282">
        <v>8.33</v>
      </c>
      <c r="L3077" s="851"/>
      <c r="M3077" s="2284" t="s">
        <v>1110</v>
      </c>
      <c r="N3077" s="123"/>
      <c r="O3077" s="228"/>
      <c r="P3077" s="228"/>
      <c r="Q3077" s="228"/>
      <c r="R3077" s="228"/>
      <c r="S3077" s="123"/>
      <c r="T3077" s="123"/>
      <c r="U3077" s="123"/>
      <c r="V3077" s="3990"/>
      <c r="W3077" s="2857">
        <v>6.8</v>
      </c>
      <c r="X3077" s="3155">
        <v>8.33</v>
      </c>
      <c r="Y3077" s="696">
        <v>8.33</v>
      </c>
      <c r="Z3077" s="696">
        <v>8.33</v>
      </c>
      <c r="AA3077" s="696">
        <v>8.33</v>
      </c>
      <c r="AB3077" s="2282">
        <v>8.33</v>
      </c>
      <c r="AC3077" s="2282">
        <v>8.33</v>
      </c>
      <c r="AD3077" s="2857"/>
      <c r="AE3077" s="2857"/>
      <c r="AF3077" s="2857"/>
      <c r="AG3077" s="2857"/>
      <c r="AH3077" s="1942"/>
      <c r="AI3077" s="1942"/>
      <c r="AJ3077" s="1942"/>
      <c r="AK3077" s="1942"/>
      <c r="AL3077" s="1942"/>
      <c r="AM3077" s="1942"/>
      <c r="AN3077" s="1942"/>
      <c r="AO3077" s="1942"/>
      <c r="AP3077" s="1942"/>
      <c r="AQ3077" s="1942"/>
      <c r="AR3077" s="1942"/>
      <c r="AS3077" s="1942"/>
      <c r="AT3077" s="1942"/>
      <c r="AU3077" s="1942"/>
      <c r="AV3077" s="1942"/>
      <c r="AW3077" s="1942"/>
      <c r="AX3077" s="1942"/>
      <c r="AY3077" s="1942"/>
      <c r="AZ3077" s="1942"/>
      <c r="BA3077" s="1942"/>
      <c r="BB3077" s="575"/>
      <c r="BC3077" s="576"/>
      <c r="BD3077" s="678"/>
      <c r="BE3077" s="585"/>
    </row>
    <row r="3078" spans="1:57" s="51" customFormat="1" ht="15" hidden="1" customHeight="1" outlineLevel="1" x14ac:dyDescent="0.25">
      <c r="A3078" s="1267"/>
      <c r="B3078" s="123"/>
      <c r="C3078" s="328"/>
      <c r="D3078" s="3990"/>
      <c r="E3078" s="4009"/>
      <c r="F3078" s="3010" t="str">
        <f>$E$1717</f>
        <v>ASHP-SEER20-Replace_CAC_ElectricHeat_ER2_MF</v>
      </c>
      <c r="G3078" s="2676"/>
      <c r="H3078" s="2676"/>
      <c r="I3078" s="2677"/>
      <c r="J3078" s="3299" t="str">
        <f>$C$1717</f>
        <v>354650_2019_12_</v>
      </c>
      <c r="K3078" s="2282">
        <v>13</v>
      </c>
      <c r="L3078" s="851"/>
      <c r="M3078" s="2284" t="s">
        <v>1110</v>
      </c>
      <c r="N3078" s="123"/>
      <c r="O3078" s="228"/>
      <c r="P3078" s="228"/>
      <c r="Q3078" s="228"/>
      <c r="R3078" s="228"/>
      <c r="S3078" s="123"/>
      <c r="T3078" s="123"/>
      <c r="U3078" s="123"/>
      <c r="V3078" s="3990"/>
      <c r="W3078" s="2857">
        <v>13</v>
      </c>
      <c r="X3078" s="2857">
        <v>13</v>
      </c>
      <c r="Y3078" s="696">
        <v>13</v>
      </c>
      <c r="Z3078" s="696">
        <v>13</v>
      </c>
      <c r="AA3078" s="696">
        <v>13</v>
      </c>
      <c r="AB3078" s="2282">
        <v>13</v>
      </c>
      <c r="AC3078" s="2282">
        <v>13</v>
      </c>
      <c r="AD3078" s="2857"/>
      <c r="AE3078" s="2857"/>
      <c r="AF3078" s="2857"/>
      <c r="AG3078" s="2857"/>
      <c r="AH3078" s="1942"/>
      <c r="AI3078" s="1942"/>
      <c r="AJ3078" s="1942"/>
      <c r="AK3078" s="1942"/>
      <c r="AL3078" s="1942"/>
      <c r="AM3078" s="1942"/>
      <c r="AN3078" s="1942"/>
      <c r="AO3078" s="1942"/>
      <c r="AP3078" s="1942"/>
      <c r="AQ3078" s="1942"/>
      <c r="AR3078" s="1942"/>
      <c r="AS3078" s="1942"/>
      <c r="AT3078" s="1942"/>
      <c r="AU3078" s="1942"/>
      <c r="AV3078" s="1942"/>
      <c r="AW3078" s="1942"/>
      <c r="AX3078" s="1942"/>
      <c r="AY3078" s="1942"/>
      <c r="AZ3078" s="1942"/>
      <c r="BA3078" s="1942"/>
      <c r="BB3078" s="575"/>
      <c r="BC3078" s="576"/>
      <c r="BD3078" s="678"/>
      <c r="BE3078" s="585"/>
    </row>
    <row r="3079" spans="1:57" s="51" customFormat="1" ht="15" hidden="1" customHeight="1" outlineLevel="1" x14ac:dyDescent="0.25">
      <c r="A3079" s="1267"/>
      <c r="B3079" s="123"/>
      <c r="C3079" s="328"/>
      <c r="D3079" s="3990"/>
      <c r="E3079" s="4009"/>
      <c r="F3079" s="3010" t="str">
        <f>$E$1719</f>
        <v>ASHP-SEER20-Replace_CAC_ElectricHeat_ER1_MF_CompE</v>
      </c>
      <c r="G3079" s="2676"/>
      <c r="H3079" s="2676"/>
      <c r="I3079" s="2677"/>
      <c r="J3079" s="3299" t="str">
        <f>$C$1719</f>
        <v>354651_2019_12_</v>
      </c>
      <c r="K3079" s="2282">
        <v>8.33</v>
      </c>
      <c r="L3079" s="851"/>
      <c r="M3079" s="2284" t="s">
        <v>1110</v>
      </c>
      <c r="N3079" s="123"/>
      <c r="O3079" s="228"/>
      <c r="P3079" s="228"/>
      <c r="Q3079" s="228"/>
      <c r="R3079" s="228"/>
      <c r="S3079" s="123"/>
      <c r="T3079" s="123"/>
      <c r="U3079" s="123"/>
      <c r="V3079" s="3990"/>
      <c r="W3079" s="2857"/>
      <c r="X3079" s="2857"/>
      <c r="Y3079" s="3158">
        <v>8.33</v>
      </c>
      <c r="Z3079" s="696">
        <v>8.33</v>
      </c>
      <c r="AA3079" s="696">
        <v>8.33</v>
      </c>
      <c r="AB3079" s="2282">
        <v>8.33</v>
      </c>
      <c r="AC3079" s="2282">
        <v>8.33</v>
      </c>
      <c r="AD3079" s="2857"/>
      <c r="AE3079" s="2857"/>
      <c r="AF3079" s="2857"/>
      <c r="AG3079" s="2857"/>
      <c r="AH3079" s="1942"/>
      <c r="AI3079" s="1942"/>
      <c r="AJ3079" s="1942"/>
      <c r="AK3079" s="1942"/>
      <c r="AL3079" s="1942"/>
      <c r="AM3079" s="1942"/>
      <c r="AN3079" s="1942"/>
      <c r="AO3079" s="1942"/>
      <c r="AP3079" s="1942"/>
      <c r="AQ3079" s="1942"/>
      <c r="AR3079" s="1942"/>
      <c r="AS3079" s="1942"/>
      <c r="AT3079" s="1942"/>
      <c r="AU3079" s="1942"/>
      <c r="AV3079" s="1942"/>
      <c r="AW3079" s="1942"/>
      <c r="AX3079" s="1942"/>
      <c r="AY3079" s="1942"/>
      <c r="AZ3079" s="1942"/>
      <c r="BA3079" s="1942"/>
      <c r="BB3079" s="575"/>
      <c r="BC3079" s="576"/>
      <c r="BD3079" s="678"/>
      <c r="BE3079" s="585"/>
    </row>
    <row r="3080" spans="1:57" s="51" customFormat="1" ht="15" hidden="1" customHeight="1" outlineLevel="1" x14ac:dyDescent="0.25">
      <c r="A3080" s="1267"/>
      <c r="B3080" s="123"/>
      <c r="C3080" s="328"/>
      <c r="D3080" s="3990"/>
      <c r="E3080" s="4009"/>
      <c r="F3080" s="3010" t="str">
        <f>$E$1721</f>
        <v>ASHP-SEER20-Replace_CAC_ElectricHeat_ER2_MF_CompE</v>
      </c>
      <c r="G3080" s="2676"/>
      <c r="H3080" s="2676"/>
      <c r="I3080" s="2677"/>
      <c r="J3080" s="3299" t="str">
        <f>$C$1721</f>
        <v>354651_2019_12_</v>
      </c>
      <c r="K3080" s="2282">
        <v>13</v>
      </c>
      <c r="L3080" s="851"/>
      <c r="M3080" s="2284" t="s">
        <v>1110</v>
      </c>
      <c r="N3080" s="123"/>
      <c r="O3080" s="228"/>
      <c r="P3080" s="228"/>
      <c r="Q3080" s="228"/>
      <c r="R3080" s="228"/>
      <c r="S3080" s="123"/>
      <c r="T3080" s="123"/>
      <c r="U3080" s="123"/>
      <c r="V3080" s="3990"/>
      <c r="W3080" s="2857"/>
      <c r="X3080" s="2857"/>
      <c r="Y3080" s="3158">
        <v>13</v>
      </c>
      <c r="Z3080" s="696">
        <v>13</v>
      </c>
      <c r="AA3080" s="696">
        <v>13</v>
      </c>
      <c r="AB3080" s="2282">
        <v>13</v>
      </c>
      <c r="AC3080" s="2282">
        <v>13</v>
      </c>
      <c r="AD3080" s="2857"/>
      <c r="AE3080" s="2857"/>
      <c r="AF3080" s="2857"/>
      <c r="AG3080" s="2857"/>
      <c r="AH3080" s="1942"/>
      <c r="AI3080" s="1942"/>
      <c r="AJ3080" s="1942"/>
      <c r="AK3080" s="1942"/>
      <c r="AL3080" s="1942"/>
      <c r="AM3080" s="1942"/>
      <c r="AN3080" s="1942"/>
      <c r="AO3080" s="1942"/>
      <c r="AP3080" s="1942"/>
      <c r="AQ3080" s="1942"/>
      <c r="AR3080" s="1942"/>
      <c r="AS3080" s="1942"/>
      <c r="AT3080" s="1942"/>
      <c r="AU3080" s="1942"/>
      <c r="AV3080" s="1942"/>
      <c r="AW3080" s="1942"/>
      <c r="AX3080" s="1942"/>
      <c r="AY3080" s="1942"/>
      <c r="AZ3080" s="1942"/>
      <c r="BA3080" s="1942"/>
      <c r="BB3080" s="575"/>
      <c r="BC3080" s="576"/>
      <c r="BD3080" s="678"/>
      <c r="BE3080" s="585"/>
    </row>
    <row r="3081" spans="1:57" s="1942" customFormat="1" ht="15" hidden="1" customHeight="1" outlineLevel="1" x14ac:dyDescent="0.25">
      <c r="A3081" s="1267"/>
      <c r="B3081" s="123"/>
      <c r="C3081" s="328"/>
      <c r="D3081" s="3990"/>
      <c r="E3081" s="4009"/>
      <c r="F3081" s="3010" t="str">
        <f>$E$1723</f>
        <v>ASHP-SEER20-Replace_CAC_NonElectricHeat_ER1_MF</v>
      </c>
      <c r="G3081" s="2676"/>
      <c r="H3081" s="2676"/>
      <c r="I3081" s="2677"/>
      <c r="J3081" s="3298" t="str">
        <f>$C$1723</f>
        <v>354660_2021_12_</v>
      </c>
      <c r="K3081" s="2228">
        <v>8.33</v>
      </c>
      <c r="L3081" s="851"/>
      <c r="M3081" s="2817" t="s">
        <v>1125</v>
      </c>
      <c r="N3081" s="123"/>
      <c r="O3081" s="228"/>
      <c r="P3081" s="228"/>
      <c r="Q3081" s="228"/>
      <c r="R3081" s="228"/>
      <c r="S3081" s="123"/>
      <c r="T3081" s="123"/>
      <c r="U3081" s="123"/>
      <c r="V3081" s="3990"/>
      <c r="W3081" s="2857"/>
      <c r="X3081" s="2857"/>
      <c r="Y3081" s="3158"/>
      <c r="Z3081" s="696"/>
      <c r="AA3081" s="696"/>
      <c r="AB3081" s="2282"/>
      <c r="AC3081" s="2228">
        <v>8.33</v>
      </c>
      <c r="AD3081" s="2857"/>
      <c r="AE3081" s="2857"/>
      <c r="AF3081" s="2857"/>
      <c r="AG3081" s="2857"/>
      <c r="BB3081" s="575"/>
      <c r="BC3081" s="576"/>
      <c r="BD3081" s="678"/>
      <c r="BE3081" s="585"/>
    </row>
    <row r="3082" spans="1:57" s="1942" customFormat="1" ht="15" hidden="1" customHeight="1" outlineLevel="1" x14ac:dyDescent="0.25">
      <c r="A3082" s="1267"/>
      <c r="B3082" s="123"/>
      <c r="C3082" s="328"/>
      <c r="D3082" s="3990"/>
      <c r="E3082" s="4009"/>
      <c r="F3082" s="3010" t="str">
        <f>$E$1725</f>
        <v>ASHP-SEER20-Replace_CAC_NonElectricHeat_ER2_MF</v>
      </c>
      <c r="G3082" s="2676"/>
      <c r="H3082" s="2676"/>
      <c r="I3082" s="2677"/>
      <c r="J3082" s="3298" t="str">
        <f>$C$1725</f>
        <v>354660_2021_12_</v>
      </c>
      <c r="K3082" s="2228">
        <v>13</v>
      </c>
      <c r="L3082" s="851"/>
      <c r="M3082" s="2817" t="s">
        <v>1110</v>
      </c>
      <c r="N3082" s="123"/>
      <c r="O3082" s="228"/>
      <c r="P3082" s="228"/>
      <c r="Q3082" s="228"/>
      <c r="R3082" s="228"/>
      <c r="S3082" s="123"/>
      <c r="T3082" s="123"/>
      <c r="U3082" s="123"/>
      <c r="V3082" s="3990"/>
      <c r="W3082" s="2857"/>
      <c r="X3082" s="2857"/>
      <c r="Y3082" s="3158"/>
      <c r="Z3082" s="696"/>
      <c r="AA3082" s="696"/>
      <c r="AB3082" s="2282"/>
      <c r="AC3082" s="2228">
        <v>13</v>
      </c>
      <c r="AD3082" s="2857"/>
      <c r="AE3082" s="2857"/>
      <c r="AF3082" s="2857"/>
      <c r="AG3082" s="2857"/>
      <c r="BB3082" s="575"/>
      <c r="BC3082" s="576"/>
      <c r="BD3082" s="678"/>
      <c r="BE3082" s="585"/>
    </row>
    <row r="3083" spans="1:57" s="1942" customFormat="1" ht="15" hidden="1" customHeight="1" outlineLevel="1" x14ac:dyDescent="0.25">
      <c r="A3083" s="1267"/>
      <c r="B3083" s="123"/>
      <c r="C3083" s="328"/>
      <c r="D3083" s="3990"/>
      <c r="E3083" s="4009"/>
      <c r="F3083" s="3010" t="str">
        <f>$E$1727</f>
        <v>ASHP-SEER20-Replace_CAC_NonElectricHeat_ER1_MF_CompE</v>
      </c>
      <c r="G3083" s="2676"/>
      <c r="H3083" s="2676"/>
      <c r="I3083" s="2677"/>
      <c r="J3083" s="3298" t="str">
        <f>$C$1727</f>
        <v>354661_2021_12_</v>
      </c>
      <c r="K3083" s="2228">
        <v>8.33</v>
      </c>
      <c r="L3083" s="851"/>
      <c r="M3083" s="2817" t="s">
        <v>1125</v>
      </c>
      <c r="N3083" s="123"/>
      <c r="O3083" s="228"/>
      <c r="P3083" s="228"/>
      <c r="Q3083" s="228"/>
      <c r="R3083" s="228"/>
      <c r="S3083" s="123"/>
      <c r="T3083" s="123"/>
      <c r="U3083" s="123"/>
      <c r="V3083" s="3990"/>
      <c r="W3083" s="2857"/>
      <c r="X3083" s="2857"/>
      <c r="Y3083" s="3158"/>
      <c r="Z3083" s="696"/>
      <c r="AA3083" s="696"/>
      <c r="AB3083" s="2282"/>
      <c r="AC3083" s="2228">
        <v>8.33</v>
      </c>
      <c r="AD3083" s="2857"/>
      <c r="AE3083" s="2857"/>
      <c r="AF3083" s="2857"/>
      <c r="AG3083" s="2857"/>
      <c r="BB3083" s="575"/>
      <c r="BC3083" s="576"/>
      <c r="BD3083" s="678"/>
      <c r="BE3083" s="585"/>
    </row>
    <row r="3084" spans="1:57" s="1942" customFormat="1" ht="15" hidden="1" customHeight="1" outlineLevel="1" x14ac:dyDescent="0.25">
      <c r="A3084" s="1267"/>
      <c r="B3084" s="123"/>
      <c r="C3084" s="328"/>
      <c r="D3084" s="3990"/>
      <c r="E3084" s="4009"/>
      <c r="F3084" s="3010" t="str">
        <f>$E$1729</f>
        <v>ASHP-SEER20-Replace_CAC_NonElectricHeat_ER2_MF_CompE</v>
      </c>
      <c r="G3084" s="2676"/>
      <c r="H3084" s="2676"/>
      <c r="I3084" s="2677"/>
      <c r="J3084" s="3298" t="str">
        <f>$C$1729</f>
        <v>354661_2021_12_</v>
      </c>
      <c r="K3084" s="2228">
        <v>13</v>
      </c>
      <c r="L3084" s="851"/>
      <c r="M3084" s="2817" t="s">
        <v>1110</v>
      </c>
      <c r="N3084" s="123"/>
      <c r="O3084" s="228"/>
      <c r="P3084" s="228"/>
      <c r="Q3084" s="228"/>
      <c r="R3084" s="228"/>
      <c r="S3084" s="123"/>
      <c r="T3084" s="123"/>
      <c r="U3084" s="123"/>
      <c r="V3084" s="3990"/>
      <c r="W3084" s="2857"/>
      <c r="X3084" s="2857"/>
      <c r="Y3084" s="3158"/>
      <c r="Z3084" s="696"/>
      <c r="AA3084" s="696"/>
      <c r="AB3084" s="2282"/>
      <c r="AC3084" s="2228">
        <v>13</v>
      </c>
      <c r="AD3084" s="2857"/>
      <c r="AE3084" s="2857"/>
      <c r="AF3084" s="2857"/>
      <c r="AG3084" s="2857"/>
      <c r="BB3084" s="575"/>
      <c r="BC3084" s="576"/>
      <c r="BD3084" s="678"/>
      <c r="BE3084" s="585"/>
    </row>
    <row r="3085" spans="1:57" s="51" customFormat="1" ht="15" hidden="1" customHeight="1" outlineLevel="1" x14ac:dyDescent="0.25">
      <c r="A3085" s="1267"/>
      <c r="B3085" s="123"/>
      <c r="C3085" s="328"/>
      <c r="D3085" s="3990"/>
      <c r="E3085" s="4009"/>
      <c r="F3085" s="3010" t="str">
        <f>$E$1731</f>
        <v>ASHP-SEER20_ER1_MF</v>
      </c>
      <c r="G3085" s="2676"/>
      <c r="H3085" s="2676"/>
      <c r="I3085" s="2677"/>
      <c r="J3085" s="3299" t="str">
        <f>$C$1731</f>
        <v>354700_2019_12_</v>
      </c>
      <c r="K3085" s="2282">
        <v>8.33</v>
      </c>
      <c r="L3085" s="851"/>
      <c r="M3085" s="2284" t="s">
        <v>1110</v>
      </c>
      <c r="N3085" s="123"/>
      <c r="O3085" s="228"/>
      <c r="P3085" s="228"/>
      <c r="Q3085" s="228"/>
      <c r="R3085" s="228"/>
      <c r="S3085" s="123"/>
      <c r="T3085" s="123"/>
      <c r="U3085" s="123"/>
      <c r="V3085" s="3990"/>
      <c r="W3085" s="2857">
        <v>7.2</v>
      </c>
      <c r="X3085" s="3155">
        <v>8.33</v>
      </c>
      <c r="Y3085" s="696">
        <v>8.33</v>
      </c>
      <c r="Z3085" s="696">
        <v>8.33</v>
      </c>
      <c r="AA3085" s="696">
        <v>8.33</v>
      </c>
      <c r="AB3085" s="2282">
        <v>8.33</v>
      </c>
      <c r="AC3085" s="2282">
        <v>8.33</v>
      </c>
      <c r="AD3085" s="2857"/>
      <c r="AE3085" s="2857"/>
      <c r="AF3085" s="2857"/>
      <c r="AG3085" s="2857"/>
      <c r="AH3085" s="1942"/>
      <c r="AI3085" s="1942"/>
      <c r="AJ3085" s="1942"/>
      <c r="AK3085" s="1942"/>
      <c r="AL3085" s="1942"/>
      <c r="AM3085" s="1942"/>
      <c r="AN3085" s="1942"/>
      <c r="AO3085" s="1942"/>
      <c r="AP3085" s="1942"/>
      <c r="AQ3085" s="1942"/>
      <c r="AR3085" s="1942"/>
      <c r="AS3085" s="1942"/>
      <c r="AT3085" s="1942"/>
      <c r="AU3085" s="1942"/>
      <c r="AV3085" s="1942"/>
      <c r="AW3085" s="1942"/>
      <c r="AX3085" s="1942"/>
      <c r="AY3085" s="1942"/>
      <c r="AZ3085" s="1942"/>
      <c r="BA3085" s="1942"/>
      <c r="BB3085" s="575"/>
      <c r="BC3085" s="576"/>
      <c r="BD3085" s="678"/>
      <c r="BE3085" s="585"/>
    </row>
    <row r="3086" spans="1:57" s="51" customFormat="1" ht="15" hidden="1" customHeight="1" outlineLevel="1" x14ac:dyDescent="0.25">
      <c r="A3086" s="1267"/>
      <c r="B3086" s="123"/>
      <c r="C3086" s="328"/>
      <c r="D3086" s="3990"/>
      <c r="E3086" s="4009"/>
      <c r="F3086" s="3010" t="str">
        <f>$E$1733</f>
        <v>ASHP-SEER20_ER2_MF</v>
      </c>
      <c r="G3086" s="2676"/>
      <c r="H3086" s="2676"/>
      <c r="I3086" s="2677"/>
      <c r="J3086" s="3299" t="str">
        <f>$C$1733</f>
        <v>354700_2019_12_</v>
      </c>
      <c r="K3086" s="2282">
        <v>14</v>
      </c>
      <c r="L3086" s="851"/>
      <c r="M3086" s="2284" t="s">
        <v>1110</v>
      </c>
      <c r="N3086" s="123"/>
      <c r="O3086" s="228"/>
      <c r="P3086" s="228"/>
      <c r="Q3086" s="228"/>
      <c r="R3086" s="228"/>
      <c r="S3086" s="123"/>
      <c r="T3086" s="123"/>
      <c r="U3086" s="123"/>
      <c r="V3086" s="3990"/>
      <c r="W3086" s="2857">
        <v>14</v>
      </c>
      <c r="X3086" s="2857">
        <v>14</v>
      </c>
      <c r="Y3086" s="696">
        <v>14</v>
      </c>
      <c r="Z3086" s="696">
        <v>14</v>
      </c>
      <c r="AA3086" s="696">
        <v>14</v>
      </c>
      <c r="AB3086" s="2282">
        <v>14</v>
      </c>
      <c r="AC3086" s="2282">
        <v>14</v>
      </c>
      <c r="AD3086" s="2857"/>
      <c r="AE3086" s="2857"/>
      <c r="AF3086" s="2857"/>
      <c r="AG3086" s="2857"/>
      <c r="AH3086" s="1942"/>
      <c r="AI3086" s="1942"/>
      <c r="AJ3086" s="1942"/>
      <c r="AK3086" s="1942"/>
      <c r="AL3086" s="1942"/>
      <c r="AM3086" s="1942"/>
      <c r="AN3086" s="1942"/>
      <c r="AO3086" s="1942"/>
      <c r="AP3086" s="1942"/>
      <c r="AQ3086" s="1942"/>
      <c r="AR3086" s="1942"/>
      <c r="AS3086" s="1942"/>
      <c r="AT3086" s="1942"/>
      <c r="AU3086" s="1942"/>
      <c r="AV3086" s="1942"/>
      <c r="AW3086" s="1942"/>
      <c r="AX3086" s="1942"/>
      <c r="AY3086" s="1942"/>
      <c r="AZ3086" s="1942"/>
      <c r="BA3086" s="1942"/>
      <c r="BB3086" s="575"/>
      <c r="BC3086" s="576"/>
      <c r="BD3086" s="678"/>
      <c r="BE3086" s="585"/>
    </row>
    <row r="3087" spans="1:57" s="51" customFormat="1" ht="15" hidden="1" customHeight="1" outlineLevel="1" x14ac:dyDescent="0.25">
      <c r="A3087" s="1267"/>
      <c r="B3087" s="123"/>
      <c r="C3087" s="328"/>
      <c r="D3087" s="3990"/>
      <c r="E3087" s="4009"/>
      <c r="F3087" s="3010" t="str">
        <f>$E$1735</f>
        <v>ASHP-SEER20_ER1_MF_CompE</v>
      </c>
      <c r="G3087" s="2676"/>
      <c r="H3087" s="2676"/>
      <c r="I3087" s="2677"/>
      <c r="J3087" s="3299" t="str">
        <f>$C$1735</f>
        <v>354701_2019_12_</v>
      </c>
      <c r="K3087" s="2282">
        <v>8.33</v>
      </c>
      <c r="L3087" s="851"/>
      <c r="M3087" s="2284" t="s">
        <v>1110</v>
      </c>
      <c r="N3087" s="123"/>
      <c r="O3087" s="228"/>
      <c r="P3087" s="228"/>
      <c r="Q3087" s="228"/>
      <c r="R3087" s="228"/>
      <c r="S3087" s="123"/>
      <c r="T3087" s="123"/>
      <c r="U3087" s="123"/>
      <c r="V3087" s="3990"/>
      <c r="W3087" s="2857"/>
      <c r="X3087" s="2857"/>
      <c r="Y3087" s="3158">
        <v>8.33</v>
      </c>
      <c r="Z3087" s="696">
        <v>8.33</v>
      </c>
      <c r="AA3087" s="696">
        <v>8.33</v>
      </c>
      <c r="AB3087" s="2282">
        <v>8.33</v>
      </c>
      <c r="AC3087" s="2282">
        <v>8.33</v>
      </c>
      <c r="AD3087" s="2857"/>
      <c r="AE3087" s="2857"/>
      <c r="AF3087" s="2857"/>
      <c r="AG3087" s="2857"/>
      <c r="AH3087" s="1942"/>
      <c r="AI3087" s="1942"/>
      <c r="AJ3087" s="1942"/>
      <c r="AK3087" s="1942"/>
      <c r="AL3087" s="1942"/>
      <c r="AM3087" s="1942"/>
      <c r="AN3087" s="1942"/>
      <c r="AO3087" s="1942"/>
      <c r="AP3087" s="1942"/>
      <c r="AQ3087" s="1942"/>
      <c r="AR3087" s="1942"/>
      <c r="AS3087" s="1942"/>
      <c r="AT3087" s="1942"/>
      <c r="AU3087" s="1942"/>
      <c r="AV3087" s="1942"/>
      <c r="AW3087" s="1942"/>
      <c r="AX3087" s="1942"/>
      <c r="AY3087" s="1942"/>
      <c r="AZ3087" s="1942"/>
      <c r="BA3087" s="1942"/>
      <c r="BB3087" s="575"/>
      <c r="BC3087" s="576"/>
      <c r="BD3087" s="678"/>
      <c r="BE3087" s="585"/>
    </row>
    <row r="3088" spans="1:57" s="51" customFormat="1" ht="15" hidden="1" customHeight="1" outlineLevel="1" x14ac:dyDescent="0.25">
      <c r="A3088" s="1267"/>
      <c r="B3088" s="123"/>
      <c r="C3088" s="328"/>
      <c r="D3088" s="3990"/>
      <c r="E3088" s="4009"/>
      <c r="F3088" s="3010" t="str">
        <f>$E$1737</f>
        <v>ASHP-SEER20_ER2_MF_CompE</v>
      </c>
      <c r="G3088" s="2676"/>
      <c r="H3088" s="2676"/>
      <c r="I3088" s="2677"/>
      <c r="J3088" s="3299" t="str">
        <f>$C$1737</f>
        <v>354701_2019_12_</v>
      </c>
      <c r="K3088" s="2282">
        <v>14</v>
      </c>
      <c r="L3088" s="851"/>
      <c r="M3088" s="2284" t="s">
        <v>1110</v>
      </c>
      <c r="N3088" s="123"/>
      <c r="O3088" s="228"/>
      <c r="P3088" s="228"/>
      <c r="Q3088" s="228"/>
      <c r="R3088" s="228"/>
      <c r="S3088" s="123"/>
      <c r="T3088" s="123"/>
      <c r="U3088" s="123"/>
      <c r="V3088" s="3990"/>
      <c r="W3088" s="2857"/>
      <c r="X3088" s="2857"/>
      <c r="Y3088" s="3158">
        <v>14</v>
      </c>
      <c r="Z3088" s="696">
        <v>14</v>
      </c>
      <c r="AA3088" s="696">
        <v>14</v>
      </c>
      <c r="AB3088" s="2282">
        <v>14</v>
      </c>
      <c r="AC3088" s="2282">
        <v>14</v>
      </c>
      <c r="AD3088" s="2857"/>
      <c r="AE3088" s="2857"/>
      <c r="AF3088" s="2857"/>
      <c r="AG3088" s="2857"/>
      <c r="AH3088" s="1942"/>
      <c r="AI3088" s="1942"/>
      <c r="AJ3088" s="1942"/>
      <c r="AK3088" s="1942"/>
      <c r="AL3088" s="1942"/>
      <c r="AM3088" s="1942"/>
      <c r="AN3088" s="1942"/>
      <c r="AO3088" s="1942"/>
      <c r="AP3088" s="1942"/>
      <c r="AQ3088" s="1942"/>
      <c r="AR3088" s="1942"/>
      <c r="AS3088" s="1942"/>
      <c r="AT3088" s="1942"/>
      <c r="AU3088" s="1942"/>
      <c r="AV3088" s="1942"/>
      <c r="AW3088" s="1942"/>
      <c r="AX3088" s="1942"/>
      <c r="AY3088" s="1942"/>
      <c r="AZ3088" s="1942"/>
      <c r="BA3088" s="1942"/>
      <c r="BB3088" s="575"/>
      <c r="BC3088" s="576"/>
      <c r="BD3088" s="678"/>
      <c r="BE3088" s="585"/>
    </row>
    <row r="3089" spans="1:57" s="51" customFormat="1" ht="15" hidden="1" customHeight="1" outlineLevel="1" x14ac:dyDescent="0.25">
      <c r="A3089" s="1267"/>
      <c r="B3089" s="123"/>
      <c r="C3089" s="328"/>
      <c r="D3089" s="3990"/>
      <c r="E3089" s="4009"/>
      <c r="F3089" s="3010" t="str">
        <f>$E$1739</f>
        <v>ASHP-SEER21_ER1_SF</v>
      </c>
      <c r="G3089" s="2676"/>
      <c r="H3089" s="2676"/>
      <c r="I3089" s="2677"/>
      <c r="J3089" s="3298" t="str">
        <f>$C$1739</f>
        <v>354750_2021_12_</v>
      </c>
      <c r="K3089" s="2228">
        <v>8.4729048312395783</v>
      </c>
      <c r="L3089" s="851"/>
      <c r="M3089" s="2817" t="s">
        <v>1563</v>
      </c>
      <c r="N3089" s="123"/>
      <c r="O3089" s="228"/>
      <c r="P3089" s="228"/>
      <c r="Q3089" s="228"/>
      <c r="R3089" s="228"/>
      <c r="S3089" s="123"/>
      <c r="T3089" s="123"/>
      <c r="U3089" s="123"/>
      <c r="V3089" s="3990"/>
      <c r="W3089" s="2857">
        <v>7.2</v>
      </c>
      <c r="X3089" s="3155">
        <v>8.33</v>
      </c>
      <c r="Y3089" s="696">
        <v>8.33</v>
      </c>
      <c r="Z3089" s="696">
        <v>8.33</v>
      </c>
      <c r="AA3089" s="696">
        <v>8.33</v>
      </c>
      <c r="AB3089" s="2282">
        <v>8.33</v>
      </c>
      <c r="AC3089" s="2228">
        <v>8.4729048312395783</v>
      </c>
      <c r="AD3089" s="2857"/>
      <c r="AE3089" s="2857"/>
      <c r="AF3089" s="2857"/>
      <c r="AG3089" s="2857"/>
      <c r="AH3089" s="1942"/>
      <c r="AI3089" s="1942"/>
      <c r="AJ3089" s="1942"/>
      <c r="AK3089" s="1942"/>
      <c r="AL3089" s="1942"/>
      <c r="AM3089" s="1942"/>
      <c r="AN3089" s="1942"/>
      <c r="AO3089" s="1942"/>
      <c r="AP3089" s="1942"/>
      <c r="AQ3089" s="1942"/>
      <c r="AR3089" s="1942"/>
      <c r="AS3089" s="1942"/>
      <c r="AT3089" s="1942"/>
      <c r="AU3089" s="1942"/>
      <c r="AV3089" s="1942"/>
      <c r="AW3089" s="1942"/>
      <c r="AX3089" s="1942"/>
      <c r="AY3089" s="1942"/>
      <c r="AZ3089" s="1942"/>
      <c r="BA3089" s="1942"/>
      <c r="BB3089" s="575"/>
      <c r="BC3089" s="576"/>
      <c r="BD3089" s="678"/>
      <c r="BE3089" s="585"/>
    </row>
    <row r="3090" spans="1:57" s="51" customFormat="1" ht="15" hidden="1" customHeight="1" outlineLevel="1" x14ac:dyDescent="0.25">
      <c r="A3090" s="1267"/>
      <c r="B3090" s="123"/>
      <c r="C3090" s="328"/>
      <c r="D3090" s="3990"/>
      <c r="E3090" s="4009"/>
      <c r="F3090" s="3010" t="str">
        <f>$E$1741</f>
        <v>ASHP-SEER21_ER2_SF</v>
      </c>
      <c r="G3090" s="2676"/>
      <c r="H3090" s="2676"/>
      <c r="I3090" s="2677"/>
      <c r="J3090" s="3298" t="str">
        <f>$C$1741</f>
        <v>354750_2021_12_</v>
      </c>
      <c r="K3090" s="2282">
        <v>14</v>
      </c>
      <c r="L3090" s="851"/>
      <c r="M3090" s="2284" t="s">
        <v>1110</v>
      </c>
      <c r="N3090" s="123"/>
      <c r="O3090" s="228"/>
      <c r="P3090" s="228"/>
      <c r="Q3090" s="228"/>
      <c r="R3090" s="228"/>
      <c r="S3090" s="123"/>
      <c r="T3090" s="123"/>
      <c r="U3090" s="123"/>
      <c r="V3090" s="3990"/>
      <c r="W3090" s="2857">
        <v>14</v>
      </c>
      <c r="X3090" s="2857">
        <v>14</v>
      </c>
      <c r="Y3090" s="696">
        <v>14</v>
      </c>
      <c r="Z3090" s="696">
        <v>14</v>
      </c>
      <c r="AA3090" s="696">
        <v>14</v>
      </c>
      <c r="AB3090" s="2282">
        <v>14</v>
      </c>
      <c r="AC3090" s="2282">
        <v>14</v>
      </c>
      <c r="AD3090" s="2857"/>
      <c r="AE3090" s="2857"/>
      <c r="AF3090" s="2857"/>
      <c r="AG3090" s="2857"/>
      <c r="AH3090" s="1942"/>
      <c r="AI3090" s="1942"/>
      <c r="AJ3090" s="1942"/>
      <c r="AK3090" s="1942"/>
      <c r="AL3090" s="1942"/>
      <c r="AM3090" s="1942"/>
      <c r="AN3090" s="1942"/>
      <c r="AO3090" s="1942"/>
      <c r="AP3090" s="1942"/>
      <c r="AQ3090" s="1942"/>
      <c r="AR3090" s="1942"/>
      <c r="AS3090" s="1942"/>
      <c r="AT3090" s="1942"/>
      <c r="AU3090" s="1942"/>
      <c r="AV3090" s="1942"/>
      <c r="AW3090" s="1942"/>
      <c r="AX3090" s="1942"/>
      <c r="AY3090" s="1942"/>
      <c r="AZ3090" s="1942"/>
      <c r="BA3090" s="1942"/>
      <c r="BB3090" s="575"/>
      <c r="BC3090" s="576"/>
      <c r="BD3090" s="678"/>
      <c r="BE3090" s="585"/>
    </row>
    <row r="3091" spans="1:57" s="51" customFormat="1" ht="15" hidden="1" customHeight="1" outlineLevel="1" x14ac:dyDescent="0.25">
      <c r="A3091" s="1267"/>
      <c r="B3091" s="123"/>
      <c r="C3091" s="328"/>
      <c r="D3091" s="3990"/>
      <c r="E3091" s="4009"/>
      <c r="F3091" s="3010" t="str">
        <f>$E$1743</f>
        <v>ASHP-SEER21_ROF_SF</v>
      </c>
      <c r="G3091" s="2676"/>
      <c r="H3091" s="2676"/>
      <c r="I3091" s="2677"/>
      <c r="J3091" s="3298" t="str">
        <f>$C$1743</f>
        <v>354800_2021_12_</v>
      </c>
      <c r="K3091" s="2282">
        <v>14</v>
      </c>
      <c r="L3091" s="851"/>
      <c r="M3091" s="2284" t="s">
        <v>1110</v>
      </c>
      <c r="N3091" s="123"/>
      <c r="O3091" s="228"/>
      <c r="P3091" s="228"/>
      <c r="Q3091" s="228"/>
      <c r="R3091" s="228"/>
      <c r="S3091" s="123"/>
      <c r="T3091" s="123"/>
      <c r="U3091" s="123"/>
      <c r="V3091" s="3990"/>
      <c r="W3091" s="2857">
        <v>14</v>
      </c>
      <c r="X3091" s="2857">
        <v>14</v>
      </c>
      <c r="Y3091" s="696">
        <v>14</v>
      </c>
      <c r="Z3091" s="696">
        <v>14</v>
      </c>
      <c r="AA3091" s="696">
        <v>14</v>
      </c>
      <c r="AB3091" s="2282">
        <v>14</v>
      </c>
      <c r="AC3091" s="2282">
        <v>14</v>
      </c>
      <c r="AD3091" s="2857"/>
      <c r="AE3091" s="2857"/>
      <c r="AF3091" s="2857"/>
      <c r="AG3091" s="2857"/>
      <c r="AH3091" s="1942"/>
      <c r="AI3091" s="1942"/>
      <c r="AJ3091" s="1942"/>
      <c r="AK3091" s="1942"/>
      <c r="AL3091" s="1942"/>
      <c r="AM3091" s="1942"/>
      <c r="AN3091" s="1942"/>
      <c r="AO3091" s="1942"/>
      <c r="AP3091" s="1942"/>
      <c r="AQ3091" s="1942"/>
      <c r="AR3091" s="1942"/>
      <c r="AS3091" s="1942"/>
      <c r="AT3091" s="1942"/>
      <c r="AU3091" s="1942"/>
      <c r="AV3091" s="1942"/>
      <c r="AW3091" s="1942"/>
      <c r="AX3091" s="1942"/>
      <c r="AY3091" s="1942"/>
      <c r="AZ3091" s="1942"/>
      <c r="BA3091" s="1942"/>
      <c r="BB3091" s="575"/>
      <c r="BC3091" s="576"/>
      <c r="BD3091" s="678"/>
      <c r="BE3091" s="585"/>
    </row>
    <row r="3092" spans="1:57" s="51" customFormat="1" ht="15" hidden="1" customHeight="1" outlineLevel="1" x14ac:dyDescent="0.25">
      <c r="A3092" s="1267"/>
      <c r="B3092" s="123"/>
      <c r="C3092" s="328"/>
      <c r="D3092" s="3990"/>
      <c r="E3092" s="4009"/>
      <c r="F3092" s="3010" t="str">
        <f>$E$1745</f>
        <v>ASHP-SEER21-Replace_CAC_ElectricHeat_ROF_MF</v>
      </c>
      <c r="G3092" s="2676"/>
      <c r="H3092" s="2676"/>
      <c r="I3092" s="2677"/>
      <c r="J3092" s="3299" t="str">
        <f>$C$1745</f>
        <v>354850_2019_12_</v>
      </c>
      <c r="K3092" s="2282">
        <v>13</v>
      </c>
      <c r="L3092" s="851"/>
      <c r="M3092" s="2284" t="s">
        <v>1110</v>
      </c>
      <c r="N3092" s="123"/>
      <c r="O3092" s="228"/>
      <c r="P3092" s="228"/>
      <c r="Q3092" s="228"/>
      <c r="R3092" s="228"/>
      <c r="S3092" s="123"/>
      <c r="T3092" s="123"/>
      <c r="U3092" s="123"/>
      <c r="V3092" s="3990"/>
      <c r="W3092" s="2857">
        <v>13</v>
      </c>
      <c r="X3092" s="2857">
        <v>13</v>
      </c>
      <c r="Y3092" s="696">
        <v>13</v>
      </c>
      <c r="Z3092" s="696">
        <v>13</v>
      </c>
      <c r="AA3092" s="696">
        <v>13</v>
      </c>
      <c r="AB3092" s="2282">
        <v>13</v>
      </c>
      <c r="AC3092" s="2282">
        <v>13</v>
      </c>
      <c r="AD3092" s="2857"/>
      <c r="AE3092" s="2857"/>
      <c r="AF3092" s="2857"/>
      <c r="AG3092" s="2857"/>
      <c r="AH3092" s="1942"/>
      <c r="AI3092" s="1942"/>
      <c r="AJ3092" s="1942"/>
      <c r="AK3092" s="1942"/>
      <c r="AL3092" s="1942"/>
      <c r="AM3092" s="1942"/>
      <c r="AN3092" s="1942"/>
      <c r="AO3092" s="1942"/>
      <c r="AP3092" s="1942"/>
      <c r="AQ3092" s="1942"/>
      <c r="AR3092" s="1942"/>
      <c r="AS3092" s="1942"/>
      <c r="AT3092" s="1942"/>
      <c r="AU3092" s="1942"/>
      <c r="AV3092" s="1942"/>
      <c r="AW3092" s="1942"/>
      <c r="AX3092" s="1942"/>
      <c r="AY3092" s="1942"/>
      <c r="AZ3092" s="1942"/>
      <c r="BA3092" s="1942"/>
      <c r="BB3092" s="575"/>
      <c r="BC3092" s="576"/>
      <c r="BD3092" s="678"/>
      <c r="BE3092" s="585"/>
    </row>
    <row r="3093" spans="1:57" s="51" customFormat="1" ht="15" hidden="1" customHeight="1" outlineLevel="1" x14ac:dyDescent="0.25">
      <c r="A3093" s="1267"/>
      <c r="B3093" s="123"/>
      <c r="C3093" s="328"/>
      <c r="D3093" s="3990"/>
      <c r="E3093" s="4009"/>
      <c r="F3093" s="3010" t="str">
        <f>$E$1747</f>
        <v>ASHP-SEER21-Replace_CAC_ElectricHeat_ROF_MF_CompE</v>
      </c>
      <c r="G3093" s="2676"/>
      <c r="H3093" s="2676"/>
      <c r="I3093" s="2677"/>
      <c r="J3093" s="3299" t="str">
        <f>$C$1747</f>
        <v>354851_2019_12_</v>
      </c>
      <c r="K3093" s="2282">
        <v>13</v>
      </c>
      <c r="L3093" s="851"/>
      <c r="M3093" s="2284" t="s">
        <v>1110</v>
      </c>
      <c r="N3093" s="123"/>
      <c r="O3093" s="228"/>
      <c r="P3093" s="228"/>
      <c r="Q3093" s="228"/>
      <c r="R3093" s="228"/>
      <c r="S3093" s="123"/>
      <c r="T3093" s="123"/>
      <c r="U3093" s="123"/>
      <c r="V3093" s="3990"/>
      <c r="W3093" s="2857"/>
      <c r="X3093" s="2857"/>
      <c r="Y3093" s="3158">
        <v>13</v>
      </c>
      <c r="Z3093" s="696">
        <v>13</v>
      </c>
      <c r="AA3093" s="696">
        <v>13</v>
      </c>
      <c r="AB3093" s="2282">
        <v>13</v>
      </c>
      <c r="AC3093" s="2282">
        <v>13</v>
      </c>
      <c r="AD3093" s="2857"/>
      <c r="AE3093" s="2857"/>
      <c r="AF3093" s="2857"/>
      <c r="AG3093" s="2857"/>
      <c r="AH3093" s="1942"/>
      <c r="AI3093" s="1942"/>
      <c r="AJ3093" s="1942"/>
      <c r="AK3093" s="1942"/>
      <c r="AL3093" s="1942"/>
      <c r="AM3093" s="1942"/>
      <c r="AN3093" s="1942"/>
      <c r="AO3093" s="1942"/>
      <c r="AP3093" s="1942"/>
      <c r="AQ3093" s="1942"/>
      <c r="AR3093" s="1942"/>
      <c r="AS3093" s="1942"/>
      <c r="AT3093" s="1942"/>
      <c r="AU3093" s="1942"/>
      <c r="AV3093" s="1942"/>
      <c r="AW3093" s="1942"/>
      <c r="AX3093" s="1942"/>
      <c r="AY3093" s="1942"/>
      <c r="AZ3093" s="1942"/>
      <c r="BA3093" s="1942"/>
      <c r="BB3093" s="575"/>
      <c r="BC3093" s="576"/>
      <c r="BD3093" s="678"/>
      <c r="BE3093" s="585"/>
    </row>
    <row r="3094" spans="1:57" s="1942" customFormat="1" ht="15" hidden="1" customHeight="1" outlineLevel="1" x14ac:dyDescent="0.25">
      <c r="A3094" s="1267"/>
      <c r="B3094" s="123"/>
      <c r="C3094" s="328"/>
      <c r="D3094" s="3990"/>
      <c r="E3094" s="4009"/>
      <c r="F3094" s="3010" t="str">
        <f>$E$1749</f>
        <v>ASHP-SEER21-Replace_CAC_NonElectricHeat_ROF_MF</v>
      </c>
      <c r="G3094" s="2676"/>
      <c r="H3094" s="2676"/>
      <c r="I3094" s="2677"/>
      <c r="J3094" s="3298" t="str">
        <f>$C$1749</f>
        <v>354860_2021_12_</v>
      </c>
      <c r="K3094" s="2228">
        <v>13</v>
      </c>
      <c r="L3094" s="851"/>
      <c r="M3094" s="2817" t="s">
        <v>1110</v>
      </c>
      <c r="N3094" s="123"/>
      <c r="O3094" s="228"/>
      <c r="P3094" s="228"/>
      <c r="Q3094" s="228"/>
      <c r="R3094" s="228"/>
      <c r="S3094" s="123"/>
      <c r="T3094" s="123"/>
      <c r="U3094" s="123"/>
      <c r="V3094" s="3990"/>
      <c r="W3094" s="2857"/>
      <c r="X3094" s="2857"/>
      <c r="Y3094" s="3158"/>
      <c r="Z3094" s="696"/>
      <c r="AA3094" s="696"/>
      <c r="AB3094" s="2282"/>
      <c r="AC3094" s="2228">
        <v>13</v>
      </c>
      <c r="AD3094" s="2857"/>
      <c r="AE3094" s="2857"/>
      <c r="AF3094" s="2857"/>
      <c r="AG3094" s="2857"/>
      <c r="BB3094" s="575"/>
      <c r="BC3094" s="576"/>
      <c r="BD3094" s="678"/>
      <c r="BE3094" s="585"/>
    </row>
    <row r="3095" spans="1:57" s="1942" customFormat="1" ht="15" hidden="1" customHeight="1" outlineLevel="1" x14ac:dyDescent="0.25">
      <c r="A3095" s="1267"/>
      <c r="B3095" s="123"/>
      <c r="C3095" s="328"/>
      <c r="D3095" s="3990"/>
      <c r="E3095" s="4009"/>
      <c r="F3095" s="3010" t="str">
        <f>$E$1751</f>
        <v>ASHP-SEER21-Replace_CAC_NonElectricHeat_ROF_MF_CompE</v>
      </c>
      <c r="G3095" s="2676"/>
      <c r="H3095" s="2676"/>
      <c r="I3095" s="2677"/>
      <c r="J3095" s="3298" t="str">
        <f>$C$1751</f>
        <v>354861_2021_12_</v>
      </c>
      <c r="K3095" s="2228">
        <v>13</v>
      </c>
      <c r="L3095" s="851"/>
      <c r="M3095" s="2817" t="s">
        <v>1110</v>
      </c>
      <c r="N3095" s="123"/>
      <c r="O3095" s="228"/>
      <c r="P3095" s="228"/>
      <c r="Q3095" s="228"/>
      <c r="R3095" s="228"/>
      <c r="S3095" s="123"/>
      <c r="T3095" s="123"/>
      <c r="U3095" s="123"/>
      <c r="V3095" s="3990"/>
      <c r="W3095" s="2857"/>
      <c r="X3095" s="2857"/>
      <c r="Y3095" s="3158"/>
      <c r="Z3095" s="696"/>
      <c r="AA3095" s="696"/>
      <c r="AB3095" s="2282"/>
      <c r="AC3095" s="2228">
        <v>13</v>
      </c>
      <c r="AD3095" s="2857"/>
      <c r="AE3095" s="2857"/>
      <c r="AF3095" s="2857"/>
      <c r="AG3095" s="2857"/>
      <c r="BB3095" s="575"/>
      <c r="BC3095" s="576"/>
      <c r="BD3095" s="678"/>
      <c r="BE3095" s="585"/>
    </row>
    <row r="3096" spans="1:57" s="51" customFormat="1" ht="15" hidden="1" customHeight="1" outlineLevel="1" x14ac:dyDescent="0.25">
      <c r="A3096" s="1267"/>
      <c r="B3096" s="123"/>
      <c r="C3096" s="328"/>
      <c r="D3096" s="3990"/>
      <c r="E3096" s="4009"/>
      <c r="F3096" s="3010" t="str">
        <f>$E$1753</f>
        <v>ASHP-SEER21_ER1_MF</v>
      </c>
      <c r="G3096" s="2676"/>
      <c r="H3096" s="2676"/>
      <c r="I3096" s="2677"/>
      <c r="J3096" s="3299" t="str">
        <f>$C$1753</f>
        <v>354900_2019_12_</v>
      </c>
      <c r="K3096" s="2282">
        <v>8.33</v>
      </c>
      <c r="L3096" s="851"/>
      <c r="M3096" s="2284" t="s">
        <v>1110</v>
      </c>
      <c r="N3096" s="123"/>
      <c r="O3096" s="228"/>
      <c r="P3096" s="228"/>
      <c r="Q3096" s="228"/>
      <c r="R3096" s="228"/>
      <c r="S3096" s="123"/>
      <c r="T3096" s="123"/>
      <c r="U3096" s="123"/>
      <c r="V3096" s="3990"/>
      <c r="W3096" s="2857">
        <v>7.2</v>
      </c>
      <c r="X3096" s="3155">
        <v>8.33</v>
      </c>
      <c r="Y3096" s="696">
        <v>8.33</v>
      </c>
      <c r="Z3096" s="696">
        <v>8.33</v>
      </c>
      <c r="AA3096" s="696">
        <v>8.33</v>
      </c>
      <c r="AB3096" s="2282">
        <v>8.33</v>
      </c>
      <c r="AC3096" s="2282">
        <v>8.33</v>
      </c>
      <c r="AD3096" s="2857"/>
      <c r="AE3096" s="2857"/>
      <c r="AF3096" s="2857"/>
      <c r="AG3096" s="2857"/>
      <c r="AH3096" s="1942"/>
      <c r="AI3096" s="1942"/>
      <c r="AJ3096" s="1942"/>
      <c r="AK3096" s="1942"/>
      <c r="AL3096" s="1942"/>
      <c r="AM3096" s="1942"/>
      <c r="AN3096" s="1942"/>
      <c r="AO3096" s="1942"/>
      <c r="AP3096" s="1942"/>
      <c r="AQ3096" s="1942"/>
      <c r="AR3096" s="1942"/>
      <c r="AS3096" s="1942"/>
      <c r="AT3096" s="1942"/>
      <c r="AU3096" s="1942"/>
      <c r="AV3096" s="1942"/>
      <c r="AW3096" s="1942"/>
      <c r="AX3096" s="1942"/>
      <c r="AY3096" s="1942"/>
      <c r="AZ3096" s="1942"/>
      <c r="BA3096" s="1942"/>
      <c r="BB3096" s="575"/>
      <c r="BC3096" s="576"/>
      <c r="BD3096" s="678"/>
      <c r="BE3096" s="585"/>
    </row>
    <row r="3097" spans="1:57" s="51" customFormat="1" ht="15" hidden="1" customHeight="1" outlineLevel="1" x14ac:dyDescent="0.25">
      <c r="A3097" s="1267"/>
      <c r="B3097" s="123"/>
      <c r="C3097" s="328"/>
      <c r="D3097" s="3990"/>
      <c r="E3097" s="4009"/>
      <c r="F3097" s="3010" t="str">
        <f>$E$1755</f>
        <v>ASHP-SEER21_ER2_MF</v>
      </c>
      <c r="G3097" s="2676"/>
      <c r="H3097" s="2676"/>
      <c r="I3097" s="2677"/>
      <c r="J3097" s="3299" t="str">
        <f>$C$1755</f>
        <v>354900_2019_12_</v>
      </c>
      <c r="K3097" s="2282">
        <v>14</v>
      </c>
      <c r="L3097" s="851"/>
      <c r="M3097" s="2284" t="s">
        <v>1110</v>
      </c>
      <c r="N3097" s="123"/>
      <c r="O3097" s="228"/>
      <c r="P3097" s="228"/>
      <c r="Q3097" s="228"/>
      <c r="R3097" s="228"/>
      <c r="S3097" s="123"/>
      <c r="T3097" s="123"/>
      <c r="U3097" s="123"/>
      <c r="V3097" s="3990"/>
      <c r="W3097" s="2857">
        <v>14</v>
      </c>
      <c r="X3097" s="2857">
        <v>14</v>
      </c>
      <c r="Y3097" s="696">
        <v>14</v>
      </c>
      <c r="Z3097" s="696">
        <v>14</v>
      </c>
      <c r="AA3097" s="696">
        <v>14</v>
      </c>
      <c r="AB3097" s="2282">
        <v>14</v>
      </c>
      <c r="AC3097" s="2282">
        <v>14</v>
      </c>
      <c r="AD3097" s="2857"/>
      <c r="AE3097" s="2857"/>
      <c r="AF3097" s="2857"/>
      <c r="AG3097" s="2857"/>
      <c r="AH3097" s="1942"/>
      <c r="AI3097" s="1942"/>
      <c r="AJ3097" s="1942"/>
      <c r="AK3097" s="1942"/>
      <c r="AL3097" s="1942"/>
      <c r="AM3097" s="1942"/>
      <c r="AN3097" s="1942"/>
      <c r="AO3097" s="1942"/>
      <c r="AP3097" s="1942"/>
      <c r="AQ3097" s="1942"/>
      <c r="AR3097" s="1942"/>
      <c r="AS3097" s="1942"/>
      <c r="AT3097" s="1942"/>
      <c r="AU3097" s="1942"/>
      <c r="AV3097" s="1942"/>
      <c r="AW3097" s="1942"/>
      <c r="AX3097" s="1942"/>
      <c r="AY3097" s="1942"/>
      <c r="AZ3097" s="1942"/>
      <c r="BA3097" s="1942"/>
      <c r="BB3097" s="575"/>
      <c r="BC3097" s="576"/>
      <c r="BD3097" s="678"/>
      <c r="BE3097" s="585"/>
    </row>
    <row r="3098" spans="1:57" s="51" customFormat="1" ht="15" hidden="1" customHeight="1" outlineLevel="1" x14ac:dyDescent="0.25">
      <c r="A3098" s="1267"/>
      <c r="B3098" s="123"/>
      <c r="C3098" s="328"/>
      <c r="D3098" s="3990"/>
      <c r="E3098" s="4009"/>
      <c r="F3098" s="3010" t="str">
        <f>$E$1757</f>
        <v>ASHP-SEER21_ER1_MF_CompE</v>
      </c>
      <c r="G3098" s="2676"/>
      <c r="H3098" s="2676"/>
      <c r="I3098" s="2677"/>
      <c r="J3098" s="3299" t="str">
        <f>$C$1757</f>
        <v>354901_2019_12_</v>
      </c>
      <c r="K3098" s="2282">
        <v>8.33</v>
      </c>
      <c r="L3098" s="851"/>
      <c r="M3098" s="2284" t="s">
        <v>1110</v>
      </c>
      <c r="N3098" s="123"/>
      <c r="O3098" s="228"/>
      <c r="P3098" s="228"/>
      <c r="Q3098" s="228"/>
      <c r="R3098" s="228"/>
      <c r="S3098" s="123"/>
      <c r="T3098" s="123"/>
      <c r="U3098" s="123"/>
      <c r="V3098" s="3990"/>
      <c r="W3098" s="2857"/>
      <c r="X3098" s="2857"/>
      <c r="Y3098" s="3158">
        <v>8.33</v>
      </c>
      <c r="Z3098" s="696">
        <v>8.33</v>
      </c>
      <c r="AA3098" s="696">
        <v>8.33</v>
      </c>
      <c r="AB3098" s="2282">
        <v>8.33</v>
      </c>
      <c r="AC3098" s="2282">
        <v>8.33</v>
      </c>
      <c r="AD3098" s="2857"/>
      <c r="AE3098" s="2857"/>
      <c r="AF3098" s="2857"/>
      <c r="AG3098" s="2857"/>
      <c r="AH3098" s="1942"/>
      <c r="AI3098" s="1942"/>
      <c r="AJ3098" s="1942"/>
      <c r="AK3098" s="1942"/>
      <c r="AL3098" s="1942"/>
      <c r="AM3098" s="1942"/>
      <c r="AN3098" s="1942"/>
      <c r="AO3098" s="1942"/>
      <c r="AP3098" s="1942"/>
      <c r="AQ3098" s="1942"/>
      <c r="AR3098" s="1942"/>
      <c r="AS3098" s="1942"/>
      <c r="AT3098" s="1942"/>
      <c r="AU3098" s="1942"/>
      <c r="AV3098" s="1942"/>
      <c r="AW3098" s="1942"/>
      <c r="AX3098" s="1942"/>
      <c r="AY3098" s="1942"/>
      <c r="AZ3098" s="1942"/>
      <c r="BA3098" s="1942"/>
      <c r="BB3098" s="575"/>
      <c r="BC3098" s="576"/>
      <c r="BD3098" s="678"/>
      <c r="BE3098" s="585"/>
    </row>
    <row r="3099" spans="1:57" s="51" customFormat="1" ht="15" hidden="1" customHeight="1" outlineLevel="1" x14ac:dyDescent="0.25">
      <c r="A3099" s="1267"/>
      <c r="B3099" s="123"/>
      <c r="C3099" s="328"/>
      <c r="D3099" s="3990"/>
      <c r="E3099" s="4009"/>
      <c r="F3099" s="3010" t="str">
        <f>$E$1759</f>
        <v>ASHP-SEER21_ER2_MF_CompE</v>
      </c>
      <c r="G3099" s="2676"/>
      <c r="H3099" s="2676"/>
      <c r="I3099" s="2677"/>
      <c r="J3099" s="3299" t="str">
        <f>$C$1759</f>
        <v>354901_2019_12_</v>
      </c>
      <c r="K3099" s="2282">
        <v>14</v>
      </c>
      <c r="L3099" s="851"/>
      <c r="M3099" s="2284" t="s">
        <v>1110</v>
      </c>
      <c r="N3099" s="123"/>
      <c r="O3099" s="228"/>
      <c r="P3099" s="228"/>
      <c r="Q3099" s="228"/>
      <c r="R3099" s="228"/>
      <c r="S3099" s="123"/>
      <c r="T3099" s="123"/>
      <c r="U3099" s="123"/>
      <c r="V3099" s="3990"/>
      <c r="W3099" s="2857"/>
      <c r="X3099" s="2857"/>
      <c r="Y3099" s="3158">
        <v>14</v>
      </c>
      <c r="Z3099" s="696">
        <v>14</v>
      </c>
      <c r="AA3099" s="696">
        <v>14</v>
      </c>
      <c r="AB3099" s="2282">
        <v>14</v>
      </c>
      <c r="AC3099" s="2282">
        <v>14</v>
      </c>
      <c r="AD3099" s="2857"/>
      <c r="AE3099" s="2857"/>
      <c r="AF3099" s="2857"/>
      <c r="AG3099" s="2857"/>
      <c r="AH3099" s="1942"/>
      <c r="AI3099" s="1942"/>
      <c r="AJ3099" s="1942"/>
      <c r="AK3099" s="1942"/>
      <c r="AL3099" s="1942"/>
      <c r="AM3099" s="1942"/>
      <c r="AN3099" s="1942"/>
      <c r="AO3099" s="1942"/>
      <c r="AP3099" s="1942"/>
      <c r="AQ3099" s="1942"/>
      <c r="AR3099" s="1942"/>
      <c r="AS3099" s="1942"/>
      <c r="AT3099" s="1942"/>
      <c r="AU3099" s="1942"/>
      <c r="AV3099" s="1942"/>
      <c r="AW3099" s="1942"/>
      <c r="AX3099" s="1942"/>
      <c r="AY3099" s="1942"/>
      <c r="AZ3099" s="1942"/>
      <c r="BA3099" s="1942"/>
      <c r="BB3099" s="575"/>
      <c r="BC3099" s="576"/>
      <c r="BD3099" s="678"/>
      <c r="BE3099" s="585"/>
    </row>
    <row r="3100" spans="1:57" s="51" customFormat="1" ht="15" hidden="1" customHeight="1" outlineLevel="1" x14ac:dyDescent="0.25">
      <c r="A3100" s="2060"/>
      <c r="B3100" s="123"/>
      <c r="C3100" s="328"/>
      <c r="D3100" s="3990"/>
      <c r="E3100" s="4009"/>
      <c r="F3100" s="3010" t="str">
        <f>$E$1761</f>
        <v>ASHP-SEER17_ROF_MF</v>
      </c>
      <c r="G3100" s="2676"/>
      <c r="H3100" s="2676"/>
      <c r="I3100" s="2677"/>
      <c r="J3100" s="3299" t="str">
        <f>$C$1761</f>
        <v>354950_2019_12_</v>
      </c>
      <c r="K3100" s="2282">
        <v>14</v>
      </c>
      <c r="L3100" s="851"/>
      <c r="M3100" s="2284" t="s">
        <v>1110</v>
      </c>
      <c r="N3100" s="123"/>
      <c r="O3100" s="228"/>
      <c r="P3100" s="844"/>
      <c r="Q3100" s="845"/>
      <c r="R3100" s="844"/>
      <c r="S3100" s="832"/>
      <c r="T3100" s="3082"/>
      <c r="U3100" s="123"/>
      <c r="V3100" s="3990"/>
      <c r="W3100" s="2857">
        <v>14</v>
      </c>
      <c r="X3100" s="2857">
        <v>14</v>
      </c>
      <c r="Y3100" s="696">
        <v>14</v>
      </c>
      <c r="Z3100" s="696">
        <v>14</v>
      </c>
      <c r="AA3100" s="696">
        <v>14</v>
      </c>
      <c r="AB3100" s="2282">
        <v>14</v>
      </c>
      <c r="AC3100" s="2282">
        <v>14</v>
      </c>
      <c r="AD3100" s="2857"/>
      <c r="AE3100" s="2857"/>
      <c r="AF3100" s="2857"/>
      <c r="AG3100" s="2857"/>
      <c r="AH3100" s="1942"/>
      <c r="AI3100" s="1942"/>
      <c r="AJ3100" s="1942"/>
      <c r="AK3100" s="1942"/>
      <c r="AL3100" s="1942"/>
      <c r="AM3100" s="1942"/>
      <c r="AN3100" s="1942"/>
      <c r="AO3100" s="1942"/>
      <c r="AP3100" s="1942"/>
      <c r="AQ3100" s="1942"/>
      <c r="AR3100" s="1942"/>
      <c r="AS3100" s="1942"/>
      <c r="AT3100" s="1942"/>
      <c r="AU3100" s="1942"/>
      <c r="AV3100" s="1942"/>
      <c r="AW3100" s="1942"/>
      <c r="AX3100" s="1942"/>
      <c r="AY3100" s="1942"/>
      <c r="AZ3100" s="1942"/>
      <c r="BA3100" s="1942"/>
      <c r="BB3100" s="575"/>
      <c r="BC3100" s="576"/>
      <c r="BD3100" s="678"/>
      <c r="BE3100" s="585"/>
    </row>
    <row r="3101" spans="1:57" s="51" customFormat="1" ht="15" hidden="1" customHeight="1" outlineLevel="1" x14ac:dyDescent="0.25">
      <c r="A3101" s="2060"/>
      <c r="B3101" s="123"/>
      <c r="C3101" s="328"/>
      <c r="D3101" s="3990"/>
      <c r="E3101" s="4009"/>
      <c r="F3101" s="3010" t="str">
        <f>$E$1763</f>
        <v>ASHP-SEER17_ROF_MF_CompE</v>
      </c>
      <c r="G3101" s="2676"/>
      <c r="H3101" s="2676"/>
      <c r="I3101" s="2677"/>
      <c r="J3101" s="3299" t="str">
        <f>$C$1763</f>
        <v>354951_2019_12_</v>
      </c>
      <c r="K3101" s="2282">
        <v>14</v>
      </c>
      <c r="L3101" s="851"/>
      <c r="M3101" s="2284" t="s">
        <v>1110</v>
      </c>
      <c r="N3101" s="123"/>
      <c r="O3101" s="228"/>
      <c r="P3101" s="844"/>
      <c r="Q3101" s="845"/>
      <c r="R3101" s="844"/>
      <c r="S3101" s="832"/>
      <c r="T3101" s="3082"/>
      <c r="U3101" s="123"/>
      <c r="V3101" s="3990"/>
      <c r="W3101" s="2857"/>
      <c r="X3101" s="2857"/>
      <c r="Y3101" s="3158">
        <v>14</v>
      </c>
      <c r="Z3101" s="696">
        <v>14</v>
      </c>
      <c r="AA3101" s="696">
        <v>14</v>
      </c>
      <c r="AB3101" s="2282">
        <v>14</v>
      </c>
      <c r="AC3101" s="2282">
        <v>14</v>
      </c>
      <c r="AD3101" s="2857"/>
      <c r="AE3101" s="2857"/>
      <c r="AF3101" s="2857"/>
      <c r="AG3101" s="2857"/>
      <c r="AH3101" s="1942"/>
      <c r="AI3101" s="1942"/>
      <c r="AJ3101" s="1942"/>
      <c r="AK3101" s="1942"/>
      <c r="AL3101" s="1942"/>
      <c r="AM3101" s="1942"/>
      <c r="AN3101" s="1942"/>
      <c r="AO3101" s="1942"/>
      <c r="AP3101" s="1942"/>
      <c r="AQ3101" s="1942"/>
      <c r="AR3101" s="1942"/>
      <c r="AS3101" s="1942"/>
      <c r="AT3101" s="1942"/>
      <c r="AU3101" s="1942"/>
      <c r="AV3101" s="1942"/>
      <c r="AW3101" s="1942"/>
      <c r="AX3101" s="1942"/>
      <c r="AY3101" s="1942"/>
      <c r="AZ3101" s="1942"/>
      <c r="BA3101" s="1942"/>
      <c r="BB3101" s="575"/>
      <c r="BC3101" s="576"/>
      <c r="BD3101" s="678"/>
      <c r="BE3101" s="585"/>
    </row>
    <row r="3102" spans="1:57" s="51" customFormat="1" ht="15" hidden="1" customHeight="1" outlineLevel="1" x14ac:dyDescent="0.25">
      <c r="A3102" s="2060"/>
      <c r="B3102" s="123"/>
      <c r="C3102" s="328"/>
      <c r="D3102" s="3990"/>
      <c r="E3102" s="4009"/>
      <c r="F3102" s="3010" t="str">
        <f>$E$1765</f>
        <v>ASHP-SEER18_ROF_MF</v>
      </c>
      <c r="G3102" s="2676"/>
      <c r="H3102" s="2676"/>
      <c r="I3102" s="2677"/>
      <c r="J3102" s="3299" t="str">
        <f>$C$1765</f>
        <v>355000_2019_12_</v>
      </c>
      <c r="K3102" s="2282">
        <v>14</v>
      </c>
      <c r="L3102" s="851"/>
      <c r="M3102" s="2284" t="s">
        <v>1110</v>
      </c>
      <c r="N3102" s="123"/>
      <c r="O3102" s="228"/>
      <c r="P3102" s="844"/>
      <c r="Q3102" s="845"/>
      <c r="R3102" s="844"/>
      <c r="S3102" s="832"/>
      <c r="T3102" s="3082"/>
      <c r="U3102" s="123"/>
      <c r="V3102" s="3990"/>
      <c r="W3102" s="2857">
        <v>14</v>
      </c>
      <c r="X3102" s="2857">
        <v>14</v>
      </c>
      <c r="Y3102" s="696">
        <v>14</v>
      </c>
      <c r="Z3102" s="696">
        <v>14</v>
      </c>
      <c r="AA3102" s="696">
        <v>14</v>
      </c>
      <c r="AB3102" s="2282">
        <v>14</v>
      </c>
      <c r="AC3102" s="2282">
        <v>14</v>
      </c>
      <c r="AD3102" s="2857"/>
      <c r="AE3102" s="2857"/>
      <c r="AF3102" s="2857"/>
      <c r="AG3102" s="2857"/>
      <c r="AH3102" s="1942"/>
      <c r="AI3102" s="1942"/>
      <c r="AJ3102" s="1942"/>
      <c r="AK3102" s="1942"/>
      <c r="AL3102" s="1942"/>
      <c r="AM3102" s="1942"/>
      <c r="AN3102" s="1942"/>
      <c r="AO3102" s="1942"/>
      <c r="AP3102" s="1942"/>
      <c r="AQ3102" s="1942"/>
      <c r="AR3102" s="1942"/>
      <c r="AS3102" s="1942"/>
      <c r="AT3102" s="1942"/>
      <c r="AU3102" s="1942"/>
      <c r="AV3102" s="1942"/>
      <c r="AW3102" s="1942"/>
      <c r="AX3102" s="1942"/>
      <c r="AY3102" s="1942"/>
      <c r="AZ3102" s="1942"/>
      <c r="BA3102" s="1942"/>
      <c r="BB3102" s="575"/>
      <c r="BC3102" s="576"/>
      <c r="BD3102" s="678"/>
      <c r="BE3102" s="585"/>
    </row>
    <row r="3103" spans="1:57" s="51" customFormat="1" ht="15" hidden="1" customHeight="1" outlineLevel="1" x14ac:dyDescent="0.25">
      <c r="A3103" s="2060"/>
      <c r="B3103" s="123"/>
      <c r="C3103" s="328"/>
      <c r="D3103" s="3990"/>
      <c r="E3103" s="4009"/>
      <c r="F3103" s="3010" t="str">
        <f>$E$1767</f>
        <v>ASHP-SEER18_ROF_MF_CompE</v>
      </c>
      <c r="G3103" s="2676"/>
      <c r="H3103" s="2676"/>
      <c r="I3103" s="2677"/>
      <c r="J3103" s="3299" t="str">
        <f>$C$1767</f>
        <v>355001_2021_12_</v>
      </c>
      <c r="K3103" s="2282">
        <v>14</v>
      </c>
      <c r="L3103" s="851"/>
      <c r="M3103" s="2284" t="s">
        <v>1110</v>
      </c>
      <c r="N3103" s="123"/>
      <c r="O3103" s="228"/>
      <c r="P3103" s="844"/>
      <c r="Q3103" s="845"/>
      <c r="R3103" s="844"/>
      <c r="S3103" s="832"/>
      <c r="T3103" s="3082"/>
      <c r="U3103" s="123"/>
      <c r="V3103" s="3990"/>
      <c r="W3103" s="2857"/>
      <c r="X3103" s="2857"/>
      <c r="Y3103" s="3158">
        <v>14</v>
      </c>
      <c r="Z3103" s="696">
        <v>14</v>
      </c>
      <c r="AA3103" s="696">
        <v>14</v>
      </c>
      <c r="AB3103" s="2282">
        <v>14</v>
      </c>
      <c r="AC3103" s="2282">
        <v>14</v>
      </c>
      <c r="AD3103" s="2857"/>
      <c r="AE3103" s="2857"/>
      <c r="AF3103" s="2857"/>
      <c r="AG3103" s="2857"/>
      <c r="AH3103" s="1942"/>
      <c r="AI3103" s="1942"/>
      <c r="AJ3103" s="1942"/>
      <c r="AK3103" s="1942"/>
      <c r="AL3103" s="1942"/>
      <c r="AM3103" s="1942"/>
      <c r="AN3103" s="1942"/>
      <c r="AO3103" s="1942"/>
      <c r="AP3103" s="1942"/>
      <c r="AQ3103" s="1942"/>
      <c r="AR3103" s="1942"/>
      <c r="AS3103" s="1942"/>
      <c r="AT3103" s="1942"/>
      <c r="AU3103" s="1942"/>
      <c r="AV3103" s="1942"/>
      <c r="AW3103" s="1942"/>
      <c r="AX3103" s="1942"/>
      <c r="AY3103" s="1942"/>
      <c r="AZ3103" s="1942"/>
      <c r="BA3103" s="1942"/>
      <c r="BB3103" s="575"/>
      <c r="BC3103" s="576"/>
      <c r="BD3103" s="678"/>
      <c r="BE3103" s="585"/>
    </row>
    <row r="3104" spans="1:57" s="51" customFormat="1" ht="15" hidden="1" customHeight="1" outlineLevel="1" x14ac:dyDescent="0.25">
      <c r="A3104" s="1267"/>
      <c r="B3104" s="123"/>
      <c r="C3104" s="328"/>
      <c r="D3104" s="3990"/>
      <c r="E3104" s="4009"/>
      <c r="F3104" s="3010" t="str">
        <f>$E$1769</f>
        <v>ASHP-SEER19_ROF_MF</v>
      </c>
      <c r="G3104" s="2676"/>
      <c r="H3104" s="2676"/>
      <c r="I3104" s="2677"/>
      <c r="J3104" s="3299" t="str">
        <f>$C$1769</f>
        <v>355050_2019_12_</v>
      </c>
      <c r="K3104" s="2282">
        <v>14</v>
      </c>
      <c r="L3104" s="851"/>
      <c r="M3104" s="2284" t="s">
        <v>1110</v>
      </c>
      <c r="N3104" s="123"/>
      <c r="O3104" s="228"/>
      <c r="P3104" s="228"/>
      <c r="Q3104" s="228"/>
      <c r="R3104" s="228"/>
      <c r="S3104" s="123"/>
      <c r="T3104" s="123"/>
      <c r="U3104" s="123"/>
      <c r="V3104" s="3990"/>
      <c r="W3104" s="2857">
        <v>14</v>
      </c>
      <c r="X3104" s="2857">
        <v>14</v>
      </c>
      <c r="Y3104" s="696">
        <v>14</v>
      </c>
      <c r="Z3104" s="696">
        <v>14</v>
      </c>
      <c r="AA3104" s="696">
        <v>14</v>
      </c>
      <c r="AB3104" s="2282">
        <v>14</v>
      </c>
      <c r="AC3104" s="2282">
        <v>14</v>
      </c>
      <c r="AD3104" s="2857"/>
      <c r="AE3104" s="2857"/>
      <c r="AF3104" s="2857"/>
      <c r="AG3104" s="2857"/>
      <c r="AH3104" s="1942"/>
      <c r="AI3104" s="1942"/>
      <c r="AJ3104" s="1942"/>
      <c r="AK3104" s="1942"/>
      <c r="AL3104" s="1942"/>
      <c r="AM3104" s="1942"/>
      <c r="AN3104" s="1942"/>
      <c r="AO3104" s="1942"/>
      <c r="AP3104" s="1942"/>
      <c r="AQ3104" s="1942"/>
      <c r="AR3104" s="1942"/>
      <c r="AS3104" s="1942"/>
      <c r="AT3104" s="1942"/>
      <c r="AU3104" s="1942"/>
      <c r="AV3104" s="1942"/>
      <c r="AW3104" s="1942"/>
      <c r="AX3104" s="1942"/>
      <c r="AY3104" s="1942"/>
      <c r="AZ3104" s="1942"/>
      <c r="BA3104" s="1942"/>
      <c r="BB3104" s="575"/>
      <c r="BC3104" s="576"/>
      <c r="BD3104" s="678"/>
      <c r="BE3104" s="585"/>
    </row>
    <row r="3105" spans="1:57" s="51" customFormat="1" ht="15" hidden="1" customHeight="1" outlineLevel="1" x14ac:dyDescent="0.25">
      <c r="A3105" s="1267"/>
      <c r="B3105" s="123"/>
      <c r="C3105" s="328"/>
      <c r="D3105" s="3990"/>
      <c r="E3105" s="4009"/>
      <c r="F3105" s="3010" t="str">
        <f>$E$1771</f>
        <v>ASHP-SEER19_ROF_MF_CompE</v>
      </c>
      <c r="G3105" s="2676"/>
      <c r="H3105" s="2676"/>
      <c r="I3105" s="2677"/>
      <c r="J3105" s="3299" t="str">
        <f>$C$1771</f>
        <v>355051_2019_12_</v>
      </c>
      <c r="K3105" s="2282">
        <v>14</v>
      </c>
      <c r="L3105" s="851"/>
      <c r="M3105" s="2284" t="s">
        <v>1110</v>
      </c>
      <c r="N3105" s="123"/>
      <c r="O3105" s="228"/>
      <c r="P3105" s="228"/>
      <c r="Q3105" s="228"/>
      <c r="R3105" s="228"/>
      <c r="S3105" s="123"/>
      <c r="T3105" s="123"/>
      <c r="U3105" s="123"/>
      <c r="V3105" s="3990"/>
      <c r="W3105" s="2857"/>
      <c r="X3105" s="2857"/>
      <c r="Y3105" s="3158">
        <v>14</v>
      </c>
      <c r="Z3105" s="696">
        <v>14</v>
      </c>
      <c r="AA3105" s="696">
        <v>14</v>
      </c>
      <c r="AB3105" s="2282">
        <v>14</v>
      </c>
      <c r="AC3105" s="2282">
        <v>14</v>
      </c>
      <c r="AD3105" s="2857"/>
      <c r="AE3105" s="2857"/>
      <c r="AF3105" s="2857"/>
      <c r="AG3105" s="2857"/>
      <c r="AH3105" s="1942"/>
      <c r="AI3105" s="1942"/>
      <c r="AJ3105" s="1942"/>
      <c r="AK3105" s="1942"/>
      <c r="AL3105" s="1942"/>
      <c r="AM3105" s="1942"/>
      <c r="AN3105" s="1942"/>
      <c r="AO3105" s="1942"/>
      <c r="AP3105" s="1942"/>
      <c r="AQ3105" s="1942"/>
      <c r="AR3105" s="1942"/>
      <c r="AS3105" s="1942"/>
      <c r="AT3105" s="1942"/>
      <c r="AU3105" s="1942"/>
      <c r="AV3105" s="1942"/>
      <c r="AW3105" s="1942"/>
      <c r="AX3105" s="1942"/>
      <c r="AY3105" s="1942"/>
      <c r="AZ3105" s="1942"/>
      <c r="BA3105" s="1942"/>
      <c r="BB3105" s="575"/>
      <c r="BC3105" s="576"/>
      <c r="BD3105" s="678"/>
      <c r="BE3105" s="585"/>
    </row>
    <row r="3106" spans="1:57" s="51" customFormat="1" ht="15" hidden="1" customHeight="1" outlineLevel="1" x14ac:dyDescent="0.25">
      <c r="A3106" s="1267"/>
      <c r="B3106" s="123"/>
      <c r="C3106" s="328"/>
      <c r="D3106" s="3990"/>
      <c r="E3106" s="4009"/>
      <c r="F3106" s="3010" t="str">
        <f>$E$1773</f>
        <v>ASHP-SEER20_ROF_MF</v>
      </c>
      <c r="G3106" s="2676"/>
      <c r="H3106" s="2676"/>
      <c r="I3106" s="2677"/>
      <c r="J3106" s="3299" t="str">
        <f>$C$1773</f>
        <v>355100_2019_12_</v>
      </c>
      <c r="K3106" s="2282">
        <v>14</v>
      </c>
      <c r="L3106" s="851"/>
      <c r="M3106" s="2284" t="s">
        <v>1110</v>
      </c>
      <c r="N3106" s="123"/>
      <c r="O3106" s="228"/>
      <c r="P3106" s="228"/>
      <c r="Q3106" s="228"/>
      <c r="R3106" s="228"/>
      <c r="S3106" s="123"/>
      <c r="T3106" s="123"/>
      <c r="U3106" s="123"/>
      <c r="V3106" s="3990"/>
      <c r="W3106" s="2857">
        <v>14</v>
      </c>
      <c r="X3106" s="2857">
        <v>14</v>
      </c>
      <c r="Y3106" s="696">
        <v>14</v>
      </c>
      <c r="Z3106" s="696">
        <v>14</v>
      </c>
      <c r="AA3106" s="696">
        <v>14</v>
      </c>
      <c r="AB3106" s="2282">
        <v>14</v>
      </c>
      <c r="AC3106" s="2282">
        <v>14</v>
      </c>
      <c r="AD3106" s="2857"/>
      <c r="AE3106" s="2857"/>
      <c r="AF3106" s="2857"/>
      <c r="AG3106" s="2857"/>
      <c r="AH3106" s="1942"/>
      <c r="AI3106" s="1942"/>
      <c r="AJ3106" s="1942"/>
      <c r="AK3106" s="1942"/>
      <c r="AL3106" s="1942"/>
      <c r="AM3106" s="1942"/>
      <c r="AN3106" s="1942"/>
      <c r="AO3106" s="1942"/>
      <c r="AP3106" s="1942"/>
      <c r="AQ3106" s="1942"/>
      <c r="AR3106" s="1942"/>
      <c r="AS3106" s="1942"/>
      <c r="AT3106" s="1942"/>
      <c r="AU3106" s="1942"/>
      <c r="AV3106" s="1942"/>
      <c r="AW3106" s="1942"/>
      <c r="AX3106" s="1942"/>
      <c r="AY3106" s="1942"/>
      <c r="AZ3106" s="1942"/>
      <c r="BA3106" s="1942"/>
      <c r="BB3106" s="575"/>
      <c r="BC3106" s="576"/>
      <c r="BD3106" s="678"/>
      <c r="BE3106" s="585"/>
    </row>
    <row r="3107" spans="1:57" s="51" customFormat="1" ht="15" hidden="1" customHeight="1" outlineLevel="1" x14ac:dyDescent="0.25">
      <c r="A3107" s="1267"/>
      <c r="B3107" s="123"/>
      <c r="C3107" s="328"/>
      <c r="D3107" s="3990"/>
      <c r="E3107" s="4009"/>
      <c r="F3107" s="3010" t="str">
        <f>$E$1775</f>
        <v>ASHP-SEER20_ROF_MF_CompE</v>
      </c>
      <c r="G3107" s="2676"/>
      <c r="H3107" s="2676"/>
      <c r="I3107" s="2677"/>
      <c r="J3107" s="3299" t="str">
        <f>$C$1775</f>
        <v>355101_2019_12_</v>
      </c>
      <c r="K3107" s="2282">
        <v>14</v>
      </c>
      <c r="L3107" s="852"/>
      <c r="M3107" s="2284" t="s">
        <v>1110</v>
      </c>
      <c r="N3107" s="123"/>
      <c r="O3107" s="228"/>
      <c r="P3107" s="228"/>
      <c r="Q3107" s="228"/>
      <c r="R3107" s="228"/>
      <c r="S3107" s="123"/>
      <c r="T3107" s="123"/>
      <c r="U3107" s="123"/>
      <c r="V3107" s="3990"/>
      <c r="W3107" s="693"/>
      <c r="X3107" s="693"/>
      <c r="Y3107" s="3158">
        <v>14</v>
      </c>
      <c r="Z3107" s="696">
        <v>14</v>
      </c>
      <c r="AA3107" s="696">
        <v>14</v>
      </c>
      <c r="AB3107" s="2282">
        <v>14</v>
      </c>
      <c r="AC3107" s="2282">
        <v>14</v>
      </c>
      <c r="AD3107" s="693"/>
      <c r="AE3107" s="693"/>
      <c r="AF3107" s="693"/>
      <c r="AG3107" s="693"/>
      <c r="AH3107" s="1942"/>
      <c r="AI3107" s="1942"/>
      <c r="AJ3107" s="1942"/>
      <c r="AK3107" s="1942"/>
      <c r="AL3107" s="1942"/>
      <c r="AM3107" s="1942"/>
      <c r="AN3107" s="1942"/>
      <c r="AO3107" s="1942"/>
      <c r="AP3107" s="1942"/>
      <c r="AQ3107" s="1942"/>
      <c r="AR3107" s="1942"/>
      <c r="AS3107" s="1942"/>
      <c r="AT3107" s="1942"/>
      <c r="AU3107" s="1942"/>
      <c r="AV3107" s="1942"/>
      <c r="AW3107" s="1942"/>
      <c r="AX3107" s="1942"/>
      <c r="AY3107" s="1942"/>
      <c r="AZ3107" s="1942"/>
      <c r="BA3107" s="1942"/>
      <c r="BB3107" s="575"/>
      <c r="BC3107" s="576"/>
      <c r="BD3107" s="678"/>
      <c r="BE3107" s="585"/>
    </row>
    <row r="3108" spans="1:57" s="51" customFormat="1" ht="15.75" hidden="1" customHeight="1" outlineLevel="1" x14ac:dyDescent="0.25">
      <c r="A3108" s="2060"/>
      <c r="B3108" s="123"/>
      <c r="C3108" s="328"/>
      <c r="D3108" s="3990"/>
      <c r="E3108" s="4009"/>
      <c r="F3108" s="3010" t="str">
        <f>$E$1777</f>
        <v>ASHP-SEER21_ROF_MF</v>
      </c>
      <c r="G3108" s="2676"/>
      <c r="H3108" s="2676"/>
      <c r="I3108" s="2677"/>
      <c r="J3108" s="3299" t="str">
        <f>$C$1777</f>
        <v>355150_2019_12_</v>
      </c>
      <c r="K3108" s="2282">
        <v>14</v>
      </c>
      <c r="L3108" s="851"/>
      <c r="M3108" s="2284" t="s">
        <v>1110</v>
      </c>
      <c r="N3108" s="123"/>
      <c r="O3108" s="228"/>
      <c r="P3108" s="844"/>
      <c r="Q3108" s="845"/>
      <c r="R3108" s="844"/>
      <c r="S3108" s="832"/>
      <c r="T3108" s="3082"/>
      <c r="U3108" s="123"/>
      <c r="V3108" s="3990"/>
      <c r="W3108" s="2857">
        <v>14</v>
      </c>
      <c r="X3108" s="2857">
        <v>14</v>
      </c>
      <c r="Y3108" s="693">
        <v>14</v>
      </c>
      <c r="Z3108" s="693">
        <v>14</v>
      </c>
      <c r="AA3108" s="693">
        <v>14</v>
      </c>
      <c r="AB3108" s="2282">
        <v>14</v>
      </c>
      <c r="AC3108" s="2282">
        <v>14</v>
      </c>
      <c r="AD3108" s="2857"/>
      <c r="AE3108" s="2857"/>
      <c r="AF3108" s="2857"/>
      <c r="AG3108" s="2857"/>
      <c r="AH3108" s="1942"/>
      <c r="AI3108" s="1942"/>
      <c r="AJ3108" s="1942"/>
      <c r="AK3108" s="1942"/>
      <c r="AL3108" s="1942"/>
      <c r="AM3108" s="1942"/>
      <c r="AN3108" s="1942"/>
      <c r="AO3108" s="1942"/>
      <c r="AP3108" s="1942"/>
      <c r="AQ3108" s="1942"/>
      <c r="AR3108" s="1942"/>
      <c r="AS3108" s="1942"/>
      <c r="AT3108" s="1942"/>
      <c r="AU3108" s="1942"/>
      <c r="AV3108" s="1942"/>
      <c r="AW3108" s="1942"/>
      <c r="AX3108" s="1942"/>
      <c r="AY3108" s="1942"/>
      <c r="AZ3108" s="1942"/>
      <c r="BA3108" s="1942"/>
      <c r="BB3108" s="575"/>
      <c r="BC3108" s="576"/>
      <c r="BD3108" s="678"/>
      <c r="BE3108" s="585"/>
    </row>
    <row r="3109" spans="1:57" s="51" customFormat="1" ht="15.75" hidden="1" customHeight="1" outlineLevel="1" thickBot="1" x14ac:dyDescent="0.3">
      <c r="A3109" s="2060"/>
      <c r="B3109" s="123"/>
      <c r="C3109" s="328"/>
      <c r="D3109" s="4035"/>
      <c r="E3109" s="4036"/>
      <c r="F3109" s="3012" t="str">
        <f>$E$1779</f>
        <v>ASHP-SEER21_ROF_MF_CompE</v>
      </c>
      <c r="G3109" s="847"/>
      <c r="H3109" s="847"/>
      <c r="I3109" s="848"/>
      <c r="J3109" s="2607" t="str">
        <f>$C$1779</f>
        <v>355151_2019_12_</v>
      </c>
      <c r="K3109" s="2283">
        <v>14</v>
      </c>
      <c r="L3109" s="859"/>
      <c r="M3109" s="2287" t="s">
        <v>1110</v>
      </c>
      <c r="N3109" s="123"/>
      <c r="O3109" s="228"/>
      <c r="P3109" s="844"/>
      <c r="Q3109" s="845"/>
      <c r="R3109" s="844"/>
      <c r="S3109" s="832"/>
      <c r="T3109" s="3082"/>
      <c r="U3109" s="123"/>
      <c r="V3109" s="4035"/>
      <c r="W3109" s="695"/>
      <c r="X3109" s="695"/>
      <c r="Y3109" s="3156">
        <v>14</v>
      </c>
      <c r="Z3109" s="2860">
        <v>14</v>
      </c>
      <c r="AA3109" s="2860">
        <v>14</v>
      </c>
      <c r="AB3109" s="2283">
        <v>14</v>
      </c>
      <c r="AC3109" s="2283">
        <v>14</v>
      </c>
      <c r="AD3109" s="695"/>
      <c r="AE3109" s="695"/>
      <c r="AF3109" s="695"/>
      <c r="AG3109" s="695"/>
      <c r="AH3109" s="1942"/>
      <c r="AI3109" s="1942"/>
      <c r="AJ3109" s="1942"/>
      <c r="AK3109" s="1942"/>
      <c r="AL3109" s="1942"/>
      <c r="AM3109" s="1942"/>
      <c r="AN3109" s="1942"/>
      <c r="AO3109" s="1942"/>
      <c r="AP3109" s="1942"/>
      <c r="AQ3109" s="1942"/>
      <c r="AR3109" s="1942"/>
      <c r="AS3109" s="1942"/>
      <c r="AT3109" s="1942"/>
      <c r="AU3109" s="1942"/>
      <c r="AV3109" s="1942"/>
      <c r="AW3109" s="1942"/>
      <c r="AX3109" s="1942"/>
      <c r="AY3109" s="1942"/>
      <c r="AZ3109" s="1942"/>
      <c r="BA3109" s="1942"/>
      <c r="BB3109" s="575"/>
      <c r="BC3109" s="576"/>
      <c r="BD3109" s="678"/>
      <c r="BE3109" s="585"/>
    </row>
    <row r="3110" spans="1:57" s="51" customFormat="1" ht="15" hidden="1" customHeight="1" outlineLevel="1" x14ac:dyDescent="0.25">
      <c r="A3110" s="2060"/>
      <c r="B3110" s="123"/>
      <c r="C3110" s="328"/>
      <c r="D3110" s="3989" t="s">
        <v>1165</v>
      </c>
      <c r="E3110" s="4008" t="s">
        <v>1564</v>
      </c>
      <c r="F3110" s="3013" t="str">
        <f>$E$1407</f>
        <v>ASHP-SEER15-Replace_CAC_ElectricHeat_ER1_SF</v>
      </c>
      <c r="G3110" s="2816"/>
      <c r="H3110" s="2816"/>
      <c r="I3110" s="2818"/>
      <c r="J3110" s="3297" t="str">
        <f>$C$1407</f>
        <v>352300_2021_12_</v>
      </c>
      <c r="K3110" s="2281">
        <v>15.121398305084742</v>
      </c>
      <c r="L3110" s="745"/>
      <c r="M3110" s="2723" t="s">
        <v>1005</v>
      </c>
      <c r="N3110" s="123"/>
      <c r="O3110" s="228"/>
      <c r="P3110" s="844"/>
      <c r="Q3110" s="844"/>
      <c r="R3110" s="844"/>
      <c r="S3110" s="832"/>
      <c r="T3110" s="3082"/>
      <c r="U3110" s="123"/>
      <c r="V3110" s="3989" t="s">
        <v>1165</v>
      </c>
      <c r="W3110" s="2861">
        <v>15.1</v>
      </c>
      <c r="X3110" s="3157">
        <v>15.12</v>
      </c>
      <c r="Y3110" s="3158">
        <v>15.11</v>
      </c>
      <c r="Z3110" s="696">
        <v>15.11</v>
      </c>
      <c r="AA3110" s="696">
        <v>15.11</v>
      </c>
      <c r="AB3110" s="2281">
        <v>15.12889344262295</v>
      </c>
      <c r="AC3110" s="2281">
        <v>15.121398305084742</v>
      </c>
      <c r="AD3110" s="2861"/>
      <c r="AE3110" s="2861"/>
      <c r="AF3110" s="2861"/>
      <c r="AG3110" s="2861"/>
      <c r="AH3110" s="1942"/>
      <c r="AI3110" s="1942"/>
      <c r="AJ3110" s="1942"/>
      <c r="AK3110" s="1942"/>
      <c r="AL3110" s="1942"/>
      <c r="AM3110" s="1942"/>
      <c r="AN3110" s="1942"/>
      <c r="AO3110" s="1942"/>
      <c r="AP3110" s="1942"/>
      <c r="AQ3110" s="1942"/>
      <c r="AR3110" s="1942"/>
      <c r="AS3110" s="1942"/>
      <c r="AT3110" s="1942"/>
      <c r="AU3110" s="1942"/>
      <c r="AV3110" s="1942"/>
      <c r="AW3110" s="1942"/>
      <c r="AX3110" s="1942"/>
      <c r="AY3110" s="1942"/>
      <c r="AZ3110" s="1942"/>
      <c r="BA3110" s="1942"/>
      <c r="BB3110" s="575"/>
      <c r="BC3110" s="576"/>
      <c r="BD3110" s="678"/>
      <c r="BE3110" s="585"/>
    </row>
    <row r="3111" spans="1:57" s="51" customFormat="1" ht="15" hidden="1" customHeight="1" outlineLevel="1" x14ac:dyDescent="0.25">
      <c r="A3111" s="2060"/>
      <c r="B3111" s="123"/>
      <c r="C3111" s="328"/>
      <c r="D3111" s="3990"/>
      <c r="E3111" s="4009"/>
      <c r="F3111" s="3010" t="str">
        <f>$E$1409</f>
        <v>ASHP-SEER15-Replace_CAC_ElectricHeat_ER2_SF</v>
      </c>
      <c r="G3111" s="2676"/>
      <c r="H3111" s="2676"/>
      <c r="I3111" s="2677"/>
      <c r="J3111" s="3298" t="str">
        <f>$C$1409</f>
        <v>352300_2021_12_</v>
      </c>
      <c r="K3111" s="2228">
        <f>K3110</f>
        <v>15.121398305084742</v>
      </c>
      <c r="L3111" s="850"/>
      <c r="M3111" s="2723" t="s">
        <v>1005</v>
      </c>
      <c r="N3111" s="123"/>
      <c r="O3111" s="228"/>
      <c r="P3111" s="844"/>
      <c r="Q3111" s="844"/>
      <c r="R3111" s="844"/>
      <c r="S3111" s="832"/>
      <c r="T3111" s="3082"/>
      <c r="U3111" s="123"/>
      <c r="V3111" s="3990"/>
      <c r="W3111" s="2857">
        <v>15.1</v>
      </c>
      <c r="X3111" s="3155">
        <v>15.12</v>
      </c>
      <c r="Y3111" s="3158">
        <v>15.11</v>
      </c>
      <c r="Z3111" s="696">
        <v>15.11</v>
      </c>
      <c r="AA3111" s="696">
        <v>15.11</v>
      </c>
      <c r="AB3111" s="2228">
        <v>15.12889344262295</v>
      </c>
      <c r="AC3111" s="2228">
        <f>AC3110</f>
        <v>15.121398305084742</v>
      </c>
      <c r="AD3111" s="2857"/>
      <c r="AE3111" s="2857"/>
      <c r="AF3111" s="2857"/>
      <c r="AG3111" s="2857"/>
      <c r="AH3111" s="1942"/>
      <c r="AI3111" s="1942"/>
      <c r="AJ3111" s="1942"/>
      <c r="AK3111" s="1942"/>
      <c r="AL3111" s="1942"/>
      <c r="AM3111" s="1942"/>
      <c r="AN3111" s="1942"/>
      <c r="AO3111" s="1942"/>
      <c r="AP3111" s="1942"/>
      <c r="AQ3111" s="1942"/>
      <c r="AR3111" s="1942"/>
      <c r="AS3111" s="1942"/>
      <c r="AT3111" s="1942"/>
      <c r="AU3111" s="1942"/>
      <c r="AV3111" s="1942"/>
      <c r="AW3111" s="1942"/>
      <c r="AX3111" s="1942"/>
      <c r="AY3111" s="1942"/>
      <c r="AZ3111" s="1942"/>
      <c r="BA3111" s="1942"/>
      <c r="BB3111" s="575"/>
      <c r="BC3111" s="576"/>
      <c r="BD3111" s="678"/>
      <c r="BE3111" s="585"/>
    </row>
    <row r="3112" spans="1:57" s="1942" customFormat="1" ht="15" hidden="1" customHeight="1" outlineLevel="1" x14ac:dyDescent="0.25">
      <c r="A3112" s="2060"/>
      <c r="B3112" s="123"/>
      <c r="C3112" s="328"/>
      <c r="D3112" s="3990"/>
      <c r="E3112" s="4009"/>
      <c r="F3112" s="3010" t="str">
        <f>$E$1411</f>
        <v>ASHP-SEER15-Replace_CAC_NonElectricHeat_ER1_SF</v>
      </c>
      <c r="G3112" s="2676"/>
      <c r="H3112" s="2676"/>
      <c r="I3112" s="2677"/>
      <c r="J3112" s="3298" t="str">
        <f>$C$1411</f>
        <v>352310_2021_12_</v>
      </c>
      <c r="K3112" s="3051">
        <v>15.121398305084742</v>
      </c>
      <c r="L3112" s="850"/>
      <c r="M3112" s="2723" t="s">
        <v>1125</v>
      </c>
      <c r="N3112" s="123"/>
      <c r="O3112" s="228"/>
      <c r="P3112" s="844"/>
      <c r="Q3112" s="844"/>
      <c r="R3112" s="844"/>
      <c r="S3112" s="832"/>
      <c r="T3112" s="3082"/>
      <c r="U3112" s="123"/>
      <c r="V3112" s="3990"/>
      <c r="W3112" s="2857"/>
      <c r="X3112" s="3155"/>
      <c r="Y3112" s="3158"/>
      <c r="Z3112" s="696"/>
      <c r="AA3112" s="696"/>
      <c r="AB3112" s="2228"/>
      <c r="AC3112" s="3051">
        <v>15.121398305084742</v>
      </c>
      <c r="AD3112" s="2857"/>
      <c r="AE3112" s="2857"/>
      <c r="AF3112" s="2857"/>
      <c r="AG3112" s="2857"/>
      <c r="BB3112" s="575"/>
      <c r="BC3112" s="576"/>
      <c r="BD3112" s="678"/>
      <c r="BE3112" s="585"/>
    </row>
    <row r="3113" spans="1:57" s="1942" customFormat="1" ht="15" hidden="1" customHeight="1" outlineLevel="1" x14ac:dyDescent="0.25">
      <c r="A3113" s="2060"/>
      <c r="B3113" s="123"/>
      <c r="C3113" s="328"/>
      <c r="D3113" s="3990"/>
      <c r="E3113" s="4009"/>
      <c r="F3113" s="3010" t="str">
        <f>$E$1413</f>
        <v>ASHP-SEER15-Replace_CAC_NonElectricHeat_ER2_SF</v>
      </c>
      <c r="G3113" s="2676"/>
      <c r="H3113" s="2676"/>
      <c r="I3113" s="2677"/>
      <c r="J3113" s="3298" t="str">
        <f>$C$1413</f>
        <v>352310_2021_12_</v>
      </c>
      <c r="K3113" s="2228">
        <f>K3112</f>
        <v>15.121398305084742</v>
      </c>
      <c r="L3113" s="850"/>
      <c r="M3113" s="2723" t="s">
        <v>1125</v>
      </c>
      <c r="N3113" s="123"/>
      <c r="O3113" s="228"/>
      <c r="P3113" s="844"/>
      <c r="Q3113" s="844"/>
      <c r="R3113" s="844"/>
      <c r="S3113" s="832"/>
      <c r="T3113" s="3082"/>
      <c r="U3113" s="123"/>
      <c r="V3113" s="3990"/>
      <c r="W3113" s="2857"/>
      <c r="X3113" s="3155"/>
      <c r="Y3113" s="3158"/>
      <c r="Z3113" s="696"/>
      <c r="AA3113" s="696"/>
      <c r="AB3113" s="2228"/>
      <c r="AC3113" s="2228">
        <f>AC3112</f>
        <v>15.121398305084742</v>
      </c>
      <c r="AD3113" s="2857"/>
      <c r="AE3113" s="2857"/>
      <c r="AF3113" s="2857"/>
      <c r="AG3113" s="2857"/>
      <c r="BB3113" s="575"/>
      <c r="BC3113" s="576"/>
      <c r="BD3113" s="678"/>
      <c r="BE3113" s="585"/>
    </row>
    <row r="3114" spans="1:57" s="51" customFormat="1" ht="15" hidden="1" customHeight="1" outlineLevel="1" x14ac:dyDescent="0.25">
      <c r="A3114" s="2060"/>
      <c r="B3114" s="123"/>
      <c r="C3114" s="328"/>
      <c r="D3114" s="3990"/>
      <c r="E3114" s="4009"/>
      <c r="F3114" s="3010" t="str">
        <f>$E$1415</f>
        <v>ASHP-SEER15_ER1_SF</v>
      </c>
      <c r="G3114" s="2676"/>
      <c r="H3114" s="2676"/>
      <c r="I3114" s="2677"/>
      <c r="J3114" s="3298" t="str">
        <f>$C$1415</f>
        <v>352350_2021_12_</v>
      </c>
      <c r="K3114" s="2228">
        <v>15.142532467532467</v>
      </c>
      <c r="L3114" s="850"/>
      <c r="M3114" s="2723" t="s">
        <v>1005</v>
      </c>
      <c r="N3114" s="123"/>
      <c r="O3114" s="228"/>
      <c r="P3114" s="844"/>
      <c r="Q3114" s="844"/>
      <c r="R3114" s="844"/>
      <c r="S3114" s="832"/>
      <c r="T3114" s="3082"/>
      <c r="U3114" s="123"/>
      <c r="V3114" s="3990"/>
      <c r="W3114" s="2857">
        <v>15.1</v>
      </c>
      <c r="X3114" s="3155">
        <v>15.12</v>
      </c>
      <c r="Y3114" s="3158">
        <v>15.12</v>
      </c>
      <c r="Z3114" s="696">
        <v>15.12</v>
      </c>
      <c r="AA3114" s="696">
        <v>15.12</v>
      </c>
      <c r="AB3114" s="2228">
        <v>15.124074074074072</v>
      </c>
      <c r="AC3114" s="2228">
        <v>15.142532467532467</v>
      </c>
      <c r="AD3114" s="2857"/>
      <c r="AE3114" s="2857"/>
      <c r="AF3114" s="2857"/>
      <c r="AG3114" s="2857"/>
      <c r="AH3114" s="1942"/>
      <c r="AI3114" s="1942"/>
      <c r="AJ3114" s="1942"/>
      <c r="AK3114" s="1942"/>
      <c r="AL3114" s="1942"/>
      <c r="AM3114" s="1942"/>
      <c r="AN3114" s="1942"/>
      <c r="AO3114" s="1942"/>
      <c r="AP3114" s="1942"/>
      <c r="AQ3114" s="1942"/>
      <c r="AR3114" s="1942"/>
      <c r="AS3114" s="1942"/>
      <c r="AT3114" s="1942"/>
      <c r="AU3114" s="1942"/>
      <c r="AV3114" s="1942"/>
      <c r="AW3114" s="1942"/>
      <c r="AX3114" s="1942"/>
      <c r="AY3114" s="1942"/>
      <c r="AZ3114" s="1942"/>
      <c r="BA3114" s="1942"/>
      <c r="BB3114" s="575"/>
      <c r="BC3114" s="576"/>
      <c r="BD3114" s="678"/>
      <c r="BE3114" s="585"/>
    </row>
    <row r="3115" spans="1:57" s="51" customFormat="1" ht="15" hidden="1" customHeight="1" outlineLevel="1" x14ac:dyDescent="0.25">
      <c r="A3115" s="2060"/>
      <c r="B3115" s="123"/>
      <c r="C3115" s="328"/>
      <c r="D3115" s="3990"/>
      <c r="E3115" s="4009"/>
      <c r="F3115" s="3010" t="str">
        <f>$E$1417</f>
        <v>ASHP-SEER15_ER2_SF</v>
      </c>
      <c r="G3115" s="2676"/>
      <c r="H3115" s="2676"/>
      <c r="I3115" s="2677"/>
      <c r="J3115" s="3298" t="str">
        <f>$C$1417</f>
        <v>352350_2021_12_</v>
      </c>
      <c r="K3115" s="2228">
        <f>K3114</f>
        <v>15.142532467532467</v>
      </c>
      <c r="L3115" s="850"/>
      <c r="M3115" s="2723" t="s">
        <v>1005</v>
      </c>
      <c r="N3115" s="123"/>
      <c r="O3115" s="228"/>
      <c r="P3115" s="844"/>
      <c r="Q3115" s="844"/>
      <c r="R3115" s="844"/>
      <c r="S3115" s="832"/>
      <c r="T3115" s="3082"/>
      <c r="U3115" s="123"/>
      <c r="V3115" s="3990"/>
      <c r="W3115" s="2857">
        <v>15.1</v>
      </c>
      <c r="X3115" s="3155">
        <v>15.12</v>
      </c>
      <c r="Y3115" s="3158">
        <v>15.12</v>
      </c>
      <c r="Z3115" s="696">
        <v>15.12</v>
      </c>
      <c r="AA3115" s="696">
        <v>15.12</v>
      </c>
      <c r="AB3115" s="2228">
        <v>15.124074074074072</v>
      </c>
      <c r="AC3115" s="2228">
        <f>AC3114</f>
        <v>15.142532467532467</v>
      </c>
      <c r="AD3115" s="2857"/>
      <c r="AE3115" s="2857"/>
      <c r="AF3115" s="2857"/>
      <c r="AG3115" s="2857"/>
      <c r="AH3115" s="1942"/>
      <c r="AI3115" s="1942"/>
      <c r="AJ3115" s="1942"/>
      <c r="AK3115" s="1942"/>
      <c r="AL3115" s="1942"/>
      <c r="AM3115" s="1942"/>
      <c r="AN3115" s="1942"/>
      <c r="AO3115" s="1942"/>
      <c r="AP3115" s="1942"/>
      <c r="AQ3115" s="1942"/>
      <c r="AR3115" s="1942"/>
      <c r="AS3115" s="1942"/>
      <c r="AT3115" s="1942"/>
      <c r="AU3115" s="1942"/>
      <c r="AV3115" s="1942"/>
      <c r="AW3115" s="1942"/>
      <c r="AX3115" s="1942"/>
      <c r="AY3115" s="1942"/>
      <c r="AZ3115" s="1942"/>
      <c r="BA3115" s="1942"/>
      <c r="BB3115" s="575"/>
      <c r="BC3115" s="576"/>
      <c r="BD3115" s="678"/>
      <c r="BE3115" s="585"/>
    </row>
    <row r="3116" spans="1:57" s="51" customFormat="1" ht="15" hidden="1" customHeight="1" outlineLevel="1" x14ac:dyDescent="0.25">
      <c r="A3116" s="2060"/>
      <c r="B3116" s="123"/>
      <c r="C3116" s="328"/>
      <c r="D3116" s="3990"/>
      <c r="E3116" s="4009"/>
      <c r="F3116" s="3010" t="str">
        <f>$E$1419</f>
        <v>ASHP-SEER15-Replace_CAC_ElectricHeat_ROF_SF</v>
      </c>
      <c r="G3116" s="2676"/>
      <c r="H3116" s="2676"/>
      <c r="I3116" s="2677"/>
      <c r="J3116" s="3298" t="str">
        <f>$C$1419</f>
        <v>352400_2021_12_</v>
      </c>
      <c r="K3116" s="2228">
        <v>15.138888888888889</v>
      </c>
      <c r="L3116" s="851"/>
      <c r="M3116" s="2723" t="s">
        <v>1005</v>
      </c>
      <c r="N3116" s="123"/>
      <c r="O3116" s="228"/>
      <c r="P3116" s="844"/>
      <c r="Q3116" s="844"/>
      <c r="R3116" s="844"/>
      <c r="S3116" s="832"/>
      <c r="T3116" s="3082"/>
      <c r="U3116" s="123"/>
      <c r="V3116" s="3990"/>
      <c r="W3116" s="2857">
        <v>15.2</v>
      </c>
      <c r="X3116" s="3155">
        <v>15.12</v>
      </c>
      <c r="Y3116" s="3158">
        <v>15.11</v>
      </c>
      <c r="Z3116" s="696">
        <v>15.11</v>
      </c>
      <c r="AA3116" s="696">
        <v>15.11</v>
      </c>
      <c r="AB3116" s="2228">
        <v>15.185106382978724</v>
      </c>
      <c r="AC3116" s="2228">
        <v>15.138888888888889</v>
      </c>
      <c r="AD3116" s="2857"/>
      <c r="AE3116" s="2857"/>
      <c r="AF3116" s="2857"/>
      <c r="AG3116" s="2857"/>
      <c r="AH3116" s="1942"/>
      <c r="AI3116" s="1942"/>
      <c r="AJ3116" s="1942"/>
      <c r="AK3116" s="1942"/>
      <c r="AL3116" s="1942"/>
      <c r="AM3116" s="1942"/>
      <c r="AN3116" s="1942"/>
      <c r="AO3116" s="1942"/>
      <c r="AP3116" s="1942"/>
      <c r="AQ3116" s="1942"/>
      <c r="AR3116" s="1942"/>
      <c r="AS3116" s="1942"/>
      <c r="AT3116" s="1942"/>
      <c r="AU3116" s="1942"/>
      <c r="AV3116" s="1942"/>
      <c r="AW3116" s="1942"/>
      <c r="AX3116" s="1942"/>
      <c r="AY3116" s="1942"/>
      <c r="AZ3116" s="1942"/>
      <c r="BA3116" s="1942"/>
      <c r="BB3116" s="575"/>
      <c r="BC3116" s="576"/>
      <c r="BD3116" s="678"/>
      <c r="BE3116" s="585"/>
    </row>
    <row r="3117" spans="1:57" s="1942" customFormat="1" ht="15" hidden="1" customHeight="1" outlineLevel="1" x14ac:dyDescent="0.25">
      <c r="A3117" s="2060"/>
      <c r="B3117" s="123"/>
      <c r="C3117" s="328"/>
      <c r="D3117" s="3990"/>
      <c r="E3117" s="4009"/>
      <c r="F3117" s="3010" t="str">
        <f>$E$1421</f>
        <v>ASHP-SEER15-Replace_CAC_NonElectricHeat_ROF_SF</v>
      </c>
      <c r="G3117" s="2676"/>
      <c r="H3117" s="2676"/>
      <c r="I3117" s="2677"/>
      <c r="J3117" s="3298" t="str">
        <f>$C$1421</f>
        <v>352410_2021_12_</v>
      </c>
      <c r="K3117" s="2228">
        <v>15.138888888888889</v>
      </c>
      <c r="L3117" s="851"/>
      <c r="M3117" s="2723" t="s">
        <v>1125</v>
      </c>
      <c r="N3117" s="123"/>
      <c r="O3117" s="228"/>
      <c r="P3117" s="844"/>
      <c r="Q3117" s="844"/>
      <c r="R3117" s="844"/>
      <c r="S3117" s="832"/>
      <c r="T3117" s="3082"/>
      <c r="U3117" s="123"/>
      <c r="V3117" s="3990"/>
      <c r="W3117" s="2857"/>
      <c r="X3117" s="3155"/>
      <c r="Y3117" s="3158"/>
      <c r="Z3117" s="696"/>
      <c r="AA3117" s="696"/>
      <c r="AB3117" s="2228"/>
      <c r="AC3117" s="2228">
        <v>15.138888888888889</v>
      </c>
      <c r="AD3117" s="2857"/>
      <c r="AE3117" s="2857"/>
      <c r="AF3117" s="2857"/>
      <c r="AG3117" s="2857"/>
      <c r="BB3117" s="575"/>
      <c r="BC3117" s="576"/>
      <c r="BD3117" s="678"/>
      <c r="BE3117" s="585"/>
    </row>
    <row r="3118" spans="1:57" s="51" customFormat="1" ht="15" hidden="1" customHeight="1" outlineLevel="1" x14ac:dyDescent="0.25">
      <c r="A3118" s="2060"/>
      <c r="B3118" s="123"/>
      <c r="C3118" s="328"/>
      <c r="D3118" s="3990"/>
      <c r="E3118" s="4009"/>
      <c r="F3118" s="3010" t="str">
        <f>$E$1423</f>
        <v>ASHP-SEER15_ROF_SF</v>
      </c>
      <c r="G3118" s="2676"/>
      <c r="H3118" s="2676"/>
      <c r="I3118" s="2677"/>
      <c r="J3118" s="3298" t="str">
        <f>$C$1423</f>
        <v>352450_2021_12_</v>
      </c>
      <c r="K3118" s="2228">
        <v>15.076785714285716</v>
      </c>
      <c r="L3118" s="851"/>
      <c r="M3118" s="2731" t="s">
        <v>1550</v>
      </c>
      <c r="N3118" s="123"/>
      <c r="O3118" s="228"/>
      <c r="P3118" s="844"/>
      <c r="Q3118" s="844"/>
      <c r="R3118" s="844"/>
      <c r="S3118" s="832"/>
      <c r="T3118" s="3082"/>
      <c r="U3118" s="123"/>
      <c r="V3118" s="3990"/>
      <c r="W3118" s="2857">
        <v>15.1</v>
      </c>
      <c r="X3118" s="3155">
        <v>15.12</v>
      </c>
      <c r="Y3118" s="3158">
        <v>15.17</v>
      </c>
      <c r="Z3118" s="696">
        <v>15.17</v>
      </c>
      <c r="AA3118" s="696">
        <v>15.17</v>
      </c>
      <c r="AB3118" s="2282">
        <v>15.17</v>
      </c>
      <c r="AC3118" s="2228">
        <v>15.076785714285716</v>
      </c>
      <c r="AD3118" s="2857"/>
      <c r="AE3118" s="2857"/>
      <c r="AF3118" s="2857"/>
      <c r="AG3118" s="2857"/>
      <c r="AH3118" s="1942"/>
      <c r="AI3118" s="1942"/>
      <c r="AJ3118" s="1942"/>
      <c r="AK3118" s="1942"/>
      <c r="AL3118" s="1942"/>
      <c r="AM3118" s="1942"/>
      <c r="AN3118" s="1942"/>
      <c r="AO3118" s="1942"/>
      <c r="AP3118" s="1942"/>
      <c r="AQ3118" s="1942"/>
      <c r="AR3118" s="1942"/>
      <c r="AS3118" s="1942"/>
      <c r="AT3118" s="1942"/>
      <c r="AU3118" s="1942"/>
      <c r="AV3118" s="1942"/>
      <c r="AW3118" s="1942"/>
      <c r="AX3118" s="1942"/>
      <c r="AY3118" s="1942"/>
      <c r="AZ3118" s="1942"/>
      <c r="BA3118" s="1942"/>
      <c r="BB3118" s="575"/>
      <c r="BC3118" s="576"/>
      <c r="BD3118" s="678"/>
      <c r="BE3118" s="585"/>
    </row>
    <row r="3119" spans="1:57" s="51" customFormat="1" ht="15" hidden="1" customHeight="1" outlineLevel="1" x14ac:dyDescent="0.25">
      <c r="A3119" s="2060"/>
      <c r="B3119" s="123"/>
      <c r="C3119" s="328"/>
      <c r="D3119" s="3990"/>
      <c r="E3119" s="4009"/>
      <c r="F3119" s="3010" t="str">
        <f>$E$1425</f>
        <v>ASHP-SEER16-Replace_CAC_ElectricHeat_ER1_SF</v>
      </c>
      <c r="G3119" s="2676"/>
      <c r="H3119" s="2676"/>
      <c r="I3119" s="2677"/>
      <c r="J3119" s="3298" t="str">
        <f>$C$1425</f>
        <v>352500_2021_12_</v>
      </c>
      <c r="K3119" s="2228">
        <v>16.068085106382977</v>
      </c>
      <c r="L3119" s="851"/>
      <c r="M3119" s="2723" t="s">
        <v>1005</v>
      </c>
      <c r="N3119" s="123"/>
      <c r="O3119" s="228"/>
      <c r="P3119" s="844"/>
      <c r="Q3119" s="844"/>
      <c r="R3119" s="844"/>
      <c r="S3119" s="832"/>
      <c r="T3119" s="3082"/>
      <c r="U3119" s="123"/>
      <c r="V3119" s="3990"/>
      <c r="W3119" s="2857">
        <v>16</v>
      </c>
      <c r="X3119" s="2857">
        <v>16</v>
      </c>
      <c r="Y3119" s="696">
        <v>16</v>
      </c>
      <c r="Z3119" s="696">
        <v>16</v>
      </c>
      <c r="AA3119" s="696">
        <v>16</v>
      </c>
      <c r="AB3119" s="2228">
        <v>16.252500000000001</v>
      </c>
      <c r="AC3119" s="2228">
        <v>16.068085106382977</v>
      </c>
      <c r="AD3119" s="2857"/>
      <c r="AE3119" s="2857"/>
      <c r="AF3119" s="2857"/>
      <c r="AG3119" s="2857"/>
      <c r="AH3119" s="1942"/>
      <c r="AI3119" s="1942"/>
      <c r="AJ3119" s="1942"/>
      <c r="AK3119" s="1942"/>
      <c r="AL3119" s="1942"/>
      <c r="AM3119" s="1942"/>
      <c r="AN3119" s="1942"/>
      <c r="AO3119" s="1942"/>
      <c r="AP3119" s="1942"/>
      <c r="AQ3119" s="1942"/>
      <c r="AR3119" s="1942"/>
      <c r="AS3119" s="1942"/>
      <c r="AT3119" s="1942"/>
      <c r="AU3119" s="1942"/>
      <c r="AV3119" s="1942"/>
      <c r="AW3119" s="1942"/>
      <c r="AX3119" s="1942"/>
      <c r="AY3119" s="1942"/>
      <c r="AZ3119" s="1942"/>
      <c r="BA3119" s="1942"/>
      <c r="BB3119" s="575"/>
      <c r="BC3119" s="576"/>
      <c r="BD3119" s="678"/>
      <c r="BE3119" s="585"/>
    </row>
    <row r="3120" spans="1:57" s="51" customFormat="1" ht="15" hidden="1" customHeight="1" outlineLevel="1" x14ac:dyDescent="0.25">
      <c r="A3120" s="2060"/>
      <c r="B3120" s="123"/>
      <c r="C3120" s="328"/>
      <c r="D3120" s="3990"/>
      <c r="E3120" s="4009"/>
      <c r="F3120" s="3010" t="str">
        <f>$E$1427</f>
        <v>ASHP-SEER16-Replace_CAC_ElectricHeat_ER2_SF</v>
      </c>
      <c r="G3120" s="2676"/>
      <c r="H3120" s="2676"/>
      <c r="I3120" s="2677"/>
      <c r="J3120" s="3298" t="str">
        <f>$C$1427</f>
        <v>352500_2021_12_</v>
      </c>
      <c r="K3120" s="2228">
        <f>K3119</f>
        <v>16.068085106382977</v>
      </c>
      <c r="L3120" s="851"/>
      <c r="M3120" s="2723" t="s">
        <v>1005</v>
      </c>
      <c r="N3120" s="123"/>
      <c r="O3120" s="228"/>
      <c r="P3120" s="844"/>
      <c r="Q3120" s="844"/>
      <c r="R3120" s="844"/>
      <c r="S3120" s="832"/>
      <c r="T3120" s="3082"/>
      <c r="U3120" s="123"/>
      <c r="V3120" s="3990"/>
      <c r="W3120" s="2857">
        <v>16</v>
      </c>
      <c r="X3120" s="2857">
        <v>16</v>
      </c>
      <c r="Y3120" s="696">
        <v>16</v>
      </c>
      <c r="Z3120" s="696">
        <v>16</v>
      </c>
      <c r="AA3120" s="696">
        <v>16</v>
      </c>
      <c r="AB3120" s="2228">
        <v>16.252500000000001</v>
      </c>
      <c r="AC3120" s="2228">
        <f>AC3119</f>
        <v>16.068085106382977</v>
      </c>
      <c r="AD3120" s="2857"/>
      <c r="AE3120" s="2857"/>
      <c r="AF3120" s="2857"/>
      <c r="AG3120" s="2857"/>
      <c r="AH3120" s="1942"/>
      <c r="AI3120" s="1942"/>
      <c r="AJ3120" s="1942"/>
      <c r="AK3120" s="1942"/>
      <c r="AL3120" s="1942"/>
      <c r="AM3120" s="1942"/>
      <c r="AN3120" s="1942"/>
      <c r="AO3120" s="1942"/>
      <c r="AP3120" s="1942"/>
      <c r="AQ3120" s="1942"/>
      <c r="AR3120" s="1942"/>
      <c r="AS3120" s="1942"/>
      <c r="AT3120" s="1942"/>
      <c r="AU3120" s="1942"/>
      <c r="AV3120" s="1942"/>
      <c r="AW3120" s="1942"/>
      <c r="AX3120" s="1942"/>
      <c r="AY3120" s="1942"/>
      <c r="AZ3120" s="1942"/>
      <c r="BA3120" s="1942"/>
      <c r="BB3120" s="575"/>
      <c r="BC3120" s="576"/>
      <c r="BD3120" s="678"/>
      <c r="BE3120" s="585"/>
    </row>
    <row r="3121" spans="1:57" s="1942" customFormat="1" ht="15" hidden="1" customHeight="1" outlineLevel="1" x14ac:dyDescent="0.25">
      <c r="A3121" s="2060"/>
      <c r="B3121" s="123"/>
      <c r="C3121" s="328"/>
      <c r="D3121" s="3990"/>
      <c r="E3121" s="4009"/>
      <c r="F3121" s="3010" t="str">
        <f>$E$1429</f>
        <v>ASHP-SEER16-Replace_CAC_NonElectricHeat_ER1_SF</v>
      </c>
      <c r="G3121" s="2676"/>
      <c r="H3121" s="2676"/>
      <c r="I3121" s="2677"/>
      <c r="J3121" s="3298" t="str">
        <f>$C$1429</f>
        <v>352510_2021_12_</v>
      </c>
      <c r="K3121" s="2228">
        <v>16.068085106382977</v>
      </c>
      <c r="L3121" s="851"/>
      <c r="M3121" s="2723" t="s">
        <v>1125</v>
      </c>
      <c r="N3121" s="123"/>
      <c r="O3121" s="228"/>
      <c r="P3121" s="844"/>
      <c r="Q3121" s="844"/>
      <c r="R3121" s="844"/>
      <c r="S3121" s="832"/>
      <c r="T3121" s="3082"/>
      <c r="U3121" s="123"/>
      <c r="V3121" s="3990"/>
      <c r="W3121" s="2857"/>
      <c r="X3121" s="2857"/>
      <c r="Y3121" s="696"/>
      <c r="Z3121" s="696"/>
      <c r="AA3121" s="696"/>
      <c r="AB3121" s="2228"/>
      <c r="AC3121" s="2228">
        <v>16.068085106382977</v>
      </c>
      <c r="AD3121" s="2857"/>
      <c r="AE3121" s="2857"/>
      <c r="AF3121" s="2857"/>
      <c r="AG3121" s="2857"/>
      <c r="BB3121" s="575"/>
      <c r="BC3121" s="576"/>
      <c r="BD3121" s="678"/>
      <c r="BE3121" s="585"/>
    </row>
    <row r="3122" spans="1:57" s="1942" customFormat="1" ht="15" hidden="1" customHeight="1" outlineLevel="1" x14ac:dyDescent="0.25">
      <c r="A3122" s="2060"/>
      <c r="B3122" s="123"/>
      <c r="C3122" s="328"/>
      <c r="D3122" s="3990"/>
      <c r="E3122" s="4009"/>
      <c r="F3122" s="3010" t="str">
        <f>$E$1431</f>
        <v>ASHP-SEER16-Replace_CAC_NonElectricHeat_ER2_SF</v>
      </c>
      <c r="G3122" s="2676"/>
      <c r="H3122" s="2676"/>
      <c r="I3122" s="2677"/>
      <c r="J3122" s="3298" t="str">
        <f>$C$1431</f>
        <v>352510_2021_12_</v>
      </c>
      <c r="K3122" s="2228">
        <f>K3121</f>
        <v>16.068085106382977</v>
      </c>
      <c r="L3122" s="851"/>
      <c r="M3122" s="2723" t="s">
        <v>1125</v>
      </c>
      <c r="N3122" s="123"/>
      <c r="O3122" s="228"/>
      <c r="P3122" s="844"/>
      <c r="Q3122" s="844"/>
      <c r="R3122" s="844"/>
      <c r="S3122" s="832"/>
      <c r="T3122" s="3082"/>
      <c r="U3122" s="123"/>
      <c r="V3122" s="3990"/>
      <c r="W3122" s="2857"/>
      <c r="X3122" s="2857"/>
      <c r="Y3122" s="696"/>
      <c r="Z3122" s="696"/>
      <c r="AA3122" s="696"/>
      <c r="AB3122" s="2228"/>
      <c r="AC3122" s="2228">
        <f>AC3121</f>
        <v>16.068085106382977</v>
      </c>
      <c r="AD3122" s="2857"/>
      <c r="AE3122" s="2857"/>
      <c r="AF3122" s="2857"/>
      <c r="AG3122" s="2857"/>
      <c r="BB3122" s="575"/>
      <c r="BC3122" s="576"/>
      <c r="BD3122" s="678"/>
      <c r="BE3122" s="585"/>
    </row>
    <row r="3123" spans="1:57" s="51" customFormat="1" ht="15" hidden="1" customHeight="1" outlineLevel="1" x14ac:dyDescent="0.25">
      <c r="A3123" s="2060"/>
      <c r="B3123" s="123"/>
      <c r="C3123" s="328"/>
      <c r="D3123" s="3990"/>
      <c r="E3123" s="4009"/>
      <c r="F3123" s="3010" t="str">
        <f>$E$1433</f>
        <v>ASHP-SEER16_ER1_SF</v>
      </c>
      <c r="G3123" s="2676"/>
      <c r="H3123" s="2676"/>
      <c r="I3123" s="2677"/>
      <c r="J3123" s="3298" t="str">
        <f>$C$1433</f>
        <v>352550_2021_12_</v>
      </c>
      <c r="K3123" s="2228">
        <v>16.110638297872342</v>
      </c>
      <c r="L3123" s="851"/>
      <c r="M3123" s="2723" t="s">
        <v>1005</v>
      </c>
      <c r="N3123" s="123"/>
      <c r="O3123" s="228"/>
      <c r="P3123" s="844"/>
      <c r="Q3123" s="844"/>
      <c r="R3123" s="844"/>
      <c r="S3123" s="832"/>
      <c r="T3123" s="3082"/>
      <c r="U3123" s="123"/>
      <c r="V3123" s="3990"/>
      <c r="W3123" s="2857">
        <v>16</v>
      </c>
      <c r="X3123" s="2857">
        <v>16</v>
      </c>
      <c r="Y3123" s="696">
        <v>16</v>
      </c>
      <c r="Z3123" s="696">
        <v>16</v>
      </c>
      <c r="AA3123" s="696">
        <v>16</v>
      </c>
      <c r="AB3123" s="2228">
        <v>16.354460093896712</v>
      </c>
      <c r="AC3123" s="2228">
        <v>16.110638297872342</v>
      </c>
      <c r="AD3123" s="2857"/>
      <c r="AE3123" s="2857"/>
      <c r="AF3123" s="2857"/>
      <c r="AG3123" s="2857"/>
      <c r="AH3123" s="1942"/>
      <c r="AI3123" s="1942"/>
      <c r="AJ3123" s="1942"/>
      <c r="AK3123" s="1942"/>
      <c r="AL3123" s="1942"/>
      <c r="AM3123" s="1942"/>
      <c r="AN3123" s="1942"/>
      <c r="AO3123" s="1942"/>
      <c r="AP3123" s="1942"/>
      <c r="AQ3123" s="1942"/>
      <c r="AR3123" s="1942"/>
      <c r="AS3123" s="1942"/>
      <c r="AT3123" s="1942"/>
      <c r="AU3123" s="1942"/>
      <c r="AV3123" s="1942"/>
      <c r="AW3123" s="1942"/>
      <c r="AX3123" s="1942"/>
      <c r="AY3123" s="1942"/>
      <c r="AZ3123" s="1942"/>
      <c r="BA3123" s="1942"/>
      <c r="BB3123" s="575"/>
      <c r="BC3123" s="576"/>
      <c r="BD3123" s="678"/>
      <c r="BE3123" s="585"/>
    </row>
    <row r="3124" spans="1:57" s="51" customFormat="1" ht="15" hidden="1" customHeight="1" outlineLevel="1" x14ac:dyDescent="0.25">
      <c r="A3124" s="2060"/>
      <c r="B3124" s="123"/>
      <c r="C3124" s="328"/>
      <c r="D3124" s="3990"/>
      <c r="E3124" s="4009"/>
      <c r="F3124" s="3010" t="str">
        <f>$E$1435</f>
        <v>ASHP-SEER16_ER2_SF</v>
      </c>
      <c r="G3124" s="2676"/>
      <c r="H3124" s="2676"/>
      <c r="I3124" s="2677"/>
      <c r="J3124" s="3298" t="str">
        <f>$C$1435</f>
        <v>352550_2021_12_</v>
      </c>
      <c r="K3124" s="2228">
        <f>K3123</f>
        <v>16.110638297872342</v>
      </c>
      <c r="L3124" s="851"/>
      <c r="M3124" s="2723" t="s">
        <v>1005</v>
      </c>
      <c r="N3124" s="123"/>
      <c r="O3124" s="228"/>
      <c r="P3124" s="844"/>
      <c r="Q3124" s="844"/>
      <c r="R3124" s="844"/>
      <c r="S3124" s="832"/>
      <c r="T3124" s="3082"/>
      <c r="U3124" s="123"/>
      <c r="V3124" s="3990"/>
      <c r="W3124" s="2857">
        <v>16</v>
      </c>
      <c r="X3124" s="2857">
        <v>16</v>
      </c>
      <c r="Y3124" s="696">
        <v>16</v>
      </c>
      <c r="Z3124" s="696">
        <v>16</v>
      </c>
      <c r="AA3124" s="696">
        <v>16</v>
      </c>
      <c r="AB3124" s="2228">
        <v>16.354460093896712</v>
      </c>
      <c r="AC3124" s="2228">
        <f>AC3123</f>
        <v>16.110638297872342</v>
      </c>
      <c r="AD3124" s="2857"/>
      <c r="AE3124" s="2857"/>
      <c r="AF3124" s="2857"/>
      <c r="AG3124" s="2857"/>
      <c r="AH3124" s="1942"/>
      <c r="AI3124" s="1942"/>
      <c r="AJ3124" s="1942"/>
      <c r="AK3124" s="1942"/>
      <c r="AL3124" s="1942"/>
      <c r="AM3124" s="1942"/>
      <c r="AN3124" s="1942"/>
      <c r="AO3124" s="1942"/>
      <c r="AP3124" s="1942"/>
      <c r="AQ3124" s="1942"/>
      <c r="AR3124" s="1942"/>
      <c r="AS3124" s="1942"/>
      <c r="AT3124" s="1942"/>
      <c r="AU3124" s="1942"/>
      <c r="AV3124" s="1942"/>
      <c r="AW3124" s="1942"/>
      <c r="AX3124" s="1942"/>
      <c r="AY3124" s="1942"/>
      <c r="AZ3124" s="1942"/>
      <c r="BA3124" s="1942"/>
      <c r="BB3124" s="575"/>
      <c r="BC3124" s="576"/>
      <c r="BD3124" s="678"/>
      <c r="BE3124" s="585"/>
    </row>
    <row r="3125" spans="1:57" s="51" customFormat="1" ht="15" hidden="1" customHeight="1" outlineLevel="1" x14ac:dyDescent="0.25">
      <c r="A3125" s="2060"/>
      <c r="B3125" s="123"/>
      <c r="C3125" s="328"/>
      <c r="D3125" s="3990"/>
      <c r="E3125" s="4009"/>
      <c r="F3125" s="3010" t="str">
        <f>$E$1437</f>
        <v>ASHP-SEER16-Replace_CAC_ElectricHeat_ROF_SF</v>
      </c>
      <c r="G3125" s="2676"/>
      <c r="H3125" s="2676"/>
      <c r="I3125" s="2677"/>
      <c r="J3125" s="3298" t="str">
        <f>$C$1437</f>
        <v>352600_2021_12_</v>
      </c>
      <c r="K3125" s="2228">
        <v>16.534177215189874</v>
      </c>
      <c r="L3125" s="851"/>
      <c r="M3125" s="2723" t="s">
        <v>1005</v>
      </c>
      <c r="N3125" s="123"/>
      <c r="O3125" s="228"/>
      <c r="P3125" s="844"/>
      <c r="Q3125" s="844"/>
      <c r="R3125" s="844"/>
      <c r="S3125" s="832"/>
      <c r="T3125" s="3082"/>
      <c r="U3125" s="123"/>
      <c r="V3125" s="3990"/>
      <c r="W3125" s="2857">
        <v>16</v>
      </c>
      <c r="X3125" s="2857">
        <v>16</v>
      </c>
      <c r="Y3125" s="696">
        <v>16</v>
      </c>
      <c r="Z3125" s="696">
        <v>16</v>
      </c>
      <c r="AA3125" s="696">
        <v>16</v>
      </c>
      <c r="AB3125" s="2228">
        <v>16.166666666666668</v>
      </c>
      <c r="AC3125" s="2228">
        <v>16.534177215189874</v>
      </c>
      <c r="AD3125" s="2857"/>
      <c r="AE3125" s="2857"/>
      <c r="AF3125" s="2857"/>
      <c r="AG3125" s="2857"/>
      <c r="AH3125" s="1942"/>
      <c r="AI3125" s="1942"/>
      <c r="AJ3125" s="1942"/>
      <c r="AK3125" s="1942"/>
      <c r="AL3125" s="1942"/>
      <c r="AM3125" s="1942"/>
      <c r="AN3125" s="1942"/>
      <c r="AO3125" s="1942"/>
      <c r="AP3125" s="1942"/>
      <c r="AQ3125" s="1942"/>
      <c r="AR3125" s="1942"/>
      <c r="AS3125" s="1942"/>
      <c r="AT3125" s="1942"/>
      <c r="AU3125" s="1942"/>
      <c r="AV3125" s="1942"/>
      <c r="AW3125" s="1942"/>
      <c r="AX3125" s="1942"/>
      <c r="AY3125" s="1942"/>
      <c r="AZ3125" s="1942"/>
      <c r="BA3125" s="1942"/>
      <c r="BB3125" s="575"/>
      <c r="BC3125" s="576"/>
      <c r="BD3125" s="678"/>
      <c r="BE3125" s="585"/>
    </row>
    <row r="3126" spans="1:57" s="51" customFormat="1" ht="15" hidden="1" customHeight="1" outlineLevel="1" x14ac:dyDescent="0.25">
      <c r="A3126" s="2060"/>
      <c r="B3126" s="123"/>
      <c r="C3126" s="328"/>
      <c r="D3126" s="3990"/>
      <c r="E3126" s="4009"/>
      <c r="F3126" s="3010" t="str">
        <f>$E$1439</f>
        <v>ASHP-SEER16_ROF_SF</v>
      </c>
      <c r="G3126" s="2676"/>
      <c r="H3126" s="2676"/>
      <c r="I3126" s="2677"/>
      <c r="J3126" s="3298" t="str">
        <f>$C$1439</f>
        <v>352650_2021_12_</v>
      </c>
      <c r="K3126" s="2228">
        <v>16.039473684210527</v>
      </c>
      <c r="L3126" s="851"/>
      <c r="M3126" s="2723" t="s">
        <v>1554</v>
      </c>
      <c r="N3126" s="123"/>
      <c r="O3126" s="228"/>
      <c r="P3126" s="844"/>
      <c r="Q3126" s="844"/>
      <c r="R3126" s="844"/>
      <c r="S3126" s="832"/>
      <c r="T3126" s="3082"/>
      <c r="U3126" s="123"/>
      <c r="V3126" s="3990"/>
      <c r="W3126" s="2857">
        <v>16</v>
      </c>
      <c r="X3126" s="2857">
        <v>16</v>
      </c>
      <c r="Y3126" s="696">
        <v>16</v>
      </c>
      <c r="Z3126" s="696">
        <v>16</v>
      </c>
      <c r="AA3126" s="696">
        <v>16</v>
      </c>
      <c r="AB3126" s="2282">
        <v>16</v>
      </c>
      <c r="AC3126" s="2228">
        <v>16.039473684210527</v>
      </c>
      <c r="AD3126" s="2857"/>
      <c r="AE3126" s="2857"/>
      <c r="AF3126" s="2857"/>
      <c r="AG3126" s="2857"/>
      <c r="AH3126" s="1942"/>
      <c r="AI3126" s="1942"/>
      <c r="AJ3126" s="1942"/>
      <c r="AK3126" s="1942"/>
      <c r="AL3126" s="1942"/>
      <c r="AM3126" s="1942"/>
      <c r="AN3126" s="1942"/>
      <c r="AO3126" s="1942"/>
      <c r="AP3126" s="1942"/>
      <c r="AQ3126" s="1942"/>
      <c r="AR3126" s="1942"/>
      <c r="AS3126" s="1942"/>
      <c r="AT3126" s="1942"/>
      <c r="AU3126" s="1942"/>
      <c r="AV3126" s="1942"/>
      <c r="AW3126" s="1942"/>
      <c r="AX3126" s="1942"/>
      <c r="AY3126" s="1942"/>
      <c r="AZ3126" s="1942"/>
      <c r="BA3126" s="1942"/>
      <c r="BB3126" s="575"/>
      <c r="BC3126" s="576"/>
      <c r="BD3126" s="678"/>
      <c r="BE3126" s="585"/>
    </row>
    <row r="3127" spans="1:57" s="51" customFormat="1" ht="15" hidden="1" customHeight="1" outlineLevel="1" x14ac:dyDescent="0.25">
      <c r="A3127" s="2060"/>
      <c r="B3127" s="123"/>
      <c r="C3127" s="328"/>
      <c r="D3127" s="3990"/>
      <c r="E3127" s="4009"/>
      <c r="F3127" s="3010" t="str">
        <f>$E$1441</f>
        <v>ASHP-SEER15_ER1_MF</v>
      </c>
      <c r="G3127" s="2676"/>
      <c r="H3127" s="2676"/>
      <c r="I3127" s="2677"/>
      <c r="J3127" s="3298" t="str">
        <f>$C$1441</f>
        <v>352700_2021_12_</v>
      </c>
      <c r="K3127" s="2228">
        <v>15.125</v>
      </c>
      <c r="L3127" s="851"/>
      <c r="M3127" s="2723" t="s">
        <v>1005</v>
      </c>
      <c r="N3127" s="123"/>
      <c r="O3127" s="228"/>
      <c r="P3127" s="844"/>
      <c r="Q3127" s="844"/>
      <c r="R3127" s="844"/>
      <c r="S3127" s="832"/>
      <c r="T3127" s="3082"/>
      <c r="U3127" s="123"/>
      <c r="V3127" s="3990"/>
      <c r="W3127" s="2857">
        <v>15.1</v>
      </c>
      <c r="X3127" s="2857">
        <v>15.1</v>
      </c>
      <c r="Y3127" s="696">
        <v>15.1</v>
      </c>
      <c r="Z3127" s="696">
        <v>15.1</v>
      </c>
      <c r="AA3127" s="696">
        <v>15.1</v>
      </c>
      <c r="AB3127" s="2228">
        <v>15.125</v>
      </c>
      <c r="AC3127" s="2228">
        <v>15.125</v>
      </c>
      <c r="AD3127" s="2857"/>
      <c r="AE3127" s="2857"/>
      <c r="AF3127" s="2857"/>
      <c r="AG3127" s="2857"/>
      <c r="AH3127" s="1942"/>
      <c r="AI3127" s="1942"/>
      <c r="AJ3127" s="1942"/>
      <c r="AK3127" s="1942"/>
      <c r="AL3127" s="1942"/>
      <c r="AM3127" s="1942"/>
      <c r="AN3127" s="1942"/>
      <c r="AO3127" s="1942"/>
      <c r="AP3127" s="1942"/>
      <c r="AQ3127" s="1942"/>
      <c r="AR3127" s="1942"/>
      <c r="AS3127" s="1942"/>
      <c r="AT3127" s="1942"/>
      <c r="AU3127" s="1942"/>
      <c r="AV3127" s="1942"/>
      <c r="AW3127" s="1942"/>
      <c r="AX3127" s="1942"/>
      <c r="AY3127" s="1942"/>
      <c r="AZ3127" s="1942"/>
      <c r="BA3127" s="1942"/>
      <c r="BB3127" s="575"/>
      <c r="BC3127" s="576"/>
      <c r="BD3127" s="678"/>
      <c r="BE3127" s="585"/>
    </row>
    <row r="3128" spans="1:57" s="51" customFormat="1" ht="15" hidden="1" customHeight="1" outlineLevel="1" x14ac:dyDescent="0.25">
      <c r="A3128" s="2060"/>
      <c r="B3128" s="123"/>
      <c r="C3128" s="328"/>
      <c r="D3128" s="3990"/>
      <c r="E3128" s="4009"/>
      <c r="F3128" s="3010" t="str">
        <f>$E$1443</f>
        <v>ASHP-SEER15_ER2_MF</v>
      </c>
      <c r="G3128" s="2676"/>
      <c r="H3128" s="2676"/>
      <c r="I3128" s="2677"/>
      <c r="J3128" s="3298" t="str">
        <f>$C$1443</f>
        <v>352700_2021_12_</v>
      </c>
      <c r="K3128" s="2228">
        <f>K3127</f>
        <v>15.125</v>
      </c>
      <c r="L3128" s="851"/>
      <c r="M3128" s="2723" t="s">
        <v>1005</v>
      </c>
      <c r="N3128" s="123"/>
      <c r="O3128" s="228"/>
      <c r="P3128" s="844"/>
      <c r="Q3128" s="844"/>
      <c r="R3128" s="844"/>
      <c r="S3128" s="832"/>
      <c r="T3128" s="3082"/>
      <c r="U3128" s="123"/>
      <c r="V3128" s="3990"/>
      <c r="W3128" s="2857">
        <v>15.1</v>
      </c>
      <c r="X3128" s="2857">
        <v>15.1</v>
      </c>
      <c r="Y3128" s="696">
        <v>15.1</v>
      </c>
      <c r="Z3128" s="696">
        <v>15.1</v>
      </c>
      <c r="AA3128" s="696">
        <v>15.1</v>
      </c>
      <c r="AB3128" s="2228">
        <v>15.125</v>
      </c>
      <c r="AC3128" s="2228">
        <f>AC3127</f>
        <v>15.125</v>
      </c>
      <c r="AD3128" s="2857"/>
      <c r="AE3128" s="2857"/>
      <c r="AF3128" s="2857"/>
      <c r="AG3128" s="2857"/>
      <c r="AH3128" s="1942"/>
      <c r="AI3128" s="1942"/>
      <c r="AJ3128" s="1942"/>
      <c r="AK3128" s="1942"/>
      <c r="AL3128" s="1942"/>
      <c r="AM3128" s="1942"/>
      <c r="AN3128" s="1942"/>
      <c r="AO3128" s="1942"/>
      <c r="AP3128" s="1942"/>
      <c r="AQ3128" s="1942"/>
      <c r="AR3128" s="1942"/>
      <c r="AS3128" s="1942"/>
      <c r="AT3128" s="1942"/>
      <c r="AU3128" s="1942"/>
      <c r="AV3128" s="1942"/>
      <c r="AW3128" s="1942"/>
      <c r="AX3128" s="1942"/>
      <c r="AY3128" s="1942"/>
      <c r="AZ3128" s="1942"/>
      <c r="BA3128" s="1942"/>
      <c r="BB3128" s="575"/>
      <c r="BC3128" s="576"/>
      <c r="BD3128" s="678"/>
      <c r="BE3128" s="585"/>
    </row>
    <row r="3129" spans="1:57" s="51" customFormat="1" ht="15" hidden="1" customHeight="1" outlineLevel="1" x14ac:dyDescent="0.25">
      <c r="A3129" s="2060"/>
      <c r="B3129" s="123"/>
      <c r="C3129" s="328"/>
      <c r="D3129" s="3990"/>
      <c r="E3129" s="4009"/>
      <c r="F3129" s="3010" t="str">
        <f>$E$1445</f>
        <v>ASHP-SEER15_ER1_MF_CompE</v>
      </c>
      <c r="G3129" s="2676"/>
      <c r="H3129" s="2676"/>
      <c r="I3129" s="2677"/>
      <c r="J3129" s="3298" t="str">
        <f>$C$1445</f>
        <v>352701_2021_12_</v>
      </c>
      <c r="K3129" s="2282">
        <f>K3128</f>
        <v>15.125</v>
      </c>
      <c r="L3129" s="851"/>
      <c r="M3129" s="2278" t="s">
        <v>1125</v>
      </c>
      <c r="N3129" s="123"/>
      <c r="O3129" s="228"/>
      <c r="P3129" s="844"/>
      <c r="Q3129" s="844"/>
      <c r="R3129" s="844"/>
      <c r="S3129" s="832"/>
      <c r="T3129" s="3082"/>
      <c r="U3129" s="123"/>
      <c r="V3129" s="3990"/>
      <c r="W3129" s="2857"/>
      <c r="X3129" s="2857"/>
      <c r="Y3129" s="3158">
        <v>15.1</v>
      </c>
      <c r="Z3129" s="696">
        <v>15.1</v>
      </c>
      <c r="AA3129" s="696">
        <v>15.1</v>
      </c>
      <c r="AB3129" s="2228">
        <v>15.125</v>
      </c>
      <c r="AC3129" s="2282">
        <f>AC3128</f>
        <v>15.125</v>
      </c>
      <c r="AD3129" s="2857"/>
      <c r="AE3129" s="2857"/>
      <c r="AF3129" s="2857"/>
      <c r="AG3129" s="2857"/>
      <c r="AH3129" s="1942"/>
      <c r="AI3129" s="1942"/>
      <c r="AJ3129" s="1942"/>
      <c r="AK3129" s="1942"/>
      <c r="AL3129" s="1942"/>
      <c r="AM3129" s="1942"/>
      <c r="AN3129" s="1942"/>
      <c r="AO3129" s="1942"/>
      <c r="AP3129" s="1942"/>
      <c r="AQ3129" s="1942"/>
      <c r="AR3129" s="1942"/>
      <c r="AS3129" s="1942"/>
      <c r="AT3129" s="1942"/>
      <c r="AU3129" s="1942"/>
      <c r="AV3129" s="1942"/>
      <c r="AW3129" s="1942"/>
      <c r="AX3129" s="1942"/>
      <c r="AY3129" s="1942"/>
      <c r="AZ3129" s="1942"/>
      <c r="BA3129" s="1942"/>
      <c r="BB3129" s="575"/>
      <c r="BC3129" s="576"/>
      <c r="BD3129" s="678"/>
      <c r="BE3129" s="585"/>
    </row>
    <row r="3130" spans="1:57" s="51" customFormat="1" ht="15" hidden="1" customHeight="1" outlineLevel="1" x14ac:dyDescent="0.25">
      <c r="A3130" s="2060"/>
      <c r="B3130" s="123"/>
      <c r="C3130" s="328"/>
      <c r="D3130" s="3990"/>
      <c r="E3130" s="4009"/>
      <c r="F3130" s="3010" t="str">
        <f>$E$1447</f>
        <v>ASHP-SEER15_ER2_MF_CompE</v>
      </c>
      <c r="G3130" s="2676"/>
      <c r="H3130" s="2676"/>
      <c r="I3130" s="2677"/>
      <c r="J3130" s="3298" t="str">
        <f>$C$1447</f>
        <v>352701_2021_12_</v>
      </c>
      <c r="K3130" s="2282">
        <f>K3129</f>
        <v>15.125</v>
      </c>
      <c r="L3130" s="851"/>
      <c r="M3130" s="2278" t="s">
        <v>1125</v>
      </c>
      <c r="N3130" s="123"/>
      <c r="O3130" s="228"/>
      <c r="P3130" s="844"/>
      <c r="Q3130" s="844"/>
      <c r="R3130" s="844"/>
      <c r="S3130" s="832"/>
      <c r="T3130" s="3082"/>
      <c r="U3130" s="123"/>
      <c r="V3130" s="3990"/>
      <c r="W3130" s="2857"/>
      <c r="X3130" s="2857"/>
      <c r="Y3130" s="3158">
        <v>15.1</v>
      </c>
      <c r="Z3130" s="696">
        <v>15.1</v>
      </c>
      <c r="AA3130" s="696">
        <v>15.1</v>
      </c>
      <c r="AB3130" s="2228">
        <v>15.125</v>
      </c>
      <c r="AC3130" s="2282">
        <f>AC3129</f>
        <v>15.125</v>
      </c>
      <c r="AD3130" s="2857"/>
      <c r="AE3130" s="2857"/>
      <c r="AF3130" s="2857"/>
      <c r="AG3130" s="2857"/>
      <c r="AH3130" s="1942"/>
      <c r="AI3130" s="1942"/>
      <c r="AJ3130" s="1942"/>
      <c r="AK3130" s="1942"/>
      <c r="AL3130" s="1942"/>
      <c r="AM3130" s="1942"/>
      <c r="AN3130" s="1942"/>
      <c r="AO3130" s="1942"/>
      <c r="AP3130" s="1942"/>
      <c r="AQ3130" s="1942"/>
      <c r="AR3130" s="1942"/>
      <c r="AS3130" s="1942"/>
      <c r="AT3130" s="1942"/>
      <c r="AU3130" s="1942"/>
      <c r="AV3130" s="1942"/>
      <c r="AW3130" s="1942"/>
      <c r="AX3130" s="1942"/>
      <c r="AY3130" s="1942"/>
      <c r="AZ3130" s="1942"/>
      <c r="BA3130" s="1942"/>
      <c r="BB3130" s="575"/>
      <c r="BC3130" s="576"/>
      <c r="BD3130" s="678"/>
      <c r="BE3130" s="585"/>
    </row>
    <row r="3131" spans="1:57" s="51" customFormat="1" ht="15" hidden="1" customHeight="1" outlineLevel="1" x14ac:dyDescent="0.25">
      <c r="A3131" s="2060"/>
      <c r="B3131" s="123"/>
      <c r="C3131" s="328"/>
      <c r="D3131" s="3990"/>
      <c r="E3131" s="4009"/>
      <c r="F3131" s="3010" t="str">
        <f>$E$1449</f>
        <v>ASHP-SEER15-Replace_CAC_ElectricHeat_ER1_MF</v>
      </c>
      <c r="G3131" s="2676"/>
      <c r="H3131" s="2676"/>
      <c r="I3131" s="2677"/>
      <c r="J3131" s="3298" t="str">
        <f>$C$1449</f>
        <v>352750_2021_12_</v>
      </c>
      <c r="K3131" s="2228">
        <v>15.375</v>
      </c>
      <c r="L3131" s="851"/>
      <c r="M3131" s="2723" t="s">
        <v>1005</v>
      </c>
      <c r="N3131" s="123"/>
      <c r="O3131" s="228"/>
      <c r="P3131" s="844"/>
      <c r="Q3131" s="844"/>
      <c r="R3131" s="844"/>
      <c r="S3131" s="832"/>
      <c r="T3131" s="3082"/>
      <c r="U3131" s="123"/>
      <c r="V3131" s="3990"/>
      <c r="W3131" s="2857">
        <v>15.1</v>
      </c>
      <c r="X3131" s="2857">
        <v>15.1</v>
      </c>
      <c r="Y3131" s="696">
        <v>15.1</v>
      </c>
      <c r="Z3131" s="696">
        <v>15.1</v>
      </c>
      <c r="AA3131" s="696">
        <v>15.1</v>
      </c>
      <c r="AB3131" s="2228">
        <v>15.25</v>
      </c>
      <c r="AC3131" s="2228">
        <v>15.375</v>
      </c>
      <c r="AD3131" s="2857"/>
      <c r="AE3131" s="2857"/>
      <c r="AF3131" s="2857"/>
      <c r="AG3131" s="2857"/>
      <c r="AH3131" s="1942"/>
      <c r="AI3131" s="1942"/>
      <c r="AJ3131" s="1942"/>
      <c r="AK3131" s="1942"/>
      <c r="AL3131" s="1942"/>
      <c r="AM3131" s="1942"/>
      <c r="AN3131" s="1942"/>
      <c r="AO3131" s="1942"/>
      <c r="AP3131" s="1942"/>
      <c r="AQ3131" s="1942"/>
      <c r="AR3131" s="1942"/>
      <c r="AS3131" s="1942"/>
      <c r="AT3131" s="1942"/>
      <c r="AU3131" s="1942"/>
      <c r="AV3131" s="1942"/>
      <c r="AW3131" s="1942"/>
      <c r="AX3131" s="1942"/>
      <c r="AY3131" s="1942"/>
      <c r="AZ3131" s="1942"/>
      <c r="BA3131" s="1942"/>
      <c r="BB3131" s="575"/>
      <c r="BC3131" s="576"/>
      <c r="BD3131" s="678"/>
      <c r="BE3131" s="585"/>
    </row>
    <row r="3132" spans="1:57" s="51" customFormat="1" ht="15" hidden="1" customHeight="1" outlineLevel="1" x14ac:dyDescent="0.25">
      <c r="A3132" s="2060"/>
      <c r="B3132" s="123"/>
      <c r="C3132" s="328"/>
      <c r="D3132" s="3990"/>
      <c r="E3132" s="4009"/>
      <c r="F3132" s="3010" t="str">
        <f>$E$1451</f>
        <v>ASHP-SEER15-Replace_CAC_ElectricHeat_ER2_MF</v>
      </c>
      <c r="G3132" s="2676"/>
      <c r="H3132" s="2676"/>
      <c r="I3132" s="2677"/>
      <c r="J3132" s="3298" t="str">
        <f>$C$1451</f>
        <v>352750_2021_12_</v>
      </c>
      <c r="K3132" s="2228">
        <f>K3131</f>
        <v>15.375</v>
      </c>
      <c r="L3132" s="851"/>
      <c r="M3132" s="2723" t="s">
        <v>1005</v>
      </c>
      <c r="N3132" s="123"/>
      <c r="O3132" s="228"/>
      <c r="P3132" s="844"/>
      <c r="Q3132" s="844"/>
      <c r="R3132" s="844"/>
      <c r="S3132" s="832"/>
      <c r="T3132" s="3082"/>
      <c r="U3132" s="123"/>
      <c r="V3132" s="3990"/>
      <c r="W3132" s="2857">
        <v>15.1</v>
      </c>
      <c r="X3132" s="2857">
        <v>15.1</v>
      </c>
      <c r="Y3132" s="696">
        <v>15.1</v>
      </c>
      <c r="Z3132" s="696">
        <v>15.1</v>
      </c>
      <c r="AA3132" s="696">
        <v>15.1</v>
      </c>
      <c r="AB3132" s="2228">
        <v>15.1</v>
      </c>
      <c r="AC3132" s="2228">
        <f>AC3131</f>
        <v>15.375</v>
      </c>
      <c r="AD3132" s="2857"/>
      <c r="AE3132" s="2857"/>
      <c r="AF3132" s="2857"/>
      <c r="AG3132" s="2857"/>
      <c r="AH3132" s="1942"/>
      <c r="AI3132" s="1942"/>
      <c r="AJ3132" s="1942"/>
      <c r="AK3132" s="1942"/>
      <c r="AL3132" s="1942"/>
      <c r="AM3132" s="1942"/>
      <c r="AN3132" s="1942"/>
      <c r="AO3132" s="1942"/>
      <c r="AP3132" s="1942"/>
      <c r="AQ3132" s="1942"/>
      <c r="AR3132" s="1942"/>
      <c r="AS3132" s="1942"/>
      <c r="AT3132" s="1942"/>
      <c r="AU3132" s="1942"/>
      <c r="AV3132" s="1942"/>
      <c r="AW3132" s="1942"/>
      <c r="AX3132" s="1942"/>
      <c r="AY3132" s="1942"/>
      <c r="AZ3132" s="1942"/>
      <c r="BA3132" s="1942"/>
      <c r="BB3132" s="575"/>
      <c r="BC3132" s="576"/>
      <c r="BD3132" s="678"/>
      <c r="BE3132" s="585"/>
    </row>
    <row r="3133" spans="1:57" s="51" customFormat="1" ht="15" hidden="1" customHeight="1" outlineLevel="1" x14ac:dyDescent="0.25">
      <c r="A3133" s="2060"/>
      <c r="B3133" s="123"/>
      <c r="C3133" s="328"/>
      <c r="D3133" s="3990"/>
      <c r="E3133" s="4009"/>
      <c r="F3133" s="3010" t="str">
        <f>$E$1453</f>
        <v>ASHP-SEER15-Replace_CAC_ElectricHeat_ER1_MF_CompE</v>
      </c>
      <c r="G3133" s="2676"/>
      <c r="H3133" s="2676"/>
      <c r="I3133" s="2677"/>
      <c r="J3133" s="3298" t="str">
        <f>$C$1453</f>
        <v>352751_2021_12_</v>
      </c>
      <c r="K3133" s="2282">
        <v>15.1</v>
      </c>
      <c r="L3133" s="851"/>
      <c r="M3133" s="2278" t="s">
        <v>1125</v>
      </c>
      <c r="N3133" s="123"/>
      <c r="O3133" s="228"/>
      <c r="P3133" s="844"/>
      <c r="Q3133" s="844"/>
      <c r="R3133" s="844"/>
      <c r="S3133" s="832"/>
      <c r="T3133" s="3082"/>
      <c r="U3133" s="123"/>
      <c r="V3133" s="3990"/>
      <c r="W3133" s="2857"/>
      <c r="X3133" s="2857"/>
      <c r="Y3133" s="3158">
        <v>15.1</v>
      </c>
      <c r="Z3133" s="696">
        <v>15.1</v>
      </c>
      <c r="AA3133" s="696">
        <v>15.1</v>
      </c>
      <c r="AB3133" s="2228">
        <v>15.1</v>
      </c>
      <c r="AC3133" s="2282">
        <v>15.1</v>
      </c>
      <c r="AD3133" s="2857"/>
      <c r="AE3133" s="2857"/>
      <c r="AF3133" s="2857"/>
      <c r="AG3133" s="2857"/>
      <c r="AH3133" s="1942"/>
      <c r="AI3133" s="1942"/>
      <c r="AJ3133" s="1942"/>
      <c r="AK3133" s="1942"/>
      <c r="AL3133" s="1942"/>
      <c r="AM3133" s="1942"/>
      <c r="AN3133" s="1942"/>
      <c r="AO3133" s="1942"/>
      <c r="AP3133" s="1942"/>
      <c r="AQ3133" s="1942"/>
      <c r="AR3133" s="1942"/>
      <c r="AS3133" s="1942"/>
      <c r="AT3133" s="1942"/>
      <c r="AU3133" s="1942"/>
      <c r="AV3133" s="1942"/>
      <c r="AW3133" s="1942"/>
      <c r="AX3133" s="1942"/>
      <c r="AY3133" s="1942"/>
      <c r="AZ3133" s="1942"/>
      <c r="BA3133" s="1942"/>
      <c r="BB3133" s="575"/>
      <c r="BC3133" s="576"/>
      <c r="BD3133" s="678"/>
      <c r="BE3133" s="585"/>
    </row>
    <row r="3134" spans="1:57" s="51" customFormat="1" ht="15" hidden="1" customHeight="1" outlineLevel="1" x14ac:dyDescent="0.25">
      <c r="A3134" s="2060"/>
      <c r="B3134" s="123"/>
      <c r="C3134" s="328"/>
      <c r="D3134" s="3990"/>
      <c r="E3134" s="4009"/>
      <c r="F3134" s="3010" t="str">
        <f>$E$1455</f>
        <v>ASHP-SEER15-Replace_CAC_ElectricHeat_ER2_MF_CompE</v>
      </c>
      <c r="G3134" s="2676"/>
      <c r="H3134" s="2676"/>
      <c r="I3134" s="2677"/>
      <c r="J3134" s="3298" t="str">
        <f>$C$1455</f>
        <v>352751_2021_12_</v>
      </c>
      <c r="K3134" s="2282">
        <v>15.1</v>
      </c>
      <c r="L3134" s="851"/>
      <c r="M3134" s="2278" t="s">
        <v>1125</v>
      </c>
      <c r="N3134" s="123"/>
      <c r="O3134" s="228"/>
      <c r="P3134" s="844"/>
      <c r="Q3134" s="844"/>
      <c r="R3134" s="844"/>
      <c r="S3134" s="832"/>
      <c r="T3134" s="3082"/>
      <c r="U3134" s="123"/>
      <c r="V3134" s="3990"/>
      <c r="W3134" s="2857"/>
      <c r="X3134" s="2857"/>
      <c r="Y3134" s="3158">
        <v>15.1</v>
      </c>
      <c r="Z3134" s="696">
        <v>15.1</v>
      </c>
      <c r="AA3134" s="696">
        <v>15.1</v>
      </c>
      <c r="AB3134" s="2228">
        <v>15.1</v>
      </c>
      <c r="AC3134" s="2282">
        <v>15.1</v>
      </c>
      <c r="AD3134" s="2857"/>
      <c r="AE3134" s="2857"/>
      <c r="AF3134" s="2857"/>
      <c r="AG3134" s="2857"/>
      <c r="AH3134" s="1942"/>
      <c r="AI3134" s="1942"/>
      <c r="AJ3134" s="1942"/>
      <c r="AK3134" s="1942"/>
      <c r="AL3134" s="1942"/>
      <c r="AM3134" s="1942"/>
      <c r="AN3134" s="1942"/>
      <c r="AO3134" s="1942"/>
      <c r="AP3134" s="1942"/>
      <c r="AQ3134" s="1942"/>
      <c r="AR3134" s="1942"/>
      <c r="AS3134" s="1942"/>
      <c r="AT3134" s="1942"/>
      <c r="AU3134" s="1942"/>
      <c r="AV3134" s="1942"/>
      <c r="AW3134" s="1942"/>
      <c r="AX3134" s="1942"/>
      <c r="AY3134" s="1942"/>
      <c r="AZ3134" s="1942"/>
      <c r="BA3134" s="1942"/>
      <c r="BB3134" s="575"/>
      <c r="BC3134" s="576"/>
      <c r="BD3134" s="678"/>
      <c r="BE3134" s="585"/>
    </row>
    <row r="3135" spans="1:57" s="1942" customFormat="1" ht="15" hidden="1" customHeight="1" outlineLevel="1" x14ac:dyDescent="0.25">
      <c r="A3135" s="2060"/>
      <c r="B3135" s="123"/>
      <c r="C3135" s="328"/>
      <c r="D3135" s="3990"/>
      <c r="E3135" s="4009"/>
      <c r="F3135" s="3010" t="str">
        <f>$E$1457</f>
        <v>ASHP-SEER15-Replace_CAC_NonElectricHeat_ER1_MF</v>
      </c>
      <c r="G3135" s="2676"/>
      <c r="H3135" s="2676"/>
      <c r="I3135" s="2677"/>
      <c r="J3135" s="3298" t="str">
        <f>$C$1457</f>
        <v>352760_2021_12_</v>
      </c>
      <c r="K3135" s="2228">
        <v>15.375</v>
      </c>
      <c r="L3135" s="851"/>
      <c r="M3135" s="2723" t="s">
        <v>1125</v>
      </c>
      <c r="N3135" s="123"/>
      <c r="O3135" s="228"/>
      <c r="P3135" s="844"/>
      <c r="Q3135" s="844"/>
      <c r="R3135" s="844"/>
      <c r="S3135" s="832"/>
      <c r="T3135" s="3082"/>
      <c r="U3135" s="123"/>
      <c r="V3135" s="3990"/>
      <c r="W3135" s="2857"/>
      <c r="X3135" s="2857"/>
      <c r="Y3135" s="3158"/>
      <c r="Z3135" s="696"/>
      <c r="AA3135" s="696"/>
      <c r="AB3135" s="2228"/>
      <c r="AC3135" s="2228">
        <v>15.375</v>
      </c>
      <c r="AD3135" s="2857"/>
      <c r="AE3135" s="2857"/>
      <c r="AF3135" s="2857"/>
      <c r="AG3135" s="2857"/>
      <c r="BB3135" s="575"/>
      <c r="BC3135" s="576"/>
      <c r="BD3135" s="678"/>
      <c r="BE3135" s="585"/>
    </row>
    <row r="3136" spans="1:57" s="1942" customFormat="1" ht="15" hidden="1" customHeight="1" outlineLevel="1" x14ac:dyDescent="0.25">
      <c r="A3136" s="2060"/>
      <c r="B3136" s="123"/>
      <c r="C3136" s="328"/>
      <c r="D3136" s="3990"/>
      <c r="E3136" s="4009"/>
      <c r="F3136" s="3010" t="str">
        <f>$E$1459</f>
        <v>ASHP-SEER15-Replace_CAC_NonElectricHeat_ER2_MF</v>
      </c>
      <c r="G3136" s="2676"/>
      <c r="H3136" s="2676"/>
      <c r="I3136" s="2677"/>
      <c r="J3136" s="3298" t="str">
        <f>$C$1459</f>
        <v>352760_2021_12_</v>
      </c>
      <c r="K3136" s="2228">
        <f>K3135</f>
        <v>15.375</v>
      </c>
      <c r="L3136" s="851"/>
      <c r="M3136" s="2723" t="s">
        <v>1125</v>
      </c>
      <c r="N3136" s="123"/>
      <c r="O3136" s="228"/>
      <c r="P3136" s="844"/>
      <c r="Q3136" s="844"/>
      <c r="R3136" s="844"/>
      <c r="S3136" s="832"/>
      <c r="T3136" s="3082"/>
      <c r="U3136" s="123"/>
      <c r="V3136" s="3990"/>
      <c r="W3136" s="2857"/>
      <c r="X3136" s="2857"/>
      <c r="Y3136" s="3158"/>
      <c r="Z3136" s="696"/>
      <c r="AA3136" s="696"/>
      <c r="AB3136" s="2228"/>
      <c r="AC3136" s="2228">
        <f>AC3135</f>
        <v>15.375</v>
      </c>
      <c r="AD3136" s="2857"/>
      <c r="AE3136" s="2857"/>
      <c r="AF3136" s="2857"/>
      <c r="AG3136" s="2857"/>
      <c r="BB3136" s="575"/>
      <c r="BC3136" s="576"/>
      <c r="BD3136" s="678"/>
      <c r="BE3136" s="585"/>
    </row>
    <row r="3137" spans="1:57" s="1942" customFormat="1" ht="15" hidden="1" customHeight="1" outlineLevel="1" x14ac:dyDescent="0.25">
      <c r="A3137" s="2060"/>
      <c r="B3137" s="123"/>
      <c r="C3137" s="328"/>
      <c r="D3137" s="3990"/>
      <c r="E3137" s="4009"/>
      <c r="F3137" s="3010" t="str">
        <f>$E$1461</f>
        <v>ASHP-SEER15-Replace_CAC_NonElectricHeat_ER1_MF_CompE</v>
      </c>
      <c r="G3137" s="2676"/>
      <c r="H3137" s="2676"/>
      <c r="I3137" s="2677"/>
      <c r="J3137" s="3298" t="str">
        <f>$C$1461</f>
        <v>352761_2021_12_</v>
      </c>
      <c r="K3137" s="2228">
        <v>15.1</v>
      </c>
      <c r="L3137" s="851"/>
      <c r="M3137" s="2723" t="s">
        <v>1125</v>
      </c>
      <c r="N3137" s="123"/>
      <c r="O3137" s="228"/>
      <c r="P3137" s="844"/>
      <c r="Q3137" s="844"/>
      <c r="R3137" s="844"/>
      <c r="S3137" s="832"/>
      <c r="T3137" s="3082"/>
      <c r="U3137" s="123"/>
      <c r="V3137" s="3990"/>
      <c r="W3137" s="2857"/>
      <c r="X3137" s="2857"/>
      <c r="Y3137" s="3158"/>
      <c r="Z3137" s="696"/>
      <c r="AA3137" s="696"/>
      <c r="AB3137" s="2228"/>
      <c r="AC3137" s="2228">
        <v>15.1</v>
      </c>
      <c r="AD3137" s="2857"/>
      <c r="AE3137" s="2857"/>
      <c r="AF3137" s="2857"/>
      <c r="AG3137" s="2857"/>
      <c r="BB3137" s="575"/>
      <c r="BC3137" s="576"/>
      <c r="BD3137" s="678"/>
      <c r="BE3137" s="585"/>
    </row>
    <row r="3138" spans="1:57" s="1942" customFormat="1" ht="15" hidden="1" customHeight="1" outlineLevel="1" x14ac:dyDescent="0.25">
      <c r="A3138" s="2060"/>
      <c r="B3138" s="123"/>
      <c r="C3138" s="328"/>
      <c r="D3138" s="3990"/>
      <c r="E3138" s="4009"/>
      <c r="F3138" s="3010" t="str">
        <f>$E$1463</f>
        <v>ASHP-SEER15-Replace_CAC_NonElectricHeat_ER2_MF_CompE</v>
      </c>
      <c r="G3138" s="2676"/>
      <c r="H3138" s="2676"/>
      <c r="I3138" s="2677"/>
      <c r="J3138" s="3298" t="str">
        <f>$C$1463</f>
        <v>352761_2021_12_</v>
      </c>
      <c r="K3138" s="2228">
        <v>15.1</v>
      </c>
      <c r="L3138" s="851"/>
      <c r="M3138" s="2723" t="s">
        <v>1125</v>
      </c>
      <c r="N3138" s="123"/>
      <c r="O3138" s="228"/>
      <c r="P3138" s="844"/>
      <c r="Q3138" s="844"/>
      <c r="R3138" s="844"/>
      <c r="S3138" s="832"/>
      <c r="T3138" s="3082"/>
      <c r="U3138" s="123"/>
      <c r="V3138" s="3990"/>
      <c r="W3138" s="2857"/>
      <c r="X3138" s="2857"/>
      <c r="Y3138" s="3158"/>
      <c r="Z3138" s="696"/>
      <c r="AA3138" s="696"/>
      <c r="AB3138" s="2228"/>
      <c r="AC3138" s="2228">
        <v>15.1</v>
      </c>
      <c r="AD3138" s="2857"/>
      <c r="AE3138" s="2857"/>
      <c r="AF3138" s="2857"/>
      <c r="AG3138" s="2857"/>
      <c r="BB3138" s="575"/>
      <c r="BC3138" s="576"/>
      <c r="BD3138" s="678"/>
      <c r="BE3138" s="585"/>
    </row>
    <row r="3139" spans="1:57" s="51" customFormat="1" ht="15" hidden="1" customHeight="1" outlineLevel="1" x14ac:dyDescent="0.25">
      <c r="A3139" s="2060"/>
      <c r="B3139" s="123"/>
      <c r="C3139" s="328"/>
      <c r="D3139" s="3990"/>
      <c r="E3139" s="4009"/>
      <c r="F3139" s="3010" t="str">
        <f>$E$1465</f>
        <v>ASHP-SEER15-Replace_CAC_ElectricHeat_ROF_MF</v>
      </c>
      <c r="G3139" s="2676"/>
      <c r="H3139" s="2676"/>
      <c r="I3139" s="2677"/>
      <c r="J3139" s="3299" t="str">
        <f>$C$1465</f>
        <v>352800_2019_12_</v>
      </c>
      <c r="K3139" s="2282">
        <v>15.2</v>
      </c>
      <c r="L3139" s="851"/>
      <c r="M3139" s="2278" t="s">
        <v>1149</v>
      </c>
      <c r="N3139" s="123"/>
      <c r="O3139" s="228"/>
      <c r="P3139" s="844"/>
      <c r="Q3139" s="844"/>
      <c r="R3139" s="844"/>
      <c r="S3139" s="832"/>
      <c r="T3139" s="3082"/>
      <c r="U3139" s="123"/>
      <c r="V3139" s="3990"/>
      <c r="W3139" s="2857">
        <v>15.2</v>
      </c>
      <c r="X3139" s="2857">
        <v>15.2</v>
      </c>
      <c r="Y3139" s="696">
        <v>15.2</v>
      </c>
      <c r="Z3139" s="696">
        <v>15.2</v>
      </c>
      <c r="AA3139" s="696">
        <v>15.2</v>
      </c>
      <c r="AB3139" s="2282">
        <v>15.2</v>
      </c>
      <c r="AC3139" s="2282">
        <v>15.2</v>
      </c>
      <c r="AD3139" s="2857"/>
      <c r="AE3139" s="2857"/>
      <c r="AF3139" s="2857"/>
      <c r="AG3139" s="2857"/>
      <c r="AH3139" s="1942"/>
      <c r="AI3139" s="1942"/>
      <c r="AJ3139" s="1942"/>
      <c r="AK3139" s="1942"/>
      <c r="AL3139" s="1942"/>
      <c r="AM3139" s="1942"/>
      <c r="AN3139" s="1942"/>
      <c r="AO3139" s="1942"/>
      <c r="AP3139" s="1942"/>
      <c r="AQ3139" s="1942"/>
      <c r="AR3139" s="1942"/>
      <c r="AS3139" s="1942"/>
      <c r="AT3139" s="1942"/>
      <c r="AU3139" s="1942"/>
      <c r="AV3139" s="1942"/>
      <c r="AW3139" s="1942"/>
      <c r="AX3139" s="1942"/>
      <c r="AY3139" s="1942"/>
      <c r="AZ3139" s="1942"/>
      <c r="BA3139" s="1942"/>
      <c r="BB3139" s="575"/>
      <c r="BC3139" s="576"/>
      <c r="BD3139" s="678"/>
      <c r="BE3139" s="585"/>
    </row>
    <row r="3140" spans="1:57" s="51" customFormat="1" ht="15" hidden="1" customHeight="1" outlineLevel="1" x14ac:dyDescent="0.25">
      <c r="A3140" s="2060"/>
      <c r="B3140" s="123"/>
      <c r="C3140" s="328"/>
      <c r="D3140" s="3990"/>
      <c r="E3140" s="4009"/>
      <c r="F3140" s="3010" t="str">
        <f>$E$1467</f>
        <v>ASHP-SEER15-Replace_CAC_ElectricHeat_ROF_MF_CompE</v>
      </c>
      <c r="G3140" s="2676"/>
      <c r="H3140" s="2676"/>
      <c r="I3140" s="2677"/>
      <c r="J3140" s="3299" t="str">
        <f>$C$1467</f>
        <v>352801_2021_12_</v>
      </c>
      <c r="K3140" s="2282">
        <v>15.2</v>
      </c>
      <c r="L3140" s="851"/>
      <c r="M3140" s="2723" t="s">
        <v>1125</v>
      </c>
      <c r="N3140" s="123"/>
      <c r="O3140" s="228"/>
      <c r="P3140" s="844"/>
      <c r="Q3140" s="844"/>
      <c r="R3140" s="844"/>
      <c r="S3140" s="832"/>
      <c r="T3140" s="3082"/>
      <c r="U3140" s="123"/>
      <c r="V3140" s="3990"/>
      <c r="W3140" s="2857"/>
      <c r="X3140" s="2857"/>
      <c r="Y3140" s="3158">
        <v>15.2</v>
      </c>
      <c r="Z3140" s="696">
        <v>15.2</v>
      </c>
      <c r="AA3140" s="696">
        <v>15.2</v>
      </c>
      <c r="AB3140" s="2282">
        <v>15.2</v>
      </c>
      <c r="AC3140" s="2282">
        <v>15.2</v>
      </c>
      <c r="AD3140" s="2857"/>
      <c r="AE3140" s="2857"/>
      <c r="AF3140" s="2857"/>
      <c r="AG3140" s="2857"/>
      <c r="AH3140" s="1942"/>
      <c r="AI3140" s="1942"/>
      <c r="AJ3140" s="1942"/>
      <c r="AK3140" s="1942"/>
      <c r="AL3140" s="1942"/>
      <c r="AM3140" s="1942"/>
      <c r="AN3140" s="1942"/>
      <c r="AO3140" s="1942"/>
      <c r="AP3140" s="1942"/>
      <c r="AQ3140" s="1942"/>
      <c r="AR3140" s="1942"/>
      <c r="AS3140" s="1942"/>
      <c r="AT3140" s="1942"/>
      <c r="AU3140" s="1942"/>
      <c r="AV3140" s="1942"/>
      <c r="AW3140" s="1942"/>
      <c r="AX3140" s="1942"/>
      <c r="AY3140" s="1942"/>
      <c r="AZ3140" s="1942"/>
      <c r="BA3140" s="1942"/>
      <c r="BB3140" s="575"/>
      <c r="BC3140" s="576"/>
      <c r="BD3140" s="678"/>
      <c r="BE3140" s="585"/>
    </row>
    <row r="3141" spans="1:57" s="1942" customFormat="1" ht="15" hidden="1" customHeight="1" outlineLevel="1" x14ac:dyDescent="0.25">
      <c r="A3141" s="2060"/>
      <c r="B3141" s="123"/>
      <c r="C3141" s="328"/>
      <c r="D3141" s="3990"/>
      <c r="E3141" s="4009"/>
      <c r="F3141" s="3010" t="str">
        <f>$E$1469</f>
        <v>ASHP-SEER15-Replace_CAC_NonElectricHeat_ROF_MF</v>
      </c>
      <c r="G3141" s="2676"/>
      <c r="H3141" s="2676"/>
      <c r="I3141" s="2677"/>
      <c r="J3141" s="3298" t="str">
        <f>$C$1469</f>
        <v>352810_2021_12_</v>
      </c>
      <c r="K3141" s="2228">
        <v>15.2</v>
      </c>
      <c r="L3141" s="851"/>
      <c r="M3141" s="2723" t="s">
        <v>1125</v>
      </c>
      <c r="N3141" s="123"/>
      <c r="O3141" s="228"/>
      <c r="P3141" s="844"/>
      <c r="Q3141" s="844"/>
      <c r="R3141" s="844"/>
      <c r="S3141" s="832"/>
      <c r="T3141" s="3082"/>
      <c r="U3141" s="123"/>
      <c r="V3141" s="3990"/>
      <c r="W3141" s="2857"/>
      <c r="X3141" s="2857"/>
      <c r="Y3141" s="3158"/>
      <c r="Z3141" s="696"/>
      <c r="AA3141" s="696"/>
      <c r="AB3141" s="2282"/>
      <c r="AC3141" s="2228">
        <v>15.2</v>
      </c>
      <c r="AD3141" s="2857"/>
      <c r="AE3141" s="2857"/>
      <c r="AF3141" s="2857"/>
      <c r="AG3141" s="2857"/>
      <c r="BB3141" s="575"/>
      <c r="BC3141" s="576"/>
      <c r="BD3141" s="678"/>
      <c r="BE3141" s="585"/>
    </row>
    <row r="3142" spans="1:57" s="1942" customFormat="1" ht="15" hidden="1" customHeight="1" outlineLevel="1" x14ac:dyDescent="0.25">
      <c r="A3142" s="2060"/>
      <c r="B3142" s="123"/>
      <c r="C3142" s="328"/>
      <c r="D3142" s="3990"/>
      <c r="E3142" s="4009"/>
      <c r="F3142" s="3010" t="str">
        <f>$E$1471</f>
        <v>ASHP-SEER15-Replace_CAC_NonElectricHeat_ROF_MF_CompE</v>
      </c>
      <c r="G3142" s="2676"/>
      <c r="H3142" s="2676"/>
      <c r="I3142" s="2677"/>
      <c r="J3142" s="3298" t="str">
        <f>$C$1471</f>
        <v>352811_2021_12_</v>
      </c>
      <c r="K3142" s="2228">
        <v>15.2</v>
      </c>
      <c r="L3142" s="851"/>
      <c r="M3142" s="2723" t="s">
        <v>1125</v>
      </c>
      <c r="N3142" s="123"/>
      <c r="O3142" s="228"/>
      <c r="P3142" s="844"/>
      <c r="Q3142" s="844"/>
      <c r="R3142" s="844"/>
      <c r="S3142" s="832"/>
      <c r="T3142" s="3082"/>
      <c r="U3142" s="123"/>
      <c r="V3142" s="3990"/>
      <c r="W3142" s="2857"/>
      <c r="X3142" s="2857"/>
      <c r="Y3142" s="3158"/>
      <c r="Z3142" s="696"/>
      <c r="AA3142" s="696"/>
      <c r="AB3142" s="2282"/>
      <c r="AC3142" s="2228">
        <v>15.2</v>
      </c>
      <c r="AD3142" s="2857"/>
      <c r="AE3142" s="2857"/>
      <c r="AF3142" s="2857"/>
      <c r="AG3142" s="2857"/>
      <c r="BB3142" s="575"/>
      <c r="BC3142" s="576"/>
      <c r="BD3142" s="678"/>
      <c r="BE3142" s="585"/>
    </row>
    <row r="3143" spans="1:57" s="51" customFormat="1" ht="15" hidden="1" customHeight="1" outlineLevel="1" x14ac:dyDescent="0.25">
      <c r="A3143" s="2060"/>
      <c r="B3143" s="123"/>
      <c r="C3143" s="328"/>
      <c r="D3143" s="3990"/>
      <c r="E3143" s="4009"/>
      <c r="F3143" s="3010" t="str">
        <f>$E$1473</f>
        <v>ASHP-SEER16_ER1_MF</v>
      </c>
      <c r="G3143" s="2676"/>
      <c r="H3143" s="2676"/>
      <c r="I3143" s="2677"/>
      <c r="J3143" s="3298" t="str">
        <f>$C$1473</f>
        <v>352850_2021_12_</v>
      </c>
      <c r="K3143" s="2228">
        <v>16</v>
      </c>
      <c r="L3143" s="851"/>
      <c r="M3143" s="2723" t="s">
        <v>1554</v>
      </c>
      <c r="N3143" s="123"/>
      <c r="O3143" s="228"/>
      <c r="P3143" s="844"/>
      <c r="Q3143" s="844"/>
      <c r="R3143" s="844"/>
      <c r="S3143" s="832"/>
      <c r="T3143" s="3082"/>
      <c r="U3143" s="123"/>
      <c r="V3143" s="3990"/>
      <c r="W3143" s="2857">
        <v>16</v>
      </c>
      <c r="X3143" s="2857">
        <v>16</v>
      </c>
      <c r="Y3143" s="696">
        <v>16</v>
      </c>
      <c r="Z3143" s="696">
        <v>16</v>
      </c>
      <c r="AA3143" s="696">
        <v>16</v>
      </c>
      <c r="AB3143" s="2282">
        <v>16</v>
      </c>
      <c r="AC3143" s="2228">
        <v>16</v>
      </c>
      <c r="AD3143" s="2857"/>
      <c r="AE3143" s="2857"/>
      <c r="AF3143" s="2857"/>
      <c r="AG3143" s="2857"/>
      <c r="AH3143" s="1942"/>
      <c r="AI3143" s="1942"/>
      <c r="AJ3143" s="1942"/>
      <c r="AK3143" s="1942"/>
      <c r="AL3143" s="1942"/>
      <c r="AM3143" s="1942"/>
      <c r="AN3143" s="1942"/>
      <c r="AO3143" s="1942"/>
      <c r="AP3143" s="1942"/>
      <c r="AQ3143" s="1942"/>
      <c r="AR3143" s="1942"/>
      <c r="AS3143" s="1942"/>
      <c r="AT3143" s="1942"/>
      <c r="AU3143" s="1942"/>
      <c r="AV3143" s="1942"/>
      <c r="AW3143" s="1942"/>
      <c r="AX3143" s="1942"/>
      <c r="AY3143" s="1942"/>
      <c r="AZ3143" s="1942"/>
      <c r="BA3143" s="1942"/>
      <c r="BB3143" s="575"/>
      <c r="BC3143" s="576"/>
      <c r="BD3143" s="678"/>
      <c r="BE3143" s="585"/>
    </row>
    <row r="3144" spans="1:57" s="51" customFormat="1" ht="15" hidden="1" customHeight="1" outlineLevel="1" x14ac:dyDescent="0.25">
      <c r="A3144" s="2060"/>
      <c r="B3144" s="123"/>
      <c r="C3144" s="328"/>
      <c r="D3144" s="3990"/>
      <c r="E3144" s="4009"/>
      <c r="F3144" s="3010" t="str">
        <f>$E$1475</f>
        <v>ASHP-SEER16_ER2_MF</v>
      </c>
      <c r="G3144" s="2676"/>
      <c r="H3144" s="2676"/>
      <c r="I3144" s="2677"/>
      <c r="J3144" s="3298" t="str">
        <f>$C$1475</f>
        <v>352850_2021_12_</v>
      </c>
      <c r="K3144" s="2228">
        <f>K3143</f>
        <v>16</v>
      </c>
      <c r="L3144" s="851"/>
      <c r="M3144" s="2723" t="s">
        <v>1554</v>
      </c>
      <c r="N3144" s="123"/>
      <c r="O3144" s="228"/>
      <c r="P3144" s="844"/>
      <c r="Q3144" s="844"/>
      <c r="R3144" s="844"/>
      <c r="S3144" s="832"/>
      <c r="T3144" s="3082"/>
      <c r="U3144" s="123"/>
      <c r="V3144" s="3990"/>
      <c r="W3144" s="2857">
        <v>16</v>
      </c>
      <c r="X3144" s="2857">
        <v>16</v>
      </c>
      <c r="Y3144" s="696">
        <v>16</v>
      </c>
      <c r="Z3144" s="696">
        <v>16</v>
      </c>
      <c r="AA3144" s="696">
        <v>16</v>
      </c>
      <c r="AB3144" s="2282">
        <v>16</v>
      </c>
      <c r="AC3144" s="2228">
        <f>AC3143</f>
        <v>16</v>
      </c>
      <c r="AD3144" s="2857"/>
      <c r="AE3144" s="2857"/>
      <c r="AF3144" s="2857"/>
      <c r="AG3144" s="2857"/>
      <c r="AH3144" s="1942"/>
      <c r="AI3144" s="1942"/>
      <c r="AJ3144" s="1942"/>
      <c r="AK3144" s="1942"/>
      <c r="AL3144" s="1942"/>
      <c r="AM3144" s="1942"/>
      <c r="AN3144" s="1942"/>
      <c r="AO3144" s="1942"/>
      <c r="AP3144" s="1942"/>
      <c r="AQ3144" s="1942"/>
      <c r="AR3144" s="1942"/>
      <c r="AS3144" s="1942"/>
      <c r="AT3144" s="1942"/>
      <c r="AU3144" s="1942"/>
      <c r="AV3144" s="1942"/>
      <c r="AW3144" s="1942"/>
      <c r="AX3144" s="1942"/>
      <c r="AY3144" s="1942"/>
      <c r="AZ3144" s="1942"/>
      <c r="BA3144" s="1942"/>
      <c r="BB3144" s="575"/>
      <c r="BC3144" s="576"/>
      <c r="BD3144" s="678"/>
      <c r="BE3144" s="585"/>
    </row>
    <row r="3145" spans="1:57" s="51" customFormat="1" ht="15" hidden="1" customHeight="1" outlineLevel="1" x14ac:dyDescent="0.25">
      <c r="A3145" s="2060"/>
      <c r="B3145" s="123"/>
      <c r="C3145" s="328"/>
      <c r="D3145" s="3990"/>
      <c r="E3145" s="4009"/>
      <c r="F3145" s="3010" t="str">
        <f>$E$1477</f>
        <v>ASHP-SEER16_ER1_MF_CompE</v>
      </c>
      <c r="G3145" s="2676"/>
      <c r="H3145" s="2676"/>
      <c r="I3145" s="2677"/>
      <c r="J3145" s="3298" t="str">
        <f>$C$1477</f>
        <v>352851_2021_12_</v>
      </c>
      <c r="K3145" s="2282">
        <v>16</v>
      </c>
      <c r="L3145" s="851"/>
      <c r="M3145" s="2723" t="s">
        <v>1125</v>
      </c>
      <c r="N3145" s="123"/>
      <c r="O3145" s="228"/>
      <c r="P3145" s="844"/>
      <c r="Q3145" s="844"/>
      <c r="R3145" s="844"/>
      <c r="S3145" s="832"/>
      <c r="T3145" s="3082"/>
      <c r="U3145" s="123"/>
      <c r="V3145" s="3990"/>
      <c r="W3145" s="2857"/>
      <c r="X3145" s="2857"/>
      <c r="Y3145" s="3158">
        <v>16</v>
      </c>
      <c r="Z3145" s="696">
        <v>16</v>
      </c>
      <c r="AA3145" s="696">
        <v>16</v>
      </c>
      <c r="AB3145" s="2282">
        <v>16</v>
      </c>
      <c r="AC3145" s="2282">
        <v>16</v>
      </c>
      <c r="AD3145" s="2857"/>
      <c r="AE3145" s="2857"/>
      <c r="AF3145" s="2857"/>
      <c r="AG3145" s="2857"/>
      <c r="AH3145" s="1942"/>
      <c r="AI3145" s="1942"/>
      <c r="AJ3145" s="1942"/>
      <c r="AK3145" s="1942"/>
      <c r="AL3145" s="1942"/>
      <c r="AM3145" s="1942"/>
      <c r="AN3145" s="1942"/>
      <c r="AO3145" s="1942"/>
      <c r="AP3145" s="1942"/>
      <c r="AQ3145" s="1942"/>
      <c r="AR3145" s="1942"/>
      <c r="AS3145" s="1942"/>
      <c r="AT3145" s="1942"/>
      <c r="AU3145" s="1942"/>
      <c r="AV3145" s="1942"/>
      <c r="AW3145" s="1942"/>
      <c r="AX3145" s="1942"/>
      <c r="AY3145" s="1942"/>
      <c r="AZ3145" s="1942"/>
      <c r="BA3145" s="1942"/>
      <c r="BB3145" s="575"/>
      <c r="BC3145" s="576"/>
      <c r="BD3145" s="678"/>
      <c r="BE3145" s="585"/>
    </row>
    <row r="3146" spans="1:57" s="51" customFormat="1" ht="15" hidden="1" customHeight="1" outlineLevel="1" x14ac:dyDescent="0.25">
      <c r="A3146" s="2060"/>
      <c r="B3146" s="123"/>
      <c r="C3146" s="328"/>
      <c r="D3146" s="3990"/>
      <c r="E3146" s="4009"/>
      <c r="F3146" s="3010" t="str">
        <f>$E$1479</f>
        <v>ASHP-SEER16_ER2_MF_CompE</v>
      </c>
      <c r="G3146" s="2676"/>
      <c r="H3146" s="2676"/>
      <c r="I3146" s="2677"/>
      <c r="J3146" s="3298" t="str">
        <f>$C$1479</f>
        <v>352851_2021_12_</v>
      </c>
      <c r="K3146" s="2282">
        <v>16</v>
      </c>
      <c r="L3146" s="851"/>
      <c r="M3146" s="2723" t="s">
        <v>1125</v>
      </c>
      <c r="N3146" s="123"/>
      <c r="O3146" s="228"/>
      <c r="P3146" s="844"/>
      <c r="Q3146" s="844"/>
      <c r="R3146" s="844"/>
      <c r="S3146" s="832"/>
      <c r="T3146" s="3082"/>
      <c r="U3146" s="123"/>
      <c r="V3146" s="3990"/>
      <c r="W3146" s="2857"/>
      <c r="X3146" s="2857"/>
      <c r="Y3146" s="3158">
        <v>16</v>
      </c>
      <c r="Z3146" s="696">
        <v>16</v>
      </c>
      <c r="AA3146" s="696">
        <v>16</v>
      </c>
      <c r="AB3146" s="2282">
        <v>16</v>
      </c>
      <c r="AC3146" s="2282">
        <v>16</v>
      </c>
      <c r="AD3146" s="2857"/>
      <c r="AE3146" s="2857"/>
      <c r="AF3146" s="2857"/>
      <c r="AG3146" s="2857"/>
      <c r="AH3146" s="1942"/>
      <c r="AI3146" s="1942"/>
      <c r="AJ3146" s="1942"/>
      <c r="AK3146" s="1942"/>
      <c r="AL3146" s="1942"/>
      <c r="AM3146" s="1942"/>
      <c r="AN3146" s="1942"/>
      <c r="AO3146" s="1942"/>
      <c r="AP3146" s="1942"/>
      <c r="AQ3146" s="1942"/>
      <c r="AR3146" s="1942"/>
      <c r="AS3146" s="1942"/>
      <c r="AT3146" s="1942"/>
      <c r="AU3146" s="1942"/>
      <c r="AV3146" s="1942"/>
      <c r="AW3146" s="1942"/>
      <c r="AX3146" s="1942"/>
      <c r="AY3146" s="1942"/>
      <c r="AZ3146" s="1942"/>
      <c r="BA3146" s="1942"/>
      <c r="BB3146" s="575"/>
      <c r="BC3146" s="576"/>
      <c r="BD3146" s="678"/>
      <c r="BE3146" s="585"/>
    </row>
    <row r="3147" spans="1:57" s="51" customFormat="1" ht="15" hidden="1" customHeight="1" outlineLevel="1" x14ac:dyDescent="0.25">
      <c r="A3147" s="2060"/>
      <c r="B3147" s="123"/>
      <c r="C3147" s="328"/>
      <c r="D3147" s="3990"/>
      <c r="E3147" s="4009"/>
      <c r="F3147" s="3010" t="str">
        <f>$E$1481</f>
        <v>ASHP-SEER16_ROF_MF</v>
      </c>
      <c r="G3147" s="2676"/>
      <c r="H3147" s="2676"/>
      <c r="I3147" s="2677"/>
      <c r="J3147" s="3298" t="str">
        <f>$C$1481</f>
        <v>352900_2021_12_</v>
      </c>
      <c r="K3147" s="2228">
        <v>16</v>
      </c>
      <c r="L3147" s="851"/>
      <c r="M3147" s="2723" t="s">
        <v>1554</v>
      </c>
      <c r="N3147" s="123"/>
      <c r="O3147" s="228"/>
      <c r="P3147" s="844"/>
      <c r="Q3147" s="844"/>
      <c r="R3147" s="844"/>
      <c r="S3147" s="832"/>
      <c r="T3147" s="3082"/>
      <c r="U3147" s="123"/>
      <c r="V3147" s="3990"/>
      <c r="W3147" s="2857">
        <v>16</v>
      </c>
      <c r="X3147" s="2857">
        <v>16</v>
      </c>
      <c r="Y3147" s="696">
        <v>16</v>
      </c>
      <c r="Z3147" s="696">
        <v>16</v>
      </c>
      <c r="AA3147" s="696">
        <v>16</v>
      </c>
      <c r="AB3147" s="2282">
        <v>16</v>
      </c>
      <c r="AC3147" s="2228">
        <v>16</v>
      </c>
      <c r="AD3147" s="2857"/>
      <c r="AE3147" s="2857"/>
      <c r="AF3147" s="2857"/>
      <c r="AG3147" s="2857"/>
      <c r="AH3147" s="1942"/>
      <c r="AI3147" s="1942"/>
      <c r="AJ3147" s="1942"/>
      <c r="AK3147" s="1942"/>
      <c r="AL3147" s="1942"/>
      <c r="AM3147" s="1942"/>
      <c r="AN3147" s="1942"/>
      <c r="AO3147" s="1942"/>
      <c r="AP3147" s="1942"/>
      <c r="AQ3147" s="1942"/>
      <c r="AR3147" s="1942"/>
      <c r="AS3147" s="1942"/>
      <c r="AT3147" s="1942"/>
      <c r="AU3147" s="1942"/>
      <c r="AV3147" s="1942"/>
      <c r="AW3147" s="1942"/>
      <c r="AX3147" s="1942"/>
      <c r="AY3147" s="1942"/>
      <c r="AZ3147" s="1942"/>
      <c r="BA3147" s="1942"/>
      <c r="BB3147" s="575"/>
      <c r="BC3147" s="576"/>
      <c r="BD3147" s="678"/>
      <c r="BE3147" s="585"/>
    </row>
    <row r="3148" spans="1:57" s="51" customFormat="1" ht="15" hidden="1" customHeight="1" outlineLevel="1" x14ac:dyDescent="0.25">
      <c r="A3148" s="2060"/>
      <c r="B3148" s="123"/>
      <c r="C3148" s="328"/>
      <c r="D3148" s="3990"/>
      <c r="E3148" s="4009"/>
      <c r="F3148" s="3010" t="str">
        <f>$E$1483</f>
        <v>ASHP-SEER16_ROF_MF_CompE</v>
      </c>
      <c r="G3148" s="2676"/>
      <c r="H3148" s="2676"/>
      <c r="I3148" s="2677"/>
      <c r="J3148" s="3298" t="str">
        <f>$C$1483</f>
        <v>352901_2021_12_</v>
      </c>
      <c r="K3148" s="2282">
        <v>16</v>
      </c>
      <c r="L3148" s="851"/>
      <c r="M3148" s="2723" t="s">
        <v>1125</v>
      </c>
      <c r="N3148" s="123"/>
      <c r="O3148" s="228"/>
      <c r="P3148" s="844"/>
      <c r="Q3148" s="844"/>
      <c r="R3148" s="844"/>
      <c r="S3148" s="832"/>
      <c r="T3148" s="3082"/>
      <c r="U3148" s="123"/>
      <c r="V3148" s="3990"/>
      <c r="W3148" s="2857"/>
      <c r="X3148" s="2857"/>
      <c r="Y3148" s="3158">
        <v>16</v>
      </c>
      <c r="Z3148" s="696">
        <v>16</v>
      </c>
      <c r="AA3148" s="696">
        <v>16</v>
      </c>
      <c r="AB3148" s="2282">
        <v>16</v>
      </c>
      <c r="AC3148" s="2282">
        <v>16</v>
      </c>
      <c r="AD3148" s="2857"/>
      <c r="AE3148" s="2857"/>
      <c r="AF3148" s="2857"/>
      <c r="AG3148" s="2857"/>
      <c r="AH3148" s="1942"/>
      <c r="AI3148" s="1942"/>
      <c r="AJ3148" s="1942"/>
      <c r="AK3148" s="1942"/>
      <c r="AL3148" s="1942"/>
      <c r="AM3148" s="1942"/>
      <c r="AN3148" s="1942"/>
      <c r="AO3148" s="1942"/>
      <c r="AP3148" s="1942"/>
      <c r="AQ3148" s="1942"/>
      <c r="AR3148" s="1942"/>
      <c r="AS3148" s="1942"/>
      <c r="AT3148" s="1942"/>
      <c r="AU3148" s="1942"/>
      <c r="AV3148" s="1942"/>
      <c r="AW3148" s="1942"/>
      <c r="AX3148" s="1942"/>
      <c r="AY3148" s="1942"/>
      <c r="AZ3148" s="1942"/>
      <c r="BA3148" s="1942"/>
      <c r="BB3148" s="575"/>
      <c r="BC3148" s="576"/>
      <c r="BD3148" s="678"/>
      <c r="BE3148" s="585"/>
    </row>
    <row r="3149" spans="1:57" s="51" customFormat="1" ht="15" hidden="1" customHeight="1" outlineLevel="1" x14ac:dyDescent="0.25">
      <c r="A3149" s="2060"/>
      <c r="B3149" s="123"/>
      <c r="C3149" s="328"/>
      <c r="D3149" s="3990"/>
      <c r="E3149" s="4009"/>
      <c r="F3149" s="3010" t="str">
        <f>$E$1485</f>
        <v>ASHP-SEER16-Replace_CAC_ElectricHeat_ROF_MF</v>
      </c>
      <c r="G3149" s="2676"/>
      <c r="H3149" s="2676"/>
      <c r="I3149" s="2677"/>
      <c r="J3149" s="3299" t="str">
        <f>$C$1485</f>
        <v>352950_2019_12_</v>
      </c>
      <c r="K3149" s="2282">
        <v>17</v>
      </c>
      <c r="L3149" s="851"/>
      <c r="M3149" s="2278" t="s">
        <v>1017</v>
      </c>
      <c r="N3149" s="123"/>
      <c r="O3149" s="228"/>
      <c r="P3149" s="844"/>
      <c r="Q3149" s="844"/>
      <c r="R3149" s="844"/>
      <c r="S3149" s="832"/>
      <c r="T3149" s="3082"/>
      <c r="U3149" s="123"/>
      <c r="V3149" s="3990"/>
      <c r="W3149" s="2857">
        <v>16</v>
      </c>
      <c r="X3149" s="2857">
        <v>16</v>
      </c>
      <c r="Y3149" s="696">
        <v>16</v>
      </c>
      <c r="Z3149" s="696">
        <v>16</v>
      </c>
      <c r="AA3149" s="696">
        <v>16</v>
      </c>
      <c r="AB3149" s="2228">
        <v>17</v>
      </c>
      <c r="AC3149" s="2282">
        <v>17</v>
      </c>
      <c r="AD3149" s="2857"/>
      <c r="AE3149" s="2857"/>
      <c r="AF3149" s="2857"/>
      <c r="AG3149" s="2857"/>
      <c r="AH3149" s="1942"/>
      <c r="AI3149" s="1942"/>
      <c r="AJ3149" s="1942"/>
      <c r="AK3149" s="1942"/>
      <c r="AL3149" s="1942"/>
      <c r="AM3149" s="1942"/>
      <c r="AN3149" s="1942"/>
      <c r="AO3149" s="1942"/>
      <c r="AP3149" s="1942"/>
      <c r="AQ3149" s="1942"/>
      <c r="AR3149" s="1942"/>
      <c r="AS3149" s="1942"/>
      <c r="AT3149" s="1942"/>
      <c r="AU3149" s="1942"/>
      <c r="AV3149" s="1942"/>
      <c r="AW3149" s="1942"/>
      <c r="AX3149" s="1942"/>
      <c r="AY3149" s="1942"/>
      <c r="AZ3149" s="1942"/>
      <c r="BA3149" s="1942"/>
      <c r="BB3149" s="575"/>
      <c r="BC3149" s="576"/>
      <c r="BD3149" s="678"/>
      <c r="BE3149" s="585"/>
    </row>
    <row r="3150" spans="1:57" s="51" customFormat="1" ht="15" hidden="1" customHeight="1" outlineLevel="1" x14ac:dyDescent="0.25">
      <c r="A3150" s="2060"/>
      <c r="B3150" s="123"/>
      <c r="C3150" s="328"/>
      <c r="D3150" s="3990"/>
      <c r="E3150" s="4009"/>
      <c r="F3150" s="3010" t="str">
        <f>$E$1487</f>
        <v>ASHP-SEER16-Replace_CAC_ElectricHeat_ROF_MF_CompE</v>
      </c>
      <c r="G3150" s="2676"/>
      <c r="H3150" s="2676"/>
      <c r="I3150" s="2677"/>
      <c r="J3150" s="3299" t="str">
        <f>$C$1487</f>
        <v>352951_2019_12_</v>
      </c>
      <c r="K3150" s="2282">
        <f>K3149</f>
        <v>17</v>
      </c>
      <c r="L3150" s="851"/>
      <c r="M3150" s="2278" t="s">
        <v>1125</v>
      </c>
      <c r="N3150" s="123"/>
      <c r="O3150" s="228"/>
      <c r="P3150" s="844"/>
      <c r="Q3150" s="844"/>
      <c r="R3150" s="844"/>
      <c r="S3150" s="832"/>
      <c r="T3150" s="3082"/>
      <c r="U3150" s="123"/>
      <c r="V3150" s="3990"/>
      <c r="W3150" s="2857"/>
      <c r="X3150" s="2857"/>
      <c r="Y3150" s="3158">
        <v>16</v>
      </c>
      <c r="Z3150" s="696">
        <v>16</v>
      </c>
      <c r="AA3150" s="696">
        <v>16</v>
      </c>
      <c r="AB3150" s="2228">
        <v>17</v>
      </c>
      <c r="AC3150" s="2282">
        <f>AC3149</f>
        <v>17</v>
      </c>
      <c r="AD3150" s="2857"/>
      <c r="AE3150" s="2857"/>
      <c r="AF3150" s="2857"/>
      <c r="AG3150" s="2857"/>
      <c r="AH3150" s="1942"/>
      <c r="AI3150" s="1942"/>
      <c r="AJ3150" s="1942"/>
      <c r="AK3150" s="1942"/>
      <c r="AL3150" s="1942"/>
      <c r="AM3150" s="1942"/>
      <c r="AN3150" s="1942"/>
      <c r="AO3150" s="1942"/>
      <c r="AP3150" s="1942"/>
      <c r="AQ3150" s="1942"/>
      <c r="AR3150" s="1942"/>
      <c r="AS3150" s="1942"/>
      <c r="AT3150" s="1942"/>
      <c r="AU3150" s="1942"/>
      <c r="AV3150" s="1942"/>
      <c r="AW3150" s="1942"/>
      <c r="AX3150" s="1942"/>
      <c r="AY3150" s="1942"/>
      <c r="AZ3150" s="1942"/>
      <c r="BA3150" s="1942"/>
      <c r="BB3150" s="575"/>
      <c r="BC3150" s="576"/>
      <c r="BD3150" s="678"/>
      <c r="BE3150" s="585"/>
    </row>
    <row r="3151" spans="1:57" s="1942" customFormat="1" ht="15" hidden="1" customHeight="1" outlineLevel="1" x14ac:dyDescent="0.25">
      <c r="A3151" s="2060"/>
      <c r="B3151" s="123"/>
      <c r="C3151" s="328"/>
      <c r="D3151" s="3990"/>
      <c r="E3151" s="4009"/>
      <c r="F3151" s="3010" t="str">
        <f>$E$1489</f>
        <v>ASHP-SEER16-Replace_CAC_NonElectricHeat_ROF_MF</v>
      </c>
      <c r="G3151" s="2676"/>
      <c r="H3151" s="2676"/>
      <c r="I3151" s="2677"/>
      <c r="J3151" s="3298" t="str">
        <f>$C$1489</f>
        <v>352960_2021_12_</v>
      </c>
      <c r="K3151" s="2228">
        <v>17</v>
      </c>
      <c r="L3151" s="851"/>
      <c r="M3151" s="2723" t="s">
        <v>1125</v>
      </c>
      <c r="N3151" s="123"/>
      <c r="O3151" s="228"/>
      <c r="P3151" s="844"/>
      <c r="Q3151" s="844"/>
      <c r="R3151" s="844"/>
      <c r="S3151" s="832"/>
      <c r="T3151" s="3082"/>
      <c r="U3151" s="123"/>
      <c r="V3151" s="3990"/>
      <c r="W3151" s="2857"/>
      <c r="X3151" s="2857"/>
      <c r="Y3151" s="3158"/>
      <c r="Z3151" s="696"/>
      <c r="AA3151" s="696"/>
      <c r="AB3151" s="2228"/>
      <c r="AC3151" s="2228">
        <v>17</v>
      </c>
      <c r="AD3151" s="2857"/>
      <c r="AE3151" s="2857"/>
      <c r="AF3151" s="2857"/>
      <c r="AG3151" s="2857"/>
      <c r="BB3151" s="575"/>
      <c r="BC3151" s="576"/>
      <c r="BD3151" s="678"/>
      <c r="BE3151" s="585"/>
    </row>
    <row r="3152" spans="1:57" s="1942" customFormat="1" ht="15" hidden="1" customHeight="1" outlineLevel="1" x14ac:dyDescent="0.25">
      <c r="A3152" s="2060"/>
      <c r="B3152" s="123"/>
      <c r="C3152" s="328"/>
      <c r="D3152" s="3990"/>
      <c r="E3152" s="4009"/>
      <c r="F3152" s="3010" t="str">
        <f>$E$1491</f>
        <v>ASHP-SEER16-Replace_CAC_NonElectricHeat_ROF_MF_CompE</v>
      </c>
      <c r="G3152" s="2676"/>
      <c r="H3152" s="2676"/>
      <c r="I3152" s="2677"/>
      <c r="J3152" s="3298" t="str">
        <f>$C$1491</f>
        <v>352961_2021_12_</v>
      </c>
      <c r="K3152" s="2228">
        <f>K3151</f>
        <v>17</v>
      </c>
      <c r="L3152" s="851"/>
      <c r="M3152" s="2723" t="s">
        <v>1125</v>
      </c>
      <c r="N3152" s="123"/>
      <c r="O3152" s="228"/>
      <c r="P3152" s="844"/>
      <c r="Q3152" s="844"/>
      <c r="R3152" s="844"/>
      <c r="S3152" s="832"/>
      <c r="T3152" s="3082"/>
      <c r="U3152" s="123"/>
      <c r="V3152" s="3990"/>
      <c r="W3152" s="2857"/>
      <c r="X3152" s="2857"/>
      <c r="Y3152" s="3158"/>
      <c r="Z3152" s="696"/>
      <c r="AA3152" s="696"/>
      <c r="AB3152" s="2228"/>
      <c r="AC3152" s="2228">
        <f>AC3151</f>
        <v>17</v>
      </c>
      <c r="AD3152" s="2857"/>
      <c r="AE3152" s="2857"/>
      <c r="AF3152" s="2857"/>
      <c r="AG3152" s="2857"/>
      <c r="BB3152" s="575"/>
      <c r="BC3152" s="576"/>
      <c r="BD3152" s="678"/>
      <c r="BE3152" s="585"/>
    </row>
    <row r="3153" spans="1:57" s="51" customFormat="1" ht="15" hidden="1" customHeight="1" outlineLevel="1" x14ac:dyDescent="0.25">
      <c r="A3153" s="2060"/>
      <c r="B3153" s="123"/>
      <c r="C3153" s="328"/>
      <c r="D3153" s="3990"/>
      <c r="E3153" s="4009"/>
      <c r="F3153" s="3010" t="str">
        <f>$E$1493</f>
        <v>ASHP-SEER16-Replace_CAC_ElectricHeat_ER1_MF</v>
      </c>
      <c r="G3153" s="2676"/>
      <c r="H3153" s="2676"/>
      <c r="I3153" s="2677"/>
      <c r="J3153" s="3298" t="str">
        <f>$C$1493</f>
        <v>353000_2021_12_</v>
      </c>
      <c r="K3153" s="2228">
        <v>16</v>
      </c>
      <c r="L3153" s="851"/>
      <c r="M3153" s="2723" t="s">
        <v>1005</v>
      </c>
      <c r="N3153" s="123"/>
      <c r="O3153" s="228"/>
      <c r="P3153" s="844"/>
      <c r="Q3153" s="844"/>
      <c r="R3153" s="844"/>
      <c r="S3153" s="832"/>
      <c r="T3153" s="3082"/>
      <c r="U3153" s="123"/>
      <c r="V3153" s="3990"/>
      <c r="W3153" s="2857">
        <v>16</v>
      </c>
      <c r="X3153" s="2857">
        <v>16</v>
      </c>
      <c r="Y3153" s="696">
        <v>16</v>
      </c>
      <c r="Z3153" s="696">
        <v>16</v>
      </c>
      <c r="AA3153" s="696">
        <v>16</v>
      </c>
      <c r="AB3153" s="2228">
        <v>16.5</v>
      </c>
      <c r="AC3153" s="2228">
        <v>16</v>
      </c>
      <c r="AD3153" s="2857"/>
      <c r="AE3153" s="2857"/>
      <c r="AF3153" s="2857"/>
      <c r="AG3153" s="2857"/>
      <c r="AH3153" s="1942"/>
      <c r="AI3153" s="1942"/>
      <c r="AJ3153" s="1942"/>
      <c r="AK3153" s="1942"/>
      <c r="AL3153" s="1942"/>
      <c r="AM3153" s="1942"/>
      <c r="AN3153" s="1942"/>
      <c r="AO3153" s="1942"/>
      <c r="AP3153" s="1942"/>
      <c r="AQ3153" s="1942"/>
      <c r="AR3153" s="1942"/>
      <c r="AS3153" s="1942"/>
      <c r="AT3153" s="1942"/>
      <c r="AU3153" s="1942"/>
      <c r="AV3153" s="1942"/>
      <c r="AW3153" s="1942"/>
      <c r="AX3153" s="1942"/>
      <c r="AY3153" s="1942"/>
      <c r="AZ3153" s="1942"/>
      <c r="BA3153" s="1942"/>
      <c r="BB3153" s="575"/>
      <c r="BC3153" s="576"/>
      <c r="BD3153" s="678"/>
      <c r="BE3153" s="585"/>
    </row>
    <row r="3154" spans="1:57" s="51" customFormat="1" ht="15" hidden="1" customHeight="1" outlineLevel="1" x14ac:dyDescent="0.25">
      <c r="A3154" s="2060"/>
      <c r="B3154" s="123"/>
      <c r="C3154" s="328"/>
      <c r="D3154" s="3990"/>
      <c r="E3154" s="4009"/>
      <c r="F3154" s="3010" t="str">
        <f>$E$1495</f>
        <v>ASHP-SEER16-Replace_CAC_ElectricHeat_ER2_MF</v>
      </c>
      <c r="G3154" s="2676"/>
      <c r="H3154" s="2676"/>
      <c r="I3154" s="2677"/>
      <c r="J3154" s="3298" t="str">
        <f>$C$1495</f>
        <v>353000_2021_12_</v>
      </c>
      <c r="K3154" s="2228">
        <f>K3153</f>
        <v>16</v>
      </c>
      <c r="L3154" s="851"/>
      <c r="M3154" s="2723" t="s">
        <v>1005</v>
      </c>
      <c r="N3154" s="123"/>
      <c r="O3154" s="228"/>
      <c r="P3154" s="844"/>
      <c r="Q3154" s="844"/>
      <c r="R3154" s="844"/>
      <c r="S3154" s="832"/>
      <c r="T3154" s="3082"/>
      <c r="U3154" s="123"/>
      <c r="V3154" s="3990"/>
      <c r="W3154" s="2857">
        <v>16</v>
      </c>
      <c r="X3154" s="2857">
        <v>16</v>
      </c>
      <c r="Y3154" s="696">
        <v>16</v>
      </c>
      <c r="Z3154" s="696">
        <v>16</v>
      </c>
      <c r="AA3154" s="696">
        <v>16</v>
      </c>
      <c r="AB3154" s="2228">
        <v>16.5</v>
      </c>
      <c r="AC3154" s="2228">
        <f>AC3153</f>
        <v>16</v>
      </c>
      <c r="AD3154" s="2857"/>
      <c r="AE3154" s="2857"/>
      <c r="AF3154" s="2857"/>
      <c r="AG3154" s="2857"/>
      <c r="AH3154" s="1942"/>
      <c r="AI3154" s="1942"/>
      <c r="AJ3154" s="1942"/>
      <c r="AK3154" s="1942"/>
      <c r="AL3154" s="1942"/>
      <c r="AM3154" s="1942"/>
      <c r="AN3154" s="1942"/>
      <c r="AO3154" s="1942"/>
      <c r="AP3154" s="1942"/>
      <c r="AQ3154" s="1942"/>
      <c r="AR3154" s="1942"/>
      <c r="AS3154" s="1942"/>
      <c r="AT3154" s="1942"/>
      <c r="AU3154" s="1942"/>
      <c r="AV3154" s="1942"/>
      <c r="AW3154" s="1942"/>
      <c r="AX3154" s="1942"/>
      <c r="AY3154" s="1942"/>
      <c r="AZ3154" s="1942"/>
      <c r="BA3154" s="1942"/>
      <c r="BB3154" s="575"/>
      <c r="BC3154" s="576"/>
      <c r="BD3154" s="678"/>
      <c r="BE3154" s="585"/>
    </row>
    <row r="3155" spans="1:57" s="51" customFormat="1" ht="15" hidden="1" customHeight="1" outlineLevel="1" x14ac:dyDescent="0.25">
      <c r="A3155" s="2060"/>
      <c r="B3155" s="123"/>
      <c r="C3155" s="328"/>
      <c r="D3155" s="3990"/>
      <c r="E3155" s="4009"/>
      <c r="F3155" s="3010" t="str">
        <f>$E$1497</f>
        <v>ASHP-SEER16-Replace_CAC_ElectricHeat_ER1_MF_CompE</v>
      </c>
      <c r="G3155" s="2676"/>
      <c r="H3155" s="2676"/>
      <c r="I3155" s="2677"/>
      <c r="J3155" s="3298" t="str">
        <f>$C$1497</f>
        <v>353001_2021_12_</v>
      </c>
      <c r="K3155" s="2282">
        <f>K3154</f>
        <v>16</v>
      </c>
      <c r="L3155" s="851"/>
      <c r="M3155" s="2278" t="s">
        <v>1125</v>
      </c>
      <c r="N3155" s="123"/>
      <c r="O3155" s="228"/>
      <c r="P3155" s="844"/>
      <c r="Q3155" s="844"/>
      <c r="R3155" s="844"/>
      <c r="S3155" s="832"/>
      <c r="T3155" s="3082"/>
      <c r="U3155" s="123"/>
      <c r="V3155" s="3990"/>
      <c r="W3155" s="2857"/>
      <c r="X3155" s="2857"/>
      <c r="Y3155" s="3158">
        <v>16</v>
      </c>
      <c r="Z3155" s="696">
        <v>16</v>
      </c>
      <c r="AA3155" s="696">
        <v>16</v>
      </c>
      <c r="AB3155" s="2228">
        <v>16.5</v>
      </c>
      <c r="AC3155" s="2282">
        <f>AC3154</f>
        <v>16</v>
      </c>
      <c r="AD3155" s="2857"/>
      <c r="AE3155" s="2857"/>
      <c r="AF3155" s="2857"/>
      <c r="AG3155" s="2857"/>
      <c r="AH3155" s="1942"/>
      <c r="AI3155" s="1942"/>
      <c r="AJ3155" s="1942"/>
      <c r="AK3155" s="1942"/>
      <c r="AL3155" s="1942"/>
      <c r="AM3155" s="1942"/>
      <c r="AN3155" s="1942"/>
      <c r="AO3155" s="1942"/>
      <c r="AP3155" s="1942"/>
      <c r="AQ3155" s="1942"/>
      <c r="AR3155" s="1942"/>
      <c r="AS3155" s="1942"/>
      <c r="AT3155" s="1942"/>
      <c r="AU3155" s="1942"/>
      <c r="AV3155" s="1942"/>
      <c r="AW3155" s="1942"/>
      <c r="AX3155" s="1942"/>
      <c r="AY3155" s="1942"/>
      <c r="AZ3155" s="1942"/>
      <c r="BA3155" s="1942"/>
      <c r="BB3155" s="575"/>
      <c r="BC3155" s="576"/>
      <c r="BD3155" s="678"/>
      <c r="BE3155" s="585"/>
    </row>
    <row r="3156" spans="1:57" s="51" customFormat="1" ht="15" hidden="1" customHeight="1" outlineLevel="1" x14ac:dyDescent="0.25">
      <c r="A3156" s="2060"/>
      <c r="B3156" s="123"/>
      <c r="C3156" s="328"/>
      <c r="D3156" s="3990"/>
      <c r="E3156" s="4009"/>
      <c r="F3156" s="3010" t="str">
        <f>$E$1499</f>
        <v>ASHP-SEER16-Replace_CAC_ElectricHeat_ER2_MF_CompE</v>
      </c>
      <c r="G3156" s="2676"/>
      <c r="H3156" s="2676"/>
      <c r="I3156" s="2677"/>
      <c r="J3156" s="3298" t="str">
        <f>$C$1499</f>
        <v>353001_2021_12_</v>
      </c>
      <c r="K3156" s="2282">
        <f>K3155</f>
        <v>16</v>
      </c>
      <c r="L3156" s="851"/>
      <c r="M3156" s="2278" t="s">
        <v>1125</v>
      </c>
      <c r="N3156" s="123"/>
      <c r="O3156" s="228"/>
      <c r="P3156" s="844"/>
      <c r="Q3156" s="844"/>
      <c r="R3156" s="844"/>
      <c r="S3156" s="832"/>
      <c r="T3156" s="3082"/>
      <c r="U3156" s="123"/>
      <c r="V3156" s="3990"/>
      <c r="W3156" s="2857"/>
      <c r="X3156" s="2857"/>
      <c r="Y3156" s="3158">
        <v>16</v>
      </c>
      <c r="Z3156" s="696">
        <v>16</v>
      </c>
      <c r="AA3156" s="696">
        <v>16</v>
      </c>
      <c r="AB3156" s="2228">
        <v>16.5</v>
      </c>
      <c r="AC3156" s="2282">
        <f>AC3155</f>
        <v>16</v>
      </c>
      <c r="AD3156" s="2857"/>
      <c r="AE3156" s="2857"/>
      <c r="AF3156" s="2857"/>
      <c r="AG3156" s="2857"/>
      <c r="AH3156" s="1942"/>
      <c r="AI3156" s="1942"/>
      <c r="AJ3156" s="1942"/>
      <c r="AK3156" s="1942"/>
      <c r="AL3156" s="1942"/>
      <c r="AM3156" s="1942"/>
      <c r="AN3156" s="1942"/>
      <c r="AO3156" s="1942"/>
      <c r="AP3156" s="1942"/>
      <c r="AQ3156" s="1942"/>
      <c r="AR3156" s="1942"/>
      <c r="AS3156" s="1942"/>
      <c r="AT3156" s="1942"/>
      <c r="AU3156" s="1942"/>
      <c r="AV3156" s="1942"/>
      <c r="AW3156" s="1942"/>
      <c r="AX3156" s="1942"/>
      <c r="AY3156" s="1942"/>
      <c r="AZ3156" s="1942"/>
      <c r="BA3156" s="1942"/>
      <c r="BB3156" s="575"/>
      <c r="BC3156" s="576"/>
      <c r="BD3156" s="678"/>
      <c r="BE3156" s="585"/>
    </row>
    <row r="3157" spans="1:57" s="1942" customFormat="1" ht="15" hidden="1" customHeight="1" outlineLevel="1" x14ac:dyDescent="0.25">
      <c r="A3157" s="2060"/>
      <c r="B3157" s="123"/>
      <c r="C3157" s="328"/>
      <c r="D3157" s="3990"/>
      <c r="E3157" s="4009"/>
      <c r="F3157" s="3010" t="str">
        <f>$E$1501</f>
        <v>ASHP-SEER16-Replace_CAC_NonElectricHeat_ER1_MF</v>
      </c>
      <c r="G3157" s="2676"/>
      <c r="H3157" s="2676"/>
      <c r="I3157" s="2677"/>
      <c r="J3157" s="3298" t="str">
        <f>$C$1501</f>
        <v>353010_2021_12_</v>
      </c>
      <c r="K3157" s="2228">
        <v>16</v>
      </c>
      <c r="L3157" s="851"/>
      <c r="M3157" s="2723" t="s">
        <v>1125</v>
      </c>
      <c r="N3157" s="123"/>
      <c r="O3157" s="228"/>
      <c r="P3157" s="844"/>
      <c r="Q3157" s="844"/>
      <c r="R3157" s="844"/>
      <c r="S3157" s="832"/>
      <c r="T3157" s="3082"/>
      <c r="U3157" s="123"/>
      <c r="V3157" s="3990"/>
      <c r="W3157" s="2857"/>
      <c r="X3157" s="2857"/>
      <c r="Y3157" s="3158"/>
      <c r="Z3157" s="696"/>
      <c r="AA3157" s="696"/>
      <c r="AB3157" s="2228"/>
      <c r="AC3157" s="2228">
        <v>16</v>
      </c>
      <c r="AD3157" s="2857"/>
      <c r="AE3157" s="2857"/>
      <c r="AF3157" s="2857"/>
      <c r="AG3157" s="2857"/>
      <c r="BB3157" s="575"/>
      <c r="BC3157" s="576"/>
      <c r="BD3157" s="678"/>
      <c r="BE3157" s="585"/>
    </row>
    <row r="3158" spans="1:57" s="1942" customFormat="1" ht="15" hidden="1" customHeight="1" outlineLevel="1" x14ac:dyDescent="0.25">
      <c r="A3158" s="2060"/>
      <c r="B3158" s="123"/>
      <c r="C3158" s="328"/>
      <c r="D3158" s="3990"/>
      <c r="E3158" s="4009"/>
      <c r="F3158" s="3010" t="str">
        <f>$E$1503</f>
        <v>ASHP-SEER16-Replace_CAC_NonElectricHeat_ER2_MF</v>
      </c>
      <c r="G3158" s="2676"/>
      <c r="H3158" s="2676"/>
      <c r="I3158" s="2677"/>
      <c r="J3158" s="3298" t="str">
        <f>$C$1503</f>
        <v>353010_2021_12_</v>
      </c>
      <c r="K3158" s="2228">
        <f>K3157</f>
        <v>16</v>
      </c>
      <c r="L3158" s="851"/>
      <c r="M3158" s="2723" t="s">
        <v>1125</v>
      </c>
      <c r="N3158" s="123"/>
      <c r="O3158" s="228"/>
      <c r="P3158" s="844"/>
      <c r="Q3158" s="844"/>
      <c r="R3158" s="844"/>
      <c r="S3158" s="832"/>
      <c r="T3158" s="3082"/>
      <c r="U3158" s="123"/>
      <c r="V3158" s="3990"/>
      <c r="W3158" s="2857"/>
      <c r="X3158" s="2857"/>
      <c r="Y3158" s="3158"/>
      <c r="Z3158" s="696"/>
      <c r="AA3158" s="696"/>
      <c r="AB3158" s="2228"/>
      <c r="AC3158" s="2228">
        <f>AC3157</f>
        <v>16</v>
      </c>
      <c r="AD3158" s="2857"/>
      <c r="AE3158" s="2857"/>
      <c r="AF3158" s="2857"/>
      <c r="AG3158" s="2857"/>
      <c r="BB3158" s="575"/>
      <c r="BC3158" s="576"/>
      <c r="BD3158" s="678"/>
      <c r="BE3158" s="585"/>
    </row>
    <row r="3159" spans="1:57" s="1942" customFormat="1" ht="15" hidden="1" customHeight="1" outlineLevel="1" x14ac:dyDescent="0.25">
      <c r="A3159" s="2060"/>
      <c r="B3159" s="123"/>
      <c r="C3159" s="328"/>
      <c r="D3159" s="3990"/>
      <c r="E3159" s="4009"/>
      <c r="F3159" s="3010" t="str">
        <f>$E$1505</f>
        <v>ASHP-SEER16-Replace_CAC_NonElectricHeat_ER1_MF_CompE</v>
      </c>
      <c r="G3159" s="2676"/>
      <c r="H3159" s="2676"/>
      <c r="I3159" s="2677"/>
      <c r="J3159" s="3298" t="str">
        <f>$C$1505</f>
        <v>353011_2021_12_</v>
      </c>
      <c r="K3159" s="2228">
        <f>K3158</f>
        <v>16</v>
      </c>
      <c r="L3159" s="851"/>
      <c r="M3159" s="2723" t="s">
        <v>1125</v>
      </c>
      <c r="N3159" s="123"/>
      <c r="O3159" s="228"/>
      <c r="P3159" s="844"/>
      <c r="Q3159" s="844"/>
      <c r="R3159" s="844"/>
      <c r="S3159" s="832"/>
      <c r="T3159" s="3082"/>
      <c r="U3159" s="123"/>
      <c r="V3159" s="3990"/>
      <c r="W3159" s="2857"/>
      <c r="X3159" s="2857"/>
      <c r="Y3159" s="3158"/>
      <c r="Z3159" s="696"/>
      <c r="AA3159" s="696"/>
      <c r="AB3159" s="2228"/>
      <c r="AC3159" s="2228">
        <f>AC3158</f>
        <v>16</v>
      </c>
      <c r="AD3159" s="2857"/>
      <c r="AE3159" s="2857"/>
      <c r="AF3159" s="2857"/>
      <c r="AG3159" s="2857"/>
      <c r="BB3159" s="575"/>
      <c r="BC3159" s="576"/>
      <c r="BD3159" s="678"/>
      <c r="BE3159" s="585"/>
    </row>
    <row r="3160" spans="1:57" s="1942" customFormat="1" ht="15" hidden="1" customHeight="1" outlineLevel="1" x14ac:dyDescent="0.25">
      <c r="A3160" s="2060"/>
      <c r="B3160" s="123"/>
      <c r="C3160" s="328"/>
      <c r="D3160" s="3990"/>
      <c r="E3160" s="4009"/>
      <c r="F3160" s="3010" t="str">
        <f>$E$1507</f>
        <v>ASHP-SEER16-Replace_CAC_NonElectricHeat_ER2_MF_CompE</v>
      </c>
      <c r="G3160" s="2676"/>
      <c r="H3160" s="2676"/>
      <c r="I3160" s="2677"/>
      <c r="J3160" s="3298" t="str">
        <f>$C$1507</f>
        <v>353011_2021_12_</v>
      </c>
      <c r="K3160" s="2228">
        <f>K3159</f>
        <v>16</v>
      </c>
      <c r="L3160" s="851"/>
      <c r="M3160" s="2723" t="s">
        <v>1125</v>
      </c>
      <c r="N3160" s="123"/>
      <c r="O3160" s="228"/>
      <c r="P3160" s="844"/>
      <c r="Q3160" s="844"/>
      <c r="R3160" s="844"/>
      <c r="S3160" s="832"/>
      <c r="T3160" s="3082"/>
      <c r="U3160" s="123"/>
      <c r="V3160" s="3990"/>
      <c r="W3160" s="2857"/>
      <c r="X3160" s="2857"/>
      <c r="Y3160" s="3158"/>
      <c r="Z3160" s="696"/>
      <c r="AA3160" s="696"/>
      <c r="AB3160" s="2228"/>
      <c r="AC3160" s="2228">
        <f>AC3159</f>
        <v>16</v>
      </c>
      <c r="AD3160" s="2857"/>
      <c r="AE3160" s="2857"/>
      <c r="AF3160" s="2857"/>
      <c r="AG3160" s="2857"/>
      <c r="BB3160" s="575"/>
      <c r="BC3160" s="576"/>
      <c r="BD3160" s="678"/>
      <c r="BE3160" s="585"/>
    </row>
    <row r="3161" spans="1:57" s="51" customFormat="1" ht="15" hidden="1" customHeight="1" outlineLevel="1" x14ac:dyDescent="0.25">
      <c r="A3161" s="2060"/>
      <c r="B3161" s="123"/>
      <c r="C3161" s="328"/>
      <c r="D3161" s="3990"/>
      <c r="E3161" s="4009"/>
      <c r="F3161" s="3011" t="str">
        <f>$E$1509</f>
        <v>ASHP-SEER15_ROF_MF</v>
      </c>
      <c r="G3161" s="2678"/>
      <c r="H3161" s="2678"/>
      <c r="I3161" s="2679"/>
      <c r="J3161" s="3298" t="str">
        <f>$C$1509</f>
        <v>353050_2021_12_</v>
      </c>
      <c r="K3161" s="2228">
        <v>15</v>
      </c>
      <c r="L3161" s="851"/>
      <c r="M3161" s="2723" t="s">
        <v>1554</v>
      </c>
      <c r="N3161" s="123"/>
      <c r="O3161" s="228"/>
      <c r="P3161" s="844"/>
      <c r="Q3161" s="844"/>
      <c r="R3161" s="844"/>
      <c r="S3161" s="832"/>
      <c r="T3161" s="3082"/>
      <c r="U3161" s="123"/>
      <c r="V3161" s="3990"/>
      <c r="W3161" s="2857">
        <v>15.1</v>
      </c>
      <c r="X3161" s="2857">
        <v>15.1</v>
      </c>
      <c r="Y3161" s="696">
        <v>15.1</v>
      </c>
      <c r="Z3161" s="696">
        <v>15.1</v>
      </c>
      <c r="AA3161" s="696">
        <v>15.1</v>
      </c>
      <c r="AB3161" s="2282">
        <v>15.1</v>
      </c>
      <c r="AC3161" s="2228">
        <v>15</v>
      </c>
      <c r="AD3161" s="2857"/>
      <c r="AE3161" s="2857"/>
      <c r="AF3161" s="2857"/>
      <c r="AG3161" s="2857"/>
      <c r="AH3161" s="1942"/>
      <c r="AI3161" s="1942"/>
      <c r="AJ3161" s="1942"/>
      <c r="AK3161" s="1942"/>
      <c r="AL3161" s="1942"/>
      <c r="AM3161" s="1942"/>
      <c r="AN3161" s="1942"/>
      <c r="AO3161" s="1942"/>
      <c r="AP3161" s="1942"/>
      <c r="AQ3161" s="1942"/>
      <c r="AR3161" s="1942"/>
      <c r="AS3161" s="1942"/>
      <c r="AT3161" s="1942"/>
      <c r="AU3161" s="1942"/>
      <c r="AV3161" s="1942"/>
      <c r="AW3161" s="1942"/>
      <c r="AX3161" s="1942"/>
      <c r="AY3161" s="1942"/>
      <c r="AZ3161" s="1942"/>
      <c r="BA3161" s="1942"/>
      <c r="BB3161" s="575"/>
      <c r="BC3161" s="576"/>
      <c r="BD3161" s="678"/>
      <c r="BE3161" s="585"/>
    </row>
    <row r="3162" spans="1:57" s="51" customFormat="1" ht="15" hidden="1" customHeight="1" outlineLevel="1" x14ac:dyDescent="0.25">
      <c r="A3162" s="2060"/>
      <c r="B3162" s="123"/>
      <c r="C3162" s="328"/>
      <c r="D3162" s="3990"/>
      <c r="E3162" s="4009"/>
      <c r="F3162" s="3011" t="str">
        <f>$E$1511</f>
        <v>ASHP-SEER15_ROF_MF_CompE</v>
      </c>
      <c r="G3162" s="2678"/>
      <c r="H3162" s="2678"/>
      <c r="I3162" s="2679"/>
      <c r="J3162" s="3298" t="str">
        <f>$C$1511</f>
        <v>353051_2021_12_</v>
      </c>
      <c r="K3162" s="2282">
        <v>15.1</v>
      </c>
      <c r="L3162" s="851"/>
      <c r="M3162" s="2723" t="s">
        <v>1125</v>
      </c>
      <c r="N3162" s="123"/>
      <c r="O3162" s="228"/>
      <c r="P3162" s="844"/>
      <c r="Q3162" s="844"/>
      <c r="R3162" s="844"/>
      <c r="S3162" s="832"/>
      <c r="T3162" s="3082"/>
      <c r="U3162" s="123"/>
      <c r="V3162" s="3990"/>
      <c r="W3162" s="2857"/>
      <c r="X3162" s="2857"/>
      <c r="Y3162" s="3158">
        <v>15.1</v>
      </c>
      <c r="Z3162" s="696">
        <v>15.1</v>
      </c>
      <c r="AA3162" s="696">
        <v>15.1</v>
      </c>
      <c r="AB3162" s="2282">
        <v>15.1</v>
      </c>
      <c r="AC3162" s="2282">
        <v>15.1</v>
      </c>
      <c r="AD3162" s="2857"/>
      <c r="AE3162" s="2857"/>
      <c r="AF3162" s="2857"/>
      <c r="AG3162" s="2857"/>
      <c r="AH3162" s="1942"/>
      <c r="AI3162" s="1942"/>
      <c r="AJ3162" s="1942"/>
      <c r="AK3162" s="1942"/>
      <c r="AL3162" s="1942"/>
      <c r="AM3162" s="1942"/>
      <c r="AN3162" s="1942"/>
      <c r="AO3162" s="1942"/>
      <c r="AP3162" s="1942"/>
      <c r="AQ3162" s="1942"/>
      <c r="AR3162" s="1942"/>
      <c r="AS3162" s="1942"/>
      <c r="AT3162" s="1942"/>
      <c r="AU3162" s="1942"/>
      <c r="AV3162" s="1942"/>
      <c r="AW3162" s="1942"/>
      <c r="AX3162" s="1942"/>
      <c r="AY3162" s="1942"/>
      <c r="AZ3162" s="1942"/>
      <c r="BA3162" s="1942"/>
      <c r="BB3162" s="575"/>
      <c r="BC3162" s="576"/>
      <c r="BD3162" s="678"/>
      <c r="BE3162" s="585"/>
    </row>
    <row r="3163" spans="1:57" s="51" customFormat="1" ht="15" hidden="1" customHeight="1" outlineLevel="1" x14ac:dyDescent="0.25">
      <c r="A3163" s="2060"/>
      <c r="B3163" s="123"/>
      <c r="C3163" s="328"/>
      <c r="D3163" s="3990"/>
      <c r="E3163" s="4009"/>
      <c r="F3163" s="3010" t="str">
        <f>$E$1513</f>
        <v>ASHP-SEER17-Replace_CAC_ElectricHeat_ROF_SF</v>
      </c>
      <c r="G3163" s="2676"/>
      <c r="H3163" s="2676"/>
      <c r="I3163" s="2677"/>
      <c r="J3163" s="3298" t="str">
        <f>$C$1513</f>
        <v>353100_2021_12_</v>
      </c>
      <c r="K3163" s="2228">
        <v>17.3</v>
      </c>
      <c r="L3163" s="851"/>
      <c r="M3163" s="2723" t="s">
        <v>1565</v>
      </c>
      <c r="N3163" s="123"/>
      <c r="O3163" s="228"/>
      <c r="P3163" s="844"/>
      <c r="Q3163" s="844"/>
      <c r="R3163" s="844"/>
      <c r="S3163" s="832"/>
      <c r="T3163" s="3082"/>
      <c r="U3163" s="123"/>
      <c r="V3163" s="3990"/>
      <c r="W3163" s="2857">
        <v>17</v>
      </c>
      <c r="X3163" s="2857">
        <v>17</v>
      </c>
      <c r="Y3163" s="3158">
        <v>17</v>
      </c>
      <c r="Z3163" s="696">
        <v>17</v>
      </c>
      <c r="AA3163" s="696">
        <v>17</v>
      </c>
      <c r="AB3163" s="2282">
        <v>17</v>
      </c>
      <c r="AC3163" s="2228">
        <v>17.3</v>
      </c>
      <c r="AD3163" s="2857"/>
      <c r="AE3163" s="2857"/>
      <c r="AF3163" s="2857"/>
      <c r="AG3163" s="2857"/>
      <c r="AH3163" s="1942"/>
      <c r="AI3163" s="1942"/>
      <c r="AJ3163" s="1942"/>
      <c r="AK3163" s="1942"/>
      <c r="AL3163" s="1942"/>
      <c r="AM3163" s="1942"/>
      <c r="AN3163" s="1942"/>
      <c r="AO3163" s="1942"/>
      <c r="AP3163" s="1942"/>
      <c r="AQ3163" s="1942"/>
      <c r="AR3163" s="1942"/>
      <c r="AS3163" s="1942"/>
      <c r="AT3163" s="1942"/>
      <c r="AU3163" s="1942"/>
      <c r="AV3163" s="1942"/>
      <c r="AW3163" s="1942"/>
      <c r="AX3163" s="1942"/>
      <c r="AY3163" s="1942"/>
      <c r="AZ3163" s="1942"/>
      <c r="BA3163" s="1942"/>
      <c r="BB3163" s="575"/>
      <c r="BC3163" s="576"/>
      <c r="BD3163" s="678"/>
      <c r="BE3163" s="585"/>
    </row>
    <row r="3164" spans="1:57" s="51" customFormat="1" ht="15" hidden="1" customHeight="1" outlineLevel="1" x14ac:dyDescent="0.25">
      <c r="A3164" s="2060"/>
      <c r="B3164" s="123"/>
      <c r="C3164" s="328"/>
      <c r="D3164" s="3990"/>
      <c r="E3164" s="4009"/>
      <c r="F3164" s="3010" t="str">
        <f>$E$1515</f>
        <v>ASHP-SEER17-Replace_CAC_ElectricHeat_ROF_MF</v>
      </c>
      <c r="G3164" s="2676"/>
      <c r="H3164" s="2676"/>
      <c r="I3164" s="2677"/>
      <c r="J3164" s="3299" t="str">
        <f>$C$1515</f>
        <v>353150_2019_12_</v>
      </c>
      <c r="K3164" s="2282">
        <v>17</v>
      </c>
      <c r="L3164" s="851"/>
      <c r="M3164" s="2278" t="s">
        <v>1566</v>
      </c>
      <c r="N3164" s="123"/>
      <c r="O3164" s="228"/>
      <c r="P3164" s="844"/>
      <c r="Q3164" s="844"/>
      <c r="R3164" s="844"/>
      <c r="S3164" s="832"/>
      <c r="T3164" s="3082"/>
      <c r="U3164" s="123"/>
      <c r="V3164" s="3990"/>
      <c r="W3164" s="2857">
        <v>17</v>
      </c>
      <c r="X3164" s="2857">
        <v>17</v>
      </c>
      <c r="Y3164" s="3158">
        <v>17</v>
      </c>
      <c r="Z3164" s="696">
        <v>17</v>
      </c>
      <c r="AA3164" s="696">
        <v>17</v>
      </c>
      <c r="AB3164" s="2282">
        <v>17</v>
      </c>
      <c r="AC3164" s="2282">
        <v>17</v>
      </c>
      <c r="AD3164" s="2857"/>
      <c r="AE3164" s="2857"/>
      <c r="AF3164" s="2857"/>
      <c r="AG3164" s="2857"/>
      <c r="AH3164" s="1942"/>
      <c r="AI3164" s="1942"/>
      <c r="AJ3164" s="1942"/>
      <c r="AK3164" s="1942"/>
      <c r="AL3164" s="1942"/>
      <c r="AM3164" s="1942"/>
      <c r="AN3164" s="1942"/>
      <c r="AO3164" s="1942"/>
      <c r="AP3164" s="1942"/>
      <c r="AQ3164" s="1942"/>
      <c r="AR3164" s="1942"/>
      <c r="AS3164" s="1942"/>
      <c r="AT3164" s="1942"/>
      <c r="AU3164" s="1942"/>
      <c r="AV3164" s="1942"/>
      <c r="AW3164" s="1942"/>
      <c r="AX3164" s="1942"/>
      <c r="AY3164" s="1942"/>
      <c r="AZ3164" s="1942"/>
      <c r="BA3164" s="1942"/>
      <c r="BB3164" s="575"/>
      <c r="BC3164" s="576"/>
      <c r="BD3164" s="678"/>
      <c r="BE3164" s="585"/>
    </row>
    <row r="3165" spans="1:57" s="51" customFormat="1" ht="15" hidden="1" customHeight="1" outlineLevel="1" x14ac:dyDescent="0.25">
      <c r="A3165" s="2060"/>
      <c r="B3165" s="123"/>
      <c r="C3165" s="328"/>
      <c r="D3165" s="3990"/>
      <c r="E3165" s="4009"/>
      <c r="F3165" s="3010" t="str">
        <f>$E$1517</f>
        <v>ASHP-SEER17-Replace_CAC_ElectricHeat_ROF_MF_CompE</v>
      </c>
      <c r="G3165" s="2676"/>
      <c r="H3165" s="2676"/>
      <c r="I3165" s="2677"/>
      <c r="J3165" s="3299" t="str">
        <f>$C$1517</f>
        <v>353151_2019_12_</v>
      </c>
      <c r="K3165" s="2282">
        <v>17</v>
      </c>
      <c r="L3165" s="851"/>
      <c r="M3165" s="2723" t="s">
        <v>1125</v>
      </c>
      <c r="N3165" s="123"/>
      <c r="O3165" s="228"/>
      <c r="P3165" s="844"/>
      <c r="Q3165" s="844"/>
      <c r="R3165" s="844"/>
      <c r="S3165" s="832"/>
      <c r="T3165" s="3082"/>
      <c r="U3165" s="123"/>
      <c r="V3165" s="3990"/>
      <c r="W3165" s="2857"/>
      <c r="X3165" s="2857"/>
      <c r="Y3165" s="3158">
        <v>17</v>
      </c>
      <c r="Z3165" s="696">
        <v>17</v>
      </c>
      <c r="AA3165" s="696">
        <v>17</v>
      </c>
      <c r="AB3165" s="2282">
        <v>17</v>
      </c>
      <c r="AC3165" s="2282">
        <v>17</v>
      </c>
      <c r="AD3165" s="2857"/>
      <c r="AE3165" s="2857"/>
      <c r="AF3165" s="2857"/>
      <c r="AG3165" s="2857"/>
      <c r="AH3165" s="1942"/>
      <c r="AI3165" s="1942"/>
      <c r="AJ3165" s="1942"/>
      <c r="AK3165" s="1942"/>
      <c r="AL3165" s="1942"/>
      <c r="AM3165" s="1942"/>
      <c r="AN3165" s="1942"/>
      <c r="AO3165" s="1942"/>
      <c r="AP3165" s="1942"/>
      <c r="AQ3165" s="1942"/>
      <c r="AR3165" s="1942"/>
      <c r="AS3165" s="1942"/>
      <c r="AT3165" s="1942"/>
      <c r="AU3165" s="1942"/>
      <c r="AV3165" s="1942"/>
      <c r="AW3165" s="1942"/>
      <c r="AX3165" s="1942"/>
      <c r="AY3165" s="1942"/>
      <c r="AZ3165" s="1942"/>
      <c r="BA3165" s="1942"/>
      <c r="BB3165" s="575"/>
      <c r="BC3165" s="576"/>
      <c r="BD3165" s="678"/>
      <c r="BE3165" s="585"/>
    </row>
    <row r="3166" spans="1:57" s="1942" customFormat="1" ht="15" hidden="1" customHeight="1" outlineLevel="1" x14ac:dyDescent="0.25">
      <c r="A3166" s="2060"/>
      <c r="B3166" s="123"/>
      <c r="C3166" s="328"/>
      <c r="D3166" s="3990"/>
      <c r="E3166" s="4009"/>
      <c r="F3166" s="3010" t="str">
        <f>$E$1519</f>
        <v>ASHP-SEER17-Replace_CAC_NonElectricHeat_ROF_MF</v>
      </c>
      <c r="G3166" s="2676"/>
      <c r="H3166" s="2676"/>
      <c r="I3166" s="2677"/>
      <c r="J3166" s="3298" t="str">
        <f>$C$1519</f>
        <v>353160_2021_12_</v>
      </c>
      <c r="K3166" s="2228">
        <v>17</v>
      </c>
      <c r="L3166" s="851"/>
      <c r="M3166" s="2723" t="s">
        <v>1125</v>
      </c>
      <c r="N3166" s="123"/>
      <c r="O3166" s="228"/>
      <c r="P3166" s="844"/>
      <c r="Q3166" s="844"/>
      <c r="R3166" s="844"/>
      <c r="S3166" s="832"/>
      <c r="T3166" s="3082"/>
      <c r="U3166" s="123"/>
      <c r="V3166" s="3990"/>
      <c r="W3166" s="2857"/>
      <c r="X3166" s="2857"/>
      <c r="Y3166" s="3158"/>
      <c r="Z3166" s="696"/>
      <c r="AA3166" s="696"/>
      <c r="AB3166" s="2282"/>
      <c r="AC3166" s="2228">
        <v>17</v>
      </c>
      <c r="AD3166" s="2857"/>
      <c r="AE3166" s="2857"/>
      <c r="AF3166" s="2857"/>
      <c r="AG3166" s="2857"/>
      <c r="BB3166" s="575"/>
      <c r="BC3166" s="576"/>
      <c r="BD3166" s="678"/>
      <c r="BE3166" s="585"/>
    </row>
    <row r="3167" spans="1:57" s="1942" customFormat="1" ht="15" hidden="1" customHeight="1" outlineLevel="1" x14ac:dyDescent="0.25">
      <c r="A3167" s="2060"/>
      <c r="B3167" s="123"/>
      <c r="C3167" s="328"/>
      <c r="D3167" s="3990"/>
      <c r="E3167" s="4009"/>
      <c r="F3167" s="3010" t="str">
        <f>$E$1521</f>
        <v>ASHP-SEER17-Replace_CAC_NonElectricHeat_ROF_MF_CompE</v>
      </c>
      <c r="G3167" s="2676"/>
      <c r="H3167" s="2676"/>
      <c r="I3167" s="2677"/>
      <c r="J3167" s="3298" t="str">
        <f>$C$1521</f>
        <v>353161_2021_12_</v>
      </c>
      <c r="K3167" s="2228">
        <v>17</v>
      </c>
      <c r="L3167" s="851"/>
      <c r="M3167" s="2723" t="s">
        <v>1125</v>
      </c>
      <c r="N3167" s="123"/>
      <c r="O3167" s="228"/>
      <c r="P3167" s="844"/>
      <c r="Q3167" s="844"/>
      <c r="R3167" s="844"/>
      <c r="S3167" s="832"/>
      <c r="T3167" s="3082"/>
      <c r="U3167" s="123"/>
      <c r="V3167" s="3990"/>
      <c r="W3167" s="2857"/>
      <c r="X3167" s="2857"/>
      <c r="Y3167" s="3158"/>
      <c r="Z3167" s="696"/>
      <c r="AA3167" s="696"/>
      <c r="AB3167" s="2282"/>
      <c r="AC3167" s="2228">
        <v>17</v>
      </c>
      <c r="AD3167" s="2857"/>
      <c r="AE3167" s="2857"/>
      <c r="AF3167" s="2857"/>
      <c r="AG3167" s="2857"/>
      <c r="BB3167" s="575"/>
      <c r="BC3167" s="576"/>
      <c r="BD3167" s="678"/>
      <c r="BE3167" s="585"/>
    </row>
    <row r="3168" spans="1:57" s="51" customFormat="1" ht="15" hidden="1" customHeight="1" outlineLevel="1" x14ac:dyDescent="0.25">
      <c r="A3168" s="2060"/>
      <c r="B3168" s="123"/>
      <c r="C3168" s="328"/>
      <c r="D3168" s="3990"/>
      <c r="E3168" s="4009"/>
      <c r="F3168" s="3010" t="str">
        <f>$E$1523</f>
        <v>ASHP-SEER18-Replace_CAC_ElectricHeat_ROF_SF</v>
      </c>
      <c r="G3168" s="2676"/>
      <c r="H3168" s="2676"/>
      <c r="I3168" s="2677"/>
      <c r="J3168" s="3298" t="str">
        <f>$C$1523</f>
        <v>353200_2021_12_</v>
      </c>
      <c r="K3168" s="2228">
        <v>17.736216216216217</v>
      </c>
      <c r="L3168" s="851"/>
      <c r="M3168" s="2723" t="s">
        <v>1005</v>
      </c>
      <c r="N3168" s="123"/>
      <c r="O3168" s="228"/>
      <c r="P3168" s="844"/>
      <c r="Q3168" s="844"/>
      <c r="R3168" s="844"/>
      <c r="S3168" s="832"/>
      <c r="T3168" s="3082"/>
      <c r="U3168" s="123"/>
      <c r="V3168" s="3990"/>
      <c r="W3168" s="2857">
        <v>18</v>
      </c>
      <c r="X3168" s="2857">
        <v>18</v>
      </c>
      <c r="Y3168" s="3158">
        <v>18</v>
      </c>
      <c r="Z3168" s="696">
        <v>18</v>
      </c>
      <c r="AA3168" s="696">
        <v>18</v>
      </c>
      <c r="AB3168" s="2228">
        <v>19</v>
      </c>
      <c r="AC3168" s="2228">
        <v>17.736216216216217</v>
      </c>
      <c r="AD3168" s="2857"/>
      <c r="AE3168" s="2857"/>
      <c r="AF3168" s="2857"/>
      <c r="AG3168" s="2857"/>
      <c r="AH3168" s="1942"/>
      <c r="AI3168" s="1942"/>
      <c r="AJ3168" s="1942"/>
      <c r="AK3168" s="1942"/>
      <c r="AL3168" s="1942"/>
      <c r="AM3168" s="1942"/>
      <c r="AN3168" s="1942"/>
      <c r="AO3168" s="1942"/>
      <c r="AP3168" s="1942"/>
      <c r="AQ3168" s="1942"/>
      <c r="AR3168" s="1942"/>
      <c r="AS3168" s="1942"/>
      <c r="AT3168" s="1942"/>
      <c r="AU3168" s="1942"/>
      <c r="AV3168" s="1942"/>
      <c r="AW3168" s="1942"/>
      <c r="AX3168" s="1942"/>
      <c r="AY3168" s="1942"/>
      <c r="AZ3168" s="1942"/>
      <c r="BA3168" s="1942"/>
      <c r="BB3168" s="575"/>
      <c r="BC3168" s="576"/>
      <c r="BD3168" s="678"/>
      <c r="BE3168" s="585"/>
    </row>
    <row r="3169" spans="1:57" s="51" customFormat="1" ht="15" hidden="1" customHeight="1" outlineLevel="1" x14ac:dyDescent="0.25">
      <c r="A3169" s="2060"/>
      <c r="B3169" s="123"/>
      <c r="C3169" s="328"/>
      <c r="D3169" s="3990"/>
      <c r="E3169" s="4009"/>
      <c r="F3169" s="3010" t="str">
        <f>$E$1525</f>
        <v>ASHP-SEER18-Replace_CAC_ElectricHeat_ROF_MF</v>
      </c>
      <c r="G3169" s="2676"/>
      <c r="H3169" s="2676"/>
      <c r="I3169" s="2677"/>
      <c r="J3169" s="3298" t="str">
        <f>$C$1525</f>
        <v>353250_2021_12_</v>
      </c>
      <c r="K3169" s="2228">
        <v>18</v>
      </c>
      <c r="L3169" s="851"/>
      <c r="M3169" s="2723" t="s">
        <v>1005</v>
      </c>
      <c r="N3169" s="123"/>
      <c r="O3169" s="228"/>
      <c r="P3169" s="844"/>
      <c r="Q3169" s="844"/>
      <c r="R3169" s="844"/>
      <c r="S3169" s="832"/>
      <c r="T3169" s="3082"/>
      <c r="U3169" s="123"/>
      <c r="V3169" s="3990"/>
      <c r="W3169" s="2857">
        <v>18</v>
      </c>
      <c r="X3169" s="2857">
        <v>18</v>
      </c>
      <c r="Y3169" s="3158">
        <v>18</v>
      </c>
      <c r="Z3169" s="696">
        <v>18</v>
      </c>
      <c r="AA3169" s="696">
        <v>18</v>
      </c>
      <c r="AB3169" s="2228">
        <v>19</v>
      </c>
      <c r="AC3169" s="2228">
        <v>18</v>
      </c>
      <c r="AD3169" s="2857"/>
      <c r="AE3169" s="2857"/>
      <c r="AF3169" s="2857"/>
      <c r="AG3169" s="2857"/>
      <c r="AH3169" s="1942"/>
      <c r="AI3169" s="1942"/>
      <c r="AJ3169" s="1942"/>
      <c r="AK3169" s="1942"/>
      <c r="AL3169" s="1942"/>
      <c r="AM3169" s="1942"/>
      <c r="AN3169" s="1942"/>
      <c r="AO3169" s="1942"/>
      <c r="AP3169" s="1942"/>
      <c r="AQ3169" s="1942"/>
      <c r="AR3169" s="1942"/>
      <c r="AS3169" s="1942"/>
      <c r="AT3169" s="1942"/>
      <c r="AU3169" s="1942"/>
      <c r="AV3169" s="1942"/>
      <c r="AW3169" s="1942"/>
      <c r="AX3169" s="1942"/>
      <c r="AY3169" s="1942"/>
      <c r="AZ3169" s="1942"/>
      <c r="BA3169" s="1942"/>
      <c r="BB3169" s="575"/>
      <c r="BC3169" s="576"/>
      <c r="BD3169" s="678"/>
      <c r="BE3169" s="585"/>
    </row>
    <row r="3170" spans="1:57" s="51" customFormat="1" ht="15" hidden="1" customHeight="1" outlineLevel="1" x14ac:dyDescent="0.25">
      <c r="A3170" s="2060"/>
      <c r="B3170" s="123"/>
      <c r="C3170" s="328"/>
      <c r="D3170" s="3990"/>
      <c r="E3170" s="4009"/>
      <c r="F3170" s="3010" t="str">
        <f>$E$1527</f>
        <v>ASHP-SEER18-Replace_CAC_ElectricHeat_ROF_MF_CompE</v>
      </c>
      <c r="G3170" s="2676"/>
      <c r="H3170" s="2676"/>
      <c r="I3170" s="2677"/>
      <c r="J3170" s="3298" t="str">
        <f>$C$1527</f>
        <v>353251_2021_12_</v>
      </c>
      <c r="K3170" s="2282">
        <f>K3169</f>
        <v>18</v>
      </c>
      <c r="L3170" s="851"/>
      <c r="M3170" s="2278" t="s">
        <v>1125</v>
      </c>
      <c r="N3170" s="123"/>
      <c r="O3170" s="228"/>
      <c r="P3170" s="844"/>
      <c r="Q3170" s="844"/>
      <c r="R3170" s="844"/>
      <c r="S3170" s="832"/>
      <c r="T3170" s="3082"/>
      <c r="U3170" s="123"/>
      <c r="V3170" s="3990"/>
      <c r="W3170" s="2857"/>
      <c r="X3170" s="2857"/>
      <c r="Y3170" s="3158">
        <v>18</v>
      </c>
      <c r="Z3170" s="696">
        <v>18</v>
      </c>
      <c r="AA3170" s="696">
        <v>18</v>
      </c>
      <c r="AB3170" s="2228">
        <v>19</v>
      </c>
      <c r="AC3170" s="2282">
        <f>AC3169</f>
        <v>18</v>
      </c>
      <c r="AD3170" s="2857"/>
      <c r="AE3170" s="2857"/>
      <c r="AF3170" s="2857"/>
      <c r="AG3170" s="2857"/>
      <c r="AH3170" s="1942"/>
      <c r="AI3170" s="1942"/>
      <c r="AJ3170" s="1942"/>
      <c r="AK3170" s="1942"/>
      <c r="AL3170" s="1942"/>
      <c r="AM3170" s="1942"/>
      <c r="AN3170" s="1942"/>
      <c r="AO3170" s="1942"/>
      <c r="AP3170" s="1942"/>
      <c r="AQ3170" s="1942"/>
      <c r="AR3170" s="1942"/>
      <c r="AS3170" s="1942"/>
      <c r="AT3170" s="1942"/>
      <c r="AU3170" s="1942"/>
      <c r="AV3170" s="1942"/>
      <c r="AW3170" s="1942"/>
      <c r="AX3170" s="1942"/>
      <c r="AY3170" s="1942"/>
      <c r="AZ3170" s="1942"/>
      <c r="BA3170" s="1942"/>
      <c r="BB3170" s="575"/>
      <c r="BC3170" s="576"/>
      <c r="BD3170" s="678"/>
      <c r="BE3170" s="585"/>
    </row>
    <row r="3171" spans="1:57" s="1942" customFormat="1" ht="15" hidden="1" customHeight="1" outlineLevel="1" x14ac:dyDescent="0.25">
      <c r="A3171" s="2060"/>
      <c r="B3171" s="123"/>
      <c r="C3171" s="328"/>
      <c r="D3171" s="3990"/>
      <c r="E3171" s="4009"/>
      <c r="F3171" s="3010" t="str">
        <f>$E$1529</f>
        <v>ASHP-SEER18-Replace_CAC_NonElectricHeat_ROF_MF</v>
      </c>
      <c r="G3171" s="2676"/>
      <c r="H3171" s="2676"/>
      <c r="I3171" s="2677"/>
      <c r="J3171" s="3298" t="str">
        <f>$C$1529</f>
        <v>353260_2021_12_</v>
      </c>
      <c r="K3171" s="2228">
        <v>18</v>
      </c>
      <c r="L3171" s="851"/>
      <c r="M3171" s="2723" t="s">
        <v>1125</v>
      </c>
      <c r="N3171" s="123"/>
      <c r="O3171" s="228"/>
      <c r="P3171" s="844"/>
      <c r="Q3171" s="844"/>
      <c r="R3171" s="844"/>
      <c r="S3171" s="832"/>
      <c r="T3171" s="3082"/>
      <c r="U3171" s="123"/>
      <c r="V3171" s="3990"/>
      <c r="W3171" s="2857"/>
      <c r="X3171" s="2857"/>
      <c r="Y3171" s="3158"/>
      <c r="Z3171" s="696"/>
      <c r="AA3171" s="696"/>
      <c r="AB3171" s="2228"/>
      <c r="AC3171" s="2228">
        <v>18</v>
      </c>
      <c r="AD3171" s="2857"/>
      <c r="AE3171" s="2857"/>
      <c r="AF3171" s="2857"/>
      <c r="AG3171" s="2857"/>
      <c r="BB3171" s="575"/>
      <c r="BC3171" s="576"/>
      <c r="BD3171" s="678"/>
      <c r="BE3171" s="585"/>
    </row>
    <row r="3172" spans="1:57" s="1942" customFormat="1" ht="15" hidden="1" customHeight="1" outlineLevel="1" x14ac:dyDescent="0.25">
      <c r="A3172" s="2060"/>
      <c r="B3172" s="123"/>
      <c r="C3172" s="328"/>
      <c r="D3172" s="3990"/>
      <c r="E3172" s="4009"/>
      <c r="F3172" s="3010" t="str">
        <f>$E$1531</f>
        <v>ASHP-SEER18-Replace_CAC_NonElectricHeat_ROF_MF_CompE</v>
      </c>
      <c r="G3172" s="2676"/>
      <c r="H3172" s="2676"/>
      <c r="I3172" s="2677"/>
      <c r="J3172" s="3298" t="str">
        <f>$C$1531</f>
        <v>353261_2021_12_</v>
      </c>
      <c r="K3172" s="2228">
        <f>K3171</f>
        <v>18</v>
      </c>
      <c r="L3172" s="851"/>
      <c r="M3172" s="2723" t="s">
        <v>1125</v>
      </c>
      <c r="N3172" s="123"/>
      <c r="O3172" s="228"/>
      <c r="P3172" s="844"/>
      <c r="Q3172" s="844"/>
      <c r="R3172" s="844"/>
      <c r="S3172" s="832"/>
      <c r="T3172" s="3082"/>
      <c r="U3172" s="123"/>
      <c r="V3172" s="3990"/>
      <c r="W3172" s="2857"/>
      <c r="X3172" s="2857"/>
      <c r="Y3172" s="3158"/>
      <c r="Z3172" s="696"/>
      <c r="AA3172" s="696"/>
      <c r="AB3172" s="2228"/>
      <c r="AC3172" s="2228">
        <f>AC3171</f>
        <v>18</v>
      </c>
      <c r="AD3172" s="2857"/>
      <c r="AE3172" s="2857"/>
      <c r="AF3172" s="2857"/>
      <c r="AG3172" s="2857"/>
      <c r="BB3172" s="575"/>
      <c r="BC3172" s="576"/>
      <c r="BD3172" s="678"/>
      <c r="BE3172" s="585"/>
    </row>
    <row r="3173" spans="1:57" s="51" customFormat="1" ht="15" hidden="1" customHeight="1" outlineLevel="1" x14ac:dyDescent="0.25">
      <c r="A3173" s="2060"/>
      <c r="B3173" s="123"/>
      <c r="C3173" s="328"/>
      <c r="D3173" s="3990"/>
      <c r="E3173" s="4009"/>
      <c r="F3173" s="3010" t="str">
        <f>$E$1533</f>
        <v>ASHP-SEER19-Replace_CAC_ElectricHeat_ROF_SF</v>
      </c>
      <c r="G3173" s="2676"/>
      <c r="H3173" s="2676"/>
      <c r="I3173" s="2677"/>
      <c r="J3173" s="3298" t="str">
        <f>$C$1533</f>
        <v>353300_2021_12_</v>
      </c>
      <c r="K3173" s="2282">
        <v>19</v>
      </c>
      <c r="L3173" s="851"/>
      <c r="M3173" s="2278" t="s">
        <v>1566</v>
      </c>
      <c r="N3173" s="123"/>
      <c r="O3173" s="228"/>
      <c r="P3173" s="844"/>
      <c r="Q3173" s="844"/>
      <c r="R3173" s="844"/>
      <c r="S3173" s="832"/>
      <c r="T3173" s="3082"/>
      <c r="U3173" s="123"/>
      <c r="V3173" s="3990"/>
      <c r="W3173" s="2857">
        <v>19</v>
      </c>
      <c r="X3173" s="2857">
        <v>19</v>
      </c>
      <c r="Y3173" s="3158">
        <v>19</v>
      </c>
      <c r="Z3173" s="696">
        <v>19</v>
      </c>
      <c r="AA3173" s="696">
        <v>19</v>
      </c>
      <c r="AB3173" s="2282">
        <v>19</v>
      </c>
      <c r="AC3173" s="2282">
        <v>19</v>
      </c>
      <c r="AD3173" s="2857"/>
      <c r="AE3173" s="2857"/>
      <c r="AF3173" s="2857"/>
      <c r="AG3173" s="2857"/>
      <c r="AH3173" s="1942"/>
      <c r="AI3173" s="1942"/>
      <c r="AJ3173" s="1942"/>
      <c r="AK3173" s="1942"/>
      <c r="AL3173" s="1942"/>
      <c r="AM3173" s="1942"/>
      <c r="AN3173" s="1942"/>
      <c r="AO3173" s="1942"/>
      <c r="AP3173" s="1942"/>
      <c r="AQ3173" s="1942"/>
      <c r="AR3173" s="1942"/>
      <c r="AS3173" s="1942"/>
      <c r="AT3173" s="1942"/>
      <c r="AU3173" s="1942"/>
      <c r="AV3173" s="1942"/>
      <c r="AW3173" s="1942"/>
      <c r="AX3173" s="1942"/>
      <c r="AY3173" s="1942"/>
      <c r="AZ3173" s="1942"/>
      <c r="BA3173" s="1942"/>
      <c r="BB3173" s="575"/>
      <c r="BC3173" s="576"/>
      <c r="BD3173" s="678"/>
      <c r="BE3173" s="585"/>
    </row>
    <row r="3174" spans="1:57" s="51" customFormat="1" ht="15" hidden="1" customHeight="1" outlineLevel="1" x14ac:dyDescent="0.25">
      <c r="A3174" s="2060"/>
      <c r="B3174" s="123"/>
      <c r="C3174" s="328"/>
      <c r="D3174" s="3990"/>
      <c r="E3174" s="4009"/>
      <c r="F3174" s="3010" t="str">
        <f>$E$1535</f>
        <v>ASHP-SEER19-Replace_CAC_ElectricHeat_ROF_MF</v>
      </c>
      <c r="G3174" s="2676"/>
      <c r="H3174" s="2676"/>
      <c r="I3174" s="2677"/>
      <c r="J3174" s="3298" t="str">
        <f>$C$1535</f>
        <v>353350_2021_12_</v>
      </c>
      <c r="K3174" s="2228">
        <v>19.5</v>
      </c>
      <c r="L3174" s="851"/>
      <c r="M3174" s="2723" t="s">
        <v>1565</v>
      </c>
      <c r="N3174" s="123"/>
      <c r="O3174" s="228"/>
      <c r="P3174" s="844"/>
      <c r="Q3174" s="844"/>
      <c r="R3174" s="844"/>
      <c r="S3174" s="832"/>
      <c r="T3174" s="3082"/>
      <c r="U3174" s="123"/>
      <c r="V3174" s="3990"/>
      <c r="W3174" s="2857">
        <v>19</v>
      </c>
      <c r="X3174" s="2857">
        <v>19</v>
      </c>
      <c r="Y3174" s="3158">
        <v>19</v>
      </c>
      <c r="Z3174" s="696">
        <v>19</v>
      </c>
      <c r="AA3174" s="696">
        <v>19</v>
      </c>
      <c r="AB3174" s="2282">
        <v>19</v>
      </c>
      <c r="AC3174" s="2228">
        <v>19.5</v>
      </c>
      <c r="AD3174" s="2857"/>
      <c r="AE3174" s="2857"/>
      <c r="AF3174" s="2857"/>
      <c r="AG3174" s="2857"/>
      <c r="AH3174" s="1942"/>
      <c r="AI3174" s="1942"/>
      <c r="AJ3174" s="1942"/>
      <c r="AK3174" s="1942"/>
      <c r="AL3174" s="1942"/>
      <c r="AM3174" s="1942"/>
      <c r="AN3174" s="1942"/>
      <c r="AO3174" s="1942"/>
      <c r="AP3174" s="1942"/>
      <c r="AQ3174" s="1942"/>
      <c r="AR3174" s="1942"/>
      <c r="AS3174" s="1942"/>
      <c r="AT3174" s="1942"/>
      <c r="AU3174" s="1942"/>
      <c r="AV3174" s="1942"/>
      <c r="AW3174" s="1942"/>
      <c r="AX3174" s="1942"/>
      <c r="AY3174" s="1942"/>
      <c r="AZ3174" s="1942"/>
      <c r="BA3174" s="1942"/>
      <c r="BB3174" s="575"/>
      <c r="BC3174" s="576"/>
      <c r="BD3174" s="678"/>
      <c r="BE3174" s="585"/>
    </row>
    <row r="3175" spans="1:57" s="51" customFormat="1" ht="15" hidden="1" customHeight="1" outlineLevel="1" x14ac:dyDescent="0.25">
      <c r="A3175" s="2060"/>
      <c r="B3175" s="123"/>
      <c r="C3175" s="328"/>
      <c r="D3175" s="3990"/>
      <c r="E3175" s="4009"/>
      <c r="F3175" s="3010" t="str">
        <f>$E$1537</f>
        <v>ASHP-SEER19-Replace_CAC_ElectricHeat_ROF_MF_CompE</v>
      </c>
      <c r="G3175" s="2676"/>
      <c r="H3175" s="2676"/>
      <c r="I3175" s="2677"/>
      <c r="J3175" s="3299" t="str">
        <f>$C$1537</f>
        <v>353351_2019_12_</v>
      </c>
      <c r="K3175" s="2282">
        <v>19</v>
      </c>
      <c r="L3175" s="851"/>
      <c r="M3175" s="2723" t="s">
        <v>1125</v>
      </c>
      <c r="N3175" s="123"/>
      <c r="O3175" s="228"/>
      <c r="P3175" s="844"/>
      <c r="Q3175" s="844"/>
      <c r="R3175" s="844"/>
      <c r="S3175" s="832"/>
      <c r="T3175" s="3082"/>
      <c r="U3175" s="123"/>
      <c r="V3175" s="3990"/>
      <c r="W3175" s="2857"/>
      <c r="X3175" s="2857"/>
      <c r="Y3175" s="3158">
        <v>19</v>
      </c>
      <c r="Z3175" s="696">
        <v>19</v>
      </c>
      <c r="AA3175" s="696">
        <v>19</v>
      </c>
      <c r="AB3175" s="2282">
        <v>19</v>
      </c>
      <c r="AC3175" s="2282">
        <v>19</v>
      </c>
      <c r="AD3175" s="2857"/>
      <c r="AE3175" s="2857"/>
      <c r="AF3175" s="2857"/>
      <c r="AG3175" s="2857"/>
      <c r="AH3175" s="1942"/>
      <c r="AI3175" s="1942"/>
      <c r="AJ3175" s="1942"/>
      <c r="AK3175" s="1942"/>
      <c r="AL3175" s="1942"/>
      <c r="AM3175" s="1942"/>
      <c r="AN3175" s="1942"/>
      <c r="AO3175" s="1942"/>
      <c r="AP3175" s="1942"/>
      <c r="AQ3175" s="1942"/>
      <c r="AR3175" s="1942"/>
      <c r="AS3175" s="1942"/>
      <c r="AT3175" s="1942"/>
      <c r="AU3175" s="1942"/>
      <c r="AV3175" s="1942"/>
      <c r="AW3175" s="1942"/>
      <c r="AX3175" s="1942"/>
      <c r="AY3175" s="1942"/>
      <c r="AZ3175" s="1942"/>
      <c r="BA3175" s="1942"/>
      <c r="BB3175" s="575"/>
      <c r="BC3175" s="576"/>
      <c r="BD3175" s="678"/>
      <c r="BE3175" s="585"/>
    </row>
    <row r="3176" spans="1:57" s="1942" customFormat="1" ht="15" hidden="1" customHeight="1" outlineLevel="1" x14ac:dyDescent="0.25">
      <c r="A3176" s="2060"/>
      <c r="B3176" s="123"/>
      <c r="C3176" s="328"/>
      <c r="D3176" s="3990"/>
      <c r="E3176" s="4009"/>
      <c r="F3176" s="3010" t="str">
        <f>$E$1539</f>
        <v>ASHP-SEER19-Replace_CAC_NonElectricHeat_ROF_MF</v>
      </c>
      <c r="G3176" s="2676"/>
      <c r="H3176" s="2676"/>
      <c r="I3176" s="2677"/>
      <c r="J3176" s="3298" t="str">
        <f>$C$1539</f>
        <v>353360_2021_12_</v>
      </c>
      <c r="K3176" s="2228">
        <v>19.5</v>
      </c>
      <c r="L3176" s="851"/>
      <c r="M3176" s="2723" t="s">
        <v>1125</v>
      </c>
      <c r="N3176" s="123"/>
      <c r="O3176" s="228"/>
      <c r="P3176" s="844"/>
      <c r="Q3176" s="844"/>
      <c r="R3176" s="844"/>
      <c r="S3176" s="832"/>
      <c r="T3176" s="3082"/>
      <c r="U3176" s="123"/>
      <c r="V3176" s="3990"/>
      <c r="W3176" s="2857"/>
      <c r="X3176" s="2857"/>
      <c r="Y3176" s="3158"/>
      <c r="Z3176" s="696"/>
      <c r="AA3176" s="696"/>
      <c r="AB3176" s="2282"/>
      <c r="AC3176" s="2228">
        <v>19.5</v>
      </c>
      <c r="AD3176" s="2857"/>
      <c r="AE3176" s="2857"/>
      <c r="AF3176" s="2857"/>
      <c r="AG3176" s="2857"/>
      <c r="BB3176" s="575"/>
      <c r="BC3176" s="576"/>
      <c r="BD3176" s="678"/>
      <c r="BE3176" s="585"/>
    </row>
    <row r="3177" spans="1:57" s="1942" customFormat="1" ht="15" hidden="1" customHeight="1" outlineLevel="1" x14ac:dyDescent="0.25">
      <c r="A3177" s="2060"/>
      <c r="B3177" s="123"/>
      <c r="C3177" s="328"/>
      <c r="D3177" s="3990"/>
      <c r="E3177" s="4009"/>
      <c r="F3177" s="3010" t="str">
        <f>$E$1541</f>
        <v>ASHP-SEER19-Replace_CAC_NonElectricHeat_ROF_MF_CompE</v>
      </c>
      <c r="G3177" s="2676"/>
      <c r="H3177" s="2676"/>
      <c r="I3177" s="2677"/>
      <c r="J3177" s="3298" t="str">
        <f>$C$1541</f>
        <v>353361_2021_12_</v>
      </c>
      <c r="K3177" s="2228">
        <v>19</v>
      </c>
      <c r="L3177" s="851"/>
      <c r="M3177" s="2723" t="s">
        <v>1125</v>
      </c>
      <c r="N3177" s="123"/>
      <c r="O3177" s="228"/>
      <c r="P3177" s="844"/>
      <c r="Q3177" s="844"/>
      <c r="R3177" s="844"/>
      <c r="S3177" s="832"/>
      <c r="T3177" s="3082"/>
      <c r="U3177" s="123"/>
      <c r="V3177" s="3990"/>
      <c r="W3177" s="2857"/>
      <c r="X3177" s="2857"/>
      <c r="Y3177" s="3158"/>
      <c r="Z3177" s="696"/>
      <c r="AA3177" s="696"/>
      <c r="AB3177" s="2282"/>
      <c r="AC3177" s="2228">
        <v>19</v>
      </c>
      <c r="AD3177" s="2857"/>
      <c r="AE3177" s="2857"/>
      <c r="AF3177" s="2857"/>
      <c r="AG3177" s="2857"/>
      <c r="BB3177" s="575"/>
      <c r="BC3177" s="576"/>
      <c r="BD3177" s="678"/>
      <c r="BE3177" s="585"/>
    </row>
    <row r="3178" spans="1:57" s="51" customFormat="1" ht="15" hidden="1" customHeight="1" outlineLevel="1" x14ac:dyDescent="0.25">
      <c r="A3178" s="2060"/>
      <c r="B3178" s="123"/>
      <c r="C3178" s="328"/>
      <c r="D3178" s="3990"/>
      <c r="E3178" s="4009"/>
      <c r="F3178" s="3010" t="str">
        <f>$E$1543</f>
        <v>ASHP-SEER20-Replace_CAC_ElectricHeat_ER1_SF</v>
      </c>
      <c r="G3178" s="2676"/>
      <c r="H3178" s="2676"/>
      <c r="I3178" s="2677"/>
      <c r="J3178" s="3298" t="str">
        <f>$C$1543</f>
        <v>353400_2021_12_</v>
      </c>
      <c r="K3178" s="2228">
        <v>20</v>
      </c>
      <c r="L3178" s="851"/>
      <c r="M3178" s="2723" t="s">
        <v>1565</v>
      </c>
      <c r="N3178" s="123"/>
      <c r="O3178" s="228"/>
      <c r="P3178" s="844"/>
      <c r="Q3178" s="844"/>
      <c r="R3178" s="844"/>
      <c r="S3178" s="832"/>
      <c r="T3178" s="3082"/>
      <c r="U3178" s="123"/>
      <c r="V3178" s="3990"/>
      <c r="W3178" s="2857">
        <v>20</v>
      </c>
      <c r="X3178" s="2857">
        <v>20</v>
      </c>
      <c r="Y3178" s="696">
        <v>20</v>
      </c>
      <c r="Z3178" s="696">
        <v>20</v>
      </c>
      <c r="AA3178" s="696">
        <v>20</v>
      </c>
      <c r="AB3178" s="2282">
        <v>20</v>
      </c>
      <c r="AC3178" s="2228">
        <v>20</v>
      </c>
      <c r="AD3178" s="2857"/>
      <c r="AE3178" s="2857"/>
      <c r="AF3178" s="2857"/>
      <c r="AG3178" s="2857"/>
      <c r="AH3178" s="1942"/>
      <c r="AI3178" s="1942"/>
      <c r="AJ3178" s="1942"/>
      <c r="AK3178" s="1942"/>
      <c r="AL3178" s="1942"/>
      <c r="AM3178" s="1942"/>
      <c r="AN3178" s="1942"/>
      <c r="AO3178" s="1942"/>
      <c r="AP3178" s="1942"/>
      <c r="AQ3178" s="1942"/>
      <c r="AR3178" s="1942"/>
      <c r="AS3178" s="1942"/>
      <c r="AT3178" s="1942"/>
      <c r="AU3178" s="1942"/>
      <c r="AV3178" s="1942"/>
      <c r="AW3178" s="1942"/>
      <c r="AX3178" s="1942"/>
      <c r="AY3178" s="1942"/>
      <c r="AZ3178" s="1942"/>
      <c r="BA3178" s="1942"/>
      <c r="BB3178" s="575"/>
      <c r="BC3178" s="576"/>
      <c r="BD3178" s="678"/>
      <c r="BE3178" s="585"/>
    </row>
    <row r="3179" spans="1:57" s="51" customFormat="1" ht="15" hidden="1" customHeight="1" outlineLevel="1" x14ac:dyDescent="0.25">
      <c r="A3179" s="2060"/>
      <c r="B3179" s="123"/>
      <c r="C3179" s="328"/>
      <c r="D3179" s="3990"/>
      <c r="E3179" s="4009"/>
      <c r="F3179" s="3010" t="str">
        <f>$E$1545</f>
        <v>ASHP-SEER20-Replace_CAC_ElectricHeat_ER2_SF</v>
      </c>
      <c r="G3179" s="2676"/>
      <c r="H3179" s="2676"/>
      <c r="I3179" s="2677"/>
      <c r="J3179" s="3298" t="str">
        <f>$C$1545</f>
        <v>353400_2021_12_</v>
      </c>
      <c r="K3179" s="2228">
        <f>K3178</f>
        <v>20</v>
      </c>
      <c r="L3179" s="851"/>
      <c r="M3179" s="2723" t="s">
        <v>1565</v>
      </c>
      <c r="N3179" s="123"/>
      <c r="O3179" s="228"/>
      <c r="P3179" s="844"/>
      <c r="Q3179" s="844"/>
      <c r="R3179" s="844"/>
      <c r="S3179" s="832"/>
      <c r="T3179" s="3082"/>
      <c r="U3179" s="123"/>
      <c r="V3179" s="3990"/>
      <c r="W3179" s="2857">
        <v>20</v>
      </c>
      <c r="X3179" s="2857">
        <v>20</v>
      </c>
      <c r="Y3179" s="696">
        <v>20</v>
      </c>
      <c r="Z3179" s="696">
        <v>20</v>
      </c>
      <c r="AA3179" s="696">
        <v>20</v>
      </c>
      <c r="AB3179" s="2282">
        <v>20</v>
      </c>
      <c r="AC3179" s="2228">
        <f>AC3178</f>
        <v>20</v>
      </c>
      <c r="AD3179" s="2857"/>
      <c r="AE3179" s="2857"/>
      <c r="AF3179" s="2857"/>
      <c r="AG3179" s="2857"/>
      <c r="AH3179" s="1942"/>
      <c r="AI3179" s="1942"/>
      <c r="AJ3179" s="1942"/>
      <c r="AK3179" s="1942"/>
      <c r="AL3179" s="1942"/>
      <c r="AM3179" s="1942"/>
      <c r="AN3179" s="1942"/>
      <c r="AO3179" s="1942"/>
      <c r="AP3179" s="1942"/>
      <c r="AQ3179" s="1942"/>
      <c r="AR3179" s="1942"/>
      <c r="AS3179" s="1942"/>
      <c r="AT3179" s="1942"/>
      <c r="AU3179" s="1942"/>
      <c r="AV3179" s="1942"/>
      <c r="AW3179" s="1942"/>
      <c r="AX3179" s="1942"/>
      <c r="AY3179" s="1942"/>
      <c r="AZ3179" s="1942"/>
      <c r="BA3179" s="1942"/>
      <c r="BB3179" s="575"/>
      <c r="BC3179" s="576"/>
      <c r="BD3179" s="678"/>
      <c r="BE3179" s="585"/>
    </row>
    <row r="3180" spans="1:57" s="1942" customFormat="1" ht="15" hidden="1" customHeight="1" outlineLevel="1" x14ac:dyDescent="0.25">
      <c r="A3180" s="2060"/>
      <c r="B3180" s="123"/>
      <c r="C3180" s="328"/>
      <c r="D3180" s="3990"/>
      <c r="E3180" s="4009"/>
      <c r="F3180" s="3010" t="str">
        <f>$E$1547</f>
        <v>ASHP-SEER20-Replace_CAC_NonElectricHeat_ER1_SF</v>
      </c>
      <c r="G3180" s="2676"/>
      <c r="H3180" s="2676"/>
      <c r="I3180" s="2677"/>
      <c r="J3180" s="3298" t="str">
        <f>$C$1547</f>
        <v>353410_2021_12_</v>
      </c>
      <c r="K3180" s="2228">
        <v>20</v>
      </c>
      <c r="L3180" s="851"/>
      <c r="M3180" s="2723" t="s">
        <v>1125</v>
      </c>
      <c r="N3180" s="123"/>
      <c r="O3180" s="228"/>
      <c r="P3180" s="844"/>
      <c r="Q3180" s="844"/>
      <c r="R3180" s="844"/>
      <c r="S3180" s="832"/>
      <c r="T3180" s="3082"/>
      <c r="U3180" s="123"/>
      <c r="V3180" s="3990"/>
      <c r="W3180" s="2857"/>
      <c r="X3180" s="2857"/>
      <c r="Y3180" s="696"/>
      <c r="Z3180" s="696"/>
      <c r="AA3180" s="696"/>
      <c r="AB3180" s="2282"/>
      <c r="AC3180" s="2228">
        <v>20</v>
      </c>
      <c r="AD3180" s="2857"/>
      <c r="AE3180" s="2857"/>
      <c r="AF3180" s="2857"/>
      <c r="AG3180" s="2857"/>
      <c r="BB3180" s="575"/>
      <c r="BC3180" s="576"/>
      <c r="BD3180" s="678"/>
      <c r="BE3180" s="585"/>
    </row>
    <row r="3181" spans="1:57" s="1942" customFormat="1" ht="15" hidden="1" customHeight="1" outlineLevel="1" x14ac:dyDescent="0.25">
      <c r="A3181" s="2060"/>
      <c r="B3181" s="123"/>
      <c r="C3181" s="328"/>
      <c r="D3181" s="3990"/>
      <c r="E3181" s="4009"/>
      <c r="F3181" s="3010" t="str">
        <f>$E$1549</f>
        <v>ASHP-SEER20-Replace_CAC_NonElectricHeat_ER2_SF</v>
      </c>
      <c r="G3181" s="2676"/>
      <c r="H3181" s="2676"/>
      <c r="I3181" s="2677"/>
      <c r="J3181" s="3298" t="str">
        <f>$C$1549</f>
        <v>353410_2021_12_</v>
      </c>
      <c r="K3181" s="2228">
        <f>K3180</f>
        <v>20</v>
      </c>
      <c r="L3181" s="851"/>
      <c r="M3181" s="2723" t="s">
        <v>1125</v>
      </c>
      <c r="N3181" s="123"/>
      <c r="O3181" s="228"/>
      <c r="P3181" s="844"/>
      <c r="Q3181" s="844"/>
      <c r="R3181" s="844"/>
      <c r="S3181" s="832"/>
      <c r="T3181" s="3082"/>
      <c r="U3181" s="123"/>
      <c r="V3181" s="3990"/>
      <c r="W3181" s="2857"/>
      <c r="X3181" s="2857"/>
      <c r="Y3181" s="696"/>
      <c r="Z3181" s="696"/>
      <c r="AA3181" s="696"/>
      <c r="AB3181" s="2282"/>
      <c r="AC3181" s="2228">
        <f>AC3180</f>
        <v>20</v>
      </c>
      <c r="AD3181" s="2857"/>
      <c r="AE3181" s="2857"/>
      <c r="AF3181" s="2857"/>
      <c r="AG3181" s="2857"/>
      <c r="BB3181" s="575"/>
      <c r="BC3181" s="576"/>
      <c r="BD3181" s="678"/>
      <c r="BE3181" s="585"/>
    </row>
    <row r="3182" spans="1:57" s="51" customFormat="1" ht="15" hidden="1" customHeight="1" outlineLevel="1" x14ac:dyDescent="0.25">
      <c r="A3182" s="2060"/>
      <c r="B3182" s="123"/>
      <c r="C3182" s="328"/>
      <c r="D3182" s="3990"/>
      <c r="E3182" s="4009"/>
      <c r="F3182" s="3010" t="str">
        <f>$E$1551</f>
        <v>ASHP-SEER20-Replace_CAC_ElectricHeat_ROF_SF</v>
      </c>
      <c r="G3182" s="2676"/>
      <c r="H3182" s="2676"/>
      <c r="I3182" s="2677"/>
      <c r="J3182" s="3298" t="str">
        <f>$C$1551</f>
        <v>353450_2021_12_</v>
      </c>
      <c r="K3182" s="2228">
        <v>20</v>
      </c>
      <c r="L3182" s="851"/>
      <c r="M3182" s="2723" t="s">
        <v>1565</v>
      </c>
      <c r="N3182" s="123"/>
      <c r="O3182" s="228"/>
      <c r="P3182" s="844"/>
      <c r="Q3182" s="844"/>
      <c r="R3182" s="844"/>
      <c r="S3182" s="832"/>
      <c r="T3182" s="3082"/>
      <c r="U3182" s="123"/>
      <c r="V3182" s="3990"/>
      <c r="W3182" s="2857">
        <v>20</v>
      </c>
      <c r="X3182" s="2857">
        <v>20</v>
      </c>
      <c r="Y3182" s="696">
        <v>20</v>
      </c>
      <c r="Z3182" s="696">
        <v>20</v>
      </c>
      <c r="AA3182" s="696">
        <v>20</v>
      </c>
      <c r="AB3182" s="2282">
        <v>20</v>
      </c>
      <c r="AC3182" s="2228">
        <v>20</v>
      </c>
      <c r="AD3182" s="2857"/>
      <c r="AE3182" s="2857"/>
      <c r="AF3182" s="2857"/>
      <c r="AG3182" s="2857"/>
      <c r="AH3182" s="1942"/>
      <c r="AI3182" s="1942"/>
      <c r="AJ3182" s="1942"/>
      <c r="AK3182" s="1942"/>
      <c r="AL3182" s="1942"/>
      <c r="AM3182" s="1942"/>
      <c r="AN3182" s="1942"/>
      <c r="AO3182" s="1942"/>
      <c r="AP3182" s="1942"/>
      <c r="AQ3182" s="1942"/>
      <c r="AR3182" s="1942"/>
      <c r="AS3182" s="1942"/>
      <c r="AT3182" s="1942"/>
      <c r="AU3182" s="1942"/>
      <c r="AV3182" s="1942"/>
      <c r="AW3182" s="1942"/>
      <c r="AX3182" s="1942"/>
      <c r="AY3182" s="1942"/>
      <c r="AZ3182" s="1942"/>
      <c r="BA3182" s="1942"/>
      <c r="BB3182" s="575"/>
      <c r="BC3182" s="576"/>
      <c r="BD3182" s="678"/>
      <c r="BE3182" s="585"/>
    </row>
    <row r="3183" spans="1:57" s="51" customFormat="1" ht="15" hidden="1" customHeight="1" outlineLevel="1" x14ac:dyDescent="0.25">
      <c r="A3183" s="2060"/>
      <c r="B3183" s="123"/>
      <c r="C3183" s="328"/>
      <c r="D3183" s="3990"/>
      <c r="E3183" s="4009"/>
      <c r="F3183" s="3010" t="str">
        <f>$E$1553</f>
        <v>ASHP-SEER20-Replace_CAC_ElectricHeat_ROF_MF</v>
      </c>
      <c r="G3183" s="2676"/>
      <c r="H3183" s="2676"/>
      <c r="I3183" s="2677"/>
      <c r="J3183" s="3299" t="str">
        <f>$C$1553</f>
        <v>353500_2019_12_</v>
      </c>
      <c r="K3183" s="2282">
        <v>20</v>
      </c>
      <c r="L3183" s="851"/>
      <c r="M3183" s="2278" t="s">
        <v>1566</v>
      </c>
      <c r="N3183" s="123"/>
      <c r="O3183" s="228"/>
      <c r="P3183" s="844"/>
      <c r="Q3183" s="844"/>
      <c r="R3183" s="844"/>
      <c r="S3183" s="832"/>
      <c r="T3183" s="3082"/>
      <c r="U3183" s="123"/>
      <c r="V3183" s="3990"/>
      <c r="W3183" s="2857">
        <v>20</v>
      </c>
      <c r="X3183" s="2857">
        <v>20</v>
      </c>
      <c r="Y3183" s="696">
        <v>20</v>
      </c>
      <c r="Z3183" s="696">
        <v>20</v>
      </c>
      <c r="AA3183" s="696">
        <v>20</v>
      </c>
      <c r="AB3183" s="2282">
        <v>20</v>
      </c>
      <c r="AC3183" s="2282">
        <v>20</v>
      </c>
      <c r="AD3183" s="2857"/>
      <c r="AE3183" s="2857"/>
      <c r="AF3183" s="2857"/>
      <c r="AG3183" s="2857"/>
      <c r="AH3183" s="1942"/>
      <c r="AI3183" s="1942"/>
      <c r="AJ3183" s="1942"/>
      <c r="AK3183" s="1942"/>
      <c r="AL3183" s="1942"/>
      <c r="AM3183" s="1942"/>
      <c r="AN3183" s="1942"/>
      <c r="AO3183" s="1942"/>
      <c r="AP3183" s="1942"/>
      <c r="AQ3183" s="1942"/>
      <c r="AR3183" s="1942"/>
      <c r="AS3183" s="1942"/>
      <c r="AT3183" s="1942"/>
      <c r="AU3183" s="1942"/>
      <c r="AV3183" s="1942"/>
      <c r="AW3183" s="1942"/>
      <c r="AX3183" s="1942"/>
      <c r="AY3183" s="1942"/>
      <c r="AZ3183" s="1942"/>
      <c r="BA3183" s="1942"/>
      <c r="BB3183" s="575"/>
      <c r="BC3183" s="576"/>
      <c r="BD3183" s="678"/>
      <c r="BE3183" s="585"/>
    </row>
    <row r="3184" spans="1:57" s="51" customFormat="1" ht="15" hidden="1" customHeight="1" outlineLevel="1" x14ac:dyDescent="0.25">
      <c r="A3184" s="2060"/>
      <c r="B3184" s="123"/>
      <c r="C3184" s="328"/>
      <c r="D3184" s="3990"/>
      <c r="E3184" s="4009"/>
      <c r="F3184" s="3010" t="str">
        <f>$E$1555</f>
        <v>ASHP-SEER20-Replace_CAC_ElectricHeat_ROF_MF_CompE</v>
      </c>
      <c r="G3184" s="2676"/>
      <c r="H3184" s="2676"/>
      <c r="I3184" s="2677"/>
      <c r="J3184" s="3299" t="str">
        <f>$C$1555</f>
        <v>353501_2019_12_</v>
      </c>
      <c r="K3184" s="2282">
        <v>20</v>
      </c>
      <c r="L3184" s="851"/>
      <c r="M3184" s="2723" t="s">
        <v>1125</v>
      </c>
      <c r="N3184" s="123"/>
      <c r="O3184" s="228"/>
      <c r="P3184" s="844"/>
      <c r="Q3184" s="844"/>
      <c r="R3184" s="844"/>
      <c r="S3184" s="832"/>
      <c r="T3184" s="3082"/>
      <c r="U3184" s="123"/>
      <c r="V3184" s="3990"/>
      <c r="W3184" s="2857"/>
      <c r="X3184" s="2857"/>
      <c r="Y3184" s="3158">
        <v>20</v>
      </c>
      <c r="Z3184" s="696">
        <v>20</v>
      </c>
      <c r="AA3184" s="696">
        <v>20</v>
      </c>
      <c r="AB3184" s="2282">
        <v>20</v>
      </c>
      <c r="AC3184" s="2282">
        <v>20</v>
      </c>
      <c r="AD3184" s="2857"/>
      <c r="AE3184" s="2857"/>
      <c r="AF3184" s="2857"/>
      <c r="AG3184" s="2857"/>
      <c r="AH3184" s="1942"/>
      <c r="AI3184" s="1942"/>
      <c r="AJ3184" s="1942"/>
      <c r="AK3184" s="1942"/>
      <c r="AL3184" s="1942"/>
      <c r="AM3184" s="1942"/>
      <c r="AN3184" s="1942"/>
      <c r="AO3184" s="1942"/>
      <c r="AP3184" s="1942"/>
      <c r="AQ3184" s="1942"/>
      <c r="AR3184" s="1942"/>
      <c r="AS3184" s="1942"/>
      <c r="AT3184" s="1942"/>
      <c r="AU3184" s="1942"/>
      <c r="AV3184" s="1942"/>
      <c r="AW3184" s="1942"/>
      <c r="AX3184" s="1942"/>
      <c r="AY3184" s="1942"/>
      <c r="AZ3184" s="1942"/>
      <c r="BA3184" s="1942"/>
      <c r="BB3184" s="575"/>
      <c r="BC3184" s="576"/>
      <c r="BD3184" s="678"/>
      <c r="BE3184" s="585"/>
    </row>
    <row r="3185" spans="1:57" s="1942" customFormat="1" ht="15" hidden="1" customHeight="1" outlineLevel="1" x14ac:dyDescent="0.25">
      <c r="A3185" s="2060"/>
      <c r="B3185" s="123"/>
      <c r="C3185" s="328"/>
      <c r="D3185" s="3990"/>
      <c r="E3185" s="4009"/>
      <c r="F3185" s="3010" t="str">
        <f>$E$1557</f>
        <v>ASHP-SEER20-Replace_CAC_NonElectricHeat_ROF_MF</v>
      </c>
      <c r="G3185" s="2676"/>
      <c r="H3185" s="2676"/>
      <c r="I3185" s="2677"/>
      <c r="J3185" s="3298" t="str">
        <f>$C$1557</f>
        <v>353510_2021_12_</v>
      </c>
      <c r="K3185" s="2228">
        <v>20</v>
      </c>
      <c r="L3185" s="851"/>
      <c r="M3185" s="2723" t="s">
        <v>1125</v>
      </c>
      <c r="N3185" s="123"/>
      <c r="O3185" s="228"/>
      <c r="P3185" s="844"/>
      <c r="Q3185" s="844"/>
      <c r="R3185" s="844"/>
      <c r="S3185" s="832"/>
      <c r="T3185" s="3082"/>
      <c r="U3185" s="123"/>
      <c r="V3185" s="3990"/>
      <c r="W3185" s="2857"/>
      <c r="X3185" s="2857"/>
      <c r="Y3185" s="3158"/>
      <c r="Z3185" s="696"/>
      <c r="AA3185" s="696"/>
      <c r="AB3185" s="2282"/>
      <c r="AC3185" s="2228">
        <v>20</v>
      </c>
      <c r="AD3185" s="2857"/>
      <c r="AE3185" s="2857"/>
      <c r="AF3185" s="2857"/>
      <c r="AG3185" s="2857"/>
      <c r="BB3185" s="575"/>
      <c r="BC3185" s="576"/>
      <c r="BD3185" s="678"/>
      <c r="BE3185" s="585"/>
    </row>
    <row r="3186" spans="1:57" s="1942" customFormat="1" ht="15" hidden="1" customHeight="1" outlineLevel="1" x14ac:dyDescent="0.25">
      <c r="A3186" s="2060"/>
      <c r="B3186" s="123"/>
      <c r="C3186" s="328"/>
      <c r="D3186" s="3990"/>
      <c r="E3186" s="4009"/>
      <c r="F3186" s="3010" t="str">
        <f>$E$1559</f>
        <v>ASHP-SEER20-Replace_CAC_NonElectricHeat_ROF_MF_CompE</v>
      </c>
      <c r="G3186" s="2676"/>
      <c r="H3186" s="2676"/>
      <c r="I3186" s="2677"/>
      <c r="J3186" s="3298" t="str">
        <f>$C$1559</f>
        <v>353511_2021_12_</v>
      </c>
      <c r="K3186" s="2228">
        <v>20</v>
      </c>
      <c r="L3186" s="851"/>
      <c r="M3186" s="2723" t="s">
        <v>1125</v>
      </c>
      <c r="N3186" s="123"/>
      <c r="O3186" s="228"/>
      <c r="P3186" s="844"/>
      <c r="Q3186" s="844"/>
      <c r="R3186" s="844"/>
      <c r="S3186" s="832"/>
      <c r="T3186" s="3082"/>
      <c r="U3186" s="123"/>
      <c r="V3186" s="3990"/>
      <c r="W3186" s="2857"/>
      <c r="X3186" s="2857"/>
      <c r="Y3186" s="3158"/>
      <c r="Z3186" s="696"/>
      <c r="AA3186" s="696"/>
      <c r="AB3186" s="2282"/>
      <c r="AC3186" s="2228">
        <v>20</v>
      </c>
      <c r="AD3186" s="2857"/>
      <c r="AE3186" s="2857"/>
      <c r="AF3186" s="2857"/>
      <c r="AG3186" s="2857"/>
      <c r="BB3186" s="575"/>
      <c r="BC3186" s="576"/>
      <c r="BD3186" s="678"/>
      <c r="BE3186" s="585"/>
    </row>
    <row r="3187" spans="1:57" s="51" customFormat="1" ht="15" hidden="1" customHeight="1" outlineLevel="1" x14ac:dyDescent="0.25">
      <c r="A3187" s="2060"/>
      <c r="B3187" s="123"/>
      <c r="C3187" s="328"/>
      <c r="D3187" s="3990"/>
      <c r="E3187" s="4009"/>
      <c r="F3187" s="3010" t="str">
        <f>$E$1561</f>
        <v>ASHP-SEER21-Replace_CAC_ElectricHeat_ER1_SF</v>
      </c>
      <c r="G3187" s="2676"/>
      <c r="H3187" s="2676"/>
      <c r="I3187" s="2677"/>
      <c r="J3187" s="3298" t="str">
        <f>$C$1561</f>
        <v>353550_2021_12_</v>
      </c>
      <c r="K3187" s="2228">
        <v>21.65909090909091</v>
      </c>
      <c r="L3187" s="851"/>
      <c r="M3187" s="2723" t="s">
        <v>1565</v>
      </c>
      <c r="N3187" s="123"/>
      <c r="O3187" s="228"/>
      <c r="P3187" s="844"/>
      <c r="Q3187" s="845"/>
      <c r="R3187" s="844"/>
      <c r="S3187" s="832"/>
      <c r="T3187" s="3082"/>
      <c r="U3187" s="123"/>
      <c r="V3187" s="3990"/>
      <c r="W3187" s="2857">
        <v>21</v>
      </c>
      <c r="X3187" s="2857">
        <v>21</v>
      </c>
      <c r="Y3187" s="696">
        <v>21</v>
      </c>
      <c r="Z3187" s="696">
        <v>21</v>
      </c>
      <c r="AA3187" s="696">
        <v>21</v>
      </c>
      <c r="AB3187" s="2282">
        <v>21</v>
      </c>
      <c r="AC3187" s="2228">
        <v>21.65909090909091</v>
      </c>
      <c r="AD3187" s="2857"/>
      <c r="AE3187" s="2857"/>
      <c r="AF3187" s="2857"/>
      <c r="AG3187" s="2857"/>
      <c r="AH3187" s="1942"/>
      <c r="AI3187" s="1942"/>
      <c r="AJ3187" s="1942"/>
      <c r="AK3187" s="1942"/>
      <c r="AL3187" s="1942"/>
      <c r="AM3187" s="1942"/>
      <c r="AN3187" s="1942"/>
      <c r="AO3187" s="1942"/>
      <c r="AP3187" s="1942"/>
      <c r="AQ3187" s="1942"/>
      <c r="AR3187" s="1942"/>
      <c r="AS3187" s="1942"/>
      <c r="AT3187" s="1942"/>
      <c r="AU3187" s="1942"/>
      <c r="AV3187" s="1942"/>
      <c r="AW3187" s="1942"/>
      <c r="AX3187" s="1942"/>
      <c r="AY3187" s="1942"/>
      <c r="AZ3187" s="1942"/>
      <c r="BA3187" s="1942"/>
      <c r="BB3187" s="575"/>
      <c r="BC3187" s="576"/>
      <c r="BD3187" s="678"/>
      <c r="BE3187" s="585"/>
    </row>
    <row r="3188" spans="1:57" s="51" customFormat="1" ht="15" hidden="1" customHeight="1" outlineLevel="1" x14ac:dyDescent="0.25">
      <c r="A3188" s="2060"/>
      <c r="B3188" s="123"/>
      <c r="C3188" s="328"/>
      <c r="D3188" s="3990"/>
      <c r="E3188" s="4009"/>
      <c r="F3188" s="3010" t="str">
        <f>$E$1563</f>
        <v>ASHP-SEER21-Replace_CAC_ElectricHeat_ER2_SF</v>
      </c>
      <c r="G3188" s="2676"/>
      <c r="H3188" s="2676"/>
      <c r="I3188" s="2677"/>
      <c r="J3188" s="3298" t="str">
        <f>$C$1563</f>
        <v>353550_2021_12_</v>
      </c>
      <c r="K3188" s="2228">
        <f>K3187</f>
        <v>21.65909090909091</v>
      </c>
      <c r="L3188" s="851"/>
      <c r="M3188" s="2723" t="s">
        <v>1565</v>
      </c>
      <c r="N3188" s="123"/>
      <c r="O3188" s="228"/>
      <c r="P3188" s="844"/>
      <c r="Q3188" s="845"/>
      <c r="R3188" s="844"/>
      <c r="S3188" s="832"/>
      <c r="T3188" s="3082"/>
      <c r="U3188" s="123"/>
      <c r="V3188" s="3990"/>
      <c r="W3188" s="2857">
        <v>21</v>
      </c>
      <c r="X3188" s="2857">
        <v>21</v>
      </c>
      <c r="Y3188" s="696">
        <v>21</v>
      </c>
      <c r="Z3188" s="696">
        <v>21</v>
      </c>
      <c r="AA3188" s="696">
        <v>21</v>
      </c>
      <c r="AB3188" s="2282">
        <v>21</v>
      </c>
      <c r="AC3188" s="2228">
        <f>AC3187</f>
        <v>21.65909090909091</v>
      </c>
      <c r="AD3188" s="2857"/>
      <c r="AE3188" s="2857"/>
      <c r="AF3188" s="2857"/>
      <c r="AG3188" s="2857"/>
      <c r="AH3188" s="1942"/>
      <c r="AI3188" s="1942"/>
      <c r="AJ3188" s="1942"/>
      <c r="AK3188" s="1942"/>
      <c r="AL3188" s="1942"/>
      <c r="AM3188" s="1942"/>
      <c r="AN3188" s="1942"/>
      <c r="AO3188" s="1942"/>
      <c r="AP3188" s="1942"/>
      <c r="AQ3188" s="1942"/>
      <c r="AR3188" s="1942"/>
      <c r="AS3188" s="1942"/>
      <c r="AT3188" s="1942"/>
      <c r="AU3188" s="1942"/>
      <c r="AV3188" s="1942"/>
      <c r="AW3188" s="1942"/>
      <c r="AX3188" s="1942"/>
      <c r="AY3188" s="1942"/>
      <c r="AZ3188" s="1942"/>
      <c r="BA3188" s="1942"/>
      <c r="BB3188" s="575"/>
      <c r="BC3188" s="576"/>
      <c r="BD3188" s="678"/>
      <c r="BE3188" s="585"/>
    </row>
    <row r="3189" spans="1:57" s="1942" customFormat="1" ht="15" hidden="1" customHeight="1" outlineLevel="1" x14ac:dyDescent="0.25">
      <c r="A3189" s="2060"/>
      <c r="B3189" s="123"/>
      <c r="C3189" s="328"/>
      <c r="D3189" s="3990"/>
      <c r="E3189" s="4009"/>
      <c r="F3189" s="3010" t="str">
        <f>$E$1565</f>
        <v>ASHP-SEER21-Replace_CAC_NonElectricHeat_ER1_SF</v>
      </c>
      <c r="G3189" s="2676"/>
      <c r="H3189" s="2676"/>
      <c r="I3189" s="2677"/>
      <c r="J3189" s="3298" t="str">
        <f>$C$1565</f>
        <v>353560_2021_12_</v>
      </c>
      <c r="K3189" s="2228">
        <v>21.65909090909091</v>
      </c>
      <c r="L3189" s="851"/>
      <c r="M3189" s="2723" t="s">
        <v>1125</v>
      </c>
      <c r="N3189" s="123"/>
      <c r="O3189" s="228"/>
      <c r="P3189" s="844"/>
      <c r="Q3189" s="845"/>
      <c r="R3189" s="844"/>
      <c r="S3189" s="832"/>
      <c r="T3189" s="3082"/>
      <c r="U3189" s="123"/>
      <c r="V3189" s="3990"/>
      <c r="W3189" s="2857"/>
      <c r="X3189" s="2857"/>
      <c r="Y3189" s="696"/>
      <c r="Z3189" s="696"/>
      <c r="AA3189" s="696"/>
      <c r="AB3189" s="2282"/>
      <c r="AC3189" s="2228">
        <v>21.65909090909091</v>
      </c>
      <c r="AD3189" s="2857"/>
      <c r="AE3189" s="2857"/>
      <c r="AF3189" s="2857"/>
      <c r="AG3189" s="2857"/>
      <c r="BB3189" s="575"/>
      <c r="BC3189" s="576"/>
      <c r="BD3189" s="678"/>
      <c r="BE3189" s="585"/>
    </row>
    <row r="3190" spans="1:57" s="1942" customFormat="1" ht="15" hidden="1" customHeight="1" outlineLevel="1" x14ac:dyDescent="0.25">
      <c r="A3190" s="2060"/>
      <c r="B3190" s="123"/>
      <c r="C3190" s="328"/>
      <c r="D3190" s="3990"/>
      <c r="E3190" s="4009"/>
      <c r="F3190" s="3010" t="str">
        <f>$E$1567</f>
        <v>ASHP-SEER21-Replace_CAC_NonElectricHeat_ER2_SF</v>
      </c>
      <c r="G3190" s="2676"/>
      <c r="H3190" s="2676"/>
      <c r="I3190" s="2677"/>
      <c r="J3190" s="3298" t="str">
        <f>$C$1567</f>
        <v>353560_2021_12_</v>
      </c>
      <c r="K3190" s="2228">
        <f>K3189</f>
        <v>21.65909090909091</v>
      </c>
      <c r="L3190" s="851"/>
      <c r="M3190" s="2723" t="s">
        <v>1125</v>
      </c>
      <c r="N3190" s="123"/>
      <c r="O3190" s="228"/>
      <c r="P3190" s="844"/>
      <c r="Q3190" s="845"/>
      <c r="R3190" s="844"/>
      <c r="S3190" s="832"/>
      <c r="T3190" s="3082"/>
      <c r="U3190" s="123"/>
      <c r="V3190" s="3990"/>
      <c r="W3190" s="2857"/>
      <c r="X3190" s="2857"/>
      <c r="Y3190" s="696"/>
      <c r="Z3190" s="696"/>
      <c r="AA3190" s="696"/>
      <c r="AB3190" s="2282"/>
      <c r="AC3190" s="2228">
        <f>AC3189</f>
        <v>21.65909090909091</v>
      </c>
      <c r="AD3190" s="2857"/>
      <c r="AE3190" s="2857"/>
      <c r="AF3190" s="2857"/>
      <c r="AG3190" s="2857"/>
      <c r="BB3190" s="575"/>
      <c r="BC3190" s="576"/>
      <c r="BD3190" s="678"/>
      <c r="BE3190" s="585"/>
    </row>
    <row r="3191" spans="1:57" s="51" customFormat="1" ht="15" hidden="1" customHeight="1" outlineLevel="1" x14ac:dyDescent="0.25">
      <c r="A3191" s="2060"/>
      <c r="B3191" s="123"/>
      <c r="C3191" s="328"/>
      <c r="D3191" s="3990"/>
      <c r="E3191" s="4009"/>
      <c r="F3191" s="3010" t="str">
        <f>$E$1569</f>
        <v>ASHP-SEER21-Replace_CAC_ElectricHeat_ER1_MF</v>
      </c>
      <c r="G3191" s="2676"/>
      <c r="H3191" s="2676"/>
      <c r="I3191" s="2677"/>
      <c r="J3191" s="3299" t="str">
        <f>$C$1569</f>
        <v>353600_2019_12_</v>
      </c>
      <c r="K3191" s="2282">
        <v>21</v>
      </c>
      <c r="L3191" s="851"/>
      <c r="M3191" s="2278" t="s">
        <v>1566</v>
      </c>
      <c r="N3191" s="123"/>
      <c r="O3191" s="228"/>
      <c r="P3191" s="844"/>
      <c r="Q3191" s="845"/>
      <c r="R3191" s="844"/>
      <c r="S3191" s="832"/>
      <c r="T3191" s="3082"/>
      <c r="U3191" s="123"/>
      <c r="V3191" s="3990"/>
      <c r="W3191" s="2857">
        <v>21</v>
      </c>
      <c r="X3191" s="2857">
        <v>21</v>
      </c>
      <c r="Y3191" s="696">
        <v>21</v>
      </c>
      <c r="Z3191" s="696">
        <v>21</v>
      </c>
      <c r="AA3191" s="696">
        <v>21</v>
      </c>
      <c r="AB3191" s="2282">
        <v>21</v>
      </c>
      <c r="AC3191" s="2282">
        <v>21</v>
      </c>
      <c r="AD3191" s="2857"/>
      <c r="AE3191" s="2857"/>
      <c r="AF3191" s="2857"/>
      <c r="AG3191" s="2857"/>
      <c r="AH3191" s="1942"/>
      <c r="AI3191" s="1942"/>
      <c r="AJ3191" s="1942"/>
      <c r="AK3191" s="1942"/>
      <c r="AL3191" s="1942"/>
      <c r="AM3191" s="1942"/>
      <c r="AN3191" s="1942"/>
      <c r="AO3191" s="1942"/>
      <c r="AP3191" s="1942"/>
      <c r="AQ3191" s="1942"/>
      <c r="AR3191" s="1942"/>
      <c r="AS3191" s="1942"/>
      <c r="AT3191" s="1942"/>
      <c r="AU3191" s="1942"/>
      <c r="AV3191" s="1942"/>
      <c r="AW3191" s="1942"/>
      <c r="AX3191" s="1942"/>
      <c r="AY3191" s="1942"/>
      <c r="AZ3191" s="1942"/>
      <c r="BA3191" s="1942"/>
      <c r="BB3191" s="575"/>
      <c r="BC3191" s="576"/>
      <c r="BD3191" s="678"/>
      <c r="BE3191" s="585"/>
    </row>
    <row r="3192" spans="1:57" s="51" customFormat="1" ht="15" hidden="1" customHeight="1" outlineLevel="1" x14ac:dyDescent="0.25">
      <c r="A3192" s="2060"/>
      <c r="B3192" s="123"/>
      <c r="C3192" s="328"/>
      <c r="D3192" s="3990"/>
      <c r="E3192" s="4009"/>
      <c r="F3192" s="3010" t="str">
        <f>$E$1571</f>
        <v>ASHP-SEER21-Replace_CAC_ElectricHeat_ER2_MF</v>
      </c>
      <c r="G3192" s="2676"/>
      <c r="H3192" s="2676"/>
      <c r="I3192" s="2677"/>
      <c r="J3192" s="3299" t="str">
        <f>$C$1571</f>
        <v>353600_2019_12_</v>
      </c>
      <c r="K3192" s="2282">
        <v>21</v>
      </c>
      <c r="L3192" s="851"/>
      <c r="M3192" s="2278" t="s">
        <v>1566</v>
      </c>
      <c r="N3192" s="123"/>
      <c r="O3192" s="228"/>
      <c r="P3192" s="844"/>
      <c r="Q3192" s="845"/>
      <c r="R3192" s="844"/>
      <c r="S3192" s="832"/>
      <c r="T3192" s="3082"/>
      <c r="U3192" s="123"/>
      <c r="V3192" s="3990"/>
      <c r="W3192" s="2857">
        <v>21</v>
      </c>
      <c r="X3192" s="2857">
        <v>21</v>
      </c>
      <c r="Y3192" s="696">
        <v>21</v>
      </c>
      <c r="Z3192" s="696">
        <v>21</v>
      </c>
      <c r="AA3192" s="696">
        <v>21</v>
      </c>
      <c r="AB3192" s="2282">
        <v>21</v>
      </c>
      <c r="AC3192" s="2282">
        <v>21</v>
      </c>
      <c r="AD3192" s="2857"/>
      <c r="AE3192" s="2857"/>
      <c r="AF3192" s="2857"/>
      <c r="AG3192" s="2857"/>
      <c r="AH3192" s="1942"/>
      <c r="AI3192" s="1942"/>
      <c r="AJ3192" s="1942"/>
      <c r="AK3192" s="1942"/>
      <c r="AL3192" s="1942"/>
      <c r="AM3192" s="1942"/>
      <c r="AN3192" s="1942"/>
      <c r="AO3192" s="1942"/>
      <c r="AP3192" s="1942"/>
      <c r="AQ3192" s="1942"/>
      <c r="AR3192" s="1942"/>
      <c r="AS3192" s="1942"/>
      <c r="AT3192" s="1942"/>
      <c r="AU3192" s="1942"/>
      <c r="AV3192" s="1942"/>
      <c r="AW3192" s="1942"/>
      <c r="AX3192" s="1942"/>
      <c r="AY3192" s="1942"/>
      <c r="AZ3192" s="1942"/>
      <c r="BA3192" s="1942"/>
      <c r="BB3192" s="575"/>
      <c r="BC3192" s="576"/>
      <c r="BD3192" s="678"/>
      <c r="BE3192" s="585"/>
    </row>
    <row r="3193" spans="1:57" s="51" customFormat="1" ht="15" hidden="1" customHeight="1" outlineLevel="1" x14ac:dyDescent="0.25">
      <c r="A3193" s="2060"/>
      <c r="B3193" s="123"/>
      <c r="C3193" s="328"/>
      <c r="D3193" s="3990"/>
      <c r="E3193" s="4009"/>
      <c r="F3193" s="3010" t="str">
        <f>$E$1573</f>
        <v>ASHP-SEER21-Replace_CAC_ElectricHeat_ER1_MF_CompE</v>
      </c>
      <c r="G3193" s="2676"/>
      <c r="H3193" s="2676"/>
      <c r="I3193" s="2677"/>
      <c r="J3193" s="3299" t="str">
        <f>$C$1573</f>
        <v>353601_2019_12_</v>
      </c>
      <c r="K3193" s="2282">
        <v>21</v>
      </c>
      <c r="L3193" s="851"/>
      <c r="M3193" s="2723" t="s">
        <v>1125</v>
      </c>
      <c r="N3193" s="123"/>
      <c r="O3193" s="228"/>
      <c r="P3193" s="844"/>
      <c r="Q3193" s="845"/>
      <c r="R3193" s="844"/>
      <c r="S3193" s="832"/>
      <c r="T3193" s="3082"/>
      <c r="U3193" s="123"/>
      <c r="V3193" s="3990"/>
      <c r="W3193" s="2857"/>
      <c r="X3193" s="2857"/>
      <c r="Y3193" s="3158">
        <v>21</v>
      </c>
      <c r="Z3193" s="696">
        <v>21</v>
      </c>
      <c r="AA3193" s="696">
        <v>21</v>
      </c>
      <c r="AB3193" s="2282">
        <v>21</v>
      </c>
      <c r="AC3193" s="2282">
        <v>21</v>
      </c>
      <c r="AD3193" s="2857"/>
      <c r="AE3193" s="2857"/>
      <c r="AF3193" s="2857"/>
      <c r="AG3193" s="2857"/>
      <c r="AH3193" s="1942"/>
      <c r="AI3193" s="1942"/>
      <c r="AJ3193" s="1942"/>
      <c r="AK3193" s="1942"/>
      <c r="AL3193" s="1942"/>
      <c r="AM3193" s="1942"/>
      <c r="AN3193" s="1942"/>
      <c r="AO3193" s="1942"/>
      <c r="AP3193" s="1942"/>
      <c r="AQ3193" s="1942"/>
      <c r="AR3193" s="1942"/>
      <c r="AS3193" s="1942"/>
      <c r="AT3193" s="1942"/>
      <c r="AU3193" s="1942"/>
      <c r="AV3193" s="1942"/>
      <c r="AW3193" s="1942"/>
      <c r="AX3193" s="1942"/>
      <c r="AY3193" s="1942"/>
      <c r="AZ3193" s="1942"/>
      <c r="BA3193" s="1942"/>
      <c r="BB3193" s="575"/>
      <c r="BC3193" s="576"/>
      <c r="BD3193" s="678"/>
      <c r="BE3193" s="585"/>
    </row>
    <row r="3194" spans="1:57" s="51" customFormat="1" ht="15" hidden="1" customHeight="1" outlineLevel="1" x14ac:dyDescent="0.25">
      <c r="A3194" s="2060"/>
      <c r="B3194" s="123"/>
      <c r="C3194" s="328"/>
      <c r="D3194" s="3990"/>
      <c r="E3194" s="4009"/>
      <c r="F3194" s="3010" t="str">
        <f>$E$1575</f>
        <v>ASHP-SEER21-Replace_CAC_ElectricHeat_ER2_MF_CompE</v>
      </c>
      <c r="G3194" s="2676"/>
      <c r="H3194" s="2676"/>
      <c r="I3194" s="2677"/>
      <c r="J3194" s="3299" t="str">
        <f>$C$1575</f>
        <v>353601_2019_12_</v>
      </c>
      <c r="K3194" s="2282">
        <v>21</v>
      </c>
      <c r="L3194" s="851"/>
      <c r="M3194" s="2723" t="s">
        <v>1125</v>
      </c>
      <c r="N3194" s="123"/>
      <c r="O3194" s="228"/>
      <c r="P3194" s="844"/>
      <c r="Q3194" s="845"/>
      <c r="R3194" s="844"/>
      <c r="S3194" s="832"/>
      <c r="T3194" s="3082"/>
      <c r="U3194" s="123"/>
      <c r="V3194" s="3990"/>
      <c r="W3194" s="2857"/>
      <c r="X3194" s="2857"/>
      <c r="Y3194" s="3158">
        <v>21</v>
      </c>
      <c r="Z3194" s="696">
        <v>21</v>
      </c>
      <c r="AA3194" s="696">
        <v>21</v>
      </c>
      <c r="AB3194" s="2282">
        <v>21</v>
      </c>
      <c r="AC3194" s="2282">
        <v>21</v>
      </c>
      <c r="AD3194" s="2857"/>
      <c r="AE3194" s="2857"/>
      <c r="AF3194" s="2857"/>
      <c r="AG3194" s="2857"/>
      <c r="AH3194" s="1942"/>
      <c r="AI3194" s="1942"/>
      <c r="AJ3194" s="1942"/>
      <c r="AK3194" s="1942"/>
      <c r="AL3194" s="1942"/>
      <c r="AM3194" s="1942"/>
      <c r="AN3194" s="1942"/>
      <c r="AO3194" s="1942"/>
      <c r="AP3194" s="1942"/>
      <c r="AQ3194" s="1942"/>
      <c r="AR3194" s="1942"/>
      <c r="AS3194" s="1942"/>
      <c r="AT3194" s="1942"/>
      <c r="AU3194" s="1942"/>
      <c r="AV3194" s="1942"/>
      <c r="AW3194" s="1942"/>
      <c r="AX3194" s="1942"/>
      <c r="AY3194" s="1942"/>
      <c r="AZ3194" s="1942"/>
      <c r="BA3194" s="1942"/>
      <c r="BB3194" s="575"/>
      <c r="BC3194" s="576"/>
      <c r="BD3194" s="678"/>
      <c r="BE3194" s="585"/>
    </row>
    <row r="3195" spans="1:57" s="1942" customFormat="1" ht="15" hidden="1" customHeight="1" outlineLevel="1" x14ac:dyDescent="0.25">
      <c r="A3195" s="2060"/>
      <c r="B3195" s="123"/>
      <c r="C3195" s="328"/>
      <c r="D3195" s="3990"/>
      <c r="E3195" s="4009"/>
      <c r="F3195" s="3010" t="str">
        <f>$E$1577</f>
        <v>ASHP-SEER21-Replace_CAC_NonElectricHeat_ER1_MF</v>
      </c>
      <c r="G3195" s="2676"/>
      <c r="H3195" s="2676"/>
      <c r="I3195" s="2677"/>
      <c r="J3195" s="3298" t="str">
        <f>$C$1577</f>
        <v>353610_2021_12_</v>
      </c>
      <c r="K3195" s="2228">
        <v>21</v>
      </c>
      <c r="L3195" s="851"/>
      <c r="M3195" s="2723" t="s">
        <v>1125</v>
      </c>
      <c r="N3195" s="123"/>
      <c r="O3195" s="228"/>
      <c r="P3195" s="844"/>
      <c r="Q3195" s="845"/>
      <c r="R3195" s="844"/>
      <c r="S3195" s="832"/>
      <c r="T3195" s="3082"/>
      <c r="U3195" s="123"/>
      <c r="V3195" s="3990"/>
      <c r="W3195" s="2857"/>
      <c r="X3195" s="2857"/>
      <c r="Y3195" s="3158"/>
      <c r="Z3195" s="696"/>
      <c r="AA3195" s="696"/>
      <c r="AB3195" s="2282"/>
      <c r="AC3195" s="2228">
        <v>21</v>
      </c>
      <c r="AD3195" s="2857"/>
      <c r="AE3195" s="2857"/>
      <c r="AF3195" s="2857"/>
      <c r="AG3195" s="2857"/>
      <c r="BB3195" s="575"/>
      <c r="BC3195" s="576"/>
      <c r="BD3195" s="678"/>
      <c r="BE3195" s="585"/>
    </row>
    <row r="3196" spans="1:57" s="1942" customFormat="1" ht="15" hidden="1" customHeight="1" outlineLevel="1" x14ac:dyDescent="0.25">
      <c r="A3196" s="2060"/>
      <c r="B3196" s="123"/>
      <c r="C3196" s="328"/>
      <c r="D3196" s="3990"/>
      <c r="E3196" s="4009"/>
      <c r="F3196" s="3010" t="str">
        <f>$E$1579</f>
        <v>ASHP-SEER21-Replace_CAC_NonElectricHeat_ER2_MF</v>
      </c>
      <c r="G3196" s="2676"/>
      <c r="H3196" s="2676"/>
      <c r="I3196" s="2677"/>
      <c r="J3196" s="3298" t="str">
        <f>$C$1579</f>
        <v>353610_2021_12_</v>
      </c>
      <c r="K3196" s="2228">
        <v>21</v>
      </c>
      <c r="L3196" s="851"/>
      <c r="M3196" s="2723" t="s">
        <v>1125</v>
      </c>
      <c r="N3196" s="123"/>
      <c r="O3196" s="228"/>
      <c r="P3196" s="844"/>
      <c r="Q3196" s="845"/>
      <c r="R3196" s="844"/>
      <c r="S3196" s="832"/>
      <c r="T3196" s="3082"/>
      <c r="U3196" s="123"/>
      <c r="V3196" s="3990"/>
      <c r="W3196" s="2857"/>
      <c r="X3196" s="2857"/>
      <c r="Y3196" s="3158"/>
      <c r="Z3196" s="696"/>
      <c r="AA3196" s="696"/>
      <c r="AB3196" s="2282"/>
      <c r="AC3196" s="2228">
        <v>21</v>
      </c>
      <c r="AD3196" s="2857"/>
      <c r="AE3196" s="2857"/>
      <c r="AF3196" s="2857"/>
      <c r="AG3196" s="2857"/>
      <c r="BB3196" s="575"/>
      <c r="BC3196" s="576"/>
      <c r="BD3196" s="678"/>
      <c r="BE3196" s="585"/>
    </row>
    <row r="3197" spans="1:57" s="1942" customFormat="1" ht="15" hidden="1" customHeight="1" outlineLevel="1" x14ac:dyDescent="0.25">
      <c r="A3197" s="2060"/>
      <c r="B3197" s="123"/>
      <c r="C3197" s="328"/>
      <c r="D3197" s="3990"/>
      <c r="E3197" s="4009"/>
      <c r="F3197" s="3010" t="str">
        <f>$E$1581</f>
        <v>ASHP-SEER21-Replace_CAC_NonElectricHeat_ER1_MF_CompE</v>
      </c>
      <c r="G3197" s="2676"/>
      <c r="H3197" s="2676"/>
      <c r="I3197" s="2677"/>
      <c r="J3197" s="3298" t="str">
        <f>$C$1581</f>
        <v>353611_2021_12_</v>
      </c>
      <c r="K3197" s="2228">
        <v>21</v>
      </c>
      <c r="L3197" s="851"/>
      <c r="M3197" s="2723" t="s">
        <v>1125</v>
      </c>
      <c r="N3197" s="123"/>
      <c r="O3197" s="228"/>
      <c r="P3197" s="844"/>
      <c r="Q3197" s="845"/>
      <c r="R3197" s="844"/>
      <c r="S3197" s="832"/>
      <c r="T3197" s="3082"/>
      <c r="U3197" s="123"/>
      <c r="V3197" s="3990"/>
      <c r="W3197" s="2857"/>
      <c r="X3197" s="2857"/>
      <c r="Y3197" s="3158"/>
      <c r="Z3197" s="696"/>
      <c r="AA3197" s="696"/>
      <c r="AB3197" s="2282"/>
      <c r="AC3197" s="2228">
        <v>21</v>
      </c>
      <c r="AD3197" s="2857"/>
      <c r="AE3197" s="2857"/>
      <c r="AF3197" s="2857"/>
      <c r="AG3197" s="2857"/>
      <c r="BB3197" s="575"/>
      <c r="BC3197" s="576"/>
      <c r="BD3197" s="678"/>
      <c r="BE3197" s="585"/>
    </row>
    <row r="3198" spans="1:57" s="1942" customFormat="1" ht="15" hidden="1" customHeight="1" outlineLevel="1" x14ac:dyDescent="0.25">
      <c r="A3198" s="2060"/>
      <c r="B3198" s="123"/>
      <c r="C3198" s="328"/>
      <c r="D3198" s="3990"/>
      <c r="E3198" s="4009"/>
      <c r="F3198" s="3010" t="str">
        <f>$E$1583</f>
        <v>ASHP-SEER21-Replace_CAC_NonElectricHeat_ER2_MF_CompE</v>
      </c>
      <c r="G3198" s="2676"/>
      <c r="H3198" s="2676"/>
      <c r="I3198" s="2677"/>
      <c r="J3198" s="3298" t="str">
        <f>$C$1583</f>
        <v>353611_2021_12_</v>
      </c>
      <c r="K3198" s="2228">
        <v>21</v>
      </c>
      <c r="L3198" s="851"/>
      <c r="M3198" s="2723" t="s">
        <v>1125</v>
      </c>
      <c r="N3198" s="123"/>
      <c r="O3198" s="228"/>
      <c r="P3198" s="844"/>
      <c r="Q3198" s="845"/>
      <c r="R3198" s="844"/>
      <c r="S3198" s="832"/>
      <c r="T3198" s="3082"/>
      <c r="U3198" s="123"/>
      <c r="V3198" s="3990"/>
      <c r="W3198" s="2857"/>
      <c r="X3198" s="2857"/>
      <c r="Y3198" s="3158"/>
      <c r="Z3198" s="696"/>
      <c r="AA3198" s="696"/>
      <c r="AB3198" s="2282"/>
      <c r="AC3198" s="2228">
        <v>21</v>
      </c>
      <c r="AD3198" s="2857"/>
      <c r="AE3198" s="2857"/>
      <c r="AF3198" s="2857"/>
      <c r="AG3198" s="2857"/>
      <c r="BB3198" s="575"/>
      <c r="BC3198" s="576"/>
      <c r="BD3198" s="678"/>
      <c r="BE3198" s="585"/>
    </row>
    <row r="3199" spans="1:57" s="51" customFormat="1" ht="15" hidden="1" customHeight="1" outlineLevel="1" x14ac:dyDescent="0.25">
      <c r="A3199" s="2060"/>
      <c r="B3199" s="123"/>
      <c r="C3199" s="328"/>
      <c r="D3199" s="3990"/>
      <c r="E3199" s="4009"/>
      <c r="F3199" s="3010" t="str">
        <f>$E$1585</f>
        <v>ASHP-SEER21-Replace_CAC_ElectricHeat_ROF_SF</v>
      </c>
      <c r="G3199" s="2676"/>
      <c r="H3199" s="2676"/>
      <c r="I3199" s="2677"/>
      <c r="J3199" s="3298" t="str">
        <f>$C$1585</f>
        <v>353650_2021_12_</v>
      </c>
      <c r="K3199" s="2228">
        <v>21.5</v>
      </c>
      <c r="L3199" s="851"/>
      <c r="M3199" s="2723" t="s">
        <v>1565</v>
      </c>
      <c r="N3199" s="123"/>
      <c r="O3199" s="228"/>
      <c r="P3199" s="844"/>
      <c r="Q3199" s="845"/>
      <c r="R3199" s="844"/>
      <c r="S3199" s="832"/>
      <c r="T3199" s="3082"/>
      <c r="U3199" s="123"/>
      <c r="V3199" s="3990"/>
      <c r="W3199" s="2857">
        <v>21</v>
      </c>
      <c r="X3199" s="2857">
        <v>21</v>
      </c>
      <c r="Y3199" s="696">
        <v>21</v>
      </c>
      <c r="Z3199" s="696">
        <v>21</v>
      </c>
      <c r="AA3199" s="696">
        <v>21</v>
      </c>
      <c r="AB3199" s="2282">
        <v>21</v>
      </c>
      <c r="AC3199" s="2228">
        <v>21.5</v>
      </c>
      <c r="AD3199" s="2857"/>
      <c r="AE3199" s="2857"/>
      <c r="AF3199" s="2857"/>
      <c r="AG3199" s="2857"/>
      <c r="AH3199" s="1942"/>
      <c r="AI3199" s="1942"/>
      <c r="AJ3199" s="1942"/>
      <c r="AK3199" s="1942"/>
      <c r="AL3199" s="1942"/>
      <c r="AM3199" s="1942"/>
      <c r="AN3199" s="1942"/>
      <c r="AO3199" s="1942"/>
      <c r="AP3199" s="1942"/>
      <c r="AQ3199" s="1942"/>
      <c r="AR3199" s="1942"/>
      <c r="AS3199" s="1942"/>
      <c r="AT3199" s="1942"/>
      <c r="AU3199" s="1942"/>
      <c r="AV3199" s="1942"/>
      <c r="AW3199" s="1942"/>
      <c r="AX3199" s="1942"/>
      <c r="AY3199" s="1942"/>
      <c r="AZ3199" s="1942"/>
      <c r="BA3199" s="1942"/>
      <c r="BB3199" s="575"/>
      <c r="BC3199" s="576"/>
      <c r="BD3199" s="678"/>
      <c r="BE3199" s="585"/>
    </row>
    <row r="3200" spans="1:57" s="51" customFormat="1" ht="15" hidden="1" customHeight="1" outlineLevel="1" x14ac:dyDescent="0.25">
      <c r="A3200" s="2060"/>
      <c r="B3200" s="123"/>
      <c r="C3200" s="328"/>
      <c r="D3200" s="3990"/>
      <c r="E3200" s="4009"/>
      <c r="F3200" s="3010" t="str">
        <f>$E$1587</f>
        <v>ASHP-SEER21+-Replace_CAC_ElectricHeat_ROF_MF</v>
      </c>
      <c r="G3200" s="2676"/>
      <c r="H3200" s="2676"/>
      <c r="I3200" s="2677"/>
      <c r="J3200" s="3299" t="str">
        <f>$C$1587</f>
        <v>353700_2019_12_</v>
      </c>
      <c r="K3200" s="2282">
        <v>21</v>
      </c>
      <c r="L3200" s="851"/>
      <c r="M3200" s="2278" t="s">
        <v>1566</v>
      </c>
      <c r="N3200" s="123"/>
      <c r="O3200" s="228"/>
      <c r="P3200" s="844"/>
      <c r="Q3200" s="845"/>
      <c r="R3200" s="844"/>
      <c r="S3200" s="832"/>
      <c r="T3200" s="3082"/>
      <c r="U3200" s="123"/>
      <c r="V3200" s="3990"/>
      <c r="W3200" s="2857">
        <v>21</v>
      </c>
      <c r="X3200" s="2857">
        <v>21</v>
      </c>
      <c r="Y3200" s="696">
        <v>21</v>
      </c>
      <c r="Z3200" s="696">
        <v>21</v>
      </c>
      <c r="AA3200" s="696">
        <v>21</v>
      </c>
      <c r="AB3200" s="2282">
        <v>21</v>
      </c>
      <c r="AC3200" s="2282">
        <v>21</v>
      </c>
      <c r="AD3200" s="2857"/>
      <c r="AE3200" s="2857"/>
      <c r="AF3200" s="2857"/>
      <c r="AG3200" s="2857"/>
      <c r="AH3200" s="1942"/>
      <c r="AI3200" s="1942"/>
      <c r="AJ3200" s="1942"/>
      <c r="AK3200" s="1942"/>
      <c r="AL3200" s="1942"/>
      <c r="AM3200" s="1942"/>
      <c r="AN3200" s="1942"/>
      <c r="AO3200" s="1942"/>
      <c r="AP3200" s="1942"/>
      <c r="AQ3200" s="1942"/>
      <c r="AR3200" s="1942"/>
      <c r="AS3200" s="1942"/>
      <c r="AT3200" s="1942"/>
      <c r="AU3200" s="1942"/>
      <c r="AV3200" s="1942"/>
      <c r="AW3200" s="1942"/>
      <c r="AX3200" s="1942"/>
      <c r="AY3200" s="1942"/>
      <c r="AZ3200" s="1942"/>
      <c r="BA3200" s="1942"/>
      <c r="BB3200" s="575"/>
      <c r="BC3200" s="576"/>
      <c r="BD3200" s="678"/>
      <c r="BE3200" s="585"/>
    </row>
    <row r="3201" spans="1:57" s="51" customFormat="1" ht="15" hidden="1" customHeight="1" outlineLevel="1" x14ac:dyDescent="0.25">
      <c r="A3201" s="2060"/>
      <c r="B3201" s="123"/>
      <c r="C3201" s="328"/>
      <c r="D3201" s="3990"/>
      <c r="E3201" s="4009"/>
      <c r="F3201" s="3010" t="str">
        <f>$E$1589</f>
        <v>ASHP-SEER21+-Replace_CAC_ElectricHeat_ROF_MF_CompE</v>
      </c>
      <c r="G3201" s="2676"/>
      <c r="H3201" s="2676"/>
      <c r="I3201" s="2677"/>
      <c r="J3201" s="3299" t="str">
        <f>$C$1589</f>
        <v>353701_2019_12_</v>
      </c>
      <c r="K3201" s="2282">
        <v>21</v>
      </c>
      <c r="L3201" s="851"/>
      <c r="M3201" s="2723" t="s">
        <v>1125</v>
      </c>
      <c r="N3201" s="123"/>
      <c r="O3201" s="228"/>
      <c r="P3201" s="844"/>
      <c r="Q3201" s="845"/>
      <c r="R3201" s="844"/>
      <c r="S3201" s="832"/>
      <c r="T3201" s="3082"/>
      <c r="U3201" s="123"/>
      <c r="V3201" s="3990"/>
      <c r="W3201" s="2857"/>
      <c r="X3201" s="2857"/>
      <c r="Y3201" s="3158">
        <v>21</v>
      </c>
      <c r="Z3201" s="696">
        <v>21</v>
      </c>
      <c r="AA3201" s="696">
        <v>21</v>
      </c>
      <c r="AB3201" s="2282">
        <v>21</v>
      </c>
      <c r="AC3201" s="2282">
        <v>21</v>
      </c>
      <c r="AD3201" s="2857"/>
      <c r="AE3201" s="2857"/>
      <c r="AF3201" s="2857"/>
      <c r="AG3201" s="2857"/>
      <c r="AH3201" s="1942"/>
      <c r="AI3201" s="1942"/>
      <c r="AJ3201" s="1942"/>
      <c r="AK3201" s="1942"/>
      <c r="AL3201" s="1942"/>
      <c r="AM3201" s="1942"/>
      <c r="AN3201" s="1942"/>
      <c r="AO3201" s="1942"/>
      <c r="AP3201" s="1942"/>
      <c r="AQ3201" s="1942"/>
      <c r="AR3201" s="1942"/>
      <c r="AS3201" s="1942"/>
      <c r="AT3201" s="1942"/>
      <c r="AU3201" s="1942"/>
      <c r="AV3201" s="1942"/>
      <c r="AW3201" s="1942"/>
      <c r="AX3201" s="1942"/>
      <c r="AY3201" s="1942"/>
      <c r="AZ3201" s="1942"/>
      <c r="BA3201" s="1942"/>
      <c r="BB3201" s="575"/>
      <c r="BC3201" s="576"/>
      <c r="BD3201" s="678"/>
      <c r="BE3201" s="585"/>
    </row>
    <row r="3202" spans="1:57" s="1942" customFormat="1" ht="15" hidden="1" customHeight="1" outlineLevel="1" x14ac:dyDescent="0.25">
      <c r="A3202" s="2060"/>
      <c r="B3202" s="123"/>
      <c r="C3202" s="328"/>
      <c r="D3202" s="3990"/>
      <c r="E3202" s="4009"/>
      <c r="F3202" s="3010" t="str">
        <f>$E$1591</f>
        <v>ASHP-SEER21+-Replace_CAC_NonElectricHeat_ROF_MF</v>
      </c>
      <c r="G3202" s="2676"/>
      <c r="H3202" s="2676"/>
      <c r="I3202" s="2677"/>
      <c r="J3202" s="3298" t="str">
        <f>$C$1591</f>
        <v>353710_2021_12_</v>
      </c>
      <c r="K3202" s="2228">
        <v>21</v>
      </c>
      <c r="L3202" s="851"/>
      <c r="M3202" s="2723" t="s">
        <v>1125</v>
      </c>
      <c r="N3202" s="123"/>
      <c r="O3202" s="228"/>
      <c r="P3202" s="844"/>
      <c r="Q3202" s="845"/>
      <c r="R3202" s="844"/>
      <c r="S3202" s="832"/>
      <c r="T3202" s="3082"/>
      <c r="U3202" s="123"/>
      <c r="V3202" s="3990"/>
      <c r="W3202" s="2857"/>
      <c r="X3202" s="2857"/>
      <c r="Y3202" s="3158"/>
      <c r="Z3202" s="696"/>
      <c r="AA3202" s="696"/>
      <c r="AB3202" s="2282"/>
      <c r="AC3202" s="2228">
        <v>21</v>
      </c>
      <c r="AD3202" s="2857"/>
      <c r="AE3202" s="2857"/>
      <c r="AF3202" s="2857"/>
      <c r="AG3202" s="2857"/>
      <c r="BB3202" s="575"/>
      <c r="BC3202" s="576"/>
      <c r="BD3202" s="678"/>
      <c r="BE3202" s="585"/>
    </row>
    <row r="3203" spans="1:57" s="1942" customFormat="1" ht="15" hidden="1" customHeight="1" outlineLevel="1" x14ac:dyDescent="0.25">
      <c r="A3203" s="2060"/>
      <c r="B3203" s="123"/>
      <c r="C3203" s="328"/>
      <c r="D3203" s="3990"/>
      <c r="E3203" s="4009"/>
      <c r="F3203" s="3010" t="str">
        <f>$E$1593</f>
        <v>ASHP-SEER21+-Replace_CAC_NonElectricHeat_ROF_MF_CompE</v>
      </c>
      <c r="G3203" s="2676"/>
      <c r="H3203" s="2676"/>
      <c r="I3203" s="2677"/>
      <c r="J3203" s="3298" t="str">
        <f>$C$1593</f>
        <v>353711_2021_12_</v>
      </c>
      <c r="K3203" s="2228">
        <v>21</v>
      </c>
      <c r="L3203" s="851"/>
      <c r="M3203" s="2723" t="s">
        <v>1125</v>
      </c>
      <c r="N3203" s="123"/>
      <c r="O3203" s="228"/>
      <c r="P3203" s="844"/>
      <c r="Q3203" s="845"/>
      <c r="R3203" s="844"/>
      <c r="S3203" s="832"/>
      <c r="T3203" s="3082"/>
      <c r="U3203" s="123"/>
      <c r="V3203" s="3990"/>
      <c r="W3203" s="2857"/>
      <c r="X3203" s="2857"/>
      <c r="Y3203" s="3158"/>
      <c r="Z3203" s="696"/>
      <c r="AA3203" s="696"/>
      <c r="AB3203" s="2282"/>
      <c r="AC3203" s="2228">
        <v>21</v>
      </c>
      <c r="AD3203" s="2857"/>
      <c r="AE3203" s="2857"/>
      <c r="AF3203" s="2857"/>
      <c r="AG3203" s="2857"/>
      <c r="BB3203" s="575"/>
      <c r="BC3203" s="576"/>
      <c r="BD3203" s="678"/>
      <c r="BE3203" s="585"/>
    </row>
    <row r="3204" spans="1:57" s="51" customFormat="1" ht="15" hidden="1" customHeight="1" outlineLevel="1" x14ac:dyDescent="0.25">
      <c r="A3204" s="1267"/>
      <c r="B3204" s="123"/>
      <c r="C3204" s="328"/>
      <c r="D3204" s="3990"/>
      <c r="E3204" s="4009"/>
      <c r="F3204" s="3010" t="str">
        <f>$E$1595</f>
        <v>ASHP-SEER17_ER1_SF</v>
      </c>
      <c r="G3204" s="2676"/>
      <c r="H3204" s="2676"/>
      <c r="I3204" s="2677"/>
      <c r="J3204" s="3298" t="str">
        <f>$C$1595</f>
        <v>353750_2021_12_</v>
      </c>
      <c r="K3204" s="2228">
        <v>17.142857142857142</v>
      </c>
      <c r="L3204" s="851"/>
      <c r="M3204" s="2723" t="s">
        <v>1565</v>
      </c>
      <c r="N3204" s="123"/>
      <c r="O3204" s="228"/>
      <c r="P3204" s="228"/>
      <c r="Q3204" s="228"/>
      <c r="R3204" s="228"/>
      <c r="S3204" s="123"/>
      <c r="T3204" s="123"/>
      <c r="U3204" s="123"/>
      <c r="V3204" s="3990"/>
      <c r="W3204" s="2857">
        <v>17</v>
      </c>
      <c r="X3204" s="2857">
        <v>17</v>
      </c>
      <c r="Y3204" s="696">
        <v>17</v>
      </c>
      <c r="Z3204" s="696">
        <v>17</v>
      </c>
      <c r="AA3204" s="696">
        <v>17</v>
      </c>
      <c r="AB3204" s="2282">
        <v>17</v>
      </c>
      <c r="AC3204" s="2228">
        <v>17.142857142857142</v>
      </c>
      <c r="AD3204" s="2857"/>
      <c r="AE3204" s="2857"/>
      <c r="AF3204" s="2857"/>
      <c r="AG3204" s="2857"/>
      <c r="AH3204" s="1942"/>
      <c r="AI3204" s="1942"/>
      <c r="AJ3204" s="1942"/>
      <c r="AK3204" s="1942"/>
      <c r="AL3204" s="1942"/>
      <c r="AM3204" s="1942"/>
      <c r="AN3204" s="1942"/>
      <c r="AO3204" s="1942"/>
      <c r="AP3204" s="1942"/>
      <c r="AQ3204" s="1942"/>
      <c r="AR3204" s="1942"/>
      <c r="AS3204" s="1942"/>
      <c r="AT3204" s="1942"/>
      <c r="AU3204" s="1942"/>
      <c r="AV3204" s="1942"/>
      <c r="AW3204" s="1942"/>
      <c r="AX3204" s="1942"/>
      <c r="AY3204" s="1942"/>
      <c r="AZ3204" s="1942"/>
      <c r="BA3204" s="1942"/>
      <c r="BB3204" s="575"/>
      <c r="BC3204" s="576"/>
      <c r="BD3204" s="678"/>
      <c r="BE3204" s="585"/>
    </row>
    <row r="3205" spans="1:57" s="51" customFormat="1" ht="15" hidden="1" customHeight="1" outlineLevel="1" x14ac:dyDescent="0.25">
      <c r="A3205" s="2060"/>
      <c r="B3205" s="123"/>
      <c r="C3205" s="328"/>
      <c r="D3205" s="3990"/>
      <c r="E3205" s="4009"/>
      <c r="F3205" s="3010" t="str">
        <f>$E$1597</f>
        <v>ASHP-SEER17_ER2_SF</v>
      </c>
      <c r="G3205" s="2676"/>
      <c r="H3205" s="2676"/>
      <c r="I3205" s="2677"/>
      <c r="J3205" s="3298" t="str">
        <f>$C$1597</f>
        <v>353750_2021_12_</v>
      </c>
      <c r="K3205" s="2228">
        <f>K3204</f>
        <v>17.142857142857142</v>
      </c>
      <c r="L3205" s="851"/>
      <c r="M3205" s="2723" t="s">
        <v>1565</v>
      </c>
      <c r="N3205" s="123"/>
      <c r="O3205" s="228"/>
      <c r="P3205" s="844"/>
      <c r="Q3205" s="845"/>
      <c r="R3205" s="844"/>
      <c r="S3205" s="832"/>
      <c r="T3205" s="3082"/>
      <c r="U3205" s="123"/>
      <c r="V3205" s="3990"/>
      <c r="W3205" s="2857">
        <v>17</v>
      </c>
      <c r="X3205" s="2857">
        <v>17</v>
      </c>
      <c r="Y3205" s="696">
        <v>17</v>
      </c>
      <c r="Z3205" s="696">
        <v>17</v>
      </c>
      <c r="AA3205" s="696">
        <v>17</v>
      </c>
      <c r="AB3205" s="2282">
        <v>17</v>
      </c>
      <c r="AC3205" s="2228">
        <f>AC3204</f>
        <v>17.142857142857142</v>
      </c>
      <c r="AD3205" s="2857"/>
      <c r="AE3205" s="2857"/>
      <c r="AF3205" s="2857"/>
      <c r="AG3205" s="2857"/>
      <c r="AH3205" s="1942"/>
      <c r="AI3205" s="1942"/>
      <c r="AJ3205" s="1942"/>
      <c r="AK3205" s="1942"/>
      <c r="AL3205" s="1942"/>
      <c r="AM3205" s="1942"/>
      <c r="AN3205" s="1942"/>
      <c r="AO3205" s="1942"/>
      <c r="AP3205" s="1942"/>
      <c r="AQ3205" s="1942"/>
      <c r="AR3205" s="1942"/>
      <c r="AS3205" s="1942"/>
      <c r="AT3205" s="1942"/>
      <c r="AU3205" s="1942"/>
      <c r="AV3205" s="1942"/>
      <c r="AW3205" s="1942"/>
      <c r="AX3205" s="1942"/>
      <c r="AY3205" s="1942"/>
      <c r="AZ3205" s="1942"/>
      <c r="BA3205" s="1942"/>
      <c r="BB3205" s="575"/>
      <c r="BC3205" s="576"/>
      <c r="BD3205" s="678"/>
      <c r="BE3205" s="585"/>
    </row>
    <row r="3206" spans="1:57" s="51" customFormat="1" ht="15" hidden="1" customHeight="1" outlineLevel="1" x14ac:dyDescent="0.25">
      <c r="A3206" s="1267"/>
      <c r="B3206" s="123"/>
      <c r="C3206" s="328"/>
      <c r="D3206" s="3990"/>
      <c r="E3206" s="4009"/>
      <c r="F3206" s="3010" t="str">
        <f>$E$1599</f>
        <v>ASHP-SEER17_ROF_SF</v>
      </c>
      <c r="G3206" s="2676"/>
      <c r="H3206" s="2676"/>
      <c r="I3206" s="2677"/>
      <c r="J3206" s="3298" t="str">
        <f>$C$1599</f>
        <v>353800_2021_12_</v>
      </c>
      <c r="K3206" s="2228">
        <v>17.795238095238094</v>
      </c>
      <c r="L3206" s="851"/>
      <c r="M3206" s="2723" t="s">
        <v>1565</v>
      </c>
      <c r="N3206" s="123"/>
      <c r="O3206" s="228"/>
      <c r="P3206" s="228"/>
      <c r="Q3206" s="228"/>
      <c r="R3206" s="228"/>
      <c r="S3206" s="123"/>
      <c r="T3206" s="123"/>
      <c r="U3206" s="123"/>
      <c r="V3206" s="3990"/>
      <c r="W3206" s="2857">
        <v>17</v>
      </c>
      <c r="X3206" s="2857">
        <v>17</v>
      </c>
      <c r="Y3206" s="696">
        <v>17</v>
      </c>
      <c r="Z3206" s="696">
        <v>17</v>
      </c>
      <c r="AA3206" s="696">
        <v>17</v>
      </c>
      <c r="AB3206" s="2282">
        <v>17</v>
      </c>
      <c r="AC3206" s="2228">
        <v>17.795238095238094</v>
      </c>
      <c r="AD3206" s="2857"/>
      <c r="AE3206" s="2857"/>
      <c r="AF3206" s="2857"/>
      <c r="AG3206" s="2857"/>
      <c r="AH3206" s="1942"/>
      <c r="AI3206" s="1942"/>
      <c r="AJ3206" s="1942"/>
      <c r="AK3206" s="1942"/>
      <c r="AL3206" s="1942"/>
      <c r="AM3206" s="1942"/>
      <c r="AN3206" s="1942"/>
      <c r="AO3206" s="1942"/>
      <c r="AP3206" s="1942"/>
      <c r="AQ3206" s="1942"/>
      <c r="AR3206" s="1942"/>
      <c r="AS3206" s="1942"/>
      <c r="AT3206" s="1942"/>
      <c r="AU3206" s="1942"/>
      <c r="AV3206" s="1942"/>
      <c r="AW3206" s="1942"/>
      <c r="AX3206" s="1942"/>
      <c r="AY3206" s="1942"/>
      <c r="AZ3206" s="1942"/>
      <c r="BA3206" s="1942"/>
      <c r="BB3206" s="575"/>
      <c r="BC3206" s="576"/>
      <c r="BD3206" s="678"/>
      <c r="BE3206" s="585"/>
    </row>
    <row r="3207" spans="1:57" s="51" customFormat="1" ht="15" hidden="1" customHeight="1" outlineLevel="1" x14ac:dyDescent="0.25">
      <c r="A3207" s="2060"/>
      <c r="B3207" s="123"/>
      <c r="C3207" s="328"/>
      <c r="D3207" s="3990"/>
      <c r="E3207" s="4009"/>
      <c r="F3207" s="3010" t="str">
        <f>$E$1601</f>
        <v>ASHP-SEER18_ER1_SF</v>
      </c>
      <c r="G3207" s="2676"/>
      <c r="H3207" s="2676"/>
      <c r="I3207" s="2677"/>
      <c r="J3207" s="3298" t="str">
        <f>$C$1601</f>
        <v>353850_2021_12_</v>
      </c>
      <c r="K3207" s="2228">
        <v>17.920289855072465</v>
      </c>
      <c r="L3207" s="851"/>
      <c r="M3207" s="2723" t="s">
        <v>1005</v>
      </c>
      <c r="N3207" s="123"/>
      <c r="O3207" s="228"/>
      <c r="P3207" s="844"/>
      <c r="Q3207" s="845"/>
      <c r="R3207" s="844"/>
      <c r="S3207" s="832"/>
      <c r="T3207" s="3082"/>
      <c r="U3207" s="123"/>
      <c r="V3207" s="3990"/>
      <c r="W3207" s="2857">
        <v>18</v>
      </c>
      <c r="X3207" s="2857">
        <v>18</v>
      </c>
      <c r="Y3207" s="696">
        <v>18</v>
      </c>
      <c r="Z3207" s="696">
        <v>18</v>
      </c>
      <c r="AA3207" s="696">
        <v>18</v>
      </c>
      <c r="AB3207" s="2228">
        <v>18.991935483870968</v>
      </c>
      <c r="AC3207" s="2228">
        <v>17.920289855072465</v>
      </c>
      <c r="AD3207" s="2857"/>
      <c r="AE3207" s="2857"/>
      <c r="AF3207" s="2857"/>
      <c r="AG3207" s="2857"/>
      <c r="AH3207" s="1942"/>
      <c r="AI3207" s="1942"/>
      <c r="AJ3207" s="1942"/>
      <c r="AK3207" s="1942"/>
      <c r="AL3207" s="1942"/>
      <c r="AM3207" s="1942"/>
      <c r="AN3207" s="1942"/>
      <c r="AO3207" s="1942"/>
      <c r="AP3207" s="1942"/>
      <c r="AQ3207" s="1942"/>
      <c r="AR3207" s="1942"/>
      <c r="AS3207" s="1942"/>
      <c r="AT3207" s="1942"/>
      <c r="AU3207" s="1942"/>
      <c r="AV3207" s="1942"/>
      <c r="AW3207" s="1942"/>
      <c r="AX3207" s="1942"/>
      <c r="AY3207" s="1942"/>
      <c r="AZ3207" s="1942"/>
      <c r="BA3207" s="1942"/>
      <c r="BB3207" s="575"/>
      <c r="BC3207" s="576"/>
      <c r="BD3207" s="678"/>
      <c r="BE3207" s="585"/>
    </row>
    <row r="3208" spans="1:57" s="51" customFormat="1" ht="15" hidden="1" customHeight="1" outlineLevel="1" x14ac:dyDescent="0.25">
      <c r="A3208" s="1267"/>
      <c r="B3208" s="123"/>
      <c r="C3208" s="328"/>
      <c r="D3208" s="3990"/>
      <c r="E3208" s="4009"/>
      <c r="F3208" s="3010" t="str">
        <f>$E$1603</f>
        <v>ASHP-SEER18_ER2_SF</v>
      </c>
      <c r="G3208" s="2676"/>
      <c r="H3208" s="2676"/>
      <c r="I3208" s="2677"/>
      <c r="J3208" s="3298" t="str">
        <f>$C$1603</f>
        <v>353850_2021_12_</v>
      </c>
      <c r="K3208" s="2228">
        <f>K3207</f>
        <v>17.920289855072465</v>
      </c>
      <c r="L3208" s="851"/>
      <c r="M3208" s="2723" t="s">
        <v>1005</v>
      </c>
      <c r="N3208" s="123"/>
      <c r="O3208" s="228"/>
      <c r="P3208" s="228"/>
      <c r="Q3208" s="228"/>
      <c r="R3208" s="228"/>
      <c r="S3208" s="123"/>
      <c r="T3208" s="123"/>
      <c r="U3208" s="123"/>
      <c r="V3208" s="3990"/>
      <c r="W3208" s="2857">
        <v>18</v>
      </c>
      <c r="X3208" s="2857">
        <v>18</v>
      </c>
      <c r="Y3208" s="696">
        <v>18</v>
      </c>
      <c r="Z3208" s="696">
        <v>18</v>
      </c>
      <c r="AA3208" s="696">
        <v>18</v>
      </c>
      <c r="AB3208" s="2228">
        <v>18.991935483870968</v>
      </c>
      <c r="AC3208" s="2228">
        <f>AC3207</f>
        <v>17.920289855072465</v>
      </c>
      <c r="AD3208" s="2857"/>
      <c r="AE3208" s="2857"/>
      <c r="AF3208" s="2857"/>
      <c r="AG3208" s="2857"/>
      <c r="AH3208" s="1942"/>
      <c r="AI3208" s="1942"/>
      <c r="AJ3208" s="1942"/>
      <c r="AK3208" s="1942"/>
      <c r="AL3208" s="1942"/>
      <c r="AM3208" s="1942"/>
      <c r="AN3208" s="1942"/>
      <c r="AO3208" s="1942"/>
      <c r="AP3208" s="1942"/>
      <c r="AQ3208" s="1942"/>
      <c r="AR3208" s="1942"/>
      <c r="AS3208" s="1942"/>
      <c r="AT3208" s="1942"/>
      <c r="AU3208" s="1942"/>
      <c r="AV3208" s="1942"/>
      <c r="AW3208" s="1942"/>
      <c r="AX3208" s="1942"/>
      <c r="AY3208" s="1942"/>
      <c r="AZ3208" s="1942"/>
      <c r="BA3208" s="1942"/>
      <c r="BB3208" s="575"/>
      <c r="BC3208" s="576"/>
      <c r="BD3208" s="678"/>
      <c r="BE3208" s="585"/>
    </row>
    <row r="3209" spans="1:57" s="51" customFormat="1" ht="15" hidden="1" customHeight="1" outlineLevel="1" x14ac:dyDescent="0.25">
      <c r="A3209" s="2060"/>
      <c r="B3209" s="123"/>
      <c r="C3209" s="328"/>
      <c r="D3209" s="3990"/>
      <c r="E3209" s="4009"/>
      <c r="F3209" s="3010" t="str">
        <f>$E$1605</f>
        <v>ASHP-SEER18_ROF_SF</v>
      </c>
      <c r="G3209" s="2676"/>
      <c r="H3209" s="2676"/>
      <c r="I3209" s="2677"/>
      <c r="J3209" s="3298" t="str">
        <f>$C$1605</f>
        <v>353950_2021_12_</v>
      </c>
      <c r="K3209" s="2228">
        <v>18.203125</v>
      </c>
      <c r="L3209" s="851"/>
      <c r="M3209" s="2723" t="s">
        <v>1565</v>
      </c>
      <c r="N3209" s="123"/>
      <c r="O3209" s="228"/>
      <c r="P3209" s="844"/>
      <c r="Q3209" s="845"/>
      <c r="R3209" s="844"/>
      <c r="S3209" s="832"/>
      <c r="T3209" s="3082"/>
      <c r="U3209" s="123"/>
      <c r="V3209" s="3990"/>
      <c r="W3209" s="2857">
        <v>18</v>
      </c>
      <c r="X3209" s="2857">
        <v>18</v>
      </c>
      <c r="Y3209" s="696">
        <v>18</v>
      </c>
      <c r="Z3209" s="696">
        <v>18</v>
      </c>
      <c r="AA3209" s="696">
        <v>18</v>
      </c>
      <c r="AB3209" s="2282">
        <v>18</v>
      </c>
      <c r="AC3209" s="2228">
        <v>18.203125</v>
      </c>
      <c r="AD3209" s="2857"/>
      <c r="AE3209" s="2857"/>
      <c r="AF3209" s="2857"/>
      <c r="AG3209" s="2857"/>
      <c r="AH3209" s="1942"/>
      <c r="AI3209" s="1942"/>
      <c r="AJ3209" s="1942"/>
      <c r="AK3209" s="1942"/>
      <c r="AL3209" s="1942"/>
      <c r="AM3209" s="1942"/>
      <c r="AN3209" s="1942"/>
      <c r="AO3209" s="1942"/>
      <c r="AP3209" s="1942"/>
      <c r="AQ3209" s="1942"/>
      <c r="AR3209" s="1942"/>
      <c r="AS3209" s="1942"/>
      <c r="AT3209" s="1942"/>
      <c r="AU3209" s="1942"/>
      <c r="AV3209" s="1942"/>
      <c r="AW3209" s="1942"/>
      <c r="AX3209" s="1942"/>
      <c r="AY3209" s="1942"/>
      <c r="AZ3209" s="1942"/>
      <c r="BA3209" s="1942"/>
      <c r="BB3209" s="575"/>
      <c r="BC3209" s="576"/>
      <c r="BD3209" s="678"/>
      <c r="BE3209" s="585"/>
    </row>
    <row r="3210" spans="1:57" s="51" customFormat="1" ht="15" hidden="1" customHeight="1" outlineLevel="1" x14ac:dyDescent="0.25">
      <c r="A3210" s="2060"/>
      <c r="B3210" s="123"/>
      <c r="C3210" s="328"/>
      <c r="D3210" s="3990"/>
      <c r="E3210" s="4009"/>
      <c r="F3210" s="3010" t="str">
        <f>$E$1607</f>
        <v>ASHP-SEER19_ER1_SF</v>
      </c>
      <c r="G3210" s="2676"/>
      <c r="H3210" s="2676"/>
      <c r="I3210" s="2677"/>
      <c r="J3210" s="3298" t="str">
        <f>$C$1607</f>
        <v>354000_2021_12_</v>
      </c>
      <c r="K3210" s="2228">
        <v>19.100000000000001</v>
      </c>
      <c r="L3210" s="851"/>
      <c r="M3210" s="2723" t="s">
        <v>1565</v>
      </c>
      <c r="N3210" s="123"/>
      <c r="O3210" s="228"/>
      <c r="P3210" s="844"/>
      <c r="Q3210" s="845"/>
      <c r="R3210" s="844"/>
      <c r="S3210" s="832"/>
      <c r="T3210" s="3082"/>
      <c r="U3210" s="123"/>
      <c r="V3210" s="3990"/>
      <c r="W3210" s="2857">
        <v>19</v>
      </c>
      <c r="X3210" s="2857">
        <v>19</v>
      </c>
      <c r="Y3210" s="696">
        <v>19</v>
      </c>
      <c r="Z3210" s="696">
        <v>19</v>
      </c>
      <c r="AA3210" s="696">
        <v>19</v>
      </c>
      <c r="AB3210" s="2282">
        <v>19</v>
      </c>
      <c r="AC3210" s="2228">
        <v>19.100000000000001</v>
      </c>
      <c r="AD3210" s="2857"/>
      <c r="AE3210" s="2857"/>
      <c r="AF3210" s="2857"/>
      <c r="AG3210" s="2857"/>
      <c r="AH3210" s="1942"/>
      <c r="AI3210" s="1942"/>
      <c r="AJ3210" s="1942"/>
      <c r="AK3210" s="1942"/>
      <c r="AL3210" s="1942"/>
      <c r="AM3210" s="1942"/>
      <c r="AN3210" s="1942"/>
      <c r="AO3210" s="1942"/>
      <c r="AP3210" s="1942"/>
      <c r="AQ3210" s="1942"/>
      <c r="AR3210" s="1942"/>
      <c r="AS3210" s="1942"/>
      <c r="AT3210" s="1942"/>
      <c r="AU3210" s="1942"/>
      <c r="AV3210" s="1942"/>
      <c r="AW3210" s="1942"/>
      <c r="AX3210" s="1942"/>
      <c r="AY3210" s="1942"/>
      <c r="AZ3210" s="1942"/>
      <c r="BA3210" s="1942"/>
      <c r="BB3210" s="575"/>
      <c r="BC3210" s="576"/>
      <c r="BD3210" s="678"/>
      <c r="BE3210" s="585"/>
    </row>
    <row r="3211" spans="1:57" s="51" customFormat="1" ht="15" hidden="1" customHeight="1" outlineLevel="1" x14ac:dyDescent="0.25">
      <c r="A3211" s="1267"/>
      <c r="B3211" s="123"/>
      <c r="C3211" s="328"/>
      <c r="D3211" s="3990"/>
      <c r="E3211" s="4009"/>
      <c r="F3211" s="3010" t="str">
        <f>$E$1609</f>
        <v>ASHP-SEER19_ER2_SF</v>
      </c>
      <c r="G3211" s="2676"/>
      <c r="H3211" s="2676"/>
      <c r="I3211" s="2677"/>
      <c r="J3211" s="3298" t="str">
        <f>$C$1609</f>
        <v>354000_2021_12_</v>
      </c>
      <c r="K3211" s="2228">
        <f>K3210</f>
        <v>19.100000000000001</v>
      </c>
      <c r="L3211" s="851"/>
      <c r="M3211" s="2723" t="s">
        <v>1565</v>
      </c>
      <c r="N3211" s="123"/>
      <c r="O3211" s="228"/>
      <c r="P3211" s="228"/>
      <c r="Q3211" s="228"/>
      <c r="R3211" s="228"/>
      <c r="S3211" s="123"/>
      <c r="T3211" s="123"/>
      <c r="U3211" s="123"/>
      <c r="V3211" s="3990"/>
      <c r="W3211" s="2857">
        <v>19</v>
      </c>
      <c r="X3211" s="2857">
        <v>19</v>
      </c>
      <c r="Y3211" s="696">
        <v>19</v>
      </c>
      <c r="Z3211" s="696">
        <v>19</v>
      </c>
      <c r="AA3211" s="696">
        <v>19</v>
      </c>
      <c r="AB3211" s="2282">
        <v>19</v>
      </c>
      <c r="AC3211" s="2228">
        <f>AC3210</f>
        <v>19.100000000000001</v>
      </c>
      <c r="AD3211" s="2857"/>
      <c r="AE3211" s="2857"/>
      <c r="AF3211" s="2857"/>
      <c r="AG3211" s="2857"/>
      <c r="AH3211" s="1942"/>
      <c r="AI3211" s="1942"/>
      <c r="AJ3211" s="1942"/>
      <c r="AK3211" s="1942"/>
      <c r="AL3211" s="1942"/>
      <c r="AM3211" s="1942"/>
      <c r="AN3211" s="1942"/>
      <c r="AO3211" s="1942"/>
      <c r="AP3211" s="1942"/>
      <c r="AQ3211" s="1942"/>
      <c r="AR3211" s="1942"/>
      <c r="AS3211" s="1942"/>
      <c r="AT3211" s="1942"/>
      <c r="AU3211" s="1942"/>
      <c r="AV3211" s="1942"/>
      <c r="AW3211" s="1942"/>
      <c r="AX3211" s="1942"/>
      <c r="AY3211" s="1942"/>
      <c r="AZ3211" s="1942"/>
      <c r="BA3211" s="1942"/>
      <c r="BB3211" s="575"/>
      <c r="BC3211" s="576"/>
      <c r="BD3211" s="678"/>
      <c r="BE3211" s="585"/>
    </row>
    <row r="3212" spans="1:57" s="51" customFormat="1" ht="15" hidden="1" customHeight="1" outlineLevel="1" x14ac:dyDescent="0.25">
      <c r="A3212" s="1267"/>
      <c r="B3212" s="123"/>
      <c r="C3212" s="328"/>
      <c r="D3212" s="3990"/>
      <c r="E3212" s="4009"/>
      <c r="F3212" s="3010" t="str">
        <f>$E$1611</f>
        <v>ASHP-SEER19_ROF_SF</v>
      </c>
      <c r="G3212" s="2676"/>
      <c r="H3212" s="2676"/>
      <c r="I3212" s="2677"/>
      <c r="J3212" s="3298" t="str">
        <f>$C$1611</f>
        <v>354050_2021_12_</v>
      </c>
      <c r="K3212" s="2228">
        <v>19.033333333333335</v>
      </c>
      <c r="L3212" s="851"/>
      <c r="M3212" s="2723" t="s">
        <v>1565</v>
      </c>
      <c r="N3212" s="123"/>
      <c r="O3212" s="228"/>
      <c r="P3212" s="228"/>
      <c r="Q3212" s="228"/>
      <c r="R3212" s="228"/>
      <c r="S3212" s="123"/>
      <c r="T3212" s="123"/>
      <c r="U3212" s="123"/>
      <c r="V3212" s="3990"/>
      <c r="W3212" s="2857">
        <v>19</v>
      </c>
      <c r="X3212" s="2857">
        <v>19</v>
      </c>
      <c r="Y3212" s="696">
        <v>19</v>
      </c>
      <c r="Z3212" s="696">
        <v>19</v>
      </c>
      <c r="AA3212" s="696">
        <v>19</v>
      </c>
      <c r="AB3212" s="2282">
        <v>19</v>
      </c>
      <c r="AC3212" s="2228">
        <v>19.033333333333335</v>
      </c>
      <c r="AD3212" s="2857"/>
      <c r="AE3212" s="2857"/>
      <c r="AF3212" s="2857"/>
      <c r="AG3212" s="2857"/>
      <c r="AH3212" s="1942"/>
      <c r="AI3212" s="1942"/>
      <c r="AJ3212" s="1942"/>
      <c r="AK3212" s="1942"/>
      <c r="AL3212" s="1942"/>
      <c r="AM3212" s="1942"/>
      <c r="AN3212" s="1942"/>
      <c r="AO3212" s="1942"/>
      <c r="AP3212" s="1942"/>
      <c r="AQ3212" s="1942"/>
      <c r="AR3212" s="1942"/>
      <c r="AS3212" s="1942"/>
      <c r="AT3212" s="1942"/>
      <c r="AU3212" s="1942"/>
      <c r="AV3212" s="1942"/>
      <c r="AW3212" s="1942"/>
      <c r="AX3212" s="1942"/>
      <c r="AY3212" s="1942"/>
      <c r="AZ3212" s="1942"/>
      <c r="BA3212" s="1942"/>
      <c r="BB3212" s="575"/>
      <c r="BC3212" s="576"/>
      <c r="BD3212" s="678"/>
      <c r="BE3212" s="585"/>
    </row>
    <row r="3213" spans="1:57" s="51" customFormat="1" ht="15" hidden="1" customHeight="1" outlineLevel="1" x14ac:dyDescent="0.25">
      <c r="A3213" s="1267"/>
      <c r="B3213" s="123"/>
      <c r="C3213" s="328"/>
      <c r="D3213" s="3990"/>
      <c r="E3213" s="4009"/>
      <c r="F3213" s="3010" t="str">
        <f>$E$1613</f>
        <v>ASHP-SEER17-Replace_CAC_ElectricHeat_ER1_SF</v>
      </c>
      <c r="G3213" s="2676"/>
      <c r="H3213" s="2676"/>
      <c r="I3213" s="2677"/>
      <c r="J3213" s="3298" t="str">
        <f>$C$1613</f>
        <v>354100_2021_12_</v>
      </c>
      <c r="K3213" s="2228">
        <v>17.136363636363637</v>
      </c>
      <c r="L3213" s="851"/>
      <c r="M3213" s="2723" t="s">
        <v>1565</v>
      </c>
      <c r="N3213" s="123"/>
      <c r="O3213" s="228"/>
      <c r="P3213" s="228"/>
      <c r="Q3213" s="228"/>
      <c r="R3213" s="228"/>
      <c r="S3213" s="123"/>
      <c r="T3213" s="123"/>
      <c r="U3213" s="123"/>
      <c r="V3213" s="3990"/>
      <c r="W3213" s="2857">
        <v>17</v>
      </c>
      <c r="X3213" s="2857">
        <v>17</v>
      </c>
      <c r="Y3213" s="696">
        <v>17</v>
      </c>
      <c r="Z3213" s="696">
        <v>17</v>
      </c>
      <c r="AA3213" s="696">
        <v>17</v>
      </c>
      <c r="AB3213" s="2282">
        <v>17</v>
      </c>
      <c r="AC3213" s="2228">
        <v>17.136363636363637</v>
      </c>
      <c r="AD3213" s="2857"/>
      <c r="AE3213" s="2857"/>
      <c r="AF3213" s="2857"/>
      <c r="AG3213" s="2857"/>
      <c r="AH3213" s="1942"/>
      <c r="AI3213" s="1942"/>
      <c r="AJ3213" s="1942"/>
      <c r="AK3213" s="1942"/>
      <c r="AL3213" s="1942"/>
      <c r="AM3213" s="1942"/>
      <c r="AN3213" s="1942"/>
      <c r="AO3213" s="1942"/>
      <c r="AP3213" s="1942"/>
      <c r="AQ3213" s="1942"/>
      <c r="AR3213" s="1942"/>
      <c r="AS3213" s="1942"/>
      <c r="AT3213" s="1942"/>
      <c r="AU3213" s="1942"/>
      <c r="AV3213" s="1942"/>
      <c r="AW3213" s="1942"/>
      <c r="AX3213" s="1942"/>
      <c r="AY3213" s="1942"/>
      <c r="AZ3213" s="1942"/>
      <c r="BA3213" s="1942"/>
      <c r="BB3213" s="575"/>
      <c r="BC3213" s="576"/>
      <c r="BD3213" s="678"/>
      <c r="BE3213" s="585"/>
    </row>
    <row r="3214" spans="1:57" s="51" customFormat="1" ht="15" hidden="1" customHeight="1" outlineLevel="1" x14ac:dyDescent="0.25">
      <c r="A3214" s="1267"/>
      <c r="B3214" s="123"/>
      <c r="C3214" s="328"/>
      <c r="D3214" s="3990"/>
      <c r="E3214" s="4009"/>
      <c r="F3214" s="3010" t="str">
        <f>$E$1615</f>
        <v>ASHP-SEER17-Replace_CAC_ElectricHeat_ER2_SF</v>
      </c>
      <c r="G3214" s="2676"/>
      <c r="H3214" s="2676"/>
      <c r="I3214" s="2677"/>
      <c r="J3214" s="3298" t="str">
        <f>$C$1615</f>
        <v>354100_2021_12_</v>
      </c>
      <c r="K3214" s="2228">
        <f>K3213</f>
        <v>17.136363636363637</v>
      </c>
      <c r="L3214" s="851"/>
      <c r="M3214" s="2723" t="s">
        <v>1565</v>
      </c>
      <c r="N3214" s="123"/>
      <c r="O3214" s="228"/>
      <c r="P3214" s="228"/>
      <c r="Q3214" s="228"/>
      <c r="R3214" s="228"/>
      <c r="S3214" s="123"/>
      <c r="T3214" s="123"/>
      <c r="U3214" s="123"/>
      <c r="V3214" s="3990"/>
      <c r="W3214" s="2857">
        <v>17</v>
      </c>
      <c r="X3214" s="2857">
        <v>17</v>
      </c>
      <c r="Y3214" s="696">
        <v>17</v>
      </c>
      <c r="Z3214" s="696">
        <v>17</v>
      </c>
      <c r="AA3214" s="696">
        <v>17</v>
      </c>
      <c r="AB3214" s="2282">
        <v>17</v>
      </c>
      <c r="AC3214" s="2228">
        <f>AC3213</f>
        <v>17.136363636363637</v>
      </c>
      <c r="AD3214" s="2857"/>
      <c r="AE3214" s="2857"/>
      <c r="AF3214" s="2857"/>
      <c r="AG3214" s="2857"/>
      <c r="AH3214" s="1942"/>
      <c r="AI3214" s="1942"/>
      <c r="AJ3214" s="1942"/>
      <c r="AK3214" s="1942"/>
      <c r="AL3214" s="1942"/>
      <c r="AM3214" s="1942"/>
      <c r="AN3214" s="1942"/>
      <c r="AO3214" s="1942"/>
      <c r="AP3214" s="1942"/>
      <c r="AQ3214" s="1942"/>
      <c r="AR3214" s="1942"/>
      <c r="AS3214" s="1942"/>
      <c r="AT3214" s="1942"/>
      <c r="AU3214" s="1942"/>
      <c r="AV3214" s="1942"/>
      <c r="AW3214" s="1942"/>
      <c r="AX3214" s="1942"/>
      <c r="AY3214" s="1942"/>
      <c r="AZ3214" s="1942"/>
      <c r="BA3214" s="1942"/>
      <c r="BB3214" s="575"/>
      <c r="BC3214" s="576"/>
      <c r="BD3214" s="678"/>
      <c r="BE3214" s="585"/>
    </row>
    <row r="3215" spans="1:57" s="1942" customFormat="1" ht="15" hidden="1" customHeight="1" outlineLevel="1" x14ac:dyDescent="0.25">
      <c r="A3215" s="1267"/>
      <c r="B3215" s="123"/>
      <c r="C3215" s="328"/>
      <c r="D3215" s="3990"/>
      <c r="E3215" s="4009"/>
      <c r="F3215" s="3010" t="str">
        <f>$E$1617</f>
        <v>ASHP-SEER17-Replace_CAC_NonElectricHeat_ER1_SF</v>
      </c>
      <c r="G3215" s="2676"/>
      <c r="H3215" s="2676"/>
      <c r="I3215" s="2677"/>
      <c r="J3215" s="3298" t="str">
        <f>$C$1617</f>
        <v>354110_2021_12_</v>
      </c>
      <c r="K3215" s="2228">
        <v>17.136363636363637</v>
      </c>
      <c r="L3215" s="851"/>
      <c r="M3215" s="2723" t="s">
        <v>1125</v>
      </c>
      <c r="N3215" s="123"/>
      <c r="O3215" s="228"/>
      <c r="P3215" s="228"/>
      <c r="Q3215" s="228"/>
      <c r="R3215" s="228"/>
      <c r="S3215" s="123"/>
      <c r="T3215" s="123"/>
      <c r="U3215" s="123"/>
      <c r="V3215" s="3990"/>
      <c r="W3215" s="2857"/>
      <c r="X3215" s="2857"/>
      <c r="Y3215" s="696"/>
      <c r="Z3215" s="696"/>
      <c r="AA3215" s="696"/>
      <c r="AB3215" s="2282"/>
      <c r="AC3215" s="2228">
        <v>17.136363636363637</v>
      </c>
      <c r="AD3215" s="2857"/>
      <c r="AE3215" s="2857"/>
      <c r="AF3215" s="2857"/>
      <c r="AG3215" s="2857"/>
      <c r="BB3215" s="575"/>
      <c r="BC3215" s="576"/>
      <c r="BD3215" s="678"/>
      <c r="BE3215" s="585"/>
    </row>
    <row r="3216" spans="1:57" s="1942" customFormat="1" ht="15" hidden="1" customHeight="1" outlineLevel="1" x14ac:dyDescent="0.25">
      <c r="A3216" s="1267"/>
      <c r="B3216" s="123"/>
      <c r="C3216" s="328"/>
      <c r="D3216" s="3990"/>
      <c r="E3216" s="4009"/>
      <c r="F3216" s="3010" t="str">
        <f>$E$1619</f>
        <v>ASHP-SEER17-Replace_CAC_NonElectricHeat_ER2_SF</v>
      </c>
      <c r="G3216" s="2676"/>
      <c r="H3216" s="2676"/>
      <c r="I3216" s="2677"/>
      <c r="J3216" s="3298" t="str">
        <f>$C$1619</f>
        <v>354110_2021_12_</v>
      </c>
      <c r="K3216" s="2228">
        <f>K3215</f>
        <v>17.136363636363637</v>
      </c>
      <c r="L3216" s="851"/>
      <c r="M3216" s="2723" t="s">
        <v>1125</v>
      </c>
      <c r="N3216" s="123"/>
      <c r="O3216" s="228"/>
      <c r="P3216" s="228"/>
      <c r="Q3216" s="228"/>
      <c r="R3216" s="228"/>
      <c r="S3216" s="123"/>
      <c r="T3216" s="123"/>
      <c r="U3216" s="123"/>
      <c r="V3216" s="3990"/>
      <c r="W3216" s="2857"/>
      <c r="X3216" s="2857"/>
      <c r="Y3216" s="696"/>
      <c r="Z3216" s="696"/>
      <c r="AA3216" s="696"/>
      <c r="AB3216" s="2282"/>
      <c r="AC3216" s="2228">
        <f>AC3215</f>
        <v>17.136363636363637</v>
      </c>
      <c r="AD3216" s="2857"/>
      <c r="AE3216" s="2857"/>
      <c r="AF3216" s="2857"/>
      <c r="AG3216" s="2857"/>
      <c r="BB3216" s="575"/>
      <c r="BC3216" s="576"/>
      <c r="BD3216" s="678"/>
      <c r="BE3216" s="585"/>
    </row>
    <row r="3217" spans="1:57" s="51" customFormat="1" ht="15" hidden="1" customHeight="1" outlineLevel="1" x14ac:dyDescent="0.25">
      <c r="A3217" s="1267"/>
      <c r="B3217" s="123"/>
      <c r="C3217" s="328"/>
      <c r="D3217" s="3990"/>
      <c r="E3217" s="4009"/>
      <c r="F3217" s="3010" t="str">
        <f>$E$1621</f>
        <v>ASHP-SEER17-Replace_CAC_ElectricHeat_ER1_MF</v>
      </c>
      <c r="G3217" s="2676"/>
      <c r="H3217" s="2676"/>
      <c r="I3217" s="2677"/>
      <c r="J3217" s="3299" t="str">
        <f>$C$1621</f>
        <v>354150_2019_12_</v>
      </c>
      <c r="K3217" s="2282">
        <v>17</v>
      </c>
      <c r="L3217" s="851"/>
      <c r="M3217" s="2278" t="s">
        <v>1566</v>
      </c>
      <c r="N3217" s="123"/>
      <c r="O3217" s="228"/>
      <c r="P3217" s="228"/>
      <c r="Q3217" s="228"/>
      <c r="R3217" s="228"/>
      <c r="S3217" s="123"/>
      <c r="T3217" s="123"/>
      <c r="U3217" s="123"/>
      <c r="V3217" s="3990"/>
      <c r="W3217" s="2857">
        <v>17</v>
      </c>
      <c r="X3217" s="2857">
        <v>17</v>
      </c>
      <c r="Y3217" s="696">
        <v>17</v>
      </c>
      <c r="Z3217" s="696">
        <v>17</v>
      </c>
      <c r="AA3217" s="696">
        <v>17</v>
      </c>
      <c r="AB3217" s="2282">
        <v>17</v>
      </c>
      <c r="AC3217" s="2282">
        <v>17</v>
      </c>
      <c r="AD3217" s="2857"/>
      <c r="AE3217" s="2857"/>
      <c r="AF3217" s="2857"/>
      <c r="AG3217" s="2857"/>
      <c r="AH3217" s="1942"/>
      <c r="AI3217" s="1942"/>
      <c r="AJ3217" s="1942"/>
      <c r="AK3217" s="1942"/>
      <c r="AL3217" s="1942"/>
      <c r="AM3217" s="1942"/>
      <c r="AN3217" s="1942"/>
      <c r="AO3217" s="1942"/>
      <c r="AP3217" s="1942"/>
      <c r="AQ3217" s="1942"/>
      <c r="AR3217" s="1942"/>
      <c r="AS3217" s="1942"/>
      <c r="AT3217" s="1942"/>
      <c r="AU3217" s="1942"/>
      <c r="AV3217" s="1942"/>
      <c r="AW3217" s="1942"/>
      <c r="AX3217" s="1942"/>
      <c r="AY3217" s="1942"/>
      <c r="AZ3217" s="1942"/>
      <c r="BA3217" s="1942"/>
      <c r="BB3217" s="575"/>
      <c r="BC3217" s="576"/>
      <c r="BD3217" s="678"/>
      <c r="BE3217" s="585"/>
    </row>
    <row r="3218" spans="1:57" s="51" customFormat="1" ht="15" hidden="1" customHeight="1" outlineLevel="1" x14ac:dyDescent="0.25">
      <c r="A3218" s="1267"/>
      <c r="B3218" s="123"/>
      <c r="C3218" s="328"/>
      <c r="D3218" s="3990"/>
      <c r="E3218" s="4009"/>
      <c r="F3218" s="3010" t="str">
        <f>$E$1623</f>
        <v>ASHP-SEER17-Replace_CAC_ElectricHeat_ER2_MF</v>
      </c>
      <c r="G3218" s="2676"/>
      <c r="H3218" s="2676"/>
      <c r="I3218" s="2677"/>
      <c r="J3218" s="3299" t="str">
        <f>$C$1623</f>
        <v>354150_2019_12_</v>
      </c>
      <c r="K3218" s="2282">
        <v>17</v>
      </c>
      <c r="L3218" s="851"/>
      <c r="M3218" s="2278" t="s">
        <v>1566</v>
      </c>
      <c r="N3218" s="123"/>
      <c r="O3218" s="228"/>
      <c r="P3218" s="228"/>
      <c r="Q3218" s="228"/>
      <c r="R3218" s="228"/>
      <c r="S3218" s="123"/>
      <c r="T3218" s="123"/>
      <c r="U3218" s="123"/>
      <c r="V3218" s="3990"/>
      <c r="W3218" s="2857">
        <v>17</v>
      </c>
      <c r="X3218" s="2857">
        <v>17</v>
      </c>
      <c r="Y3218" s="696">
        <v>17</v>
      </c>
      <c r="Z3218" s="696">
        <v>17</v>
      </c>
      <c r="AA3218" s="696">
        <v>17</v>
      </c>
      <c r="AB3218" s="2282">
        <v>17</v>
      </c>
      <c r="AC3218" s="2282">
        <v>17</v>
      </c>
      <c r="AD3218" s="2857"/>
      <c r="AE3218" s="2857"/>
      <c r="AF3218" s="2857"/>
      <c r="AG3218" s="2857"/>
      <c r="AH3218" s="1942"/>
      <c r="AI3218" s="1942"/>
      <c r="AJ3218" s="1942"/>
      <c r="AK3218" s="1942"/>
      <c r="AL3218" s="1942"/>
      <c r="AM3218" s="1942"/>
      <c r="AN3218" s="1942"/>
      <c r="AO3218" s="1942"/>
      <c r="AP3218" s="1942"/>
      <c r="AQ3218" s="1942"/>
      <c r="AR3218" s="1942"/>
      <c r="AS3218" s="1942"/>
      <c r="AT3218" s="1942"/>
      <c r="AU3218" s="1942"/>
      <c r="AV3218" s="1942"/>
      <c r="AW3218" s="1942"/>
      <c r="AX3218" s="1942"/>
      <c r="AY3218" s="1942"/>
      <c r="AZ3218" s="1942"/>
      <c r="BA3218" s="1942"/>
      <c r="BB3218" s="575"/>
      <c r="BC3218" s="576"/>
      <c r="BD3218" s="678"/>
      <c r="BE3218" s="585"/>
    </row>
    <row r="3219" spans="1:57" s="51" customFormat="1" ht="15" hidden="1" customHeight="1" outlineLevel="1" x14ac:dyDescent="0.25">
      <c r="A3219" s="1267"/>
      <c r="B3219" s="123"/>
      <c r="C3219" s="328"/>
      <c r="D3219" s="3990"/>
      <c r="E3219" s="4009"/>
      <c r="F3219" s="3010" t="str">
        <f>$E$1625</f>
        <v>ASHP-SEER17-Replace_CAC_ElectricHeat_ER1_MF_CompE</v>
      </c>
      <c r="G3219" s="2676"/>
      <c r="H3219" s="2676"/>
      <c r="I3219" s="2677"/>
      <c r="J3219" s="3299" t="str">
        <f>$C$1625</f>
        <v>354151_2019_12_</v>
      </c>
      <c r="K3219" s="2282">
        <v>17</v>
      </c>
      <c r="L3219" s="851"/>
      <c r="M3219" s="2723" t="s">
        <v>1125</v>
      </c>
      <c r="N3219" s="123"/>
      <c r="O3219" s="228"/>
      <c r="P3219" s="228"/>
      <c r="Q3219" s="228"/>
      <c r="R3219" s="228"/>
      <c r="S3219" s="123"/>
      <c r="T3219" s="123"/>
      <c r="U3219" s="123"/>
      <c r="V3219" s="3990"/>
      <c r="W3219" s="2857"/>
      <c r="X3219" s="2857"/>
      <c r="Y3219" s="3158">
        <v>17</v>
      </c>
      <c r="Z3219" s="696">
        <v>17</v>
      </c>
      <c r="AA3219" s="696">
        <v>17</v>
      </c>
      <c r="AB3219" s="2282">
        <v>17</v>
      </c>
      <c r="AC3219" s="2282">
        <v>17</v>
      </c>
      <c r="AD3219" s="2857"/>
      <c r="AE3219" s="2857"/>
      <c r="AF3219" s="2857"/>
      <c r="AG3219" s="2857"/>
      <c r="AH3219" s="1942"/>
      <c r="AI3219" s="1942"/>
      <c r="AJ3219" s="1942"/>
      <c r="AK3219" s="1942"/>
      <c r="AL3219" s="1942"/>
      <c r="AM3219" s="1942"/>
      <c r="AN3219" s="1942"/>
      <c r="AO3219" s="1942"/>
      <c r="AP3219" s="1942"/>
      <c r="AQ3219" s="1942"/>
      <c r="AR3219" s="1942"/>
      <c r="AS3219" s="1942"/>
      <c r="AT3219" s="1942"/>
      <c r="AU3219" s="1942"/>
      <c r="AV3219" s="1942"/>
      <c r="AW3219" s="1942"/>
      <c r="AX3219" s="1942"/>
      <c r="AY3219" s="1942"/>
      <c r="AZ3219" s="1942"/>
      <c r="BA3219" s="1942"/>
      <c r="BB3219" s="575"/>
      <c r="BC3219" s="576"/>
      <c r="BD3219" s="678"/>
      <c r="BE3219" s="585"/>
    </row>
    <row r="3220" spans="1:57" s="51" customFormat="1" ht="15" hidden="1" customHeight="1" outlineLevel="1" x14ac:dyDescent="0.25">
      <c r="A3220" s="1267"/>
      <c r="B3220" s="123"/>
      <c r="C3220" s="328"/>
      <c r="D3220" s="3990"/>
      <c r="E3220" s="4009"/>
      <c r="F3220" s="3010" t="str">
        <f>$E$1627</f>
        <v>ASHP-SEER17-Replace_CAC_ElectricHeat_ER2_MF_CompE</v>
      </c>
      <c r="G3220" s="2676"/>
      <c r="H3220" s="2676"/>
      <c r="I3220" s="2677"/>
      <c r="J3220" s="3299" t="str">
        <f>$C$1627</f>
        <v>354151_2019_12_</v>
      </c>
      <c r="K3220" s="2282">
        <v>17</v>
      </c>
      <c r="L3220" s="851"/>
      <c r="M3220" s="2723" t="s">
        <v>1125</v>
      </c>
      <c r="N3220" s="123"/>
      <c r="O3220" s="228"/>
      <c r="P3220" s="228"/>
      <c r="Q3220" s="228"/>
      <c r="R3220" s="228"/>
      <c r="S3220" s="123"/>
      <c r="T3220" s="123"/>
      <c r="U3220" s="123"/>
      <c r="V3220" s="3990"/>
      <c r="W3220" s="2857"/>
      <c r="X3220" s="2857"/>
      <c r="Y3220" s="3158">
        <v>17</v>
      </c>
      <c r="Z3220" s="696">
        <v>17</v>
      </c>
      <c r="AA3220" s="696">
        <v>17</v>
      </c>
      <c r="AB3220" s="2282">
        <v>17</v>
      </c>
      <c r="AC3220" s="2282">
        <v>17</v>
      </c>
      <c r="AD3220" s="2857"/>
      <c r="AE3220" s="2857"/>
      <c r="AF3220" s="2857"/>
      <c r="AG3220" s="2857"/>
      <c r="AH3220" s="1942"/>
      <c r="AI3220" s="1942"/>
      <c r="AJ3220" s="1942"/>
      <c r="AK3220" s="1942"/>
      <c r="AL3220" s="1942"/>
      <c r="AM3220" s="1942"/>
      <c r="AN3220" s="1942"/>
      <c r="AO3220" s="1942"/>
      <c r="AP3220" s="1942"/>
      <c r="AQ3220" s="1942"/>
      <c r="AR3220" s="1942"/>
      <c r="AS3220" s="1942"/>
      <c r="AT3220" s="1942"/>
      <c r="AU3220" s="1942"/>
      <c r="AV3220" s="1942"/>
      <c r="AW3220" s="1942"/>
      <c r="AX3220" s="1942"/>
      <c r="AY3220" s="1942"/>
      <c r="AZ3220" s="1942"/>
      <c r="BA3220" s="1942"/>
      <c r="BB3220" s="575"/>
      <c r="BC3220" s="576"/>
      <c r="BD3220" s="678"/>
      <c r="BE3220" s="585"/>
    </row>
    <row r="3221" spans="1:57" s="1942" customFormat="1" ht="15" hidden="1" customHeight="1" outlineLevel="1" x14ac:dyDescent="0.25">
      <c r="A3221" s="1267"/>
      <c r="B3221" s="123"/>
      <c r="C3221" s="328"/>
      <c r="D3221" s="3990"/>
      <c r="E3221" s="4009"/>
      <c r="F3221" s="3010" t="str">
        <f>$E$1629</f>
        <v>ASHP-SEER17-Replace_CAC_NonElectricHeat_ER1_MF</v>
      </c>
      <c r="G3221" s="2676"/>
      <c r="H3221" s="2676"/>
      <c r="I3221" s="2677"/>
      <c r="J3221" s="3298" t="str">
        <f>$C$1629</f>
        <v>354160_2021_12_</v>
      </c>
      <c r="K3221" s="2228">
        <v>17</v>
      </c>
      <c r="L3221" s="851"/>
      <c r="M3221" s="2723" t="s">
        <v>1125</v>
      </c>
      <c r="N3221" s="123"/>
      <c r="O3221" s="228"/>
      <c r="P3221" s="228"/>
      <c r="Q3221" s="228"/>
      <c r="R3221" s="228"/>
      <c r="S3221" s="123"/>
      <c r="T3221" s="123"/>
      <c r="U3221" s="123"/>
      <c r="V3221" s="3990"/>
      <c r="W3221" s="2857"/>
      <c r="X3221" s="2857"/>
      <c r="Y3221" s="3158"/>
      <c r="Z3221" s="696"/>
      <c r="AA3221" s="696"/>
      <c r="AB3221" s="2282"/>
      <c r="AC3221" s="2228">
        <v>17</v>
      </c>
      <c r="AD3221" s="2857"/>
      <c r="AE3221" s="2857"/>
      <c r="AF3221" s="2857"/>
      <c r="AG3221" s="2857"/>
      <c r="BB3221" s="575"/>
      <c r="BC3221" s="576"/>
      <c r="BD3221" s="678"/>
      <c r="BE3221" s="585"/>
    </row>
    <row r="3222" spans="1:57" s="1942" customFormat="1" ht="15" hidden="1" customHeight="1" outlineLevel="1" x14ac:dyDescent="0.25">
      <c r="A3222" s="1267"/>
      <c r="B3222" s="123"/>
      <c r="C3222" s="328"/>
      <c r="D3222" s="3990"/>
      <c r="E3222" s="4009"/>
      <c r="F3222" s="3010" t="str">
        <f>$E$1631</f>
        <v>ASHP-SEER17-Replace_CAC_NonElectricHeat_ER2_MF</v>
      </c>
      <c r="G3222" s="2676"/>
      <c r="H3222" s="2676"/>
      <c r="I3222" s="2677"/>
      <c r="J3222" s="3298" t="str">
        <f>$C$1631</f>
        <v>354160_2021_12_</v>
      </c>
      <c r="K3222" s="2228">
        <v>17</v>
      </c>
      <c r="L3222" s="851"/>
      <c r="M3222" s="2723" t="s">
        <v>1125</v>
      </c>
      <c r="N3222" s="123"/>
      <c r="O3222" s="228"/>
      <c r="P3222" s="228"/>
      <c r="Q3222" s="228"/>
      <c r="R3222" s="228"/>
      <c r="S3222" s="123"/>
      <c r="T3222" s="123"/>
      <c r="U3222" s="123"/>
      <c r="V3222" s="3990"/>
      <c r="W3222" s="2857"/>
      <c r="X3222" s="2857"/>
      <c r="Y3222" s="3158"/>
      <c r="Z3222" s="696"/>
      <c r="AA3222" s="696"/>
      <c r="AB3222" s="2282"/>
      <c r="AC3222" s="2228">
        <v>17</v>
      </c>
      <c r="AD3222" s="2857"/>
      <c r="AE3222" s="2857"/>
      <c r="AF3222" s="2857"/>
      <c r="AG3222" s="2857"/>
      <c r="BB3222" s="575"/>
      <c r="BC3222" s="576"/>
      <c r="BD3222" s="678"/>
      <c r="BE3222" s="585"/>
    </row>
    <row r="3223" spans="1:57" s="1942" customFormat="1" ht="15" hidden="1" customHeight="1" outlineLevel="1" x14ac:dyDescent="0.25">
      <c r="A3223" s="1267"/>
      <c r="B3223" s="123"/>
      <c r="C3223" s="328"/>
      <c r="D3223" s="3990"/>
      <c r="E3223" s="4009"/>
      <c r="F3223" s="3010" t="str">
        <f>$E$1633</f>
        <v>ASHP-SEER17-Replace_CAC_NonElectricHeat_ER1_MF_CompE</v>
      </c>
      <c r="G3223" s="2676"/>
      <c r="H3223" s="2676"/>
      <c r="I3223" s="2677"/>
      <c r="J3223" s="3298" t="str">
        <f>$C$1633</f>
        <v>354161_2021_12_</v>
      </c>
      <c r="K3223" s="2228">
        <v>17</v>
      </c>
      <c r="L3223" s="851"/>
      <c r="M3223" s="2723" t="s">
        <v>1125</v>
      </c>
      <c r="N3223" s="123"/>
      <c r="O3223" s="228"/>
      <c r="P3223" s="228"/>
      <c r="Q3223" s="228"/>
      <c r="R3223" s="228"/>
      <c r="S3223" s="123"/>
      <c r="T3223" s="123"/>
      <c r="U3223" s="123"/>
      <c r="V3223" s="3990"/>
      <c r="W3223" s="2857"/>
      <c r="X3223" s="2857"/>
      <c r="Y3223" s="3158"/>
      <c r="Z3223" s="696"/>
      <c r="AA3223" s="696"/>
      <c r="AB3223" s="2282"/>
      <c r="AC3223" s="2228">
        <v>17</v>
      </c>
      <c r="AD3223" s="2857"/>
      <c r="AE3223" s="2857"/>
      <c r="AF3223" s="2857"/>
      <c r="AG3223" s="2857"/>
      <c r="BB3223" s="575"/>
      <c r="BC3223" s="576"/>
      <c r="BD3223" s="678"/>
      <c r="BE3223" s="585"/>
    </row>
    <row r="3224" spans="1:57" s="1942" customFormat="1" ht="15" hidden="1" customHeight="1" outlineLevel="1" x14ac:dyDescent="0.25">
      <c r="A3224" s="1267"/>
      <c r="B3224" s="123"/>
      <c r="C3224" s="328"/>
      <c r="D3224" s="3990"/>
      <c r="E3224" s="4009"/>
      <c r="F3224" s="3010" t="str">
        <f>$E$1635</f>
        <v>ASHP-SEER17-Replace_CAC_NonElectricHeat_ER2_MF_CompE</v>
      </c>
      <c r="G3224" s="2676"/>
      <c r="H3224" s="2676"/>
      <c r="I3224" s="2677"/>
      <c r="J3224" s="3298" t="str">
        <f>$C$1635</f>
        <v>354161_2021_12_</v>
      </c>
      <c r="K3224" s="2228">
        <v>17</v>
      </c>
      <c r="L3224" s="851"/>
      <c r="M3224" s="2723" t="s">
        <v>1125</v>
      </c>
      <c r="N3224" s="123"/>
      <c r="O3224" s="228"/>
      <c r="P3224" s="228"/>
      <c r="Q3224" s="228"/>
      <c r="R3224" s="228"/>
      <c r="S3224" s="123"/>
      <c r="T3224" s="123"/>
      <c r="U3224" s="123"/>
      <c r="V3224" s="3990"/>
      <c r="W3224" s="2857"/>
      <c r="X3224" s="2857"/>
      <c r="Y3224" s="3158"/>
      <c r="Z3224" s="696"/>
      <c r="AA3224" s="696"/>
      <c r="AB3224" s="2282"/>
      <c r="AC3224" s="2228">
        <v>17</v>
      </c>
      <c r="AD3224" s="2857"/>
      <c r="AE3224" s="2857"/>
      <c r="AF3224" s="2857"/>
      <c r="AG3224" s="2857"/>
      <c r="BB3224" s="575"/>
      <c r="BC3224" s="576"/>
      <c r="BD3224" s="678"/>
      <c r="BE3224" s="585"/>
    </row>
    <row r="3225" spans="1:57" s="51" customFormat="1" ht="15" hidden="1" customHeight="1" outlineLevel="1" x14ac:dyDescent="0.25">
      <c r="A3225" s="1267"/>
      <c r="B3225" s="123"/>
      <c r="C3225" s="328"/>
      <c r="D3225" s="3990"/>
      <c r="E3225" s="4009"/>
      <c r="F3225" s="3010" t="str">
        <f>$E$1637</f>
        <v>ASHP-SEER17_ER1_MF</v>
      </c>
      <c r="G3225" s="2676"/>
      <c r="H3225" s="2676"/>
      <c r="I3225" s="2677"/>
      <c r="J3225" s="3299" t="str">
        <f>$C$1637</f>
        <v>354200_2019_12_</v>
      </c>
      <c r="K3225" s="2282">
        <v>17</v>
      </c>
      <c r="L3225" s="851"/>
      <c r="M3225" s="2278" t="s">
        <v>1566</v>
      </c>
      <c r="N3225" s="123"/>
      <c r="O3225" s="228"/>
      <c r="P3225" s="228"/>
      <c r="Q3225" s="228"/>
      <c r="R3225" s="228"/>
      <c r="S3225" s="123"/>
      <c r="T3225" s="123"/>
      <c r="U3225" s="123"/>
      <c r="V3225" s="3990"/>
      <c r="W3225" s="2857">
        <v>17</v>
      </c>
      <c r="X3225" s="2857">
        <v>17</v>
      </c>
      <c r="Y3225" s="696">
        <v>17</v>
      </c>
      <c r="Z3225" s="696">
        <v>17</v>
      </c>
      <c r="AA3225" s="696">
        <v>17</v>
      </c>
      <c r="AB3225" s="2282">
        <v>17</v>
      </c>
      <c r="AC3225" s="2282">
        <v>17</v>
      </c>
      <c r="AD3225" s="2857"/>
      <c r="AE3225" s="2857"/>
      <c r="AF3225" s="2857"/>
      <c r="AG3225" s="2857"/>
      <c r="AH3225" s="1942"/>
      <c r="AI3225" s="1942"/>
      <c r="AJ3225" s="1942"/>
      <c r="AK3225" s="1942"/>
      <c r="AL3225" s="1942"/>
      <c r="AM3225" s="1942"/>
      <c r="AN3225" s="1942"/>
      <c r="AO3225" s="1942"/>
      <c r="AP3225" s="1942"/>
      <c r="AQ3225" s="1942"/>
      <c r="AR3225" s="1942"/>
      <c r="AS3225" s="1942"/>
      <c r="AT3225" s="1942"/>
      <c r="AU3225" s="1942"/>
      <c r="AV3225" s="1942"/>
      <c r="AW3225" s="1942"/>
      <c r="AX3225" s="1942"/>
      <c r="AY3225" s="1942"/>
      <c r="AZ3225" s="1942"/>
      <c r="BA3225" s="1942"/>
      <c r="BB3225" s="575"/>
      <c r="BC3225" s="576"/>
      <c r="BD3225" s="678"/>
      <c r="BE3225" s="585"/>
    </row>
    <row r="3226" spans="1:57" s="51" customFormat="1" ht="15" hidden="1" customHeight="1" outlineLevel="1" x14ac:dyDescent="0.25">
      <c r="A3226" s="1267"/>
      <c r="B3226" s="123"/>
      <c r="C3226" s="328"/>
      <c r="D3226" s="3990"/>
      <c r="E3226" s="4009"/>
      <c r="F3226" s="3010" t="str">
        <f>$E$1639</f>
        <v>ASHP-SEER17_ER2_MF</v>
      </c>
      <c r="G3226" s="2676"/>
      <c r="H3226" s="2676"/>
      <c r="I3226" s="2677"/>
      <c r="J3226" s="3299" t="str">
        <f>$C$1639</f>
        <v>354200_2019_12_</v>
      </c>
      <c r="K3226" s="2282">
        <v>17</v>
      </c>
      <c r="L3226" s="851"/>
      <c r="M3226" s="2278" t="s">
        <v>1566</v>
      </c>
      <c r="N3226" s="123"/>
      <c r="O3226" s="228"/>
      <c r="P3226" s="228"/>
      <c r="Q3226" s="228"/>
      <c r="R3226" s="228"/>
      <c r="S3226" s="123"/>
      <c r="T3226" s="123"/>
      <c r="U3226" s="123"/>
      <c r="V3226" s="3990"/>
      <c r="W3226" s="2857">
        <v>17</v>
      </c>
      <c r="X3226" s="2857">
        <v>17</v>
      </c>
      <c r="Y3226" s="696">
        <v>17</v>
      </c>
      <c r="Z3226" s="696">
        <v>17</v>
      </c>
      <c r="AA3226" s="696">
        <v>17</v>
      </c>
      <c r="AB3226" s="2282">
        <v>17</v>
      </c>
      <c r="AC3226" s="2282">
        <v>17</v>
      </c>
      <c r="AD3226" s="2857"/>
      <c r="AE3226" s="2857"/>
      <c r="AF3226" s="2857"/>
      <c r="AG3226" s="2857"/>
      <c r="AH3226" s="1942"/>
      <c r="AI3226" s="1942"/>
      <c r="AJ3226" s="1942"/>
      <c r="AK3226" s="1942"/>
      <c r="AL3226" s="1942"/>
      <c r="AM3226" s="1942"/>
      <c r="AN3226" s="1942"/>
      <c r="AO3226" s="1942"/>
      <c r="AP3226" s="1942"/>
      <c r="AQ3226" s="1942"/>
      <c r="AR3226" s="1942"/>
      <c r="AS3226" s="1942"/>
      <c r="AT3226" s="1942"/>
      <c r="AU3226" s="1942"/>
      <c r="AV3226" s="1942"/>
      <c r="AW3226" s="1942"/>
      <c r="AX3226" s="1942"/>
      <c r="AY3226" s="1942"/>
      <c r="AZ3226" s="1942"/>
      <c r="BA3226" s="1942"/>
      <c r="BB3226" s="575"/>
      <c r="BC3226" s="576"/>
      <c r="BD3226" s="678"/>
      <c r="BE3226" s="585"/>
    </row>
    <row r="3227" spans="1:57" s="51" customFormat="1" ht="15" hidden="1" customHeight="1" outlineLevel="1" x14ac:dyDescent="0.25">
      <c r="A3227" s="1267"/>
      <c r="B3227" s="123"/>
      <c r="C3227" s="328"/>
      <c r="D3227" s="3990"/>
      <c r="E3227" s="4009"/>
      <c r="F3227" s="3010" t="str">
        <f>$E$1641</f>
        <v>ASHP-SEER17_ER1_MF_CompE</v>
      </c>
      <c r="G3227" s="2676"/>
      <c r="H3227" s="2676"/>
      <c r="I3227" s="2677"/>
      <c r="J3227" s="3299" t="str">
        <f>$C$1641</f>
        <v>354201_2019_12_</v>
      </c>
      <c r="K3227" s="2282">
        <v>17</v>
      </c>
      <c r="L3227" s="851"/>
      <c r="M3227" s="2723" t="s">
        <v>1125</v>
      </c>
      <c r="N3227" s="123"/>
      <c r="O3227" s="228"/>
      <c r="P3227" s="228"/>
      <c r="Q3227" s="228"/>
      <c r="R3227" s="228"/>
      <c r="S3227" s="123"/>
      <c r="T3227" s="123"/>
      <c r="U3227" s="123"/>
      <c r="V3227" s="3990"/>
      <c r="W3227" s="2857"/>
      <c r="X3227" s="2857"/>
      <c r="Y3227" s="3158">
        <v>17</v>
      </c>
      <c r="Z3227" s="696">
        <v>17</v>
      </c>
      <c r="AA3227" s="696">
        <v>17</v>
      </c>
      <c r="AB3227" s="2282">
        <v>17</v>
      </c>
      <c r="AC3227" s="2282">
        <v>17</v>
      </c>
      <c r="AD3227" s="2857"/>
      <c r="AE3227" s="2857"/>
      <c r="AF3227" s="2857"/>
      <c r="AG3227" s="2857"/>
      <c r="AH3227" s="1942"/>
      <c r="AI3227" s="1942"/>
      <c r="AJ3227" s="1942"/>
      <c r="AK3227" s="1942"/>
      <c r="AL3227" s="1942"/>
      <c r="AM3227" s="1942"/>
      <c r="AN3227" s="1942"/>
      <c r="AO3227" s="1942"/>
      <c r="AP3227" s="1942"/>
      <c r="AQ3227" s="1942"/>
      <c r="AR3227" s="1942"/>
      <c r="AS3227" s="1942"/>
      <c r="AT3227" s="1942"/>
      <c r="AU3227" s="1942"/>
      <c r="AV3227" s="1942"/>
      <c r="AW3227" s="1942"/>
      <c r="AX3227" s="1942"/>
      <c r="AY3227" s="1942"/>
      <c r="AZ3227" s="1942"/>
      <c r="BA3227" s="1942"/>
      <c r="BB3227" s="575"/>
      <c r="BC3227" s="576"/>
      <c r="BD3227" s="678"/>
      <c r="BE3227" s="585"/>
    </row>
    <row r="3228" spans="1:57" s="51" customFormat="1" ht="15" hidden="1" customHeight="1" outlineLevel="1" x14ac:dyDescent="0.25">
      <c r="A3228" s="1267"/>
      <c r="B3228" s="123"/>
      <c r="C3228" s="328"/>
      <c r="D3228" s="3990"/>
      <c r="E3228" s="4009"/>
      <c r="F3228" s="3010" t="str">
        <f>$E$1643</f>
        <v>ASHP-SEER17_ER2_MF_CompE</v>
      </c>
      <c r="G3228" s="2676"/>
      <c r="H3228" s="2676"/>
      <c r="I3228" s="2677"/>
      <c r="J3228" s="3299" t="str">
        <f>$C$1643</f>
        <v>354201_2019_12_</v>
      </c>
      <c r="K3228" s="2282">
        <v>17</v>
      </c>
      <c r="L3228" s="851"/>
      <c r="M3228" s="2723" t="s">
        <v>1125</v>
      </c>
      <c r="N3228" s="123"/>
      <c r="O3228" s="228"/>
      <c r="P3228" s="228"/>
      <c r="Q3228" s="228"/>
      <c r="R3228" s="228"/>
      <c r="S3228" s="123"/>
      <c r="T3228" s="123"/>
      <c r="U3228" s="123"/>
      <c r="V3228" s="3990"/>
      <c r="W3228" s="2857"/>
      <c r="X3228" s="2857"/>
      <c r="Y3228" s="3158">
        <v>17</v>
      </c>
      <c r="Z3228" s="696">
        <v>17</v>
      </c>
      <c r="AA3228" s="696">
        <v>17</v>
      </c>
      <c r="AB3228" s="2282">
        <v>17</v>
      </c>
      <c r="AC3228" s="2282">
        <v>17</v>
      </c>
      <c r="AD3228" s="2857"/>
      <c r="AE3228" s="2857"/>
      <c r="AF3228" s="2857"/>
      <c r="AG3228" s="2857"/>
      <c r="AH3228" s="1942"/>
      <c r="AI3228" s="1942"/>
      <c r="AJ3228" s="1942"/>
      <c r="AK3228" s="1942"/>
      <c r="AL3228" s="1942"/>
      <c r="AM3228" s="1942"/>
      <c r="AN3228" s="1942"/>
      <c r="AO3228" s="1942"/>
      <c r="AP3228" s="1942"/>
      <c r="AQ3228" s="1942"/>
      <c r="AR3228" s="1942"/>
      <c r="AS3228" s="1942"/>
      <c r="AT3228" s="1942"/>
      <c r="AU3228" s="1942"/>
      <c r="AV3228" s="1942"/>
      <c r="AW3228" s="1942"/>
      <c r="AX3228" s="1942"/>
      <c r="AY3228" s="1942"/>
      <c r="AZ3228" s="1942"/>
      <c r="BA3228" s="1942"/>
      <c r="BB3228" s="575"/>
      <c r="BC3228" s="576"/>
      <c r="BD3228" s="678"/>
      <c r="BE3228" s="585"/>
    </row>
    <row r="3229" spans="1:57" s="51" customFormat="1" ht="15" hidden="1" customHeight="1" outlineLevel="1" x14ac:dyDescent="0.25">
      <c r="A3229" s="1267"/>
      <c r="B3229" s="123"/>
      <c r="C3229" s="328"/>
      <c r="D3229" s="3990"/>
      <c r="E3229" s="4009"/>
      <c r="F3229" s="3010" t="str">
        <f>$E$1645</f>
        <v>ASHP-SEER18-Replace_CAC_ElectricHeat_ER1_SF</v>
      </c>
      <c r="G3229" s="2676"/>
      <c r="H3229" s="2676"/>
      <c r="I3229" s="2677"/>
      <c r="J3229" s="3298" t="str">
        <f>$C$1645</f>
        <v>354250_2021_12_</v>
      </c>
      <c r="K3229" s="2228">
        <v>17.967652173913041</v>
      </c>
      <c r="L3229" s="851"/>
      <c r="M3229" s="2723" t="s">
        <v>1005</v>
      </c>
      <c r="N3229" s="123"/>
      <c r="O3229" s="228"/>
      <c r="P3229" s="228"/>
      <c r="Q3229" s="228"/>
      <c r="R3229" s="228"/>
      <c r="S3229" s="123"/>
      <c r="T3229" s="123"/>
      <c r="U3229" s="123"/>
      <c r="V3229" s="3990"/>
      <c r="W3229" s="2857">
        <v>18</v>
      </c>
      <c r="X3229" s="2857">
        <v>18</v>
      </c>
      <c r="Y3229" s="696">
        <v>18</v>
      </c>
      <c r="Z3229" s="696">
        <v>18</v>
      </c>
      <c r="AA3229" s="696">
        <v>18</v>
      </c>
      <c r="AB3229" s="2228">
        <v>18.582558139534882</v>
      </c>
      <c r="AC3229" s="2228">
        <v>17.967652173913041</v>
      </c>
      <c r="AD3229" s="2857"/>
      <c r="AE3229" s="2857"/>
      <c r="AF3229" s="2857"/>
      <c r="AG3229" s="2857"/>
      <c r="AH3229" s="1942"/>
      <c r="AI3229" s="1942"/>
      <c r="AJ3229" s="1942"/>
      <c r="AK3229" s="1942"/>
      <c r="AL3229" s="1942"/>
      <c r="AM3229" s="1942"/>
      <c r="AN3229" s="1942"/>
      <c r="AO3229" s="1942"/>
      <c r="AP3229" s="1942"/>
      <c r="AQ3229" s="1942"/>
      <c r="AR3229" s="1942"/>
      <c r="AS3229" s="1942"/>
      <c r="AT3229" s="1942"/>
      <c r="AU3229" s="1942"/>
      <c r="AV3229" s="1942"/>
      <c r="AW3229" s="1942"/>
      <c r="AX3229" s="1942"/>
      <c r="AY3229" s="1942"/>
      <c r="AZ3229" s="1942"/>
      <c r="BA3229" s="1942"/>
      <c r="BB3229" s="575"/>
      <c r="BC3229" s="576"/>
      <c r="BD3229" s="678"/>
      <c r="BE3229" s="585"/>
    </row>
    <row r="3230" spans="1:57" s="51" customFormat="1" ht="15" hidden="1" customHeight="1" outlineLevel="1" x14ac:dyDescent="0.25">
      <c r="A3230" s="1267"/>
      <c r="B3230" s="123"/>
      <c r="C3230" s="328"/>
      <c r="D3230" s="3990"/>
      <c r="E3230" s="4009"/>
      <c r="F3230" s="3010" t="str">
        <f>$E$1647</f>
        <v>ASHP-SEER18-Replace_CAC_ElectricHeat_ER2_SF</v>
      </c>
      <c r="G3230" s="2676"/>
      <c r="H3230" s="2676"/>
      <c r="I3230" s="2677"/>
      <c r="J3230" s="3298" t="str">
        <f>$C$1647</f>
        <v>354250_2021_12_</v>
      </c>
      <c r="K3230" s="2228">
        <f>K3229</f>
        <v>17.967652173913041</v>
      </c>
      <c r="L3230" s="851"/>
      <c r="M3230" s="2723" t="s">
        <v>1005</v>
      </c>
      <c r="N3230" s="123"/>
      <c r="O3230" s="228"/>
      <c r="P3230" s="228"/>
      <c r="Q3230" s="228"/>
      <c r="R3230" s="228"/>
      <c r="S3230" s="123"/>
      <c r="T3230" s="123"/>
      <c r="U3230" s="123"/>
      <c r="V3230" s="3990"/>
      <c r="W3230" s="2857">
        <v>18</v>
      </c>
      <c r="X3230" s="2857">
        <v>18</v>
      </c>
      <c r="Y3230" s="696">
        <v>18</v>
      </c>
      <c r="Z3230" s="696">
        <v>18</v>
      </c>
      <c r="AA3230" s="696">
        <v>18</v>
      </c>
      <c r="AB3230" s="2228">
        <v>18.582558139534882</v>
      </c>
      <c r="AC3230" s="2228">
        <f>AC3229</f>
        <v>17.967652173913041</v>
      </c>
      <c r="AD3230" s="2857"/>
      <c r="AE3230" s="2857"/>
      <c r="AF3230" s="2857"/>
      <c r="AG3230" s="2857"/>
      <c r="AH3230" s="1942"/>
      <c r="AI3230" s="1942"/>
      <c r="AJ3230" s="1942"/>
      <c r="AK3230" s="1942"/>
      <c r="AL3230" s="1942"/>
      <c r="AM3230" s="1942"/>
      <c r="AN3230" s="1942"/>
      <c r="AO3230" s="1942"/>
      <c r="AP3230" s="1942"/>
      <c r="AQ3230" s="1942"/>
      <c r="AR3230" s="1942"/>
      <c r="AS3230" s="1942"/>
      <c r="AT3230" s="1942"/>
      <c r="AU3230" s="1942"/>
      <c r="AV3230" s="1942"/>
      <c r="AW3230" s="1942"/>
      <c r="AX3230" s="1942"/>
      <c r="AY3230" s="1942"/>
      <c r="AZ3230" s="1942"/>
      <c r="BA3230" s="1942"/>
      <c r="BB3230" s="575"/>
      <c r="BC3230" s="576"/>
      <c r="BD3230" s="678"/>
      <c r="BE3230" s="585"/>
    </row>
    <row r="3231" spans="1:57" s="1942" customFormat="1" ht="15" hidden="1" customHeight="1" outlineLevel="1" x14ac:dyDescent="0.25">
      <c r="A3231" s="1267"/>
      <c r="B3231" s="123"/>
      <c r="C3231" s="328"/>
      <c r="D3231" s="3990"/>
      <c r="E3231" s="4009"/>
      <c r="F3231" s="3010" t="str">
        <f>$E$1649</f>
        <v>ASHP-SEER18-Replace_CAC_NonElectricHeat_ER1_SF</v>
      </c>
      <c r="G3231" s="2676"/>
      <c r="H3231" s="2676"/>
      <c r="I3231" s="2677"/>
      <c r="J3231" s="3298" t="str">
        <f>$C$1649</f>
        <v>354260_2021_12_</v>
      </c>
      <c r="K3231" s="2228">
        <v>17.967652173913041</v>
      </c>
      <c r="L3231" s="851"/>
      <c r="M3231" s="2723" t="s">
        <v>1125</v>
      </c>
      <c r="N3231" s="123"/>
      <c r="O3231" s="228"/>
      <c r="P3231" s="228"/>
      <c r="Q3231" s="228"/>
      <c r="R3231" s="228"/>
      <c r="S3231" s="123"/>
      <c r="T3231" s="123"/>
      <c r="U3231" s="123"/>
      <c r="V3231" s="3990"/>
      <c r="W3231" s="2857"/>
      <c r="X3231" s="2857"/>
      <c r="Y3231" s="696"/>
      <c r="Z3231" s="696"/>
      <c r="AA3231" s="696"/>
      <c r="AB3231" s="2228"/>
      <c r="AC3231" s="2228">
        <v>17.967652173913041</v>
      </c>
      <c r="AD3231" s="2857"/>
      <c r="AE3231" s="2857"/>
      <c r="AF3231" s="2857"/>
      <c r="AG3231" s="2857"/>
      <c r="BB3231" s="575"/>
      <c r="BC3231" s="576"/>
      <c r="BD3231" s="678"/>
      <c r="BE3231" s="585"/>
    </row>
    <row r="3232" spans="1:57" s="1942" customFormat="1" ht="15" hidden="1" customHeight="1" outlineLevel="1" x14ac:dyDescent="0.25">
      <c r="A3232" s="1267"/>
      <c r="B3232" s="123"/>
      <c r="C3232" s="328"/>
      <c r="D3232" s="3990"/>
      <c r="E3232" s="4009"/>
      <c r="F3232" s="3010" t="str">
        <f>$E$1651</f>
        <v>ASHP-SEER18-Replace_CAC_NonElectricHeat_ER2_SF</v>
      </c>
      <c r="G3232" s="2676"/>
      <c r="H3232" s="2676"/>
      <c r="I3232" s="2677"/>
      <c r="J3232" s="3298" t="str">
        <f>$C$1651</f>
        <v>354260_2021_12_</v>
      </c>
      <c r="K3232" s="2228">
        <f>K3231</f>
        <v>17.967652173913041</v>
      </c>
      <c r="L3232" s="851"/>
      <c r="M3232" s="2723" t="s">
        <v>1125</v>
      </c>
      <c r="N3232" s="123"/>
      <c r="O3232" s="228"/>
      <c r="P3232" s="228"/>
      <c r="Q3232" s="228"/>
      <c r="R3232" s="228"/>
      <c r="S3232" s="123"/>
      <c r="T3232" s="123"/>
      <c r="U3232" s="123"/>
      <c r="V3232" s="3990"/>
      <c r="W3232" s="2857"/>
      <c r="X3232" s="2857"/>
      <c r="Y3232" s="696"/>
      <c r="Z3232" s="696"/>
      <c r="AA3232" s="696"/>
      <c r="AB3232" s="2228"/>
      <c r="AC3232" s="2228">
        <f>AC3231</f>
        <v>17.967652173913041</v>
      </c>
      <c r="AD3232" s="2857"/>
      <c r="AE3232" s="2857"/>
      <c r="AF3232" s="2857"/>
      <c r="AG3232" s="2857"/>
      <c r="BB3232" s="575"/>
      <c r="BC3232" s="576"/>
      <c r="BD3232" s="678"/>
      <c r="BE3232" s="585"/>
    </row>
    <row r="3233" spans="1:57" s="51" customFormat="1" ht="15" hidden="1" customHeight="1" outlineLevel="1" x14ac:dyDescent="0.25">
      <c r="A3233" s="1267"/>
      <c r="B3233" s="123"/>
      <c r="C3233" s="328"/>
      <c r="D3233" s="3990"/>
      <c r="E3233" s="4009"/>
      <c r="F3233" s="3010" t="str">
        <f>$E$1653</f>
        <v>ASHP-SEER18-Replace_CAC_ElectricHeat_ER1_MF</v>
      </c>
      <c r="G3233" s="2676"/>
      <c r="H3233" s="2676"/>
      <c r="I3233" s="2677"/>
      <c r="J3233" s="3298" t="str">
        <f>$C$1653</f>
        <v>354300_2021_12_</v>
      </c>
      <c r="K3233" s="2228">
        <v>18</v>
      </c>
      <c r="L3233" s="851"/>
      <c r="M3233" s="2723" t="s">
        <v>1005</v>
      </c>
      <c r="N3233" s="123"/>
      <c r="O3233" s="228"/>
      <c r="P3233" s="228"/>
      <c r="Q3233" s="228"/>
      <c r="R3233" s="228"/>
      <c r="S3233" s="123"/>
      <c r="T3233" s="123"/>
      <c r="U3233" s="123"/>
      <c r="V3233" s="3990"/>
      <c r="W3233" s="2857">
        <v>18</v>
      </c>
      <c r="X3233" s="2857">
        <v>18</v>
      </c>
      <c r="Y3233" s="696">
        <v>18</v>
      </c>
      <c r="Z3233" s="696">
        <v>18</v>
      </c>
      <c r="AA3233" s="696">
        <v>18</v>
      </c>
      <c r="AB3233" s="2228">
        <v>18</v>
      </c>
      <c r="AC3233" s="2228">
        <v>18</v>
      </c>
      <c r="AD3233" s="2857"/>
      <c r="AE3233" s="2857"/>
      <c r="AF3233" s="2857"/>
      <c r="AG3233" s="2857"/>
      <c r="AH3233" s="1942"/>
      <c r="AI3233" s="1942"/>
      <c r="AJ3233" s="1942"/>
      <c r="AK3233" s="1942"/>
      <c r="AL3233" s="1942"/>
      <c r="AM3233" s="1942"/>
      <c r="AN3233" s="1942"/>
      <c r="AO3233" s="1942"/>
      <c r="AP3233" s="1942"/>
      <c r="AQ3233" s="1942"/>
      <c r="AR3233" s="1942"/>
      <c r="AS3233" s="1942"/>
      <c r="AT3233" s="1942"/>
      <c r="AU3233" s="1942"/>
      <c r="AV3233" s="1942"/>
      <c r="AW3233" s="1942"/>
      <c r="AX3233" s="1942"/>
      <c r="AY3233" s="1942"/>
      <c r="AZ3233" s="1942"/>
      <c r="BA3233" s="1942"/>
      <c r="BB3233" s="575"/>
      <c r="BC3233" s="576"/>
      <c r="BD3233" s="678"/>
      <c r="BE3233" s="585"/>
    </row>
    <row r="3234" spans="1:57" s="51" customFormat="1" ht="15" hidden="1" customHeight="1" outlineLevel="1" x14ac:dyDescent="0.25">
      <c r="A3234" s="1267"/>
      <c r="B3234" s="123"/>
      <c r="C3234" s="328"/>
      <c r="D3234" s="3990"/>
      <c r="E3234" s="4009"/>
      <c r="F3234" s="3010" t="str">
        <f>$E$1655</f>
        <v>ASHP-SEER18-Replace_CAC_ElectricHeat_ER2_MF</v>
      </c>
      <c r="G3234" s="2676"/>
      <c r="H3234" s="2676"/>
      <c r="I3234" s="2677"/>
      <c r="J3234" s="3298" t="str">
        <f>$C$1655</f>
        <v>354300_2021_12_</v>
      </c>
      <c r="K3234" s="2228">
        <f>K3233</f>
        <v>18</v>
      </c>
      <c r="L3234" s="851"/>
      <c r="M3234" s="2723" t="s">
        <v>1005</v>
      </c>
      <c r="N3234" s="123"/>
      <c r="O3234" s="228"/>
      <c r="P3234" s="228"/>
      <c r="Q3234" s="228"/>
      <c r="R3234" s="228"/>
      <c r="S3234" s="123"/>
      <c r="T3234" s="123"/>
      <c r="U3234" s="123"/>
      <c r="V3234" s="3990"/>
      <c r="W3234" s="2857">
        <v>18</v>
      </c>
      <c r="X3234" s="2857">
        <v>18</v>
      </c>
      <c r="Y3234" s="696">
        <v>18</v>
      </c>
      <c r="Z3234" s="696">
        <v>18</v>
      </c>
      <c r="AA3234" s="696">
        <v>18</v>
      </c>
      <c r="AB3234" s="2228">
        <v>18</v>
      </c>
      <c r="AC3234" s="2228">
        <f>AC3233</f>
        <v>18</v>
      </c>
      <c r="AD3234" s="2857"/>
      <c r="AE3234" s="2857"/>
      <c r="AF3234" s="2857"/>
      <c r="AG3234" s="2857"/>
      <c r="AH3234" s="1942"/>
      <c r="AI3234" s="1942"/>
      <c r="AJ3234" s="1942"/>
      <c r="AK3234" s="1942"/>
      <c r="AL3234" s="1942"/>
      <c r="AM3234" s="1942"/>
      <c r="AN3234" s="1942"/>
      <c r="AO3234" s="1942"/>
      <c r="AP3234" s="1942"/>
      <c r="AQ3234" s="1942"/>
      <c r="AR3234" s="1942"/>
      <c r="AS3234" s="1942"/>
      <c r="AT3234" s="1942"/>
      <c r="AU3234" s="1942"/>
      <c r="AV3234" s="1942"/>
      <c r="AW3234" s="1942"/>
      <c r="AX3234" s="1942"/>
      <c r="AY3234" s="1942"/>
      <c r="AZ3234" s="1942"/>
      <c r="BA3234" s="1942"/>
      <c r="BB3234" s="575"/>
      <c r="BC3234" s="576"/>
      <c r="BD3234" s="678"/>
      <c r="BE3234" s="585"/>
    </row>
    <row r="3235" spans="1:57" s="51" customFormat="1" ht="15" hidden="1" customHeight="1" outlineLevel="1" x14ac:dyDescent="0.25">
      <c r="A3235" s="1267"/>
      <c r="B3235" s="123"/>
      <c r="C3235" s="328"/>
      <c r="D3235" s="3990"/>
      <c r="E3235" s="4009"/>
      <c r="F3235" s="3010" t="str">
        <f>$E$1657</f>
        <v>ASHP-SEER18-Replace_CAC_ElectricHeat_ER1_MF_CompE</v>
      </c>
      <c r="G3235" s="2676"/>
      <c r="H3235" s="2676"/>
      <c r="I3235" s="2677"/>
      <c r="J3235" s="3298" t="str">
        <f>$C$1657</f>
        <v>354301_2021_12_</v>
      </c>
      <c r="K3235" s="2282">
        <f>K3234</f>
        <v>18</v>
      </c>
      <c r="L3235" s="851"/>
      <c r="M3235" s="2278" t="s">
        <v>1125</v>
      </c>
      <c r="N3235" s="123"/>
      <c r="O3235" s="228"/>
      <c r="P3235" s="228"/>
      <c r="Q3235" s="228"/>
      <c r="R3235" s="228"/>
      <c r="S3235" s="123"/>
      <c r="T3235" s="123"/>
      <c r="U3235" s="123"/>
      <c r="V3235" s="3990"/>
      <c r="W3235" s="2857"/>
      <c r="X3235" s="2857"/>
      <c r="Y3235" s="3158">
        <v>18</v>
      </c>
      <c r="Z3235" s="696">
        <v>18</v>
      </c>
      <c r="AA3235" s="696">
        <v>18</v>
      </c>
      <c r="AB3235" s="2228">
        <v>18</v>
      </c>
      <c r="AC3235" s="2282">
        <f>AC3234</f>
        <v>18</v>
      </c>
      <c r="AD3235" s="2857"/>
      <c r="AE3235" s="2857"/>
      <c r="AF3235" s="2857"/>
      <c r="AG3235" s="2857"/>
      <c r="AH3235" s="1942"/>
      <c r="AI3235" s="1942"/>
      <c r="AJ3235" s="1942"/>
      <c r="AK3235" s="1942"/>
      <c r="AL3235" s="1942"/>
      <c r="AM3235" s="1942"/>
      <c r="AN3235" s="1942"/>
      <c r="AO3235" s="1942"/>
      <c r="AP3235" s="1942"/>
      <c r="AQ3235" s="1942"/>
      <c r="AR3235" s="1942"/>
      <c r="AS3235" s="1942"/>
      <c r="AT3235" s="1942"/>
      <c r="AU3235" s="1942"/>
      <c r="AV3235" s="1942"/>
      <c r="AW3235" s="1942"/>
      <c r="AX3235" s="1942"/>
      <c r="AY3235" s="1942"/>
      <c r="AZ3235" s="1942"/>
      <c r="BA3235" s="1942"/>
      <c r="BB3235" s="575"/>
      <c r="BC3235" s="576"/>
      <c r="BD3235" s="678"/>
      <c r="BE3235" s="585"/>
    </row>
    <row r="3236" spans="1:57" s="51" customFormat="1" ht="15" hidden="1" customHeight="1" outlineLevel="1" x14ac:dyDescent="0.25">
      <c r="A3236" s="1267"/>
      <c r="B3236" s="123"/>
      <c r="C3236" s="328"/>
      <c r="D3236" s="3990"/>
      <c r="E3236" s="4009"/>
      <c r="F3236" s="3010" t="str">
        <f>$E$1659</f>
        <v>ASHP-SEER18-Replace_CAC_ElectricHeat_ER2_MF_CompE</v>
      </c>
      <c r="G3236" s="2676"/>
      <c r="H3236" s="2676"/>
      <c r="I3236" s="2677"/>
      <c r="J3236" s="3298" t="str">
        <f>$C$1659</f>
        <v>354301_2021_12_</v>
      </c>
      <c r="K3236" s="2282">
        <f>K3235</f>
        <v>18</v>
      </c>
      <c r="L3236" s="851"/>
      <c r="M3236" s="2278" t="s">
        <v>1125</v>
      </c>
      <c r="N3236" s="123"/>
      <c r="O3236" s="228"/>
      <c r="P3236" s="228"/>
      <c r="Q3236" s="228"/>
      <c r="R3236" s="228"/>
      <c r="S3236" s="123"/>
      <c r="T3236" s="123"/>
      <c r="U3236" s="123"/>
      <c r="V3236" s="3990"/>
      <c r="W3236" s="2857"/>
      <c r="X3236" s="2857"/>
      <c r="Y3236" s="3158">
        <v>18</v>
      </c>
      <c r="Z3236" s="696">
        <v>18</v>
      </c>
      <c r="AA3236" s="696">
        <v>18</v>
      </c>
      <c r="AB3236" s="2228">
        <v>18</v>
      </c>
      <c r="AC3236" s="2282">
        <f>AC3235</f>
        <v>18</v>
      </c>
      <c r="AD3236" s="2857"/>
      <c r="AE3236" s="2857"/>
      <c r="AF3236" s="2857"/>
      <c r="AG3236" s="2857"/>
      <c r="AH3236" s="1942"/>
      <c r="AI3236" s="1942"/>
      <c r="AJ3236" s="1942"/>
      <c r="AK3236" s="1942"/>
      <c r="AL3236" s="1942"/>
      <c r="AM3236" s="1942"/>
      <c r="AN3236" s="1942"/>
      <c r="AO3236" s="1942"/>
      <c r="AP3236" s="1942"/>
      <c r="AQ3236" s="1942"/>
      <c r="AR3236" s="1942"/>
      <c r="AS3236" s="1942"/>
      <c r="AT3236" s="1942"/>
      <c r="AU3236" s="1942"/>
      <c r="AV3236" s="1942"/>
      <c r="AW3236" s="1942"/>
      <c r="AX3236" s="1942"/>
      <c r="AY3236" s="1942"/>
      <c r="AZ3236" s="1942"/>
      <c r="BA3236" s="1942"/>
      <c r="BB3236" s="575"/>
      <c r="BC3236" s="576"/>
      <c r="BD3236" s="678"/>
      <c r="BE3236" s="585"/>
    </row>
    <row r="3237" spans="1:57" s="1942" customFormat="1" ht="15" hidden="1" customHeight="1" outlineLevel="1" x14ac:dyDescent="0.25">
      <c r="A3237" s="1267"/>
      <c r="B3237" s="123"/>
      <c r="C3237" s="328"/>
      <c r="D3237" s="3990"/>
      <c r="E3237" s="4009"/>
      <c r="F3237" s="3010" t="str">
        <f>$E$1661</f>
        <v>ASHP-SEER18-Replace_CAC_NonElectricHeat_ER1_MF</v>
      </c>
      <c r="G3237" s="2676"/>
      <c r="H3237" s="2676"/>
      <c r="I3237" s="2677"/>
      <c r="J3237" s="3298" t="str">
        <f>$C$1661</f>
        <v>354310_2021_12_</v>
      </c>
      <c r="K3237" s="2228">
        <v>18</v>
      </c>
      <c r="L3237" s="851"/>
      <c r="M3237" s="2723" t="s">
        <v>1125</v>
      </c>
      <c r="N3237" s="123"/>
      <c r="O3237" s="228"/>
      <c r="P3237" s="228"/>
      <c r="Q3237" s="228"/>
      <c r="R3237" s="228"/>
      <c r="S3237" s="123"/>
      <c r="T3237" s="123"/>
      <c r="U3237" s="123"/>
      <c r="V3237" s="3990"/>
      <c r="W3237" s="2857"/>
      <c r="X3237" s="2857"/>
      <c r="Y3237" s="3158"/>
      <c r="Z3237" s="696"/>
      <c r="AA3237" s="696"/>
      <c r="AB3237" s="2228"/>
      <c r="AC3237" s="2228">
        <v>18</v>
      </c>
      <c r="AD3237" s="2857"/>
      <c r="AE3237" s="2857"/>
      <c r="AF3237" s="2857"/>
      <c r="AG3237" s="2857"/>
      <c r="BB3237" s="575"/>
      <c r="BC3237" s="576"/>
      <c r="BD3237" s="678"/>
      <c r="BE3237" s="585"/>
    </row>
    <row r="3238" spans="1:57" s="1942" customFormat="1" ht="15" hidden="1" customHeight="1" outlineLevel="1" x14ac:dyDescent="0.25">
      <c r="A3238" s="1267"/>
      <c r="B3238" s="123"/>
      <c r="C3238" s="328"/>
      <c r="D3238" s="3990"/>
      <c r="E3238" s="4009"/>
      <c r="F3238" s="3010" t="str">
        <f>$E$1663</f>
        <v>ASHP-SEER18-Replace_CAC_NonElectricHeat_ER2_MF</v>
      </c>
      <c r="G3238" s="2676"/>
      <c r="H3238" s="2676"/>
      <c r="I3238" s="2677"/>
      <c r="J3238" s="3298" t="str">
        <f>$C$1663</f>
        <v>354310_2021_12_</v>
      </c>
      <c r="K3238" s="2228">
        <f>K3237</f>
        <v>18</v>
      </c>
      <c r="L3238" s="851"/>
      <c r="M3238" s="2723" t="s">
        <v>1125</v>
      </c>
      <c r="N3238" s="123"/>
      <c r="O3238" s="228"/>
      <c r="P3238" s="228"/>
      <c r="Q3238" s="228"/>
      <c r="R3238" s="228"/>
      <c r="S3238" s="123"/>
      <c r="T3238" s="123"/>
      <c r="U3238" s="123"/>
      <c r="V3238" s="3990"/>
      <c r="W3238" s="2857"/>
      <c r="X3238" s="2857"/>
      <c r="Y3238" s="3158"/>
      <c r="Z3238" s="696"/>
      <c r="AA3238" s="696"/>
      <c r="AB3238" s="2228"/>
      <c r="AC3238" s="2228">
        <f>AC3237</f>
        <v>18</v>
      </c>
      <c r="AD3238" s="2857"/>
      <c r="AE3238" s="2857"/>
      <c r="AF3238" s="2857"/>
      <c r="AG3238" s="2857"/>
      <c r="BB3238" s="575"/>
      <c r="BC3238" s="576"/>
      <c r="BD3238" s="678"/>
      <c r="BE3238" s="585"/>
    </row>
    <row r="3239" spans="1:57" s="1942" customFormat="1" ht="15" hidden="1" customHeight="1" outlineLevel="1" x14ac:dyDescent="0.25">
      <c r="A3239" s="1267"/>
      <c r="B3239" s="123"/>
      <c r="C3239" s="328"/>
      <c r="D3239" s="3990"/>
      <c r="E3239" s="4009"/>
      <c r="F3239" s="3010" t="str">
        <f>$E$1665</f>
        <v>ASHP-SEER18-Replace_CAC_NonElectricHeat_ER1_MF_CompE</v>
      </c>
      <c r="G3239" s="2676"/>
      <c r="H3239" s="2676"/>
      <c r="I3239" s="2677"/>
      <c r="J3239" s="3298" t="str">
        <f>$C$1665</f>
        <v>354311_2021_12_</v>
      </c>
      <c r="K3239" s="2228">
        <f>K3238</f>
        <v>18</v>
      </c>
      <c r="L3239" s="851"/>
      <c r="M3239" s="2723" t="s">
        <v>1125</v>
      </c>
      <c r="N3239" s="123"/>
      <c r="O3239" s="228"/>
      <c r="P3239" s="228"/>
      <c r="Q3239" s="228"/>
      <c r="R3239" s="228"/>
      <c r="S3239" s="123"/>
      <c r="T3239" s="123"/>
      <c r="U3239" s="123"/>
      <c r="V3239" s="3990"/>
      <c r="W3239" s="2857"/>
      <c r="X3239" s="2857"/>
      <c r="Y3239" s="3158"/>
      <c r="Z3239" s="696"/>
      <c r="AA3239" s="696"/>
      <c r="AB3239" s="2228"/>
      <c r="AC3239" s="2228">
        <f>AC3238</f>
        <v>18</v>
      </c>
      <c r="AD3239" s="2857"/>
      <c r="AE3239" s="2857"/>
      <c r="AF3239" s="2857"/>
      <c r="AG3239" s="2857"/>
      <c r="BB3239" s="575"/>
      <c r="BC3239" s="576"/>
      <c r="BD3239" s="678"/>
      <c r="BE3239" s="585"/>
    </row>
    <row r="3240" spans="1:57" s="1942" customFormat="1" ht="15" hidden="1" customHeight="1" outlineLevel="1" x14ac:dyDescent="0.25">
      <c r="A3240" s="1267"/>
      <c r="B3240" s="123"/>
      <c r="C3240" s="328"/>
      <c r="D3240" s="3990"/>
      <c r="E3240" s="4009"/>
      <c r="F3240" s="3010" t="str">
        <f>$E$1667</f>
        <v>ASHP-SEER18-Replace_CAC_NonElectricHeat_ER2_MF_CompE</v>
      </c>
      <c r="G3240" s="2676"/>
      <c r="H3240" s="2676"/>
      <c r="I3240" s="2677"/>
      <c r="J3240" s="3298" t="str">
        <f>$C$1667</f>
        <v>354311_2021_12_</v>
      </c>
      <c r="K3240" s="2228">
        <f>K3239</f>
        <v>18</v>
      </c>
      <c r="L3240" s="851"/>
      <c r="M3240" s="2723" t="s">
        <v>1125</v>
      </c>
      <c r="N3240" s="123"/>
      <c r="O3240" s="228"/>
      <c r="P3240" s="228"/>
      <c r="Q3240" s="228"/>
      <c r="R3240" s="228"/>
      <c r="S3240" s="123"/>
      <c r="T3240" s="123"/>
      <c r="U3240" s="123"/>
      <c r="V3240" s="3990"/>
      <c r="W3240" s="2857"/>
      <c r="X3240" s="2857"/>
      <c r="Y3240" s="3158"/>
      <c r="Z3240" s="696"/>
      <c r="AA3240" s="696"/>
      <c r="AB3240" s="2228"/>
      <c r="AC3240" s="2228">
        <f>AC3239</f>
        <v>18</v>
      </c>
      <c r="AD3240" s="2857"/>
      <c r="AE3240" s="2857"/>
      <c r="AF3240" s="2857"/>
      <c r="AG3240" s="2857"/>
      <c r="BB3240" s="575"/>
      <c r="BC3240" s="576"/>
      <c r="BD3240" s="678"/>
      <c r="BE3240" s="585"/>
    </row>
    <row r="3241" spans="1:57" s="51" customFormat="1" ht="15" hidden="1" customHeight="1" outlineLevel="1" x14ac:dyDescent="0.25">
      <c r="A3241" s="1267"/>
      <c r="B3241" s="123"/>
      <c r="C3241" s="328"/>
      <c r="D3241" s="3990"/>
      <c r="E3241" s="4009"/>
      <c r="F3241" s="3010" t="str">
        <f>$E$1669</f>
        <v>ASHP-SEER18_ER1_MF</v>
      </c>
      <c r="G3241" s="2676"/>
      <c r="H3241" s="2676"/>
      <c r="I3241" s="2677"/>
      <c r="J3241" s="3298" t="str">
        <f>$C$1669</f>
        <v>354350_2021_12_</v>
      </c>
      <c r="K3241" s="2228">
        <v>18.5</v>
      </c>
      <c r="L3241" s="851"/>
      <c r="M3241" s="2723" t="s">
        <v>1565</v>
      </c>
      <c r="N3241" s="123"/>
      <c r="O3241" s="228"/>
      <c r="P3241" s="228"/>
      <c r="Q3241" s="228"/>
      <c r="R3241" s="228"/>
      <c r="S3241" s="123"/>
      <c r="T3241" s="123"/>
      <c r="U3241" s="123"/>
      <c r="V3241" s="3990"/>
      <c r="W3241" s="2857">
        <v>18</v>
      </c>
      <c r="X3241" s="2857">
        <v>18</v>
      </c>
      <c r="Y3241" s="696">
        <v>18</v>
      </c>
      <c r="Z3241" s="696">
        <v>18</v>
      </c>
      <c r="AA3241" s="696">
        <v>18</v>
      </c>
      <c r="AB3241" s="2855">
        <v>18</v>
      </c>
      <c r="AC3241" s="2228">
        <v>18.5</v>
      </c>
      <c r="AD3241" s="2857"/>
      <c r="AE3241" s="2857"/>
      <c r="AF3241" s="2857"/>
      <c r="AG3241" s="2857"/>
      <c r="AH3241" s="1942"/>
      <c r="AI3241" s="1942"/>
      <c r="AJ3241" s="1942"/>
      <c r="AK3241" s="1942"/>
      <c r="AL3241" s="1942"/>
      <c r="AM3241" s="1942"/>
      <c r="AN3241" s="1942"/>
      <c r="AO3241" s="1942"/>
      <c r="AP3241" s="1942"/>
      <c r="AQ3241" s="1942"/>
      <c r="AR3241" s="1942"/>
      <c r="AS3241" s="1942"/>
      <c r="AT3241" s="1942"/>
      <c r="AU3241" s="1942"/>
      <c r="AV3241" s="1942"/>
      <c r="AW3241" s="1942"/>
      <c r="AX3241" s="1942"/>
      <c r="AY3241" s="1942"/>
      <c r="AZ3241" s="1942"/>
      <c r="BA3241" s="1942"/>
      <c r="BB3241" s="575"/>
      <c r="BC3241" s="576"/>
      <c r="BD3241" s="678"/>
      <c r="BE3241" s="585"/>
    </row>
    <row r="3242" spans="1:57" s="51" customFormat="1" ht="15" hidden="1" customHeight="1" outlineLevel="1" x14ac:dyDescent="0.25">
      <c r="A3242" s="1267"/>
      <c r="B3242" s="123"/>
      <c r="C3242" s="328"/>
      <c r="D3242" s="3990"/>
      <c r="E3242" s="4009"/>
      <c r="F3242" s="3010" t="str">
        <f>$E$1671</f>
        <v>ASHP-SEER18_ER2_MF</v>
      </c>
      <c r="G3242" s="2676"/>
      <c r="H3242" s="2676"/>
      <c r="I3242" s="2677"/>
      <c r="J3242" s="3298" t="str">
        <f>$C$1671</f>
        <v>354350_2021_12_</v>
      </c>
      <c r="K3242" s="2228">
        <f>K3241</f>
        <v>18.5</v>
      </c>
      <c r="L3242" s="851"/>
      <c r="M3242" s="2723" t="s">
        <v>1565</v>
      </c>
      <c r="N3242" s="123"/>
      <c r="O3242" s="228"/>
      <c r="P3242" s="228"/>
      <c r="Q3242" s="228"/>
      <c r="R3242" s="228"/>
      <c r="S3242" s="123"/>
      <c r="T3242" s="123"/>
      <c r="U3242" s="123"/>
      <c r="V3242" s="3990"/>
      <c r="W3242" s="2857">
        <v>18</v>
      </c>
      <c r="X3242" s="2857">
        <v>18</v>
      </c>
      <c r="Y3242" s="696">
        <v>18</v>
      </c>
      <c r="Z3242" s="696">
        <v>18</v>
      </c>
      <c r="AA3242" s="696">
        <v>18</v>
      </c>
      <c r="AB3242" s="2855">
        <v>18</v>
      </c>
      <c r="AC3242" s="2228">
        <f>AC3241</f>
        <v>18.5</v>
      </c>
      <c r="AD3242" s="2857"/>
      <c r="AE3242" s="2857"/>
      <c r="AF3242" s="2857"/>
      <c r="AG3242" s="2857"/>
      <c r="AH3242" s="1942"/>
      <c r="AI3242" s="1942"/>
      <c r="AJ3242" s="1942"/>
      <c r="AK3242" s="1942"/>
      <c r="AL3242" s="1942"/>
      <c r="AM3242" s="1942"/>
      <c r="AN3242" s="1942"/>
      <c r="AO3242" s="1942"/>
      <c r="AP3242" s="1942"/>
      <c r="AQ3242" s="1942"/>
      <c r="AR3242" s="1942"/>
      <c r="AS3242" s="1942"/>
      <c r="AT3242" s="1942"/>
      <c r="AU3242" s="1942"/>
      <c r="AV3242" s="1942"/>
      <c r="AW3242" s="1942"/>
      <c r="AX3242" s="1942"/>
      <c r="AY3242" s="1942"/>
      <c r="AZ3242" s="1942"/>
      <c r="BA3242" s="1942"/>
      <c r="BB3242" s="575"/>
      <c r="BC3242" s="576"/>
      <c r="BD3242" s="678"/>
      <c r="BE3242" s="585"/>
    </row>
    <row r="3243" spans="1:57" s="51" customFormat="1" ht="15" hidden="1" customHeight="1" outlineLevel="1" x14ac:dyDescent="0.25">
      <c r="A3243" s="1267"/>
      <c r="B3243" s="123"/>
      <c r="C3243" s="328"/>
      <c r="D3243" s="3990"/>
      <c r="E3243" s="4009"/>
      <c r="F3243" s="3010" t="str">
        <f>$E$1673</f>
        <v>ASHP-SEER18_ER1_MF_CompE</v>
      </c>
      <c r="G3243" s="2676"/>
      <c r="H3243" s="2676"/>
      <c r="I3243" s="2677"/>
      <c r="J3243" s="3298" t="str">
        <f>$C$1673</f>
        <v>354351_2021_12_</v>
      </c>
      <c r="K3243" s="2282">
        <v>18</v>
      </c>
      <c r="L3243" s="851"/>
      <c r="M3243" s="2723" t="s">
        <v>1125</v>
      </c>
      <c r="N3243" s="123"/>
      <c r="O3243" s="228"/>
      <c r="P3243" s="228"/>
      <c r="Q3243" s="228"/>
      <c r="R3243" s="228"/>
      <c r="S3243" s="123"/>
      <c r="T3243" s="123"/>
      <c r="U3243" s="123"/>
      <c r="V3243" s="3990"/>
      <c r="W3243" s="2857"/>
      <c r="X3243" s="2857"/>
      <c r="Y3243" s="3158">
        <v>18</v>
      </c>
      <c r="Z3243" s="696">
        <v>18</v>
      </c>
      <c r="AA3243" s="696">
        <v>18</v>
      </c>
      <c r="AB3243" s="2855">
        <v>18</v>
      </c>
      <c r="AC3243" s="2282">
        <v>18</v>
      </c>
      <c r="AD3243" s="2857"/>
      <c r="AE3243" s="2857"/>
      <c r="AF3243" s="2857"/>
      <c r="AG3243" s="2857"/>
      <c r="AH3243" s="1942"/>
      <c r="AI3243" s="1942"/>
      <c r="AJ3243" s="1942"/>
      <c r="AK3243" s="1942"/>
      <c r="AL3243" s="1942"/>
      <c r="AM3243" s="1942"/>
      <c r="AN3243" s="1942"/>
      <c r="AO3243" s="1942"/>
      <c r="AP3243" s="1942"/>
      <c r="AQ3243" s="1942"/>
      <c r="AR3243" s="1942"/>
      <c r="AS3243" s="1942"/>
      <c r="AT3243" s="1942"/>
      <c r="AU3243" s="1942"/>
      <c r="AV3243" s="1942"/>
      <c r="AW3243" s="1942"/>
      <c r="AX3243" s="1942"/>
      <c r="AY3243" s="1942"/>
      <c r="AZ3243" s="1942"/>
      <c r="BA3243" s="1942"/>
      <c r="BB3243" s="575"/>
      <c r="BC3243" s="576"/>
      <c r="BD3243" s="678"/>
      <c r="BE3243" s="585"/>
    </row>
    <row r="3244" spans="1:57" s="51" customFormat="1" ht="15" hidden="1" customHeight="1" outlineLevel="1" x14ac:dyDescent="0.25">
      <c r="A3244" s="1267"/>
      <c r="B3244" s="123"/>
      <c r="C3244" s="328"/>
      <c r="D3244" s="3990"/>
      <c r="E3244" s="4009"/>
      <c r="F3244" s="3010" t="str">
        <f>$E$1675</f>
        <v>ASHP-SEER18_ER2_MF_CompE</v>
      </c>
      <c r="G3244" s="2676"/>
      <c r="H3244" s="2676"/>
      <c r="I3244" s="2677"/>
      <c r="J3244" s="3298" t="str">
        <f>$C$1675</f>
        <v>354351_2021_12_</v>
      </c>
      <c r="K3244" s="2282">
        <f>K3243</f>
        <v>18</v>
      </c>
      <c r="L3244" s="851"/>
      <c r="M3244" s="2723" t="s">
        <v>1125</v>
      </c>
      <c r="N3244" s="123"/>
      <c r="O3244" s="228"/>
      <c r="P3244" s="228"/>
      <c r="Q3244" s="228"/>
      <c r="R3244" s="228"/>
      <c r="S3244" s="123"/>
      <c r="T3244" s="123"/>
      <c r="U3244" s="123"/>
      <c r="V3244" s="3990"/>
      <c r="W3244" s="2857"/>
      <c r="X3244" s="2857"/>
      <c r="Y3244" s="3158">
        <v>18</v>
      </c>
      <c r="Z3244" s="696">
        <v>18</v>
      </c>
      <c r="AA3244" s="696">
        <v>18</v>
      </c>
      <c r="AB3244" s="2855">
        <v>18</v>
      </c>
      <c r="AC3244" s="2282">
        <f>AC3243</f>
        <v>18</v>
      </c>
      <c r="AD3244" s="2857"/>
      <c r="AE3244" s="2857"/>
      <c r="AF3244" s="2857"/>
      <c r="AG3244" s="2857"/>
      <c r="AH3244" s="1942"/>
      <c r="AI3244" s="1942"/>
      <c r="AJ3244" s="1942"/>
      <c r="AK3244" s="1942"/>
      <c r="AL3244" s="1942"/>
      <c r="AM3244" s="1942"/>
      <c r="AN3244" s="1942"/>
      <c r="AO3244" s="1942"/>
      <c r="AP3244" s="1942"/>
      <c r="AQ3244" s="1942"/>
      <c r="AR3244" s="1942"/>
      <c r="AS3244" s="1942"/>
      <c r="AT3244" s="1942"/>
      <c r="AU3244" s="1942"/>
      <c r="AV3244" s="1942"/>
      <c r="AW3244" s="1942"/>
      <c r="AX3244" s="1942"/>
      <c r="AY3244" s="1942"/>
      <c r="AZ3244" s="1942"/>
      <c r="BA3244" s="1942"/>
      <c r="BB3244" s="575"/>
      <c r="BC3244" s="576"/>
      <c r="BD3244" s="678"/>
      <c r="BE3244" s="585"/>
    </row>
    <row r="3245" spans="1:57" s="51" customFormat="1" ht="15" hidden="1" customHeight="1" outlineLevel="1" x14ac:dyDescent="0.25">
      <c r="A3245" s="1267"/>
      <c r="B3245" s="123"/>
      <c r="C3245" s="328"/>
      <c r="D3245" s="3990"/>
      <c r="E3245" s="4009"/>
      <c r="F3245" s="3010" t="str">
        <f>$E$1677</f>
        <v>ASHP-SEER19-Replace_CAC_ElectricHeat_ER1_SF</v>
      </c>
      <c r="G3245" s="2676"/>
      <c r="H3245" s="2676"/>
      <c r="I3245" s="2677"/>
      <c r="J3245" s="3298" t="str">
        <f>$C$1677</f>
        <v>354400_2021_12_</v>
      </c>
      <c r="K3245" s="2228">
        <v>19.125</v>
      </c>
      <c r="L3245" s="851"/>
      <c r="M3245" s="2723" t="s">
        <v>1565</v>
      </c>
      <c r="N3245" s="123"/>
      <c r="O3245" s="228"/>
      <c r="P3245" s="228"/>
      <c r="Q3245" s="228"/>
      <c r="R3245" s="228"/>
      <c r="S3245" s="123"/>
      <c r="T3245" s="123"/>
      <c r="U3245" s="123"/>
      <c r="V3245" s="3990"/>
      <c r="W3245" s="2857">
        <v>19</v>
      </c>
      <c r="X3245" s="2857">
        <v>19</v>
      </c>
      <c r="Y3245" s="696">
        <v>19</v>
      </c>
      <c r="Z3245" s="696">
        <v>19</v>
      </c>
      <c r="AA3245" s="696">
        <v>19</v>
      </c>
      <c r="AB3245" s="2855">
        <v>19</v>
      </c>
      <c r="AC3245" s="2228">
        <v>19.125</v>
      </c>
      <c r="AD3245" s="2857"/>
      <c r="AE3245" s="2857"/>
      <c r="AF3245" s="2857"/>
      <c r="AG3245" s="2857"/>
      <c r="AH3245" s="1942"/>
      <c r="AI3245" s="1942"/>
      <c r="AJ3245" s="1942"/>
      <c r="AK3245" s="1942"/>
      <c r="AL3245" s="1942"/>
      <c r="AM3245" s="1942"/>
      <c r="AN3245" s="1942"/>
      <c r="AO3245" s="1942"/>
      <c r="AP3245" s="1942"/>
      <c r="AQ3245" s="1942"/>
      <c r="AR3245" s="1942"/>
      <c r="AS3245" s="1942"/>
      <c r="AT3245" s="1942"/>
      <c r="AU3245" s="1942"/>
      <c r="AV3245" s="1942"/>
      <c r="AW3245" s="1942"/>
      <c r="AX3245" s="1942"/>
      <c r="AY3245" s="1942"/>
      <c r="AZ3245" s="1942"/>
      <c r="BA3245" s="1942"/>
      <c r="BB3245" s="575"/>
      <c r="BC3245" s="576"/>
      <c r="BD3245" s="678"/>
      <c r="BE3245" s="585"/>
    </row>
    <row r="3246" spans="1:57" s="51" customFormat="1" ht="15" hidden="1" customHeight="1" outlineLevel="1" x14ac:dyDescent="0.25">
      <c r="A3246" s="1267"/>
      <c r="B3246" s="123"/>
      <c r="C3246" s="328"/>
      <c r="D3246" s="3990"/>
      <c r="E3246" s="4009"/>
      <c r="F3246" s="3010" t="str">
        <f>$E$1679</f>
        <v>ASHP-SEER19-Replace_CAC_ElectricHeat_ER2_SF</v>
      </c>
      <c r="G3246" s="2676"/>
      <c r="H3246" s="2676"/>
      <c r="I3246" s="2677"/>
      <c r="J3246" s="3298" t="str">
        <f>$C$1679</f>
        <v>354400_2021_12_</v>
      </c>
      <c r="K3246" s="2228">
        <f>K3245</f>
        <v>19.125</v>
      </c>
      <c r="L3246" s="851"/>
      <c r="M3246" s="2723" t="s">
        <v>1565</v>
      </c>
      <c r="N3246" s="123"/>
      <c r="O3246" s="228"/>
      <c r="P3246" s="228"/>
      <c r="Q3246" s="228"/>
      <c r="R3246" s="228"/>
      <c r="S3246" s="123"/>
      <c r="T3246" s="123"/>
      <c r="U3246" s="123"/>
      <c r="V3246" s="3990"/>
      <c r="W3246" s="2857">
        <v>19</v>
      </c>
      <c r="X3246" s="2857">
        <v>19</v>
      </c>
      <c r="Y3246" s="696">
        <v>19</v>
      </c>
      <c r="Z3246" s="696">
        <v>19</v>
      </c>
      <c r="AA3246" s="696">
        <v>19</v>
      </c>
      <c r="AB3246" s="2855">
        <v>19</v>
      </c>
      <c r="AC3246" s="2228">
        <f>AC3245</f>
        <v>19.125</v>
      </c>
      <c r="AD3246" s="2857"/>
      <c r="AE3246" s="2857"/>
      <c r="AF3246" s="2857"/>
      <c r="AG3246" s="2857"/>
      <c r="AH3246" s="1942"/>
      <c r="AI3246" s="1942"/>
      <c r="AJ3246" s="1942"/>
      <c r="AK3246" s="1942"/>
      <c r="AL3246" s="1942"/>
      <c r="AM3246" s="1942"/>
      <c r="AN3246" s="1942"/>
      <c r="AO3246" s="1942"/>
      <c r="AP3246" s="1942"/>
      <c r="AQ3246" s="1942"/>
      <c r="AR3246" s="1942"/>
      <c r="AS3246" s="1942"/>
      <c r="AT3246" s="1942"/>
      <c r="AU3246" s="1942"/>
      <c r="AV3246" s="1942"/>
      <c r="AW3246" s="1942"/>
      <c r="AX3246" s="1942"/>
      <c r="AY3246" s="1942"/>
      <c r="AZ3246" s="1942"/>
      <c r="BA3246" s="1942"/>
      <c r="BB3246" s="575"/>
      <c r="BC3246" s="576"/>
      <c r="BD3246" s="678"/>
      <c r="BE3246" s="585"/>
    </row>
    <row r="3247" spans="1:57" s="1942" customFormat="1" ht="15" hidden="1" customHeight="1" outlineLevel="1" x14ac:dyDescent="0.25">
      <c r="A3247" s="1267"/>
      <c r="B3247" s="123"/>
      <c r="C3247" s="328"/>
      <c r="D3247" s="3990"/>
      <c r="E3247" s="4009"/>
      <c r="F3247" s="3010" t="str">
        <f>$E$1681</f>
        <v>ASHP-SEER19-Replace_CAC_NonElectricHeat_ER1_SF</v>
      </c>
      <c r="G3247" s="2676"/>
      <c r="H3247" s="2676"/>
      <c r="I3247" s="2677"/>
      <c r="J3247" s="3298" t="str">
        <f>$C$1681</f>
        <v>354410_2021_12_</v>
      </c>
      <c r="K3247" s="2228">
        <v>19.125</v>
      </c>
      <c r="L3247" s="851"/>
      <c r="M3247" s="2723" t="s">
        <v>1125</v>
      </c>
      <c r="N3247" s="123"/>
      <c r="O3247" s="228"/>
      <c r="P3247" s="228"/>
      <c r="Q3247" s="228"/>
      <c r="R3247" s="228"/>
      <c r="S3247" s="123"/>
      <c r="T3247" s="123"/>
      <c r="U3247" s="123"/>
      <c r="V3247" s="3990"/>
      <c r="W3247" s="2857"/>
      <c r="X3247" s="2857"/>
      <c r="Y3247" s="696"/>
      <c r="Z3247" s="696"/>
      <c r="AA3247" s="696"/>
      <c r="AB3247" s="2855"/>
      <c r="AC3247" s="2228">
        <v>19.125</v>
      </c>
      <c r="AD3247" s="2857"/>
      <c r="AE3247" s="2857"/>
      <c r="AF3247" s="2857"/>
      <c r="AG3247" s="2857"/>
      <c r="BB3247" s="575"/>
      <c r="BC3247" s="576"/>
      <c r="BD3247" s="678"/>
      <c r="BE3247" s="585"/>
    </row>
    <row r="3248" spans="1:57" s="1942" customFormat="1" ht="15" hidden="1" customHeight="1" outlineLevel="1" x14ac:dyDescent="0.25">
      <c r="A3248" s="1267"/>
      <c r="B3248" s="123"/>
      <c r="C3248" s="328"/>
      <c r="D3248" s="3990"/>
      <c r="E3248" s="4009"/>
      <c r="F3248" s="3010" t="str">
        <f>$E$1683</f>
        <v>ASHP-SEER19-Replace_CAC_NonElectricHeat_ER2_SF</v>
      </c>
      <c r="G3248" s="2676"/>
      <c r="H3248" s="2676"/>
      <c r="I3248" s="2677"/>
      <c r="J3248" s="3298" t="str">
        <f>$C$1683</f>
        <v>354410_2021_12_</v>
      </c>
      <c r="K3248" s="2228">
        <f>K3247</f>
        <v>19.125</v>
      </c>
      <c r="L3248" s="851"/>
      <c r="M3248" s="2723" t="s">
        <v>1125</v>
      </c>
      <c r="N3248" s="123"/>
      <c r="O3248" s="228"/>
      <c r="P3248" s="228"/>
      <c r="Q3248" s="228"/>
      <c r="R3248" s="228"/>
      <c r="S3248" s="123"/>
      <c r="T3248" s="123"/>
      <c r="U3248" s="123"/>
      <c r="V3248" s="3990"/>
      <c r="W3248" s="2857"/>
      <c r="X3248" s="2857"/>
      <c r="Y3248" s="696"/>
      <c r="Z3248" s="696"/>
      <c r="AA3248" s="696"/>
      <c r="AB3248" s="2855"/>
      <c r="AC3248" s="2228">
        <f>AC3247</f>
        <v>19.125</v>
      </c>
      <c r="AD3248" s="2857"/>
      <c r="AE3248" s="2857"/>
      <c r="AF3248" s="2857"/>
      <c r="AG3248" s="2857"/>
      <c r="BB3248" s="575"/>
      <c r="BC3248" s="576"/>
      <c r="BD3248" s="678"/>
      <c r="BE3248" s="585"/>
    </row>
    <row r="3249" spans="1:57" s="51" customFormat="1" ht="15" hidden="1" customHeight="1" outlineLevel="1" x14ac:dyDescent="0.25">
      <c r="A3249" s="1267"/>
      <c r="B3249" s="123"/>
      <c r="C3249" s="328"/>
      <c r="D3249" s="3990"/>
      <c r="E3249" s="4009"/>
      <c r="F3249" s="3010" t="str">
        <f>$E$1685</f>
        <v>ASHP-SEER19-Replace_CAC_ElectricHeat_ER1_MF</v>
      </c>
      <c r="G3249" s="2676"/>
      <c r="H3249" s="2676"/>
      <c r="I3249" s="2677"/>
      <c r="J3249" s="3299" t="str">
        <f>$C$1685</f>
        <v>354450_2019_12_</v>
      </c>
      <c r="K3249" s="2282">
        <v>19</v>
      </c>
      <c r="L3249" s="851"/>
      <c r="M3249" s="2278" t="s">
        <v>1566</v>
      </c>
      <c r="N3249" s="123"/>
      <c r="O3249" s="228"/>
      <c r="P3249" s="228"/>
      <c r="Q3249" s="228"/>
      <c r="R3249" s="228"/>
      <c r="S3249" s="123"/>
      <c r="T3249" s="123"/>
      <c r="U3249" s="123"/>
      <c r="V3249" s="3990"/>
      <c r="W3249" s="2857">
        <v>19</v>
      </c>
      <c r="X3249" s="2857">
        <v>19</v>
      </c>
      <c r="Y3249" s="696">
        <v>19</v>
      </c>
      <c r="Z3249" s="696">
        <v>19</v>
      </c>
      <c r="AA3249" s="696">
        <v>19</v>
      </c>
      <c r="AB3249" s="2855">
        <v>19</v>
      </c>
      <c r="AC3249" s="2282">
        <v>19</v>
      </c>
      <c r="AD3249" s="2857"/>
      <c r="AE3249" s="2857"/>
      <c r="AF3249" s="2857"/>
      <c r="AG3249" s="2857"/>
      <c r="AH3249" s="1942"/>
      <c r="AI3249" s="1942"/>
      <c r="AJ3249" s="1942"/>
      <c r="AK3249" s="1942"/>
      <c r="AL3249" s="1942"/>
      <c r="AM3249" s="1942"/>
      <c r="AN3249" s="1942"/>
      <c r="AO3249" s="1942"/>
      <c r="AP3249" s="1942"/>
      <c r="AQ3249" s="1942"/>
      <c r="AR3249" s="1942"/>
      <c r="AS3249" s="1942"/>
      <c r="AT3249" s="1942"/>
      <c r="AU3249" s="1942"/>
      <c r="AV3249" s="1942"/>
      <c r="AW3249" s="1942"/>
      <c r="AX3249" s="1942"/>
      <c r="AY3249" s="1942"/>
      <c r="AZ3249" s="1942"/>
      <c r="BA3249" s="1942"/>
      <c r="BB3249" s="575"/>
      <c r="BC3249" s="576"/>
      <c r="BD3249" s="678"/>
      <c r="BE3249" s="585"/>
    </row>
    <row r="3250" spans="1:57" s="51" customFormat="1" ht="15" hidden="1" customHeight="1" outlineLevel="1" x14ac:dyDescent="0.25">
      <c r="A3250" s="1267"/>
      <c r="B3250" s="123"/>
      <c r="C3250" s="328"/>
      <c r="D3250" s="3990"/>
      <c r="E3250" s="4009"/>
      <c r="F3250" s="3010" t="str">
        <f>$E$1687</f>
        <v>ASHP-SEER19-Replace_CAC_ElectricHeat_ER2_MF</v>
      </c>
      <c r="G3250" s="2676"/>
      <c r="H3250" s="2676"/>
      <c r="I3250" s="2677"/>
      <c r="J3250" s="3299" t="str">
        <f>$C$1687</f>
        <v>354450_2019_12_</v>
      </c>
      <c r="K3250" s="2282">
        <v>19</v>
      </c>
      <c r="L3250" s="851"/>
      <c r="M3250" s="2278" t="s">
        <v>1566</v>
      </c>
      <c r="N3250" s="123"/>
      <c r="O3250" s="228"/>
      <c r="P3250" s="228"/>
      <c r="Q3250" s="228"/>
      <c r="R3250" s="228"/>
      <c r="S3250" s="123"/>
      <c r="T3250" s="123"/>
      <c r="U3250" s="123"/>
      <c r="V3250" s="3990"/>
      <c r="W3250" s="2857">
        <v>19</v>
      </c>
      <c r="X3250" s="2857">
        <v>19</v>
      </c>
      <c r="Y3250" s="696">
        <v>19</v>
      </c>
      <c r="Z3250" s="696">
        <v>19</v>
      </c>
      <c r="AA3250" s="696">
        <v>19</v>
      </c>
      <c r="AB3250" s="2855">
        <v>19</v>
      </c>
      <c r="AC3250" s="2282">
        <v>19</v>
      </c>
      <c r="AD3250" s="2857"/>
      <c r="AE3250" s="2857"/>
      <c r="AF3250" s="2857"/>
      <c r="AG3250" s="2857"/>
      <c r="AH3250" s="1942"/>
      <c r="AI3250" s="1942"/>
      <c r="AJ3250" s="1942"/>
      <c r="AK3250" s="1942"/>
      <c r="AL3250" s="1942"/>
      <c r="AM3250" s="1942"/>
      <c r="AN3250" s="1942"/>
      <c r="AO3250" s="1942"/>
      <c r="AP3250" s="1942"/>
      <c r="AQ3250" s="1942"/>
      <c r="AR3250" s="1942"/>
      <c r="AS3250" s="1942"/>
      <c r="AT3250" s="1942"/>
      <c r="AU3250" s="1942"/>
      <c r="AV3250" s="1942"/>
      <c r="AW3250" s="1942"/>
      <c r="AX3250" s="1942"/>
      <c r="AY3250" s="1942"/>
      <c r="AZ3250" s="1942"/>
      <c r="BA3250" s="1942"/>
      <c r="BB3250" s="575"/>
      <c r="BC3250" s="576"/>
      <c r="BD3250" s="678"/>
      <c r="BE3250" s="585"/>
    </row>
    <row r="3251" spans="1:57" s="51" customFormat="1" ht="15" hidden="1" customHeight="1" outlineLevel="1" x14ac:dyDescent="0.25">
      <c r="A3251" s="1267"/>
      <c r="B3251" s="123"/>
      <c r="C3251" s="328"/>
      <c r="D3251" s="3990"/>
      <c r="E3251" s="4009"/>
      <c r="F3251" s="3010" t="str">
        <f>$E$1689</f>
        <v>ASHP-SEER19-Replace_CAC_ElectricHeat_ER1_MF_CompE</v>
      </c>
      <c r="G3251" s="2676"/>
      <c r="H3251" s="2676"/>
      <c r="I3251" s="2677"/>
      <c r="J3251" s="3299" t="str">
        <f>$C$1689</f>
        <v>354451_2019_12_</v>
      </c>
      <c r="K3251" s="2282">
        <v>19</v>
      </c>
      <c r="L3251" s="851"/>
      <c r="M3251" s="2723" t="s">
        <v>1125</v>
      </c>
      <c r="N3251" s="123"/>
      <c r="O3251" s="228"/>
      <c r="P3251" s="228"/>
      <c r="Q3251" s="228"/>
      <c r="R3251" s="228"/>
      <c r="S3251" s="123"/>
      <c r="T3251" s="123"/>
      <c r="U3251" s="123"/>
      <c r="V3251" s="3990"/>
      <c r="W3251" s="2857"/>
      <c r="X3251" s="2857"/>
      <c r="Y3251" s="3158">
        <v>19</v>
      </c>
      <c r="Z3251" s="696">
        <v>19</v>
      </c>
      <c r="AA3251" s="696">
        <v>19</v>
      </c>
      <c r="AB3251" s="2855">
        <v>19</v>
      </c>
      <c r="AC3251" s="2282">
        <v>19</v>
      </c>
      <c r="AD3251" s="2857"/>
      <c r="AE3251" s="2857"/>
      <c r="AF3251" s="2857"/>
      <c r="AG3251" s="2857"/>
      <c r="AH3251" s="1942"/>
      <c r="AI3251" s="1942"/>
      <c r="AJ3251" s="1942"/>
      <c r="AK3251" s="1942"/>
      <c r="AL3251" s="1942"/>
      <c r="AM3251" s="1942"/>
      <c r="AN3251" s="1942"/>
      <c r="AO3251" s="1942"/>
      <c r="AP3251" s="1942"/>
      <c r="AQ3251" s="1942"/>
      <c r="AR3251" s="1942"/>
      <c r="AS3251" s="1942"/>
      <c r="AT3251" s="1942"/>
      <c r="AU3251" s="1942"/>
      <c r="AV3251" s="1942"/>
      <c r="AW3251" s="1942"/>
      <c r="AX3251" s="1942"/>
      <c r="AY3251" s="1942"/>
      <c r="AZ3251" s="1942"/>
      <c r="BA3251" s="1942"/>
      <c r="BB3251" s="575"/>
      <c r="BC3251" s="576"/>
      <c r="BD3251" s="678"/>
      <c r="BE3251" s="585"/>
    </row>
    <row r="3252" spans="1:57" s="51" customFormat="1" ht="15" hidden="1" customHeight="1" outlineLevel="1" x14ac:dyDescent="0.25">
      <c r="A3252" s="1267"/>
      <c r="B3252" s="123"/>
      <c r="C3252" s="328"/>
      <c r="D3252" s="3990"/>
      <c r="E3252" s="4009"/>
      <c r="F3252" s="3010" t="str">
        <f>$E$1691</f>
        <v>ASHP-SEER19-Replace_CAC_ElectricHeat_ER2_MF_CompE</v>
      </c>
      <c r="G3252" s="2676"/>
      <c r="H3252" s="2676"/>
      <c r="I3252" s="2677"/>
      <c r="J3252" s="3299" t="str">
        <f>$C$1691</f>
        <v>354451_2019_12_</v>
      </c>
      <c r="K3252" s="2282">
        <v>19</v>
      </c>
      <c r="L3252" s="851"/>
      <c r="M3252" s="2723" t="s">
        <v>1125</v>
      </c>
      <c r="N3252" s="123"/>
      <c r="O3252" s="228"/>
      <c r="P3252" s="228"/>
      <c r="Q3252" s="228"/>
      <c r="R3252" s="228"/>
      <c r="S3252" s="123"/>
      <c r="T3252" s="123"/>
      <c r="U3252" s="123"/>
      <c r="V3252" s="3990"/>
      <c r="W3252" s="2857"/>
      <c r="X3252" s="2857"/>
      <c r="Y3252" s="3158">
        <v>19</v>
      </c>
      <c r="Z3252" s="696">
        <v>19</v>
      </c>
      <c r="AA3252" s="696">
        <v>19</v>
      </c>
      <c r="AB3252" s="2855">
        <v>19</v>
      </c>
      <c r="AC3252" s="2282">
        <v>19</v>
      </c>
      <c r="AD3252" s="2857"/>
      <c r="AE3252" s="2857"/>
      <c r="AF3252" s="2857"/>
      <c r="AG3252" s="2857"/>
      <c r="AH3252" s="1942"/>
      <c r="AI3252" s="1942"/>
      <c r="AJ3252" s="1942"/>
      <c r="AK3252" s="1942"/>
      <c r="AL3252" s="1942"/>
      <c r="AM3252" s="1942"/>
      <c r="AN3252" s="1942"/>
      <c r="AO3252" s="1942"/>
      <c r="AP3252" s="1942"/>
      <c r="AQ3252" s="1942"/>
      <c r="AR3252" s="1942"/>
      <c r="AS3252" s="1942"/>
      <c r="AT3252" s="1942"/>
      <c r="AU3252" s="1942"/>
      <c r="AV3252" s="1942"/>
      <c r="AW3252" s="1942"/>
      <c r="AX3252" s="1942"/>
      <c r="AY3252" s="1942"/>
      <c r="AZ3252" s="1942"/>
      <c r="BA3252" s="1942"/>
      <c r="BB3252" s="575"/>
      <c r="BC3252" s="576"/>
      <c r="BD3252" s="678"/>
      <c r="BE3252" s="585"/>
    </row>
    <row r="3253" spans="1:57" s="1942" customFormat="1" ht="15" hidden="1" customHeight="1" outlineLevel="1" x14ac:dyDescent="0.25">
      <c r="A3253" s="1267"/>
      <c r="B3253" s="123"/>
      <c r="C3253" s="328"/>
      <c r="D3253" s="3990"/>
      <c r="E3253" s="4009"/>
      <c r="F3253" s="3010" t="str">
        <f>$E$1693</f>
        <v>ASHP-SEER19-Replace_CAC_NonElectricHeat_ER1_MF</v>
      </c>
      <c r="G3253" s="2676"/>
      <c r="H3253" s="2676"/>
      <c r="I3253" s="2677"/>
      <c r="J3253" s="3298" t="str">
        <f>$C$1693</f>
        <v>354460_2021_12_</v>
      </c>
      <c r="K3253" s="2228">
        <v>19</v>
      </c>
      <c r="L3253" s="851"/>
      <c r="M3253" s="2723" t="s">
        <v>1125</v>
      </c>
      <c r="N3253" s="123"/>
      <c r="O3253" s="228"/>
      <c r="P3253" s="228"/>
      <c r="Q3253" s="228"/>
      <c r="R3253" s="228"/>
      <c r="S3253" s="123"/>
      <c r="T3253" s="123"/>
      <c r="U3253" s="123"/>
      <c r="V3253" s="3990"/>
      <c r="W3253" s="2857"/>
      <c r="X3253" s="2857"/>
      <c r="Y3253" s="3158"/>
      <c r="Z3253" s="696"/>
      <c r="AA3253" s="696"/>
      <c r="AB3253" s="2855"/>
      <c r="AC3253" s="2228">
        <v>19</v>
      </c>
      <c r="AD3253" s="2857"/>
      <c r="AE3253" s="2857"/>
      <c r="AF3253" s="2857"/>
      <c r="AG3253" s="2857"/>
      <c r="BB3253" s="575"/>
      <c r="BC3253" s="576"/>
      <c r="BD3253" s="678"/>
      <c r="BE3253" s="585"/>
    </row>
    <row r="3254" spans="1:57" s="1942" customFormat="1" ht="15" hidden="1" customHeight="1" outlineLevel="1" x14ac:dyDescent="0.25">
      <c r="A3254" s="1267"/>
      <c r="B3254" s="123"/>
      <c r="C3254" s="328"/>
      <c r="D3254" s="3990"/>
      <c r="E3254" s="4009"/>
      <c r="F3254" s="3010" t="str">
        <f>$E$1695</f>
        <v>ASHP-SEER19-Replace_CAC_NonElectricHeat_ER2_MF</v>
      </c>
      <c r="G3254" s="2676"/>
      <c r="H3254" s="2676"/>
      <c r="I3254" s="2677"/>
      <c r="J3254" s="3298" t="str">
        <f>$C$1695</f>
        <v>354460_2021_12_</v>
      </c>
      <c r="K3254" s="2228">
        <v>19</v>
      </c>
      <c r="L3254" s="851"/>
      <c r="M3254" s="2723" t="s">
        <v>1125</v>
      </c>
      <c r="N3254" s="123"/>
      <c r="O3254" s="228"/>
      <c r="P3254" s="228"/>
      <c r="Q3254" s="228"/>
      <c r="R3254" s="228"/>
      <c r="S3254" s="123"/>
      <c r="T3254" s="123"/>
      <c r="U3254" s="123"/>
      <c r="V3254" s="3990"/>
      <c r="W3254" s="2857"/>
      <c r="X3254" s="2857"/>
      <c r="Y3254" s="3158"/>
      <c r="Z3254" s="696"/>
      <c r="AA3254" s="696"/>
      <c r="AB3254" s="2855"/>
      <c r="AC3254" s="2228">
        <v>19</v>
      </c>
      <c r="AD3254" s="2857"/>
      <c r="AE3254" s="2857"/>
      <c r="AF3254" s="2857"/>
      <c r="AG3254" s="2857"/>
      <c r="BB3254" s="575"/>
      <c r="BC3254" s="576"/>
      <c r="BD3254" s="678"/>
      <c r="BE3254" s="585"/>
    </row>
    <row r="3255" spans="1:57" s="1942" customFormat="1" ht="15" hidden="1" customHeight="1" outlineLevel="1" x14ac:dyDescent="0.25">
      <c r="A3255" s="1267"/>
      <c r="B3255" s="123"/>
      <c r="C3255" s="328"/>
      <c r="D3255" s="3990"/>
      <c r="E3255" s="4009"/>
      <c r="F3255" s="3010" t="str">
        <f>$E$1697</f>
        <v>ASHP-SEER19-Replace_CAC_NonElectricHeat_ER1_MF_CompE</v>
      </c>
      <c r="G3255" s="2676"/>
      <c r="H3255" s="2676"/>
      <c r="I3255" s="2677"/>
      <c r="J3255" s="3298" t="str">
        <f>$C$1697</f>
        <v>354461_2021_12_</v>
      </c>
      <c r="K3255" s="2228">
        <v>19</v>
      </c>
      <c r="L3255" s="851"/>
      <c r="M3255" s="2723" t="s">
        <v>1125</v>
      </c>
      <c r="N3255" s="123"/>
      <c r="O3255" s="228"/>
      <c r="P3255" s="228"/>
      <c r="Q3255" s="228"/>
      <c r="R3255" s="228"/>
      <c r="S3255" s="123"/>
      <c r="T3255" s="123"/>
      <c r="U3255" s="123"/>
      <c r="V3255" s="3990"/>
      <c r="W3255" s="2857"/>
      <c r="X3255" s="2857"/>
      <c r="Y3255" s="3158"/>
      <c r="Z3255" s="696"/>
      <c r="AA3255" s="696"/>
      <c r="AB3255" s="2855"/>
      <c r="AC3255" s="2228">
        <v>19</v>
      </c>
      <c r="AD3255" s="2857"/>
      <c r="AE3255" s="2857"/>
      <c r="AF3255" s="2857"/>
      <c r="AG3255" s="2857"/>
      <c r="BB3255" s="575"/>
      <c r="BC3255" s="576"/>
      <c r="BD3255" s="678"/>
      <c r="BE3255" s="585"/>
    </row>
    <row r="3256" spans="1:57" s="1942" customFormat="1" ht="15" hidden="1" customHeight="1" outlineLevel="1" x14ac:dyDescent="0.25">
      <c r="A3256" s="1267"/>
      <c r="B3256" s="123"/>
      <c r="C3256" s="328"/>
      <c r="D3256" s="3990"/>
      <c r="E3256" s="4009"/>
      <c r="F3256" s="3010" t="str">
        <f>$E$1699</f>
        <v>ASHP-SEER19-Replace_CAC_NonElectricHeat_ER2_MF_CompE</v>
      </c>
      <c r="G3256" s="2676"/>
      <c r="H3256" s="2676"/>
      <c r="I3256" s="2677"/>
      <c r="J3256" s="3298" t="str">
        <f>$C$1699</f>
        <v>354461_2021_12_</v>
      </c>
      <c r="K3256" s="2228">
        <v>19</v>
      </c>
      <c r="L3256" s="851"/>
      <c r="M3256" s="2723" t="s">
        <v>1125</v>
      </c>
      <c r="N3256" s="123"/>
      <c r="O3256" s="228"/>
      <c r="P3256" s="228"/>
      <c r="Q3256" s="228"/>
      <c r="R3256" s="228"/>
      <c r="S3256" s="123"/>
      <c r="T3256" s="123"/>
      <c r="U3256" s="123"/>
      <c r="V3256" s="3990"/>
      <c r="W3256" s="2857"/>
      <c r="X3256" s="2857"/>
      <c r="Y3256" s="3158"/>
      <c r="Z3256" s="696"/>
      <c r="AA3256" s="696"/>
      <c r="AB3256" s="2855"/>
      <c r="AC3256" s="2228">
        <v>19</v>
      </c>
      <c r="AD3256" s="2857"/>
      <c r="AE3256" s="2857"/>
      <c r="AF3256" s="2857"/>
      <c r="AG3256" s="2857"/>
      <c r="BB3256" s="575"/>
      <c r="BC3256" s="576"/>
      <c r="BD3256" s="678"/>
      <c r="BE3256" s="585"/>
    </row>
    <row r="3257" spans="1:57" s="51" customFormat="1" ht="15" hidden="1" customHeight="1" outlineLevel="1" x14ac:dyDescent="0.25">
      <c r="A3257" s="1267"/>
      <c r="B3257" s="123"/>
      <c r="C3257" s="328"/>
      <c r="D3257" s="3990"/>
      <c r="E3257" s="4009"/>
      <c r="F3257" s="3010" t="str">
        <f>$E$1701</f>
        <v>ASHP-SEER19_ER1_MF</v>
      </c>
      <c r="G3257" s="2676"/>
      <c r="H3257" s="2676"/>
      <c r="I3257" s="2677"/>
      <c r="J3257" s="3299" t="str">
        <f>$C$1701</f>
        <v>354500_2019_12_</v>
      </c>
      <c r="K3257" s="2282">
        <v>19</v>
      </c>
      <c r="L3257" s="851"/>
      <c r="M3257" s="2278" t="s">
        <v>1566</v>
      </c>
      <c r="N3257" s="123"/>
      <c r="O3257" s="228"/>
      <c r="P3257" s="228"/>
      <c r="Q3257" s="228"/>
      <c r="R3257" s="228"/>
      <c r="S3257" s="123"/>
      <c r="T3257" s="123"/>
      <c r="U3257" s="123"/>
      <c r="V3257" s="3990"/>
      <c r="W3257" s="2857">
        <v>19</v>
      </c>
      <c r="X3257" s="2857">
        <v>19</v>
      </c>
      <c r="Y3257" s="696">
        <v>19</v>
      </c>
      <c r="Z3257" s="696">
        <v>19</v>
      </c>
      <c r="AA3257" s="696">
        <v>19</v>
      </c>
      <c r="AB3257" s="2855">
        <v>19</v>
      </c>
      <c r="AC3257" s="2282">
        <v>19</v>
      </c>
      <c r="AD3257" s="2857"/>
      <c r="AE3257" s="2857"/>
      <c r="AF3257" s="2857"/>
      <c r="AG3257" s="2857"/>
      <c r="AH3257" s="1942"/>
      <c r="AI3257" s="1942"/>
      <c r="AJ3257" s="1942"/>
      <c r="AK3257" s="1942"/>
      <c r="AL3257" s="1942"/>
      <c r="AM3257" s="1942"/>
      <c r="AN3257" s="1942"/>
      <c r="AO3257" s="1942"/>
      <c r="AP3257" s="1942"/>
      <c r="AQ3257" s="1942"/>
      <c r="AR3257" s="1942"/>
      <c r="AS3257" s="1942"/>
      <c r="AT3257" s="1942"/>
      <c r="AU3257" s="1942"/>
      <c r="AV3257" s="1942"/>
      <c r="AW3257" s="1942"/>
      <c r="AX3257" s="1942"/>
      <c r="AY3257" s="1942"/>
      <c r="AZ3257" s="1942"/>
      <c r="BA3257" s="1942"/>
      <c r="BB3257" s="575"/>
      <c r="BC3257" s="576"/>
      <c r="BD3257" s="678"/>
      <c r="BE3257" s="585"/>
    </row>
    <row r="3258" spans="1:57" s="51" customFormat="1" ht="15" hidden="1" customHeight="1" outlineLevel="1" x14ac:dyDescent="0.25">
      <c r="A3258" s="1267"/>
      <c r="B3258" s="123"/>
      <c r="C3258" s="328"/>
      <c r="D3258" s="3990"/>
      <c r="E3258" s="4009"/>
      <c r="F3258" s="3010" t="str">
        <f>$E$1703</f>
        <v>ASHP-SEER19_ER2_MF</v>
      </c>
      <c r="G3258" s="2676"/>
      <c r="H3258" s="2676"/>
      <c r="I3258" s="2677"/>
      <c r="J3258" s="3299" t="str">
        <f>$C$1703</f>
        <v>354500_2019_12_</v>
      </c>
      <c r="K3258" s="2282">
        <v>19</v>
      </c>
      <c r="L3258" s="851"/>
      <c r="M3258" s="2278" t="s">
        <v>1566</v>
      </c>
      <c r="N3258" s="123"/>
      <c r="O3258" s="228"/>
      <c r="P3258" s="228"/>
      <c r="Q3258" s="228"/>
      <c r="R3258" s="228"/>
      <c r="S3258" s="123"/>
      <c r="T3258" s="123"/>
      <c r="U3258" s="123"/>
      <c r="V3258" s="3990"/>
      <c r="W3258" s="2857">
        <v>19</v>
      </c>
      <c r="X3258" s="2857">
        <v>19</v>
      </c>
      <c r="Y3258" s="696">
        <v>19</v>
      </c>
      <c r="Z3258" s="696">
        <v>19</v>
      </c>
      <c r="AA3258" s="696">
        <v>19</v>
      </c>
      <c r="AB3258" s="2855">
        <v>19</v>
      </c>
      <c r="AC3258" s="2282">
        <v>19</v>
      </c>
      <c r="AD3258" s="2857"/>
      <c r="AE3258" s="2857"/>
      <c r="AF3258" s="2857"/>
      <c r="AG3258" s="2857"/>
      <c r="AH3258" s="1942"/>
      <c r="AI3258" s="1942"/>
      <c r="AJ3258" s="1942"/>
      <c r="AK3258" s="1942"/>
      <c r="AL3258" s="1942"/>
      <c r="AM3258" s="1942"/>
      <c r="AN3258" s="1942"/>
      <c r="AO3258" s="1942"/>
      <c r="AP3258" s="1942"/>
      <c r="AQ3258" s="1942"/>
      <c r="AR3258" s="1942"/>
      <c r="AS3258" s="1942"/>
      <c r="AT3258" s="1942"/>
      <c r="AU3258" s="1942"/>
      <c r="AV3258" s="1942"/>
      <c r="AW3258" s="1942"/>
      <c r="AX3258" s="1942"/>
      <c r="AY3258" s="1942"/>
      <c r="AZ3258" s="1942"/>
      <c r="BA3258" s="1942"/>
      <c r="BB3258" s="575"/>
      <c r="BC3258" s="576"/>
      <c r="BD3258" s="678"/>
      <c r="BE3258" s="585"/>
    </row>
    <row r="3259" spans="1:57" s="51" customFormat="1" ht="15" hidden="1" customHeight="1" outlineLevel="1" x14ac:dyDescent="0.25">
      <c r="A3259" s="1267"/>
      <c r="B3259" s="123"/>
      <c r="C3259" s="328"/>
      <c r="D3259" s="3990"/>
      <c r="E3259" s="4009"/>
      <c r="F3259" s="3010" t="str">
        <f>$E$1705</f>
        <v>ASHP-SEER19_ER1_MF_CompE</v>
      </c>
      <c r="G3259" s="2676"/>
      <c r="H3259" s="2676"/>
      <c r="I3259" s="2677"/>
      <c r="J3259" s="3299" t="str">
        <f>$C$1705</f>
        <v>354501_2019_12_</v>
      </c>
      <c r="K3259" s="2282">
        <v>19</v>
      </c>
      <c r="L3259" s="851"/>
      <c r="M3259" s="2723" t="s">
        <v>1125</v>
      </c>
      <c r="N3259" s="123"/>
      <c r="O3259" s="228"/>
      <c r="P3259" s="228"/>
      <c r="Q3259" s="228"/>
      <c r="R3259" s="228"/>
      <c r="S3259" s="123"/>
      <c r="T3259" s="123"/>
      <c r="U3259" s="123"/>
      <c r="V3259" s="3990"/>
      <c r="W3259" s="2857"/>
      <c r="X3259" s="2857"/>
      <c r="Y3259" s="3158">
        <v>19</v>
      </c>
      <c r="Z3259" s="696">
        <v>19</v>
      </c>
      <c r="AA3259" s="696">
        <v>19</v>
      </c>
      <c r="AB3259" s="2855">
        <v>19</v>
      </c>
      <c r="AC3259" s="2282">
        <v>19</v>
      </c>
      <c r="AD3259" s="2857"/>
      <c r="AE3259" s="2857"/>
      <c r="AF3259" s="2857"/>
      <c r="AG3259" s="2857"/>
      <c r="AH3259" s="1942"/>
      <c r="AI3259" s="1942"/>
      <c r="AJ3259" s="1942"/>
      <c r="AK3259" s="1942"/>
      <c r="AL3259" s="1942"/>
      <c r="AM3259" s="1942"/>
      <c r="AN3259" s="1942"/>
      <c r="AO3259" s="1942"/>
      <c r="AP3259" s="1942"/>
      <c r="AQ3259" s="1942"/>
      <c r="AR3259" s="1942"/>
      <c r="AS3259" s="1942"/>
      <c r="AT3259" s="1942"/>
      <c r="AU3259" s="1942"/>
      <c r="AV3259" s="1942"/>
      <c r="AW3259" s="1942"/>
      <c r="AX3259" s="1942"/>
      <c r="AY3259" s="1942"/>
      <c r="AZ3259" s="1942"/>
      <c r="BA3259" s="1942"/>
      <c r="BB3259" s="575"/>
      <c r="BC3259" s="576"/>
      <c r="BD3259" s="678"/>
      <c r="BE3259" s="585"/>
    </row>
    <row r="3260" spans="1:57" s="51" customFormat="1" ht="15" hidden="1" customHeight="1" outlineLevel="1" x14ac:dyDescent="0.25">
      <c r="A3260" s="1267"/>
      <c r="B3260" s="123"/>
      <c r="C3260" s="328"/>
      <c r="D3260" s="3990"/>
      <c r="E3260" s="4009"/>
      <c r="F3260" s="3010" t="str">
        <f>$E$1707</f>
        <v>ASHP-SEER19_ER2_MF_CompE</v>
      </c>
      <c r="G3260" s="2676"/>
      <c r="H3260" s="2676"/>
      <c r="I3260" s="2677"/>
      <c r="J3260" s="3299" t="str">
        <f>$C$1707</f>
        <v>354501_2019_12_</v>
      </c>
      <c r="K3260" s="2282">
        <v>19</v>
      </c>
      <c r="L3260" s="851"/>
      <c r="M3260" s="2723" t="s">
        <v>1125</v>
      </c>
      <c r="N3260" s="123"/>
      <c r="O3260" s="228"/>
      <c r="P3260" s="228"/>
      <c r="Q3260" s="228"/>
      <c r="R3260" s="228"/>
      <c r="S3260" s="123"/>
      <c r="T3260" s="123"/>
      <c r="U3260" s="123"/>
      <c r="V3260" s="3990"/>
      <c r="W3260" s="2857"/>
      <c r="X3260" s="2857"/>
      <c r="Y3260" s="3158">
        <v>19</v>
      </c>
      <c r="Z3260" s="696">
        <v>19</v>
      </c>
      <c r="AA3260" s="696">
        <v>19</v>
      </c>
      <c r="AB3260" s="2855">
        <v>19</v>
      </c>
      <c r="AC3260" s="2282">
        <v>19</v>
      </c>
      <c r="AD3260" s="2857"/>
      <c r="AE3260" s="2857"/>
      <c r="AF3260" s="2857"/>
      <c r="AG3260" s="2857"/>
      <c r="AH3260" s="1942"/>
      <c r="AI3260" s="1942"/>
      <c r="AJ3260" s="1942"/>
      <c r="AK3260" s="1942"/>
      <c r="AL3260" s="1942"/>
      <c r="AM3260" s="1942"/>
      <c r="AN3260" s="1942"/>
      <c r="AO3260" s="1942"/>
      <c r="AP3260" s="1942"/>
      <c r="AQ3260" s="1942"/>
      <c r="AR3260" s="1942"/>
      <c r="AS3260" s="1942"/>
      <c r="AT3260" s="1942"/>
      <c r="AU3260" s="1942"/>
      <c r="AV3260" s="1942"/>
      <c r="AW3260" s="1942"/>
      <c r="AX3260" s="1942"/>
      <c r="AY3260" s="1942"/>
      <c r="AZ3260" s="1942"/>
      <c r="BA3260" s="1942"/>
      <c r="BB3260" s="575"/>
      <c r="BC3260" s="576"/>
      <c r="BD3260" s="678"/>
      <c r="BE3260" s="585"/>
    </row>
    <row r="3261" spans="1:57" s="51" customFormat="1" ht="15" hidden="1" customHeight="1" outlineLevel="1" x14ac:dyDescent="0.25">
      <c r="A3261" s="1267"/>
      <c r="B3261" s="123"/>
      <c r="C3261" s="328"/>
      <c r="D3261" s="3990"/>
      <c r="E3261" s="4009"/>
      <c r="F3261" s="3010" t="str">
        <f>$E$1709</f>
        <v>ASHP-SEER20_ER1_SF</v>
      </c>
      <c r="G3261" s="2676"/>
      <c r="H3261" s="2676"/>
      <c r="I3261" s="2677"/>
      <c r="J3261" s="3298" t="str">
        <f>$C$1709</f>
        <v>354550_2021_12_</v>
      </c>
      <c r="K3261" s="2228">
        <v>20</v>
      </c>
      <c r="L3261" s="851"/>
      <c r="M3261" s="2723" t="s">
        <v>1565</v>
      </c>
      <c r="N3261" s="123"/>
      <c r="O3261" s="228"/>
      <c r="P3261" s="228"/>
      <c r="Q3261" s="228"/>
      <c r="R3261" s="228"/>
      <c r="S3261" s="123"/>
      <c r="T3261" s="123"/>
      <c r="U3261" s="123"/>
      <c r="V3261" s="3990"/>
      <c r="W3261" s="2857">
        <v>20</v>
      </c>
      <c r="X3261" s="2857">
        <v>20</v>
      </c>
      <c r="Y3261" s="696">
        <v>20</v>
      </c>
      <c r="Z3261" s="696">
        <v>20</v>
      </c>
      <c r="AA3261" s="696">
        <v>20</v>
      </c>
      <c r="AB3261" s="2855">
        <v>20</v>
      </c>
      <c r="AC3261" s="2282">
        <v>20</v>
      </c>
      <c r="AD3261" s="2857"/>
      <c r="AE3261" s="2857"/>
      <c r="AF3261" s="2857"/>
      <c r="AG3261" s="2857"/>
      <c r="AH3261" s="1942"/>
      <c r="AI3261" s="1942"/>
      <c r="AJ3261" s="1942"/>
      <c r="AK3261" s="1942"/>
      <c r="AL3261" s="1942"/>
      <c r="AM3261" s="1942"/>
      <c r="AN3261" s="1942"/>
      <c r="AO3261" s="1942"/>
      <c r="AP3261" s="1942"/>
      <c r="AQ3261" s="1942"/>
      <c r="AR3261" s="1942"/>
      <c r="AS3261" s="1942"/>
      <c r="AT3261" s="1942"/>
      <c r="AU3261" s="1942"/>
      <c r="AV3261" s="1942"/>
      <c r="AW3261" s="1942"/>
      <c r="AX3261" s="1942"/>
      <c r="AY3261" s="1942"/>
      <c r="AZ3261" s="1942"/>
      <c r="BA3261" s="1942"/>
      <c r="BB3261" s="575"/>
      <c r="BC3261" s="576"/>
      <c r="BD3261" s="678"/>
      <c r="BE3261" s="585"/>
    </row>
    <row r="3262" spans="1:57" s="51" customFormat="1" ht="15" hidden="1" customHeight="1" outlineLevel="1" x14ac:dyDescent="0.25">
      <c r="A3262" s="1267"/>
      <c r="B3262" s="123"/>
      <c r="C3262" s="328"/>
      <c r="D3262" s="3990"/>
      <c r="E3262" s="4009"/>
      <c r="F3262" s="3010" t="str">
        <f>$E$1711</f>
        <v>ASHP-SEER20_ER2_SF</v>
      </c>
      <c r="G3262" s="2676"/>
      <c r="H3262" s="2676"/>
      <c r="I3262" s="2677"/>
      <c r="J3262" s="3298" t="str">
        <f>$C$1711</f>
        <v>354550_2021_12_</v>
      </c>
      <c r="K3262" s="2228">
        <f>K3261</f>
        <v>20</v>
      </c>
      <c r="L3262" s="851"/>
      <c r="M3262" s="2723" t="s">
        <v>1565</v>
      </c>
      <c r="N3262" s="123"/>
      <c r="O3262" s="228"/>
      <c r="P3262" s="228"/>
      <c r="Q3262" s="228"/>
      <c r="R3262" s="228"/>
      <c r="S3262" s="123"/>
      <c r="T3262" s="123"/>
      <c r="U3262" s="123"/>
      <c r="V3262" s="3990"/>
      <c r="W3262" s="2857">
        <v>20</v>
      </c>
      <c r="X3262" s="2857">
        <v>20</v>
      </c>
      <c r="Y3262" s="696">
        <v>20</v>
      </c>
      <c r="Z3262" s="696">
        <v>20</v>
      </c>
      <c r="AA3262" s="696">
        <v>20</v>
      </c>
      <c r="AB3262" s="2855">
        <v>20</v>
      </c>
      <c r="AC3262" s="2282">
        <f>AC3261</f>
        <v>20</v>
      </c>
      <c r="AD3262" s="2857"/>
      <c r="AE3262" s="2857"/>
      <c r="AF3262" s="2857"/>
      <c r="AG3262" s="2857"/>
      <c r="AH3262" s="1942"/>
      <c r="AI3262" s="1942"/>
      <c r="AJ3262" s="1942"/>
      <c r="AK3262" s="1942"/>
      <c r="AL3262" s="1942"/>
      <c r="AM3262" s="1942"/>
      <c r="AN3262" s="1942"/>
      <c r="AO3262" s="1942"/>
      <c r="AP3262" s="1942"/>
      <c r="AQ3262" s="1942"/>
      <c r="AR3262" s="1942"/>
      <c r="AS3262" s="1942"/>
      <c r="AT3262" s="1942"/>
      <c r="AU3262" s="1942"/>
      <c r="AV3262" s="1942"/>
      <c r="AW3262" s="1942"/>
      <c r="AX3262" s="1942"/>
      <c r="AY3262" s="1942"/>
      <c r="AZ3262" s="1942"/>
      <c r="BA3262" s="1942"/>
      <c r="BB3262" s="575"/>
      <c r="BC3262" s="576"/>
      <c r="BD3262" s="678"/>
      <c r="BE3262" s="585"/>
    </row>
    <row r="3263" spans="1:57" s="51" customFormat="1" ht="15" hidden="1" customHeight="1" outlineLevel="1" x14ac:dyDescent="0.25">
      <c r="A3263" s="1267"/>
      <c r="B3263" s="123"/>
      <c r="C3263" s="328"/>
      <c r="D3263" s="3990"/>
      <c r="E3263" s="4009"/>
      <c r="F3263" s="3010" t="str">
        <f>$E$1713</f>
        <v>ASHP-SEER20_ROF_SF</v>
      </c>
      <c r="G3263" s="2676"/>
      <c r="H3263" s="2676"/>
      <c r="I3263" s="2677"/>
      <c r="J3263" s="3298" t="str">
        <f>$C$1713</f>
        <v>354600_2021_12_</v>
      </c>
      <c r="K3263" s="2228">
        <v>20.066666666666666</v>
      </c>
      <c r="L3263" s="851"/>
      <c r="M3263" s="2723" t="s">
        <v>1565</v>
      </c>
      <c r="N3263" s="123"/>
      <c r="O3263" s="228"/>
      <c r="P3263" s="228"/>
      <c r="Q3263" s="228"/>
      <c r="R3263" s="228"/>
      <c r="S3263" s="123"/>
      <c r="T3263" s="123"/>
      <c r="U3263" s="123"/>
      <c r="V3263" s="3990"/>
      <c r="W3263" s="2857">
        <v>20</v>
      </c>
      <c r="X3263" s="2857">
        <v>20</v>
      </c>
      <c r="Y3263" s="696">
        <v>20</v>
      </c>
      <c r="Z3263" s="696">
        <v>20</v>
      </c>
      <c r="AA3263" s="696">
        <v>20</v>
      </c>
      <c r="AB3263" s="2855">
        <v>20</v>
      </c>
      <c r="AC3263" s="2228">
        <v>20.066666666666666</v>
      </c>
      <c r="AD3263" s="2857"/>
      <c r="AE3263" s="2857"/>
      <c r="AF3263" s="2857"/>
      <c r="AG3263" s="2857"/>
      <c r="AH3263" s="1942"/>
      <c r="AI3263" s="1942"/>
      <c r="AJ3263" s="1942"/>
      <c r="AK3263" s="1942"/>
      <c r="AL3263" s="1942"/>
      <c r="AM3263" s="1942"/>
      <c r="AN3263" s="1942"/>
      <c r="AO3263" s="1942"/>
      <c r="AP3263" s="1942"/>
      <c r="AQ3263" s="1942"/>
      <c r="AR3263" s="1942"/>
      <c r="AS3263" s="1942"/>
      <c r="AT3263" s="1942"/>
      <c r="AU3263" s="1942"/>
      <c r="AV3263" s="1942"/>
      <c r="AW3263" s="1942"/>
      <c r="AX3263" s="1942"/>
      <c r="AY3263" s="1942"/>
      <c r="AZ3263" s="1942"/>
      <c r="BA3263" s="1942"/>
      <c r="BB3263" s="575"/>
      <c r="BC3263" s="576"/>
      <c r="BD3263" s="678"/>
      <c r="BE3263" s="585"/>
    </row>
    <row r="3264" spans="1:57" s="51" customFormat="1" ht="15" hidden="1" customHeight="1" outlineLevel="1" x14ac:dyDescent="0.25">
      <c r="A3264" s="1267"/>
      <c r="B3264" s="123"/>
      <c r="C3264" s="328"/>
      <c r="D3264" s="3990"/>
      <c r="E3264" s="4009"/>
      <c r="F3264" s="3010" t="str">
        <f>$E$1715</f>
        <v>ASHP-SEER20-Replace_CAC_ElectricHeat_ER1_MF</v>
      </c>
      <c r="G3264" s="2676"/>
      <c r="H3264" s="2676"/>
      <c r="I3264" s="2677"/>
      <c r="J3264" s="3299" t="str">
        <f>$C$1715</f>
        <v>354650_2019_12_</v>
      </c>
      <c r="K3264" s="2282">
        <v>20</v>
      </c>
      <c r="L3264" s="851"/>
      <c r="M3264" s="2278" t="s">
        <v>1566</v>
      </c>
      <c r="N3264" s="123"/>
      <c r="O3264" s="228"/>
      <c r="P3264" s="228"/>
      <c r="Q3264" s="228"/>
      <c r="R3264" s="228"/>
      <c r="S3264" s="123"/>
      <c r="T3264" s="123"/>
      <c r="U3264" s="123"/>
      <c r="V3264" s="3990"/>
      <c r="W3264" s="2857">
        <v>20</v>
      </c>
      <c r="X3264" s="2857">
        <v>20</v>
      </c>
      <c r="Y3264" s="696">
        <v>20</v>
      </c>
      <c r="Z3264" s="696">
        <v>20</v>
      </c>
      <c r="AA3264" s="696">
        <v>20</v>
      </c>
      <c r="AB3264" s="2855">
        <v>20</v>
      </c>
      <c r="AC3264" s="2282">
        <v>20</v>
      </c>
      <c r="AD3264" s="2857"/>
      <c r="AE3264" s="2857"/>
      <c r="AF3264" s="2857"/>
      <c r="AG3264" s="2857"/>
      <c r="AH3264" s="1942"/>
      <c r="AI3264" s="1942"/>
      <c r="AJ3264" s="1942"/>
      <c r="AK3264" s="1942"/>
      <c r="AL3264" s="1942"/>
      <c r="AM3264" s="1942"/>
      <c r="AN3264" s="1942"/>
      <c r="AO3264" s="1942"/>
      <c r="AP3264" s="1942"/>
      <c r="AQ3264" s="1942"/>
      <c r="AR3264" s="1942"/>
      <c r="AS3264" s="1942"/>
      <c r="AT3264" s="1942"/>
      <c r="AU3264" s="1942"/>
      <c r="AV3264" s="1942"/>
      <c r="AW3264" s="1942"/>
      <c r="AX3264" s="1942"/>
      <c r="AY3264" s="1942"/>
      <c r="AZ3264" s="1942"/>
      <c r="BA3264" s="1942"/>
      <c r="BB3264" s="575"/>
      <c r="BC3264" s="576"/>
      <c r="BD3264" s="678"/>
      <c r="BE3264" s="585"/>
    </row>
    <row r="3265" spans="1:57" s="51" customFormat="1" ht="15" hidden="1" customHeight="1" outlineLevel="1" x14ac:dyDescent="0.25">
      <c r="A3265" s="1267"/>
      <c r="B3265" s="123"/>
      <c r="C3265" s="328"/>
      <c r="D3265" s="3990"/>
      <c r="E3265" s="4009"/>
      <c r="F3265" s="3010" t="str">
        <f>$E$1717</f>
        <v>ASHP-SEER20-Replace_CAC_ElectricHeat_ER2_MF</v>
      </c>
      <c r="G3265" s="2676"/>
      <c r="H3265" s="2676"/>
      <c r="I3265" s="2677"/>
      <c r="J3265" s="3299" t="str">
        <f>$C$1717</f>
        <v>354650_2019_12_</v>
      </c>
      <c r="K3265" s="2282">
        <v>20</v>
      </c>
      <c r="L3265" s="851"/>
      <c r="M3265" s="837" t="s">
        <v>1566</v>
      </c>
      <c r="N3265" s="123"/>
      <c r="O3265" s="228"/>
      <c r="P3265" s="228"/>
      <c r="Q3265" s="228"/>
      <c r="R3265" s="228"/>
      <c r="S3265" s="123"/>
      <c r="T3265" s="123"/>
      <c r="U3265" s="123"/>
      <c r="V3265" s="3990"/>
      <c r="W3265" s="2857">
        <v>20</v>
      </c>
      <c r="X3265" s="2857">
        <v>20</v>
      </c>
      <c r="Y3265" s="696">
        <v>20</v>
      </c>
      <c r="Z3265" s="696">
        <v>20</v>
      </c>
      <c r="AA3265" s="696">
        <v>20</v>
      </c>
      <c r="AB3265" s="2855">
        <v>20</v>
      </c>
      <c r="AC3265" s="2282">
        <v>20</v>
      </c>
      <c r="AD3265" s="2857"/>
      <c r="AE3265" s="2857"/>
      <c r="AF3265" s="2857"/>
      <c r="AG3265" s="2857"/>
      <c r="AH3265" s="1942"/>
      <c r="AI3265" s="1942"/>
      <c r="AJ3265" s="1942"/>
      <c r="AK3265" s="1942"/>
      <c r="AL3265" s="1942"/>
      <c r="AM3265" s="1942"/>
      <c r="AN3265" s="1942"/>
      <c r="AO3265" s="1942"/>
      <c r="AP3265" s="1942"/>
      <c r="AQ3265" s="1942"/>
      <c r="AR3265" s="1942"/>
      <c r="AS3265" s="1942"/>
      <c r="AT3265" s="1942"/>
      <c r="AU3265" s="1942"/>
      <c r="AV3265" s="1942"/>
      <c r="AW3265" s="1942"/>
      <c r="AX3265" s="1942"/>
      <c r="AY3265" s="1942"/>
      <c r="AZ3265" s="1942"/>
      <c r="BA3265" s="1942"/>
      <c r="BB3265" s="575"/>
      <c r="BC3265" s="576"/>
      <c r="BD3265" s="678"/>
      <c r="BE3265" s="585"/>
    </row>
    <row r="3266" spans="1:57" s="51" customFormat="1" ht="15" hidden="1" customHeight="1" outlineLevel="1" x14ac:dyDescent="0.25">
      <c r="A3266" s="1267"/>
      <c r="B3266" s="123"/>
      <c r="C3266" s="328"/>
      <c r="D3266" s="3990"/>
      <c r="E3266" s="4009"/>
      <c r="F3266" s="3010" t="str">
        <f>$E$1719</f>
        <v>ASHP-SEER20-Replace_CAC_ElectricHeat_ER1_MF_CompE</v>
      </c>
      <c r="G3266" s="2676"/>
      <c r="H3266" s="2676"/>
      <c r="I3266" s="2677"/>
      <c r="J3266" s="3299" t="str">
        <f>$C$1719</f>
        <v>354651_2019_12_</v>
      </c>
      <c r="K3266" s="2282">
        <v>20</v>
      </c>
      <c r="L3266" s="851"/>
      <c r="M3266" s="2723" t="s">
        <v>1125</v>
      </c>
      <c r="N3266" s="123"/>
      <c r="O3266" s="228"/>
      <c r="P3266" s="228"/>
      <c r="Q3266" s="228"/>
      <c r="R3266" s="228"/>
      <c r="S3266" s="123"/>
      <c r="T3266" s="123"/>
      <c r="U3266" s="123"/>
      <c r="V3266" s="3990"/>
      <c r="W3266" s="2857"/>
      <c r="X3266" s="2857"/>
      <c r="Y3266" s="3158">
        <v>20</v>
      </c>
      <c r="Z3266" s="696">
        <v>20</v>
      </c>
      <c r="AA3266" s="696">
        <v>20</v>
      </c>
      <c r="AB3266" s="2855">
        <v>20</v>
      </c>
      <c r="AC3266" s="2282">
        <v>20</v>
      </c>
      <c r="AD3266" s="2857"/>
      <c r="AE3266" s="2857"/>
      <c r="AF3266" s="2857"/>
      <c r="AG3266" s="2857"/>
      <c r="AH3266" s="1942"/>
      <c r="AI3266" s="1942"/>
      <c r="AJ3266" s="1942"/>
      <c r="AK3266" s="1942"/>
      <c r="AL3266" s="1942"/>
      <c r="AM3266" s="1942"/>
      <c r="AN3266" s="1942"/>
      <c r="AO3266" s="1942"/>
      <c r="AP3266" s="1942"/>
      <c r="AQ3266" s="1942"/>
      <c r="AR3266" s="1942"/>
      <c r="AS3266" s="1942"/>
      <c r="AT3266" s="1942"/>
      <c r="AU3266" s="1942"/>
      <c r="AV3266" s="1942"/>
      <c r="AW3266" s="1942"/>
      <c r="AX3266" s="1942"/>
      <c r="AY3266" s="1942"/>
      <c r="AZ3266" s="1942"/>
      <c r="BA3266" s="1942"/>
      <c r="BB3266" s="575"/>
      <c r="BC3266" s="576"/>
      <c r="BD3266" s="678"/>
      <c r="BE3266" s="585"/>
    </row>
    <row r="3267" spans="1:57" s="51" customFormat="1" ht="15" hidden="1" customHeight="1" outlineLevel="1" x14ac:dyDescent="0.25">
      <c r="A3267" s="1267"/>
      <c r="B3267" s="123"/>
      <c r="C3267" s="328"/>
      <c r="D3267" s="3990"/>
      <c r="E3267" s="4009"/>
      <c r="F3267" s="3010" t="str">
        <f>$E$1721</f>
        <v>ASHP-SEER20-Replace_CAC_ElectricHeat_ER2_MF_CompE</v>
      </c>
      <c r="G3267" s="2676"/>
      <c r="H3267" s="2676"/>
      <c r="I3267" s="2677"/>
      <c r="J3267" s="3299" t="str">
        <f>$C$1721</f>
        <v>354651_2019_12_</v>
      </c>
      <c r="K3267" s="2282">
        <v>20</v>
      </c>
      <c r="L3267" s="851"/>
      <c r="M3267" s="2723" t="s">
        <v>1125</v>
      </c>
      <c r="N3267" s="123"/>
      <c r="O3267" s="228"/>
      <c r="P3267" s="228"/>
      <c r="Q3267" s="228"/>
      <c r="R3267" s="228"/>
      <c r="S3267" s="123"/>
      <c r="T3267" s="123"/>
      <c r="U3267" s="123"/>
      <c r="V3267" s="3990"/>
      <c r="W3267" s="2857"/>
      <c r="X3267" s="2857"/>
      <c r="Y3267" s="3158">
        <v>20</v>
      </c>
      <c r="Z3267" s="696">
        <v>20</v>
      </c>
      <c r="AA3267" s="696">
        <v>20</v>
      </c>
      <c r="AB3267" s="2855">
        <v>20</v>
      </c>
      <c r="AC3267" s="2282">
        <v>20</v>
      </c>
      <c r="AD3267" s="2857"/>
      <c r="AE3267" s="2857"/>
      <c r="AF3267" s="2857"/>
      <c r="AG3267" s="2857"/>
      <c r="AH3267" s="1942"/>
      <c r="AI3267" s="1942"/>
      <c r="AJ3267" s="1942"/>
      <c r="AK3267" s="1942"/>
      <c r="AL3267" s="1942"/>
      <c r="AM3267" s="1942"/>
      <c r="AN3267" s="1942"/>
      <c r="AO3267" s="1942"/>
      <c r="AP3267" s="1942"/>
      <c r="AQ3267" s="1942"/>
      <c r="AR3267" s="1942"/>
      <c r="AS3267" s="1942"/>
      <c r="AT3267" s="1942"/>
      <c r="AU3267" s="1942"/>
      <c r="AV3267" s="1942"/>
      <c r="AW3267" s="1942"/>
      <c r="AX3267" s="1942"/>
      <c r="AY3267" s="1942"/>
      <c r="AZ3267" s="1942"/>
      <c r="BA3267" s="1942"/>
      <c r="BB3267" s="575"/>
      <c r="BC3267" s="576"/>
      <c r="BD3267" s="678"/>
      <c r="BE3267" s="585"/>
    </row>
    <row r="3268" spans="1:57" s="1942" customFormat="1" ht="15" hidden="1" customHeight="1" outlineLevel="1" x14ac:dyDescent="0.25">
      <c r="A3268" s="1267"/>
      <c r="B3268" s="123"/>
      <c r="C3268" s="328"/>
      <c r="D3268" s="3990"/>
      <c r="E3268" s="4009"/>
      <c r="F3268" s="3010" t="str">
        <f>$E$1723</f>
        <v>ASHP-SEER20-Replace_CAC_NonElectricHeat_ER1_MF</v>
      </c>
      <c r="G3268" s="2676"/>
      <c r="H3268" s="2676"/>
      <c r="I3268" s="2677"/>
      <c r="J3268" s="3298" t="str">
        <f>$C$1723</f>
        <v>354660_2021_12_</v>
      </c>
      <c r="K3268" s="2228">
        <v>20</v>
      </c>
      <c r="L3268" s="851"/>
      <c r="M3268" s="2723" t="s">
        <v>1125</v>
      </c>
      <c r="N3268" s="123"/>
      <c r="O3268" s="228"/>
      <c r="P3268" s="228"/>
      <c r="Q3268" s="228"/>
      <c r="R3268" s="228"/>
      <c r="S3268" s="123"/>
      <c r="T3268" s="123"/>
      <c r="U3268" s="123"/>
      <c r="V3268" s="3990"/>
      <c r="W3268" s="2857"/>
      <c r="X3268" s="2857"/>
      <c r="Y3268" s="3158"/>
      <c r="Z3268" s="696"/>
      <c r="AA3268" s="696"/>
      <c r="AB3268" s="2855"/>
      <c r="AC3268" s="2228">
        <v>20</v>
      </c>
      <c r="AD3268" s="2857"/>
      <c r="AE3268" s="2857"/>
      <c r="AF3268" s="2857"/>
      <c r="AG3268" s="2857"/>
      <c r="BB3268" s="575"/>
      <c r="BC3268" s="576"/>
      <c r="BD3268" s="678"/>
      <c r="BE3268" s="585"/>
    </row>
    <row r="3269" spans="1:57" s="1942" customFormat="1" ht="15" hidden="1" customHeight="1" outlineLevel="1" x14ac:dyDescent="0.25">
      <c r="A3269" s="1267"/>
      <c r="B3269" s="123"/>
      <c r="C3269" s="328"/>
      <c r="D3269" s="3990"/>
      <c r="E3269" s="4009"/>
      <c r="F3269" s="3010" t="str">
        <f>$E$1725</f>
        <v>ASHP-SEER20-Replace_CAC_NonElectricHeat_ER2_MF</v>
      </c>
      <c r="G3269" s="2676"/>
      <c r="H3269" s="2676"/>
      <c r="I3269" s="2677"/>
      <c r="J3269" s="3298" t="str">
        <f>$C$1725</f>
        <v>354660_2021_12_</v>
      </c>
      <c r="K3269" s="2228">
        <v>20</v>
      </c>
      <c r="L3269" s="851"/>
      <c r="M3269" s="2723" t="s">
        <v>1125</v>
      </c>
      <c r="N3269" s="123"/>
      <c r="O3269" s="228"/>
      <c r="P3269" s="228"/>
      <c r="Q3269" s="228"/>
      <c r="R3269" s="228"/>
      <c r="S3269" s="123"/>
      <c r="T3269" s="123"/>
      <c r="U3269" s="123"/>
      <c r="V3269" s="3990"/>
      <c r="W3269" s="2857"/>
      <c r="X3269" s="2857"/>
      <c r="Y3269" s="3158"/>
      <c r="Z3269" s="696"/>
      <c r="AA3269" s="696"/>
      <c r="AB3269" s="2855"/>
      <c r="AC3269" s="2228">
        <v>20</v>
      </c>
      <c r="AD3269" s="2857"/>
      <c r="AE3269" s="2857"/>
      <c r="AF3269" s="2857"/>
      <c r="AG3269" s="2857"/>
      <c r="BB3269" s="575"/>
      <c r="BC3269" s="576"/>
      <c r="BD3269" s="678"/>
      <c r="BE3269" s="585"/>
    </row>
    <row r="3270" spans="1:57" s="1942" customFormat="1" ht="15" hidden="1" customHeight="1" outlineLevel="1" x14ac:dyDescent="0.25">
      <c r="A3270" s="1267"/>
      <c r="B3270" s="123"/>
      <c r="C3270" s="328"/>
      <c r="D3270" s="3990"/>
      <c r="E3270" s="4009"/>
      <c r="F3270" s="3010" t="str">
        <f>$E$1727</f>
        <v>ASHP-SEER20-Replace_CAC_NonElectricHeat_ER1_MF_CompE</v>
      </c>
      <c r="G3270" s="2676"/>
      <c r="H3270" s="2676"/>
      <c r="I3270" s="2677"/>
      <c r="J3270" s="3298" t="str">
        <f>$C$1727</f>
        <v>354661_2021_12_</v>
      </c>
      <c r="K3270" s="2228">
        <v>20</v>
      </c>
      <c r="L3270" s="851"/>
      <c r="M3270" s="2723" t="s">
        <v>1125</v>
      </c>
      <c r="N3270" s="123"/>
      <c r="O3270" s="228"/>
      <c r="P3270" s="228"/>
      <c r="Q3270" s="228"/>
      <c r="R3270" s="228"/>
      <c r="S3270" s="123"/>
      <c r="T3270" s="123"/>
      <c r="U3270" s="123"/>
      <c r="V3270" s="3990"/>
      <c r="W3270" s="2857"/>
      <c r="X3270" s="2857"/>
      <c r="Y3270" s="3158"/>
      <c r="Z3270" s="696"/>
      <c r="AA3270" s="696"/>
      <c r="AB3270" s="2855"/>
      <c r="AC3270" s="2228">
        <v>20</v>
      </c>
      <c r="AD3270" s="2857"/>
      <c r="AE3270" s="2857"/>
      <c r="AF3270" s="2857"/>
      <c r="AG3270" s="2857"/>
      <c r="BB3270" s="575"/>
      <c r="BC3270" s="576"/>
      <c r="BD3270" s="678"/>
      <c r="BE3270" s="585"/>
    </row>
    <row r="3271" spans="1:57" s="1942" customFormat="1" ht="15" hidden="1" customHeight="1" outlineLevel="1" x14ac:dyDescent="0.25">
      <c r="A3271" s="1267"/>
      <c r="B3271" s="123"/>
      <c r="C3271" s="328"/>
      <c r="D3271" s="3990"/>
      <c r="E3271" s="4009"/>
      <c r="F3271" s="3010" t="str">
        <f>$E$1729</f>
        <v>ASHP-SEER20-Replace_CAC_NonElectricHeat_ER2_MF_CompE</v>
      </c>
      <c r="G3271" s="2676"/>
      <c r="H3271" s="2676"/>
      <c r="I3271" s="2677"/>
      <c r="J3271" s="3298" t="str">
        <f>$C$1729</f>
        <v>354661_2021_12_</v>
      </c>
      <c r="K3271" s="2228">
        <v>20</v>
      </c>
      <c r="L3271" s="851"/>
      <c r="M3271" s="2723" t="s">
        <v>1125</v>
      </c>
      <c r="N3271" s="123"/>
      <c r="O3271" s="228"/>
      <c r="P3271" s="228"/>
      <c r="Q3271" s="228"/>
      <c r="R3271" s="228"/>
      <c r="S3271" s="123"/>
      <c r="T3271" s="123"/>
      <c r="U3271" s="123"/>
      <c r="V3271" s="3990"/>
      <c r="W3271" s="2857"/>
      <c r="X3271" s="2857"/>
      <c r="Y3271" s="3158"/>
      <c r="Z3271" s="696"/>
      <c r="AA3271" s="696"/>
      <c r="AB3271" s="2855"/>
      <c r="AC3271" s="2228">
        <v>20</v>
      </c>
      <c r="AD3271" s="2857"/>
      <c r="AE3271" s="2857"/>
      <c r="AF3271" s="2857"/>
      <c r="AG3271" s="2857"/>
      <c r="BB3271" s="575"/>
      <c r="BC3271" s="576"/>
      <c r="BD3271" s="678"/>
      <c r="BE3271" s="585"/>
    </row>
    <row r="3272" spans="1:57" s="51" customFormat="1" ht="15" hidden="1" customHeight="1" outlineLevel="1" x14ac:dyDescent="0.25">
      <c r="A3272" s="1267"/>
      <c r="B3272" s="123"/>
      <c r="C3272" s="328"/>
      <c r="D3272" s="3990"/>
      <c r="E3272" s="4009"/>
      <c r="F3272" s="3010" t="str">
        <f>$E$1731</f>
        <v>ASHP-SEER20_ER1_MF</v>
      </c>
      <c r="G3272" s="2676"/>
      <c r="H3272" s="2676"/>
      <c r="I3272" s="2677"/>
      <c r="J3272" s="3299" t="str">
        <f>$C$1731</f>
        <v>354700_2019_12_</v>
      </c>
      <c r="K3272" s="2282">
        <v>20</v>
      </c>
      <c r="L3272" s="851"/>
      <c r="M3272" s="837" t="s">
        <v>1566</v>
      </c>
      <c r="N3272" s="123"/>
      <c r="O3272" s="228"/>
      <c r="P3272" s="228"/>
      <c r="Q3272" s="228"/>
      <c r="R3272" s="228"/>
      <c r="S3272" s="123"/>
      <c r="T3272" s="123"/>
      <c r="U3272" s="123"/>
      <c r="V3272" s="3990"/>
      <c r="W3272" s="2857">
        <v>20</v>
      </c>
      <c r="X3272" s="2857">
        <v>20</v>
      </c>
      <c r="Y3272" s="696">
        <v>20</v>
      </c>
      <c r="Z3272" s="696">
        <v>20</v>
      </c>
      <c r="AA3272" s="696">
        <v>20</v>
      </c>
      <c r="AB3272" s="2855">
        <v>20</v>
      </c>
      <c r="AC3272" s="2282">
        <v>20</v>
      </c>
      <c r="AD3272" s="2857"/>
      <c r="AE3272" s="2857"/>
      <c r="AF3272" s="2857"/>
      <c r="AG3272" s="2857"/>
      <c r="AH3272" s="1942"/>
      <c r="AI3272" s="1942"/>
      <c r="AJ3272" s="1942"/>
      <c r="AK3272" s="1942"/>
      <c r="AL3272" s="1942"/>
      <c r="AM3272" s="1942"/>
      <c r="AN3272" s="1942"/>
      <c r="AO3272" s="1942"/>
      <c r="AP3272" s="1942"/>
      <c r="AQ3272" s="1942"/>
      <c r="AR3272" s="1942"/>
      <c r="AS3272" s="1942"/>
      <c r="AT3272" s="1942"/>
      <c r="AU3272" s="1942"/>
      <c r="AV3272" s="1942"/>
      <c r="AW3272" s="1942"/>
      <c r="AX3272" s="1942"/>
      <c r="AY3272" s="1942"/>
      <c r="AZ3272" s="1942"/>
      <c r="BA3272" s="1942"/>
      <c r="BB3272" s="575"/>
      <c r="BC3272" s="576"/>
      <c r="BD3272" s="678"/>
      <c r="BE3272" s="585"/>
    </row>
    <row r="3273" spans="1:57" s="51" customFormat="1" ht="15" hidden="1" customHeight="1" outlineLevel="1" x14ac:dyDescent="0.25">
      <c r="A3273" s="1267"/>
      <c r="B3273" s="123"/>
      <c r="C3273" s="328"/>
      <c r="D3273" s="3990"/>
      <c r="E3273" s="4009"/>
      <c r="F3273" s="3010" t="str">
        <f>$E$1733</f>
        <v>ASHP-SEER20_ER2_MF</v>
      </c>
      <c r="G3273" s="2676"/>
      <c r="H3273" s="2676"/>
      <c r="I3273" s="2677"/>
      <c r="J3273" s="3299" t="str">
        <f>$C$1733</f>
        <v>354700_2019_12_</v>
      </c>
      <c r="K3273" s="2282">
        <v>20</v>
      </c>
      <c r="L3273" s="851"/>
      <c r="M3273" s="837" t="s">
        <v>1566</v>
      </c>
      <c r="N3273" s="123"/>
      <c r="O3273" s="228"/>
      <c r="P3273" s="228"/>
      <c r="Q3273" s="228"/>
      <c r="R3273" s="228"/>
      <c r="S3273" s="123"/>
      <c r="T3273" s="123"/>
      <c r="U3273" s="123"/>
      <c r="V3273" s="3990"/>
      <c r="W3273" s="2857">
        <v>20</v>
      </c>
      <c r="X3273" s="2857">
        <v>20</v>
      </c>
      <c r="Y3273" s="696">
        <v>20</v>
      </c>
      <c r="Z3273" s="696">
        <v>20</v>
      </c>
      <c r="AA3273" s="696">
        <v>20</v>
      </c>
      <c r="AB3273" s="2855">
        <v>20</v>
      </c>
      <c r="AC3273" s="2282">
        <v>20</v>
      </c>
      <c r="AD3273" s="2857"/>
      <c r="AE3273" s="2857"/>
      <c r="AF3273" s="2857"/>
      <c r="AG3273" s="2857"/>
      <c r="AH3273" s="1942"/>
      <c r="AI3273" s="1942"/>
      <c r="AJ3273" s="1942"/>
      <c r="AK3273" s="1942"/>
      <c r="AL3273" s="1942"/>
      <c r="AM3273" s="1942"/>
      <c r="AN3273" s="1942"/>
      <c r="AO3273" s="1942"/>
      <c r="AP3273" s="1942"/>
      <c r="AQ3273" s="1942"/>
      <c r="AR3273" s="1942"/>
      <c r="AS3273" s="1942"/>
      <c r="AT3273" s="1942"/>
      <c r="AU3273" s="1942"/>
      <c r="AV3273" s="1942"/>
      <c r="AW3273" s="1942"/>
      <c r="AX3273" s="1942"/>
      <c r="AY3273" s="1942"/>
      <c r="AZ3273" s="1942"/>
      <c r="BA3273" s="1942"/>
      <c r="BB3273" s="575"/>
      <c r="BC3273" s="576"/>
      <c r="BD3273" s="678"/>
      <c r="BE3273" s="585"/>
    </row>
    <row r="3274" spans="1:57" s="51" customFormat="1" ht="15" hidden="1" customHeight="1" outlineLevel="1" x14ac:dyDescent="0.25">
      <c r="A3274" s="1267"/>
      <c r="B3274" s="123"/>
      <c r="C3274" s="328"/>
      <c r="D3274" s="3990"/>
      <c r="E3274" s="4009"/>
      <c r="F3274" s="3010" t="str">
        <f>$E$1735</f>
        <v>ASHP-SEER20_ER1_MF_CompE</v>
      </c>
      <c r="G3274" s="2676"/>
      <c r="H3274" s="2676"/>
      <c r="I3274" s="2677"/>
      <c r="J3274" s="3299" t="str">
        <f>$C$1735</f>
        <v>354701_2019_12_</v>
      </c>
      <c r="K3274" s="2282">
        <v>20</v>
      </c>
      <c r="L3274" s="851"/>
      <c r="M3274" s="2723" t="s">
        <v>1125</v>
      </c>
      <c r="N3274" s="123"/>
      <c r="O3274" s="228"/>
      <c r="P3274" s="228"/>
      <c r="Q3274" s="228"/>
      <c r="R3274" s="228"/>
      <c r="S3274" s="123"/>
      <c r="T3274" s="123"/>
      <c r="U3274" s="123"/>
      <c r="V3274" s="3990"/>
      <c r="W3274" s="2857"/>
      <c r="X3274" s="2857"/>
      <c r="Y3274" s="3158">
        <v>20</v>
      </c>
      <c r="Z3274" s="696">
        <v>20</v>
      </c>
      <c r="AA3274" s="696">
        <v>20</v>
      </c>
      <c r="AB3274" s="2855">
        <v>20</v>
      </c>
      <c r="AC3274" s="2282">
        <v>20</v>
      </c>
      <c r="AD3274" s="2857"/>
      <c r="AE3274" s="2857"/>
      <c r="AF3274" s="2857"/>
      <c r="AG3274" s="2857"/>
      <c r="AH3274" s="1942"/>
      <c r="AI3274" s="1942"/>
      <c r="AJ3274" s="1942"/>
      <c r="AK3274" s="1942"/>
      <c r="AL3274" s="1942"/>
      <c r="AM3274" s="1942"/>
      <c r="AN3274" s="1942"/>
      <c r="AO3274" s="1942"/>
      <c r="AP3274" s="1942"/>
      <c r="AQ3274" s="1942"/>
      <c r="AR3274" s="1942"/>
      <c r="AS3274" s="1942"/>
      <c r="AT3274" s="1942"/>
      <c r="AU3274" s="1942"/>
      <c r="AV3274" s="1942"/>
      <c r="AW3274" s="1942"/>
      <c r="AX3274" s="1942"/>
      <c r="AY3274" s="1942"/>
      <c r="AZ3274" s="1942"/>
      <c r="BA3274" s="1942"/>
      <c r="BB3274" s="575"/>
      <c r="BC3274" s="576"/>
      <c r="BD3274" s="678"/>
      <c r="BE3274" s="585"/>
    </row>
    <row r="3275" spans="1:57" s="51" customFormat="1" ht="15" hidden="1" customHeight="1" outlineLevel="1" x14ac:dyDescent="0.25">
      <c r="A3275" s="1267"/>
      <c r="B3275" s="123"/>
      <c r="C3275" s="328"/>
      <c r="D3275" s="3990"/>
      <c r="E3275" s="4009"/>
      <c r="F3275" s="3010" t="str">
        <f>$E$1737</f>
        <v>ASHP-SEER20_ER2_MF_CompE</v>
      </c>
      <c r="G3275" s="2676"/>
      <c r="H3275" s="2676"/>
      <c r="I3275" s="2677"/>
      <c r="J3275" s="3299" t="str">
        <f>$C$1737</f>
        <v>354701_2019_12_</v>
      </c>
      <c r="K3275" s="2282">
        <v>20</v>
      </c>
      <c r="L3275" s="851"/>
      <c r="M3275" s="2723" t="s">
        <v>1125</v>
      </c>
      <c r="N3275" s="123"/>
      <c r="O3275" s="228"/>
      <c r="P3275" s="228"/>
      <c r="Q3275" s="228"/>
      <c r="R3275" s="228"/>
      <c r="S3275" s="123"/>
      <c r="T3275" s="123"/>
      <c r="U3275" s="123"/>
      <c r="V3275" s="3990"/>
      <c r="W3275" s="2857"/>
      <c r="X3275" s="2857"/>
      <c r="Y3275" s="3158">
        <v>20</v>
      </c>
      <c r="Z3275" s="696">
        <v>20</v>
      </c>
      <c r="AA3275" s="696">
        <v>20</v>
      </c>
      <c r="AB3275" s="2855">
        <v>20</v>
      </c>
      <c r="AC3275" s="2282">
        <v>20</v>
      </c>
      <c r="AD3275" s="2857"/>
      <c r="AE3275" s="2857"/>
      <c r="AF3275" s="2857"/>
      <c r="AG3275" s="2857"/>
      <c r="AH3275" s="1942"/>
      <c r="AI3275" s="1942"/>
      <c r="AJ3275" s="1942"/>
      <c r="AK3275" s="1942"/>
      <c r="AL3275" s="1942"/>
      <c r="AM3275" s="1942"/>
      <c r="AN3275" s="1942"/>
      <c r="AO3275" s="1942"/>
      <c r="AP3275" s="1942"/>
      <c r="AQ3275" s="1942"/>
      <c r="AR3275" s="1942"/>
      <c r="AS3275" s="1942"/>
      <c r="AT3275" s="1942"/>
      <c r="AU3275" s="1942"/>
      <c r="AV3275" s="1942"/>
      <c r="AW3275" s="1942"/>
      <c r="AX3275" s="1942"/>
      <c r="AY3275" s="1942"/>
      <c r="AZ3275" s="1942"/>
      <c r="BA3275" s="1942"/>
      <c r="BB3275" s="575"/>
      <c r="BC3275" s="576"/>
      <c r="BD3275" s="678"/>
      <c r="BE3275" s="585"/>
    </row>
    <row r="3276" spans="1:57" s="51" customFormat="1" ht="15" hidden="1" customHeight="1" outlineLevel="1" x14ac:dyDescent="0.25">
      <c r="A3276" s="1267"/>
      <c r="B3276" s="123"/>
      <c r="C3276" s="328"/>
      <c r="D3276" s="3990"/>
      <c r="E3276" s="4009"/>
      <c r="F3276" s="3010" t="str">
        <f>$E$1739</f>
        <v>ASHP-SEER21_ER1_SF</v>
      </c>
      <c r="G3276" s="2676"/>
      <c r="H3276" s="2676"/>
      <c r="I3276" s="2677"/>
      <c r="J3276" s="3298" t="str">
        <f>$C$1739</f>
        <v>354750_2021_12_</v>
      </c>
      <c r="K3276" s="2228">
        <v>21.846153846153847</v>
      </c>
      <c r="L3276" s="851"/>
      <c r="M3276" s="2723" t="s">
        <v>1565</v>
      </c>
      <c r="N3276" s="123"/>
      <c r="O3276" s="228"/>
      <c r="P3276" s="228"/>
      <c r="Q3276" s="228"/>
      <c r="R3276" s="228"/>
      <c r="S3276" s="123"/>
      <c r="T3276" s="123"/>
      <c r="U3276" s="123"/>
      <c r="V3276" s="3990"/>
      <c r="W3276" s="2857">
        <v>21</v>
      </c>
      <c r="X3276" s="2857">
        <v>21</v>
      </c>
      <c r="Y3276" s="696">
        <v>21</v>
      </c>
      <c r="Z3276" s="696">
        <v>21</v>
      </c>
      <c r="AA3276" s="696">
        <v>21</v>
      </c>
      <c r="AB3276" s="2855">
        <v>21</v>
      </c>
      <c r="AC3276" s="2228">
        <v>21.846153846153847</v>
      </c>
      <c r="AD3276" s="2857"/>
      <c r="AE3276" s="2857"/>
      <c r="AF3276" s="2857"/>
      <c r="AG3276" s="2857"/>
      <c r="AH3276" s="1942"/>
      <c r="AI3276" s="1942"/>
      <c r="AJ3276" s="1942"/>
      <c r="AK3276" s="1942"/>
      <c r="AL3276" s="1942"/>
      <c r="AM3276" s="1942"/>
      <c r="AN3276" s="1942"/>
      <c r="AO3276" s="1942"/>
      <c r="AP3276" s="1942"/>
      <c r="AQ3276" s="1942"/>
      <c r="AR3276" s="1942"/>
      <c r="AS3276" s="1942"/>
      <c r="AT3276" s="1942"/>
      <c r="AU3276" s="1942"/>
      <c r="AV3276" s="1942"/>
      <c r="AW3276" s="1942"/>
      <c r="AX3276" s="1942"/>
      <c r="AY3276" s="1942"/>
      <c r="AZ3276" s="1942"/>
      <c r="BA3276" s="1942"/>
      <c r="BB3276" s="575"/>
      <c r="BC3276" s="576"/>
      <c r="BD3276" s="678"/>
      <c r="BE3276" s="585"/>
    </row>
    <row r="3277" spans="1:57" s="51" customFormat="1" ht="15" hidden="1" customHeight="1" outlineLevel="1" x14ac:dyDescent="0.25">
      <c r="A3277" s="1267"/>
      <c r="B3277" s="123"/>
      <c r="C3277" s="328"/>
      <c r="D3277" s="3990"/>
      <c r="E3277" s="4009"/>
      <c r="F3277" s="3010" t="str">
        <f>$E$1741</f>
        <v>ASHP-SEER21_ER2_SF</v>
      </c>
      <c r="G3277" s="2676"/>
      <c r="H3277" s="2676"/>
      <c r="I3277" s="2677"/>
      <c r="J3277" s="3298" t="str">
        <f>$C$1741</f>
        <v>354750_2021_12_</v>
      </c>
      <c r="K3277" s="2228">
        <f>K3276</f>
        <v>21.846153846153847</v>
      </c>
      <c r="L3277" s="851"/>
      <c r="M3277" s="2723" t="s">
        <v>1565</v>
      </c>
      <c r="N3277" s="123"/>
      <c r="O3277" s="228"/>
      <c r="P3277" s="228"/>
      <c r="Q3277" s="228"/>
      <c r="R3277" s="228"/>
      <c r="S3277" s="123"/>
      <c r="T3277" s="123"/>
      <c r="U3277" s="123"/>
      <c r="V3277" s="3990"/>
      <c r="W3277" s="2857">
        <v>21</v>
      </c>
      <c r="X3277" s="2857">
        <v>21</v>
      </c>
      <c r="Y3277" s="696">
        <v>21</v>
      </c>
      <c r="Z3277" s="696">
        <v>21</v>
      </c>
      <c r="AA3277" s="696">
        <v>21</v>
      </c>
      <c r="AB3277" s="2855">
        <v>21</v>
      </c>
      <c r="AC3277" s="2228">
        <f>AC3276</f>
        <v>21.846153846153847</v>
      </c>
      <c r="AD3277" s="2857"/>
      <c r="AE3277" s="2857"/>
      <c r="AF3277" s="2857"/>
      <c r="AG3277" s="2857"/>
      <c r="AH3277" s="1942"/>
      <c r="AI3277" s="1942"/>
      <c r="AJ3277" s="1942"/>
      <c r="AK3277" s="1942"/>
      <c r="AL3277" s="1942"/>
      <c r="AM3277" s="1942"/>
      <c r="AN3277" s="1942"/>
      <c r="AO3277" s="1942"/>
      <c r="AP3277" s="1942"/>
      <c r="AQ3277" s="1942"/>
      <c r="AR3277" s="1942"/>
      <c r="AS3277" s="1942"/>
      <c r="AT3277" s="1942"/>
      <c r="AU3277" s="1942"/>
      <c r="AV3277" s="1942"/>
      <c r="AW3277" s="1942"/>
      <c r="AX3277" s="1942"/>
      <c r="AY3277" s="1942"/>
      <c r="AZ3277" s="1942"/>
      <c r="BA3277" s="1942"/>
      <c r="BB3277" s="575"/>
      <c r="BC3277" s="576"/>
      <c r="BD3277" s="678"/>
      <c r="BE3277" s="585"/>
    </row>
    <row r="3278" spans="1:57" s="51" customFormat="1" ht="15" hidden="1" customHeight="1" outlineLevel="1" x14ac:dyDescent="0.25">
      <c r="A3278" s="1267"/>
      <c r="B3278" s="123"/>
      <c r="C3278" s="328"/>
      <c r="D3278" s="3990"/>
      <c r="E3278" s="4009"/>
      <c r="F3278" s="3010" t="str">
        <f>$E$1743</f>
        <v>ASHP-SEER21_ROF_SF</v>
      </c>
      <c r="G3278" s="2676"/>
      <c r="H3278" s="2676"/>
      <c r="I3278" s="2677"/>
      <c r="J3278" s="3298" t="str">
        <f>$C$1743</f>
        <v>354800_2021_12_</v>
      </c>
      <c r="K3278" s="2228">
        <v>21.375</v>
      </c>
      <c r="L3278" s="851"/>
      <c r="M3278" s="2723" t="s">
        <v>1565</v>
      </c>
      <c r="N3278" s="123"/>
      <c r="O3278" s="228"/>
      <c r="P3278" s="228"/>
      <c r="Q3278" s="228"/>
      <c r="R3278" s="228"/>
      <c r="S3278" s="123"/>
      <c r="T3278" s="123"/>
      <c r="U3278" s="123"/>
      <c r="V3278" s="3990"/>
      <c r="W3278" s="2857">
        <v>21</v>
      </c>
      <c r="X3278" s="2857">
        <v>21</v>
      </c>
      <c r="Y3278" s="696">
        <v>21</v>
      </c>
      <c r="Z3278" s="696">
        <v>21</v>
      </c>
      <c r="AA3278" s="696">
        <v>21</v>
      </c>
      <c r="AB3278" s="2855">
        <v>21</v>
      </c>
      <c r="AC3278" s="2228">
        <v>21.375</v>
      </c>
      <c r="AD3278" s="2857"/>
      <c r="AE3278" s="2857"/>
      <c r="AF3278" s="2857"/>
      <c r="AG3278" s="2857"/>
      <c r="AH3278" s="1942"/>
      <c r="AI3278" s="1942"/>
      <c r="AJ3278" s="1942"/>
      <c r="AK3278" s="1942"/>
      <c r="AL3278" s="1942"/>
      <c r="AM3278" s="1942"/>
      <c r="AN3278" s="1942"/>
      <c r="AO3278" s="1942"/>
      <c r="AP3278" s="1942"/>
      <c r="AQ3278" s="1942"/>
      <c r="AR3278" s="1942"/>
      <c r="AS3278" s="1942"/>
      <c r="AT3278" s="1942"/>
      <c r="AU3278" s="1942"/>
      <c r="AV3278" s="1942"/>
      <c r="AW3278" s="1942"/>
      <c r="AX3278" s="1942"/>
      <c r="AY3278" s="1942"/>
      <c r="AZ3278" s="1942"/>
      <c r="BA3278" s="1942"/>
      <c r="BB3278" s="575"/>
      <c r="BC3278" s="576"/>
      <c r="BD3278" s="678"/>
      <c r="BE3278" s="585"/>
    </row>
    <row r="3279" spans="1:57" s="51" customFormat="1" ht="15" hidden="1" customHeight="1" outlineLevel="1" x14ac:dyDescent="0.25">
      <c r="A3279" s="1267"/>
      <c r="B3279" s="123"/>
      <c r="C3279" s="328"/>
      <c r="D3279" s="3990"/>
      <c r="E3279" s="4009"/>
      <c r="F3279" s="3010" t="str">
        <f>$E$1745</f>
        <v>ASHP-SEER21-Replace_CAC_ElectricHeat_ROF_MF</v>
      </c>
      <c r="G3279" s="2676"/>
      <c r="H3279" s="2676"/>
      <c r="I3279" s="2677"/>
      <c r="J3279" s="3299" t="str">
        <f>$C$1745</f>
        <v>354850_2019_12_</v>
      </c>
      <c r="K3279" s="2282">
        <v>21</v>
      </c>
      <c r="L3279" s="851"/>
      <c r="M3279" s="837" t="s">
        <v>1566</v>
      </c>
      <c r="N3279" s="123"/>
      <c r="O3279" s="228"/>
      <c r="P3279" s="228"/>
      <c r="Q3279" s="228"/>
      <c r="R3279" s="228"/>
      <c r="S3279" s="123"/>
      <c r="T3279" s="123"/>
      <c r="U3279" s="123"/>
      <c r="V3279" s="3990"/>
      <c r="W3279" s="2857">
        <v>21</v>
      </c>
      <c r="X3279" s="2857">
        <v>21</v>
      </c>
      <c r="Y3279" s="696">
        <v>21</v>
      </c>
      <c r="Z3279" s="696">
        <v>21</v>
      </c>
      <c r="AA3279" s="696">
        <v>21</v>
      </c>
      <c r="AB3279" s="2855">
        <v>21</v>
      </c>
      <c r="AC3279" s="2282">
        <v>21</v>
      </c>
      <c r="AD3279" s="2857"/>
      <c r="AE3279" s="2857"/>
      <c r="AF3279" s="2857"/>
      <c r="AG3279" s="2857"/>
      <c r="AH3279" s="1942"/>
      <c r="AI3279" s="1942"/>
      <c r="AJ3279" s="1942"/>
      <c r="AK3279" s="1942"/>
      <c r="AL3279" s="1942"/>
      <c r="AM3279" s="1942"/>
      <c r="AN3279" s="1942"/>
      <c r="AO3279" s="1942"/>
      <c r="AP3279" s="1942"/>
      <c r="AQ3279" s="1942"/>
      <c r="AR3279" s="1942"/>
      <c r="AS3279" s="1942"/>
      <c r="AT3279" s="1942"/>
      <c r="AU3279" s="1942"/>
      <c r="AV3279" s="1942"/>
      <c r="AW3279" s="1942"/>
      <c r="AX3279" s="1942"/>
      <c r="AY3279" s="1942"/>
      <c r="AZ3279" s="1942"/>
      <c r="BA3279" s="1942"/>
      <c r="BB3279" s="575"/>
      <c r="BC3279" s="576"/>
      <c r="BD3279" s="678"/>
      <c r="BE3279" s="585"/>
    </row>
    <row r="3280" spans="1:57" s="51" customFormat="1" ht="15" hidden="1" customHeight="1" outlineLevel="1" x14ac:dyDescent="0.25">
      <c r="A3280" s="1267"/>
      <c r="B3280" s="123"/>
      <c r="C3280" s="328"/>
      <c r="D3280" s="3990"/>
      <c r="E3280" s="4009"/>
      <c r="F3280" s="3010" t="str">
        <f>$E$1747</f>
        <v>ASHP-SEER21-Replace_CAC_ElectricHeat_ROF_MF_CompE</v>
      </c>
      <c r="G3280" s="2676"/>
      <c r="H3280" s="2676"/>
      <c r="I3280" s="2677"/>
      <c r="J3280" s="3299" t="str">
        <f>$C$1747</f>
        <v>354851_2019_12_</v>
      </c>
      <c r="K3280" s="2282">
        <v>21</v>
      </c>
      <c r="L3280" s="851"/>
      <c r="M3280" s="2723" t="s">
        <v>1125</v>
      </c>
      <c r="N3280" s="123"/>
      <c r="O3280" s="228"/>
      <c r="P3280" s="228"/>
      <c r="Q3280" s="228"/>
      <c r="R3280" s="228"/>
      <c r="S3280" s="123"/>
      <c r="T3280" s="123"/>
      <c r="U3280" s="123"/>
      <c r="V3280" s="3990"/>
      <c r="W3280" s="2857"/>
      <c r="X3280" s="2857"/>
      <c r="Y3280" s="3158">
        <v>21</v>
      </c>
      <c r="Z3280" s="696">
        <v>21</v>
      </c>
      <c r="AA3280" s="696">
        <v>21</v>
      </c>
      <c r="AB3280" s="2855">
        <v>21</v>
      </c>
      <c r="AC3280" s="2282">
        <v>21</v>
      </c>
      <c r="AD3280" s="2857"/>
      <c r="AE3280" s="2857"/>
      <c r="AF3280" s="2857"/>
      <c r="AG3280" s="2857"/>
      <c r="AH3280" s="1942"/>
      <c r="AI3280" s="1942"/>
      <c r="AJ3280" s="1942"/>
      <c r="AK3280" s="1942"/>
      <c r="AL3280" s="1942"/>
      <c r="AM3280" s="1942"/>
      <c r="AN3280" s="1942"/>
      <c r="AO3280" s="1942"/>
      <c r="AP3280" s="1942"/>
      <c r="AQ3280" s="1942"/>
      <c r="AR3280" s="1942"/>
      <c r="AS3280" s="1942"/>
      <c r="AT3280" s="1942"/>
      <c r="AU3280" s="1942"/>
      <c r="AV3280" s="1942"/>
      <c r="AW3280" s="1942"/>
      <c r="AX3280" s="1942"/>
      <c r="AY3280" s="1942"/>
      <c r="AZ3280" s="1942"/>
      <c r="BA3280" s="1942"/>
      <c r="BB3280" s="575"/>
      <c r="BC3280" s="576"/>
      <c r="BD3280" s="678"/>
      <c r="BE3280" s="585"/>
    </row>
    <row r="3281" spans="1:57" s="1942" customFormat="1" ht="15" hidden="1" customHeight="1" outlineLevel="1" x14ac:dyDescent="0.25">
      <c r="A3281" s="1267"/>
      <c r="B3281" s="123"/>
      <c r="C3281" s="328"/>
      <c r="D3281" s="3990"/>
      <c r="E3281" s="4009"/>
      <c r="F3281" s="3010" t="str">
        <f>$E$1749</f>
        <v>ASHP-SEER21-Replace_CAC_NonElectricHeat_ROF_MF</v>
      </c>
      <c r="G3281" s="2676"/>
      <c r="H3281" s="2676"/>
      <c r="I3281" s="2677"/>
      <c r="J3281" s="3298" t="str">
        <f>$C$1749</f>
        <v>354860_2021_12_</v>
      </c>
      <c r="K3281" s="2228">
        <v>21</v>
      </c>
      <c r="L3281" s="851"/>
      <c r="M3281" s="2723" t="s">
        <v>1125</v>
      </c>
      <c r="N3281" s="123"/>
      <c r="O3281" s="228"/>
      <c r="P3281" s="228"/>
      <c r="Q3281" s="228"/>
      <c r="R3281" s="228"/>
      <c r="S3281" s="123"/>
      <c r="T3281" s="123"/>
      <c r="U3281" s="123"/>
      <c r="V3281" s="3990"/>
      <c r="W3281" s="2857"/>
      <c r="X3281" s="2857"/>
      <c r="Y3281" s="3158"/>
      <c r="Z3281" s="696"/>
      <c r="AA3281" s="696"/>
      <c r="AB3281" s="2855"/>
      <c r="AC3281" s="2228">
        <v>21</v>
      </c>
      <c r="AD3281" s="2857"/>
      <c r="AE3281" s="2857"/>
      <c r="AF3281" s="2857"/>
      <c r="AG3281" s="2857"/>
      <c r="BB3281" s="575"/>
      <c r="BC3281" s="576"/>
      <c r="BD3281" s="678"/>
      <c r="BE3281" s="585"/>
    </row>
    <row r="3282" spans="1:57" s="1942" customFormat="1" ht="15" hidden="1" customHeight="1" outlineLevel="1" x14ac:dyDescent="0.25">
      <c r="A3282" s="1267"/>
      <c r="B3282" s="123"/>
      <c r="C3282" s="328"/>
      <c r="D3282" s="3990"/>
      <c r="E3282" s="4009"/>
      <c r="F3282" s="3010" t="str">
        <f>$E$1751</f>
        <v>ASHP-SEER21-Replace_CAC_NonElectricHeat_ROF_MF_CompE</v>
      </c>
      <c r="G3282" s="2676"/>
      <c r="H3282" s="2676"/>
      <c r="I3282" s="2677"/>
      <c r="J3282" s="3298" t="str">
        <f>$C$1751</f>
        <v>354861_2021_12_</v>
      </c>
      <c r="K3282" s="2228">
        <v>21</v>
      </c>
      <c r="L3282" s="851"/>
      <c r="M3282" s="2723" t="s">
        <v>1125</v>
      </c>
      <c r="N3282" s="123"/>
      <c r="O3282" s="228"/>
      <c r="P3282" s="228"/>
      <c r="Q3282" s="228"/>
      <c r="R3282" s="228"/>
      <c r="S3282" s="123"/>
      <c r="T3282" s="123"/>
      <c r="U3282" s="123"/>
      <c r="V3282" s="3990"/>
      <c r="W3282" s="2857"/>
      <c r="X3282" s="2857"/>
      <c r="Y3282" s="3158"/>
      <c r="Z3282" s="696"/>
      <c r="AA3282" s="696"/>
      <c r="AB3282" s="2855"/>
      <c r="AC3282" s="2228">
        <v>21</v>
      </c>
      <c r="AD3282" s="2857"/>
      <c r="AE3282" s="2857"/>
      <c r="AF3282" s="2857"/>
      <c r="AG3282" s="2857"/>
      <c r="BB3282" s="575"/>
      <c r="BC3282" s="576"/>
      <c r="BD3282" s="678"/>
      <c r="BE3282" s="585"/>
    </row>
    <row r="3283" spans="1:57" s="51" customFormat="1" ht="15" hidden="1" customHeight="1" outlineLevel="1" x14ac:dyDescent="0.25">
      <c r="A3283" s="1267"/>
      <c r="B3283" s="123"/>
      <c r="C3283" s="328"/>
      <c r="D3283" s="3990"/>
      <c r="E3283" s="4009"/>
      <c r="F3283" s="3010" t="str">
        <f>$E$1753</f>
        <v>ASHP-SEER21_ER1_MF</v>
      </c>
      <c r="G3283" s="2676"/>
      <c r="H3283" s="2676"/>
      <c r="I3283" s="2677"/>
      <c r="J3283" s="3299" t="str">
        <f>$C$1753</f>
        <v>354900_2019_12_</v>
      </c>
      <c r="K3283" s="2282">
        <v>21</v>
      </c>
      <c r="L3283" s="851"/>
      <c r="M3283" s="837" t="s">
        <v>1566</v>
      </c>
      <c r="N3283" s="123"/>
      <c r="O3283" s="228"/>
      <c r="P3283" s="228"/>
      <c r="Q3283" s="228"/>
      <c r="R3283" s="228"/>
      <c r="S3283" s="123"/>
      <c r="T3283" s="123"/>
      <c r="U3283" s="123"/>
      <c r="V3283" s="3990"/>
      <c r="W3283" s="2857">
        <v>21</v>
      </c>
      <c r="X3283" s="2857">
        <v>21</v>
      </c>
      <c r="Y3283" s="696">
        <v>21</v>
      </c>
      <c r="Z3283" s="696">
        <v>21</v>
      </c>
      <c r="AA3283" s="696">
        <v>21</v>
      </c>
      <c r="AB3283" s="2855">
        <v>21</v>
      </c>
      <c r="AC3283" s="2282">
        <v>21</v>
      </c>
      <c r="AD3283" s="2857"/>
      <c r="AE3283" s="2857"/>
      <c r="AF3283" s="2857"/>
      <c r="AG3283" s="2857"/>
      <c r="AH3283" s="1942"/>
      <c r="AI3283" s="1942"/>
      <c r="AJ3283" s="1942"/>
      <c r="AK3283" s="1942"/>
      <c r="AL3283" s="1942"/>
      <c r="AM3283" s="1942"/>
      <c r="AN3283" s="1942"/>
      <c r="AO3283" s="1942"/>
      <c r="AP3283" s="1942"/>
      <c r="AQ3283" s="1942"/>
      <c r="AR3283" s="1942"/>
      <c r="AS3283" s="1942"/>
      <c r="AT3283" s="1942"/>
      <c r="AU3283" s="1942"/>
      <c r="AV3283" s="1942"/>
      <c r="AW3283" s="1942"/>
      <c r="AX3283" s="1942"/>
      <c r="AY3283" s="1942"/>
      <c r="AZ3283" s="1942"/>
      <c r="BA3283" s="1942"/>
      <c r="BB3283" s="575"/>
      <c r="BC3283" s="576"/>
      <c r="BD3283" s="678"/>
      <c r="BE3283" s="585"/>
    </row>
    <row r="3284" spans="1:57" s="51" customFormat="1" ht="15" hidden="1" customHeight="1" outlineLevel="1" x14ac:dyDescent="0.25">
      <c r="A3284" s="1267"/>
      <c r="B3284" s="123"/>
      <c r="C3284" s="328"/>
      <c r="D3284" s="3990"/>
      <c r="E3284" s="4009"/>
      <c r="F3284" s="3010" t="str">
        <f>$E$1755</f>
        <v>ASHP-SEER21_ER2_MF</v>
      </c>
      <c r="G3284" s="2676"/>
      <c r="H3284" s="2676"/>
      <c r="I3284" s="2677"/>
      <c r="J3284" s="3299" t="str">
        <f>$C$1755</f>
        <v>354900_2019_12_</v>
      </c>
      <c r="K3284" s="2282">
        <v>21</v>
      </c>
      <c r="L3284" s="851"/>
      <c r="M3284" s="837" t="s">
        <v>1566</v>
      </c>
      <c r="N3284" s="123"/>
      <c r="O3284" s="228"/>
      <c r="P3284" s="228"/>
      <c r="Q3284" s="228"/>
      <c r="R3284" s="228"/>
      <c r="S3284" s="123"/>
      <c r="T3284" s="123"/>
      <c r="U3284" s="123"/>
      <c r="V3284" s="3990"/>
      <c r="W3284" s="2857">
        <v>21</v>
      </c>
      <c r="X3284" s="2857">
        <v>21</v>
      </c>
      <c r="Y3284" s="696">
        <v>21</v>
      </c>
      <c r="Z3284" s="696">
        <v>21</v>
      </c>
      <c r="AA3284" s="696">
        <v>21</v>
      </c>
      <c r="AB3284" s="2855">
        <v>21</v>
      </c>
      <c r="AC3284" s="2282">
        <v>21</v>
      </c>
      <c r="AD3284" s="2857"/>
      <c r="AE3284" s="2857"/>
      <c r="AF3284" s="2857"/>
      <c r="AG3284" s="2857"/>
      <c r="AH3284" s="1942"/>
      <c r="AI3284" s="1942"/>
      <c r="AJ3284" s="1942"/>
      <c r="AK3284" s="1942"/>
      <c r="AL3284" s="1942"/>
      <c r="AM3284" s="1942"/>
      <c r="AN3284" s="1942"/>
      <c r="AO3284" s="1942"/>
      <c r="AP3284" s="1942"/>
      <c r="AQ3284" s="1942"/>
      <c r="AR3284" s="1942"/>
      <c r="AS3284" s="1942"/>
      <c r="AT3284" s="1942"/>
      <c r="AU3284" s="1942"/>
      <c r="AV3284" s="1942"/>
      <c r="AW3284" s="1942"/>
      <c r="AX3284" s="1942"/>
      <c r="AY3284" s="1942"/>
      <c r="AZ3284" s="1942"/>
      <c r="BA3284" s="1942"/>
      <c r="BB3284" s="575"/>
      <c r="BC3284" s="576"/>
      <c r="BD3284" s="678"/>
      <c r="BE3284" s="585"/>
    </row>
    <row r="3285" spans="1:57" s="51" customFormat="1" ht="15" hidden="1" customHeight="1" outlineLevel="1" x14ac:dyDescent="0.25">
      <c r="A3285" s="1267"/>
      <c r="B3285" s="123"/>
      <c r="C3285" s="328"/>
      <c r="D3285" s="3990"/>
      <c r="E3285" s="4009"/>
      <c r="F3285" s="3010" t="str">
        <f>$E$1757</f>
        <v>ASHP-SEER21_ER1_MF_CompE</v>
      </c>
      <c r="G3285" s="2676"/>
      <c r="H3285" s="2676"/>
      <c r="I3285" s="2677"/>
      <c r="J3285" s="3299" t="str">
        <f>$C$1757</f>
        <v>354901_2019_12_</v>
      </c>
      <c r="K3285" s="2282">
        <v>21</v>
      </c>
      <c r="L3285" s="851"/>
      <c r="M3285" s="2723" t="s">
        <v>1125</v>
      </c>
      <c r="N3285" s="123"/>
      <c r="O3285" s="228"/>
      <c r="P3285" s="228"/>
      <c r="Q3285" s="228"/>
      <c r="R3285" s="228"/>
      <c r="S3285" s="123"/>
      <c r="T3285" s="123"/>
      <c r="U3285" s="123"/>
      <c r="V3285" s="3990"/>
      <c r="W3285" s="2857"/>
      <c r="X3285" s="2857"/>
      <c r="Y3285" s="3158">
        <v>21</v>
      </c>
      <c r="Z3285" s="696">
        <v>21</v>
      </c>
      <c r="AA3285" s="696">
        <v>21</v>
      </c>
      <c r="AB3285" s="2855">
        <v>21</v>
      </c>
      <c r="AC3285" s="2282">
        <v>21</v>
      </c>
      <c r="AD3285" s="2857"/>
      <c r="AE3285" s="2857"/>
      <c r="AF3285" s="2857"/>
      <c r="AG3285" s="2857"/>
      <c r="AH3285" s="1942"/>
      <c r="AI3285" s="1942"/>
      <c r="AJ3285" s="1942"/>
      <c r="AK3285" s="1942"/>
      <c r="AL3285" s="1942"/>
      <c r="AM3285" s="1942"/>
      <c r="AN3285" s="1942"/>
      <c r="AO3285" s="1942"/>
      <c r="AP3285" s="1942"/>
      <c r="AQ3285" s="1942"/>
      <c r="AR3285" s="1942"/>
      <c r="AS3285" s="1942"/>
      <c r="AT3285" s="1942"/>
      <c r="AU3285" s="1942"/>
      <c r="AV3285" s="1942"/>
      <c r="AW3285" s="1942"/>
      <c r="AX3285" s="1942"/>
      <c r="AY3285" s="1942"/>
      <c r="AZ3285" s="1942"/>
      <c r="BA3285" s="1942"/>
      <c r="BB3285" s="575"/>
      <c r="BC3285" s="576"/>
      <c r="BD3285" s="678"/>
      <c r="BE3285" s="585"/>
    </row>
    <row r="3286" spans="1:57" s="51" customFormat="1" ht="15" hidden="1" customHeight="1" outlineLevel="1" x14ac:dyDescent="0.25">
      <c r="A3286" s="1267"/>
      <c r="B3286" s="123"/>
      <c r="C3286" s="328"/>
      <c r="D3286" s="3990"/>
      <c r="E3286" s="4009"/>
      <c r="F3286" s="3010" t="str">
        <f>$E$1759</f>
        <v>ASHP-SEER21_ER2_MF_CompE</v>
      </c>
      <c r="G3286" s="2676"/>
      <c r="H3286" s="2676"/>
      <c r="I3286" s="2677"/>
      <c r="J3286" s="3299" t="str">
        <f>$C$1759</f>
        <v>354901_2019_12_</v>
      </c>
      <c r="K3286" s="2282">
        <v>21</v>
      </c>
      <c r="L3286" s="851"/>
      <c r="M3286" s="2723" t="s">
        <v>1125</v>
      </c>
      <c r="N3286" s="123"/>
      <c r="O3286" s="228"/>
      <c r="P3286" s="228"/>
      <c r="Q3286" s="228"/>
      <c r="R3286" s="228"/>
      <c r="S3286" s="123"/>
      <c r="T3286" s="123"/>
      <c r="U3286" s="123"/>
      <c r="V3286" s="3990"/>
      <c r="W3286" s="2857"/>
      <c r="X3286" s="2857"/>
      <c r="Y3286" s="3158">
        <v>21</v>
      </c>
      <c r="Z3286" s="696">
        <v>21</v>
      </c>
      <c r="AA3286" s="696">
        <v>21</v>
      </c>
      <c r="AB3286" s="2855">
        <v>21</v>
      </c>
      <c r="AC3286" s="2282">
        <v>21</v>
      </c>
      <c r="AD3286" s="2857"/>
      <c r="AE3286" s="2857"/>
      <c r="AF3286" s="2857"/>
      <c r="AG3286" s="2857"/>
      <c r="AH3286" s="1942"/>
      <c r="AI3286" s="1942"/>
      <c r="AJ3286" s="1942"/>
      <c r="AK3286" s="1942"/>
      <c r="AL3286" s="1942"/>
      <c r="AM3286" s="1942"/>
      <c r="AN3286" s="1942"/>
      <c r="AO3286" s="1942"/>
      <c r="AP3286" s="1942"/>
      <c r="AQ3286" s="1942"/>
      <c r="AR3286" s="1942"/>
      <c r="AS3286" s="1942"/>
      <c r="AT3286" s="1942"/>
      <c r="AU3286" s="1942"/>
      <c r="AV3286" s="1942"/>
      <c r="AW3286" s="1942"/>
      <c r="AX3286" s="1942"/>
      <c r="AY3286" s="1942"/>
      <c r="AZ3286" s="1942"/>
      <c r="BA3286" s="1942"/>
      <c r="BB3286" s="575"/>
      <c r="BC3286" s="576"/>
      <c r="BD3286" s="678"/>
      <c r="BE3286" s="585"/>
    </row>
    <row r="3287" spans="1:57" s="51" customFormat="1" ht="15" hidden="1" customHeight="1" outlineLevel="1" x14ac:dyDescent="0.25">
      <c r="A3287" s="2060"/>
      <c r="B3287" s="123"/>
      <c r="C3287" s="328"/>
      <c r="D3287" s="3990"/>
      <c r="E3287" s="4009"/>
      <c r="F3287" s="3010" t="str">
        <f>$E$1761</f>
        <v>ASHP-SEER17_ROF_MF</v>
      </c>
      <c r="G3287" s="2676"/>
      <c r="H3287" s="2676"/>
      <c r="I3287" s="2677"/>
      <c r="J3287" s="3299" t="str">
        <f>$C$1761</f>
        <v>354950_2019_12_</v>
      </c>
      <c r="K3287" s="2282">
        <v>17</v>
      </c>
      <c r="L3287" s="851"/>
      <c r="M3287" s="837" t="s">
        <v>1566</v>
      </c>
      <c r="N3287" s="123"/>
      <c r="O3287" s="228"/>
      <c r="P3287" s="844"/>
      <c r="Q3287" s="845"/>
      <c r="R3287" s="844"/>
      <c r="S3287" s="832"/>
      <c r="T3287" s="3082"/>
      <c r="U3287" s="123"/>
      <c r="V3287" s="3990"/>
      <c r="W3287" s="2857">
        <v>17</v>
      </c>
      <c r="X3287" s="2857">
        <v>17</v>
      </c>
      <c r="Y3287" s="696">
        <v>17</v>
      </c>
      <c r="Z3287" s="696">
        <v>17</v>
      </c>
      <c r="AA3287" s="696">
        <v>17</v>
      </c>
      <c r="AB3287" s="2855">
        <v>17</v>
      </c>
      <c r="AC3287" s="2282">
        <v>17</v>
      </c>
      <c r="AD3287" s="2857"/>
      <c r="AE3287" s="2857"/>
      <c r="AF3287" s="2857"/>
      <c r="AG3287" s="2857"/>
      <c r="AH3287" s="1942"/>
      <c r="AI3287" s="1942"/>
      <c r="AJ3287" s="1942"/>
      <c r="AK3287" s="1942"/>
      <c r="AL3287" s="1942"/>
      <c r="AM3287" s="1942"/>
      <c r="AN3287" s="1942"/>
      <c r="AO3287" s="1942"/>
      <c r="AP3287" s="1942"/>
      <c r="AQ3287" s="1942"/>
      <c r="AR3287" s="1942"/>
      <c r="AS3287" s="1942"/>
      <c r="AT3287" s="1942"/>
      <c r="AU3287" s="1942"/>
      <c r="AV3287" s="1942"/>
      <c r="AW3287" s="1942"/>
      <c r="AX3287" s="1942"/>
      <c r="AY3287" s="1942"/>
      <c r="AZ3287" s="1942"/>
      <c r="BA3287" s="1942"/>
      <c r="BB3287" s="575"/>
      <c r="BC3287" s="576"/>
      <c r="BD3287" s="678"/>
      <c r="BE3287" s="585"/>
    </row>
    <row r="3288" spans="1:57" s="51" customFormat="1" ht="15" hidden="1" customHeight="1" outlineLevel="1" x14ac:dyDescent="0.25">
      <c r="A3288" s="2060"/>
      <c r="B3288" s="123"/>
      <c r="C3288" s="328"/>
      <c r="D3288" s="3990"/>
      <c r="E3288" s="4009"/>
      <c r="F3288" s="3010" t="str">
        <f>$E$1763</f>
        <v>ASHP-SEER17_ROF_MF_CompE</v>
      </c>
      <c r="G3288" s="2676"/>
      <c r="H3288" s="2676"/>
      <c r="I3288" s="2677"/>
      <c r="J3288" s="3299" t="str">
        <f>$C$1763</f>
        <v>354951_2019_12_</v>
      </c>
      <c r="K3288" s="2282">
        <v>17</v>
      </c>
      <c r="L3288" s="851"/>
      <c r="M3288" s="2723" t="s">
        <v>1125</v>
      </c>
      <c r="N3288" s="123"/>
      <c r="O3288" s="228"/>
      <c r="P3288" s="844"/>
      <c r="Q3288" s="845"/>
      <c r="R3288" s="844"/>
      <c r="S3288" s="832"/>
      <c r="T3288" s="3082"/>
      <c r="U3288" s="123"/>
      <c r="V3288" s="3990"/>
      <c r="W3288" s="2857"/>
      <c r="X3288" s="2857"/>
      <c r="Y3288" s="3158">
        <v>17</v>
      </c>
      <c r="Z3288" s="696">
        <v>17</v>
      </c>
      <c r="AA3288" s="696">
        <v>17</v>
      </c>
      <c r="AB3288" s="2855">
        <v>17</v>
      </c>
      <c r="AC3288" s="2282">
        <v>17</v>
      </c>
      <c r="AD3288" s="2857"/>
      <c r="AE3288" s="2857"/>
      <c r="AF3288" s="2857"/>
      <c r="AG3288" s="2857"/>
      <c r="AH3288" s="1942"/>
      <c r="AI3288" s="1942"/>
      <c r="AJ3288" s="1942"/>
      <c r="AK3288" s="1942"/>
      <c r="AL3288" s="1942"/>
      <c r="AM3288" s="1942"/>
      <c r="AN3288" s="1942"/>
      <c r="AO3288" s="1942"/>
      <c r="AP3288" s="1942"/>
      <c r="AQ3288" s="1942"/>
      <c r="AR3288" s="1942"/>
      <c r="AS3288" s="1942"/>
      <c r="AT3288" s="1942"/>
      <c r="AU3288" s="1942"/>
      <c r="AV3288" s="1942"/>
      <c r="AW3288" s="1942"/>
      <c r="AX3288" s="1942"/>
      <c r="AY3288" s="1942"/>
      <c r="AZ3288" s="1942"/>
      <c r="BA3288" s="1942"/>
      <c r="BB3288" s="575"/>
      <c r="BC3288" s="576"/>
      <c r="BD3288" s="678"/>
      <c r="BE3288" s="585"/>
    </row>
    <row r="3289" spans="1:57" s="51" customFormat="1" ht="15" hidden="1" customHeight="1" outlineLevel="1" x14ac:dyDescent="0.25">
      <c r="A3289" s="2060"/>
      <c r="B3289" s="123"/>
      <c r="C3289" s="328"/>
      <c r="D3289" s="3990"/>
      <c r="E3289" s="4009"/>
      <c r="F3289" s="3010" t="str">
        <f>$E$1765</f>
        <v>ASHP-SEER18_ROF_MF</v>
      </c>
      <c r="G3289" s="2676"/>
      <c r="H3289" s="2676"/>
      <c r="I3289" s="2677"/>
      <c r="J3289" s="3299" t="str">
        <f>$C$1765</f>
        <v>355000_2019_12_</v>
      </c>
      <c r="K3289" s="2282">
        <v>18</v>
      </c>
      <c r="L3289" s="851"/>
      <c r="M3289" s="837" t="s">
        <v>1566</v>
      </c>
      <c r="N3289" s="123"/>
      <c r="O3289" s="228"/>
      <c r="P3289" s="844"/>
      <c r="Q3289" s="845"/>
      <c r="R3289" s="844"/>
      <c r="S3289" s="832"/>
      <c r="T3289" s="3082"/>
      <c r="U3289" s="123"/>
      <c r="V3289" s="3990"/>
      <c r="W3289" s="2857">
        <v>18</v>
      </c>
      <c r="X3289" s="2857">
        <v>18</v>
      </c>
      <c r="Y3289" s="696">
        <v>18</v>
      </c>
      <c r="Z3289" s="696">
        <v>18</v>
      </c>
      <c r="AA3289" s="696">
        <v>18</v>
      </c>
      <c r="AB3289" s="2855">
        <v>18</v>
      </c>
      <c r="AC3289" s="2282">
        <v>18</v>
      </c>
      <c r="AD3289" s="2857"/>
      <c r="AE3289" s="2857"/>
      <c r="AF3289" s="2857"/>
      <c r="AG3289" s="2857"/>
      <c r="AH3289" s="1942"/>
      <c r="AI3289" s="1942"/>
      <c r="AJ3289" s="1942"/>
      <c r="AK3289" s="1942"/>
      <c r="AL3289" s="1942"/>
      <c r="AM3289" s="1942"/>
      <c r="AN3289" s="1942"/>
      <c r="AO3289" s="1942"/>
      <c r="AP3289" s="1942"/>
      <c r="AQ3289" s="1942"/>
      <c r="AR3289" s="1942"/>
      <c r="AS3289" s="1942"/>
      <c r="AT3289" s="1942"/>
      <c r="AU3289" s="1942"/>
      <c r="AV3289" s="1942"/>
      <c r="AW3289" s="1942"/>
      <c r="AX3289" s="1942"/>
      <c r="AY3289" s="1942"/>
      <c r="AZ3289" s="1942"/>
      <c r="BA3289" s="1942"/>
      <c r="BB3289" s="575"/>
      <c r="BC3289" s="576"/>
      <c r="BD3289" s="678"/>
      <c r="BE3289" s="585"/>
    </row>
    <row r="3290" spans="1:57" s="51" customFormat="1" ht="15" hidden="1" customHeight="1" outlineLevel="1" x14ac:dyDescent="0.25">
      <c r="A3290" s="2060"/>
      <c r="B3290" s="123"/>
      <c r="C3290" s="328"/>
      <c r="D3290" s="3990"/>
      <c r="E3290" s="4009"/>
      <c r="F3290" s="3010" t="str">
        <f>$E$1767</f>
        <v>ASHP-SEER18_ROF_MF_CompE</v>
      </c>
      <c r="G3290" s="2676"/>
      <c r="H3290" s="2676"/>
      <c r="I3290" s="2677"/>
      <c r="J3290" s="3299" t="str">
        <f>$C$1767</f>
        <v>355001_2021_12_</v>
      </c>
      <c r="K3290" s="2282">
        <v>18</v>
      </c>
      <c r="L3290" s="851"/>
      <c r="M3290" s="2723" t="s">
        <v>1125</v>
      </c>
      <c r="N3290" s="123"/>
      <c r="O3290" s="228"/>
      <c r="P3290" s="844"/>
      <c r="Q3290" s="845"/>
      <c r="R3290" s="844"/>
      <c r="S3290" s="832"/>
      <c r="T3290" s="3082"/>
      <c r="U3290" s="123"/>
      <c r="V3290" s="3990"/>
      <c r="W3290" s="2857"/>
      <c r="X3290" s="2857"/>
      <c r="Y3290" s="3158">
        <v>18</v>
      </c>
      <c r="Z3290" s="696">
        <v>18</v>
      </c>
      <c r="AA3290" s="696">
        <v>18</v>
      </c>
      <c r="AB3290" s="2855">
        <v>18</v>
      </c>
      <c r="AC3290" s="2282">
        <v>18</v>
      </c>
      <c r="AD3290" s="2857"/>
      <c r="AE3290" s="2857"/>
      <c r="AF3290" s="2857"/>
      <c r="AG3290" s="2857"/>
      <c r="AH3290" s="1942"/>
      <c r="AI3290" s="1942"/>
      <c r="AJ3290" s="1942"/>
      <c r="AK3290" s="1942"/>
      <c r="AL3290" s="1942"/>
      <c r="AM3290" s="1942"/>
      <c r="AN3290" s="1942"/>
      <c r="AO3290" s="1942"/>
      <c r="AP3290" s="1942"/>
      <c r="AQ3290" s="1942"/>
      <c r="AR3290" s="1942"/>
      <c r="AS3290" s="1942"/>
      <c r="AT3290" s="1942"/>
      <c r="AU3290" s="1942"/>
      <c r="AV3290" s="1942"/>
      <c r="AW3290" s="1942"/>
      <c r="AX3290" s="1942"/>
      <c r="AY3290" s="1942"/>
      <c r="AZ3290" s="1942"/>
      <c r="BA3290" s="1942"/>
      <c r="BB3290" s="575"/>
      <c r="BC3290" s="576"/>
      <c r="BD3290" s="678"/>
      <c r="BE3290" s="585"/>
    </row>
    <row r="3291" spans="1:57" s="51" customFormat="1" ht="15" hidden="1" customHeight="1" outlineLevel="1" x14ac:dyDescent="0.25">
      <c r="A3291" s="1267"/>
      <c r="B3291" s="123"/>
      <c r="C3291" s="328"/>
      <c r="D3291" s="3990"/>
      <c r="E3291" s="4009"/>
      <c r="F3291" s="3010" t="str">
        <f>$E$1769</f>
        <v>ASHP-SEER19_ROF_MF</v>
      </c>
      <c r="G3291" s="2676"/>
      <c r="H3291" s="2676"/>
      <c r="I3291" s="2677"/>
      <c r="J3291" s="3299" t="str">
        <f>$C$1769</f>
        <v>355050_2019_12_</v>
      </c>
      <c r="K3291" s="2282">
        <v>19</v>
      </c>
      <c r="L3291" s="851"/>
      <c r="M3291" s="837" t="s">
        <v>1566</v>
      </c>
      <c r="N3291" s="123"/>
      <c r="O3291" s="228"/>
      <c r="P3291" s="228"/>
      <c r="Q3291" s="228"/>
      <c r="R3291" s="228"/>
      <c r="S3291" s="123"/>
      <c r="T3291" s="123"/>
      <c r="U3291" s="123"/>
      <c r="V3291" s="3990"/>
      <c r="W3291" s="2857">
        <v>19</v>
      </c>
      <c r="X3291" s="2857">
        <v>19</v>
      </c>
      <c r="Y3291" s="696">
        <v>19</v>
      </c>
      <c r="Z3291" s="696">
        <v>19</v>
      </c>
      <c r="AA3291" s="696">
        <v>19</v>
      </c>
      <c r="AB3291" s="2855">
        <v>19</v>
      </c>
      <c r="AC3291" s="2282">
        <v>19</v>
      </c>
      <c r="AD3291" s="2857"/>
      <c r="AE3291" s="2857"/>
      <c r="AF3291" s="2857"/>
      <c r="AG3291" s="2857"/>
      <c r="AH3291" s="1942"/>
      <c r="AI3291" s="1942"/>
      <c r="AJ3291" s="1942"/>
      <c r="AK3291" s="1942"/>
      <c r="AL3291" s="1942"/>
      <c r="AM3291" s="1942"/>
      <c r="AN3291" s="1942"/>
      <c r="AO3291" s="1942"/>
      <c r="AP3291" s="1942"/>
      <c r="AQ3291" s="1942"/>
      <c r="AR3291" s="1942"/>
      <c r="AS3291" s="1942"/>
      <c r="AT3291" s="1942"/>
      <c r="AU3291" s="1942"/>
      <c r="AV3291" s="1942"/>
      <c r="AW3291" s="1942"/>
      <c r="AX3291" s="1942"/>
      <c r="AY3291" s="1942"/>
      <c r="AZ3291" s="1942"/>
      <c r="BA3291" s="1942"/>
      <c r="BB3291" s="575"/>
      <c r="BC3291" s="576"/>
      <c r="BD3291" s="678"/>
      <c r="BE3291" s="585"/>
    </row>
    <row r="3292" spans="1:57" s="51" customFormat="1" ht="15" hidden="1" customHeight="1" outlineLevel="1" x14ac:dyDescent="0.25">
      <c r="A3292" s="1267"/>
      <c r="B3292" s="123"/>
      <c r="C3292" s="328"/>
      <c r="D3292" s="3990"/>
      <c r="E3292" s="4009"/>
      <c r="F3292" s="3010" t="str">
        <f>$E$1771</f>
        <v>ASHP-SEER19_ROF_MF_CompE</v>
      </c>
      <c r="G3292" s="2676"/>
      <c r="H3292" s="2676"/>
      <c r="I3292" s="2677"/>
      <c r="J3292" s="3299" t="str">
        <f>$C$1771</f>
        <v>355051_2019_12_</v>
      </c>
      <c r="K3292" s="2282">
        <v>19</v>
      </c>
      <c r="L3292" s="851"/>
      <c r="M3292" s="2723" t="s">
        <v>1125</v>
      </c>
      <c r="N3292" s="123"/>
      <c r="O3292" s="228"/>
      <c r="P3292" s="228"/>
      <c r="Q3292" s="228"/>
      <c r="R3292" s="228"/>
      <c r="S3292" s="123"/>
      <c r="T3292" s="123"/>
      <c r="U3292" s="123"/>
      <c r="V3292" s="3990"/>
      <c r="W3292" s="2857"/>
      <c r="X3292" s="2857"/>
      <c r="Y3292" s="3158">
        <v>19</v>
      </c>
      <c r="Z3292" s="696">
        <v>19</v>
      </c>
      <c r="AA3292" s="696">
        <v>19</v>
      </c>
      <c r="AB3292" s="2855">
        <v>19</v>
      </c>
      <c r="AC3292" s="2282">
        <v>19</v>
      </c>
      <c r="AD3292" s="2857"/>
      <c r="AE3292" s="2857"/>
      <c r="AF3292" s="2857"/>
      <c r="AG3292" s="2857"/>
      <c r="AH3292" s="1942"/>
      <c r="AI3292" s="1942"/>
      <c r="AJ3292" s="1942"/>
      <c r="AK3292" s="1942"/>
      <c r="AL3292" s="1942"/>
      <c r="AM3292" s="1942"/>
      <c r="AN3292" s="1942"/>
      <c r="AO3292" s="1942"/>
      <c r="AP3292" s="1942"/>
      <c r="AQ3292" s="1942"/>
      <c r="AR3292" s="1942"/>
      <c r="AS3292" s="1942"/>
      <c r="AT3292" s="1942"/>
      <c r="AU3292" s="1942"/>
      <c r="AV3292" s="1942"/>
      <c r="AW3292" s="1942"/>
      <c r="AX3292" s="1942"/>
      <c r="AY3292" s="1942"/>
      <c r="AZ3292" s="1942"/>
      <c r="BA3292" s="1942"/>
      <c r="BB3292" s="575"/>
      <c r="BC3292" s="576"/>
      <c r="BD3292" s="678"/>
      <c r="BE3292" s="585"/>
    </row>
    <row r="3293" spans="1:57" s="51" customFormat="1" ht="15" hidden="1" customHeight="1" outlineLevel="1" x14ac:dyDescent="0.25">
      <c r="A3293" s="1267"/>
      <c r="B3293" s="123"/>
      <c r="C3293" s="328"/>
      <c r="D3293" s="3990"/>
      <c r="E3293" s="4009"/>
      <c r="F3293" s="3010" t="str">
        <f>$E$1773</f>
        <v>ASHP-SEER20_ROF_MF</v>
      </c>
      <c r="G3293" s="2676"/>
      <c r="H3293" s="2676"/>
      <c r="I3293" s="2677"/>
      <c r="J3293" s="3299" t="str">
        <f>$C$1773</f>
        <v>355100_2019_12_</v>
      </c>
      <c r="K3293" s="2282">
        <v>20</v>
      </c>
      <c r="L3293" s="851"/>
      <c r="M3293" s="837" t="s">
        <v>1566</v>
      </c>
      <c r="N3293" s="123"/>
      <c r="O3293" s="228"/>
      <c r="P3293" s="228"/>
      <c r="Q3293" s="228"/>
      <c r="R3293" s="228"/>
      <c r="S3293" s="123"/>
      <c r="T3293" s="123"/>
      <c r="U3293" s="123"/>
      <c r="V3293" s="3990"/>
      <c r="W3293" s="2857">
        <v>20</v>
      </c>
      <c r="X3293" s="2857">
        <v>20</v>
      </c>
      <c r="Y3293" s="696">
        <v>20</v>
      </c>
      <c r="Z3293" s="696">
        <v>20</v>
      </c>
      <c r="AA3293" s="696">
        <v>20</v>
      </c>
      <c r="AB3293" s="2855">
        <v>20</v>
      </c>
      <c r="AC3293" s="2282">
        <v>20</v>
      </c>
      <c r="AD3293" s="2857"/>
      <c r="AE3293" s="2857"/>
      <c r="AF3293" s="2857"/>
      <c r="AG3293" s="2857"/>
      <c r="AH3293" s="1942"/>
      <c r="AI3293" s="1942"/>
      <c r="AJ3293" s="1942"/>
      <c r="AK3293" s="1942"/>
      <c r="AL3293" s="1942"/>
      <c r="AM3293" s="1942"/>
      <c r="AN3293" s="1942"/>
      <c r="AO3293" s="1942"/>
      <c r="AP3293" s="1942"/>
      <c r="AQ3293" s="1942"/>
      <c r="AR3293" s="1942"/>
      <c r="AS3293" s="1942"/>
      <c r="AT3293" s="1942"/>
      <c r="AU3293" s="1942"/>
      <c r="AV3293" s="1942"/>
      <c r="AW3293" s="1942"/>
      <c r="AX3293" s="1942"/>
      <c r="AY3293" s="1942"/>
      <c r="AZ3293" s="1942"/>
      <c r="BA3293" s="1942"/>
      <c r="BB3293" s="575"/>
      <c r="BC3293" s="576"/>
      <c r="BD3293" s="678"/>
      <c r="BE3293" s="585"/>
    </row>
    <row r="3294" spans="1:57" s="51" customFormat="1" ht="15" hidden="1" customHeight="1" outlineLevel="1" x14ac:dyDescent="0.25">
      <c r="A3294" s="1267"/>
      <c r="B3294" s="123"/>
      <c r="C3294" s="328"/>
      <c r="D3294" s="3990"/>
      <c r="E3294" s="4009"/>
      <c r="F3294" s="3010" t="str">
        <f>$E$1775</f>
        <v>ASHP-SEER20_ROF_MF_CompE</v>
      </c>
      <c r="G3294" s="2676"/>
      <c r="H3294" s="2676"/>
      <c r="I3294" s="2677"/>
      <c r="J3294" s="3299" t="str">
        <f>$C$1775</f>
        <v>355101_2019_12_</v>
      </c>
      <c r="K3294" s="2282">
        <v>20</v>
      </c>
      <c r="L3294" s="852"/>
      <c r="M3294" s="2723" t="s">
        <v>1125</v>
      </c>
      <c r="N3294" s="123"/>
      <c r="O3294" s="228"/>
      <c r="P3294" s="228"/>
      <c r="Q3294" s="228"/>
      <c r="R3294" s="228"/>
      <c r="S3294" s="123"/>
      <c r="T3294" s="123"/>
      <c r="U3294" s="123"/>
      <c r="V3294" s="3990"/>
      <c r="W3294" s="693"/>
      <c r="X3294" s="693"/>
      <c r="Y3294" s="3158">
        <v>20</v>
      </c>
      <c r="Z3294" s="696">
        <v>20</v>
      </c>
      <c r="AA3294" s="696">
        <v>20</v>
      </c>
      <c r="AB3294" s="2855">
        <v>20</v>
      </c>
      <c r="AC3294" s="2282">
        <v>20</v>
      </c>
      <c r="AD3294" s="693"/>
      <c r="AE3294" s="693"/>
      <c r="AF3294" s="693"/>
      <c r="AG3294" s="693"/>
      <c r="AH3294" s="1942"/>
      <c r="AI3294" s="1942"/>
      <c r="AJ3294" s="1942"/>
      <c r="AK3294" s="1942"/>
      <c r="AL3294" s="1942"/>
      <c r="AM3294" s="1942"/>
      <c r="AN3294" s="1942"/>
      <c r="AO3294" s="1942"/>
      <c r="AP3294" s="1942"/>
      <c r="AQ3294" s="1942"/>
      <c r="AR3294" s="1942"/>
      <c r="AS3294" s="1942"/>
      <c r="AT3294" s="1942"/>
      <c r="AU3294" s="1942"/>
      <c r="AV3294" s="1942"/>
      <c r="AW3294" s="1942"/>
      <c r="AX3294" s="1942"/>
      <c r="AY3294" s="1942"/>
      <c r="AZ3294" s="1942"/>
      <c r="BA3294" s="1942"/>
      <c r="BB3294" s="575"/>
      <c r="BC3294" s="576"/>
      <c r="BD3294" s="678"/>
      <c r="BE3294" s="585"/>
    </row>
    <row r="3295" spans="1:57" s="51" customFormat="1" ht="15.75" hidden="1" customHeight="1" outlineLevel="1" x14ac:dyDescent="0.25">
      <c r="A3295" s="2060"/>
      <c r="B3295" s="123"/>
      <c r="C3295" s="328"/>
      <c r="D3295" s="3990"/>
      <c r="E3295" s="4009"/>
      <c r="F3295" s="3010" t="str">
        <f>$E$1777</f>
        <v>ASHP-SEER21_ROF_MF</v>
      </c>
      <c r="G3295" s="2676"/>
      <c r="H3295" s="2676"/>
      <c r="I3295" s="2677"/>
      <c r="J3295" s="3299" t="str">
        <f>$C$1777</f>
        <v>355150_2019_12_</v>
      </c>
      <c r="K3295" s="2282">
        <v>21</v>
      </c>
      <c r="L3295" s="851"/>
      <c r="M3295" s="837" t="s">
        <v>1566</v>
      </c>
      <c r="N3295" s="123"/>
      <c r="O3295" s="228"/>
      <c r="P3295" s="844"/>
      <c r="Q3295" s="845"/>
      <c r="R3295" s="844"/>
      <c r="S3295" s="832"/>
      <c r="T3295" s="3082"/>
      <c r="U3295" s="123"/>
      <c r="V3295" s="3990"/>
      <c r="W3295" s="2857">
        <v>21</v>
      </c>
      <c r="X3295" s="2857">
        <v>21</v>
      </c>
      <c r="Y3295" s="693">
        <v>21</v>
      </c>
      <c r="Z3295" s="693">
        <v>21</v>
      </c>
      <c r="AA3295" s="693">
        <v>21</v>
      </c>
      <c r="AB3295" s="2855">
        <v>21</v>
      </c>
      <c r="AC3295" s="2282">
        <v>21</v>
      </c>
      <c r="AD3295" s="2857"/>
      <c r="AE3295" s="2857"/>
      <c r="AF3295" s="2857"/>
      <c r="AG3295" s="2857"/>
      <c r="AH3295" s="1942"/>
      <c r="AI3295" s="1942"/>
      <c r="AJ3295" s="1942"/>
      <c r="AK3295" s="1942"/>
      <c r="AL3295" s="1942"/>
      <c r="AM3295" s="1942"/>
      <c r="AN3295" s="1942"/>
      <c r="AO3295" s="1942"/>
      <c r="AP3295" s="1942"/>
      <c r="AQ3295" s="1942"/>
      <c r="AR3295" s="1942"/>
      <c r="AS3295" s="1942"/>
      <c r="AT3295" s="1942"/>
      <c r="AU3295" s="1942"/>
      <c r="AV3295" s="1942"/>
      <c r="AW3295" s="1942"/>
      <c r="AX3295" s="1942"/>
      <c r="AY3295" s="1942"/>
      <c r="AZ3295" s="1942"/>
      <c r="BA3295" s="1942"/>
      <c r="BB3295" s="575"/>
      <c r="BC3295" s="576"/>
      <c r="BD3295" s="678"/>
      <c r="BE3295" s="585"/>
    </row>
    <row r="3296" spans="1:57" s="51" customFormat="1" ht="15.75" hidden="1" customHeight="1" outlineLevel="1" thickBot="1" x14ac:dyDescent="0.3">
      <c r="A3296" s="2060"/>
      <c r="B3296" s="576"/>
      <c r="C3296" s="328"/>
      <c r="D3296" s="4035"/>
      <c r="E3296" s="4036"/>
      <c r="F3296" s="3012" t="str">
        <f>$E$1779</f>
        <v>ASHP-SEER21_ROF_MF_CompE</v>
      </c>
      <c r="G3296" s="847"/>
      <c r="H3296" s="847"/>
      <c r="I3296" s="848"/>
      <c r="J3296" s="2607" t="str">
        <f>$C$1779</f>
        <v>355151_2019_12_</v>
      </c>
      <c r="K3296" s="2283">
        <v>21</v>
      </c>
      <c r="L3296" s="859"/>
      <c r="M3296" s="3254" t="s">
        <v>1125</v>
      </c>
      <c r="N3296" s="123"/>
      <c r="O3296" s="228"/>
      <c r="P3296" s="844"/>
      <c r="Q3296" s="845"/>
      <c r="R3296" s="844"/>
      <c r="S3296" s="832"/>
      <c r="T3296" s="3082"/>
      <c r="U3296" s="123"/>
      <c r="V3296" s="4035"/>
      <c r="W3296" s="695"/>
      <c r="X3296" s="695"/>
      <c r="Y3296" s="3156">
        <v>21</v>
      </c>
      <c r="Z3296" s="2860">
        <v>21</v>
      </c>
      <c r="AA3296" s="2860">
        <v>21</v>
      </c>
      <c r="AB3296" s="2285">
        <v>21</v>
      </c>
      <c r="AC3296" s="2283">
        <v>21</v>
      </c>
      <c r="AD3296" s="695"/>
      <c r="AE3296" s="695"/>
      <c r="AF3296" s="695"/>
      <c r="AG3296" s="695"/>
      <c r="AH3296" s="1942"/>
      <c r="AI3296" s="1942"/>
      <c r="AJ3296" s="1942"/>
      <c r="AK3296" s="1942"/>
      <c r="AL3296" s="1942"/>
      <c r="AM3296" s="1942"/>
      <c r="AN3296" s="1942"/>
      <c r="AO3296" s="1942"/>
      <c r="AP3296" s="1942"/>
      <c r="AQ3296" s="1942"/>
      <c r="AR3296" s="1942"/>
      <c r="AS3296" s="1942"/>
      <c r="AT3296" s="1942"/>
      <c r="AU3296" s="1942"/>
      <c r="AV3296" s="1942"/>
      <c r="AW3296" s="1942"/>
      <c r="AX3296" s="1942"/>
      <c r="AY3296" s="1942"/>
      <c r="AZ3296" s="1942"/>
      <c r="BA3296" s="1942"/>
      <c r="BB3296" s="575"/>
      <c r="BC3296" s="576"/>
      <c r="BD3296" s="678"/>
      <c r="BE3296" s="585"/>
    </row>
    <row r="3297" spans="1:57" s="51" customFormat="1" ht="15" hidden="1" customHeight="1" outlineLevel="1" x14ac:dyDescent="0.25">
      <c r="A3297" s="2060"/>
      <c r="B3297" s="576"/>
      <c r="C3297" s="328"/>
      <c r="D3297" s="3989" t="s">
        <v>294</v>
      </c>
      <c r="E3297" s="4008" t="s">
        <v>1127</v>
      </c>
      <c r="F3297" s="3009" t="str">
        <f>$E$1407</f>
        <v>ASHP-SEER15-Replace_CAC_ElectricHeat_ER1_SF</v>
      </c>
      <c r="G3297" s="2675"/>
      <c r="H3297" s="2675"/>
      <c r="I3297" s="2675"/>
      <c r="J3297" s="3297" t="str">
        <f>$C$1407</f>
        <v>352300_2021_12_</v>
      </c>
      <c r="K3297" s="2286">
        <v>1</v>
      </c>
      <c r="L3297" s="745"/>
      <c r="M3297" s="860"/>
      <c r="N3297" s="123"/>
      <c r="O3297" s="228"/>
      <c r="P3297" s="844"/>
      <c r="Q3297" s="844"/>
      <c r="R3297" s="844"/>
      <c r="S3297" s="832"/>
      <c r="T3297" s="3082"/>
      <c r="U3297" s="123"/>
      <c r="V3297" s="3989" t="s">
        <v>294</v>
      </c>
      <c r="W3297" s="789">
        <v>1</v>
      </c>
      <c r="X3297" s="789">
        <v>1</v>
      </c>
      <c r="Y3297" s="789">
        <v>1</v>
      </c>
      <c r="Z3297" s="789">
        <v>1</v>
      </c>
      <c r="AA3297" s="789">
        <v>1</v>
      </c>
      <c r="AB3297" s="2286">
        <v>1</v>
      </c>
      <c r="AC3297" s="2286">
        <v>1</v>
      </c>
      <c r="AD3297" s="789"/>
      <c r="AE3297" s="789"/>
      <c r="AF3297" s="789"/>
      <c r="AG3297" s="789"/>
      <c r="AH3297" s="1942"/>
      <c r="AI3297" s="1942"/>
      <c r="AJ3297" s="1942"/>
      <c r="AK3297" s="1942"/>
      <c r="AL3297" s="1942"/>
      <c r="AM3297" s="1942"/>
      <c r="AN3297" s="1942"/>
      <c r="AO3297" s="1942"/>
      <c r="AP3297" s="1942"/>
      <c r="AQ3297" s="1942"/>
      <c r="AR3297" s="1942"/>
      <c r="AS3297" s="1942"/>
      <c r="AT3297" s="1942"/>
      <c r="AU3297" s="1942"/>
      <c r="AV3297" s="1942"/>
      <c r="AW3297" s="1942"/>
      <c r="AX3297" s="1942"/>
      <c r="AY3297" s="1942"/>
      <c r="AZ3297" s="1942"/>
      <c r="BA3297" s="1942"/>
      <c r="BB3297" s="575"/>
      <c r="BC3297" s="576"/>
      <c r="BD3297" s="678"/>
      <c r="BE3297" s="585"/>
    </row>
    <row r="3298" spans="1:57" s="51" customFormat="1" ht="15" hidden="1" customHeight="1" outlineLevel="1" x14ac:dyDescent="0.25">
      <c r="A3298" s="2060"/>
      <c r="B3298" s="576"/>
      <c r="C3298" s="328"/>
      <c r="D3298" s="3990"/>
      <c r="E3298" s="4009"/>
      <c r="F3298" s="3010" t="str">
        <f>$E$1409</f>
        <v>ASHP-SEER15-Replace_CAC_ElectricHeat_ER2_SF</v>
      </c>
      <c r="G3298" s="2676"/>
      <c r="H3298" s="2676"/>
      <c r="I3298" s="2677"/>
      <c r="J3298" s="3298" t="str">
        <f>$C$1409</f>
        <v>352300_2021_12_</v>
      </c>
      <c r="K3298" s="793">
        <v>1</v>
      </c>
      <c r="L3298" s="850"/>
      <c r="M3298" s="858"/>
      <c r="N3298" s="123"/>
      <c r="O3298" s="228"/>
      <c r="P3298" s="844"/>
      <c r="Q3298" s="844"/>
      <c r="R3298" s="844"/>
      <c r="S3298" s="832"/>
      <c r="T3298" s="3082"/>
      <c r="U3298" s="123"/>
      <c r="V3298" s="3990"/>
      <c r="W3298" s="793">
        <v>1</v>
      </c>
      <c r="X3298" s="793">
        <v>1</v>
      </c>
      <c r="Y3298" s="793">
        <v>1</v>
      </c>
      <c r="Z3298" s="793">
        <v>1</v>
      </c>
      <c r="AA3298" s="793">
        <v>1</v>
      </c>
      <c r="AB3298" s="793">
        <v>1</v>
      </c>
      <c r="AC3298" s="793">
        <v>1</v>
      </c>
      <c r="AD3298" s="793"/>
      <c r="AE3298" s="793"/>
      <c r="AF3298" s="793"/>
      <c r="AG3298" s="793"/>
      <c r="AH3298" s="1942"/>
      <c r="AI3298" s="1942"/>
      <c r="AJ3298" s="1942"/>
      <c r="AK3298" s="1942"/>
      <c r="AL3298" s="1942"/>
      <c r="AM3298" s="1942"/>
      <c r="AN3298" s="1942"/>
      <c r="AO3298" s="1942"/>
      <c r="AP3298" s="1942"/>
      <c r="AQ3298" s="1942"/>
      <c r="AR3298" s="1942"/>
      <c r="AS3298" s="1942"/>
      <c r="AT3298" s="1942"/>
      <c r="AU3298" s="1942"/>
      <c r="AV3298" s="1942"/>
      <c r="AW3298" s="1942"/>
      <c r="AX3298" s="1942"/>
      <c r="AY3298" s="1942"/>
      <c r="AZ3298" s="1942"/>
      <c r="BA3298" s="1942"/>
      <c r="BB3298" s="575"/>
      <c r="BC3298" s="576"/>
      <c r="BD3298" s="678"/>
      <c r="BE3298" s="585"/>
    </row>
    <row r="3299" spans="1:57" s="1942" customFormat="1" ht="15" hidden="1" customHeight="1" outlineLevel="1" x14ac:dyDescent="0.25">
      <c r="A3299" s="2060"/>
      <c r="B3299" s="576"/>
      <c r="C3299" s="328"/>
      <c r="D3299" s="3990"/>
      <c r="E3299" s="4009"/>
      <c r="F3299" s="3010" t="str">
        <f>$E$1411</f>
        <v>ASHP-SEER15-Replace_CAC_NonElectricHeat_ER1_SF</v>
      </c>
      <c r="G3299" s="2676"/>
      <c r="H3299" s="2676"/>
      <c r="I3299" s="2677"/>
      <c r="J3299" s="3298" t="str">
        <f>$C$1411</f>
        <v>352310_2021_12_</v>
      </c>
      <c r="K3299" s="2290">
        <v>1</v>
      </c>
      <c r="L3299" s="850"/>
      <c r="M3299" s="858"/>
      <c r="N3299" s="123"/>
      <c r="O3299" s="228"/>
      <c r="P3299" s="844"/>
      <c r="Q3299" s="844"/>
      <c r="R3299" s="844"/>
      <c r="S3299" s="832"/>
      <c r="T3299" s="3082"/>
      <c r="U3299" s="123"/>
      <c r="V3299" s="3990"/>
      <c r="W3299" s="793"/>
      <c r="X3299" s="793"/>
      <c r="Y3299" s="793"/>
      <c r="Z3299" s="793"/>
      <c r="AA3299" s="793"/>
      <c r="AB3299" s="793"/>
      <c r="AC3299" s="2290">
        <v>1</v>
      </c>
      <c r="AD3299" s="793"/>
      <c r="AE3299" s="793"/>
      <c r="AF3299" s="793"/>
      <c r="AG3299" s="793"/>
      <c r="BB3299" s="575"/>
      <c r="BC3299" s="576"/>
      <c r="BD3299" s="678"/>
      <c r="BE3299" s="585"/>
    </row>
    <row r="3300" spans="1:57" s="1942" customFormat="1" ht="15" hidden="1" customHeight="1" outlineLevel="1" x14ac:dyDescent="0.25">
      <c r="A3300" s="2060"/>
      <c r="B3300" s="576"/>
      <c r="C3300" s="328"/>
      <c r="D3300" s="3990"/>
      <c r="E3300" s="4009"/>
      <c r="F3300" s="3010" t="str">
        <f>$E$1413</f>
        <v>ASHP-SEER15-Replace_CAC_NonElectricHeat_ER2_SF</v>
      </c>
      <c r="G3300" s="2676"/>
      <c r="H3300" s="2676"/>
      <c r="I3300" s="2677"/>
      <c r="J3300" s="3298" t="str">
        <f>$C$1413</f>
        <v>352310_2021_12_</v>
      </c>
      <c r="K3300" s="791">
        <v>1</v>
      </c>
      <c r="L3300" s="850"/>
      <c r="M3300" s="858"/>
      <c r="N3300" s="123"/>
      <c r="O3300" s="228"/>
      <c r="P3300" s="844"/>
      <c r="Q3300" s="844"/>
      <c r="R3300" s="844"/>
      <c r="S3300" s="832"/>
      <c r="T3300" s="3082"/>
      <c r="U3300" s="123"/>
      <c r="V3300" s="3990"/>
      <c r="W3300" s="793"/>
      <c r="X3300" s="793"/>
      <c r="Y3300" s="793"/>
      <c r="Z3300" s="793"/>
      <c r="AA3300" s="793"/>
      <c r="AB3300" s="793"/>
      <c r="AC3300" s="791">
        <v>1</v>
      </c>
      <c r="AD3300" s="793"/>
      <c r="AE3300" s="793"/>
      <c r="AF3300" s="793"/>
      <c r="AG3300" s="793"/>
      <c r="BB3300" s="575"/>
      <c r="BC3300" s="576"/>
      <c r="BD3300" s="678"/>
      <c r="BE3300" s="585"/>
    </row>
    <row r="3301" spans="1:57" s="51" customFormat="1" ht="15" hidden="1" customHeight="1" outlineLevel="1" x14ac:dyDescent="0.25">
      <c r="A3301" s="2060"/>
      <c r="B3301" s="576"/>
      <c r="C3301" s="328"/>
      <c r="D3301" s="3990"/>
      <c r="E3301" s="4009"/>
      <c r="F3301" s="3010" t="str">
        <f>$E$1415</f>
        <v>ASHP-SEER15_ER1_SF</v>
      </c>
      <c r="G3301" s="2676"/>
      <c r="H3301" s="2676"/>
      <c r="I3301" s="2677"/>
      <c r="J3301" s="3298" t="str">
        <f>$C$1415</f>
        <v>352350_2021_12_</v>
      </c>
      <c r="K3301" s="793">
        <v>1</v>
      </c>
      <c r="L3301" s="850"/>
      <c r="M3301" s="858"/>
      <c r="N3301" s="123"/>
      <c r="O3301" s="228"/>
      <c r="P3301" s="844"/>
      <c r="Q3301" s="844"/>
      <c r="R3301" s="844"/>
      <c r="S3301" s="832"/>
      <c r="T3301" s="3082"/>
      <c r="U3301" s="123"/>
      <c r="V3301" s="3990"/>
      <c r="W3301" s="793">
        <v>1</v>
      </c>
      <c r="X3301" s="793">
        <v>1</v>
      </c>
      <c r="Y3301" s="793">
        <v>1</v>
      </c>
      <c r="Z3301" s="793">
        <v>1</v>
      </c>
      <c r="AA3301" s="793">
        <v>1</v>
      </c>
      <c r="AB3301" s="793">
        <v>1</v>
      </c>
      <c r="AC3301" s="793">
        <v>1</v>
      </c>
      <c r="AD3301" s="793"/>
      <c r="AE3301" s="793"/>
      <c r="AF3301" s="793"/>
      <c r="AG3301" s="793"/>
      <c r="AH3301" s="1942"/>
      <c r="AI3301" s="1942"/>
      <c r="AJ3301" s="1942"/>
      <c r="AK3301" s="1942"/>
      <c r="AL3301" s="1942"/>
      <c r="AM3301" s="1942"/>
      <c r="AN3301" s="1942"/>
      <c r="AO3301" s="1942"/>
      <c r="AP3301" s="1942"/>
      <c r="AQ3301" s="1942"/>
      <c r="AR3301" s="1942"/>
      <c r="AS3301" s="1942"/>
      <c r="AT3301" s="1942"/>
      <c r="AU3301" s="1942"/>
      <c r="AV3301" s="1942"/>
      <c r="AW3301" s="1942"/>
      <c r="AX3301" s="1942"/>
      <c r="AY3301" s="1942"/>
      <c r="AZ3301" s="1942"/>
      <c r="BA3301" s="1942"/>
      <c r="BB3301" s="575"/>
      <c r="BC3301" s="576"/>
      <c r="BD3301" s="678"/>
      <c r="BE3301" s="585"/>
    </row>
    <row r="3302" spans="1:57" s="51" customFormat="1" ht="15" hidden="1" customHeight="1" outlineLevel="1" x14ac:dyDescent="0.25">
      <c r="A3302" s="2060"/>
      <c r="B3302" s="576"/>
      <c r="C3302" s="328"/>
      <c r="D3302" s="3990"/>
      <c r="E3302" s="4009"/>
      <c r="F3302" s="3010" t="str">
        <f>$E$1417</f>
        <v>ASHP-SEER15_ER2_SF</v>
      </c>
      <c r="G3302" s="2676"/>
      <c r="H3302" s="2676"/>
      <c r="I3302" s="2677"/>
      <c r="J3302" s="3298" t="str">
        <f>$C$1417</f>
        <v>352350_2021_12_</v>
      </c>
      <c r="K3302" s="793">
        <v>1</v>
      </c>
      <c r="L3302" s="850"/>
      <c r="M3302" s="858"/>
      <c r="N3302" s="123"/>
      <c r="O3302" s="228"/>
      <c r="P3302" s="844"/>
      <c r="Q3302" s="844"/>
      <c r="R3302" s="844"/>
      <c r="S3302" s="832"/>
      <c r="T3302" s="3082"/>
      <c r="U3302" s="123"/>
      <c r="V3302" s="3990"/>
      <c r="W3302" s="793">
        <v>1</v>
      </c>
      <c r="X3302" s="793">
        <v>1</v>
      </c>
      <c r="Y3302" s="793">
        <v>1</v>
      </c>
      <c r="Z3302" s="793">
        <v>1</v>
      </c>
      <c r="AA3302" s="793">
        <v>1</v>
      </c>
      <c r="AB3302" s="793">
        <v>1</v>
      </c>
      <c r="AC3302" s="793">
        <v>1</v>
      </c>
      <c r="AD3302" s="793"/>
      <c r="AE3302" s="793"/>
      <c r="AF3302" s="793"/>
      <c r="AG3302" s="793"/>
      <c r="AH3302" s="1942"/>
      <c r="AI3302" s="1942"/>
      <c r="AJ3302" s="1942"/>
      <c r="AK3302" s="1942"/>
      <c r="AL3302" s="1942"/>
      <c r="AM3302" s="1942"/>
      <c r="AN3302" s="1942"/>
      <c r="AO3302" s="1942"/>
      <c r="AP3302" s="1942"/>
      <c r="AQ3302" s="1942"/>
      <c r="AR3302" s="1942"/>
      <c r="AS3302" s="1942"/>
      <c r="AT3302" s="1942"/>
      <c r="AU3302" s="1942"/>
      <c r="AV3302" s="1942"/>
      <c r="AW3302" s="1942"/>
      <c r="AX3302" s="1942"/>
      <c r="AY3302" s="1942"/>
      <c r="AZ3302" s="1942"/>
      <c r="BA3302" s="1942"/>
      <c r="BB3302" s="575"/>
      <c r="BC3302" s="576"/>
      <c r="BD3302" s="678"/>
      <c r="BE3302" s="585"/>
    </row>
    <row r="3303" spans="1:57" s="51" customFormat="1" ht="15" hidden="1" customHeight="1" outlineLevel="1" x14ac:dyDescent="0.25">
      <c r="A3303" s="2060"/>
      <c r="B3303" s="576"/>
      <c r="C3303" s="328"/>
      <c r="D3303" s="3990"/>
      <c r="E3303" s="4009"/>
      <c r="F3303" s="3010" t="str">
        <f>$E$1419</f>
        <v>ASHP-SEER15-Replace_CAC_ElectricHeat_ROF_SF</v>
      </c>
      <c r="G3303" s="2676"/>
      <c r="H3303" s="2676"/>
      <c r="I3303" s="2677"/>
      <c r="J3303" s="3298" t="str">
        <f>$C$1419</f>
        <v>352400_2021_12_</v>
      </c>
      <c r="K3303" s="863">
        <v>1</v>
      </c>
      <c r="L3303" s="850"/>
      <c r="M3303" s="858"/>
      <c r="N3303" s="123"/>
      <c r="O3303" s="228"/>
      <c r="P3303" s="844"/>
      <c r="Q3303" s="844"/>
      <c r="R3303" s="844"/>
      <c r="S3303" s="832"/>
      <c r="T3303" s="3082"/>
      <c r="U3303" s="123"/>
      <c r="V3303" s="3990"/>
      <c r="W3303" s="793">
        <v>1</v>
      </c>
      <c r="X3303" s="793">
        <v>1</v>
      </c>
      <c r="Y3303" s="793">
        <v>1</v>
      </c>
      <c r="Z3303" s="793">
        <v>1</v>
      </c>
      <c r="AA3303" s="793">
        <v>1</v>
      </c>
      <c r="AB3303" s="793">
        <v>1</v>
      </c>
      <c r="AC3303" s="863">
        <v>1</v>
      </c>
      <c r="AD3303" s="793"/>
      <c r="AE3303" s="793"/>
      <c r="AF3303" s="793"/>
      <c r="AG3303" s="793"/>
      <c r="AH3303" s="1942"/>
      <c r="AI3303" s="1942"/>
      <c r="AJ3303" s="1942"/>
      <c r="AK3303" s="1942"/>
      <c r="AL3303" s="1942"/>
      <c r="AM3303" s="1942"/>
      <c r="AN3303" s="1942"/>
      <c r="AO3303" s="1942"/>
      <c r="AP3303" s="1942"/>
      <c r="AQ3303" s="1942"/>
      <c r="AR3303" s="1942"/>
      <c r="AS3303" s="1942"/>
      <c r="AT3303" s="1942"/>
      <c r="AU3303" s="1942"/>
      <c r="AV3303" s="1942"/>
      <c r="AW3303" s="1942"/>
      <c r="AX3303" s="1942"/>
      <c r="AY3303" s="1942"/>
      <c r="AZ3303" s="1942"/>
      <c r="BA3303" s="1942"/>
      <c r="BB3303" s="575"/>
      <c r="BC3303" s="576"/>
      <c r="BD3303" s="678"/>
      <c r="BE3303" s="585"/>
    </row>
    <row r="3304" spans="1:57" s="1942" customFormat="1" ht="15" hidden="1" customHeight="1" outlineLevel="1" x14ac:dyDescent="0.25">
      <c r="A3304" s="2060"/>
      <c r="B3304" s="576"/>
      <c r="C3304" s="328"/>
      <c r="D3304" s="3990"/>
      <c r="E3304" s="4009"/>
      <c r="F3304" s="3010" t="str">
        <f>$E$1421</f>
        <v>ASHP-SEER15-Replace_CAC_NonElectricHeat_ROF_SF</v>
      </c>
      <c r="G3304" s="2676"/>
      <c r="H3304" s="2676"/>
      <c r="I3304" s="2677"/>
      <c r="J3304" s="3298" t="str">
        <f>$C$1421</f>
        <v>352410_2021_12_</v>
      </c>
      <c r="K3304" s="3052">
        <v>1</v>
      </c>
      <c r="L3304" s="850"/>
      <c r="M3304" s="858"/>
      <c r="N3304" s="123"/>
      <c r="O3304" s="228"/>
      <c r="P3304" s="844"/>
      <c r="Q3304" s="844"/>
      <c r="R3304" s="844"/>
      <c r="S3304" s="832"/>
      <c r="T3304" s="3082"/>
      <c r="U3304" s="123"/>
      <c r="V3304" s="3990"/>
      <c r="W3304" s="793"/>
      <c r="X3304" s="793"/>
      <c r="Y3304" s="793"/>
      <c r="Z3304" s="793"/>
      <c r="AA3304" s="793"/>
      <c r="AB3304" s="793"/>
      <c r="AC3304" s="3052">
        <v>1</v>
      </c>
      <c r="AD3304" s="793"/>
      <c r="AE3304" s="793"/>
      <c r="AF3304" s="793"/>
      <c r="AG3304" s="793"/>
      <c r="BB3304" s="575"/>
      <c r="BC3304" s="576"/>
      <c r="BD3304" s="678"/>
      <c r="BE3304" s="585"/>
    </row>
    <row r="3305" spans="1:57" s="51" customFormat="1" ht="15" hidden="1" customHeight="1" outlineLevel="1" x14ac:dyDescent="0.25">
      <c r="A3305" s="2060"/>
      <c r="B3305" s="576"/>
      <c r="C3305" s="328"/>
      <c r="D3305" s="3990"/>
      <c r="E3305" s="4009"/>
      <c r="F3305" s="3010" t="str">
        <f>$E$1423</f>
        <v>ASHP-SEER15_ROF_SF</v>
      </c>
      <c r="G3305" s="2676"/>
      <c r="H3305" s="2676"/>
      <c r="I3305" s="2677"/>
      <c r="J3305" s="3298" t="str">
        <f>$C$1423</f>
        <v>352450_2021_12_</v>
      </c>
      <c r="K3305" s="793">
        <v>1</v>
      </c>
      <c r="L3305" s="850"/>
      <c r="M3305" s="858"/>
      <c r="N3305" s="123"/>
      <c r="O3305" s="228"/>
      <c r="P3305" s="844"/>
      <c r="Q3305" s="844"/>
      <c r="R3305" s="844"/>
      <c r="S3305" s="832"/>
      <c r="T3305" s="3082"/>
      <c r="U3305" s="123"/>
      <c r="V3305" s="3990"/>
      <c r="W3305" s="793">
        <v>1</v>
      </c>
      <c r="X3305" s="793">
        <v>1</v>
      </c>
      <c r="Y3305" s="793">
        <v>1</v>
      </c>
      <c r="Z3305" s="793">
        <v>1</v>
      </c>
      <c r="AA3305" s="793">
        <v>1</v>
      </c>
      <c r="AB3305" s="793">
        <v>1</v>
      </c>
      <c r="AC3305" s="793">
        <v>1</v>
      </c>
      <c r="AD3305" s="793"/>
      <c r="AE3305" s="793"/>
      <c r="AF3305" s="793"/>
      <c r="AG3305" s="793"/>
      <c r="AH3305" s="1942"/>
      <c r="AI3305" s="1942"/>
      <c r="AJ3305" s="1942"/>
      <c r="AK3305" s="1942"/>
      <c r="AL3305" s="1942"/>
      <c r="AM3305" s="1942"/>
      <c r="AN3305" s="1942"/>
      <c r="AO3305" s="1942"/>
      <c r="AP3305" s="1942"/>
      <c r="AQ3305" s="1942"/>
      <c r="AR3305" s="1942"/>
      <c r="AS3305" s="1942"/>
      <c r="AT3305" s="1942"/>
      <c r="AU3305" s="1942"/>
      <c r="AV3305" s="1942"/>
      <c r="AW3305" s="1942"/>
      <c r="AX3305" s="1942"/>
      <c r="AY3305" s="1942"/>
      <c r="AZ3305" s="1942"/>
      <c r="BA3305" s="1942"/>
      <c r="BB3305" s="575"/>
      <c r="BC3305" s="576"/>
      <c r="BD3305" s="678"/>
      <c r="BE3305" s="585"/>
    </row>
    <row r="3306" spans="1:57" s="51" customFormat="1" ht="15" hidden="1" customHeight="1" outlineLevel="1" x14ac:dyDescent="0.25">
      <c r="A3306" s="2060"/>
      <c r="B3306" s="576"/>
      <c r="C3306" s="328"/>
      <c r="D3306" s="3990"/>
      <c r="E3306" s="4009"/>
      <c r="F3306" s="3010" t="str">
        <f>$E$1425</f>
        <v>ASHP-SEER16-Replace_CAC_ElectricHeat_ER1_SF</v>
      </c>
      <c r="G3306" s="2676"/>
      <c r="H3306" s="2676"/>
      <c r="I3306" s="2677"/>
      <c r="J3306" s="3298" t="str">
        <f>$C$1425</f>
        <v>352500_2021_12_</v>
      </c>
      <c r="K3306" s="793">
        <v>1</v>
      </c>
      <c r="L3306" s="850"/>
      <c r="M3306" s="858"/>
      <c r="N3306" s="123"/>
      <c r="O3306" s="228"/>
      <c r="P3306" s="844"/>
      <c r="Q3306" s="844"/>
      <c r="R3306" s="844"/>
      <c r="S3306" s="832"/>
      <c r="T3306" s="3082"/>
      <c r="U3306" s="123"/>
      <c r="V3306" s="3990"/>
      <c r="W3306" s="793">
        <v>1</v>
      </c>
      <c r="X3306" s="793">
        <v>1</v>
      </c>
      <c r="Y3306" s="793">
        <v>1</v>
      </c>
      <c r="Z3306" s="793">
        <v>1</v>
      </c>
      <c r="AA3306" s="793">
        <v>1</v>
      </c>
      <c r="AB3306" s="793">
        <v>1</v>
      </c>
      <c r="AC3306" s="793">
        <v>1</v>
      </c>
      <c r="AD3306" s="793"/>
      <c r="AE3306" s="793"/>
      <c r="AF3306" s="793"/>
      <c r="AG3306" s="793"/>
      <c r="AH3306" s="1942"/>
      <c r="AI3306" s="1942"/>
      <c r="AJ3306" s="1942"/>
      <c r="AK3306" s="1942"/>
      <c r="AL3306" s="1942"/>
      <c r="AM3306" s="1942"/>
      <c r="AN3306" s="1942"/>
      <c r="AO3306" s="1942"/>
      <c r="AP3306" s="1942"/>
      <c r="AQ3306" s="1942"/>
      <c r="AR3306" s="1942"/>
      <c r="AS3306" s="1942"/>
      <c r="AT3306" s="1942"/>
      <c r="AU3306" s="1942"/>
      <c r="AV3306" s="1942"/>
      <c r="AW3306" s="1942"/>
      <c r="AX3306" s="1942"/>
      <c r="AY3306" s="1942"/>
      <c r="AZ3306" s="1942"/>
      <c r="BA3306" s="1942"/>
      <c r="BB3306" s="575"/>
      <c r="BC3306" s="576"/>
      <c r="BD3306" s="678"/>
      <c r="BE3306" s="585"/>
    </row>
    <row r="3307" spans="1:57" s="51" customFormat="1" ht="15" hidden="1" customHeight="1" outlineLevel="1" x14ac:dyDescent="0.25">
      <c r="A3307" s="2060"/>
      <c r="B3307" s="576"/>
      <c r="C3307" s="328"/>
      <c r="D3307" s="3990"/>
      <c r="E3307" s="4009"/>
      <c r="F3307" s="3010" t="str">
        <f>$E$1427</f>
        <v>ASHP-SEER16-Replace_CAC_ElectricHeat_ER2_SF</v>
      </c>
      <c r="G3307" s="2676"/>
      <c r="H3307" s="2676"/>
      <c r="I3307" s="2677"/>
      <c r="J3307" s="3298" t="str">
        <f>$C$1427</f>
        <v>352500_2021_12_</v>
      </c>
      <c r="K3307" s="863">
        <v>1</v>
      </c>
      <c r="L3307" s="850"/>
      <c r="M3307" s="858"/>
      <c r="N3307" s="123"/>
      <c r="O3307" s="228"/>
      <c r="P3307" s="844"/>
      <c r="Q3307" s="844"/>
      <c r="R3307" s="844"/>
      <c r="S3307" s="832"/>
      <c r="T3307" s="3082"/>
      <c r="U3307" s="123"/>
      <c r="V3307" s="3990"/>
      <c r="W3307" s="793">
        <v>1</v>
      </c>
      <c r="X3307" s="793">
        <v>1</v>
      </c>
      <c r="Y3307" s="793">
        <v>1</v>
      </c>
      <c r="Z3307" s="793">
        <v>1</v>
      </c>
      <c r="AA3307" s="793">
        <v>1</v>
      </c>
      <c r="AB3307" s="793">
        <v>1</v>
      </c>
      <c r="AC3307" s="863">
        <v>1</v>
      </c>
      <c r="AD3307" s="793"/>
      <c r="AE3307" s="793"/>
      <c r="AF3307" s="793"/>
      <c r="AG3307" s="793"/>
      <c r="AH3307" s="1942"/>
      <c r="AI3307" s="1942"/>
      <c r="AJ3307" s="1942"/>
      <c r="AK3307" s="1942"/>
      <c r="AL3307" s="1942"/>
      <c r="AM3307" s="1942"/>
      <c r="AN3307" s="1942"/>
      <c r="AO3307" s="1942"/>
      <c r="AP3307" s="1942"/>
      <c r="AQ3307" s="1942"/>
      <c r="AR3307" s="1942"/>
      <c r="AS3307" s="1942"/>
      <c r="AT3307" s="1942"/>
      <c r="AU3307" s="1942"/>
      <c r="AV3307" s="1942"/>
      <c r="AW3307" s="1942"/>
      <c r="AX3307" s="1942"/>
      <c r="AY3307" s="1942"/>
      <c r="AZ3307" s="1942"/>
      <c r="BA3307" s="1942"/>
      <c r="BB3307" s="575"/>
      <c r="BC3307" s="576"/>
      <c r="BD3307" s="678"/>
      <c r="BE3307" s="585"/>
    </row>
    <row r="3308" spans="1:57" s="1942" customFormat="1" ht="15" hidden="1" customHeight="1" outlineLevel="1" x14ac:dyDescent="0.25">
      <c r="A3308" s="2060"/>
      <c r="B3308" s="576"/>
      <c r="C3308" s="328"/>
      <c r="D3308" s="3990"/>
      <c r="E3308" s="4009"/>
      <c r="F3308" s="3010" t="str">
        <f>$E$1429</f>
        <v>ASHP-SEER16-Replace_CAC_NonElectricHeat_ER1_SF</v>
      </c>
      <c r="G3308" s="2676"/>
      <c r="H3308" s="2676"/>
      <c r="I3308" s="2677"/>
      <c r="J3308" s="3298" t="str">
        <f>$C$1429</f>
        <v>352510_2021_12_</v>
      </c>
      <c r="K3308" s="3052">
        <v>1</v>
      </c>
      <c r="L3308" s="850"/>
      <c r="M3308" s="858"/>
      <c r="N3308" s="123"/>
      <c r="O3308" s="228"/>
      <c r="P3308" s="844"/>
      <c r="Q3308" s="844"/>
      <c r="R3308" s="844"/>
      <c r="S3308" s="832"/>
      <c r="T3308" s="3082"/>
      <c r="U3308" s="123"/>
      <c r="V3308" s="3990"/>
      <c r="W3308" s="793"/>
      <c r="X3308" s="793"/>
      <c r="Y3308" s="793"/>
      <c r="Z3308" s="793"/>
      <c r="AA3308" s="793"/>
      <c r="AB3308" s="793"/>
      <c r="AC3308" s="3052">
        <v>1</v>
      </c>
      <c r="AD3308" s="793"/>
      <c r="AE3308" s="793"/>
      <c r="AF3308" s="793"/>
      <c r="AG3308" s="793"/>
      <c r="BB3308" s="575"/>
      <c r="BC3308" s="576"/>
      <c r="BD3308" s="678"/>
      <c r="BE3308" s="585"/>
    </row>
    <row r="3309" spans="1:57" s="1942" customFormat="1" ht="15" hidden="1" customHeight="1" outlineLevel="1" x14ac:dyDescent="0.25">
      <c r="A3309" s="2060"/>
      <c r="B3309" s="576"/>
      <c r="C3309" s="328"/>
      <c r="D3309" s="3990"/>
      <c r="E3309" s="4009"/>
      <c r="F3309" s="3010" t="str">
        <f>$E$1431</f>
        <v>ASHP-SEER16-Replace_CAC_NonElectricHeat_ER2_SF</v>
      </c>
      <c r="G3309" s="2676"/>
      <c r="H3309" s="2676"/>
      <c r="I3309" s="2677"/>
      <c r="J3309" s="3298" t="str">
        <f>$C$1431</f>
        <v>352510_2021_12_</v>
      </c>
      <c r="K3309" s="3052">
        <v>1</v>
      </c>
      <c r="L3309" s="850"/>
      <c r="M3309" s="858"/>
      <c r="N3309" s="123"/>
      <c r="O3309" s="228"/>
      <c r="P3309" s="844"/>
      <c r="Q3309" s="844"/>
      <c r="R3309" s="844"/>
      <c r="S3309" s="832"/>
      <c r="T3309" s="3082"/>
      <c r="U3309" s="123"/>
      <c r="V3309" s="3990"/>
      <c r="W3309" s="793"/>
      <c r="X3309" s="793"/>
      <c r="Y3309" s="793"/>
      <c r="Z3309" s="793"/>
      <c r="AA3309" s="793"/>
      <c r="AB3309" s="793"/>
      <c r="AC3309" s="3052">
        <v>1</v>
      </c>
      <c r="AD3309" s="793"/>
      <c r="AE3309" s="793"/>
      <c r="AF3309" s="793"/>
      <c r="AG3309" s="793"/>
      <c r="BB3309" s="575"/>
      <c r="BC3309" s="576"/>
      <c r="BD3309" s="678"/>
      <c r="BE3309" s="585"/>
    </row>
    <row r="3310" spans="1:57" s="51" customFormat="1" ht="15" hidden="1" customHeight="1" outlineLevel="1" x14ac:dyDescent="0.25">
      <c r="A3310" s="2060"/>
      <c r="B3310" s="576"/>
      <c r="C3310" s="328"/>
      <c r="D3310" s="3990"/>
      <c r="E3310" s="4009"/>
      <c r="F3310" s="3010" t="str">
        <f>$E$1433</f>
        <v>ASHP-SEER16_ER1_SF</v>
      </c>
      <c r="G3310" s="2676"/>
      <c r="H3310" s="2676"/>
      <c r="I3310" s="2677"/>
      <c r="J3310" s="3298" t="str">
        <f>$C$1433</f>
        <v>352550_2021_12_</v>
      </c>
      <c r="K3310" s="793">
        <v>1</v>
      </c>
      <c r="L3310" s="850"/>
      <c r="M3310" s="858"/>
      <c r="N3310" s="123"/>
      <c r="O3310" s="228"/>
      <c r="P3310" s="844"/>
      <c r="Q3310" s="844"/>
      <c r="R3310" s="844"/>
      <c r="S3310" s="832"/>
      <c r="T3310" s="3082"/>
      <c r="U3310" s="123"/>
      <c r="V3310" s="3990"/>
      <c r="W3310" s="793">
        <v>1</v>
      </c>
      <c r="X3310" s="793">
        <v>1</v>
      </c>
      <c r="Y3310" s="793">
        <v>1</v>
      </c>
      <c r="Z3310" s="793">
        <v>1</v>
      </c>
      <c r="AA3310" s="793">
        <v>1</v>
      </c>
      <c r="AB3310" s="793">
        <v>1</v>
      </c>
      <c r="AC3310" s="793">
        <v>1</v>
      </c>
      <c r="AD3310" s="793"/>
      <c r="AE3310" s="793"/>
      <c r="AF3310" s="793"/>
      <c r="AG3310" s="793"/>
      <c r="AH3310" s="1942"/>
      <c r="AI3310" s="1942"/>
      <c r="AJ3310" s="1942"/>
      <c r="AK3310" s="1942"/>
      <c r="AL3310" s="1942"/>
      <c r="AM3310" s="1942"/>
      <c r="AN3310" s="1942"/>
      <c r="AO3310" s="1942"/>
      <c r="AP3310" s="1942"/>
      <c r="AQ3310" s="1942"/>
      <c r="AR3310" s="1942"/>
      <c r="AS3310" s="1942"/>
      <c r="AT3310" s="1942"/>
      <c r="AU3310" s="1942"/>
      <c r="AV3310" s="1942"/>
      <c r="AW3310" s="1942"/>
      <c r="AX3310" s="1942"/>
      <c r="AY3310" s="1942"/>
      <c r="AZ3310" s="1942"/>
      <c r="BA3310" s="1942"/>
      <c r="BB3310" s="575"/>
      <c r="BC3310" s="576"/>
      <c r="BD3310" s="678"/>
      <c r="BE3310" s="585"/>
    </row>
    <row r="3311" spans="1:57" s="51" customFormat="1" ht="15" hidden="1" customHeight="1" outlineLevel="1" x14ac:dyDescent="0.25">
      <c r="A3311" s="2060"/>
      <c r="B3311" s="576"/>
      <c r="C3311" s="328"/>
      <c r="D3311" s="3990"/>
      <c r="E3311" s="4009"/>
      <c r="F3311" s="3010" t="str">
        <f>$E$1435</f>
        <v>ASHP-SEER16_ER2_SF</v>
      </c>
      <c r="G3311" s="2676"/>
      <c r="H3311" s="2676"/>
      <c r="I3311" s="2677"/>
      <c r="J3311" s="3298" t="str">
        <f>$C$1435</f>
        <v>352550_2021_12_</v>
      </c>
      <c r="K3311" s="793">
        <v>1</v>
      </c>
      <c r="L3311" s="851"/>
      <c r="M3311" s="858"/>
      <c r="N3311" s="123"/>
      <c r="O3311" s="228"/>
      <c r="P3311" s="844"/>
      <c r="Q3311" s="844"/>
      <c r="R3311" s="844"/>
      <c r="S3311" s="832"/>
      <c r="T3311" s="3082"/>
      <c r="U3311" s="123"/>
      <c r="V3311" s="3990"/>
      <c r="W3311" s="793">
        <v>1</v>
      </c>
      <c r="X3311" s="793">
        <v>1</v>
      </c>
      <c r="Y3311" s="793">
        <v>1</v>
      </c>
      <c r="Z3311" s="793">
        <v>1</v>
      </c>
      <c r="AA3311" s="793">
        <v>1</v>
      </c>
      <c r="AB3311" s="793">
        <v>1</v>
      </c>
      <c r="AC3311" s="793">
        <v>1</v>
      </c>
      <c r="AD3311" s="793"/>
      <c r="AE3311" s="793"/>
      <c r="AF3311" s="793"/>
      <c r="AG3311" s="793"/>
      <c r="AH3311" s="1942"/>
      <c r="AI3311" s="1942"/>
      <c r="AJ3311" s="1942"/>
      <c r="AK3311" s="1942"/>
      <c r="AL3311" s="1942"/>
      <c r="AM3311" s="1942"/>
      <c r="AN3311" s="1942"/>
      <c r="AO3311" s="1942"/>
      <c r="AP3311" s="1942"/>
      <c r="AQ3311" s="1942"/>
      <c r="AR3311" s="1942"/>
      <c r="AS3311" s="1942"/>
      <c r="AT3311" s="1942"/>
      <c r="AU3311" s="1942"/>
      <c r="AV3311" s="1942"/>
      <c r="AW3311" s="1942"/>
      <c r="AX3311" s="1942"/>
      <c r="AY3311" s="1942"/>
      <c r="AZ3311" s="1942"/>
      <c r="BA3311" s="1942"/>
      <c r="BB3311" s="575"/>
      <c r="BC3311" s="576"/>
      <c r="BD3311" s="678"/>
      <c r="BE3311" s="585"/>
    </row>
    <row r="3312" spans="1:57" s="51" customFormat="1" ht="15" hidden="1" customHeight="1" outlineLevel="1" x14ac:dyDescent="0.25">
      <c r="A3312" s="2060"/>
      <c r="B3312" s="576"/>
      <c r="C3312" s="328"/>
      <c r="D3312" s="3990"/>
      <c r="E3312" s="4009"/>
      <c r="F3312" s="3010" t="str">
        <f>$E$1437</f>
        <v>ASHP-SEER16-Replace_CAC_ElectricHeat_ROF_SF</v>
      </c>
      <c r="G3312" s="2676"/>
      <c r="H3312" s="2676"/>
      <c r="I3312" s="2677"/>
      <c r="J3312" s="3298" t="str">
        <f>$C$1437</f>
        <v>352600_2021_12_</v>
      </c>
      <c r="K3312" s="793">
        <v>1</v>
      </c>
      <c r="L3312" s="851"/>
      <c r="M3312" s="858"/>
      <c r="N3312" s="123"/>
      <c r="O3312" s="228"/>
      <c r="P3312" s="844"/>
      <c r="Q3312" s="844"/>
      <c r="R3312" s="844"/>
      <c r="S3312" s="832"/>
      <c r="T3312" s="3082"/>
      <c r="U3312" s="123"/>
      <c r="V3312" s="3990"/>
      <c r="W3312" s="793">
        <v>1</v>
      </c>
      <c r="X3312" s="793">
        <v>1</v>
      </c>
      <c r="Y3312" s="793">
        <v>1</v>
      </c>
      <c r="Z3312" s="793">
        <v>1</v>
      </c>
      <c r="AA3312" s="793">
        <v>1</v>
      </c>
      <c r="AB3312" s="793">
        <v>1</v>
      </c>
      <c r="AC3312" s="793">
        <v>1</v>
      </c>
      <c r="AD3312" s="793"/>
      <c r="AE3312" s="793"/>
      <c r="AF3312" s="793"/>
      <c r="AG3312" s="793"/>
      <c r="AH3312" s="1942"/>
      <c r="AI3312" s="1942"/>
      <c r="AJ3312" s="1942"/>
      <c r="AK3312" s="1942"/>
      <c r="AL3312" s="1942"/>
      <c r="AM3312" s="1942"/>
      <c r="AN3312" s="1942"/>
      <c r="AO3312" s="1942"/>
      <c r="AP3312" s="1942"/>
      <c r="AQ3312" s="1942"/>
      <c r="AR3312" s="1942"/>
      <c r="AS3312" s="1942"/>
      <c r="AT3312" s="1942"/>
      <c r="AU3312" s="1942"/>
      <c r="AV3312" s="1942"/>
      <c r="AW3312" s="1942"/>
      <c r="AX3312" s="1942"/>
      <c r="AY3312" s="1942"/>
      <c r="AZ3312" s="1942"/>
      <c r="BA3312" s="1942"/>
      <c r="BB3312" s="575"/>
      <c r="BC3312" s="576"/>
      <c r="BD3312" s="678"/>
      <c r="BE3312" s="585"/>
    </row>
    <row r="3313" spans="1:57" s="51" customFormat="1" ht="15" hidden="1" customHeight="1" outlineLevel="1" x14ac:dyDescent="0.25">
      <c r="A3313" s="2060"/>
      <c r="B3313" s="576"/>
      <c r="C3313" s="328"/>
      <c r="D3313" s="3990"/>
      <c r="E3313" s="4009"/>
      <c r="F3313" s="3010" t="str">
        <f>$E$1439</f>
        <v>ASHP-SEER16_ROF_SF</v>
      </c>
      <c r="G3313" s="2676"/>
      <c r="H3313" s="2676"/>
      <c r="I3313" s="2677"/>
      <c r="J3313" s="3298" t="str">
        <f>$C$1439</f>
        <v>352650_2021_12_</v>
      </c>
      <c r="K3313" s="793">
        <v>1</v>
      </c>
      <c r="L3313" s="851"/>
      <c r="M3313" s="858"/>
      <c r="N3313" s="123"/>
      <c r="O3313" s="228"/>
      <c r="P3313" s="844"/>
      <c r="Q3313" s="844"/>
      <c r="R3313" s="844"/>
      <c r="S3313" s="832"/>
      <c r="T3313" s="3082"/>
      <c r="U3313" s="123"/>
      <c r="V3313" s="3990"/>
      <c r="W3313" s="793">
        <v>1</v>
      </c>
      <c r="X3313" s="793">
        <v>1</v>
      </c>
      <c r="Y3313" s="793">
        <v>1</v>
      </c>
      <c r="Z3313" s="793">
        <v>1</v>
      </c>
      <c r="AA3313" s="793">
        <v>1</v>
      </c>
      <c r="AB3313" s="793">
        <v>1</v>
      </c>
      <c r="AC3313" s="793">
        <v>1</v>
      </c>
      <c r="AD3313" s="793"/>
      <c r="AE3313" s="793"/>
      <c r="AF3313" s="793"/>
      <c r="AG3313" s="793"/>
      <c r="AH3313" s="1942"/>
      <c r="AI3313" s="1942"/>
      <c r="AJ3313" s="1942"/>
      <c r="AK3313" s="1942"/>
      <c r="AL3313" s="1942"/>
      <c r="AM3313" s="1942"/>
      <c r="AN3313" s="1942"/>
      <c r="AO3313" s="1942"/>
      <c r="AP3313" s="1942"/>
      <c r="AQ3313" s="1942"/>
      <c r="AR3313" s="1942"/>
      <c r="AS3313" s="1942"/>
      <c r="AT3313" s="1942"/>
      <c r="AU3313" s="1942"/>
      <c r="AV3313" s="1942"/>
      <c r="AW3313" s="1942"/>
      <c r="AX3313" s="1942"/>
      <c r="AY3313" s="1942"/>
      <c r="AZ3313" s="1942"/>
      <c r="BA3313" s="1942"/>
      <c r="BB3313" s="575"/>
      <c r="BC3313" s="576"/>
      <c r="BD3313" s="678"/>
      <c r="BE3313" s="585"/>
    </row>
    <row r="3314" spans="1:57" s="51" customFormat="1" ht="15" hidden="1" customHeight="1" outlineLevel="1" x14ac:dyDescent="0.25">
      <c r="A3314" s="2060"/>
      <c r="B3314" s="576"/>
      <c r="C3314" s="328"/>
      <c r="D3314" s="3990"/>
      <c r="E3314" s="4009"/>
      <c r="F3314" s="3010" t="str">
        <f>$E$1441</f>
        <v>ASHP-SEER15_ER1_MF</v>
      </c>
      <c r="G3314" s="2676"/>
      <c r="H3314" s="2676"/>
      <c r="I3314" s="2677"/>
      <c r="J3314" s="3298" t="str">
        <f>$C$1441</f>
        <v>352700_2021_12_</v>
      </c>
      <c r="K3314" s="793">
        <v>0.65</v>
      </c>
      <c r="L3314" s="851"/>
      <c r="M3314" s="698" t="s">
        <v>1011</v>
      </c>
      <c r="N3314" s="123"/>
      <c r="O3314" s="228"/>
      <c r="P3314" s="844"/>
      <c r="Q3314" s="844"/>
      <c r="R3314" s="844"/>
      <c r="S3314" s="832"/>
      <c r="T3314" s="3082"/>
      <c r="U3314" s="123"/>
      <c r="V3314" s="3990"/>
      <c r="W3314" s="793">
        <v>0.65</v>
      </c>
      <c r="X3314" s="793">
        <v>0.65</v>
      </c>
      <c r="Y3314" s="793">
        <v>0.65</v>
      </c>
      <c r="Z3314" s="793">
        <v>0.65</v>
      </c>
      <c r="AA3314" s="793">
        <v>0.65</v>
      </c>
      <c r="AB3314" s="793">
        <v>0.65</v>
      </c>
      <c r="AC3314" s="793">
        <v>0.65</v>
      </c>
      <c r="AD3314" s="793"/>
      <c r="AE3314" s="793"/>
      <c r="AF3314" s="793"/>
      <c r="AG3314" s="793"/>
      <c r="AH3314" s="1942"/>
      <c r="AI3314" s="1942"/>
      <c r="AJ3314" s="1942"/>
      <c r="AK3314" s="1942"/>
      <c r="AL3314" s="1942"/>
      <c r="AM3314" s="1942"/>
      <c r="AN3314" s="1942"/>
      <c r="AO3314" s="1942"/>
      <c r="AP3314" s="1942"/>
      <c r="AQ3314" s="1942"/>
      <c r="AR3314" s="1942"/>
      <c r="AS3314" s="1942"/>
      <c r="AT3314" s="1942"/>
      <c r="AU3314" s="1942"/>
      <c r="AV3314" s="1942"/>
      <c r="AW3314" s="1942"/>
      <c r="AX3314" s="1942"/>
      <c r="AY3314" s="1942"/>
      <c r="AZ3314" s="1942"/>
      <c r="BA3314" s="1942"/>
      <c r="BB3314" s="575"/>
      <c r="BC3314" s="576"/>
      <c r="BD3314" s="678"/>
      <c r="BE3314" s="585"/>
    </row>
    <row r="3315" spans="1:57" s="51" customFormat="1" ht="15" hidden="1" customHeight="1" outlineLevel="1" x14ac:dyDescent="0.25">
      <c r="A3315" s="2060"/>
      <c r="B3315" s="576"/>
      <c r="C3315" s="328"/>
      <c r="D3315" s="3990"/>
      <c r="E3315" s="4009"/>
      <c r="F3315" s="3010" t="str">
        <f>$E$1443</f>
        <v>ASHP-SEER15_ER2_MF</v>
      </c>
      <c r="G3315" s="2676"/>
      <c r="H3315" s="2676"/>
      <c r="I3315" s="2677"/>
      <c r="J3315" s="3298" t="str">
        <f>$C$1443</f>
        <v>352700_2021_12_</v>
      </c>
      <c r="K3315" s="793">
        <v>0.65</v>
      </c>
      <c r="L3315" s="851"/>
      <c r="M3315" s="698" t="s">
        <v>1011</v>
      </c>
      <c r="N3315" s="123"/>
      <c r="O3315" s="228"/>
      <c r="P3315" s="844"/>
      <c r="Q3315" s="844"/>
      <c r="R3315" s="844"/>
      <c r="S3315" s="832"/>
      <c r="T3315" s="3082"/>
      <c r="U3315" s="123"/>
      <c r="V3315" s="3990"/>
      <c r="W3315" s="793">
        <v>0.65</v>
      </c>
      <c r="X3315" s="793">
        <v>0.65</v>
      </c>
      <c r="Y3315" s="793">
        <v>0.65</v>
      </c>
      <c r="Z3315" s="793">
        <v>0.65</v>
      </c>
      <c r="AA3315" s="793">
        <v>0.65</v>
      </c>
      <c r="AB3315" s="793">
        <v>0.65</v>
      </c>
      <c r="AC3315" s="793">
        <v>0.65</v>
      </c>
      <c r="AD3315" s="793"/>
      <c r="AE3315" s="793"/>
      <c r="AF3315" s="793"/>
      <c r="AG3315" s="793"/>
      <c r="AH3315" s="1942"/>
      <c r="AI3315" s="1942"/>
      <c r="AJ3315" s="1942"/>
      <c r="AK3315" s="1942"/>
      <c r="AL3315" s="1942"/>
      <c r="AM3315" s="1942"/>
      <c r="AN3315" s="1942"/>
      <c r="AO3315" s="1942"/>
      <c r="AP3315" s="1942"/>
      <c r="AQ3315" s="1942"/>
      <c r="AR3315" s="1942"/>
      <c r="AS3315" s="1942"/>
      <c r="AT3315" s="1942"/>
      <c r="AU3315" s="1942"/>
      <c r="AV3315" s="1942"/>
      <c r="AW3315" s="1942"/>
      <c r="AX3315" s="1942"/>
      <c r="AY3315" s="1942"/>
      <c r="AZ3315" s="1942"/>
      <c r="BA3315" s="1942"/>
      <c r="BB3315" s="575"/>
      <c r="BC3315" s="576"/>
      <c r="BD3315" s="678"/>
      <c r="BE3315" s="585"/>
    </row>
    <row r="3316" spans="1:57" s="51" customFormat="1" ht="15" hidden="1" customHeight="1" outlineLevel="1" x14ac:dyDescent="0.25">
      <c r="A3316" s="2060"/>
      <c r="B3316" s="576"/>
      <c r="C3316" s="328"/>
      <c r="D3316" s="3990"/>
      <c r="E3316" s="4009"/>
      <c r="F3316" s="3010" t="str">
        <f>$E$1445</f>
        <v>ASHP-SEER15_ER1_MF_CompE</v>
      </c>
      <c r="G3316" s="2676"/>
      <c r="H3316" s="2676"/>
      <c r="I3316" s="2677"/>
      <c r="J3316" s="3298" t="str">
        <f>$C$1445</f>
        <v>352701_2021_12_</v>
      </c>
      <c r="K3316" s="793">
        <f>K3314</f>
        <v>0.65</v>
      </c>
      <c r="L3316" s="851"/>
      <c r="M3316" s="698"/>
      <c r="N3316" s="123"/>
      <c r="O3316" s="228"/>
      <c r="P3316" s="844"/>
      <c r="Q3316" s="844"/>
      <c r="R3316" s="844"/>
      <c r="S3316" s="832"/>
      <c r="T3316" s="3082"/>
      <c r="U3316" s="123"/>
      <c r="V3316" s="3990"/>
      <c r="W3316" s="793"/>
      <c r="X3316" s="793"/>
      <c r="Y3316" s="791">
        <v>0.65</v>
      </c>
      <c r="Z3316" s="793">
        <v>0.65</v>
      </c>
      <c r="AA3316" s="793">
        <v>0.65</v>
      </c>
      <c r="AB3316" s="793">
        <v>0.65</v>
      </c>
      <c r="AC3316" s="793">
        <f>AC3314</f>
        <v>0.65</v>
      </c>
      <c r="AD3316" s="793"/>
      <c r="AE3316" s="793"/>
      <c r="AF3316" s="793"/>
      <c r="AG3316" s="793"/>
      <c r="AH3316" s="1942"/>
      <c r="AI3316" s="1942"/>
      <c r="AJ3316" s="1942"/>
      <c r="AK3316" s="1942"/>
      <c r="AL3316" s="1942"/>
      <c r="AM3316" s="1942"/>
      <c r="AN3316" s="1942"/>
      <c r="AO3316" s="1942"/>
      <c r="AP3316" s="1942"/>
      <c r="AQ3316" s="1942"/>
      <c r="AR3316" s="1942"/>
      <c r="AS3316" s="1942"/>
      <c r="AT3316" s="1942"/>
      <c r="AU3316" s="1942"/>
      <c r="AV3316" s="1942"/>
      <c r="AW3316" s="1942"/>
      <c r="AX3316" s="1942"/>
      <c r="AY3316" s="1942"/>
      <c r="AZ3316" s="1942"/>
      <c r="BA3316" s="1942"/>
      <c r="BB3316" s="575"/>
      <c r="BC3316" s="576"/>
      <c r="BD3316" s="678"/>
      <c r="BE3316" s="585"/>
    </row>
    <row r="3317" spans="1:57" s="51" customFormat="1" ht="15" hidden="1" customHeight="1" outlineLevel="1" x14ac:dyDescent="0.25">
      <c r="A3317" s="2060"/>
      <c r="B3317" s="576"/>
      <c r="C3317" s="328"/>
      <c r="D3317" s="3990"/>
      <c r="E3317" s="4009"/>
      <c r="F3317" s="3010" t="str">
        <f>$E$1447</f>
        <v>ASHP-SEER15_ER2_MF_CompE</v>
      </c>
      <c r="G3317" s="2676"/>
      <c r="H3317" s="2676"/>
      <c r="I3317" s="2677"/>
      <c r="J3317" s="3298" t="str">
        <f>$C$1447</f>
        <v>352701_2021_12_</v>
      </c>
      <c r="K3317" s="793">
        <f>K3315</f>
        <v>0.65</v>
      </c>
      <c r="L3317" s="851"/>
      <c r="M3317" s="698"/>
      <c r="N3317" s="123"/>
      <c r="O3317" s="228"/>
      <c r="P3317" s="844"/>
      <c r="Q3317" s="844"/>
      <c r="R3317" s="844"/>
      <c r="S3317" s="832"/>
      <c r="T3317" s="3082"/>
      <c r="U3317" s="123"/>
      <c r="V3317" s="3990"/>
      <c r="W3317" s="793"/>
      <c r="X3317" s="793"/>
      <c r="Y3317" s="791">
        <v>0.65</v>
      </c>
      <c r="Z3317" s="793">
        <v>0.65</v>
      </c>
      <c r="AA3317" s="793">
        <v>0.65</v>
      </c>
      <c r="AB3317" s="793">
        <v>0.65</v>
      </c>
      <c r="AC3317" s="793">
        <f>AC3315</f>
        <v>0.65</v>
      </c>
      <c r="AD3317" s="793"/>
      <c r="AE3317" s="793"/>
      <c r="AF3317" s="793"/>
      <c r="AG3317" s="793"/>
      <c r="AH3317" s="1942"/>
      <c r="AI3317" s="1942"/>
      <c r="AJ3317" s="1942"/>
      <c r="AK3317" s="1942"/>
      <c r="AL3317" s="1942"/>
      <c r="AM3317" s="1942"/>
      <c r="AN3317" s="1942"/>
      <c r="AO3317" s="1942"/>
      <c r="AP3317" s="1942"/>
      <c r="AQ3317" s="1942"/>
      <c r="AR3317" s="1942"/>
      <c r="AS3317" s="1942"/>
      <c r="AT3317" s="1942"/>
      <c r="AU3317" s="1942"/>
      <c r="AV3317" s="1942"/>
      <c r="AW3317" s="1942"/>
      <c r="AX3317" s="1942"/>
      <c r="AY3317" s="1942"/>
      <c r="AZ3317" s="1942"/>
      <c r="BA3317" s="1942"/>
      <c r="BB3317" s="575"/>
      <c r="BC3317" s="576"/>
      <c r="BD3317" s="678"/>
      <c r="BE3317" s="585"/>
    </row>
    <row r="3318" spans="1:57" s="51" customFormat="1" ht="15" hidden="1" customHeight="1" outlineLevel="1" x14ac:dyDescent="0.25">
      <c r="A3318" s="2060"/>
      <c r="B3318" s="576"/>
      <c r="C3318" s="328"/>
      <c r="D3318" s="3990"/>
      <c r="E3318" s="4009"/>
      <c r="F3318" s="3010" t="str">
        <f>$E$1449</f>
        <v>ASHP-SEER15-Replace_CAC_ElectricHeat_ER1_MF</v>
      </c>
      <c r="G3318" s="2676"/>
      <c r="H3318" s="2676"/>
      <c r="I3318" s="2677"/>
      <c r="J3318" s="3298" t="str">
        <f>$C$1449</f>
        <v>352750_2021_12_</v>
      </c>
      <c r="K3318" s="793">
        <v>0.65</v>
      </c>
      <c r="L3318" s="851"/>
      <c r="M3318" s="698" t="s">
        <v>1011</v>
      </c>
      <c r="N3318" s="123"/>
      <c r="O3318" s="228"/>
      <c r="P3318" s="844"/>
      <c r="Q3318" s="844"/>
      <c r="R3318" s="844"/>
      <c r="S3318" s="832"/>
      <c r="T3318" s="3082"/>
      <c r="U3318" s="123"/>
      <c r="V3318" s="3990"/>
      <c r="W3318" s="793">
        <v>0.65</v>
      </c>
      <c r="X3318" s="793">
        <v>0.65</v>
      </c>
      <c r="Y3318" s="793">
        <v>0.65</v>
      </c>
      <c r="Z3318" s="793">
        <v>0.65</v>
      </c>
      <c r="AA3318" s="793">
        <v>0.65</v>
      </c>
      <c r="AB3318" s="793">
        <v>0.65</v>
      </c>
      <c r="AC3318" s="793">
        <v>0.65</v>
      </c>
      <c r="AD3318" s="793"/>
      <c r="AE3318" s="793"/>
      <c r="AF3318" s="793"/>
      <c r="AG3318" s="793"/>
      <c r="AH3318" s="1942"/>
      <c r="AI3318" s="1942"/>
      <c r="AJ3318" s="1942"/>
      <c r="AK3318" s="1942"/>
      <c r="AL3318" s="1942"/>
      <c r="AM3318" s="1942"/>
      <c r="AN3318" s="1942"/>
      <c r="AO3318" s="1942"/>
      <c r="AP3318" s="1942"/>
      <c r="AQ3318" s="1942"/>
      <c r="AR3318" s="1942"/>
      <c r="AS3318" s="1942"/>
      <c r="AT3318" s="1942"/>
      <c r="AU3318" s="1942"/>
      <c r="AV3318" s="1942"/>
      <c r="AW3318" s="1942"/>
      <c r="AX3318" s="1942"/>
      <c r="AY3318" s="1942"/>
      <c r="AZ3318" s="1942"/>
      <c r="BA3318" s="1942"/>
      <c r="BB3318" s="575"/>
      <c r="BC3318" s="576"/>
      <c r="BD3318" s="678"/>
      <c r="BE3318" s="585"/>
    </row>
    <row r="3319" spans="1:57" s="51" customFormat="1" ht="15" hidden="1" customHeight="1" outlineLevel="1" x14ac:dyDescent="0.25">
      <c r="A3319" s="2060"/>
      <c r="B3319" s="576"/>
      <c r="C3319" s="328"/>
      <c r="D3319" s="3990"/>
      <c r="E3319" s="4009"/>
      <c r="F3319" s="3010" t="str">
        <f>$E$1451</f>
        <v>ASHP-SEER15-Replace_CAC_ElectricHeat_ER2_MF</v>
      </c>
      <c r="G3319" s="2676"/>
      <c r="H3319" s="2676"/>
      <c r="I3319" s="2677"/>
      <c r="J3319" s="3298" t="str">
        <f>$C$1451</f>
        <v>352750_2021_12_</v>
      </c>
      <c r="K3319" s="793">
        <v>0.65</v>
      </c>
      <c r="L3319" s="851"/>
      <c r="M3319" s="698" t="s">
        <v>1011</v>
      </c>
      <c r="N3319" s="123"/>
      <c r="O3319" s="228"/>
      <c r="P3319" s="844"/>
      <c r="Q3319" s="844"/>
      <c r="R3319" s="844"/>
      <c r="S3319" s="832"/>
      <c r="T3319" s="3082"/>
      <c r="U3319" s="123"/>
      <c r="V3319" s="3990"/>
      <c r="W3319" s="793">
        <v>0.65</v>
      </c>
      <c r="X3319" s="793">
        <v>0.65</v>
      </c>
      <c r="Y3319" s="793">
        <v>0.65</v>
      </c>
      <c r="Z3319" s="793">
        <v>0.65</v>
      </c>
      <c r="AA3319" s="793">
        <v>0.65</v>
      </c>
      <c r="AB3319" s="793">
        <v>0.65</v>
      </c>
      <c r="AC3319" s="793">
        <v>0.65</v>
      </c>
      <c r="AD3319" s="793"/>
      <c r="AE3319" s="793"/>
      <c r="AF3319" s="793"/>
      <c r="AG3319" s="793"/>
      <c r="AH3319" s="1942"/>
      <c r="AI3319" s="1942"/>
      <c r="AJ3319" s="1942"/>
      <c r="AK3319" s="1942"/>
      <c r="AL3319" s="1942"/>
      <c r="AM3319" s="1942"/>
      <c r="AN3319" s="1942"/>
      <c r="AO3319" s="1942"/>
      <c r="AP3319" s="1942"/>
      <c r="AQ3319" s="1942"/>
      <c r="AR3319" s="1942"/>
      <c r="AS3319" s="1942"/>
      <c r="AT3319" s="1942"/>
      <c r="AU3319" s="1942"/>
      <c r="AV3319" s="1942"/>
      <c r="AW3319" s="1942"/>
      <c r="AX3319" s="1942"/>
      <c r="AY3319" s="1942"/>
      <c r="AZ3319" s="1942"/>
      <c r="BA3319" s="1942"/>
      <c r="BB3319" s="575"/>
      <c r="BC3319" s="576"/>
      <c r="BD3319" s="678"/>
      <c r="BE3319" s="585"/>
    </row>
    <row r="3320" spans="1:57" s="51" customFormat="1" ht="15" hidden="1" customHeight="1" outlineLevel="1" x14ac:dyDescent="0.25">
      <c r="A3320" s="2060"/>
      <c r="B3320" s="576"/>
      <c r="C3320" s="328"/>
      <c r="D3320" s="3990"/>
      <c r="E3320" s="4009"/>
      <c r="F3320" s="3010" t="str">
        <f>$E$1453</f>
        <v>ASHP-SEER15-Replace_CAC_ElectricHeat_ER1_MF_CompE</v>
      </c>
      <c r="G3320" s="2676"/>
      <c r="H3320" s="2676"/>
      <c r="I3320" s="2677"/>
      <c r="J3320" s="3298" t="str">
        <f>$C$1453</f>
        <v>352751_2021_12_</v>
      </c>
      <c r="K3320" s="793">
        <f>K3318</f>
        <v>0.65</v>
      </c>
      <c r="L3320" s="851"/>
      <c r="M3320" s="698"/>
      <c r="N3320" s="123"/>
      <c r="O3320" s="228"/>
      <c r="P3320" s="844"/>
      <c r="Q3320" s="844"/>
      <c r="R3320" s="844"/>
      <c r="S3320" s="832"/>
      <c r="T3320" s="3082"/>
      <c r="U3320" s="123"/>
      <c r="V3320" s="3990"/>
      <c r="W3320" s="793"/>
      <c r="X3320" s="793"/>
      <c r="Y3320" s="791">
        <v>0.65</v>
      </c>
      <c r="Z3320" s="793">
        <v>0.65</v>
      </c>
      <c r="AA3320" s="793">
        <v>0.65</v>
      </c>
      <c r="AB3320" s="793">
        <v>0.65</v>
      </c>
      <c r="AC3320" s="793">
        <f>AC3318</f>
        <v>0.65</v>
      </c>
      <c r="AD3320" s="793"/>
      <c r="AE3320" s="793"/>
      <c r="AF3320" s="793"/>
      <c r="AG3320" s="793"/>
      <c r="AH3320" s="1942"/>
      <c r="AI3320" s="1942"/>
      <c r="AJ3320" s="1942"/>
      <c r="AK3320" s="1942"/>
      <c r="AL3320" s="1942"/>
      <c r="AM3320" s="1942"/>
      <c r="AN3320" s="1942"/>
      <c r="AO3320" s="1942"/>
      <c r="AP3320" s="1942"/>
      <c r="AQ3320" s="1942"/>
      <c r="AR3320" s="1942"/>
      <c r="AS3320" s="1942"/>
      <c r="AT3320" s="1942"/>
      <c r="AU3320" s="1942"/>
      <c r="AV3320" s="1942"/>
      <c r="AW3320" s="1942"/>
      <c r="AX3320" s="1942"/>
      <c r="AY3320" s="1942"/>
      <c r="AZ3320" s="1942"/>
      <c r="BA3320" s="1942"/>
      <c r="BB3320" s="575"/>
      <c r="BC3320" s="576"/>
      <c r="BD3320" s="678"/>
      <c r="BE3320" s="585"/>
    </row>
    <row r="3321" spans="1:57" s="51" customFormat="1" ht="15" hidden="1" customHeight="1" outlineLevel="1" x14ac:dyDescent="0.25">
      <c r="A3321" s="2060"/>
      <c r="B3321" s="576"/>
      <c r="C3321" s="328"/>
      <c r="D3321" s="3990"/>
      <c r="E3321" s="4009"/>
      <c r="F3321" s="3010" t="str">
        <f>$E$1455</f>
        <v>ASHP-SEER15-Replace_CAC_ElectricHeat_ER2_MF_CompE</v>
      </c>
      <c r="G3321" s="2676"/>
      <c r="H3321" s="2676"/>
      <c r="I3321" s="2677"/>
      <c r="J3321" s="3298" t="str">
        <f>$C$1455</f>
        <v>352751_2021_12_</v>
      </c>
      <c r="K3321" s="863">
        <f>K3319</f>
        <v>0.65</v>
      </c>
      <c r="L3321" s="851"/>
      <c r="M3321" s="698"/>
      <c r="N3321" s="123"/>
      <c r="O3321" s="228"/>
      <c r="P3321" s="844"/>
      <c r="Q3321" s="844"/>
      <c r="R3321" s="844"/>
      <c r="S3321" s="832"/>
      <c r="T3321" s="3082"/>
      <c r="U3321" s="123"/>
      <c r="V3321" s="3990"/>
      <c r="W3321" s="793"/>
      <c r="X3321" s="793"/>
      <c r="Y3321" s="791">
        <v>0.65</v>
      </c>
      <c r="Z3321" s="793">
        <v>0.65</v>
      </c>
      <c r="AA3321" s="793">
        <v>0.65</v>
      </c>
      <c r="AB3321" s="793">
        <v>0.65</v>
      </c>
      <c r="AC3321" s="863">
        <f>AC3319</f>
        <v>0.65</v>
      </c>
      <c r="AD3321" s="793"/>
      <c r="AE3321" s="793"/>
      <c r="AF3321" s="793"/>
      <c r="AG3321" s="793"/>
      <c r="AH3321" s="1942"/>
      <c r="AI3321" s="1942"/>
      <c r="AJ3321" s="1942"/>
      <c r="AK3321" s="1942"/>
      <c r="AL3321" s="1942"/>
      <c r="AM3321" s="1942"/>
      <c r="AN3321" s="1942"/>
      <c r="AO3321" s="1942"/>
      <c r="AP3321" s="1942"/>
      <c r="AQ3321" s="1942"/>
      <c r="AR3321" s="1942"/>
      <c r="AS3321" s="1942"/>
      <c r="AT3321" s="1942"/>
      <c r="AU3321" s="1942"/>
      <c r="AV3321" s="1942"/>
      <c r="AW3321" s="1942"/>
      <c r="AX3321" s="1942"/>
      <c r="AY3321" s="1942"/>
      <c r="AZ3321" s="1942"/>
      <c r="BA3321" s="1942"/>
      <c r="BB3321" s="575"/>
      <c r="BC3321" s="576"/>
      <c r="BD3321" s="678"/>
      <c r="BE3321" s="585"/>
    </row>
    <row r="3322" spans="1:57" s="1942" customFormat="1" ht="15" hidden="1" customHeight="1" outlineLevel="1" x14ac:dyDescent="0.25">
      <c r="A3322" s="2060"/>
      <c r="B3322" s="576"/>
      <c r="C3322" s="328"/>
      <c r="D3322" s="3990"/>
      <c r="E3322" s="4009"/>
      <c r="F3322" s="3010" t="str">
        <f>$E$1457</f>
        <v>ASHP-SEER15-Replace_CAC_NonElectricHeat_ER1_MF</v>
      </c>
      <c r="G3322" s="2676"/>
      <c r="H3322" s="2676"/>
      <c r="I3322" s="2677"/>
      <c r="J3322" s="3298" t="str">
        <f>$C$1457</f>
        <v>352760_2021_12_</v>
      </c>
      <c r="K3322" s="791">
        <v>0.65</v>
      </c>
      <c r="L3322" s="851"/>
      <c r="M3322" s="698"/>
      <c r="N3322" s="123"/>
      <c r="O3322" s="228"/>
      <c r="P3322" s="844"/>
      <c r="Q3322" s="844"/>
      <c r="R3322" s="844"/>
      <c r="S3322" s="832"/>
      <c r="T3322" s="3082"/>
      <c r="U3322" s="123"/>
      <c r="V3322" s="3990"/>
      <c r="W3322" s="793"/>
      <c r="X3322" s="793"/>
      <c r="Y3322" s="791"/>
      <c r="Z3322" s="793"/>
      <c r="AA3322" s="793"/>
      <c r="AB3322" s="793"/>
      <c r="AC3322" s="791">
        <v>0.65</v>
      </c>
      <c r="AD3322" s="793"/>
      <c r="AE3322" s="793"/>
      <c r="AF3322" s="793"/>
      <c r="AG3322" s="793"/>
      <c r="BB3322" s="575"/>
      <c r="BC3322" s="576"/>
      <c r="BD3322" s="678"/>
      <c r="BE3322" s="585"/>
    </row>
    <row r="3323" spans="1:57" s="1942" customFormat="1" ht="15" hidden="1" customHeight="1" outlineLevel="1" x14ac:dyDescent="0.25">
      <c r="A3323" s="2060"/>
      <c r="B3323" s="576"/>
      <c r="C3323" s="328"/>
      <c r="D3323" s="3990"/>
      <c r="E3323" s="4009"/>
      <c r="F3323" s="3010" t="str">
        <f>$E$1459</f>
        <v>ASHP-SEER15-Replace_CAC_NonElectricHeat_ER2_MF</v>
      </c>
      <c r="G3323" s="2676"/>
      <c r="H3323" s="2676"/>
      <c r="I3323" s="2677"/>
      <c r="J3323" s="3298" t="str">
        <f>$C$1459</f>
        <v>352760_2021_12_</v>
      </c>
      <c r="K3323" s="791">
        <v>0.65</v>
      </c>
      <c r="L3323" s="851"/>
      <c r="M3323" s="698"/>
      <c r="N3323" s="123"/>
      <c r="O3323" s="228"/>
      <c r="P3323" s="844"/>
      <c r="Q3323" s="844"/>
      <c r="R3323" s="844"/>
      <c r="S3323" s="832"/>
      <c r="T3323" s="3082"/>
      <c r="U3323" s="123"/>
      <c r="V3323" s="3990"/>
      <c r="W3323" s="793"/>
      <c r="X3323" s="793"/>
      <c r="Y3323" s="791"/>
      <c r="Z3323" s="793"/>
      <c r="AA3323" s="793"/>
      <c r="AB3323" s="793"/>
      <c r="AC3323" s="791">
        <v>0.65</v>
      </c>
      <c r="AD3323" s="793"/>
      <c r="AE3323" s="793"/>
      <c r="AF3323" s="793"/>
      <c r="AG3323" s="793"/>
      <c r="BB3323" s="575"/>
      <c r="BC3323" s="576"/>
      <c r="BD3323" s="678"/>
      <c r="BE3323" s="585"/>
    </row>
    <row r="3324" spans="1:57" s="1942" customFormat="1" ht="15" hidden="1" customHeight="1" outlineLevel="1" x14ac:dyDescent="0.25">
      <c r="A3324" s="2060"/>
      <c r="B3324" s="576"/>
      <c r="C3324" s="328"/>
      <c r="D3324" s="3990"/>
      <c r="E3324" s="4009"/>
      <c r="F3324" s="3010" t="str">
        <f>$E$1461</f>
        <v>ASHP-SEER15-Replace_CAC_NonElectricHeat_ER1_MF_CompE</v>
      </c>
      <c r="G3324" s="2676"/>
      <c r="H3324" s="2676"/>
      <c r="I3324" s="2677"/>
      <c r="J3324" s="3298" t="str">
        <f>$C$1461</f>
        <v>352761_2021_12_</v>
      </c>
      <c r="K3324" s="791">
        <f>K3322</f>
        <v>0.65</v>
      </c>
      <c r="L3324" s="851"/>
      <c r="M3324" s="698"/>
      <c r="N3324" s="123"/>
      <c r="O3324" s="228"/>
      <c r="P3324" s="844"/>
      <c r="Q3324" s="844"/>
      <c r="R3324" s="844"/>
      <c r="S3324" s="832"/>
      <c r="T3324" s="3082"/>
      <c r="U3324" s="123"/>
      <c r="V3324" s="3990"/>
      <c r="W3324" s="793"/>
      <c r="X3324" s="793"/>
      <c r="Y3324" s="791"/>
      <c r="Z3324" s="793"/>
      <c r="AA3324" s="793"/>
      <c r="AB3324" s="793"/>
      <c r="AC3324" s="791">
        <f>AC3322</f>
        <v>0.65</v>
      </c>
      <c r="AD3324" s="793"/>
      <c r="AE3324" s="793"/>
      <c r="AF3324" s="793"/>
      <c r="AG3324" s="793"/>
      <c r="BB3324" s="575"/>
      <c r="BC3324" s="576"/>
      <c r="BD3324" s="678"/>
      <c r="BE3324" s="585"/>
    </row>
    <row r="3325" spans="1:57" s="1942" customFormat="1" ht="15" hidden="1" customHeight="1" outlineLevel="1" x14ac:dyDescent="0.25">
      <c r="A3325" s="2060"/>
      <c r="B3325" s="576"/>
      <c r="C3325" s="328"/>
      <c r="D3325" s="3990"/>
      <c r="E3325" s="4009"/>
      <c r="F3325" s="3010" t="str">
        <f>$E$1463</f>
        <v>ASHP-SEER15-Replace_CAC_NonElectricHeat_ER2_MF_CompE</v>
      </c>
      <c r="G3325" s="2676"/>
      <c r="H3325" s="2676"/>
      <c r="I3325" s="2677"/>
      <c r="J3325" s="3298" t="str">
        <f>$C$1463</f>
        <v>352761_2021_12_</v>
      </c>
      <c r="K3325" s="3053">
        <f>K3323</f>
        <v>0.65</v>
      </c>
      <c r="L3325" s="851"/>
      <c r="M3325" s="698"/>
      <c r="N3325" s="123"/>
      <c r="O3325" s="228"/>
      <c r="P3325" s="844"/>
      <c r="Q3325" s="844"/>
      <c r="R3325" s="844"/>
      <c r="S3325" s="832"/>
      <c r="T3325" s="3082"/>
      <c r="U3325" s="123"/>
      <c r="V3325" s="3990"/>
      <c r="W3325" s="793"/>
      <c r="X3325" s="793"/>
      <c r="Y3325" s="791"/>
      <c r="Z3325" s="793"/>
      <c r="AA3325" s="793"/>
      <c r="AB3325" s="793"/>
      <c r="AC3325" s="3053">
        <f>AC3323</f>
        <v>0.65</v>
      </c>
      <c r="AD3325" s="793"/>
      <c r="AE3325" s="793"/>
      <c r="AF3325" s="793"/>
      <c r="AG3325" s="793"/>
      <c r="BB3325" s="575"/>
      <c r="BC3325" s="576"/>
      <c r="BD3325" s="678"/>
      <c r="BE3325" s="585"/>
    </row>
    <row r="3326" spans="1:57" s="51" customFormat="1" ht="15" hidden="1" customHeight="1" outlineLevel="1" x14ac:dyDescent="0.25">
      <c r="A3326" s="2060"/>
      <c r="B3326" s="576"/>
      <c r="C3326" s="328"/>
      <c r="D3326" s="3990"/>
      <c r="E3326" s="4009"/>
      <c r="F3326" s="3010" t="str">
        <f>$E$1465</f>
        <v>ASHP-SEER15-Replace_CAC_ElectricHeat_ROF_MF</v>
      </c>
      <c r="G3326" s="2676"/>
      <c r="H3326" s="2676"/>
      <c r="I3326" s="2677"/>
      <c r="J3326" s="3299" t="str">
        <f>$C$1465</f>
        <v>352800_2019_12_</v>
      </c>
      <c r="K3326" s="793">
        <v>0.65</v>
      </c>
      <c r="L3326" s="851"/>
      <c r="M3326" s="698" t="s">
        <v>1011</v>
      </c>
      <c r="N3326" s="123"/>
      <c r="O3326" s="228"/>
      <c r="P3326" s="844"/>
      <c r="Q3326" s="844"/>
      <c r="R3326" s="844"/>
      <c r="S3326" s="832"/>
      <c r="T3326" s="3082"/>
      <c r="U3326" s="123"/>
      <c r="V3326" s="3990"/>
      <c r="W3326" s="793">
        <v>0.65</v>
      </c>
      <c r="X3326" s="793">
        <v>0.65</v>
      </c>
      <c r="Y3326" s="793">
        <v>0.65</v>
      </c>
      <c r="Z3326" s="793">
        <v>0.65</v>
      </c>
      <c r="AA3326" s="793">
        <v>0.65</v>
      </c>
      <c r="AB3326" s="793">
        <v>0.65</v>
      </c>
      <c r="AC3326" s="793">
        <v>0.65</v>
      </c>
      <c r="AD3326" s="793"/>
      <c r="AE3326" s="793"/>
      <c r="AF3326" s="793"/>
      <c r="AG3326" s="793"/>
      <c r="AH3326" s="1942"/>
      <c r="AI3326" s="1942"/>
      <c r="AJ3326" s="1942"/>
      <c r="AK3326" s="1942"/>
      <c r="AL3326" s="1942"/>
      <c r="AM3326" s="1942"/>
      <c r="AN3326" s="1942"/>
      <c r="AO3326" s="1942"/>
      <c r="AP3326" s="1942"/>
      <c r="AQ3326" s="1942"/>
      <c r="AR3326" s="1942"/>
      <c r="AS3326" s="1942"/>
      <c r="AT3326" s="1942"/>
      <c r="AU3326" s="1942"/>
      <c r="AV3326" s="1942"/>
      <c r="AW3326" s="1942"/>
      <c r="AX3326" s="1942"/>
      <c r="AY3326" s="1942"/>
      <c r="AZ3326" s="1942"/>
      <c r="BA3326" s="1942"/>
      <c r="BB3326" s="575"/>
      <c r="BC3326" s="576"/>
      <c r="BD3326" s="678"/>
      <c r="BE3326" s="585"/>
    </row>
    <row r="3327" spans="1:57" s="51" customFormat="1" ht="15" hidden="1" customHeight="1" outlineLevel="1" x14ac:dyDescent="0.25">
      <c r="A3327" s="2060"/>
      <c r="B3327" s="576"/>
      <c r="C3327" s="328"/>
      <c r="D3327" s="3990"/>
      <c r="E3327" s="4009"/>
      <c r="F3327" s="3010" t="str">
        <f>$E$1467</f>
        <v>ASHP-SEER15-Replace_CAC_ElectricHeat_ROF_MF_CompE</v>
      </c>
      <c r="G3327" s="2676"/>
      <c r="H3327" s="2676"/>
      <c r="I3327" s="2677"/>
      <c r="J3327" s="3299" t="str">
        <f>$C$1467</f>
        <v>352801_2021_12_</v>
      </c>
      <c r="K3327" s="791">
        <v>0.65</v>
      </c>
      <c r="L3327" s="851"/>
      <c r="M3327" s="698"/>
      <c r="N3327" s="123"/>
      <c r="O3327" s="228"/>
      <c r="P3327" s="844"/>
      <c r="Q3327" s="844"/>
      <c r="R3327" s="844"/>
      <c r="S3327" s="832"/>
      <c r="T3327" s="3082"/>
      <c r="U3327" s="123"/>
      <c r="V3327" s="3990"/>
      <c r="W3327" s="793"/>
      <c r="X3327" s="793"/>
      <c r="Y3327" s="791">
        <v>1</v>
      </c>
      <c r="Z3327" s="793">
        <v>1</v>
      </c>
      <c r="AA3327" s="793">
        <v>1</v>
      </c>
      <c r="AB3327" s="793">
        <v>1</v>
      </c>
      <c r="AC3327" s="791">
        <v>0.65</v>
      </c>
      <c r="AD3327" s="793"/>
      <c r="AE3327" s="793"/>
      <c r="AF3327" s="793"/>
      <c r="AG3327" s="793"/>
      <c r="AH3327" s="1942"/>
      <c r="AI3327" s="1942"/>
      <c r="AJ3327" s="1942"/>
      <c r="AK3327" s="1942"/>
      <c r="AL3327" s="1942"/>
      <c r="AM3327" s="1942"/>
      <c r="AN3327" s="1942"/>
      <c r="AO3327" s="1942"/>
      <c r="AP3327" s="1942"/>
      <c r="AQ3327" s="1942"/>
      <c r="AR3327" s="1942"/>
      <c r="AS3327" s="1942"/>
      <c r="AT3327" s="1942"/>
      <c r="AU3327" s="1942"/>
      <c r="AV3327" s="1942"/>
      <c r="AW3327" s="1942"/>
      <c r="AX3327" s="1942"/>
      <c r="AY3327" s="1942"/>
      <c r="AZ3327" s="1942"/>
      <c r="BA3327" s="1942"/>
      <c r="BB3327" s="575"/>
      <c r="BC3327" s="576"/>
      <c r="BD3327" s="678"/>
      <c r="BE3327" s="585"/>
    </row>
    <row r="3328" spans="1:57" s="1942" customFormat="1" ht="15" hidden="1" customHeight="1" outlineLevel="1" x14ac:dyDescent="0.25">
      <c r="A3328" s="2060"/>
      <c r="B3328" s="576"/>
      <c r="C3328" s="328"/>
      <c r="D3328" s="3990"/>
      <c r="E3328" s="4009"/>
      <c r="F3328" s="3010" t="str">
        <f>$E$1469</f>
        <v>ASHP-SEER15-Replace_CAC_NonElectricHeat_ROF_MF</v>
      </c>
      <c r="G3328" s="2676"/>
      <c r="H3328" s="2676"/>
      <c r="I3328" s="2677"/>
      <c r="J3328" s="3298" t="str">
        <f>$C$1469</f>
        <v>352810_2021_12_</v>
      </c>
      <c r="K3328" s="791">
        <v>0.65</v>
      </c>
      <c r="L3328" s="851"/>
      <c r="M3328" s="698"/>
      <c r="N3328" s="123"/>
      <c r="O3328" s="228"/>
      <c r="P3328" s="844"/>
      <c r="Q3328" s="844"/>
      <c r="R3328" s="844"/>
      <c r="S3328" s="832"/>
      <c r="T3328" s="3082"/>
      <c r="U3328" s="123"/>
      <c r="V3328" s="3990"/>
      <c r="W3328" s="793"/>
      <c r="X3328" s="793"/>
      <c r="Y3328" s="791"/>
      <c r="Z3328" s="793"/>
      <c r="AA3328" s="793"/>
      <c r="AB3328" s="793"/>
      <c r="AC3328" s="791">
        <v>0.65</v>
      </c>
      <c r="AD3328" s="793"/>
      <c r="AE3328" s="793"/>
      <c r="AF3328" s="793"/>
      <c r="AG3328" s="793"/>
      <c r="BB3328" s="575"/>
      <c r="BC3328" s="576"/>
      <c r="BD3328" s="678"/>
      <c r="BE3328" s="585"/>
    </row>
    <row r="3329" spans="1:57" s="1942" customFormat="1" ht="15" hidden="1" customHeight="1" outlineLevel="1" x14ac:dyDescent="0.25">
      <c r="A3329" s="2060"/>
      <c r="B3329" s="576"/>
      <c r="C3329" s="328"/>
      <c r="D3329" s="3990"/>
      <c r="E3329" s="4009"/>
      <c r="F3329" s="3010" t="str">
        <f>$E$1471</f>
        <v>ASHP-SEER15-Replace_CAC_NonElectricHeat_ROF_MF_CompE</v>
      </c>
      <c r="G3329" s="2676"/>
      <c r="H3329" s="2676"/>
      <c r="I3329" s="2677"/>
      <c r="J3329" s="3298" t="str">
        <f>$C$1471</f>
        <v>352811_2021_12_</v>
      </c>
      <c r="K3329" s="791">
        <v>0.65</v>
      </c>
      <c r="L3329" s="851"/>
      <c r="M3329" s="698"/>
      <c r="N3329" s="123"/>
      <c r="O3329" s="228"/>
      <c r="P3329" s="844"/>
      <c r="Q3329" s="844"/>
      <c r="R3329" s="844"/>
      <c r="S3329" s="832"/>
      <c r="T3329" s="3082"/>
      <c r="U3329" s="123"/>
      <c r="V3329" s="3990"/>
      <c r="W3329" s="793"/>
      <c r="X3329" s="793"/>
      <c r="Y3329" s="791"/>
      <c r="Z3329" s="793"/>
      <c r="AA3329" s="793"/>
      <c r="AB3329" s="793"/>
      <c r="AC3329" s="791">
        <v>0.65</v>
      </c>
      <c r="AD3329" s="793"/>
      <c r="AE3329" s="793"/>
      <c r="AF3329" s="793"/>
      <c r="AG3329" s="793"/>
      <c r="BB3329" s="575"/>
      <c r="BC3329" s="576"/>
      <c r="BD3329" s="678"/>
      <c r="BE3329" s="585"/>
    </row>
    <row r="3330" spans="1:57" s="51" customFormat="1" ht="15" hidden="1" customHeight="1" outlineLevel="1" x14ac:dyDescent="0.25">
      <c r="A3330" s="2060"/>
      <c r="B3330" s="576"/>
      <c r="C3330" s="328"/>
      <c r="D3330" s="3990"/>
      <c r="E3330" s="4009"/>
      <c r="F3330" s="3010" t="str">
        <f>$E$1473</f>
        <v>ASHP-SEER16_ER1_MF</v>
      </c>
      <c r="G3330" s="2676"/>
      <c r="H3330" s="2676"/>
      <c r="I3330" s="2677"/>
      <c r="J3330" s="3298" t="str">
        <f>$C$1473</f>
        <v>352850_2021_12_</v>
      </c>
      <c r="K3330" s="793">
        <v>0.65</v>
      </c>
      <c r="L3330" s="851"/>
      <c r="M3330" s="698" t="s">
        <v>1011</v>
      </c>
      <c r="N3330" s="123"/>
      <c r="O3330" s="228"/>
      <c r="P3330" s="844"/>
      <c r="Q3330" s="844"/>
      <c r="R3330" s="844"/>
      <c r="S3330" s="832"/>
      <c r="T3330" s="3082"/>
      <c r="U3330" s="123"/>
      <c r="V3330" s="3990"/>
      <c r="W3330" s="793">
        <v>0.65</v>
      </c>
      <c r="X3330" s="793">
        <v>0.65</v>
      </c>
      <c r="Y3330" s="793">
        <v>0.65</v>
      </c>
      <c r="Z3330" s="793">
        <v>0.65</v>
      </c>
      <c r="AA3330" s="793">
        <v>0.65</v>
      </c>
      <c r="AB3330" s="793">
        <v>0.65</v>
      </c>
      <c r="AC3330" s="793">
        <v>0.65</v>
      </c>
      <c r="AD3330" s="793"/>
      <c r="AE3330" s="793"/>
      <c r="AF3330" s="793"/>
      <c r="AG3330" s="793"/>
      <c r="AH3330" s="1942"/>
      <c r="AI3330" s="1942"/>
      <c r="AJ3330" s="1942"/>
      <c r="AK3330" s="1942"/>
      <c r="AL3330" s="1942"/>
      <c r="AM3330" s="1942"/>
      <c r="AN3330" s="1942"/>
      <c r="AO3330" s="1942"/>
      <c r="AP3330" s="1942"/>
      <c r="AQ3330" s="1942"/>
      <c r="AR3330" s="1942"/>
      <c r="AS3330" s="1942"/>
      <c r="AT3330" s="1942"/>
      <c r="AU3330" s="1942"/>
      <c r="AV3330" s="1942"/>
      <c r="AW3330" s="1942"/>
      <c r="AX3330" s="1942"/>
      <c r="AY3330" s="1942"/>
      <c r="AZ3330" s="1942"/>
      <c r="BA3330" s="1942"/>
      <c r="BB3330" s="575"/>
      <c r="BC3330" s="576"/>
      <c r="BD3330" s="678"/>
      <c r="BE3330" s="585"/>
    </row>
    <row r="3331" spans="1:57" s="51" customFormat="1" ht="15" hidden="1" customHeight="1" outlineLevel="1" x14ac:dyDescent="0.25">
      <c r="A3331" s="2060"/>
      <c r="B3331" s="576"/>
      <c r="C3331" s="328"/>
      <c r="D3331" s="3990"/>
      <c r="E3331" s="4009"/>
      <c r="F3331" s="3010" t="str">
        <f>$E$1475</f>
        <v>ASHP-SEER16_ER2_MF</v>
      </c>
      <c r="G3331" s="2676"/>
      <c r="H3331" s="2676"/>
      <c r="I3331" s="2677"/>
      <c r="J3331" s="3298" t="str">
        <f>$C$1475</f>
        <v>352850_2021_12_</v>
      </c>
      <c r="K3331" s="793">
        <v>0.65</v>
      </c>
      <c r="L3331" s="851"/>
      <c r="M3331" s="698" t="s">
        <v>1011</v>
      </c>
      <c r="N3331" s="123"/>
      <c r="O3331" s="228"/>
      <c r="P3331" s="844"/>
      <c r="Q3331" s="844"/>
      <c r="R3331" s="844"/>
      <c r="S3331" s="832"/>
      <c r="T3331" s="3082"/>
      <c r="U3331" s="123"/>
      <c r="V3331" s="3990"/>
      <c r="W3331" s="793">
        <v>0.65</v>
      </c>
      <c r="X3331" s="793">
        <v>0.65</v>
      </c>
      <c r="Y3331" s="793">
        <v>0.65</v>
      </c>
      <c r="Z3331" s="793">
        <v>0.65</v>
      </c>
      <c r="AA3331" s="793">
        <v>0.65</v>
      </c>
      <c r="AB3331" s="793">
        <v>0.65</v>
      </c>
      <c r="AC3331" s="793">
        <v>0.65</v>
      </c>
      <c r="AD3331" s="793"/>
      <c r="AE3331" s="793"/>
      <c r="AF3331" s="793"/>
      <c r="AG3331" s="793"/>
      <c r="AH3331" s="1942"/>
      <c r="AI3331" s="1942"/>
      <c r="AJ3331" s="1942"/>
      <c r="AK3331" s="1942"/>
      <c r="AL3331" s="1942"/>
      <c r="AM3331" s="1942"/>
      <c r="AN3331" s="1942"/>
      <c r="AO3331" s="1942"/>
      <c r="AP3331" s="1942"/>
      <c r="AQ3331" s="1942"/>
      <c r="AR3331" s="1942"/>
      <c r="AS3331" s="1942"/>
      <c r="AT3331" s="1942"/>
      <c r="AU3331" s="1942"/>
      <c r="AV3331" s="1942"/>
      <c r="AW3331" s="1942"/>
      <c r="AX3331" s="1942"/>
      <c r="AY3331" s="1942"/>
      <c r="AZ3331" s="1942"/>
      <c r="BA3331" s="1942"/>
      <c r="BB3331" s="575"/>
      <c r="BC3331" s="576"/>
      <c r="BD3331" s="678"/>
      <c r="BE3331" s="585"/>
    </row>
    <row r="3332" spans="1:57" s="51" customFormat="1" ht="15" hidden="1" customHeight="1" outlineLevel="1" x14ac:dyDescent="0.25">
      <c r="A3332" s="2060"/>
      <c r="B3332" s="576"/>
      <c r="C3332" s="328"/>
      <c r="D3332" s="3990"/>
      <c r="E3332" s="4009"/>
      <c r="F3332" s="3010" t="str">
        <f>$E$1477</f>
        <v>ASHP-SEER16_ER1_MF_CompE</v>
      </c>
      <c r="G3332" s="2676"/>
      <c r="H3332" s="2676"/>
      <c r="I3332" s="2677"/>
      <c r="J3332" s="3298" t="str">
        <f>$C$1477</f>
        <v>352851_2021_12_</v>
      </c>
      <c r="K3332" s="793">
        <f>K3330</f>
        <v>0.65</v>
      </c>
      <c r="L3332" s="851"/>
      <c r="M3332" s="698"/>
      <c r="N3332" s="123"/>
      <c r="O3332" s="228"/>
      <c r="P3332" s="844"/>
      <c r="Q3332" s="844"/>
      <c r="R3332" s="844"/>
      <c r="S3332" s="832"/>
      <c r="T3332" s="3082"/>
      <c r="U3332" s="123"/>
      <c r="V3332" s="3990"/>
      <c r="W3332" s="793"/>
      <c r="X3332" s="793"/>
      <c r="Y3332" s="791">
        <v>0.65</v>
      </c>
      <c r="Z3332" s="793">
        <v>0.65</v>
      </c>
      <c r="AA3332" s="793">
        <v>0.65</v>
      </c>
      <c r="AB3332" s="793">
        <v>0.65</v>
      </c>
      <c r="AC3332" s="793">
        <f>AC3330</f>
        <v>0.65</v>
      </c>
      <c r="AD3332" s="793"/>
      <c r="AE3332" s="793"/>
      <c r="AF3332" s="793"/>
      <c r="AG3332" s="793"/>
      <c r="AH3332" s="1942"/>
      <c r="AI3332" s="1942"/>
      <c r="AJ3332" s="1942"/>
      <c r="AK3332" s="1942"/>
      <c r="AL3332" s="1942"/>
      <c r="AM3332" s="1942"/>
      <c r="AN3332" s="1942"/>
      <c r="AO3332" s="1942"/>
      <c r="AP3332" s="1942"/>
      <c r="AQ3332" s="1942"/>
      <c r="AR3332" s="1942"/>
      <c r="AS3332" s="1942"/>
      <c r="AT3332" s="1942"/>
      <c r="AU3332" s="1942"/>
      <c r="AV3332" s="1942"/>
      <c r="AW3332" s="1942"/>
      <c r="AX3332" s="1942"/>
      <c r="AY3332" s="1942"/>
      <c r="AZ3332" s="1942"/>
      <c r="BA3332" s="1942"/>
      <c r="BB3332" s="575"/>
      <c r="BC3332" s="576"/>
      <c r="BD3332" s="678"/>
      <c r="BE3332" s="585"/>
    </row>
    <row r="3333" spans="1:57" s="51" customFormat="1" ht="15" hidden="1" customHeight="1" outlineLevel="1" x14ac:dyDescent="0.25">
      <c r="A3333" s="2060"/>
      <c r="B3333" s="576"/>
      <c r="C3333" s="328"/>
      <c r="D3333" s="3990"/>
      <c r="E3333" s="4009"/>
      <c r="F3333" s="3010" t="str">
        <f>$E$1479</f>
        <v>ASHP-SEER16_ER2_MF_CompE</v>
      </c>
      <c r="G3333" s="2676"/>
      <c r="H3333" s="2676"/>
      <c r="I3333" s="2677"/>
      <c r="J3333" s="3298" t="str">
        <f>$C$1479</f>
        <v>352851_2021_12_</v>
      </c>
      <c r="K3333" s="793">
        <f>K3331</f>
        <v>0.65</v>
      </c>
      <c r="L3333" s="851"/>
      <c r="M3333" s="698"/>
      <c r="N3333" s="123"/>
      <c r="O3333" s="228"/>
      <c r="P3333" s="844"/>
      <c r="Q3333" s="844"/>
      <c r="R3333" s="844"/>
      <c r="S3333" s="832"/>
      <c r="T3333" s="3082"/>
      <c r="U3333" s="123"/>
      <c r="V3333" s="3990"/>
      <c r="W3333" s="793"/>
      <c r="X3333" s="793"/>
      <c r="Y3333" s="791">
        <v>0.65</v>
      </c>
      <c r="Z3333" s="793">
        <v>0.65</v>
      </c>
      <c r="AA3333" s="793">
        <v>0.65</v>
      </c>
      <c r="AB3333" s="793">
        <v>0.65</v>
      </c>
      <c r="AC3333" s="793">
        <f>AC3331</f>
        <v>0.65</v>
      </c>
      <c r="AD3333" s="793"/>
      <c r="AE3333" s="793"/>
      <c r="AF3333" s="793"/>
      <c r="AG3333" s="793"/>
      <c r="AH3333" s="1942"/>
      <c r="AI3333" s="1942"/>
      <c r="AJ3333" s="1942"/>
      <c r="AK3333" s="1942"/>
      <c r="AL3333" s="1942"/>
      <c r="AM3333" s="1942"/>
      <c r="AN3333" s="1942"/>
      <c r="AO3333" s="1942"/>
      <c r="AP3333" s="1942"/>
      <c r="AQ3333" s="1942"/>
      <c r="AR3333" s="1942"/>
      <c r="AS3333" s="1942"/>
      <c r="AT3333" s="1942"/>
      <c r="AU3333" s="1942"/>
      <c r="AV3333" s="1942"/>
      <c r="AW3333" s="1942"/>
      <c r="AX3333" s="1942"/>
      <c r="AY3333" s="1942"/>
      <c r="AZ3333" s="1942"/>
      <c r="BA3333" s="1942"/>
      <c r="BB3333" s="575"/>
      <c r="BC3333" s="576"/>
      <c r="BD3333" s="678"/>
      <c r="BE3333" s="585"/>
    </row>
    <row r="3334" spans="1:57" s="51" customFormat="1" ht="15" hidden="1" customHeight="1" outlineLevel="1" x14ac:dyDescent="0.25">
      <c r="A3334" s="2060"/>
      <c r="B3334" s="576"/>
      <c r="C3334" s="328"/>
      <c r="D3334" s="3990"/>
      <c r="E3334" s="4009"/>
      <c r="F3334" s="3010" t="str">
        <f>$E$1481</f>
        <v>ASHP-SEER16_ROF_MF</v>
      </c>
      <c r="G3334" s="2676"/>
      <c r="H3334" s="2676"/>
      <c r="I3334" s="2677"/>
      <c r="J3334" s="3298" t="str">
        <f>$C$1481</f>
        <v>352900_2021_12_</v>
      </c>
      <c r="K3334" s="793">
        <v>0.65</v>
      </c>
      <c r="L3334" s="851"/>
      <c r="M3334" s="698" t="s">
        <v>1011</v>
      </c>
      <c r="N3334" s="123"/>
      <c r="O3334" s="228"/>
      <c r="P3334" s="844"/>
      <c r="Q3334" s="844"/>
      <c r="R3334" s="844"/>
      <c r="S3334" s="832"/>
      <c r="T3334" s="3082"/>
      <c r="U3334" s="123"/>
      <c r="V3334" s="3990"/>
      <c r="W3334" s="793">
        <v>0.65</v>
      </c>
      <c r="X3334" s="793">
        <v>0.65</v>
      </c>
      <c r="Y3334" s="793">
        <v>0.65</v>
      </c>
      <c r="Z3334" s="793">
        <v>0.65</v>
      </c>
      <c r="AA3334" s="793">
        <v>0.65</v>
      </c>
      <c r="AB3334" s="793">
        <v>0.65</v>
      </c>
      <c r="AC3334" s="793">
        <v>0.65</v>
      </c>
      <c r="AD3334" s="793"/>
      <c r="AE3334" s="793"/>
      <c r="AF3334" s="793"/>
      <c r="AG3334" s="793"/>
      <c r="AH3334" s="1942"/>
      <c r="AI3334" s="1942"/>
      <c r="AJ3334" s="1942"/>
      <c r="AK3334" s="1942"/>
      <c r="AL3334" s="1942"/>
      <c r="AM3334" s="1942"/>
      <c r="AN3334" s="1942"/>
      <c r="AO3334" s="1942"/>
      <c r="AP3334" s="1942"/>
      <c r="AQ3334" s="1942"/>
      <c r="AR3334" s="1942"/>
      <c r="AS3334" s="1942"/>
      <c r="AT3334" s="1942"/>
      <c r="AU3334" s="1942"/>
      <c r="AV3334" s="1942"/>
      <c r="AW3334" s="1942"/>
      <c r="AX3334" s="1942"/>
      <c r="AY3334" s="1942"/>
      <c r="AZ3334" s="1942"/>
      <c r="BA3334" s="1942"/>
      <c r="BB3334" s="575"/>
      <c r="BC3334" s="576"/>
      <c r="BD3334" s="678"/>
      <c r="BE3334" s="585"/>
    </row>
    <row r="3335" spans="1:57" s="51" customFormat="1" ht="15" hidden="1" customHeight="1" outlineLevel="1" x14ac:dyDescent="0.25">
      <c r="A3335" s="2060"/>
      <c r="B3335" s="576"/>
      <c r="C3335" s="328"/>
      <c r="D3335" s="3990"/>
      <c r="E3335" s="4009"/>
      <c r="F3335" s="3010" t="str">
        <f>$E$1483</f>
        <v>ASHP-SEER16_ROF_MF_CompE</v>
      </c>
      <c r="G3335" s="2676"/>
      <c r="H3335" s="2676"/>
      <c r="I3335" s="2677"/>
      <c r="J3335" s="3298" t="str">
        <f>$C$1483</f>
        <v>352901_2021_12_</v>
      </c>
      <c r="K3335" s="793">
        <f>K3334</f>
        <v>0.65</v>
      </c>
      <c r="L3335" s="851"/>
      <c r="M3335" s="698"/>
      <c r="N3335" s="123"/>
      <c r="O3335" s="228"/>
      <c r="P3335" s="844"/>
      <c r="Q3335" s="844"/>
      <c r="R3335" s="844"/>
      <c r="S3335" s="832"/>
      <c r="T3335" s="3082"/>
      <c r="U3335" s="123"/>
      <c r="V3335" s="3990"/>
      <c r="W3335" s="793"/>
      <c r="X3335" s="793"/>
      <c r="Y3335" s="791">
        <v>0.65</v>
      </c>
      <c r="Z3335" s="793">
        <v>0.65</v>
      </c>
      <c r="AA3335" s="793">
        <v>0.65</v>
      </c>
      <c r="AB3335" s="793">
        <v>0.65</v>
      </c>
      <c r="AC3335" s="793">
        <f>AC3334</f>
        <v>0.65</v>
      </c>
      <c r="AD3335" s="793"/>
      <c r="AE3335" s="793"/>
      <c r="AF3335" s="793"/>
      <c r="AG3335" s="793"/>
      <c r="AH3335" s="1942"/>
      <c r="AI3335" s="1942"/>
      <c r="AJ3335" s="1942"/>
      <c r="AK3335" s="1942"/>
      <c r="AL3335" s="1942"/>
      <c r="AM3335" s="1942"/>
      <c r="AN3335" s="1942"/>
      <c r="AO3335" s="1942"/>
      <c r="AP3335" s="1942"/>
      <c r="AQ3335" s="1942"/>
      <c r="AR3335" s="1942"/>
      <c r="AS3335" s="1942"/>
      <c r="AT3335" s="1942"/>
      <c r="AU3335" s="1942"/>
      <c r="AV3335" s="1942"/>
      <c r="AW3335" s="1942"/>
      <c r="AX3335" s="1942"/>
      <c r="AY3335" s="1942"/>
      <c r="AZ3335" s="1942"/>
      <c r="BA3335" s="1942"/>
      <c r="BB3335" s="575"/>
      <c r="BC3335" s="576"/>
      <c r="BD3335" s="678"/>
      <c r="BE3335" s="585"/>
    </row>
    <row r="3336" spans="1:57" s="51" customFormat="1" ht="15" hidden="1" customHeight="1" outlineLevel="1" x14ac:dyDescent="0.25">
      <c r="A3336" s="2060"/>
      <c r="B3336" s="576"/>
      <c r="C3336" s="328"/>
      <c r="D3336" s="3990"/>
      <c r="E3336" s="4009"/>
      <c r="F3336" s="3010" t="str">
        <f>$E$1485</f>
        <v>ASHP-SEER16-Replace_CAC_ElectricHeat_ROF_MF</v>
      </c>
      <c r="G3336" s="2676"/>
      <c r="H3336" s="2676"/>
      <c r="I3336" s="2677"/>
      <c r="J3336" s="3299" t="str">
        <f>$C$1485</f>
        <v>352950_2019_12_</v>
      </c>
      <c r="K3336" s="793">
        <v>0.65</v>
      </c>
      <c r="L3336" s="851"/>
      <c r="M3336" s="698" t="s">
        <v>1011</v>
      </c>
      <c r="N3336" s="123"/>
      <c r="O3336" s="228"/>
      <c r="P3336" s="844"/>
      <c r="Q3336" s="844"/>
      <c r="R3336" s="844"/>
      <c r="S3336" s="832"/>
      <c r="T3336" s="3082"/>
      <c r="U3336" s="123"/>
      <c r="V3336" s="3990"/>
      <c r="W3336" s="793">
        <v>0.65</v>
      </c>
      <c r="X3336" s="793">
        <v>0.65</v>
      </c>
      <c r="Y3336" s="793">
        <v>0.65</v>
      </c>
      <c r="Z3336" s="793">
        <v>0.65</v>
      </c>
      <c r="AA3336" s="793">
        <v>0.65</v>
      </c>
      <c r="AB3336" s="793">
        <v>0.65</v>
      </c>
      <c r="AC3336" s="793">
        <v>0.65</v>
      </c>
      <c r="AD3336" s="793"/>
      <c r="AE3336" s="793"/>
      <c r="AF3336" s="793"/>
      <c r="AG3336" s="793"/>
      <c r="AH3336" s="1942"/>
      <c r="AI3336" s="1942"/>
      <c r="AJ3336" s="1942"/>
      <c r="AK3336" s="1942"/>
      <c r="AL3336" s="1942"/>
      <c r="AM3336" s="1942"/>
      <c r="AN3336" s="1942"/>
      <c r="AO3336" s="1942"/>
      <c r="AP3336" s="1942"/>
      <c r="AQ3336" s="1942"/>
      <c r="AR3336" s="1942"/>
      <c r="AS3336" s="1942"/>
      <c r="AT3336" s="1942"/>
      <c r="AU3336" s="1942"/>
      <c r="AV3336" s="1942"/>
      <c r="AW3336" s="1942"/>
      <c r="AX3336" s="1942"/>
      <c r="AY3336" s="1942"/>
      <c r="AZ3336" s="1942"/>
      <c r="BA3336" s="1942"/>
      <c r="BB3336" s="575"/>
      <c r="BC3336" s="576"/>
      <c r="BD3336" s="678"/>
      <c r="BE3336" s="585"/>
    </row>
    <row r="3337" spans="1:57" s="51" customFormat="1" ht="15" hidden="1" customHeight="1" outlineLevel="1" x14ac:dyDescent="0.25">
      <c r="A3337" s="2060"/>
      <c r="B3337" s="576"/>
      <c r="C3337" s="328"/>
      <c r="D3337" s="3990"/>
      <c r="E3337" s="4009"/>
      <c r="F3337" s="3010" t="str">
        <f>$E$1487</f>
        <v>ASHP-SEER16-Replace_CAC_ElectricHeat_ROF_MF_CompE</v>
      </c>
      <c r="G3337" s="2676"/>
      <c r="H3337" s="2676"/>
      <c r="I3337" s="2677"/>
      <c r="J3337" s="3299" t="str">
        <f>$C$1487</f>
        <v>352951_2019_12_</v>
      </c>
      <c r="K3337" s="863">
        <f>K3336</f>
        <v>0.65</v>
      </c>
      <c r="L3337" s="851"/>
      <c r="M3337" s="698"/>
      <c r="N3337" s="123"/>
      <c r="O3337" s="228"/>
      <c r="P3337" s="844"/>
      <c r="Q3337" s="844"/>
      <c r="R3337" s="844"/>
      <c r="S3337" s="832"/>
      <c r="T3337" s="3082"/>
      <c r="U3337" s="123"/>
      <c r="V3337" s="3990"/>
      <c r="W3337" s="793"/>
      <c r="X3337" s="793"/>
      <c r="Y3337" s="791">
        <v>0.65</v>
      </c>
      <c r="Z3337" s="793">
        <v>0.65</v>
      </c>
      <c r="AA3337" s="793">
        <v>0.65</v>
      </c>
      <c r="AB3337" s="793">
        <v>0.65</v>
      </c>
      <c r="AC3337" s="863">
        <f>AC3336</f>
        <v>0.65</v>
      </c>
      <c r="AD3337" s="793"/>
      <c r="AE3337" s="793"/>
      <c r="AF3337" s="793"/>
      <c r="AG3337" s="793"/>
      <c r="AH3337" s="1942"/>
      <c r="AI3337" s="1942"/>
      <c r="AJ3337" s="1942"/>
      <c r="AK3337" s="1942"/>
      <c r="AL3337" s="1942"/>
      <c r="AM3337" s="1942"/>
      <c r="AN3337" s="1942"/>
      <c r="AO3337" s="1942"/>
      <c r="AP3337" s="1942"/>
      <c r="AQ3337" s="1942"/>
      <c r="AR3337" s="1942"/>
      <c r="AS3337" s="1942"/>
      <c r="AT3337" s="1942"/>
      <c r="AU3337" s="1942"/>
      <c r="AV3337" s="1942"/>
      <c r="AW3337" s="1942"/>
      <c r="AX3337" s="1942"/>
      <c r="AY3337" s="1942"/>
      <c r="AZ3337" s="1942"/>
      <c r="BA3337" s="1942"/>
      <c r="BB3337" s="575"/>
      <c r="BC3337" s="576"/>
      <c r="BD3337" s="678"/>
      <c r="BE3337" s="585"/>
    </row>
    <row r="3338" spans="1:57" s="1942" customFormat="1" ht="15" hidden="1" customHeight="1" outlineLevel="1" x14ac:dyDescent="0.25">
      <c r="A3338" s="2060"/>
      <c r="B3338" s="576"/>
      <c r="C3338" s="328"/>
      <c r="D3338" s="3990"/>
      <c r="E3338" s="4009"/>
      <c r="F3338" s="3010" t="str">
        <f>$E$1489</f>
        <v>ASHP-SEER16-Replace_CAC_NonElectricHeat_ROF_MF</v>
      </c>
      <c r="G3338" s="2676"/>
      <c r="H3338" s="2676"/>
      <c r="I3338" s="2677"/>
      <c r="J3338" s="3298" t="str">
        <f>$C$1489</f>
        <v>352960_2021_12_</v>
      </c>
      <c r="K3338" s="791">
        <v>0.65</v>
      </c>
      <c r="L3338" s="851"/>
      <c r="M3338" s="698"/>
      <c r="N3338" s="123"/>
      <c r="O3338" s="228"/>
      <c r="P3338" s="844"/>
      <c r="Q3338" s="844"/>
      <c r="R3338" s="844"/>
      <c r="S3338" s="832"/>
      <c r="T3338" s="3082"/>
      <c r="U3338" s="123"/>
      <c r="V3338" s="3990"/>
      <c r="W3338" s="793"/>
      <c r="X3338" s="793"/>
      <c r="Y3338" s="791"/>
      <c r="Z3338" s="793"/>
      <c r="AA3338" s="793"/>
      <c r="AB3338" s="793"/>
      <c r="AC3338" s="791">
        <v>0.65</v>
      </c>
      <c r="AD3338" s="793"/>
      <c r="AE3338" s="793"/>
      <c r="AF3338" s="793"/>
      <c r="AG3338" s="793"/>
      <c r="BB3338" s="575"/>
      <c r="BC3338" s="576"/>
      <c r="BD3338" s="678"/>
      <c r="BE3338" s="585"/>
    </row>
    <row r="3339" spans="1:57" s="1942" customFormat="1" ht="15" hidden="1" customHeight="1" outlineLevel="1" x14ac:dyDescent="0.25">
      <c r="A3339" s="2060"/>
      <c r="B3339" s="576"/>
      <c r="C3339" s="328"/>
      <c r="D3339" s="3990"/>
      <c r="E3339" s="4009"/>
      <c r="F3339" s="3010" t="str">
        <f>$E$1491</f>
        <v>ASHP-SEER16-Replace_CAC_NonElectricHeat_ROF_MF_CompE</v>
      </c>
      <c r="G3339" s="2676"/>
      <c r="H3339" s="2676"/>
      <c r="I3339" s="2677"/>
      <c r="J3339" s="3298" t="str">
        <f>$C$1491</f>
        <v>352961_2021_12_</v>
      </c>
      <c r="K3339" s="3053">
        <f>K3338</f>
        <v>0.65</v>
      </c>
      <c r="L3339" s="851"/>
      <c r="M3339" s="698"/>
      <c r="N3339" s="123"/>
      <c r="O3339" s="228"/>
      <c r="P3339" s="844"/>
      <c r="Q3339" s="844"/>
      <c r="R3339" s="844"/>
      <c r="S3339" s="832"/>
      <c r="T3339" s="3082"/>
      <c r="U3339" s="123"/>
      <c r="V3339" s="3990"/>
      <c r="W3339" s="793"/>
      <c r="X3339" s="793"/>
      <c r="Y3339" s="791"/>
      <c r="Z3339" s="793"/>
      <c r="AA3339" s="793"/>
      <c r="AB3339" s="793"/>
      <c r="AC3339" s="3053">
        <f>AC3338</f>
        <v>0.65</v>
      </c>
      <c r="AD3339" s="793"/>
      <c r="AE3339" s="793"/>
      <c r="AF3339" s="793"/>
      <c r="AG3339" s="793"/>
      <c r="BB3339" s="575"/>
      <c r="BC3339" s="576"/>
      <c r="BD3339" s="678"/>
      <c r="BE3339" s="585"/>
    </row>
    <row r="3340" spans="1:57" s="51" customFormat="1" ht="15" hidden="1" customHeight="1" outlineLevel="1" x14ac:dyDescent="0.25">
      <c r="A3340" s="2060"/>
      <c r="B3340" s="576"/>
      <c r="C3340" s="328"/>
      <c r="D3340" s="3990"/>
      <c r="E3340" s="4009"/>
      <c r="F3340" s="3010" t="str">
        <f>$E$1493</f>
        <v>ASHP-SEER16-Replace_CAC_ElectricHeat_ER1_MF</v>
      </c>
      <c r="G3340" s="2676"/>
      <c r="H3340" s="2676"/>
      <c r="I3340" s="2677"/>
      <c r="J3340" s="3298" t="str">
        <f>$C$1493</f>
        <v>353000_2021_12_</v>
      </c>
      <c r="K3340" s="793">
        <v>0.65</v>
      </c>
      <c r="L3340" s="851"/>
      <c r="M3340" s="698" t="s">
        <v>1011</v>
      </c>
      <c r="N3340" s="123"/>
      <c r="O3340" s="228"/>
      <c r="P3340" s="844"/>
      <c r="Q3340" s="844"/>
      <c r="R3340" s="844"/>
      <c r="S3340" s="832"/>
      <c r="T3340" s="3082"/>
      <c r="U3340" s="123"/>
      <c r="V3340" s="3990"/>
      <c r="W3340" s="793">
        <v>0.65</v>
      </c>
      <c r="X3340" s="793">
        <v>0.65</v>
      </c>
      <c r="Y3340" s="793">
        <v>0.65</v>
      </c>
      <c r="Z3340" s="793">
        <v>0.65</v>
      </c>
      <c r="AA3340" s="793">
        <v>0.65</v>
      </c>
      <c r="AB3340" s="793">
        <v>0.65</v>
      </c>
      <c r="AC3340" s="793">
        <v>0.65</v>
      </c>
      <c r="AD3340" s="793"/>
      <c r="AE3340" s="793"/>
      <c r="AF3340" s="793"/>
      <c r="AG3340" s="793"/>
      <c r="AH3340" s="1942"/>
      <c r="AI3340" s="1942"/>
      <c r="AJ3340" s="1942"/>
      <c r="AK3340" s="1942"/>
      <c r="AL3340" s="1942"/>
      <c r="AM3340" s="1942"/>
      <c r="AN3340" s="1942"/>
      <c r="AO3340" s="1942"/>
      <c r="AP3340" s="1942"/>
      <c r="AQ3340" s="1942"/>
      <c r="AR3340" s="1942"/>
      <c r="AS3340" s="1942"/>
      <c r="AT3340" s="1942"/>
      <c r="AU3340" s="1942"/>
      <c r="AV3340" s="1942"/>
      <c r="AW3340" s="1942"/>
      <c r="AX3340" s="1942"/>
      <c r="AY3340" s="1942"/>
      <c r="AZ3340" s="1942"/>
      <c r="BA3340" s="1942"/>
      <c r="BB3340" s="575"/>
      <c r="BC3340" s="576"/>
      <c r="BD3340" s="678"/>
      <c r="BE3340" s="585"/>
    </row>
    <row r="3341" spans="1:57" s="51" customFormat="1" ht="15" hidden="1" customHeight="1" outlineLevel="1" x14ac:dyDescent="0.25">
      <c r="A3341" s="2060"/>
      <c r="B3341" s="576"/>
      <c r="C3341" s="328"/>
      <c r="D3341" s="3990"/>
      <c r="E3341" s="4009"/>
      <c r="F3341" s="3010" t="str">
        <f>$E$1495</f>
        <v>ASHP-SEER16-Replace_CAC_ElectricHeat_ER2_MF</v>
      </c>
      <c r="G3341" s="2676"/>
      <c r="H3341" s="2676"/>
      <c r="I3341" s="2677"/>
      <c r="J3341" s="3298" t="str">
        <f>$C$1495</f>
        <v>353000_2021_12_</v>
      </c>
      <c r="K3341" s="793">
        <v>0.65</v>
      </c>
      <c r="L3341" s="851"/>
      <c r="M3341" s="698" t="s">
        <v>1011</v>
      </c>
      <c r="N3341" s="123"/>
      <c r="O3341" s="228"/>
      <c r="P3341" s="844"/>
      <c r="Q3341" s="844"/>
      <c r="R3341" s="844"/>
      <c r="S3341" s="832"/>
      <c r="T3341" s="3082"/>
      <c r="U3341" s="123"/>
      <c r="V3341" s="3990"/>
      <c r="W3341" s="793">
        <v>0.65</v>
      </c>
      <c r="X3341" s="793">
        <v>0.65</v>
      </c>
      <c r="Y3341" s="793">
        <v>0.65</v>
      </c>
      <c r="Z3341" s="793">
        <v>0.65</v>
      </c>
      <c r="AA3341" s="793">
        <v>0.65</v>
      </c>
      <c r="AB3341" s="793">
        <v>0.65</v>
      </c>
      <c r="AC3341" s="793">
        <v>0.65</v>
      </c>
      <c r="AD3341" s="793"/>
      <c r="AE3341" s="793"/>
      <c r="AF3341" s="793"/>
      <c r="AG3341" s="793"/>
      <c r="AH3341" s="1942"/>
      <c r="AI3341" s="1942"/>
      <c r="AJ3341" s="1942"/>
      <c r="AK3341" s="1942"/>
      <c r="AL3341" s="1942"/>
      <c r="AM3341" s="1942"/>
      <c r="AN3341" s="1942"/>
      <c r="AO3341" s="1942"/>
      <c r="AP3341" s="1942"/>
      <c r="AQ3341" s="1942"/>
      <c r="AR3341" s="1942"/>
      <c r="AS3341" s="1942"/>
      <c r="AT3341" s="1942"/>
      <c r="AU3341" s="1942"/>
      <c r="AV3341" s="1942"/>
      <c r="AW3341" s="1942"/>
      <c r="AX3341" s="1942"/>
      <c r="AY3341" s="1942"/>
      <c r="AZ3341" s="1942"/>
      <c r="BA3341" s="1942"/>
      <c r="BB3341" s="575"/>
      <c r="BC3341" s="576"/>
      <c r="BD3341" s="678"/>
      <c r="BE3341" s="585"/>
    </row>
    <row r="3342" spans="1:57" s="51" customFormat="1" ht="15" hidden="1" customHeight="1" outlineLevel="1" x14ac:dyDescent="0.25">
      <c r="A3342" s="2060"/>
      <c r="B3342" s="576"/>
      <c r="C3342" s="328"/>
      <c r="D3342" s="3990"/>
      <c r="E3342" s="4009"/>
      <c r="F3342" s="3010" t="str">
        <f>$E$1497</f>
        <v>ASHP-SEER16-Replace_CAC_ElectricHeat_ER1_MF_CompE</v>
      </c>
      <c r="G3342" s="2676"/>
      <c r="H3342" s="2676"/>
      <c r="I3342" s="2677"/>
      <c r="J3342" s="3298" t="str">
        <f>$C$1497</f>
        <v>353001_2021_12_</v>
      </c>
      <c r="K3342" s="793">
        <f>K3340</f>
        <v>0.65</v>
      </c>
      <c r="L3342" s="851"/>
      <c r="M3342" s="698"/>
      <c r="N3342" s="123"/>
      <c r="O3342" s="228"/>
      <c r="P3342" s="844"/>
      <c r="Q3342" s="844"/>
      <c r="R3342" s="844"/>
      <c r="S3342" s="832"/>
      <c r="T3342" s="3082"/>
      <c r="U3342" s="123"/>
      <c r="V3342" s="3990"/>
      <c r="W3342" s="793"/>
      <c r="X3342" s="793"/>
      <c r="Y3342" s="791">
        <v>0.65</v>
      </c>
      <c r="Z3342" s="793">
        <v>0.65</v>
      </c>
      <c r="AA3342" s="793">
        <v>0.65</v>
      </c>
      <c r="AB3342" s="793">
        <v>0.65</v>
      </c>
      <c r="AC3342" s="793">
        <f>AC3340</f>
        <v>0.65</v>
      </c>
      <c r="AD3342" s="793"/>
      <c r="AE3342" s="793"/>
      <c r="AF3342" s="793"/>
      <c r="AG3342" s="793"/>
      <c r="AH3342" s="1942"/>
      <c r="AI3342" s="1942"/>
      <c r="AJ3342" s="1942"/>
      <c r="AK3342" s="1942"/>
      <c r="AL3342" s="1942"/>
      <c r="AM3342" s="1942"/>
      <c r="AN3342" s="1942"/>
      <c r="AO3342" s="1942"/>
      <c r="AP3342" s="1942"/>
      <c r="AQ3342" s="1942"/>
      <c r="AR3342" s="1942"/>
      <c r="AS3342" s="1942"/>
      <c r="AT3342" s="1942"/>
      <c r="AU3342" s="1942"/>
      <c r="AV3342" s="1942"/>
      <c r="AW3342" s="1942"/>
      <c r="AX3342" s="1942"/>
      <c r="AY3342" s="1942"/>
      <c r="AZ3342" s="1942"/>
      <c r="BA3342" s="1942"/>
      <c r="BB3342" s="575"/>
      <c r="BC3342" s="576"/>
      <c r="BD3342" s="678"/>
      <c r="BE3342" s="585"/>
    </row>
    <row r="3343" spans="1:57" s="51" customFormat="1" ht="15" hidden="1" customHeight="1" outlineLevel="1" x14ac:dyDescent="0.25">
      <c r="A3343" s="2060"/>
      <c r="B3343" s="576"/>
      <c r="C3343" s="328"/>
      <c r="D3343" s="3990"/>
      <c r="E3343" s="4009"/>
      <c r="F3343" s="3010" t="str">
        <f>$E$1499</f>
        <v>ASHP-SEER16-Replace_CAC_ElectricHeat_ER2_MF_CompE</v>
      </c>
      <c r="G3343" s="2676"/>
      <c r="H3343" s="2676"/>
      <c r="I3343" s="2677"/>
      <c r="J3343" s="3298" t="str">
        <f>$C$1499</f>
        <v>353001_2021_12_</v>
      </c>
      <c r="K3343" s="863">
        <f>K3341</f>
        <v>0.65</v>
      </c>
      <c r="L3343" s="851"/>
      <c r="M3343" s="698"/>
      <c r="N3343" s="123"/>
      <c r="O3343" s="228"/>
      <c r="P3343" s="844"/>
      <c r="Q3343" s="844"/>
      <c r="R3343" s="844"/>
      <c r="S3343" s="832"/>
      <c r="T3343" s="3082"/>
      <c r="U3343" s="123"/>
      <c r="V3343" s="3990"/>
      <c r="W3343" s="793"/>
      <c r="X3343" s="793"/>
      <c r="Y3343" s="791">
        <v>0.65</v>
      </c>
      <c r="Z3343" s="793">
        <v>0.65</v>
      </c>
      <c r="AA3343" s="793">
        <v>0.65</v>
      </c>
      <c r="AB3343" s="793">
        <v>0.65</v>
      </c>
      <c r="AC3343" s="863">
        <f>AC3341</f>
        <v>0.65</v>
      </c>
      <c r="AD3343" s="793"/>
      <c r="AE3343" s="793"/>
      <c r="AF3343" s="793"/>
      <c r="AG3343" s="793"/>
      <c r="AH3343" s="1942"/>
      <c r="AI3343" s="1942"/>
      <c r="AJ3343" s="1942"/>
      <c r="AK3343" s="1942"/>
      <c r="AL3343" s="1942"/>
      <c r="AM3343" s="1942"/>
      <c r="AN3343" s="1942"/>
      <c r="AO3343" s="1942"/>
      <c r="AP3343" s="1942"/>
      <c r="AQ3343" s="1942"/>
      <c r="AR3343" s="1942"/>
      <c r="AS3343" s="1942"/>
      <c r="AT3343" s="1942"/>
      <c r="AU3343" s="1942"/>
      <c r="AV3343" s="1942"/>
      <c r="AW3343" s="1942"/>
      <c r="AX3343" s="1942"/>
      <c r="AY3343" s="1942"/>
      <c r="AZ3343" s="1942"/>
      <c r="BA3343" s="1942"/>
      <c r="BB3343" s="575"/>
      <c r="BC3343" s="576"/>
      <c r="BD3343" s="678"/>
      <c r="BE3343" s="585"/>
    </row>
    <row r="3344" spans="1:57" s="1942" customFormat="1" ht="15" hidden="1" customHeight="1" outlineLevel="1" x14ac:dyDescent="0.25">
      <c r="A3344" s="2060"/>
      <c r="B3344" s="576"/>
      <c r="C3344" s="328"/>
      <c r="D3344" s="3990"/>
      <c r="E3344" s="4009"/>
      <c r="F3344" s="3010" t="str">
        <f>$E$1501</f>
        <v>ASHP-SEER16-Replace_CAC_NonElectricHeat_ER1_MF</v>
      </c>
      <c r="G3344" s="2676"/>
      <c r="H3344" s="2676"/>
      <c r="I3344" s="2677"/>
      <c r="J3344" s="3298" t="str">
        <f>$C$1501</f>
        <v>353010_2021_12_</v>
      </c>
      <c r="K3344" s="3053">
        <f t="shared" ref="K3344:K3347" si="232">K3343</f>
        <v>0.65</v>
      </c>
      <c r="L3344" s="851"/>
      <c r="M3344" s="698"/>
      <c r="N3344" s="123"/>
      <c r="O3344" s="228"/>
      <c r="P3344" s="844"/>
      <c r="Q3344" s="844"/>
      <c r="R3344" s="844"/>
      <c r="S3344" s="832"/>
      <c r="T3344" s="3082"/>
      <c r="U3344" s="123"/>
      <c r="V3344" s="3990"/>
      <c r="W3344" s="793"/>
      <c r="X3344" s="793"/>
      <c r="Y3344" s="791"/>
      <c r="Z3344" s="793"/>
      <c r="AA3344" s="793"/>
      <c r="AB3344" s="793"/>
      <c r="AC3344" s="3053">
        <f t="shared" ref="AC3344:AC3347" si="233">AC3343</f>
        <v>0.65</v>
      </c>
      <c r="AD3344" s="793"/>
      <c r="AE3344" s="793"/>
      <c r="AF3344" s="793"/>
      <c r="AG3344" s="793"/>
      <c r="BB3344" s="575"/>
      <c r="BC3344" s="576"/>
      <c r="BD3344" s="678"/>
      <c r="BE3344" s="585"/>
    </row>
    <row r="3345" spans="1:57" s="1942" customFormat="1" ht="15" hidden="1" customHeight="1" outlineLevel="1" x14ac:dyDescent="0.25">
      <c r="A3345" s="2060"/>
      <c r="B3345" s="576"/>
      <c r="C3345" s="328"/>
      <c r="D3345" s="3990"/>
      <c r="E3345" s="4009"/>
      <c r="F3345" s="3010" t="str">
        <f>$E$1503</f>
        <v>ASHP-SEER16-Replace_CAC_NonElectricHeat_ER2_MF</v>
      </c>
      <c r="G3345" s="2676"/>
      <c r="H3345" s="2676"/>
      <c r="I3345" s="2677"/>
      <c r="J3345" s="3298" t="str">
        <f>$C$1503</f>
        <v>353010_2021_12_</v>
      </c>
      <c r="K3345" s="3053">
        <f t="shared" si="232"/>
        <v>0.65</v>
      </c>
      <c r="L3345" s="851"/>
      <c r="M3345" s="698"/>
      <c r="N3345" s="123"/>
      <c r="O3345" s="228"/>
      <c r="P3345" s="844"/>
      <c r="Q3345" s="844"/>
      <c r="R3345" s="844"/>
      <c r="S3345" s="832"/>
      <c r="T3345" s="3082"/>
      <c r="U3345" s="123"/>
      <c r="V3345" s="3990"/>
      <c r="W3345" s="793"/>
      <c r="X3345" s="793"/>
      <c r="Y3345" s="791"/>
      <c r="Z3345" s="793"/>
      <c r="AA3345" s="793"/>
      <c r="AB3345" s="793"/>
      <c r="AC3345" s="3053">
        <f t="shared" si="233"/>
        <v>0.65</v>
      </c>
      <c r="AD3345" s="793"/>
      <c r="AE3345" s="793"/>
      <c r="AF3345" s="793"/>
      <c r="AG3345" s="793"/>
      <c r="BB3345" s="575"/>
      <c r="BC3345" s="576"/>
      <c r="BD3345" s="678"/>
      <c r="BE3345" s="585"/>
    </row>
    <row r="3346" spans="1:57" s="1942" customFormat="1" ht="15" hidden="1" customHeight="1" outlineLevel="1" x14ac:dyDescent="0.25">
      <c r="A3346" s="2060"/>
      <c r="B3346" s="576"/>
      <c r="C3346" s="328"/>
      <c r="D3346" s="3990"/>
      <c r="E3346" s="4009"/>
      <c r="F3346" s="3010" t="str">
        <f>$E$1505</f>
        <v>ASHP-SEER16-Replace_CAC_NonElectricHeat_ER1_MF_CompE</v>
      </c>
      <c r="G3346" s="2676"/>
      <c r="H3346" s="2676"/>
      <c r="I3346" s="2677"/>
      <c r="J3346" s="3298" t="str">
        <f>$C$1505</f>
        <v>353011_2021_12_</v>
      </c>
      <c r="K3346" s="3053">
        <f t="shared" si="232"/>
        <v>0.65</v>
      </c>
      <c r="L3346" s="851"/>
      <c r="M3346" s="698"/>
      <c r="N3346" s="123"/>
      <c r="O3346" s="228"/>
      <c r="P3346" s="844"/>
      <c r="Q3346" s="844"/>
      <c r="R3346" s="844"/>
      <c r="S3346" s="832"/>
      <c r="T3346" s="3082"/>
      <c r="U3346" s="123"/>
      <c r="V3346" s="3990"/>
      <c r="W3346" s="793"/>
      <c r="X3346" s="793"/>
      <c r="Y3346" s="791"/>
      <c r="Z3346" s="793"/>
      <c r="AA3346" s="793"/>
      <c r="AB3346" s="793"/>
      <c r="AC3346" s="3053">
        <f t="shared" si="233"/>
        <v>0.65</v>
      </c>
      <c r="AD3346" s="793"/>
      <c r="AE3346" s="793"/>
      <c r="AF3346" s="793"/>
      <c r="AG3346" s="793"/>
      <c r="BB3346" s="575"/>
      <c r="BC3346" s="576"/>
      <c r="BD3346" s="678"/>
      <c r="BE3346" s="585"/>
    </row>
    <row r="3347" spans="1:57" s="1942" customFormat="1" ht="15" hidden="1" customHeight="1" outlineLevel="1" x14ac:dyDescent="0.25">
      <c r="A3347" s="2060"/>
      <c r="B3347" s="576"/>
      <c r="C3347" s="328"/>
      <c r="D3347" s="3990"/>
      <c r="E3347" s="4009"/>
      <c r="F3347" s="3010" t="str">
        <f>$E$1507</f>
        <v>ASHP-SEER16-Replace_CAC_NonElectricHeat_ER2_MF_CompE</v>
      </c>
      <c r="G3347" s="2676"/>
      <c r="H3347" s="2676"/>
      <c r="I3347" s="2677"/>
      <c r="J3347" s="3298" t="str">
        <f>$C$1507</f>
        <v>353011_2021_12_</v>
      </c>
      <c r="K3347" s="3053">
        <f t="shared" si="232"/>
        <v>0.65</v>
      </c>
      <c r="L3347" s="851"/>
      <c r="M3347" s="698"/>
      <c r="N3347" s="123"/>
      <c r="O3347" s="228"/>
      <c r="P3347" s="844"/>
      <c r="Q3347" s="844"/>
      <c r="R3347" s="844"/>
      <c r="S3347" s="832"/>
      <c r="T3347" s="3082"/>
      <c r="U3347" s="123"/>
      <c r="V3347" s="3990"/>
      <c r="W3347" s="793"/>
      <c r="X3347" s="793"/>
      <c r="Y3347" s="791"/>
      <c r="Z3347" s="793"/>
      <c r="AA3347" s="793"/>
      <c r="AB3347" s="793"/>
      <c r="AC3347" s="3053">
        <f t="shared" si="233"/>
        <v>0.65</v>
      </c>
      <c r="AD3347" s="793"/>
      <c r="AE3347" s="793"/>
      <c r="AF3347" s="793"/>
      <c r="AG3347" s="793"/>
      <c r="BB3347" s="575"/>
      <c r="BC3347" s="576"/>
      <c r="BD3347" s="678"/>
      <c r="BE3347" s="585"/>
    </row>
    <row r="3348" spans="1:57" s="51" customFormat="1" ht="15" hidden="1" customHeight="1" outlineLevel="1" x14ac:dyDescent="0.25">
      <c r="A3348" s="2060"/>
      <c r="B3348" s="576"/>
      <c r="C3348" s="328"/>
      <c r="D3348" s="3990"/>
      <c r="E3348" s="4009"/>
      <c r="F3348" s="3011" t="str">
        <f>$E$1509</f>
        <v>ASHP-SEER15_ROF_MF</v>
      </c>
      <c r="G3348" s="2678"/>
      <c r="H3348" s="2678"/>
      <c r="I3348" s="2679"/>
      <c r="J3348" s="3298" t="str">
        <f>$C$1509</f>
        <v>353050_2021_12_</v>
      </c>
      <c r="K3348" s="793">
        <v>0.65</v>
      </c>
      <c r="L3348" s="851"/>
      <c r="M3348" s="698" t="s">
        <v>1011</v>
      </c>
      <c r="N3348" s="123"/>
      <c r="O3348" s="228"/>
      <c r="P3348" s="844"/>
      <c r="Q3348" s="844"/>
      <c r="R3348" s="844"/>
      <c r="S3348" s="832"/>
      <c r="T3348" s="3082"/>
      <c r="U3348" s="123"/>
      <c r="V3348" s="3990"/>
      <c r="W3348" s="793">
        <v>0.65</v>
      </c>
      <c r="X3348" s="793">
        <v>0.65</v>
      </c>
      <c r="Y3348" s="793">
        <v>0.65</v>
      </c>
      <c r="Z3348" s="793">
        <v>0.65</v>
      </c>
      <c r="AA3348" s="793">
        <v>0.65</v>
      </c>
      <c r="AB3348" s="793">
        <v>0.65</v>
      </c>
      <c r="AC3348" s="793">
        <v>0.65</v>
      </c>
      <c r="AD3348" s="793"/>
      <c r="AE3348" s="793"/>
      <c r="AF3348" s="793"/>
      <c r="AG3348" s="793"/>
      <c r="AH3348" s="1942"/>
      <c r="AI3348" s="1942"/>
      <c r="AJ3348" s="1942"/>
      <c r="AK3348" s="1942"/>
      <c r="AL3348" s="1942"/>
      <c r="AM3348" s="1942"/>
      <c r="AN3348" s="1942"/>
      <c r="AO3348" s="1942"/>
      <c r="AP3348" s="1942"/>
      <c r="AQ3348" s="1942"/>
      <c r="AR3348" s="1942"/>
      <c r="AS3348" s="1942"/>
      <c r="AT3348" s="1942"/>
      <c r="AU3348" s="1942"/>
      <c r="AV3348" s="1942"/>
      <c r="AW3348" s="1942"/>
      <c r="AX3348" s="1942"/>
      <c r="AY3348" s="1942"/>
      <c r="AZ3348" s="1942"/>
      <c r="BA3348" s="1942"/>
      <c r="BB3348" s="575"/>
      <c r="BC3348" s="576"/>
      <c r="BD3348" s="678"/>
      <c r="BE3348" s="585"/>
    </row>
    <row r="3349" spans="1:57" s="51" customFormat="1" ht="15" hidden="1" customHeight="1" outlineLevel="1" x14ac:dyDescent="0.25">
      <c r="A3349" s="2060"/>
      <c r="B3349" s="576"/>
      <c r="C3349" s="328"/>
      <c r="D3349" s="3990"/>
      <c r="E3349" s="4009"/>
      <c r="F3349" s="3011" t="str">
        <f>$E$1511</f>
        <v>ASHP-SEER15_ROF_MF_CompE</v>
      </c>
      <c r="G3349" s="2678"/>
      <c r="H3349" s="2678"/>
      <c r="I3349" s="2679"/>
      <c r="J3349" s="3298" t="str">
        <f>$C$1511</f>
        <v>353051_2021_12_</v>
      </c>
      <c r="K3349" s="793">
        <f>K3348</f>
        <v>0.65</v>
      </c>
      <c r="L3349" s="851"/>
      <c r="M3349" s="698"/>
      <c r="N3349" s="123"/>
      <c r="O3349" s="228"/>
      <c r="P3349" s="844"/>
      <c r="Q3349" s="844"/>
      <c r="R3349" s="844"/>
      <c r="S3349" s="832"/>
      <c r="T3349" s="3082"/>
      <c r="U3349" s="123"/>
      <c r="V3349" s="3990"/>
      <c r="W3349" s="793"/>
      <c r="X3349" s="793"/>
      <c r="Y3349" s="791">
        <v>0.65</v>
      </c>
      <c r="Z3349" s="793">
        <v>0.65</v>
      </c>
      <c r="AA3349" s="793">
        <v>0.65</v>
      </c>
      <c r="AB3349" s="793">
        <v>0.65</v>
      </c>
      <c r="AC3349" s="793">
        <f>AC3348</f>
        <v>0.65</v>
      </c>
      <c r="AD3349" s="793"/>
      <c r="AE3349" s="793"/>
      <c r="AF3349" s="793"/>
      <c r="AG3349" s="793"/>
      <c r="AH3349" s="1942"/>
      <c r="AI3349" s="1942"/>
      <c r="AJ3349" s="1942"/>
      <c r="AK3349" s="1942"/>
      <c r="AL3349" s="1942"/>
      <c r="AM3349" s="1942"/>
      <c r="AN3349" s="1942"/>
      <c r="AO3349" s="1942"/>
      <c r="AP3349" s="1942"/>
      <c r="AQ3349" s="1942"/>
      <c r="AR3349" s="1942"/>
      <c r="AS3349" s="1942"/>
      <c r="AT3349" s="1942"/>
      <c r="AU3349" s="1942"/>
      <c r="AV3349" s="1942"/>
      <c r="AW3349" s="1942"/>
      <c r="AX3349" s="1942"/>
      <c r="AY3349" s="1942"/>
      <c r="AZ3349" s="1942"/>
      <c r="BA3349" s="1942"/>
      <c r="BB3349" s="575"/>
      <c r="BC3349" s="576"/>
      <c r="BD3349" s="678"/>
      <c r="BE3349" s="585"/>
    </row>
    <row r="3350" spans="1:57" s="51" customFormat="1" ht="15" hidden="1" customHeight="1" outlineLevel="1" x14ac:dyDescent="0.25">
      <c r="A3350" s="2060"/>
      <c r="B3350" s="576"/>
      <c r="C3350" s="328"/>
      <c r="D3350" s="3990"/>
      <c r="E3350" s="4009"/>
      <c r="F3350" s="3010" t="str">
        <f>$E$1513</f>
        <v>ASHP-SEER17-Replace_CAC_ElectricHeat_ROF_SF</v>
      </c>
      <c r="G3350" s="2676"/>
      <c r="H3350" s="2676"/>
      <c r="I3350" s="2677"/>
      <c r="J3350" s="3298" t="str">
        <f>$C$1513</f>
        <v>353100_2021_12_</v>
      </c>
      <c r="K3350" s="793">
        <v>1</v>
      </c>
      <c r="L3350" s="851"/>
      <c r="M3350" s="698"/>
      <c r="N3350" s="123"/>
      <c r="O3350" s="228"/>
      <c r="P3350" s="844"/>
      <c r="Q3350" s="844"/>
      <c r="R3350" s="844"/>
      <c r="S3350" s="832"/>
      <c r="T3350" s="3082"/>
      <c r="U3350" s="123"/>
      <c r="V3350" s="3990"/>
      <c r="W3350" s="793">
        <v>1</v>
      </c>
      <c r="X3350" s="793">
        <v>1</v>
      </c>
      <c r="Y3350" s="793">
        <v>1</v>
      </c>
      <c r="Z3350" s="793">
        <v>1</v>
      </c>
      <c r="AA3350" s="793">
        <v>1</v>
      </c>
      <c r="AB3350" s="793">
        <v>1</v>
      </c>
      <c r="AC3350" s="793">
        <v>1</v>
      </c>
      <c r="AD3350" s="793"/>
      <c r="AE3350" s="793"/>
      <c r="AF3350" s="793"/>
      <c r="AG3350" s="793"/>
      <c r="AH3350" s="1942"/>
      <c r="AI3350" s="1942"/>
      <c r="AJ3350" s="1942"/>
      <c r="AK3350" s="1942"/>
      <c r="AL3350" s="1942"/>
      <c r="AM3350" s="1942"/>
      <c r="AN3350" s="1942"/>
      <c r="AO3350" s="1942"/>
      <c r="AP3350" s="1942"/>
      <c r="AQ3350" s="1942"/>
      <c r="AR3350" s="1942"/>
      <c r="AS3350" s="1942"/>
      <c r="AT3350" s="1942"/>
      <c r="AU3350" s="1942"/>
      <c r="AV3350" s="1942"/>
      <c r="AW3350" s="1942"/>
      <c r="AX3350" s="1942"/>
      <c r="AY3350" s="1942"/>
      <c r="AZ3350" s="1942"/>
      <c r="BA3350" s="1942"/>
      <c r="BB3350" s="575"/>
      <c r="BC3350" s="576"/>
      <c r="BD3350" s="678"/>
      <c r="BE3350" s="585"/>
    </row>
    <row r="3351" spans="1:57" s="51" customFormat="1" ht="15" hidden="1" customHeight="1" outlineLevel="1" x14ac:dyDescent="0.25">
      <c r="A3351" s="2060"/>
      <c r="B3351" s="576"/>
      <c r="C3351" s="328"/>
      <c r="D3351" s="3990"/>
      <c r="E3351" s="4009"/>
      <c r="F3351" s="3010" t="str">
        <f>$E$1515</f>
        <v>ASHP-SEER17-Replace_CAC_ElectricHeat_ROF_MF</v>
      </c>
      <c r="G3351" s="2676"/>
      <c r="H3351" s="2676"/>
      <c r="I3351" s="2677"/>
      <c r="J3351" s="3299" t="str">
        <f>$C$1515</f>
        <v>353150_2019_12_</v>
      </c>
      <c r="K3351" s="793">
        <v>0.65</v>
      </c>
      <c r="L3351" s="851"/>
      <c r="M3351" s="698" t="s">
        <v>1011</v>
      </c>
      <c r="N3351" s="123"/>
      <c r="O3351" s="228"/>
      <c r="P3351" s="844"/>
      <c r="Q3351" s="844"/>
      <c r="R3351" s="844"/>
      <c r="S3351" s="832"/>
      <c r="T3351" s="3082"/>
      <c r="U3351" s="123"/>
      <c r="V3351" s="3990"/>
      <c r="W3351" s="793">
        <v>0.65</v>
      </c>
      <c r="X3351" s="793">
        <v>0.65</v>
      </c>
      <c r="Y3351" s="793">
        <v>0.65</v>
      </c>
      <c r="Z3351" s="793">
        <v>0.65</v>
      </c>
      <c r="AA3351" s="793">
        <v>0.65</v>
      </c>
      <c r="AB3351" s="793">
        <v>0.65</v>
      </c>
      <c r="AC3351" s="793">
        <v>0.65</v>
      </c>
      <c r="AD3351" s="793"/>
      <c r="AE3351" s="793"/>
      <c r="AF3351" s="793"/>
      <c r="AG3351" s="793"/>
      <c r="AH3351" s="1942"/>
      <c r="AI3351" s="1942"/>
      <c r="AJ3351" s="1942"/>
      <c r="AK3351" s="1942"/>
      <c r="AL3351" s="1942"/>
      <c r="AM3351" s="1942"/>
      <c r="AN3351" s="1942"/>
      <c r="AO3351" s="1942"/>
      <c r="AP3351" s="1942"/>
      <c r="AQ3351" s="1942"/>
      <c r="AR3351" s="1942"/>
      <c r="AS3351" s="1942"/>
      <c r="AT3351" s="1942"/>
      <c r="AU3351" s="1942"/>
      <c r="AV3351" s="1942"/>
      <c r="AW3351" s="1942"/>
      <c r="AX3351" s="1942"/>
      <c r="AY3351" s="1942"/>
      <c r="AZ3351" s="1942"/>
      <c r="BA3351" s="1942"/>
      <c r="BB3351" s="575"/>
      <c r="BC3351" s="576"/>
      <c r="BD3351" s="678"/>
      <c r="BE3351" s="585"/>
    </row>
    <row r="3352" spans="1:57" s="51" customFormat="1" ht="15" hidden="1" customHeight="1" outlineLevel="1" x14ac:dyDescent="0.25">
      <c r="A3352" s="2060"/>
      <c r="B3352" s="576"/>
      <c r="C3352" s="328"/>
      <c r="D3352" s="3990"/>
      <c r="E3352" s="4009"/>
      <c r="F3352" s="3010" t="str">
        <f>$E$1517</f>
        <v>ASHP-SEER17-Replace_CAC_ElectricHeat_ROF_MF_CompE</v>
      </c>
      <c r="G3352" s="2676"/>
      <c r="H3352" s="2676"/>
      <c r="I3352" s="2677"/>
      <c r="J3352" s="3299" t="str">
        <f>$C$1517</f>
        <v>353151_2019_12_</v>
      </c>
      <c r="K3352" s="793">
        <f>K3351</f>
        <v>0.65</v>
      </c>
      <c r="L3352" s="851"/>
      <c r="M3352" s="698"/>
      <c r="N3352" s="123"/>
      <c r="O3352" s="228"/>
      <c r="P3352" s="844"/>
      <c r="Q3352" s="844"/>
      <c r="R3352" s="844"/>
      <c r="S3352" s="832"/>
      <c r="T3352" s="3082"/>
      <c r="U3352" s="123"/>
      <c r="V3352" s="3990"/>
      <c r="W3352" s="793"/>
      <c r="X3352" s="793"/>
      <c r="Y3352" s="791">
        <v>0.65</v>
      </c>
      <c r="Z3352" s="793">
        <v>0.65</v>
      </c>
      <c r="AA3352" s="793">
        <v>0.65</v>
      </c>
      <c r="AB3352" s="793">
        <v>0.65</v>
      </c>
      <c r="AC3352" s="793">
        <f>AC3351</f>
        <v>0.65</v>
      </c>
      <c r="AD3352" s="793"/>
      <c r="AE3352" s="793"/>
      <c r="AF3352" s="793"/>
      <c r="AG3352" s="793"/>
      <c r="AH3352" s="1942"/>
      <c r="AI3352" s="1942"/>
      <c r="AJ3352" s="1942"/>
      <c r="AK3352" s="1942"/>
      <c r="AL3352" s="1942"/>
      <c r="AM3352" s="1942"/>
      <c r="AN3352" s="1942"/>
      <c r="AO3352" s="1942"/>
      <c r="AP3352" s="1942"/>
      <c r="AQ3352" s="1942"/>
      <c r="AR3352" s="1942"/>
      <c r="AS3352" s="1942"/>
      <c r="AT3352" s="1942"/>
      <c r="AU3352" s="1942"/>
      <c r="AV3352" s="1942"/>
      <c r="AW3352" s="1942"/>
      <c r="AX3352" s="1942"/>
      <c r="AY3352" s="1942"/>
      <c r="AZ3352" s="1942"/>
      <c r="BA3352" s="1942"/>
      <c r="BB3352" s="575"/>
      <c r="BC3352" s="576"/>
      <c r="BD3352" s="678"/>
      <c r="BE3352" s="585"/>
    </row>
    <row r="3353" spans="1:57" s="1942" customFormat="1" ht="15" hidden="1" customHeight="1" outlineLevel="1" x14ac:dyDescent="0.25">
      <c r="A3353" s="2060"/>
      <c r="B3353" s="576"/>
      <c r="C3353" s="328"/>
      <c r="D3353" s="3990"/>
      <c r="E3353" s="4009"/>
      <c r="F3353" s="3010" t="str">
        <f>$E$1519</f>
        <v>ASHP-SEER17-Replace_CAC_NonElectricHeat_ROF_MF</v>
      </c>
      <c r="G3353" s="2676"/>
      <c r="H3353" s="2676"/>
      <c r="I3353" s="2677"/>
      <c r="J3353" s="3298" t="str">
        <f>$C$1519</f>
        <v>353160_2021_12_</v>
      </c>
      <c r="K3353" s="3053">
        <f t="shared" ref="K3353:K3354" si="234">K3352</f>
        <v>0.65</v>
      </c>
      <c r="L3353" s="851"/>
      <c r="M3353" s="698"/>
      <c r="N3353" s="123"/>
      <c r="O3353" s="228"/>
      <c r="P3353" s="844"/>
      <c r="Q3353" s="844"/>
      <c r="R3353" s="844"/>
      <c r="S3353" s="832"/>
      <c r="T3353" s="3082"/>
      <c r="U3353" s="123"/>
      <c r="V3353" s="3990"/>
      <c r="W3353" s="793"/>
      <c r="X3353" s="793"/>
      <c r="Y3353" s="791"/>
      <c r="Z3353" s="793"/>
      <c r="AA3353" s="793"/>
      <c r="AB3353" s="793"/>
      <c r="AC3353" s="3053">
        <f t="shared" ref="AC3353:AC3354" si="235">AC3352</f>
        <v>0.65</v>
      </c>
      <c r="AD3353" s="793"/>
      <c r="AE3353" s="793"/>
      <c r="AF3353" s="793"/>
      <c r="AG3353" s="793"/>
      <c r="BB3353" s="575"/>
      <c r="BC3353" s="576"/>
      <c r="BD3353" s="678"/>
      <c r="BE3353" s="585"/>
    </row>
    <row r="3354" spans="1:57" s="1942" customFormat="1" ht="15" hidden="1" customHeight="1" outlineLevel="1" x14ac:dyDescent="0.25">
      <c r="A3354" s="2060"/>
      <c r="B3354" s="576"/>
      <c r="C3354" s="328"/>
      <c r="D3354" s="3990"/>
      <c r="E3354" s="4009"/>
      <c r="F3354" s="3010" t="str">
        <f>$E$1521</f>
        <v>ASHP-SEER17-Replace_CAC_NonElectricHeat_ROF_MF_CompE</v>
      </c>
      <c r="G3354" s="2676"/>
      <c r="H3354" s="2676"/>
      <c r="I3354" s="2677"/>
      <c r="J3354" s="3298" t="str">
        <f>$C$1521</f>
        <v>353161_2021_12_</v>
      </c>
      <c r="K3354" s="3053">
        <f t="shared" si="234"/>
        <v>0.65</v>
      </c>
      <c r="L3354" s="851"/>
      <c r="M3354" s="698"/>
      <c r="N3354" s="123"/>
      <c r="O3354" s="228"/>
      <c r="P3354" s="844"/>
      <c r="Q3354" s="844"/>
      <c r="R3354" s="844"/>
      <c r="S3354" s="832"/>
      <c r="T3354" s="3082"/>
      <c r="U3354" s="123"/>
      <c r="V3354" s="3990"/>
      <c r="W3354" s="793"/>
      <c r="X3354" s="793"/>
      <c r="Y3354" s="791"/>
      <c r="Z3354" s="793"/>
      <c r="AA3354" s="793"/>
      <c r="AB3354" s="793"/>
      <c r="AC3354" s="3053">
        <f t="shared" si="235"/>
        <v>0.65</v>
      </c>
      <c r="AD3354" s="793"/>
      <c r="AE3354" s="793"/>
      <c r="AF3354" s="793"/>
      <c r="AG3354" s="793"/>
      <c r="BB3354" s="575"/>
      <c r="BC3354" s="576"/>
      <c r="BD3354" s="678"/>
      <c r="BE3354" s="585"/>
    </row>
    <row r="3355" spans="1:57" s="51" customFormat="1" ht="15" hidden="1" customHeight="1" outlineLevel="1" x14ac:dyDescent="0.25">
      <c r="A3355" s="2060"/>
      <c r="B3355" s="576"/>
      <c r="C3355" s="328"/>
      <c r="D3355" s="3990"/>
      <c r="E3355" s="4009"/>
      <c r="F3355" s="3010" t="str">
        <f>$E$1523</f>
        <v>ASHP-SEER18-Replace_CAC_ElectricHeat_ROF_SF</v>
      </c>
      <c r="G3355" s="2676"/>
      <c r="H3355" s="2676"/>
      <c r="I3355" s="2677"/>
      <c r="J3355" s="3298" t="str">
        <f>$C$1523</f>
        <v>353200_2021_12_</v>
      </c>
      <c r="K3355" s="793">
        <v>1</v>
      </c>
      <c r="L3355" s="851"/>
      <c r="M3355" s="698"/>
      <c r="N3355" s="123"/>
      <c r="O3355" s="228"/>
      <c r="P3355" s="844"/>
      <c r="Q3355" s="844"/>
      <c r="R3355" s="844"/>
      <c r="S3355" s="832"/>
      <c r="T3355" s="3082"/>
      <c r="U3355" s="123"/>
      <c r="V3355" s="3990"/>
      <c r="W3355" s="793">
        <v>1</v>
      </c>
      <c r="X3355" s="793">
        <v>1</v>
      </c>
      <c r="Y3355" s="793">
        <v>1</v>
      </c>
      <c r="Z3355" s="793">
        <v>1</v>
      </c>
      <c r="AA3355" s="793">
        <v>1</v>
      </c>
      <c r="AB3355" s="793">
        <v>1</v>
      </c>
      <c r="AC3355" s="793">
        <v>1</v>
      </c>
      <c r="AD3355" s="793"/>
      <c r="AE3355" s="793"/>
      <c r="AF3355" s="793"/>
      <c r="AG3355" s="793"/>
      <c r="AH3355" s="1942"/>
      <c r="AI3355" s="1942"/>
      <c r="AJ3355" s="1942"/>
      <c r="AK3355" s="1942"/>
      <c r="AL3355" s="1942"/>
      <c r="AM3355" s="1942"/>
      <c r="AN3355" s="1942"/>
      <c r="AO3355" s="1942"/>
      <c r="AP3355" s="1942"/>
      <c r="AQ3355" s="1942"/>
      <c r="AR3355" s="1942"/>
      <c r="AS3355" s="1942"/>
      <c r="AT3355" s="1942"/>
      <c r="AU3355" s="1942"/>
      <c r="AV3355" s="1942"/>
      <c r="AW3355" s="1942"/>
      <c r="AX3355" s="1942"/>
      <c r="AY3355" s="1942"/>
      <c r="AZ3355" s="1942"/>
      <c r="BA3355" s="1942"/>
      <c r="BB3355" s="575"/>
      <c r="BC3355" s="576"/>
      <c r="BD3355" s="678"/>
      <c r="BE3355" s="585"/>
    </row>
    <row r="3356" spans="1:57" s="51" customFormat="1" ht="15" hidden="1" customHeight="1" outlineLevel="1" x14ac:dyDescent="0.25">
      <c r="A3356" s="2060"/>
      <c r="B3356" s="576"/>
      <c r="C3356" s="328"/>
      <c r="D3356" s="3990"/>
      <c r="E3356" s="4009"/>
      <c r="F3356" s="3010" t="str">
        <f>$E$1525</f>
        <v>ASHP-SEER18-Replace_CAC_ElectricHeat_ROF_MF</v>
      </c>
      <c r="G3356" s="2676"/>
      <c r="H3356" s="2676"/>
      <c r="I3356" s="2677"/>
      <c r="J3356" s="3298" t="str">
        <f>$C$1525</f>
        <v>353250_2021_12_</v>
      </c>
      <c r="K3356" s="793">
        <v>0.65</v>
      </c>
      <c r="L3356" s="851"/>
      <c r="M3356" s="698" t="s">
        <v>1011</v>
      </c>
      <c r="N3356" s="123"/>
      <c r="O3356" s="228"/>
      <c r="P3356" s="844"/>
      <c r="Q3356" s="844"/>
      <c r="R3356" s="844"/>
      <c r="S3356" s="832"/>
      <c r="T3356" s="3082"/>
      <c r="U3356" s="123"/>
      <c r="V3356" s="3990"/>
      <c r="W3356" s="793">
        <v>0.65</v>
      </c>
      <c r="X3356" s="793">
        <v>0.65</v>
      </c>
      <c r="Y3356" s="793">
        <v>0.65</v>
      </c>
      <c r="Z3356" s="793">
        <v>0.65</v>
      </c>
      <c r="AA3356" s="793">
        <v>0.65</v>
      </c>
      <c r="AB3356" s="793">
        <v>0.65</v>
      </c>
      <c r="AC3356" s="793">
        <v>0.65</v>
      </c>
      <c r="AD3356" s="793"/>
      <c r="AE3356" s="793"/>
      <c r="AF3356" s="793"/>
      <c r="AG3356" s="793"/>
      <c r="AH3356" s="1942"/>
      <c r="AI3356" s="1942"/>
      <c r="AJ3356" s="1942"/>
      <c r="AK3356" s="1942"/>
      <c r="AL3356" s="1942"/>
      <c r="AM3356" s="1942"/>
      <c r="AN3356" s="1942"/>
      <c r="AO3356" s="1942"/>
      <c r="AP3356" s="1942"/>
      <c r="AQ3356" s="1942"/>
      <c r="AR3356" s="1942"/>
      <c r="AS3356" s="1942"/>
      <c r="AT3356" s="1942"/>
      <c r="AU3356" s="1942"/>
      <c r="AV3356" s="1942"/>
      <c r="AW3356" s="1942"/>
      <c r="AX3356" s="1942"/>
      <c r="AY3356" s="1942"/>
      <c r="AZ3356" s="1942"/>
      <c r="BA3356" s="1942"/>
      <c r="BB3356" s="575"/>
      <c r="BC3356" s="576"/>
      <c r="BD3356" s="678"/>
      <c r="BE3356" s="585"/>
    </row>
    <row r="3357" spans="1:57" s="51" customFormat="1" ht="15" hidden="1" customHeight="1" outlineLevel="1" x14ac:dyDescent="0.25">
      <c r="A3357" s="2060"/>
      <c r="B3357" s="576"/>
      <c r="C3357" s="328"/>
      <c r="D3357" s="3990"/>
      <c r="E3357" s="4009"/>
      <c r="F3357" s="3010" t="str">
        <f>$E$1527</f>
        <v>ASHP-SEER18-Replace_CAC_ElectricHeat_ROF_MF_CompE</v>
      </c>
      <c r="G3357" s="2676"/>
      <c r="H3357" s="2676"/>
      <c r="I3357" s="2677"/>
      <c r="J3357" s="3298" t="str">
        <f>$C$1527</f>
        <v>353251_2021_12_</v>
      </c>
      <c r="K3357" s="793">
        <f>K3356</f>
        <v>0.65</v>
      </c>
      <c r="L3357" s="851"/>
      <c r="M3357" s="698"/>
      <c r="N3357" s="123"/>
      <c r="O3357" s="228"/>
      <c r="P3357" s="844"/>
      <c r="Q3357" s="844"/>
      <c r="R3357" s="844"/>
      <c r="S3357" s="832"/>
      <c r="T3357" s="3082"/>
      <c r="U3357" s="123"/>
      <c r="V3357" s="3990"/>
      <c r="W3357" s="793"/>
      <c r="X3357" s="793"/>
      <c r="Y3357" s="791">
        <v>0.65</v>
      </c>
      <c r="Z3357" s="793">
        <v>0.65</v>
      </c>
      <c r="AA3357" s="793">
        <v>0.65</v>
      </c>
      <c r="AB3357" s="793">
        <v>0.65</v>
      </c>
      <c r="AC3357" s="793">
        <f>AC3356</f>
        <v>0.65</v>
      </c>
      <c r="AD3357" s="793"/>
      <c r="AE3357" s="793"/>
      <c r="AF3357" s="793"/>
      <c r="AG3357" s="793"/>
      <c r="AH3357" s="1942"/>
      <c r="AI3357" s="1942"/>
      <c r="AJ3357" s="1942"/>
      <c r="AK3357" s="1942"/>
      <c r="AL3357" s="1942"/>
      <c r="AM3357" s="1942"/>
      <c r="AN3357" s="1942"/>
      <c r="AO3357" s="1942"/>
      <c r="AP3357" s="1942"/>
      <c r="AQ3357" s="1942"/>
      <c r="AR3357" s="1942"/>
      <c r="AS3357" s="1942"/>
      <c r="AT3357" s="1942"/>
      <c r="AU3357" s="1942"/>
      <c r="AV3357" s="1942"/>
      <c r="AW3357" s="1942"/>
      <c r="AX3357" s="1942"/>
      <c r="AY3357" s="1942"/>
      <c r="AZ3357" s="1942"/>
      <c r="BA3357" s="1942"/>
      <c r="BB3357" s="575"/>
      <c r="BC3357" s="576"/>
      <c r="BD3357" s="678"/>
      <c r="BE3357" s="585"/>
    </row>
    <row r="3358" spans="1:57" s="1942" customFormat="1" ht="15" hidden="1" customHeight="1" outlineLevel="1" x14ac:dyDescent="0.25">
      <c r="A3358" s="2060"/>
      <c r="B3358" s="576"/>
      <c r="C3358" s="328"/>
      <c r="D3358" s="3990"/>
      <c r="E3358" s="4009"/>
      <c r="F3358" s="3010" t="str">
        <f>$E$1529</f>
        <v>ASHP-SEER18-Replace_CAC_NonElectricHeat_ROF_MF</v>
      </c>
      <c r="G3358" s="2676"/>
      <c r="H3358" s="2676"/>
      <c r="I3358" s="2677"/>
      <c r="J3358" s="3298" t="str">
        <f>$C$1529</f>
        <v>353260_2021_12_</v>
      </c>
      <c r="K3358" s="3053">
        <f t="shared" ref="K3358:K3359" si="236">K3357</f>
        <v>0.65</v>
      </c>
      <c r="L3358" s="851"/>
      <c r="M3358" s="698"/>
      <c r="N3358" s="123"/>
      <c r="O3358" s="228"/>
      <c r="P3358" s="844"/>
      <c r="Q3358" s="844"/>
      <c r="R3358" s="844"/>
      <c r="S3358" s="832"/>
      <c r="T3358" s="3082"/>
      <c r="U3358" s="123"/>
      <c r="V3358" s="3990"/>
      <c r="W3358" s="793"/>
      <c r="X3358" s="793"/>
      <c r="Y3358" s="791"/>
      <c r="Z3358" s="793"/>
      <c r="AA3358" s="793"/>
      <c r="AB3358" s="793"/>
      <c r="AC3358" s="3053">
        <f t="shared" ref="AC3358:AC3359" si="237">AC3357</f>
        <v>0.65</v>
      </c>
      <c r="AD3358" s="793"/>
      <c r="AE3358" s="793"/>
      <c r="AF3358" s="793"/>
      <c r="AG3358" s="793"/>
      <c r="BB3358" s="575"/>
      <c r="BC3358" s="576"/>
      <c r="BD3358" s="678"/>
      <c r="BE3358" s="585"/>
    </row>
    <row r="3359" spans="1:57" s="1942" customFormat="1" ht="15" hidden="1" customHeight="1" outlineLevel="1" x14ac:dyDescent="0.25">
      <c r="A3359" s="2060"/>
      <c r="B3359" s="576"/>
      <c r="C3359" s="328"/>
      <c r="D3359" s="3990"/>
      <c r="E3359" s="4009"/>
      <c r="F3359" s="3010" t="str">
        <f>$E$1531</f>
        <v>ASHP-SEER18-Replace_CAC_NonElectricHeat_ROF_MF_CompE</v>
      </c>
      <c r="G3359" s="2676"/>
      <c r="H3359" s="2676"/>
      <c r="I3359" s="2677"/>
      <c r="J3359" s="3298" t="str">
        <f>$C$1531</f>
        <v>353261_2021_12_</v>
      </c>
      <c r="K3359" s="3053">
        <f t="shared" si="236"/>
        <v>0.65</v>
      </c>
      <c r="L3359" s="851"/>
      <c r="M3359" s="698"/>
      <c r="N3359" s="123"/>
      <c r="O3359" s="228"/>
      <c r="P3359" s="844"/>
      <c r="Q3359" s="844"/>
      <c r="R3359" s="844"/>
      <c r="S3359" s="832"/>
      <c r="T3359" s="3082"/>
      <c r="U3359" s="123"/>
      <c r="V3359" s="3990"/>
      <c r="W3359" s="793"/>
      <c r="X3359" s="793"/>
      <c r="Y3359" s="791"/>
      <c r="Z3359" s="793"/>
      <c r="AA3359" s="793"/>
      <c r="AB3359" s="793"/>
      <c r="AC3359" s="3053">
        <f t="shared" si="237"/>
        <v>0.65</v>
      </c>
      <c r="AD3359" s="793"/>
      <c r="AE3359" s="793"/>
      <c r="AF3359" s="793"/>
      <c r="AG3359" s="793"/>
      <c r="BB3359" s="575"/>
      <c r="BC3359" s="576"/>
      <c r="BD3359" s="678"/>
      <c r="BE3359" s="585"/>
    </row>
    <row r="3360" spans="1:57" s="51" customFormat="1" ht="15" hidden="1" customHeight="1" outlineLevel="1" x14ac:dyDescent="0.25">
      <c r="A3360" s="2060"/>
      <c r="B3360" s="576"/>
      <c r="C3360" s="328"/>
      <c r="D3360" s="3990"/>
      <c r="E3360" s="4009"/>
      <c r="F3360" s="3010" t="str">
        <f>$E$1533</f>
        <v>ASHP-SEER19-Replace_CAC_ElectricHeat_ROF_SF</v>
      </c>
      <c r="G3360" s="2676"/>
      <c r="H3360" s="2676"/>
      <c r="I3360" s="2677"/>
      <c r="J3360" s="3298" t="str">
        <f>$C$1533</f>
        <v>353300_2021_12_</v>
      </c>
      <c r="K3360" s="793">
        <v>1</v>
      </c>
      <c r="L3360" s="851"/>
      <c r="M3360" s="698"/>
      <c r="N3360" s="123"/>
      <c r="O3360" s="228"/>
      <c r="P3360" s="844"/>
      <c r="Q3360" s="844"/>
      <c r="R3360" s="844"/>
      <c r="S3360" s="832"/>
      <c r="T3360" s="3082"/>
      <c r="U3360" s="123"/>
      <c r="V3360" s="3990"/>
      <c r="W3360" s="793">
        <v>1</v>
      </c>
      <c r="X3360" s="793">
        <v>1</v>
      </c>
      <c r="Y3360" s="793">
        <v>1</v>
      </c>
      <c r="Z3360" s="793">
        <v>1</v>
      </c>
      <c r="AA3360" s="793">
        <v>1</v>
      </c>
      <c r="AB3360" s="793">
        <v>1</v>
      </c>
      <c r="AC3360" s="793">
        <v>1</v>
      </c>
      <c r="AD3360" s="793"/>
      <c r="AE3360" s="793"/>
      <c r="AF3360" s="793"/>
      <c r="AG3360" s="793"/>
      <c r="AH3360" s="1942"/>
      <c r="AI3360" s="1942"/>
      <c r="AJ3360" s="1942"/>
      <c r="AK3360" s="1942"/>
      <c r="AL3360" s="1942"/>
      <c r="AM3360" s="1942"/>
      <c r="AN3360" s="1942"/>
      <c r="AO3360" s="1942"/>
      <c r="AP3360" s="1942"/>
      <c r="AQ3360" s="1942"/>
      <c r="AR3360" s="1942"/>
      <c r="AS3360" s="1942"/>
      <c r="AT3360" s="1942"/>
      <c r="AU3360" s="1942"/>
      <c r="AV3360" s="1942"/>
      <c r="AW3360" s="1942"/>
      <c r="AX3360" s="1942"/>
      <c r="AY3360" s="1942"/>
      <c r="AZ3360" s="1942"/>
      <c r="BA3360" s="1942"/>
      <c r="BB3360" s="575"/>
      <c r="BC3360" s="576"/>
      <c r="BD3360" s="678"/>
      <c r="BE3360" s="585"/>
    </row>
    <row r="3361" spans="1:57" s="51" customFormat="1" ht="15" hidden="1" customHeight="1" outlineLevel="1" x14ac:dyDescent="0.25">
      <c r="A3361" s="2060"/>
      <c r="B3361" s="576"/>
      <c r="C3361" s="328"/>
      <c r="D3361" s="3990"/>
      <c r="E3361" s="4009"/>
      <c r="F3361" s="3010" t="str">
        <f>$E$1535</f>
        <v>ASHP-SEER19-Replace_CAC_ElectricHeat_ROF_MF</v>
      </c>
      <c r="G3361" s="2676"/>
      <c r="H3361" s="2676"/>
      <c r="I3361" s="2677"/>
      <c r="J3361" s="3298" t="str">
        <f>$C$1535</f>
        <v>353350_2021_12_</v>
      </c>
      <c r="K3361" s="793">
        <v>0.65</v>
      </c>
      <c r="L3361" s="851"/>
      <c r="M3361" s="698" t="s">
        <v>1011</v>
      </c>
      <c r="N3361" s="123"/>
      <c r="O3361" s="228"/>
      <c r="P3361" s="844"/>
      <c r="Q3361" s="844"/>
      <c r="R3361" s="844"/>
      <c r="S3361" s="832"/>
      <c r="T3361" s="3082"/>
      <c r="U3361" s="123"/>
      <c r="V3361" s="3990"/>
      <c r="W3361" s="793">
        <v>0.65</v>
      </c>
      <c r="X3361" s="793">
        <v>0.65</v>
      </c>
      <c r="Y3361" s="793">
        <v>0.65</v>
      </c>
      <c r="Z3361" s="793">
        <v>0.65</v>
      </c>
      <c r="AA3361" s="793">
        <v>0.65</v>
      </c>
      <c r="AB3361" s="793">
        <v>0.65</v>
      </c>
      <c r="AC3361" s="793">
        <v>0.65</v>
      </c>
      <c r="AD3361" s="793"/>
      <c r="AE3361" s="793"/>
      <c r="AF3361" s="793"/>
      <c r="AG3361" s="793"/>
      <c r="AH3361" s="1942"/>
      <c r="AI3361" s="1942"/>
      <c r="AJ3361" s="1942"/>
      <c r="AK3361" s="1942"/>
      <c r="AL3361" s="1942"/>
      <c r="AM3361" s="1942"/>
      <c r="AN3361" s="1942"/>
      <c r="AO3361" s="1942"/>
      <c r="AP3361" s="1942"/>
      <c r="AQ3361" s="1942"/>
      <c r="AR3361" s="1942"/>
      <c r="AS3361" s="1942"/>
      <c r="AT3361" s="1942"/>
      <c r="AU3361" s="1942"/>
      <c r="AV3361" s="1942"/>
      <c r="AW3361" s="1942"/>
      <c r="AX3361" s="1942"/>
      <c r="AY3361" s="1942"/>
      <c r="AZ3361" s="1942"/>
      <c r="BA3361" s="1942"/>
      <c r="BB3361" s="575"/>
      <c r="BC3361" s="576"/>
      <c r="BD3361" s="678"/>
      <c r="BE3361" s="585"/>
    </row>
    <row r="3362" spans="1:57" s="51" customFormat="1" ht="15" hidden="1" customHeight="1" outlineLevel="1" x14ac:dyDescent="0.25">
      <c r="A3362" s="2060"/>
      <c r="B3362" s="576"/>
      <c r="C3362" s="328"/>
      <c r="D3362" s="3990"/>
      <c r="E3362" s="4009"/>
      <c r="F3362" s="3010" t="str">
        <f>$E$1537</f>
        <v>ASHP-SEER19-Replace_CAC_ElectricHeat_ROF_MF_CompE</v>
      </c>
      <c r="G3362" s="2676"/>
      <c r="H3362" s="2676"/>
      <c r="I3362" s="2677"/>
      <c r="J3362" s="3299" t="str">
        <f>$C$1537</f>
        <v>353351_2019_12_</v>
      </c>
      <c r="K3362" s="793">
        <f>K3361</f>
        <v>0.65</v>
      </c>
      <c r="L3362" s="851"/>
      <c r="M3362" s="698"/>
      <c r="N3362" s="123"/>
      <c r="O3362" s="228"/>
      <c r="P3362" s="844"/>
      <c r="Q3362" s="844"/>
      <c r="R3362" s="844"/>
      <c r="S3362" s="832"/>
      <c r="T3362" s="3082"/>
      <c r="U3362" s="123"/>
      <c r="V3362" s="3990"/>
      <c r="W3362" s="793"/>
      <c r="X3362" s="793"/>
      <c r="Y3362" s="791">
        <v>0.65</v>
      </c>
      <c r="Z3362" s="793">
        <v>0.65</v>
      </c>
      <c r="AA3362" s="793">
        <v>0.65</v>
      </c>
      <c r="AB3362" s="793">
        <v>0.65</v>
      </c>
      <c r="AC3362" s="793">
        <f>AC3361</f>
        <v>0.65</v>
      </c>
      <c r="AD3362" s="793"/>
      <c r="AE3362" s="793"/>
      <c r="AF3362" s="793"/>
      <c r="AG3362" s="793"/>
      <c r="AH3362" s="1942"/>
      <c r="AI3362" s="1942"/>
      <c r="AJ3362" s="1942"/>
      <c r="AK3362" s="1942"/>
      <c r="AL3362" s="1942"/>
      <c r="AM3362" s="1942"/>
      <c r="AN3362" s="1942"/>
      <c r="AO3362" s="1942"/>
      <c r="AP3362" s="1942"/>
      <c r="AQ3362" s="1942"/>
      <c r="AR3362" s="1942"/>
      <c r="AS3362" s="1942"/>
      <c r="AT3362" s="1942"/>
      <c r="AU3362" s="1942"/>
      <c r="AV3362" s="1942"/>
      <c r="AW3362" s="1942"/>
      <c r="AX3362" s="1942"/>
      <c r="AY3362" s="1942"/>
      <c r="AZ3362" s="1942"/>
      <c r="BA3362" s="1942"/>
      <c r="BB3362" s="575"/>
      <c r="BC3362" s="576"/>
      <c r="BD3362" s="678"/>
      <c r="BE3362" s="585"/>
    </row>
    <row r="3363" spans="1:57" s="1942" customFormat="1" ht="15" hidden="1" customHeight="1" outlineLevel="1" x14ac:dyDescent="0.25">
      <c r="A3363" s="2060"/>
      <c r="B3363" s="576"/>
      <c r="C3363" s="328"/>
      <c r="D3363" s="3990"/>
      <c r="E3363" s="4009"/>
      <c r="F3363" s="3010" t="str">
        <f>$E$1539</f>
        <v>ASHP-SEER19-Replace_CAC_NonElectricHeat_ROF_MF</v>
      </c>
      <c r="G3363" s="2676"/>
      <c r="H3363" s="2676"/>
      <c r="I3363" s="2677"/>
      <c r="J3363" s="3298" t="str">
        <f>$C$1539</f>
        <v>353360_2021_12_</v>
      </c>
      <c r="K3363" s="3053">
        <f t="shared" ref="K3363:K3364" si="238">K3362</f>
        <v>0.65</v>
      </c>
      <c r="L3363" s="851"/>
      <c r="M3363" s="698"/>
      <c r="N3363" s="123"/>
      <c r="O3363" s="228"/>
      <c r="P3363" s="844"/>
      <c r="Q3363" s="844"/>
      <c r="R3363" s="844"/>
      <c r="S3363" s="832"/>
      <c r="T3363" s="3082"/>
      <c r="U3363" s="123"/>
      <c r="V3363" s="3990"/>
      <c r="W3363" s="793"/>
      <c r="X3363" s="793"/>
      <c r="Y3363" s="791"/>
      <c r="Z3363" s="793"/>
      <c r="AA3363" s="793"/>
      <c r="AB3363" s="793"/>
      <c r="AC3363" s="3053">
        <f t="shared" ref="AC3363:AC3364" si="239">AC3362</f>
        <v>0.65</v>
      </c>
      <c r="AD3363" s="793"/>
      <c r="AE3363" s="793"/>
      <c r="AF3363" s="793"/>
      <c r="AG3363" s="793"/>
      <c r="BB3363" s="575"/>
      <c r="BC3363" s="576"/>
      <c r="BD3363" s="678"/>
      <c r="BE3363" s="585"/>
    </row>
    <row r="3364" spans="1:57" s="1942" customFormat="1" ht="15" hidden="1" customHeight="1" outlineLevel="1" x14ac:dyDescent="0.25">
      <c r="A3364" s="2060"/>
      <c r="B3364" s="576"/>
      <c r="C3364" s="328"/>
      <c r="D3364" s="3990"/>
      <c r="E3364" s="4009"/>
      <c r="F3364" s="3010" t="str">
        <f>$E$1541</f>
        <v>ASHP-SEER19-Replace_CAC_NonElectricHeat_ROF_MF_CompE</v>
      </c>
      <c r="G3364" s="2676"/>
      <c r="H3364" s="2676"/>
      <c r="I3364" s="2677"/>
      <c r="J3364" s="3298" t="str">
        <f>$C$1541</f>
        <v>353361_2021_12_</v>
      </c>
      <c r="K3364" s="3053">
        <f t="shared" si="238"/>
        <v>0.65</v>
      </c>
      <c r="L3364" s="851"/>
      <c r="M3364" s="698"/>
      <c r="N3364" s="123"/>
      <c r="O3364" s="228"/>
      <c r="P3364" s="844"/>
      <c r="Q3364" s="844"/>
      <c r="R3364" s="844"/>
      <c r="S3364" s="832"/>
      <c r="T3364" s="3082"/>
      <c r="U3364" s="123"/>
      <c r="V3364" s="3990"/>
      <c r="W3364" s="793"/>
      <c r="X3364" s="793"/>
      <c r="Y3364" s="791"/>
      <c r="Z3364" s="793"/>
      <c r="AA3364" s="793"/>
      <c r="AB3364" s="793"/>
      <c r="AC3364" s="3053">
        <f t="shared" si="239"/>
        <v>0.65</v>
      </c>
      <c r="AD3364" s="793"/>
      <c r="AE3364" s="793"/>
      <c r="AF3364" s="793"/>
      <c r="AG3364" s="793"/>
      <c r="BB3364" s="575"/>
      <c r="BC3364" s="576"/>
      <c r="BD3364" s="678"/>
      <c r="BE3364" s="585"/>
    </row>
    <row r="3365" spans="1:57" s="51" customFormat="1" ht="15" hidden="1" customHeight="1" outlineLevel="1" x14ac:dyDescent="0.25">
      <c r="A3365" s="2060"/>
      <c r="B3365" s="576"/>
      <c r="C3365" s="328"/>
      <c r="D3365" s="3990"/>
      <c r="E3365" s="4009"/>
      <c r="F3365" s="3010" t="str">
        <f>$E$1543</f>
        <v>ASHP-SEER20-Replace_CAC_ElectricHeat_ER1_SF</v>
      </c>
      <c r="G3365" s="2676"/>
      <c r="H3365" s="2676"/>
      <c r="I3365" s="2677"/>
      <c r="J3365" s="3298" t="str">
        <f>$C$1543</f>
        <v>353400_2021_12_</v>
      </c>
      <c r="K3365" s="793">
        <v>1</v>
      </c>
      <c r="L3365" s="851"/>
      <c r="M3365" s="698"/>
      <c r="N3365" s="123"/>
      <c r="O3365" s="228"/>
      <c r="P3365" s="844"/>
      <c r="Q3365" s="844"/>
      <c r="R3365" s="844"/>
      <c r="S3365" s="832"/>
      <c r="T3365" s="3082"/>
      <c r="U3365" s="123"/>
      <c r="V3365" s="3990"/>
      <c r="W3365" s="793">
        <v>1</v>
      </c>
      <c r="X3365" s="793">
        <v>1</v>
      </c>
      <c r="Y3365" s="793">
        <v>1</v>
      </c>
      <c r="Z3365" s="793">
        <v>1</v>
      </c>
      <c r="AA3365" s="793">
        <v>1</v>
      </c>
      <c r="AB3365" s="793">
        <v>1</v>
      </c>
      <c r="AC3365" s="793">
        <v>1</v>
      </c>
      <c r="AD3365" s="793"/>
      <c r="AE3365" s="793"/>
      <c r="AF3365" s="793"/>
      <c r="AG3365" s="793"/>
      <c r="AH3365" s="1942"/>
      <c r="AI3365" s="1942"/>
      <c r="AJ3365" s="1942"/>
      <c r="AK3365" s="1942"/>
      <c r="AL3365" s="1942"/>
      <c r="AM3365" s="1942"/>
      <c r="AN3365" s="1942"/>
      <c r="AO3365" s="1942"/>
      <c r="AP3365" s="1942"/>
      <c r="AQ3365" s="1942"/>
      <c r="AR3365" s="1942"/>
      <c r="AS3365" s="1942"/>
      <c r="AT3365" s="1942"/>
      <c r="AU3365" s="1942"/>
      <c r="AV3365" s="1942"/>
      <c r="AW3365" s="1942"/>
      <c r="AX3365" s="1942"/>
      <c r="AY3365" s="1942"/>
      <c r="AZ3365" s="1942"/>
      <c r="BA3365" s="1942"/>
      <c r="BB3365" s="575"/>
      <c r="BC3365" s="576"/>
      <c r="BD3365" s="678"/>
      <c r="BE3365" s="585"/>
    </row>
    <row r="3366" spans="1:57" s="51" customFormat="1" ht="15" hidden="1" customHeight="1" outlineLevel="1" x14ac:dyDescent="0.25">
      <c r="A3366" s="2060"/>
      <c r="B3366" s="576"/>
      <c r="C3366" s="328"/>
      <c r="D3366" s="3990"/>
      <c r="E3366" s="4009"/>
      <c r="F3366" s="3010" t="str">
        <f>$E$1545</f>
        <v>ASHP-SEER20-Replace_CAC_ElectricHeat_ER2_SF</v>
      </c>
      <c r="G3366" s="2676"/>
      <c r="H3366" s="2676"/>
      <c r="I3366" s="2677"/>
      <c r="J3366" s="3298" t="str">
        <f>$C$1545</f>
        <v>353400_2021_12_</v>
      </c>
      <c r="K3366" s="793">
        <v>1</v>
      </c>
      <c r="L3366" s="851"/>
      <c r="M3366" s="698"/>
      <c r="N3366" s="123"/>
      <c r="O3366" s="228"/>
      <c r="P3366" s="844"/>
      <c r="Q3366" s="844"/>
      <c r="R3366" s="844"/>
      <c r="S3366" s="832"/>
      <c r="T3366" s="3082"/>
      <c r="U3366" s="123"/>
      <c r="V3366" s="3990"/>
      <c r="W3366" s="793">
        <v>1</v>
      </c>
      <c r="X3366" s="793">
        <v>1</v>
      </c>
      <c r="Y3366" s="793">
        <v>1</v>
      </c>
      <c r="Z3366" s="793">
        <v>1</v>
      </c>
      <c r="AA3366" s="793">
        <v>1</v>
      </c>
      <c r="AB3366" s="793">
        <v>1</v>
      </c>
      <c r="AC3366" s="793">
        <v>1</v>
      </c>
      <c r="AD3366" s="793"/>
      <c r="AE3366" s="793"/>
      <c r="AF3366" s="793"/>
      <c r="AG3366" s="793"/>
      <c r="AH3366" s="1942"/>
      <c r="AI3366" s="1942"/>
      <c r="AJ3366" s="1942"/>
      <c r="AK3366" s="1942"/>
      <c r="AL3366" s="1942"/>
      <c r="AM3366" s="1942"/>
      <c r="AN3366" s="1942"/>
      <c r="AO3366" s="1942"/>
      <c r="AP3366" s="1942"/>
      <c r="AQ3366" s="1942"/>
      <c r="AR3366" s="1942"/>
      <c r="AS3366" s="1942"/>
      <c r="AT3366" s="1942"/>
      <c r="AU3366" s="1942"/>
      <c r="AV3366" s="1942"/>
      <c r="AW3366" s="1942"/>
      <c r="AX3366" s="1942"/>
      <c r="AY3366" s="1942"/>
      <c r="AZ3366" s="1942"/>
      <c r="BA3366" s="1942"/>
      <c r="BB3366" s="575"/>
      <c r="BC3366" s="576"/>
      <c r="BD3366" s="678"/>
      <c r="BE3366" s="585"/>
    </row>
    <row r="3367" spans="1:57" s="1942" customFormat="1" ht="15" hidden="1" customHeight="1" outlineLevel="1" x14ac:dyDescent="0.25">
      <c r="A3367" s="2060"/>
      <c r="B3367" s="576"/>
      <c r="C3367" s="328"/>
      <c r="D3367" s="3990"/>
      <c r="E3367" s="4009"/>
      <c r="F3367" s="3010" t="str">
        <f>$E$1547</f>
        <v>ASHP-SEER20-Replace_CAC_NonElectricHeat_ER1_SF</v>
      </c>
      <c r="G3367" s="2676"/>
      <c r="H3367" s="2676"/>
      <c r="I3367" s="2677"/>
      <c r="J3367" s="3298" t="str">
        <f>$C$1547</f>
        <v>353410_2021_12_</v>
      </c>
      <c r="K3367" s="791">
        <v>1</v>
      </c>
      <c r="L3367" s="851"/>
      <c r="M3367" s="698"/>
      <c r="N3367" s="123"/>
      <c r="O3367" s="228"/>
      <c r="P3367" s="844"/>
      <c r="Q3367" s="844"/>
      <c r="R3367" s="844"/>
      <c r="S3367" s="832"/>
      <c r="T3367" s="3082"/>
      <c r="U3367" s="123"/>
      <c r="V3367" s="3990"/>
      <c r="W3367" s="793"/>
      <c r="X3367" s="793"/>
      <c r="Y3367" s="793"/>
      <c r="Z3367" s="793"/>
      <c r="AA3367" s="793"/>
      <c r="AB3367" s="793"/>
      <c r="AC3367" s="791">
        <v>1</v>
      </c>
      <c r="AD3367" s="793"/>
      <c r="AE3367" s="793"/>
      <c r="AF3367" s="793"/>
      <c r="AG3367" s="793"/>
      <c r="BB3367" s="575"/>
      <c r="BC3367" s="576"/>
      <c r="BD3367" s="678"/>
      <c r="BE3367" s="585"/>
    </row>
    <row r="3368" spans="1:57" s="1942" customFormat="1" ht="15" hidden="1" customHeight="1" outlineLevel="1" x14ac:dyDescent="0.25">
      <c r="A3368" s="2060"/>
      <c r="B3368" s="576"/>
      <c r="C3368" s="328"/>
      <c r="D3368" s="3990"/>
      <c r="E3368" s="4009"/>
      <c r="F3368" s="3010" t="str">
        <f>$E$1549</f>
        <v>ASHP-SEER20-Replace_CAC_NonElectricHeat_ER2_SF</v>
      </c>
      <c r="G3368" s="2676"/>
      <c r="H3368" s="2676"/>
      <c r="I3368" s="2677"/>
      <c r="J3368" s="3298" t="str">
        <f>$C$1549</f>
        <v>353410_2021_12_</v>
      </c>
      <c r="K3368" s="791">
        <v>1</v>
      </c>
      <c r="L3368" s="851"/>
      <c r="M3368" s="698"/>
      <c r="N3368" s="123"/>
      <c r="O3368" s="228"/>
      <c r="P3368" s="844"/>
      <c r="Q3368" s="844"/>
      <c r="R3368" s="844"/>
      <c r="S3368" s="832"/>
      <c r="T3368" s="3082"/>
      <c r="U3368" s="123"/>
      <c r="V3368" s="3990"/>
      <c r="W3368" s="793"/>
      <c r="X3368" s="793"/>
      <c r="Y3368" s="793"/>
      <c r="Z3368" s="793"/>
      <c r="AA3368" s="793"/>
      <c r="AB3368" s="793"/>
      <c r="AC3368" s="791">
        <v>1</v>
      </c>
      <c r="AD3368" s="793"/>
      <c r="AE3368" s="793"/>
      <c r="AF3368" s="793"/>
      <c r="AG3368" s="793"/>
      <c r="BB3368" s="575"/>
      <c r="BC3368" s="576"/>
      <c r="BD3368" s="678"/>
      <c r="BE3368" s="585"/>
    </row>
    <row r="3369" spans="1:57" s="51" customFormat="1" ht="15" hidden="1" customHeight="1" outlineLevel="1" x14ac:dyDescent="0.25">
      <c r="A3369" s="2060"/>
      <c r="B3369" s="576"/>
      <c r="C3369" s="328"/>
      <c r="D3369" s="3990"/>
      <c r="E3369" s="4009"/>
      <c r="F3369" s="3010" t="str">
        <f>$E$1551</f>
        <v>ASHP-SEER20-Replace_CAC_ElectricHeat_ROF_SF</v>
      </c>
      <c r="G3369" s="2676"/>
      <c r="H3369" s="2676"/>
      <c r="I3369" s="2677"/>
      <c r="J3369" s="3298" t="str">
        <f>$C$1551</f>
        <v>353450_2021_12_</v>
      </c>
      <c r="K3369" s="793">
        <v>1</v>
      </c>
      <c r="L3369" s="851"/>
      <c r="M3369" s="698"/>
      <c r="N3369" s="123"/>
      <c r="O3369" s="228"/>
      <c r="P3369" s="844"/>
      <c r="Q3369" s="844"/>
      <c r="R3369" s="844"/>
      <c r="S3369" s="832"/>
      <c r="T3369" s="3082"/>
      <c r="U3369" s="123"/>
      <c r="V3369" s="3990"/>
      <c r="W3369" s="793">
        <v>1</v>
      </c>
      <c r="X3369" s="793">
        <v>1</v>
      </c>
      <c r="Y3369" s="793">
        <v>1</v>
      </c>
      <c r="Z3369" s="793">
        <v>1</v>
      </c>
      <c r="AA3369" s="793">
        <v>1</v>
      </c>
      <c r="AB3369" s="793">
        <v>1</v>
      </c>
      <c r="AC3369" s="793">
        <v>1</v>
      </c>
      <c r="AD3369" s="793"/>
      <c r="AE3369" s="793"/>
      <c r="AF3369" s="793"/>
      <c r="AG3369" s="793"/>
      <c r="AH3369" s="1942"/>
      <c r="AI3369" s="1942"/>
      <c r="AJ3369" s="1942"/>
      <c r="AK3369" s="1942"/>
      <c r="AL3369" s="1942"/>
      <c r="AM3369" s="1942"/>
      <c r="AN3369" s="1942"/>
      <c r="AO3369" s="1942"/>
      <c r="AP3369" s="1942"/>
      <c r="AQ3369" s="1942"/>
      <c r="AR3369" s="1942"/>
      <c r="AS3369" s="1942"/>
      <c r="AT3369" s="1942"/>
      <c r="AU3369" s="1942"/>
      <c r="AV3369" s="1942"/>
      <c r="AW3369" s="1942"/>
      <c r="AX3369" s="1942"/>
      <c r="AY3369" s="1942"/>
      <c r="AZ3369" s="1942"/>
      <c r="BA3369" s="1942"/>
      <c r="BB3369" s="575"/>
      <c r="BC3369" s="576"/>
      <c r="BD3369" s="678"/>
      <c r="BE3369" s="585"/>
    </row>
    <row r="3370" spans="1:57" s="51" customFormat="1" ht="15" hidden="1" customHeight="1" outlineLevel="1" x14ac:dyDescent="0.25">
      <c r="A3370" s="2060"/>
      <c r="B3370" s="576"/>
      <c r="C3370" s="328"/>
      <c r="D3370" s="3990"/>
      <c r="E3370" s="4009"/>
      <c r="F3370" s="3010" t="str">
        <f>$E$1553</f>
        <v>ASHP-SEER20-Replace_CAC_ElectricHeat_ROF_MF</v>
      </c>
      <c r="G3370" s="2676"/>
      <c r="H3370" s="2676"/>
      <c r="I3370" s="2677"/>
      <c r="J3370" s="3299" t="str">
        <f>$C$1553</f>
        <v>353500_2019_12_</v>
      </c>
      <c r="K3370" s="793">
        <v>0.65</v>
      </c>
      <c r="L3370" s="851"/>
      <c r="M3370" s="698" t="s">
        <v>1011</v>
      </c>
      <c r="N3370" s="123"/>
      <c r="O3370" s="228"/>
      <c r="P3370" s="844"/>
      <c r="Q3370" s="845"/>
      <c r="R3370" s="844"/>
      <c r="S3370" s="832"/>
      <c r="T3370" s="3082"/>
      <c r="U3370" s="123"/>
      <c r="V3370" s="3990"/>
      <c r="W3370" s="793">
        <v>0.65</v>
      </c>
      <c r="X3370" s="793">
        <v>0.65</v>
      </c>
      <c r="Y3370" s="793">
        <v>0.65</v>
      </c>
      <c r="Z3370" s="793">
        <v>0.65</v>
      </c>
      <c r="AA3370" s="793">
        <v>0.65</v>
      </c>
      <c r="AB3370" s="793">
        <v>0.65</v>
      </c>
      <c r="AC3370" s="793">
        <v>0.65</v>
      </c>
      <c r="AD3370" s="793"/>
      <c r="AE3370" s="793"/>
      <c r="AF3370" s="793"/>
      <c r="AG3370" s="793"/>
      <c r="AH3370" s="1942"/>
      <c r="AI3370" s="1942"/>
      <c r="AJ3370" s="1942"/>
      <c r="AK3370" s="1942"/>
      <c r="AL3370" s="1942"/>
      <c r="AM3370" s="1942"/>
      <c r="AN3370" s="1942"/>
      <c r="AO3370" s="1942"/>
      <c r="AP3370" s="1942"/>
      <c r="AQ3370" s="1942"/>
      <c r="AR3370" s="1942"/>
      <c r="AS3370" s="1942"/>
      <c r="AT3370" s="1942"/>
      <c r="AU3370" s="1942"/>
      <c r="AV3370" s="1942"/>
      <c r="AW3370" s="1942"/>
      <c r="AX3370" s="1942"/>
      <c r="AY3370" s="1942"/>
      <c r="AZ3370" s="1942"/>
      <c r="BA3370" s="1942"/>
      <c r="BB3370" s="575"/>
      <c r="BC3370" s="576"/>
      <c r="BD3370" s="678"/>
      <c r="BE3370" s="585"/>
    </row>
    <row r="3371" spans="1:57" s="51" customFormat="1" ht="15" hidden="1" customHeight="1" outlineLevel="1" x14ac:dyDescent="0.25">
      <c r="A3371" s="2060"/>
      <c r="B3371" s="576"/>
      <c r="C3371" s="328"/>
      <c r="D3371" s="3990"/>
      <c r="E3371" s="4009"/>
      <c r="F3371" s="3010" t="str">
        <f>$E$1555</f>
        <v>ASHP-SEER20-Replace_CAC_ElectricHeat_ROF_MF_CompE</v>
      </c>
      <c r="G3371" s="2676"/>
      <c r="H3371" s="2676"/>
      <c r="I3371" s="2677"/>
      <c r="J3371" s="3299" t="str">
        <f>$C$1555</f>
        <v>353501_2019_12_</v>
      </c>
      <c r="K3371" s="793">
        <f>K3370</f>
        <v>0.65</v>
      </c>
      <c r="L3371" s="851"/>
      <c r="M3371" s="698"/>
      <c r="N3371" s="123"/>
      <c r="O3371" s="228"/>
      <c r="P3371" s="844"/>
      <c r="Q3371" s="845"/>
      <c r="R3371" s="844"/>
      <c r="S3371" s="832"/>
      <c r="T3371" s="3082"/>
      <c r="U3371" s="123"/>
      <c r="V3371" s="3990"/>
      <c r="W3371" s="793"/>
      <c r="X3371" s="793"/>
      <c r="Y3371" s="791">
        <v>0.65</v>
      </c>
      <c r="Z3371" s="793">
        <v>0.65</v>
      </c>
      <c r="AA3371" s="793">
        <v>0.65</v>
      </c>
      <c r="AB3371" s="793">
        <v>0.65</v>
      </c>
      <c r="AC3371" s="793">
        <f>AC3370</f>
        <v>0.65</v>
      </c>
      <c r="AD3371" s="793"/>
      <c r="AE3371" s="793"/>
      <c r="AF3371" s="793"/>
      <c r="AG3371" s="793"/>
      <c r="AH3371" s="1942"/>
      <c r="AI3371" s="1942"/>
      <c r="AJ3371" s="1942"/>
      <c r="AK3371" s="1942"/>
      <c r="AL3371" s="1942"/>
      <c r="AM3371" s="1942"/>
      <c r="AN3371" s="1942"/>
      <c r="AO3371" s="1942"/>
      <c r="AP3371" s="1942"/>
      <c r="AQ3371" s="1942"/>
      <c r="AR3371" s="1942"/>
      <c r="AS3371" s="1942"/>
      <c r="AT3371" s="1942"/>
      <c r="AU3371" s="1942"/>
      <c r="AV3371" s="1942"/>
      <c r="AW3371" s="1942"/>
      <c r="AX3371" s="1942"/>
      <c r="AY3371" s="1942"/>
      <c r="AZ3371" s="1942"/>
      <c r="BA3371" s="1942"/>
      <c r="BB3371" s="575"/>
      <c r="BC3371" s="576"/>
      <c r="BD3371" s="678"/>
      <c r="BE3371" s="585"/>
    </row>
    <row r="3372" spans="1:57" s="1942" customFormat="1" ht="15" hidden="1" customHeight="1" outlineLevel="1" x14ac:dyDescent="0.25">
      <c r="A3372" s="2060"/>
      <c r="B3372" s="576"/>
      <c r="C3372" s="328"/>
      <c r="D3372" s="3990"/>
      <c r="E3372" s="4009"/>
      <c r="F3372" s="3010" t="str">
        <f>$E$1557</f>
        <v>ASHP-SEER20-Replace_CAC_NonElectricHeat_ROF_MF</v>
      </c>
      <c r="G3372" s="2676"/>
      <c r="H3372" s="2676"/>
      <c r="I3372" s="2677"/>
      <c r="J3372" s="3298" t="str">
        <f>$C$1557</f>
        <v>353510_2021_12_</v>
      </c>
      <c r="K3372" s="3053">
        <f t="shared" ref="K3372:K3373" si="240">K3371</f>
        <v>0.65</v>
      </c>
      <c r="L3372" s="851"/>
      <c r="M3372" s="698"/>
      <c r="N3372" s="123"/>
      <c r="O3372" s="228"/>
      <c r="P3372" s="844"/>
      <c r="Q3372" s="845"/>
      <c r="R3372" s="844"/>
      <c r="S3372" s="832"/>
      <c r="T3372" s="3082"/>
      <c r="U3372" s="123"/>
      <c r="V3372" s="3990"/>
      <c r="W3372" s="793"/>
      <c r="X3372" s="793"/>
      <c r="Y3372" s="791"/>
      <c r="Z3372" s="793"/>
      <c r="AA3372" s="793"/>
      <c r="AB3372" s="793"/>
      <c r="AC3372" s="3053">
        <f t="shared" ref="AC3372:AC3373" si="241">AC3371</f>
        <v>0.65</v>
      </c>
      <c r="AD3372" s="793"/>
      <c r="AE3372" s="793"/>
      <c r="AF3372" s="793"/>
      <c r="AG3372" s="793"/>
      <c r="BB3372" s="575"/>
      <c r="BC3372" s="576"/>
      <c r="BD3372" s="678"/>
      <c r="BE3372" s="585"/>
    </row>
    <row r="3373" spans="1:57" s="1942" customFormat="1" ht="15" hidden="1" customHeight="1" outlineLevel="1" x14ac:dyDescent="0.25">
      <c r="A3373" s="2060"/>
      <c r="B3373" s="576"/>
      <c r="C3373" s="328"/>
      <c r="D3373" s="3990"/>
      <c r="E3373" s="4009"/>
      <c r="F3373" s="3010" t="str">
        <f>$E$1559</f>
        <v>ASHP-SEER20-Replace_CAC_NonElectricHeat_ROF_MF_CompE</v>
      </c>
      <c r="G3373" s="2676"/>
      <c r="H3373" s="2676"/>
      <c r="I3373" s="2677"/>
      <c r="J3373" s="3298" t="str">
        <f>$C$1559</f>
        <v>353511_2021_12_</v>
      </c>
      <c r="K3373" s="3053">
        <f t="shared" si="240"/>
        <v>0.65</v>
      </c>
      <c r="L3373" s="851"/>
      <c r="M3373" s="698"/>
      <c r="N3373" s="123"/>
      <c r="O3373" s="228"/>
      <c r="P3373" s="844"/>
      <c r="Q3373" s="845"/>
      <c r="R3373" s="844"/>
      <c r="S3373" s="832"/>
      <c r="T3373" s="3082"/>
      <c r="U3373" s="123"/>
      <c r="V3373" s="3990"/>
      <c r="W3373" s="793"/>
      <c r="X3373" s="793"/>
      <c r="Y3373" s="791"/>
      <c r="Z3373" s="793"/>
      <c r="AA3373" s="793"/>
      <c r="AB3373" s="793"/>
      <c r="AC3373" s="3053">
        <f t="shared" si="241"/>
        <v>0.65</v>
      </c>
      <c r="AD3373" s="793"/>
      <c r="AE3373" s="793"/>
      <c r="AF3373" s="793"/>
      <c r="AG3373" s="793"/>
      <c r="BB3373" s="575"/>
      <c r="BC3373" s="576"/>
      <c r="BD3373" s="678"/>
      <c r="BE3373" s="585"/>
    </row>
    <row r="3374" spans="1:57" s="51" customFormat="1" ht="15" hidden="1" customHeight="1" outlineLevel="1" x14ac:dyDescent="0.25">
      <c r="A3374" s="2060"/>
      <c r="B3374" s="576"/>
      <c r="C3374" s="328"/>
      <c r="D3374" s="3990"/>
      <c r="E3374" s="4009"/>
      <c r="F3374" s="3010" t="str">
        <f>$E$1561</f>
        <v>ASHP-SEER21-Replace_CAC_ElectricHeat_ER1_SF</v>
      </c>
      <c r="G3374" s="2676"/>
      <c r="H3374" s="2676"/>
      <c r="I3374" s="2677"/>
      <c r="J3374" s="3298" t="str">
        <f>$C$1561</f>
        <v>353550_2021_12_</v>
      </c>
      <c r="K3374" s="793">
        <v>1</v>
      </c>
      <c r="L3374" s="851"/>
      <c r="M3374" s="698"/>
      <c r="N3374" s="123"/>
      <c r="O3374" s="228"/>
      <c r="P3374" s="844"/>
      <c r="Q3374" s="845"/>
      <c r="R3374" s="844"/>
      <c r="S3374" s="832"/>
      <c r="T3374" s="3082"/>
      <c r="U3374" s="123"/>
      <c r="V3374" s="3990"/>
      <c r="W3374" s="793">
        <v>1</v>
      </c>
      <c r="X3374" s="793">
        <v>1</v>
      </c>
      <c r="Y3374" s="793">
        <v>1</v>
      </c>
      <c r="Z3374" s="793">
        <v>1</v>
      </c>
      <c r="AA3374" s="793">
        <v>1</v>
      </c>
      <c r="AB3374" s="793">
        <v>1</v>
      </c>
      <c r="AC3374" s="793">
        <v>1</v>
      </c>
      <c r="AD3374" s="793"/>
      <c r="AE3374" s="793"/>
      <c r="AF3374" s="793"/>
      <c r="AG3374" s="793"/>
      <c r="AH3374" s="1942"/>
      <c r="AI3374" s="1942"/>
      <c r="AJ3374" s="1942"/>
      <c r="AK3374" s="1942"/>
      <c r="AL3374" s="1942"/>
      <c r="AM3374" s="1942"/>
      <c r="AN3374" s="1942"/>
      <c r="AO3374" s="1942"/>
      <c r="AP3374" s="1942"/>
      <c r="AQ3374" s="1942"/>
      <c r="AR3374" s="1942"/>
      <c r="AS3374" s="1942"/>
      <c r="AT3374" s="1942"/>
      <c r="AU3374" s="1942"/>
      <c r="AV3374" s="1942"/>
      <c r="AW3374" s="1942"/>
      <c r="AX3374" s="1942"/>
      <c r="AY3374" s="1942"/>
      <c r="AZ3374" s="1942"/>
      <c r="BA3374" s="1942"/>
      <c r="BB3374" s="575"/>
      <c r="BC3374" s="576"/>
      <c r="BD3374" s="678"/>
      <c r="BE3374" s="585"/>
    </row>
    <row r="3375" spans="1:57" s="51" customFormat="1" ht="15" hidden="1" customHeight="1" outlineLevel="1" x14ac:dyDescent="0.25">
      <c r="A3375" s="2060"/>
      <c r="B3375" s="576"/>
      <c r="C3375" s="328"/>
      <c r="D3375" s="3990"/>
      <c r="E3375" s="4009"/>
      <c r="F3375" s="3010" t="str">
        <f>$E$1563</f>
        <v>ASHP-SEER21-Replace_CAC_ElectricHeat_ER2_SF</v>
      </c>
      <c r="G3375" s="2676"/>
      <c r="H3375" s="2676"/>
      <c r="I3375" s="2677"/>
      <c r="J3375" s="3298" t="str">
        <f>$C$1563</f>
        <v>353550_2021_12_</v>
      </c>
      <c r="K3375" s="793">
        <v>1</v>
      </c>
      <c r="L3375" s="851"/>
      <c r="M3375" s="698"/>
      <c r="N3375" s="123"/>
      <c r="O3375" s="228"/>
      <c r="P3375" s="844"/>
      <c r="Q3375" s="845"/>
      <c r="R3375" s="844"/>
      <c r="S3375" s="832"/>
      <c r="T3375" s="3082"/>
      <c r="U3375" s="123"/>
      <c r="V3375" s="3990"/>
      <c r="W3375" s="793">
        <v>1</v>
      </c>
      <c r="X3375" s="793">
        <v>1</v>
      </c>
      <c r="Y3375" s="793">
        <v>1</v>
      </c>
      <c r="Z3375" s="793">
        <v>1</v>
      </c>
      <c r="AA3375" s="793">
        <v>1</v>
      </c>
      <c r="AB3375" s="793">
        <v>1</v>
      </c>
      <c r="AC3375" s="793">
        <v>1</v>
      </c>
      <c r="AD3375" s="793"/>
      <c r="AE3375" s="793"/>
      <c r="AF3375" s="793"/>
      <c r="AG3375" s="793"/>
      <c r="AH3375" s="1942"/>
      <c r="AI3375" s="1942"/>
      <c r="AJ3375" s="1942"/>
      <c r="AK3375" s="1942"/>
      <c r="AL3375" s="1942"/>
      <c r="AM3375" s="1942"/>
      <c r="AN3375" s="1942"/>
      <c r="AO3375" s="1942"/>
      <c r="AP3375" s="1942"/>
      <c r="AQ3375" s="1942"/>
      <c r="AR3375" s="1942"/>
      <c r="AS3375" s="1942"/>
      <c r="AT3375" s="1942"/>
      <c r="AU3375" s="1942"/>
      <c r="AV3375" s="1942"/>
      <c r="AW3375" s="1942"/>
      <c r="AX3375" s="1942"/>
      <c r="AY3375" s="1942"/>
      <c r="AZ3375" s="1942"/>
      <c r="BA3375" s="1942"/>
      <c r="BB3375" s="575"/>
      <c r="BC3375" s="576"/>
      <c r="BD3375" s="678"/>
      <c r="BE3375" s="585"/>
    </row>
    <row r="3376" spans="1:57" s="1942" customFormat="1" ht="15" hidden="1" customHeight="1" outlineLevel="1" x14ac:dyDescent="0.25">
      <c r="A3376" s="2060"/>
      <c r="B3376" s="576"/>
      <c r="C3376" s="328"/>
      <c r="D3376" s="3990"/>
      <c r="E3376" s="4009"/>
      <c r="F3376" s="3010" t="str">
        <f>$E$1565</f>
        <v>ASHP-SEER21-Replace_CAC_NonElectricHeat_ER1_SF</v>
      </c>
      <c r="G3376" s="2676"/>
      <c r="H3376" s="2676"/>
      <c r="I3376" s="2677"/>
      <c r="J3376" s="3298" t="str">
        <f>$C$1565</f>
        <v>353560_2021_12_</v>
      </c>
      <c r="K3376" s="791">
        <v>1</v>
      </c>
      <c r="L3376" s="851"/>
      <c r="M3376" s="698"/>
      <c r="N3376" s="123"/>
      <c r="O3376" s="228"/>
      <c r="P3376" s="844"/>
      <c r="Q3376" s="845"/>
      <c r="R3376" s="844"/>
      <c r="S3376" s="832"/>
      <c r="T3376" s="3082"/>
      <c r="U3376" s="123"/>
      <c r="V3376" s="3990"/>
      <c r="W3376" s="793"/>
      <c r="X3376" s="793"/>
      <c r="Y3376" s="793"/>
      <c r="Z3376" s="793"/>
      <c r="AA3376" s="793"/>
      <c r="AB3376" s="793"/>
      <c r="AC3376" s="791">
        <v>1</v>
      </c>
      <c r="AD3376" s="793"/>
      <c r="AE3376" s="793"/>
      <c r="AF3376" s="793"/>
      <c r="AG3376" s="793"/>
      <c r="BB3376" s="575"/>
      <c r="BC3376" s="576"/>
      <c r="BD3376" s="678"/>
      <c r="BE3376" s="585"/>
    </row>
    <row r="3377" spans="1:57" s="1942" customFormat="1" ht="15" hidden="1" customHeight="1" outlineLevel="1" x14ac:dyDescent="0.25">
      <c r="A3377" s="2060"/>
      <c r="B3377" s="576"/>
      <c r="C3377" s="328"/>
      <c r="D3377" s="3990"/>
      <c r="E3377" s="4009"/>
      <c r="F3377" s="3010" t="str">
        <f>$E$1567</f>
        <v>ASHP-SEER21-Replace_CAC_NonElectricHeat_ER2_SF</v>
      </c>
      <c r="G3377" s="2676"/>
      <c r="H3377" s="2676"/>
      <c r="I3377" s="2677"/>
      <c r="J3377" s="3298" t="str">
        <f>$C$1567</f>
        <v>353560_2021_12_</v>
      </c>
      <c r="K3377" s="791">
        <v>1</v>
      </c>
      <c r="L3377" s="851"/>
      <c r="M3377" s="698"/>
      <c r="N3377" s="123"/>
      <c r="O3377" s="228"/>
      <c r="P3377" s="844"/>
      <c r="Q3377" s="845"/>
      <c r="R3377" s="844"/>
      <c r="S3377" s="832"/>
      <c r="T3377" s="3082"/>
      <c r="U3377" s="123"/>
      <c r="V3377" s="3990"/>
      <c r="W3377" s="793"/>
      <c r="X3377" s="793"/>
      <c r="Y3377" s="793"/>
      <c r="Z3377" s="793"/>
      <c r="AA3377" s="793"/>
      <c r="AB3377" s="793"/>
      <c r="AC3377" s="791">
        <v>1</v>
      </c>
      <c r="AD3377" s="793"/>
      <c r="AE3377" s="793"/>
      <c r="AF3377" s="793"/>
      <c r="AG3377" s="793"/>
      <c r="BB3377" s="575"/>
      <c r="BC3377" s="576"/>
      <c r="BD3377" s="678"/>
      <c r="BE3377" s="585"/>
    </row>
    <row r="3378" spans="1:57" s="51" customFormat="1" ht="15" hidden="1" customHeight="1" outlineLevel="1" x14ac:dyDescent="0.25">
      <c r="A3378" s="2060"/>
      <c r="B3378" s="576"/>
      <c r="C3378" s="328"/>
      <c r="D3378" s="3990"/>
      <c r="E3378" s="4009"/>
      <c r="F3378" s="3010" t="str">
        <f>$E$1569</f>
        <v>ASHP-SEER21-Replace_CAC_ElectricHeat_ER1_MF</v>
      </c>
      <c r="G3378" s="2676"/>
      <c r="H3378" s="2676"/>
      <c r="I3378" s="2677"/>
      <c r="J3378" s="3299" t="str">
        <f>$C$1569</f>
        <v>353600_2019_12_</v>
      </c>
      <c r="K3378" s="793">
        <v>0.65</v>
      </c>
      <c r="L3378" s="851"/>
      <c r="M3378" s="698" t="s">
        <v>1011</v>
      </c>
      <c r="N3378" s="123"/>
      <c r="O3378" s="228"/>
      <c r="P3378" s="844"/>
      <c r="Q3378" s="845"/>
      <c r="R3378" s="844"/>
      <c r="S3378" s="832"/>
      <c r="T3378" s="3082"/>
      <c r="U3378" s="123"/>
      <c r="V3378" s="3990"/>
      <c r="W3378" s="793">
        <v>0.65</v>
      </c>
      <c r="X3378" s="793">
        <v>0.65</v>
      </c>
      <c r="Y3378" s="793">
        <v>0.65</v>
      </c>
      <c r="Z3378" s="793">
        <v>0.65</v>
      </c>
      <c r="AA3378" s="793">
        <v>0.65</v>
      </c>
      <c r="AB3378" s="793">
        <v>0.65</v>
      </c>
      <c r="AC3378" s="793">
        <v>0.65</v>
      </c>
      <c r="AD3378" s="793"/>
      <c r="AE3378" s="793"/>
      <c r="AF3378" s="793"/>
      <c r="AG3378" s="793"/>
      <c r="AH3378" s="1942"/>
      <c r="AI3378" s="1942"/>
      <c r="AJ3378" s="1942"/>
      <c r="AK3378" s="1942"/>
      <c r="AL3378" s="1942"/>
      <c r="AM3378" s="1942"/>
      <c r="AN3378" s="1942"/>
      <c r="AO3378" s="1942"/>
      <c r="AP3378" s="1942"/>
      <c r="AQ3378" s="1942"/>
      <c r="AR3378" s="1942"/>
      <c r="AS3378" s="1942"/>
      <c r="AT3378" s="1942"/>
      <c r="AU3378" s="1942"/>
      <c r="AV3378" s="1942"/>
      <c r="AW3378" s="1942"/>
      <c r="AX3378" s="1942"/>
      <c r="AY3378" s="1942"/>
      <c r="AZ3378" s="1942"/>
      <c r="BA3378" s="1942"/>
      <c r="BB3378" s="575"/>
      <c r="BC3378" s="576"/>
      <c r="BD3378" s="678"/>
      <c r="BE3378" s="585"/>
    </row>
    <row r="3379" spans="1:57" s="51" customFormat="1" ht="15" hidden="1" customHeight="1" outlineLevel="1" x14ac:dyDescent="0.25">
      <c r="A3379" s="2060"/>
      <c r="B3379" s="576"/>
      <c r="C3379" s="328"/>
      <c r="D3379" s="3990"/>
      <c r="E3379" s="4009"/>
      <c r="F3379" s="3010" t="str">
        <f>$E$1571</f>
        <v>ASHP-SEER21-Replace_CAC_ElectricHeat_ER2_MF</v>
      </c>
      <c r="G3379" s="2676"/>
      <c r="H3379" s="2676"/>
      <c r="I3379" s="2677"/>
      <c r="J3379" s="3299" t="str">
        <f>$C$1571</f>
        <v>353600_2019_12_</v>
      </c>
      <c r="K3379" s="793">
        <v>0.65</v>
      </c>
      <c r="L3379" s="851"/>
      <c r="M3379" s="698" t="s">
        <v>1011</v>
      </c>
      <c r="N3379" s="123"/>
      <c r="O3379" s="228"/>
      <c r="P3379" s="844"/>
      <c r="Q3379" s="845"/>
      <c r="R3379" s="844"/>
      <c r="S3379" s="832"/>
      <c r="T3379" s="3082"/>
      <c r="U3379" s="123"/>
      <c r="V3379" s="3990"/>
      <c r="W3379" s="793">
        <v>0.65</v>
      </c>
      <c r="X3379" s="793">
        <v>0.65</v>
      </c>
      <c r="Y3379" s="793">
        <v>0.65</v>
      </c>
      <c r="Z3379" s="793">
        <v>0.65</v>
      </c>
      <c r="AA3379" s="793">
        <v>0.65</v>
      </c>
      <c r="AB3379" s="793">
        <v>0.65</v>
      </c>
      <c r="AC3379" s="793">
        <v>0.65</v>
      </c>
      <c r="AD3379" s="793"/>
      <c r="AE3379" s="793"/>
      <c r="AF3379" s="793"/>
      <c r="AG3379" s="793"/>
      <c r="AH3379" s="1942"/>
      <c r="AI3379" s="1942"/>
      <c r="AJ3379" s="1942"/>
      <c r="AK3379" s="1942"/>
      <c r="AL3379" s="1942"/>
      <c r="AM3379" s="1942"/>
      <c r="AN3379" s="1942"/>
      <c r="AO3379" s="1942"/>
      <c r="AP3379" s="1942"/>
      <c r="AQ3379" s="1942"/>
      <c r="AR3379" s="1942"/>
      <c r="AS3379" s="1942"/>
      <c r="AT3379" s="1942"/>
      <c r="AU3379" s="1942"/>
      <c r="AV3379" s="1942"/>
      <c r="AW3379" s="1942"/>
      <c r="AX3379" s="1942"/>
      <c r="AY3379" s="1942"/>
      <c r="AZ3379" s="1942"/>
      <c r="BA3379" s="1942"/>
      <c r="BB3379" s="575"/>
      <c r="BC3379" s="576"/>
      <c r="BD3379" s="678"/>
      <c r="BE3379" s="585"/>
    </row>
    <row r="3380" spans="1:57" s="51" customFormat="1" ht="15" hidden="1" customHeight="1" outlineLevel="1" x14ac:dyDescent="0.25">
      <c r="A3380" s="2060"/>
      <c r="B3380" s="576"/>
      <c r="C3380" s="328"/>
      <c r="D3380" s="3990"/>
      <c r="E3380" s="4009"/>
      <c r="F3380" s="3010" t="str">
        <f>$E$1573</f>
        <v>ASHP-SEER21-Replace_CAC_ElectricHeat_ER1_MF_CompE</v>
      </c>
      <c r="G3380" s="2676"/>
      <c r="H3380" s="2676"/>
      <c r="I3380" s="2677"/>
      <c r="J3380" s="3299" t="str">
        <f>$C$1573</f>
        <v>353601_2019_12_</v>
      </c>
      <c r="K3380" s="793">
        <f>K3378</f>
        <v>0.65</v>
      </c>
      <c r="L3380" s="851"/>
      <c r="M3380" s="698"/>
      <c r="N3380" s="123"/>
      <c r="O3380" s="228"/>
      <c r="P3380" s="844"/>
      <c r="Q3380" s="845"/>
      <c r="R3380" s="844"/>
      <c r="S3380" s="832"/>
      <c r="T3380" s="3082"/>
      <c r="U3380" s="123"/>
      <c r="V3380" s="3990"/>
      <c r="W3380" s="793"/>
      <c r="X3380" s="793"/>
      <c r="Y3380" s="791">
        <v>0.65</v>
      </c>
      <c r="Z3380" s="793">
        <v>0.65</v>
      </c>
      <c r="AA3380" s="793">
        <v>0.65</v>
      </c>
      <c r="AB3380" s="793">
        <v>0.65</v>
      </c>
      <c r="AC3380" s="793">
        <f>AC3378</f>
        <v>0.65</v>
      </c>
      <c r="AD3380" s="793"/>
      <c r="AE3380" s="793"/>
      <c r="AF3380" s="793"/>
      <c r="AG3380" s="793"/>
      <c r="AH3380" s="1942"/>
      <c r="AI3380" s="1942"/>
      <c r="AJ3380" s="1942"/>
      <c r="AK3380" s="1942"/>
      <c r="AL3380" s="1942"/>
      <c r="AM3380" s="1942"/>
      <c r="AN3380" s="1942"/>
      <c r="AO3380" s="1942"/>
      <c r="AP3380" s="1942"/>
      <c r="AQ3380" s="1942"/>
      <c r="AR3380" s="1942"/>
      <c r="AS3380" s="1942"/>
      <c r="AT3380" s="1942"/>
      <c r="AU3380" s="1942"/>
      <c r="AV3380" s="1942"/>
      <c r="AW3380" s="1942"/>
      <c r="AX3380" s="1942"/>
      <c r="AY3380" s="1942"/>
      <c r="AZ3380" s="1942"/>
      <c r="BA3380" s="1942"/>
      <c r="BB3380" s="575"/>
      <c r="BC3380" s="576"/>
      <c r="BD3380" s="678"/>
      <c r="BE3380" s="585"/>
    </row>
    <row r="3381" spans="1:57" s="51" customFormat="1" ht="15" hidden="1" customHeight="1" outlineLevel="1" x14ac:dyDescent="0.25">
      <c r="A3381" s="2060"/>
      <c r="B3381" s="576"/>
      <c r="C3381" s="328"/>
      <c r="D3381" s="3990"/>
      <c r="E3381" s="4009"/>
      <c r="F3381" s="3010" t="str">
        <f>$E$1575</f>
        <v>ASHP-SEER21-Replace_CAC_ElectricHeat_ER2_MF_CompE</v>
      </c>
      <c r="G3381" s="2676"/>
      <c r="H3381" s="2676"/>
      <c r="I3381" s="2677"/>
      <c r="J3381" s="3299" t="str">
        <f>$C$1575</f>
        <v>353601_2019_12_</v>
      </c>
      <c r="K3381" s="793">
        <f>K3379</f>
        <v>0.65</v>
      </c>
      <c r="L3381" s="851"/>
      <c r="M3381" s="698"/>
      <c r="N3381" s="123"/>
      <c r="O3381" s="228"/>
      <c r="P3381" s="844"/>
      <c r="Q3381" s="845"/>
      <c r="R3381" s="844"/>
      <c r="S3381" s="832"/>
      <c r="T3381" s="3082"/>
      <c r="U3381" s="123"/>
      <c r="V3381" s="3990"/>
      <c r="W3381" s="793"/>
      <c r="X3381" s="793"/>
      <c r="Y3381" s="791">
        <v>0.65</v>
      </c>
      <c r="Z3381" s="793">
        <v>0.65</v>
      </c>
      <c r="AA3381" s="793">
        <v>0.65</v>
      </c>
      <c r="AB3381" s="793">
        <v>0.65</v>
      </c>
      <c r="AC3381" s="793">
        <f>AC3379</f>
        <v>0.65</v>
      </c>
      <c r="AD3381" s="793"/>
      <c r="AE3381" s="793"/>
      <c r="AF3381" s="793"/>
      <c r="AG3381" s="793"/>
      <c r="AH3381" s="1942"/>
      <c r="AI3381" s="1942"/>
      <c r="AJ3381" s="1942"/>
      <c r="AK3381" s="1942"/>
      <c r="AL3381" s="1942"/>
      <c r="AM3381" s="1942"/>
      <c r="AN3381" s="1942"/>
      <c r="AO3381" s="1942"/>
      <c r="AP3381" s="1942"/>
      <c r="AQ3381" s="1942"/>
      <c r="AR3381" s="1942"/>
      <c r="AS3381" s="1942"/>
      <c r="AT3381" s="1942"/>
      <c r="AU3381" s="1942"/>
      <c r="AV3381" s="1942"/>
      <c r="AW3381" s="1942"/>
      <c r="AX3381" s="1942"/>
      <c r="AY3381" s="1942"/>
      <c r="AZ3381" s="1942"/>
      <c r="BA3381" s="1942"/>
      <c r="BB3381" s="575"/>
      <c r="BC3381" s="576"/>
      <c r="BD3381" s="678"/>
      <c r="BE3381" s="585"/>
    </row>
    <row r="3382" spans="1:57" s="1942" customFormat="1" ht="15" hidden="1" customHeight="1" outlineLevel="1" x14ac:dyDescent="0.25">
      <c r="A3382" s="2060"/>
      <c r="B3382" s="576"/>
      <c r="C3382" s="328"/>
      <c r="D3382" s="3990"/>
      <c r="E3382" s="4009"/>
      <c r="F3382" s="3010" t="str">
        <f>$E$1577</f>
        <v>ASHP-SEER21-Replace_CAC_NonElectricHeat_ER1_MF</v>
      </c>
      <c r="G3382" s="2676"/>
      <c r="H3382" s="2676"/>
      <c r="I3382" s="2677"/>
      <c r="J3382" s="3298" t="str">
        <f>$C$1577</f>
        <v>353610_2021_12_</v>
      </c>
      <c r="K3382" s="3053">
        <f t="shared" ref="K3382:K3385" si="242">K3381</f>
        <v>0.65</v>
      </c>
      <c r="L3382" s="851"/>
      <c r="M3382" s="698"/>
      <c r="N3382" s="123"/>
      <c r="O3382" s="228"/>
      <c r="P3382" s="844"/>
      <c r="Q3382" s="845"/>
      <c r="R3382" s="844"/>
      <c r="S3382" s="832"/>
      <c r="T3382" s="3082"/>
      <c r="U3382" s="123"/>
      <c r="V3382" s="3990"/>
      <c r="W3382" s="793"/>
      <c r="X3382" s="793"/>
      <c r="Y3382" s="791"/>
      <c r="Z3382" s="793"/>
      <c r="AA3382" s="793"/>
      <c r="AB3382" s="793"/>
      <c r="AC3382" s="3053">
        <f t="shared" ref="AC3382:AC3385" si="243">AC3381</f>
        <v>0.65</v>
      </c>
      <c r="AD3382" s="793"/>
      <c r="AE3382" s="793"/>
      <c r="AF3382" s="793"/>
      <c r="AG3382" s="793"/>
      <c r="BB3382" s="575"/>
      <c r="BC3382" s="576"/>
      <c r="BD3382" s="678"/>
      <c r="BE3382" s="585"/>
    </row>
    <row r="3383" spans="1:57" s="1942" customFormat="1" ht="15" hidden="1" customHeight="1" outlineLevel="1" x14ac:dyDescent="0.25">
      <c r="A3383" s="2060"/>
      <c r="B3383" s="576"/>
      <c r="C3383" s="328"/>
      <c r="D3383" s="3990"/>
      <c r="E3383" s="4009"/>
      <c r="F3383" s="3010" t="str">
        <f>$E$1579</f>
        <v>ASHP-SEER21-Replace_CAC_NonElectricHeat_ER2_MF</v>
      </c>
      <c r="G3383" s="2676"/>
      <c r="H3383" s="2676"/>
      <c r="I3383" s="2677"/>
      <c r="J3383" s="3298" t="str">
        <f>$C$1579</f>
        <v>353610_2021_12_</v>
      </c>
      <c r="K3383" s="3053">
        <f t="shared" si="242"/>
        <v>0.65</v>
      </c>
      <c r="L3383" s="851"/>
      <c r="M3383" s="698"/>
      <c r="N3383" s="123"/>
      <c r="O3383" s="228"/>
      <c r="P3383" s="844"/>
      <c r="Q3383" s="845"/>
      <c r="R3383" s="844"/>
      <c r="S3383" s="832"/>
      <c r="T3383" s="3082"/>
      <c r="U3383" s="123"/>
      <c r="V3383" s="3990"/>
      <c r="W3383" s="793"/>
      <c r="X3383" s="793"/>
      <c r="Y3383" s="791"/>
      <c r="Z3383" s="793"/>
      <c r="AA3383" s="793"/>
      <c r="AB3383" s="793"/>
      <c r="AC3383" s="3053">
        <f t="shared" si="243"/>
        <v>0.65</v>
      </c>
      <c r="AD3383" s="793"/>
      <c r="AE3383" s="793"/>
      <c r="AF3383" s="793"/>
      <c r="AG3383" s="793"/>
      <c r="BB3383" s="575"/>
      <c r="BC3383" s="576"/>
      <c r="BD3383" s="678"/>
      <c r="BE3383" s="585"/>
    </row>
    <row r="3384" spans="1:57" s="1942" customFormat="1" ht="15" hidden="1" customHeight="1" outlineLevel="1" x14ac:dyDescent="0.25">
      <c r="A3384" s="2060"/>
      <c r="B3384" s="576"/>
      <c r="C3384" s="328"/>
      <c r="D3384" s="3990"/>
      <c r="E3384" s="4009"/>
      <c r="F3384" s="3010" t="str">
        <f>$E$1581</f>
        <v>ASHP-SEER21-Replace_CAC_NonElectricHeat_ER1_MF_CompE</v>
      </c>
      <c r="G3384" s="2676"/>
      <c r="H3384" s="2676"/>
      <c r="I3384" s="2677"/>
      <c r="J3384" s="3298" t="str">
        <f>$C$1581</f>
        <v>353611_2021_12_</v>
      </c>
      <c r="K3384" s="3053">
        <f t="shared" si="242"/>
        <v>0.65</v>
      </c>
      <c r="L3384" s="851"/>
      <c r="M3384" s="698"/>
      <c r="N3384" s="123"/>
      <c r="O3384" s="228"/>
      <c r="P3384" s="844"/>
      <c r="Q3384" s="845"/>
      <c r="R3384" s="844"/>
      <c r="S3384" s="832"/>
      <c r="T3384" s="3082"/>
      <c r="U3384" s="123"/>
      <c r="V3384" s="3990"/>
      <c r="W3384" s="793"/>
      <c r="X3384" s="793"/>
      <c r="Y3384" s="791"/>
      <c r="Z3384" s="793"/>
      <c r="AA3384" s="793"/>
      <c r="AB3384" s="793"/>
      <c r="AC3384" s="3053">
        <f t="shared" si="243"/>
        <v>0.65</v>
      </c>
      <c r="AD3384" s="793"/>
      <c r="AE3384" s="793"/>
      <c r="AF3384" s="793"/>
      <c r="AG3384" s="793"/>
      <c r="BB3384" s="575"/>
      <c r="BC3384" s="576"/>
      <c r="BD3384" s="678"/>
      <c r="BE3384" s="585"/>
    </row>
    <row r="3385" spans="1:57" s="1942" customFormat="1" ht="15" hidden="1" customHeight="1" outlineLevel="1" x14ac:dyDescent="0.25">
      <c r="A3385" s="2060"/>
      <c r="B3385" s="576"/>
      <c r="C3385" s="328"/>
      <c r="D3385" s="3990"/>
      <c r="E3385" s="4009"/>
      <c r="F3385" s="3010" t="str">
        <f>$E$1583</f>
        <v>ASHP-SEER21-Replace_CAC_NonElectricHeat_ER2_MF_CompE</v>
      </c>
      <c r="G3385" s="2676"/>
      <c r="H3385" s="2676"/>
      <c r="I3385" s="2677"/>
      <c r="J3385" s="3298" t="str">
        <f>$C$1583</f>
        <v>353611_2021_12_</v>
      </c>
      <c r="K3385" s="3053">
        <f t="shared" si="242"/>
        <v>0.65</v>
      </c>
      <c r="L3385" s="851"/>
      <c r="M3385" s="698"/>
      <c r="N3385" s="123"/>
      <c r="O3385" s="228"/>
      <c r="P3385" s="844"/>
      <c r="Q3385" s="845"/>
      <c r="R3385" s="844"/>
      <c r="S3385" s="832"/>
      <c r="T3385" s="3082"/>
      <c r="U3385" s="123"/>
      <c r="V3385" s="3990"/>
      <c r="W3385" s="793"/>
      <c r="X3385" s="793"/>
      <c r="Y3385" s="791"/>
      <c r="Z3385" s="793"/>
      <c r="AA3385" s="793"/>
      <c r="AB3385" s="793"/>
      <c r="AC3385" s="3053">
        <f t="shared" si="243"/>
        <v>0.65</v>
      </c>
      <c r="AD3385" s="793"/>
      <c r="AE3385" s="793"/>
      <c r="AF3385" s="793"/>
      <c r="AG3385" s="793"/>
      <c r="BB3385" s="575"/>
      <c r="BC3385" s="576"/>
      <c r="BD3385" s="678"/>
      <c r="BE3385" s="585"/>
    </row>
    <row r="3386" spans="1:57" s="51" customFormat="1" ht="15" hidden="1" customHeight="1" outlineLevel="1" x14ac:dyDescent="0.25">
      <c r="A3386" s="2060"/>
      <c r="B3386" s="576"/>
      <c r="C3386" s="328"/>
      <c r="D3386" s="3990"/>
      <c r="E3386" s="4009"/>
      <c r="F3386" s="3010" t="str">
        <f>$E$1585</f>
        <v>ASHP-SEER21-Replace_CAC_ElectricHeat_ROF_SF</v>
      </c>
      <c r="G3386" s="2676"/>
      <c r="H3386" s="2676"/>
      <c r="I3386" s="2677"/>
      <c r="J3386" s="3298" t="str">
        <f>$C$1585</f>
        <v>353650_2021_12_</v>
      </c>
      <c r="K3386" s="793">
        <v>1</v>
      </c>
      <c r="L3386" s="851"/>
      <c r="M3386" s="698"/>
      <c r="N3386" s="123"/>
      <c r="O3386" s="228"/>
      <c r="P3386" s="844"/>
      <c r="Q3386" s="845"/>
      <c r="R3386" s="844"/>
      <c r="S3386" s="832"/>
      <c r="T3386" s="3082"/>
      <c r="U3386" s="123"/>
      <c r="V3386" s="3990"/>
      <c r="W3386" s="793">
        <v>1</v>
      </c>
      <c r="X3386" s="793">
        <v>1</v>
      </c>
      <c r="Y3386" s="793">
        <v>1</v>
      </c>
      <c r="Z3386" s="793">
        <v>1</v>
      </c>
      <c r="AA3386" s="793">
        <v>1</v>
      </c>
      <c r="AB3386" s="793">
        <v>1</v>
      </c>
      <c r="AC3386" s="793">
        <v>1</v>
      </c>
      <c r="AD3386" s="793"/>
      <c r="AE3386" s="793"/>
      <c r="AF3386" s="793"/>
      <c r="AG3386" s="793"/>
      <c r="AH3386" s="1942"/>
      <c r="AI3386" s="1942"/>
      <c r="AJ3386" s="1942"/>
      <c r="AK3386" s="1942"/>
      <c r="AL3386" s="1942"/>
      <c r="AM3386" s="1942"/>
      <c r="AN3386" s="1942"/>
      <c r="AO3386" s="1942"/>
      <c r="AP3386" s="1942"/>
      <c r="AQ3386" s="1942"/>
      <c r="AR3386" s="1942"/>
      <c r="AS3386" s="1942"/>
      <c r="AT3386" s="1942"/>
      <c r="AU3386" s="1942"/>
      <c r="AV3386" s="1942"/>
      <c r="AW3386" s="1942"/>
      <c r="AX3386" s="1942"/>
      <c r="AY3386" s="1942"/>
      <c r="AZ3386" s="1942"/>
      <c r="BA3386" s="1942"/>
      <c r="BB3386" s="575"/>
      <c r="BC3386" s="576"/>
      <c r="BD3386" s="678"/>
      <c r="BE3386" s="585"/>
    </row>
    <row r="3387" spans="1:57" s="51" customFormat="1" ht="15" hidden="1" customHeight="1" outlineLevel="1" x14ac:dyDescent="0.25">
      <c r="A3387" s="1267"/>
      <c r="B3387" s="576"/>
      <c r="C3387" s="328"/>
      <c r="D3387" s="3990"/>
      <c r="E3387" s="4009"/>
      <c r="F3387" s="3010" t="str">
        <f>$E$1587</f>
        <v>ASHP-SEER21+-Replace_CAC_ElectricHeat_ROF_MF</v>
      </c>
      <c r="G3387" s="2676"/>
      <c r="H3387" s="2676"/>
      <c r="I3387" s="2677"/>
      <c r="J3387" s="3299" t="str">
        <f>$C$1587</f>
        <v>353700_2019_12_</v>
      </c>
      <c r="K3387" s="793">
        <v>0.65</v>
      </c>
      <c r="L3387" s="851"/>
      <c r="M3387" s="698" t="s">
        <v>1011</v>
      </c>
      <c r="N3387" s="123"/>
      <c r="O3387" s="228"/>
      <c r="P3387" s="228"/>
      <c r="Q3387" s="228"/>
      <c r="R3387" s="228"/>
      <c r="S3387" s="123"/>
      <c r="T3387" s="123"/>
      <c r="U3387" s="123"/>
      <c r="V3387" s="3990"/>
      <c r="W3387" s="793">
        <v>0.65</v>
      </c>
      <c r="X3387" s="793">
        <v>0.65</v>
      </c>
      <c r="Y3387" s="793">
        <v>0.65</v>
      </c>
      <c r="Z3387" s="793">
        <v>0.65</v>
      </c>
      <c r="AA3387" s="793">
        <v>0.65</v>
      </c>
      <c r="AB3387" s="793">
        <v>0.65</v>
      </c>
      <c r="AC3387" s="793">
        <v>0.65</v>
      </c>
      <c r="AD3387" s="793"/>
      <c r="AE3387" s="793"/>
      <c r="AF3387" s="793"/>
      <c r="AG3387" s="793"/>
      <c r="AH3387" s="1942"/>
      <c r="AI3387" s="1942"/>
      <c r="AJ3387" s="1942"/>
      <c r="AK3387" s="1942"/>
      <c r="AL3387" s="1942"/>
      <c r="AM3387" s="1942"/>
      <c r="AN3387" s="1942"/>
      <c r="AO3387" s="1942"/>
      <c r="AP3387" s="1942"/>
      <c r="AQ3387" s="1942"/>
      <c r="AR3387" s="1942"/>
      <c r="AS3387" s="1942"/>
      <c r="AT3387" s="1942"/>
      <c r="AU3387" s="1942"/>
      <c r="AV3387" s="1942"/>
      <c r="AW3387" s="1942"/>
      <c r="AX3387" s="1942"/>
      <c r="AY3387" s="1942"/>
      <c r="AZ3387" s="1942"/>
      <c r="BA3387" s="1942"/>
      <c r="BB3387" s="575"/>
      <c r="BC3387" s="576"/>
      <c r="BD3387" s="678"/>
      <c r="BE3387" s="585"/>
    </row>
    <row r="3388" spans="1:57" s="51" customFormat="1" ht="15" hidden="1" customHeight="1" outlineLevel="1" x14ac:dyDescent="0.25">
      <c r="A3388" s="1267"/>
      <c r="B3388" s="576"/>
      <c r="C3388" s="328"/>
      <c r="D3388" s="3990"/>
      <c r="E3388" s="4009"/>
      <c r="F3388" s="3010" t="str">
        <f>$E$1589</f>
        <v>ASHP-SEER21+-Replace_CAC_ElectricHeat_ROF_MF_CompE</v>
      </c>
      <c r="G3388" s="2676"/>
      <c r="H3388" s="2676"/>
      <c r="I3388" s="2677"/>
      <c r="J3388" s="3299" t="str">
        <f>$C$1589</f>
        <v>353701_2019_12_</v>
      </c>
      <c r="K3388" s="793">
        <v>0.65</v>
      </c>
      <c r="L3388" s="851"/>
      <c r="M3388" s="698"/>
      <c r="N3388" s="123"/>
      <c r="O3388" s="228"/>
      <c r="P3388" s="228"/>
      <c r="Q3388" s="228"/>
      <c r="R3388" s="228"/>
      <c r="S3388" s="123"/>
      <c r="T3388" s="123"/>
      <c r="U3388" s="123"/>
      <c r="V3388" s="3990"/>
      <c r="W3388" s="793"/>
      <c r="X3388" s="793"/>
      <c r="Y3388" s="791">
        <v>0.65</v>
      </c>
      <c r="Z3388" s="793">
        <v>0.65</v>
      </c>
      <c r="AA3388" s="793">
        <v>0.65</v>
      </c>
      <c r="AB3388" s="793">
        <v>0.65</v>
      </c>
      <c r="AC3388" s="793">
        <v>0.65</v>
      </c>
      <c r="AD3388" s="793"/>
      <c r="AE3388" s="793"/>
      <c r="AF3388" s="793"/>
      <c r="AG3388" s="793"/>
      <c r="AH3388" s="1942"/>
      <c r="AI3388" s="1942"/>
      <c r="AJ3388" s="1942"/>
      <c r="AK3388" s="1942"/>
      <c r="AL3388" s="1942"/>
      <c r="AM3388" s="1942"/>
      <c r="AN3388" s="1942"/>
      <c r="AO3388" s="1942"/>
      <c r="AP3388" s="1942"/>
      <c r="AQ3388" s="1942"/>
      <c r="AR3388" s="1942"/>
      <c r="AS3388" s="1942"/>
      <c r="AT3388" s="1942"/>
      <c r="AU3388" s="1942"/>
      <c r="AV3388" s="1942"/>
      <c r="AW3388" s="1942"/>
      <c r="AX3388" s="1942"/>
      <c r="AY3388" s="1942"/>
      <c r="AZ3388" s="1942"/>
      <c r="BA3388" s="1942"/>
      <c r="BB3388" s="575"/>
      <c r="BC3388" s="576"/>
      <c r="BD3388" s="678"/>
      <c r="BE3388" s="585"/>
    </row>
    <row r="3389" spans="1:57" s="1942" customFormat="1" ht="15" hidden="1" customHeight="1" outlineLevel="1" x14ac:dyDescent="0.25">
      <c r="A3389" s="1267"/>
      <c r="B3389" s="576"/>
      <c r="C3389" s="328"/>
      <c r="D3389" s="3990"/>
      <c r="E3389" s="4009"/>
      <c r="F3389" s="3010" t="str">
        <f>$E$1591</f>
        <v>ASHP-SEER21+-Replace_CAC_NonElectricHeat_ROF_MF</v>
      </c>
      <c r="G3389" s="2676"/>
      <c r="H3389" s="2676"/>
      <c r="I3389" s="2677"/>
      <c r="J3389" s="3298" t="str">
        <f>$C$1591</f>
        <v>353710_2021_12_</v>
      </c>
      <c r="K3389" s="3053">
        <f t="shared" ref="K3389:K3390" si="244">K3388</f>
        <v>0.65</v>
      </c>
      <c r="L3389" s="851"/>
      <c r="M3389" s="698"/>
      <c r="N3389" s="123"/>
      <c r="O3389" s="228"/>
      <c r="P3389" s="228"/>
      <c r="Q3389" s="228"/>
      <c r="R3389" s="228"/>
      <c r="S3389" s="123"/>
      <c r="T3389" s="123"/>
      <c r="U3389" s="123"/>
      <c r="V3389" s="3990"/>
      <c r="W3389" s="793"/>
      <c r="X3389" s="793"/>
      <c r="Y3389" s="791"/>
      <c r="Z3389" s="793"/>
      <c r="AA3389" s="793"/>
      <c r="AB3389" s="793"/>
      <c r="AC3389" s="3053">
        <f t="shared" ref="AC3389:AC3390" si="245">AC3388</f>
        <v>0.65</v>
      </c>
      <c r="AD3389" s="793"/>
      <c r="AE3389" s="793"/>
      <c r="AF3389" s="793"/>
      <c r="AG3389" s="793"/>
      <c r="BB3389" s="575"/>
      <c r="BC3389" s="576"/>
      <c r="BD3389" s="678"/>
      <c r="BE3389" s="585"/>
    </row>
    <row r="3390" spans="1:57" s="1942" customFormat="1" ht="15" hidden="1" customHeight="1" outlineLevel="1" x14ac:dyDescent="0.25">
      <c r="A3390" s="1267"/>
      <c r="B3390" s="576"/>
      <c r="C3390" s="328"/>
      <c r="D3390" s="3990"/>
      <c r="E3390" s="4009"/>
      <c r="F3390" s="3010" t="str">
        <f>$E$1593</f>
        <v>ASHP-SEER21+-Replace_CAC_NonElectricHeat_ROF_MF_CompE</v>
      </c>
      <c r="G3390" s="2676"/>
      <c r="H3390" s="2676"/>
      <c r="I3390" s="2677"/>
      <c r="J3390" s="3298" t="str">
        <f>$C$1593</f>
        <v>353711_2021_12_</v>
      </c>
      <c r="K3390" s="3053">
        <f t="shared" si="244"/>
        <v>0.65</v>
      </c>
      <c r="L3390" s="851"/>
      <c r="M3390" s="698"/>
      <c r="N3390" s="123"/>
      <c r="O3390" s="228"/>
      <c r="P3390" s="228"/>
      <c r="Q3390" s="228"/>
      <c r="R3390" s="228"/>
      <c r="S3390" s="123"/>
      <c r="T3390" s="123"/>
      <c r="U3390" s="123"/>
      <c r="V3390" s="3990"/>
      <c r="W3390" s="793"/>
      <c r="X3390" s="793"/>
      <c r="Y3390" s="791"/>
      <c r="Z3390" s="793"/>
      <c r="AA3390" s="793"/>
      <c r="AB3390" s="793"/>
      <c r="AC3390" s="3053">
        <f t="shared" si="245"/>
        <v>0.65</v>
      </c>
      <c r="AD3390" s="793"/>
      <c r="AE3390" s="793"/>
      <c r="AF3390" s="793"/>
      <c r="AG3390" s="793"/>
      <c r="BB3390" s="575"/>
      <c r="BC3390" s="576"/>
      <c r="BD3390" s="678"/>
      <c r="BE3390" s="585"/>
    </row>
    <row r="3391" spans="1:57" s="51" customFormat="1" ht="15" hidden="1" customHeight="1" outlineLevel="1" x14ac:dyDescent="0.25">
      <c r="A3391" s="2060"/>
      <c r="B3391" s="576"/>
      <c r="C3391" s="328"/>
      <c r="D3391" s="3990"/>
      <c r="E3391" s="4009"/>
      <c r="F3391" s="3010" t="str">
        <f>$E$1595</f>
        <v>ASHP-SEER17_ER1_SF</v>
      </c>
      <c r="G3391" s="2676"/>
      <c r="H3391" s="2676"/>
      <c r="I3391" s="2677"/>
      <c r="J3391" s="3298" t="str">
        <f>$C$1595</f>
        <v>353750_2021_12_</v>
      </c>
      <c r="K3391" s="793">
        <v>1</v>
      </c>
      <c r="L3391" s="851"/>
      <c r="M3391" s="858"/>
      <c r="N3391" s="123"/>
      <c r="O3391" s="228"/>
      <c r="P3391" s="844"/>
      <c r="Q3391" s="845"/>
      <c r="R3391" s="844"/>
      <c r="S3391" s="832"/>
      <c r="T3391" s="3082"/>
      <c r="U3391" s="123"/>
      <c r="V3391" s="3990"/>
      <c r="W3391" s="793">
        <v>1</v>
      </c>
      <c r="X3391" s="793">
        <v>1</v>
      </c>
      <c r="Y3391" s="793">
        <v>1</v>
      </c>
      <c r="Z3391" s="793">
        <v>1</v>
      </c>
      <c r="AA3391" s="793">
        <v>1</v>
      </c>
      <c r="AB3391" s="793">
        <v>1</v>
      </c>
      <c r="AC3391" s="793">
        <v>1</v>
      </c>
      <c r="AD3391" s="793"/>
      <c r="AE3391" s="793"/>
      <c r="AF3391" s="793"/>
      <c r="AG3391" s="793"/>
      <c r="AH3391" s="1942"/>
      <c r="AI3391" s="1942"/>
      <c r="AJ3391" s="1942"/>
      <c r="AK3391" s="1942"/>
      <c r="AL3391" s="1942"/>
      <c r="AM3391" s="1942"/>
      <c r="AN3391" s="1942"/>
      <c r="AO3391" s="1942"/>
      <c r="AP3391" s="1942"/>
      <c r="AQ3391" s="1942"/>
      <c r="AR3391" s="1942"/>
      <c r="AS3391" s="1942"/>
      <c r="AT3391" s="1942"/>
      <c r="AU3391" s="1942"/>
      <c r="AV3391" s="1942"/>
      <c r="AW3391" s="1942"/>
      <c r="AX3391" s="1942"/>
      <c r="AY3391" s="1942"/>
      <c r="AZ3391" s="1942"/>
      <c r="BA3391" s="1942"/>
      <c r="BB3391" s="575"/>
      <c r="BC3391" s="576"/>
      <c r="BD3391" s="678"/>
      <c r="BE3391" s="585"/>
    </row>
    <row r="3392" spans="1:57" s="51" customFormat="1" ht="15" hidden="1" customHeight="1" outlineLevel="1" x14ac:dyDescent="0.25">
      <c r="A3392" s="1267"/>
      <c r="B3392" s="576"/>
      <c r="C3392" s="328"/>
      <c r="D3392" s="3990"/>
      <c r="E3392" s="4009"/>
      <c r="F3392" s="3010" t="str">
        <f>$E$1597</f>
        <v>ASHP-SEER17_ER2_SF</v>
      </c>
      <c r="G3392" s="2676"/>
      <c r="H3392" s="2676"/>
      <c r="I3392" s="2677"/>
      <c r="J3392" s="3298" t="str">
        <f>$C$1597</f>
        <v>353750_2021_12_</v>
      </c>
      <c r="K3392" s="793">
        <v>1</v>
      </c>
      <c r="L3392" s="851"/>
      <c r="M3392" s="858"/>
      <c r="N3392" s="123"/>
      <c r="O3392" s="228"/>
      <c r="P3392" s="228"/>
      <c r="Q3392" s="228"/>
      <c r="R3392" s="228"/>
      <c r="S3392" s="123"/>
      <c r="T3392" s="123"/>
      <c r="U3392" s="123"/>
      <c r="V3392" s="3990"/>
      <c r="W3392" s="793">
        <v>1</v>
      </c>
      <c r="X3392" s="793">
        <v>1</v>
      </c>
      <c r="Y3392" s="793">
        <v>1</v>
      </c>
      <c r="Z3392" s="793">
        <v>1</v>
      </c>
      <c r="AA3392" s="793">
        <v>1</v>
      </c>
      <c r="AB3392" s="793">
        <v>1</v>
      </c>
      <c r="AC3392" s="793">
        <v>1</v>
      </c>
      <c r="AD3392" s="793"/>
      <c r="AE3392" s="793"/>
      <c r="AF3392" s="793"/>
      <c r="AG3392" s="793"/>
      <c r="AH3392" s="1942"/>
      <c r="AI3392" s="1942"/>
      <c r="AJ3392" s="1942"/>
      <c r="AK3392" s="1942"/>
      <c r="AL3392" s="1942"/>
      <c r="AM3392" s="1942"/>
      <c r="AN3392" s="1942"/>
      <c r="AO3392" s="1942"/>
      <c r="AP3392" s="1942"/>
      <c r="AQ3392" s="1942"/>
      <c r="AR3392" s="1942"/>
      <c r="AS3392" s="1942"/>
      <c r="AT3392" s="1942"/>
      <c r="AU3392" s="1942"/>
      <c r="AV3392" s="1942"/>
      <c r="AW3392" s="1942"/>
      <c r="AX3392" s="1942"/>
      <c r="AY3392" s="1942"/>
      <c r="AZ3392" s="1942"/>
      <c r="BA3392" s="1942"/>
      <c r="BB3392" s="575"/>
      <c r="BC3392" s="576"/>
      <c r="BD3392" s="678"/>
      <c r="BE3392" s="585"/>
    </row>
    <row r="3393" spans="1:57" s="51" customFormat="1" ht="15" hidden="1" customHeight="1" outlineLevel="1" x14ac:dyDescent="0.25">
      <c r="A3393" s="2060"/>
      <c r="B3393" s="576"/>
      <c r="C3393" s="328"/>
      <c r="D3393" s="3990"/>
      <c r="E3393" s="4009"/>
      <c r="F3393" s="3010" t="str">
        <f>$E$1599</f>
        <v>ASHP-SEER17_ROF_SF</v>
      </c>
      <c r="G3393" s="2676"/>
      <c r="H3393" s="2676"/>
      <c r="I3393" s="2677"/>
      <c r="J3393" s="3298" t="str">
        <f>$C$1599</f>
        <v>353800_2021_12_</v>
      </c>
      <c r="K3393" s="793">
        <v>1</v>
      </c>
      <c r="L3393" s="851"/>
      <c r="M3393" s="858"/>
      <c r="N3393" s="123"/>
      <c r="O3393" s="228"/>
      <c r="P3393" s="844"/>
      <c r="Q3393" s="845"/>
      <c r="R3393" s="844"/>
      <c r="S3393" s="832"/>
      <c r="T3393" s="3082"/>
      <c r="U3393" s="123"/>
      <c r="V3393" s="3990"/>
      <c r="W3393" s="793">
        <v>1</v>
      </c>
      <c r="X3393" s="793">
        <v>1</v>
      </c>
      <c r="Y3393" s="793">
        <v>1</v>
      </c>
      <c r="Z3393" s="793">
        <v>1</v>
      </c>
      <c r="AA3393" s="793">
        <v>1</v>
      </c>
      <c r="AB3393" s="793">
        <v>1</v>
      </c>
      <c r="AC3393" s="793">
        <v>1</v>
      </c>
      <c r="AD3393" s="793"/>
      <c r="AE3393" s="793"/>
      <c r="AF3393" s="793"/>
      <c r="AG3393" s="793"/>
      <c r="AH3393" s="1942"/>
      <c r="AI3393" s="1942"/>
      <c r="AJ3393" s="1942"/>
      <c r="AK3393" s="1942"/>
      <c r="AL3393" s="1942"/>
      <c r="AM3393" s="1942"/>
      <c r="AN3393" s="1942"/>
      <c r="AO3393" s="1942"/>
      <c r="AP3393" s="1942"/>
      <c r="AQ3393" s="1942"/>
      <c r="AR3393" s="1942"/>
      <c r="AS3393" s="1942"/>
      <c r="AT3393" s="1942"/>
      <c r="AU3393" s="1942"/>
      <c r="AV3393" s="1942"/>
      <c r="AW3393" s="1942"/>
      <c r="AX3393" s="1942"/>
      <c r="AY3393" s="1942"/>
      <c r="AZ3393" s="1942"/>
      <c r="BA3393" s="1942"/>
      <c r="BB3393" s="575"/>
      <c r="BC3393" s="576"/>
      <c r="BD3393" s="678"/>
      <c r="BE3393" s="585"/>
    </row>
    <row r="3394" spans="1:57" s="51" customFormat="1" ht="15" hidden="1" customHeight="1" outlineLevel="1" x14ac:dyDescent="0.25">
      <c r="A3394" s="1267"/>
      <c r="B3394" s="576"/>
      <c r="C3394" s="328"/>
      <c r="D3394" s="3990"/>
      <c r="E3394" s="4009"/>
      <c r="F3394" s="3010" t="str">
        <f>$E$1601</f>
        <v>ASHP-SEER18_ER1_SF</v>
      </c>
      <c r="G3394" s="2676"/>
      <c r="H3394" s="2676"/>
      <c r="I3394" s="2677"/>
      <c r="J3394" s="3298" t="str">
        <f>$C$1601</f>
        <v>353850_2021_12_</v>
      </c>
      <c r="K3394" s="793">
        <v>1</v>
      </c>
      <c r="L3394" s="851"/>
      <c r="M3394" s="858"/>
      <c r="N3394" s="123"/>
      <c r="O3394" s="228"/>
      <c r="P3394" s="228"/>
      <c r="Q3394" s="228"/>
      <c r="R3394" s="228"/>
      <c r="S3394" s="123"/>
      <c r="T3394" s="123"/>
      <c r="U3394" s="123"/>
      <c r="V3394" s="3990"/>
      <c r="W3394" s="793">
        <v>1</v>
      </c>
      <c r="X3394" s="793">
        <v>1</v>
      </c>
      <c r="Y3394" s="793">
        <v>1</v>
      </c>
      <c r="Z3394" s="793">
        <v>1</v>
      </c>
      <c r="AA3394" s="793">
        <v>1</v>
      </c>
      <c r="AB3394" s="793">
        <v>1</v>
      </c>
      <c r="AC3394" s="793">
        <v>1</v>
      </c>
      <c r="AD3394" s="793"/>
      <c r="AE3394" s="793"/>
      <c r="AF3394" s="793"/>
      <c r="AG3394" s="793"/>
      <c r="AH3394" s="1942"/>
      <c r="AI3394" s="1942"/>
      <c r="AJ3394" s="1942"/>
      <c r="AK3394" s="1942"/>
      <c r="AL3394" s="1942"/>
      <c r="AM3394" s="1942"/>
      <c r="AN3394" s="1942"/>
      <c r="AO3394" s="1942"/>
      <c r="AP3394" s="1942"/>
      <c r="AQ3394" s="1942"/>
      <c r="AR3394" s="1942"/>
      <c r="AS3394" s="1942"/>
      <c r="AT3394" s="1942"/>
      <c r="AU3394" s="1942"/>
      <c r="AV3394" s="1942"/>
      <c r="AW3394" s="1942"/>
      <c r="AX3394" s="1942"/>
      <c r="AY3394" s="1942"/>
      <c r="AZ3394" s="1942"/>
      <c r="BA3394" s="1942"/>
      <c r="BB3394" s="575"/>
      <c r="BC3394" s="576"/>
      <c r="BD3394" s="678"/>
      <c r="BE3394" s="585"/>
    </row>
    <row r="3395" spans="1:57" s="51" customFormat="1" ht="15" hidden="1" customHeight="1" outlineLevel="1" x14ac:dyDescent="0.25">
      <c r="A3395" s="1267"/>
      <c r="B3395" s="576"/>
      <c r="C3395" s="328"/>
      <c r="D3395" s="3990"/>
      <c r="E3395" s="4009"/>
      <c r="F3395" s="3010" t="str">
        <f>$E$1603</f>
        <v>ASHP-SEER18_ER2_SF</v>
      </c>
      <c r="G3395" s="2676"/>
      <c r="H3395" s="2676"/>
      <c r="I3395" s="2677"/>
      <c r="J3395" s="3298" t="str">
        <f>$C$1603</f>
        <v>353850_2021_12_</v>
      </c>
      <c r="K3395" s="793">
        <v>1</v>
      </c>
      <c r="L3395" s="851"/>
      <c r="M3395" s="858"/>
      <c r="N3395" s="123"/>
      <c r="O3395" s="228"/>
      <c r="P3395" s="228"/>
      <c r="Q3395" s="228"/>
      <c r="R3395" s="228"/>
      <c r="S3395" s="123"/>
      <c r="T3395" s="123"/>
      <c r="U3395" s="123"/>
      <c r="V3395" s="3990"/>
      <c r="W3395" s="793">
        <v>1</v>
      </c>
      <c r="X3395" s="793">
        <v>1</v>
      </c>
      <c r="Y3395" s="793">
        <v>1</v>
      </c>
      <c r="Z3395" s="793">
        <v>1</v>
      </c>
      <c r="AA3395" s="793">
        <v>1</v>
      </c>
      <c r="AB3395" s="793">
        <v>1</v>
      </c>
      <c r="AC3395" s="793">
        <v>1</v>
      </c>
      <c r="AD3395" s="793"/>
      <c r="AE3395" s="793"/>
      <c r="AF3395" s="793"/>
      <c r="AG3395" s="793"/>
      <c r="AH3395" s="1942"/>
      <c r="AI3395" s="1942"/>
      <c r="AJ3395" s="1942"/>
      <c r="AK3395" s="1942"/>
      <c r="AL3395" s="1942"/>
      <c r="AM3395" s="1942"/>
      <c r="AN3395" s="1942"/>
      <c r="AO3395" s="1942"/>
      <c r="AP3395" s="1942"/>
      <c r="AQ3395" s="1942"/>
      <c r="AR3395" s="1942"/>
      <c r="AS3395" s="1942"/>
      <c r="AT3395" s="1942"/>
      <c r="AU3395" s="1942"/>
      <c r="AV3395" s="1942"/>
      <c r="AW3395" s="1942"/>
      <c r="AX3395" s="1942"/>
      <c r="AY3395" s="1942"/>
      <c r="AZ3395" s="1942"/>
      <c r="BA3395" s="1942"/>
      <c r="BB3395" s="575"/>
      <c r="BC3395" s="576"/>
      <c r="BD3395" s="678"/>
      <c r="BE3395" s="585"/>
    </row>
    <row r="3396" spans="1:57" s="51" customFormat="1" ht="15" hidden="1" customHeight="1" outlineLevel="1" x14ac:dyDescent="0.25">
      <c r="A3396" s="2060"/>
      <c r="B3396" s="576"/>
      <c r="C3396" s="328"/>
      <c r="D3396" s="3990"/>
      <c r="E3396" s="4009"/>
      <c r="F3396" s="3010" t="str">
        <f>$E$1605</f>
        <v>ASHP-SEER18_ROF_SF</v>
      </c>
      <c r="G3396" s="2676"/>
      <c r="H3396" s="2676"/>
      <c r="I3396" s="2677"/>
      <c r="J3396" s="3298" t="str">
        <f>$C$1605</f>
        <v>353950_2021_12_</v>
      </c>
      <c r="K3396" s="793">
        <v>1</v>
      </c>
      <c r="L3396" s="851"/>
      <c r="M3396" s="858"/>
      <c r="N3396" s="123"/>
      <c r="O3396" s="228"/>
      <c r="P3396" s="844"/>
      <c r="Q3396" s="845"/>
      <c r="R3396" s="844"/>
      <c r="S3396" s="832"/>
      <c r="T3396" s="3082"/>
      <c r="U3396" s="123"/>
      <c r="V3396" s="3990"/>
      <c r="W3396" s="793">
        <v>1</v>
      </c>
      <c r="X3396" s="793">
        <v>1</v>
      </c>
      <c r="Y3396" s="793">
        <v>1</v>
      </c>
      <c r="Z3396" s="793">
        <v>1</v>
      </c>
      <c r="AA3396" s="793">
        <v>1</v>
      </c>
      <c r="AB3396" s="793">
        <v>1</v>
      </c>
      <c r="AC3396" s="793">
        <v>1</v>
      </c>
      <c r="AD3396" s="793"/>
      <c r="AE3396" s="793"/>
      <c r="AF3396" s="793"/>
      <c r="AG3396" s="793"/>
      <c r="AH3396" s="1942"/>
      <c r="AI3396" s="1942"/>
      <c r="AJ3396" s="1942"/>
      <c r="AK3396" s="1942"/>
      <c r="AL3396" s="1942"/>
      <c r="AM3396" s="1942"/>
      <c r="AN3396" s="1942"/>
      <c r="AO3396" s="1942"/>
      <c r="AP3396" s="1942"/>
      <c r="AQ3396" s="1942"/>
      <c r="AR3396" s="1942"/>
      <c r="AS3396" s="1942"/>
      <c r="AT3396" s="1942"/>
      <c r="AU3396" s="1942"/>
      <c r="AV3396" s="1942"/>
      <c r="AW3396" s="1942"/>
      <c r="AX3396" s="1942"/>
      <c r="AY3396" s="1942"/>
      <c r="AZ3396" s="1942"/>
      <c r="BA3396" s="1942"/>
      <c r="BB3396" s="575"/>
      <c r="BC3396" s="576"/>
      <c r="BD3396" s="678"/>
      <c r="BE3396" s="585"/>
    </row>
    <row r="3397" spans="1:57" s="51" customFormat="1" ht="15" hidden="1" customHeight="1" outlineLevel="1" x14ac:dyDescent="0.25">
      <c r="A3397" s="1267"/>
      <c r="B3397" s="576"/>
      <c r="C3397" s="328"/>
      <c r="D3397" s="3990"/>
      <c r="E3397" s="4009"/>
      <c r="F3397" s="3010" t="str">
        <f>$E$1607</f>
        <v>ASHP-SEER19_ER1_SF</v>
      </c>
      <c r="G3397" s="2676"/>
      <c r="H3397" s="2676"/>
      <c r="I3397" s="2677"/>
      <c r="J3397" s="3298" t="str">
        <f>$C$1607</f>
        <v>354000_2021_12_</v>
      </c>
      <c r="K3397" s="793">
        <v>1</v>
      </c>
      <c r="L3397" s="851"/>
      <c r="M3397" s="858"/>
      <c r="N3397" s="123"/>
      <c r="O3397" s="228"/>
      <c r="P3397" s="228"/>
      <c r="Q3397" s="228"/>
      <c r="R3397" s="228"/>
      <c r="S3397" s="123"/>
      <c r="T3397" s="123"/>
      <c r="U3397" s="123"/>
      <c r="V3397" s="3990"/>
      <c r="W3397" s="793">
        <v>1</v>
      </c>
      <c r="X3397" s="793">
        <v>1</v>
      </c>
      <c r="Y3397" s="793">
        <v>1</v>
      </c>
      <c r="Z3397" s="793">
        <v>1</v>
      </c>
      <c r="AA3397" s="793">
        <v>1</v>
      </c>
      <c r="AB3397" s="793">
        <v>1</v>
      </c>
      <c r="AC3397" s="793">
        <v>1</v>
      </c>
      <c r="AD3397" s="793"/>
      <c r="AE3397" s="793"/>
      <c r="AF3397" s="793"/>
      <c r="AG3397" s="793"/>
      <c r="AH3397" s="1942"/>
      <c r="AI3397" s="1942"/>
      <c r="AJ3397" s="1942"/>
      <c r="AK3397" s="1942"/>
      <c r="AL3397" s="1942"/>
      <c r="AM3397" s="1942"/>
      <c r="AN3397" s="1942"/>
      <c r="AO3397" s="1942"/>
      <c r="AP3397" s="1942"/>
      <c r="AQ3397" s="1942"/>
      <c r="AR3397" s="1942"/>
      <c r="AS3397" s="1942"/>
      <c r="AT3397" s="1942"/>
      <c r="AU3397" s="1942"/>
      <c r="AV3397" s="1942"/>
      <c r="AW3397" s="1942"/>
      <c r="AX3397" s="1942"/>
      <c r="AY3397" s="1942"/>
      <c r="AZ3397" s="1942"/>
      <c r="BA3397" s="1942"/>
      <c r="BB3397" s="575"/>
      <c r="BC3397" s="576"/>
      <c r="BD3397" s="678"/>
      <c r="BE3397" s="585"/>
    </row>
    <row r="3398" spans="1:57" s="51" customFormat="1" ht="15" hidden="1" customHeight="1" outlineLevel="1" x14ac:dyDescent="0.25">
      <c r="A3398" s="1267"/>
      <c r="B3398" s="576"/>
      <c r="C3398" s="328"/>
      <c r="D3398" s="3990"/>
      <c r="E3398" s="4009"/>
      <c r="F3398" s="3010" t="str">
        <f>$E$1609</f>
        <v>ASHP-SEER19_ER2_SF</v>
      </c>
      <c r="G3398" s="2676"/>
      <c r="H3398" s="2676"/>
      <c r="I3398" s="2677"/>
      <c r="J3398" s="3298" t="str">
        <f>$C$1609</f>
        <v>354000_2021_12_</v>
      </c>
      <c r="K3398" s="793">
        <v>1</v>
      </c>
      <c r="L3398" s="851"/>
      <c r="M3398" s="858"/>
      <c r="N3398" s="123"/>
      <c r="O3398" s="228"/>
      <c r="P3398" s="228"/>
      <c r="Q3398" s="228"/>
      <c r="R3398" s="228"/>
      <c r="S3398" s="123"/>
      <c r="T3398" s="123"/>
      <c r="U3398" s="123"/>
      <c r="V3398" s="3990"/>
      <c r="W3398" s="793">
        <v>1</v>
      </c>
      <c r="X3398" s="793">
        <v>1</v>
      </c>
      <c r="Y3398" s="793">
        <v>1</v>
      </c>
      <c r="Z3398" s="793">
        <v>1</v>
      </c>
      <c r="AA3398" s="793">
        <v>1</v>
      </c>
      <c r="AB3398" s="793">
        <v>1</v>
      </c>
      <c r="AC3398" s="793">
        <v>1</v>
      </c>
      <c r="AD3398" s="793"/>
      <c r="AE3398" s="793"/>
      <c r="AF3398" s="793"/>
      <c r="AG3398" s="793"/>
      <c r="AH3398" s="1942"/>
      <c r="AI3398" s="1942"/>
      <c r="AJ3398" s="1942"/>
      <c r="AK3398" s="1942"/>
      <c r="AL3398" s="1942"/>
      <c r="AM3398" s="1942"/>
      <c r="AN3398" s="1942"/>
      <c r="AO3398" s="1942"/>
      <c r="AP3398" s="1942"/>
      <c r="AQ3398" s="1942"/>
      <c r="AR3398" s="1942"/>
      <c r="AS3398" s="1942"/>
      <c r="AT3398" s="1942"/>
      <c r="AU3398" s="1942"/>
      <c r="AV3398" s="1942"/>
      <c r="AW3398" s="1942"/>
      <c r="AX3398" s="1942"/>
      <c r="AY3398" s="1942"/>
      <c r="AZ3398" s="1942"/>
      <c r="BA3398" s="1942"/>
      <c r="BB3398" s="575"/>
      <c r="BC3398" s="576"/>
      <c r="BD3398" s="678"/>
      <c r="BE3398" s="585"/>
    </row>
    <row r="3399" spans="1:57" s="51" customFormat="1" ht="15" hidden="1" customHeight="1" outlineLevel="1" x14ac:dyDescent="0.25">
      <c r="A3399" s="2060"/>
      <c r="B3399" s="576"/>
      <c r="C3399" s="328"/>
      <c r="D3399" s="3990"/>
      <c r="E3399" s="4009"/>
      <c r="F3399" s="3010" t="str">
        <f>$E$1611</f>
        <v>ASHP-SEER19_ROF_SF</v>
      </c>
      <c r="G3399" s="2676"/>
      <c r="H3399" s="2676"/>
      <c r="I3399" s="2677"/>
      <c r="J3399" s="3298" t="str">
        <f>$C$1611</f>
        <v>354050_2021_12_</v>
      </c>
      <c r="K3399" s="793">
        <v>1</v>
      </c>
      <c r="L3399" s="851"/>
      <c r="M3399" s="858"/>
      <c r="N3399" s="123"/>
      <c r="O3399" s="228"/>
      <c r="P3399" s="844"/>
      <c r="Q3399" s="845"/>
      <c r="R3399" s="844"/>
      <c r="S3399" s="832"/>
      <c r="T3399" s="3082"/>
      <c r="U3399" s="123"/>
      <c r="V3399" s="3990"/>
      <c r="W3399" s="793">
        <v>1</v>
      </c>
      <c r="X3399" s="793">
        <v>1</v>
      </c>
      <c r="Y3399" s="793">
        <v>1</v>
      </c>
      <c r="Z3399" s="793">
        <v>1</v>
      </c>
      <c r="AA3399" s="793">
        <v>1</v>
      </c>
      <c r="AB3399" s="793">
        <v>1</v>
      </c>
      <c r="AC3399" s="793">
        <v>1</v>
      </c>
      <c r="AD3399" s="793"/>
      <c r="AE3399" s="793"/>
      <c r="AF3399" s="793"/>
      <c r="AG3399" s="793"/>
      <c r="AH3399" s="1942"/>
      <c r="AI3399" s="1942"/>
      <c r="AJ3399" s="1942"/>
      <c r="AK3399" s="1942"/>
      <c r="AL3399" s="1942"/>
      <c r="AM3399" s="1942"/>
      <c r="AN3399" s="1942"/>
      <c r="AO3399" s="1942"/>
      <c r="AP3399" s="1942"/>
      <c r="AQ3399" s="1942"/>
      <c r="AR3399" s="1942"/>
      <c r="AS3399" s="1942"/>
      <c r="AT3399" s="1942"/>
      <c r="AU3399" s="1942"/>
      <c r="AV3399" s="1942"/>
      <c r="AW3399" s="1942"/>
      <c r="AX3399" s="1942"/>
      <c r="AY3399" s="1942"/>
      <c r="AZ3399" s="1942"/>
      <c r="BA3399" s="1942"/>
      <c r="BB3399" s="575"/>
      <c r="BC3399" s="576"/>
      <c r="BD3399" s="678"/>
      <c r="BE3399" s="585"/>
    </row>
    <row r="3400" spans="1:57" s="51" customFormat="1" ht="15" hidden="1" customHeight="1" outlineLevel="1" x14ac:dyDescent="0.25">
      <c r="A3400" s="2060"/>
      <c r="B3400" s="576"/>
      <c r="C3400" s="328"/>
      <c r="D3400" s="3990"/>
      <c r="E3400" s="4009"/>
      <c r="F3400" s="3010" t="str">
        <f>$E$1613</f>
        <v>ASHP-SEER17-Replace_CAC_ElectricHeat_ER1_SF</v>
      </c>
      <c r="G3400" s="2676"/>
      <c r="H3400" s="2676"/>
      <c r="I3400" s="2677"/>
      <c r="J3400" s="3298" t="str">
        <f>$C$1613</f>
        <v>354100_2021_12_</v>
      </c>
      <c r="K3400" s="793">
        <v>1</v>
      </c>
      <c r="L3400" s="851"/>
      <c r="M3400" s="858"/>
      <c r="N3400" s="123"/>
      <c r="O3400" s="228"/>
      <c r="P3400" s="844"/>
      <c r="Q3400" s="845"/>
      <c r="R3400" s="844"/>
      <c r="S3400" s="832"/>
      <c r="T3400" s="3082"/>
      <c r="U3400" s="123"/>
      <c r="V3400" s="3990"/>
      <c r="W3400" s="793">
        <v>1</v>
      </c>
      <c r="X3400" s="793">
        <v>1</v>
      </c>
      <c r="Y3400" s="793">
        <v>1</v>
      </c>
      <c r="Z3400" s="793">
        <v>1</v>
      </c>
      <c r="AA3400" s="793">
        <v>1</v>
      </c>
      <c r="AB3400" s="793">
        <v>1</v>
      </c>
      <c r="AC3400" s="793">
        <v>1</v>
      </c>
      <c r="AD3400" s="793"/>
      <c r="AE3400" s="793"/>
      <c r="AF3400" s="793"/>
      <c r="AG3400" s="793"/>
      <c r="AH3400" s="1942"/>
      <c r="AI3400" s="1942"/>
      <c r="AJ3400" s="1942"/>
      <c r="AK3400" s="1942"/>
      <c r="AL3400" s="1942"/>
      <c r="AM3400" s="1942"/>
      <c r="AN3400" s="1942"/>
      <c r="AO3400" s="1942"/>
      <c r="AP3400" s="1942"/>
      <c r="AQ3400" s="1942"/>
      <c r="AR3400" s="1942"/>
      <c r="AS3400" s="1942"/>
      <c r="AT3400" s="1942"/>
      <c r="AU3400" s="1942"/>
      <c r="AV3400" s="1942"/>
      <c r="AW3400" s="1942"/>
      <c r="AX3400" s="1942"/>
      <c r="AY3400" s="1942"/>
      <c r="AZ3400" s="1942"/>
      <c r="BA3400" s="1942"/>
      <c r="BB3400" s="575"/>
      <c r="BC3400" s="576"/>
      <c r="BD3400" s="678"/>
      <c r="BE3400" s="585"/>
    </row>
    <row r="3401" spans="1:57" s="51" customFormat="1" ht="15" hidden="1" customHeight="1" outlineLevel="1" x14ac:dyDescent="0.25">
      <c r="A3401" s="2060"/>
      <c r="B3401" s="576"/>
      <c r="C3401" s="328"/>
      <c r="D3401" s="3990"/>
      <c r="E3401" s="4009"/>
      <c r="F3401" s="3010" t="str">
        <f>$E$1615</f>
        <v>ASHP-SEER17-Replace_CAC_ElectricHeat_ER2_SF</v>
      </c>
      <c r="G3401" s="2676"/>
      <c r="H3401" s="2676"/>
      <c r="I3401" s="2677"/>
      <c r="J3401" s="3298" t="str">
        <f>$C$1615</f>
        <v>354100_2021_12_</v>
      </c>
      <c r="K3401" s="793">
        <v>1</v>
      </c>
      <c r="L3401" s="851"/>
      <c r="M3401" s="858"/>
      <c r="N3401" s="123"/>
      <c r="O3401" s="228"/>
      <c r="P3401" s="844"/>
      <c r="Q3401" s="845"/>
      <c r="R3401" s="844"/>
      <c r="S3401" s="832"/>
      <c r="T3401" s="3082"/>
      <c r="U3401" s="123"/>
      <c r="V3401" s="3990"/>
      <c r="W3401" s="793">
        <v>1</v>
      </c>
      <c r="X3401" s="793">
        <v>1</v>
      </c>
      <c r="Y3401" s="793">
        <v>1</v>
      </c>
      <c r="Z3401" s="793">
        <v>1</v>
      </c>
      <c r="AA3401" s="793">
        <v>1</v>
      </c>
      <c r="AB3401" s="793">
        <v>1</v>
      </c>
      <c r="AC3401" s="793">
        <v>1</v>
      </c>
      <c r="AD3401" s="793"/>
      <c r="AE3401" s="793"/>
      <c r="AF3401" s="793"/>
      <c r="AG3401" s="793"/>
      <c r="AH3401" s="1942"/>
      <c r="AI3401" s="1942"/>
      <c r="AJ3401" s="1942"/>
      <c r="AK3401" s="1942"/>
      <c r="AL3401" s="1942"/>
      <c r="AM3401" s="1942"/>
      <c r="AN3401" s="1942"/>
      <c r="AO3401" s="1942"/>
      <c r="AP3401" s="1942"/>
      <c r="AQ3401" s="1942"/>
      <c r="AR3401" s="1942"/>
      <c r="AS3401" s="1942"/>
      <c r="AT3401" s="1942"/>
      <c r="AU3401" s="1942"/>
      <c r="AV3401" s="1942"/>
      <c r="AW3401" s="1942"/>
      <c r="AX3401" s="1942"/>
      <c r="AY3401" s="1942"/>
      <c r="AZ3401" s="1942"/>
      <c r="BA3401" s="1942"/>
      <c r="BB3401" s="575"/>
      <c r="BC3401" s="576"/>
      <c r="BD3401" s="678"/>
      <c r="BE3401" s="585"/>
    </row>
    <row r="3402" spans="1:57" s="1942" customFormat="1" ht="15" hidden="1" customHeight="1" outlineLevel="1" x14ac:dyDescent="0.25">
      <c r="A3402" s="2060"/>
      <c r="B3402" s="576"/>
      <c r="C3402" s="328"/>
      <c r="D3402" s="3990"/>
      <c r="E3402" s="4009"/>
      <c r="F3402" s="3010" t="str">
        <f>$E$1617</f>
        <v>ASHP-SEER17-Replace_CAC_NonElectricHeat_ER1_SF</v>
      </c>
      <c r="G3402" s="2676"/>
      <c r="H3402" s="2676"/>
      <c r="I3402" s="2677"/>
      <c r="J3402" s="3298" t="str">
        <f>$C$1617</f>
        <v>354110_2021_12_</v>
      </c>
      <c r="K3402" s="791">
        <v>1</v>
      </c>
      <c r="L3402" s="851"/>
      <c r="M3402" s="858"/>
      <c r="N3402" s="123"/>
      <c r="O3402" s="228"/>
      <c r="P3402" s="844"/>
      <c r="Q3402" s="845"/>
      <c r="R3402" s="844"/>
      <c r="S3402" s="832"/>
      <c r="T3402" s="3082"/>
      <c r="U3402" s="123"/>
      <c r="V3402" s="3990"/>
      <c r="W3402" s="793"/>
      <c r="X3402" s="793"/>
      <c r="Y3402" s="793"/>
      <c r="Z3402" s="793"/>
      <c r="AA3402" s="793"/>
      <c r="AB3402" s="793"/>
      <c r="AC3402" s="791">
        <v>1</v>
      </c>
      <c r="AD3402" s="793"/>
      <c r="AE3402" s="793"/>
      <c r="AF3402" s="793"/>
      <c r="AG3402" s="793"/>
      <c r="BB3402" s="575"/>
      <c r="BC3402" s="576"/>
      <c r="BD3402" s="678"/>
      <c r="BE3402" s="585"/>
    </row>
    <row r="3403" spans="1:57" s="1942" customFormat="1" ht="15" hidden="1" customHeight="1" outlineLevel="1" x14ac:dyDescent="0.25">
      <c r="A3403" s="2060"/>
      <c r="B3403" s="576"/>
      <c r="C3403" s="328"/>
      <c r="D3403" s="3990"/>
      <c r="E3403" s="4009"/>
      <c r="F3403" s="3010" t="str">
        <f>$E$1619</f>
        <v>ASHP-SEER17-Replace_CAC_NonElectricHeat_ER2_SF</v>
      </c>
      <c r="G3403" s="2676"/>
      <c r="H3403" s="2676"/>
      <c r="I3403" s="2677"/>
      <c r="J3403" s="3298" t="str">
        <f>$C$1619</f>
        <v>354110_2021_12_</v>
      </c>
      <c r="K3403" s="791">
        <v>1</v>
      </c>
      <c r="L3403" s="851"/>
      <c r="M3403" s="858"/>
      <c r="N3403" s="123"/>
      <c r="O3403" s="228"/>
      <c r="P3403" s="844"/>
      <c r="Q3403" s="845"/>
      <c r="R3403" s="844"/>
      <c r="S3403" s="832"/>
      <c r="T3403" s="3082"/>
      <c r="U3403" s="123"/>
      <c r="V3403" s="3990"/>
      <c r="W3403" s="793"/>
      <c r="X3403" s="793"/>
      <c r="Y3403" s="793"/>
      <c r="Z3403" s="793"/>
      <c r="AA3403" s="793"/>
      <c r="AB3403" s="793"/>
      <c r="AC3403" s="791">
        <v>1</v>
      </c>
      <c r="AD3403" s="793"/>
      <c r="AE3403" s="793"/>
      <c r="AF3403" s="793"/>
      <c r="AG3403" s="793"/>
      <c r="BB3403" s="575"/>
      <c r="BC3403" s="576"/>
      <c r="BD3403" s="678"/>
      <c r="BE3403" s="585"/>
    </row>
    <row r="3404" spans="1:57" s="51" customFormat="1" ht="15" hidden="1" customHeight="1" outlineLevel="1" x14ac:dyDescent="0.25">
      <c r="A3404" s="2060"/>
      <c r="B3404" s="576"/>
      <c r="C3404" s="328"/>
      <c r="D3404" s="3990"/>
      <c r="E3404" s="4009"/>
      <c r="F3404" s="3010" t="str">
        <f>$E$1621</f>
        <v>ASHP-SEER17-Replace_CAC_ElectricHeat_ER1_MF</v>
      </c>
      <c r="G3404" s="2676"/>
      <c r="H3404" s="2676"/>
      <c r="I3404" s="2677"/>
      <c r="J3404" s="3299" t="str">
        <f>$C$1621</f>
        <v>354150_2019_12_</v>
      </c>
      <c r="K3404" s="793">
        <v>0.65</v>
      </c>
      <c r="L3404" s="851"/>
      <c r="M3404" s="858"/>
      <c r="N3404" s="123"/>
      <c r="O3404" s="228"/>
      <c r="P3404" s="844"/>
      <c r="Q3404" s="845"/>
      <c r="R3404" s="844"/>
      <c r="S3404" s="832"/>
      <c r="T3404" s="3082"/>
      <c r="U3404" s="123"/>
      <c r="V3404" s="3990"/>
      <c r="W3404" s="793">
        <v>0.65</v>
      </c>
      <c r="X3404" s="793">
        <v>0.65</v>
      </c>
      <c r="Y3404" s="793">
        <v>0.65</v>
      </c>
      <c r="Z3404" s="793">
        <v>0.65</v>
      </c>
      <c r="AA3404" s="793">
        <v>0.65</v>
      </c>
      <c r="AB3404" s="793">
        <v>0.65</v>
      </c>
      <c r="AC3404" s="793">
        <v>0.65</v>
      </c>
      <c r="AD3404" s="793"/>
      <c r="AE3404" s="793"/>
      <c r="AF3404" s="793"/>
      <c r="AG3404" s="793"/>
      <c r="AH3404" s="1942"/>
      <c r="AI3404" s="1942"/>
      <c r="AJ3404" s="1942"/>
      <c r="AK3404" s="1942"/>
      <c r="AL3404" s="1942"/>
      <c r="AM3404" s="1942"/>
      <c r="AN3404" s="1942"/>
      <c r="AO3404" s="1942"/>
      <c r="AP3404" s="1942"/>
      <c r="AQ3404" s="1942"/>
      <c r="AR3404" s="1942"/>
      <c r="AS3404" s="1942"/>
      <c r="AT3404" s="1942"/>
      <c r="AU3404" s="1942"/>
      <c r="AV3404" s="1942"/>
      <c r="AW3404" s="1942"/>
      <c r="AX3404" s="1942"/>
      <c r="AY3404" s="1942"/>
      <c r="AZ3404" s="1942"/>
      <c r="BA3404" s="1942"/>
      <c r="BB3404" s="575"/>
      <c r="BC3404" s="576"/>
      <c r="BD3404" s="678"/>
      <c r="BE3404" s="585"/>
    </row>
    <row r="3405" spans="1:57" s="51" customFormat="1" ht="15" hidden="1" customHeight="1" outlineLevel="1" x14ac:dyDescent="0.25">
      <c r="A3405" s="2060"/>
      <c r="B3405" s="576"/>
      <c r="C3405" s="328"/>
      <c r="D3405" s="3990"/>
      <c r="E3405" s="4009"/>
      <c r="F3405" s="3010" t="str">
        <f>$E$1623</f>
        <v>ASHP-SEER17-Replace_CAC_ElectricHeat_ER2_MF</v>
      </c>
      <c r="G3405" s="2676"/>
      <c r="H3405" s="2676"/>
      <c r="I3405" s="2677"/>
      <c r="J3405" s="3299" t="str">
        <f>$C$1623</f>
        <v>354150_2019_12_</v>
      </c>
      <c r="K3405" s="793">
        <v>0.65</v>
      </c>
      <c r="L3405" s="851"/>
      <c r="M3405" s="858"/>
      <c r="N3405" s="123"/>
      <c r="O3405" s="228"/>
      <c r="P3405" s="844"/>
      <c r="Q3405" s="845"/>
      <c r="R3405" s="844"/>
      <c r="S3405" s="832"/>
      <c r="T3405" s="3082"/>
      <c r="U3405" s="123"/>
      <c r="V3405" s="3990"/>
      <c r="W3405" s="793">
        <v>0.65</v>
      </c>
      <c r="X3405" s="793">
        <v>0.65</v>
      </c>
      <c r="Y3405" s="793">
        <v>0.65</v>
      </c>
      <c r="Z3405" s="793">
        <v>0.65</v>
      </c>
      <c r="AA3405" s="793">
        <v>0.65</v>
      </c>
      <c r="AB3405" s="793">
        <v>0.65</v>
      </c>
      <c r="AC3405" s="793">
        <v>0.65</v>
      </c>
      <c r="AD3405" s="793"/>
      <c r="AE3405" s="793"/>
      <c r="AF3405" s="793"/>
      <c r="AG3405" s="793"/>
      <c r="AH3405" s="1942"/>
      <c r="AI3405" s="1942"/>
      <c r="AJ3405" s="1942"/>
      <c r="AK3405" s="1942"/>
      <c r="AL3405" s="1942"/>
      <c r="AM3405" s="1942"/>
      <c r="AN3405" s="1942"/>
      <c r="AO3405" s="1942"/>
      <c r="AP3405" s="1942"/>
      <c r="AQ3405" s="1942"/>
      <c r="AR3405" s="1942"/>
      <c r="AS3405" s="1942"/>
      <c r="AT3405" s="1942"/>
      <c r="AU3405" s="1942"/>
      <c r="AV3405" s="1942"/>
      <c r="AW3405" s="1942"/>
      <c r="AX3405" s="1942"/>
      <c r="AY3405" s="1942"/>
      <c r="AZ3405" s="1942"/>
      <c r="BA3405" s="1942"/>
      <c r="BB3405" s="575"/>
      <c r="BC3405" s="576"/>
      <c r="BD3405" s="678"/>
      <c r="BE3405" s="585"/>
    </row>
    <row r="3406" spans="1:57" s="51" customFormat="1" ht="15" hidden="1" customHeight="1" outlineLevel="1" x14ac:dyDescent="0.25">
      <c r="A3406" s="2060"/>
      <c r="B3406" s="576"/>
      <c r="C3406" s="328"/>
      <c r="D3406" s="3990"/>
      <c r="E3406" s="4009"/>
      <c r="F3406" s="3010" t="str">
        <f>$E$1625</f>
        <v>ASHP-SEER17-Replace_CAC_ElectricHeat_ER1_MF_CompE</v>
      </c>
      <c r="G3406" s="2676"/>
      <c r="H3406" s="2676"/>
      <c r="I3406" s="2677"/>
      <c r="J3406" s="3299" t="str">
        <f>$C$1625</f>
        <v>354151_2019_12_</v>
      </c>
      <c r="K3406" s="793">
        <f>K3404</f>
        <v>0.65</v>
      </c>
      <c r="L3406" s="851"/>
      <c r="M3406" s="858"/>
      <c r="N3406" s="123"/>
      <c r="O3406" s="228"/>
      <c r="P3406" s="844"/>
      <c r="Q3406" s="845"/>
      <c r="R3406" s="844"/>
      <c r="S3406" s="832"/>
      <c r="T3406" s="3082"/>
      <c r="U3406" s="123"/>
      <c r="V3406" s="3990"/>
      <c r="W3406" s="793"/>
      <c r="X3406" s="793"/>
      <c r="Y3406" s="791">
        <v>0.65</v>
      </c>
      <c r="Z3406" s="793">
        <v>0.65</v>
      </c>
      <c r="AA3406" s="793">
        <v>0.65</v>
      </c>
      <c r="AB3406" s="793">
        <v>0.65</v>
      </c>
      <c r="AC3406" s="793">
        <f>AC3404</f>
        <v>0.65</v>
      </c>
      <c r="AD3406" s="793"/>
      <c r="AE3406" s="793"/>
      <c r="AF3406" s="793"/>
      <c r="AG3406" s="793"/>
      <c r="AH3406" s="1942"/>
      <c r="AI3406" s="1942"/>
      <c r="AJ3406" s="1942"/>
      <c r="AK3406" s="1942"/>
      <c r="AL3406" s="1942"/>
      <c r="AM3406" s="1942"/>
      <c r="AN3406" s="1942"/>
      <c r="AO3406" s="1942"/>
      <c r="AP3406" s="1942"/>
      <c r="AQ3406" s="1942"/>
      <c r="AR3406" s="1942"/>
      <c r="AS3406" s="1942"/>
      <c r="AT3406" s="1942"/>
      <c r="AU3406" s="1942"/>
      <c r="AV3406" s="1942"/>
      <c r="AW3406" s="1942"/>
      <c r="AX3406" s="1942"/>
      <c r="AY3406" s="1942"/>
      <c r="AZ3406" s="1942"/>
      <c r="BA3406" s="1942"/>
      <c r="BB3406" s="575"/>
      <c r="BC3406" s="576"/>
      <c r="BD3406" s="678"/>
      <c r="BE3406" s="585"/>
    </row>
    <row r="3407" spans="1:57" s="51" customFormat="1" ht="15" hidden="1" customHeight="1" outlineLevel="1" x14ac:dyDescent="0.25">
      <c r="A3407" s="2060"/>
      <c r="B3407" s="576"/>
      <c r="C3407" s="328"/>
      <c r="D3407" s="3990"/>
      <c r="E3407" s="4009"/>
      <c r="F3407" s="3010" t="str">
        <f>$E$1627</f>
        <v>ASHP-SEER17-Replace_CAC_ElectricHeat_ER2_MF_CompE</v>
      </c>
      <c r="G3407" s="2676"/>
      <c r="H3407" s="2676"/>
      <c r="I3407" s="2677"/>
      <c r="J3407" s="3299" t="str">
        <f>$C$1627</f>
        <v>354151_2019_12_</v>
      </c>
      <c r="K3407" s="793">
        <f>K3405</f>
        <v>0.65</v>
      </c>
      <c r="L3407" s="851"/>
      <c r="M3407" s="858"/>
      <c r="N3407" s="123"/>
      <c r="O3407" s="228"/>
      <c r="P3407" s="844"/>
      <c r="Q3407" s="845"/>
      <c r="R3407" s="844"/>
      <c r="S3407" s="832"/>
      <c r="T3407" s="3082"/>
      <c r="U3407" s="123"/>
      <c r="V3407" s="3990"/>
      <c r="W3407" s="793"/>
      <c r="X3407" s="793"/>
      <c r="Y3407" s="791">
        <v>0.65</v>
      </c>
      <c r="Z3407" s="793">
        <v>0.65</v>
      </c>
      <c r="AA3407" s="793">
        <v>0.65</v>
      </c>
      <c r="AB3407" s="793">
        <v>0.65</v>
      </c>
      <c r="AC3407" s="793">
        <f>AC3405</f>
        <v>0.65</v>
      </c>
      <c r="AD3407" s="793"/>
      <c r="AE3407" s="793"/>
      <c r="AF3407" s="793"/>
      <c r="AG3407" s="793"/>
      <c r="AH3407" s="1942"/>
      <c r="AI3407" s="1942"/>
      <c r="AJ3407" s="1942"/>
      <c r="AK3407" s="1942"/>
      <c r="AL3407" s="1942"/>
      <c r="AM3407" s="1942"/>
      <c r="AN3407" s="1942"/>
      <c r="AO3407" s="1942"/>
      <c r="AP3407" s="1942"/>
      <c r="AQ3407" s="1942"/>
      <c r="AR3407" s="1942"/>
      <c r="AS3407" s="1942"/>
      <c r="AT3407" s="1942"/>
      <c r="AU3407" s="1942"/>
      <c r="AV3407" s="1942"/>
      <c r="AW3407" s="1942"/>
      <c r="AX3407" s="1942"/>
      <c r="AY3407" s="1942"/>
      <c r="AZ3407" s="1942"/>
      <c r="BA3407" s="1942"/>
      <c r="BB3407" s="575"/>
      <c r="BC3407" s="576"/>
      <c r="BD3407" s="678"/>
      <c r="BE3407" s="585"/>
    </row>
    <row r="3408" spans="1:57" s="1942" customFormat="1" ht="15" hidden="1" customHeight="1" outlineLevel="1" x14ac:dyDescent="0.25">
      <c r="A3408" s="2060"/>
      <c r="B3408" s="576"/>
      <c r="C3408" s="328"/>
      <c r="D3408" s="3990"/>
      <c r="E3408" s="4009"/>
      <c r="F3408" s="3010" t="str">
        <f>$E$1629</f>
        <v>ASHP-SEER17-Replace_CAC_NonElectricHeat_ER1_MF</v>
      </c>
      <c r="G3408" s="2676"/>
      <c r="H3408" s="2676"/>
      <c r="I3408" s="2677"/>
      <c r="J3408" s="3298" t="str">
        <f>$C$1629</f>
        <v>354160_2021_12_</v>
      </c>
      <c r="K3408" s="791">
        <v>0.65</v>
      </c>
      <c r="L3408" s="851"/>
      <c r="M3408" s="858"/>
      <c r="N3408" s="123"/>
      <c r="O3408" s="228"/>
      <c r="P3408" s="844"/>
      <c r="Q3408" s="845"/>
      <c r="R3408" s="844"/>
      <c r="S3408" s="832"/>
      <c r="T3408" s="3082"/>
      <c r="U3408" s="123"/>
      <c r="V3408" s="3990"/>
      <c r="W3408" s="793"/>
      <c r="X3408" s="793"/>
      <c r="Y3408" s="791"/>
      <c r="Z3408" s="793"/>
      <c r="AA3408" s="793"/>
      <c r="AB3408" s="793"/>
      <c r="AC3408" s="791">
        <v>0.65</v>
      </c>
      <c r="AD3408" s="793"/>
      <c r="AE3408" s="793"/>
      <c r="AF3408" s="793"/>
      <c r="AG3408" s="793"/>
      <c r="BB3408" s="575"/>
      <c r="BC3408" s="576"/>
      <c r="BD3408" s="678"/>
      <c r="BE3408" s="585"/>
    </row>
    <row r="3409" spans="1:57" s="1942" customFormat="1" ht="15" hidden="1" customHeight="1" outlineLevel="1" x14ac:dyDescent="0.25">
      <c r="A3409" s="2060"/>
      <c r="B3409" s="576"/>
      <c r="C3409" s="328"/>
      <c r="D3409" s="3990"/>
      <c r="E3409" s="4009"/>
      <c r="F3409" s="3010" t="str">
        <f>$E$1631</f>
        <v>ASHP-SEER17-Replace_CAC_NonElectricHeat_ER2_MF</v>
      </c>
      <c r="G3409" s="2676"/>
      <c r="H3409" s="2676"/>
      <c r="I3409" s="2677"/>
      <c r="J3409" s="3298" t="str">
        <f>$C$1631</f>
        <v>354160_2021_12_</v>
      </c>
      <c r="K3409" s="791">
        <v>0.65</v>
      </c>
      <c r="L3409" s="851"/>
      <c r="M3409" s="858"/>
      <c r="N3409" s="123"/>
      <c r="O3409" s="228"/>
      <c r="P3409" s="844"/>
      <c r="Q3409" s="845"/>
      <c r="R3409" s="844"/>
      <c r="S3409" s="832"/>
      <c r="T3409" s="3082"/>
      <c r="U3409" s="123"/>
      <c r="V3409" s="3990"/>
      <c r="W3409" s="793"/>
      <c r="X3409" s="793"/>
      <c r="Y3409" s="791"/>
      <c r="Z3409" s="793"/>
      <c r="AA3409" s="793"/>
      <c r="AB3409" s="793"/>
      <c r="AC3409" s="791">
        <v>0.65</v>
      </c>
      <c r="AD3409" s="793"/>
      <c r="AE3409" s="793"/>
      <c r="AF3409" s="793"/>
      <c r="AG3409" s="793"/>
      <c r="BB3409" s="575"/>
      <c r="BC3409" s="576"/>
      <c r="BD3409" s="678"/>
      <c r="BE3409" s="585"/>
    </row>
    <row r="3410" spans="1:57" s="1942" customFormat="1" ht="15" hidden="1" customHeight="1" outlineLevel="1" x14ac:dyDescent="0.25">
      <c r="A3410" s="2060"/>
      <c r="B3410" s="576"/>
      <c r="C3410" s="328"/>
      <c r="D3410" s="3990"/>
      <c r="E3410" s="4009"/>
      <c r="F3410" s="3010" t="str">
        <f>$E$1633</f>
        <v>ASHP-SEER17-Replace_CAC_NonElectricHeat_ER1_MF_CompE</v>
      </c>
      <c r="G3410" s="2676"/>
      <c r="H3410" s="2676"/>
      <c r="I3410" s="2677"/>
      <c r="J3410" s="3298" t="str">
        <f>$C$1633</f>
        <v>354161_2021_12_</v>
      </c>
      <c r="K3410" s="791">
        <f>K3408</f>
        <v>0.65</v>
      </c>
      <c r="L3410" s="851"/>
      <c r="M3410" s="858"/>
      <c r="N3410" s="123"/>
      <c r="O3410" s="228"/>
      <c r="P3410" s="844"/>
      <c r="Q3410" s="845"/>
      <c r="R3410" s="844"/>
      <c r="S3410" s="832"/>
      <c r="T3410" s="3082"/>
      <c r="U3410" s="123"/>
      <c r="V3410" s="3990"/>
      <c r="W3410" s="793"/>
      <c r="X3410" s="793"/>
      <c r="Y3410" s="791"/>
      <c r="Z3410" s="793"/>
      <c r="AA3410" s="793"/>
      <c r="AB3410" s="793"/>
      <c r="AC3410" s="791">
        <f>AC3408</f>
        <v>0.65</v>
      </c>
      <c r="AD3410" s="793"/>
      <c r="AE3410" s="793"/>
      <c r="AF3410" s="793"/>
      <c r="AG3410" s="793"/>
      <c r="BB3410" s="575"/>
      <c r="BC3410" s="576"/>
      <c r="BD3410" s="678"/>
      <c r="BE3410" s="585"/>
    </row>
    <row r="3411" spans="1:57" s="1942" customFormat="1" ht="15" hidden="1" customHeight="1" outlineLevel="1" x14ac:dyDescent="0.25">
      <c r="A3411" s="2060"/>
      <c r="B3411" s="576"/>
      <c r="C3411" s="328"/>
      <c r="D3411" s="3990"/>
      <c r="E3411" s="4009"/>
      <c r="F3411" s="3010" t="str">
        <f>$E$1635</f>
        <v>ASHP-SEER17-Replace_CAC_NonElectricHeat_ER2_MF_CompE</v>
      </c>
      <c r="G3411" s="2676"/>
      <c r="H3411" s="2676"/>
      <c r="I3411" s="2677"/>
      <c r="J3411" s="3298" t="str">
        <f>$C$1635</f>
        <v>354161_2021_12_</v>
      </c>
      <c r="K3411" s="791">
        <f>K3409</f>
        <v>0.65</v>
      </c>
      <c r="L3411" s="851"/>
      <c r="M3411" s="858"/>
      <c r="N3411" s="123"/>
      <c r="O3411" s="228"/>
      <c r="P3411" s="844"/>
      <c r="Q3411" s="845"/>
      <c r="R3411" s="844"/>
      <c r="S3411" s="832"/>
      <c r="T3411" s="3082"/>
      <c r="U3411" s="123"/>
      <c r="V3411" s="3990"/>
      <c r="W3411" s="793"/>
      <c r="X3411" s="793"/>
      <c r="Y3411" s="791"/>
      <c r="Z3411" s="793"/>
      <c r="AA3411" s="793"/>
      <c r="AB3411" s="793"/>
      <c r="AC3411" s="791">
        <f>AC3409</f>
        <v>0.65</v>
      </c>
      <c r="AD3411" s="793"/>
      <c r="AE3411" s="793"/>
      <c r="AF3411" s="793"/>
      <c r="AG3411" s="793"/>
      <c r="BB3411" s="575"/>
      <c r="BC3411" s="576"/>
      <c r="BD3411" s="678"/>
      <c r="BE3411" s="585"/>
    </row>
    <row r="3412" spans="1:57" s="51" customFormat="1" ht="15" hidden="1" customHeight="1" outlineLevel="1" x14ac:dyDescent="0.25">
      <c r="A3412" s="2060"/>
      <c r="B3412" s="576"/>
      <c r="C3412" s="328"/>
      <c r="D3412" s="3990"/>
      <c r="E3412" s="4009"/>
      <c r="F3412" s="3010" t="str">
        <f>$E$1637</f>
        <v>ASHP-SEER17_ER1_MF</v>
      </c>
      <c r="G3412" s="2676"/>
      <c r="H3412" s="2676"/>
      <c r="I3412" s="2677"/>
      <c r="J3412" s="3299" t="str">
        <f>$C$1637</f>
        <v>354200_2019_12_</v>
      </c>
      <c r="K3412" s="793">
        <v>0.65</v>
      </c>
      <c r="L3412" s="851"/>
      <c r="M3412" s="858"/>
      <c r="N3412" s="123"/>
      <c r="O3412" s="228"/>
      <c r="P3412" s="844"/>
      <c r="Q3412" s="845"/>
      <c r="R3412" s="844"/>
      <c r="S3412" s="832"/>
      <c r="T3412" s="3082"/>
      <c r="U3412" s="123"/>
      <c r="V3412" s="3990"/>
      <c r="W3412" s="793">
        <v>0.65</v>
      </c>
      <c r="X3412" s="793">
        <v>0.65</v>
      </c>
      <c r="Y3412" s="793">
        <v>0.65</v>
      </c>
      <c r="Z3412" s="793">
        <v>0.65</v>
      </c>
      <c r="AA3412" s="793">
        <v>0.65</v>
      </c>
      <c r="AB3412" s="793">
        <v>0.65</v>
      </c>
      <c r="AC3412" s="793">
        <v>0.65</v>
      </c>
      <c r="AD3412" s="793"/>
      <c r="AE3412" s="793"/>
      <c r="AF3412" s="793"/>
      <c r="AG3412" s="793"/>
      <c r="AH3412" s="1942"/>
      <c r="AI3412" s="1942"/>
      <c r="AJ3412" s="1942"/>
      <c r="AK3412" s="1942"/>
      <c r="AL3412" s="1942"/>
      <c r="AM3412" s="1942"/>
      <c r="AN3412" s="1942"/>
      <c r="AO3412" s="1942"/>
      <c r="AP3412" s="1942"/>
      <c r="AQ3412" s="1942"/>
      <c r="AR3412" s="1942"/>
      <c r="AS3412" s="1942"/>
      <c r="AT3412" s="1942"/>
      <c r="AU3412" s="1942"/>
      <c r="AV3412" s="1942"/>
      <c r="AW3412" s="1942"/>
      <c r="AX3412" s="1942"/>
      <c r="AY3412" s="1942"/>
      <c r="AZ3412" s="1942"/>
      <c r="BA3412" s="1942"/>
      <c r="BB3412" s="575"/>
      <c r="BC3412" s="576"/>
      <c r="BD3412" s="678"/>
      <c r="BE3412" s="585"/>
    </row>
    <row r="3413" spans="1:57" s="51" customFormat="1" ht="15" hidden="1" customHeight="1" outlineLevel="1" x14ac:dyDescent="0.25">
      <c r="A3413" s="2060"/>
      <c r="B3413" s="576"/>
      <c r="C3413" s="328"/>
      <c r="D3413" s="3990"/>
      <c r="E3413" s="4009"/>
      <c r="F3413" s="3010" t="str">
        <f>$E$1639</f>
        <v>ASHP-SEER17_ER2_MF</v>
      </c>
      <c r="G3413" s="2676"/>
      <c r="H3413" s="2676"/>
      <c r="I3413" s="2677"/>
      <c r="J3413" s="3299" t="str">
        <f>$C$1639</f>
        <v>354200_2019_12_</v>
      </c>
      <c r="K3413" s="792">
        <v>0.65</v>
      </c>
      <c r="L3413" s="851"/>
      <c r="M3413" s="858"/>
      <c r="N3413" s="123"/>
      <c r="O3413" s="228"/>
      <c r="P3413" s="844"/>
      <c r="Q3413" s="845"/>
      <c r="R3413" s="844"/>
      <c r="S3413" s="832"/>
      <c r="T3413" s="3082"/>
      <c r="U3413" s="123"/>
      <c r="V3413" s="3990"/>
      <c r="W3413" s="792">
        <v>0.65</v>
      </c>
      <c r="X3413" s="792">
        <v>0.65</v>
      </c>
      <c r="Y3413" s="792">
        <v>0.65</v>
      </c>
      <c r="Z3413" s="792">
        <v>0.65</v>
      </c>
      <c r="AA3413" s="792">
        <v>0.65</v>
      </c>
      <c r="AB3413" s="792">
        <v>0.65</v>
      </c>
      <c r="AC3413" s="792">
        <v>0.65</v>
      </c>
      <c r="AD3413" s="792"/>
      <c r="AE3413" s="792"/>
      <c r="AF3413" s="792"/>
      <c r="AG3413" s="792"/>
      <c r="AH3413" s="1942"/>
      <c r="AI3413" s="1942"/>
      <c r="AJ3413" s="1942"/>
      <c r="AK3413" s="1942"/>
      <c r="AL3413" s="1942"/>
      <c r="AM3413" s="1942"/>
      <c r="AN3413" s="1942"/>
      <c r="AO3413" s="1942"/>
      <c r="AP3413" s="1942"/>
      <c r="AQ3413" s="1942"/>
      <c r="AR3413" s="1942"/>
      <c r="AS3413" s="1942"/>
      <c r="AT3413" s="1942"/>
      <c r="AU3413" s="1942"/>
      <c r="AV3413" s="1942"/>
      <c r="AW3413" s="1942"/>
      <c r="AX3413" s="1942"/>
      <c r="AY3413" s="1942"/>
      <c r="AZ3413" s="1942"/>
      <c r="BA3413" s="1942"/>
      <c r="BB3413" s="575"/>
      <c r="BC3413" s="576"/>
      <c r="BD3413" s="678"/>
      <c r="BE3413" s="585"/>
    </row>
    <row r="3414" spans="1:57" s="51" customFormat="1" ht="15" hidden="1" customHeight="1" outlineLevel="1" x14ac:dyDescent="0.25">
      <c r="A3414" s="2060"/>
      <c r="B3414" s="576"/>
      <c r="C3414" s="328"/>
      <c r="D3414" s="3990"/>
      <c r="E3414" s="4009"/>
      <c r="F3414" s="3010" t="str">
        <f>$E$1641</f>
        <v>ASHP-SEER17_ER1_MF_CompE</v>
      </c>
      <c r="G3414" s="2676"/>
      <c r="H3414" s="2676"/>
      <c r="I3414" s="2677"/>
      <c r="J3414" s="3299" t="str">
        <f>$C$1641</f>
        <v>354201_2019_12_</v>
      </c>
      <c r="K3414" s="793">
        <f>K3412</f>
        <v>0.65</v>
      </c>
      <c r="L3414" s="851"/>
      <c r="M3414" s="858"/>
      <c r="N3414" s="123"/>
      <c r="O3414" s="228"/>
      <c r="P3414" s="844"/>
      <c r="Q3414" s="845"/>
      <c r="R3414" s="844"/>
      <c r="S3414" s="832"/>
      <c r="T3414" s="3082"/>
      <c r="U3414" s="123"/>
      <c r="V3414" s="3990"/>
      <c r="W3414" s="792"/>
      <c r="X3414" s="792"/>
      <c r="Y3414" s="791">
        <v>0.65</v>
      </c>
      <c r="Z3414" s="793">
        <v>0.65</v>
      </c>
      <c r="AA3414" s="793">
        <v>0.65</v>
      </c>
      <c r="AB3414" s="793">
        <v>0.65</v>
      </c>
      <c r="AC3414" s="793">
        <f>AC3412</f>
        <v>0.65</v>
      </c>
      <c r="AD3414" s="792"/>
      <c r="AE3414" s="792"/>
      <c r="AF3414" s="792"/>
      <c r="AG3414" s="792"/>
      <c r="AH3414" s="1942"/>
      <c r="AI3414" s="1942"/>
      <c r="AJ3414" s="1942"/>
      <c r="AK3414" s="1942"/>
      <c r="AL3414" s="1942"/>
      <c r="AM3414" s="1942"/>
      <c r="AN3414" s="1942"/>
      <c r="AO3414" s="1942"/>
      <c r="AP3414" s="1942"/>
      <c r="AQ3414" s="1942"/>
      <c r="AR3414" s="1942"/>
      <c r="AS3414" s="1942"/>
      <c r="AT3414" s="1942"/>
      <c r="AU3414" s="1942"/>
      <c r="AV3414" s="1942"/>
      <c r="AW3414" s="1942"/>
      <c r="AX3414" s="1942"/>
      <c r="AY3414" s="1942"/>
      <c r="AZ3414" s="1942"/>
      <c r="BA3414" s="1942"/>
      <c r="BB3414" s="575"/>
      <c r="BC3414" s="576"/>
      <c r="BD3414" s="678"/>
      <c r="BE3414" s="585"/>
    </row>
    <row r="3415" spans="1:57" s="51" customFormat="1" ht="15" hidden="1" customHeight="1" outlineLevel="1" x14ac:dyDescent="0.25">
      <c r="A3415" s="2060"/>
      <c r="B3415" s="576"/>
      <c r="C3415" s="328"/>
      <c r="D3415" s="3990"/>
      <c r="E3415" s="4009"/>
      <c r="F3415" s="3010" t="str">
        <f>$E$1643</f>
        <v>ASHP-SEER17_ER2_MF_CompE</v>
      </c>
      <c r="G3415" s="2676"/>
      <c r="H3415" s="2676"/>
      <c r="I3415" s="2677"/>
      <c r="J3415" s="3299" t="str">
        <f>$C$1643</f>
        <v>354201_2019_12_</v>
      </c>
      <c r="K3415" s="793">
        <f>K3413</f>
        <v>0.65</v>
      </c>
      <c r="L3415" s="851"/>
      <c r="M3415" s="858"/>
      <c r="N3415" s="123"/>
      <c r="O3415" s="228"/>
      <c r="P3415" s="844"/>
      <c r="Q3415" s="845"/>
      <c r="R3415" s="844"/>
      <c r="S3415" s="832"/>
      <c r="T3415" s="3082"/>
      <c r="U3415" s="123"/>
      <c r="V3415" s="3990"/>
      <c r="W3415" s="792"/>
      <c r="X3415" s="792"/>
      <c r="Y3415" s="791">
        <v>0.65</v>
      </c>
      <c r="Z3415" s="793">
        <v>0.65</v>
      </c>
      <c r="AA3415" s="793">
        <v>0.65</v>
      </c>
      <c r="AB3415" s="793">
        <v>0.65</v>
      </c>
      <c r="AC3415" s="793">
        <f>AC3413</f>
        <v>0.65</v>
      </c>
      <c r="AD3415" s="792"/>
      <c r="AE3415" s="792"/>
      <c r="AF3415" s="792"/>
      <c r="AG3415" s="792"/>
      <c r="AH3415" s="1942"/>
      <c r="AI3415" s="1942"/>
      <c r="AJ3415" s="1942"/>
      <c r="AK3415" s="1942"/>
      <c r="AL3415" s="1942"/>
      <c r="AM3415" s="1942"/>
      <c r="AN3415" s="1942"/>
      <c r="AO3415" s="1942"/>
      <c r="AP3415" s="1942"/>
      <c r="AQ3415" s="1942"/>
      <c r="AR3415" s="1942"/>
      <c r="AS3415" s="1942"/>
      <c r="AT3415" s="1942"/>
      <c r="AU3415" s="1942"/>
      <c r="AV3415" s="1942"/>
      <c r="AW3415" s="1942"/>
      <c r="AX3415" s="1942"/>
      <c r="AY3415" s="1942"/>
      <c r="AZ3415" s="1942"/>
      <c r="BA3415" s="1942"/>
      <c r="BB3415" s="575"/>
      <c r="BC3415" s="576"/>
      <c r="BD3415" s="678"/>
      <c r="BE3415" s="585"/>
    </row>
    <row r="3416" spans="1:57" s="51" customFormat="1" ht="15" hidden="1" customHeight="1" outlineLevel="1" x14ac:dyDescent="0.25">
      <c r="A3416" s="2060"/>
      <c r="B3416" s="576"/>
      <c r="C3416" s="328"/>
      <c r="D3416" s="3990"/>
      <c r="E3416" s="4009"/>
      <c r="F3416" s="3010" t="str">
        <f>$E$1645</f>
        <v>ASHP-SEER18-Replace_CAC_ElectricHeat_ER1_SF</v>
      </c>
      <c r="G3416" s="2676"/>
      <c r="H3416" s="2676"/>
      <c r="I3416" s="2677"/>
      <c r="J3416" s="3298" t="str">
        <f>$C$1645</f>
        <v>354250_2021_12_</v>
      </c>
      <c r="K3416" s="793">
        <v>1</v>
      </c>
      <c r="L3416" s="861"/>
      <c r="M3416" s="858"/>
      <c r="N3416" s="123"/>
      <c r="O3416" s="228"/>
      <c r="P3416" s="844"/>
      <c r="Q3416" s="845"/>
      <c r="R3416" s="844"/>
      <c r="S3416" s="832"/>
      <c r="T3416" s="3082"/>
      <c r="U3416" s="123"/>
      <c r="V3416" s="3990"/>
      <c r="W3416" s="793">
        <v>1</v>
      </c>
      <c r="X3416" s="793">
        <v>1</v>
      </c>
      <c r="Y3416" s="793">
        <v>1</v>
      </c>
      <c r="Z3416" s="793">
        <v>1</v>
      </c>
      <c r="AA3416" s="793">
        <v>1</v>
      </c>
      <c r="AB3416" s="793">
        <v>1</v>
      </c>
      <c r="AC3416" s="793">
        <v>1</v>
      </c>
      <c r="AD3416" s="793"/>
      <c r="AE3416" s="793"/>
      <c r="AF3416" s="793"/>
      <c r="AG3416" s="793"/>
      <c r="AH3416" s="1942"/>
      <c r="AI3416" s="1942"/>
      <c r="AJ3416" s="1942"/>
      <c r="AK3416" s="1942"/>
      <c r="AL3416" s="1942"/>
      <c r="AM3416" s="1942"/>
      <c r="AN3416" s="1942"/>
      <c r="AO3416" s="1942"/>
      <c r="AP3416" s="1942"/>
      <c r="AQ3416" s="1942"/>
      <c r="AR3416" s="1942"/>
      <c r="AS3416" s="1942"/>
      <c r="AT3416" s="1942"/>
      <c r="AU3416" s="1942"/>
      <c r="AV3416" s="1942"/>
      <c r="AW3416" s="1942"/>
      <c r="AX3416" s="1942"/>
      <c r="AY3416" s="1942"/>
      <c r="AZ3416" s="1942"/>
      <c r="BA3416" s="1942"/>
      <c r="BB3416" s="575"/>
      <c r="BC3416" s="576"/>
      <c r="BD3416" s="678"/>
      <c r="BE3416" s="585"/>
    </row>
    <row r="3417" spans="1:57" s="51" customFormat="1" ht="15" hidden="1" customHeight="1" outlineLevel="1" x14ac:dyDescent="0.25">
      <c r="A3417" s="2060"/>
      <c r="B3417" s="576"/>
      <c r="C3417" s="328"/>
      <c r="D3417" s="3990"/>
      <c r="E3417" s="4009"/>
      <c r="F3417" s="3010" t="str">
        <f>$E$1647</f>
        <v>ASHP-SEER18-Replace_CAC_ElectricHeat_ER2_SF</v>
      </c>
      <c r="G3417" s="2676"/>
      <c r="H3417" s="2676"/>
      <c r="I3417" s="2677"/>
      <c r="J3417" s="3298" t="str">
        <f>$C$1647</f>
        <v>354250_2021_12_</v>
      </c>
      <c r="K3417" s="793">
        <v>1</v>
      </c>
      <c r="L3417" s="861"/>
      <c r="M3417" s="858"/>
      <c r="N3417" s="123"/>
      <c r="O3417" s="228"/>
      <c r="P3417" s="844"/>
      <c r="Q3417" s="845"/>
      <c r="R3417" s="844"/>
      <c r="S3417" s="832"/>
      <c r="T3417" s="3082"/>
      <c r="U3417" s="123"/>
      <c r="V3417" s="3990"/>
      <c r="W3417" s="793">
        <v>1</v>
      </c>
      <c r="X3417" s="793">
        <v>1</v>
      </c>
      <c r="Y3417" s="793">
        <v>1</v>
      </c>
      <c r="Z3417" s="793">
        <v>1</v>
      </c>
      <c r="AA3417" s="793">
        <v>1</v>
      </c>
      <c r="AB3417" s="793">
        <v>1</v>
      </c>
      <c r="AC3417" s="793">
        <v>1</v>
      </c>
      <c r="AD3417" s="793"/>
      <c r="AE3417" s="793"/>
      <c r="AF3417" s="793"/>
      <c r="AG3417" s="793"/>
      <c r="AH3417" s="1942"/>
      <c r="AI3417" s="1942"/>
      <c r="AJ3417" s="1942"/>
      <c r="AK3417" s="1942"/>
      <c r="AL3417" s="1942"/>
      <c r="AM3417" s="1942"/>
      <c r="AN3417" s="1942"/>
      <c r="AO3417" s="1942"/>
      <c r="AP3417" s="1942"/>
      <c r="AQ3417" s="1942"/>
      <c r="AR3417" s="1942"/>
      <c r="AS3417" s="1942"/>
      <c r="AT3417" s="1942"/>
      <c r="AU3417" s="1942"/>
      <c r="AV3417" s="1942"/>
      <c r="AW3417" s="1942"/>
      <c r="AX3417" s="1942"/>
      <c r="AY3417" s="1942"/>
      <c r="AZ3417" s="1942"/>
      <c r="BA3417" s="1942"/>
      <c r="BB3417" s="575"/>
      <c r="BC3417" s="576"/>
      <c r="BD3417" s="678"/>
      <c r="BE3417" s="585"/>
    </row>
    <row r="3418" spans="1:57" s="1942" customFormat="1" ht="15" hidden="1" customHeight="1" outlineLevel="1" x14ac:dyDescent="0.25">
      <c r="A3418" s="2060"/>
      <c r="B3418" s="576"/>
      <c r="C3418" s="328"/>
      <c r="D3418" s="3990"/>
      <c r="E3418" s="4009"/>
      <c r="F3418" s="3010" t="str">
        <f>$E$1649</f>
        <v>ASHP-SEER18-Replace_CAC_NonElectricHeat_ER1_SF</v>
      </c>
      <c r="G3418" s="2676"/>
      <c r="H3418" s="2676"/>
      <c r="I3418" s="2677"/>
      <c r="J3418" s="3298" t="str">
        <f>$C$1649</f>
        <v>354260_2021_12_</v>
      </c>
      <c r="K3418" s="791">
        <v>1</v>
      </c>
      <c r="L3418" s="861"/>
      <c r="M3418" s="858"/>
      <c r="N3418" s="123"/>
      <c r="O3418" s="228"/>
      <c r="P3418" s="844"/>
      <c r="Q3418" s="845"/>
      <c r="R3418" s="844"/>
      <c r="S3418" s="832"/>
      <c r="T3418" s="3082"/>
      <c r="U3418" s="123"/>
      <c r="V3418" s="3990"/>
      <c r="W3418" s="793"/>
      <c r="X3418" s="793"/>
      <c r="Y3418" s="793"/>
      <c r="Z3418" s="793"/>
      <c r="AA3418" s="793"/>
      <c r="AB3418" s="793"/>
      <c r="AC3418" s="791">
        <v>1</v>
      </c>
      <c r="AD3418" s="793"/>
      <c r="AE3418" s="793"/>
      <c r="AF3418" s="793"/>
      <c r="AG3418" s="793"/>
      <c r="BB3418" s="575"/>
      <c r="BC3418" s="576"/>
      <c r="BD3418" s="678"/>
      <c r="BE3418" s="585"/>
    </row>
    <row r="3419" spans="1:57" s="1942" customFormat="1" ht="15" hidden="1" customHeight="1" outlineLevel="1" x14ac:dyDescent="0.25">
      <c r="A3419" s="2060"/>
      <c r="B3419" s="576"/>
      <c r="C3419" s="328"/>
      <c r="D3419" s="3990"/>
      <c r="E3419" s="4009"/>
      <c r="F3419" s="3010" t="str">
        <f>$E$1651</f>
        <v>ASHP-SEER18-Replace_CAC_NonElectricHeat_ER2_SF</v>
      </c>
      <c r="G3419" s="2676"/>
      <c r="H3419" s="2676"/>
      <c r="I3419" s="2677"/>
      <c r="J3419" s="3298" t="str">
        <f>$C$1651</f>
        <v>354260_2021_12_</v>
      </c>
      <c r="K3419" s="791">
        <v>1</v>
      </c>
      <c r="L3419" s="861"/>
      <c r="M3419" s="858"/>
      <c r="N3419" s="123"/>
      <c r="O3419" s="228"/>
      <c r="P3419" s="844"/>
      <c r="Q3419" s="845"/>
      <c r="R3419" s="844"/>
      <c r="S3419" s="832"/>
      <c r="T3419" s="3082"/>
      <c r="U3419" s="123"/>
      <c r="V3419" s="3990"/>
      <c r="W3419" s="793"/>
      <c r="X3419" s="793"/>
      <c r="Y3419" s="793"/>
      <c r="Z3419" s="793"/>
      <c r="AA3419" s="793"/>
      <c r="AB3419" s="793"/>
      <c r="AC3419" s="791">
        <v>1</v>
      </c>
      <c r="AD3419" s="793"/>
      <c r="AE3419" s="793"/>
      <c r="AF3419" s="793"/>
      <c r="AG3419" s="793"/>
      <c r="BB3419" s="575"/>
      <c r="BC3419" s="576"/>
      <c r="BD3419" s="678"/>
      <c r="BE3419" s="585"/>
    </row>
    <row r="3420" spans="1:57" s="51" customFormat="1" ht="15" hidden="1" customHeight="1" outlineLevel="1" x14ac:dyDescent="0.25">
      <c r="A3420" s="2060"/>
      <c r="B3420" s="576"/>
      <c r="C3420" s="328"/>
      <c r="D3420" s="3990"/>
      <c r="E3420" s="4009"/>
      <c r="F3420" s="3010" t="str">
        <f>$E$1653</f>
        <v>ASHP-SEER18-Replace_CAC_ElectricHeat_ER1_MF</v>
      </c>
      <c r="G3420" s="2676"/>
      <c r="H3420" s="2676"/>
      <c r="I3420" s="2677"/>
      <c r="J3420" s="3298" t="str">
        <f>$C$1653</f>
        <v>354300_2021_12_</v>
      </c>
      <c r="K3420" s="793">
        <v>0.65</v>
      </c>
      <c r="L3420" s="861"/>
      <c r="M3420" s="858"/>
      <c r="N3420" s="123"/>
      <c r="O3420" s="228"/>
      <c r="P3420" s="844"/>
      <c r="Q3420" s="845"/>
      <c r="R3420" s="844"/>
      <c r="S3420" s="832"/>
      <c r="T3420" s="3082"/>
      <c r="U3420" s="123"/>
      <c r="V3420" s="3990"/>
      <c r="W3420" s="793">
        <v>0.65</v>
      </c>
      <c r="X3420" s="793">
        <v>0.65</v>
      </c>
      <c r="Y3420" s="793">
        <v>0.65</v>
      </c>
      <c r="Z3420" s="793">
        <v>0.65</v>
      </c>
      <c r="AA3420" s="793">
        <v>0.65</v>
      </c>
      <c r="AB3420" s="793">
        <v>0.65</v>
      </c>
      <c r="AC3420" s="793">
        <v>0.65</v>
      </c>
      <c r="AD3420" s="793"/>
      <c r="AE3420" s="793"/>
      <c r="AF3420" s="793"/>
      <c r="AG3420" s="793"/>
      <c r="AH3420" s="1942"/>
      <c r="AI3420" s="1942"/>
      <c r="AJ3420" s="1942"/>
      <c r="AK3420" s="1942"/>
      <c r="AL3420" s="1942"/>
      <c r="AM3420" s="1942"/>
      <c r="AN3420" s="1942"/>
      <c r="AO3420" s="1942"/>
      <c r="AP3420" s="1942"/>
      <c r="AQ3420" s="1942"/>
      <c r="AR3420" s="1942"/>
      <c r="AS3420" s="1942"/>
      <c r="AT3420" s="1942"/>
      <c r="AU3420" s="1942"/>
      <c r="AV3420" s="1942"/>
      <c r="AW3420" s="1942"/>
      <c r="AX3420" s="1942"/>
      <c r="AY3420" s="1942"/>
      <c r="AZ3420" s="1942"/>
      <c r="BA3420" s="1942"/>
      <c r="BB3420" s="575"/>
      <c r="BC3420" s="576"/>
      <c r="BD3420" s="678"/>
      <c r="BE3420" s="585"/>
    </row>
    <row r="3421" spans="1:57" s="51" customFormat="1" ht="15" hidden="1" customHeight="1" outlineLevel="1" x14ac:dyDescent="0.25">
      <c r="A3421" s="2060"/>
      <c r="B3421" s="576"/>
      <c r="C3421" s="328"/>
      <c r="D3421" s="3990"/>
      <c r="E3421" s="4009"/>
      <c r="F3421" s="3010" t="str">
        <f>$E$1655</f>
        <v>ASHP-SEER18-Replace_CAC_ElectricHeat_ER2_MF</v>
      </c>
      <c r="G3421" s="2676"/>
      <c r="H3421" s="2676"/>
      <c r="I3421" s="2677"/>
      <c r="J3421" s="3298" t="str">
        <f>$C$1655</f>
        <v>354300_2021_12_</v>
      </c>
      <c r="K3421" s="793">
        <v>0.65</v>
      </c>
      <c r="L3421" s="861"/>
      <c r="M3421" s="858"/>
      <c r="N3421" s="123"/>
      <c r="O3421" s="228"/>
      <c r="P3421" s="844"/>
      <c r="Q3421" s="845"/>
      <c r="R3421" s="844"/>
      <c r="S3421" s="832"/>
      <c r="T3421" s="3082"/>
      <c r="U3421" s="123"/>
      <c r="V3421" s="3990"/>
      <c r="W3421" s="793">
        <v>0.65</v>
      </c>
      <c r="X3421" s="793">
        <v>0.65</v>
      </c>
      <c r="Y3421" s="793">
        <v>0.65</v>
      </c>
      <c r="Z3421" s="793">
        <v>0.65</v>
      </c>
      <c r="AA3421" s="793">
        <v>0.65</v>
      </c>
      <c r="AB3421" s="793">
        <v>0.65</v>
      </c>
      <c r="AC3421" s="793">
        <v>0.65</v>
      </c>
      <c r="AD3421" s="793"/>
      <c r="AE3421" s="793"/>
      <c r="AF3421" s="793"/>
      <c r="AG3421" s="793"/>
      <c r="AH3421" s="1942"/>
      <c r="AI3421" s="1942"/>
      <c r="AJ3421" s="1942"/>
      <c r="AK3421" s="1942"/>
      <c r="AL3421" s="1942"/>
      <c r="AM3421" s="1942"/>
      <c r="AN3421" s="1942"/>
      <c r="AO3421" s="1942"/>
      <c r="AP3421" s="1942"/>
      <c r="AQ3421" s="1942"/>
      <c r="AR3421" s="1942"/>
      <c r="AS3421" s="1942"/>
      <c r="AT3421" s="1942"/>
      <c r="AU3421" s="1942"/>
      <c r="AV3421" s="1942"/>
      <c r="AW3421" s="1942"/>
      <c r="AX3421" s="1942"/>
      <c r="AY3421" s="1942"/>
      <c r="AZ3421" s="1942"/>
      <c r="BA3421" s="1942"/>
      <c r="BB3421" s="575"/>
      <c r="BC3421" s="576"/>
      <c r="BD3421" s="678"/>
      <c r="BE3421" s="585"/>
    </row>
    <row r="3422" spans="1:57" s="51" customFormat="1" ht="15" hidden="1" customHeight="1" outlineLevel="1" x14ac:dyDescent="0.25">
      <c r="A3422" s="2060"/>
      <c r="B3422" s="576"/>
      <c r="C3422" s="328"/>
      <c r="D3422" s="3990"/>
      <c r="E3422" s="4009"/>
      <c r="F3422" s="3010" t="str">
        <f>$E$1657</f>
        <v>ASHP-SEER18-Replace_CAC_ElectricHeat_ER1_MF_CompE</v>
      </c>
      <c r="G3422" s="2676"/>
      <c r="H3422" s="2676"/>
      <c r="I3422" s="2677"/>
      <c r="J3422" s="3298" t="str">
        <f>$C$1657</f>
        <v>354301_2021_12_</v>
      </c>
      <c r="K3422" s="793">
        <f>K3420</f>
        <v>0.65</v>
      </c>
      <c r="L3422" s="861"/>
      <c r="M3422" s="858"/>
      <c r="N3422" s="123"/>
      <c r="O3422" s="228"/>
      <c r="P3422" s="844"/>
      <c r="Q3422" s="845"/>
      <c r="R3422" s="844"/>
      <c r="S3422" s="832"/>
      <c r="T3422" s="3082"/>
      <c r="U3422" s="123"/>
      <c r="V3422" s="3990"/>
      <c r="W3422" s="793"/>
      <c r="X3422" s="793"/>
      <c r="Y3422" s="791">
        <v>0.65</v>
      </c>
      <c r="Z3422" s="793">
        <v>0.65</v>
      </c>
      <c r="AA3422" s="793">
        <v>0.65</v>
      </c>
      <c r="AB3422" s="793">
        <v>0.65</v>
      </c>
      <c r="AC3422" s="793">
        <f>AC3420</f>
        <v>0.65</v>
      </c>
      <c r="AD3422" s="793"/>
      <c r="AE3422" s="793"/>
      <c r="AF3422" s="793"/>
      <c r="AG3422" s="793"/>
      <c r="AH3422" s="1942"/>
      <c r="AI3422" s="1942"/>
      <c r="AJ3422" s="1942"/>
      <c r="AK3422" s="1942"/>
      <c r="AL3422" s="1942"/>
      <c r="AM3422" s="1942"/>
      <c r="AN3422" s="1942"/>
      <c r="AO3422" s="1942"/>
      <c r="AP3422" s="1942"/>
      <c r="AQ3422" s="1942"/>
      <c r="AR3422" s="1942"/>
      <c r="AS3422" s="1942"/>
      <c r="AT3422" s="1942"/>
      <c r="AU3422" s="1942"/>
      <c r="AV3422" s="1942"/>
      <c r="AW3422" s="1942"/>
      <c r="AX3422" s="1942"/>
      <c r="AY3422" s="1942"/>
      <c r="AZ3422" s="1942"/>
      <c r="BA3422" s="1942"/>
      <c r="BB3422" s="575"/>
      <c r="BC3422" s="576"/>
      <c r="BD3422" s="678"/>
      <c r="BE3422" s="585"/>
    </row>
    <row r="3423" spans="1:57" s="51" customFormat="1" ht="15" hidden="1" customHeight="1" outlineLevel="1" x14ac:dyDescent="0.25">
      <c r="A3423" s="2060"/>
      <c r="B3423" s="576"/>
      <c r="C3423" s="328"/>
      <c r="D3423" s="3990"/>
      <c r="E3423" s="4009"/>
      <c r="F3423" s="3010" t="str">
        <f>$E$1659</f>
        <v>ASHP-SEER18-Replace_CAC_ElectricHeat_ER2_MF_CompE</v>
      </c>
      <c r="G3423" s="2676"/>
      <c r="H3423" s="2676"/>
      <c r="I3423" s="2677"/>
      <c r="J3423" s="3298" t="str">
        <f>$C$1659</f>
        <v>354301_2021_12_</v>
      </c>
      <c r="K3423" s="793">
        <f>K3421</f>
        <v>0.65</v>
      </c>
      <c r="L3423" s="861"/>
      <c r="M3423" s="858"/>
      <c r="N3423" s="123"/>
      <c r="O3423" s="228"/>
      <c r="P3423" s="844"/>
      <c r="Q3423" s="845"/>
      <c r="R3423" s="844"/>
      <c r="S3423" s="832"/>
      <c r="T3423" s="3082"/>
      <c r="U3423" s="123"/>
      <c r="V3423" s="3990"/>
      <c r="W3423" s="793"/>
      <c r="X3423" s="793"/>
      <c r="Y3423" s="791">
        <v>0.65</v>
      </c>
      <c r="Z3423" s="793">
        <v>0.65</v>
      </c>
      <c r="AA3423" s="793">
        <v>0.65</v>
      </c>
      <c r="AB3423" s="793">
        <v>0.65</v>
      </c>
      <c r="AC3423" s="793">
        <f>AC3421</f>
        <v>0.65</v>
      </c>
      <c r="AD3423" s="793"/>
      <c r="AE3423" s="793"/>
      <c r="AF3423" s="793"/>
      <c r="AG3423" s="793"/>
      <c r="AH3423" s="1942"/>
      <c r="AI3423" s="1942"/>
      <c r="AJ3423" s="1942"/>
      <c r="AK3423" s="1942"/>
      <c r="AL3423" s="1942"/>
      <c r="AM3423" s="1942"/>
      <c r="AN3423" s="1942"/>
      <c r="AO3423" s="1942"/>
      <c r="AP3423" s="1942"/>
      <c r="AQ3423" s="1942"/>
      <c r="AR3423" s="1942"/>
      <c r="AS3423" s="1942"/>
      <c r="AT3423" s="1942"/>
      <c r="AU3423" s="1942"/>
      <c r="AV3423" s="1942"/>
      <c r="AW3423" s="1942"/>
      <c r="AX3423" s="1942"/>
      <c r="AY3423" s="1942"/>
      <c r="AZ3423" s="1942"/>
      <c r="BA3423" s="1942"/>
      <c r="BB3423" s="575"/>
      <c r="BC3423" s="576"/>
      <c r="BD3423" s="678"/>
      <c r="BE3423" s="585"/>
    </row>
    <row r="3424" spans="1:57" s="1942" customFormat="1" ht="15" hidden="1" customHeight="1" outlineLevel="1" x14ac:dyDescent="0.25">
      <c r="A3424" s="2060"/>
      <c r="B3424" s="576"/>
      <c r="C3424" s="328"/>
      <c r="D3424" s="3990"/>
      <c r="E3424" s="4009"/>
      <c r="F3424" s="3010" t="str">
        <f>$E$1661</f>
        <v>ASHP-SEER18-Replace_CAC_NonElectricHeat_ER1_MF</v>
      </c>
      <c r="G3424" s="2676"/>
      <c r="H3424" s="2676"/>
      <c r="I3424" s="2677"/>
      <c r="J3424" s="3298" t="str">
        <f>$C$1661</f>
        <v>354310_2021_12_</v>
      </c>
      <c r="K3424" s="791">
        <f t="shared" ref="K3424:K3427" si="246">K3422</f>
        <v>0.65</v>
      </c>
      <c r="L3424" s="861"/>
      <c r="M3424" s="858"/>
      <c r="N3424" s="123"/>
      <c r="O3424" s="228"/>
      <c r="P3424" s="844"/>
      <c r="Q3424" s="845"/>
      <c r="R3424" s="844"/>
      <c r="S3424" s="832"/>
      <c r="T3424" s="3082"/>
      <c r="U3424" s="123"/>
      <c r="V3424" s="3990"/>
      <c r="W3424" s="793"/>
      <c r="X3424" s="793"/>
      <c r="Y3424" s="791"/>
      <c r="Z3424" s="793"/>
      <c r="AA3424" s="793"/>
      <c r="AB3424" s="793"/>
      <c r="AC3424" s="791">
        <f t="shared" ref="AC3424:AC3427" si="247">AC3422</f>
        <v>0.65</v>
      </c>
      <c r="AD3424" s="793"/>
      <c r="AE3424" s="793"/>
      <c r="AF3424" s="793"/>
      <c r="AG3424" s="793"/>
      <c r="BB3424" s="575"/>
      <c r="BC3424" s="576"/>
      <c r="BD3424" s="678"/>
      <c r="BE3424" s="585"/>
    </row>
    <row r="3425" spans="1:57" s="1942" customFormat="1" ht="15" hidden="1" customHeight="1" outlineLevel="1" x14ac:dyDescent="0.25">
      <c r="A3425" s="2060"/>
      <c r="B3425" s="576"/>
      <c r="C3425" s="328"/>
      <c r="D3425" s="3990"/>
      <c r="E3425" s="4009"/>
      <c r="F3425" s="3010" t="str">
        <f>$E$1663</f>
        <v>ASHP-SEER18-Replace_CAC_NonElectricHeat_ER2_MF</v>
      </c>
      <c r="G3425" s="2676"/>
      <c r="H3425" s="2676"/>
      <c r="I3425" s="2677"/>
      <c r="J3425" s="3298" t="str">
        <f>$C$1663</f>
        <v>354310_2021_12_</v>
      </c>
      <c r="K3425" s="791">
        <f t="shared" si="246"/>
        <v>0.65</v>
      </c>
      <c r="L3425" s="861"/>
      <c r="M3425" s="858"/>
      <c r="N3425" s="123"/>
      <c r="O3425" s="228"/>
      <c r="P3425" s="844"/>
      <c r="Q3425" s="845"/>
      <c r="R3425" s="844"/>
      <c r="S3425" s="832"/>
      <c r="T3425" s="3082"/>
      <c r="U3425" s="123"/>
      <c r="V3425" s="3990"/>
      <c r="W3425" s="793"/>
      <c r="X3425" s="793"/>
      <c r="Y3425" s="791"/>
      <c r="Z3425" s="793"/>
      <c r="AA3425" s="793"/>
      <c r="AB3425" s="793"/>
      <c r="AC3425" s="791">
        <f t="shared" si="247"/>
        <v>0.65</v>
      </c>
      <c r="AD3425" s="793"/>
      <c r="AE3425" s="793"/>
      <c r="AF3425" s="793"/>
      <c r="AG3425" s="793"/>
      <c r="BB3425" s="575"/>
      <c r="BC3425" s="576"/>
      <c r="BD3425" s="678"/>
      <c r="BE3425" s="585"/>
    </row>
    <row r="3426" spans="1:57" s="1942" customFormat="1" ht="15" hidden="1" customHeight="1" outlineLevel="1" x14ac:dyDescent="0.25">
      <c r="A3426" s="2060"/>
      <c r="B3426" s="576"/>
      <c r="C3426" s="328"/>
      <c r="D3426" s="3990"/>
      <c r="E3426" s="4009"/>
      <c r="F3426" s="3010" t="str">
        <f>$E$1665</f>
        <v>ASHP-SEER18-Replace_CAC_NonElectricHeat_ER1_MF_CompE</v>
      </c>
      <c r="G3426" s="2676"/>
      <c r="H3426" s="2676"/>
      <c r="I3426" s="2677"/>
      <c r="J3426" s="3298" t="str">
        <f>$C$1665</f>
        <v>354311_2021_12_</v>
      </c>
      <c r="K3426" s="791">
        <f t="shared" si="246"/>
        <v>0.65</v>
      </c>
      <c r="L3426" s="861"/>
      <c r="M3426" s="858"/>
      <c r="N3426" s="123"/>
      <c r="O3426" s="228"/>
      <c r="P3426" s="844"/>
      <c r="Q3426" s="845"/>
      <c r="R3426" s="844"/>
      <c r="S3426" s="832"/>
      <c r="T3426" s="3082"/>
      <c r="U3426" s="123"/>
      <c r="V3426" s="3990"/>
      <c r="W3426" s="793"/>
      <c r="X3426" s="793"/>
      <c r="Y3426" s="791"/>
      <c r="Z3426" s="793"/>
      <c r="AA3426" s="793"/>
      <c r="AB3426" s="793"/>
      <c r="AC3426" s="791">
        <f t="shared" si="247"/>
        <v>0.65</v>
      </c>
      <c r="AD3426" s="793"/>
      <c r="AE3426" s="793"/>
      <c r="AF3426" s="793"/>
      <c r="AG3426" s="793"/>
      <c r="BB3426" s="575"/>
      <c r="BC3426" s="576"/>
      <c r="BD3426" s="678"/>
      <c r="BE3426" s="585"/>
    </row>
    <row r="3427" spans="1:57" s="1942" customFormat="1" ht="15" hidden="1" customHeight="1" outlineLevel="1" x14ac:dyDescent="0.25">
      <c r="A3427" s="2060"/>
      <c r="B3427" s="576"/>
      <c r="C3427" s="328"/>
      <c r="D3427" s="3990"/>
      <c r="E3427" s="4009"/>
      <c r="F3427" s="3010" t="str">
        <f>$E$1667</f>
        <v>ASHP-SEER18-Replace_CAC_NonElectricHeat_ER2_MF_CompE</v>
      </c>
      <c r="G3427" s="2676"/>
      <c r="H3427" s="2676"/>
      <c r="I3427" s="2677"/>
      <c r="J3427" s="3298" t="str">
        <f>$C$1667</f>
        <v>354311_2021_12_</v>
      </c>
      <c r="K3427" s="791">
        <f t="shared" si="246"/>
        <v>0.65</v>
      </c>
      <c r="L3427" s="861"/>
      <c r="M3427" s="858"/>
      <c r="N3427" s="123"/>
      <c r="O3427" s="228"/>
      <c r="P3427" s="844"/>
      <c r="Q3427" s="845"/>
      <c r="R3427" s="844"/>
      <c r="S3427" s="832"/>
      <c r="T3427" s="3082"/>
      <c r="U3427" s="123"/>
      <c r="V3427" s="3990"/>
      <c r="W3427" s="793"/>
      <c r="X3427" s="793"/>
      <c r="Y3427" s="791"/>
      <c r="Z3427" s="793"/>
      <c r="AA3427" s="793"/>
      <c r="AB3427" s="793"/>
      <c r="AC3427" s="791">
        <f t="shared" si="247"/>
        <v>0.65</v>
      </c>
      <c r="AD3427" s="793"/>
      <c r="AE3427" s="793"/>
      <c r="AF3427" s="793"/>
      <c r="AG3427" s="793"/>
      <c r="BB3427" s="575"/>
      <c r="BC3427" s="576"/>
      <c r="BD3427" s="678"/>
      <c r="BE3427" s="585"/>
    </row>
    <row r="3428" spans="1:57" s="51" customFormat="1" ht="15" hidden="1" customHeight="1" outlineLevel="1" x14ac:dyDescent="0.25">
      <c r="A3428" s="2060"/>
      <c r="B3428" s="576"/>
      <c r="C3428" s="328"/>
      <c r="D3428" s="3990"/>
      <c r="E3428" s="4009"/>
      <c r="F3428" s="3010" t="str">
        <f>$E$1669</f>
        <v>ASHP-SEER18_ER1_MF</v>
      </c>
      <c r="G3428" s="2676"/>
      <c r="H3428" s="2676"/>
      <c r="I3428" s="2677"/>
      <c r="J3428" s="3298" t="str">
        <f>$C$1669</f>
        <v>354350_2021_12_</v>
      </c>
      <c r="K3428" s="793">
        <v>0.65</v>
      </c>
      <c r="L3428" s="861"/>
      <c r="M3428" s="858"/>
      <c r="N3428" s="123"/>
      <c r="O3428" s="228"/>
      <c r="P3428" s="844"/>
      <c r="Q3428" s="845"/>
      <c r="R3428" s="844"/>
      <c r="S3428" s="832"/>
      <c r="T3428" s="3082"/>
      <c r="U3428" s="123"/>
      <c r="V3428" s="3990"/>
      <c r="W3428" s="793">
        <v>0.65</v>
      </c>
      <c r="X3428" s="793">
        <v>0.65</v>
      </c>
      <c r="Y3428" s="793">
        <v>0.65</v>
      </c>
      <c r="Z3428" s="793">
        <v>0.65</v>
      </c>
      <c r="AA3428" s="793">
        <v>0.65</v>
      </c>
      <c r="AB3428" s="793">
        <v>0.65</v>
      </c>
      <c r="AC3428" s="793">
        <v>0.65</v>
      </c>
      <c r="AD3428" s="793"/>
      <c r="AE3428" s="793"/>
      <c r="AF3428" s="793"/>
      <c r="AG3428" s="793"/>
      <c r="AH3428" s="1942"/>
      <c r="AI3428" s="1942"/>
      <c r="AJ3428" s="1942"/>
      <c r="AK3428" s="1942"/>
      <c r="AL3428" s="1942"/>
      <c r="AM3428" s="1942"/>
      <c r="AN3428" s="1942"/>
      <c r="AO3428" s="1942"/>
      <c r="AP3428" s="1942"/>
      <c r="AQ3428" s="1942"/>
      <c r="AR3428" s="1942"/>
      <c r="AS3428" s="1942"/>
      <c r="AT3428" s="1942"/>
      <c r="AU3428" s="1942"/>
      <c r="AV3428" s="1942"/>
      <c r="AW3428" s="1942"/>
      <c r="AX3428" s="1942"/>
      <c r="AY3428" s="1942"/>
      <c r="AZ3428" s="1942"/>
      <c r="BA3428" s="1942"/>
      <c r="BB3428" s="575"/>
      <c r="BC3428" s="576"/>
      <c r="BD3428" s="678"/>
      <c r="BE3428" s="585"/>
    </row>
    <row r="3429" spans="1:57" s="51" customFormat="1" ht="15" hidden="1" customHeight="1" outlineLevel="1" x14ac:dyDescent="0.25">
      <c r="A3429" s="2060"/>
      <c r="B3429" s="576"/>
      <c r="C3429" s="328"/>
      <c r="D3429" s="3990"/>
      <c r="E3429" s="4009"/>
      <c r="F3429" s="3010" t="str">
        <f>$E$1671</f>
        <v>ASHP-SEER18_ER2_MF</v>
      </c>
      <c r="G3429" s="2676"/>
      <c r="H3429" s="2676"/>
      <c r="I3429" s="2677"/>
      <c r="J3429" s="3298" t="str">
        <f>$C$1671</f>
        <v>354350_2021_12_</v>
      </c>
      <c r="K3429" s="793">
        <v>0.65</v>
      </c>
      <c r="L3429" s="861"/>
      <c r="M3429" s="858"/>
      <c r="N3429" s="123"/>
      <c r="O3429" s="228"/>
      <c r="P3429" s="844"/>
      <c r="Q3429" s="845"/>
      <c r="R3429" s="844"/>
      <c r="S3429" s="832"/>
      <c r="T3429" s="3082"/>
      <c r="U3429" s="123"/>
      <c r="V3429" s="3990"/>
      <c r="W3429" s="793">
        <v>0.65</v>
      </c>
      <c r="X3429" s="793">
        <v>0.65</v>
      </c>
      <c r="Y3429" s="793">
        <v>0.65</v>
      </c>
      <c r="Z3429" s="793">
        <v>0.65</v>
      </c>
      <c r="AA3429" s="793">
        <v>0.65</v>
      </c>
      <c r="AB3429" s="793">
        <v>0.65</v>
      </c>
      <c r="AC3429" s="793">
        <v>0.65</v>
      </c>
      <c r="AD3429" s="793"/>
      <c r="AE3429" s="793"/>
      <c r="AF3429" s="793"/>
      <c r="AG3429" s="793"/>
      <c r="AH3429" s="1942"/>
      <c r="AI3429" s="1942"/>
      <c r="AJ3429" s="1942"/>
      <c r="AK3429" s="1942"/>
      <c r="AL3429" s="1942"/>
      <c r="AM3429" s="1942"/>
      <c r="AN3429" s="1942"/>
      <c r="AO3429" s="1942"/>
      <c r="AP3429" s="1942"/>
      <c r="AQ3429" s="1942"/>
      <c r="AR3429" s="1942"/>
      <c r="AS3429" s="1942"/>
      <c r="AT3429" s="1942"/>
      <c r="AU3429" s="1942"/>
      <c r="AV3429" s="1942"/>
      <c r="AW3429" s="1942"/>
      <c r="AX3429" s="1942"/>
      <c r="AY3429" s="1942"/>
      <c r="AZ3429" s="1942"/>
      <c r="BA3429" s="1942"/>
      <c r="BB3429" s="575"/>
      <c r="BC3429" s="576"/>
      <c r="BD3429" s="678"/>
      <c r="BE3429" s="585"/>
    </row>
    <row r="3430" spans="1:57" s="51" customFormat="1" ht="15" hidden="1" customHeight="1" outlineLevel="1" x14ac:dyDescent="0.25">
      <c r="A3430" s="2060"/>
      <c r="B3430" s="576"/>
      <c r="C3430" s="328"/>
      <c r="D3430" s="3990"/>
      <c r="E3430" s="4009"/>
      <c r="F3430" s="3010" t="str">
        <f>$E$1673</f>
        <v>ASHP-SEER18_ER1_MF_CompE</v>
      </c>
      <c r="G3430" s="2676"/>
      <c r="H3430" s="2676"/>
      <c r="I3430" s="2677"/>
      <c r="J3430" s="3298" t="str">
        <f>$C$1673</f>
        <v>354351_2021_12_</v>
      </c>
      <c r="K3430" s="793">
        <f>K3428</f>
        <v>0.65</v>
      </c>
      <c r="L3430" s="861"/>
      <c r="M3430" s="858"/>
      <c r="N3430" s="123"/>
      <c r="O3430" s="228"/>
      <c r="P3430" s="844"/>
      <c r="Q3430" s="845"/>
      <c r="R3430" s="844"/>
      <c r="S3430" s="832"/>
      <c r="T3430" s="3082"/>
      <c r="U3430" s="123"/>
      <c r="V3430" s="3990"/>
      <c r="W3430" s="793"/>
      <c r="X3430" s="793"/>
      <c r="Y3430" s="791">
        <v>0.65</v>
      </c>
      <c r="Z3430" s="793">
        <v>0.65</v>
      </c>
      <c r="AA3430" s="793">
        <v>0.65</v>
      </c>
      <c r="AB3430" s="793">
        <v>0.65</v>
      </c>
      <c r="AC3430" s="793">
        <f>AC3428</f>
        <v>0.65</v>
      </c>
      <c r="AD3430" s="793"/>
      <c r="AE3430" s="793"/>
      <c r="AF3430" s="793"/>
      <c r="AG3430" s="793"/>
      <c r="AH3430" s="1942"/>
      <c r="AI3430" s="1942"/>
      <c r="AJ3430" s="1942"/>
      <c r="AK3430" s="1942"/>
      <c r="AL3430" s="1942"/>
      <c r="AM3430" s="1942"/>
      <c r="AN3430" s="1942"/>
      <c r="AO3430" s="1942"/>
      <c r="AP3430" s="1942"/>
      <c r="AQ3430" s="1942"/>
      <c r="AR3430" s="1942"/>
      <c r="AS3430" s="1942"/>
      <c r="AT3430" s="1942"/>
      <c r="AU3430" s="1942"/>
      <c r="AV3430" s="1942"/>
      <c r="AW3430" s="1942"/>
      <c r="AX3430" s="1942"/>
      <c r="AY3430" s="1942"/>
      <c r="AZ3430" s="1942"/>
      <c r="BA3430" s="1942"/>
      <c r="BB3430" s="575"/>
      <c r="BC3430" s="576"/>
      <c r="BD3430" s="678"/>
      <c r="BE3430" s="585"/>
    </row>
    <row r="3431" spans="1:57" s="51" customFormat="1" ht="15" hidden="1" customHeight="1" outlineLevel="1" x14ac:dyDescent="0.25">
      <c r="A3431" s="2060"/>
      <c r="B3431" s="576"/>
      <c r="C3431" s="328"/>
      <c r="D3431" s="3990"/>
      <c r="E3431" s="4009"/>
      <c r="F3431" s="3010" t="str">
        <f>$E$1675</f>
        <v>ASHP-SEER18_ER2_MF_CompE</v>
      </c>
      <c r="G3431" s="2676"/>
      <c r="H3431" s="2676"/>
      <c r="I3431" s="2677"/>
      <c r="J3431" s="3298" t="str">
        <f>$C$1675</f>
        <v>354351_2021_12_</v>
      </c>
      <c r="K3431" s="793">
        <f>K3429</f>
        <v>0.65</v>
      </c>
      <c r="L3431" s="861"/>
      <c r="M3431" s="858"/>
      <c r="N3431" s="123"/>
      <c r="O3431" s="228"/>
      <c r="P3431" s="844"/>
      <c r="Q3431" s="845"/>
      <c r="R3431" s="844"/>
      <c r="S3431" s="832"/>
      <c r="T3431" s="3082"/>
      <c r="U3431" s="123"/>
      <c r="V3431" s="3990"/>
      <c r="W3431" s="793"/>
      <c r="X3431" s="793"/>
      <c r="Y3431" s="791">
        <v>0.65</v>
      </c>
      <c r="Z3431" s="793">
        <v>0.65</v>
      </c>
      <c r="AA3431" s="793">
        <v>0.65</v>
      </c>
      <c r="AB3431" s="793">
        <v>0.65</v>
      </c>
      <c r="AC3431" s="793">
        <f>AC3429</f>
        <v>0.65</v>
      </c>
      <c r="AD3431" s="793"/>
      <c r="AE3431" s="793"/>
      <c r="AF3431" s="793"/>
      <c r="AG3431" s="793"/>
      <c r="AH3431" s="1942"/>
      <c r="AI3431" s="1942"/>
      <c r="AJ3431" s="1942"/>
      <c r="AK3431" s="1942"/>
      <c r="AL3431" s="1942"/>
      <c r="AM3431" s="1942"/>
      <c r="AN3431" s="1942"/>
      <c r="AO3431" s="1942"/>
      <c r="AP3431" s="1942"/>
      <c r="AQ3431" s="1942"/>
      <c r="AR3431" s="1942"/>
      <c r="AS3431" s="1942"/>
      <c r="AT3431" s="1942"/>
      <c r="AU3431" s="1942"/>
      <c r="AV3431" s="1942"/>
      <c r="AW3431" s="1942"/>
      <c r="AX3431" s="1942"/>
      <c r="AY3431" s="1942"/>
      <c r="AZ3431" s="1942"/>
      <c r="BA3431" s="1942"/>
      <c r="BB3431" s="575"/>
      <c r="BC3431" s="576"/>
      <c r="BD3431" s="678"/>
      <c r="BE3431" s="585"/>
    </row>
    <row r="3432" spans="1:57" s="51" customFormat="1" ht="15" hidden="1" customHeight="1" outlineLevel="1" x14ac:dyDescent="0.25">
      <c r="A3432" s="2060"/>
      <c r="B3432" s="576"/>
      <c r="C3432" s="328"/>
      <c r="D3432" s="3990"/>
      <c r="E3432" s="4009"/>
      <c r="F3432" s="3010" t="str">
        <f>$E$1677</f>
        <v>ASHP-SEER19-Replace_CAC_ElectricHeat_ER1_SF</v>
      </c>
      <c r="G3432" s="2676"/>
      <c r="H3432" s="2676"/>
      <c r="I3432" s="2677"/>
      <c r="J3432" s="3298" t="str">
        <f>$C$1677</f>
        <v>354400_2021_12_</v>
      </c>
      <c r="K3432" s="793">
        <v>1</v>
      </c>
      <c r="L3432" s="861"/>
      <c r="M3432" s="858"/>
      <c r="N3432" s="123"/>
      <c r="O3432" s="228"/>
      <c r="P3432" s="844"/>
      <c r="Q3432" s="845"/>
      <c r="R3432" s="844"/>
      <c r="S3432" s="832"/>
      <c r="T3432" s="3082"/>
      <c r="U3432" s="123"/>
      <c r="V3432" s="3990"/>
      <c r="W3432" s="793">
        <v>1</v>
      </c>
      <c r="X3432" s="793">
        <v>1</v>
      </c>
      <c r="Y3432" s="793">
        <v>1</v>
      </c>
      <c r="Z3432" s="793">
        <v>1</v>
      </c>
      <c r="AA3432" s="793">
        <v>1</v>
      </c>
      <c r="AB3432" s="793">
        <v>1</v>
      </c>
      <c r="AC3432" s="793">
        <v>1</v>
      </c>
      <c r="AD3432" s="793"/>
      <c r="AE3432" s="793"/>
      <c r="AF3432" s="793"/>
      <c r="AG3432" s="793"/>
      <c r="AH3432" s="1942"/>
      <c r="AI3432" s="1942"/>
      <c r="AJ3432" s="1942"/>
      <c r="AK3432" s="1942"/>
      <c r="AL3432" s="1942"/>
      <c r="AM3432" s="1942"/>
      <c r="AN3432" s="1942"/>
      <c r="AO3432" s="1942"/>
      <c r="AP3432" s="1942"/>
      <c r="AQ3432" s="1942"/>
      <c r="AR3432" s="1942"/>
      <c r="AS3432" s="1942"/>
      <c r="AT3432" s="1942"/>
      <c r="AU3432" s="1942"/>
      <c r="AV3432" s="1942"/>
      <c r="AW3432" s="1942"/>
      <c r="AX3432" s="1942"/>
      <c r="AY3432" s="1942"/>
      <c r="AZ3432" s="1942"/>
      <c r="BA3432" s="1942"/>
      <c r="BB3432" s="575"/>
      <c r="BC3432" s="576"/>
      <c r="BD3432" s="678"/>
      <c r="BE3432" s="585"/>
    </row>
    <row r="3433" spans="1:57" s="51" customFormat="1" ht="15" hidden="1" customHeight="1" outlineLevel="1" x14ac:dyDescent="0.25">
      <c r="A3433" s="2060"/>
      <c r="B3433" s="576"/>
      <c r="C3433" s="328"/>
      <c r="D3433" s="3990"/>
      <c r="E3433" s="4009"/>
      <c r="F3433" s="3010" t="str">
        <f>$E$1679</f>
        <v>ASHP-SEER19-Replace_CAC_ElectricHeat_ER2_SF</v>
      </c>
      <c r="G3433" s="2676"/>
      <c r="H3433" s="2676"/>
      <c r="I3433" s="2677"/>
      <c r="J3433" s="3298" t="str">
        <f>$C$1679</f>
        <v>354400_2021_12_</v>
      </c>
      <c r="K3433" s="793">
        <v>1</v>
      </c>
      <c r="L3433" s="861"/>
      <c r="M3433" s="858"/>
      <c r="N3433" s="123"/>
      <c r="O3433" s="228"/>
      <c r="P3433" s="844"/>
      <c r="Q3433" s="845"/>
      <c r="R3433" s="844"/>
      <c r="S3433" s="832"/>
      <c r="T3433" s="3082"/>
      <c r="U3433" s="123"/>
      <c r="V3433" s="3990"/>
      <c r="W3433" s="793">
        <v>1</v>
      </c>
      <c r="X3433" s="793">
        <v>1</v>
      </c>
      <c r="Y3433" s="793">
        <v>1</v>
      </c>
      <c r="Z3433" s="793">
        <v>1</v>
      </c>
      <c r="AA3433" s="793">
        <v>1</v>
      </c>
      <c r="AB3433" s="793">
        <v>1</v>
      </c>
      <c r="AC3433" s="793">
        <v>1</v>
      </c>
      <c r="AD3433" s="793"/>
      <c r="AE3433" s="793"/>
      <c r="AF3433" s="793"/>
      <c r="AG3433" s="793"/>
      <c r="AH3433" s="1942"/>
      <c r="AI3433" s="1942"/>
      <c r="AJ3433" s="1942"/>
      <c r="AK3433" s="1942"/>
      <c r="AL3433" s="1942"/>
      <c r="AM3433" s="1942"/>
      <c r="AN3433" s="1942"/>
      <c r="AO3433" s="1942"/>
      <c r="AP3433" s="1942"/>
      <c r="AQ3433" s="1942"/>
      <c r="AR3433" s="1942"/>
      <c r="AS3433" s="1942"/>
      <c r="AT3433" s="1942"/>
      <c r="AU3433" s="1942"/>
      <c r="AV3433" s="1942"/>
      <c r="AW3433" s="1942"/>
      <c r="AX3433" s="1942"/>
      <c r="AY3433" s="1942"/>
      <c r="AZ3433" s="1942"/>
      <c r="BA3433" s="1942"/>
      <c r="BB3433" s="575"/>
      <c r="BC3433" s="576"/>
      <c r="BD3433" s="678"/>
      <c r="BE3433" s="585"/>
    </row>
    <row r="3434" spans="1:57" s="1942" customFormat="1" ht="15" hidden="1" customHeight="1" outlineLevel="1" x14ac:dyDescent="0.25">
      <c r="A3434" s="2060"/>
      <c r="B3434" s="576"/>
      <c r="C3434" s="328"/>
      <c r="D3434" s="3990"/>
      <c r="E3434" s="4009"/>
      <c r="F3434" s="3010" t="str">
        <f>$E$1681</f>
        <v>ASHP-SEER19-Replace_CAC_NonElectricHeat_ER1_SF</v>
      </c>
      <c r="G3434" s="2676"/>
      <c r="H3434" s="2676"/>
      <c r="I3434" s="2677"/>
      <c r="J3434" s="3298" t="str">
        <f>$C$1681</f>
        <v>354410_2021_12_</v>
      </c>
      <c r="K3434" s="791">
        <v>1</v>
      </c>
      <c r="L3434" s="861"/>
      <c r="M3434" s="858"/>
      <c r="N3434" s="123"/>
      <c r="O3434" s="228"/>
      <c r="P3434" s="844"/>
      <c r="Q3434" s="845"/>
      <c r="R3434" s="844"/>
      <c r="S3434" s="832"/>
      <c r="T3434" s="3082"/>
      <c r="U3434" s="123"/>
      <c r="V3434" s="3990"/>
      <c r="W3434" s="793"/>
      <c r="X3434" s="793"/>
      <c r="Y3434" s="793"/>
      <c r="Z3434" s="793"/>
      <c r="AA3434" s="793"/>
      <c r="AB3434" s="793"/>
      <c r="AC3434" s="791">
        <v>1</v>
      </c>
      <c r="AD3434" s="793"/>
      <c r="AE3434" s="793"/>
      <c r="AF3434" s="793"/>
      <c r="AG3434" s="793"/>
      <c r="BB3434" s="575"/>
      <c r="BC3434" s="576"/>
      <c r="BD3434" s="678"/>
      <c r="BE3434" s="585"/>
    </row>
    <row r="3435" spans="1:57" s="1942" customFormat="1" ht="15" hidden="1" customHeight="1" outlineLevel="1" x14ac:dyDescent="0.25">
      <c r="A3435" s="2060"/>
      <c r="B3435" s="576"/>
      <c r="C3435" s="328"/>
      <c r="D3435" s="3990"/>
      <c r="E3435" s="4009"/>
      <c r="F3435" s="3010" t="str">
        <f>$E$1683</f>
        <v>ASHP-SEER19-Replace_CAC_NonElectricHeat_ER2_SF</v>
      </c>
      <c r="G3435" s="2676"/>
      <c r="H3435" s="2676"/>
      <c r="I3435" s="2677"/>
      <c r="J3435" s="3298" t="str">
        <f>$C$1683</f>
        <v>354410_2021_12_</v>
      </c>
      <c r="K3435" s="791">
        <v>1</v>
      </c>
      <c r="L3435" s="861"/>
      <c r="M3435" s="858"/>
      <c r="N3435" s="123"/>
      <c r="O3435" s="228"/>
      <c r="P3435" s="844"/>
      <c r="Q3435" s="845"/>
      <c r="R3435" s="844"/>
      <c r="S3435" s="832"/>
      <c r="T3435" s="3082"/>
      <c r="U3435" s="123"/>
      <c r="V3435" s="3990"/>
      <c r="W3435" s="793"/>
      <c r="X3435" s="793"/>
      <c r="Y3435" s="793"/>
      <c r="Z3435" s="793"/>
      <c r="AA3435" s="793"/>
      <c r="AB3435" s="793"/>
      <c r="AC3435" s="791">
        <v>1</v>
      </c>
      <c r="AD3435" s="793"/>
      <c r="AE3435" s="793"/>
      <c r="AF3435" s="793"/>
      <c r="AG3435" s="793"/>
      <c r="BB3435" s="575"/>
      <c r="BC3435" s="576"/>
      <c r="BD3435" s="678"/>
      <c r="BE3435" s="585"/>
    </row>
    <row r="3436" spans="1:57" s="51" customFormat="1" ht="15" hidden="1" customHeight="1" outlineLevel="1" x14ac:dyDescent="0.25">
      <c r="A3436" s="2060"/>
      <c r="B3436" s="576"/>
      <c r="C3436" s="328"/>
      <c r="D3436" s="3990"/>
      <c r="E3436" s="4009"/>
      <c r="F3436" s="3010" t="str">
        <f>$E$1685</f>
        <v>ASHP-SEER19-Replace_CAC_ElectricHeat_ER1_MF</v>
      </c>
      <c r="G3436" s="2676"/>
      <c r="H3436" s="2676"/>
      <c r="I3436" s="2677"/>
      <c r="J3436" s="3299" t="str">
        <f>$C$1685</f>
        <v>354450_2019_12_</v>
      </c>
      <c r="K3436" s="793">
        <v>0.65</v>
      </c>
      <c r="L3436" s="861"/>
      <c r="M3436" s="858"/>
      <c r="N3436" s="123"/>
      <c r="O3436" s="228"/>
      <c r="P3436" s="844"/>
      <c r="Q3436" s="845"/>
      <c r="R3436" s="844"/>
      <c r="S3436" s="832"/>
      <c r="T3436" s="3082"/>
      <c r="U3436" s="123"/>
      <c r="V3436" s="3990"/>
      <c r="W3436" s="793">
        <v>0.65</v>
      </c>
      <c r="X3436" s="793">
        <v>0.65</v>
      </c>
      <c r="Y3436" s="793">
        <v>0.65</v>
      </c>
      <c r="Z3436" s="793">
        <v>0.65</v>
      </c>
      <c r="AA3436" s="793">
        <v>0.65</v>
      </c>
      <c r="AB3436" s="793">
        <v>0.65</v>
      </c>
      <c r="AC3436" s="793">
        <v>0.65</v>
      </c>
      <c r="AD3436" s="793"/>
      <c r="AE3436" s="793"/>
      <c r="AF3436" s="793"/>
      <c r="AG3436" s="793"/>
      <c r="AH3436" s="1942"/>
      <c r="AI3436" s="1942"/>
      <c r="AJ3436" s="1942"/>
      <c r="AK3436" s="1942"/>
      <c r="AL3436" s="1942"/>
      <c r="AM3436" s="1942"/>
      <c r="AN3436" s="1942"/>
      <c r="AO3436" s="1942"/>
      <c r="AP3436" s="1942"/>
      <c r="AQ3436" s="1942"/>
      <c r="AR3436" s="1942"/>
      <c r="AS3436" s="1942"/>
      <c r="AT3436" s="1942"/>
      <c r="AU3436" s="1942"/>
      <c r="AV3436" s="1942"/>
      <c r="AW3436" s="1942"/>
      <c r="AX3436" s="1942"/>
      <c r="AY3436" s="1942"/>
      <c r="AZ3436" s="1942"/>
      <c r="BA3436" s="1942"/>
      <c r="BB3436" s="575"/>
      <c r="BC3436" s="576"/>
      <c r="BD3436" s="678"/>
      <c r="BE3436" s="585"/>
    </row>
    <row r="3437" spans="1:57" s="51" customFormat="1" ht="15" hidden="1" customHeight="1" outlineLevel="1" x14ac:dyDescent="0.25">
      <c r="A3437" s="2060"/>
      <c r="B3437" s="576"/>
      <c r="C3437" s="328"/>
      <c r="D3437" s="3990"/>
      <c r="E3437" s="4009"/>
      <c r="F3437" s="3010" t="str">
        <f>$E$1687</f>
        <v>ASHP-SEER19-Replace_CAC_ElectricHeat_ER2_MF</v>
      </c>
      <c r="G3437" s="2676"/>
      <c r="H3437" s="2676"/>
      <c r="I3437" s="2677"/>
      <c r="J3437" s="3299" t="str">
        <f>$C$1687</f>
        <v>354450_2019_12_</v>
      </c>
      <c r="K3437" s="793">
        <v>0.65</v>
      </c>
      <c r="L3437" s="861"/>
      <c r="M3437" s="858"/>
      <c r="N3437" s="123"/>
      <c r="O3437" s="228"/>
      <c r="P3437" s="844"/>
      <c r="Q3437" s="845"/>
      <c r="R3437" s="844"/>
      <c r="S3437" s="832"/>
      <c r="T3437" s="3082"/>
      <c r="U3437" s="123"/>
      <c r="V3437" s="3990"/>
      <c r="W3437" s="793">
        <v>0.65</v>
      </c>
      <c r="X3437" s="793">
        <v>0.65</v>
      </c>
      <c r="Y3437" s="793">
        <v>0.65</v>
      </c>
      <c r="Z3437" s="793">
        <v>0.65</v>
      </c>
      <c r="AA3437" s="793">
        <v>0.65</v>
      </c>
      <c r="AB3437" s="793">
        <v>0.65</v>
      </c>
      <c r="AC3437" s="793">
        <v>0.65</v>
      </c>
      <c r="AD3437" s="793"/>
      <c r="AE3437" s="793"/>
      <c r="AF3437" s="793"/>
      <c r="AG3437" s="793"/>
      <c r="AH3437" s="1942"/>
      <c r="AI3437" s="1942"/>
      <c r="AJ3437" s="1942"/>
      <c r="AK3437" s="1942"/>
      <c r="AL3437" s="1942"/>
      <c r="AM3437" s="1942"/>
      <c r="AN3437" s="1942"/>
      <c r="AO3437" s="1942"/>
      <c r="AP3437" s="1942"/>
      <c r="AQ3437" s="1942"/>
      <c r="AR3437" s="1942"/>
      <c r="AS3437" s="1942"/>
      <c r="AT3437" s="1942"/>
      <c r="AU3437" s="1942"/>
      <c r="AV3437" s="1942"/>
      <c r="AW3437" s="1942"/>
      <c r="AX3437" s="1942"/>
      <c r="AY3437" s="1942"/>
      <c r="AZ3437" s="1942"/>
      <c r="BA3437" s="1942"/>
      <c r="BB3437" s="575"/>
      <c r="BC3437" s="576"/>
      <c r="BD3437" s="678"/>
      <c r="BE3437" s="585"/>
    </row>
    <row r="3438" spans="1:57" s="51" customFormat="1" ht="15" hidden="1" customHeight="1" outlineLevel="1" x14ac:dyDescent="0.25">
      <c r="A3438" s="2060"/>
      <c r="B3438" s="576"/>
      <c r="C3438" s="328"/>
      <c r="D3438" s="3990"/>
      <c r="E3438" s="4009"/>
      <c r="F3438" s="3010" t="str">
        <f>$E$1689</f>
        <v>ASHP-SEER19-Replace_CAC_ElectricHeat_ER1_MF_CompE</v>
      </c>
      <c r="G3438" s="2676"/>
      <c r="H3438" s="2676"/>
      <c r="I3438" s="2677"/>
      <c r="J3438" s="3299" t="str">
        <f>$C$1689</f>
        <v>354451_2019_12_</v>
      </c>
      <c r="K3438" s="793">
        <f>K3436</f>
        <v>0.65</v>
      </c>
      <c r="L3438" s="861"/>
      <c r="M3438" s="858"/>
      <c r="N3438" s="123"/>
      <c r="O3438" s="228"/>
      <c r="P3438" s="844"/>
      <c r="Q3438" s="845"/>
      <c r="R3438" s="844"/>
      <c r="S3438" s="832"/>
      <c r="T3438" s="3082"/>
      <c r="U3438" s="123"/>
      <c r="V3438" s="3990"/>
      <c r="W3438" s="793"/>
      <c r="X3438" s="793"/>
      <c r="Y3438" s="791">
        <v>0.65</v>
      </c>
      <c r="Z3438" s="793">
        <v>0.65</v>
      </c>
      <c r="AA3438" s="793">
        <v>0.65</v>
      </c>
      <c r="AB3438" s="793">
        <v>0.65</v>
      </c>
      <c r="AC3438" s="793">
        <f>AC3436</f>
        <v>0.65</v>
      </c>
      <c r="AD3438" s="793"/>
      <c r="AE3438" s="793"/>
      <c r="AF3438" s="793"/>
      <c r="AG3438" s="793"/>
      <c r="AH3438" s="1942"/>
      <c r="AI3438" s="1942"/>
      <c r="AJ3438" s="1942"/>
      <c r="AK3438" s="1942"/>
      <c r="AL3438" s="1942"/>
      <c r="AM3438" s="1942"/>
      <c r="AN3438" s="1942"/>
      <c r="AO3438" s="1942"/>
      <c r="AP3438" s="1942"/>
      <c r="AQ3438" s="1942"/>
      <c r="AR3438" s="1942"/>
      <c r="AS3438" s="1942"/>
      <c r="AT3438" s="1942"/>
      <c r="AU3438" s="1942"/>
      <c r="AV3438" s="1942"/>
      <c r="AW3438" s="1942"/>
      <c r="AX3438" s="1942"/>
      <c r="AY3438" s="1942"/>
      <c r="AZ3438" s="1942"/>
      <c r="BA3438" s="1942"/>
      <c r="BB3438" s="575"/>
      <c r="BC3438" s="576"/>
      <c r="BD3438" s="678"/>
      <c r="BE3438" s="585"/>
    </row>
    <row r="3439" spans="1:57" s="51" customFormat="1" ht="15" hidden="1" customHeight="1" outlineLevel="1" x14ac:dyDescent="0.25">
      <c r="A3439" s="2060"/>
      <c r="B3439" s="576"/>
      <c r="C3439" s="328"/>
      <c r="D3439" s="3990"/>
      <c r="E3439" s="4009"/>
      <c r="F3439" s="3010" t="str">
        <f>$E$1691</f>
        <v>ASHP-SEER19-Replace_CAC_ElectricHeat_ER2_MF_CompE</v>
      </c>
      <c r="G3439" s="2676"/>
      <c r="H3439" s="2676"/>
      <c r="I3439" s="2677"/>
      <c r="J3439" s="3299" t="str">
        <f>$C$1691</f>
        <v>354451_2019_12_</v>
      </c>
      <c r="K3439" s="793">
        <f>K3437</f>
        <v>0.65</v>
      </c>
      <c r="L3439" s="861"/>
      <c r="M3439" s="858"/>
      <c r="N3439" s="123"/>
      <c r="O3439" s="228"/>
      <c r="P3439" s="844"/>
      <c r="Q3439" s="845"/>
      <c r="R3439" s="844"/>
      <c r="S3439" s="832"/>
      <c r="T3439" s="3082"/>
      <c r="U3439" s="123"/>
      <c r="V3439" s="3990"/>
      <c r="W3439" s="793"/>
      <c r="X3439" s="793"/>
      <c r="Y3439" s="791">
        <v>0.65</v>
      </c>
      <c r="Z3439" s="793">
        <v>0.65</v>
      </c>
      <c r="AA3439" s="793">
        <v>0.65</v>
      </c>
      <c r="AB3439" s="793">
        <v>0.65</v>
      </c>
      <c r="AC3439" s="793">
        <f>AC3437</f>
        <v>0.65</v>
      </c>
      <c r="AD3439" s="793"/>
      <c r="AE3439" s="793"/>
      <c r="AF3439" s="793"/>
      <c r="AG3439" s="793"/>
      <c r="AH3439" s="1942"/>
      <c r="AI3439" s="1942"/>
      <c r="AJ3439" s="1942"/>
      <c r="AK3439" s="1942"/>
      <c r="AL3439" s="1942"/>
      <c r="AM3439" s="1942"/>
      <c r="AN3439" s="1942"/>
      <c r="AO3439" s="1942"/>
      <c r="AP3439" s="1942"/>
      <c r="AQ3439" s="1942"/>
      <c r="AR3439" s="1942"/>
      <c r="AS3439" s="1942"/>
      <c r="AT3439" s="1942"/>
      <c r="AU3439" s="1942"/>
      <c r="AV3439" s="1942"/>
      <c r="AW3439" s="1942"/>
      <c r="AX3439" s="1942"/>
      <c r="AY3439" s="1942"/>
      <c r="AZ3439" s="1942"/>
      <c r="BA3439" s="1942"/>
      <c r="BB3439" s="575"/>
      <c r="BC3439" s="576"/>
      <c r="BD3439" s="678"/>
      <c r="BE3439" s="585"/>
    </row>
    <row r="3440" spans="1:57" s="1942" customFormat="1" ht="15" hidden="1" customHeight="1" outlineLevel="1" x14ac:dyDescent="0.25">
      <c r="A3440" s="2060"/>
      <c r="B3440" s="576"/>
      <c r="C3440" s="328"/>
      <c r="D3440" s="3990"/>
      <c r="E3440" s="4009"/>
      <c r="F3440" s="3010" t="str">
        <f>$E$1693</f>
        <v>ASHP-SEER19-Replace_CAC_NonElectricHeat_ER1_MF</v>
      </c>
      <c r="G3440" s="2676"/>
      <c r="H3440" s="2676"/>
      <c r="I3440" s="2677"/>
      <c r="J3440" s="3298" t="str">
        <f>$C$1693</f>
        <v>354460_2021_12_</v>
      </c>
      <c r="K3440" s="791">
        <f t="shared" ref="K3440:K3443" si="248">K3438</f>
        <v>0.65</v>
      </c>
      <c r="L3440" s="861"/>
      <c r="M3440" s="858"/>
      <c r="N3440" s="123"/>
      <c r="O3440" s="228"/>
      <c r="P3440" s="844"/>
      <c r="Q3440" s="845"/>
      <c r="R3440" s="844"/>
      <c r="S3440" s="832"/>
      <c r="T3440" s="3082"/>
      <c r="U3440" s="123"/>
      <c r="V3440" s="3990"/>
      <c r="W3440" s="793"/>
      <c r="X3440" s="793"/>
      <c r="Y3440" s="791"/>
      <c r="Z3440" s="793"/>
      <c r="AA3440" s="793"/>
      <c r="AB3440" s="793"/>
      <c r="AC3440" s="791">
        <f t="shared" ref="AC3440:AC3443" si="249">AC3438</f>
        <v>0.65</v>
      </c>
      <c r="AD3440" s="793"/>
      <c r="AE3440" s="793"/>
      <c r="AF3440" s="793"/>
      <c r="AG3440" s="793"/>
      <c r="BB3440" s="575"/>
      <c r="BC3440" s="576"/>
      <c r="BD3440" s="678"/>
      <c r="BE3440" s="585"/>
    </row>
    <row r="3441" spans="1:57" s="1942" customFormat="1" ht="15" hidden="1" customHeight="1" outlineLevel="1" x14ac:dyDescent="0.25">
      <c r="A3441" s="2060"/>
      <c r="B3441" s="576"/>
      <c r="C3441" s="328"/>
      <c r="D3441" s="3990"/>
      <c r="E3441" s="4009"/>
      <c r="F3441" s="3010" t="str">
        <f>$E$1695</f>
        <v>ASHP-SEER19-Replace_CAC_NonElectricHeat_ER2_MF</v>
      </c>
      <c r="G3441" s="2676"/>
      <c r="H3441" s="2676"/>
      <c r="I3441" s="2677"/>
      <c r="J3441" s="3298" t="str">
        <f>$C$1695</f>
        <v>354460_2021_12_</v>
      </c>
      <c r="K3441" s="791">
        <f t="shared" si="248"/>
        <v>0.65</v>
      </c>
      <c r="L3441" s="861"/>
      <c r="M3441" s="858"/>
      <c r="N3441" s="123"/>
      <c r="O3441" s="228"/>
      <c r="P3441" s="844"/>
      <c r="Q3441" s="845"/>
      <c r="R3441" s="844"/>
      <c r="S3441" s="832"/>
      <c r="T3441" s="3082"/>
      <c r="U3441" s="123"/>
      <c r="V3441" s="3990"/>
      <c r="W3441" s="793"/>
      <c r="X3441" s="793"/>
      <c r="Y3441" s="791"/>
      <c r="Z3441" s="793"/>
      <c r="AA3441" s="793"/>
      <c r="AB3441" s="793"/>
      <c r="AC3441" s="791">
        <f t="shared" si="249"/>
        <v>0.65</v>
      </c>
      <c r="AD3441" s="793"/>
      <c r="AE3441" s="793"/>
      <c r="AF3441" s="793"/>
      <c r="AG3441" s="793"/>
      <c r="BB3441" s="575"/>
      <c r="BC3441" s="576"/>
      <c r="BD3441" s="678"/>
      <c r="BE3441" s="585"/>
    </row>
    <row r="3442" spans="1:57" s="1942" customFormat="1" ht="15" hidden="1" customHeight="1" outlineLevel="1" x14ac:dyDescent="0.25">
      <c r="A3442" s="2060"/>
      <c r="B3442" s="576"/>
      <c r="C3442" s="328"/>
      <c r="D3442" s="3990"/>
      <c r="E3442" s="4009"/>
      <c r="F3442" s="3010" t="str">
        <f>$E$1697</f>
        <v>ASHP-SEER19-Replace_CAC_NonElectricHeat_ER1_MF_CompE</v>
      </c>
      <c r="G3442" s="2676"/>
      <c r="H3442" s="2676"/>
      <c r="I3442" s="2677"/>
      <c r="J3442" s="3298" t="str">
        <f>$C$1697</f>
        <v>354461_2021_12_</v>
      </c>
      <c r="K3442" s="791">
        <f t="shared" si="248"/>
        <v>0.65</v>
      </c>
      <c r="L3442" s="861"/>
      <c r="M3442" s="858"/>
      <c r="N3442" s="123"/>
      <c r="O3442" s="228"/>
      <c r="P3442" s="844"/>
      <c r="Q3442" s="845"/>
      <c r="R3442" s="844"/>
      <c r="S3442" s="832"/>
      <c r="T3442" s="3082"/>
      <c r="U3442" s="123"/>
      <c r="V3442" s="3990"/>
      <c r="W3442" s="793"/>
      <c r="X3442" s="793"/>
      <c r="Y3442" s="791"/>
      <c r="Z3442" s="793"/>
      <c r="AA3442" s="793"/>
      <c r="AB3442" s="793"/>
      <c r="AC3442" s="791">
        <f t="shared" si="249"/>
        <v>0.65</v>
      </c>
      <c r="AD3442" s="793"/>
      <c r="AE3442" s="793"/>
      <c r="AF3442" s="793"/>
      <c r="AG3442" s="793"/>
      <c r="BB3442" s="575"/>
      <c r="BC3442" s="576"/>
      <c r="BD3442" s="678"/>
      <c r="BE3442" s="585"/>
    </row>
    <row r="3443" spans="1:57" s="1942" customFormat="1" ht="15" hidden="1" customHeight="1" outlineLevel="1" x14ac:dyDescent="0.25">
      <c r="A3443" s="2060"/>
      <c r="B3443" s="576"/>
      <c r="C3443" s="328"/>
      <c r="D3443" s="3990"/>
      <c r="E3443" s="4009"/>
      <c r="F3443" s="3010" t="str">
        <f>$E$1699</f>
        <v>ASHP-SEER19-Replace_CAC_NonElectricHeat_ER2_MF_CompE</v>
      </c>
      <c r="G3443" s="2676"/>
      <c r="H3443" s="2676"/>
      <c r="I3443" s="2677"/>
      <c r="J3443" s="3298" t="str">
        <f>$C$1699</f>
        <v>354461_2021_12_</v>
      </c>
      <c r="K3443" s="791">
        <f t="shared" si="248"/>
        <v>0.65</v>
      </c>
      <c r="L3443" s="861"/>
      <c r="M3443" s="858"/>
      <c r="N3443" s="123"/>
      <c r="O3443" s="228"/>
      <c r="P3443" s="844"/>
      <c r="Q3443" s="845"/>
      <c r="R3443" s="844"/>
      <c r="S3443" s="832"/>
      <c r="T3443" s="3082"/>
      <c r="U3443" s="123"/>
      <c r="V3443" s="3990"/>
      <c r="W3443" s="793"/>
      <c r="X3443" s="793"/>
      <c r="Y3443" s="791"/>
      <c r="Z3443" s="793"/>
      <c r="AA3443" s="793"/>
      <c r="AB3443" s="793"/>
      <c r="AC3443" s="791">
        <f t="shared" si="249"/>
        <v>0.65</v>
      </c>
      <c r="AD3443" s="793"/>
      <c r="AE3443" s="793"/>
      <c r="AF3443" s="793"/>
      <c r="AG3443" s="793"/>
      <c r="BB3443" s="575"/>
      <c r="BC3443" s="576"/>
      <c r="BD3443" s="678"/>
      <c r="BE3443" s="585"/>
    </row>
    <row r="3444" spans="1:57" s="51" customFormat="1" ht="15" hidden="1" customHeight="1" outlineLevel="1" x14ac:dyDescent="0.25">
      <c r="A3444" s="2060"/>
      <c r="B3444" s="576"/>
      <c r="C3444" s="328"/>
      <c r="D3444" s="3990"/>
      <c r="E3444" s="4009"/>
      <c r="F3444" s="3010" t="str">
        <f>$E$1701</f>
        <v>ASHP-SEER19_ER1_MF</v>
      </c>
      <c r="G3444" s="2676"/>
      <c r="H3444" s="2676"/>
      <c r="I3444" s="2677"/>
      <c r="J3444" s="3299" t="str">
        <f>$C$1701</f>
        <v>354500_2019_12_</v>
      </c>
      <c r="K3444" s="793">
        <v>0.65</v>
      </c>
      <c r="L3444" s="861"/>
      <c r="M3444" s="858"/>
      <c r="N3444" s="123"/>
      <c r="O3444" s="228"/>
      <c r="P3444" s="844"/>
      <c r="Q3444" s="845"/>
      <c r="R3444" s="844"/>
      <c r="S3444" s="832"/>
      <c r="T3444" s="3082"/>
      <c r="U3444" s="123"/>
      <c r="V3444" s="3990"/>
      <c r="W3444" s="793">
        <v>0.65</v>
      </c>
      <c r="X3444" s="793">
        <v>0.65</v>
      </c>
      <c r="Y3444" s="793">
        <v>0.65</v>
      </c>
      <c r="Z3444" s="793">
        <v>0.65</v>
      </c>
      <c r="AA3444" s="793">
        <v>0.65</v>
      </c>
      <c r="AB3444" s="793">
        <v>0.65</v>
      </c>
      <c r="AC3444" s="793">
        <v>0.65</v>
      </c>
      <c r="AD3444" s="793"/>
      <c r="AE3444" s="793"/>
      <c r="AF3444" s="793"/>
      <c r="AG3444" s="793"/>
      <c r="AH3444" s="1942"/>
      <c r="AI3444" s="1942"/>
      <c r="AJ3444" s="1942"/>
      <c r="AK3444" s="1942"/>
      <c r="AL3444" s="1942"/>
      <c r="AM3444" s="1942"/>
      <c r="AN3444" s="1942"/>
      <c r="AO3444" s="1942"/>
      <c r="AP3444" s="1942"/>
      <c r="AQ3444" s="1942"/>
      <c r="AR3444" s="1942"/>
      <c r="AS3444" s="1942"/>
      <c r="AT3444" s="1942"/>
      <c r="AU3444" s="1942"/>
      <c r="AV3444" s="1942"/>
      <c r="AW3444" s="1942"/>
      <c r="AX3444" s="1942"/>
      <c r="AY3444" s="1942"/>
      <c r="AZ3444" s="1942"/>
      <c r="BA3444" s="1942"/>
      <c r="BB3444" s="575"/>
      <c r="BC3444" s="576"/>
      <c r="BD3444" s="678"/>
      <c r="BE3444" s="585"/>
    </row>
    <row r="3445" spans="1:57" s="51" customFormat="1" ht="15" hidden="1" customHeight="1" outlineLevel="1" x14ac:dyDescent="0.25">
      <c r="A3445" s="2060"/>
      <c r="B3445" s="576"/>
      <c r="C3445" s="328"/>
      <c r="D3445" s="3990"/>
      <c r="E3445" s="4009"/>
      <c r="F3445" s="3010" t="str">
        <f>$E$1703</f>
        <v>ASHP-SEER19_ER2_MF</v>
      </c>
      <c r="G3445" s="2676"/>
      <c r="H3445" s="2676"/>
      <c r="I3445" s="2677"/>
      <c r="J3445" s="3299" t="str">
        <f>$C$1703</f>
        <v>354500_2019_12_</v>
      </c>
      <c r="K3445" s="793">
        <v>0.65</v>
      </c>
      <c r="L3445" s="861"/>
      <c r="M3445" s="858"/>
      <c r="N3445" s="123"/>
      <c r="O3445" s="228"/>
      <c r="P3445" s="844"/>
      <c r="Q3445" s="845"/>
      <c r="R3445" s="844"/>
      <c r="S3445" s="832"/>
      <c r="T3445" s="3082"/>
      <c r="U3445" s="123"/>
      <c r="V3445" s="3990"/>
      <c r="W3445" s="793">
        <v>0.65</v>
      </c>
      <c r="X3445" s="793">
        <v>0.65</v>
      </c>
      <c r="Y3445" s="793">
        <v>0.65</v>
      </c>
      <c r="Z3445" s="793">
        <v>0.65</v>
      </c>
      <c r="AA3445" s="793">
        <v>0.65</v>
      </c>
      <c r="AB3445" s="793">
        <v>0.65</v>
      </c>
      <c r="AC3445" s="793">
        <v>0.65</v>
      </c>
      <c r="AD3445" s="793"/>
      <c r="AE3445" s="793"/>
      <c r="AF3445" s="793"/>
      <c r="AG3445" s="793"/>
      <c r="AH3445" s="1942"/>
      <c r="AI3445" s="1942"/>
      <c r="AJ3445" s="1942"/>
      <c r="AK3445" s="1942"/>
      <c r="AL3445" s="1942"/>
      <c r="AM3445" s="1942"/>
      <c r="AN3445" s="1942"/>
      <c r="AO3445" s="1942"/>
      <c r="AP3445" s="1942"/>
      <c r="AQ3445" s="1942"/>
      <c r="AR3445" s="1942"/>
      <c r="AS3445" s="1942"/>
      <c r="AT3445" s="1942"/>
      <c r="AU3445" s="1942"/>
      <c r="AV3445" s="1942"/>
      <c r="AW3445" s="1942"/>
      <c r="AX3445" s="1942"/>
      <c r="AY3445" s="1942"/>
      <c r="AZ3445" s="1942"/>
      <c r="BA3445" s="1942"/>
      <c r="BB3445" s="575"/>
      <c r="BC3445" s="576"/>
      <c r="BD3445" s="678"/>
      <c r="BE3445" s="585"/>
    </row>
    <row r="3446" spans="1:57" s="51" customFormat="1" ht="15" hidden="1" customHeight="1" outlineLevel="1" x14ac:dyDescent="0.25">
      <c r="A3446" s="2060"/>
      <c r="B3446" s="576"/>
      <c r="C3446" s="328"/>
      <c r="D3446" s="3990"/>
      <c r="E3446" s="4009"/>
      <c r="F3446" s="3010" t="str">
        <f>$E$1705</f>
        <v>ASHP-SEER19_ER1_MF_CompE</v>
      </c>
      <c r="G3446" s="2676"/>
      <c r="H3446" s="2676"/>
      <c r="I3446" s="2677"/>
      <c r="J3446" s="3299" t="str">
        <f>$C$1705</f>
        <v>354501_2019_12_</v>
      </c>
      <c r="K3446" s="793">
        <f>K3444</f>
        <v>0.65</v>
      </c>
      <c r="L3446" s="861"/>
      <c r="M3446" s="858"/>
      <c r="N3446" s="123"/>
      <c r="O3446" s="228"/>
      <c r="P3446" s="844"/>
      <c r="Q3446" s="845"/>
      <c r="R3446" s="844"/>
      <c r="S3446" s="832"/>
      <c r="T3446" s="3082"/>
      <c r="U3446" s="123"/>
      <c r="V3446" s="3990"/>
      <c r="W3446" s="793"/>
      <c r="X3446" s="793"/>
      <c r="Y3446" s="791">
        <v>0.65</v>
      </c>
      <c r="Z3446" s="793">
        <v>0.65</v>
      </c>
      <c r="AA3446" s="793">
        <v>0.65</v>
      </c>
      <c r="AB3446" s="793">
        <v>0.65</v>
      </c>
      <c r="AC3446" s="793">
        <f>AC3444</f>
        <v>0.65</v>
      </c>
      <c r="AD3446" s="793"/>
      <c r="AE3446" s="793"/>
      <c r="AF3446" s="793"/>
      <c r="AG3446" s="793"/>
      <c r="AH3446" s="1942"/>
      <c r="AI3446" s="1942"/>
      <c r="AJ3446" s="1942"/>
      <c r="AK3446" s="1942"/>
      <c r="AL3446" s="1942"/>
      <c r="AM3446" s="1942"/>
      <c r="AN3446" s="1942"/>
      <c r="AO3446" s="1942"/>
      <c r="AP3446" s="1942"/>
      <c r="AQ3446" s="1942"/>
      <c r="AR3446" s="1942"/>
      <c r="AS3446" s="1942"/>
      <c r="AT3446" s="1942"/>
      <c r="AU3446" s="1942"/>
      <c r="AV3446" s="1942"/>
      <c r="AW3446" s="1942"/>
      <c r="AX3446" s="1942"/>
      <c r="AY3446" s="1942"/>
      <c r="AZ3446" s="1942"/>
      <c r="BA3446" s="1942"/>
      <c r="BB3446" s="575"/>
      <c r="BC3446" s="576"/>
      <c r="BD3446" s="678"/>
      <c r="BE3446" s="585"/>
    </row>
    <row r="3447" spans="1:57" s="51" customFormat="1" ht="15" hidden="1" customHeight="1" outlineLevel="1" x14ac:dyDescent="0.25">
      <c r="A3447" s="2060"/>
      <c r="B3447" s="576"/>
      <c r="C3447" s="328"/>
      <c r="D3447" s="3990"/>
      <c r="E3447" s="4009"/>
      <c r="F3447" s="3010" t="str">
        <f>$E$1707</f>
        <v>ASHP-SEER19_ER2_MF_CompE</v>
      </c>
      <c r="G3447" s="2676"/>
      <c r="H3447" s="2676"/>
      <c r="I3447" s="2677"/>
      <c r="J3447" s="3299" t="str">
        <f>$C$1707</f>
        <v>354501_2019_12_</v>
      </c>
      <c r="K3447" s="793">
        <f>K3445</f>
        <v>0.65</v>
      </c>
      <c r="L3447" s="861"/>
      <c r="M3447" s="858"/>
      <c r="N3447" s="123"/>
      <c r="O3447" s="228"/>
      <c r="P3447" s="844"/>
      <c r="Q3447" s="845"/>
      <c r="R3447" s="844"/>
      <c r="S3447" s="832"/>
      <c r="T3447" s="3082"/>
      <c r="U3447" s="123"/>
      <c r="V3447" s="3990"/>
      <c r="W3447" s="793"/>
      <c r="X3447" s="793"/>
      <c r="Y3447" s="791">
        <v>0.65</v>
      </c>
      <c r="Z3447" s="793">
        <v>0.65</v>
      </c>
      <c r="AA3447" s="793">
        <v>0.65</v>
      </c>
      <c r="AB3447" s="793">
        <v>0.65</v>
      </c>
      <c r="AC3447" s="793">
        <f>AC3445</f>
        <v>0.65</v>
      </c>
      <c r="AD3447" s="793"/>
      <c r="AE3447" s="793"/>
      <c r="AF3447" s="793"/>
      <c r="AG3447" s="793"/>
      <c r="AH3447" s="1942"/>
      <c r="AI3447" s="1942"/>
      <c r="AJ3447" s="1942"/>
      <c r="AK3447" s="1942"/>
      <c r="AL3447" s="1942"/>
      <c r="AM3447" s="1942"/>
      <c r="AN3447" s="1942"/>
      <c r="AO3447" s="1942"/>
      <c r="AP3447" s="1942"/>
      <c r="AQ3447" s="1942"/>
      <c r="AR3447" s="1942"/>
      <c r="AS3447" s="1942"/>
      <c r="AT3447" s="1942"/>
      <c r="AU3447" s="1942"/>
      <c r="AV3447" s="1942"/>
      <c r="AW3447" s="1942"/>
      <c r="AX3447" s="1942"/>
      <c r="AY3447" s="1942"/>
      <c r="AZ3447" s="1942"/>
      <c r="BA3447" s="1942"/>
      <c r="BB3447" s="575"/>
      <c r="BC3447" s="576"/>
      <c r="BD3447" s="678"/>
      <c r="BE3447" s="585"/>
    </row>
    <row r="3448" spans="1:57" s="51" customFormat="1" ht="15" hidden="1" customHeight="1" outlineLevel="1" x14ac:dyDescent="0.25">
      <c r="A3448" s="2060"/>
      <c r="B3448" s="576"/>
      <c r="C3448" s="328"/>
      <c r="D3448" s="3990"/>
      <c r="E3448" s="4009"/>
      <c r="F3448" s="3010" t="str">
        <f>$E$1709</f>
        <v>ASHP-SEER20_ER1_SF</v>
      </c>
      <c r="G3448" s="2676"/>
      <c r="H3448" s="2676"/>
      <c r="I3448" s="2677"/>
      <c r="J3448" s="3298" t="str">
        <f>$C$1709</f>
        <v>354550_2021_12_</v>
      </c>
      <c r="K3448" s="793">
        <v>1</v>
      </c>
      <c r="L3448" s="861"/>
      <c r="M3448" s="858"/>
      <c r="N3448" s="123"/>
      <c r="O3448" s="228"/>
      <c r="P3448" s="844"/>
      <c r="Q3448" s="845"/>
      <c r="R3448" s="844"/>
      <c r="S3448" s="832"/>
      <c r="T3448" s="3082"/>
      <c r="U3448" s="123"/>
      <c r="V3448" s="3990"/>
      <c r="W3448" s="793">
        <v>1</v>
      </c>
      <c r="X3448" s="793">
        <v>1</v>
      </c>
      <c r="Y3448" s="793">
        <v>1</v>
      </c>
      <c r="Z3448" s="793">
        <v>1</v>
      </c>
      <c r="AA3448" s="793">
        <v>1</v>
      </c>
      <c r="AB3448" s="793">
        <v>1</v>
      </c>
      <c r="AC3448" s="793">
        <v>1</v>
      </c>
      <c r="AD3448" s="793"/>
      <c r="AE3448" s="793"/>
      <c r="AF3448" s="793"/>
      <c r="AG3448" s="793"/>
      <c r="AH3448" s="1942"/>
      <c r="AI3448" s="1942"/>
      <c r="AJ3448" s="1942"/>
      <c r="AK3448" s="1942"/>
      <c r="AL3448" s="1942"/>
      <c r="AM3448" s="1942"/>
      <c r="AN3448" s="1942"/>
      <c r="AO3448" s="1942"/>
      <c r="AP3448" s="1942"/>
      <c r="AQ3448" s="1942"/>
      <c r="AR3448" s="1942"/>
      <c r="AS3448" s="1942"/>
      <c r="AT3448" s="1942"/>
      <c r="AU3448" s="1942"/>
      <c r="AV3448" s="1942"/>
      <c r="AW3448" s="1942"/>
      <c r="AX3448" s="1942"/>
      <c r="AY3448" s="1942"/>
      <c r="AZ3448" s="1942"/>
      <c r="BA3448" s="1942"/>
      <c r="BB3448" s="575"/>
      <c r="BC3448" s="576"/>
      <c r="BD3448" s="678"/>
      <c r="BE3448" s="585"/>
    </row>
    <row r="3449" spans="1:57" s="51" customFormat="1" ht="15" hidden="1" customHeight="1" outlineLevel="1" x14ac:dyDescent="0.25">
      <c r="A3449" s="2060"/>
      <c r="B3449" s="576"/>
      <c r="C3449" s="328"/>
      <c r="D3449" s="3990"/>
      <c r="E3449" s="4009"/>
      <c r="F3449" s="3010" t="str">
        <f>$E$1711</f>
        <v>ASHP-SEER20_ER2_SF</v>
      </c>
      <c r="G3449" s="2676"/>
      <c r="H3449" s="2676"/>
      <c r="I3449" s="2677"/>
      <c r="J3449" s="3298" t="str">
        <f>$C$1711</f>
        <v>354550_2021_12_</v>
      </c>
      <c r="K3449" s="793">
        <v>1</v>
      </c>
      <c r="L3449" s="861"/>
      <c r="M3449" s="858"/>
      <c r="N3449" s="123"/>
      <c r="O3449" s="228"/>
      <c r="P3449" s="844"/>
      <c r="Q3449" s="845"/>
      <c r="R3449" s="844"/>
      <c r="S3449" s="832"/>
      <c r="T3449" s="3082"/>
      <c r="U3449" s="123"/>
      <c r="V3449" s="3990"/>
      <c r="W3449" s="793">
        <v>1</v>
      </c>
      <c r="X3449" s="793">
        <v>1</v>
      </c>
      <c r="Y3449" s="793">
        <v>1</v>
      </c>
      <c r="Z3449" s="793">
        <v>1</v>
      </c>
      <c r="AA3449" s="793">
        <v>1</v>
      </c>
      <c r="AB3449" s="793">
        <v>1</v>
      </c>
      <c r="AC3449" s="793">
        <v>1</v>
      </c>
      <c r="AD3449" s="793"/>
      <c r="AE3449" s="793"/>
      <c r="AF3449" s="793"/>
      <c r="AG3449" s="793"/>
      <c r="AH3449" s="1942"/>
      <c r="AI3449" s="1942"/>
      <c r="AJ3449" s="1942"/>
      <c r="AK3449" s="1942"/>
      <c r="AL3449" s="1942"/>
      <c r="AM3449" s="1942"/>
      <c r="AN3449" s="1942"/>
      <c r="AO3449" s="1942"/>
      <c r="AP3449" s="1942"/>
      <c r="AQ3449" s="1942"/>
      <c r="AR3449" s="1942"/>
      <c r="AS3449" s="1942"/>
      <c r="AT3449" s="1942"/>
      <c r="AU3449" s="1942"/>
      <c r="AV3449" s="1942"/>
      <c r="AW3449" s="1942"/>
      <c r="AX3449" s="1942"/>
      <c r="AY3449" s="1942"/>
      <c r="AZ3449" s="1942"/>
      <c r="BA3449" s="1942"/>
      <c r="BB3449" s="575"/>
      <c r="BC3449" s="576"/>
      <c r="BD3449" s="678"/>
      <c r="BE3449" s="585"/>
    </row>
    <row r="3450" spans="1:57" s="51" customFormat="1" ht="15" hidden="1" customHeight="1" outlineLevel="1" x14ac:dyDescent="0.25">
      <c r="A3450" s="2060"/>
      <c r="B3450" s="576"/>
      <c r="C3450" s="328"/>
      <c r="D3450" s="3990"/>
      <c r="E3450" s="4009"/>
      <c r="F3450" s="3010" t="str">
        <f>$E$1713</f>
        <v>ASHP-SEER20_ROF_SF</v>
      </c>
      <c r="G3450" s="2676"/>
      <c r="H3450" s="2676"/>
      <c r="I3450" s="2677"/>
      <c r="J3450" s="3298" t="str">
        <f>$C$1713</f>
        <v>354600_2021_12_</v>
      </c>
      <c r="K3450" s="793">
        <v>1</v>
      </c>
      <c r="L3450" s="861"/>
      <c r="M3450" s="858"/>
      <c r="N3450" s="123"/>
      <c r="O3450" s="228"/>
      <c r="P3450" s="844"/>
      <c r="Q3450" s="845"/>
      <c r="R3450" s="844"/>
      <c r="S3450" s="832"/>
      <c r="T3450" s="3082"/>
      <c r="U3450" s="123"/>
      <c r="V3450" s="3990"/>
      <c r="W3450" s="793">
        <v>1</v>
      </c>
      <c r="X3450" s="793">
        <v>1</v>
      </c>
      <c r="Y3450" s="793">
        <v>1</v>
      </c>
      <c r="Z3450" s="793">
        <v>1</v>
      </c>
      <c r="AA3450" s="793">
        <v>1</v>
      </c>
      <c r="AB3450" s="793">
        <v>1</v>
      </c>
      <c r="AC3450" s="793">
        <v>1</v>
      </c>
      <c r="AD3450" s="793"/>
      <c r="AE3450" s="793"/>
      <c r="AF3450" s="793"/>
      <c r="AG3450" s="793"/>
      <c r="AH3450" s="1942"/>
      <c r="AI3450" s="1942"/>
      <c r="AJ3450" s="1942"/>
      <c r="AK3450" s="1942"/>
      <c r="AL3450" s="1942"/>
      <c r="AM3450" s="1942"/>
      <c r="AN3450" s="1942"/>
      <c r="AO3450" s="1942"/>
      <c r="AP3450" s="1942"/>
      <c r="AQ3450" s="1942"/>
      <c r="AR3450" s="1942"/>
      <c r="AS3450" s="1942"/>
      <c r="AT3450" s="1942"/>
      <c r="AU3450" s="1942"/>
      <c r="AV3450" s="1942"/>
      <c r="AW3450" s="1942"/>
      <c r="AX3450" s="1942"/>
      <c r="AY3450" s="1942"/>
      <c r="AZ3450" s="1942"/>
      <c r="BA3450" s="1942"/>
      <c r="BB3450" s="575"/>
      <c r="BC3450" s="576"/>
      <c r="BD3450" s="678"/>
      <c r="BE3450" s="585"/>
    </row>
    <row r="3451" spans="1:57" s="51" customFormat="1" ht="15" hidden="1" customHeight="1" outlineLevel="1" x14ac:dyDescent="0.25">
      <c r="A3451" s="2060"/>
      <c r="B3451" s="576"/>
      <c r="C3451" s="328"/>
      <c r="D3451" s="3990"/>
      <c r="E3451" s="4009"/>
      <c r="F3451" s="3010" t="str">
        <f>$E$1715</f>
        <v>ASHP-SEER20-Replace_CAC_ElectricHeat_ER1_MF</v>
      </c>
      <c r="G3451" s="2676"/>
      <c r="H3451" s="2676"/>
      <c r="I3451" s="2677"/>
      <c r="J3451" s="3299" t="str">
        <f>$C$1715</f>
        <v>354650_2019_12_</v>
      </c>
      <c r="K3451" s="793">
        <v>0.65</v>
      </c>
      <c r="L3451" s="861"/>
      <c r="M3451" s="858"/>
      <c r="N3451" s="123"/>
      <c r="O3451" s="228"/>
      <c r="P3451" s="844"/>
      <c r="Q3451" s="845"/>
      <c r="R3451" s="844"/>
      <c r="S3451" s="832"/>
      <c r="T3451" s="3082"/>
      <c r="U3451" s="123"/>
      <c r="V3451" s="3990"/>
      <c r="W3451" s="793">
        <v>0.65</v>
      </c>
      <c r="X3451" s="793">
        <v>0.65</v>
      </c>
      <c r="Y3451" s="793">
        <v>0.65</v>
      </c>
      <c r="Z3451" s="793">
        <v>0.65</v>
      </c>
      <c r="AA3451" s="793">
        <v>0.65</v>
      </c>
      <c r="AB3451" s="793">
        <v>0.65</v>
      </c>
      <c r="AC3451" s="793">
        <v>0.65</v>
      </c>
      <c r="AD3451" s="793"/>
      <c r="AE3451" s="793"/>
      <c r="AF3451" s="793"/>
      <c r="AG3451" s="793"/>
      <c r="AH3451" s="1942"/>
      <c r="AI3451" s="1942"/>
      <c r="AJ3451" s="1942"/>
      <c r="AK3451" s="1942"/>
      <c r="AL3451" s="1942"/>
      <c r="AM3451" s="1942"/>
      <c r="AN3451" s="1942"/>
      <c r="AO3451" s="1942"/>
      <c r="AP3451" s="1942"/>
      <c r="AQ3451" s="1942"/>
      <c r="AR3451" s="1942"/>
      <c r="AS3451" s="1942"/>
      <c r="AT3451" s="1942"/>
      <c r="AU3451" s="1942"/>
      <c r="AV3451" s="1942"/>
      <c r="AW3451" s="1942"/>
      <c r="AX3451" s="1942"/>
      <c r="AY3451" s="1942"/>
      <c r="AZ3451" s="1942"/>
      <c r="BA3451" s="1942"/>
      <c r="BB3451" s="575"/>
      <c r="BC3451" s="576"/>
      <c r="BD3451" s="678"/>
      <c r="BE3451" s="585"/>
    </row>
    <row r="3452" spans="1:57" s="51" customFormat="1" ht="15" hidden="1" customHeight="1" outlineLevel="1" x14ac:dyDescent="0.25">
      <c r="A3452" s="2060"/>
      <c r="B3452" s="576"/>
      <c r="C3452" s="328"/>
      <c r="D3452" s="3990"/>
      <c r="E3452" s="4009"/>
      <c r="F3452" s="3010" t="str">
        <f>$E$1717</f>
        <v>ASHP-SEER20-Replace_CAC_ElectricHeat_ER2_MF</v>
      </c>
      <c r="G3452" s="2676"/>
      <c r="H3452" s="2676"/>
      <c r="I3452" s="2677"/>
      <c r="J3452" s="3299" t="str">
        <f>$C$1717</f>
        <v>354650_2019_12_</v>
      </c>
      <c r="K3452" s="793">
        <v>0.65</v>
      </c>
      <c r="L3452" s="861"/>
      <c r="M3452" s="858"/>
      <c r="N3452" s="123"/>
      <c r="O3452" s="228"/>
      <c r="P3452" s="844"/>
      <c r="Q3452" s="845"/>
      <c r="R3452" s="844"/>
      <c r="S3452" s="832"/>
      <c r="T3452" s="3082"/>
      <c r="U3452" s="123"/>
      <c r="V3452" s="3990"/>
      <c r="W3452" s="793">
        <v>0.65</v>
      </c>
      <c r="X3452" s="793">
        <v>0.65</v>
      </c>
      <c r="Y3452" s="793">
        <v>0.65</v>
      </c>
      <c r="Z3452" s="793">
        <v>0.65</v>
      </c>
      <c r="AA3452" s="793">
        <v>0.65</v>
      </c>
      <c r="AB3452" s="793">
        <v>0.65</v>
      </c>
      <c r="AC3452" s="793">
        <v>0.65</v>
      </c>
      <c r="AD3452" s="793"/>
      <c r="AE3452" s="793"/>
      <c r="AF3452" s="793"/>
      <c r="AG3452" s="793"/>
      <c r="AH3452" s="1942"/>
      <c r="AI3452" s="1942"/>
      <c r="AJ3452" s="1942"/>
      <c r="AK3452" s="1942"/>
      <c r="AL3452" s="1942"/>
      <c r="AM3452" s="1942"/>
      <c r="AN3452" s="1942"/>
      <c r="AO3452" s="1942"/>
      <c r="AP3452" s="1942"/>
      <c r="AQ3452" s="1942"/>
      <c r="AR3452" s="1942"/>
      <c r="AS3452" s="1942"/>
      <c r="AT3452" s="1942"/>
      <c r="AU3452" s="1942"/>
      <c r="AV3452" s="1942"/>
      <c r="AW3452" s="1942"/>
      <c r="AX3452" s="1942"/>
      <c r="AY3452" s="1942"/>
      <c r="AZ3452" s="1942"/>
      <c r="BA3452" s="1942"/>
      <c r="BB3452" s="575"/>
      <c r="BC3452" s="576"/>
      <c r="BD3452" s="678"/>
      <c r="BE3452" s="585"/>
    </row>
    <row r="3453" spans="1:57" s="51" customFormat="1" ht="15" hidden="1" customHeight="1" outlineLevel="1" x14ac:dyDescent="0.25">
      <c r="A3453" s="2060"/>
      <c r="B3453" s="576"/>
      <c r="C3453" s="328"/>
      <c r="D3453" s="3990"/>
      <c r="E3453" s="4009"/>
      <c r="F3453" s="3010" t="str">
        <f>$E$1719</f>
        <v>ASHP-SEER20-Replace_CAC_ElectricHeat_ER1_MF_CompE</v>
      </c>
      <c r="G3453" s="2676"/>
      <c r="H3453" s="2676"/>
      <c r="I3453" s="2677"/>
      <c r="J3453" s="3299" t="str">
        <f>$C$1719</f>
        <v>354651_2019_12_</v>
      </c>
      <c r="K3453" s="793">
        <f>K3451</f>
        <v>0.65</v>
      </c>
      <c r="L3453" s="861"/>
      <c r="M3453" s="858"/>
      <c r="N3453" s="123"/>
      <c r="O3453" s="228"/>
      <c r="P3453" s="844"/>
      <c r="Q3453" s="845"/>
      <c r="R3453" s="844"/>
      <c r="S3453" s="832"/>
      <c r="T3453" s="3082"/>
      <c r="U3453" s="123"/>
      <c r="V3453" s="3990"/>
      <c r="W3453" s="793"/>
      <c r="X3453" s="793"/>
      <c r="Y3453" s="791">
        <v>0.65</v>
      </c>
      <c r="Z3453" s="793">
        <v>0.65</v>
      </c>
      <c r="AA3453" s="793">
        <v>0.65</v>
      </c>
      <c r="AB3453" s="793">
        <v>0.65</v>
      </c>
      <c r="AC3453" s="793">
        <f>AC3451</f>
        <v>0.65</v>
      </c>
      <c r="AD3453" s="793"/>
      <c r="AE3453" s="793"/>
      <c r="AF3453" s="793"/>
      <c r="AG3453" s="793"/>
      <c r="AH3453" s="1942"/>
      <c r="AI3453" s="1942"/>
      <c r="AJ3453" s="1942"/>
      <c r="AK3453" s="1942"/>
      <c r="AL3453" s="1942"/>
      <c r="AM3453" s="1942"/>
      <c r="AN3453" s="1942"/>
      <c r="AO3453" s="1942"/>
      <c r="AP3453" s="1942"/>
      <c r="AQ3453" s="1942"/>
      <c r="AR3453" s="1942"/>
      <c r="AS3453" s="1942"/>
      <c r="AT3453" s="1942"/>
      <c r="AU3453" s="1942"/>
      <c r="AV3453" s="1942"/>
      <c r="AW3453" s="1942"/>
      <c r="AX3453" s="1942"/>
      <c r="AY3453" s="1942"/>
      <c r="AZ3453" s="1942"/>
      <c r="BA3453" s="1942"/>
      <c r="BB3453" s="575"/>
      <c r="BC3453" s="576"/>
      <c r="BD3453" s="678"/>
      <c r="BE3453" s="585"/>
    </row>
    <row r="3454" spans="1:57" s="51" customFormat="1" ht="15" hidden="1" customHeight="1" outlineLevel="1" x14ac:dyDescent="0.25">
      <c r="A3454" s="2060"/>
      <c r="B3454" s="576"/>
      <c r="C3454" s="328"/>
      <c r="D3454" s="3990"/>
      <c r="E3454" s="4009"/>
      <c r="F3454" s="3010" t="str">
        <f>$E$1721</f>
        <v>ASHP-SEER20-Replace_CAC_ElectricHeat_ER2_MF_CompE</v>
      </c>
      <c r="G3454" s="2676"/>
      <c r="H3454" s="2676"/>
      <c r="I3454" s="2677"/>
      <c r="J3454" s="3299" t="str">
        <f>$C$1721</f>
        <v>354651_2019_12_</v>
      </c>
      <c r="K3454" s="793">
        <f>K3452</f>
        <v>0.65</v>
      </c>
      <c r="L3454" s="861"/>
      <c r="M3454" s="858"/>
      <c r="N3454" s="123"/>
      <c r="O3454" s="228"/>
      <c r="P3454" s="844"/>
      <c r="Q3454" s="845"/>
      <c r="R3454" s="844"/>
      <c r="S3454" s="832"/>
      <c r="T3454" s="3082"/>
      <c r="U3454" s="123"/>
      <c r="V3454" s="3990"/>
      <c r="W3454" s="793"/>
      <c r="X3454" s="793"/>
      <c r="Y3454" s="791">
        <v>0.65</v>
      </c>
      <c r="Z3454" s="793">
        <v>0.65</v>
      </c>
      <c r="AA3454" s="793">
        <v>0.65</v>
      </c>
      <c r="AB3454" s="793">
        <v>0.65</v>
      </c>
      <c r="AC3454" s="793">
        <f>AC3452</f>
        <v>0.65</v>
      </c>
      <c r="AD3454" s="793"/>
      <c r="AE3454" s="793"/>
      <c r="AF3454" s="793"/>
      <c r="AG3454" s="793"/>
      <c r="AH3454" s="1942"/>
      <c r="AI3454" s="1942"/>
      <c r="AJ3454" s="1942"/>
      <c r="AK3454" s="1942"/>
      <c r="AL3454" s="1942"/>
      <c r="AM3454" s="1942"/>
      <c r="AN3454" s="1942"/>
      <c r="AO3454" s="1942"/>
      <c r="AP3454" s="1942"/>
      <c r="AQ3454" s="1942"/>
      <c r="AR3454" s="1942"/>
      <c r="AS3454" s="1942"/>
      <c r="AT3454" s="1942"/>
      <c r="AU3454" s="1942"/>
      <c r="AV3454" s="1942"/>
      <c r="AW3454" s="1942"/>
      <c r="AX3454" s="1942"/>
      <c r="AY3454" s="1942"/>
      <c r="AZ3454" s="1942"/>
      <c r="BA3454" s="1942"/>
      <c r="BB3454" s="575"/>
      <c r="BC3454" s="576"/>
      <c r="BD3454" s="678"/>
      <c r="BE3454" s="585"/>
    </row>
    <row r="3455" spans="1:57" s="1942" customFormat="1" ht="15" hidden="1" customHeight="1" outlineLevel="1" x14ac:dyDescent="0.25">
      <c r="A3455" s="2060"/>
      <c r="B3455" s="576"/>
      <c r="C3455" s="328"/>
      <c r="D3455" s="3990"/>
      <c r="E3455" s="4009"/>
      <c r="F3455" s="3010" t="str">
        <f>$E$1723</f>
        <v>ASHP-SEER20-Replace_CAC_NonElectricHeat_ER1_MF</v>
      </c>
      <c r="G3455" s="2676"/>
      <c r="H3455" s="2676"/>
      <c r="I3455" s="2677"/>
      <c r="J3455" s="3298" t="str">
        <f>$C$1723</f>
        <v>354660_2021_12_</v>
      </c>
      <c r="K3455" s="791">
        <f t="shared" ref="K3455:K3458" si="250">K3453</f>
        <v>0.65</v>
      </c>
      <c r="L3455" s="861"/>
      <c r="M3455" s="858"/>
      <c r="N3455" s="123"/>
      <c r="O3455" s="228"/>
      <c r="P3455" s="844"/>
      <c r="Q3455" s="845"/>
      <c r="R3455" s="844"/>
      <c r="S3455" s="832"/>
      <c r="T3455" s="3082"/>
      <c r="U3455" s="123"/>
      <c r="V3455" s="3990"/>
      <c r="W3455" s="793"/>
      <c r="X3455" s="793"/>
      <c r="Y3455" s="791"/>
      <c r="Z3455" s="793"/>
      <c r="AA3455" s="793"/>
      <c r="AB3455" s="793"/>
      <c r="AC3455" s="791">
        <f t="shared" ref="AC3455:AC3458" si="251">AC3453</f>
        <v>0.65</v>
      </c>
      <c r="AD3455" s="793"/>
      <c r="AE3455" s="793"/>
      <c r="AF3455" s="793"/>
      <c r="AG3455" s="793"/>
      <c r="BB3455" s="575"/>
      <c r="BC3455" s="576"/>
      <c r="BD3455" s="678"/>
      <c r="BE3455" s="585"/>
    </row>
    <row r="3456" spans="1:57" s="1942" customFormat="1" ht="15" hidden="1" customHeight="1" outlineLevel="1" x14ac:dyDescent="0.25">
      <c r="A3456" s="2060"/>
      <c r="B3456" s="576"/>
      <c r="C3456" s="328"/>
      <c r="D3456" s="3990"/>
      <c r="E3456" s="4009"/>
      <c r="F3456" s="3010" t="str">
        <f>$E$1725</f>
        <v>ASHP-SEER20-Replace_CAC_NonElectricHeat_ER2_MF</v>
      </c>
      <c r="G3456" s="2676"/>
      <c r="H3456" s="2676"/>
      <c r="I3456" s="2677"/>
      <c r="J3456" s="3298" t="str">
        <f>$C$1725</f>
        <v>354660_2021_12_</v>
      </c>
      <c r="K3456" s="791">
        <f t="shared" si="250"/>
        <v>0.65</v>
      </c>
      <c r="L3456" s="861"/>
      <c r="M3456" s="858"/>
      <c r="N3456" s="123"/>
      <c r="O3456" s="228"/>
      <c r="P3456" s="844"/>
      <c r="Q3456" s="845"/>
      <c r="R3456" s="844"/>
      <c r="S3456" s="832"/>
      <c r="T3456" s="3082"/>
      <c r="U3456" s="123"/>
      <c r="V3456" s="3990"/>
      <c r="W3456" s="793"/>
      <c r="X3456" s="793"/>
      <c r="Y3456" s="791"/>
      <c r="Z3456" s="793"/>
      <c r="AA3456" s="793"/>
      <c r="AB3456" s="793"/>
      <c r="AC3456" s="791">
        <f t="shared" si="251"/>
        <v>0.65</v>
      </c>
      <c r="AD3456" s="793"/>
      <c r="AE3456" s="793"/>
      <c r="AF3456" s="793"/>
      <c r="AG3456" s="793"/>
      <c r="BB3456" s="575"/>
      <c r="BC3456" s="576"/>
      <c r="BD3456" s="678"/>
      <c r="BE3456" s="585"/>
    </row>
    <row r="3457" spans="1:57" s="1942" customFormat="1" ht="15" hidden="1" customHeight="1" outlineLevel="1" x14ac:dyDescent="0.25">
      <c r="A3457" s="2060"/>
      <c r="B3457" s="576"/>
      <c r="C3457" s="328"/>
      <c r="D3457" s="3990"/>
      <c r="E3457" s="4009"/>
      <c r="F3457" s="3010" t="str">
        <f>$E$1727</f>
        <v>ASHP-SEER20-Replace_CAC_NonElectricHeat_ER1_MF_CompE</v>
      </c>
      <c r="G3457" s="2676"/>
      <c r="H3457" s="2676"/>
      <c r="I3457" s="2677"/>
      <c r="J3457" s="3298" t="str">
        <f>$C$1727</f>
        <v>354661_2021_12_</v>
      </c>
      <c r="K3457" s="791">
        <f t="shared" si="250"/>
        <v>0.65</v>
      </c>
      <c r="L3457" s="861"/>
      <c r="M3457" s="858"/>
      <c r="N3457" s="123"/>
      <c r="O3457" s="228"/>
      <c r="P3457" s="844"/>
      <c r="Q3457" s="845"/>
      <c r="R3457" s="844"/>
      <c r="S3457" s="832"/>
      <c r="T3457" s="3082"/>
      <c r="U3457" s="123"/>
      <c r="V3457" s="3990"/>
      <c r="W3457" s="793"/>
      <c r="X3457" s="793"/>
      <c r="Y3457" s="791"/>
      <c r="Z3457" s="793"/>
      <c r="AA3457" s="793"/>
      <c r="AB3457" s="793"/>
      <c r="AC3457" s="791">
        <f t="shared" si="251"/>
        <v>0.65</v>
      </c>
      <c r="AD3457" s="793"/>
      <c r="AE3457" s="793"/>
      <c r="AF3457" s="793"/>
      <c r="AG3457" s="793"/>
      <c r="BB3457" s="575"/>
      <c r="BC3457" s="576"/>
      <c r="BD3457" s="678"/>
      <c r="BE3457" s="585"/>
    </row>
    <row r="3458" spans="1:57" s="1942" customFormat="1" ht="15" hidden="1" customHeight="1" outlineLevel="1" x14ac:dyDescent="0.25">
      <c r="A3458" s="2060"/>
      <c r="B3458" s="576"/>
      <c r="C3458" s="328"/>
      <c r="D3458" s="3990"/>
      <c r="E3458" s="4009"/>
      <c r="F3458" s="3010" t="str">
        <f>$E$1729</f>
        <v>ASHP-SEER20-Replace_CAC_NonElectricHeat_ER2_MF_CompE</v>
      </c>
      <c r="G3458" s="2676"/>
      <c r="H3458" s="2676"/>
      <c r="I3458" s="2677"/>
      <c r="J3458" s="3298" t="str">
        <f>$C$1729</f>
        <v>354661_2021_12_</v>
      </c>
      <c r="K3458" s="791">
        <f t="shared" si="250"/>
        <v>0.65</v>
      </c>
      <c r="L3458" s="861"/>
      <c r="M3458" s="858"/>
      <c r="N3458" s="123"/>
      <c r="O3458" s="228"/>
      <c r="P3458" s="844"/>
      <c r="Q3458" s="845"/>
      <c r="R3458" s="844"/>
      <c r="S3458" s="832"/>
      <c r="T3458" s="3082"/>
      <c r="U3458" s="123"/>
      <c r="V3458" s="3990"/>
      <c r="W3458" s="793"/>
      <c r="X3458" s="793"/>
      <c r="Y3458" s="791"/>
      <c r="Z3458" s="793"/>
      <c r="AA3458" s="793"/>
      <c r="AB3458" s="793"/>
      <c r="AC3458" s="791">
        <f t="shared" si="251"/>
        <v>0.65</v>
      </c>
      <c r="AD3458" s="793"/>
      <c r="AE3458" s="793"/>
      <c r="AF3458" s="793"/>
      <c r="AG3458" s="793"/>
      <c r="BB3458" s="575"/>
      <c r="BC3458" s="576"/>
      <c r="BD3458" s="678"/>
      <c r="BE3458" s="585"/>
    </row>
    <row r="3459" spans="1:57" s="51" customFormat="1" ht="15" hidden="1" customHeight="1" outlineLevel="1" x14ac:dyDescent="0.25">
      <c r="A3459" s="2060"/>
      <c r="B3459" s="576"/>
      <c r="C3459" s="328"/>
      <c r="D3459" s="3990"/>
      <c r="E3459" s="4009"/>
      <c r="F3459" s="3010" t="str">
        <f>$E$1731</f>
        <v>ASHP-SEER20_ER1_MF</v>
      </c>
      <c r="G3459" s="2676"/>
      <c r="H3459" s="2676"/>
      <c r="I3459" s="2677"/>
      <c r="J3459" s="3299" t="str">
        <f>$C$1731</f>
        <v>354700_2019_12_</v>
      </c>
      <c r="K3459" s="793">
        <v>0.65</v>
      </c>
      <c r="L3459" s="861"/>
      <c r="M3459" s="858"/>
      <c r="N3459" s="123"/>
      <c r="O3459" s="228"/>
      <c r="P3459" s="844"/>
      <c r="Q3459" s="845"/>
      <c r="R3459" s="844"/>
      <c r="S3459" s="832"/>
      <c r="T3459" s="3082"/>
      <c r="U3459" s="123"/>
      <c r="V3459" s="3990"/>
      <c r="W3459" s="793">
        <v>0.65</v>
      </c>
      <c r="X3459" s="793">
        <v>0.65</v>
      </c>
      <c r="Y3459" s="793">
        <v>0.65</v>
      </c>
      <c r="Z3459" s="793">
        <v>0.65</v>
      </c>
      <c r="AA3459" s="793">
        <v>0.65</v>
      </c>
      <c r="AB3459" s="793">
        <v>0.65</v>
      </c>
      <c r="AC3459" s="793">
        <v>0.65</v>
      </c>
      <c r="AD3459" s="793"/>
      <c r="AE3459" s="793"/>
      <c r="AF3459" s="793"/>
      <c r="AG3459" s="793"/>
      <c r="AH3459" s="1942"/>
      <c r="AI3459" s="1942"/>
      <c r="AJ3459" s="1942"/>
      <c r="AK3459" s="1942"/>
      <c r="AL3459" s="1942"/>
      <c r="AM3459" s="1942"/>
      <c r="AN3459" s="1942"/>
      <c r="AO3459" s="1942"/>
      <c r="AP3459" s="1942"/>
      <c r="AQ3459" s="1942"/>
      <c r="AR3459" s="1942"/>
      <c r="AS3459" s="1942"/>
      <c r="AT3459" s="1942"/>
      <c r="AU3459" s="1942"/>
      <c r="AV3459" s="1942"/>
      <c r="AW3459" s="1942"/>
      <c r="AX3459" s="1942"/>
      <c r="AY3459" s="1942"/>
      <c r="AZ3459" s="1942"/>
      <c r="BA3459" s="1942"/>
      <c r="BB3459" s="575"/>
      <c r="BC3459" s="576"/>
      <c r="BD3459" s="678"/>
      <c r="BE3459" s="585"/>
    </row>
    <row r="3460" spans="1:57" s="51" customFormat="1" ht="15" hidden="1" customHeight="1" outlineLevel="1" x14ac:dyDescent="0.25">
      <c r="A3460" s="2060"/>
      <c r="B3460" s="576"/>
      <c r="C3460" s="328"/>
      <c r="D3460" s="3990"/>
      <c r="E3460" s="4009"/>
      <c r="F3460" s="3010" t="str">
        <f>$E$1733</f>
        <v>ASHP-SEER20_ER2_MF</v>
      </c>
      <c r="G3460" s="2676"/>
      <c r="H3460" s="2676"/>
      <c r="I3460" s="2677"/>
      <c r="J3460" s="3299" t="str">
        <f>$C$1733</f>
        <v>354700_2019_12_</v>
      </c>
      <c r="K3460" s="793">
        <v>0.65</v>
      </c>
      <c r="L3460" s="861"/>
      <c r="M3460" s="858"/>
      <c r="N3460" s="123"/>
      <c r="O3460" s="228"/>
      <c r="P3460" s="844"/>
      <c r="Q3460" s="845"/>
      <c r="R3460" s="844"/>
      <c r="S3460" s="832"/>
      <c r="T3460" s="3082"/>
      <c r="U3460" s="123"/>
      <c r="V3460" s="3990"/>
      <c r="W3460" s="793">
        <v>0.65</v>
      </c>
      <c r="X3460" s="793">
        <v>0.65</v>
      </c>
      <c r="Y3460" s="793">
        <v>0.65</v>
      </c>
      <c r="Z3460" s="793">
        <v>0.65</v>
      </c>
      <c r="AA3460" s="793">
        <v>0.65</v>
      </c>
      <c r="AB3460" s="793">
        <v>0.65</v>
      </c>
      <c r="AC3460" s="793">
        <v>0.65</v>
      </c>
      <c r="AD3460" s="793"/>
      <c r="AE3460" s="793"/>
      <c r="AF3460" s="793"/>
      <c r="AG3460" s="793"/>
      <c r="AH3460" s="1942"/>
      <c r="AI3460" s="1942"/>
      <c r="AJ3460" s="1942"/>
      <c r="AK3460" s="1942"/>
      <c r="AL3460" s="1942"/>
      <c r="AM3460" s="1942"/>
      <c r="AN3460" s="1942"/>
      <c r="AO3460" s="1942"/>
      <c r="AP3460" s="1942"/>
      <c r="AQ3460" s="1942"/>
      <c r="AR3460" s="1942"/>
      <c r="AS3460" s="1942"/>
      <c r="AT3460" s="1942"/>
      <c r="AU3460" s="1942"/>
      <c r="AV3460" s="1942"/>
      <c r="AW3460" s="1942"/>
      <c r="AX3460" s="1942"/>
      <c r="AY3460" s="1942"/>
      <c r="AZ3460" s="1942"/>
      <c r="BA3460" s="1942"/>
      <c r="BB3460" s="575"/>
      <c r="BC3460" s="576"/>
      <c r="BD3460" s="678"/>
      <c r="BE3460" s="585"/>
    </row>
    <row r="3461" spans="1:57" s="51" customFormat="1" ht="15" hidden="1" customHeight="1" outlineLevel="1" x14ac:dyDescent="0.25">
      <c r="A3461" s="2060"/>
      <c r="B3461" s="576"/>
      <c r="C3461" s="328"/>
      <c r="D3461" s="3990"/>
      <c r="E3461" s="4009"/>
      <c r="F3461" s="3010" t="str">
        <f>$E$1735</f>
        <v>ASHP-SEER20_ER1_MF_CompE</v>
      </c>
      <c r="G3461" s="2676"/>
      <c r="H3461" s="2676"/>
      <c r="I3461" s="2677"/>
      <c r="J3461" s="3299" t="str">
        <f>$C$1735</f>
        <v>354701_2019_12_</v>
      </c>
      <c r="K3461" s="793">
        <f>K3459</f>
        <v>0.65</v>
      </c>
      <c r="L3461" s="861"/>
      <c r="M3461" s="858"/>
      <c r="N3461" s="123"/>
      <c r="O3461" s="228"/>
      <c r="P3461" s="844"/>
      <c r="Q3461" s="845"/>
      <c r="R3461" s="844"/>
      <c r="S3461" s="832"/>
      <c r="T3461" s="3082"/>
      <c r="U3461" s="123"/>
      <c r="V3461" s="3990"/>
      <c r="W3461" s="793"/>
      <c r="X3461" s="793"/>
      <c r="Y3461" s="791">
        <v>0.65</v>
      </c>
      <c r="Z3461" s="793">
        <v>0.65</v>
      </c>
      <c r="AA3461" s="793">
        <v>0.65</v>
      </c>
      <c r="AB3461" s="793">
        <v>0.65</v>
      </c>
      <c r="AC3461" s="793">
        <f>AC3459</f>
        <v>0.65</v>
      </c>
      <c r="AD3461" s="793"/>
      <c r="AE3461" s="793"/>
      <c r="AF3461" s="793"/>
      <c r="AG3461" s="793"/>
      <c r="AH3461" s="1942"/>
      <c r="AI3461" s="1942"/>
      <c r="AJ3461" s="1942"/>
      <c r="AK3461" s="1942"/>
      <c r="AL3461" s="1942"/>
      <c r="AM3461" s="1942"/>
      <c r="AN3461" s="1942"/>
      <c r="AO3461" s="1942"/>
      <c r="AP3461" s="1942"/>
      <c r="AQ3461" s="1942"/>
      <c r="AR3461" s="1942"/>
      <c r="AS3461" s="1942"/>
      <c r="AT3461" s="1942"/>
      <c r="AU3461" s="1942"/>
      <c r="AV3461" s="1942"/>
      <c r="AW3461" s="1942"/>
      <c r="AX3461" s="1942"/>
      <c r="AY3461" s="1942"/>
      <c r="AZ3461" s="1942"/>
      <c r="BA3461" s="1942"/>
      <c r="BB3461" s="575"/>
      <c r="BC3461" s="576"/>
      <c r="BD3461" s="678"/>
      <c r="BE3461" s="585"/>
    </row>
    <row r="3462" spans="1:57" s="51" customFormat="1" ht="15" hidden="1" customHeight="1" outlineLevel="1" x14ac:dyDescent="0.25">
      <c r="A3462" s="2060"/>
      <c r="B3462" s="576"/>
      <c r="C3462" s="328"/>
      <c r="D3462" s="3990"/>
      <c r="E3462" s="4009"/>
      <c r="F3462" s="3010" t="str">
        <f>$E$1737</f>
        <v>ASHP-SEER20_ER2_MF_CompE</v>
      </c>
      <c r="G3462" s="2676"/>
      <c r="H3462" s="2676"/>
      <c r="I3462" s="2677"/>
      <c r="J3462" s="3299" t="str">
        <f>$C$1737</f>
        <v>354701_2019_12_</v>
      </c>
      <c r="K3462" s="793">
        <f>K3460</f>
        <v>0.65</v>
      </c>
      <c r="L3462" s="861"/>
      <c r="M3462" s="858"/>
      <c r="N3462" s="123"/>
      <c r="O3462" s="228"/>
      <c r="P3462" s="844"/>
      <c r="Q3462" s="845"/>
      <c r="R3462" s="844"/>
      <c r="S3462" s="832"/>
      <c r="T3462" s="3082"/>
      <c r="U3462" s="123"/>
      <c r="V3462" s="3990"/>
      <c r="W3462" s="793"/>
      <c r="X3462" s="793"/>
      <c r="Y3462" s="791">
        <v>0.65</v>
      </c>
      <c r="Z3462" s="793">
        <v>0.65</v>
      </c>
      <c r="AA3462" s="793">
        <v>0.65</v>
      </c>
      <c r="AB3462" s="793">
        <v>0.65</v>
      </c>
      <c r="AC3462" s="793">
        <f>AC3460</f>
        <v>0.65</v>
      </c>
      <c r="AD3462" s="793"/>
      <c r="AE3462" s="793"/>
      <c r="AF3462" s="793"/>
      <c r="AG3462" s="793"/>
      <c r="AH3462" s="1942"/>
      <c r="AI3462" s="1942"/>
      <c r="AJ3462" s="1942"/>
      <c r="AK3462" s="1942"/>
      <c r="AL3462" s="1942"/>
      <c r="AM3462" s="1942"/>
      <c r="AN3462" s="1942"/>
      <c r="AO3462" s="1942"/>
      <c r="AP3462" s="1942"/>
      <c r="AQ3462" s="1942"/>
      <c r="AR3462" s="1942"/>
      <c r="AS3462" s="1942"/>
      <c r="AT3462" s="1942"/>
      <c r="AU3462" s="1942"/>
      <c r="AV3462" s="1942"/>
      <c r="AW3462" s="1942"/>
      <c r="AX3462" s="1942"/>
      <c r="AY3462" s="1942"/>
      <c r="AZ3462" s="1942"/>
      <c r="BA3462" s="1942"/>
      <c r="BB3462" s="575"/>
      <c r="BC3462" s="576"/>
      <c r="BD3462" s="678"/>
      <c r="BE3462" s="585"/>
    </row>
    <row r="3463" spans="1:57" s="51" customFormat="1" ht="15" hidden="1" customHeight="1" outlineLevel="1" x14ac:dyDescent="0.25">
      <c r="A3463" s="2060"/>
      <c r="B3463" s="576"/>
      <c r="C3463" s="328"/>
      <c r="D3463" s="3990"/>
      <c r="E3463" s="4009"/>
      <c r="F3463" s="3010" t="str">
        <f>$E$1739</f>
        <v>ASHP-SEER21_ER1_SF</v>
      </c>
      <c r="G3463" s="2676"/>
      <c r="H3463" s="2676"/>
      <c r="I3463" s="2677"/>
      <c r="J3463" s="3298" t="str">
        <f>$C$1739</f>
        <v>354750_2021_12_</v>
      </c>
      <c r="K3463" s="793">
        <v>1</v>
      </c>
      <c r="L3463" s="861"/>
      <c r="M3463" s="858"/>
      <c r="N3463" s="123"/>
      <c r="O3463" s="228"/>
      <c r="P3463" s="844"/>
      <c r="Q3463" s="845"/>
      <c r="R3463" s="844"/>
      <c r="S3463" s="832"/>
      <c r="T3463" s="3082"/>
      <c r="U3463" s="123"/>
      <c r="V3463" s="3990"/>
      <c r="W3463" s="793">
        <v>1</v>
      </c>
      <c r="X3463" s="793">
        <v>1</v>
      </c>
      <c r="Y3463" s="793">
        <v>1</v>
      </c>
      <c r="Z3463" s="793">
        <v>1</v>
      </c>
      <c r="AA3463" s="793">
        <v>1</v>
      </c>
      <c r="AB3463" s="793">
        <v>1</v>
      </c>
      <c r="AC3463" s="793">
        <v>1</v>
      </c>
      <c r="AD3463" s="793"/>
      <c r="AE3463" s="793"/>
      <c r="AF3463" s="793"/>
      <c r="AG3463" s="793"/>
      <c r="AH3463" s="1942"/>
      <c r="AI3463" s="1942"/>
      <c r="AJ3463" s="1942"/>
      <c r="AK3463" s="1942"/>
      <c r="AL3463" s="1942"/>
      <c r="AM3463" s="1942"/>
      <c r="AN3463" s="1942"/>
      <c r="AO3463" s="1942"/>
      <c r="AP3463" s="1942"/>
      <c r="AQ3463" s="1942"/>
      <c r="AR3463" s="1942"/>
      <c r="AS3463" s="1942"/>
      <c r="AT3463" s="1942"/>
      <c r="AU3463" s="1942"/>
      <c r="AV3463" s="1942"/>
      <c r="AW3463" s="1942"/>
      <c r="AX3463" s="1942"/>
      <c r="AY3463" s="1942"/>
      <c r="AZ3463" s="1942"/>
      <c r="BA3463" s="1942"/>
      <c r="BB3463" s="575"/>
      <c r="BC3463" s="576"/>
      <c r="BD3463" s="678"/>
      <c r="BE3463" s="585"/>
    </row>
    <row r="3464" spans="1:57" s="51" customFormat="1" ht="15" hidden="1" customHeight="1" outlineLevel="1" x14ac:dyDescent="0.25">
      <c r="A3464" s="2060"/>
      <c r="B3464" s="576"/>
      <c r="C3464" s="328"/>
      <c r="D3464" s="3990"/>
      <c r="E3464" s="4009"/>
      <c r="F3464" s="3010" t="str">
        <f>$E$1741</f>
        <v>ASHP-SEER21_ER2_SF</v>
      </c>
      <c r="G3464" s="2676"/>
      <c r="H3464" s="2676"/>
      <c r="I3464" s="2677"/>
      <c r="J3464" s="3298" t="str">
        <f>$C$1741</f>
        <v>354750_2021_12_</v>
      </c>
      <c r="K3464" s="793">
        <v>1</v>
      </c>
      <c r="L3464" s="861"/>
      <c r="M3464" s="858"/>
      <c r="N3464" s="123"/>
      <c r="O3464" s="228"/>
      <c r="P3464" s="844"/>
      <c r="Q3464" s="845"/>
      <c r="R3464" s="844"/>
      <c r="S3464" s="832"/>
      <c r="T3464" s="3082"/>
      <c r="U3464" s="123"/>
      <c r="V3464" s="3990"/>
      <c r="W3464" s="793">
        <v>1</v>
      </c>
      <c r="X3464" s="793">
        <v>1</v>
      </c>
      <c r="Y3464" s="793">
        <v>1</v>
      </c>
      <c r="Z3464" s="793">
        <v>1</v>
      </c>
      <c r="AA3464" s="793">
        <v>1</v>
      </c>
      <c r="AB3464" s="793">
        <v>1</v>
      </c>
      <c r="AC3464" s="793">
        <v>1</v>
      </c>
      <c r="AD3464" s="793"/>
      <c r="AE3464" s="793"/>
      <c r="AF3464" s="793"/>
      <c r="AG3464" s="793"/>
      <c r="AH3464" s="1942"/>
      <c r="AI3464" s="1942"/>
      <c r="AJ3464" s="1942"/>
      <c r="AK3464" s="1942"/>
      <c r="AL3464" s="1942"/>
      <c r="AM3464" s="1942"/>
      <c r="AN3464" s="1942"/>
      <c r="AO3464" s="1942"/>
      <c r="AP3464" s="1942"/>
      <c r="AQ3464" s="1942"/>
      <c r="AR3464" s="1942"/>
      <c r="AS3464" s="1942"/>
      <c r="AT3464" s="1942"/>
      <c r="AU3464" s="1942"/>
      <c r="AV3464" s="1942"/>
      <c r="AW3464" s="1942"/>
      <c r="AX3464" s="1942"/>
      <c r="AY3464" s="1942"/>
      <c r="AZ3464" s="1942"/>
      <c r="BA3464" s="1942"/>
      <c r="BB3464" s="575"/>
      <c r="BC3464" s="576"/>
      <c r="BD3464" s="678"/>
      <c r="BE3464" s="585"/>
    </row>
    <row r="3465" spans="1:57" s="51" customFormat="1" ht="15" hidden="1" customHeight="1" outlineLevel="1" x14ac:dyDescent="0.25">
      <c r="A3465" s="2060"/>
      <c r="B3465" s="576"/>
      <c r="C3465" s="328"/>
      <c r="D3465" s="3990"/>
      <c r="E3465" s="4009"/>
      <c r="F3465" s="3010" t="str">
        <f>$E$1743</f>
        <v>ASHP-SEER21_ROF_SF</v>
      </c>
      <c r="G3465" s="2676"/>
      <c r="H3465" s="2676"/>
      <c r="I3465" s="2677"/>
      <c r="J3465" s="3298" t="str">
        <f>$C$1743</f>
        <v>354800_2021_12_</v>
      </c>
      <c r="K3465" s="793">
        <v>1</v>
      </c>
      <c r="L3465" s="861"/>
      <c r="M3465" s="858"/>
      <c r="N3465" s="123"/>
      <c r="O3465" s="228"/>
      <c r="P3465" s="844"/>
      <c r="Q3465" s="845"/>
      <c r="R3465" s="844"/>
      <c r="S3465" s="832"/>
      <c r="T3465" s="3082"/>
      <c r="U3465" s="123"/>
      <c r="V3465" s="3990"/>
      <c r="W3465" s="793">
        <v>1</v>
      </c>
      <c r="X3465" s="793">
        <v>1</v>
      </c>
      <c r="Y3465" s="793">
        <v>1</v>
      </c>
      <c r="Z3465" s="793">
        <v>1</v>
      </c>
      <c r="AA3465" s="793">
        <v>1</v>
      </c>
      <c r="AB3465" s="793">
        <v>1</v>
      </c>
      <c r="AC3465" s="793">
        <v>1</v>
      </c>
      <c r="AD3465" s="793"/>
      <c r="AE3465" s="793"/>
      <c r="AF3465" s="793"/>
      <c r="AG3465" s="793"/>
      <c r="AH3465" s="1942"/>
      <c r="AI3465" s="1942"/>
      <c r="AJ3465" s="1942"/>
      <c r="AK3465" s="1942"/>
      <c r="AL3465" s="1942"/>
      <c r="AM3465" s="1942"/>
      <c r="AN3465" s="1942"/>
      <c r="AO3465" s="1942"/>
      <c r="AP3465" s="1942"/>
      <c r="AQ3465" s="1942"/>
      <c r="AR3465" s="1942"/>
      <c r="AS3465" s="1942"/>
      <c r="AT3465" s="1942"/>
      <c r="AU3465" s="1942"/>
      <c r="AV3465" s="1942"/>
      <c r="AW3465" s="1942"/>
      <c r="AX3465" s="1942"/>
      <c r="AY3465" s="1942"/>
      <c r="AZ3465" s="1942"/>
      <c r="BA3465" s="1942"/>
      <c r="BB3465" s="575"/>
      <c r="BC3465" s="576"/>
      <c r="BD3465" s="678"/>
      <c r="BE3465" s="585"/>
    </row>
    <row r="3466" spans="1:57" s="51" customFormat="1" ht="15" hidden="1" customHeight="1" outlineLevel="1" x14ac:dyDescent="0.25">
      <c r="A3466" s="2060"/>
      <c r="B3466" s="576"/>
      <c r="C3466" s="328"/>
      <c r="D3466" s="3990"/>
      <c r="E3466" s="4009"/>
      <c r="F3466" s="3010" t="str">
        <f>$E$1745</f>
        <v>ASHP-SEER21-Replace_CAC_ElectricHeat_ROF_MF</v>
      </c>
      <c r="G3466" s="2676"/>
      <c r="H3466" s="2676"/>
      <c r="I3466" s="2677"/>
      <c r="J3466" s="3299" t="str">
        <f>$C$1745</f>
        <v>354850_2019_12_</v>
      </c>
      <c r="K3466" s="793">
        <v>0.65</v>
      </c>
      <c r="L3466" s="861"/>
      <c r="M3466" s="858"/>
      <c r="N3466" s="123"/>
      <c r="O3466" s="228"/>
      <c r="P3466" s="844"/>
      <c r="Q3466" s="845"/>
      <c r="R3466" s="844"/>
      <c r="S3466" s="832"/>
      <c r="T3466" s="3082"/>
      <c r="U3466" s="123"/>
      <c r="V3466" s="3990"/>
      <c r="W3466" s="793">
        <v>0.65</v>
      </c>
      <c r="X3466" s="793">
        <v>0.65</v>
      </c>
      <c r="Y3466" s="793">
        <v>0.65</v>
      </c>
      <c r="Z3466" s="793">
        <v>0.65</v>
      </c>
      <c r="AA3466" s="793">
        <v>0.65</v>
      </c>
      <c r="AB3466" s="793">
        <v>0.65</v>
      </c>
      <c r="AC3466" s="793">
        <v>0.65</v>
      </c>
      <c r="AD3466" s="793"/>
      <c r="AE3466" s="793"/>
      <c r="AF3466" s="793"/>
      <c r="AG3466" s="793"/>
      <c r="AH3466" s="1942"/>
      <c r="AI3466" s="1942"/>
      <c r="AJ3466" s="1942"/>
      <c r="AK3466" s="1942"/>
      <c r="AL3466" s="1942"/>
      <c r="AM3466" s="1942"/>
      <c r="AN3466" s="1942"/>
      <c r="AO3466" s="1942"/>
      <c r="AP3466" s="1942"/>
      <c r="AQ3466" s="1942"/>
      <c r="AR3466" s="1942"/>
      <c r="AS3466" s="1942"/>
      <c r="AT3466" s="1942"/>
      <c r="AU3466" s="1942"/>
      <c r="AV3466" s="1942"/>
      <c r="AW3466" s="1942"/>
      <c r="AX3466" s="1942"/>
      <c r="AY3466" s="1942"/>
      <c r="AZ3466" s="1942"/>
      <c r="BA3466" s="1942"/>
      <c r="BB3466" s="575"/>
      <c r="BC3466" s="576"/>
      <c r="BD3466" s="678"/>
      <c r="BE3466" s="585"/>
    </row>
    <row r="3467" spans="1:57" s="51" customFormat="1" ht="15" hidden="1" customHeight="1" outlineLevel="1" x14ac:dyDescent="0.25">
      <c r="A3467" s="2060"/>
      <c r="B3467" s="576"/>
      <c r="C3467" s="328"/>
      <c r="D3467" s="3990"/>
      <c r="E3467" s="4009"/>
      <c r="F3467" s="3010" t="str">
        <f>$E$1747</f>
        <v>ASHP-SEER21-Replace_CAC_ElectricHeat_ROF_MF_CompE</v>
      </c>
      <c r="G3467" s="2676"/>
      <c r="H3467" s="2676"/>
      <c r="I3467" s="2677"/>
      <c r="J3467" s="3299" t="str">
        <f>$C$1747</f>
        <v>354851_2019_12_</v>
      </c>
      <c r="K3467" s="793">
        <f>K3466</f>
        <v>0.65</v>
      </c>
      <c r="L3467" s="861"/>
      <c r="M3467" s="858"/>
      <c r="N3467" s="123"/>
      <c r="O3467" s="228"/>
      <c r="P3467" s="844"/>
      <c r="Q3467" s="845"/>
      <c r="R3467" s="844"/>
      <c r="S3467" s="832"/>
      <c r="T3467" s="3082"/>
      <c r="U3467" s="123"/>
      <c r="V3467" s="3990"/>
      <c r="W3467" s="793"/>
      <c r="X3467" s="793"/>
      <c r="Y3467" s="791">
        <v>0.65</v>
      </c>
      <c r="Z3467" s="793">
        <v>0.65</v>
      </c>
      <c r="AA3467" s="793">
        <v>0.65</v>
      </c>
      <c r="AB3467" s="793">
        <v>0.65</v>
      </c>
      <c r="AC3467" s="793">
        <f>AC3466</f>
        <v>0.65</v>
      </c>
      <c r="AD3467" s="793"/>
      <c r="AE3467" s="793"/>
      <c r="AF3467" s="793"/>
      <c r="AG3467" s="793"/>
      <c r="AH3467" s="1942"/>
      <c r="AI3467" s="1942"/>
      <c r="AJ3467" s="1942"/>
      <c r="AK3467" s="1942"/>
      <c r="AL3467" s="1942"/>
      <c r="AM3467" s="1942"/>
      <c r="AN3467" s="1942"/>
      <c r="AO3467" s="1942"/>
      <c r="AP3467" s="1942"/>
      <c r="AQ3467" s="1942"/>
      <c r="AR3467" s="1942"/>
      <c r="AS3467" s="1942"/>
      <c r="AT3467" s="1942"/>
      <c r="AU3467" s="1942"/>
      <c r="AV3467" s="1942"/>
      <c r="AW3467" s="1942"/>
      <c r="AX3467" s="1942"/>
      <c r="AY3467" s="1942"/>
      <c r="AZ3467" s="1942"/>
      <c r="BA3467" s="1942"/>
      <c r="BB3467" s="575"/>
      <c r="BC3467" s="576"/>
      <c r="BD3467" s="678"/>
      <c r="BE3467" s="585"/>
    </row>
    <row r="3468" spans="1:57" s="1942" customFormat="1" ht="15" hidden="1" customHeight="1" outlineLevel="1" x14ac:dyDescent="0.25">
      <c r="A3468" s="2060"/>
      <c r="B3468" s="576"/>
      <c r="C3468" s="328"/>
      <c r="D3468" s="3990"/>
      <c r="E3468" s="4009"/>
      <c r="F3468" s="3010" t="str">
        <f>$E$1749</f>
        <v>ASHP-SEER21-Replace_CAC_NonElectricHeat_ROF_MF</v>
      </c>
      <c r="G3468" s="2676"/>
      <c r="H3468" s="2676"/>
      <c r="I3468" s="2677"/>
      <c r="J3468" s="3298" t="str">
        <f>$C$1749</f>
        <v>354860_2021_12_</v>
      </c>
      <c r="K3468" s="791">
        <f t="shared" ref="K3468:K3469" si="252">K3466</f>
        <v>0.65</v>
      </c>
      <c r="L3468" s="861"/>
      <c r="M3468" s="858"/>
      <c r="N3468" s="123"/>
      <c r="O3468" s="228"/>
      <c r="P3468" s="844"/>
      <c r="Q3468" s="845"/>
      <c r="R3468" s="844"/>
      <c r="S3468" s="832"/>
      <c r="T3468" s="3082"/>
      <c r="U3468" s="123"/>
      <c r="V3468" s="3990"/>
      <c r="W3468" s="793"/>
      <c r="X3468" s="793"/>
      <c r="Y3468" s="791"/>
      <c r="Z3468" s="793"/>
      <c r="AA3468" s="793"/>
      <c r="AB3468" s="793"/>
      <c r="AC3468" s="791">
        <f t="shared" ref="AC3468:AC3469" si="253">AC3466</f>
        <v>0.65</v>
      </c>
      <c r="AD3468" s="793"/>
      <c r="AE3468" s="793"/>
      <c r="AF3468" s="793"/>
      <c r="AG3468" s="793"/>
      <c r="BB3468" s="575"/>
      <c r="BC3468" s="576"/>
      <c r="BD3468" s="678"/>
      <c r="BE3468" s="585"/>
    </row>
    <row r="3469" spans="1:57" s="1942" customFormat="1" ht="15" hidden="1" customHeight="1" outlineLevel="1" x14ac:dyDescent="0.25">
      <c r="A3469" s="2060"/>
      <c r="B3469" s="576"/>
      <c r="C3469" s="328"/>
      <c r="D3469" s="3990"/>
      <c r="E3469" s="4009"/>
      <c r="F3469" s="3010" t="str">
        <f>$E$1751</f>
        <v>ASHP-SEER21-Replace_CAC_NonElectricHeat_ROF_MF_CompE</v>
      </c>
      <c r="G3469" s="2676"/>
      <c r="H3469" s="2676"/>
      <c r="I3469" s="2677"/>
      <c r="J3469" s="3298" t="str">
        <f>$C$1751</f>
        <v>354861_2021_12_</v>
      </c>
      <c r="K3469" s="791">
        <f t="shared" si="252"/>
        <v>0.65</v>
      </c>
      <c r="L3469" s="861"/>
      <c r="M3469" s="858"/>
      <c r="N3469" s="123"/>
      <c r="O3469" s="228"/>
      <c r="P3469" s="844"/>
      <c r="Q3469" s="845"/>
      <c r="R3469" s="844"/>
      <c r="S3469" s="832"/>
      <c r="T3469" s="3082"/>
      <c r="U3469" s="123"/>
      <c r="V3469" s="3990"/>
      <c r="W3469" s="793"/>
      <c r="X3469" s="793"/>
      <c r="Y3469" s="791"/>
      <c r="Z3469" s="793"/>
      <c r="AA3469" s="793"/>
      <c r="AB3469" s="793"/>
      <c r="AC3469" s="791">
        <f t="shared" si="253"/>
        <v>0.65</v>
      </c>
      <c r="AD3469" s="793"/>
      <c r="AE3469" s="793"/>
      <c r="AF3469" s="793"/>
      <c r="AG3469" s="793"/>
      <c r="BB3469" s="575"/>
      <c r="BC3469" s="576"/>
      <c r="BD3469" s="678"/>
      <c r="BE3469" s="585"/>
    </row>
    <row r="3470" spans="1:57" s="51" customFormat="1" ht="15" hidden="1" customHeight="1" outlineLevel="1" x14ac:dyDescent="0.25">
      <c r="A3470" s="2060"/>
      <c r="B3470" s="576"/>
      <c r="C3470" s="328"/>
      <c r="D3470" s="3990"/>
      <c r="E3470" s="4009"/>
      <c r="F3470" s="3010" t="str">
        <f>$E$1753</f>
        <v>ASHP-SEER21_ER1_MF</v>
      </c>
      <c r="G3470" s="2676"/>
      <c r="H3470" s="2676"/>
      <c r="I3470" s="2677"/>
      <c r="J3470" s="3299" t="str">
        <f>$C$1753</f>
        <v>354900_2019_12_</v>
      </c>
      <c r="K3470" s="793">
        <v>0.65</v>
      </c>
      <c r="L3470" s="861"/>
      <c r="M3470" s="858"/>
      <c r="N3470" s="123"/>
      <c r="O3470" s="228"/>
      <c r="P3470" s="844"/>
      <c r="Q3470" s="845"/>
      <c r="R3470" s="844"/>
      <c r="S3470" s="832"/>
      <c r="T3470" s="3082"/>
      <c r="U3470" s="123"/>
      <c r="V3470" s="3990"/>
      <c r="W3470" s="793">
        <v>0.65</v>
      </c>
      <c r="X3470" s="793">
        <v>0.65</v>
      </c>
      <c r="Y3470" s="793">
        <v>0.65</v>
      </c>
      <c r="Z3470" s="793">
        <v>0.65</v>
      </c>
      <c r="AA3470" s="793">
        <v>0.65</v>
      </c>
      <c r="AB3470" s="793">
        <v>0.65</v>
      </c>
      <c r="AC3470" s="793">
        <v>0.65</v>
      </c>
      <c r="AD3470" s="793"/>
      <c r="AE3470" s="793"/>
      <c r="AF3470" s="793"/>
      <c r="AG3470" s="793"/>
      <c r="AH3470" s="1942"/>
      <c r="AI3470" s="1942"/>
      <c r="AJ3470" s="1942"/>
      <c r="AK3470" s="1942"/>
      <c r="AL3470" s="1942"/>
      <c r="AM3470" s="1942"/>
      <c r="AN3470" s="1942"/>
      <c r="AO3470" s="1942"/>
      <c r="AP3470" s="1942"/>
      <c r="AQ3470" s="1942"/>
      <c r="AR3470" s="1942"/>
      <c r="AS3470" s="1942"/>
      <c r="AT3470" s="1942"/>
      <c r="AU3470" s="1942"/>
      <c r="AV3470" s="1942"/>
      <c r="AW3470" s="1942"/>
      <c r="AX3470" s="1942"/>
      <c r="AY3470" s="1942"/>
      <c r="AZ3470" s="1942"/>
      <c r="BA3470" s="1942"/>
      <c r="BB3470" s="575"/>
      <c r="BC3470" s="576"/>
      <c r="BD3470" s="678"/>
      <c r="BE3470" s="585"/>
    </row>
    <row r="3471" spans="1:57" s="51" customFormat="1" ht="15" hidden="1" customHeight="1" outlineLevel="1" x14ac:dyDescent="0.25">
      <c r="A3471" s="2060"/>
      <c r="B3471" s="576"/>
      <c r="C3471" s="328"/>
      <c r="D3471" s="3990"/>
      <c r="E3471" s="4009"/>
      <c r="F3471" s="3010" t="str">
        <f>$E$1755</f>
        <v>ASHP-SEER21_ER2_MF</v>
      </c>
      <c r="G3471" s="2676"/>
      <c r="H3471" s="2676"/>
      <c r="I3471" s="2677"/>
      <c r="J3471" s="3299" t="str">
        <f>$C$1755</f>
        <v>354900_2019_12_</v>
      </c>
      <c r="K3471" s="793">
        <v>0.65</v>
      </c>
      <c r="L3471" s="861"/>
      <c r="M3471" s="858"/>
      <c r="N3471" s="123"/>
      <c r="O3471" s="228"/>
      <c r="P3471" s="844"/>
      <c r="Q3471" s="845"/>
      <c r="R3471" s="844"/>
      <c r="S3471" s="832"/>
      <c r="T3471" s="3082"/>
      <c r="U3471" s="123"/>
      <c r="V3471" s="3990"/>
      <c r="W3471" s="793">
        <v>0.65</v>
      </c>
      <c r="X3471" s="793">
        <v>0.65</v>
      </c>
      <c r="Y3471" s="793">
        <v>0.65</v>
      </c>
      <c r="Z3471" s="793">
        <v>0.65</v>
      </c>
      <c r="AA3471" s="793">
        <v>0.65</v>
      </c>
      <c r="AB3471" s="793">
        <v>0.65</v>
      </c>
      <c r="AC3471" s="793">
        <v>0.65</v>
      </c>
      <c r="AD3471" s="793"/>
      <c r="AE3471" s="793"/>
      <c r="AF3471" s="793"/>
      <c r="AG3471" s="793"/>
      <c r="AH3471" s="1942"/>
      <c r="AI3471" s="1942"/>
      <c r="AJ3471" s="1942"/>
      <c r="AK3471" s="1942"/>
      <c r="AL3471" s="1942"/>
      <c r="AM3471" s="1942"/>
      <c r="AN3471" s="1942"/>
      <c r="AO3471" s="1942"/>
      <c r="AP3471" s="1942"/>
      <c r="AQ3471" s="1942"/>
      <c r="AR3471" s="1942"/>
      <c r="AS3471" s="1942"/>
      <c r="AT3471" s="1942"/>
      <c r="AU3471" s="1942"/>
      <c r="AV3471" s="1942"/>
      <c r="AW3471" s="1942"/>
      <c r="AX3471" s="1942"/>
      <c r="AY3471" s="1942"/>
      <c r="AZ3471" s="1942"/>
      <c r="BA3471" s="1942"/>
      <c r="BB3471" s="575"/>
      <c r="BC3471" s="576"/>
      <c r="BD3471" s="678"/>
      <c r="BE3471" s="585"/>
    </row>
    <row r="3472" spans="1:57" s="51" customFormat="1" ht="15" hidden="1" customHeight="1" outlineLevel="1" x14ac:dyDescent="0.25">
      <c r="A3472" s="2060"/>
      <c r="B3472" s="576"/>
      <c r="C3472" s="328"/>
      <c r="D3472" s="3990"/>
      <c r="E3472" s="4009"/>
      <c r="F3472" s="3010" t="str">
        <f>$E$1757</f>
        <v>ASHP-SEER21_ER1_MF_CompE</v>
      </c>
      <c r="G3472" s="2676"/>
      <c r="H3472" s="2676"/>
      <c r="I3472" s="2677"/>
      <c r="J3472" s="3299" t="str">
        <f>$C$1757</f>
        <v>354901_2019_12_</v>
      </c>
      <c r="K3472" s="793">
        <f>K3470</f>
        <v>0.65</v>
      </c>
      <c r="L3472" s="851"/>
      <c r="M3472" s="858"/>
      <c r="N3472" s="123"/>
      <c r="O3472" s="228"/>
      <c r="P3472" s="844"/>
      <c r="Q3472" s="845"/>
      <c r="R3472" s="844"/>
      <c r="S3472" s="832"/>
      <c r="T3472" s="3082"/>
      <c r="U3472" s="123"/>
      <c r="V3472" s="3990"/>
      <c r="W3472" s="793"/>
      <c r="X3472" s="793"/>
      <c r="Y3472" s="791">
        <v>0.65</v>
      </c>
      <c r="Z3472" s="793">
        <v>0.65</v>
      </c>
      <c r="AA3472" s="793">
        <v>0.65</v>
      </c>
      <c r="AB3472" s="793">
        <v>0.65</v>
      </c>
      <c r="AC3472" s="793">
        <f>AC3470</f>
        <v>0.65</v>
      </c>
      <c r="AD3472" s="793"/>
      <c r="AE3472" s="793"/>
      <c r="AF3472" s="793"/>
      <c r="AG3472" s="793"/>
      <c r="AH3472" s="1942"/>
      <c r="AI3472" s="1942"/>
      <c r="AJ3472" s="1942"/>
      <c r="AK3472" s="1942"/>
      <c r="AL3472" s="1942"/>
      <c r="AM3472" s="1942"/>
      <c r="AN3472" s="1942"/>
      <c r="AO3472" s="1942"/>
      <c r="AP3472" s="1942"/>
      <c r="AQ3472" s="1942"/>
      <c r="AR3472" s="1942"/>
      <c r="AS3472" s="1942"/>
      <c r="AT3472" s="1942"/>
      <c r="AU3472" s="1942"/>
      <c r="AV3472" s="1942"/>
      <c r="AW3472" s="1942"/>
      <c r="AX3472" s="1942"/>
      <c r="AY3472" s="1942"/>
      <c r="AZ3472" s="1942"/>
      <c r="BA3472" s="1942"/>
      <c r="BB3472" s="575"/>
      <c r="BC3472" s="576"/>
      <c r="BD3472" s="678"/>
      <c r="BE3472" s="585"/>
    </row>
    <row r="3473" spans="1:57" s="51" customFormat="1" ht="15" hidden="1" customHeight="1" outlineLevel="1" x14ac:dyDescent="0.25">
      <c r="A3473" s="2060"/>
      <c r="B3473" s="576"/>
      <c r="C3473" s="328"/>
      <c r="D3473" s="3990"/>
      <c r="E3473" s="4009"/>
      <c r="F3473" s="3010" t="str">
        <f>$E$1759</f>
        <v>ASHP-SEER21_ER2_MF_CompE</v>
      </c>
      <c r="G3473" s="2676"/>
      <c r="H3473" s="2676"/>
      <c r="I3473" s="2677"/>
      <c r="J3473" s="3299" t="str">
        <f>$C$1759</f>
        <v>354901_2019_12_</v>
      </c>
      <c r="K3473" s="793">
        <f>K3471</f>
        <v>0.65</v>
      </c>
      <c r="L3473" s="851"/>
      <c r="M3473" s="858"/>
      <c r="N3473" s="123"/>
      <c r="O3473" s="228"/>
      <c r="P3473" s="844"/>
      <c r="Q3473" s="845"/>
      <c r="R3473" s="844"/>
      <c r="S3473" s="832"/>
      <c r="T3473" s="3082"/>
      <c r="U3473" s="123"/>
      <c r="V3473" s="3990"/>
      <c r="W3473" s="793"/>
      <c r="X3473" s="793"/>
      <c r="Y3473" s="791">
        <v>0.65</v>
      </c>
      <c r="Z3473" s="793">
        <v>0.65</v>
      </c>
      <c r="AA3473" s="793">
        <v>0.65</v>
      </c>
      <c r="AB3473" s="793">
        <v>0.65</v>
      </c>
      <c r="AC3473" s="793">
        <f>AC3471</f>
        <v>0.65</v>
      </c>
      <c r="AD3473" s="793"/>
      <c r="AE3473" s="793"/>
      <c r="AF3473" s="793"/>
      <c r="AG3473" s="793"/>
      <c r="AH3473" s="1942"/>
      <c r="AI3473" s="1942"/>
      <c r="AJ3473" s="1942"/>
      <c r="AK3473" s="1942"/>
      <c r="AL3473" s="1942"/>
      <c r="AM3473" s="1942"/>
      <c r="AN3473" s="1942"/>
      <c r="AO3473" s="1942"/>
      <c r="AP3473" s="1942"/>
      <c r="AQ3473" s="1942"/>
      <c r="AR3473" s="1942"/>
      <c r="AS3473" s="1942"/>
      <c r="AT3473" s="1942"/>
      <c r="AU3473" s="1942"/>
      <c r="AV3473" s="1942"/>
      <c r="AW3473" s="1942"/>
      <c r="AX3473" s="1942"/>
      <c r="AY3473" s="1942"/>
      <c r="AZ3473" s="1942"/>
      <c r="BA3473" s="1942"/>
      <c r="BB3473" s="575"/>
      <c r="BC3473" s="576"/>
      <c r="BD3473" s="678"/>
      <c r="BE3473" s="585"/>
    </row>
    <row r="3474" spans="1:57" s="51" customFormat="1" ht="15" hidden="1" customHeight="1" outlineLevel="1" x14ac:dyDescent="0.25">
      <c r="A3474" s="2060"/>
      <c r="B3474" s="576"/>
      <c r="C3474" s="328"/>
      <c r="D3474" s="3990"/>
      <c r="E3474" s="4009"/>
      <c r="F3474" s="3010" t="str">
        <f>$E$1761</f>
        <v>ASHP-SEER17_ROF_MF</v>
      </c>
      <c r="G3474" s="2676"/>
      <c r="H3474" s="2676"/>
      <c r="I3474" s="2677"/>
      <c r="J3474" s="3299" t="str">
        <f>$C$1761</f>
        <v>354950_2019_12_</v>
      </c>
      <c r="K3474" s="793">
        <v>0.65</v>
      </c>
      <c r="L3474" s="851"/>
      <c r="M3474" s="698" t="s">
        <v>1011</v>
      </c>
      <c r="N3474" s="123"/>
      <c r="O3474" s="228"/>
      <c r="P3474" s="844"/>
      <c r="Q3474" s="845"/>
      <c r="R3474" s="844"/>
      <c r="S3474" s="832"/>
      <c r="T3474" s="3082"/>
      <c r="U3474" s="123"/>
      <c r="V3474" s="3990"/>
      <c r="W3474" s="793">
        <v>0.65</v>
      </c>
      <c r="X3474" s="793">
        <v>0.65</v>
      </c>
      <c r="Y3474" s="793">
        <v>0.65</v>
      </c>
      <c r="Z3474" s="793">
        <v>0.65</v>
      </c>
      <c r="AA3474" s="793">
        <v>0.65</v>
      </c>
      <c r="AB3474" s="793">
        <v>0.65</v>
      </c>
      <c r="AC3474" s="793">
        <v>0.65</v>
      </c>
      <c r="AD3474" s="793"/>
      <c r="AE3474" s="793"/>
      <c r="AF3474" s="793"/>
      <c r="AG3474" s="793"/>
      <c r="AH3474" s="1942"/>
      <c r="AI3474" s="1942"/>
      <c r="AJ3474" s="1942"/>
      <c r="AK3474" s="1942"/>
      <c r="AL3474" s="1942"/>
      <c r="AM3474" s="1942"/>
      <c r="AN3474" s="1942"/>
      <c r="AO3474" s="1942"/>
      <c r="AP3474" s="1942"/>
      <c r="AQ3474" s="1942"/>
      <c r="AR3474" s="1942"/>
      <c r="AS3474" s="1942"/>
      <c r="AT3474" s="1942"/>
      <c r="AU3474" s="1942"/>
      <c r="AV3474" s="1942"/>
      <c r="AW3474" s="1942"/>
      <c r="AX3474" s="1942"/>
      <c r="AY3474" s="1942"/>
      <c r="AZ3474" s="1942"/>
      <c r="BA3474" s="1942"/>
      <c r="BB3474" s="575"/>
      <c r="BC3474" s="576"/>
      <c r="BD3474" s="678"/>
      <c r="BE3474" s="585"/>
    </row>
    <row r="3475" spans="1:57" s="51" customFormat="1" ht="15" hidden="1" customHeight="1" outlineLevel="1" x14ac:dyDescent="0.25">
      <c r="A3475" s="2060"/>
      <c r="B3475" s="576"/>
      <c r="C3475" s="328"/>
      <c r="D3475" s="3990"/>
      <c r="E3475" s="4009"/>
      <c r="F3475" s="3010" t="str">
        <f>$E$1763</f>
        <v>ASHP-SEER17_ROF_MF_CompE</v>
      </c>
      <c r="G3475" s="2676"/>
      <c r="H3475" s="2676"/>
      <c r="I3475" s="2677"/>
      <c r="J3475" s="3299" t="str">
        <f>$C$1763</f>
        <v>354951_2019_12_</v>
      </c>
      <c r="K3475" s="793">
        <f>K3474</f>
        <v>0.65</v>
      </c>
      <c r="L3475" s="851"/>
      <c r="M3475" s="698"/>
      <c r="N3475" s="123"/>
      <c r="O3475" s="228"/>
      <c r="P3475" s="844"/>
      <c r="Q3475" s="845"/>
      <c r="R3475" s="844"/>
      <c r="S3475" s="832"/>
      <c r="T3475" s="3082"/>
      <c r="U3475" s="123"/>
      <c r="V3475" s="3990"/>
      <c r="W3475" s="793"/>
      <c r="X3475" s="793"/>
      <c r="Y3475" s="791">
        <v>0.65</v>
      </c>
      <c r="Z3475" s="793">
        <v>0.65</v>
      </c>
      <c r="AA3475" s="793">
        <v>0.65</v>
      </c>
      <c r="AB3475" s="793">
        <v>0.65</v>
      </c>
      <c r="AC3475" s="793">
        <f>AC3474</f>
        <v>0.65</v>
      </c>
      <c r="AD3475" s="793"/>
      <c r="AE3475" s="793"/>
      <c r="AF3475" s="793"/>
      <c r="AG3475" s="793"/>
      <c r="AH3475" s="1942"/>
      <c r="AI3475" s="1942"/>
      <c r="AJ3475" s="1942"/>
      <c r="AK3475" s="1942"/>
      <c r="AL3475" s="1942"/>
      <c r="AM3475" s="1942"/>
      <c r="AN3475" s="1942"/>
      <c r="AO3475" s="1942"/>
      <c r="AP3475" s="1942"/>
      <c r="AQ3475" s="1942"/>
      <c r="AR3475" s="1942"/>
      <c r="AS3475" s="1942"/>
      <c r="AT3475" s="1942"/>
      <c r="AU3475" s="1942"/>
      <c r="AV3475" s="1942"/>
      <c r="AW3475" s="1942"/>
      <c r="AX3475" s="1942"/>
      <c r="AY3475" s="1942"/>
      <c r="AZ3475" s="1942"/>
      <c r="BA3475" s="1942"/>
      <c r="BB3475" s="575"/>
      <c r="BC3475" s="576"/>
      <c r="BD3475" s="678"/>
      <c r="BE3475" s="585"/>
    </row>
    <row r="3476" spans="1:57" s="51" customFormat="1" ht="15" hidden="1" customHeight="1" outlineLevel="1" x14ac:dyDescent="0.25">
      <c r="A3476" s="2060"/>
      <c r="B3476" s="576"/>
      <c r="C3476" s="328"/>
      <c r="D3476" s="3990"/>
      <c r="E3476" s="4009"/>
      <c r="F3476" s="3010" t="str">
        <f>$E$1765</f>
        <v>ASHP-SEER18_ROF_MF</v>
      </c>
      <c r="G3476" s="2676"/>
      <c r="H3476" s="2676"/>
      <c r="I3476" s="2677"/>
      <c r="J3476" s="3299" t="str">
        <f>$C$1765</f>
        <v>355000_2019_12_</v>
      </c>
      <c r="K3476" s="793">
        <v>0.65</v>
      </c>
      <c r="L3476" s="851"/>
      <c r="M3476" s="698" t="s">
        <v>1011</v>
      </c>
      <c r="N3476" s="123"/>
      <c r="O3476" s="228"/>
      <c r="P3476" s="844"/>
      <c r="Q3476" s="845"/>
      <c r="R3476" s="844"/>
      <c r="S3476" s="832"/>
      <c r="T3476" s="3082"/>
      <c r="U3476" s="123"/>
      <c r="V3476" s="3990"/>
      <c r="W3476" s="793">
        <v>0.65</v>
      </c>
      <c r="X3476" s="793">
        <v>0.65</v>
      </c>
      <c r="Y3476" s="793">
        <v>0.65</v>
      </c>
      <c r="Z3476" s="793">
        <v>0.65</v>
      </c>
      <c r="AA3476" s="793">
        <v>0.65</v>
      </c>
      <c r="AB3476" s="793">
        <v>0.65</v>
      </c>
      <c r="AC3476" s="793">
        <v>0.65</v>
      </c>
      <c r="AD3476" s="793"/>
      <c r="AE3476" s="793"/>
      <c r="AF3476" s="793"/>
      <c r="AG3476" s="793"/>
      <c r="AH3476" s="1942"/>
      <c r="AI3476" s="1942"/>
      <c r="AJ3476" s="1942"/>
      <c r="AK3476" s="1942"/>
      <c r="AL3476" s="1942"/>
      <c r="AM3476" s="1942"/>
      <c r="AN3476" s="1942"/>
      <c r="AO3476" s="1942"/>
      <c r="AP3476" s="1942"/>
      <c r="AQ3476" s="1942"/>
      <c r="AR3476" s="1942"/>
      <c r="AS3476" s="1942"/>
      <c r="AT3476" s="1942"/>
      <c r="AU3476" s="1942"/>
      <c r="AV3476" s="1942"/>
      <c r="AW3476" s="1942"/>
      <c r="AX3476" s="1942"/>
      <c r="AY3476" s="1942"/>
      <c r="AZ3476" s="1942"/>
      <c r="BA3476" s="1942"/>
      <c r="BB3476" s="575"/>
      <c r="BC3476" s="576"/>
      <c r="BD3476" s="678"/>
      <c r="BE3476" s="585"/>
    </row>
    <row r="3477" spans="1:57" s="51" customFormat="1" ht="15" hidden="1" customHeight="1" outlineLevel="1" x14ac:dyDescent="0.25">
      <c r="A3477" s="2060"/>
      <c r="B3477" s="576"/>
      <c r="C3477" s="328"/>
      <c r="D3477" s="3990"/>
      <c r="E3477" s="4009"/>
      <c r="F3477" s="3010" t="str">
        <f>$E$1767</f>
        <v>ASHP-SEER18_ROF_MF_CompE</v>
      </c>
      <c r="G3477" s="2676"/>
      <c r="H3477" s="2676"/>
      <c r="I3477" s="2677"/>
      <c r="J3477" s="3299" t="str">
        <f>$C$1767</f>
        <v>355001_2021_12_</v>
      </c>
      <c r="K3477" s="791">
        <v>0.65</v>
      </c>
      <c r="L3477" s="851"/>
      <c r="M3477" s="698"/>
      <c r="N3477" s="123"/>
      <c r="O3477" s="228"/>
      <c r="P3477" s="844"/>
      <c r="Q3477" s="845"/>
      <c r="R3477" s="844"/>
      <c r="S3477" s="832"/>
      <c r="T3477" s="3082"/>
      <c r="U3477" s="123"/>
      <c r="V3477" s="3990"/>
      <c r="W3477" s="793"/>
      <c r="X3477" s="793"/>
      <c r="Y3477" s="791">
        <v>1</v>
      </c>
      <c r="Z3477" s="793">
        <v>1</v>
      </c>
      <c r="AA3477" s="793">
        <v>1</v>
      </c>
      <c r="AB3477" s="793">
        <v>1</v>
      </c>
      <c r="AC3477" s="793">
        <v>1</v>
      </c>
      <c r="AD3477" s="793"/>
      <c r="AE3477" s="793"/>
      <c r="AF3477" s="793"/>
      <c r="AG3477" s="793"/>
      <c r="AH3477" s="1942"/>
      <c r="AI3477" s="1942"/>
      <c r="AJ3477" s="1942"/>
      <c r="AK3477" s="1942"/>
      <c r="AL3477" s="1942"/>
      <c r="AM3477" s="1942"/>
      <c r="AN3477" s="1942"/>
      <c r="AO3477" s="1942"/>
      <c r="AP3477" s="1942"/>
      <c r="AQ3477" s="1942"/>
      <c r="AR3477" s="1942"/>
      <c r="AS3477" s="1942"/>
      <c r="AT3477" s="1942"/>
      <c r="AU3477" s="1942"/>
      <c r="AV3477" s="1942"/>
      <c r="AW3477" s="1942"/>
      <c r="AX3477" s="1942"/>
      <c r="AY3477" s="1942"/>
      <c r="AZ3477" s="1942"/>
      <c r="BA3477" s="1942"/>
      <c r="BB3477" s="575"/>
      <c r="BC3477" s="576"/>
      <c r="BD3477" s="678"/>
      <c r="BE3477" s="585"/>
    </row>
    <row r="3478" spans="1:57" s="51" customFormat="1" ht="15" hidden="1" customHeight="1" outlineLevel="1" x14ac:dyDescent="0.25">
      <c r="A3478" s="2060"/>
      <c r="B3478" s="576"/>
      <c r="C3478" s="328"/>
      <c r="D3478" s="3990"/>
      <c r="E3478" s="4009"/>
      <c r="F3478" s="3010" t="str">
        <f>$E$1769</f>
        <v>ASHP-SEER19_ROF_MF</v>
      </c>
      <c r="G3478" s="2676"/>
      <c r="H3478" s="2676"/>
      <c r="I3478" s="2677"/>
      <c r="J3478" s="3299" t="str">
        <f>$C$1769</f>
        <v>355050_2019_12_</v>
      </c>
      <c r="K3478" s="793">
        <v>0.65</v>
      </c>
      <c r="L3478" s="851"/>
      <c r="M3478" s="698" t="s">
        <v>1011</v>
      </c>
      <c r="N3478" s="123"/>
      <c r="O3478" s="228"/>
      <c r="P3478" s="844"/>
      <c r="Q3478" s="845"/>
      <c r="R3478" s="844"/>
      <c r="S3478" s="832"/>
      <c r="T3478" s="3082"/>
      <c r="U3478" s="123"/>
      <c r="V3478" s="3990"/>
      <c r="W3478" s="793">
        <v>0.65</v>
      </c>
      <c r="X3478" s="793">
        <v>0.65</v>
      </c>
      <c r="Y3478" s="793">
        <v>0.65</v>
      </c>
      <c r="Z3478" s="793">
        <v>0.65</v>
      </c>
      <c r="AA3478" s="793">
        <v>0.65</v>
      </c>
      <c r="AB3478" s="793">
        <v>0.65</v>
      </c>
      <c r="AC3478" s="793">
        <v>0.65</v>
      </c>
      <c r="AD3478" s="793"/>
      <c r="AE3478" s="793"/>
      <c r="AF3478" s="793"/>
      <c r="AG3478" s="793"/>
      <c r="AH3478" s="1942"/>
      <c r="AI3478" s="1942"/>
      <c r="AJ3478" s="1942"/>
      <c r="AK3478" s="1942"/>
      <c r="AL3478" s="1942"/>
      <c r="AM3478" s="1942"/>
      <c r="AN3478" s="1942"/>
      <c r="AO3478" s="1942"/>
      <c r="AP3478" s="1942"/>
      <c r="AQ3478" s="1942"/>
      <c r="AR3478" s="1942"/>
      <c r="AS3478" s="1942"/>
      <c r="AT3478" s="1942"/>
      <c r="AU3478" s="1942"/>
      <c r="AV3478" s="1942"/>
      <c r="AW3478" s="1942"/>
      <c r="AX3478" s="1942"/>
      <c r="AY3478" s="1942"/>
      <c r="AZ3478" s="1942"/>
      <c r="BA3478" s="1942"/>
      <c r="BB3478" s="575"/>
      <c r="BC3478" s="576"/>
      <c r="BD3478" s="678"/>
      <c r="BE3478" s="585"/>
    </row>
    <row r="3479" spans="1:57" s="51" customFormat="1" ht="15" hidden="1" customHeight="1" outlineLevel="1" x14ac:dyDescent="0.25">
      <c r="A3479" s="2060"/>
      <c r="B3479" s="576"/>
      <c r="C3479" s="328"/>
      <c r="D3479" s="3990"/>
      <c r="E3479" s="4009"/>
      <c r="F3479" s="3010" t="str">
        <f>$E$1771</f>
        <v>ASHP-SEER19_ROF_MF_CompE</v>
      </c>
      <c r="G3479" s="2676"/>
      <c r="H3479" s="2676"/>
      <c r="I3479" s="2677"/>
      <c r="J3479" s="3299" t="str">
        <f>$C$1771</f>
        <v>355051_2019_12_</v>
      </c>
      <c r="K3479" s="793">
        <f>K3478</f>
        <v>0.65</v>
      </c>
      <c r="L3479" s="851"/>
      <c r="M3479" s="698"/>
      <c r="N3479" s="123"/>
      <c r="O3479" s="228"/>
      <c r="P3479" s="844"/>
      <c r="Q3479" s="845"/>
      <c r="R3479" s="844"/>
      <c r="S3479" s="832"/>
      <c r="T3479" s="3082"/>
      <c r="U3479" s="123"/>
      <c r="V3479" s="3990"/>
      <c r="W3479" s="793"/>
      <c r="X3479" s="793"/>
      <c r="Y3479" s="791">
        <v>0.65</v>
      </c>
      <c r="Z3479" s="793">
        <v>0.65</v>
      </c>
      <c r="AA3479" s="793">
        <v>0.65</v>
      </c>
      <c r="AB3479" s="793">
        <v>0.65</v>
      </c>
      <c r="AC3479" s="793">
        <f>AC3478</f>
        <v>0.65</v>
      </c>
      <c r="AD3479" s="793"/>
      <c r="AE3479" s="793"/>
      <c r="AF3479" s="793"/>
      <c r="AG3479" s="793"/>
      <c r="AH3479" s="1942"/>
      <c r="AI3479" s="1942"/>
      <c r="AJ3479" s="1942"/>
      <c r="AK3479" s="1942"/>
      <c r="AL3479" s="1942"/>
      <c r="AM3479" s="1942"/>
      <c r="AN3479" s="1942"/>
      <c r="AO3479" s="1942"/>
      <c r="AP3479" s="1942"/>
      <c r="AQ3479" s="1942"/>
      <c r="AR3479" s="1942"/>
      <c r="AS3479" s="1942"/>
      <c r="AT3479" s="1942"/>
      <c r="AU3479" s="1942"/>
      <c r="AV3479" s="1942"/>
      <c r="AW3479" s="1942"/>
      <c r="AX3479" s="1942"/>
      <c r="AY3479" s="1942"/>
      <c r="AZ3479" s="1942"/>
      <c r="BA3479" s="1942"/>
      <c r="BB3479" s="575"/>
      <c r="BC3479" s="576"/>
      <c r="BD3479" s="678"/>
      <c r="BE3479" s="585"/>
    </row>
    <row r="3480" spans="1:57" s="51" customFormat="1" ht="15" hidden="1" customHeight="1" outlineLevel="1" x14ac:dyDescent="0.25">
      <c r="A3480" s="2060"/>
      <c r="B3480" s="576"/>
      <c r="C3480" s="328"/>
      <c r="D3480" s="3990"/>
      <c r="E3480" s="4009"/>
      <c r="F3480" s="3010" t="str">
        <f>$E$1773</f>
        <v>ASHP-SEER20_ROF_MF</v>
      </c>
      <c r="G3480" s="2676"/>
      <c r="H3480" s="2676"/>
      <c r="I3480" s="2677"/>
      <c r="J3480" s="3299" t="str">
        <f>$C$1773</f>
        <v>355100_2019_12_</v>
      </c>
      <c r="K3480" s="793">
        <v>0.65</v>
      </c>
      <c r="L3480" s="861"/>
      <c r="M3480" s="698" t="s">
        <v>1011</v>
      </c>
      <c r="N3480" s="123"/>
      <c r="O3480" s="228"/>
      <c r="P3480" s="844"/>
      <c r="Q3480" s="845"/>
      <c r="R3480" s="844"/>
      <c r="S3480" s="832"/>
      <c r="T3480" s="3082"/>
      <c r="U3480" s="123"/>
      <c r="V3480" s="3990"/>
      <c r="W3480" s="793">
        <v>0.65</v>
      </c>
      <c r="X3480" s="793">
        <v>0.65</v>
      </c>
      <c r="Y3480" s="793">
        <v>0.65</v>
      </c>
      <c r="Z3480" s="793">
        <v>0.65</v>
      </c>
      <c r="AA3480" s="793">
        <v>0.65</v>
      </c>
      <c r="AB3480" s="793">
        <v>0.65</v>
      </c>
      <c r="AC3480" s="793">
        <v>0.65</v>
      </c>
      <c r="AD3480" s="793"/>
      <c r="AE3480" s="793"/>
      <c r="AF3480" s="793"/>
      <c r="AG3480" s="793"/>
      <c r="AH3480" s="1942"/>
      <c r="AI3480" s="1942"/>
      <c r="AJ3480" s="1942"/>
      <c r="AK3480" s="1942"/>
      <c r="AL3480" s="1942"/>
      <c r="AM3480" s="1942"/>
      <c r="AN3480" s="1942"/>
      <c r="AO3480" s="1942"/>
      <c r="AP3480" s="1942"/>
      <c r="AQ3480" s="1942"/>
      <c r="AR3480" s="1942"/>
      <c r="AS3480" s="1942"/>
      <c r="AT3480" s="1942"/>
      <c r="AU3480" s="1942"/>
      <c r="AV3480" s="1942"/>
      <c r="AW3480" s="1942"/>
      <c r="AX3480" s="1942"/>
      <c r="AY3480" s="1942"/>
      <c r="AZ3480" s="1942"/>
      <c r="BA3480" s="1942"/>
      <c r="BB3480" s="575"/>
      <c r="BC3480" s="576"/>
      <c r="BD3480" s="678"/>
      <c r="BE3480" s="585"/>
    </row>
    <row r="3481" spans="1:57" s="51" customFormat="1" ht="15" hidden="1" customHeight="1" outlineLevel="1" x14ac:dyDescent="0.25">
      <c r="A3481" s="2060"/>
      <c r="B3481" s="576"/>
      <c r="C3481" s="328"/>
      <c r="D3481" s="3990"/>
      <c r="E3481" s="4009"/>
      <c r="F3481" s="3010" t="str">
        <f>$E$1775</f>
        <v>ASHP-SEER20_ROF_MF_CompE</v>
      </c>
      <c r="G3481" s="2676"/>
      <c r="H3481" s="2676"/>
      <c r="I3481" s="2677"/>
      <c r="J3481" s="3299" t="str">
        <f>$C$1775</f>
        <v>355101_2019_12_</v>
      </c>
      <c r="K3481" s="793">
        <f>K3480</f>
        <v>0.65</v>
      </c>
      <c r="L3481" s="862"/>
      <c r="M3481" s="698"/>
      <c r="N3481" s="123"/>
      <c r="O3481" s="228"/>
      <c r="P3481" s="844"/>
      <c r="Q3481" s="845"/>
      <c r="R3481" s="844"/>
      <c r="S3481" s="832"/>
      <c r="T3481" s="3082"/>
      <c r="U3481" s="123"/>
      <c r="V3481" s="3990"/>
      <c r="W3481" s="863"/>
      <c r="X3481" s="863"/>
      <c r="Y3481" s="791">
        <v>0.65</v>
      </c>
      <c r="Z3481" s="793">
        <v>0.65</v>
      </c>
      <c r="AA3481" s="793">
        <v>0.65</v>
      </c>
      <c r="AB3481" s="793">
        <v>0.65</v>
      </c>
      <c r="AC3481" s="793">
        <f>AC3480</f>
        <v>0.65</v>
      </c>
      <c r="AD3481" s="863"/>
      <c r="AE3481" s="863"/>
      <c r="AF3481" s="863"/>
      <c r="AG3481" s="863"/>
      <c r="AH3481" s="1942"/>
      <c r="AI3481" s="1942"/>
      <c r="AJ3481" s="1942"/>
      <c r="AK3481" s="1942"/>
      <c r="AL3481" s="1942"/>
      <c r="AM3481" s="1942"/>
      <c r="AN3481" s="1942"/>
      <c r="AO3481" s="1942"/>
      <c r="AP3481" s="1942"/>
      <c r="AQ3481" s="1942"/>
      <c r="AR3481" s="1942"/>
      <c r="AS3481" s="1942"/>
      <c r="AT3481" s="1942"/>
      <c r="AU3481" s="1942"/>
      <c r="AV3481" s="1942"/>
      <c r="AW3481" s="1942"/>
      <c r="AX3481" s="1942"/>
      <c r="AY3481" s="1942"/>
      <c r="AZ3481" s="1942"/>
      <c r="BA3481" s="1942"/>
      <c r="BB3481" s="575"/>
      <c r="BC3481" s="576"/>
      <c r="BD3481" s="678"/>
      <c r="BE3481" s="585"/>
    </row>
    <row r="3482" spans="1:57" s="51" customFormat="1" ht="15.75" hidden="1" customHeight="1" outlineLevel="1" x14ac:dyDescent="0.25">
      <c r="A3482" s="2060"/>
      <c r="B3482" s="576"/>
      <c r="C3482" s="328"/>
      <c r="D3482" s="3990"/>
      <c r="E3482" s="4009"/>
      <c r="F3482" s="3010" t="str">
        <f>$E$1777</f>
        <v>ASHP-SEER21_ROF_MF</v>
      </c>
      <c r="G3482" s="2676"/>
      <c r="H3482" s="2676"/>
      <c r="I3482" s="2677"/>
      <c r="J3482" s="3299" t="str">
        <f>$C$1777</f>
        <v>355150_2019_12_</v>
      </c>
      <c r="K3482" s="793">
        <v>0.65</v>
      </c>
      <c r="L3482" s="861"/>
      <c r="M3482" s="698" t="s">
        <v>1011</v>
      </c>
      <c r="N3482" s="123"/>
      <c r="O3482" s="228"/>
      <c r="P3482" s="844"/>
      <c r="Q3482" s="845"/>
      <c r="R3482" s="844"/>
      <c r="S3482" s="832"/>
      <c r="T3482" s="3082"/>
      <c r="U3482" s="123"/>
      <c r="V3482" s="3990"/>
      <c r="W3482" s="793">
        <v>0.65</v>
      </c>
      <c r="X3482" s="793">
        <v>0.65</v>
      </c>
      <c r="Y3482" s="793">
        <v>0.65</v>
      </c>
      <c r="Z3482" s="793">
        <v>0.65</v>
      </c>
      <c r="AA3482" s="793">
        <v>0.65</v>
      </c>
      <c r="AB3482" s="793">
        <v>0.65</v>
      </c>
      <c r="AC3482" s="793">
        <v>0.65</v>
      </c>
      <c r="AD3482" s="793"/>
      <c r="AE3482" s="793"/>
      <c r="AF3482" s="793"/>
      <c r="AG3482" s="793"/>
      <c r="AH3482" s="1942"/>
      <c r="AI3482" s="1942"/>
      <c r="AJ3482" s="1942"/>
      <c r="AK3482" s="1942"/>
      <c r="AL3482" s="1942"/>
      <c r="AM3482" s="1942"/>
      <c r="AN3482" s="1942"/>
      <c r="AO3482" s="1942"/>
      <c r="AP3482" s="1942"/>
      <c r="AQ3482" s="1942"/>
      <c r="AR3482" s="1942"/>
      <c r="AS3482" s="1942"/>
      <c r="AT3482" s="1942"/>
      <c r="AU3482" s="1942"/>
      <c r="AV3482" s="1942"/>
      <c r="AW3482" s="1942"/>
      <c r="AX3482" s="1942"/>
      <c r="AY3482" s="1942"/>
      <c r="AZ3482" s="1942"/>
      <c r="BA3482" s="1942"/>
      <c r="BB3482" s="575"/>
      <c r="BC3482" s="576"/>
      <c r="BD3482" s="678"/>
      <c r="BE3482" s="585"/>
    </row>
    <row r="3483" spans="1:57" s="51" customFormat="1" ht="15.75" hidden="1" customHeight="1" outlineLevel="1" thickBot="1" x14ac:dyDescent="0.3">
      <c r="A3483" s="2060"/>
      <c r="B3483" s="576"/>
      <c r="C3483" s="328"/>
      <c r="D3483" s="4035"/>
      <c r="E3483" s="4036"/>
      <c r="F3483" s="3015" t="str">
        <f>$E$1779</f>
        <v>ASHP-SEER21_ROF_MF_CompE</v>
      </c>
      <c r="G3483" s="2288"/>
      <c r="H3483" s="2288"/>
      <c r="I3483" s="2289"/>
      <c r="J3483" s="3300" t="str">
        <f>$C$1779</f>
        <v>355151_2019_12_</v>
      </c>
      <c r="K3483" s="871">
        <f>K3482</f>
        <v>0.65</v>
      </c>
      <c r="L3483" s="854"/>
      <c r="M3483" s="1596"/>
      <c r="N3483" s="123"/>
      <c r="O3483" s="228"/>
      <c r="P3483" s="844"/>
      <c r="Q3483" s="845"/>
      <c r="R3483" s="844"/>
      <c r="S3483" s="832"/>
      <c r="T3483" s="3082"/>
      <c r="U3483" s="123"/>
      <c r="V3483" s="4035"/>
      <c r="W3483" s="2294"/>
      <c r="X3483" s="2294"/>
      <c r="Y3483" s="2295">
        <v>0.65</v>
      </c>
      <c r="Z3483" s="871">
        <v>0.65</v>
      </c>
      <c r="AA3483" s="871">
        <v>0.65</v>
      </c>
      <c r="AB3483" s="871">
        <v>0.65</v>
      </c>
      <c r="AC3483" s="871">
        <f>AC3482</f>
        <v>0.65</v>
      </c>
      <c r="AD3483" s="2294"/>
      <c r="AE3483" s="2294"/>
      <c r="AF3483" s="2294"/>
      <c r="AG3483" s="2294"/>
      <c r="AH3483" s="1942"/>
      <c r="AI3483" s="1942"/>
      <c r="AJ3483" s="1942"/>
      <c r="AK3483" s="1942"/>
      <c r="AL3483" s="1942"/>
      <c r="AM3483" s="1942"/>
      <c r="AN3483" s="1942"/>
      <c r="AO3483" s="1942"/>
      <c r="AP3483" s="1942"/>
      <c r="AQ3483" s="1942"/>
      <c r="AR3483" s="1942"/>
      <c r="AS3483" s="1942"/>
      <c r="AT3483" s="1942"/>
      <c r="AU3483" s="1942"/>
      <c r="AV3483" s="1942"/>
      <c r="AW3483" s="1942"/>
      <c r="AX3483" s="1942"/>
      <c r="AY3483" s="1942"/>
      <c r="AZ3483" s="1942"/>
      <c r="BA3483" s="1942"/>
      <c r="BB3483" s="575"/>
      <c r="BC3483" s="576"/>
      <c r="BD3483" s="678"/>
      <c r="BE3483" s="585"/>
    </row>
    <row r="3484" spans="1:57" s="1831" customFormat="1" ht="60.75" hidden="1" outlineLevel="1" thickBot="1" x14ac:dyDescent="0.3">
      <c r="A3484" s="2270"/>
      <c r="C3484" s="328"/>
      <c r="D3484" s="2606" t="s">
        <v>133</v>
      </c>
      <c r="E3484" s="3108" t="s">
        <v>860</v>
      </c>
      <c r="F3484" s="2607" t="s">
        <v>135</v>
      </c>
      <c r="G3484" s="2608"/>
      <c r="H3484" s="2608"/>
      <c r="I3484" s="2609"/>
      <c r="J3484" s="3250"/>
      <c r="K3484" s="2610">
        <v>1</v>
      </c>
      <c r="L3484" s="859"/>
      <c r="M3484" s="2703" t="s">
        <v>1567</v>
      </c>
      <c r="P3484" s="2255"/>
      <c r="Q3484" s="2254"/>
      <c r="R3484" s="2255"/>
      <c r="T3484" s="2270"/>
      <c r="V3484" s="2606" t="s">
        <v>133</v>
      </c>
      <c r="W3484" s="2291"/>
      <c r="X3484" s="2291"/>
      <c r="Y3484" s="2290"/>
      <c r="Z3484" s="2291"/>
      <c r="AA3484" s="2290"/>
      <c r="AB3484" s="2290">
        <v>1</v>
      </c>
      <c r="AC3484" s="2610">
        <v>1</v>
      </c>
      <c r="AD3484" s="2291"/>
      <c r="AE3484" s="2291"/>
      <c r="AF3484" s="2291"/>
      <c r="AG3484" s="2291"/>
      <c r="BB3484" s="2238"/>
      <c r="BD3484" s="2292"/>
      <c r="BE3484" s="2293"/>
    </row>
    <row r="3485" spans="1:57" s="51" customFormat="1" ht="14.45" hidden="1" customHeight="1" outlineLevel="1" x14ac:dyDescent="0.25">
      <c r="A3485" s="2060"/>
      <c r="B3485" s="576"/>
      <c r="C3485" s="328"/>
      <c r="D3485" s="3989" t="str">
        <f>D1377</f>
        <v>EUL</v>
      </c>
      <c r="E3485" s="4008" t="str">
        <f>E1377</f>
        <v>Effective Useful Life</v>
      </c>
      <c r="F3485" s="3009" t="str">
        <f>E1407</f>
        <v>ASHP-SEER15-Replace_CAC_ElectricHeat_ER1_SF</v>
      </c>
      <c r="G3485" s="2675"/>
      <c r="H3485" s="2675"/>
      <c r="I3485" s="2675"/>
      <c r="J3485" s="3297" t="str">
        <f>C1407</f>
        <v>352300_2021_12_</v>
      </c>
      <c r="K3485" s="864">
        <v>6</v>
      </c>
      <c r="L3485" s="745"/>
      <c r="M3485" s="860"/>
      <c r="N3485" s="123"/>
      <c r="O3485" s="228"/>
      <c r="P3485" s="844"/>
      <c r="Q3485" s="844"/>
      <c r="R3485" s="844"/>
      <c r="S3485" s="832"/>
      <c r="T3485" s="3082"/>
      <c r="U3485" s="123"/>
      <c r="V3485" s="4030" t="s">
        <v>181</v>
      </c>
      <c r="W3485" s="864">
        <v>6</v>
      </c>
      <c r="X3485" s="864">
        <v>6</v>
      </c>
      <c r="Y3485" s="864">
        <v>6</v>
      </c>
      <c r="Z3485" s="864">
        <v>6</v>
      </c>
      <c r="AA3485" s="864">
        <v>6</v>
      </c>
      <c r="AB3485" s="864">
        <v>6</v>
      </c>
      <c r="AC3485" s="864">
        <v>6</v>
      </c>
      <c r="AD3485" s="864"/>
      <c r="AE3485" s="864"/>
      <c r="AF3485" s="864"/>
      <c r="AG3485" s="864"/>
      <c r="AH3485" s="1942"/>
      <c r="AI3485" s="1942"/>
      <c r="AJ3485" s="1942"/>
      <c r="AK3485" s="1942"/>
      <c r="AL3485" s="1942"/>
      <c r="AM3485" s="1942"/>
      <c r="AN3485" s="1942"/>
      <c r="AO3485" s="1942"/>
      <c r="AP3485" s="1942"/>
      <c r="AQ3485" s="1942"/>
      <c r="AR3485" s="1942"/>
      <c r="AS3485" s="1942"/>
      <c r="AT3485" s="1942"/>
      <c r="AU3485" s="1942"/>
      <c r="AV3485" s="1942"/>
      <c r="AW3485" s="1942"/>
      <c r="AX3485" s="1942"/>
      <c r="AY3485" s="1942"/>
      <c r="AZ3485" s="1942"/>
      <c r="BA3485" s="1942"/>
      <c r="BB3485" s="575"/>
      <c r="BC3485" s="576"/>
      <c r="BD3485" s="678"/>
      <c r="BE3485" s="585"/>
    </row>
    <row r="3486" spans="1:57" s="51" customFormat="1" ht="15" hidden="1" customHeight="1" outlineLevel="1" x14ac:dyDescent="0.25">
      <c r="A3486" s="2060"/>
      <c r="B3486" s="576"/>
      <c r="C3486" s="328"/>
      <c r="D3486" s="3990"/>
      <c r="E3486" s="4009"/>
      <c r="F3486" s="3016" t="str">
        <f>E1408</f>
        <v>ASHP-SEER15-Replace_CAC_ElectricHeat_ER1_SF</v>
      </c>
      <c r="G3486" s="2673"/>
      <c r="H3486" s="2673"/>
      <c r="I3486" s="2673"/>
      <c r="J3486" s="3301" t="str">
        <f>C1408</f>
        <v>352300_2021_12_</v>
      </c>
      <c r="K3486" s="865">
        <v>6</v>
      </c>
      <c r="L3486" s="850"/>
      <c r="M3486" s="858"/>
      <c r="N3486" s="123"/>
      <c r="O3486" s="228"/>
      <c r="P3486" s="844"/>
      <c r="Q3486" s="844"/>
      <c r="R3486" s="844"/>
      <c r="S3486" s="832"/>
      <c r="T3486" s="3082"/>
      <c r="U3486" s="123"/>
      <c r="V3486" s="4031"/>
      <c r="W3486" s="865">
        <v>6</v>
      </c>
      <c r="X3486" s="865">
        <v>6</v>
      </c>
      <c r="Y3486" s="865">
        <v>6</v>
      </c>
      <c r="Z3486" s="865">
        <v>6</v>
      </c>
      <c r="AA3486" s="865">
        <v>6</v>
      </c>
      <c r="AB3486" s="865">
        <v>6</v>
      </c>
      <c r="AC3486" s="865">
        <v>6</v>
      </c>
      <c r="AD3486" s="865"/>
      <c r="AE3486" s="865"/>
      <c r="AF3486" s="865"/>
      <c r="AG3486" s="865"/>
      <c r="AH3486" s="1942"/>
      <c r="AI3486" s="1942"/>
      <c r="AJ3486" s="1942"/>
      <c r="AK3486" s="1942"/>
      <c r="AL3486" s="1942"/>
      <c r="AM3486" s="1942"/>
      <c r="AN3486" s="1942"/>
      <c r="AO3486" s="1942"/>
      <c r="AP3486" s="1942"/>
      <c r="AQ3486" s="1942"/>
      <c r="AR3486" s="1942"/>
      <c r="AS3486" s="1942"/>
      <c r="AT3486" s="1942"/>
      <c r="AU3486" s="1942"/>
      <c r="AV3486" s="1942"/>
      <c r="AW3486" s="1942"/>
      <c r="AX3486" s="1942"/>
      <c r="AY3486" s="1942"/>
      <c r="AZ3486" s="1942"/>
      <c r="BA3486" s="1942"/>
      <c r="BB3486" s="575"/>
      <c r="BC3486" s="576"/>
      <c r="BD3486" s="678"/>
      <c r="BE3486" s="585"/>
    </row>
    <row r="3487" spans="1:57" s="51" customFormat="1" ht="15" hidden="1" customHeight="1" outlineLevel="1" x14ac:dyDescent="0.25">
      <c r="A3487" s="2060"/>
      <c r="B3487" s="576"/>
      <c r="C3487" s="328"/>
      <c r="D3487" s="3990"/>
      <c r="E3487" s="4009"/>
      <c r="F3487" s="3016" t="str">
        <f>E1409</f>
        <v>ASHP-SEER15-Replace_CAC_ElectricHeat_ER2_SF</v>
      </c>
      <c r="G3487" s="2673"/>
      <c r="H3487" s="2673"/>
      <c r="I3487" s="2673"/>
      <c r="J3487" s="3301" t="str">
        <f>C1409</f>
        <v>352300_2021_12_</v>
      </c>
      <c r="K3487" s="865">
        <v>12</v>
      </c>
      <c r="L3487" s="850"/>
      <c r="M3487" s="858"/>
      <c r="N3487" s="123"/>
      <c r="O3487" s="228"/>
      <c r="P3487" s="844"/>
      <c r="Q3487" s="844"/>
      <c r="R3487" s="844"/>
      <c r="S3487" s="832"/>
      <c r="T3487" s="3082"/>
      <c r="U3487" s="123"/>
      <c r="V3487" s="4031"/>
      <c r="W3487" s="865">
        <v>12</v>
      </c>
      <c r="X3487" s="865">
        <v>12</v>
      </c>
      <c r="Y3487" s="865">
        <v>12</v>
      </c>
      <c r="Z3487" s="865">
        <v>12</v>
      </c>
      <c r="AA3487" s="865">
        <v>12</v>
      </c>
      <c r="AB3487" s="865">
        <v>12</v>
      </c>
      <c r="AC3487" s="865">
        <v>12</v>
      </c>
      <c r="AD3487" s="865"/>
      <c r="AE3487" s="865"/>
      <c r="AF3487" s="865"/>
      <c r="AG3487" s="865"/>
      <c r="AH3487" s="1942"/>
      <c r="AI3487" s="1942"/>
      <c r="AJ3487" s="1942"/>
      <c r="AK3487" s="1942"/>
      <c r="AL3487" s="1942"/>
      <c r="AM3487" s="1942"/>
      <c r="AN3487" s="1942"/>
      <c r="AO3487" s="1942"/>
      <c r="AP3487" s="1942"/>
      <c r="AQ3487" s="1942"/>
      <c r="AR3487" s="1942"/>
      <c r="AS3487" s="1942"/>
      <c r="AT3487" s="1942"/>
      <c r="AU3487" s="1942"/>
      <c r="AV3487" s="1942"/>
      <c r="AW3487" s="1942"/>
      <c r="AX3487" s="1942"/>
      <c r="AY3487" s="1942"/>
      <c r="AZ3487" s="1942"/>
      <c r="BA3487" s="1942"/>
      <c r="BB3487" s="575"/>
      <c r="BC3487" s="576"/>
      <c r="BD3487" s="678"/>
      <c r="BE3487" s="585"/>
    </row>
    <row r="3488" spans="1:57" s="51" customFormat="1" ht="15" hidden="1" customHeight="1" outlineLevel="1" x14ac:dyDescent="0.25">
      <c r="A3488" s="2060"/>
      <c r="B3488" s="576"/>
      <c r="C3488" s="328"/>
      <c r="D3488" s="3990"/>
      <c r="E3488" s="4009"/>
      <c r="F3488" s="3016" t="str">
        <f>E1410</f>
        <v>ASHP-SEER15-Replace_CAC_ElectricHeat_ER2_SF</v>
      </c>
      <c r="G3488" s="2673"/>
      <c r="H3488" s="2673"/>
      <c r="I3488" s="2673"/>
      <c r="J3488" s="3301" t="str">
        <f>C1410</f>
        <v>352300_2021_12_</v>
      </c>
      <c r="K3488" s="865">
        <v>12</v>
      </c>
      <c r="L3488" s="850"/>
      <c r="M3488" s="858"/>
      <c r="N3488" s="123"/>
      <c r="O3488" s="228"/>
      <c r="P3488" s="844"/>
      <c r="Q3488" s="844"/>
      <c r="R3488" s="844"/>
      <c r="S3488" s="832"/>
      <c r="T3488" s="3082"/>
      <c r="U3488" s="123"/>
      <c r="V3488" s="4031"/>
      <c r="W3488" s="865">
        <v>12</v>
      </c>
      <c r="X3488" s="865">
        <v>12</v>
      </c>
      <c r="Y3488" s="865">
        <v>12</v>
      </c>
      <c r="Z3488" s="865">
        <v>12</v>
      </c>
      <c r="AA3488" s="865">
        <v>12</v>
      </c>
      <c r="AB3488" s="865">
        <v>12</v>
      </c>
      <c r="AC3488" s="865">
        <v>12</v>
      </c>
      <c r="AD3488" s="865"/>
      <c r="AE3488" s="865"/>
      <c r="AF3488" s="865"/>
      <c r="AG3488" s="865"/>
      <c r="AH3488" s="1942"/>
      <c r="AI3488" s="1942"/>
      <c r="AJ3488" s="1942"/>
      <c r="AK3488" s="1942"/>
      <c r="AL3488" s="1942"/>
      <c r="AM3488" s="1942"/>
      <c r="AN3488" s="1942"/>
      <c r="AO3488" s="1942"/>
      <c r="AP3488" s="1942"/>
      <c r="AQ3488" s="1942"/>
      <c r="AR3488" s="1942"/>
      <c r="AS3488" s="1942"/>
      <c r="AT3488" s="1942"/>
      <c r="AU3488" s="1942"/>
      <c r="AV3488" s="1942"/>
      <c r="AW3488" s="1942"/>
      <c r="AX3488" s="1942"/>
      <c r="AY3488" s="1942"/>
      <c r="AZ3488" s="1942"/>
      <c r="BA3488" s="1942"/>
      <c r="BB3488" s="575"/>
      <c r="BC3488" s="576"/>
      <c r="BD3488" s="678"/>
      <c r="BE3488" s="585"/>
    </row>
    <row r="3489" spans="1:57" s="1942" customFormat="1" ht="15" hidden="1" customHeight="1" outlineLevel="1" x14ac:dyDescent="0.25">
      <c r="A3489" s="2060"/>
      <c r="B3489" s="576"/>
      <c r="C3489" s="328"/>
      <c r="D3489" s="3990"/>
      <c r="E3489" s="4009"/>
      <c r="F3489" s="3016" t="str">
        <f t="shared" ref="F3489:F3492" si="254">E1411</f>
        <v>ASHP-SEER15-Replace_CAC_NonElectricHeat_ER1_SF</v>
      </c>
      <c r="G3489" s="2673"/>
      <c r="H3489" s="2673"/>
      <c r="I3489" s="2673"/>
      <c r="J3489" s="3301" t="str">
        <f t="shared" ref="J3489:J3493" si="255">C1411</f>
        <v>352310_2021_12_</v>
      </c>
      <c r="K3489" s="3055">
        <v>6</v>
      </c>
      <c r="L3489" s="850"/>
      <c r="M3489" s="858"/>
      <c r="N3489" s="123"/>
      <c r="O3489" s="228"/>
      <c r="P3489" s="844"/>
      <c r="Q3489" s="844"/>
      <c r="R3489" s="844"/>
      <c r="S3489" s="832"/>
      <c r="T3489" s="3082"/>
      <c r="U3489" s="123"/>
      <c r="V3489" s="4031"/>
      <c r="W3489" s="865"/>
      <c r="X3489" s="865"/>
      <c r="Y3489" s="865"/>
      <c r="Z3489" s="865"/>
      <c r="AA3489" s="865"/>
      <c r="AB3489" s="865"/>
      <c r="AC3489" s="3055">
        <v>6</v>
      </c>
      <c r="AD3489" s="865"/>
      <c r="AE3489" s="865"/>
      <c r="AF3489" s="865"/>
      <c r="AG3489" s="865"/>
      <c r="BB3489" s="575"/>
      <c r="BC3489" s="576"/>
      <c r="BD3489" s="678"/>
      <c r="BE3489" s="585"/>
    </row>
    <row r="3490" spans="1:57" s="1942" customFormat="1" ht="15" hidden="1" customHeight="1" outlineLevel="1" x14ac:dyDescent="0.25">
      <c r="A3490" s="2060"/>
      <c r="B3490" s="576"/>
      <c r="C3490" s="328"/>
      <c r="D3490" s="3990"/>
      <c r="E3490" s="4009"/>
      <c r="F3490" s="3016" t="str">
        <f t="shared" si="254"/>
        <v>ASHP-SEER15-Replace_CAC_NonElectricHeat_ER1_SF</v>
      </c>
      <c r="G3490" s="2673"/>
      <c r="H3490" s="2673"/>
      <c r="I3490" s="2673"/>
      <c r="J3490" s="3301" t="str">
        <f t="shared" si="255"/>
        <v>352310_2021_12_</v>
      </c>
      <c r="K3490" s="3054">
        <v>6</v>
      </c>
      <c r="L3490" s="850"/>
      <c r="M3490" s="858"/>
      <c r="N3490" s="123"/>
      <c r="O3490" s="228"/>
      <c r="P3490" s="844"/>
      <c r="Q3490" s="844"/>
      <c r="R3490" s="844"/>
      <c r="S3490" s="832"/>
      <c r="T3490" s="3082"/>
      <c r="U3490" s="123"/>
      <c r="V3490" s="4031"/>
      <c r="W3490" s="865"/>
      <c r="X3490" s="865"/>
      <c r="Y3490" s="865"/>
      <c r="Z3490" s="865"/>
      <c r="AA3490" s="865"/>
      <c r="AB3490" s="865"/>
      <c r="AC3490" s="3054">
        <v>6</v>
      </c>
      <c r="AD3490" s="865"/>
      <c r="AE3490" s="865"/>
      <c r="AF3490" s="865"/>
      <c r="AG3490" s="865"/>
      <c r="BB3490" s="575"/>
      <c r="BC3490" s="576"/>
      <c r="BD3490" s="678"/>
      <c r="BE3490" s="585"/>
    </row>
    <row r="3491" spans="1:57" s="1942" customFormat="1" ht="15" hidden="1" customHeight="1" outlineLevel="1" x14ac:dyDescent="0.25">
      <c r="A3491" s="2060"/>
      <c r="B3491" s="576"/>
      <c r="C3491" s="328"/>
      <c r="D3491" s="3990"/>
      <c r="E3491" s="4009"/>
      <c r="F3491" s="3016" t="str">
        <f t="shared" si="254"/>
        <v>ASHP-SEER15-Replace_CAC_NonElectricHeat_ER2_SF</v>
      </c>
      <c r="G3491" s="2673"/>
      <c r="H3491" s="2673"/>
      <c r="I3491" s="2673"/>
      <c r="J3491" s="3301" t="str">
        <f t="shared" si="255"/>
        <v>352310_2021_12_</v>
      </c>
      <c r="K3491" s="3054">
        <v>12</v>
      </c>
      <c r="L3491" s="850"/>
      <c r="M3491" s="858"/>
      <c r="N3491" s="123"/>
      <c r="O3491" s="228"/>
      <c r="P3491" s="844"/>
      <c r="Q3491" s="844"/>
      <c r="R3491" s="844"/>
      <c r="S3491" s="832"/>
      <c r="T3491" s="3082"/>
      <c r="U3491" s="123"/>
      <c r="V3491" s="4031"/>
      <c r="W3491" s="865"/>
      <c r="X3491" s="865"/>
      <c r="Y3491" s="865"/>
      <c r="Z3491" s="865"/>
      <c r="AA3491" s="865"/>
      <c r="AB3491" s="865"/>
      <c r="AC3491" s="3054">
        <v>12</v>
      </c>
      <c r="AD3491" s="865"/>
      <c r="AE3491" s="865"/>
      <c r="AF3491" s="865"/>
      <c r="AG3491" s="865"/>
      <c r="BB3491" s="575"/>
      <c r="BC3491" s="576"/>
      <c r="BD3491" s="678"/>
      <c r="BE3491" s="585"/>
    </row>
    <row r="3492" spans="1:57" s="1942" customFormat="1" ht="15" hidden="1" customHeight="1" outlineLevel="1" x14ac:dyDescent="0.25">
      <c r="A3492" s="2060"/>
      <c r="B3492" s="576"/>
      <c r="C3492" s="328"/>
      <c r="D3492" s="3990"/>
      <c r="E3492" s="4009"/>
      <c r="F3492" s="3016" t="str">
        <f t="shared" si="254"/>
        <v>ASHP-SEER15-Replace_CAC_NonElectricHeat_ER2_SF</v>
      </c>
      <c r="G3492" s="2673"/>
      <c r="H3492" s="2673"/>
      <c r="I3492" s="2673"/>
      <c r="J3492" s="3301" t="str">
        <f t="shared" si="255"/>
        <v>352310_2021_12_</v>
      </c>
      <c r="K3492" s="3054">
        <v>12</v>
      </c>
      <c r="L3492" s="850"/>
      <c r="M3492" s="858"/>
      <c r="N3492" s="123"/>
      <c r="O3492" s="228"/>
      <c r="P3492" s="844"/>
      <c r="Q3492" s="844"/>
      <c r="R3492" s="844"/>
      <c r="S3492" s="832"/>
      <c r="T3492" s="3082"/>
      <c r="U3492" s="123"/>
      <c r="V3492" s="4031"/>
      <c r="W3492" s="865"/>
      <c r="X3492" s="865"/>
      <c r="Y3492" s="865"/>
      <c r="Z3492" s="865"/>
      <c r="AA3492" s="865"/>
      <c r="AB3492" s="865"/>
      <c r="AC3492" s="3054">
        <v>12</v>
      </c>
      <c r="AD3492" s="865"/>
      <c r="AE3492" s="865"/>
      <c r="AF3492" s="865"/>
      <c r="AG3492" s="865"/>
      <c r="BB3492" s="575"/>
      <c r="BC3492" s="576"/>
      <c r="BD3492" s="678"/>
      <c r="BE3492" s="585"/>
    </row>
    <row r="3493" spans="1:57" s="51" customFormat="1" ht="15" hidden="1" customHeight="1" outlineLevel="1" x14ac:dyDescent="0.25">
      <c r="A3493" s="2060"/>
      <c r="B3493" s="576"/>
      <c r="C3493" s="328"/>
      <c r="D3493" s="3990"/>
      <c r="E3493" s="4009"/>
      <c r="F3493" s="3016" t="str">
        <f t="shared" ref="F3493:F3556" si="256">E1415</f>
        <v>ASHP-SEER15_ER1_SF</v>
      </c>
      <c r="G3493" s="2673"/>
      <c r="H3493" s="2673"/>
      <c r="I3493" s="2673"/>
      <c r="J3493" s="3301" t="str">
        <f t="shared" si="255"/>
        <v>352350_2021_12_</v>
      </c>
      <c r="K3493" s="865">
        <v>6</v>
      </c>
      <c r="L3493" s="850"/>
      <c r="M3493" s="858"/>
      <c r="N3493" s="123"/>
      <c r="O3493" s="228"/>
      <c r="P3493" s="844"/>
      <c r="Q3493" s="844"/>
      <c r="R3493" s="844"/>
      <c r="S3493" s="832"/>
      <c r="T3493" s="3082"/>
      <c r="U3493" s="123"/>
      <c r="V3493" s="4031"/>
      <c r="W3493" s="865">
        <v>6</v>
      </c>
      <c r="X3493" s="865">
        <v>6</v>
      </c>
      <c r="Y3493" s="865">
        <v>6</v>
      </c>
      <c r="Z3493" s="865">
        <v>6</v>
      </c>
      <c r="AA3493" s="865">
        <v>6</v>
      </c>
      <c r="AB3493" s="865">
        <v>6</v>
      </c>
      <c r="AC3493" s="865">
        <v>6</v>
      </c>
      <c r="AD3493" s="865"/>
      <c r="AE3493" s="865"/>
      <c r="AF3493" s="865"/>
      <c r="AG3493" s="865"/>
      <c r="AH3493" s="1942"/>
      <c r="AI3493" s="1942"/>
      <c r="AJ3493" s="1942"/>
      <c r="AK3493" s="1942"/>
      <c r="AL3493" s="1942"/>
      <c r="AM3493" s="1942"/>
      <c r="AN3493" s="1942"/>
      <c r="AO3493" s="1942"/>
      <c r="AP3493" s="1942"/>
      <c r="AQ3493" s="1942"/>
      <c r="AR3493" s="1942"/>
      <c r="AS3493" s="1942"/>
      <c r="AT3493" s="1942"/>
      <c r="AU3493" s="1942"/>
      <c r="AV3493" s="1942"/>
      <c r="AW3493" s="1942"/>
      <c r="AX3493" s="1942"/>
      <c r="AY3493" s="1942"/>
      <c r="AZ3493" s="1942"/>
      <c r="BA3493" s="1942"/>
      <c r="BB3493" s="575"/>
      <c r="BC3493" s="576"/>
      <c r="BD3493" s="678"/>
      <c r="BE3493" s="585"/>
    </row>
    <row r="3494" spans="1:57" s="51" customFormat="1" ht="15" hidden="1" customHeight="1" outlineLevel="1" x14ac:dyDescent="0.25">
      <c r="A3494" s="2060"/>
      <c r="B3494" s="576"/>
      <c r="C3494" s="328"/>
      <c r="D3494" s="3990"/>
      <c r="E3494" s="4009"/>
      <c r="F3494" s="3016" t="str">
        <f t="shared" si="256"/>
        <v>ASHP-SEER15_ER1_SF</v>
      </c>
      <c r="G3494" s="2673"/>
      <c r="H3494" s="2673"/>
      <c r="I3494" s="2673"/>
      <c r="J3494" s="3301" t="str">
        <f t="shared" ref="J3494:J3500" si="257">C1416</f>
        <v>352350_2021_12_</v>
      </c>
      <c r="K3494" s="865">
        <v>6</v>
      </c>
      <c r="L3494" s="850"/>
      <c r="M3494" s="858"/>
      <c r="N3494" s="123"/>
      <c r="O3494" s="228"/>
      <c r="P3494" s="844"/>
      <c r="Q3494" s="844"/>
      <c r="R3494" s="844"/>
      <c r="S3494" s="832"/>
      <c r="T3494" s="3082"/>
      <c r="U3494" s="123"/>
      <c r="V3494" s="4031"/>
      <c r="W3494" s="865">
        <v>6</v>
      </c>
      <c r="X3494" s="865">
        <v>6</v>
      </c>
      <c r="Y3494" s="865">
        <v>6</v>
      </c>
      <c r="Z3494" s="865">
        <v>6</v>
      </c>
      <c r="AA3494" s="865">
        <v>6</v>
      </c>
      <c r="AB3494" s="865">
        <v>6</v>
      </c>
      <c r="AC3494" s="865">
        <v>6</v>
      </c>
      <c r="AD3494" s="865"/>
      <c r="AE3494" s="865"/>
      <c r="AF3494" s="865"/>
      <c r="AG3494" s="865"/>
      <c r="AH3494" s="1942"/>
      <c r="AI3494" s="1942"/>
      <c r="AJ3494" s="1942"/>
      <c r="AK3494" s="1942"/>
      <c r="AL3494" s="1942"/>
      <c r="AM3494" s="1942"/>
      <c r="AN3494" s="1942"/>
      <c r="AO3494" s="1942"/>
      <c r="AP3494" s="1942"/>
      <c r="AQ3494" s="1942"/>
      <c r="AR3494" s="1942"/>
      <c r="AS3494" s="1942"/>
      <c r="AT3494" s="1942"/>
      <c r="AU3494" s="1942"/>
      <c r="AV3494" s="1942"/>
      <c r="AW3494" s="1942"/>
      <c r="AX3494" s="1942"/>
      <c r="AY3494" s="1942"/>
      <c r="AZ3494" s="1942"/>
      <c r="BA3494" s="1942"/>
      <c r="BB3494" s="575"/>
      <c r="BC3494" s="576"/>
      <c r="BD3494" s="678"/>
      <c r="BE3494" s="585"/>
    </row>
    <row r="3495" spans="1:57" s="51" customFormat="1" ht="15" hidden="1" customHeight="1" outlineLevel="1" x14ac:dyDescent="0.25">
      <c r="A3495" s="2060"/>
      <c r="B3495" s="576"/>
      <c r="C3495" s="328"/>
      <c r="D3495" s="3990"/>
      <c r="E3495" s="4009"/>
      <c r="F3495" s="3016" t="str">
        <f t="shared" si="256"/>
        <v>ASHP-SEER15_ER2_SF</v>
      </c>
      <c r="G3495" s="2673"/>
      <c r="H3495" s="2673"/>
      <c r="I3495" s="2673"/>
      <c r="J3495" s="3301" t="str">
        <f t="shared" si="257"/>
        <v>352350_2021_12_</v>
      </c>
      <c r="K3495" s="865">
        <v>12</v>
      </c>
      <c r="L3495" s="850"/>
      <c r="M3495" s="858"/>
      <c r="N3495" s="123"/>
      <c r="O3495" s="228"/>
      <c r="P3495" s="844"/>
      <c r="Q3495" s="844"/>
      <c r="R3495" s="844"/>
      <c r="S3495" s="832"/>
      <c r="T3495" s="3082"/>
      <c r="U3495" s="123"/>
      <c r="V3495" s="4031"/>
      <c r="W3495" s="865">
        <v>12</v>
      </c>
      <c r="X3495" s="865">
        <v>12</v>
      </c>
      <c r="Y3495" s="865">
        <v>12</v>
      </c>
      <c r="Z3495" s="865">
        <v>12</v>
      </c>
      <c r="AA3495" s="865">
        <v>12</v>
      </c>
      <c r="AB3495" s="865">
        <v>12</v>
      </c>
      <c r="AC3495" s="865">
        <v>12</v>
      </c>
      <c r="AD3495" s="865"/>
      <c r="AE3495" s="865"/>
      <c r="AF3495" s="865"/>
      <c r="AG3495" s="865"/>
      <c r="AH3495" s="1942"/>
      <c r="AI3495" s="1942"/>
      <c r="AJ3495" s="1942"/>
      <c r="AK3495" s="1942"/>
      <c r="AL3495" s="1942"/>
      <c r="AM3495" s="1942"/>
      <c r="AN3495" s="1942"/>
      <c r="AO3495" s="1942"/>
      <c r="AP3495" s="1942"/>
      <c r="AQ3495" s="1942"/>
      <c r="AR3495" s="1942"/>
      <c r="AS3495" s="1942"/>
      <c r="AT3495" s="1942"/>
      <c r="AU3495" s="1942"/>
      <c r="AV3495" s="1942"/>
      <c r="AW3495" s="1942"/>
      <c r="AX3495" s="1942"/>
      <c r="AY3495" s="1942"/>
      <c r="AZ3495" s="1942"/>
      <c r="BA3495" s="1942"/>
      <c r="BB3495" s="575"/>
      <c r="BC3495" s="576"/>
      <c r="BD3495" s="678"/>
      <c r="BE3495" s="585"/>
    </row>
    <row r="3496" spans="1:57" s="51" customFormat="1" ht="15" hidden="1" customHeight="1" outlineLevel="1" x14ac:dyDescent="0.25">
      <c r="A3496" s="2060"/>
      <c r="B3496" s="576"/>
      <c r="C3496" s="328"/>
      <c r="D3496" s="3990"/>
      <c r="E3496" s="4009"/>
      <c r="F3496" s="3016" t="str">
        <f t="shared" si="256"/>
        <v>ASHP-SEER15_ER2_SF</v>
      </c>
      <c r="G3496" s="2673"/>
      <c r="H3496" s="2673"/>
      <c r="I3496" s="2673"/>
      <c r="J3496" s="3301" t="str">
        <f t="shared" si="257"/>
        <v>352350_2021_12_</v>
      </c>
      <c r="K3496" s="865">
        <v>12</v>
      </c>
      <c r="L3496" s="850"/>
      <c r="M3496" s="858"/>
      <c r="N3496" s="123"/>
      <c r="O3496" s="228"/>
      <c r="P3496" s="844"/>
      <c r="Q3496" s="844"/>
      <c r="R3496" s="844"/>
      <c r="S3496" s="832"/>
      <c r="T3496" s="3082"/>
      <c r="U3496" s="123"/>
      <c r="V3496" s="4031"/>
      <c r="W3496" s="865">
        <v>12</v>
      </c>
      <c r="X3496" s="865">
        <v>12</v>
      </c>
      <c r="Y3496" s="865">
        <v>12</v>
      </c>
      <c r="Z3496" s="865">
        <v>12</v>
      </c>
      <c r="AA3496" s="865">
        <v>12</v>
      </c>
      <c r="AB3496" s="865">
        <v>12</v>
      </c>
      <c r="AC3496" s="865">
        <v>12</v>
      </c>
      <c r="AD3496" s="865"/>
      <c r="AE3496" s="865"/>
      <c r="AF3496" s="865"/>
      <c r="AG3496" s="865"/>
      <c r="AH3496" s="1942"/>
      <c r="AI3496" s="1942"/>
      <c r="AJ3496" s="1942"/>
      <c r="AK3496" s="1942"/>
      <c r="AL3496" s="1942"/>
      <c r="AM3496" s="1942"/>
      <c r="AN3496" s="1942"/>
      <c r="AO3496" s="1942"/>
      <c r="AP3496" s="1942"/>
      <c r="AQ3496" s="1942"/>
      <c r="AR3496" s="1942"/>
      <c r="AS3496" s="1942"/>
      <c r="AT3496" s="1942"/>
      <c r="AU3496" s="1942"/>
      <c r="AV3496" s="1942"/>
      <c r="AW3496" s="1942"/>
      <c r="AX3496" s="1942"/>
      <c r="AY3496" s="1942"/>
      <c r="AZ3496" s="1942"/>
      <c r="BA3496" s="1942"/>
      <c r="BB3496" s="575"/>
      <c r="BC3496" s="576"/>
      <c r="BD3496" s="678"/>
      <c r="BE3496" s="585"/>
    </row>
    <row r="3497" spans="1:57" s="51" customFormat="1" ht="15" hidden="1" customHeight="1" outlineLevel="1" x14ac:dyDescent="0.25">
      <c r="A3497" s="2060"/>
      <c r="B3497" s="576"/>
      <c r="C3497" s="328"/>
      <c r="D3497" s="3990"/>
      <c r="E3497" s="4009"/>
      <c r="F3497" s="3016" t="str">
        <f t="shared" si="256"/>
        <v>ASHP-SEER15-Replace_CAC_ElectricHeat_ROF_SF</v>
      </c>
      <c r="G3497" s="2673"/>
      <c r="H3497" s="2673"/>
      <c r="I3497" s="2673"/>
      <c r="J3497" s="3301" t="str">
        <f t="shared" si="257"/>
        <v>352400_2021_12_</v>
      </c>
      <c r="K3497" s="865">
        <v>18</v>
      </c>
      <c r="L3497" s="850"/>
      <c r="M3497" s="858"/>
      <c r="N3497" s="123"/>
      <c r="O3497" s="228"/>
      <c r="P3497" s="844"/>
      <c r="Q3497" s="844"/>
      <c r="R3497" s="844"/>
      <c r="S3497" s="832"/>
      <c r="T3497" s="3082"/>
      <c r="U3497" s="123"/>
      <c r="V3497" s="4031"/>
      <c r="W3497" s="865">
        <v>18</v>
      </c>
      <c r="X3497" s="865">
        <v>18</v>
      </c>
      <c r="Y3497" s="865">
        <v>18</v>
      </c>
      <c r="Z3497" s="865">
        <v>18</v>
      </c>
      <c r="AA3497" s="865">
        <v>18</v>
      </c>
      <c r="AB3497" s="865">
        <v>18</v>
      </c>
      <c r="AC3497" s="865">
        <v>18</v>
      </c>
      <c r="AD3497" s="865"/>
      <c r="AE3497" s="865"/>
      <c r="AF3497" s="865"/>
      <c r="AG3497" s="865"/>
      <c r="AH3497" s="1942"/>
      <c r="AI3497" s="1942"/>
      <c r="AJ3497" s="1942"/>
      <c r="AK3497" s="1942"/>
      <c r="AL3497" s="1942"/>
      <c r="AM3497" s="1942"/>
      <c r="AN3497" s="1942"/>
      <c r="AO3497" s="1942"/>
      <c r="AP3497" s="1942"/>
      <c r="AQ3497" s="1942"/>
      <c r="AR3497" s="1942"/>
      <c r="AS3497" s="1942"/>
      <c r="AT3497" s="1942"/>
      <c r="AU3497" s="1942"/>
      <c r="AV3497" s="1942"/>
      <c r="AW3497" s="1942"/>
      <c r="AX3497" s="1942"/>
      <c r="AY3497" s="1942"/>
      <c r="AZ3497" s="1942"/>
      <c r="BA3497" s="1942"/>
      <c r="BB3497" s="575"/>
      <c r="BC3497" s="576"/>
      <c r="BD3497" s="678"/>
      <c r="BE3497" s="585"/>
    </row>
    <row r="3498" spans="1:57" s="51" customFormat="1" ht="15" hidden="1" customHeight="1" outlineLevel="1" x14ac:dyDescent="0.25">
      <c r="A3498" s="2060"/>
      <c r="B3498" s="576"/>
      <c r="C3498" s="328"/>
      <c r="D3498" s="3990"/>
      <c r="E3498" s="4009"/>
      <c r="F3498" s="3016" t="str">
        <f t="shared" si="256"/>
        <v>ASHP-SEER15-Replace_CAC_ElectricHeat_ROF_SF</v>
      </c>
      <c r="G3498" s="2673"/>
      <c r="H3498" s="2673"/>
      <c r="I3498" s="2673"/>
      <c r="J3498" s="3301" t="str">
        <f t="shared" si="257"/>
        <v>352400_2021_12_</v>
      </c>
      <c r="K3498" s="865">
        <v>18</v>
      </c>
      <c r="L3498" s="851"/>
      <c r="M3498" s="858"/>
      <c r="N3498" s="123"/>
      <c r="O3498" s="228"/>
      <c r="P3498" s="844"/>
      <c r="Q3498" s="844"/>
      <c r="R3498" s="844"/>
      <c r="S3498" s="832"/>
      <c r="T3498" s="3082"/>
      <c r="U3498" s="123"/>
      <c r="V3498" s="4031"/>
      <c r="W3498" s="865">
        <v>18</v>
      </c>
      <c r="X3498" s="865">
        <v>18</v>
      </c>
      <c r="Y3498" s="865">
        <v>18</v>
      </c>
      <c r="Z3498" s="865">
        <v>18</v>
      </c>
      <c r="AA3498" s="865">
        <v>18</v>
      </c>
      <c r="AB3498" s="865">
        <v>18</v>
      </c>
      <c r="AC3498" s="865">
        <v>18</v>
      </c>
      <c r="AD3498" s="865"/>
      <c r="AE3498" s="865"/>
      <c r="AF3498" s="865"/>
      <c r="AG3498" s="865"/>
      <c r="AH3498" s="1942"/>
      <c r="AI3498" s="1942"/>
      <c r="AJ3498" s="1942"/>
      <c r="AK3498" s="1942"/>
      <c r="AL3498" s="1942"/>
      <c r="AM3498" s="1942"/>
      <c r="AN3498" s="1942"/>
      <c r="AO3498" s="1942"/>
      <c r="AP3498" s="1942"/>
      <c r="AQ3498" s="1942"/>
      <c r="AR3498" s="1942"/>
      <c r="AS3498" s="1942"/>
      <c r="AT3498" s="1942"/>
      <c r="AU3498" s="1942"/>
      <c r="AV3498" s="1942"/>
      <c r="AW3498" s="1942"/>
      <c r="AX3498" s="1942"/>
      <c r="AY3498" s="1942"/>
      <c r="AZ3498" s="1942"/>
      <c r="BA3498" s="1942"/>
      <c r="BB3498" s="575"/>
      <c r="BC3498" s="576"/>
      <c r="BD3498" s="678"/>
      <c r="BE3498" s="585"/>
    </row>
    <row r="3499" spans="1:57" s="1942" customFormat="1" ht="15" hidden="1" customHeight="1" outlineLevel="1" x14ac:dyDescent="0.25">
      <c r="A3499" s="2060"/>
      <c r="B3499" s="576"/>
      <c r="C3499" s="328"/>
      <c r="D3499" s="3990"/>
      <c r="E3499" s="4009"/>
      <c r="F3499" s="3016" t="str">
        <f t="shared" si="256"/>
        <v>ASHP-SEER15-Replace_CAC_NonElectricHeat_ROF_SF</v>
      </c>
      <c r="G3499" s="2673"/>
      <c r="H3499" s="2673"/>
      <c r="I3499" s="2673"/>
      <c r="J3499" s="3301" t="str">
        <f t="shared" si="257"/>
        <v>352410_2021_12_</v>
      </c>
      <c r="K3499" s="3054">
        <v>18</v>
      </c>
      <c r="L3499" s="851"/>
      <c r="M3499" s="858"/>
      <c r="N3499" s="123"/>
      <c r="O3499" s="228"/>
      <c r="P3499" s="844"/>
      <c r="Q3499" s="844"/>
      <c r="R3499" s="844"/>
      <c r="S3499" s="832"/>
      <c r="T3499" s="3082"/>
      <c r="U3499" s="123"/>
      <c r="V3499" s="4031"/>
      <c r="W3499" s="865"/>
      <c r="X3499" s="865"/>
      <c r="Y3499" s="865"/>
      <c r="Z3499" s="865"/>
      <c r="AA3499" s="865"/>
      <c r="AB3499" s="865"/>
      <c r="AC3499" s="3054">
        <v>18</v>
      </c>
      <c r="AD3499" s="865"/>
      <c r="AE3499" s="865"/>
      <c r="AF3499" s="865"/>
      <c r="AG3499" s="865"/>
      <c r="BB3499" s="575"/>
      <c r="BC3499" s="576"/>
      <c r="BD3499" s="678"/>
      <c r="BE3499" s="585"/>
    </row>
    <row r="3500" spans="1:57" s="1942" customFormat="1" ht="15" hidden="1" customHeight="1" outlineLevel="1" x14ac:dyDescent="0.25">
      <c r="A3500" s="2060"/>
      <c r="B3500" s="576"/>
      <c r="C3500" s="328"/>
      <c r="D3500" s="3990"/>
      <c r="E3500" s="4009"/>
      <c r="F3500" s="3016" t="str">
        <f t="shared" si="256"/>
        <v>ASHP-SEER15-Replace_CAC_NonElectricHeat_ROF_SF</v>
      </c>
      <c r="G3500" s="2673"/>
      <c r="H3500" s="2673"/>
      <c r="I3500" s="2673"/>
      <c r="J3500" s="3301" t="str">
        <f t="shared" si="257"/>
        <v>352410_2021_12_</v>
      </c>
      <c r="K3500" s="3054">
        <v>18</v>
      </c>
      <c r="L3500" s="851"/>
      <c r="M3500" s="858"/>
      <c r="N3500" s="123"/>
      <c r="O3500" s="228"/>
      <c r="P3500" s="844"/>
      <c r="Q3500" s="844"/>
      <c r="R3500" s="844"/>
      <c r="S3500" s="832"/>
      <c r="T3500" s="3082"/>
      <c r="U3500" s="123"/>
      <c r="V3500" s="4031"/>
      <c r="W3500" s="865"/>
      <c r="X3500" s="865"/>
      <c r="Y3500" s="865"/>
      <c r="Z3500" s="865"/>
      <c r="AA3500" s="865"/>
      <c r="AB3500" s="865"/>
      <c r="AC3500" s="3054">
        <v>18</v>
      </c>
      <c r="AD3500" s="865"/>
      <c r="AE3500" s="865"/>
      <c r="AF3500" s="865"/>
      <c r="AG3500" s="865"/>
      <c r="BB3500" s="575"/>
      <c r="BC3500" s="576"/>
      <c r="BD3500" s="678"/>
      <c r="BE3500" s="585"/>
    </row>
    <row r="3501" spans="1:57" s="51" customFormat="1" ht="15" hidden="1" customHeight="1" outlineLevel="1" x14ac:dyDescent="0.25">
      <c r="A3501" s="2060"/>
      <c r="B3501" s="576"/>
      <c r="C3501" s="328"/>
      <c r="D3501" s="3990"/>
      <c r="E3501" s="4009"/>
      <c r="F3501" s="3016" t="str">
        <f t="shared" si="256"/>
        <v>ASHP-SEER15_ROF_SF</v>
      </c>
      <c r="G3501" s="2673"/>
      <c r="H3501" s="2673"/>
      <c r="I3501" s="2673"/>
      <c r="J3501" s="3301" t="str">
        <f t="shared" ref="J3501:J3510" si="258">C1423</f>
        <v>352450_2021_12_</v>
      </c>
      <c r="K3501" s="865">
        <v>18</v>
      </c>
      <c r="L3501" s="851"/>
      <c r="M3501" s="858"/>
      <c r="N3501" s="123"/>
      <c r="O3501" s="228"/>
      <c r="P3501" s="844"/>
      <c r="Q3501" s="844"/>
      <c r="R3501" s="844"/>
      <c r="S3501" s="832"/>
      <c r="T3501" s="3082"/>
      <c r="U3501" s="123"/>
      <c r="V3501" s="4031"/>
      <c r="W3501" s="865">
        <v>18</v>
      </c>
      <c r="X3501" s="865">
        <v>18</v>
      </c>
      <c r="Y3501" s="865">
        <v>18</v>
      </c>
      <c r="Z3501" s="865">
        <v>18</v>
      </c>
      <c r="AA3501" s="865">
        <v>18</v>
      </c>
      <c r="AB3501" s="865">
        <v>18</v>
      </c>
      <c r="AC3501" s="865">
        <v>18</v>
      </c>
      <c r="AD3501" s="865"/>
      <c r="AE3501" s="865"/>
      <c r="AF3501" s="865"/>
      <c r="AG3501" s="865"/>
      <c r="AH3501" s="1942"/>
      <c r="AI3501" s="1942"/>
      <c r="AJ3501" s="1942"/>
      <c r="AK3501" s="1942"/>
      <c r="AL3501" s="1942"/>
      <c r="AM3501" s="1942"/>
      <c r="AN3501" s="1942"/>
      <c r="AO3501" s="1942"/>
      <c r="AP3501" s="1942"/>
      <c r="AQ3501" s="1942"/>
      <c r="AR3501" s="1942"/>
      <c r="AS3501" s="1942"/>
      <c r="AT3501" s="1942"/>
      <c r="AU3501" s="1942"/>
      <c r="AV3501" s="1942"/>
      <c r="AW3501" s="1942"/>
      <c r="AX3501" s="1942"/>
      <c r="AY3501" s="1942"/>
      <c r="AZ3501" s="1942"/>
      <c r="BA3501" s="1942"/>
      <c r="BB3501" s="575"/>
      <c r="BC3501" s="576"/>
      <c r="BD3501" s="678"/>
      <c r="BE3501" s="585"/>
    </row>
    <row r="3502" spans="1:57" s="51" customFormat="1" ht="15" hidden="1" customHeight="1" outlineLevel="1" x14ac:dyDescent="0.25">
      <c r="A3502" s="2060"/>
      <c r="B3502" s="576"/>
      <c r="C3502" s="328"/>
      <c r="D3502" s="3990"/>
      <c r="E3502" s="4009"/>
      <c r="F3502" s="3016" t="str">
        <f t="shared" si="256"/>
        <v>ASHP-SEER15_ROF_SF</v>
      </c>
      <c r="G3502" s="2673"/>
      <c r="H3502" s="2673"/>
      <c r="I3502" s="2673"/>
      <c r="J3502" s="3301" t="str">
        <f t="shared" si="258"/>
        <v>352450_2021_12_</v>
      </c>
      <c r="K3502" s="865">
        <v>18</v>
      </c>
      <c r="L3502" s="851"/>
      <c r="M3502" s="858"/>
      <c r="N3502" s="123"/>
      <c r="O3502" s="228"/>
      <c r="P3502" s="844"/>
      <c r="Q3502" s="844"/>
      <c r="R3502" s="844"/>
      <c r="S3502" s="832"/>
      <c r="T3502" s="3082"/>
      <c r="U3502" s="123"/>
      <c r="V3502" s="4031"/>
      <c r="W3502" s="865">
        <v>18</v>
      </c>
      <c r="X3502" s="865">
        <v>18</v>
      </c>
      <c r="Y3502" s="865">
        <v>18</v>
      </c>
      <c r="Z3502" s="865">
        <v>18</v>
      </c>
      <c r="AA3502" s="865">
        <v>18</v>
      </c>
      <c r="AB3502" s="865">
        <v>18</v>
      </c>
      <c r="AC3502" s="865">
        <v>18</v>
      </c>
      <c r="AD3502" s="865"/>
      <c r="AE3502" s="865"/>
      <c r="AF3502" s="865"/>
      <c r="AG3502" s="865"/>
      <c r="AH3502" s="1942"/>
      <c r="AI3502" s="1942"/>
      <c r="AJ3502" s="1942"/>
      <c r="AK3502" s="1942"/>
      <c r="AL3502" s="1942"/>
      <c r="AM3502" s="1942"/>
      <c r="AN3502" s="1942"/>
      <c r="AO3502" s="1942"/>
      <c r="AP3502" s="1942"/>
      <c r="AQ3502" s="1942"/>
      <c r="AR3502" s="1942"/>
      <c r="AS3502" s="1942"/>
      <c r="AT3502" s="1942"/>
      <c r="AU3502" s="1942"/>
      <c r="AV3502" s="1942"/>
      <c r="AW3502" s="1942"/>
      <c r="AX3502" s="1942"/>
      <c r="AY3502" s="1942"/>
      <c r="AZ3502" s="1942"/>
      <c r="BA3502" s="1942"/>
      <c r="BB3502" s="575"/>
      <c r="BC3502" s="576"/>
      <c r="BD3502" s="678"/>
      <c r="BE3502" s="585"/>
    </row>
    <row r="3503" spans="1:57" s="51" customFormat="1" ht="15" hidden="1" customHeight="1" outlineLevel="1" x14ac:dyDescent="0.25">
      <c r="A3503" s="2060"/>
      <c r="B3503" s="576"/>
      <c r="C3503" s="328"/>
      <c r="D3503" s="3990"/>
      <c r="E3503" s="4009"/>
      <c r="F3503" s="3016" t="str">
        <f t="shared" si="256"/>
        <v>ASHP-SEER16-Replace_CAC_ElectricHeat_ER1_SF</v>
      </c>
      <c r="G3503" s="2673"/>
      <c r="H3503" s="2673"/>
      <c r="I3503" s="2673"/>
      <c r="J3503" s="3301" t="str">
        <f t="shared" si="258"/>
        <v>352500_2021_12_</v>
      </c>
      <c r="K3503" s="865">
        <v>6</v>
      </c>
      <c r="L3503" s="851"/>
      <c r="M3503" s="698"/>
      <c r="N3503" s="123"/>
      <c r="O3503" s="228"/>
      <c r="P3503" s="844"/>
      <c r="Q3503" s="844"/>
      <c r="R3503" s="844"/>
      <c r="S3503" s="832"/>
      <c r="T3503" s="3082"/>
      <c r="U3503" s="123"/>
      <c r="V3503" s="4031"/>
      <c r="W3503" s="865">
        <v>6</v>
      </c>
      <c r="X3503" s="865">
        <v>6</v>
      </c>
      <c r="Y3503" s="865">
        <v>6</v>
      </c>
      <c r="Z3503" s="865">
        <v>6</v>
      </c>
      <c r="AA3503" s="865">
        <v>6</v>
      </c>
      <c r="AB3503" s="865">
        <v>6</v>
      </c>
      <c r="AC3503" s="865">
        <v>6</v>
      </c>
      <c r="AD3503" s="865"/>
      <c r="AE3503" s="865"/>
      <c r="AF3503" s="865"/>
      <c r="AG3503" s="865"/>
      <c r="AH3503" s="1942"/>
      <c r="AI3503" s="1942"/>
      <c r="AJ3503" s="1942"/>
      <c r="AK3503" s="1942"/>
      <c r="AL3503" s="1942"/>
      <c r="AM3503" s="1942"/>
      <c r="AN3503" s="1942"/>
      <c r="AO3503" s="1942"/>
      <c r="AP3503" s="1942"/>
      <c r="AQ3503" s="1942"/>
      <c r="AR3503" s="1942"/>
      <c r="AS3503" s="1942"/>
      <c r="AT3503" s="1942"/>
      <c r="AU3503" s="1942"/>
      <c r="AV3503" s="1942"/>
      <c r="AW3503" s="1942"/>
      <c r="AX3503" s="1942"/>
      <c r="AY3503" s="1942"/>
      <c r="AZ3503" s="1942"/>
      <c r="BA3503" s="1942"/>
      <c r="BB3503" s="575"/>
      <c r="BC3503" s="576"/>
      <c r="BD3503" s="678"/>
      <c r="BE3503" s="585"/>
    </row>
    <row r="3504" spans="1:57" s="51" customFormat="1" ht="15" hidden="1" customHeight="1" outlineLevel="1" x14ac:dyDescent="0.25">
      <c r="A3504" s="2060"/>
      <c r="B3504" s="576"/>
      <c r="C3504" s="328"/>
      <c r="D3504" s="3990"/>
      <c r="E3504" s="4009"/>
      <c r="F3504" s="3016" t="str">
        <f t="shared" si="256"/>
        <v>ASHP-SEER16-Replace_CAC_ElectricHeat_ER1_SF</v>
      </c>
      <c r="G3504" s="2673"/>
      <c r="H3504" s="2673"/>
      <c r="I3504" s="2673"/>
      <c r="J3504" s="3301" t="str">
        <f t="shared" si="258"/>
        <v>352500_2021_12_</v>
      </c>
      <c r="K3504" s="865">
        <v>6</v>
      </c>
      <c r="L3504" s="851"/>
      <c r="M3504" s="698"/>
      <c r="N3504" s="123"/>
      <c r="O3504" s="228"/>
      <c r="P3504" s="844"/>
      <c r="Q3504" s="844"/>
      <c r="R3504" s="844"/>
      <c r="S3504" s="832"/>
      <c r="T3504" s="3082"/>
      <c r="U3504" s="123"/>
      <c r="V3504" s="4031"/>
      <c r="W3504" s="865">
        <v>6</v>
      </c>
      <c r="X3504" s="865">
        <v>6</v>
      </c>
      <c r="Y3504" s="865">
        <v>6</v>
      </c>
      <c r="Z3504" s="865">
        <v>6</v>
      </c>
      <c r="AA3504" s="865">
        <v>6</v>
      </c>
      <c r="AB3504" s="865">
        <v>6</v>
      </c>
      <c r="AC3504" s="865">
        <v>6</v>
      </c>
      <c r="AD3504" s="865"/>
      <c r="AE3504" s="865"/>
      <c r="AF3504" s="865"/>
      <c r="AG3504" s="865"/>
      <c r="AH3504" s="1942"/>
      <c r="AI3504" s="1942"/>
      <c r="AJ3504" s="1942"/>
      <c r="AK3504" s="1942"/>
      <c r="AL3504" s="1942"/>
      <c r="AM3504" s="1942"/>
      <c r="AN3504" s="1942"/>
      <c r="AO3504" s="1942"/>
      <c r="AP3504" s="1942"/>
      <c r="AQ3504" s="1942"/>
      <c r="AR3504" s="1942"/>
      <c r="AS3504" s="1942"/>
      <c r="AT3504" s="1942"/>
      <c r="AU3504" s="1942"/>
      <c r="AV3504" s="1942"/>
      <c r="AW3504" s="1942"/>
      <c r="AX3504" s="1942"/>
      <c r="AY3504" s="1942"/>
      <c r="AZ3504" s="1942"/>
      <c r="BA3504" s="1942"/>
      <c r="BB3504" s="575"/>
      <c r="BC3504" s="576"/>
      <c r="BD3504" s="678"/>
      <c r="BE3504" s="585"/>
    </row>
    <row r="3505" spans="1:57" s="51" customFormat="1" ht="15" hidden="1" customHeight="1" outlineLevel="1" x14ac:dyDescent="0.25">
      <c r="A3505" s="2060"/>
      <c r="B3505" s="576"/>
      <c r="C3505" s="328"/>
      <c r="D3505" s="3990"/>
      <c r="E3505" s="4009"/>
      <c r="F3505" s="3016" t="str">
        <f t="shared" si="256"/>
        <v>ASHP-SEER16-Replace_CAC_ElectricHeat_ER2_SF</v>
      </c>
      <c r="G3505" s="2673"/>
      <c r="H3505" s="2673"/>
      <c r="I3505" s="2673"/>
      <c r="J3505" s="3301" t="str">
        <f t="shared" si="258"/>
        <v>352500_2021_12_</v>
      </c>
      <c r="K3505" s="865">
        <v>12</v>
      </c>
      <c r="L3505" s="851"/>
      <c r="M3505" s="698"/>
      <c r="N3505" s="123"/>
      <c r="O3505" s="228"/>
      <c r="P3505" s="844"/>
      <c r="Q3505" s="844"/>
      <c r="R3505" s="844"/>
      <c r="S3505" s="832"/>
      <c r="T3505" s="3082"/>
      <c r="U3505" s="123"/>
      <c r="V3505" s="4031"/>
      <c r="W3505" s="865">
        <v>12</v>
      </c>
      <c r="X3505" s="865">
        <v>12</v>
      </c>
      <c r="Y3505" s="865">
        <v>12</v>
      </c>
      <c r="Z3505" s="865">
        <v>12</v>
      </c>
      <c r="AA3505" s="865">
        <v>12</v>
      </c>
      <c r="AB3505" s="865">
        <v>12</v>
      </c>
      <c r="AC3505" s="865">
        <v>12</v>
      </c>
      <c r="AD3505" s="865"/>
      <c r="AE3505" s="865"/>
      <c r="AF3505" s="865"/>
      <c r="AG3505" s="865"/>
      <c r="AH3505" s="1942"/>
      <c r="AI3505" s="1942"/>
      <c r="AJ3505" s="1942"/>
      <c r="AK3505" s="1942"/>
      <c r="AL3505" s="1942"/>
      <c r="AM3505" s="1942"/>
      <c r="AN3505" s="1942"/>
      <c r="AO3505" s="1942"/>
      <c r="AP3505" s="1942"/>
      <c r="AQ3505" s="1942"/>
      <c r="AR3505" s="1942"/>
      <c r="AS3505" s="1942"/>
      <c r="AT3505" s="1942"/>
      <c r="AU3505" s="1942"/>
      <c r="AV3505" s="1942"/>
      <c r="AW3505" s="1942"/>
      <c r="AX3505" s="1942"/>
      <c r="AY3505" s="1942"/>
      <c r="AZ3505" s="1942"/>
      <c r="BA3505" s="1942"/>
      <c r="BB3505" s="575"/>
      <c r="BC3505" s="576"/>
      <c r="BD3505" s="678"/>
      <c r="BE3505" s="585"/>
    </row>
    <row r="3506" spans="1:57" s="51" customFormat="1" ht="15" hidden="1" customHeight="1" outlineLevel="1" x14ac:dyDescent="0.25">
      <c r="A3506" s="2060"/>
      <c r="B3506" s="576"/>
      <c r="C3506" s="328"/>
      <c r="D3506" s="3990"/>
      <c r="E3506" s="4009"/>
      <c r="F3506" s="3016" t="str">
        <f t="shared" si="256"/>
        <v>ASHP-SEER16-Replace_CAC_ElectricHeat_ER2_SF</v>
      </c>
      <c r="G3506" s="2673"/>
      <c r="H3506" s="2673"/>
      <c r="I3506" s="2673"/>
      <c r="J3506" s="3301" t="str">
        <f t="shared" si="258"/>
        <v>352500_2021_12_</v>
      </c>
      <c r="K3506" s="865">
        <v>12</v>
      </c>
      <c r="L3506" s="851"/>
      <c r="M3506" s="698"/>
      <c r="N3506" s="123"/>
      <c r="O3506" s="228"/>
      <c r="P3506" s="844"/>
      <c r="Q3506" s="844"/>
      <c r="R3506" s="844"/>
      <c r="S3506" s="832"/>
      <c r="T3506" s="3082"/>
      <c r="U3506" s="123"/>
      <c r="V3506" s="4031"/>
      <c r="W3506" s="865">
        <v>12</v>
      </c>
      <c r="X3506" s="865">
        <v>12</v>
      </c>
      <c r="Y3506" s="865">
        <v>12</v>
      </c>
      <c r="Z3506" s="865">
        <v>12</v>
      </c>
      <c r="AA3506" s="865">
        <v>12</v>
      </c>
      <c r="AB3506" s="865">
        <v>12</v>
      </c>
      <c r="AC3506" s="865">
        <v>12</v>
      </c>
      <c r="AD3506" s="865"/>
      <c r="AE3506" s="865"/>
      <c r="AF3506" s="865"/>
      <c r="AG3506" s="865"/>
      <c r="AH3506" s="1942"/>
      <c r="AI3506" s="1942"/>
      <c r="AJ3506" s="1942"/>
      <c r="AK3506" s="1942"/>
      <c r="AL3506" s="1942"/>
      <c r="AM3506" s="1942"/>
      <c r="AN3506" s="1942"/>
      <c r="AO3506" s="1942"/>
      <c r="AP3506" s="1942"/>
      <c r="AQ3506" s="1942"/>
      <c r="AR3506" s="1942"/>
      <c r="AS3506" s="1942"/>
      <c r="AT3506" s="1942"/>
      <c r="AU3506" s="1942"/>
      <c r="AV3506" s="1942"/>
      <c r="AW3506" s="1942"/>
      <c r="AX3506" s="1942"/>
      <c r="AY3506" s="1942"/>
      <c r="AZ3506" s="1942"/>
      <c r="BA3506" s="1942"/>
      <c r="BB3506" s="575"/>
      <c r="BC3506" s="576"/>
      <c r="BD3506" s="678"/>
      <c r="BE3506" s="585"/>
    </row>
    <row r="3507" spans="1:57" s="1942" customFormat="1" ht="15" hidden="1" customHeight="1" outlineLevel="1" x14ac:dyDescent="0.25">
      <c r="A3507" s="2060"/>
      <c r="B3507" s="576"/>
      <c r="C3507" s="328"/>
      <c r="D3507" s="3990"/>
      <c r="E3507" s="4009"/>
      <c r="F3507" s="3016" t="str">
        <f t="shared" si="256"/>
        <v>ASHP-SEER16-Replace_CAC_NonElectricHeat_ER1_SF</v>
      </c>
      <c r="G3507" s="2673"/>
      <c r="H3507" s="2673"/>
      <c r="I3507" s="2673"/>
      <c r="J3507" s="3301" t="str">
        <f t="shared" si="258"/>
        <v>352510_2021_12_</v>
      </c>
      <c r="K3507" s="3054">
        <v>6</v>
      </c>
      <c r="L3507" s="851"/>
      <c r="M3507" s="698"/>
      <c r="N3507" s="123"/>
      <c r="O3507" s="228"/>
      <c r="P3507" s="844"/>
      <c r="Q3507" s="844"/>
      <c r="R3507" s="844"/>
      <c r="S3507" s="832"/>
      <c r="T3507" s="3082"/>
      <c r="U3507" s="123"/>
      <c r="V3507" s="4031"/>
      <c r="W3507" s="865"/>
      <c r="X3507" s="865"/>
      <c r="Y3507" s="865"/>
      <c r="Z3507" s="865"/>
      <c r="AA3507" s="865"/>
      <c r="AB3507" s="865"/>
      <c r="AC3507" s="3054">
        <v>6</v>
      </c>
      <c r="AD3507" s="865"/>
      <c r="AE3507" s="865"/>
      <c r="AF3507" s="865"/>
      <c r="AG3507" s="865"/>
      <c r="BB3507" s="575"/>
      <c r="BC3507" s="576"/>
      <c r="BD3507" s="678"/>
      <c r="BE3507" s="585"/>
    </row>
    <row r="3508" spans="1:57" s="1942" customFormat="1" ht="15" hidden="1" customHeight="1" outlineLevel="1" x14ac:dyDescent="0.25">
      <c r="A3508" s="2060"/>
      <c r="B3508" s="576"/>
      <c r="C3508" s="328"/>
      <c r="D3508" s="3990"/>
      <c r="E3508" s="4009"/>
      <c r="F3508" s="3016" t="str">
        <f t="shared" si="256"/>
        <v>ASHP-SEER16-Replace_CAC_NonElectricHeat_ER1_SF</v>
      </c>
      <c r="G3508" s="2673"/>
      <c r="H3508" s="2673"/>
      <c r="I3508" s="2673"/>
      <c r="J3508" s="3301" t="str">
        <f t="shared" si="258"/>
        <v>352510_2021_12_</v>
      </c>
      <c r="K3508" s="3054">
        <v>6</v>
      </c>
      <c r="L3508" s="851"/>
      <c r="M3508" s="698"/>
      <c r="N3508" s="123"/>
      <c r="O3508" s="228"/>
      <c r="P3508" s="844"/>
      <c r="Q3508" s="844"/>
      <c r="R3508" s="844"/>
      <c r="S3508" s="832"/>
      <c r="T3508" s="3082"/>
      <c r="U3508" s="123"/>
      <c r="V3508" s="4031"/>
      <c r="W3508" s="865"/>
      <c r="X3508" s="865"/>
      <c r="Y3508" s="865"/>
      <c r="Z3508" s="865"/>
      <c r="AA3508" s="865"/>
      <c r="AB3508" s="865"/>
      <c r="AC3508" s="3054">
        <v>6</v>
      </c>
      <c r="AD3508" s="865"/>
      <c r="AE3508" s="865"/>
      <c r="AF3508" s="865"/>
      <c r="AG3508" s="865"/>
      <c r="BB3508" s="575"/>
      <c r="BC3508" s="576"/>
      <c r="BD3508" s="678"/>
      <c r="BE3508" s="585"/>
    </row>
    <row r="3509" spans="1:57" s="1942" customFormat="1" ht="15" hidden="1" customHeight="1" outlineLevel="1" x14ac:dyDescent="0.25">
      <c r="A3509" s="2060"/>
      <c r="B3509" s="576"/>
      <c r="C3509" s="328"/>
      <c r="D3509" s="3990"/>
      <c r="E3509" s="4009"/>
      <c r="F3509" s="3016" t="str">
        <f t="shared" si="256"/>
        <v>ASHP-SEER16-Replace_CAC_NonElectricHeat_ER2_SF</v>
      </c>
      <c r="G3509" s="2673"/>
      <c r="H3509" s="2673"/>
      <c r="I3509" s="2673"/>
      <c r="J3509" s="3301" t="str">
        <f t="shared" si="258"/>
        <v>352510_2021_12_</v>
      </c>
      <c r="K3509" s="3054">
        <v>12</v>
      </c>
      <c r="L3509" s="851"/>
      <c r="M3509" s="698"/>
      <c r="N3509" s="123"/>
      <c r="O3509" s="228"/>
      <c r="P3509" s="844"/>
      <c r="Q3509" s="844"/>
      <c r="R3509" s="844"/>
      <c r="S3509" s="832"/>
      <c r="T3509" s="3082"/>
      <c r="U3509" s="123"/>
      <c r="V3509" s="4031"/>
      <c r="W3509" s="865"/>
      <c r="X3509" s="865"/>
      <c r="Y3509" s="865"/>
      <c r="Z3509" s="865"/>
      <c r="AA3509" s="865"/>
      <c r="AB3509" s="865"/>
      <c r="AC3509" s="3054">
        <v>12</v>
      </c>
      <c r="AD3509" s="865"/>
      <c r="AE3509" s="865"/>
      <c r="AF3509" s="865"/>
      <c r="AG3509" s="865"/>
      <c r="BB3509" s="575"/>
      <c r="BC3509" s="576"/>
      <c r="BD3509" s="678"/>
      <c r="BE3509" s="585"/>
    </row>
    <row r="3510" spans="1:57" s="1942" customFormat="1" ht="15" hidden="1" customHeight="1" outlineLevel="1" x14ac:dyDescent="0.25">
      <c r="A3510" s="2060"/>
      <c r="B3510" s="576"/>
      <c r="C3510" s="328"/>
      <c r="D3510" s="3990"/>
      <c r="E3510" s="4009"/>
      <c r="F3510" s="3016" t="str">
        <f t="shared" si="256"/>
        <v>ASHP-SEER16-Replace_CAC_NonElectricHeat_ER2_SF</v>
      </c>
      <c r="G3510" s="2673"/>
      <c r="H3510" s="2673"/>
      <c r="I3510" s="2673"/>
      <c r="J3510" s="3301" t="str">
        <f t="shared" si="258"/>
        <v>352510_2021_12_</v>
      </c>
      <c r="K3510" s="3054">
        <v>12</v>
      </c>
      <c r="L3510" s="851"/>
      <c r="M3510" s="698"/>
      <c r="N3510" s="123"/>
      <c r="O3510" s="228"/>
      <c r="P3510" s="844"/>
      <c r="Q3510" s="844"/>
      <c r="R3510" s="844"/>
      <c r="S3510" s="832"/>
      <c r="T3510" s="3082"/>
      <c r="U3510" s="123"/>
      <c r="V3510" s="4031"/>
      <c r="W3510" s="865"/>
      <c r="X3510" s="865"/>
      <c r="Y3510" s="865"/>
      <c r="Z3510" s="865"/>
      <c r="AA3510" s="865"/>
      <c r="AB3510" s="865"/>
      <c r="AC3510" s="3054">
        <v>12</v>
      </c>
      <c r="AD3510" s="865"/>
      <c r="AE3510" s="865"/>
      <c r="AF3510" s="865"/>
      <c r="AG3510" s="865"/>
      <c r="BB3510" s="575"/>
      <c r="BC3510" s="576"/>
      <c r="BD3510" s="678"/>
      <c r="BE3510" s="585"/>
    </row>
    <row r="3511" spans="1:57" s="51" customFormat="1" ht="15" hidden="1" customHeight="1" outlineLevel="1" x14ac:dyDescent="0.25">
      <c r="A3511" s="2060"/>
      <c r="B3511" s="576"/>
      <c r="C3511" s="328"/>
      <c r="D3511" s="3990"/>
      <c r="E3511" s="4009"/>
      <c r="F3511" s="3016" t="str">
        <f t="shared" si="256"/>
        <v>ASHP-SEER16_ER1_SF</v>
      </c>
      <c r="G3511" s="2673"/>
      <c r="H3511" s="2673"/>
      <c r="I3511" s="2673"/>
      <c r="J3511" s="3301" t="str">
        <f t="shared" ref="J3511:J3526" si="259">C1433</f>
        <v>352550_2021_12_</v>
      </c>
      <c r="K3511" s="865">
        <v>6</v>
      </c>
      <c r="L3511" s="851"/>
      <c r="M3511" s="698"/>
      <c r="N3511" s="123"/>
      <c r="O3511" s="228"/>
      <c r="P3511" s="844"/>
      <c r="Q3511" s="844"/>
      <c r="R3511" s="844"/>
      <c r="S3511" s="832"/>
      <c r="T3511" s="3082"/>
      <c r="U3511" s="123"/>
      <c r="V3511" s="4031"/>
      <c r="W3511" s="865">
        <v>6</v>
      </c>
      <c r="X3511" s="865">
        <v>6</v>
      </c>
      <c r="Y3511" s="865">
        <v>6</v>
      </c>
      <c r="Z3511" s="865">
        <v>6</v>
      </c>
      <c r="AA3511" s="865">
        <v>6</v>
      </c>
      <c r="AB3511" s="865">
        <v>6</v>
      </c>
      <c r="AC3511" s="865">
        <v>6</v>
      </c>
      <c r="AD3511" s="865"/>
      <c r="AE3511" s="865"/>
      <c r="AF3511" s="865"/>
      <c r="AG3511" s="865"/>
      <c r="AH3511" s="1942"/>
      <c r="AI3511" s="1942"/>
      <c r="AJ3511" s="1942"/>
      <c r="AK3511" s="1942"/>
      <c r="AL3511" s="1942"/>
      <c r="AM3511" s="1942"/>
      <c r="AN3511" s="1942"/>
      <c r="AO3511" s="1942"/>
      <c r="AP3511" s="1942"/>
      <c r="AQ3511" s="1942"/>
      <c r="AR3511" s="1942"/>
      <c r="AS3511" s="1942"/>
      <c r="AT3511" s="1942"/>
      <c r="AU3511" s="1942"/>
      <c r="AV3511" s="1942"/>
      <c r="AW3511" s="1942"/>
      <c r="AX3511" s="1942"/>
      <c r="AY3511" s="1942"/>
      <c r="AZ3511" s="1942"/>
      <c r="BA3511" s="1942"/>
      <c r="BB3511" s="575"/>
      <c r="BC3511" s="576"/>
      <c r="BD3511" s="678"/>
      <c r="BE3511" s="585"/>
    </row>
    <row r="3512" spans="1:57" s="51" customFormat="1" ht="15" hidden="1" customHeight="1" outlineLevel="1" x14ac:dyDescent="0.25">
      <c r="A3512" s="2060"/>
      <c r="B3512" s="576"/>
      <c r="C3512" s="328"/>
      <c r="D3512" s="3990"/>
      <c r="E3512" s="4009"/>
      <c r="F3512" s="3016" t="str">
        <f t="shared" si="256"/>
        <v>ASHP-SEER16_ER1_SF</v>
      </c>
      <c r="G3512" s="2673"/>
      <c r="H3512" s="2673"/>
      <c r="I3512" s="2673"/>
      <c r="J3512" s="3301" t="str">
        <f t="shared" si="259"/>
        <v>352550_2021_12_</v>
      </c>
      <c r="K3512" s="865">
        <v>6</v>
      </c>
      <c r="L3512" s="851"/>
      <c r="M3512" s="698"/>
      <c r="N3512" s="123"/>
      <c r="O3512" s="228"/>
      <c r="P3512" s="844"/>
      <c r="Q3512" s="844"/>
      <c r="R3512" s="844"/>
      <c r="S3512" s="832"/>
      <c r="T3512" s="3082"/>
      <c r="U3512" s="123"/>
      <c r="V3512" s="4031"/>
      <c r="W3512" s="865">
        <v>6</v>
      </c>
      <c r="X3512" s="865">
        <v>6</v>
      </c>
      <c r="Y3512" s="865">
        <v>6</v>
      </c>
      <c r="Z3512" s="865">
        <v>6</v>
      </c>
      <c r="AA3512" s="865">
        <v>6</v>
      </c>
      <c r="AB3512" s="865">
        <v>6</v>
      </c>
      <c r="AC3512" s="865">
        <v>6</v>
      </c>
      <c r="AD3512" s="865"/>
      <c r="AE3512" s="865"/>
      <c r="AF3512" s="865"/>
      <c r="AG3512" s="865"/>
      <c r="AH3512" s="1942"/>
      <c r="AI3512" s="1942"/>
      <c r="AJ3512" s="1942"/>
      <c r="AK3512" s="1942"/>
      <c r="AL3512" s="1942"/>
      <c r="AM3512" s="1942"/>
      <c r="AN3512" s="1942"/>
      <c r="AO3512" s="1942"/>
      <c r="AP3512" s="1942"/>
      <c r="AQ3512" s="1942"/>
      <c r="AR3512" s="1942"/>
      <c r="AS3512" s="1942"/>
      <c r="AT3512" s="1942"/>
      <c r="AU3512" s="1942"/>
      <c r="AV3512" s="1942"/>
      <c r="AW3512" s="1942"/>
      <c r="AX3512" s="1942"/>
      <c r="AY3512" s="1942"/>
      <c r="AZ3512" s="1942"/>
      <c r="BA3512" s="1942"/>
      <c r="BB3512" s="575"/>
      <c r="BC3512" s="576"/>
      <c r="BD3512" s="678"/>
      <c r="BE3512" s="585"/>
    </row>
    <row r="3513" spans="1:57" s="51" customFormat="1" ht="15" hidden="1" customHeight="1" outlineLevel="1" x14ac:dyDescent="0.25">
      <c r="A3513" s="2060"/>
      <c r="B3513" s="576"/>
      <c r="C3513" s="328"/>
      <c r="D3513" s="3990"/>
      <c r="E3513" s="4009"/>
      <c r="F3513" s="3016" t="str">
        <f t="shared" si="256"/>
        <v>ASHP-SEER16_ER2_SF</v>
      </c>
      <c r="G3513" s="2673"/>
      <c r="H3513" s="2673"/>
      <c r="I3513" s="2673"/>
      <c r="J3513" s="3301" t="str">
        <f t="shared" si="259"/>
        <v>352550_2021_12_</v>
      </c>
      <c r="K3513" s="865">
        <v>12</v>
      </c>
      <c r="L3513" s="851"/>
      <c r="M3513" s="698"/>
      <c r="N3513" s="123"/>
      <c r="O3513" s="228"/>
      <c r="P3513" s="844"/>
      <c r="Q3513" s="844"/>
      <c r="R3513" s="844"/>
      <c r="S3513" s="832"/>
      <c r="T3513" s="3082"/>
      <c r="U3513" s="123"/>
      <c r="V3513" s="4031"/>
      <c r="W3513" s="865">
        <v>12</v>
      </c>
      <c r="X3513" s="865">
        <v>12</v>
      </c>
      <c r="Y3513" s="865">
        <v>12</v>
      </c>
      <c r="Z3513" s="865">
        <v>12</v>
      </c>
      <c r="AA3513" s="865">
        <v>12</v>
      </c>
      <c r="AB3513" s="865">
        <v>12</v>
      </c>
      <c r="AC3513" s="865">
        <v>12</v>
      </c>
      <c r="AD3513" s="865"/>
      <c r="AE3513" s="865"/>
      <c r="AF3513" s="865"/>
      <c r="AG3513" s="865"/>
      <c r="AH3513" s="1942"/>
      <c r="AI3513" s="1942"/>
      <c r="AJ3513" s="1942"/>
      <c r="AK3513" s="1942"/>
      <c r="AL3513" s="1942"/>
      <c r="AM3513" s="1942"/>
      <c r="AN3513" s="1942"/>
      <c r="AO3513" s="1942"/>
      <c r="AP3513" s="1942"/>
      <c r="AQ3513" s="1942"/>
      <c r="AR3513" s="1942"/>
      <c r="AS3513" s="1942"/>
      <c r="AT3513" s="1942"/>
      <c r="AU3513" s="1942"/>
      <c r="AV3513" s="1942"/>
      <c r="AW3513" s="1942"/>
      <c r="AX3513" s="1942"/>
      <c r="AY3513" s="1942"/>
      <c r="AZ3513" s="1942"/>
      <c r="BA3513" s="1942"/>
      <c r="BB3513" s="575"/>
      <c r="BC3513" s="576"/>
      <c r="BD3513" s="678"/>
      <c r="BE3513" s="585"/>
    </row>
    <row r="3514" spans="1:57" s="51" customFormat="1" ht="15" hidden="1" customHeight="1" outlineLevel="1" x14ac:dyDescent="0.25">
      <c r="A3514" s="2060"/>
      <c r="B3514" s="576"/>
      <c r="C3514" s="328"/>
      <c r="D3514" s="3990"/>
      <c r="E3514" s="4009"/>
      <c r="F3514" s="3016" t="str">
        <f t="shared" si="256"/>
        <v>ASHP-SEER16_ER2_SF</v>
      </c>
      <c r="G3514" s="2673"/>
      <c r="H3514" s="2673"/>
      <c r="I3514" s="2673"/>
      <c r="J3514" s="3301" t="str">
        <f t="shared" si="259"/>
        <v>352550_2021_12_</v>
      </c>
      <c r="K3514" s="865">
        <v>12</v>
      </c>
      <c r="L3514" s="851"/>
      <c r="M3514" s="698"/>
      <c r="N3514" s="123"/>
      <c r="O3514" s="228"/>
      <c r="P3514" s="844"/>
      <c r="Q3514" s="844"/>
      <c r="R3514" s="844"/>
      <c r="S3514" s="832"/>
      <c r="T3514" s="3082"/>
      <c r="U3514" s="123"/>
      <c r="V3514" s="4031"/>
      <c r="W3514" s="865">
        <v>12</v>
      </c>
      <c r="X3514" s="865">
        <v>12</v>
      </c>
      <c r="Y3514" s="865">
        <v>12</v>
      </c>
      <c r="Z3514" s="865">
        <v>12</v>
      </c>
      <c r="AA3514" s="865">
        <v>12</v>
      </c>
      <c r="AB3514" s="865">
        <v>12</v>
      </c>
      <c r="AC3514" s="865">
        <v>12</v>
      </c>
      <c r="AD3514" s="865"/>
      <c r="AE3514" s="865"/>
      <c r="AF3514" s="865"/>
      <c r="AG3514" s="865"/>
      <c r="AH3514" s="1942"/>
      <c r="AI3514" s="1942"/>
      <c r="AJ3514" s="1942"/>
      <c r="AK3514" s="1942"/>
      <c r="AL3514" s="1942"/>
      <c r="AM3514" s="1942"/>
      <c r="AN3514" s="1942"/>
      <c r="AO3514" s="1942"/>
      <c r="AP3514" s="1942"/>
      <c r="AQ3514" s="1942"/>
      <c r="AR3514" s="1942"/>
      <c r="AS3514" s="1942"/>
      <c r="AT3514" s="1942"/>
      <c r="AU3514" s="1942"/>
      <c r="AV3514" s="1942"/>
      <c r="AW3514" s="1942"/>
      <c r="AX3514" s="1942"/>
      <c r="AY3514" s="1942"/>
      <c r="AZ3514" s="1942"/>
      <c r="BA3514" s="1942"/>
      <c r="BB3514" s="575"/>
      <c r="BC3514" s="576"/>
      <c r="BD3514" s="678"/>
      <c r="BE3514" s="585"/>
    </row>
    <row r="3515" spans="1:57" s="51" customFormat="1" ht="15" hidden="1" customHeight="1" outlineLevel="1" x14ac:dyDescent="0.25">
      <c r="A3515" s="2060"/>
      <c r="B3515" s="576"/>
      <c r="C3515" s="328"/>
      <c r="D3515" s="3990"/>
      <c r="E3515" s="4009"/>
      <c r="F3515" s="3016" t="str">
        <f t="shared" si="256"/>
        <v>ASHP-SEER16-Replace_CAC_ElectricHeat_ROF_SF</v>
      </c>
      <c r="G3515" s="2673"/>
      <c r="H3515" s="2673"/>
      <c r="I3515" s="2673"/>
      <c r="J3515" s="3301" t="str">
        <f t="shared" si="259"/>
        <v>352600_2021_12_</v>
      </c>
      <c r="K3515" s="865">
        <v>18</v>
      </c>
      <c r="L3515" s="851"/>
      <c r="M3515" s="698"/>
      <c r="N3515" s="123"/>
      <c r="O3515" s="228"/>
      <c r="P3515" s="844"/>
      <c r="Q3515" s="844"/>
      <c r="R3515" s="844"/>
      <c r="S3515" s="832"/>
      <c r="T3515" s="3082"/>
      <c r="U3515" s="123"/>
      <c r="V3515" s="4031"/>
      <c r="W3515" s="865">
        <v>18</v>
      </c>
      <c r="X3515" s="865">
        <v>18</v>
      </c>
      <c r="Y3515" s="865">
        <v>18</v>
      </c>
      <c r="Z3515" s="865">
        <v>18</v>
      </c>
      <c r="AA3515" s="865">
        <v>18</v>
      </c>
      <c r="AB3515" s="865">
        <v>18</v>
      </c>
      <c r="AC3515" s="865">
        <v>18</v>
      </c>
      <c r="AD3515" s="865"/>
      <c r="AE3515" s="865"/>
      <c r="AF3515" s="865"/>
      <c r="AG3515" s="865"/>
      <c r="AH3515" s="1942"/>
      <c r="AI3515" s="1942"/>
      <c r="AJ3515" s="1942"/>
      <c r="AK3515" s="1942"/>
      <c r="AL3515" s="1942"/>
      <c r="AM3515" s="1942"/>
      <c r="AN3515" s="1942"/>
      <c r="AO3515" s="1942"/>
      <c r="AP3515" s="1942"/>
      <c r="AQ3515" s="1942"/>
      <c r="AR3515" s="1942"/>
      <c r="AS3515" s="1942"/>
      <c r="AT3515" s="1942"/>
      <c r="AU3515" s="1942"/>
      <c r="AV3515" s="1942"/>
      <c r="AW3515" s="1942"/>
      <c r="AX3515" s="1942"/>
      <c r="AY3515" s="1942"/>
      <c r="AZ3515" s="1942"/>
      <c r="BA3515" s="1942"/>
      <c r="BB3515" s="575"/>
      <c r="BC3515" s="576"/>
      <c r="BD3515" s="678"/>
      <c r="BE3515" s="585"/>
    </row>
    <row r="3516" spans="1:57" s="51" customFormat="1" ht="15" hidden="1" customHeight="1" outlineLevel="1" x14ac:dyDescent="0.25">
      <c r="A3516" s="2060"/>
      <c r="B3516" s="576"/>
      <c r="C3516" s="328"/>
      <c r="D3516" s="3990"/>
      <c r="E3516" s="4009"/>
      <c r="F3516" s="3016" t="str">
        <f t="shared" si="256"/>
        <v>ASHP-SEER16-Replace_CAC_ElectricHeat_ROF_SF</v>
      </c>
      <c r="G3516" s="2673"/>
      <c r="H3516" s="2673"/>
      <c r="I3516" s="2673"/>
      <c r="J3516" s="3301" t="str">
        <f t="shared" si="259"/>
        <v>352600_2021_12_</v>
      </c>
      <c r="K3516" s="865">
        <v>18</v>
      </c>
      <c r="L3516" s="851"/>
      <c r="M3516" s="698"/>
      <c r="N3516" s="123"/>
      <c r="O3516" s="228"/>
      <c r="P3516" s="844"/>
      <c r="Q3516" s="844"/>
      <c r="R3516" s="844"/>
      <c r="S3516" s="832"/>
      <c r="T3516" s="3082"/>
      <c r="U3516" s="123"/>
      <c r="V3516" s="4031"/>
      <c r="W3516" s="865">
        <v>18</v>
      </c>
      <c r="X3516" s="865">
        <v>18</v>
      </c>
      <c r="Y3516" s="865">
        <v>18</v>
      </c>
      <c r="Z3516" s="865">
        <v>18</v>
      </c>
      <c r="AA3516" s="865">
        <v>18</v>
      </c>
      <c r="AB3516" s="865">
        <v>18</v>
      </c>
      <c r="AC3516" s="865">
        <v>18</v>
      </c>
      <c r="AD3516" s="865"/>
      <c r="AE3516" s="865"/>
      <c r="AF3516" s="865"/>
      <c r="AG3516" s="865"/>
      <c r="AH3516" s="1942"/>
      <c r="AI3516" s="1942"/>
      <c r="AJ3516" s="1942"/>
      <c r="AK3516" s="1942"/>
      <c r="AL3516" s="1942"/>
      <c r="AM3516" s="1942"/>
      <c r="AN3516" s="1942"/>
      <c r="AO3516" s="1942"/>
      <c r="AP3516" s="1942"/>
      <c r="AQ3516" s="1942"/>
      <c r="AR3516" s="1942"/>
      <c r="AS3516" s="1942"/>
      <c r="AT3516" s="1942"/>
      <c r="AU3516" s="1942"/>
      <c r="AV3516" s="1942"/>
      <c r="AW3516" s="1942"/>
      <c r="AX3516" s="1942"/>
      <c r="AY3516" s="1942"/>
      <c r="AZ3516" s="1942"/>
      <c r="BA3516" s="1942"/>
      <c r="BB3516" s="575"/>
      <c r="BC3516" s="576"/>
      <c r="BD3516" s="678"/>
      <c r="BE3516" s="585"/>
    </row>
    <row r="3517" spans="1:57" s="51" customFormat="1" ht="15" hidden="1" customHeight="1" outlineLevel="1" x14ac:dyDescent="0.25">
      <c r="A3517" s="2060"/>
      <c r="B3517" s="576"/>
      <c r="C3517" s="328"/>
      <c r="D3517" s="3990"/>
      <c r="E3517" s="4009"/>
      <c r="F3517" s="3016" t="str">
        <f t="shared" si="256"/>
        <v>ASHP-SEER16_ROF_SF</v>
      </c>
      <c r="G3517" s="2673"/>
      <c r="H3517" s="2673"/>
      <c r="I3517" s="2673"/>
      <c r="J3517" s="3301" t="str">
        <f t="shared" si="259"/>
        <v>352650_2021_12_</v>
      </c>
      <c r="K3517" s="865">
        <v>18</v>
      </c>
      <c r="L3517" s="851"/>
      <c r="M3517" s="698"/>
      <c r="N3517" s="123"/>
      <c r="O3517" s="228"/>
      <c r="P3517" s="844"/>
      <c r="Q3517" s="844"/>
      <c r="R3517" s="844"/>
      <c r="S3517" s="832"/>
      <c r="T3517" s="3082"/>
      <c r="U3517" s="123"/>
      <c r="V3517" s="4031"/>
      <c r="W3517" s="865">
        <v>18</v>
      </c>
      <c r="X3517" s="865">
        <v>18</v>
      </c>
      <c r="Y3517" s="865">
        <v>18</v>
      </c>
      <c r="Z3517" s="865">
        <v>18</v>
      </c>
      <c r="AA3517" s="865">
        <v>18</v>
      </c>
      <c r="AB3517" s="865">
        <v>18</v>
      </c>
      <c r="AC3517" s="865">
        <v>18</v>
      </c>
      <c r="AD3517" s="865"/>
      <c r="AE3517" s="865"/>
      <c r="AF3517" s="865"/>
      <c r="AG3517" s="865"/>
      <c r="AH3517" s="1942"/>
      <c r="AI3517" s="1942"/>
      <c r="AJ3517" s="1942"/>
      <c r="AK3517" s="1942"/>
      <c r="AL3517" s="1942"/>
      <c r="AM3517" s="1942"/>
      <c r="AN3517" s="1942"/>
      <c r="AO3517" s="1942"/>
      <c r="AP3517" s="1942"/>
      <c r="AQ3517" s="1942"/>
      <c r="AR3517" s="1942"/>
      <c r="AS3517" s="1942"/>
      <c r="AT3517" s="1942"/>
      <c r="AU3517" s="1942"/>
      <c r="AV3517" s="1942"/>
      <c r="AW3517" s="1942"/>
      <c r="AX3517" s="1942"/>
      <c r="AY3517" s="1942"/>
      <c r="AZ3517" s="1942"/>
      <c r="BA3517" s="1942"/>
      <c r="BB3517" s="575"/>
      <c r="BC3517" s="576"/>
      <c r="BD3517" s="678"/>
      <c r="BE3517" s="585"/>
    </row>
    <row r="3518" spans="1:57" s="51" customFormat="1" ht="15" hidden="1" customHeight="1" outlineLevel="1" x14ac:dyDescent="0.25">
      <c r="A3518" s="2060"/>
      <c r="B3518" s="576"/>
      <c r="C3518" s="328"/>
      <c r="D3518" s="3990"/>
      <c r="E3518" s="4009"/>
      <c r="F3518" s="3016" t="str">
        <f t="shared" si="256"/>
        <v>ASHP-SEER16_ROF_SF</v>
      </c>
      <c r="G3518" s="2673"/>
      <c r="H3518" s="2673"/>
      <c r="I3518" s="2673"/>
      <c r="J3518" s="3301" t="str">
        <f t="shared" si="259"/>
        <v>352650_2021_12_</v>
      </c>
      <c r="K3518" s="865">
        <v>18</v>
      </c>
      <c r="L3518" s="851"/>
      <c r="M3518" s="698"/>
      <c r="N3518" s="123"/>
      <c r="O3518" s="228"/>
      <c r="P3518" s="844"/>
      <c r="Q3518" s="844"/>
      <c r="R3518" s="844"/>
      <c r="S3518" s="832"/>
      <c r="T3518" s="3082"/>
      <c r="U3518" s="123"/>
      <c r="V3518" s="4031"/>
      <c r="W3518" s="865">
        <v>18</v>
      </c>
      <c r="X3518" s="865">
        <v>18</v>
      </c>
      <c r="Y3518" s="865">
        <v>18</v>
      </c>
      <c r="Z3518" s="865">
        <v>18</v>
      </c>
      <c r="AA3518" s="865">
        <v>18</v>
      </c>
      <c r="AB3518" s="865">
        <v>18</v>
      </c>
      <c r="AC3518" s="865">
        <v>18</v>
      </c>
      <c r="AD3518" s="865"/>
      <c r="AE3518" s="865"/>
      <c r="AF3518" s="865"/>
      <c r="AG3518" s="865"/>
      <c r="AH3518" s="1942"/>
      <c r="AI3518" s="1942"/>
      <c r="AJ3518" s="1942"/>
      <c r="AK3518" s="1942"/>
      <c r="AL3518" s="1942"/>
      <c r="AM3518" s="1942"/>
      <c r="AN3518" s="1942"/>
      <c r="AO3518" s="1942"/>
      <c r="AP3518" s="1942"/>
      <c r="AQ3518" s="1942"/>
      <c r="AR3518" s="1942"/>
      <c r="AS3518" s="1942"/>
      <c r="AT3518" s="1942"/>
      <c r="AU3518" s="1942"/>
      <c r="AV3518" s="1942"/>
      <c r="AW3518" s="1942"/>
      <c r="AX3518" s="1942"/>
      <c r="AY3518" s="1942"/>
      <c r="AZ3518" s="1942"/>
      <c r="BA3518" s="1942"/>
      <c r="BB3518" s="575"/>
      <c r="BC3518" s="576"/>
      <c r="BD3518" s="678"/>
      <c r="BE3518" s="585"/>
    </row>
    <row r="3519" spans="1:57" s="51" customFormat="1" ht="15" hidden="1" customHeight="1" outlineLevel="1" x14ac:dyDescent="0.25">
      <c r="A3519" s="2060"/>
      <c r="B3519" s="576"/>
      <c r="C3519" s="328"/>
      <c r="D3519" s="3990"/>
      <c r="E3519" s="4009"/>
      <c r="F3519" s="3016" t="str">
        <f t="shared" si="256"/>
        <v>ASHP-SEER15_ER1_MF</v>
      </c>
      <c r="G3519" s="2673"/>
      <c r="H3519" s="2673"/>
      <c r="I3519" s="2673"/>
      <c r="J3519" s="3301" t="str">
        <f t="shared" si="259"/>
        <v>352700_2021_12_</v>
      </c>
      <c r="K3519" s="865">
        <v>6</v>
      </c>
      <c r="L3519" s="851"/>
      <c r="M3519" s="698"/>
      <c r="N3519" s="123"/>
      <c r="O3519" s="228"/>
      <c r="P3519" s="844"/>
      <c r="Q3519" s="844"/>
      <c r="R3519" s="844"/>
      <c r="S3519" s="832"/>
      <c r="T3519" s="3082"/>
      <c r="U3519" s="123"/>
      <c r="V3519" s="4031"/>
      <c r="W3519" s="865">
        <v>6</v>
      </c>
      <c r="X3519" s="865">
        <v>6</v>
      </c>
      <c r="Y3519" s="865">
        <v>6</v>
      </c>
      <c r="Z3519" s="865">
        <v>6</v>
      </c>
      <c r="AA3519" s="865">
        <v>6</v>
      </c>
      <c r="AB3519" s="865">
        <v>6</v>
      </c>
      <c r="AC3519" s="865">
        <v>6</v>
      </c>
      <c r="AD3519" s="865"/>
      <c r="AE3519" s="865"/>
      <c r="AF3519" s="865"/>
      <c r="AG3519" s="865"/>
      <c r="AH3519" s="1942"/>
      <c r="AI3519" s="1942"/>
      <c r="AJ3519" s="1942"/>
      <c r="AK3519" s="1942"/>
      <c r="AL3519" s="1942"/>
      <c r="AM3519" s="1942"/>
      <c r="AN3519" s="1942"/>
      <c r="AO3519" s="1942"/>
      <c r="AP3519" s="1942"/>
      <c r="AQ3519" s="1942"/>
      <c r="AR3519" s="1942"/>
      <c r="AS3519" s="1942"/>
      <c r="AT3519" s="1942"/>
      <c r="AU3519" s="1942"/>
      <c r="AV3519" s="1942"/>
      <c r="AW3519" s="1942"/>
      <c r="AX3519" s="1942"/>
      <c r="AY3519" s="1942"/>
      <c r="AZ3519" s="1942"/>
      <c r="BA3519" s="1942"/>
      <c r="BB3519" s="575"/>
      <c r="BC3519" s="576"/>
      <c r="BD3519" s="678"/>
      <c r="BE3519" s="585"/>
    </row>
    <row r="3520" spans="1:57" s="51" customFormat="1" ht="15" hidden="1" customHeight="1" outlineLevel="1" x14ac:dyDescent="0.25">
      <c r="A3520" s="2060"/>
      <c r="B3520" s="576"/>
      <c r="C3520" s="328"/>
      <c r="D3520" s="3990"/>
      <c r="E3520" s="4009"/>
      <c r="F3520" s="3016" t="str">
        <f t="shared" si="256"/>
        <v>ASHP-SEER15_ER1_MF</v>
      </c>
      <c r="G3520" s="2673"/>
      <c r="H3520" s="2673"/>
      <c r="I3520" s="2673"/>
      <c r="J3520" s="3301" t="str">
        <f t="shared" si="259"/>
        <v>352700_2021_12_</v>
      </c>
      <c r="K3520" s="865">
        <v>6</v>
      </c>
      <c r="L3520" s="851"/>
      <c r="M3520" s="698"/>
      <c r="N3520" s="123"/>
      <c r="O3520" s="228"/>
      <c r="P3520" s="844"/>
      <c r="Q3520" s="844"/>
      <c r="R3520" s="844"/>
      <c r="S3520" s="832"/>
      <c r="T3520" s="3082"/>
      <c r="U3520" s="123"/>
      <c r="V3520" s="4031"/>
      <c r="W3520" s="865">
        <v>6</v>
      </c>
      <c r="X3520" s="865">
        <v>6</v>
      </c>
      <c r="Y3520" s="865">
        <v>6</v>
      </c>
      <c r="Z3520" s="865">
        <v>6</v>
      </c>
      <c r="AA3520" s="865">
        <v>6</v>
      </c>
      <c r="AB3520" s="865">
        <v>6</v>
      </c>
      <c r="AC3520" s="865">
        <v>6</v>
      </c>
      <c r="AD3520" s="865"/>
      <c r="AE3520" s="865"/>
      <c r="AF3520" s="865"/>
      <c r="AG3520" s="865"/>
      <c r="AH3520" s="1942"/>
      <c r="AI3520" s="1942"/>
      <c r="AJ3520" s="1942"/>
      <c r="AK3520" s="1942"/>
      <c r="AL3520" s="1942"/>
      <c r="AM3520" s="1942"/>
      <c r="AN3520" s="1942"/>
      <c r="AO3520" s="1942"/>
      <c r="AP3520" s="1942"/>
      <c r="AQ3520" s="1942"/>
      <c r="AR3520" s="1942"/>
      <c r="AS3520" s="1942"/>
      <c r="AT3520" s="1942"/>
      <c r="AU3520" s="1942"/>
      <c r="AV3520" s="1942"/>
      <c r="AW3520" s="1942"/>
      <c r="AX3520" s="1942"/>
      <c r="AY3520" s="1942"/>
      <c r="AZ3520" s="1942"/>
      <c r="BA3520" s="1942"/>
      <c r="BB3520" s="575"/>
      <c r="BC3520" s="576"/>
      <c r="BD3520" s="678"/>
      <c r="BE3520" s="585"/>
    </row>
    <row r="3521" spans="1:57" s="51" customFormat="1" ht="15" hidden="1" customHeight="1" outlineLevel="1" x14ac:dyDescent="0.25">
      <c r="A3521" s="2060"/>
      <c r="B3521" s="576"/>
      <c r="C3521" s="328"/>
      <c r="D3521" s="3990"/>
      <c r="E3521" s="4009"/>
      <c r="F3521" s="3016" t="str">
        <f t="shared" si="256"/>
        <v>ASHP-SEER15_ER2_MF</v>
      </c>
      <c r="G3521" s="2673"/>
      <c r="H3521" s="2673"/>
      <c r="I3521" s="2673"/>
      <c r="J3521" s="3301" t="str">
        <f t="shared" si="259"/>
        <v>352700_2021_12_</v>
      </c>
      <c r="K3521" s="865">
        <v>12</v>
      </c>
      <c r="L3521" s="851"/>
      <c r="M3521" s="698"/>
      <c r="N3521" s="123"/>
      <c r="O3521" s="228"/>
      <c r="P3521" s="844"/>
      <c r="Q3521" s="844"/>
      <c r="R3521" s="844"/>
      <c r="S3521" s="832"/>
      <c r="T3521" s="3082"/>
      <c r="U3521" s="123"/>
      <c r="V3521" s="4031"/>
      <c r="W3521" s="865">
        <v>12</v>
      </c>
      <c r="X3521" s="865">
        <v>12</v>
      </c>
      <c r="Y3521" s="865">
        <v>12</v>
      </c>
      <c r="Z3521" s="865">
        <v>12</v>
      </c>
      <c r="AA3521" s="865">
        <v>12</v>
      </c>
      <c r="AB3521" s="865">
        <v>12</v>
      </c>
      <c r="AC3521" s="865">
        <v>12</v>
      </c>
      <c r="AD3521" s="865"/>
      <c r="AE3521" s="865"/>
      <c r="AF3521" s="865"/>
      <c r="AG3521" s="865"/>
      <c r="AH3521" s="1942"/>
      <c r="AI3521" s="1942"/>
      <c r="AJ3521" s="1942"/>
      <c r="AK3521" s="1942"/>
      <c r="AL3521" s="1942"/>
      <c r="AM3521" s="1942"/>
      <c r="AN3521" s="1942"/>
      <c r="AO3521" s="1942"/>
      <c r="AP3521" s="1942"/>
      <c r="AQ3521" s="1942"/>
      <c r="AR3521" s="1942"/>
      <c r="AS3521" s="1942"/>
      <c r="AT3521" s="1942"/>
      <c r="AU3521" s="1942"/>
      <c r="AV3521" s="1942"/>
      <c r="AW3521" s="1942"/>
      <c r="AX3521" s="1942"/>
      <c r="AY3521" s="1942"/>
      <c r="AZ3521" s="1942"/>
      <c r="BA3521" s="1942"/>
      <c r="BB3521" s="575"/>
      <c r="BC3521" s="576"/>
      <c r="BD3521" s="678"/>
      <c r="BE3521" s="585"/>
    </row>
    <row r="3522" spans="1:57" s="51" customFormat="1" ht="15" hidden="1" customHeight="1" outlineLevel="1" x14ac:dyDescent="0.25">
      <c r="A3522" s="2060"/>
      <c r="B3522" s="576"/>
      <c r="C3522" s="328"/>
      <c r="D3522" s="3990"/>
      <c r="E3522" s="4009"/>
      <c r="F3522" s="3016" t="str">
        <f t="shared" si="256"/>
        <v>ASHP-SEER15_ER2_MF</v>
      </c>
      <c r="G3522" s="2673"/>
      <c r="H3522" s="2673"/>
      <c r="I3522" s="2673"/>
      <c r="J3522" s="3301" t="str">
        <f t="shared" si="259"/>
        <v>352700_2021_12_</v>
      </c>
      <c r="K3522" s="865">
        <v>12</v>
      </c>
      <c r="L3522" s="851"/>
      <c r="M3522" s="698"/>
      <c r="N3522" s="123"/>
      <c r="O3522" s="228"/>
      <c r="P3522" s="844"/>
      <c r="Q3522" s="844"/>
      <c r="R3522" s="844"/>
      <c r="S3522" s="832"/>
      <c r="T3522" s="3082"/>
      <c r="U3522" s="123"/>
      <c r="V3522" s="4031"/>
      <c r="W3522" s="865">
        <v>12</v>
      </c>
      <c r="X3522" s="865">
        <v>12</v>
      </c>
      <c r="Y3522" s="865">
        <v>12</v>
      </c>
      <c r="Z3522" s="865">
        <v>12</v>
      </c>
      <c r="AA3522" s="865">
        <v>12</v>
      </c>
      <c r="AB3522" s="865">
        <v>12</v>
      </c>
      <c r="AC3522" s="865">
        <v>12</v>
      </c>
      <c r="AD3522" s="865"/>
      <c r="AE3522" s="865"/>
      <c r="AF3522" s="865"/>
      <c r="AG3522" s="865"/>
      <c r="AH3522" s="1942"/>
      <c r="AI3522" s="1942"/>
      <c r="AJ3522" s="1942"/>
      <c r="AK3522" s="1942"/>
      <c r="AL3522" s="1942"/>
      <c r="AM3522" s="1942"/>
      <c r="AN3522" s="1942"/>
      <c r="AO3522" s="1942"/>
      <c r="AP3522" s="1942"/>
      <c r="AQ3522" s="1942"/>
      <c r="AR3522" s="1942"/>
      <c r="AS3522" s="1942"/>
      <c r="AT3522" s="1942"/>
      <c r="AU3522" s="1942"/>
      <c r="AV3522" s="1942"/>
      <c r="AW3522" s="1942"/>
      <c r="AX3522" s="1942"/>
      <c r="AY3522" s="1942"/>
      <c r="AZ3522" s="1942"/>
      <c r="BA3522" s="1942"/>
      <c r="BB3522" s="575"/>
      <c r="BC3522" s="576"/>
      <c r="BD3522" s="678"/>
      <c r="BE3522" s="585"/>
    </row>
    <row r="3523" spans="1:57" s="1942" customFormat="1" ht="15" hidden="1" customHeight="1" outlineLevel="1" x14ac:dyDescent="0.25">
      <c r="A3523" s="2060"/>
      <c r="B3523" s="576"/>
      <c r="C3523" s="328"/>
      <c r="D3523" s="3990"/>
      <c r="E3523" s="4009"/>
      <c r="F3523" s="3016" t="str">
        <f t="shared" si="256"/>
        <v>ASHP-SEER15_ER1_MF_CompE</v>
      </c>
      <c r="G3523" s="2673"/>
      <c r="H3523" s="2673"/>
      <c r="I3523" s="2673"/>
      <c r="J3523" s="3301" t="str">
        <f t="shared" si="259"/>
        <v>352701_2021_12_</v>
      </c>
      <c r="K3523" s="3054">
        <v>6</v>
      </c>
      <c r="L3523" s="851"/>
      <c r="M3523" s="698"/>
      <c r="N3523" s="123"/>
      <c r="O3523" s="228"/>
      <c r="P3523" s="844"/>
      <c r="Q3523" s="844"/>
      <c r="R3523" s="844"/>
      <c r="S3523" s="832"/>
      <c r="T3523" s="3082"/>
      <c r="U3523" s="123"/>
      <c r="V3523" s="4031"/>
      <c r="W3523" s="865"/>
      <c r="X3523" s="865"/>
      <c r="Y3523" s="865"/>
      <c r="Z3523" s="865"/>
      <c r="AA3523" s="865"/>
      <c r="AB3523" s="865"/>
      <c r="AC3523" s="3054">
        <v>6</v>
      </c>
      <c r="AD3523" s="865"/>
      <c r="AE3523" s="865"/>
      <c r="AF3523" s="865"/>
      <c r="AG3523" s="865"/>
      <c r="BB3523" s="575"/>
      <c r="BC3523" s="576"/>
      <c r="BD3523" s="678"/>
      <c r="BE3523" s="585"/>
    </row>
    <row r="3524" spans="1:57" s="1942" customFormat="1" ht="15" hidden="1" customHeight="1" outlineLevel="1" x14ac:dyDescent="0.25">
      <c r="A3524" s="2060"/>
      <c r="B3524" s="576"/>
      <c r="C3524" s="328"/>
      <c r="D3524" s="3990"/>
      <c r="E3524" s="4009"/>
      <c r="F3524" s="3016" t="str">
        <f t="shared" si="256"/>
        <v>ASHP-SEER15_ER1_MF_CompE</v>
      </c>
      <c r="G3524" s="2673"/>
      <c r="H3524" s="2673"/>
      <c r="I3524" s="2673"/>
      <c r="J3524" s="3301" t="str">
        <f t="shared" si="259"/>
        <v>352701_2021_12_</v>
      </c>
      <c r="K3524" s="3054">
        <v>6</v>
      </c>
      <c r="L3524" s="851"/>
      <c r="M3524" s="698"/>
      <c r="N3524" s="123"/>
      <c r="O3524" s="228"/>
      <c r="P3524" s="844"/>
      <c r="Q3524" s="844"/>
      <c r="R3524" s="844"/>
      <c r="S3524" s="832"/>
      <c r="T3524" s="3082"/>
      <c r="U3524" s="123"/>
      <c r="V3524" s="4031"/>
      <c r="W3524" s="865"/>
      <c r="X3524" s="865"/>
      <c r="Y3524" s="865"/>
      <c r="Z3524" s="865"/>
      <c r="AA3524" s="865"/>
      <c r="AB3524" s="865"/>
      <c r="AC3524" s="3054">
        <v>6</v>
      </c>
      <c r="AD3524" s="865"/>
      <c r="AE3524" s="865"/>
      <c r="AF3524" s="865"/>
      <c r="AG3524" s="865"/>
      <c r="BB3524" s="575"/>
      <c r="BC3524" s="576"/>
      <c r="BD3524" s="678"/>
      <c r="BE3524" s="585"/>
    </row>
    <row r="3525" spans="1:57" s="1942" customFormat="1" ht="15" hidden="1" customHeight="1" outlineLevel="1" x14ac:dyDescent="0.25">
      <c r="A3525" s="2060"/>
      <c r="B3525" s="576"/>
      <c r="C3525" s="328"/>
      <c r="D3525" s="3990"/>
      <c r="E3525" s="4009"/>
      <c r="F3525" s="3016" t="str">
        <f t="shared" si="256"/>
        <v>ASHP-SEER15_ER2_MF_CompE</v>
      </c>
      <c r="G3525" s="2673"/>
      <c r="H3525" s="2673"/>
      <c r="I3525" s="2673"/>
      <c r="J3525" s="3301" t="str">
        <f t="shared" si="259"/>
        <v>352701_2021_12_</v>
      </c>
      <c r="K3525" s="3054">
        <v>12</v>
      </c>
      <c r="L3525" s="851"/>
      <c r="M3525" s="698"/>
      <c r="N3525" s="123"/>
      <c r="O3525" s="228"/>
      <c r="P3525" s="844"/>
      <c r="Q3525" s="844"/>
      <c r="R3525" s="844"/>
      <c r="S3525" s="832"/>
      <c r="T3525" s="3082"/>
      <c r="U3525" s="123"/>
      <c r="V3525" s="4031"/>
      <c r="W3525" s="865"/>
      <c r="X3525" s="865"/>
      <c r="Y3525" s="865"/>
      <c r="Z3525" s="865"/>
      <c r="AA3525" s="865"/>
      <c r="AB3525" s="865"/>
      <c r="AC3525" s="3054">
        <v>12</v>
      </c>
      <c r="AD3525" s="865"/>
      <c r="AE3525" s="865"/>
      <c r="AF3525" s="865"/>
      <c r="AG3525" s="865"/>
      <c r="BB3525" s="575"/>
      <c r="BC3525" s="576"/>
      <c r="BD3525" s="678"/>
      <c r="BE3525" s="585"/>
    </row>
    <row r="3526" spans="1:57" s="1942" customFormat="1" ht="15" hidden="1" customHeight="1" outlineLevel="1" x14ac:dyDescent="0.25">
      <c r="A3526" s="2060"/>
      <c r="B3526" s="576"/>
      <c r="C3526" s="328"/>
      <c r="D3526" s="3990"/>
      <c r="E3526" s="4009"/>
      <c r="F3526" s="3016" t="str">
        <f t="shared" si="256"/>
        <v>ASHP-SEER15_ER2_MF_CompE</v>
      </c>
      <c r="G3526" s="2673"/>
      <c r="H3526" s="2673"/>
      <c r="I3526" s="2673"/>
      <c r="J3526" s="3301" t="str">
        <f t="shared" si="259"/>
        <v>352701_2021_12_</v>
      </c>
      <c r="K3526" s="3054">
        <v>12</v>
      </c>
      <c r="L3526" s="851"/>
      <c r="M3526" s="698"/>
      <c r="N3526" s="123"/>
      <c r="O3526" s="228"/>
      <c r="P3526" s="844"/>
      <c r="Q3526" s="844"/>
      <c r="R3526" s="844"/>
      <c r="S3526" s="832"/>
      <c r="T3526" s="3082"/>
      <c r="U3526" s="123"/>
      <c r="V3526" s="4031"/>
      <c r="W3526" s="865"/>
      <c r="X3526" s="865"/>
      <c r="Y3526" s="865"/>
      <c r="Z3526" s="865"/>
      <c r="AA3526" s="865"/>
      <c r="AB3526" s="865"/>
      <c r="AC3526" s="3054">
        <v>12</v>
      </c>
      <c r="AD3526" s="865"/>
      <c r="AE3526" s="865"/>
      <c r="AF3526" s="865"/>
      <c r="AG3526" s="865"/>
      <c r="BB3526" s="575"/>
      <c r="BC3526" s="576"/>
      <c r="BD3526" s="678"/>
      <c r="BE3526" s="585"/>
    </row>
    <row r="3527" spans="1:57" s="51" customFormat="1" ht="15" hidden="1" customHeight="1" outlineLevel="1" x14ac:dyDescent="0.25">
      <c r="A3527" s="2060"/>
      <c r="B3527" s="576"/>
      <c r="C3527" s="328"/>
      <c r="D3527" s="3990"/>
      <c r="E3527" s="4009"/>
      <c r="F3527" s="3016" t="str">
        <f t="shared" si="256"/>
        <v>ASHP-SEER15-Replace_CAC_ElectricHeat_ER1_MF</v>
      </c>
      <c r="G3527" s="2673"/>
      <c r="H3527" s="2673"/>
      <c r="I3527" s="2673"/>
      <c r="J3527" s="3301" t="str">
        <f>C1449</f>
        <v>352750_2021_12_</v>
      </c>
      <c r="K3527" s="865">
        <v>6</v>
      </c>
      <c r="L3527" s="851"/>
      <c r="M3527" s="698"/>
      <c r="N3527" s="123"/>
      <c r="O3527" s="228"/>
      <c r="P3527" s="844"/>
      <c r="Q3527" s="844"/>
      <c r="R3527" s="844"/>
      <c r="S3527" s="832"/>
      <c r="T3527" s="3082"/>
      <c r="U3527" s="123"/>
      <c r="V3527" s="4031"/>
      <c r="W3527" s="865">
        <v>6</v>
      </c>
      <c r="X3527" s="865">
        <v>6</v>
      </c>
      <c r="Y3527" s="865">
        <v>6</v>
      </c>
      <c r="Z3527" s="865">
        <v>6</v>
      </c>
      <c r="AA3527" s="865">
        <v>6</v>
      </c>
      <c r="AB3527" s="865">
        <v>6</v>
      </c>
      <c r="AC3527" s="865">
        <v>6</v>
      </c>
      <c r="AD3527" s="865"/>
      <c r="AE3527" s="865"/>
      <c r="AF3527" s="865"/>
      <c r="AG3527" s="865"/>
      <c r="AH3527" s="1942"/>
      <c r="AI3527" s="1942"/>
      <c r="AJ3527" s="1942"/>
      <c r="AK3527" s="1942"/>
      <c r="AL3527" s="1942"/>
      <c r="AM3527" s="1942"/>
      <c r="AN3527" s="1942"/>
      <c r="AO3527" s="1942"/>
      <c r="AP3527" s="1942"/>
      <c r="AQ3527" s="1942"/>
      <c r="AR3527" s="1942"/>
      <c r="AS3527" s="1942"/>
      <c r="AT3527" s="1942"/>
      <c r="AU3527" s="1942"/>
      <c r="AV3527" s="1942"/>
      <c r="AW3527" s="1942"/>
      <c r="AX3527" s="1942"/>
      <c r="AY3527" s="1942"/>
      <c r="AZ3527" s="1942"/>
      <c r="BA3527" s="1942"/>
      <c r="BB3527" s="575"/>
      <c r="BC3527" s="576"/>
      <c r="BD3527" s="678"/>
      <c r="BE3527" s="585"/>
    </row>
    <row r="3528" spans="1:57" s="51" customFormat="1" ht="15" hidden="1" customHeight="1" outlineLevel="1" x14ac:dyDescent="0.25">
      <c r="A3528" s="2060"/>
      <c r="B3528" s="576"/>
      <c r="C3528" s="328"/>
      <c r="D3528" s="3990"/>
      <c r="E3528" s="4009"/>
      <c r="F3528" s="3016" t="str">
        <f t="shared" si="256"/>
        <v>ASHP-SEER15-Replace_CAC_ElectricHeat_ER1_MF</v>
      </c>
      <c r="G3528" s="2673"/>
      <c r="H3528" s="2673"/>
      <c r="I3528" s="2673"/>
      <c r="J3528" s="3301" t="str">
        <f>C1450</f>
        <v>352750_2021_12_</v>
      </c>
      <c r="K3528" s="865">
        <v>6</v>
      </c>
      <c r="L3528" s="851"/>
      <c r="M3528" s="698"/>
      <c r="N3528" s="123"/>
      <c r="O3528" s="228"/>
      <c r="P3528" s="844"/>
      <c r="Q3528" s="844"/>
      <c r="R3528" s="844"/>
      <c r="S3528" s="832"/>
      <c r="T3528" s="3082"/>
      <c r="U3528" s="123"/>
      <c r="V3528" s="4031"/>
      <c r="W3528" s="865">
        <v>6</v>
      </c>
      <c r="X3528" s="865">
        <v>6</v>
      </c>
      <c r="Y3528" s="865">
        <v>6</v>
      </c>
      <c r="Z3528" s="865">
        <v>6</v>
      </c>
      <c r="AA3528" s="865">
        <v>6</v>
      </c>
      <c r="AB3528" s="865">
        <v>6</v>
      </c>
      <c r="AC3528" s="865">
        <v>6</v>
      </c>
      <c r="AD3528" s="865"/>
      <c r="AE3528" s="865"/>
      <c r="AF3528" s="865"/>
      <c r="AG3528" s="865"/>
      <c r="AH3528" s="1942"/>
      <c r="AI3528" s="1942"/>
      <c r="AJ3528" s="1942"/>
      <c r="AK3528" s="1942"/>
      <c r="AL3528" s="1942"/>
      <c r="AM3528" s="1942"/>
      <c r="AN3528" s="1942"/>
      <c r="AO3528" s="1942"/>
      <c r="AP3528" s="1942"/>
      <c r="AQ3528" s="1942"/>
      <c r="AR3528" s="1942"/>
      <c r="AS3528" s="1942"/>
      <c r="AT3528" s="1942"/>
      <c r="AU3528" s="1942"/>
      <c r="AV3528" s="1942"/>
      <c r="AW3528" s="1942"/>
      <c r="AX3528" s="1942"/>
      <c r="AY3528" s="1942"/>
      <c r="AZ3528" s="1942"/>
      <c r="BA3528" s="1942"/>
      <c r="BB3528" s="575"/>
      <c r="BC3528" s="576"/>
      <c r="BD3528" s="678"/>
      <c r="BE3528" s="585"/>
    </row>
    <row r="3529" spans="1:57" s="51" customFormat="1" ht="15" hidden="1" customHeight="1" outlineLevel="1" x14ac:dyDescent="0.25">
      <c r="A3529" s="2060"/>
      <c r="B3529" s="576"/>
      <c r="C3529" s="328"/>
      <c r="D3529" s="3990"/>
      <c r="E3529" s="4009"/>
      <c r="F3529" s="3016" t="str">
        <f t="shared" si="256"/>
        <v>ASHP-SEER15-Replace_CAC_ElectricHeat_ER2_MF</v>
      </c>
      <c r="G3529" s="2673"/>
      <c r="H3529" s="2673"/>
      <c r="I3529" s="2673"/>
      <c r="J3529" s="3301" t="str">
        <f>C1451</f>
        <v>352750_2021_12_</v>
      </c>
      <c r="K3529" s="865">
        <v>12</v>
      </c>
      <c r="L3529" s="851"/>
      <c r="M3529" s="698"/>
      <c r="N3529" s="123"/>
      <c r="O3529" s="228"/>
      <c r="P3529" s="844"/>
      <c r="Q3529" s="844"/>
      <c r="R3529" s="844"/>
      <c r="S3529" s="832"/>
      <c r="T3529" s="3082"/>
      <c r="U3529" s="123"/>
      <c r="V3529" s="4031"/>
      <c r="W3529" s="865">
        <v>12</v>
      </c>
      <c r="X3529" s="865">
        <v>12</v>
      </c>
      <c r="Y3529" s="865">
        <v>12</v>
      </c>
      <c r="Z3529" s="865">
        <v>12</v>
      </c>
      <c r="AA3529" s="865">
        <v>12</v>
      </c>
      <c r="AB3529" s="865">
        <v>12</v>
      </c>
      <c r="AC3529" s="865">
        <v>12</v>
      </c>
      <c r="AD3529" s="865"/>
      <c r="AE3529" s="865"/>
      <c r="AF3529" s="865"/>
      <c r="AG3529" s="865"/>
      <c r="AH3529" s="1942"/>
      <c r="AI3529" s="1942"/>
      <c r="AJ3529" s="1942"/>
      <c r="AK3529" s="1942"/>
      <c r="AL3529" s="1942"/>
      <c r="AM3529" s="1942"/>
      <c r="AN3529" s="1942"/>
      <c r="AO3529" s="1942"/>
      <c r="AP3529" s="1942"/>
      <c r="AQ3529" s="1942"/>
      <c r="AR3529" s="1942"/>
      <c r="AS3529" s="1942"/>
      <c r="AT3529" s="1942"/>
      <c r="AU3529" s="1942"/>
      <c r="AV3529" s="1942"/>
      <c r="AW3529" s="1942"/>
      <c r="AX3529" s="1942"/>
      <c r="AY3529" s="1942"/>
      <c r="AZ3529" s="1942"/>
      <c r="BA3529" s="1942"/>
      <c r="BB3529" s="575"/>
      <c r="BC3529" s="576"/>
      <c r="BD3529" s="678"/>
      <c r="BE3529" s="585"/>
    </row>
    <row r="3530" spans="1:57" s="51" customFormat="1" ht="15" hidden="1" customHeight="1" outlineLevel="1" x14ac:dyDescent="0.25">
      <c r="A3530" s="2060"/>
      <c r="B3530" s="576"/>
      <c r="C3530" s="328"/>
      <c r="D3530" s="3990"/>
      <c r="E3530" s="4009"/>
      <c r="F3530" s="3016" t="str">
        <f t="shared" si="256"/>
        <v>ASHP-SEER15-Replace_CAC_ElectricHeat_ER2_MF</v>
      </c>
      <c r="G3530" s="2673"/>
      <c r="H3530" s="2673"/>
      <c r="I3530" s="2673"/>
      <c r="J3530" s="3301" t="str">
        <f>C1452</f>
        <v>352750_2021_12_</v>
      </c>
      <c r="K3530" s="865">
        <v>12</v>
      </c>
      <c r="L3530" s="851"/>
      <c r="M3530" s="698"/>
      <c r="N3530" s="123"/>
      <c r="O3530" s="228"/>
      <c r="P3530" s="844"/>
      <c r="Q3530" s="844"/>
      <c r="R3530" s="844"/>
      <c r="S3530" s="832"/>
      <c r="T3530" s="3082"/>
      <c r="U3530" s="123"/>
      <c r="V3530" s="4031"/>
      <c r="W3530" s="865">
        <v>12</v>
      </c>
      <c r="X3530" s="865">
        <v>12</v>
      </c>
      <c r="Y3530" s="865">
        <v>12</v>
      </c>
      <c r="Z3530" s="865">
        <v>12</v>
      </c>
      <c r="AA3530" s="865">
        <v>12</v>
      </c>
      <c r="AB3530" s="865">
        <v>12</v>
      </c>
      <c r="AC3530" s="865">
        <v>12</v>
      </c>
      <c r="AD3530" s="865"/>
      <c r="AE3530" s="865"/>
      <c r="AF3530" s="865"/>
      <c r="AG3530" s="865"/>
      <c r="AH3530" s="1942"/>
      <c r="AI3530" s="1942"/>
      <c r="AJ3530" s="1942"/>
      <c r="AK3530" s="1942"/>
      <c r="AL3530" s="1942"/>
      <c r="AM3530" s="1942"/>
      <c r="AN3530" s="1942"/>
      <c r="AO3530" s="1942"/>
      <c r="AP3530" s="1942"/>
      <c r="AQ3530" s="1942"/>
      <c r="AR3530" s="1942"/>
      <c r="AS3530" s="1942"/>
      <c r="AT3530" s="1942"/>
      <c r="AU3530" s="1942"/>
      <c r="AV3530" s="1942"/>
      <c r="AW3530" s="1942"/>
      <c r="AX3530" s="1942"/>
      <c r="AY3530" s="1942"/>
      <c r="AZ3530" s="1942"/>
      <c r="BA3530" s="1942"/>
      <c r="BB3530" s="575"/>
      <c r="BC3530" s="576"/>
      <c r="BD3530" s="678"/>
      <c r="BE3530" s="585"/>
    </row>
    <row r="3531" spans="1:57" s="1942" customFormat="1" ht="15" hidden="1" customHeight="1" outlineLevel="1" x14ac:dyDescent="0.25">
      <c r="A3531" s="2060"/>
      <c r="B3531" s="576"/>
      <c r="C3531" s="328"/>
      <c r="D3531" s="3990"/>
      <c r="E3531" s="4009"/>
      <c r="F3531" s="3016" t="str">
        <f t="shared" si="256"/>
        <v>ASHP-SEER15-Replace_CAC_ElectricHeat_ER1_MF_CompE</v>
      </c>
      <c r="G3531" s="2673"/>
      <c r="H3531" s="2673"/>
      <c r="I3531" s="2673"/>
      <c r="J3531" s="3301" t="str">
        <f t="shared" ref="J3531:J3542" si="260">C1453</f>
        <v>352751_2021_12_</v>
      </c>
      <c r="K3531" s="3054">
        <v>6</v>
      </c>
      <c r="L3531" s="851"/>
      <c r="M3531" s="698"/>
      <c r="N3531" s="123"/>
      <c r="O3531" s="228"/>
      <c r="P3531" s="844"/>
      <c r="Q3531" s="844"/>
      <c r="R3531" s="844"/>
      <c r="S3531" s="832"/>
      <c r="T3531" s="3082"/>
      <c r="U3531" s="123"/>
      <c r="V3531" s="4031"/>
      <c r="W3531" s="865"/>
      <c r="X3531" s="865"/>
      <c r="Y3531" s="865"/>
      <c r="Z3531" s="865"/>
      <c r="AA3531" s="865"/>
      <c r="AB3531" s="865"/>
      <c r="AC3531" s="3054">
        <v>6</v>
      </c>
      <c r="AD3531" s="865"/>
      <c r="AE3531" s="865"/>
      <c r="AF3531" s="865"/>
      <c r="AG3531" s="865"/>
      <c r="BB3531" s="575"/>
      <c r="BC3531" s="576"/>
      <c r="BD3531" s="678"/>
      <c r="BE3531" s="585"/>
    </row>
    <row r="3532" spans="1:57" s="1942" customFormat="1" ht="15" hidden="1" customHeight="1" outlineLevel="1" x14ac:dyDescent="0.25">
      <c r="A3532" s="2060"/>
      <c r="B3532" s="576"/>
      <c r="C3532" s="328"/>
      <c r="D3532" s="3990"/>
      <c r="E3532" s="4009"/>
      <c r="F3532" s="3016" t="str">
        <f t="shared" si="256"/>
        <v>ASHP-SEER15-Replace_CAC_ElectricHeat_ER1_MF_CompE</v>
      </c>
      <c r="G3532" s="2673"/>
      <c r="H3532" s="2673"/>
      <c r="I3532" s="2673"/>
      <c r="J3532" s="3301" t="str">
        <f t="shared" si="260"/>
        <v>352751_2021_12_</v>
      </c>
      <c r="K3532" s="3054">
        <v>6</v>
      </c>
      <c r="L3532" s="851"/>
      <c r="M3532" s="698"/>
      <c r="N3532" s="123"/>
      <c r="O3532" s="228"/>
      <c r="P3532" s="844"/>
      <c r="Q3532" s="844"/>
      <c r="R3532" s="844"/>
      <c r="S3532" s="832"/>
      <c r="T3532" s="3082"/>
      <c r="U3532" s="123"/>
      <c r="V3532" s="4031"/>
      <c r="W3532" s="865"/>
      <c r="X3532" s="865"/>
      <c r="Y3532" s="865"/>
      <c r="Z3532" s="865"/>
      <c r="AA3532" s="865"/>
      <c r="AB3532" s="865"/>
      <c r="AC3532" s="3054">
        <v>6</v>
      </c>
      <c r="AD3532" s="865"/>
      <c r="AE3532" s="865"/>
      <c r="AF3532" s="865"/>
      <c r="AG3532" s="865"/>
      <c r="BB3532" s="575"/>
      <c r="BC3532" s="576"/>
      <c r="BD3532" s="678"/>
      <c r="BE3532" s="585"/>
    </row>
    <row r="3533" spans="1:57" s="1942" customFormat="1" ht="15" hidden="1" customHeight="1" outlineLevel="1" x14ac:dyDescent="0.25">
      <c r="A3533" s="2060"/>
      <c r="B3533" s="576"/>
      <c r="C3533" s="328"/>
      <c r="D3533" s="3990"/>
      <c r="E3533" s="4009"/>
      <c r="F3533" s="3016" t="str">
        <f t="shared" si="256"/>
        <v>ASHP-SEER15-Replace_CAC_ElectricHeat_ER2_MF_CompE</v>
      </c>
      <c r="G3533" s="2673"/>
      <c r="H3533" s="2673"/>
      <c r="I3533" s="2673"/>
      <c r="J3533" s="3301" t="str">
        <f t="shared" si="260"/>
        <v>352751_2021_12_</v>
      </c>
      <c r="K3533" s="3054">
        <v>12</v>
      </c>
      <c r="L3533" s="851"/>
      <c r="M3533" s="698"/>
      <c r="N3533" s="123"/>
      <c r="O3533" s="228"/>
      <c r="P3533" s="844"/>
      <c r="Q3533" s="844"/>
      <c r="R3533" s="844"/>
      <c r="S3533" s="832"/>
      <c r="T3533" s="3082"/>
      <c r="U3533" s="123"/>
      <c r="V3533" s="4031"/>
      <c r="W3533" s="865"/>
      <c r="X3533" s="865"/>
      <c r="Y3533" s="865"/>
      <c r="Z3533" s="865"/>
      <c r="AA3533" s="865"/>
      <c r="AB3533" s="865"/>
      <c r="AC3533" s="3054">
        <v>12</v>
      </c>
      <c r="AD3533" s="865"/>
      <c r="AE3533" s="865"/>
      <c r="AF3533" s="865"/>
      <c r="AG3533" s="865"/>
      <c r="BB3533" s="575"/>
      <c r="BC3533" s="576"/>
      <c r="BD3533" s="678"/>
      <c r="BE3533" s="585"/>
    </row>
    <row r="3534" spans="1:57" s="1942" customFormat="1" ht="15" hidden="1" customHeight="1" outlineLevel="1" x14ac:dyDescent="0.25">
      <c r="A3534" s="2060"/>
      <c r="B3534" s="576"/>
      <c r="C3534" s="328"/>
      <c r="D3534" s="3990"/>
      <c r="E3534" s="4009"/>
      <c r="F3534" s="3016" t="str">
        <f t="shared" si="256"/>
        <v>ASHP-SEER15-Replace_CAC_ElectricHeat_ER2_MF_CompE</v>
      </c>
      <c r="G3534" s="2673"/>
      <c r="H3534" s="2673"/>
      <c r="I3534" s="2673"/>
      <c r="J3534" s="3301" t="str">
        <f t="shared" si="260"/>
        <v>352751_2021_12_</v>
      </c>
      <c r="K3534" s="3054">
        <v>12</v>
      </c>
      <c r="L3534" s="851"/>
      <c r="M3534" s="698"/>
      <c r="N3534" s="123"/>
      <c r="O3534" s="228"/>
      <c r="P3534" s="844"/>
      <c r="Q3534" s="844"/>
      <c r="R3534" s="844"/>
      <c r="S3534" s="832"/>
      <c r="T3534" s="3082"/>
      <c r="U3534" s="123"/>
      <c r="V3534" s="4031"/>
      <c r="W3534" s="865"/>
      <c r="X3534" s="865"/>
      <c r="Y3534" s="865"/>
      <c r="Z3534" s="865"/>
      <c r="AA3534" s="865"/>
      <c r="AB3534" s="865"/>
      <c r="AC3534" s="3054">
        <v>12</v>
      </c>
      <c r="AD3534" s="865"/>
      <c r="AE3534" s="865"/>
      <c r="AF3534" s="865"/>
      <c r="AG3534" s="865"/>
      <c r="BB3534" s="575"/>
      <c r="BC3534" s="576"/>
      <c r="BD3534" s="678"/>
      <c r="BE3534" s="585"/>
    </row>
    <row r="3535" spans="1:57" s="1942" customFormat="1" ht="15" hidden="1" customHeight="1" outlineLevel="1" x14ac:dyDescent="0.25">
      <c r="A3535" s="2060"/>
      <c r="B3535" s="576"/>
      <c r="C3535" s="328"/>
      <c r="D3535" s="3990"/>
      <c r="E3535" s="4009"/>
      <c r="F3535" s="3016" t="str">
        <f t="shared" si="256"/>
        <v>ASHP-SEER15-Replace_CAC_NonElectricHeat_ER1_MF</v>
      </c>
      <c r="G3535" s="2673"/>
      <c r="H3535" s="2673"/>
      <c r="I3535" s="2673"/>
      <c r="J3535" s="3301" t="str">
        <f t="shared" si="260"/>
        <v>352760_2021_12_</v>
      </c>
      <c r="K3535" s="3054">
        <v>6</v>
      </c>
      <c r="L3535" s="851"/>
      <c r="M3535" s="698"/>
      <c r="N3535" s="123"/>
      <c r="O3535" s="228"/>
      <c r="P3535" s="844"/>
      <c r="Q3535" s="844"/>
      <c r="R3535" s="844"/>
      <c r="S3535" s="832"/>
      <c r="T3535" s="3082"/>
      <c r="U3535" s="123"/>
      <c r="V3535" s="4031"/>
      <c r="W3535" s="865"/>
      <c r="X3535" s="865"/>
      <c r="Y3535" s="865"/>
      <c r="Z3535" s="865"/>
      <c r="AA3535" s="865"/>
      <c r="AB3535" s="865"/>
      <c r="AC3535" s="3054">
        <v>6</v>
      </c>
      <c r="AD3535" s="865"/>
      <c r="AE3535" s="865"/>
      <c r="AF3535" s="865"/>
      <c r="AG3535" s="865"/>
      <c r="BB3535" s="575"/>
      <c r="BC3535" s="576"/>
      <c r="BD3535" s="678"/>
      <c r="BE3535" s="585"/>
    </row>
    <row r="3536" spans="1:57" s="1942" customFormat="1" ht="15" hidden="1" customHeight="1" outlineLevel="1" x14ac:dyDescent="0.25">
      <c r="A3536" s="2060"/>
      <c r="B3536" s="576"/>
      <c r="C3536" s="328"/>
      <c r="D3536" s="3990"/>
      <c r="E3536" s="4009"/>
      <c r="F3536" s="3016" t="str">
        <f t="shared" si="256"/>
        <v>ASHP-SEER15-Replace_CAC_NonElectricHeat_ER1_MF</v>
      </c>
      <c r="G3536" s="2673"/>
      <c r="H3536" s="2673"/>
      <c r="I3536" s="2673"/>
      <c r="J3536" s="3301" t="str">
        <f t="shared" si="260"/>
        <v>352760_2021_12_</v>
      </c>
      <c r="K3536" s="3054">
        <v>6</v>
      </c>
      <c r="L3536" s="851"/>
      <c r="M3536" s="698"/>
      <c r="N3536" s="123"/>
      <c r="O3536" s="228"/>
      <c r="P3536" s="844"/>
      <c r="Q3536" s="844"/>
      <c r="R3536" s="844"/>
      <c r="S3536" s="832"/>
      <c r="T3536" s="3082"/>
      <c r="U3536" s="123"/>
      <c r="V3536" s="4031"/>
      <c r="W3536" s="865"/>
      <c r="X3536" s="865"/>
      <c r="Y3536" s="865"/>
      <c r="Z3536" s="865"/>
      <c r="AA3536" s="865"/>
      <c r="AB3536" s="865"/>
      <c r="AC3536" s="3054">
        <v>6</v>
      </c>
      <c r="AD3536" s="865"/>
      <c r="AE3536" s="865"/>
      <c r="AF3536" s="865"/>
      <c r="AG3536" s="865"/>
      <c r="BB3536" s="575"/>
      <c r="BC3536" s="576"/>
      <c r="BD3536" s="678"/>
      <c r="BE3536" s="585"/>
    </row>
    <row r="3537" spans="1:57" s="1942" customFormat="1" ht="15" hidden="1" customHeight="1" outlineLevel="1" x14ac:dyDescent="0.25">
      <c r="A3537" s="2060"/>
      <c r="B3537" s="576"/>
      <c r="C3537" s="328"/>
      <c r="D3537" s="3990"/>
      <c r="E3537" s="4009"/>
      <c r="F3537" s="3016" t="str">
        <f t="shared" si="256"/>
        <v>ASHP-SEER15-Replace_CAC_NonElectricHeat_ER2_MF</v>
      </c>
      <c r="G3537" s="2673"/>
      <c r="H3537" s="2673"/>
      <c r="I3537" s="2673"/>
      <c r="J3537" s="3301" t="str">
        <f t="shared" si="260"/>
        <v>352760_2021_12_</v>
      </c>
      <c r="K3537" s="3054">
        <v>12</v>
      </c>
      <c r="L3537" s="851"/>
      <c r="M3537" s="698"/>
      <c r="N3537" s="123"/>
      <c r="O3537" s="228"/>
      <c r="P3537" s="844"/>
      <c r="Q3537" s="844"/>
      <c r="R3537" s="844"/>
      <c r="S3537" s="832"/>
      <c r="T3537" s="3082"/>
      <c r="U3537" s="123"/>
      <c r="V3537" s="4031"/>
      <c r="W3537" s="865"/>
      <c r="X3537" s="865"/>
      <c r="Y3537" s="865"/>
      <c r="Z3537" s="865"/>
      <c r="AA3537" s="865"/>
      <c r="AB3537" s="865"/>
      <c r="AC3537" s="3054">
        <v>12</v>
      </c>
      <c r="AD3537" s="865"/>
      <c r="AE3537" s="865"/>
      <c r="AF3537" s="865"/>
      <c r="AG3537" s="865"/>
      <c r="BB3537" s="575"/>
      <c r="BC3537" s="576"/>
      <c r="BD3537" s="678"/>
      <c r="BE3537" s="585"/>
    </row>
    <row r="3538" spans="1:57" s="1942" customFormat="1" ht="15" hidden="1" customHeight="1" outlineLevel="1" x14ac:dyDescent="0.25">
      <c r="A3538" s="2060"/>
      <c r="B3538" s="576"/>
      <c r="C3538" s="328"/>
      <c r="D3538" s="3990"/>
      <c r="E3538" s="4009"/>
      <c r="F3538" s="3016" t="str">
        <f t="shared" si="256"/>
        <v>ASHP-SEER15-Replace_CAC_NonElectricHeat_ER2_MF</v>
      </c>
      <c r="G3538" s="2673"/>
      <c r="H3538" s="2673"/>
      <c r="I3538" s="2673"/>
      <c r="J3538" s="3301" t="str">
        <f t="shared" si="260"/>
        <v>352760_2021_12_</v>
      </c>
      <c r="K3538" s="3054">
        <v>12</v>
      </c>
      <c r="L3538" s="851"/>
      <c r="M3538" s="698"/>
      <c r="N3538" s="123"/>
      <c r="O3538" s="228"/>
      <c r="P3538" s="844"/>
      <c r="Q3538" s="844"/>
      <c r="R3538" s="844"/>
      <c r="S3538" s="832"/>
      <c r="T3538" s="3082"/>
      <c r="U3538" s="123"/>
      <c r="V3538" s="4031"/>
      <c r="W3538" s="865"/>
      <c r="X3538" s="865"/>
      <c r="Y3538" s="865"/>
      <c r="Z3538" s="865"/>
      <c r="AA3538" s="865"/>
      <c r="AB3538" s="865"/>
      <c r="AC3538" s="3054">
        <v>12</v>
      </c>
      <c r="AD3538" s="865"/>
      <c r="AE3538" s="865"/>
      <c r="AF3538" s="865"/>
      <c r="AG3538" s="865"/>
      <c r="BB3538" s="575"/>
      <c r="BC3538" s="576"/>
      <c r="BD3538" s="678"/>
      <c r="BE3538" s="585"/>
    </row>
    <row r="3539" spans="1:57" s="1942" customFormat="1" ht="15" hidden="1" customHeight="1" outlineLevel="1" x14ac:dyDescent="0.25">
      <c r="A3539" s="2060"/>
      <c r="B3539" s="576"/>
      <c r="C3539" s="328"/>
      <c r="D3539" s="3990"/>
      <c r="E3539" s="4009"/>
      <c r="F3539" s="3016" t="str">
        <f t="shared" si="256"/>
        <v>ASHP-SEER15-Replace_CAC_NonElectricHeat_ER1_MF_CompE</v>
      </c>
      <c r="G3539" s="2673"/>
      <c r="H3539" s="2673"/>
      <c r="I3539" s="2673"/>
      <c r="J3539" s="3301" t="str">
        <f t="shared" si="260"/>
        <v>352761_2021_12_</v>
      </c>
      <c r="K3539" s="3054">
        <v>6</v>
      </c>
      <c r="L3539" s="851"/>
      <c r="M3539" s="698"/>
      <c r="N3539" s="123"/>
      <c r="O3539" s="228"/>
      <c r="P3539" s="844"/>
      <c r="Q3539" s="844"/>
      <c r="R3539" s="844"/>
      <c r="S3539" s="832"/>
      <c r="T3539" s="3082"/>
      <c r="U3539" s="123"/>
      <c r="V3539" s="4031"/>
      <c r="W3539" s="865"/>
      <c r="X3539" s="865"/>
      <c r="Y3539" s="865"/>
      <c r="Z3539" s="865"/>
      <c r="AA3539" s="865"/>
      <c r="AB3539" s="865"/>
      <c r="AC3539" s="3054">
        <v>6</v>
      </c>
      <c r="AD3539" s="865"/>
      <c r="AE3539" s="865"/>
      <c r="AF3539" s="865"/>
      <c r="AG3539" s="865"/>
      <c r="BB3539" s="575"/>
      <c r="BC3539" s="576"/>
      <c r="BD3539" s="678"/>
      <c r="BE3539" s="585"/>
    </row>
    <row r="3540" spans="1:57" s="1942" customFormat="1" ht="15" hidden="1" customHeight="1" outlineLevel="1" x14ac:dyDescent="0.25">
      <c r="A3540" s="2060"/>
      <c r="B3540" s="576"/>
      <c r="C3540" s="328"/>
      <c r="D3540" s="3990"/>
      <c r="E3540" s="4009"/>
      <c r="F3540" s="3016" t="str">
        <f t="shared" si="256"/>
        <v>ASHP-SEER15-Replace_CAC_NonElectricHeat_ER1_MF_CompE</v>
      </c>
      <c r="G3540" s="2673"/>
      <c r="H3540" s="2673"/>
      <c r="I3540" s="2673"/>
      <c r="J3540" s="3301" t="str">
        <f t="shared" si="260"/>
        <v>352761_2021_12_</v>
      </c>
      <c r="K3540" s="3054">
        <v>6</v>
      </c>
      <c r="L3540" s="851"/>
      <c r="M3540" s="698"/>
      <c r="N3540" s="123"/>
      <c r="O3540" s="228"/>
      <c r="P3540" s="844"/>
      <c r="Q3540" s="844"/>
      <c r="R3540" s="844"/>
      <c r="S3540" s="832"/>
      <c r="T3540" s="3082"/>
      <c r="U3540" s="123"/>
      <c r="V3540" s="4031"/>
      <c r="W3540" s="865"/>
      <c r="X3540" s="865"/>
      <c r="Y3540" s="865"/>
      <c r="Z3540" s="865"/>
      <c r="AA3540" s="865"/>
      <c r="AB3540" s="865"/>
      <c r="AC3540" s="3054">
        <v>6</v>
      </c>
      <c r="AD3540" s="865"/>
      <c r="AE3540" s="865"/>
      <c r="AF3540" s="865"/>
      <c r="AG3540" s="865"/>
      <c r="BB3540" s="575"/>
      <c r="BC3540" s="576"/>
      <c r="BD3540" s="678"/>
      <c r="BE3540" s="585"/>
    </row>
    <row r="3541" spans="1:57" s="1942" customFormat="1" ht="15" hidden="1" customHeight="1" outlineLevel="1" x14ac:dyDescent="0.25">
      <c r="A3541" s="2060"/>
      <c r="B3541" s="576"/>
      <c r="C3541" s="328"/>
      <c r="D3541" s="3990"/>
      <c r="E3541" s="4009"/>
      <c r="F3541" s="3016" t="str">
        <f t="shared" si="256"/>
        <v>ASHP-SEER15-Replace_CAC_NonElectricHeat_ER2_MF_CompE</v>
      </c>
      <c r="G3541" s="2673"/>
      <c r="H3541" s="2673"/>
      <c r="I3541" s="2673"/>
      <c r="J3541" s="3301" t="str">
        <f t="shared" si="260"/>
        <v>352761_2021_12_</v>
      </c>
      <c r="K3541" s="3054">
        <v>12</v>
      </c>
      <c r="L3541" s="851"/>
      <c r="M3541" s="698"/>
      <c r="N3541" s="123"/>
      <c r="O3541" s="228"/>
      <c r="P3541" s="844"/>
      <c r="Q3541" s="844"/>
      <c r="R3541" s="844"/>
      <c r="S3541" s="832"/>
      <c r="T3541" s="3082"/>
      <c r="U3541" s="123"/>
      <c r="V3541" s="4031"/>
      <c r="W3541" s="865"/>
      <c r="X3541" s="865"/>
      <c r="Y3541" s="865"/>
      <c r="Z3541" s="865"/>
      <c r="AA3541" s="865"/>
      <c r="AB3541" s="865"/>
      <c r="AC3541" s="3054">
        <v>12</v>
      </c>
      <c r="AD3541" s="865"/>
      <c r="AE3541" s="865"/>
      <c r="AF3541" s="865"/>
      <c r="AG3541" s="865"/>
      <c r="BB3541" s="575"/>
      <c r="BC3541" s="576"/>
      <c r="BD3541" s="678"/>
      <c r="BE3541" s="585"/>
    </row>
    <row r="3542" spans="1:57" s="1942" customFormat="1" ht="15" hidden="1" customHeight="1" outlineLevel="1" x14ac:dyDescent="0.25">
      <c r="A3542" s="2060"/>
      <c r="B3542" s="576"/>
      <c r="C3542" s="328"/>
      <c r="D3542" s="3990"/>
      <c r="E3542" s="4009"/>
      <c r="F3542" s="3016" t="str">
        <f t="shared" si="256"/>
        <v>ASHP-SEER15-Replace_CAC_NonElectricHeat_ER2_MF_CompE</v>
      </c>
      <c r="G3542" s="2673"/>
      <c r="H3542" s="2673"/>
      <c r="I3542" s="2673"/>
      <c r="J3542" s="3301" t="str">
        <f t="shared" si="260"/>
        <v>352761_2021_12_</v>
      </c>
      <c r="K3542" s="3054">
        <v>12</v>
      </c>
      <c r="L3542" s="851"/>
      <c r="M3542" s="698"/>
      <c r="N3542" s="123"/>
      <c r="O3542" s="228"/>
      <c r="P3542" s="844"/>
      <c r="Q3542" s="844"/>
      <c r="R3542" s="844"/>
      <c r="S3542" s="832"/>
      <c r="T3542" s="3082"/>
      <c r="U3542" s="123"/>
      <c r="V3542" s="4031"/>
      <c r="W3542" s="865"/>
      <c r="X3542" s="865"/>
      <c r="Y3542" s="865"/>
      <c r="Z3542" s="865"/>
      <c r="AA3542" s="865"/>
      <c r="AB3542" s="865"/>
      <c r="AC3542" s="3054">
        <v>12</v>
      </c>
      <c r="AD3542" s="865"/>
      <c r="AE3542" s="865"/>
      <c r="AF3542" s="865"/>
      <c r="AG3542" s="865"/>
      <c r="BB3542" s="575"/>
      <c r="BC3542" s="576"/>
      <c r="BD3542" s="678"/>
      <c r="BE3542" s="585"/>
    </row>
    <row r="3543" spans="1:57" s="51" customFormat="1" ht="15" hidden="1" customHeight="1" outlineLevel="1" x14ac:dyDescent="0.25">
      <c r="A3543" s="2060"/>
      <c r="B3543" s="576"/>
      <c r="C3543" s="328"/>
      <c r="D3543" s="3990"/>
      <c r="E3543" s="4009"/>
      <c r="F3543" s="3016" t="str">
        <f t="shared" si="256"/>
        <v>ASHP-SEER15-Replace_CAC_ElectricHeat_ROF_MF</v>
      </c>
      <c r="G3543" s="2673"/>
      <c r="H3543" s="2673"/>
      <c r="I3543" s="2673"/>
      <c r="J3543" s="3302" t="str">
        <f>C1465</f>
        <v>352800_2019_12_</v>
      </c>
      <c r="K3543" s="865">
        <v>18</v>
      </c>
      <c r="L3543" s="851"/>
      <c r="M3543" s="698"/>
      <c r="N3543" s="123"/>
      <c r="O3543" s="228"/>
      <c r="P3543" s="844"/>
      <c r="Q3543" s="844"/>
      <c r="R3543" s="844"/>
      <c r="S3543" s="832"/>
      <c r="T3543" s="3082"/>
      <c r="U3543" s="123"/>
      <c r="V3543" s="4031"/>
      <c r="W3543" s="865">
        <v>18</v>
      </c>
      <c r="X3543" s="865">
        <v>18</v>
      </c>
      <c r="Y3543" s="865">
        <v>18</v>
      </c>
      <c r="Z3543" s="865">
        <v>18</v>
      </c>
      <c r="AA3543" s="865">
        <v>18</v>
      </c>
      <c r="AB3543" s="865">
        <v>18</v>
      </c>
      <c r="AC3543" s="865">
        <v>18</v>
      </c>
      <c r="AD3543" s="865"/>
      <c r="AE3543" s="865"/>
      <c r="AF3543" s="865"/>
      <c r="AG3543" s="865"/>
      <c r="AH3543" s="1942"/>
      <c r="AI3543" s="1942"/>
      <c r="AJ3543" s="1942"/>
      <c r="AK3543" s="1942"/>
      <c r="AL3543" s="1942"/>
      <c r="AM3543" s="1942"/>
      <c r="AN3543" s="1942"/>
      <c r="AO3543" s="1942"/>
      <c r="AP3543" s="1942"/>
      <c r="AQ3543" s="1942"/>
      <c r="AR3543" s="1942"/>
      <c r="AS3543" s="1942"/>
      <c r="AT3543" s="1942"/>
      <c r="AU3543" s="1942"/>
      <c r="AV3543" s="1942"/>
      <c r="AW3543" s="1942"/>
      <c r="AX3543" s="1942"/>
      <c r="AY3543" s="1942"/>
      <c r="AZ3543" s="1942"/>
      <c r="BA3543" s="1942"/>
      <c r="BB3543" s="575"/>
      <c r="BC3543" s="576"/>
      <c r="BD3543" s="678"/>
      <c r="BE3543" s="585"/>
    </row>
    <row r="3544" spans="1:57" s="51" customFormat="1" ht="15" hidden="1" customHeight="1" outlineLevel="1" x14ac:dyDescent="0.25">
      <c r="A3544" s="2060"/>
      <c r="B3544" s="576"/>
      <c r="C3544" s="328"/>
      <c r="D3544" s="3990"/>
      <c r="E3544" s="4009"/>
      <c r="F3544" s="3016" t="str">
        <f t="shared" si="256"/>
        <v>ASHP-SEER15-Replace_CAC_ElectricHeat_ROF_MF</v>
      </c>
      <c r="G3544" s="2673"/>
      <c r="H3544" s="2673"/>
      <c r="I3544" s="2673"/>
      <c r="J3544" s="3302" t="str">
        <f>C1466</f>
        <v>352800_2019_12_</v>
      </c>
      <c r="K3544" s="865">
        <v>18</v>
      </c>
      <c r="L3544" s="851"/>
      <c r="M3544" s="698"/>
      <c r="N3544" s="123"/>
      <c r="O3544" s="228"/>
      <c r="P3544" s="844"/>
      <c r="Q3544" s="845"/>
      <c r="R3544" s="844"/>
      <c r="S3544" s="832"/>
      <c r="T3544" s="3082"/>
      <c r="U3544" s="123"/>
      <c r="V3544" s="4031"/>
      <c r="W3544" s="865">
        <v>18</v>
      </c>
      <c r="X3544" s="865">
        <v>18</v>
      </c>
      <c r="Y3544" s="865">
        <v>18</v>
      </c>
      <c r="Z3544" s="865">
        <v>18</v>
      </c>
      <c r="AA3544" s="865">
        <v>18</v>
      </c>
      <c r="AB3544" s="865">
        <v>18</v>
      </c>
      <c r="AC3544" s="865">
        <v>18</v>
      </c>
      <c r="AD3544" s="865"/>
      <c r="AE3544" s="865"/>
      <c r="AF3544" s="865"/>
      <c r="AG3544" s="865"/>
      <c r="AH3544" s="1942"/>
      <c r="AI3544" s="1942"/>
      <c r="AJ3544" s="1942"/>
      <c r="AK3544" s="1942"/>
      <c r="AL3544" s="1942"/>
      <c r="AM3544" s="1942"/>
      <c r="AN3544" s="1942"/>
      <c r="AO3544" s="1942"/>
      <c r="AP3544" s="1942"/>
      <c r="AQ3544" s="1942"/>
      <c r="AR3544" s="1942"/>
      <c r="AS3544" s="1942"/>
      <c r="AT3544" s="1942"/>
      <c r="AU3544" s="1942"/>
      <c r="AV3544" s="1942"/>
      <c r="AW3544" s="1942"/>
      <c r="AX3544" s="1942"/>
      <c r="AY3544" s="1942"/>
      <c r="AZ3544" s="1942"/>
      <c r="BA3544" s="1942"/>
      <c r="BB3544" s="575"/>
      <c r="BC3544" s="576"/>
      <c r="BD3544" s="678"/>
      <c r="BE3544" s="585"/>
    </row>
    <row r="3545" spans="1:57" s="1942" customFormat="1" ht="15" hidden="1" customHeight="1" outlineLevel="1" x14ac:dyDescent="0.25">
      <c r="A3545" s="2060"/>
      <c r="B3545" s="576"/>
      <c r="C3545" s="328"/>
      <c r="D3545" s="3990"/>
      <c r="E3545" s="4009"/>
      <c r="F3545" s="3016" t="str">
        <f t="shared" si="256"/>
        <v>ASHP-SEER15-Replace_CAC_ElectricHeat_ROF_MF_CompE</v>
      </c>
      <c r="G3545" s="2673"/>
      <c r="H3545" s="2673"/>
      <c r="I3545" s="2673"/>
      <c r="J3545" s="3302" t="str">
        <f t="shared" ref="J3545:J3550" si="261">C1467</f>
        <v>352801_2021_12_</v>
      </c>
      <c r="K3545" s="3054">
        <v>18</v>
      </c>
      <c r="L3545" s="851"/>
      <c r="M3545" s="698"/>
      <c r="N3545" s="123"/>
      <c r="O3545" s="228"/>
      <c r="P3545" s="844"/>
      <c r="Q3545" s="845"/>
      <c r="R3545" s="844"/>
      <c r="S3545" s="832"/>
      <c r="T3545" s="3082"/>
      <c r="U3545" s="123"/>
      <c r="V3545" s="4031"/>
      <c r="W3545" s="865"/>
      <c r="X3545" s="865"/>
      <c r="Y3545" s="865"/>
      <c r="Z3545" s="865"/>
      <c r="AA3545" s="865"/>
      <c r="AB3545" s="865"/>
      <c r="AC3545" s="3054">
        <v>18</v>
      </c>
      <c r="AD3545" s="865"/>
      <c r="AE3545" s="865"/>
      <c r="AF3545" s="865"/>
      <c r="AG3545" s="865"/>
      <c r="BB3545" s="575"/>
      <c r="BC3545" s="576"/>
      <c r="BD3545" s="678"/>
      <c r="BE3545" s="585"/>
    </row>
    <row r="3546" spans="1:57" s="1942" customFormat="1" ht="15" hidden="1" customHeight="1" outlineLevel="1" x14ac:dyDescent="0.25">
      <c r="A3546" s="2060"/>
      <c r="B3546" s="576"/>
      <c r="C3546" s="328"/>
      <c r="D3546" s="3990"/>
      <c r="E3546" s="4009"/>
      <c r="F3546" s="3016" t="str">
        <f t="shared" si="256"/>
        <v>ASHP-SEER15-Replace_CAC_ElectricHeat_ROF_MF_CompE</v>
      </c>
      <c r="G3546" s="2673"/>
      <c r="H3546" s="2673"/>
      <c r="I3546" s="2673"/>
      <c r="J3546" s="3302" t="str">
        <f t="shared" si="261"/>
        <v>352801_2021_12_</v>
      </c>
      <c r="K3546" s="3054">
        <v>18</v>
      </c>
      <c r="L3546" s="851"/>
      <c r="M3546" s="698"/>
      <c r="N3546" s="123"/>
      <c r="O3546" s="228"/>
      <c r="P3546" s="844"/>
      <c r="Q3546" s="845"/>
      <c r="R3546" s="844"/>
      <c r="S3546" s="832"/>
      <c r="T3546" s="3082"/>
      <c r="U3546" s="123"/>
      <c r="V3546" s="4031"/>
      <c r="W3546" s="865"/>
      <c r="X3546" s="865"/>
      <c r="Y3546" s="865"/>
      <c r="Z3546" s="865"/>
      <c r="AA3546" s="865"/>
      <c r="AB3546" s="865"/>
      <c r="AC3546" s="3054">
        <v>18</v>
      </c>
      <c r="AD3546" s="865"/>
      <c r="AE3546" s="865"/>
      <c r="AF3546" s="865"/>
      <c r="AG3546" s="865"/>
      <c r="BB3546" s="575"/>
      <c r="BC3546" s="576"/>
      <c r="BD3546" s="678"/>
      <c r="BE3546" s="585"/>
    </row>
    <row r="3547" spans="1:57" s="1942" customFormat="1" ht="15" hidden="1" customHeight="1" outlineLevel="1" x14ac:dyDescent="0.25">
      <c r="A3547" s="2060"/>
      <c r="B3547" s="576"/>
      <c r="C3547" s="328"/>
      <c r="D3547" s="3990"/>
      <c r="E3547" s="4009"/>
      <c r="F3547" s="3016" t="str">
        <f t="shared" si="256"/>
        <v>ASHP-SEER15-Replace_CAC_NonElectricHeat_ROF_MF</v>
      </c>
      <c r="G3547" s="2673"/>
      <c r="H3547" s="2673"/>
      <c r="I3547" s="2673"/>
      <c r="J3547" s="3301" t="str">
        <f t="shared" si="261"/>
        <v>352810_2021_12_</v>
      </c>
      <c r="K3547" s="3054">
        <v>18</v>
      </c>
      <c r="L3547" s="851"/>
      <c r="M3547" s="698"/>
      <c r="N3547" s="123"/>
      <c r="O3547" s="228"/>
      <c r="P3547" s="844"/>
      <c r="Q3547" s="845"/>
      <c r="R3547" s="844"/>
      <c r="S3547" s="832"/>
      <c r="T3547" s="3082"/>
      <c r="U3547" s="123"/>
      <c r="V3547" s="4031"/>
      <c r="W3547" s="865"/>
      <c r="X3547" s="865"/>
      <c r="Y3547" s="865"/>
      <c r="Z3547" s="865"/>
      <c r="AA3547" s="865"/>
      <c r="AB3547" s="865"/>
      <c r="AC3547" s="3054">
        <v>18</v>
      </c>
      <c r="AD3547" s="865"/>
      <c r="AE3547" s="865"/>
      <c r="AF3547" s="865"/>
      <c r="AG3547" s="865"/>
      <c r="BB3547" s="575"/>
      <c r="BC3547" s="576"/>
      <c r="BD3547" s="678"/>
      <c r="BE3547" s="585"/>
    </row>
    <row r="3548" spans="1:57" s="1942" customFormat="1" ht="15" hidden="1" customHeight="1" outlineLevel="1" x14ac:dyDescent="0.25">
      <c r="A3548" s="2060"/>
      <c r="B3548" s="576"/>
      <c r="C3548" s="328"/>
      <c r="D3548" s="3990"/>
      <c r="E3548" s="4009"/>
      <c r="F3548" s="3016" t="str">
        <f t="shared" si="256"/>
        <v>ASHP-SEER15-Replace_CAC_NonElectricHeat_ROF_MF</v>
      </c>
      <c r="G3548" s="2673"/>
      <c r="H3548" s="2673"/>
      <c r="I3548" s="2673"/>
      <c r="J3548" s="3301" t="str">
        <f t="shared" si="261"/>
        <v>352810_2021_12_</v>
      </c>
      <c r="K3548" s="3054">
        <v>18</v>
      </c>
      <c r="L3548" s="851"/>
      <c r="M3548" s="698"/>
      <c r="N3548" s="123"/>
      <c r="O3548" s="228"/>
      <c r="P3548" s="844"/>
      <c r="Q3548" s="845"/>
      <c r="R3548" s="844"/>
      <c r="S3548" s="832"/>
      <c r="T3548" s="3082"/>
      <c r="U3548" s="123"/>
      <c r="V3548" s="4031"/>
      <c r="W3548" s="865"/>
      <c r="X3548" s="865"/>
      <c r="Y3548" s="865"/>
      <c r="Z3548" s="865"/>
      <c r="AA3548" s="865"/>
      <c r="AB3548" s="865"/>
      <c r="AC3548" s="3054">
        <v>18</v>
      </c>
      <c r="AD3548" s="865"/>
      <c r="AE3548" s="865"/>
      <c r="AF3548" s="865"/>
      <c r="AG3548" s="865"/>
      <c r="BB3548" s="575"/>
      <c r="BC3548" s="576"/>
      <c r="BD3548" s="678"/>
      <c r="BE3548" s="585"/>
    </row>
    <row r="3549" spans="1:57" s="1942" customFormat="1" ht="15" hidden="1" customHeight="1" outlineLevel="1" x14ac:dyDescent="0.25">
      <c r="A3549" s="2060"/>
      <c r="B3549" s="576"/>
      <c r="C3549" s="328"/>
      <c r="D3549" s="3990"/>
      <c r="E3549" s="4009"/>
      <c r="F3549" s="3016" t="str">
        <f t="shared" si="256"/>
        <v>ASHP-SEER15-Replace_CAC_NonElectricHeat_ROF_MF_CompE</v>
      </c>
      <c r="G3549" s="2673"/>
      <c r="H3549" s="2673"/>
      <c r="I3549" s="2673"/>
      <c r="J3549" s="3301" t="str">
        <f t="shared" si="261"/>
        <v>352811_2021_12_</v>
      </c>
      <c r="K3549" s="3054">
        <v>18</v>
      </c>
      <c r="L3549" s="851"/>
      <c r="M3549" s="698"/>
      <c r="N3549" s="123"/>
      <c r="O3549" s="228"/>
      <c r="P3549" s="844"/>
      <c r="Q3549" s="845"/>
      <c r="R3549" s="844"/>
      <c r="S3549" s="832"/>
      <c r="T3549" s="3082"/>
      <c r="U3549" s="123"/>
      <c r="V3549" s="4031"/>
      <c r="W3549" s="865"/>
      <c r="X3549" s="865"/>
      <c r="Y3549" s="865"/>
      <c r="Z3549" s="865"/>
      <c r="AA3549" s="865"/>
      <c r="AB3549" s="865"/>
      <c r="AC3549" s="3054">
        <v>18</v>
      </c>
      <c r="AD3549" s="865"/>
      <c r="AE3549" s="865"/>
      <c r="AF3549" s="865"/>
      <c r="AG3549" s="865"/>
      <c r="BB3549" s="575"/>
      <c r="BC3549" s="576"/>
      <c r="BD3549" s="678"/>
      <c r="BE3549" s="585"/>
    </row>
    <row r="3550" spans="1:57" s="1942" customFormat="1" ht="15" hidden="1" customHeight="1" outlineLevel="1" x14ac:dyDescent="0.25">
      <c r="A3550" s="2060"/>
      <c r="B3550" s="576"/>
      <c r="C3550" s="328"/>
      <c r="D3550" s="3990"/>
      <c r="E3550" s="4009"/>
      <c r="F3550" s="3016" t="str">
        <f t="shared" si="256"/>
        <v>ASHP-SEER15-Replace_CAC_NonElectricHeat_ROF_MF_CompE</v>
      </c>
      <c r="G3550" s="2673"/>
      <c r="H3550" s="2673"/>
      <c r="I3550" s="2673"/>
      <c r="J3550" s="3301" t="str">
        <f t="shared" si="261"/>
        <v>352811_2021_12_</v>
      </c>
      <c r="K3550" s="3054">
        <v>18</v>
      </c>
      <c r="L3550" s="851"/>
      <c r="M3550" s="698"/>
      <c r="N3550" s="123"/>
      <c r="O3550" s="228"/>
      <c r="P3550" s="844"/>
      <c r="Q3550" s="845"/>
      <c r="R3550" s="844"/>
      <c r="S3550" s="832"/>
      <c r="T3550" s="3082"/>
      <c r="U3550" s="123"/>
      <c r="V3550" s="4031"/>
      <c r="W3550" s="865"/>
      <c r="X3550" s="865"/>
      <c r="Y3550" s="865"/>
      <c r="Z3550" s="865"/>
      <c r="AA3550" s="865"/>
      <c r="AB3550" s="865"/>
      <c r="AC3550" s="3054">
        <v>18</v>
      </c>
      <c r="AD3550" s="865"/>
      <c r="AE3550" s="865"/>
      <c r="AF3550" s="865"/>
      <c r="AG3550" s="865"/>
      <c r="BB3550" s="575"/>
      <c r="BC3550" s="576"/>
      <c r="BD3550" s="678"/>
      <c r="BE3550" s="585"/>
    </row>
    <row r="3551" spans="1:57" s="51" customFormat="1" ht="15" hidden="1" customHeight="1" outlineLevel="1" x14ac:dyDescent="0.25">
      <c r="A3551" s="2060"/>
      <c r="B3551" s="576"/>
      <c r="C3551" s="328"/>
      <c r="D3551" s="3990"/>
      <c r="E3551" s="4009"/>
      <c r="F3551" s="3016" t="str">
        <f t="shared" si="256"/>
        <v>ASHP-SEER16_ER1_MF</v>
      </c>
      <c r="G3551" s="2673"/>
      <c r="H3551" s="2673"/>
      <c r="I3551" s="2673"/>
      <c r="J3551" s="3301" t="str">
        <f>C1473</f>
        <v>352850_2021_12_</v>
      </c>
      <c r="K3551" s="865">
        <v>6</v>
      </c>
      <c r="L3551" s="851"/>
      <c r="M3551" s="698"/>
      <c r="N3551" s="123"/>
      <c r="O3551" s="228"/>
      <c r="P3551" s="844"/>
      <c r="Q3551" s="845"/>
      <c r="R3551" s="844"/>
      <c r="S3551" s="832"/>
      <c r="T3551" s="3082"/>
      <c r="U3551" s="123"/>
      <c r="V3551" s="4031"/>
      <c r="W3551" s="865">
        <v>6</v>
      </c>
      <c r="X3551" s="865">
        <v>6</v>
      </c>
      <c r="Y3551" s="865">
        <v>6</v>
      </c>
      <c r="Z3551" s="865">
        <v>6</v>
      </c>
      <c r="AA3551" s="865">
        <v>6</v>
      </c>
      <c r="AB3551" s="865">
        <v>6</v>
      </c>
      <c r="AC3551" s="865">
        <v>6</v>
      </c>
      <c r="AD3551" s="865"/>
      <c r="AE3551" s="865"/>
      <c r="AF3551" s="865"/>
      <c r="AG3551" s="865"/>
      <c r="AH3551" s="1942"/>
      <c r="AI3551" s="1942"/>
      <c r="AJ3551" s="1942"/>
      <c r="AK3551" s="1942"/>
      <c r="AL3551" s="1942"/>
      <c r="AM3551" s="1942"/>
      <c r="AN3551" s="1942"/>
      <c r="AO3551" s="1942"/>
      <c r="AP3551" s="1942"/>
      <c r="AQ3551" s="1942"/>
      <c r="AR3551" s="1942"/>
      <c r="AS3551" s="1942"/>
      <c r="AT3551" s="1942"/>
      <c r="AU3551" s="1942"/>
      <c r="AV3551" s="1942"/>
      <c r="AW3551" s="1942"/>
      <c r="AX3551" s="1942"/>
      <c r="AY3551" s="1942"/>
      <c r="AZ3551" s="1942"/>
      <c r="BA3551" s="1942"/>
      <c r="BB3551" s="575"/>
      <c r="BC3551" s="576"/>
      <c r="BD3551" s="678"/>
      <c r="BE3551" s="585"/>
    </row>
    <row r="3552" spans="1:57" s="51" customFormat="1" ht="15" hidden="1" customHeight="1" outlineLevel="1" x14ac:dyDescent="0.25">
      <c r="A3552" s="2060"/>
      <c r="B3552" s="576"/>
      <c r="C3552" s="328"/>
      <c r="D3552" s="3990"/>
      <c r="E3552" s="4009"/>
      <c r="F3552" s="3016" t="str">
        <f t="shared" si="256"/>
        <v>ASHP-SEER16_ER1_MF</v>
      </c>
      <c r="G3552" s="2673"/>
      <c r="H3552" s="2673"/>
      <c r="I3552" s="2673"/>
      <c r="J3552" s="3301" t="str">
        <f>C1474</f>
        <v>352850_2021_12_</v>
      </c>
      <c r="K3552" s="865">
        <v>6</v>
      </c>
      <c r="L3552" s="851"/>
      <c r="M3552" s="698"/>
      <c r="N3552" s="123"/>
      <c r="O3552" s="228"/>
      <c r="P3552" s="844"/>
      <c r="Q3552" s="845"/>
      <c r="R3552" s="844"/>
      <c r="S3552" s="832"/>
      <c r="T3552" s="3082"/>
      <c r="U3552" s="123"/>
      <c r="V3552" s="4031"/>
      <c r="W3552" s="865">
        <v>6</v>
      </c>
      <c r="X3552" s="865">
        <v>6</v>
      </c>
      <c r="Y3552" s="865">
        <v>6</v>
      </c>
      <c r="Z3552" s="865">
        <v>6</v>
      </c>
      <c r="AA3552" s="865">
        <v>6</v>
      </c>
      <c r="AB3552" s="865">
        <v>6</v>
      </c>
      <c r="AC3552" s="865">
        <v>6</v>
      </c>
      <c r="AD3552" s="865"/>
      <c r="AE3552" s="865"/>
      <c r="AF3552" s="865"/>
      <c r="AG3552" s="865"/>
      <c r="AH3552" s="1942"/>
      <c r="AI3552" s="1942"/>
      <c r="AJ3552" s="1942"/>
      <c r="AK3552" s="1942"/>
      <c r="AL3552" s="1942"/>
      <c r="AM3552" s="1942"/>
      <c r="AN3552" s="1942"/>
      <c r="AO3552" s="1942"/>
      <c r="AP3552" s="1942"/>
      <c r="AQ3552" s="1942"/>
      <c r="AR3552" s="1942"/>
      <c r="AS3552" s="1942"/>
      <c r="AT3552" s="1942"/>
      <c r="AU3552" s="1942"/>
      <c r="AV3552" s="1942"/>
      <c r="AW3552" s="1942"/>
      <c r="AX3552" s="1942"/>
      <c r="AY3552" s="1942"/>
      <c r="AZ3552" s="1942"/>
      <c r="BA3552" s="1942"/>
      <c r="BB3552" s="575"/>
      <c r="BC3552" s="576"/>
      <c r="BD3552" s="678"/>
      <c r="BE3552" s="585"/>
    </row>
    <row r="3553" spans="1:57" s="51" customFormat="1" ht="15" hidden="1" customHeight="1" outlineLevel="1" x14ac:dyDescent="0.25">
      <c r="A3553" s="2060"/>
      <c r="B3553" s="576"/>
      <c r="C3553" s="328"/>
      <c r="D3553" s="3990"/>
      <c r="E3553" s="4009"/>
      <c r="F3553" s="3016" t="str">
        <f t="shared" si="256"/>
        <v>ASHP-SEER16_ER2_MF</v>
      </c>
      <c r="G3553" s="2673"/>
      <c r="H3553" s="2673"/>
      <c r="I3553" s="2673"/>
      <c r="J3553" s="3301" t="str">
        <f>C1475</f>
        <v>352850_2021_12_</v>
      </c>
      <c r="K3553" s="865">
        <v>12</v>
      </c>
      <c r="L3553" s="851"/>
      <c r="M3553" s="698"/>
      <c r="N3553" s="123"/>
      <c r="O3553" s="228"/>
      <c r="P3553" s="844"/>
      <c r="Q3553" s="845"/>
      <c r="R3553" s="844"/>
      <c r="S3553" s="832"/>
      <c r="T3553" s="3082"/>
      <c r="U3553" s="123"/>
      <c r="V3553" s="4031"/>
      <c r="W3553" s="865">
        <v>12</v>
      </c>
      <c r="X3553" s="865">
        <v>12</v>
      </c>
      <c r="Y3553" s="865">
        <v>12</v>
      </c>
      <c r="Z3553" s="865">
        <v>12</v>
      </c>
      <c r="AA3553" s="865">
        <v>12</v>
      </c>
      <c r="AB3553" s="865">
        <v>12</v>
      </c>
      <c r="AC3553" s="865">
        <v>12</v>
      </c>
      <c r="AD3553" s="865"/>
      <c r="AE3553" s="865"/>
      <c r="AF3553" s="865"/>
      <c r="AG3553" s="865"/>
      <c r="AH3553" s="1942"/>
      <c r="AI3553" s="1942"/>
      <c r="AJ3553" s="1942"/>
      <c r="AK3553" s="1942"/>
      <c r="AL3553" s="1942"/>
      <c r="AM3553" s="1942"/>
      <c r="AN3553" s="1942"/>
      <c r="AO3553" s="1942"/>
      <c r="AP3553" s="1942"/>
      <c r="AQ3553" s="1942"/>
      <c r="AR3553" s="1942"/>
      <c r="AS3553" s="1942"/>
      <c r="AT3553" s="1942"/>
      <c r="AU3553" s="1942"/>
      <c r="AV3553" s="1942"/>
      <c r="AW3553" s="1942"/>
      <c r="AX3553" s="1942"/>
      <c r="AY3553" s="1942"/>
      <c r="AZ3553" s="1942"/>
      <c r="BA3553" s="1942"/>
      <c r="BB3553" s="575"/>
      <c r="BC3553" s="576"/>
      <c r="BD3553" s="678"/>
      <c r="BE3553" s="585"/>
    </row>
    <row r="3554" spans="1:57" s="51" customFormat="1" ht="15" hidden="1" customHeight="1" outlineLevel="1" x14ac:dyDescent="0.25">
      <c r="A3554" s="2060"/>
      <c r="B3554" s="576"/>
      <c r="C3554" s="328"/>
      <c r="D3554" s="3990"/>
      <c r="E3554" s="4009"/>
      <c r="F3554" s="3016" t="str">
        <f t="shared" si="256"/>
        <v>ASHP-SEER16_ER2_MF</v>
      </c>
      <c r="G3554" s="2673"/>
      <c r="H3554" s="2673"/>
      <c r="I3554" s="2673"/>
      <c r="J3554" s="3301" t="str">
        <f>C1476</f>
        <v>352850_2021_12_</v>
      </c>
      <c r="K3554" s="865">
        <v>12</v>
      </c>
      <c r="L3554" s="851"/>
      <c r="M3554" s="698"/>
      <c r="N3554" s="123"/>
      <c r="O3554" s="228"/>
      <c r="P3554" s="844"/>
      <c r="Q3554" s="845"/>
      <c r="R3554" s="844"/>
      <c r="S3554" s="832"/>
      <c r="T3554" s="3082"/>
      <c r="U3554" s="123"/>
      <c r="V3554" s="4031"/>
      <c r="W3554" s="865">
        <v>12</v>
      </c>
      <c r="X3554" s="865">
        <v>12</v>
      </c>
      <c r="Y3554" s="865">
        <v>12</v>
      </c>
      <c r="Z3554" s="865">
        <v>12</v>
      </c>
      <c r="AA3554" s="865">
        <v>12</v>
      </c>
      <c r="AB3554" s="865">
        <v>12</v>
      </c>
      <c r="AC3554" s="865">
        <v>12</v>
      </c>
      <c r="AD3554" s="865"/>
      <c r="AE3554" s="865"/>
      <c r="AF3554" s="865"/>
      <c r="AG3554" s="865"/>
      <c r="AH3554" s="1942"/>
      <c r="AI3554" s="1942"/>
      <c r="AJ3554" s="1942"/>
      <c r="AK3554" s="1942"/>
      <c r="AL3554" s="1942"/>
      <c r="AM3554" s="1942"/>
      <c r="AN3554" s="1942"/>
      <c r="AO3554" s="1942"/>
      <c r="AP3554" s="1942"/>
      <c r="AQ3554" s="1942"/>
      <c r="AR3554" s="1942"/>
      <c r="AS3554" s="1942"/>
      <c r="AT3554" s="1942"/>
      <c r="AU3554" s="1942"/>
      <c r="AV3554" s="1942"/>
      <c r="AW3554" s="1942"/>
      <c r="AX3554" s="1942"/>
      <c r="AY3554" s="1942"/>
      <c r="AZ3554" s="1942"/>
      <c r="BA3554" s="1942"/>
      <c r="BB3554" s="575"/>
      <c r="BC3554" s="576"/>
      <c r="BD3554" s="678"/>
      <c r="BE3554" s="585"/>
    </row>
    <row r="3555" spans="1:57" s="1942" customFormat="1" ht="15" hidden="1" customHeight="1" outlineLevel="1" x14ac:dyDescent="0.25">
      <c r="A3555" s="2060"/>
      <c r="B3555" s="576"/>
      <c r="C3555" s="328"/>
      <c r="D3555" s="3990"/>
      <c r="E3555" s="4009"/>
      <c r="F3555" s="3016" t="str">
        <f t="shared" si="256"/>
        <v>ASHP-SEER16_ER1_MF_CompE</v>
      </c>
      <c r="G3555" s="2673"/>
      <c r="H3555" s="2673"/>
      <c r="I3555" s="2673"/>
      <c r="J3555" s="3301" t="str">
        <f t="shared" ref="J3555:J3558" si="262">C1477</f>
        <v>352851_2021_12_</v>
      </c>
      <c r="K3555" s="3054">
        <v>6</v>
      </c>
      <c r="L3555" s="851"/>
      <c r="M3555" s="698"/>
      <c r="N3555" s="123"/>
      <c r="O3555" s="228"/>
      <c r="P3555" s="844"/>
      <c r="Q3555" s="845"/>
      <c r="R3555" s="844"/>
      <c r="S3555" s="832"/>
      <c r="T3555" s="3082"/>
      <c r="U3555" s="123"/>
      <c r="V3555" s="4031"/>
      <c r="W3555" s="865"/>
      <c r="X3555" s="865"/>
      <c r="Y3555" s="865"/>
      <c r="Z3555" s="865"/>
      <c r="AA3555" s="865"/>
      <c r="AB3555" s="865"/>
      <c r="AC3555" s="3054">
        <v>6</v>
      </c>
      <c r="AD3555" s="865"/>
      <c r="AE3555" s="865"/>
      <c r="AF3555" s="865"/>
      <c r="AG3555" s="865"/>
      <c r="BB3555" s="575"/>
      <c r="BC3555" s="576"/>
      <c r="BD3555" s="678"/>
      <c r="BE3555" s="585"/>
    </row>
    <row r="3556" spans="1:57" s="1942" customFormat="1" ht="15" hidden="1" customHeight="1" outlineLevel="1" x14ac:dyDescent="0.25">
      <c r="A3556" s="2060"/>
      <c r="B3556" s="576"/>
      <c r="C3556" s="328"/>
      <c r="D3556" s="3990"/>
      <c r="E3556" s="4009"/>
      <c r="F3556" s="3016" t="str">
        <f t="shared" si="256"/>
        <v>ASHP-SEER16_ER1_MF_CompE</v>
      </c>
      <c r="G3556" s="2673"/>
      <c r="H3556" s="2673"/>
      <c r="I3556" s="2673"/>
      <c r="J3556" s="3301" t="str">
        <f t="shared" si="262"/>
        <v>352851_2021_12_</v>
      </c>
      <c r="K3556" s="3054">
        <v>6</v>
      </c>
      <c r="L3556" s="851"/>
      <c r="M3556" s="698"/>
      <c r="N3556" s="123"/>
      <c r="O3556" s="228"/>
      <c r="P3556" s="844"/>
      <c r="Q3556" s="845"/>
      <c r="R3556" s="844"/>
      <c r="S3556" s="832"/>
      <c r="T3556" s="3082"/>
      <c r="U3556" s="123"/>
      <c r="V3556" s="4031"/>
      <c r="W3556" s="865"/>
      <c r="X3556" s="865"/>
      <c r="Y3556" s="865"/>
      <c r="Z3556" s="865"/>
      <c r="AA3556" s="865"/>
      <c r="AB3556" s="865"/>
      <c r="AC3556" s="3054">
        <v>6</v>
      </c>
      <c r="AD3556" s="865"/>
      <c r="AE3556" s="865"/>
      <c r="AF3556" s="865"/>
      <c r="AG3556" s="865"/>
      <c r="BB3556" s="575"/>
      <c r="BC3556" s="576"/>
      <c r="BD3556" s="678"/>
      <c r="BE3556" s="585"/>
    </row>
    <row r="3557" spans="1:57" s="1942" customFormat="1" ht="15" hidden="1" customHeight="1" outlineLevel="1" x14ac:dyDescent="0.25">
      <c r="A3557" s="2060"/>
      <c r="B3557" s="576"/>
      <c r="C3557" s="328"/>
      <c r="D3557" s="3990"/>
      <c r="E3557" s="4009"/>
      <c r="F3557" s="3016" t="str">
        <f t="shared" ref="F3557:F3620" si="263">E1479</f>
        <v>ASHP-SEER16_ER2_MF_CompE</v>
      </c>
      <c r="G3557" s="2673"/>
      <c r="H3557" s="2673"/>
      <c r="I3557" s="2673"/>
      <c r="J3557" s="3301" t="str">
        <f t="shared" si="262"/>
        <v>352851_2021_12_</v>
      </c>
      <c r="K3557" s="3054">
        <v>12</v>
      </c>
      <c r="L3557" s="851"/>
      <c r="M3557" s="698"/>
      <c r="N3557" s="123"/>
      <c r="O3557" s="228"/>
      <c r="P3557" s="844"/>
      <c r="Q3557" s="845"/>
      <c r="R3557" s="844"/>
      <c r="S3557" s="832"/>
      <c r="T3557" s="3082"/>
      <c r="U3557" s="123"/>
      <c r="V3557" s="4031"/>
      <c r="W3557" s="865"/>
      <c r="X3557" s="865"/>
      <c r="Y3557" s="865"/>
      <c r="Z3557" s="865"/>
      <c r="AA3557" s="865"/>
      <c r="AB3557" s="865"/>
      <c r="AC3557" s="3054">
        <v>12</v>
      </c>
      <c r="AD3557" s="865"/>
      <c r="AE3557" s="865"/>
      <c r="AF3557" s="865"/>
      <c r="AG3557" s="865"/>
      <c r="BB3557" s="575"/>
      <c r="BC3557" s="576"/>
      <c r="BD3557" s="678"/>
      <c r="BE3557" s="585"/>
    </row>
    <row r="3558" spans="1:57" s="1942" customFormat="1" ht="15" hidden="1" customHeight="1" outlineLevel="1" x14ac:dyDescent="0.25">
      <c r="A3558" s="2060"/>
      <c r="B3558" s="576"/>
      <c r="C3558" s="328"/>
      <c r="D3558" s="3990"/>
      <c r="E3558" s="4009"/>
      <c r="F3558" s="3016" t="str">
        <f t="shared" si="263"/>
        <v>ASHP-SEER16_ER2_MF_CompE</v>
      </c>
      <c r="G3558" s="2673"/>
      <c r="H3558" s="2673"/>
      <c r="I3558" s="2673"/>
      <c r="J3558" s="3301" t="str">
        <f t="shared" si="262"/>
        <v>352851_2021_12_</v>
      </c>
      <c r="K3558" s="3054">
        <v>12</v>
      </c>
      <c r="L3558" s="851"/>
      <c r="M3558" s="698"/>
      <c r="N3558" s="123"/>
      <c r="O3558" s="228"/>
      <c r="P3558" s="844"/>
      <c r="Q3558" s="845"/>
      <c r="R3558" s="844"/>
      <c r="S3558" s="832"/>
      <c r="T3558" s="3082"/>
      <c r="U3558" s="123"/>
      <c r="V3558" s="4031"/>
      <c r="W3558" s="865"/>
      <c r="X3558" s="865"/>
      <c r="Y3558" s="865"/>
      <c r="Z3558" s="865"/>
      <c r="AA3558" s="865"/>
      <c r="AB3558" s="865"/>
      <c r="AC3558" s="3054">
        <v>12</v>
      </c>
      <c r="AD3558" s="865"/>
      <c r="AE3558" s="865"/>
      <c r="AF3558" s="865"/>
      <c r="AG3558" s="865"/>
      <c r="BB3558" s="575"/>
      <c r="BC3558" s="576"/>
      <c r="BD3558" s="678"/>
      <c r="BE3558" s="585"/>
    </row>
    <row r="3559" spans="1:57" s="51" customFormat="1" ht="15" hidden="1" customHeight="1" outlineLevel="1" x14ac:dyDescent="0.25">
      <c r="A3559" s="2060"/>
      <c r="B3559" s="576"/>
      <c r="C3559" s="328"/>
      <c r="D3559" s="3990"/>
      <c r="E3559" s="4009"/>
      <c r="F3559" s="3016" t="str">
        <f t="shared" si="263"/>
        <v>ASHP-SEER16_ROF_MF</v>
      </c>
      <c r="G3559" s="2673"/>
      <c r="H3559" s="2673"/>
      <c r="I3559" s="2673"/>
      <c r="J3559" s="3301" t="str">
        <f>C1481</f>
        <v>352900_2021_12_</v>
      </c>
      <c r="K3559" s="865">
        <v>18</v>
      </c>
      <c r="L3559" s="851"/>
      <c r="M3559" s="698"/>
      <c r="N3559" s="123"/>
      <c r="O3559" s="228"/>
      <c r="P3559" s="844"/>
      <c r="Q3559" s="845"/>
      <c r="R3559" s="844"/>
      <c r="S3559" s="832"/>
      <c r="T3559" s="3082"/>
      <c r="U3559" s="123"/>
      <c r="V3559" s="4031"/>
      <c r="W3559" s="865">
        <v>18</v>
      </c>
      <c r="X3559" s="865">
        <v>18</v>
      </c>
      <c r="Y3559" s="865">
        <v>18</v>
      </c>
      <c r="Z3559" s="865">
        <v>18</v>
      </c>
      <c r="AA3559" s="865">
        <v>18</v>
      </c>
      <c r="AB3559" s="865">
        <v>18</v>
      </c>
      <c r="AC3559" s="865">
        <v>18</v>
      </c>
      <c r="AD3559" s="865"/>
      <c r="AE3559" s="865"/>
      <c r="AF3559" s="865"/>
      <c r="AG3559" s="865"/>
      <c r="AH3559" s="1942"/>
      <c r="AI3559" s="1942"/>
      <c r="AJ3559" s="1942"/>
      <c r="AK3559" s="1942"/>
      <c r="AL3559" s="1942"/>
      <c r="AM3559" s="1942"/>
      <c r="AN3559" s="1942"/>
      <c r="AO3559" s="1942"/>
      <c r="AP3559" s="1942"/>
      <c r="AQ3559" s="1942"/>
      <c r="AR3559" s="1942"/>
      <c r="AS3559" s="1942"/>
      <c r="AT3559" s="1942"/>
      <c r="AU3559" s="1942"/>
      <c r="AV3559" s="1942"/>
      <c r="AW3559" s="1942"/>
      <c r="AX3559" s="1942"/>
      <c r="AY3559" s="1942"/>
      <c r="AZ3559" s="1942"/>
      <c r="BA3559" s="1942"/>
      <c r="BB3559" s="575"/>
      <c r="BC3559" s="576"/>
      <c r="BD3559" s="678"/>
      <c r="BE3559" s="585"/>
    </row>
    <row r="3560" spans="1:57" s="51" customFormat="1" ht="15" hidden="1" customHeight="1" outlineLevel="1" x14ac:dyDescent="0.25">
      <c r="A3560" s="1267"/>
      <c r="B3560" s="576"/>
      <c r="C3560" s="328"/>
      <c r="D3560" s="3990"/>
      <c r="E3560" s="4009"/>
      <c r="F3560" s="3016" t="str">
        <f t="shared" si="263"/>
        <v>ASHP-SEER16_ROF_MF</v>
      </c>
      <c r="G3560" s="2673"/>
      <c r="H3560" s="2673"/>
      <c r="I3560" s="2673"/>
      <c r="J3560" s="3301" t="str">
        <f>C1482</f>
        <v>352900_2021_12_</v>
      </c>
      <c r="K3560" s="865">
        <v>18</v>
      </c>
      <c r="L3560" s="851"/>
      <c r="M3560" s="698"/>
      <c r="N3560" s="123"/>
      <c r="O3560" s="228"/>
      <c r="P3560" s="228"/>
      <c r="Q3560" s="228"/>
      <c r="R3560" s="228"/>
      <c r="S3560" s="123"/>
      <c r="T3560" s="123"/>
      <c r="U3560" s="123"/>
      <c r="V3560" s="4031"/>
      <c r="W3560" s="865">
        <v>18</v>
      </c>
      <c r="X3560" s="865">
        <v>18</v>
      </c>
      <c r="Y3560" s="865">
        <v>18</v>
      </c>
      <c r="Z3560" s="865">
        <v>18</v>
      </c>
      <c r="AA3560" s="865">
        <v>18</v>
      </c>
      <c r="AB3560" s="865">
        <v>18</v>
      </c>
      <c r="AC3560" s="865">
        <v>18</v>
      </c>
      <c r="AD3560" s="865"/>
      <c r="AE3560" s="865"/>
      <c r="AF3560" s="865"/>
      <c r="AG3560" s="865"/>
      <c r="AH3560" s="1942"/>
      <c r="AI3560" s="1942"/>
      <c r="AJ3560" s="1942"/>
      <c r="AK3560" s="1942"/>
      <c r="AL3560" s="1942"/>
      <c r="AM3560" s="1942"/>
      <c r="AN3560" s="1942"/>
      <c r="AO3560" s="1942"/>
      <c r="AP3560" s="1942"/>
      <c r="AQ3560" s="1942"/>
      <c r="AR3560" s="1942"/>
      <c r="AS3560" s="1942"/>
      <c r="AT3560" s="1942"/>
      <c r="AU3560" s="1942"/>
      <c r="AV3560" s="1942"/>
      <c r="AW3560" s="1942"/>
      <c r="AX3560" s="1942"/>
      <c r="AY3560" s="1942"/>
      <c r="AZ3560" s="1942"/>
      <c r="BA3560" s="1942"/>
      <c r="BB3560" s="575"/>
      <c r="BC3560" s="576"/>
      <c r="BD3560" s="678"/>
      <c r="BE3560" s="585"/>
    </row>
    <row r="3561" spans="1:57" s="1942" customFormat="1" ht="15" hidden="1" customHeight="1" outlineLevel="1" x14ac:dyDescent="0.25">
      <c r="A3561" s="1267"/>
      <c r="B3561" s="576"/>
      <c r="C3561" s="328"/>
      <c r="D3561" s="3990"/>
      <c r="E3561" s="4009"/>
      <c r="F3561" s="3016" t="str">
        <f t="shared" si="263"/>
        <v>ASHP-SEER16_ROF_MF_CompE</v>
      </c>
      <c r="G3561" s="2673"/>
      <c r="H3561" s="2673"/>
      <c r="I3561" s="2673"/>
      <c r="J3561" s="3301" t="str">
        <f t="shared" ref="J3561:J3562" si="264">C1483</f>
        <v>352901_2021_12_</v>
      </c>
      <c r="K3561" s="3054">
        <v>18</v>
      </c>
      <c r="L3561" s="851"/>
      <c r="M3561" s="698"/>
      <c r="N3561" s="123"/>
      <c r="O3561" s="228"/>
      <c r="P3561" s="228"/>
      <c r="Q3561" s="228"/>
      <c r="R3561" s="228"/>
      <c r="S3561" s="123"/>
      <c r="T3561" s="123"/>
      <c r="U3561" s="123"/>
      <c r="V3561" s="4031"/>
      <c r="W3561" s="865"/>
      <c r="X3561" s="865"/>
      <c r="Y3561" s="865"/>
      <c r="Z3561" s="865"/>
      <c r="AA3561" s="865"/>
      <c r="AB3561" s="865"/>
      <c r="AC3561" s="3054">
        <v>18</v>
      </c>
      <c r="AD3561" s="865"/>
      <c r="AE3561" s="865"/>
      <c r="AF3561" s="865"/>
      <c r="AG3561" s="865"/>
      <c r="BB3561" s="575"/>
      <c r="BC3561" s="576"/>
      <c r="BD3561" s="678"/>
      <c r="BE3561" s="585"/>
    </row>
    <row r="3562" spans="1:57" s="1942" customFormat="1" ht="15" hidden="1" customHeight="1" outlineLevel="1" x14ac:dyDescent="0.25">
      <c r="A3562" s="1267"/>
      <c r="B3562" s="576"/>
      <c r="C3562" s="328"/>
      <c r="D3562" s="3990"/>
      <c r="E3562" s="4009"/>
      <c r="F3562" s="3016" t="str">
        <f t="shared" si="263"/>
        <v>ASHP-SEER16_ROF_MF_CompE</v>
      </c>
      <c r="G3562" s="2673"/>
      <c r="H3562" s="2673"/>
      <c r="I3562" s="2673"/>
      <c r="J3562" s="3301" t="str">
        <f t="shared" si="264"/>
        <v>352901_2021_12_</v>
      </c>
      <c r="K3562" s="3054">
        <v>18</v>
      </c>
      <c r="L3562" s="851"/>
      <c r="M3562" s="698"/>
      <c r="N3562" s="123"/>
      <c r="O3562" s="228"/>
      <c r="P3562" s="228"/>
      <c r="Q3562" s="228"/>
      <c r="R3562" s="228"/>
      <c r="S3562" s="123"/>
      <c r="T3562" s="123"/>
      <c r="U3562" s="123"/>
      <c r="V3562" s="4031"/>
      <c r="W3562" s="865"/>
      <c r="X3562" s="865"/>
      <c r="Y3562" s="865"/>
      <c r="Z3562" s="865"/>
      <c r="AA3562" s="865"/>
      <c r="AB3562" s="865"/>
      <c r="AC3562" s="3054">
        <v>18</v>
      </c>
      <c r="AD3562" s="865"/>
      <c r="AE3562" s="865"/>
      <c r="AF3562" s="865"/>
      <c r="AG3562" s="865"/>
      <c r="BB3562" s="575"/>
      <c r="BC3562" s="576"/>
      <c r="BD3562" s="678"/>
      <c r="BE3562" s="585"/>
    </row>
    <row r="3563" spans="1:57" s="51" customFormat="1" ht="15" hidden="1" customHeight="1" outlineLevel="1" x14ac:dyDescent="0.25">
      <c r="A3563" s="2060"/>
      <c r="B3563" s="576"/>
      <c r="C3563" s="328"/>
      <c r="D3563" s="3990"/>
      <c r="E3563" s="4009"/>
      <c r="F3563" s="3016" t="str">
        <f t="shared" si="263"/>
        <v>ASHP-SEER16-Replace_CAC_ElectricHeat_ROF_MF</v>
      </c>
      <c r="G3563" s="2673"/>
      <c r="H3563" s="2673"/>
      <c r="I3563" s="2673"/>
      <c r="J3563" s="3302" t="str">
        <f>C1485</f>
        <v>352950_2019_12_</v>
      </c>
      <c r="K3563" s="865">
        <v>18</v>
      </c>
      <c r="L3563" s="851"/>
      <c r="M3563" s="858"/>
      <c r="N3563" s="123"/>
      <c r="O3563" s="228"/>
      <c r="P3563" s="844"/>
      <c r="Q3563" s="845"/>
      <c r="R3563" s="844"/>
      <c r="S3563" s="832"/>
      <c r="T3563" s="3082"/>
      <c r="U3563" s="123"/>
      <c r="V3563" s="4031"/>
      <c r="W3563" s="865">
        <v>18</v>
      </c>
      <c r="X3563" s="865">
        <v>18</v>
      </c>
      <c r="Y3563" s="865">
        <v>18</v>
      </c>
      <c r="Z3563" s="865">
        <v>18</v>
      </c>
      <c r="AA3563" s="865">
        <v>18</v>
      </c>
      <c r="AB3563" s="865">
        <v>18</v>
      </c>
      <c r="AC3563" s="865">
        <v>18</v>
      </c>
      <c r="AD3563" s="865"/>
      <c r="AE3563" s="865"/>
      <c r="AF3563" s="865"/>
      <c r="AG3563" s="865"/>
      <c r="AH3563" s="1942"/>
      <c r="AI3563" s="1942"/>
      <c r="AJ3563" s="1942"/>
      <c r="AK3563" s="1942"/>
      <c r="AL3563" s="1942"/>
      <c r="AM3563" s="1942"/>
      <c r="AN3563" s="1942"/>
      <c r="AO3563" s="1942"/>
      <c r="AP3563" s="1942"/>
      <c r="AQ3563" s="1942"/>
      <c r="AR3563" s="1942"/>
      <c r="AS3563" s="1942"/>
      <c r="AT3563" s="1942"/>
      <c r="AU3563" s="1942"/>
      <c r="AV3563" s="1942"/>
      <c r="AW3563" s="1942"/>
      <c r="AX3563" s="1942"/>
      <c r="AY3563" s="1942"/>
      <c r="AZ3563" s="1942"/>
      <c r="BA3563" s="1942"/>
      <c r="BB3563" s="575"/>
      <c r="BC3563" s="576"/>
      <c r="BD3563" s="678"/>
      <c r="BE3563" s="585"/>
    </row>
    <row r="3564" spans="1:57" s="51" customFormat="1" ht="15" hidden="1" customHeight="1" outlineLevel="1" x14ac:dyDescent="0.25">
      <c r="A3564" s="1267"/>
      <c r="B3564" s="576"/>
      <c r="C3564" s="328"/>
      <c r="D3564" s="3990"/>
      <c r="E3564" s="4009"/>
      <c r="F3564" s="3016" t="str">
        <f t="shared" si="263"/>
        <v>ASHP-SEER16-Replace_CAC_ElectricHeat_ROF_MF</v>
      </c>
      <c r="G3564" s="2673"/>
      <c r="H3564" s="2673"/>
      <c r="I3564" s="2673"/>
      <c r="J3564" s="3302" t="str">
        <f>C1486</f>
        <v>352950_2019_12_</v>
      </c>
      <c r="K3564" s="865">
        <v>18</v>
      </c>
      <c r="L3564" s="851"/>
      <c r="M3564" s="858"/>
      <c r="N3564" s="123"/>
      <c r="O3564" s="228"/>
      <c r="P3564" s="228"/>
      <c r="Q3564" s="228"/>
      <c r="R3564" s="228"/>
      <c r="S3564" s="123"/>
      <c r="T3564" s="123"/>
      <c r="U3564" s="123"/>
      <c r="V3564" s="4031"/>
      <c r="W3564" s="865">
        <v>18</v>
      </c>
      <c r="X3564" s="865">
        <v>18</v>
      </c>
      <c r="Y3564" s="865">
        <v>18</v>
      </c>
      <c r="Z3564" s="865">
        <v>18</v>
      </c>
      <c r="AA3564" s="865">
        <v>18</v>
      </c>
      <c r="AB3564" s="865">
        <v>18</v>
      </c>
      <c r="AC3564" s="865">
        <v>18</v>
      </c>
      <c r="AD3564" s="865"/>
      <c r="AE3564" s="865"/>
      <c r="AF3564" s="865"/>
      <c r="AG3564" s="865"/>
      <c r="AH3564" s="1942"/>
      <c r="AI3564" s="1942"/>
      <c r="AJ3564" s="1942"/>
      <c r="AK3564" s="1942"/>
      <c r="AL3564" s="1942"/>
      <c r="AM3564" s="1942"/>
      <c r="AN3564" s="1942"/>
      <c r="AO3564" s="1942"/>
      <c r="AP3564" s="1942"/>
      <c r="AQ3564" s="1942"/>
      <c r="AR3564" s="1942"/>
      <c r="AS3564" s="1942"/>
      <c r="AT3564" s="1942"/>
      <c r="AU3564" s="1942"/>
      <c r="AV3564" s="1942"/>
      <c r="AW3564" s="1942"/>
      <c r="AX3564" s="1942"/>
      <c r="AY3564" s="1942"/>
      <c r="AZ3564" s="1942"/>
      <c r="BA3564" s="1942"/>
      <c r="BB3564" s="575"/>
      <c r="BC3564" s="576"/>
      <c r="BD3564" s="678"/>
      <c r="BE3564" s="585"/>
    </row>
    <row r="3565" spans="1:57" s="1942" customFormat="1" ht="15" hidden="1" customHeight="1" outlineLevel="1" x14ac:dyDescent="0.25">
      <c r="A3565" s="1267"/>
      <c r="B3565" s="576"/>
      <c r="C3565" s="328"/>
      <c r="D3565" s="3990"/>
      <c r="E3565" s="4009"/>
      <c r="F3565" s="3016" t="str">
        <f t="shared" si="263"/>
        <v>ASHP-SEER16-Replace_CAC_ElectricHeat_ROF_MF_CompE</v>
      </c>
      <c r="G3565" s="2673"/>
      <c r="H3565" s="2673"/>
      <c r="I3565" s="2673"/>
      <c r="J3565" s="3302" t="str">
        <f t="shared" ref="J3565:J3570" si="265">C1487</f>
        <v>352951_2019_12_</v>
      </c>
      <c r="K3565" s="3054">
        <v>18</v>
      </c>
      <c r="L3565" s="851"/>
      <c r="M3565" s="858"/>
      <c r="N3565" s="123"/>
      <c r="O3565" s="228"/>
      <c r="P3565" s="228"/>
      <c r="Q3565" s="228"/>
      <c r="R3565" s="228"/>
      <c r="S3565" s="123"/>
      <c r="T3565" s="123"/>
      <c r="U3565" s="123"/>
      <c r="V3565" s="4031"/>
      <c r="W3565" s="865"/>
      <c r="X3565" s="865"/>
      <c r="Y3565" s="865"/>
      <c r="Z3565" s="865"/>
      <c r="AA3565" s="865"/>
      <c r="AB3565" s="865"/>
      <c r="AC3565" s="3054">
        <v>18</v>
      </c>
      <c r="AD3565" s="865"/>
      <c r="AE3565" s="865"/>
      <c r="AF3565" s="865"/>
      <c r="AG3565" s="865"/>
      <c r="BB3565" s="575"/>
      <c r="BC3565" s="576"/>
      <c r="BD3565" s="678"/>
      <c r="BE3565" s="585"/>
    </row>
    <row r="3566" spans="1:57" s="1942" customFormat="1" ht="15" hidden="1" customHeight="1" outlineLevel="1" x14ac:dyDescent="0.25">
      <c r="A3566" s="1267"/>
      <c r="B3566" s="576"/>
      <c r="C3566" s="328"/>
      <c r="D3566" s="3990"/>
      <c r="E3566" s="4009"/>
      <c r="F3566" s="3016" t="str">
        <f t="shared" si="263"/>
        <v>ASHP-SEER16-Replace_CAC_ElectricHeat_ROF_MF_CompE</v>
      </c>
      <c r="G3566" s="2673"/>
      <c r="H3566" s="2673"/>
      <c r="I3566" s="2673"/>
      <c r="J3566" s="3302" t="str">
        <f t="shared" si="265"/>
        <v>352951_2019_12_</v>
      </c>
      <c r="K3566" s="3054">
        <v>18</v>
      </c>
      <c r="L3566" s="851"/>
      <c r="M3566" s="858"/>
      <c r="N3566" s="123"/>
      <c r="O3566" s="228"/>
      <c r="P3566" s="228"/>
      <c r="Q3566" s="228"/>
      <c r="R3566" s="228"/>
      <c r="S3566" s="123"/>
      <c r="T3566" s="123"/>
      <c r="U3566" s="123"/>
      <c r="V3566" s="4031"/>
      <c r="W3566" s="865"/>
      <c r="X3566" s="865"/>
      <c r="Y3566" s="865"/>
      <c r="Z3566" s="865"/>
      <c r="AA3566" s="865"/>
      <c r="AB3566" s="865"/>
      <c r="AC3566" s="3054">
        <v>18</v>
      </c>
      <c r="AD3566" s="865"/>
      <c r="AE3566" s="865"/>
      <c r="AF3566" s="865"/>
      <c r="AG3566" s="865"/>
      <c r="BB3566" s="575"/>
      <c r="BC3566" s="576"/>
      <c r="BD3566" s="678"/>
      <c r="BE3566" s="585"/>
    </row>
    <row r="3567" spans="1:57" s="1942" customFormat="1" ht="15" hidden="1" customHeight="1" outlineLevel="1" x14ac:dyDescent="0.25">
      <c r="A3567" s="1267"/>
      <c r="B3567" s="576"/>
      <c r="C3567" s="328"/>
      <c r="D3567" s="3990"/>
      <c r="E3567" s="4009"/>
      <c r="F3567" s="3016" t="str">
        <f t="shared" si="263"/>
        <v>ASHP-SEER16-Replace_CAC_NonElectricHeat_ROF_MF</v>
      </c>
      <c r="G3567" s="2673"/>
      <c r="H3567" s="2673"/>
      <c r="I3567" s="2673"/>
      <c r="J3567" s="3301" t="str">
        <f t="shared" si="265"/>
        <v>352960_2021_12_</v>
      </c>
      <c r="K3567" s="3054">
        <v>18</v>
      </c>
      <c r="L3567" s="851"/>
      <c r="M3567" s="858"/>
      <c r="N3567" s="123"/>
      <c r="O3567" s="228"/>
      <c r="P3567" s="228"/>
      <c r="Q3567" s="228"/>
      <c r="R3567" s="228"/>
      <c r="S3567" s="123"/>
      <c r="T3567" s="123"/>
      <c r="U3567" s="123"/>
      <c r="V3567" s="4031"/>
      <c r="W3567" s="865"/>
      <c r="X3567" s="865"/>
      <c r="Y3567" s="865"/>
      <c r="Z3567" s="865"/>
      <c r="AA3567" s="865"/>
      <c r="AB3567" s="865"/>
      <c r="AC3567" s="3054">
        <v>18</v>
      </c>
      <c r="AD3567" s="865"/>
      <c r="AE3567" s="865"/>
      <c r="AF3567" s="865"/>
      <c r="AG3567" s="865"/>
      <c r="BB3567" s="575"/>
      <c r="BC3567" s="576"/>
      <c r="BD3567" s="678"/>
      <c r="BE3567" s="585"/>
    </row>
    <row r="3568" spans="1:57" s="1942" customFormat="1" ht="15" hidden="1" customHeight="1" outlineLevel="1" x14ac:dyDescent="0.25">
      <c r="A3568" s="1267"/>
      <c r="B3568" s="576"/>
      <c r="C3568" s="328"/>
      <c r="D3568" s="3990"/>
      <c r="E3568" s="4009"/>
      <c r="F3568" s="3016" t="str">
        <f t="shared" si="263"/>
        <v>ASHP-SEER16-Replace_CAC_NonElectricHeat_ROF_MF</v>
      </c>
      <c r="G3568" s="2673"/>
      <c r="H3568" s="2673"/>
      <c r="I3568" s="2673"/>
      <c r="J3568" s="3301" t="str">
        <f t="shared" si="265"/>
        <v>352960_2021_12_</v>
      </c>
      <c r="K3568" s="3054">
        <v>18</v>
      </c>
      <c r="L3568" s="851"/>
      <c r="M3568" s="858"/>
      <c r="N3568" s="123"/>
      <c r="O3568" s="228"/>
      <c r="P3568" s="228"/>
      <c r="Q3568" s="228"/>
      <c r="R3568" s="228"/>
      <c r="S3568" s="123"/>
      <c r="T3568" s="123"/>
      <c r="U3568" s="123"/>
      <c r="V3568" s="4031"/>
      <c r="W3568" s="865"/>
      <c r="X3568" s="865"/>
      <c r="Y3568" s="865"/>
      <c r="Z3568" s="865"/>
      <c r="AA3568" s="865"/>
      <c r="AB3568" s="865"/>
      <c r="AC3568" s="3054">
        <v>18</v>
      </c>
      <c r="AD3568" s="865"/>
      <c r="AE3568" s="865"/>
      <c r="AF3568" s="865"/>
      <c r="AG3568" s="865"/>
      <c r="BB3568" s="575"/>
      <c r="BC3568" s="576"/>
      <c r="BD3568" s="678"/>
      <c r="BE3568" s="585"/>
    </row>
    <row r="3569" spans="1:57" s="1942" customFormat="1" ht="15" hidden="1" customHeight="1" outlineLevel="1" x14ac:dyDescent="0.25">
      <c r="A3569" s="1267"/>
      <c r="B3569" s="576"/>
      <c r="C3569" s="328"/>
      <c r="D3569" s="3990"/>
      <c r="E3569" s="4009"/>
      <c r="F3569" s="3016" t="str">
        <f t="shared" si="263"/>
        <v>ASHP-SEER16-Replace_CAC_NonElectricHeat_ROF_MF_CompE</v>
      </c>
      <c r="G3569" s="2673"/>
      <c r="H3569" s="2673"/>
      <c r="I3569" s="2673"/>
      <c r="J3569" s="3301" t="str">
        <f t="shared" si="265"/>
        <v>352961_2021_12_</v>
      </c>
      <c r="K3569" s="3054">
        <v>18</v>
      </c>
      <c r="L3569" s="851"/>
      <c r="M3569" s="858"/>
      <c r="N3569" s="123"/>
      <c r="O3569" s="228"/>
      <c r="P3569" s="228"/>
      <c r="Q3569" s="228"/>
      <c r="R3569" s="228"/>
      <c r="S3569" s="123"/>
      <c r="T3569" s="123"/>
      <c r="U3569" s="123"/>
      <c r="V3569" s="4031"/>
      <c r="W3569" s="865"/>
      <c r="X3569" s="865"/>
      <c r="Y3569" s="865"/>
      <c r="Z3569" s="865"/>
      <c r="AA3569" s="865"/>
      <c r="AB3569" s="865"/>
      <c r="AC3569" s="3054">
        <v>18</v>
      </c>
      <c r="AD3569" s="865"/>
      <c r="AE3569" s="865"/>
      <c r="AF3569" s="865"/>
      <c r="AG3569" s="865"/>
      <c r="BB3569" s="575"/>
      <c r="BC3569" s="576"/>
      <c r="BD3569" s="678"/>
      <c r="BE3569" s="585"/>
    </row>
    <row r="3570" spans="1:57" s="1942" customFormat="1" ht="15" hidden="1" customHeight="1" outlineLevel="1" x14ac:dyDescent="0.25">
      <c r="A3570" s="1267"/>
      <c r="B3570" s="576"/>
      <c r="C3570" s="328"/>
      <c r="D3570" s="3990"/>
      <c r="E3570" s="4009"/>
      <c r="F3570" s="3016" t="str">
        <f t="shared" si="263"/>
        <v>ASHP-SEER16-Replace_CAC_NonElectricHeat_ROF_MF_CompE</v>
      </c>
      <c r="G3570" s="2673"/>
      <c r="H3570" s="2673"/>
      <c r="I3570" s="2673"/>
      <c r="J3570" s="3301" t="str">
        <f t="shared" si="265"/>
        <v>352961_2021_12_</v>
      </c>
      <c r="K3570" s="3054">
        <v>18</v>
      </c>
      <c r="L3570" s="851"/>
      <c r="M3570" s="858"/>
      <c r="N3570" s="123"/>
      <c r="O3570" s="228"/>
      <c r="P3570" s="228"/>
      <c r="Q3570" s="228"/>
      <c r="R3570" s="228"/>
      <c r="S3570" s="123"/>
      <c r="T3570" s="123"/>
      <c r="U3570" s="123"/>
      <c r="V3570" s="4031"/>
      <c r="W3570" s="865"/>
      <c r="X3570" s="865"/>
      <c r="Y3570" s="865"/>
      <c r="Z3570" s="865"/>
      <c r="AA3570" s="865"/>
      <c r="AB3570" s="865"/>
      <c r="AC3570" s="3054">
        <v>18</v>
      </c>
      <c r="AD3570" s="865"/>
      <c r="AE3570" s="865"/>
      <c r="AF3570" s="865"/>
      <c r="AG3570" s="865"/>
      <c r="BB3570" s="575"/>
      <c r="BC3570" s="576"/>
      <c r="BD3570" s="678"/>
      <c r="BE3570" s="585"/>
    </row>
    <row r="3571" spans="1:57" s="51" customFormat="1" ht="15" hidden="1" customHeight="1" outlineLevel="1" x14ac:dyDescent="0.25">
      <c r="A3571" s="2060"/>
      <c r="B3571" s="576"/>
      <c r="C3571" s="328"/>
      <c r="D3571" s="3990"/>
      <c r="E3571" s="4009"/>
      <c r="F3571" s="3016" t="str">
        <f t="shared" si="263"/>
        <v>ASHP-SEER16-Replace_CAC_ElectricHeat_ER1_MF</v>
      </c>
      <c r="G3571" s="2673"/>
      <c r="H3571" s="2673"/>
      <c r="I3571" s="2673"/>
      <c r="J3571" s="3301" t="str">
        <f>C1493</f>
        <v>353000_2021_12_</v>
      </c>
      <c r="K3571" s="865">
        <v>6</v>
      </c>
      <c r="L3571" s="851"/>
      <c r="M3571" s="858"/>
      <c r="N3571" s="123"/>
      <c r="O3571" s="228"/>
      <c r="P3571" s="844"/>
      <c r="Q3571" s="845"/>
      <c r="R3571" s="844"/>
      <c r="S3571" s="832"/>
      <c r="T3571" s="3082"/>
      <c r="U3571" s="123"/>
      <c r="V3571" s="4031"/>
      <c r="W3571" s="865">
        <v>6</v>
      </c>
      <c r="X3571" s="865">
        <v>6</v>
      </c>
      <c r="Y3571" s="865">
        <v>6</v>
      </c>
      <c r="Z3571" s="865">
        <v>6</v>
      </c>
      <c r="AA3571" s="865">
        <v>6</v>
      </c>
      <c r="AB3571" s="865">
        <v>6</v>
      </c>
      <c r="AC3571" s="865">
        <v>6</v>
      </c>
      <c r="AD3571" s="865"/>
      <c r="AE3571" s="865"/>
      <c r="AF3571" s="865"/>
      <c r="AG3571" s="865"/>
      <c r="AH3571" s="1942"/>
      <c r="AI3571" s="1942"/>
      <c r="AJ3571" s="1942"/>
      <c r="AK3571" s="1942"/>
      <c r="AL3571" s="1942"/>
      <c r="AM3571" s="1942"/>
      <c r="AN3571" s="1942"/>
      <c r="AO3571" s="1942"/>
      <c r="AP3571" s="1942"/>
      <c r="AQ3571" s="1942"/>
      <c r="AR3571" s="1942"/>
      <c r="AS3571" s="1942"/>
      <c r="AT3571" s="1942"/>
      <c r="AU3571" s="1942"/>
      <c r="AV3571" s="1942"/>
      <c r="AW3571" s="1942"/>
      <c r="AX3571" s="1942"/>
      <c r="AY3571" s="1942"/>
      <c r="AZ3571" s="1942"/>
      <c r="BA3571" s="1942"/>
      <c r="BB3571" s="575"/>
      <c r="BC3571" s="576"/>
      <c r="BD3571" s="678"/>
      <c r="BE3571" s="585"/>
    </row>
    <row r="3572" spans="1:57" s="51" customFormat="1" ht="15" hidden="1" customHeight="1" outlineLevel="1" x14ac:dyDescent="0.25">
      <c r="A3572" s="1267"/>
      <c r="B3572" s="576"/>
      <c r="C3572" s="328"/>
      <c r="D3572" s="3990"/>
      <c r="E3572" s="4009"/>
      <c r="F3572" s="3016" t="str">
        <f t="shared" si="263"/>
        <v>ASHP-SEER16-Replace_CAC_ElectricHeat_ER1_MF</v>
      </c>
      <c r="G3572" s="2673"/>
      <c r="H3572" s="2673"/>
      <c r="I3572" s="2673"/>
      <c r="J3572" s="3301" t="str">
        <f>C1494</f>
        <v>353000_2021_12_</v>
      </c>
      <c r="K3572" s="865">
        <v>6</v>
      </c>
      <c r="L3572" s="851"/>
      <c r="M3572" s="858"/>
      <c r="N3572" s="123"/>
      <c r="O3572" s="228"/>
      <c r="P3572" s="228"/>
      <c r="Q3572" s="228"/>
      <c r="R3572" s="228"/>
      <c r="S3572" s="123"/>
      <c r="T3572" s="123"/>
      <c r="U3572" s="123"/>
      <c r="V3572" s="4031"/>
      <c r="W3572" s="865">
        <v>6</v>
      </c>
      <c r="X3572" s="865">
        <v>6</v>
      </c>
      <c r="Y3572" s="865">
        <v>6</v>
      </c>
      <c r="Z3572" s="865">
        <v>6</v>
      </c>
      <c r="AA3572" s="865">
        <v>6</v>
      </c>
      <c r="AB3572" s="865">
        <v>6</v>
      </c>
      <c r="AC3572" s="865">
        <v>6</v>
      </c>
      <c r="AD3572" s="865"/>
      <c r="AE3572" s="865"/>
      <c r="AF3572" s="865"/>
      <c r="AG3572" s="865"/>
      <c r="AH3572" s="1942"/>
      <c r="AI3572" s="1942"/>
      <c r="AJ3572" s="1942"/>
      <c r="AK3572" s="1942"/>
      <c r="AL3572" s="1942"/>
      <c r="AM3572" s="1942"/>
      <c r="AN3572" s="1942"/>
      <c r="AO3572" s="1942"/>
      <c r="AP3572" s="1942"/>
      <c r="AQ3572" s="1942"/>
      <c r="AR3572" s="1942"/>
      <c r="AS3572" s="1942"/>
      <c r="AT3572" s="1942"/>
      <c r="AU3572" s="1942"/>
      <c r="AV3572" s="1942"/>
      <c r="AW3572" s="1942"/>
      <c r="AX3572" s="1942"/>
      <c r="AY3572" s="1942"/>
      <c r="AZ3572" s="1942"/>
      <c r="BA3572" s="1942"/>
      <c r="BB3572" s="575"/>
      <c r="BC3572" s="576"/>
      <c r="BD3572" s="678"/>
      <c r="BE3572" s="585"/>
    </row>
    <row r="3573" spans="1:57" s="51" customFormat="1" ht="15" hidden="1" customHeight="1" outlineLevel="1" x14ac:dyDescent="0.25">
      <c r="A3573" s="1267"/>
      <c r="B3573" s="576"/>
      <c r="C3573" s="328"/>
      <c r="D3573" s="3990"/>
      <c r="E3573" s="4009"/>
      <c r="F3573" s="3016" t="str">
        <f t="shared" si="263"/>
        <v>ASHP-SEER16-Replace_CAC_ElectricHeat_ER2_MF</v>
      </c>
      <c r="G3573" s="2673"/>
      <c r="H3573" s="2673"/>
      <c r="I3573" s="2673"/>
      <c r="J3573" s="3301" t="str">
        <f>C1495</f>
        <v>353000_2021_12_</v>
      </c>
      <c r="K3573" s="865">
        <v>12</v>
      </c>
      <c r="L3573" s="851"/>
      <c r="M3573" s="858"/>
      <c r="N3573" s="123"/>
      <c r="O3573" s="228"/>
      <c r="P3573" s="228"/>
      <c r="Q3573" s="228"/>
      <c r="R3573" s="228"/>
      <c r="S3573" s="123"/>
      <c r="T3573" s="123"/>
      <c r="U3573" s="123"/>
      <c r="V3573" s="4031"/>
      <c r="W3573" s="865">
        <v>12</v>
      </c>
      <c r="X3573" s="865">
        <v>12</v>
      </c>
      <c r="Y3573" s="865">
        <v>12</v>
      </c>
      <c r="Z3573" s="865">
        <v>12</v>
      </c>
      <c r="AA3573" s="865">
        <v>12</v>
      </c>
      <c r="AB3573" s="865">
        <v>12</v>
      </c>
      <c r="AC3573" s="865">
        <v>12</v>
      </c>
      <c r="AD3573" s="865"/>
      <c r="AE3573" s="865"/>
      <c r="AF3573" s="865"/>
      <c r="AG3573" s="865"/>
      <c r="AH3573" s="1942"/>
      <c r="AI3573" s="1942"/>
      <c r="AJ3573" s="1942"/>
      <c r="AK3573" s="1942"/>
      <c r="AL3573" s="1942"/>
      <c r="AM3573" s="1942"/>
      <c r="AN3573" s="1942"/>
      <c r="AO3573" s="1942"/>
      <c r="AP3573" s="1942"/>
      <c r="AQ3573" s="1942"/>
      <c r="AR3573" s="1942"/>
      <c r="AS3573" s="1942"/>
      <c r="AT3573" s="1942"/>
      <c r="AU3573" s="1942"/>
      <c r="AV3573" s="1942"/>
      <c r="AW3573" s="1942"/>
      <c r="AX3573" s="1942"/>
      <c r="AY3573" s="1942"/>
      <c r="AZ3573" s="1942"/>
      <c r="BA3573" s="1942"/>
      <c r="BB3573" s="575"/>
      <c r="BC3573" s="576"/>
      <c r="BD3573" s="678"/>
      <c r="BE3573" s="585"/>
    </row>
    <row r="3574" spans="1:57" s="51" customFormat="1" ht="15" hidden="1" customHeight="1" outlineLevel="1" x14ac:dyDescent="0.25">
      <c r="A3574" s="2060"/>
      <c r="B3574" s="576"/>
      <c r="C3574" s="328"/>
      <c r="D3574" s="3990"/>
      <c r="E3574" s="4009"/>
      <c r="F3574" s="3016" t="str">
        <f t="shared" si="263"/>
        <v>ASHP-SEER16-Replace_CAC_ElectricHeat_ER2_MF</v>
      </c>
      <c r="G3574" s="2673"/>
      <c r="H3574" s="2673"/>
      <c r="I3574" s="2673"/>
      <c r="J3574" s="3301" t="str">
        <f>C1496</f>
        <v>353000_2021_12_</v>
      </c>
      <c r="K3574" s="865">
        <v>12</v>
      </c>
      <c r="L3574" s="851"/>
      <c r="M3574" s="858"/>
      <c r="N3574" s="123"/>
      <c r="O3574" s="228"/>
      <c r="P3574" s="844"/>
      <c r="Q3574" s="845"/>
      <c r="R3574" s="844"/>
      <c r="S3574" s="832"/>
      <c r="T3574" s="3082"/>
      <c r="U3574" s="123"/>
      <c r="V3574" s="4031"/>
      <c r="W3574" s="865">
        <v>12</v>
      </c>
      <c r="X3574" s="865">
        <v>12</v>
      </c>
      <c r="Y3574" s="865">
        <v>12</v>
      </c>
      <c r="Z3574" s="865">
        <v>12</v>
      </c>
      <c r="AA3574" s="865">
        <v>12</v>
      </c>
      <c r="AB3574" s="865">
        <v>12</v>
      </c>
      <c r="AC3574" s="865">
        <v>12</v>
      </c>
      <c r="AD3574" s="865"/>
      <c r="AE3574" s="865"/>
      <c r="AF3574" s="865"/>
      <c r="AG3574" s="865"/>
      <c r="AH3574" s="1942"/>
      <c r="AI3574" s="1942"/>
      <c r="AJ3574" s="1942"/>
      <c r="AK3574" s="1942"/>
      <c r="AL3574" s="1942"/>
      <c r="AM3574" s="1942"/>
      <c r="AN3574" s="1942"/>
      <c r="AO3574" s="1942"/>
      <c r="AP3574" s="1942"/>
      <c r="AQ3574" s="1942"/>
      <c r="AR3574" s="1942"/>
      <c r="AS3574" s="1942"/>
      <c r="AT3574" s="1942"/>
      <c r="AU3574" s="1942"/>
      <c r="AV3574" s="1942"/>
      <c r="AW3574" s="1942"/>
      <c r="AX3574" s="1942"/>
      <c r="AY3574" s="1942"/>
      <c r="AZ3574" s="1942"/>
      <c r="BA3574" s="1942"/>
      <c r="BB3574" s="575"/>
      <c r="BC3574" s="576"/>
      <c r="BD3574" s="678"/>
      <c r="BE3574" s="585"/>
    </row>
    <row r="3575" spans="1:57" s="1942" customFormat="1" ht="15" hidden="1" customHeight="1" outlineLevel="1" x14ac:dyDescent="0.25">
      <c r="A3575" s="2060"/>
      <c r="B3575" s="576"/>
      <c r="C3575" s="328"/>
      <c r="D3575" s="3990"/>
      <c r="E3575" s="4009"/>
      <c r="F3575" s="3016" t="str">
        <f t="shared" si="263"/>
        <v>ASHP-SEER16-Replace_CAC_ElectricHeat_ER1_MF_CompE</v>
      </c>
      <c r="G3575" s="2673"/>
      <c r="H3575" s="2673"/>
      <c r="I3575" s="2673"/>
      <c r="J3575" s="3301" t="str">
        <f t="shared" ref="J3575:J3586" si="266">C1497</f>
        <v>353001_2021_12_</v>
      </c>
      <c r="K3575" s="3054">
        <v>6</v>
      </c>
      <c r="L3575" s="851"/>
      <c r="M3575" s="858"/>
      <c r="N3575" s="123"/>
      <c r="O3575" s="228"/>
      <c r="P3575" s="844"/>
      <c r="Q3575" s="845"/>
      <c r="R3575" s="844"/>
      <c r="S3575" s="832"/>
      <c r="T3575" s="3082"/>
      <c r="U3575" s="123"/>
      <c r="V3575" s="4031"/>
      <c r="W3575" s="865"/>
      <c r="X3575" s="865"/>
      <c r="Y3575" s="865"/>
      <c r="Z3575" s="865"/>
      <c r="AA3575" s="865"/>
      <c r="AB3575" s="865"/>
      <c r="AC3575" s="3054">
        <v>6</v>
      </c>
      <c r="AD3575" s="865"/>
      <c r="AE3575" s="865"/>
      <c r="AF3575" s="865"/>
      <c r="AG3575" s="865"/>
      <c r="BB3575" s="575"/>
      <c r="BC3575" s="576"/>
      <c r="BD3575" s="678"/>
      <c r="BE3575" s="585"/>
    </row>
    <row r="3576" spans="1:57" s="1942" customFormat="1" ht="15" hidden="1" customHeight="1" outlineLevel="1" x14ac:dyDescent="0.25">
      <c r="A3576" s="2060"/>
      <c r="B3576" s="576"/>
      <c r="C3576" s="328"/>
      <c r="D3576" s="3990"/>
      <c r="E3576" s="4009"/>
      <c r="F3576" s="3016" t="str">
        <f t="shared" si="263"/>
        <v>ASHP-SEER16-Replace_CAC_ElectricHeat_ER1_MF_CompE</v>
      </c>
      <c r="G3576" s="2673"/>
      <c r="H3576" s="2673"/>
      <c r="I3576" s="2673"/>
      <c r="J3576" s="3301" t="str">
        <f t="shared" si="266"/>
        <v>353001_2021_12_</v>
      </c>
      <c r="K3576" s="3054">
        <v>6</v>
      </c>
      <c r="L3576" s="851"/>
      <c r="M3576" s="858"/>
      <c r="N3576" s="123"/>
      <c r="O3576" s="228"/>
      <c r="P3576" s="844"/>
      <c r="Q3576" s="845"/>
      <c r="R3576" s="844"/>
      <c r="S3576" s="832"/>
      <c r="T3576" s="3082"/>
      <c r="U3576" s="123"/>
      <c r="V3576" s="4031"/>
      <c r="W3576" s="865"/>
      <c r="X3576" s="865"/>
      <c r="Y3576" s="865"/>
      <c r="Z3576" s="865"/>
      <c r="AA3576" s="865"/>
      <c r="AB3576" s="865"/>
      <c r="AC3576" s="3054">
        <v>6</v>
      </c>
      <c r="AD3576" s="865"/>
      <c r="AE3576" s="865"/>
      <c r="AF3576" s="865"/>
      <c r="AG3576" s="865"/>
      <c r="BB3576" s="575"/>
      <c r="BC3576" s="576"/>
      <c r="BD3576" s="678"/>
      <c r="BE3576" s="585"/>
    </row>
    <row r="3577" spans="1:57" s="1942" customFormat="1" ht="15" hidden="1" customHeight="1" outlineLevel="1" x14ac:dyDescent="0.25">
      <c r="A3577" s="2060"/>
      <c r="B3577" s="576"/>
      <c r="C3577" s="328"/>
      <c r="D3577" s="3990"/>
      <c r="E3577" s="4009"/>
      <c r="F3577" s="3016" t="str">
        <f t="shared" si="263"/>
        <v>ASHP-SEER16-Replace_CAC_ElectricHeat_ER2_MF_CompE</v>
      </c>
      <c r="G3577" s="2673"/>
      <c r="H3577" s="2673"/>
      <c r="I3577" s="2673"/>
      <c r="J3577" s="3301" t="str">
        <f t="shared" si="266"/>
        <v>353001_2021_12_</v>
      </c>
      <c r="K3577" s="3054">
        <v>12</v>
      </c>
      <c r="L3577" s="851"/>
      <c r="M3577" s="858"/>
      <c r="N3577" s="123"/>
      <c r="O3577" s="228"/>
      <c r="P3577" s="844"/>
      <c r="Q3577" s="845"/>
      <c r="R3577" s="844"/>
      <c r="S3577" s="832"/>
      <c r="T3577" s="3082"/>
      <c r="U3577" s="123"/>
      <c r="V3577" s="4031"/>
      <c r="W3577" s="865"/>
      <c r="X3577" s="865"/>
      <c r="Y3577" s="865"/>
      <c r="Z3577" s="865"/>
      <c r="AA3577" s="865"/>
      <c r="AB3577" s="865"/>
      <c r="AC3577" s="3054">
        <v>12</v>
      </c>
      <c r="AD3577" s="865"/>
      <c r="AE3577" s="865"/>
      <c r="AF3577" s="865"/>
      <c r="AG3577" s="865"/>
      <c r="BB3577" s="575"/>
      <c r="BC3577" s="576"/>
      <c r="BD3577" s="678"/>
      <c r="BE3577" s="585"/>
    </row>
    <row r="3578" spans="1:57" s="1942" customFormat="1" ht="15" hidden="1" customHeight="1" outlineLevel="1" x14ac:dyDescent="0.25">
      <c r="A3578" s="2060"/>
      <c r="B3578" s="576"/>
      <c r="C3578" s="328"/>
      <c r="D3578" s="3990"/>
      <c r="E3578" s="4009"/>
      <c r="F3578" s="3016" t="str">
        <f t="shared" si="263"/>
        <v>ASHP-SEER16-Replace_CAC_ElectricHeat_ER2_MF_CompE</v>
      </c>
      <c r="G3578" s="2673"/>
      <c r="H3578" s="2673"/>
      <c r="I3578" s="2673"/>
      <c r="J3578" s="3301" t="str">
        <f t="shared" si="266"/>
        <v>353001_2021_12_</v>
      </c>
      <c r="K3578" s="3054">
        <v>12</v>
      </c>
      <c r="L3578" s="851"/>
      <c r="M3578" s="858"/>
      <c r="N3578" s="123"/>
      <c r="O3578" s="228"/>
      <c r="P3578" s="844"/>
      <c r="Q3578" s="845"/>
      <c r="R3578" s="844"/>
      <c r="S3578" s="832"/>
      <c r="T3578" s="3082"/>
      <c r="U3578" s="123"/>
      <c r="V3578" s="4031"/>
      <c r="W3578" s="865"/>
      <c r="X3578" s="865"/>
      <c r="Y3578" s="865"/>
      <c r="Z3578" s="865"/>
      <c r="AA3578" s="865"/>
      <c r="AB3578" s="865"/>
      <c r="AC3578" s="3054">
        <v>12</v>
      </c>
      <c r="AD3578" s="865"/>
      <c r="AE3578" s="865"/>
      <c r="AF3578" s="865"/>
      <c r="AG3578" s="865"/>
      <c r="BB3578" s="575"/>
      <c r="BC3578" s="576"/>
      <c r="BD3578" s="678"/>
      <c r="BE3578" s="585"/>
    </row>
    <row r="3579" spans="1:57" s="1942" customFormat="1" ht="15" hidden="1" customHeight="1" outlineLevel="1" x14ac:dyDescent="0.25">
      <c r="A3579" s="2060"/>
      <c r="B3579" s="576"/>
      <c r="C3579" s="328"/>
      <c r="D3579" s="3990"/>
      <c r="E3579" s="4009"/>
      <c r="F3579" s="3016" t="str">
        <f t="shared" si="263"/>
        <v>ASHP-SEER16-Replace_CAC_NonElectricHeat_ER1_MF</v>
      </c>
      <c r="G3579" s="2673"/>
      <c r="H3579" s="2673"/>
      <c r="I3579" s="2673"/>
      <c r="J3579" s="3301" t="str">
        <f t="shared" si="266"/>
        <v>353010_2021_12_</v>
      </c>
      <c r="K3579" s="3054">
        <v>6</v>
      </c>
      <c r="L3579" s="851"/>
      <c r="M3579" s="858"/>
      <c r="N3579" s="123"/>
      <c r="O3579" s="228"/>
      <c r="P3579" s="844"/>
      <c r="Q3579" s="845"/>
      <c r="R3579" s="844"/>
      <c r="S3579" s="832"/>
      <c r="T3579" s="3082"/>
      <c r="U3579" s="123"/>
      <c r="V3579" s="4031"/>
      <c r="W3579" s="865"/>
      <c r="X3579" s="865"/>
      <c r="Y3579" s="865"/>
      <c r="Z3579" s="865"/>
      <c r="AA3579" s="865"/>
      <c r="AB3579" s="865"/>
      <c r="AC3579" s="3054">
        <v>6</v>
      </c>
      <c r="AD3579" s="865"/>
      <c r="AE3579" s="865"/>
      <c r="AF3579" s="865"/>
      <c r="AG3579" s="865"/>
      <c r="BB3579" s="575"/>
      <c r="BC3579" s="576"/>
      <c r="BD3579" s="678"/>
      <c r="BE3579" s="585"/>
    </row>
    <row r="3580" spans="1:57" s="1942" customFormat="1" ht="15" hidden="1" customHeight="1" outlineLevel="1" x14ac:dyDescent="0.25">
      <c r="A3580" s="2060"/>
      <c r="B3580" s="576"/>
      <c r="C3580" s="328"/>
      <c r="D3580" s="3990"/>
      <c r="E3580" s="4009"/>
      <c r="F3580" s="3016" t="str">
        <f t="shared" si="263"/>
        <v>ASHP-SEER16-Replace_CAC_NonElectricHeat_ER1_MF</v>
      </c>
      <c r="G3580" s="2673"/>
      <c r="H3580" s="2673"/>
      <c r="I3580" s="2673"/>
      <c r="J3580" s="3301" t="str">
        <f t="shared" si="266"/>
        <v>353010_2021_12_</v>
      </c>
      <c r="K3580" s="3054">
        <v>6</v>
      </c>
      <c r="L3580" s="851"/>
      <c r="M3580" s="858"/>
      <c r="N3580" s="123"/>
      <c r="O3580" s="228"/>
      <c r="P3580" s="844"/>
      <c r="Q3580" s="845"/>
      <c r="R3580" s="844"/>
      <c r="S3580" s="832"/>
      <c r="T3580" s="3082"/>
      <c r="U3580" s="123"/>
      <c r="V3580" s="4031"/>
      <c r="W3580" s="865"/>
      <c r="X3580" s="865"/>
      <c r="Y3580" s="865"/>
      <c r="Z3580" s="865"/>
      <c r="AA3580" s="865"/>
      <c r="AB3580" s="865"/>
      <c r="AC3580" s="3054">
        <v>6</v>
      </c>
      <c r="AD3580" s="865"/>
      <c r="AE3580" s="865"/>
      <c r="AF3580" s="865"/>
      <c r="AG3580" s="865"/>
      <c r="BB3580" s="575"/>
      <c r="BC3580" s="576"/>
      <c r="BD3580" s="678"/>
      <c r="BE3580" s="585"/>
    </row>
    <row r="3581" spans="1:57" s="1942" customFormat="1" ht="15" hidden="1" customHeight="1" outlineLevel="1" x14ac:dyDescent="0.25">
      <c r="A3581" s="2060"/>
      <c r="B3581" s="576"/>
      <c r="C3581" s="328"/>
      <c r="D3581" s="3990"/>
      <c r="E3581" s="4009"/>
      <c r="F3581" s="3016" t="str">
        <f t="shared" si="263"/>
        <v>ASHP-SEER16-Replace_CAC_NonElectricHeat_ER2_MF</v>
      </c>
      <c r="G3581" s="2673"/>
      <c r="H3581" s="2673"/>
      <c r="I3581" s="2673"/>
      <c r="J3581" s="3301" t="str">
        <f t="shared" si="266"/>
        <v>353010_2021_12_</v>
      </c>
      <c r="K3581" s="3054">
        <v>12</v>
      </c>
      <c r="L3581" s="851"/>
      <c r="M3581" s="858"/>
      <c r="N3581" s="123"/>
      <c r="O3581" s="228"/>
      <c r="P3581" s="844"/>
      <c r="Q3581" s="845"/>
      <c r="R3581" s="844"/>
      <c r="S3581" s="832"/>
      <c r="T3581" s="3082"/>
      <c r="U3581" s="123"/>
      <c r="V3581" s="4031"/>
      <c r="W3581" s="865"/>
      <c r="X3581" s="865"/>
      <c r="Y3581" s="865"/>
      <c r="Z3581" s="865"/>
      <c r="AA3581" s="865"/>
      <c r="AB3581" s="865"/>
      <c r="AC3581" s="3054">
        <v>12</v>
      </c>
      <c r="AD3581" s="865"/>
      <c r="AE3581" s="865"/>
      <c r="AF3581" s="865"/>
      <c r="AG3581" s="865"/>
      <c r="BB3581" s="575"/>
      <c r="BC3581" s="576"/>
      <c r="BD3581" s="678"/>
      <c r="BE3581" s="585"/>
    </row>
    <row r="3582" spans="1:57" s="1942" customFormat="1" ht="15" hidden="1" customHeight="1" outlineLevel="1" x14ac:dyDescent="0.25">
      <c r="A3582" s="2060"/>
      <c r="B3582" s="576"/>
      <c r="C3582" s="328"/>
      <c r="D3582" s="3990"/>
      <c r="E3582" s="4009"/>
      <c r="F3582" s="3016" t="str">
        <f t="shared" si="263"/>
        <v>ASHP-SEER16-Replace_CAC_NonElectricHeat_ER2_MF</v>
      </c>
      <c r="G3582" s="2673"/>
      <c r="H3582" s="2673"/>
      <c r="I3582" s="2673"/>
      <c r="J3582" s="3301" t="str">
        <f t="shared" si="266"/>
        <v>353010_2021_12_</v>
      </c>
      <c r="K3582" s="3054">
        <v>12</v>
      </c>
      <c r="L3582" s="851"/>
      <c r="M3582" s="858"/>
      <c r="N3582" s="123"/>
      <c r="O3582" s="228"/>
      <c r="P3582" s="844"/>
      <c r="Q3582" s="845"/>
      <c r="R3582" s="844"/>
      <c r="S3582" s="832"/>
      <c r="T3582" s="3082"/>
      <c r="U3582" s="123"/>
      <c r="V3582" s="4031"/>
      <c r="W3582" s="865"/>
      <c r="X3582" s="865"/>
      <c r="Y3582" s="865"/>
      <c r="Z3582" s="865"/>
      <c r="AA3582" s="865"/>
      <c r="AB3582" s="865"/>
      <c r="AC3582" s="3054">
        <v>12</v>
      </c>
      <c r="AD3582" s="865"/>
      <c r="AE3582" s="865"/>
      <c r="AF3582" s="865"/>
      <c r="AG3582" s="865"/>
      <c r="BB3582" s="575"/>
      <c r="BC3582" s="576"/>
      <c r="BD3582" s="678"/>
      <c r="BE3582" s="585"/>
    </row>
    <row r="3583" spans="1:57" s="1942" customFormat="1" ht="15" hidden="1" customHeight="1" outlineLevel="1" x14ac:dyDescent="0.25">
      <c r="A3583" s="2060"/>
      <c r="B3583" s="576"/>
      <c r="C3583" s="328"/>
      <c r="D3583" s="3990"/>
      <c r="E3583" s="4009"/>
      <c r="F3583" s="3016" t="str">
        <f t="shared" si="263"/>
        <v>ASHP-SEER16-Replace_CAC_NonElectricHeat_ER1_MF_CompE</v>
      </c>
      <c r="G3583" s="2673"/>
      <c r="H3583" s="2673"/>
      <c r="I3583" s="2673"/>
      <c r="J3583" s="3301" t="str">
        <f t="shared" si="266"/>
        <v>353011_2021_12_</v>
      </c>
      <c r="K3583" s="3054">
        <v>6</v>
      </c>
      <c r="L3583" s="851"/>
      <c r="M3583" s="858"/>
      <c r="N3583" s="123"/>
      <c r="O3583" s="228"/>
      <c r="P3583" s="844"/>
      <c r="Q3583" s="845"/>
      <c r="R3583" s="844"/>
      <c r="S3583" s="832"/>
      <c r="T3583" s="3082"/>
      <c r="U3583" s="123"/>
      <c r="V3583" s="4031"/>
      <c r="W3583" s="865"/>
      <c r="X3583" s="865"/>
      <c r="Y3583" s="865"/>
      <c r="Z3583" s="865"/>
      <c r="AA3583" s="865"/>
      <c r="AB3583" s="865"/>
      <c r="AC3583" s="3054">
        <v>6</v>
      </c>
      <c r="AD3583" s="865"/>
      <c r="AE3583" s="865"/>
      <c r="AF3583" s="865"/>
      <c r="AG3583" s="865"/>
      <c r="BB3583" s="575"/>
      <c r="BC3583" s="576"/>
      <c r="BD3583" s="678"/>
      <c r="BE3583" s="585"/>
    </row>
    <row r="3584" spans="1:57" s="1942" customFormat="1" ht="15" hidden="1" customHeight="1" outlineLevel="1" x14ac:dyDescent="0.25">
      <c r="A3584" s="2060"/>
      <c r="B3584" s="576"/>
      <c r="C3584" s="328"/>
      <c r="D3584" s="3990"/>
      <c r="E3584" s="4009"/>
      <c r="F3584" s="3016" t="str">
        <f t="shared" si="263"/>
        <v>ASHP-SEER16-Replace_CAC_NonElectricHeat_ER1_MF_CompE</v>
      </c>
      <c r="G3584" s="2673"/>
      <c r="H3584" s="2673"/>
      <c r="I3584" s="2673"/>
      <c r="J3584" s="3301" t="str">
        <f t="shared" si="266"/>
        <v>353011_2021_12_</v>
      </c>
      <c r="K3584" s="3054">
        <v>6</v>
      </c>
      <c r="L3584" s="851"/>
      <c r="M3584" s="858"/>
      <c r="N3584" s="123"/>
      <c r="O3584" s="228"/>
      <c r="P3584" s="844"/>
      <c r="Q3584" s="845"/>
      <c r="R3584" s="844"/>
      <c r="S3584" s="832"/>
      <c r="T3584" s="3082"/>
      <c r="U3584" s="123"/>
      <c r="V3584" s="4031"/>
      <c r="W3584" s="865"/>
      <c r="X3584" s="865"/>
      <c r="Y3584" s="865"/>
      <c r="Z3584" s="865"/>
      <c r="AA3584" s="865"/>
      <c r="AB3584" s="865"/>
      <c r="AC3584" s="3054">
        <v>6</v>
      </c>
      <c r="AD3584" s="865"/>
      <c r="AE3584" s="865"/>
      <c r="AF3584" s="865"/>
      <c r="AG3584" s="865"/>
      <c r="BB3584" s="575"/>
      <c r="BC3584" s="576"/>
      <c r="BD3584" s="678"/>
      <c r="BE3584" s="585"/>
    </row>
    <row r="3585" spans="1:57" s="1942" customFormat="1" ht="15" hidden="1" customHeight="1" outlineLevel="1" x14ac:dyDescent="0.25">
      <c r="A3585" s="2060"/>
      <c r="B3585" s="576"/>
      <c r="C3585" s="328"/>
      <c r="D3585" s="3990"/>
      <c r="E3585" s="4009"/>
      <c r="F3585" s="3016" t="str">
        <f t="shared" si="263"/>
        <v>ASHP-SEER16-Replace_CAC_NonElectricHeat_ER2_MF_CompE</v>
      </c>
      <c r="G3585" s="2673"/>
      <c r="H3585" s="2673"/>
      <c r="I3585" s="2673"/>
      <c r="J3585" s="3301" t="str">
        <f t="shared" si="266"/>
        <v>353011_2021_12_</v>
      </c>
      <c r="K3585" s="3054">
        <v>12</v>
      </c>
      <c r="L3585" s="851"/>
      <c r="M3585" s="858"/>
      <c r="N3585" s="123"/>
      <c r="O3585" s="228"/>
      <c r="P3585" s="844"/>
      <c r="Q3585" s="845"/>
      <c r="R3585" s="844"/>
      <c r="S3585" s="832"/>
      <c r="T3585" s="3082"/>
      <c r="U3585" s="123"/>
      <c r="V3585" s="4031"/>
      <c r="W3585" s="865"/>
      <c r="X3585" s="865"/>
      <c r="Y3585" s="865"/>
      <c r="Z3585" s="865"/>
      <c r="AA3585" s="865"/>
      <c r="AB3585" s="865"/>
      <c r="AC3585" s="3054">
        <v>12</v>
      </c>
      <c r="AD3585" s="865"/>
      <c r="AE3585" s="865"/>
      <c r="AF3585" s="865"/>
      <c r="AG3585" s="865"/>
      <c r="BB3585" s="575"/>
      <c r="BC3585" s="576"/>
      <c r="BD3585" s="678"/>
      <c r="BE3585" s="585"/>
    </row>
    <row r="3586" spans="1:57" s="1942" customFormat="1" ht="15" hidden="1" customHeight="1" outlineLevel="1" x14ac:dyDescent="0.25">
      <c r="A3586" s="2060"/>
      <c r="B3586" s="576"/>
      <c r="C3586" s="328"/>
      <c r="D3586" s="3990"/>
      <c r="E3586" s="4009"/>
      <c r="F3586" s="3016" t="str">
        <f t="shared" si="263"/>
        <v>ASHP-SEER16-Replace_CAC_NonElectricHeat_ER2_MF_CompE</v>
      </c>
      <c r="G3586" s="2673"/>
      <c r="H3586" s="2673"/>
      <c r="I3586" s="2673"/>
      <c r="J3586" s="3301" t="str">
        <f t="shared" si="266"/>
        <v>353011_2021_12_</v>
      </c>
      <c r="K3586" s="3054">
        <v>12</v>
      </c>
      <c r="L3586" s="851"/>
      <c r="M3586" s="858"/>
      <c r="N3586" s="123"/>
      <c r="O3586" s="228"/>
      <c r="P3586" s="844"/>
      <c r="Q3586" s="845"/>
      <c r="R3586" s="844"/>
      <c r="S3586" s="832"/>
      <c r="T3586" s="3082"/>
      <c r="U3586" s="123"/>
      <c r="V3586" s="4031"/>
      <c r="W3586" s="865"/>
      <c r="X3586" s="865"/>
      <c r="Y3586" s="865"/>
      <c r="Z3586" s="865"/>
      <c r="AA3586" s="865"/>
      <c r="AB3586" s="865"/>
      <c r="AC3586" s="3054">
        <v>12</v>
      </c>
      <c r="AD3586" s="865"/>
      <c r="AE3586" s="865"/>
      <c r="AF3586" s="865"/>
      <c r="AG3586" s="865"/>
      <c r="BB3586" s="575"/>
      <c r="BC3586" s="576"/>
      <c r="BD3586" s="678"/>
      <c r="BE3586" s="585"/>
    </row>
    <row r="3587" spans="1:57" s="51" customFormat="1" ht="15" hidden="1" customHeight="1" outlineLevel="1" x14ac:dyDescent="0.25">
      <c r="A3587" s="2060"/>
      <c r="B3587" s="576"/>
      <c r="C3587" s="328"/>
      <c r="D3587" s="3990"/>
      <c r="E3587" s="4009"/>
      <c r="F3587" s="3016" t="str">
        <f t="shared" si="263"/>
        <v>ASHP-SEER15_ROF_MF</v>
      </c>
      <c r="G3587" s="2673"/>
      <c r="H3587" s="2673"/>
      <c r="I3587" s="2673"/>
      <c r="J3587" s="3301" t="str">
        <f>C1509</f>
        <v>353050_2021_12_</v>
      </c>
      <c r="K3587" s="865">
        <v>18</v>
      </c>
      <c r="L3587" s="851"/>
      <c r="M3587" s="858"/>
      <c r="N3587" s="123"/>
      <c r="O3587" s="228"/>
      <c r="P3587" s="844"/>
      <c r="Q3587" s="845"/>
      <c r="R3587" s="844"/>
      <c r="S3587" s="832"/>
      <c r="T3587" s="3082"/>
      <c r="U3587" s="123"/>
      <c r="V3587" s="4031"/>
      <c r="W3587" s="865">
        <v>18</v>
      </c>
      <c r="X3587" s="865">
        <v>18</v>
      </c>
      <c r="Y3587" s="865">
        <v>18</v>
      </c>
      <c r="Z3587" s="865">
        <v>18</v>
      </c>
      <c r="AA3587" s="865">
        <v>18</v>
      </c>
      <c r="AB3587" s="865">
        <v>18</v>
      </c>
      <c r="AC3587" s="865">
        <v>18</v>
      </c>
      <c r="AD3587" s="865"/>
      <c r="AE3587" s="865"/>
      <c r="AF3587" s="865"/>
      <c r="AG3587" s="865"/>
      <c r="AH3587" s="1942"/>
      <c r="AI3587" s="1942"/>
      <c r="AJ3587" s="1942"/>
      <c r="AK3587" s="1942"/>
      <c r="AL3587" s="1942"/>
      <c r="AM3587" s="1942"/>
      <c r="AN3587" s="1942"/>
      <c r="AO3587" s="1942"/>
      <c r="AP3587" s="1942"/>
      <c r="AQ3587" s="1942"/>
      <c r="AR3587" s="1942"/>
      <c r="AS3587" s="1942"/>
      <c r="AT3587" s="1942"/>
      <c r="AU3587" s="1942"/>
      <c r="AV3587" s="1942"/>
      <c r="AW3587" s="1942"/>
      <c r="AX3587" s="1942"/>
      <c r="AY3587" s="1942"/>
      <c r="AZ3587" s="1942"/>
      <c r="BA3587" s="1942"/>
      <c r="BB3587" s="575"/>
      <c r="BC3587" s="576"/>
      <c r="BD3587" s="678"/>
      <c r="BE3587" s="585"/>
    </row>
    <row r="3588" spans="1:57" s="51" customFormat="1" ht="15" hidden="1" customHeight="1" outlineLevel="1" x14ac:dyDescent="0.25">
      <c r="A3588" s="1267"/>
      <c r="B3588" s="576"/>
      <c r="C3588" s="328"/>
      <c r="D3588" s="3990"/>
      <c r="E3588" s="4009"/>
      <c r="F3588" s="3016" t="str">
        <f t="shared" si="263"/>
        <v>ASHP-SEER15_ROF_MF</v>
      </c>
      <c r="G3588" s="2673"/>
      <c r="H3588" s="2673"/>
      <c r="I3588" s="2673"/>
      <c r="J3588" s="3301" t="str">
        <f>C1510</f>
        <v>353050_2021_12_</v>
      </c>
      <c r="K3588" s="865">
        <v>18</v>
      </c>
      <c r="L3588" s="851"/>
      <c r="M3588" s="858"/>
      <c r="N3588" s="123"/>
      <c r="O3588" s="228"/>
      <c r="P3588" s="228"/>
      <c r="Q3588" s="228"/>
      <c r="R3588" s="228"/>
      <c r="S3588" s="123"/>
      <c r="T3588" s="123"/>
      <c r="U3588" s="123"/>
      <c r="V3588" s="4031"/>
      <c r="W3588" s="865">
        <v>18</v>
      </c>
      <c r="X3588" s="865">
        <v>18</v>
      </c>
      <c r="Y3588" s="865">
        <v>18</v>
      </c>
      <c r="Z3588" s="865">
        <v>18</v>
      </c>
      <c r="AA3588" s="865">
        <v>18</v>
      </c>
      <c r="AB3588" s="865">
        <v>18</v>
      </c>
      <c r="AC3588" s="865">
        <v>18</v>
      </c>
      <c r="AD3588" s="865"/>
      <c r="AE3588" s="865"/>
      <c r="AF3588" s="865"/>
      <c r="AG3588" s="865"/>
      <c r="AH3588" s="1942"/>
      <c r="AI3588" s="1942"/>
      <c r="AJ3588" s="1942"/>
      <c r="AK3588" s="1942"/>
      <c r="AL3588" s="1942"/>
      <c r="AM3588" s="1942"/>
      <c r="AN3588" s="1942"/>
      <c r="AO3588" s="1942"/>
      <c r="AP3588" s="1942"/>
      <c r="AQ3588" s="1942"/>
      <c r="AR3588" s="1942"/>
      <c r="AS3588" s="1942"/>
      <c r="AT3588" s="1942"/>
      <c r="AU3588" s="1942"/>
      <c r="AV3588" s="1942"/>
      <c r="AW3588" s="1942"/>
      <c r="AX3588" s="1942"/>
      <c r="AY3588" s="1942"/>
      <c r="AZ3588" s="1942"/>
      <c r="BA3588" s="1942"/>
      <c r="BB3588" s="575"/>
      <c r="BC3588" s="576"/>
      <c r="BD3588" s="678"/>
      <c r="BE3588" s="585"/>
    </row>
    <row r="3589" spans="1:57" s="1942" customFormat="1" ht="15" hidden="1" customHeight="1" outlineLevel="1" x14ac:dyDescent="0.25">
      <c r="A3589" s="1267"/>
      <c r="B3589" s="576"/>
      <c r="C3589" s="328"/>
      <c r="D3589" s="3990"/>
      <c r="E3589" s="4009"/>
      <c r="F3589" s="3016" t="str">
        <f t="shared" si="263"/>
        <v>ASHP-SEER15_ROF_MF_CompE</v>
      </c>
      <c r="G3589" s="2673"/>
      <c r="H3589" s="2673"/>
      <c r="I3589" s="2673"/>
      <c r="J3589" s="3301" t="str">
        <f t="shared" ref="J3589:J3590" si="267">C1511</f>
        <v>353051_2021_12_</v>
      </c>
      <c r="K3589" s="3054">
        <v>18</v>
      </c>
      <c r="L3589" s="851"/>
      <c r="M3589" s="858"/>
      <c r="N3589" s="123"/>
      <c r="O3589" s="228"/>
      <c r="P3589" s="228"/>
      <c r="Q3589" s="228"/>
      <c r="R3589" s="228"/>
      <c r="S3589" s="123"/>
      <c r="T3589" s="123"/>
      <c r="U3589" s="123"/>
      <c r="V3589" s="4031"/>
      <c r="W3589" s="865"/>
      <c r="X3589" s="865"/>
      <c r="Y3589" s="865"/>
      <c r="Z3589" s="865"/>
      <c r="AA3589" s="865"/>
      <c r="AB3589" s="865"/>
      <c r="AC3589" s="3054">
        <v>18</v>
      </c>
      <c r="AD3589" s="865"/>
      <c r="AE3589" s="865"/>
      <c r="AF3589" s="865"/>
      <c r="AG3589" s="865"/>
      <c r="BB3589" s="575"/>
      <c r="BC3589" s="576"/>
      <c r="BD3589" s="678"/>
      <c r="BE3589" s="585"/>
    </row>
    <row r="3590" spans="1:57" s="1942" customFormat="1" ht="15" hidden="1" customHeight="1" outlineLevel="1" x14ac:dyDescent="0.25">
      <c r="A3590" s="1267"/>
      <c r="B3590" s="576"/>
      <c r="C3590" s="328"/>
      <c r="D3590" s="3990"/>
      <c r="E3590" s="4009"/>
      <c r="F3590" s="3016" t="str">
        <f t="shared" si="263"/>
        <v>ASHP-SEER15_ROF_MF_CompE</v>
      </c>
      <c r="G3590" s="2673"/>
      <c r="H3590" s="2673"/>
      <c r="I3590" s="2673"/>
      <c r="J3590" s="3301" t="str">
        <f t="shared" si="267"/>
        <v>353051_2021_12_</v>
      </c>
      <c r="K3590" s="3054">
        <v>18</v>
      </c>
      <c r="L3590" s="851"/>
      <c r="M3590" s="858"/>
      <c r="N3590" s="123"/>
      <c r="O3590" s="228"/>
      <c r="P3590" s="228"/>
      <c r="Q3590" s="228"/>
      <c r="R3590" s="228"/>
      <c r="S3590" s="123"/>
      <c r="T3590" s="123"/>
      <c r="U3590" s="123"/>
      <c r="V3590" s="4031"/>
      <c r="W3590" s="865"/>
      <c r="X3590" s="865"/>
      <c r="Y3590" s="865"/>
      <c r="Z3590" s="865"/>
      <c r="AA3590" s="865"/>
      <c r="AB3590" s="865"/>
      <c r="AC3590" s="3054">
        <v>18</v>
      </c>
      <c r="AD3590" s="865"/>
      <c r="AE3590" s="865"/>
      <c r="AF3590" s="865"/>
      <c r="AG3590" s="865"/>
      <c r="BB3590" s="575"/>
      <c r="BC3590" s="576"/>
      <c r="BD3590" s="678"/>
      <c r="BE3590" s="585"/>
    </row>
    <row r="3591" spans="1:57" s="51" customFormat="1" ht="15" hidden="1" customHeight="1" outlineLevel="1" x14ac:dyDescent="0.25">
      <c r="A3591" s="1267"/>
      <c r="B3591" s="576"/>
      <c r="C3591" s="328"/>
      <c r="D3591" s="3990"/>
      <c r="E3591" s="4009"/>
      <c r="F3591" s="3016" t="str">
        <f t="shared" si="263"/>
        <v>ASHP-SEER17-Replace_CAC_ElectricHeat_ROF_SF</v>
      </c>
      <c r="G3591" s="2673"/>
      <c r="H3591" s="2673"/>
      <c r="I3591" s="2673"/>
      <c r="J3591" s="3301" t="str">
        <f>C1513</f>
        <v>353100_2021_12_</v>
      </c>
      <c r="K3591" s="865">
        <v>18</v>
      </c>
      <c r="L3591" s="851"/>
      <c r="M3591" s="858"/>
      <c r="N3591" s="123"/>
      <c r="O3591" s="228"/>
      <c r="P3591" s="228"/>
      <c r="Q3591" s="228"/>
      <c r="R3591" s="228"/>
      <c r="S3591" s="123"/>
      <c r="T3591" s="123"/>
      <c r="U3591" s="123"/>
      <c r="V3591" s="4031"/>
      <c r="W3591" s="865">
        <v>18</v>
      </c>
      <c r="X3591" s="865">
        <v>18</v>
      </c>
      <c r="Y3591" s="865">
        <v>18</v>
      </c>
      <c r="Z3591" s="865">
        <v>18</v>
      </c>
      <c r="AA3591" s="865">
        <v>18</v>
      </c>
      <c r="AB3591" s="865">
        <v>18</v>
      </c>
      <c r="AC3591" s="865">
        <v>18</v>
      </c>
      <c r="AD3591" s="865"/>
      <c r="AE3591" s="865"/>
      <c r="AF3591" s="865"/>
      <c r="AG3591" s="865"/>
      <c r="AH3591" s="1942"/>
      <c r="AI3591" s="1942"/>
      <c r="AJ3591" s="1942"/>
      <c r="AK3591" s="1942"/>
      <c r="AL3591" s="1942"/>
      <c r="AM3591" s="1942"/>
      <c r="AN3591" s="1942"/>
      <c r="AO3591" s="1942"/>
      <c r="AP3591" s="1942"/>
      <c r="AQ3591" s="1942"/>
      <c r="AR3591" s="1942"/>
      <c r="AS3591" s="1942"/>
      <c r="AT3591" s="1942"/>
      <c r="AU3591" s="1942"/>
      <c r="AV3591" s="1942"/>
      <c r="AW3591" s="1942"/>
      <c r="AX3591" s="1942"/>
      <c r="AY3591" s="1942"/>
      <c r="AZ3591" s="1942"/>
      <c r="BA3591" s="1942"/>
      <c r="BB3591" s="575"/>
      <c r="BC3591" s="576"/>
      <c r="BD3591" s="678"/>
      <c r="BE3591" s="585"/>
    </row>
    <row r="3592" spans="1:57" s="51" customFormat="1" ht="15" hidden="1" customHeight="1" outlineLevel="1" x14ac:dyDescent="0.25">
      <c r="A3592" s="2060"/>
      <c r="B3592" s="576"/>
      <c r="C3592" s="328"/>
      <c r="D3592" s="3990"/>
      <c r="E3592" s="4009"/>
      <c r="F3592" s="3016" t="str">
        <f t="shared" si="263"/>
        <v>ASHP-SEER17-Replace_CAC_ElectricHeat_ROF_SF</v>
      </c>
      <c r="G3592" s="2673"/>
      <c r="H3592" s="2673"/>
      <c r="I3592" s="2673"/>
      <c r="J3592" s="3301" t="str">
        <f>C1514</f>
        <v>353100_2021_12_</v>
      </c>
      <c r="K3592" s="865">
        <v>18</v>
      </c>
      <c r="L3592" s="851"/>
      <c r="M3592" s="858"/>
      <c r="N3592" s="123"/>
      <c r="O3592" s="228"/>
      <c r="P3592" s="844"/>
      <c r="Q3592" s="845"/>
      <c r="R3592" s="844"/>
      <c r="S3592" s="832"/>
      <c r="T3592" s="3082"/>
      <c r="U3592" s="123"/>
      <c r="V3592" s="4031"/>
      <c r="W3592" s="865">
        <v>18</v>
      </c>
      <c r="X3592" s="865">
        <v>18</v>
      </c>
      <c r="Y3592" s="865">
        <v>18</v>
      </c>
      <c r="Z3592" s="865">
        <v>18</v>
      </c>
      <c r="AA3592" s="865">
        <v>18</v>
      </c>
      <c r="AB3592" s="865">
        <v>18</v>
      </c>
      <c r="AC3592" s="865">
        <v>18</v>
      </c>
      <c r="AD3592" s="865"/>
      <c r="AE3592" s="865"/>
      <c r="AF3592" s="865"/>
      <c r="AG3592" s="865"/>
      <c r="AH3592" s="1942"/>
      <c r="AI3592" s="1942"/>
      <c r="AJ3592" s="1942"/>
      <c r="AK3592" s="1942"/>
      <c r="AL3592" s="1942"/>
      <c r="AM3592" s="1942"/>
      <c r="AN3592" s="1942"/>
      <c r="AO3592" s="1942"/>
      <c r="AP3592" s="1942"/>
      <c r="AQ3592" s="1942"/>
      <c r="AR3592" s="1942"/>
      <c r="AS3592" s="1942"/>
      <c r="AT3592" s="1942"/>
      <c r="AU3592" s="1942"/>
      <c r="AV3592" s="1942"/>
      <c r="AW3592" s="1942"/>
      <c r="AX3592" s="1942"/>
      <c r="AY3592" s="1942"/>
      <c r="AZ3592" s="1942"/>
      <c r="BA3592" s="1942"/>
      <c r="BB3592" s="575"/>
      <c r="BC3592" s="576"/>
      <c r="BD3592" s="678"/>
      <c r="BE3592" s="585"/>
    </row>
    <row r="3593" spans="1:57" s="51" customFormat="1" ht="15" hidden="1" customHeight="1" outlineLevel="1" x14ac:dyDescent="0.25">
      <c r="A3593" s="2060"/>
      <c r="B3593" s="576"/>
      <c r="C3593" s="328"/>
      <c r="D3593" s="3990"/>
      <c r="E3593" s="4009"/>
      <c r="F3593" s="3016" t="str">
        <f t="shared" si="263"/>
        <v>ASHP-SEER17-Replace_CAC_ElectricHeat_ROF_MF</v>
      </c>
      <c r="G3593" s="2673"/>
      <c r="H3593" s="2673"/>
      <c r="I3593" s="2673"/>
      <c r="J3593" s="3302" t="str">
        <f>C1515</f>
        <v>353150_2019_12_</v>
      </c>
      <c r="K3593" s="865">
        <v>18</v>
      </c>
      <c r="L3593" s="851"/>
      <c r="M3593" s="858"/>
      <c r="N3593" s="123"/>
      <c r="O3593" s="228"/>
      <c r="P3593" s="844"/>
      <c r="Q3593" s="845"/>
      <c r="R3593" s="844"/>
      <c r="S3593" s="832"/>
      <c r="T3593" s="3082"/>
      <c r="U3593" s="123"/>
      <c r="V3593" s="4031"/>
      <c r="W3593" s="865">
        <v>18</v>
      </c>
      <c r="X3593" s="865">
        <v>18</v>
      </c>
      <c r="Y3593" s="865">
        <v>18</v>
      </c>
      <c r="Z3593" s="865">
        <v>18</v>
      </c>
      <c r="AA3593" s="865">
        <v>18</v>
      </c>
      <c r="AB3593" s="865">
        <v>18</v>
      </c>
      <c r="AC3593" s="865">
        <v>18</v>
      </c>
      <c r="AD3593" s="865"/>
      <c r="AE3593" s="865"/>
      <c r="AF3593" s="865"/>
      <c r="AG3593" s="865"/>
      <c r="AH3593" s="1942"/>
      <c r="AI3593" s="1942"/>
      <c r="AJ3593" s="1942"/>
      <c r="AK3593" s="1942"/>
      <c r="AL3593" s="1942"/>
      <c r="AM3593" s="1942"/>
      <c r="AN3593" s="1942"/>
      <c r="AO3593" s="1942"/>
      <c r="AP3593" s="1942"/>
      <c r="AQ3593" s="1942"/>
      <c r="AR3593" s="1942"/>
      <c r="AS3593" s="1942"/>
      <c r="AT3593" s="1942"/>
      <c r="AU3593" s="1942"/>
      <c r="AV3593" s="1942"/>
      <c r="AW3593" s="1942"/>
      <c r="AX3593" s="1942"/>
      <c r="AY3593" s="1942"/>
      <c r="AZ3593" s="1942"/>
      <c r="BA3593" s="1942"/>
      <c r="BB3593" s="575"/>
      <c r="BC3593" s="576"/>
      <c r="BD3593" s="678"/>
      <c r="BE3593" s="585"/>
    </row>
    <row r="3594" spans="1:57" s="51" customFormat="1" ht="15" hidden="1" customHeight="1" outlineLevel="1" x14ac:dyDescent="0.25">
      <c r="A3594" s="2060"/>
      <c r="B3594" s="576"/>
      <c r="C3594" s="328"/>
      <c r="D3594" s="3990"/>
      <c r="E3594" s="4009"/>
      <c r="F3594" s="3016" t="str">
        <f t="shared" si="263"/>
        <v>ASHP-SEER17-Replace_CAC_ElectricHeat_ROF_MF</v>
      </c>
      <c r="G3594" s="2673"/>
      <c r="H3594" s="2673"/>
      <c r="I3594" s="2673"/>
      <c r="J3594" s="3302" t="str">
        <f>C1516</f>
        <v>353150_2019_12_</v>
      </c>
      <c r="K3594" s="865">
        <v>18</v>
      </c>
      <c r="L3594" s="851"/>
      <c r="M3594" s="858"/>
      <c r="N3594" s="123"/>
      <c r="O3594" s="228"/>
      <c r="P3594" s="844"/>
      <c r="Q3594" s="845"/>
      <c r="R3594" s="844"/>
      <c r="S3594" s="832"/>
      <c r="T3594" s="3082"/>
      <c r="U3594" s="123"/>
      <c r="V3594" s="4031"/>
      <c r="W3594" s="865">
        <v>18</v>
      </c>
      <c r="X3594" s="865">
        <v>18</v>
      </c>
      <c r="Y3594" s="865">
        <v>18</v>
      </c>
      <c r="Z3594" s="865">
        <v>18</v>
      </c>
      <c r="AA3594" s="865">
        <v>18</v>
      </c>
      <c r="AB3594" s="865">
        <v>18</v>
      </c>
      <c r="AC3594" s="865">
        <v>18</v>
      </c>
      <c r="AD3594" s="865"/>
      <c r="AE3594" s="865"/>
      <c r="AF3594" s="865"/>
      <c r="AG3594" s="865"/>
      <c r="AH3594" s="1942"/>
      <c r="AI3594" s="1942"/>
      <c r="AJ3594" s="1942"/>
      <c r="AK3594" s="1942"/>
      <c r="AL3594" s="1942"/>
      <c r="AM3594" s="1942"/>
      <c r="AN3594" s="1942"/>
      <c r="AO3594" s="1942"/>
      <c r="AP3594" s="1942"/>
      <c r="AQ3594" s="1942"/>
      <c r="AR3594" s="1942"/>
      <c r="AS3594" s="1942"/>
      <c r="AT3594" s="1942"/>
      <c r="AU3594" s="1942"/>
      <c r="AV3594" s="1942"/>
      <c r="AW3594" s="1942"/>
      <c r="AX3594" s="1942"/>
      <c r="AY3594" s="1942"/>
      <c r="AZ3594" s="1942"/>
      <c r="BA3594" s="1942"/>
      <c r="BB3594" s="575"/>
      <c r="BC3594" s="576"/>
      <c r="BD3594" s="678"/>
      <c r="BE3594" s="585"/>
    </row>
    <row r="3595" spans="1:57" s="1942" customFormat="1" ht="15" hidden="1" customHeight="1" outlineLevel="1" x14ac:dyDescent="0.25">
      <c r="A3595" s="2060"/>
      <c r="B3595" s="576"/>
      <c r="C3595" s="328"/>
      <c r="D3595" s="3990"/>
      <c r="E3595" s="4009"/>
      <c r="F3595" s="3016" t="str">
        <f t="shared" si="263"/>
        <v>ASHP-SEER17-Replace_CAC_ElectricHeat_ROF_MF_CompE</v>
      </c>
      <c r="G3595" s="2673"/>
      <c r="H3595" s="2673"/>
      <c r="I3595" s="2673"/>
      <c r="J3595" s="3302" t="str">
        <f t="shared" ref="J3595:J3600" si="268">C1517</f>
        <v>353151_2019_12_</v>
      </c>
      <c r="K3595" s="3054">
        <v>18</v>
      </c>
      <c r="L3595" s="851"/>
      <c r="M3595" s="858"/>
      <c r="N3595" s="123"/>
      <c r="O3595" s="228"/>
      <c r="P3595" s="844"/>
      <c r="Q3595" s="845"/>
      <c r="R3595" s="844"/>
      <c r="S3595" s="832"/>
      <c r="T3595" s="3082"/>
      <c r="U3595" s="123"/>
      <c r="V3595" s="4031"/>
      <c r="W3595" s="865"/>
      <c r="X3595" s="865"/>
      <c r="Y3595" s="865"/>
      <c r="Z3595" s="865"/>
      <c r="AA3595" s="865"/>
      <c r="AB3595" s="865"/>
      <c r="AC3595" s="3054">
        <v>18</v>
      </c>
      <c r="AD3595" s="865"/>
      <c r="AE3595" s="865"/>
      <c r="AF3595" s="865"/>
      <c r="AG3595" s="865"/>
      <c r="BB3595" s="575"/>
      <c r="BC3595" s="576"/>
      <c r="BD3595" s="678"/>
      <c r="BE3595" s="585"/>
    </row>
    <row r="3596" spans="1:57" s="1942" customFormat="1" ht="15" hidden="1" customHeight="1" outlineLevel="1" x14ac:dyDescent="0.25">
      <c r="A3596" s="2060"/>
      <c r="B3596" s="576"/>
      <c r="C3596" s="328"/>
      <c r="D3596" s="3990"/>
      <c r="E3596" s="4009"/>
      <c r="F3596" s="3016" t="str">
        <f t="shared" si="263"/>
        <v>ASHP-SEER17-Replace_CAC_ElectricHeat_ROF_MF_CompE</v>
      </c>
      <c r="G3596" s="2673"/>
      <c r="H3596" s="2673"/>
      <c r="I3596" s="2673"/>
      <c r="J3596" s="3302" t="str">
        <f t="shared" si="268"/>
        <v>353151_2019_12_</v>
      </c>
      <c r="K3596" s="3054">
        <v>18</v>
      </c>
      <c r="L3596" s="851"/>
      <c r="M3596" s="858"/>
      <c r="N3596" s="123"/>
      <c r="O3596" s="228"/>
      <c r="P3596" s="844"/>
      <c r="Q3596" s="845"/>
      <c r="R3596" s="844"/>
      <c r="S3596" s="832"/>
      <c r="T3596" s="3082"/>
      <c r="U3596" s="123"/>
      <c r="V3596" s="4031"/>
      <c r="W3596" s="865"/>
      <c r="X3596" s="865"/>
      <c r="Y3596" s="865"/>
      <c r="Z3596" s="865"/>
      <c r="AA3596" s="865"/>
      <c r="AB3596" s="865"/>
      <c r="AC3596" s="3054">
        <v>18</v>
      </c>
      <c r="AD3596" s="865"/>
      <c r="AE3596" s="865"/>
      <c r="AF3596" s="865"/>
      <c r="AG3596" s="865"/>
      <c r="BB3596" s="575"/>
      <c r="BC3596" s="576"/>
      <c r="BD3596" s="678"/>
      <c r="BE3596" s="585"/>
    </row>
    <row r="3597" spans="1:57" s="1942" customFormat="1" ht="15" hidden="1" customHeight="1" outlineLevel="1" x14ac:dyDescent="0.25">
      <c r="A3597" s="2060"/>
      <c r="B3597" s="576"/>
      <c r="C3597" s="328"/>
      <c r="D3597" s="3990"/>
      <c r="E3597" s="4009"/>
      <c r="F3597" s="3016" t="str">
        <f t="shared" si="263"/>
        <v>ASHP-SEER17-Replace_CAC_NonElectricHeat_ROF_MF</v>
      </c>
      <c r="G3597" s="2673"/>
      <c r="H3597" s="2673"/>
      <c r="I3597" s="2673"/>
      <c r="J3597" s="3301" t="str">
        <f t="shared" si="268"/>
        <v>353160_2021_12_</v>
      </c>
      <c r="K3597" s="3054">
        <v>18</v>
      </c>
      <c r="L3597" s="851"/>
      <c r="M3597" s="858"/>
      <c r="N3597" s="123"/>
      <c r="O3597" s="228"/>
      <c r="P3597" s="844"/>
      <c r="Q3597" s="845"/>
      <c r="R3597" s="844"/>
      <c r="S3597" s="832"/>
      <c r="T3597" s="3082"/>
      <c r="U3597" s="123"/>
      <c r="V3597" s="4031"/>
      <c r="W3597" s="865"/>
      <c r="X3597" s="865"/>
      <c r="Y3597" s="865"/>
      <c r="Z3597" s="865"/>
      <c r="AA3597" s="865"/>
      <c r="AB3597" s="865"/>
      <c r="AC3597" s="3054">
        <v>18</v>
      </c>
      <c r="AD3597" s="865"/>
      <c r="AE3597" s="865"/>
      <c r="AF3597" s="865"/>
      <c r="AG3597" s="865"/>
      <c r="BB3597" s="575"/>
      <c r="BC3597" s="576"/>
      <c r="BD3597" s="678"/>
      <c r="BE3597" s="585"/>
    </row>
    <row r="3598" spans="1:57" s="1942" customFormat="1" ht="15" hidden="1" customHeight="1" outlineLevel="1" x14ac:dyDescent="0.25">
      <c r="A3598" s="2060"/>
      <c r="B3598" s="576"/>
      <c r="C3598" s="328"/>
      <c r="D3598" s="3990"/>
      <c r="E3598" s="4009"/>
      <c r="F3598" s="3016" t="str">
        <f t="shared" si="263"/>
        <v>ASHP-SEER17-Replace_CAC_NonElectricHeat_ROF_MF</v>
      </c>
      <c r="G3598" s="2673"/>
      <c r="H3598" s="2673"/>
      <c r="I3598" s="2673"/>
      <c r="J3598" s="3301" t="str">
        <f t="shared" si="268"/>
        <v>353160_2021_12_</v>
      </c>
      <c r="K3598" s="3054">
        <v>18</v>
      </c>
      <c r="L3598" s="851"/>
      <c r="M3598" s="858"/>
      <c r="N3598" s="123"/>
      <c r="O3598" s="228"/>
      <c r="P3598" s="844"/>
      <c r="Q3598" s="845"/>
      <c r="R3598" s="844"/>
      <c r="S3598" s="832"/>
      <c r="T3598" s="3082"/>
      <c r="U3598" s="123"/>
      <c r="V3598" s="4031"/>
      <c r="W3598" s="865"/>
      <c r="X3598" s="865"/>
      <c r="Y3598" s="865"/>
      <c r="Z3598" s="865"/>
      <c r="AA3598" s="865"/>
      <c r="AB3598" s="865"/>
      <c r="AC3598" s="3054">
        <v>18</v>
      </c>
      <c r="AD3598" s="865"/>
      <c r="AE3598" s="865"/>
      <c r="AF3598" s="865"/>
      <c r="AG3598" s="865"/>
      <c r="BB3598" s="575"/>
      <c r="BC3598" s="576"/>
      <c r="BD3598" s="678"/>
      <c r="BE3598" s="585"/>
    </row>
    <row r="3599" spans="1:57" s="1942" customFormat="1" ht="15" hidden="1" customHeight="1" outlineLevel="1" x14ac:dyDescent="0.25">
      <c r="A3599" s="2060"/>
      <c r="B3599" s="576"/>
      <c r="C3599" s="328"/>
      <c r="D3599" s="3990"/>
      <c r="E3599" s="4009"/>
      <c r="F3599" s="3016" t="str">
        <f t="shared" si="263"/>
        <v>ASHP-SEER17-Replace_CAC_NonElectricHeat_ROF_MF_CompE</v>
      </c>
      <c r="G3599" s="2673"/>
      <c r="H3599" s="2673"/>
      <c r="I3599" s="2673"/>
      <c r="J3599" s="3301" t="str">
        <f t="shared" si="268"/>
        <v>353161_2021_12_</v>
      </c>
      <c r="K3599" s="3054">
        <v>18</v>
      </c>
      <c r="L3599" s="851"/>
      <c r="M3599" s="858"/>
      <c r="N3599" s="123"/>
      <c r="O3599" s="228"/>
      <c r="P3599" s="844"/>
      <c r="Q3599" s="845"/>
      <c r="R3599" s="844"/>
      <c r="S3599" s="832"/>
      <c r="T3599" s="3082"/>
      <c r="U3599" s="123"/>
      <c r="V3599" s="4031"/>
      <c r="W3599" s="865"/>
      <c r="X3599" s="865"/>
      <c r="Y3599" s="865"/>
      <c r="Z3599" s="865"/>
      <c r="AA3599" s="865"/>
      <c r="AB3599" s="865"/>
      <c r="AC3599" s="3054">
        <v>18</v>
      </c>
      <c r="AD3599" s="865"/>
      <c r="AE3599" s="865"/>
      <c r="AF3599" s="865"/>
      <c r="AG3599" s="865"/>
      <c r="BB3599" s="575"/>
      <c r="BC3599" s="576"/>
      <c r="BD3599" s="678"/>
      <c r="BE3599" s="585"/>
    </row>
    <row r="3600" spans="1:57" s="1942" customFormat="1" ht="15" hidden="1" customHeight="1" outlineLevel="1" x14ac:dyDescent="0.25">
      <c r="A3600" s="2060"/>
      <c r="B3600" s="576"/>
      <c r="C3600" s="328"/>
      <c r="D3600" s="3990"/>
      <c r="E3600" s="4009"/>
      <c r="F3600" s="3016" t="str">
        <f t="shared" si="263"/>
        <v>ASHP-SEER17-Replace_CAC_NonElectricHeat_ROF_MF_CompE</v>
      </c>
      <c r="G3600" s="2673"/>
      <c r="H3600" s="2673"/>
      <c r="I3600" s="2673"/>
      <c r="J3600" s="3301" t="str">
        <f t="shared" si="268"/>
        <v>353161_2021_12_</v>
      </c>
      <c r="K3600" s="3054">
        <v>18</v>
      </c>
      <c r="L3600" s="851"/>
      <c r="M3600" s="858"/>
      <c r="N3600" s="123"/>
      <c r="O3600" s="228"/>
      <c r="P3600" s="844"/>
      <c r="Q3600" s="845"/>
      <c r="R3600" s="844"/>
      <c r="S3600" s="832"/>
      <c r="T3600" s="3082"/>
      <c r="U3600" s="123"/>
      <c r="V3600" s="4031"/>
      <c r="W3600" s="865"/>
      <c r="X3600" s="865"/>
      <c r="Y3600" s="865"/>
      <c r="Z3600" s="865"/>
      <c r="AA3600" s="865"/>
      <c r="AB3600" s="865"/>
      <c r="AC3600" s="3054">
        <v>18</v>
      </c>
      <c r="AD3600" s="865"/>
      <c r="AE3600" s="865"/>
      <c r="AF3600" s="865"/>
      <c r="AG3600" s="865"/>
      <c r="BB3600" s="575"/>
      <c r="BC3600" s="576"/>
      <c r="BD3600" s="678"/>
      <c r="BE3600" s="585"/>
    </row>
    <row r="3601" spans="1:57" s="51" customFormat="1" ht="15" hidden="1" customHeight="1" outlineLevel="1" x14ac:dyDescent="0.25">
      <c r="A3601" s="2060"/>
      <c r="B3601" s="576"/>
      <c r="C3601" s="328"/>
      <c r="D3601" s="3990"/>
      <c r="E3601" s="4009"/>
      <c r="F3601" s="3016" t="str">
        <f t="shared" si="263"/>
        <v>ASHP-SEER18-Replace_CAC_ElectricHeat_ROF_SF</v>
      </c>
      <c r="G3601" s="2673"/>
      <c r="H3601" s="2673"/>
      <c r="I3601" s="2673"/>
      <c r="J3601" s="3301" t="str">
        <f>C1523</f>
        <v>353200_2021_12_</v>
      </c>
      <c r="K3601" s="865">
        <v>18</v>
      </c>
      <c r="L3601" s="851"/>
      <c r="M3601" s="858"/>
      <c r="N3601" s="123"/>
      <c r="O3601" s="228"/>
      <c r="P3601" s="844"/>
      <c r="Q3601" s="845"/>
      <c r="R3601" s="844"/>
      <c r="S3601" s="832"/>
      <c r="T3601" s="3082"/>
      <c r="U3601" s="123"/>
      <c r="V3601" s="4031"/>
      <c r="W3601" s="865">
        <v>18</v>
      </c>
      <c r="X3601" s="865">
        <v>18</v>
      </c>
      <c r="Y3601" s="865">
        <v>18</v>
      </c>
      <c r="Z3601" s="865">
        <v>18</v>
      </c>
      <c r="AA3601" s="865">
        <v>18</v>
      </c>
      <c r="AB3601" s="865">
        <v>18</v>
      </c>
      <c r="AC3601" s="865">
        <v>18</v>
      </c>
      <c r="AD3601" s="865"/>
      <c r="AE3601" s="865"/>
      <c r="AF3601" s="865"/>
      <c r="AG3601" s="865"/>
      <c r="AH3601" s="1942"/>
      <c r="AI3601" s="1942"/>
      <c r="AJ3601" s="1942"/>
      <c r="AK3601" s="1942"/>
      <c r="AL3601" s="1942"/>
      <c r="AM3601" s="1942"/>
      <c r="AN3601" s="1942"/>
      <c r="AO3601" s="1942"/>
      <c r="AP3601" s="1942"/>
      <c r="AQ3601" s="1942"/>
      <c r="AR3601" s="1942"/>
      <c r="AS3601" s="1942"/>
      <c r="AT3601" s="1942"/>
      <c r="AU3601" s="1942"/>
      <c r="AV3601" s="1942"/>
      <c r="AW3601" s="1942"/>
      <c r="AX3601" s="1942"/>
      <c r="AY3601" s="1942"/>
      <c r="AZ3601" s="1942"/>
      <c r="BA3601" s="1942"/>
      <c r="BB3601" s="575"/>
      <c r="BC3601" s="576"/>
      <c r="BD3601" s="678"/>
      <c r="BE3601" s="585"/>
    </row>
    <row r="3602" spans="1:57" s="51" customFormat="1" ht="15" hidden="1" customHeight="1" outlineLevel="1" x14ac:dyDescent="0.25">
      <c r="A3602" s="2060"/>
      <c r="B3602" s="576"/>
      <c r="C3602" s="328"/>
      <c r="D3602" s="3990"/>
      <c r="E3602" s="4009"/>
      <c r="F3602" s="3016" t="str">
        <f t="shared" si="263"/>
        <v>ASHP-SEER18-Replace_CAC_ElectricHeat_ROF_SF</v>
      </c>
      <c r="G3602" s="2673"/>
      <c r="H3602" s="2673"/>
      <c r="I3602" s="2673"/>
      <c r="J3602" s="3301" t="str">
        <f>C1524</f>
        <v>353200_2021_12_</v>
      </c>
      <c r="K3602" s="865">
        <v>18</v>
      </c>
      <c r="L3602" s="851"/>
      <c r="M3602" s="858"/>
      <c r="N3602" s="123"/>
      <c r="O3602" s="228"/>
      <c r="P3602" s="844"/>
      <c r="Q3602" s="845"/>
      <c r="R3602" s="844"/>
      <c r="S3602" s="832"/>
      <c r="T3602" s="3082"/>
      <c r="U3602" s="123"/>
      <c r="V3602" s="4031"/>
      <c r="W3602" s="865">
        <v>18</v>
      </c>
      <c r="X3602" s="865">
        <v>18</v>
      </c>
      <c r="Y3602" s="865">
        <v>18</v>
      </c>
      <c r="Z3602" s="865">
        <v>18</v>
      </c>
      <c r="AA3602" s="865">
        <v>18</v>
      </c>
      <c r="AB3602" s="865">
        <v>18</v>
      </c>
      <c r="AC3602" s="865">
        <v>18</v>
      </c>
      <c r="AD3602" s="865"/>
      <c r="AE3602" s="865"/>
      <c r="AF3602" s="865"/>
      <c r="AG3602" s="865"/>
      <c r="AH3602" s="1942"/>
      <c r="AI3602" s="1942"/>
      <c r="AJ3602" s="1942"/>
      <c r="AK3602" s="1942"/>
      <c r="AL3602" s="1942"/>
      <c r="AM3602" s="1942"/>
      <c r="AN3602" s="1942"/>
      <c r="AO3602" s="1942"/>
      <c r="AP3602" s="1942"/>
      <c r="AQ3602" s="1942"/>
      <c r="AR3602" s="1942"/>
      <c r="AS3602" s="1942"/>
      <c r="AT3602" s="1942"/>
      <c r="AU3602" s="1942"/>
      <c r="AV3602" s="1942"/>
      <c r="AW3602" s="1942"/>
      <c r="AX3602" s="1942"/>
      <c r="AY3602" s="1942"/>
      <c r="AZ3602" s="1942"/>
      <c r="BA3602" s="1942"/>
      <c r="BB3602" s="575"/>
      <c r="BC3602" s="576"/>
      <c r="BD3602" s="678"/>
      <c r="BE3602" s="585"/>
    </row>
    <row r="3603" spans="1:57" s="51" customFormat="1" ht="15" hidden="1" customHeight="1" outlineLevel="1" x14ac:dyDescent="0.25">
      <c r="A3603" s="2060"/>
      <c r="B3603" s="576"/>
      <c r="C3603" s="328"/>
      <c r="D3603" s="3990"/>
      <c r="E3603" s="4009"/>
      <c r="F3603" s="3016" t="str">
        <f t="shared" si="263"/>
        <v>ASHP-SEER18-Replace_CAC_ElectricHeat_ROF_MF</v>
      </c>
      <c r="G3603" s="2673"/>
      <c r="H3603" s="2673"/>
      <c r="I3603" s="2673"/>
      <c r="J3603" s="3301" t="str">
        <f>C1525</f>
        <v>353250_2021_12_</v>
      </c>
      <c r="K3603" s="865">
        <v>18</v>
      </c>
      <c r="L3603" s="851"/>
      <c r="M3603" s="858"/>
      <c r="N3603" s="123"/>
      <c r="O3603" s="228"/>
      <c r="P3603" s="844"/>
      <c r="Q3603" s="845"/>
      <c r="R3603" s="844"/>
      <c r="S3603" s="832"/>
      <c r="T3603" s="3082"/>
      <c r="U3603" s="123"/>
      <c r="V3603" s="4031"/>
      <c r="W3603" s="865">
        <v>18</v>
      </c>
      <c r="X3603" s="865">
        <v>18</v>
      </c>
      <c r="Y3603" s="865">
        <v>18</v>
      </c>
      <c r="Z3603" s="865">
        <v>18</v>
      </c>
      <c r="AA3603" s="865">
        <v>18</v>
      </c>
      <c r="AB3603" s="865">
        <v>18</v>
      </c>
      <c r="AC3603" s="865">
        <v>18</v>
      </c>
      <c r="AD3603" s="865"/>
      <c r="AE3603" s="865"/>
      <c r="AF3603" s="865"/>
      <c r="AG3603" s="865"/>
      <c r="AH3603" s="1942"/>
      <c r="AI3603" s="1942"/>
      <c r="AJ3603" s="1942"/>
      <c r="AK3603" s="1942"/>
      <c r="AL3603" s="1942"/>
      <c r="AM3603" s="1942"/>
      <c r="AN3603" s="1942"/>
      <c r="AO3603" s="1942"/>
      <c r="AP3603" s="1942"/>
      <c r="AQ3603" s="1942"/>
      <c r="AR3603" s="1942"/>
      <c r="AS3603" s="1942"/>
      <c r="AT3603" s="1942"/>
      <c r="AU3603" s="1942"/>
      <c r="AV3603" s="1942"/>
      <c r="AW3603" s="1942"/>
      <c r="AX3603" s="1942"/>
      <c r="AY3603" s="1942"/>
      <c r="AZ3603" s="1942"/>
      <c r="BA3603" s="1942"/>
      <c r="BB3603" s="575"/>
      <c r="BC3603" s="576"/>
      <c r="BD3603" s="678"/>
      <c r="BE3603" s="585"/>
    </row>
    <row r="3604" spans="1:57" s="51" customFormat="1" ht="15" hidden="1" customHeight="1" outlineLevel="1" x14ac:dyDescent="0.25">
      <c r="A3604" s="2060"/>
      <c r="B3604" s="576"/>
      <c r="C3604" s="328"/>
      <c r="D3604" s="3990"/>
      <c r="E3604" s="4009"/>
      <c r="F3604" s="3016" t="str">
        <f t="shared" si="263"/>
        <v>ASHP-SEER18-Replace_CAC_ElectricHeat_ROF_MF</v>
      </c>
      <c r="G3604" s="2673"/>
      <c r="H3604" s="2673"/>
      <c r="I3604" s="2673"/>
      <c r="J3604" s="3301" t="str">
        <f>C1526</f>
        <v>353250_2021_12_</v>
      </c>
      <c r="K3604" s="866">
        <v>18</v>
      </c>
      <c r="L3604" s="851"/>
      <c r="M3604" s="858"/>
      <c r="N3604" s="123"/>
      <c r="O3604" s="228"/>
      <c r="P3604" s="844"/>
      <c r="Q3604" s="845"/>
      <c r="R3604" s="844"/>
      <c r="S3604" s="832"/>
      <c r="T3604" s="3082"/>
      <c r="U3604" s="123"/>
      <c r="V3604" s="4031"/>
      <c r="W3604" s="866">
        <v>18</v>
      </c>
      <c r="X3604" s="866">
        <v>18</v>
      </c>
      <c r="Y3604" s="866">
        <v>18</v>
      </c>
      <c r="Z3604" s="866">
        <v>18</v>
      </c>
      <c r="AA3604" s="866">
        <v>18</v>
      </c>
      <c r="AB3604" s="866">
        <v>18</v>
      </c>
      <c r="AC3604" s="866">
        <v>18</v>
      </c>
      <c r="AD3604" s="866"/>
      <c r="AE3604" s="866"/>
      <c r="AF3604" s="866"/>
      <c r="AG3604" s="866"/>
      <c r="AH3604" s="1942"/>
      <c r="AI3604" s="1942"/>
      <c r="AJ3604" s="1942"/>
      <c r="AK3604" s="1942"/>
      <c r="AL3604" s="1942"/>
      <c r="AM3604" s="1942"/>
      <c r="AN3604" s="1942"/>
      <c r="AO3604" s="1942"/>
      <c r="AP3604" s="1942"/>
      <c r="AQ3604" s="1942"/>
      <c r="AR3604" s="1942"/>
      <c r="AS3604" s="1942"/>
      <c r="AT3604" s="1942"/>
      <c r="AU3604" s="1942"/>
      <c r="AV3604" s="1942"/>
      <c r="AW3604" s="1942"/>
      <c r="AX3604" s="1942"/>
      <c r="AY3604" s="1942"/>
      <c r="AZ3604" s="1942"/>
      <c r="BA3604" s="1942"/>
      <c r="BB3604" s="575"/>
      <c r="BC3604" s="576"/>
      <c r="BD3604" s="678"/>
      <c r="BE3604" s="585"/>
    </row>
    <row r="3605" spans="1:57" s="1942" customFormat="1" ht="15" hidden="1" customHeight="1" outlineLevel="1" x14ac:dyDescent="0.25">
      <c r="A3605" s="2060"/>
      <c r="B3605" s="576"/>
      <c r="C3605" s="328"/>
      <c r="D3605" s="3990"/>
      <c r="E3605" s="4009"/>
      <c r="F3605" s="3016" t="str">
        <f t="shared" si="263"/>
        <v>ASHP-SEER18-Replace_CAC_ElectricHeat_ROF_MF_CompE</v>
      </c>
      <c r="G3605" s="2673"/>
      <c r="H3605" s="2673"/>
      <c r="I3605" s="2673"/>
      <c r="J3605" s="3301" t="str">
        <f t="shared" ref="J3605:J3610" si="269">C1527</f>
        <v>353251_2021_12_</v>
      </c>
      <c r="K3605" s="3054">
        <v>18</v>
      </c>
      <c r="L3605" s="851"/>
      <c r="M3605" s="858"/>
      <c r="N3605" s="123"/>
      <c r="O3605" s="228"/>
      <c r="P3605" s="844"/>
      <c r="Q3605" s="845"/>
      <c r="R3605" s="844"/>
      <c r="S3605" s="832"/>
      <c r="T3605" s="3082"/>
      <c r="U3605" s="123"/>
      <c r="V3605" s="4031"/>
      <c r="W3605" s="866"/>
      <c r="X3605" s="866"/>
      <c r="Y3605" s="866"/>
      <c r="Z3605" s="866"/>
      <c r="AA3605" s="866"/>
      <c r="AB3605" s="866"/>
      <c r="AC3605" s="3054">
        <v>18</v>
      </c>
      <c r="AD3605" s="866"/>
      <c r="AE3605" s="866"/>
      <c r="AF3605" s="866"/>
      <c r="AG3605" s="866"/>
      <c r="BB3605" s="575"/>
      <c r="BC3605" s="576"/>
      <c r="BD3605" s="678"/>
      <c r="BE3605" s="585"/>
    </row>
    <row r="3606" spans="1:57" s="1942" customFormat="1" ht="15" hidden="1" customHeight="1" outlineLevel="1" x14ac:dyDescent="0.25">
      <c r="A3606" s="2060"/>
      <c r="B3606" s="576"/>
      <c r="C3606" s="328"/>
      <c r="D3606" s="3990"/>
      <c r="E3606" s="4009"/>
      <c r="F3606" s="3016" t="str">
        <f t="shared" si="263"/>
        <v>ASHP-SEER18-Replace_CAC_ElectricHeat_ROF_MF_CompE</v>
      </c>
      <c r="G3606" s="2673"/>
      <c r="H3606" s="2673"/>
      <c r="I3606" s="2673"/>
      <c r="J3606" s="3301" t="str">
        <f t="shared" si="269"/>
        <v>353251_2021_12_</v>
      </c>
      <c r="K3606" s="3055">
        <v>18</v>
      </c>
      <c r="L3606" s="851"/>
      <c r="M3606" s="858"/>
      <c r="N3606" s="123"/>
      <c r="O3606" s="228"/>
      <c r="P3606" s="844"/>
      <c r="Q3606" s="845"/>
      <c r="R3606" s="844"/>
      <c r="S3606" s="832"/>
      <c r="T3606" s="3082"/>
      <c r="U3606" s="123"/>
      <c r="V3606" s="4031"/>
      <c r="W3606" s="866"/>
      <c r="X3606" s="866"/>
      <c r="Y3606" s="866"/>
      <c r="Z3606" s="866"/>
      <c r="AA3606" s="866"/>
      <c r="AB3606" s="866"/>
      <c r="AC3606" s="3055">
        <v>18</v>
      </c>
      <c r="AD3606" s="866"/>
      <c r="AE3606" s="866"/>
      <c r="AF3606" s="866"/>
      <c r="AG3606" s="866"/>
      <c r="BB3606" s="575"/>
      <c r="BC3606" s="576"/>
      <c r="BD3606" s="678"/>
      <c r="BE3606" s="585"/>
    </row>
    <row r="3607" spans="1:57" s="1942" customFormat="1" ht="15" hidden="1" customHeight="1" outlineLevel="1" x14ac:dyDescent="0.25">
      <c r="A3607" s="2060"/>
      <c r="B3607" s="576"/>
      <c r="C3607" s="328"/>
      <c r="D3607" s="3990"/>
      <c r="E3607" s="4009"/>
      <c r="F3607" s="3016" t="str">
        <f t="shared" si="263"/>
        <v>ASHP-SEER18-Replace_CAC_NonElectricHeat_ROF_MF</v>
      </c>
      <c r="G3607" s="2673"/>
      <c r="H3607" s="2673"/>
      <c r="I3607" s="2673"/>
      <c r="J3607" s="3301" t="str">
        <f t="shared" si="269"/>
        <v>353260_2021_12_</v>
      </c>
      <c r="K3607" s="3055">
        <v>18</v>
      </c>
      <c r="L3607" s="851"/>
      <c r="M3607" s="858"/>
      <c r="N3607" s="123"/>
      <c r="O3607" s="228"/>
      <c r="P3607" s="844"/>
      <c r="Q3607" s="845"/>
      <c r="R3607" s="844"/>
      <c r="S3607" s="832"/>
      <c r="T3607" s="3082"/>
      <c r="U3607" s="123"/>
      <c r="V3607" s="4031"/>
      <c r="W3607" s="866"/>
      <c r="X3607" s="866"/>
      <c r="Y3607" s="866"/>
      <c r="Z3607" s="866"/>
      <c r="AA3607" s="866"/>
      <c r="AB3607" s="866"/>
      <c r="AC3607" s="3055">
        <v>18</v>
      </c>
      <c r="AD3607" s="866"/>
      <c r="AE3607" s="866"/>
      <c r="AF3607" s="866"/>
      <c r="AG3607" s="866"/>
      <c r="BB3607" s="575"/>
      <c r="BC3607" s="576"/>
      <c r="BD3607" s="678"/>
      <c r="BE3607" s="585"/>
    </row>
    <row r="3608" spans="1:57" s="1942" customFormat="1" ht="15" hidden="1" customHeight="1" outlineLevel="1" x14ac:dyDescent="0.25">
      <c r="A3608" s="2060"/>
      <c r="B3608" s="576"/>
      <c r="C3608" s="328"/>
      <c r="D3608" s="3990"/>
      <c r="E3608" s="4009"/>
      <c r="F3608" s="3016" t="str">
        <f t="shared" si="263"/>
        <v>ASHP-SEER18-Replace_CAC_NonElectricHeat_ROF_MF</v>
      </c>
      <c r="G3608" s="2673"/>
      <c r="H3608" s="2673"/>
      <c r="I3608" s="2673"/>
      <c r="J3608" s="3301" t="str">
        <f t="shared" si="269"/>
        <v>353260_2021_12_</v>
      </c>
      <c r="K3608" s="3055">
        <v>18</v>
      </c>
      <c r="L3608" s="851"/>
      <c r="M3608" s="858"/>
      <c r="N3608" s="123"/>
      <c r="O3608" s="228"/>
      <c r="P3608" s="844"/>
      <c r="Q3608" s="845"/>
      <c r="R3608" s="844"/>
      <c r="S3608" s="832"/>
      <c r="T3608" s="3082"/>
      <c r="U3608" s="123"/>
      <c r="V3608" s="4031"/>
      <c r="W3608" s="866"/>
      <c r="X3608" s="866"/>
      <c r="Y3608" s="866"/>
      <c r="Z3608" s="866"/>
      <c r="AA3608" s="866"/>
      <c r="AB3608" s="866"/>
      <c r="AC3608" s="3055">
        <v>18</v>
      </c>
      <c r="AD3608" s="866"/>
      <c r="AE3608" s="866"/>
      <c r="AF3608" s="866"/>
      <c r="AG3608" s="866"/>
      <c r="BB3608" s="575"/>
      <c r="BC3608" s="576"/>
      <c r="BD3608" s="678"/>
      <c r="BE3608" s="585"/>
    </row>
    <row r="3609" spans="1:57" s="1942" customFormat="1" ht="15" hidden="1" customHeight="1" outlineLevel="1" x14ac:dyDescent="0.25">
      <c r="A3609" s="2060"/>
      <c r="B3609" s="576"/>
      <c r="C3609" s="328"/>
      <c r="D3609" s="3990"/>
      <c r="E3609" s="4009"/>
      <c r="F3609" s="3016" t="str">
        <f t="shared" si="263"/>
        <v>ASHP-SEER18-Replace_CAC_NonElectricHeat_ROF_MF_CompE</v>
      </c>
      <c r="G3609" s="2673"/>
      <c r="H3609" s="2673"/>
      <c r="I3609" s="2673"/>
      <c r="J3609" s="3301" t="str">
        <f t="shared" si="269"/>
        <v>353261_2021_12_</v>
      </c>
      <c r="K3609" s="3055">
        <v>18</v>
      </c>
      <c r="L3609" s="851"/>
      <c r="M3609" s="858"/>
      <c r="N3609" s="123"/>
      <c r="O3609" s="228"/>
      <c r="P3609" s="844"/>
      <c r="Q3609" s="845"/>
      <c r="R3609" s="844"/>
      <c r="S3609" s="832"/>
      <c r="T3609" s="3082"/>
      <c r="U3609" s="123"/>
      <c r="V3609" s="4031"/>
      <c r="W3609" s="866"/>
      <c r="X3609" s="866"/>
      <c r="Y3609" s="866"/>
      <c r="Z3609" s="866"/>
      <c r="AA3609" s="866"/>
      <c r="AB3609" s="866"/>
      <c r="AC3609" s="3055">
        <v>18</v>
      </c>
      <c r="AD3609" s="866"/>
      <c r="AE3609" s="866"/>
      <c r="AF3609" s="866"/>
      <c r="AG3609" s="866"/>
      <c r="BB3609" s="575"/>
      <c r="BC3609" s="576"/>
      <c r="BD3609" s="678"/>
      <c r="BE3609" s="585"/>
    </row>
    <row r="3610" spans="1:57" s="1942" customFormat="1" ht="15" hidden="1" customHeight="1" outlineLevel="1" x14ac:dyDescent="0.25">
      <c r="A3610" s="2060"/>
      <c r="B3610" s="576"/>
      <c r="C3610" s="328"/>
      <c r="D3610" s="3990"/>
      <c r="E3610" s="4009"/>
      <c r="F3610" s="3016" t="str">
        <f t="shared" si="263"/>
        <v>ASHP-SEER18-Replace_CAC_NonElectricHeat_ROF_MF_CompE</v>
      </c>
      <c r="G3610" s="2673"/>
      <c r="H3610" s="2673"/>
      <c r="I3610" s="2673"/>
      <c r="J3610" s="3301" t="str">
        <f t="shared" si="269"/>
        <v>353261_2021_12_</v>
      </c>
      <c r="K3610" s="3055">
        <v>18</v>
      </c>
      <c r="L3610" s="851"/>
      <c r="M3610" s="858"/>
      <c r="N3610" s="123"/>
      <c r="O3610" s="228"/>
      <c r="P3610" s="844"/>
      <c r="Q3610" s="845"/>
      <c r="R3610" s="844"/>
      <c r="S3610" s="832"/>
      <c r="T3610" s="3082"/>
      <c r="U3610" s="123"/>
      <c r="V3610" s="4031"/>
      <c r="W3610" s="866"/>
      <c r="X3610" s="866"/>
      <c r="Y3610" s="866"/>
      <c r="Z3610" s="866"/>
      <c r="AA3610" s="866"/>
      <c r="AB3610" s="866"/>
      <c r="AC3610" s="3055">
        <v>18</v>
      </c>
      <c r="AD3610" s="866"/>
      <c r="AE3610" s="866"/>
      <c r="AF3610" s="866"/>
      <c r="AG3610" s="866"/>
      <c r="BB3610" s="575"/>
      <c r="BC3610" s="576"/>
      <c r="BD3610" s="678"/>
      <c r="BE3610" s="585"/>
    </row>
    <row r="3611" spans="1:57" s="51" customFormat="1" ht="14.45" hidden="1" customHeight="1" outlineLevel="1" x14ac:dyDescent="0.25">
      <c r="A3611" s="2060"/>
      <c r="B3611" s="576"/>
      <c r="C3611" s="328"/>
      <c r="D3611" s="3990"/>
      <c r="E3611" s="4009"/>
      <c r="F3611" s="3016" t="str">
        <f t="shared" si="263"/>
        <v>ASHP-SEER19-Replace_CAC_ElectricHeat_ROF_SF</v>
      </c>
      <c r="G3611" s="2673"/>
      <c r="H3611" s="2673"/>
      <c r="I3611" s="2673"/>
      <c r="J3611" s="3301" t="str">
        <f>C1533</f>
        <v>353300_2021_12_</v>
      </c>
      <c r="K3611" s="865">
        <v>18</v>
      </c>
      <c r="L3611" s="861"/>
      <c r="M3611" s="858"/>
      <c r="N3611" s="123"/>
      <c r="O3611" s="228"/>
      <c r="P3611" s="844"/>
      <c r="Q3611" s="845"/>
      <c r="R3611" s="844"/>
      <c r="S3611" s="832"/>
      <c r="T3611" s="3082"/>
      <c r="U3611" s="123"/>
      <c r="V3611" s="4031"/>
      <c r="W3611" s="865">
        <v>18</v>
      </c>
      <c r="X3611" s="865">
        <v>18</v>
      </c>
      <c r="Y3611" s="865">
        <v>18</v>
      </c>
      <c r="Z3611" s="865">
        <v>18</v>
      </c>
      <c r="AA3611" s="865">
        <v>18</v>
      </c>
      <c r="AB3611" s="865">
        <v>18</v>
      </c>
      <c r="AC3611" s="865">
        <v>18</v>
      </c>
      <c r="AD3611" s="865"/>
      <c r="AE3611" s="865"/>
      <c r="AF3611" s="865"/>
      <c r="AG3611" s="865"/>
      <c r="AH3611" s="1942"/>
      <c r="AI3611" s="1942"/>
      <c r="AJ3611" s="1942"/>
      <c r="AK3611" s="1942"/>
      <c r="AL3611" s="1942"/>
      <c r="AM3611" s="1942"/>
      <c r="AN3611" s="1942"/>
      <c r="AO3611" s="1942"/>
      <c r="AP3611" s="1942"/>
      <c r="AQ3611" s="1942"/>
      <c r="AR3611" s="1942"/>
      <c r="AS3611" s="1942"/>
      <c r="AT3611" s="1942"/>
      <c r="AU3611" s="1942"/>
      <c r="AV3611" s="1942"/>
      <c r="AW3611" s="1942"/>
      <c r="AX3611" s="1942"/>
      <c r="AY3611" s="1942"/>
      <c r="AZ3611" s="1942"/>
      <c r="BA3611" s="1942"/>
      <c r="BB3611" s="575"/>
      <c r="BC3611" s="576"/>
      <c r="BD3611" s="678"/>
      <c r="BE3611" s="585"/>
    </row>
    <row r="3612" spans="1:57" s="51" customFormat="1" ht="14.45" hidden="1" customHeight="1" outlineLevel="1" x14ac:dyDescent="0.25">
      <c r="A3612" s="2060"/>
      <c r="B3612" s="576"/>
      <c r="C3612" s="328"/>
      <c r="D3612" s="3990"/>
      <c r="E3612" s="4009"/>
      <c r="F3612" s="3016" t="str">
        <f t="shared" si="263"/>
        <v>ASHP-SEER19-Replace_CAC_ElectricHeat_ROF_SF</v>
      </c>
      <c r="G3612" s="2673"/>
      <c r="H3612" s="2673"/>
      <c r="I3612" s="2673"/>
      <c r="J3612" s="3301" t="str">
        <f>C1534</f>
        <v>353300_2021_12_</v>
      </c>
      <c r="K3612" s="865">
        <v>18</v>
      </c>
      <c r="L3612" s="861"/>
      <c r="M3612" s="858"/>
      <c r="N3612" s="123"/>
      <c r="O3612" s="228"/>
      <c r="P3612" s="844"/>
      <c r="Q3612" s="845"/>
      <c r="R3612" s="844"/>
      <c r="S3612" s="832"/>
      <c r="T3612" s="3082"/>
      <c r="U3612" s="123"/>
      <c r="V3612" s="4031"/>
      <c r="W3612" s="865">
        <v>18</v>
      </c>
      <c r="X3612" s="865">
        <v>18</v>
      </c>
      <c r="Y3612" s="865">
        <v>18</v>
      </c>
      <c r="Z3612" s="865">
        <v>18</v>
      </c>
      <c r="AA3612" s="865">
        <v>18</v>
      </c>
      <c r="AB3612" s="865">
        <v>18</v>
      </c>
      <c r="AC3612" s="865">
        <v>18</v>
      </c>
      <c r="AD3612" s="865"/>
      <c r="AE3612" s="865"/>
      <c r="AF3612" s="865"/>
      <c r="AG3612" s="865"/>
      <c r="AH3612" s="1942"/>
      <c r="AI3612" s="1942"/>
      <c r="AJ3612" s="1942"/>
      <c r="AK3612" s="1942"/>
      <c r="AL3612" s="1942"/>
      <c r="AM3612" s="1942"/>
      <c r="AN3612" s="1942"/>
      <c r="AO3612" s="1942"/>
      <c r="AP3612" s="1942"/>
      <c r="AQ3612" s="1942"/>
      <c r="AR3612" s="1942"/>
      <c r="AS3612" s="1942"/>
      <c r="AT3612" s="1942"/>
      <c r="AU3612" s="1942"/>
      <c r="AV3612" s="1942"/>
      <c r="AW3612" s="1942"/>
      <c r="AX3612" s="1942"/>
      <c r="AY3612" s="1942"/>
      <c r="AZ3612" s="1942"/>
      <c r="BA3612" s="1942"/>
      <c r="BB3612" s="575"/>
      <c r="BC3612" s="576"/>
      <c r="BD3612" s="678"/>
      <c r="BE3612" s="585"/>
    </row>
    <row r="3613" spans="1:57" s="51" customFormat="1" ht="14.45" hidden="1" customHeight="1" outlineLevel="1" x14ac:dyDescent="0.25">
      <c r="A3613" s="2060"/>
      <c r="B3613" s="576"/>
      <c r="C3613" s="328"/>
      <c r="D3613" s="3990"/>
      <c r="E3613" s="4009"/>
      <c r="F3613" s="3016" t="str">
        <f t="shared" si="263"/>
        <v>ASHP-SEER19-Replace_CAC_ElectricHeat_ROF_MF</v>
      </c>
      <c r="G3613" s="2673"/>
      <c r="H3613" s="2673"/>
      <c r="I3613" s="2673"/>
      <c r="J3613" s="3301" t="str">
        <f>C1535</f>
        <v>353350_2021_12_</v>
      </c>
      <c r="K3613" s="865">
        <v>18</v>
      </c>
      <c r="L3613" s="861"/>
      <c r="M3613" s="858"/>
      <c r="N3613" s="123"/>
      <c r="O3613" s="228"/>
      <c r="P3613" s="844"/>
      <c r="Q3613" s="845"/>
      <c r="R3613" s="844"/>
      <c r="S3613" s="832"/>
      <c r="T3613" s="3082"/>
      <c r="U3613" s="123"/>
      <c r="V3613" s="4031"/>
      <c r="W3613" s="865">
        <v>18</v>
      </c>
      <c r="X3613" s="865">
        <v>18</v>
      </c>
      <c r="Y3613" s="865">
        <v>18</v>
      </c>
      <c r="Z3613" s="865">
        <v>18</v>
      </c>
      <c r="AA3613" s="865">
        <v>18</v>
      </c>
      <c r="AB3613" s="865">
        <v>18</v>
      </c>
      <c r="AC3613" s="865">
        <v>18</v>
      </c>
      <c r="AD3613" s="865"/>
      <c r="AE3613" s="865"/>
      <c r="AF3613" s="865"/>
      <c r="AG3613" s="865"/>
      <c r="AH3613" s="1942"/>
      <c r="AI3613" s="1942"/>
      <c r="AJ3613" s="1942"/>
      <c r="AK3613" s="1942"/>
      <c r="AL3613" s="1942"/>
      <c r="AM3613" s="1942"/>
      <c r="AN3613" s="1942"/>
      <c r="AO3613" s="1942"/>
      <c r="AP3613" s="1942"/>
      <c r="AQ3613" s="1942"/>
      <c r="AR3613" s="1942"/>
      <c r="AS3613" s="1942"/>
      <c r="AT3613" s="1942"/>
      <c r="AU3613" s="1942"/>
      <c r="AV3613" s="1942"/>
      <c r="AW3613" s="1942"/>
      <c r="AX3613" s="1942"/>
      <c r="AY3613" s="1942"/>
      <c r="AZ3613" s="1942"/>
      <c r="BA3613" s="1942"/>
      <c r="BB3613" s="575"/>
      <c r="BC3613" s="576"/>
      <c r="BD3613" s="678"/>
      <c r="BE3613" s="585"/>
    </row>
    <row r="3614" spans="1:57" s="51" customFormat="1" ht="14.45" hidden="1" customHeight="1" outlineLevel="1" x14ac:dyDescent="0.25">
      <c r="A3614" s="2060"/>
      <c r="B3614" s="576"/>
      <c r="C3614" s="328"/>
      <c r="D3614" s="3990"/>
      <c r="E3614" s="4009"/>
      <c r="F3614" s="3016" t="str">
        <f t="shared" si="263"/>
        <v>ASHP-SEER19-Replace_CAC_ElectricHeat_ROF_MF</v>
      </c>
      <c r="G3614" s="2673"/>
      <c r="H3614" s="2673"/>
      <c r="I3614" s="2673"/>
      <c r="J3614" s="3301" t="str">
        <f>C1536</f>
        <v>353350_2021_12_</v>
      </c>
      <c r="K3614" s="865">
        <v>18</v>
      </c>
      <c r="L3614" s="861"/>
      <c r="M3614" s="858"/>
      <c r="N3614" s="123"/>
      <c r="O3614" s="228"/>
      <c r="P3614" s="844"/>
      <c r="Q3614" s="845"/>
      <c r="R3614" s="844"/>
      <c r="S3614" s="832"/>
      <c r="T3614" s="3082"/>
      <c r="U3614" s="123"/>
      <c r="V3614" s="4031"/>
      <c r="W3614" s="865">
        <v>18</v>
      </c>
      <c r="X3614" s="865">
        <v>18</v>
      </c>
      <c r="Y3614" s="865">
        <v>18</v>
      </c>
      <c r="Z3614" s="865">
        <v>18</v>
      </c>
      <c r="AA3614" s="865">
        <v>18</v>
      </c>
      <c r="AB3614" s="865">
        <v>18</v>
      </c>
      <c r="AC3614" s="865">
        <v>18</v>
      </c>
      <c r="AD3614" s="865"/>
      <c r="AE3614" s="865"/>
      <c r="AF3614" s="865"/>
      <c r="AG3614" s="865"/>
      <c r="AH3614" s="1942"/>
      <c r="AI3614" s="1942"/>
      <c r="AJ3614" s="1942"/>
      <c r="AK3614" s="1942"/>
      <c r="AL3614" s="1942"/>
      <c r="AM3614" s="1942"/>
      <c r="AN3614" s="1942"/>
      <c r="AO3614" s="1942"/>
      <c r="AP3614" s="1942"/>
      <c r="AQ3614" s="1942"/>
      <c r="AR3614" s="1942"/>
      <c r="AS3614" s="1942"/>
      <c r="AT3614" s="1942"/>
      <c r="AU3614" s="1942"/>
      <c r="AV3614" s="1942"/>
      <c r="AW3614" s="1942"/>
      <c r="AX3614" s="1942"/>
      <c r="AY3614" s="1942"/>
      <c r="AZ3614" s="1942"/>
      <c r="BA3614" s="1942"/>
      <c r="BB3614" s="575"/>
      <c r="BC3614" s="576"/>
      <c r="BD3614" s="678"/>
      <c r="BE3614" s="585"/>
    </row>
    <row r="3615" spans="1:57" s="1942" customFormat="1" ht="14.45" hidden="1" customHeight="1" outlineLevel="1" x14ac:dyDescent="0.25">
      <c r="A3615" s="2060"/>
      <c r="B3615" s="576"/>
      <c r="C3615" s="328"/>
      <c r="D3615" s="3990"/>
      <c r="E3615" s="4009"/>
      <c r="F3615" s="3016" t="str">
        <f t="shared" si="263"/>
        <v>ASHP-SEER19-Replace_CAC_ElectricHeat_ROF_MF_CompE</v>
      </c>
      <c r="G3615" s="2673"/>
      <c r="H3615" s="2673"/>
      <c r="I3615" s="2673"/>
      <c r="J3615" s="3302" t="str">
        <f t="shared" ref="J3615:J3620" si="270">C1537</f>
        <v>353351_2019_12_</v>
      </c>
      <c r="K3615" s="3054">
        <v>18</v>
      </c>
      <c r="L3615" s="861"/>
      <c r="M3615" s="858"/>
      <c r="N3615" s="123"/>
      <c r="O3615" s="228"/>
      <c r="P3615" s="844"/>
      <c r="Q3615" s="845"/>
      <c r="R3615" s="844"/>
      <c r="S3615" s="832"/>
      <c r="T3615" s="3082"/>
      <c r="U3615" s="123"/>
      <c r="V3615" s="4031"/>
      <c r="W3615" s="865"/>
      <c r="X3615" s="865"/>
      <c r="Y3615" s="865"/>
      <c r="Z3615" s="865"/>
      <c r="AA3615" s="865"/>
      <c r="AB3615" s="865"/>
      <c r="AC3615" s="3054">
        <v>18</v>
      </c>
      <c r="AD3615" s="865"/>
      <c r="AE3615" s="865"/>
      <c r="AF3615" s="865"/>
      <c r="AG3615" s="865"/>
      <c r="BB3615" s="575"/>
      <c r="BC3615" s="576"/>
      <c r="BD3615" s="678"/>
      <c r="BE3615" s="585"/>
    </row>
    <row r="3616" spans="1:57" s="1942" customFormat="1" ht="14.45" hidden="1" customHeight="1" outlineLevel="1" x14ac:dyDescent="0.25">
      <c r="A3616" s="2060"/>
      <c r="B3616" s="576"/>
      <c r="C3616" s="328"/>
      <c r="D3616" s="3990"/>
      <c r="E3616" s="4009"/>
      <c r="F3616" s="3016" t="str">
        <f t="shared" si="263"/>
        <v>ASHP-SEER19-Replace_CAC_ElectricHeat_ROF_MF_CompE</v>
      </c>
      <c r="G3616" s="2673"/>
      <c r="H3616" s="2673"/>
      <c r="I3616" s="2673"/>
      <c r="J3616" s="3302" t="str">
        <f t="shared" si="270"/>
        <v>353351_2019_12_</v>
      </c>
      <c r="K3616" s="3054">
        <v>18</v>
      </c>
      <c r="L3616" s="861"/>
      <c r="M3616" s="858"/>
      <c r="N3616" s="123"/>
      <c r="O3616" s="228"/>
      <c r="P3616" s="844"/>
      <c r="Q3616" s="845"/>
      <c r="R3616" s="844"/>
      <c r="S3616" s="832"/>
      <c r="T3616" s="3082"/>
      <c r="U3616" s="123"/>
      <c r="V3616" s="4031"/>
      <c r="W3616" s="865"/>
      <c r="X3616" s="865"/>
      <c r="Y3616" s="865"/>
      <c r="Z3616" s="865"/>
      <c r="AA3616" s="865"/>
      <c r="AB3616" s="865"/>
      <c r="AC3616" s="3054">
        <v>18</v>
      </c>
      <c r="AD3616" s="865"/>
      <c r="AE3616" s="865"/>
      <c r="AF3616" s="865"/>
      <c r="AG3616" s="865"/>
      <c r="BB3616" s="575"/>
      <c r="BC3616" s="576"/>
      <c r="BD3616" s="678"/>
      <c r="BE3616" s="585"/>
    </row>
    <row r="3617" spans="1:57" s="1942" customFormat="1" ht="14.45" hidden="1" customHeight="1" outlineLevel="1" x14ac:dyDescent="0.25">
      <c r="A3617" s="2060"/>
      <c r="B3617" s="576"/>
      <c r="C3617" s="328"/>
      <c r="D3617" s="3990"/>
      <c r="E3617" s="4009"/>
      <c r="F3617" s="3016" t="str">
        <f t="shared" si="263"/>
        <v>ASHP-SEER19-Replace_CAC_NonElectricHeat_ROF_MF</v>
      </c>
      <c r="G3617" s="2673"/>
      <c r="H3617" s="2673"/>
      <c r="I3617" s="2673"/>
      <c r="J3617" s="3301" t="str">
        <f t="shared" si="270"/>
        <v>353360_2021_12_</v>
      </c>
      <c r="K3617" s="3054">
        <v>18</v>
      </c>
      <c r="L3617" s="861"/>
      <c r="M3617" s="858"/>
      <c r="N3617" s="123"/>
      <c r="O3617" s="228"/>
      <c r="P3617" s="844"/>
      <c r="Q3617" s="845"/>
      <c r="R3617" s="844"/>
      <c r="S3617" s="832"/>
      <c r="T3617" s="3082"/>
      <c r="U3617" s="123"/>
      <c r="V3617" s="4031"/>
      <c r="W3617" s="865"/>
      <c r="X3617" s="865"/>
      <c r="Y3617" s="865"/>
      <c r="Z3617" s="865"/>
      <c r="AA3617" s="865"/>
      <c r="AB3617" s="865"/>
      <c r="AC3617" s="3054">
        <v>18</v>
      </c>
      <c r="AD3617" s="865"/>
      <c r="AE3617" s="865"/>
      <c r="AF3617" s="865"/>
      <c r="AG3617" s="865"/>
      <c r="BB3617" s="575"/>
      <c r="BC3617" s="576"/>
      <c r="BD3617" s="678"/>
      <c r="BE3617" s="585"/>
    </row>
    <row r="3618" spans="1:57" s="1942" customFormat="1" ht="14.45" hidden="1" customHeight="1" outlineLevel="1" x14ac:dyDescent="0.25">
      <c r="A3618" s="2060"/>
      <c r="B3618" s="576"/>
      <c r="C3618" s="328"/>
      <c r="D3618" s="3990"/>
      <c r="E3618" s="4009"/>
      <c r="F3618" s="3016" t="str">
        <f t="shared" si="263"/>
        <v>ASHP-SEER19-Replace_CAC_NonElectricHeat_ROF_MF</v>
      </c>
      <c r="G3618" s="2673"/>
      <c r="H3618" s="2673"/>
      <c r="I3618" s="2673"/>
      <c r="J3618" s="3301" t="str">
        <f t="shared" si="270"/>
        <v>353360_2021_12_</v>
      </c>
      <c r="K3618" s="3054">
        <v>18</v>
      </c>
      <c r="L3618" s="861"/>
      <c r="M3618" s="858"/>
      <c r="N3618" s="123"/>
      <c r="O3618" s="228"/>
      <c r="P3618" s="844"/>
      <c r="Q3618" s="845"/>
      <c r="R3618" s="844"/>
      <c r="S3618" s="832"/>
      <c r="T3618" s="3082"/>
      <c r="U3618" s="123"/>
      <c r="V3618" s="4031"/>
      <c r="W3618" s="865"/>
      <c r="X3618" s="865"/>
      <c r="Y3618" s="865"/>
      <c r="Z3618" s="865"/>
      <c r="AA3618" s="865"/>
      <c r="AB3618" s="865"/>
      <c r="AC3618" s="3054">
        <v>18</v>
      </c>
      <c r="AD3618" s="865"/>
      <c r="AE3618" s="865"/>
      <c r="AF3618" s="865"/>
      <c r="AG3618" s="865"/>
      <c r="BB3618" s="575"/>
      <c r="BC3618" s="576"/>
      <c r="BD3618" s="678"/>
      <c r="BE3618" s="585"/>
    </row>
    <row r="3619" spans="1:57" s="1942" customFormat="1" ht="14.45" hidden="1" customHeight="1" outlineLevel="1" x14ac:dyDescent="0.25">
      <c r="A3619" s="2060"/>
      <c r="B3619" s="576"/>
      <c r="C3619" s="328"/>
      <c r="D3619" s="3990"/>
      <c r="E3619" s="4009"/>
      <c r="F3619" s="3016" t="str">
        <f t="shared" si="263"/>
        <v>ASHP-SEER19-Replace_CAC_NonElectricHeat_ROF_MF_CompE</v>
      </c>
      <c r="G3619" s="2673"/>
      <c r="H3619" s="2673"/>
      <c r="I3619" s="2673"/>
      <c r="J3619" s="3301" t="str">
        <f t="shared" si="270"/>
        <v>353361_2021_12_</v>
      </c>
      <c r="K3619" s="3054">
        <v>18</v>
      </c>
      <c r="L3619" s="861"/>
      <c r="M3619" s="858"/>
      <c r="N3619" s="123"/>
      <c r="O3619" s="228"/>
      <c r="P3619" s="844"/>
      <c r="Q3619" s="845"/>
      <c r="R3619" s="844"/>
      <c r="S3619" s="832"/>
      <c r="T3619" s="3082"/>
      <c r="U3619" s="123"/>
      <c r="V3619" s="4031"/>
      <c r="W3619" s="865"/>
      <c r="X3619" s="865"/>
      <c r="Y3619" s="865"/>
      <c r="Z3619" s="865"/>
      <c r="AA3619" s="865"/>
      <c r="AB3619" s="865"/>
      <c r="AC3619" s="3054">
        <v>18</v>
      </c>
      <c r="AD3619" s="865"/>
      <c r="AE3619" s="865"/>
      <c r="AF3619" s="865"/>
      <c r="AG3619" s="865"/>
      <c r="BB3619" s="575"/>
      <c r="BC3619" s="576"/>
      <c r="BD3619" s="678"/>
      <c r="BE3619" s="585"/>
    </row>
    <row r="3620" spans="1:57" s="1942" customFormat="1" ht="14.45" hidden="1" customHeight="1" outlineLevel="1" x14ac:dyDescent="0.25">
      <c r="A3620" s="2060"/>
      <c r="B3620" s="576"/>
      <c r="C3620" s="328"/>
      <c r="D3620" s="3990"/>
      <c r="E3620" s="4009"/>
      <c r="F3620" s="3016" t="str">
        <f t="shared" si="263"/>
        <v>ASHP-SEER19-Replace_CAC_NonElectricHeat_ROF_MF_CompE</v>
      </c>
      <c r="G3620" s="2673"/>
      <c r="H3620" s="2673"/>
      <c r="I3620" s="2673"/>
      <c r="J3620" s="3301" t="str">
        <f t="shared" si="270"/>
        <v>353361_2021_12_</v>
      </c>
      <c r="K3620" s="3054">
        <v>18</v>
      </c>
      <c r="L3620" s="861"/>
      <c r="M3620" s="858"/>
      <c r="N3620" s="123"/>
      <c r="O3620" s="228"/>
      <c r="P3620" s="844"/>
      <c r="Q3620" s="845"/>
      <c r="R3620" s="844"/>
      <c r="S3620" s="832"/>
      <c r="T3620" s="3082"/>
      <c r="U3620" s="123"/>
      <c r="V3620" s="4031"/>
      <c r="W3620" s="865"/>
      <c r="X3620" s="865"/>
      <c r="Y3620" s="865"/>
      <c r="Z3620" s="865"/>
      <c r="AA3620" s="865"/>
      <c r="AB3620" s="865"/>
      <c r="AC3620" s="3054">
        <v>18</v>
      </c>
      <c r="AD3620" s="865"/>
      <c r="AE3620" s="865"/>
      <c r="AF3620" s="865"/>
      <c r="AG3620" s="865"/>
      <c r="BB3620" s="575"/>
      <c r="BC3620" s="576"/>
      <c r="BD3620" s="678"/>
      <c r="BE3620" s="585"/>
    </row>
    <row r="3621" spans="1:57" s="51" customFormat="1" ht="14.45" hidden="1" customHeight="1" outlineLevel="1" x14ac:dyDescent="0.25">
      <c r="A3621" s="2060"/>
      <c r="B3621" s="576"/>
      <c r="C3621" s="328"/>
      <c r="D3621" s="3990"/>
      <c r="E3621" s="4009"/>
      <c r="F3621" s="3016" t="str">
        <f t="shared" ref="F3621:F3684" si="271">E1543</f>
        <v>ASHP-SEER20-Replace_CAC_ElectricHeat_ER1_SF</v>
      </c>
      <c r="G3621" s="2673"/>
      <c r="H3621" s="2673"/>
      <c r="I3621" s="2673"/>
      <c r="J3621" s="3301" t="str">
        <f>C1543</f>
        <v>353400_2021_12_</v>
      </c>
      <c r="K3621" s="865">
        <v>6</v>
      </c>
      <c r="L3621" s="861"/>
      <c r="M3621" s="858"/>
      <c r="N3621" s="123"/>
      <c r="O3621" s="228"/>
      <c r="P3621" s="844"/>
      <c r="Q3621" s="845"/>
      <c r="R3621" s="844"/>
      <c r="S3621" s="832"/>
      <c r="T3621" s="3082"/>
      <c r="U3621" s="123"/>
      <c r="V3621" s="4031"/>
      <c r="W3621" s="865">
        <v>6</v>
      </c>
      <c r="X3621" s="865">
        <v>6</v>
      </c>
      <c r="Y3621" s="865">
        <v>6</v>
      </c>
      <c r="Z3621" s="865">
        <v>6</v>
      </c>
      <c r="AA3621" s="865">
        <v>6</v>
      </c>
      <c r="AB3621" s="865">
        <v>6</v>
      </c>
      <c r="AC3621" s="865">
        <v>6</v>
      </c>
      <c r="AD3621" s="865"/>
      <c r="AE3621" s="865"/>
      <c r="AF3621" s="865"/>
      <c r="AG3621" s="865"/>
      <c r="AH3621" s="1942"/>
      <c r="AI3621" s="1942"/>
      <c r="AJ3621" s="1942"/>
      <c r="AK3621" s="1942"/>
      <c r="AL3621" s="1942"/>
      <c r="AM3621" s="1942"/>
      <c r="AN3621" s="1942"/>
      <c r="AO3621" s="1942"/>
      <c r="AP3621" s="1942"/>
      <c r="AQ3621" s="1942"/>
      <c r="AR3621" s="1942"/>
      <c r="AS3621" s="1942"/>
      <c r="AT3621" s="1942"/>
      <c r="AU3621" s="1942"/>
      <c r="AV3621" s="1942"/>
      <c r="AW3621" s="1942"/>
      <c r="AX3621" s="1942"/>
      <c r="AY3621" s="1942"/>
      <c r="AZ3621" s="1942"/>
      <c r="BA3621" s="1942"/>
      <c r="BB3621" s="575"/>
      <c r="BC3621" s="576"/>
      <c r="BD3621" s="678"/>
      <c r="BE3621" s="585"/>
    </row>
    <row r="3622" spans="1:57" s="51" customFormat="1" ht="14.45" hidden="1" customHeight="1" outlineLevel="1" x14ac:dyDescent="0.25">
      <c r="A3622" s="2060"/>
      <c r="B3622" s="576"/>
      <c r="C3622" s="328"/>
      <c r="D3622" s="3990"/>
      <c r="E3622" s="4009"/>
      <c r="F3622" s="3016" t="str">
        <f t="shared" si="271"/>
        <v>ASHP-SEER20-Replace_CAC_ElectricHeat_ER1_SF</v>
      </c>
      <c r="G3622" s="2673"/>
      <c r="H3622" s="2673"/>
      <c r="I3622" s="2673"/>
      <c r="J3622" s="3301" t="str">
        <f>C1544</f>
        <v>353400_2021_12_</v>
      </c>
      <c r="K3622" s="865">
        <v>6</v>
      </c>
      <c r="L3622" s="861"/>
      <c r="M3622" s="858"/>
      <c r="N3622" s="123"/>
      <c r="O3622" s="228"/>
      <c r="P3622" s="844"/>
      <c r="Q3622" s="845"/>
      <c r="R3622" s="844"/>
      <c r="S3622" s="832"/>
      <c r="T3622" s="3082"/>
      <c r="U3622" s="123"/>
      <c r="V3622" s="4031"/>
      <c r="W3622" s="865">
        <v>6</v>
      </c>
      <c r="X3622" s="865">
        <v>6</v>
      </c>
      <c r="Y3622" s="865">
        <v>6</v>
      </c>
      <c r="Z3622" s="865">
        <v>6</v>
      </c>
      <c r="AA3622" s="865">
        <v>6</v>
      </c>
      <c r="AB3622" s="865">
        <v>6</v>
      </c>
      <c r="AC3622" s="865">
        <v>6</v>
      </c>
      <c r="AD3622" s="865"/>
      <c r="AE3622" s="865"/>
      <c r="AF3622" s="865"/>
      <c r="AG3622" s="865"/>
      <c r="AH3622" s="1942"/>
      <c r="AI3622" s="1942"/>
      <c r="AJ3622" s="1942"/>
      <c r="AK3622" s="1942"/>
      <c r="AL3622" s="1942"/>
      <c r="AM3622" s="1942"/>
      <c r="AN3622" s="1942"/>
      <c r="AO3622" s="1942"/>
      <c r="AP3622" s="1942"/>
      <c r="AQ3622" s="1942"/>
      <c r="AR3622" s="1942"/>
      <c r="AS3622" s="1942"/>
      <c r="AT3622" s="1942"/>
      <c r="AU3622" s="1942"/>
      <c r="AV3622" s="1942"/>
      <c r="AW3622" s="1942"/>
      <c r="AX3622" s="1942"/>
      <c r="AY3622" s="1942"/>
      <c r="AZ3622" s="1942"/>
      <c r="BA3622" s="1942"/>
      <c r="BB3622" s="575"/>
      <c r="BC3622" s="576"/>
      <c r="BD3622" s="678"/>
      <c r="BE3622" s="585"/>
    </row>
    <row r="3623" spans="1:57" s="51" customFormat="1" ht="14.45" hidden="1" customHeight="1" outlineLevel="1" x14ac:dyDescent="0.25">
      <c r="A3623" s="2060"/>
      <c r="B3623" s="576"/>
      <c r="C3623" s="328"/>
      <c r="D3623" s="3990"/>
      <c r="E3623" s="4009"/>
      <c r="F3623" s="3016" t="str">
        <f t="shared" si="271"/>
        <v>ASHP-SEER20-Replace_CAC_ElectricHeat_ER2_SF</v>
      </c>
      <c r="G3623" s="2673"/>
      <c r="H3623" s="2673"/>
      <c r="I3623" s="2673"/>
      <c r="J3623" s="3301" t="str">
        <f>C1545</f>
        <v>353400_2021_12_</v>
      </c>
      <c r="K3623" s="865">
        <v>12</v>
      </c>
      <c r="L3623" s="861"/>
      <c r="M3623" s="858"/>
      <c r="N3623" s="123"/>
      <c r="O3623" s="228"/>
      <c r="P3623" s="844"/>
      <c r="Q3623" s="845"/>
      <c r="R3623" s="844"/>
      <c r="S3623" s="832"/>
      <c r="T3623" s="3082"/>
      <c r="U3623" s="123"/>
      <c r="V3623" s="4031"/>
      <c r="W3623" s="865">
        <v>12</v>
      </c>
      <c r="X3623" s="865">
        <v>12</v>
      </c>
      <c r="Y3623" s="865">
        <v>12</v>
      </c>
      <c r="Z3623" s="865">
        <v>12</v>
      </c>
      <c r="AA3623" s="865">
        <v>12</v>
      </c>
      <c r="AB3623" s="865">
        <v>12</v>
      </c>
      <c r="AC3623" s="865">
        <v>12</v>
      </c>
      <c r="AD3623" s="865"/>
      <c r="AE3623" s="865"/>
      <c r="AF3623" s="865"/>
      <c r="AG3623" s="865"/>
      <c r="AH3623" s="1942"/>
      <c r="AI3623" s="1942"/>
      <c r="AJ3623" s="1942"/>
      <c r="AK3623" s="1942"/>
      <c r="AL3623" s="1942"/>
      <c r="AM3623" s="1942"/>
      <c r="AN3623" s="1942"/>
      <c r="AO3623" s="1942"/>
      <c r="AP3623" s="1942"/>
      <c r="AQ3623" s="1942"/>
      <c r="AR3623" s="1942"/>
      <c r="AS3623" s="1942"/>
      <c r="AT3623" s="1942"/>
      <c r="AU3623" s="1942"/>
      <c r="AV3623" s="1942"/>
      <c r="AW3623" s="1942"/>
      <c r="AX3623" s="1942"/>
      <c r="AY3623" s="1942"/>
      <c r="AZ3623" s="1942"/>
      <c r="BA3623" s="1942"/>
      <c r="BB3623" s="575"/>
      <c r="BC3623" s="576"/>
      <c r="BD3623" s="678"/>
      <c r="BE3623" s="585"/>
    </row>
    <row r="3624" spans="1:57" s="51" customFormat="1" ht="14.45" hidden="1" customHeight="1" outlineLevel="1" x14ac:dyDescent="0.25">
      <c r="A3624" s="2060"/>
      <c r="B3624" s="576"/>
      <c r="C3624" s="328"/>
      <c r="D3624" s="3990"/>
      <c r="E3624" s="4009"/>
      <c r="F3624" s="3016" t="str">
        <f t="shared" si="271"/>
        <v>ASHP-SEER20-Replace_CAC_ElectricHeat_ER2_SF</v>
      </c>
      <c r="G3624" s="2673"/>
      <c r="H3624" s="2673"/>
      <c r="I3624" s="2673"/>
      <c r="J3624" s="3301" t="str">
        <f>C1546</f>
        <v>353400_2021_12_</v>
      </c>
      <c r="K3624" s="865">
        <v>12</v>
      </c>
      <c r="L3624" s="861"/>
      <c r="M3624" s="858"/>
      <c r="N3624" s="123"/>
      <c r="O3624" s="228"/>
      <c r="P3624" s="844"/>
      <c r="Q3624" s="845"/>
      <c r="R3624" s="844"/>
      <c r="S3624" s="832"/>
      <c r="T3624" s="3082"/>
      <c r="U3624" s="123"/>
      <c r="V3624" s="4031"/>
      <c r="W3624" s="865">
        <v>12</v>
      </c>
      <c r="X3624" s="865">
        <v>12</v>
      </c>
      <c r="Y3624" s="865">
        <v>12</v>
      </c>
      <c r="Z3624" s="865">
        <v>12</v>
      </c>
      <c r="AA3624" s="865">
        <v>12</v>
      </c>
      <c r="AB3624" s="865">
        <v>12</v>
      </c>
      <c r="AC3624" s="865">
        <v>12</v>
      </c>
      <c r="AD3624" s="865"/>
      <c r="AE3624" s="865"/>
      <c r="AF3624" s="865"/>
      <c r="AG3624" s="865"/>
      <c r="AH3624" s="1942"/>
      <c r="AI3624" s="1942"/>
      <c r="AJ3624" s="1942"/>
      <c r="AK3624" s="1942"/>
      <c r="AL3624" s="1942"/>
      <c r="AM3624" s="1942"/>
      <c r="AN3624" s="1942"/>
      <c r="AO3624" s="1942"/>
      <c r="AP3624" s="1942"/>
      <c r="AQ3624" s="1942"/>
      <c r="AR3624" s="1942"/>
      <c r="AS3624" s="1942"/>
      <c r="AT3624" s="1942"/>
      <c r="AU3624" s="1942"/>
      <c r="AV3624" s="1942"/>
      <c r="AW3624" s="1942"/>
      <c r="AX3624" s="1942"/>
      <c r="AY3624" s="1942"/>
      <c r="AZ3624" s="1942"/>
      <c r="BA3624" s="1942"/>
      <c r="BB3624" s="575"/>
      <c r="BC3624" s="576"/>
      <c r="BD3624" s="678"/>
      <c r="BE3624" s="585"/>
    </row>
    <row r="3625" spans="1:57" s="1942" customFormat="1" ht="14.45" hidden="1" customHeight="1" outlineLevel="1" x14ac:dyDescent="0.25">
      <c r="A3625" s="2060"/>
      <c r="B3625" s="576"/>
      <c r="C3625" s="328"/>
      <c r="D3625" s="3990"/>
      <c r="E3625" s="4009"/>
      <c r="F3625" s="3016" t="str">
        <f t="shared" si="271"/>
        <v>ASHP-SEER20-Replace_CAC_NonElectricHeat_ER1_SF</v>
      </c>
      <c r="G3625" s="2673"/>
      <c r="H3625" s="2673"/>
      <c r="I3625" s="2673"/>
      <c r="J3625" s="3301" t="str">
        <f t="shared" ref="J3625:J3628" si="272">C1547</f>
        <v>353410_2021_12_</v>
      </c>
      <c r="K3625" s="3054">
        <v>6</v>
      </c>
      <c r="L3625" s="861"/>
      <c r="M3625" s="858"/>
      <c r="N3625" s="123"/>
      <c r="O3625" s="228"/>
      <c r="P3625" s="844"/>
      <c r="Q3625" s="845"/>
      <c r="R3625" s="844"/>
      <c r="S3625" s="832"/>
      <c r="T3625" s="3082"/>
      <c r="U3625" s="123"/>
      <c r="V3625" s="4031"/>
      <c r="W3625" s="865"/>
      <c r="X3625" s="865"/>
      <c r="Y3625" s="865"/>
      <c r="Z3625" s="865"/>
      <c r="AA3625" s="865"/>
      <c r="AB3625" s="865"/>
      <c r="AC3625" s="3054">
        <v>6</v>
      </c>
      <c r="AD3625" s="865"/>
      <c r="AE3625" s="865"/>
      <c r="AF3625" s="865"/>
      <c r="AG3625" s="865"/>
      <c r="BB3625" s="575"/>
      <c r="BC3625" s="576"/>
      <c r="BD3625" s="678"/>
      <c r="BE3625" s="585"/>
    </row>
    <row r="3626" spans="1:57" s="1942" customFormat="1" ht="14.45" hidden="1" customHeight="1" outlineLevel="1" x14ac:dyDescent="0.25">
      <c r="A3626" s="2060"/>
      <c r="B3626" s="576"/>
      <c r="C3626" s="328"/>
      <c r="D3626" s="3990"/>
      <c r="E3626" s="4009"/>
      <c r="F3626" s="3016" t="str">
        <f t="shared" si="271"/>
        <v>ASHP-SEER20-Replace_CAC_NonElectricHeat_ER1_SF</v>
      </c>
      <c r="G3626" s="2673"/>
      <c r="H3626" s="2673"/>
      <c r="I3626" s="2673"/>
      <c r="J3626" s="3301" t="str">
        <f t="shared" si="272"/>
        <v>353410_2021_12_</v>
      </c>
      <c r="K3626" s="3054">
        <v>6</v>
      </c>
      <c r="L3626" s="861"/>
      <c r="M3626" s="858"/>
      <c r="N3626" s="123"/>
      <c r="O3626" s="228"/>
      <c r="P3626" s="844"/>
      <c r="Q3626" s="845"/>
      <c r="R3626" s="844"/>
      <c r="S3626" s="832"/>
      <c r="T3626" s="3082"/>
      <c r="U3626" s="123"/>
      <c r="V3626" s="4031"/>
      <c r="W3626" s="865"/>
      <c r="X3626" s="865"/>
      <c r="Y3626" s="865"/>
      <c r="Z3626" s="865"/>
      <c r="AA3626" s="865"/>
      <c r="AB3626" s="865"/>
      <c r="AC3626" s="3054">
        <v>6</v>
      </c>
      <c r="AD3626" s="865"/>
      <c r="AE3626" s="865"/>
      <c r="AF3626" s="865"/>
      <c r="AG3626" s="865"/>
      <c r="BB3626" s="575"/>
      <c r="BC3626" s="576"/>
      <c r="BD3626" s="678"/>
      <c r="BE3626" s="585"/>
    </row>
    <row r="3627" spans="1:57" s="1942" customFormat="1" ht="14.45" hidden="1" customHeight="1" outlineLevel="1" x14ac:dyDescent="0.25">
      <c r="A3627" s="2060"/>
      <c r="B3627" s="576"/>
      <c r="C3627" s="328"/>
      <c r="D3627" s="3990"/>
      <c r="E3627" s="4009"/>
      <c r="F3627" s="3016" t="str">
        <f t="shared" si="271"/>
        <v>ASHP-SEER20-Replace_CAC_NonElectricHeat_ER2_SF</v>
      </c>
      <c r="G3627" s="2673"/>
      <c r="H3627" s="2673"/>
      <c r="I3627" s="2673"/>
      <c r="J3627" s="3301" t="str">
        <f t="shared" si="272"/>
        <v>353410_2021_12_</v>
      </c>
      <c r="K3627" s="3054">
        <v>12</v>
      </c>
      <c r="L3627" s="861"/>
      <c r="M3627" s="858"/>
      <c r="N3627" s="123"/>
      <c r="O3627" s="228"/>
      <c r="P3627" s="844"/>
      <c r="Q3627" s="845"/>
      <c r="R3627" s="844"/>
      <c r="S3627" s="832"/>
      <c r="T3627" s="3082"/>
      <c r="U3627" s="123"/>
      <c r="V3627" s="4031"/>
      <c r="W3627" s="865"/>
      <c r="X3627" s="865"/>
      <c r="Y3627" s="865"/>
      <c r="Z3627" s="865"/>
      <c r="AA3627" s="865"/>
      <c r="AB3627" s="865"/>
      <c r="AC3627" s="3054">
        <v>12</v>
      </c>
      <c r="AD3627" s="865"/>
      <c r="AE3627" s="865"/>
      <c r="AF3627" s="865"/>
      <c r="AG3627" s="865"/>
      <c r="BB3627" s="575"/>
      <c r="BC3627" s="576"/>
      <c r="BD3627" s="678"/>
      <c r="BE3627" s="585"/>
    </row>
    <row r="3628" spans="1:57" s="1942" customFormat="1" ht="14.45" hidden="1" customHeight="1" outlineLevel="1" x14ac:dyDescent="0.25">
      <c r="A3628" s="2060"/>
      <c r="B3628" s="576"/>
      <c r="C3628" s="328"/>
      <c r="D3628" s="3990"/>
      <c r="E3628" s="4009"/>
      <c r="F3628" s="3016" t="str">
        <f t="shared" si="271"/>
        <v>ASHP-SEER20-Replace_CAC_NonElectricHeat_ER2_SF</v>
      </c>
      <c r="G3628" s="2673"/>
      <c r="H3628" s="2673"/>
      <c r="I3628" s="2673"/>
      <c r="J3628" s="3301" t="str">
        <f t="shared" si="272"/>
        <v>353410_2021_12_</v>
      </c>
      <c r="K3628" s="3054">
        <v>12</v>
      </c>
      <c r="L3628" s="861"/>
      <c r="M3628" s="858"/>
      <c r="N3628" s="123"/>
      <c r="O3628" s="228"/>
      <c r="P3628" s="844"/>
      <c r="Q3628" s="845"/>
      <c r="R3628" s="844"/>
      <c r="S3628" s="832"/>
      <c r="T3628" s="3082"/>
      <c r="U3628" s="123"/>
      <c r="V3628" s="4031"/>
      <c r="W3628" s="865"/>
      <c r="X3628" s="865"/>
      <c r="Y3628" s="865"/>
      <c r="Z3628" s="865"/>
      <c r="AA3628" s="865"/>
      <c r="AB3628" s="865"/>
      <c r="AC3628" s="3054">
        <v>12</v>
      </c>
      <c r="AD3628" s="865"/>
      <c r="AE3628" s="865"/>
      <c r="AF3628" s="865"/>
      <c r="AG3628" s="865"/>
      <c r="BB3628" s="575"/>
      <c r="BC3628" s="576"/>
      <c r="BD3628" s="678"/>
      <c r="BE3628" s="585"/>
    </row>
    <row r="3629" spans="1:57" s="51" customFormat="1" ht="14.45" hidden="1" customHeight="1" outlineLevel="1" x14ac:dyDescent="0.25">
      <c r="A3629" s="2060"/>
      <c r="B3629" s="576"/>
      <c r="C3629" s="328"/>
      <c r="D3629" s="3990"/>
      <c r="E3629" s="4009"/>
      <c r="F3629" s="3016" t="str">
        <f t="shared" si="271"/>
        <v>ASHP-SEER20-Replace_CAC_ElectricHeat_ROF_SF</v>
      </c>
      <c r="G3629" s="2673"/>
      <c r="H3629" s="2673"/>
      <c r="I3629" s="2673"/>
      <c r="J3629" s="3301" t="str">
        <f>C1551</f>
        <v>353450_2021_12_</v>
      </c>
      <c r="K3629" s="865">
        <v>18</v>
      </c>
      <c r="L3629" s="861"/>
      <c r="M3629" s="858"/>
      <c r="N3629" s="123"/>
      <c r="O3629" s="228"/>
      <c r="P3629" s="844"/>
      <c r="Q3629" s="845"/>
      <c r="R3629" s="844"/>
      <c r="S3629" s="832"/>
      <c r="T3629" s="3082"/>
      <c r="U3629" s="123"/>
      <c r="V3629" s="4031"/>
      <c r="W3629" s="865">
        <v>18</v>
      </c>
      <c r="X3629" s="865">
        <v>18</v>
      </c>
      <c r="Y3629" s="865">
        <v>18</v>
      </c>
      <c r="Z3629" s="865">
        <v>18</v>
      </c>
      <c r="AA3629" s="865">
        <v>18</v>
      </c>
      <c r="AB3629" s="865">
        <v>18</v>
      </c>
      <c r="AC3629" s="865">
        <v>18</v>
      </c>
      <c r="AD3629" s="865"/>
      <c r="AE3629" s="865"/>
      <c r="AF3629" s="865"/>
      <c r="AG3629" s="865"/>
      <c r="AH3629" s="1942"/>
      <c r="AI3629" s="1942"/>
      <c r="AJ3629" s="1942"/>
      <c r="AK3629" s="1942"/>
      <c r="AL3629" s="1942"/>
      <c r="AM3629" s="1942"/>
      <c r="AN3629" s="1942"/>
      <c r="AO3629" s="1942"/>
      <c r="AP3629" s="1942"/>
      <c r="AQ3629" s="1942"/>
      <c r="AR3629" s="1942"/>
      <c r="AS3629" s="1942"/>
      <c r="AT3629" s="1942"/>
      <c r="AU3629" s="1942"/>
      <c r="AV3629" s="1942"/>
      <c r="AW3629" s="1942"/>
      <c r="AX3629" s="1942"/>
      <c r="AY3629" s="1942"/>
      <c r="AZ3629" s="1942"/>
      <c r="BA3629" s="1942"/>
      <c r="BB3629" s="575"/>
      <c r="BC3629" s="576"/>
      <c r="BD3629" s="678"/>
      <c r="BE3629" s="585"/>
    </row>
    <row r="3630" spans="1:57" s="51" customFormat="1" ht="14.45" hidden="1" customHeight="1" outlineLevel="1" x14ac:dyDescent="0.25">
      <c r="A3630" s="2060"/>
      <c r="B3630" s="576"/>
      <c r="C3630" s="328"/>
      <c r="D3630" s="3990"/>
      <c r="E3630" s="4009"/>
      <c r="F3630" s="3016" t="str">
        <f t="shared" si="271"/>
        <v>ASHP-SEER20-Replace_CAC_ElectricHeat_ROF_SF</v>
      </c>
      <c r="G3630" s="2673"/>
      <c r="H3630" s="2673"/>
      <c r="I3630" s="2673"/>
      <c r="J3630" s="3301" t="str">
        <f>C1552</f>
        <v>353450_2021_12_</v>
      </c>
      <c r="K3630" s="865">
        <v>18</v>
      </c>
      <c r="L3630" s="861"/>
      <c r="M3630" s="858"/>
      <c r="N3630" s="123"/>
      <c r="O3630" s="228"/>
      <c r="P3630" s="844"/>
      <c r="Q3630" s="845"/>
      <c r="R3630" s="844"/>
      <c r="S3630" s="832"/>
      <c r="T3630" s="3082"/>
      <c r="U3630" s="123"/>
      <c r="V3630" s="4031"/>
      <c r="W3630" s="865">
        <v>18</v>
      </c>
      <c r="X3630" s="865">
        <v>18</v>
      </c>
      <c r="Y3630" s="865">
        <v>18</v>
      </c>
      <c r="Z3630" s="865">
        <v>18</v>
      </c>
      <c r="AA3630" s="865">
        <v>18</v>
      </c>
      <c r="AB3630" s="865">
        <v>18</v>
      </c>
      <c r="AC3630" s="865">
        <v>18</v>
      </c>
      <c r="AD3630" s="865"/>
      <c r="AE3630" s="865"/>
      <c r="AF3630" s="865"/>
      <c r="AG3630" s="865"/>
      <c r="AH3630" s="1942"/>
      <c r="AI3630" s="1942"/>
      <c r="AJ3630" s="1942"/>
      <c r="AK3630" s="1942"/>
      <c r="AL3630" s="1942"/>
      <c r="AM3630" s="1942"/>
      <c r="AN3630" s="1942"/>
      <c r="AO3630" s="1942"/>
      <c r="AP3630" s="1942"/>
      <c r="AQ3630" s="1942"/>
      <c r="AR3630" s="1942"/>
      <c r="AS3630" s="1942"/>
      <c r="AT3630" s="1942"/>
      <c r="AU3630" s="1942"/>
      <c r="AV3630" s="1942"/>
      <c r="AW3630" s="1942"/>
      <c r="AX3630" s="1942"/>
      <c r="AY3630" s="1942"/>
      <c r="AZ3630" s="1942"/>
      <c r="BA3630" s="1942"/>
      <c r="BB3630" s="575"/>
      <c r="BC3630" s="576"/>
      <c r="BD3630" s="678"/>
      <c r="BE3630" s="585"/>
    </row>
    <row r="3631" spans="1:57" s="51" customFormat="1" ht="14.45" hidden="1" customHeight="1" outlineLevel="1" x14ac:dyDescent="0.25">
      <c r="A3631" s="2060"/>
      <c r="B3631" s="576"/>
      <c r="C3631" s="328"/>
      <c r="D3631" s="3990"/>
      <c r="E3631" s="4009"/>
      <c r="F3631" s="3016" t="str">
        <f t="shared" si="271"/>
        <v>ASHP-SEER20-Replace_CAC_ElectricHeat_ROF_MF</v>
      </c>
      <c r="G3631" s="2673"/>
      <c r="H3631" s="2673"/>
      <c r="I3631" s="2673"/>
      <c r="J3631" s="3302" t="str">
        <f>C1553</f>
        <v>353500_2019_12_</v>
      </c>
      <c r="K3631" s="865">
        <v>18</v>
      </c>
      <c r="L3631" s="861"/>
      <c r="M3631" s="858"/>
      <c r="N3631" s="123"/>
      <c r="O3631" s="228"/>
      <c r="P3631" s="844"/>
      <c r="Q3631" s="845"/>
      <c r="R3631" s="844"/>
      <c r="S3631" s="832"/>
      <c r="T3631" s="3082"/>
      <c r="U3631" s="123"/>
      <c r="V3631" s="4031"/>
      <c r="W3631" s="865">
        <v>18</v>
      </c>
      <c r="X3631" s="865">
        <v>18</v>
      </c>
      <c r="Y3631" s="865">
        <v>18</v>
      </c>
      <c r="Z3631" s="865">
        <v>18</v>
      </c>
      <c r="AA3631" s="865">
        <v>18</v>
      </c>
      <c r="AB3631" s="865">
        <v>18</v>
      </c>
      <c r="AC3631" s="865">
        <v>18</v>
      </c>
      <c r="AD3631" s="865"/>
      <c r="AE3631" s="865"/>
      <c r="AF3631" s="865"/>
      <c r="AG3631" s="865"/>
      <c r="AH3631" s="1942"/>
      <c r="AI3631" s="1942"/>
      <c r="AJ3631" s="1942"/>
      <c r="AK3631" s="1942"/>
      <c r="AL3631" s="1942"/>
      <c r="AM3631" s="1942"/>
      <c r="AN3631" s="1942"/>
      <c r="AO3631" s="1942"/>
      <c r="AP3631" s="1942"/>
      <c r="AQ3631" s="1942"/>
      <c r="AR3631" s="1942"/>
      <c r="AS3631" s="1942"/>
      <c r="AT3631" s="1942"/>
      <c r="AU3631" s="1942"/>
      <c r="AV3631" s="1942"/>
      <c r="AW3631" s="1942"/>
      <c r="AX3631" s="1942"/>
      <c r="AY3631" s="1942"/>
      <c r="AZ3631" s="1942"/>
      <c r="BA3631" s="1942"/>
      <c r="BB3631" s="575"/>
      <c r="BC3631" s="576"/>
      <c r="BD3631" s="678"/>
      <c r="BE3631" s="585"/>
    </row>
    <row r="3632" spans="1:57" s="51" customFormat="1" ht="14.45" hidden="1" customHeight="1" outlineLevel="1" x14ac:dyDescent="0.25">
      <c r="A3632" s="2060"/>
      <c r="B3632" s="576"/>
      <c r="C3632" s="328"/>
      <c r="D3632" s="3990"/>
      <c r="E3632" s="4009"/>
      <c r="F3632" s="3016" t="str">
        <f t="shared" si="271"/>
        <v>ASHP-SEER20-Replace_CAC_ElectricHeat_ROF_MF</v>
      </c>
      <c r="G3632" s="2673"/>
      <c r="H3632" s="2673"/>
      <c r="I3632" s="2673"/>
      <c r="J3632" s="3302" t="str">
        <f>C1554</f>
        <v>353500_2019_12_</v>
      </c>
      <c r="K3632" s="865">
        <v>18</v>
      </c>
      <c r="L3632" s="861"/>
      <c r="M3632" s="858"/>
      <c r="N3632" s="123"/>
      <c r="O3632" s="228"/>
      <c r="P3632" s="844"/>
      <c r="Q3632" s="845"/>
      <c r="R3632" s="844"/>
      <c r="S3632" s="832"/>
      <c r="T3632" s="3082"/>
      <c r="U3632" s="123"/>
      <c r="V3632" s="4031"/>
      <c r="W3632" s="865">
        <v>18</v>
      </c>
      <c r="X3632" s="865">
        <v>18</v>
      </c>
      <c r="Y3632" s="865">
        <v>18</v>
      </c>
      <c r="Z3632" s="865">
        <v>18</v>
      </c>
      <c r="AA3632" s="865">
        <v>18</v>
      </c>
      <c r="AB3632" s="865">
        <v>18</v>
      </c>
      <c r="AC3632" s="865">
        <v>18</v>
      </c>
      <c r="AD3632" s="865"/>
      <c r="AE3632" s="865"/>
      <c r="AF3632" s="865"/>
      <c r="AG3632" s="865"/>
      <c r="AH3632" s="1942"/>
      <c r="AI3632" s="1942"/>
      <c r="AJ3632" s="1942"/>
      <c r="AK3632" s="1942"/>
      <c r="AL3632" s="1942"/>
      <c r="AM3632" s="1942"/>
      <c r="AN3632" s="1942"/>
      <c r="AO3632" s="1942"/>
      <c r="AP3632" s="1942"/>
      <c r="AQ3632" s="1942"/>
      <c r="AR3632" s="1942"/>
      <c r="AS3632" s="1942"/>
      <c r="AT3632" s="1942"/>
      <c r="AU3632" s="1942"/>
      <c r="AV3632" s="1942"/>
      <c r="AW3632" s="1942"/>
      <c r="AX3632" s="1942"/>
      <c r="AY3632" s="1942"/>
      <c r="AZ3632" s="1942"/>
      <c r="BA3632" s="1942"/>
      <c r="BB3632" s="575"/>
      <c r="BC3632" s="576"/>
      <c r="BD3632" s="678"/>
      <c r="BE3632" s="585"/>
    </row>
    <row r="3633" spans="1:57" s="1942" customFormat="1" ht="14.45" hidden="1" customHeight="1" outlineLevel="1" x14ac:dyDescent="0.25">
      <c r="A3633" s="2060"/>
      <c r="B3633" s="576"/>
      <c r="C3633" s="328"/>
      <c r="D3633" s="3990"/>
      <c r="E3633" s="4009"/>
      <c r="F3633" s="3016" t="str">
        <f t="shared" si="271"/>
        <v>ASHP-SEER20-Replace_CAC_ElectricHeat_ROF_MF_CompE</v>
      </c>
      <c r="G3633" s="2673"/>
      <c r="H3633" s="2673"/>
      <c r="I3633" s="2673"/>
      <c r="J3633" s="3302" t="str">
        <f t="shared" ref="J3633:J3638" si="273">C1555</f>
        <v>353501_2019_12_</v>
      </c>
      <c r="K3633" s="3054">
        <v>18</v>
      </c>
      <c r="L3633" s="861"/>
      <c r="M3633" s="858"/>
      <c r="N3633" s="123"/>
      <c r="O3633" s="228"/>
      <c r="P3633" s="844"/>
      <c r="Q3633" s="845"/>
      <c r="R3633" s="844"/>
      <c r="S3633" s="832"/>
      <c r="T3633" s="3082"/>
      <c r="U3633" s="123"/>
      <c r="V3633" s="4031"/>
      <c r="W3633" s="865"/>
      <c r="X3633" s="865"/>
      <c r="Y3633" s="865"/>
      <c r="Z3633" s="865"/>
      <c r="AA3633" s="865"/>
      <c r="AB3633" s="865"/>
      <c r="AC3633" s="3054">
        <v>18</v>
      </c>
      <c r="AD3633" s="865"/>
      <c r="AE3633" s="865"/>
      <c r="AF3633" s="865"/>
      <c r="AG3633" s="865"/>
      <c r="BB3633" s="575"/>
      <c r="BC3633" s="576"/>
      <c r="BD3633" s="678"/>
      <c r="BE3633" s="585"/>
    </row>
    <row r="3634" spans="1:57" s="1942" customFormat="1" ht="14.45" hidden="1" customHeight="1" outlineLevel="1" x14ac:dyDescent="0.25">
      <c r="A3634" s="2060"/>
      <c r="B3634" s="576"/>
      <c r="C3634" s="328"/>
      <c r="D3634" s="3990"/>
      <c r="E3634" s="4009"/>
      <c r="F3634" s="3016" t="str">
        <f t="shared" si="271"/>
        <v>ASHP-SEER20-Replace_CAC_ElectricHeat_ROF_MF_CompE</v>
      </c>
      <c r="G3634" s="2673"/>
      <c r="H3634" s="2673"/>
      <c r="I3634" s="2673"/>
      <c r="J3634" s="3302" t="str">
        <f t="shared" si="273"/>
        <v>353501_2019_12_</v>
      </c>
      <c r="K3634" s="3054">
        <v>18</v>
      </c>
      <c r="L3634" s="861"/>
      <c r="M3634" s="858"/>
      <c r="N3634" s="123"/>
      <c r="O3634" s="228"/>
      <c r="P3634" s="844"/>
      <c r="Q3634" s="845"/>
      <c r="R3634" s="844"/>
      <c r="S3634" s="832"/>
      <c r="T3634" s="3082"/>
      <c r="U3634" s="123"/>
      <c r="V3634" s="4031"/>
      <c r="W3634" s="865"/>
      <c r="X3634" s="865"/>
      <c r="Y3634" s="865"/>
      <c r="Z3634" s="865"/>
      <c r="AA3634" s="865"/>
      <c r="AB3634" s="865"/>
      <c r="AC3634" s="3054">
        <v>18</v>
      </c>
      <c r="AD3634" s="865"/>
      <c r="AE3634" s="865"/>
      <c r="AF3634" s="865"/>
      <c r="AG3634" s="865"/>
      <c r="BB3634" s="575"/>
      <c r="BC3634" s="576"/>
      <c r="BD3634" s="678"/>
      <c r="BE3634" s="585"/>
    </row>
    <row r="3635" spans="1:57" s="1942" customFormat="1" ht="14.45" hidden="1" customHeight="1" outlineLevel="1" x14ac:dyDescent="0.25">
      <c r="A3635" s="2060"/>
      <c r="B3635" s="576"/>
      <c r="C3635" s="328"/>
      <c r="D3635" s="3990"/>
      <c r="E3635" s="4009"/>
      <c r="F3635" s="3016" t="str">
        <f t="shared" si="271"/>
        <v>ASHP-SEER20-Replace_CAC_NonElectricHeat_ROF_MF</v>
      </c>
      <c r="G3635" s="2673"/>
      <c r="H3635" s="2673"/>
      <c r="I3635" s="2673"/>
      <c r="J3635" s="3301" t="str">
        <f t="shared" si="273"/>
        <v>353510_2021_12_</v>
      </c>
      <c r="K3635" s="3054">
        <v>18</v>
      </c>
      <c r="L3635" s="861"/>
      <c r="M3635" s="858"/>
      <c r="N3635" s="123"/>
      <c r="O3635" s="228"/>
      <c r="P3635" s="844"/>
      <c r="Q3635" s="845"/>
      <c r="R3635" s="844"/>
      <c r="S3635" s="832"/>
      <c r="T3635" s="3082"/>
      <c r="U3635" s="123"/>
      <c r="V3635" s="4031"/>
      <c r="W3635" s="865"/>
      <c r="X3635" s="865"/>
      <c r="Y3635" s="865"/>
      <c r="Z3635" s="865"/>
      <c r="AA3635" s="865"/>
      <c r="AB3635" s="865"/>
      <c r="AC3635" s="3054">
        <v>18</v>
      </c>
      <c r="AD3635" s="865"/>
      <c r="AE3635" s="865"/>
      <c r="AF3635" s="865"/>
      <c r="AG3635" s="865"/>
      <c r="BB3635" s="575"/>
      <c r="BC3635" s="576"/>
      <c r="BD3635" s="678"/>
      <c r="BE3635" s="585"/>
    </row>
    <row r="3636" spans="1:57" s="1942" customFormat="1" ht="14.45" hidden="1" customHeight="1" outlineLevel="1" x14ac:dyDescent="0.25">
      <c r="A3636" s="2060"/>
      <c r="B3636" s="576"/>
      <c r="C3636" s="328"/>
      <c r="D3636" s="3990"/>
      <c r="E3636" s="4009"/>
      <c r="F3636" s="3016" t="str">
        <f t="shared" si="271"/>
        <v>ASHP-SEER20-Replace_CAC_NonElectricHeat_ROF_MF</v>
      </c>
      <c r="G3636" s="2673"/>
      <c r="H3636" s="2673"/>
      <c r="I3636" s="2673"/>
      <c r="J3636" s="3301" t="str">
        <f t="shared" si="273"/>
        <v>353510_2021_12_</v>
      </c>
      <c r="K3636" s="3054">
        <v>18</v>
      </c>
      <c r="L3636" s="861"/>
      <c r="M3636" s="858"/>
      <c r="N3636" s="123"/>
      <c r="O3636" s="228"/>
      <c r="P3636" s="844"/>
      <c r="Q3636" s="845"/>
      <c r="R3636" s="844"/>
      <c r="S3636" s="832"/>
      <c r="T3636" s="3082"/>
      <c r="U3636" s="123"/>
      <c r="V3636" s="4031"/>
      <c r="W3636" s="865"/>
      <c r="X3636" s="865"/>
      <c r="Y3636" s="865"/>
      <c r="Z3636" s="865"/>
      <c r="AA3636" s="865"/>
      <c r="AB3636" s="865"/>
      <c r="AC3636" s="3054">
        <v>18</v>
      </c>
      <c r="AD3636" s="865"/>
      <c r="AE3636" s="865"/>
      <c r="AF3636" s="865"/>
      <c r="AG3636" s="865"/>
      <c r="BB3636" s="575"/>
      <c r="BC3636" s="576"/>
      <c r="BD3636" s="678"/>
      <c r="BE3636" s="585"/>
    </row>
    <row r="3637" spans="1:57" s="1942" customFormat="1" ht="14.45" hidden="1" customHeight="1" outlineLevel="1" x14ac:dyDescent="0.25">
      <c r="A3637" s="2060"/>
      <c r="B3637" s="576"/>
      <c r="C3637" s="328"/>
      <c r="D3637" s="3990"/>
      <c r="E3637" s="4009"/>
      <c r="F3637" s="3016" t="str">
        <f t="shared" si="271"/>
        <v>ASHP-SEER20-Replace_CAC_NonElectricHeat_ROF_MF_CompE</v>
      </c>
      <c r="G3637" s="2673"/>
      <c r="H3637" s="2673"/>
      <c r="I3637" s="2673"/>
      <c r="J3637" s="3301" t="str">
        <f t="shared" si="273"/>
        <v>353511_2021_12_</v>
      </c>
      <c r="K3637" s="3054">
        <v>18</v>
      </c>
      <c r="L3637" s="861"/>
      <c r="M3637" s="858"/>
      <c r="N3637" s="123"/>
      <c r="O3637" s="228"/>
      <c r="P3637" s="844"/>
      <c r="Q3637" s="845"/>
      <c r="R3637" s="844"/>
      <c r="S3637" s="832"/>
      <c r="T3637" s="3082"/>
      <c r="U3637" s="123"/>
      <c r="V3637" s="4031"/>
      <c r="W3637" s="865"/>
      <c r="X3637" s="865"/>
      <c r="Y3637" s="865"/>
      <c r="Z3637" s="865"/>
      <c r="AA3637" s="865"/>
      <c r="AB3637" s="865"/>
      <c r="AC3637" s="3054">
        <v>18</v>
      </c>
      <c r="AD3637" s="865"/>
      <c r="AE3637" s="865"/>
      <c r="AF3637" s="865"/>
      <c r="AG3637" s="865"/>
      <c r="BB3637" s="575"/>
      <c r="BC3637" s="576"/>
      <c r="BD3637" s="678"/>
      <c r="BE3637" s="585"/>
    </row>
    <row r="3638" spans="1:57" s="1942" customFormat="1" ht="14.45" hidden="1" customHeight="1" outlineLevel="1" x14ac:dyDescent="0.25">
      <c r="A3638" s="2060"/>
      <c r="B3638" s="576"/>
      <c r="C3638" s="328"/>
      <c r="D3638" s="3990"/>
      <c r="E3638" s="4009"/>
      <c r="F3638" s="3016" t="str">
        <f t="shared" si="271"/>
        <v>ASHP-SEER20-Replace_CAC_NonElectricHeat_ROF_MF_CompE</v>
      </c>
      <c r="G3638" s="2673"/>
      <c r="H3638" s="2673"/>
      <c r="I3638" s="2673"/>
      <c r="J3638" s="3301" t="str">
        <f t="shared" si="273"/>
        <v>353511_2021_12_</v>
      </c>
      <c r="K3638" s="3054">
        <v>18</v>
      </c>
      <c r="L3638" s="861"/>
      <c r="M3638" s="858"/>
      <c r="N3638" s="123"/>
      <c r="O3638" s="228"/>
      <c r="P3638" s="844"/>
      <c r="Q3638" s="845"/>
      <c r="R3638" s="844"/>
      <c r="S3638" s="832"/>
      <c r="T3638" s="3082"/>
      <c r="U3638" s="123"/>
      <c r="V3638" s="4031"/>
      <c r="W3638" s="865"/>
      <c r="X3638" s="865"/>
      <c r="Y3638" s="865"/>
      <c r="Z3638" s="865"/>
      <c r="AA3638" s="865"/>
      <c r="AB3638" s="865"/>
      <c r="AC3638" s="3054">
        <v>18</v>
      </c>
      <c r="AD3638" s="865"/>
      <c r="AE3638" s="865"/>
      <c r="AF3638" s="865"/>
      <c r="AG3638" s="865"/>
      <c r="BB3638" s="575"/>
      <c r="BC3638" s="576"/>
      <c r="BD3638" s="678"/>
      <c r="BE3638" s="585"/>
    </row>
    <row r="3639" spans="1:57" s="51" customFormat="1" ht="14.45" hidden="1" customHeight="1" outlineLevel="1" x14ac:dyDescent="0.25">
      <c r="A3639" s="2060"/>
      <c r="B3639" s="576"/>
      <c r="C3639" s="328"/>
      <c r="D3639" s="3990"/>
      <c r="E3639" s="4009"/>
      <c r="F3639" s="3016" t="str">
        <f t="shared" si="271"/>
        <v>ASHP-SEER21-Replace_CAC_ElectricHeat_ER1_SF</v>
      </c>
      <c r="G3639" s="2673"/>
      <c r="H3639" s="2673"/>
      <c r="I3639" s="2673"/>
      <c r="J3639" s="3301" t="str">
        <f>C1561</f>
        <v>353550_2021_12_</v>
      </c>
      <c r="K3639" s="865">
        <v>6</v>
      </c>
      <c r="L3639" s="861"/>
      <c r="M3639" s="858"/>
      <c r="N3639" s="123"/>
      <c r="O3639" s="228"/>
      <c r="P3639" s="844"/>
      <c r="Q3639" s="845"/>
      <c r="R3639" s="844"/>
      <c r="S3639" s="832"/>
      <c r="T3639" s="3082"/>
      <c r="U3639" s="123"/>
      <c r="V3639" s="4031"/>
      <c r="W3639" s="865">
        <v>6</v>
      </c>
      <c r="X3639" s="865">
        <v>6</v>
      </c>
      <c r="Y3639" s="865">
        <v>6</v>
      </c>
      <c r="Z3639" s="865">
        <v>6</v>
      </c>
      <c r="AA3639" s="865">
        <v>6</v>
      </c>
      <c r="AB3639" s="865">
        <v>6</v>
      </c>
      <c r="AC3639" s="865">
        <v>6</v>
      </c>
      <c r="AD3639" s="865"/>
      <c r="AE3639" s="865"/>
      <c r="AF3639" s="865"/>
      <c r="AG3639" s="865"/>
      <c r="AH3639" s="1942"/>
      <c r="AI3639" s="1942"/>
      <c r="AJ3639" s="1942"/>
      <c r="AK3639" s="1942"/>
      <c r="AL3639" s="1942"/>
      <c r="AM3639" s="1942"/>
      <c r="AN3639" s="1942"/>
      <c r="AO3639" s="1942"/>
      <c r="AP3639" s="1942"/>
      <c r="AQ3639" s="1942"/>
      <c r="AR3639" s="1942"/>
      <c r="AS3639" s="1942"/>
      <c r="AT3639" s="1942"/>
      <c r="AU3639" s="1942"/>
      <c r="AV3639" s="1942"/>
      <c r="AW3639" s="1942"/>
      <c r="AX3639" s="1942"/>
      <c r="AY3639" s="1942"/>
      <c r="AZ3639" s="1942"/>
      <c r="BA3639" s="1942"/>
      <c r="BB3639" s="575"/>
      <c r="BC3639" s="576"/>
      <c r="BD3639" s="678"/>
      <c r="BE3639" s="585"/>
    </row>
    <row r="3640" spans="1:57" s="51" customFormat="1" ht="14.45" hidden="1" customHeight="1" outlineLevel="1" x14ac:dyDescent="0.25">
      <c r="A3640" s="2060"/>
      <c r="B3640" s="576"/>
      <c r="C3640" s="328"/>
      <c r="D3640" s="3990"/>
      <c r="E3640" s="4009"/>
      <c r="F3640" s="3016" t="str">
        <f t="shared" si="271"/>
        <v>ASHP-SEER21-Replace_CAC_ElectricHeat_ER1_SF</v>
      </c>
      <c r="G3640" s="2673"/>
      <c r="H3640" s="2673"/>
      <c r="I3640" s="2673"/>
      <c r="J3640" s="3301" t="str">
        <f>C1562</f>
        <v>353550_2021_12_</v>
      </c>
      <c r="K3640" s="865">
        <v>6</v>
      </c>
      <c r="L3640" s="861"/>
      <c r="M3640" s="858"/>
      <c r="N3640" s="123"/>
      <c r="O3640" s="228"/>
      <c r="P3640" s="844"/>
      <c r="Q3640" s="845"/>
      <c r="R3640" s="844"/>
      <c r="S3640" s="832"/>
      <c r="T3640" s="3082"/>
      <c r="U3640" s="123"/>
      <c r="V3640" s="4031"/>
      <c r="W3640" s="865">
        <v>6</v>
      </c>
      <c r="X3640" s="865">
        <v>6</v>
      </c>
      <c r="Y3640" s="865">
        <v>6</v>
      </c>
      <c r="Z3640" s="865">
        <v>6</v>
      </c>
      <c r="AA3640" s="865">
        <v>6</v>
      </c>
      <c r="AB3640" s="865">
        <v>6</v>
      </c>
      <c r="AC3640" s="865">
        <v>6</v>
      </c>
      <c r="AD3640" s="865"/>
      <c r="AE3640" s="865"/>
      <c r="AF3640" s="865"/>
      <c r="AG3640" s="865"/>
      <c r="AH3640" s="1942"/>
      <c r="AI3640" s="1942"/>
      <c r="AJ3640" s="1942"/>
      <c r="AK3640" s="1942"/>
      <c r="AL3640" s="1942"/>
      <c r="AM3640" s="1942"/>
      <c r="AN3640" s="1942"/>
      <c r="AO3640" s="1942"/>
      <c r="AP3640" s="1942"/>
      <c r="AQ3640" s="1942"/>
      <c r="AR3640" s="1942"/>
      <c r="AS3640" s="1942"/>
      <c r="AT3640" s="1942"/>
      <c r="AU3640" s="1942"/>
      <c r="AV3640" s="1942"/>
      <c r="AW3640" s="1942"/>
      <c r="AX3640" s="1942"/>
      <c r="AY3640" s="1942"/>
      <c r="AZ3640" s="1942"/>
      <c r="BA3640" s="1942"/>
      <c r="BB3640" s="575"/>
      <c r="BC3640" s="576"/>
      <c r="BD3640" s="678"/>
      <c r="BE3640" s="585"/>
    </row>
    <row r="3641" spans="1:57" s="51" customFormat="1" ht="14.45" hidden="1" customHeight="1" outlineLevel="1" x14ac:dyDescent="0.25">
      <c r="A3641" s="2060"/>
      <c r="B3641" s="576"/>
      <c r="C3641" s="328"/>
      <c r="D3641" s="3990"/>
      <c r="E3641" s="4009"/>
      <c r="F3641" s="3016" t="str">
        <f t="shared" si="271"/>
        <v>ASHP-SEER21-Replace_CAC_ElectricHeat_ER2_SF</v>
      </c>
      <c r="G3641" s="2673"/>
      <c r="H3641" s="2673"/>
      <c r="I3641" s="2673"/>
      <c r="J3641" s="3301" t="str">
        <f>C1563</f>
        <v>353550_2021_12_</v>
      </c>
      <c r="K3641" s="865">
        <v>12</v>
      </c>
      <c r="L3641" s="861"/>
      <c r="M3641" s="858"/>
      <c r="N3641" s="123"/>
      <c r="O3641" s="228"/>
      <c r="P3641" s="844"/>
      <c r="Q3641" s="845"/>
      <c r="R3641" s="844"/>
      <c r="S3641" s="832"/>
      <c r="T3641" s="3082"/>
      <c r="U3641" s="123"/>
      <c r="V3641" s="4031"/>
      <c r="W3641" s="865">
        <v>12</v>
      </c>
      <c r="X3641" s="865">
        <v>12</v>
      </c>
      <c r="Y3641" s="865">
        <v>12</v>
      </c>
      <c r="Z3641" s="865">
        <v>12</v>
      </c>
      <c r="AA3641" s="865">
        <v>12</v>
      </c>
      <c r="AB3641" s="865">
        <v>12</v>
      </c>
      <c r="AC3641" s="865">
        <v>12</v>
      </c>
      <c r="AD3641" s="865"/>
      <c r="AE3641" s="865"/>
      <c r="AF3641" s="865"/>
      <c r="AG3641" s="865"/>
      <c r="AH3641" s="1942"/>
      <c r="AI3641" s="1942"/>
      <c r="AJ3641" s="1942"/>
      <c r="AK3641" s="1942"/>
      <c r="AL3641" s="1942"/>
      <c r="AM3641" s="1942"/>
      <c r="AN3641" s="1942"/>
      <c r="AO3641" s="1942"/>
      <c r="AP3641" s="1942"/>
      <c r="AQ3641" s="1942"/>
      <c r="AR3641" s="1942"/>
      <c r="AS3641" s="1942"/>
      <c r="AT3641" s="1942"/>
      <c r="AU3641" s="1942"/>
      <c r="AV3641" s="1942"/>
      <c r="AW3641" s="1942"/>
      <c r="AX3641" s="1942"/>
      <c r="AY3641" s="1942"/>
      <c r="AZ3641" s="1942"/>
      <c r="BA3641" s="1942"/>
      <c r="BB3641" s="575"/>
      <c r="BC3641" s="576"/>
      <c r="BD3641" s="678"/>
      <c r="BE3641" s="585"/>
    </row>
    <row r="3642" spans="1:57" s="51" customFormat="1" ht="14.45" hidden="1" customHeight="1" outlineLevel="1" x14ac:dyDescent="0.25">
      <c r="A3642" s="2060"/>
      <c r="B3642" s="576"/>
      <c r="C3642" s="328"/>
      <c r="D3642" s="3990"/>
      <c r="E3642" s="4009"/>
      <c r="F3642" s="3016" t="str">
        <f t="shared" si="271"/>
        <v>ASHP-SEER21-Replace_CAC_ElectricHeat_ER2_SF</v>
      </c>
      <c r="G3642" s="2673"/>
      <c r="H3642" s="2673"/>
      <c r="I3642" s="2673"/>
      <c r="J3642" s="3301" t="str">
        <f>C1564</f>
        <v>353550_2021_12_</v>
      </c>
      <c r="K3642" s="865">
        <v>12</v>
      </c>
      <c r="L3642" s="861"/>
      <c r="M3642" s="858"/>
      <c r="N3642" s="123"/>
      <c r="O3642" s="228"/>
      <c r="P3642" s="844"/>
      <c r="Q3642" s="845"/>
      <c r="R3642" s="844"/>
      <c r="S3642" s="832"/>
      <c r="T3642" s="3082"/>
      <c r="U3642" s="123"/>
      <c r="V3642" s="4031"/>
      <c r="W3642" s="865">
        <v>12</v>
      </c>
      <c r="X3642" s="865">
        <v>12</v>
      </c>
      <c r="Y3642" s="865">
        <v>12</v>
      </c>
      <c r="Z3642" s="865">
        <v>12</v>
      </c>
      <c r="AA3642" s="865">
        <v>12</v>
      </c>
      <c r="AB3642" s="865">
        <v>12</v>
      </c>
      <c r="AC3642" s="865">
        <v>12</v>
      </c>
      <c r="AD3642" s="865"/>
      <c r="AE3642" s="865"/>
      <c r="AF3642" s="865"/>
      <c r="AG3642" s="865"/>
      <c r="AH3642" s="1942"/>
      <c r="AI3642" s="1942"/>
      <c r="AJ3642" s="1942"/>
      <c r="AK3642" s="1942"/>
      <c r="AL3642" s="1942"/>
      <c r="AM3642" s="1942"/>
      <c r="AN3642" s="1942"/>
      <c r="AO3642" s="1942"/>
      <c r="AP3642" s="1942"/>
      <c r="AQ3642" s="1942"/>
      <c r="AR3642" s="1942"/>
      <c r="AS3642" s="1942"/>
      <c r="AT3642" s="1942"/>
      <c r="AU3642" s="1942"/>
      <c r="AV3642" s="1942"/>
      <c r="AW3642" s="1942"/>
      <c r="AX3642" s="1942"/>
      <c r="AY3642" s="1942"/>
      <c r="AZ3642" s="1942"/>
      <c r="BA3642" s="1942"/>
      <c r="BB3642" s="575"/>
      <c r="BC3642" s="576"/>
      <c r="BD3642" s="678"/>
      <c r="BE3642" s="585"/>
    </row>
    <row r="3643" spans="1:57" s="1942" customFormat="1" ht="14.45" hidden="1" customHeight="1" outlineLevel="1" x14ac:dyDescent="0.25">
      <c r="A3643" s="2060"/>
      <c r="B3643" s="576"/>
      <c r="C3643" s="328"/>
      <c r="D3643" s="3990"/>
      <c r="E3643" s="4009"/>
      <c r="F3643" s="3016" t="str">
        <f t="shared" si="271"/>
        <v>ASHP-SEER21-Replace_CAC_NonElectricHeat_ER1_SF</v>
      </c>
      <c r="G3643" s="2673"/>
      <c r="H3643" s="2673"/>
      <c r="I3643" s="2673"/>
      <c r="J3643" s="3301" t="str">
        <f t="shared" ref="J3643:J3646" si="274">C1565</f>
        <v>353560_2021_12_</v>
      </c>
      <c r="K3643" s="3054">
        <v>6</v>
      </c>
      <c r="L3643" s="861"/>
      <c r="M3643" s="858"/>
      <c r="N3643" s="123"/>
      <c r="O3643" s="228"/>
      <c r="P3643" s="844"/>
      <c r="Q3643" s="845"/>
      <c r="R3643" s="844"/>
      <c r="S3643" s="832"/>
      <c r="T3643" s="3082"/>
      <c r="U3643" s="123"/>
      <c r="V3643" s="4031"/>
      <c r="W3643" s="865"/>
      <c r="X3643" s="865"/>
      <c r="Y3643" s="865"/>
      <c r="Z3643" s="865"/>
      <c r="AA3643" s="865"/>
      <c r="AB3643" s="865"/>
      <c r="AC3643" s="3054">
        <v>6</v>
      </c>
      <c r="AD3643" s="865"/>
      <c r="AE3643" s="865"/>
      <c r="AF3643" s="865"/>
      <c r="AG3643" s="865"/>
      <c r="BB3643" s="575"/>
      <c r="BC3643" s="576"/>
      <c r="BD3643" s="678"/>
      <c r="BE3643" s="585"/>
    </row>
    <row r="3644" spans="1:57" s="1942" customFormat="1" ht="14.45" hidden="1" customHeight="1" outlineLevel="1" x14ac:dyDescent="0.25">
      <c r="A3644" s="2060"/>
      <c r="B3644" s="576"/>
      <c r="C3644" s="328"/>
      <c r="D3644" s="3990"/>
      <c r="E3644" s="4009"/>
      <c r="F3644" s="3016" t="str">
        <f t="shared" si="271"/>
        <v>ASHP-SEER21-Replace_CAC_NonElectricHeat_ER1_SF</v>
      </c>
      <c r="G3644" s="2673"/>
      <c r="H3644" s="2673"/>
      <c r="I3644" s="2673"/>
      <c r="J3644" s="3301" t="str">
        <f t="shared" si="274"/>
        <v>353560_2021_12_</v>
      </c>
      <c r="K3644" s="3054">
        <v>6</v>
      </c>
      <c r="L3644" s="861"/>
      <c r="M3644" s="858"/>
      <c r="N3644" s="123"/>
      <c r="O3644" s="228"/>
      <c r="P3644" s="844"/>
      <c r="Q3644" s="845"/>
      <c r="R3644" s="844"/>
      <c r="S3644" s="832"/>
      <c r="T3644" s="3082"/>
      <c r="U3644" s="123"/>
      <c r="V3644" s="4031"/>
      <c r="W3644" s="865"/>
      <c r="X3644" s="865"/>
      <c r="Y3644" s="865"/>
      <c r="Z3644" s="865"/>
      <c r="AA3644" s="865"/>
      <c r="AB3644" s="865"/>
      <c r="AC3644" s="3054">
        <v>6</v>
      </c>
      <c r="AD3644" s="865"/>
      <c r="AE3644" s="865"/>
      <c r="AF3644" s="865"/>
      <c r="AG3644" s="865"/>
      <c r="BB3644" s="575"/>
      <c r="BC3644" s="576"/>
      <c r="BD3644" s="678"/>
      <c r="BE3644" s="585"/>
    </row>
    <row r="3645" spans="1:57" s="1942" customFormat="1" ht="14.45" hidden="1" customHeight="1" outlineLevel="1" x14ac:dyDescent="0.25">
      <c r="A3645" s="2060"/>
      <c r="B3645" s="576"/>
      <c r="C3645" s="328"/>
      <c r="D3645" s="3990"/>
      <c r="E3645" s="4009"/>
      <c r="F3645" s="3016" t="str">
        <f t="shared" si="271"/>
        <v>ASHP-SEER21-Replace_CAC_NonElectricHeat_ER2_SF</v>
      </c>
      <c r="G3645" s="2673"/>
      <c r="H3645" s="2673"/>
      <c r="I3645" s="2673"/>
      <c r="J3645" s="3301" t="str">
        <f t="shared" si="274"/>
        <v>353560_2021_12_</v>
      </c>
      <c r="K3645" s="3054">
        <v>12</v>
      </c>
      <c r="L3645" s="861"/>
      <c r="M3645" s="858"/>
      <c r="N3645" s="123"/>
      <c r="O3645" s="228"/>
      <c r="P3645" s="844"/>
      <c r="Q3645" s="845"/>
      <c r="R3645" s="844"/>
      <c r="S3645" s="832"/>
      <c r="T3645" s="3082"/>
      <c r="U3645" s="123"/>
      <c r="V3645" s="4031"/>
      <c r="W3645" s="865"/>
      <c r="X3645" s="865"/>
      <c r="Y3645" s="865"/>
      <c r="Z3645" s="865"/>
      <c r="AA3645" s="865"/>
      <c r="AB3645" s="865"/>
      <c r="AC3645" s="3054">
        <v>12</v>
      </c>
      <c r="AD3645" s="865"/>
      <c r="AE3645" s="865"/>
      <c r="AF3645" s="865"/>
      <c r="AG3645" s="865"/>
      <c r="BB3645" s="575"/>
      <c r="BC3645" s="576"/>
      <c r="BD3645" s="678"/>
      <c r="BE3645" s="585"/>
    </row>
    <row r="3646" spans="1:57" s="1942" customFormat="1" ht="14.45" hidden="1" customHeight="1" outlineLevel="1" x14ac:dyDescent="0.25">
      <c r="A3646" s="2060"/>
      <c r="B3646" s="576"/>
      <c r="C3646" s="328"/>
      <c r="D3646" s="3990"/>
      <c r="E3646" s="4009"/>
      <c r="F3646" s="3016" t="str">
        <f t="shared" si="271"/>
        <v>ASHP-SEER21-Replace_CAC_NonElectricHeat_ER2_SF</v>
      </c>
      <c r="G3646" s="2673"/>
      <c r="H3646" s="2673"/>
      <c r="I3646" s="2673"/>
      <c r="J3646" s="3301" t="str">
        <f t="shared" si="274"/>
        <v>353560_2021_12_</v>
      </c>
      <c r="K3646" s="3054">
        <v>12</v>
      </c>
      <c r="L3646" s="861"/>
      <c r="M3646" s="858"/>
      <c r="N3646" s="123"/>
      <c r="O3646" s="228"/>
      <c r="P3646" s="844"/>
      <c r="Q3646" s="845"/>
      <c r="R3646" s="844"/>
      <c r="S3646" s="832"/>
      <c r="T3646" s="3082"/>
      <c r="U3646" s="123"/>
      <c r="V3646" s="4031"/>
      <c r="W3646" s="865"/>
      <c r="X3646" s="865"/>
      <c r="Y3646" s="865"/>
      <c r="Z3646" s="865"/>
      <c r="AA3646" s="865"/>
      <c r="AB3646" s="865"/>
      <c r="AC3646" s="3054">
        <v>12</v>
      </c>
      <c r="AD3646" s="865"/>
      <c r="AE3646" s="865"/>
      <c r="AF3646" s="865"/>
      <c r="AG3646" s="865"/>
      <c r="BB3646" s="575"/>
      <c r="BC3646" s="576"/>
      <c r="BD3646" s="678"/>
      <c r="BE3646" s="585"/>
    </row>
    <row r="3647" spans="1:57" s="51" customFormat="1" ht="14.45" hidden="1" customHeight="1" outlineLevel="1" x14ac:dyDescent="0.25">
      <c r="A3647" s="2060"/>
      <c r="B3647" s="576"/>
      <c r="C3647" s="328"/>
      <c r="D3647" s="3990"/>
      <c r="E3647" s="4009"/>
      <c r="F3647" s="3016" t="str">
        <f t="shared" si="271"/>
        <v>ASHP-SEER21-Replace_CAC_ElectricHeat_ER1_MF</v>
      </c>
      <c r="G3647" s="2673"/>
      <c r="H3647" s="2673"/>
      <c r="I3647" s="2673"/>
      <c r="J3647" s="3302" t="str">
        <f>C1569</f>
        <v>353600_2019_12_</v>
      </c>
      <c r="K3647" s="865">
        <v>6</v>
      </c>
      <c r="L3647" s="861"/>
      <c r="M3647" s="858"/>
      <c r="N3647" s="123"/>
      <c r="O3647" s="228"/>
      <c r="P3647" s="844"/>
      <c r="Q3647" s="845"/>
      <c r="R3647" s="844"/>
      <c r="S3647" s="832"/>
      <c r="T3647" s="3082"/>
      <c r="U3647" s="123"/>
      <c r="V3647" s="4031"/>
      <c r="W3647" s="865">
        <v>6</v>
      </c>
      <c r="X3647" s="865">
        <v>6</v>
      </c>
      <c r="Y3647" s="865">
        <v>6</v>
      </c>
      <c r="Z3647" s="865">
        <v>6</v>
      </c>
      <c r="AA3647" s="865">
        <v>6</v>
      </c>
      <c r="AB3647" s="865">
        <v>6</v>
      </c>
      <c r="AC3647" s="865">
        <v>6</v>
      </c>
      <c r="AD3647" s="865"/>
      <c r="AE3647" s="865"/>
      <c r="AF3647" s="865"/>
      <c r="AG3647" s="865"/>
      <c r="AH3647" s="1942"/>
      <c r="AI3647" s="1942"/>
      <c r="AJ3647" s="1942"/>
      <c r="AK3647" s="1942"/>
      <c r="AL3647" s="1942"/>
      <c r="AM3647" s="1942"/>
      <c r="AN3647" s="1942"/>
      <c r="AO3647" s="1942"/>
      <c r="AP3647" s="1942"/>
      <c r="AQ3647" s="1942"/>
      <c r="AR3647" s="1942"/>
      <c r="AS3647" s="1942"/>
      <c r="AT3647" s="1942"/>
      <c r="AU3647" s="1942"/>
      <c r="AV3647" s="1942"/>
      <c r="AW3647" s="1942"/>
      <c r="AX3647" s="1942"/>
      <c r="AY3647" s="1942"/>
      <c r="AZ3647" s="1942"/>
      <c r="BA3647" s="1942"/>
      <c r="BB3647" s="575"/>
      <c r="BC3647" s="576"/>
      <c r="BD3647" s="678"/>
      <c r="BE3647" s="585"/>
    </row>
    <row r="3648" spans="1:57" s="51" customFormat="1" ht="14.45" hidden="1" customHeight="1" outlineLevel="1" x14ac:dyDescent="0.25">
      <c r="A3648" s="2060"/>
      <c r="B3648" s="576"/>
      <c r="C3648" s="328"/>
      <c r="D3648" s="3990"/>
      <c r="E3648" s="4009"/>
      <c r="F3648" s="3016" t="str">
        <f t="shared" si="271"/>
        <v>ASHP-SEER21-Replace_CAC_ElectricHeat_ER1_MF</v>
      </c>
      <c r="G3648" s="2673"/>
      <c r="H3648" s="2673"/>
      <c r="I3648" s="2673"/>
      <c r="J3648" s="3302" t="str">
        <f>C1570</f>
        <v>353600_2019_12_</v>
      </c>
      <c r="K3648" s="865">
        <v>6</v>
      </c>
      <c r="L3648" s="861"/>
      <c r="M3648" s="858"/>
      <c r="N3648" s="123"/>
      <c r="O3648" s="228"/>
      <c r="P3648" s="844"/>
      <c r="Q3648" s="845"/>
      <c r="R3648" s="844"/>
      <c r="S3648" s="832"/>
      <c r="T3648" s="3082"/>
      <c r="U3648" s="123"/>
      <c r="V3648" s="4031"/>
      <c r="W3648" s="865">
        <v>6</v>
      </c>
      <c r="X3648" s="865">
        <v>6</v>
      </c>
      <c r="Y3648" s="865">
        <v>6</v>
      </c>
      <c r="Z3648" s="865">
        <v>6</v>
      </c>
      <c r="AA3648" s="865">
        <v>6</v>
      </c>
      <c r="AB3648" s="865">
        <v>6</v>
      </c>
      <c r="AC3648" s="865">
        <v>6</v>
      </c>
      <c r="AD3648" s="865"/>
      <c r="AE3648" s="865"/>
      <c r="AF3648" s="865"/>
      <c r="AG3648" s="865"/>
      <c r="AH3648" s="1942"/>
      <c r="AI3648" s="1942"/>
      <c r="AJ3648" s="1942"/>
      <c r="AK3648" s="1942"/>
      <c r="AL3648" s="1942"/>
      <c r="AM3648" s="1942"/>
      <c r="AN3648" s="1942"/>
      <c r="AO3648" s="1942"/>
      <c r="AP3648" s="1942"/>
      <c r="AQ3648" s="1942"/>
      <c r="AR3648" s="1942"/>
      <c r="AS3648" s="1942"/>
      <c r="AT3648" s="1942"/>
      <c r="AU3648" s="1942"/>
      <c r="AV3648" s="1942"/>
      <c r="AW3648" s="1942"/>
      <c r="AX3648" s="1942"/>
      <c r="AY3648" s="1942"/>
      <c r="AZ3648" s="1942"/>
      <c r="BA3648" s="1942"/>
      <c r="BB3648" s="575"/>
      <c r="BC3648" s="576"/>
      <c r="BD3648" s="678"/>
      <c r="BE3648" s="585"/>
    </row>
    <row r="3649" spans="1:57" s="51" customFormat="1" ht="14.45" hidden="1" customHeight="1" outlineLevel="1" x14ac:dyDescent="0.25">
      <c r="A3649" s="2060"/>
      <c r="B3649" s="576"/>
      <c r="C3649" s="328"/>
      <c r="D3649" s="3990"/>
      <c r="E3649" s="4009"/>
      <c r="F3649" s="3016" t="str">
        <f t="shared" si="271"/>
        <v>ASHP-SEER21-Replace_CAC_ElectricHeat_ER2_MF</v>
      </c>
      <c r="G3649" s="2673"/>
      <c r="H3649" s="2673"/>
      <c r="I3649" s="2673"/>
      <c r="J3649" s="3302" t="str">
        <f>C1571</f>
        <v>353600_2019_12_</v>
      </c>
      <c r="K3649" s="865">
        <v>12</v>
      </c>
      <c r="L3649" s="861"/>
      <c r="M3649" s="858"/>
      <c r="N3649" s="123"/>
      <c r="O3649" s="228"/>
      <c r="P3649" s="844"/>
      <c r="Q3649" s="845"/>
      <c r="R3649" s="844"/>
      <c r="S3649" s="832"/>
      <c r="T3649" s="3082"/>
      <c r="U3649" s="123"/>
      <c r="V3649" s="4031"/>
      <c r="W3649" s="865">
        <v>12</v>
      </c>
      <c r="X3649" s="865">
        <v>12</v>
      </c>
      <c r="Y3649" s="865">
        <v>12</v>
      </c>
      <c r="Z3649" s="865">
        <v>12</v>
      </c>
      <c r="AA3649" s="865">
        <v>12</v>
      </c>
      <c r="AB3649" s="865">
        <v>12</v>
      </c>
      <c r="AC3649" s="865">
        <v>12</v>
      </c>
      <c r="AD3649" s="865"/>
      <c r="AE3649" s="865"/>
      <c r="AF3649" s="865"/>
      <c r="AG3649" s="865"/>
      <c r="AH3649" s="1942"/>
      <c r="AI3649" s="1942"/>
      <c r="AJ3649" s="1942"/>
      <c r="AK3649" s="1942"/>
      <c r="AL3649" s="1942"/>
      <c r="AM3649" s="1942"/>
      <c r="AN3649" s="1942"/>
      <c r="AO3649" s="1942"/>
      <c r="AP3649" s="1942"/>
      <c r="AQ3649" s="1942"/>
      <c r="AR3649" s="1942"/>
      <c r="AS3649" s="1942"/>
      <c r="AT3649" s="1942"/>
      <c r="AU3649" s="1942"/>
      <c r="AV3649" s="1942"/>
      <c r="AW3649" s="1942"/>
      <c r="AX3649" s="1942"/>
      <c r="AY3649" s="1942"/>
      <c r="AZ3649" s="1942"/>
      <c r="BA3649" s="1942"/>
      <c r="BB3649" s="575"/>
      <c r="BC3649" s="576"/>
      <c r="BD3649" s="678"/>
      <c r="BE3649" s="585"/>
    </row>
    <row r="3650" spans="1:57" s="51" customFormat="1" ht="14.45" hidden="1" customHeight="1" outlineLevel="1" x14ac:dyDescent="0.25">
      <c r="A3650" s="2060"/>
      <c r="B3650" s="576"/>
      <c r="C3650" s="328"/>
      <c r="D3650" s="3990"/>
      <c r="E3650" s="4009"/>
      <c r="F3650" s="3016" t="str">
        <f t="shared" si="271"/>
        <v>ASHP-SEER21-Replace_CAC_ElectricHeat_ER2_MF</v>
      </c>
      <c r="G3650" s="2673"/>
      <c r="H3650" s="2673"/>
      <c r="I3650" s="2673"/>
      <c r="J3650" s="3302" t="str">
        <f>C1572</f>
        <v>353600_2019_12_</v>
      </c>
      <c r="K3650" s="865">
        <v>12</v>
      </c>
      <c r="L3650" s="861"/>
      <c r="M3650" s="858"/>
      <c r="N3650" s="123"/>
      <c r="O3650" s="228"/>
      <c r="P3650" s="844"/>
      <c r="Q3650" s="845"/>
      <c r="R3650" s="844"/>
      <c r="S3650" s="832"/>
      <c r="T3650" s="3082"/>
      <c r="U3650" s="123"/>
      <c r="V3650" s="4031"/>
      <c r="W3650" s="865">
        <v>12</v>
      </c>
      <c r="X3650" s="865">
        <v>12</v>
      </c>
      <c r="Y3650" s="865">
        <v>12</v>
      </c>
      <c r="Z3650" s="865">
        <v>12</v>
      </c>
      <c r="AA3650" s="865">
        <v>12</v>
      </c>
      <c r="AB3650" s="865">
        <v>12</v>
      </c>
      <c r="AC3650" s="865">
        <v>12</v>
      </c>
      <c r="AD3650" s="865"/>
      <c r="AE3650" s="865"/>
      <c r="AF3650" s="865"/>
      <c r="AG3650" s="865"/>
      <c r="AH3650" s="1942"/>
      <c r="AI3650" s="1942"/>
      <c r="AJ3650" s="1942"/>
      <c r="AK3650" s="1942"/>
      <c r="AL3650" s="1942"/>
      <c r="AM3650" s="1942"/>
      <c r="AN3650" s="1942"/>
      <c r="AO3650" s="1942"/>
      <c r="AP3650" s="1942"/>
      <c r="AQ3650" s="1942"/>
      <c r="AR3650" s="1942"/>
      <c r="AS3650" s="1942"/>
      <c r="AT3650" s="1942"/>
      <c r="AU3650" s="1942"/>
      <c r="AV3650" s="1942"/>
      <c r="AW3650" s="1942"/>
      <c r="AX3650" s="1942"/>
      <c r="AY3650" s="1942"/>
      <c r="AZ3650" s="1942"/>
      <c r="BA3650" s="1942"/>
      <c r="BB3650" s="575"/>
      <c r="BC3650" s="576"/>
      <c r="BD3650" s="678"/>
      <c r="BE3650" s="585"/>
    </row>
    <row r="3651" spans="1:57" s="1942" customFormat="1" ht="14.45" hidden="1" customHeight="1" outlineLevel="1" x14ac:dyDescent="0.25">
      <c r="A3651" s="2060"/>
      <c r="B3651" s="576"/>
      <c r="C3651" s="328"/>
      <c r="D3651" s="3990"/>
      <c r="E3651" s="4009"/>
      <c r="F3651" s="3016" t="str">
        <f t="shared" si="271"/>
        <v>ASHP-SEER21-Replace_CAC_ElectricHeat_ER1_MF_CompE</v>
      </c>
      <c r="G3651" s="2673"/>
      <c r="H3651" s="2673"/>
      <c r="I3651" s="2673"/>
      <c r="J3651" s="3302" t="str">
        <f t="shared" ref="J3651:J3662" si="275">C1573</f>
        <v>353601_2019_12_</v>
      </c>
      <c r="K3651" s="3054">
        <v>6</v>
      </c>
      <c r="L3651" s="861"/>
      <c r="M3651" s="858"/>
      <c r="N3651" s="123"/>
      <c r="O3651" s="228"/>
      <c r="P3651" s="844"/>
      <c r="Q3651" s="845"/>
      <c r="R3651" s="844"/>
      <c r="S3651" s="832"/>
      <c r="T3651" s="3082"/>
      <c r="U3651" s="123"/>
      <c r="V3651" s="4031"/>
      <c r="W3651" s="865"/>
      <c r="X3651" s="865"/>
      <c r="Y3651" s="865"/>
      <c r="Z3651" s="865"/>
      <c r="AA3651" s="865"/>
      <c r="AB3651" s="865"/>
      <c r="AC3651" s="3054">
        <v>6</v>
      </c>
      <c r="AD3651" s="865"/>
      <c r="AE3651" s="865"/>
      <c r="AF3651" s="865"/>
      <c r="AG3651" s="865"/>
      <c r="BB3651" s="575"/>
      <c r="BC3651" s="576"/>
      <c r="BD3651" s="678"/>
      <c r="BE3651" s="585"/>
    </row>
    <row r="3652" spans="1:57" s="1942" customFormat="1" ht="14.45" hidden="1" customHeight="1" outlineLevel="1" x14ac:dyDescent="0.25">
      <c r="A3652" s="2060"/>
      <c r="B3652" s="576"/>
      <c r="C3652" s="328"/>
      <c r="D3652" s="3990"/>
      <c r="E3652" s="4009"/>
      <c r="F3652" s="3016" t="str">
        <f t="shared" si="271"/>
        <v>ASHP-SEER21-Replace_CAC_ElectricHeat_ER1_MF_CompE</v>
      </c>
      <c r="G3652" s="2673"/>
      <c r="H3652" s="2673"/>
      <c r="I3652" s="2673"/>
      <c r="J3652" s="3302" t="str">
        <f t="shared" si="275"/>
        <v>353601_2019_12_</v>
      </c>
      <c r="K3652" s="3054">
        <v>6</v>
      </c>
      <c r="L3652" s="861"/>
      <c r="M3652" s="858"/>
      <c r="N3652" s="123"/>
      <c r="O3652" s="228"/>
      <c r="P3652" s="844"/>
      <c r="Q3652" s="845"/>
      <c r="R3652" s="844"/>
      <c r="S3652" s="832"/>
      <c r="T3652" s="3082"/>
      <c r="U3652" s="123"/>
      <c r="V3652" s="4031"/>
      <c r="W3652" s="865"/>
      <c r="X3652" s="865"/>
      <c r="Y3652" s="865"/>
      <c r="Z3652" s="865"/>
      <c r="AA3652" s="865"/>
      <c r="AB3652" s="865"/>
      <c r="AC3652" s="3054">
        <v>6</v>
      </c>
      <c r="AD3652" s="865"/>
      <c r="AE3652" s="865"/>
      <c r="AF3652" s="865"/>
      <c r="AG3652" s="865"/>
      <c r="BB3652" s="575"/>
      <c r="BC3652" s="576"/>
      <c r="BD3652" s="678"/>
      <c r="BE3652" s="585"/>
    </row>
    <row r="3653" spans="1:57" s="1942" customFormat="1" ht="14.45" hidden="1" customHeight="1" outlineLevel="1" x14ac:dyDescent="0.25">
      <c r="A3653" s="2060"/>
      <c r="B3653" s="576"/>
      <c r="C3653" s="328"/>
      <c r="D3653" s="3990"/>
      <c r="E3653" s="4009"/>
      <c r="F3653" s="3016" t="str">
        <f t="shared" si="271"/>
        <v>ASHP-SEER21-Replace_CAC_ElectricHeat_ER2_MF_CompE</v>
      </c>
      <c r="G3653" s="2673"/>
      <c r="H3653" s="2673"/>
      <c r="I3653" s="2673"/>
      <c r="J3653" s="3302" t="str">
        <f t="shared" si="275"/>
        <v>353601_2019_12_</v>
      </c>
      <c r="K3653" s="3054">
        <v>12</v>
      </c>
      <c r="L3653" s="861"/>
      <c r="M3653" s="858"/>
      <c r="N3653" s="123"/>
      <c r="O3653" s="228"/>
      <c r="P3653" s="844"/>
      <c r="Q3653" s="845"/>
      <c r="R3653" s="844"/>
      <c r="S3653" s="832"/>
      <c r="T3653" s="3082"/>
      <c r="U3653" s="123"/>
      <c r="V3653" s="4031"/>
      <c r="W3653" s="865"/>
      <c r="X3653" s="865"/>
      <c r="Y3653" s="865"/>
      <c r="Z3653" s="865"/>
      <c r="AA3653" s="865"/>
      <c r="AB3653" s="865"/>
      <c r="AC3653" s="3054">
        <v>12</v>
      </c>
      <c r="AD3653" s="865"/>
      <c r="AE3653" s="865"/>
      <c r="AF3653" s="865"/>
      <c r="AG3653" s="865"/>
      <c r="BB3653" s="575"/>
      <c r="BC3653" s="576"/>
      <c r="BD3653" s="678"/>
      <c r="BE3653" s="585"/>
    </row>
    <row r="3654" spans="1:57" s="1942" customFormat="1" ht="14.45" hidden="1" customHeight="1" outlineLevel="1" x14ac:dyDescent="0.25">
      <c r="A3654" s="2060"/>
      <c r="B3654" s="576"/>
      <c r="C3654" s="328"/>
      <c r="D3654" s="3990"/>
      <c r="E3654" s="4009"/>
      <c r="F3654" s="3016" t="str">
        <f t="shared" si="271"/>
        <v>ASHP-SEER21-Replace_CAC_ElectricHeat_ER2_MF_CompE</v>
      </c>
      <c r="G3654" s="2673"/>
      <c r="H3654" s="2673"/>
      <c r="I3654" s="2673"/>
      <c r="J3654" s="3302" t="str">
        <f t="shared" si="275"/>
        <v>353601_2019_12_</v>
      </c>
      <c r="K3654" s="3054">
        <v>12</v>
      </c>
      <c r="L3654" s="861"/>
      <c r="M3654" s="858"/>
      <c r="N3654" s="123"/>
      <c r="O3654" s="228"/>
      <c r="P3654" s="844"/>
      <c r="Q3654" s="845"/>
      <c r="R3654" s="844"/>
      <c r="S3654" s="832"/>
      <c r="T3654" s="3082"/>
      <c r="U3654" s="123"/>
      <c r="V3654" s="4031"/>
      <c r="W3654" s="865"/>
      <c r="X3654" s="865"/>
      <c r="Y3654" s="865"/>
      <c r="Z3654" s="865"/>
      <c r="AA3654" s="865"/>
      <c r="AB3654" s="865"/>
      <c r="AC3654" s="3054">
        <v>12</v>
      </c>
      <c r="AD3654" s="865"/>
      <c r="AE3654" s="865"/>
      <c r="AF3654" s="865"/>
      <c r="AG3654" s="865"/>
      <c r="BB3654" s="575"/>
      <c r="BC3654" s="576"/>
      <c r="BD3654" s="678"/>
      <c r="BE3654" s="585"/>
    </row>
    <row r="3655" spans="1:57" s="1942" customFormat="1" ht="14.45" hidden="1" customHeight="1" outlineLevel="1" x14ac:dyDescent="0.25">
      <c r="A3655" s="2060"/>
      <c r="B3655" s="576"/>
      <c r="C3655" s="328"/>
      <c r="D3655" s="3990"/>
      <c r="E3655" s="4009"/>
      <c r="F3655" s="3016" t="str">
        <f t="shared" si="271"/>
        <v>ASHP-SEER21-Replace_CAC_NonElectricHeat_ER1_MF</v>
      </c>
      <c r="G3655" s="2673"/>
      <c r="H3655" s="2673"/>
      <c r="I3655" s="2673"/>
      <c r="J3655" s="3301" t="str">
        <f t="shared" si="275"/>
        <v>353610_2021_12_</v>
      </c>
      <c r="K3655" s="3054">
        <v>6</v>
      </c>
      <c r="L3655" s="861"/>
      <c r="M3655" s="858"/>
      <c r="N3655" s="123"/>
      <c r="O3655" s="228"/>
      <c r="P3655" s="844"/>
      <c r="Q3655" s="845"/>
      <c r="R3655" s="844"/>
      <c r="S3655" s="832"/>
      <c r="T3655" s="3082"/>
      <c r="U3655" s="123"/>
      <c r="V3655" s="4031"/>
      <c r="W3655" s="865"/>
      <c r="X3655" s="865"/>
      <c r="Y3655" s="865"/>
      <c r="Z3655" s="865"/>
      <c r="AA3655" s="865"/>
      <c r="AB3655" s="865"/>
      <c r="AC3655" s="3054">
        <v>6</v>
      </c>
      <c r="AD3655" s="865"/>
      <c r="AE3655" s="865"/>
      <c r="AF3655" s="865"/>
      <c r="AG3655" s="865"/>
      <c r="BB3655" s="575"/>
      <c r="BC3655" s="576"/>
      <c r="BD3655" s="678"/>
      <c r="BE3655" s="585"/>
    </row>
    <row r="3656" spans="1:57" s="1942" customFormat="1" ht="14.45" hidden="1" customHeight="1" outlineLevel="1" x14ac:dyDescent="0.25">
      <c r="A3656" s="2060"/>
      <c r="B3656" s="576"/>
      <c r="C3656" s="328"/>
      <c r="D3656" s="3990"/>
      <c r="E3656" s="4009"/>
      <c r="F3656" s="3016" t="str">
        <f t="shared" si="271"/>
        <v>ASHP-SEER21-Replace_CAC_NonElectricHeat_ER1_MF</v>
      </c>
      <c r="G3656" s="2673"/>
      <c r="H3656" s="2673"/>
      <c r="I3656" s="2673"/>
      <c r="J3656" s="3301" t="str">
        <f t="shared" si="275"/>
        <v>353610_2021_12_</v>
      </c>
      <c r="K3656" s="3054">
        <v>6</v>
      </c>
      <c r="L3656" s="861"/>
      <c r="M3656" s="858"/>
      <c r="N3656" s="123"/>
      <c r="O3656" s="228"/>
      <c r="P3656" s="844"/>
      <c r="Q3656" s="845"/>
      <c r="R3656" s="844"/>
      <c r="S3656" s="832"/>
      <c r="T3656" s="3082"/>
      <c r="U3656" s="123"/>
      <c r="V3656" s="4031"/>
      <c r="W3656" s="865"/>
      <c r="X3656" s="865"/>
      <c r="Y3656" s="865"/>
      <c r="Z3656" s="865"/>
      <c r="AA3656" s="865"/>
      <c r="AB3656" s="865"/>
      <c r="AC3656" s="3054">
        <v>6</v>
      </c>
      <c r="AD3656" s="865"/>
      <c r="AE3656" s="865"/>
      <c r="AF3656" s="865"/>
      <c r="AG3656" s="865"/>
      <c r="BB3656" s="575"/>
      <c r="BC3656" s="576"/>
      <c r="BD3656" s="678"/>
      <c r="BE3656" s="585"/>
    </row>
    <row r="3657" spans="1:57" s="1942" customFormat="1" ht="14.45" hidden="1" customHeight="1" outlineLevel="1" x14ac:dyDescent="0.25">
      <c r="A3657" s="2060"/>
      <c r="B3657" s="576"/>
      <c r="C3657" s="328"/>
      <c r="D3657" s="3990"/>
      <c r="E3657" s="4009"/>
      <c r="F3657" s="3016" t="str">
        <f t="shared" si="271"/>
        <v>ASHP-SEER21-Replace_CAC_NonElectricHeat_ER2_MF</v>
      </c>
      <c r="G3657" s="2673"/>
      <c r="H3657" s="2673"/>
      <c r="I3657" s="2673"/>
      <c r="J3657" s="3301" t="str">
        <f t="shared" si="275"/>
        <v>353610_2021_12_</v>
      </c>
      <c r="K3657" s="3054">
        <v>12</v>
      </c>
      <c r="L3657" s="861"/>
      <c r="M3657" s="858"/>
      <c r="N3657" s="123"/>
      <c r="O3657" s="228"/>
      <c r="P3657" s="844"/>
      <c r="Q3657" s="845"/>
      <c r="R3657" s="844"/>
      <c r="S3657" s="832"/>
      <c r="T3657" s="3082"/>
      <c r="U3657" s="123"/>
      <c r="V3657" s="4031"/>
      <c r="W3657" s="865"/>
      <c r="X3657" s="865"/>
      <c r="Y3657" s="865"/>
      <c r="Z3657" s="865"/>
      <c r="AA3657" s="865"/>
      <c r="AB3657" s="865"/>
      <c r="AC3657" s="3054">
        <v>12</v>
      </c>
      <c r="AD3657" s="865"/>
      <c r="AE3657" s="865"/>
      <c r="AF3657" s="865"/>
      <c r="AG3657" s="865"/>
      <c r="BB3657" s="575"/>
      <c r="BC3657" s="576"/>
      <c r="BD3657" s="678"/>
      <c r="BE3657" s="585"/>
    </row>
    <row r="3658" spans="1:57" s="1942" customFormat="1" ht="14.45" hidden="1" customHeight="1" outlineLevel="1" x14ac:dyDescent="0.25">
      <c r="A3658" s="2060"/>
      <c r="B3658" s="576"/>
      <c r="C3658" s="328"/>
      <c r="D3658" s="3990"/>
      <c r="E3658" s="4009"/>
      <c r="F3658" s="3016" t="str">
        <f t="shared" si="271"/>
        <v>ASHP-SEER21-Replace_CAC_NonElectricHeat_ER2_MF</v>
      </c>
      <c r="G3658" s="2673"/>
      <c r="H3658" s="2673"/>
      <c r="I3658" s="2673"/>
      <c r="J3658" s="3301" t="str">
        <f t="shared" si="275"/>
        <v>353610_2021_12_</v>
      </c>
      <c r="K3658" s="3054">
        <v>12</v>
      </c>
      <c r="L3658" s="861"/>
      <c r="M3658" s="858"/>
      <c r="N3658" s="123"/>
      <c r="O3658" s="228"/>
      <c r="P3658" s="844"/>
      <c r="Q3658" s="845"/>
      <c r="R3658" s="844"/>
      <c r="S3658" s="832"/>
      <c r="T3658" s="3082"/>
      <c r="U3658" s="123"/>
      <c r="V3658" s="4031"/>
      <c r="W3658" s="865"/>
      <c r="X3658" s="865"/>
      <c r="Y3658" s="865"/>
      <c r="Z3658" s="865"/>
      <c r="AA3658" s="865"/>
      <c r="AB3658" s="865"/>
      <c r="AC3658" s="3054">
        <v>12</v>
      </c>
      <c r="AD3658" s="865"/>
      <c r="AE3658" s="865"/>
      <c r="AF3658" s="865"/>
      <c r="AG3658" s="865"/>
      <c r="BB3658" s="575"/>
      <c r="BC3658" s="576"/>
      <c r="BD3658" s="678"/>
      <c r="BE3658" s="585"/>
    </row>
    <row r="3659" spans="1:57" s="1942" customFormat="1" ht="14.45" hidden="1" customHeight="1" outlineLevel="1" x14ac:dyDescent="0.25">
      <c r="A3659" s="2060"/>
      <c r="B3659" s="576"/>
      <c r="C3659" s="328"/>
      <c r="D3659" s="3990"/>
      <c r="E3659" s="4009"/>
      <c r="F3659" s="3016" t="str">
        <f t="shared" si="271"/>
        <v>ASHP-SEER21-Replace_CAC_NonElectricHeat_ER1_MF_CompE</v>
      </c>
      <c r="G3659" s="2673"/>
      <c r="H3659" s="2673"/>
      <c r="I3659" s="2673"/>
      <c r="J3659" s="3301" t="str">
        <f t="shared" si="275"/>
        <v>353611_2021_12_</v>
      </c>
      <c r="K3659" s="3054">
        <v>6</v>
      </c>
      <c r="L3659" s="861"/>
      <c r="M3659" s="858"/>
      <c r="N3659" s="123"/>
      <c r="O3659" s="228"/>
      <c r="P3659" s="844"/>
      <c r="Q3659" s="845"/>
      <c r="R3659" s="844"/>
      <c r="S3659" s="832"/>
      <c r="T3659" s="3082"/>
      <c r="U3659" s="123"/>
      <c r="V3659" s="4031"/>
      <c r="W3659" s="865"/>
      <c r="X3659" s="865"/>
      <c r="Y3659" s="865"/>
      <c r="Z3659" s="865"/>
      <c r="AA3659" s="865"/>
      <c r="AB3659" s="865"/>
      <c r="AC3659" s="3054">
        <v>6</v>
      </c>
      <c r="AD3659" s="865"/>
      <c r="AE3659" s="865"/>
      <c r="AF3659" s="865"/>
      <c r="AG3659" s="865"/>
      <c r="BB3659" s="575"/>
      <c r="BC3659" s="576"/>
      <c r="BD3659" s="678"/>
      <c r="BE3659" s="585"/>
    </row>
    <row r="3660" spans="1:57" s="1942" customFormat="1" ht="14.45" hidden="1" customHeight="1" outlineLevel="1" x14ac:dyDescent="0.25">
      <c r="A3660" s="2060"/>
      <c r="B3660" s="576"/>
      <c r="C3660" s="328"/>
      <c r="D3660" s="3990"/>
      <c r="E3660" s="4009"/>
      <c r="F3660" s="3016" t="str">
        <f t="shared" si="271"/>
        <v>ASHP-SEER21-Replace_CAC_NonElectricHeat_ER1_MF_CompE</v>
      </c>
      <c r="G3660" s="2673"/>
      <c r="H3660" s="2673"/>
      <c r="I3660" s="2673"/>
      <c r="J3660" s="3301" t="str">
        <f t="shared" si="275"/>
        <v>353611_2021_12_</v>
      </c>
      <c r="K3660" s="3054">
        <v>6</v>
      </c>
      <c r="L3660" s="861"/>
      <c r="M3660" s="858"/>
      <c r="N3660" s="123"/>
      <c r="O3660" s="228"/>
      <c r="P3660" s="844"/>
      <c r="Q3660" s="845"/>
      <c r="R3660" s="844"/>
      <c r="S3660" s="832"/>
      <c r="T3660" s="3082"/>
      <c r="U3660" s="123"/>
      <c r="V3660" s="4031"/>
      <c r="W3660" s="865"/>
      <c r="X3660" s="865"/>
      <c r="Y3660" s="865"/>
      <c r="Z3660" s="865"/>
      <c r="AA3660" s="865"/>
      <c r="AB3660" s="865"/>
      <c r="AC3660" s="3054">
        <v>6</v>
      </c>
      <c r="AD3660" s="865"/>
      <c r="AE3660" s="865"/>
      <c r="AF3660" s="865"/>
      <c r="AG3660" s="865"/>
      <c r="BB3660" s="575"/>
      <c r="BC3660" s="576"/>
      <c r="BD3660" s="678"/>
      <c r="BE3660" s="585"/>
    </row>
    <row r="3661" spans="1:57" s="1942" customFormat="1" ht="14.45" hidden="1" customHeight="1" outlineLevel="1" x14ac:dyDescent="0.25">
      <c r="A3661" s="2060"/>
      <c r="B3661" s="576"/>
      <c r="C3661" s="328"/>
      <c r="D3661" s="3990"/>
      <c r="E3661" s="4009"/>
      <c r="F3661" s="3016" t="str">
        <f t="shared" si="271"/>
        <v>ASHP-SEER21-Replace_CAC_NonElectricHeat_ER2_MF_CompE</v>
      </c>
      <c r="G3661" s="2673"/>
      <c r="H3661" s="2673"/>
      <c r="I3661" s="2673"/>
      <c r="J3661" s="3301" t="str">
        <f t="shared" si="275"/>
        <v>353611_2021_12_</v>
      </c>
      <c r="K3661" s="3054">
        <v>12</v>
      </c>
      <c r="L3661" s="861"/>
      <c r="M3661" s="858"/>
      <c r="N3661" s="123"/>
      <c r="O3661" s="228"/>
      <c r="P3661" s="844"/>
      <c r="Q3661" s="845"/>
      <c r="R3661" s="844"/>
      <c r="S3661" s="832"/>
      <c r="T3661" s="3082"/>
      <c r="U3661" s="123"/>
      <c r="V3661" s="4031"/>
      <c r="W3661" s="865"/>
      <c r="X3661" s="865"/>
      <c r="Y3661" s="865"/>
      <c r="Z3661" s="865"/>
      <c r="AA3661" s="865"/>
      <c r="AB3661" s="865"/>
      <c r="AC3661" s="3054">
        <v>12</v>
      </c>
      <c r="AD3661" s="865"/>
      <c r="AE3661" s="865"/>
      <c r="AF3661" s="865"/>
      <c r="AG3661" s="865"/>
      <c r="BB3661" s="575"/>
      <c r="BC3661" s="576"/>
      <c r="BD3661" s="678"/>
      <c r="BE3661" s="585"/>
    </row>
    <row r="3662" spans="1:57" s="1942" customFormat="1" ht="14.45" hidden="1" customHeight="1" outlineLevel="1" x14ac:dyDescent="0.25">
      <c r="A3662" s="2060"/>
      <c r="B3662" s="576"/>
      <c r="C3662" s="328"/>
      <c r="D3662" s="3990"/>
      <c r="E3662" s="4009"/>
      <c r="F3662" s="3016" t="str">
        <f t="shared" si="271"/>
        <v>ASHP-SEER21-Replace_CAC_NonElectricHeat_ER2_MF_CompE</v>
      </c>
      <c r="G3662" s="2673"/>
      <c r="H3662" s="2673"/>
      <c r="I3662" s="2673"/>
      <c r="J3662" s="3301" t="str">
        <f t="shared" si="275"/>
        <v>353611_2021_12_</v>
      </c>
      <c r="K3662" s="3054">
        <v>12</v>
      </c>
      <c r="L3662" s="861"/>
      <c r="M3662" s="858"/>
      <c r="N3662" s="123"/>
      <c r="O3662" s="228"/>
      <c r="P3662" s="844"/>
      <c r="Q3662" s="845"/>
      <c r="R3662" s="844"/>
      <c r="S3662" s="832"/>
      <c r="T3662" s="3082"/>
      <c r="U3662" s="123"/>
      <c r="V3662" s="4031"/>
      <c r="W3662" s="865"/>
      <c r="X3662" s="865"/>
      <c r="Y3662" s="865"/>
      <c r="Z3662" s="865"/>
      <c r="AA3662" s="865"/>
      <c r="AB3662" s="865"/>
      <c r="AC3662" s="3054">
        <v>12</v>
      </c>
      <c r="AD3662" s="865"/>
      <c r="AE3662" s="865"/>
      <c r="AF3662" s="865"/>
      <c r="AG3662" s="865"/>
      <c r="BB3662" s="575"/>
      <c r="BC3662" s="576"/>
      <c r="BD3662" s="678"/>
      <c r="BE3662" s="585"/>
    </row>
    <row r="3663" spans="1:57" s="51" customFormat="1" ht="14.45" hidden="1" customHeight="1" outlineLevel="1" x14ac:dyDescent="0.25">
      <c r="A3663" s="2060"/>
      <c r="B3663" s="576"/>
      <c r="C3663" s="328"/>
      <c r="D3663" s="3990"/>
      <c r="E3663" s="4009"/>
      <c r="F3663" s="3016" t="str">
        <f t="shared" si="271"/>
        <v>ASHP-SEER21-Replace_CAC_ElectricHeat_ROF_SF</v>
      </c>
      <c r="G3663" s="2673"/>
      <c r="H3663" s="2673"/>
      <c r="I3663" s="2673"/>
      <c r="J3663" s="3301" t="str">
        <f>C1585</f>
        <v>353650_2021_12_</v>
      </c>
      <c r="K3663" s="865">
        <v>18</v>
      </c>
      <c r="L3663" s="861"/>
      <c r="M3663" s="858"/>
      <c r="N3663" s="123"/>
      <c r="O3663" s="228"/>
      <c r="P3663" s="844"/>
      <c r="Q3663" s="845"/>
      <c r="R3663" s="844"/>
      <c r="S3663" s="832"/>
      <c r="T3663" s="3082"/>
      <c r="U3663" s="123"/>
      <c r="V3663" s="4031"/>
      <c r="W3663" s="865">
        <v>18</v>
      </c>
      <c r="X3663" s="865">
        <v>18</v>
      </c>
      <c r="Y3663" s="865">
        <v>18</v>
      </c>
      <c r="Z3663" s="865">
        <v>18</v>
      </c>
      <c r="AA3663" s="865">
        <v>18</v>
      </c>
      <c r="AB3663" s="865">
        <v>18</v>
      </c>
      <c r="AC3663" s="865">
        <v>18</v>
      </c>
      <c r="AD3663" s="865"/>
      <c r="AE3663" s="865"/>
      <c r="AF3663" s="865"/>
      <c r="AG3663" s="865"/>
      <c r="AH3663" s="1942"/>
      <c r="AI3663" s="1942"/>
      <c r="AJ3663" s="1942"/>
      <c r="AK3663" s="1942"/>
      <c r="AL3663" s="1942"/>
      <c r="AM3663" s="1942"/>
      <c r="AN3663" s="1942"/>
      <c r="AO3663" s="1942"/>
      <c r="AP3663" s="1942"/>
      <c r="AQ3663" s="1942"/>
      <c r="AR3663" s="1942"/>
      <c r="AS3663" s="1942"/>
      <c r="AT3663" s="1942"/>
      <c r="AU3663" s="1942"/>
      <c r="AV3663" s="1942"/>
      <c r="AW3663" s="1942"/>
      <c r="AX3663" s="1942"/>
      <c r="AY3663" s="1942"/>
      <c r="AZ3663" s="1942"/>
      <c r="BA3663" s="1942"/>
      <c r="BB3663" s="575"/>
      <c r="BC3663" s="576"/>
      <c r="BD3663" s="678"/>
      <c r="BE3663" s="585"/>
    </row>
    <row r="3664" spans="1:57" s="51" customFormat="1" ht="14.45" hidden="1" customHeight="1" outlineLevel="1" x14ac:dyDescent="0.25">
      <c r="A3664" s="2060"/>
      <c r="B3664" s="576"/>
      <c r="C3664" s="328"/>
      <c r="D3664" s="3990"/>
      <c r="E3664" s="4009"/>
      <c r="F3664" s="3016" t="str">
        <f t="shared" si="271"/>
        <v>ASHP-SEER21-Replace_CAC_ElectricHeat_ROF_SF</v>
      </c>
      <c r="G3664" s="2673"/>
      <c r="H3664" s="2673"/>
      <c r="I3664" s="2673"/>
      <c r="J3664" s="3301" t="str">
        <f>C1586</f>
        <v>353650_2021_12_</v>
      </c>
      <c r="K3664" s="865">
        <v>18</v>
      </c>
      <c r="L3664" s="861"/>
      <c r="M3664" s="858"/>
      <c r="N3664" s="123"/>
      <c r="O3664" s="228"/>
      <c r="P3664" s="844"/>
      <c r="Q3664" s="845"/>
      <c r="R3664" s="844"/>
      <c r="S3664" s="832"/>
      <c r="T3664" s="3082"/>
      <c r="U3664" s="123"/>
      <c r="V3664" s="4031"/>
      <c r="W3664" s="865">
        <v>18</v>
      </c>
      <c r="X3664" s="865">
        <v>18</v>
      </c>
      <c r="Y3664" s="865">
        <v>18</v>
      </c>
      <c r="Z3664" s="865">
        <v>18</v>
      </c>
      <c r="AA3664" s="865">
        <v>18</v>
      </c>
      <c r="AB3664" s="865">
        <v>18</v>
      </c>
      <c r="AC3664" s="865">
        <v>18</v>
      </c>
      <c r="AD3664" s="865"/>
      <c r="AE3664" s="865"/>
      <c r="AF3664" s="865"/>
      <c r="AG3664" s="865"/>
      <c r="AH3664" s="1942"/>
      <c r="AI3664" s="1942"/>
      <c r="AJ3664" s="1942"/>
      <c r="AK3664" s="1942"/>
      <c r="AL3664" s="1942"/>
      <c r="AM3664" s="1942"/>
      <c r="AN3664" s="1942"/>
      <c r="AO3664" s="1942"/>
      <c r="AP3664" s="1942"/>
      <c r="AQ3664" s="1942"/>
      <c r="AR3664" s="1942"/>
      <c r="AS3664" s="1942"/>
      <c r="AT3664" s="1942"/>
      <c r="AU3664" s="1942"/>
      <c r="AV3664" s="1942"/>
      <c r="AW3664" s="1942"/>
      <c r="AX3664" s="1942"/>
      <c r="AY3664" s="1942"/>
      <c r="AZ3664" s="1942"/>
      <c r="BA3664" s="1942"/>
      <c r="BB3664" s="575"/>
      <c r="BC3664" s="576"/>
      <c r="BD3664" s="678"/>
      <c r="BE3664" s="585"/>
    </row>
    <row r="3665" spans="1:57" s="51" customFormat="1" ht="14.45" hidden="1" customHeight="1" outlineLevel="1" x14ac:dyDescent="0.25">
      <c r="A3665" s="2060"/>
      <c r="B3665" s="576"/>
      <c r="C3665" s="328"/>
      <c r="D3665" s="3990"/>
      <c r="E3665" s="4009"/>
      <c r="F3665" s="3016" t="str">
        <f t="shared" si="271"/>
        <v>ASHP-SEER21+-Replace_CAC_ElectricHeat_ROF_MF</v>
      </c>
      <c r="G3665" s="2673"/>
      <c r="H3665" s="2673"/>
      <c r="I3665" s="2673"/>
      <c r="J3665" s="3302" t="str">
        <f>C1587</f>
        <v>353700_2019_12_</v>
      </c>
      <c r="K3665" s="865">
        <v>18</v>
      </c>
      <c r="L3665" s="861"/>
      <c r="M3665" s="858"/>
      <c r="N3665" s="123"/>
      <c r="O3665" s="228"/>
      <c r="P3665" s="844"/>
      <c r="Q3665" s="845"/>
      <c r="R3665" s="844"/>
      <c r="S3665" s="832"/>
      <c r="T3665" s="3082"/>
      <c r="U3665" s="123"/>
      <c r="V3665" s="4031"/>
      <c r="W3665" s="865">
        <v>18</v>
      </c>
      <c r="X3665" s="865">
        <v>18</v>
      </c>
      <c r="Y3665" s="865">
        <v>18</v>
      </c>
      <c r="Z3665" s="865">
        <v>18</v>
      </c>
      <c r="AA3665" s="865">
        <v>18</v>
      </c>
      <c r="AB3665" s="865">
        <v>18</v>
      </c>
      <c r="AC3665" s="865">
        <v>18</v>
      </c>
      <c r="AD3665" s="865"/>
      <c r="AE3665" s="865"/>
      <c r="AF3665" s="865"/>
      <c r="AG3665" s="865"/>
      <c r="AH3665" s="1942"/>
      <c r="AI3665" s="1942"/>
      <c r="AJ3665" s="1942"/>
      <c r="AK3665" s="1942"/>
      <c r="AL3665" s="1942"/>
      <c r="AM3665" s="1942"/>
      <c r="AN3665" s="1942"/>
      <c r="AO3665" s="1942"/>
      <c r="AP3665" s="1942"/>
      <c r="AQ3665" s="1942"/>
      <c r="AR3665" s="1942"/>
      <c r="AS3665" s="1942"/>
      <c r="AT3665" s="1942"/>
      <c r="AU3665" s="1942"/>
      <c r="AV3665" s="1942"/>
      <c r="AW3665" s="1942"/>
      <c r="AX3665" s="1942"/>
      <c r="AY3665" s="1942"/>
      <c r="AZ3665" s="1942"/>
      <c r="BA3665" s="1942"/>
      <c r="BB3665" s="575"/>
      <c r="BC3665" s="576"/>
      <c r="BD3665" s="678"/>
      <c r="BE3665" s="585"/>
    </row>
    <row r="3666" spans="1:57" s="51" customFormat="1" ht="14.45" hidden="1" customHeight="1" outlineLevel="1" x14ac:dyDescent="0.25">
      <c r="A3666" s="2060"/>
      <c r="B3666" s="576"/>
      <c r="C3666" s="328"/>
      <c r="D3666" s="3990"/>
      <c r="E3666" s="4009"/>
      <c r="F3666" s="3016" t="str">
        <f t="shared" si="271"/>
        <v>ASHP-SEER21+-Replace_CAC_ElectricHeat_ROF_MF</v>
      </c>
      <c r="G3666" s="2673"/>
      <c r="H3666" s="2673"/>
      <c r="I3666" s="2673"/>
      <c r="J3666" s="3302" t="str">
        <f>C1588</f>
        <v>353700_2019_12_</v>
      </c>
      <c r="K3666" s="865">
        <v>18</v>
      </c>
      <c r="L3666" s="861"/>
      <c r="M3666" s="858"/>
      <c r="N3666" s="123"/>
      <c r="O3666" s="228"/>
      <c r="P3666" s="844"/>
      <c r="Q3666" s="845"/>
      <c r="R3666" s="844"/>
      <c r="S3666" s="832"/>
      <c r="T3666" s="3082"/>
      <c r="U3666" s="123"/>
      <c r="V3666" s="4031"/>
      <c r="W3666" s="865">
        <v>18</v>
      </c>
      <c r="X3666" s="865">
        <v>18</v>
      </c>
      <c r="Y3666" s="865">
        <v>18</v>
      </c>
      <c r="Z3666" s="865">
        <v>18</v>
      </c>
      <c r="AA3666" s="865">
        <v>18</v>
      </c>
      <c r="AB3666" s="865">
        <v>18</v>
      </c>
      <c r="AC3666" s="865">
        <v>18</v>
      </c>
      <c r="AD3666" s="865"/>
      <c r="AE3666" s="865"/>
      <c r="AF3666" s="865"/>
      <c r="AG3666" s="865"/>
      <c r="AH3666" s="1942"/>
      <c r="AI3666" s="1942"/>
      <c r="AJ3666" s="1942"/>
      <c r="AK3666" s="1942"/>
      <c r="AL3666" s="1942"/>
      <c r="AM3666" s="1942"/>
      <c r="AN3666" s="1942"/>
      <c r="AO3666" s="1942"/>
      <c r="AP3666" s="1942"/>
      <c r="AQ3666" s="1942"/>
      <c r="AR3666" s="1942"/>
      <c r="AS3666" s="1942"/>
      <c r="AT3666" s="1942"/>
      <c r="AU3666" s="1942"/>
      <c r="AV3666" s="1942"/>
      <c r="AW3666" s="1942"/>
      <c r="AX3666" s="1942"/>
      <c r="AY3666" s="1942"/>
      <c r="AZ3666" s="1942"/>
      <c r="BA3666" s="1942"/>
      <c r="BB3666" s="575"/>
      <c r="BC3666" s="576"/>
      <c r="BD3666" s="678"/>
      <c r="BE3666" s="585"/>
    </row>
    <row r="3667" spans="1:57" s="1942" customFormat="1" ht="14.45" hidden="1" customHeight="1" outlineLevel="1" x14ac:dyDescent="0.25">
      <c r="A3667" s="2060"/>
      <c r="B3667" s="576"/>
      <c r="C3667" s="328"/>
      <c r="D3667" s="3990"/>
      <c r="E3667" s="4009"/>
      <c r="F3667" s="3016" t="str">
        <f t="shared" si="271"/>
        <v>ASHP-SEER21+-Replace_CAC_ElectricHeat_ROF_MF_CompE</v>
      </c>
      <c r="G3667" s="2673"/>
      <c r="H3667" s="2673"/>
      <c r="I3667" s="2673"/>
      <c r="J3667" s="3302" t="str">
        <f t="shared" ref="J3667:J3672" si="276">C1589</f>
        <v>353701_2019_12_</v>
      </c>
      <c r="K3667" s="3054">
        <v>18</v>
      </c>
      <c r="L3667" s="861"/>
      <c r="M3667" s="858"/>
      <c r="N3667" s="123"/>
      <c r="O3667" s="228"/>
      <c r="P3667" s="844"/>
      <c r="Q3667" s="845"/>
      <c r="R3667" s="844"/>
      <c r="S3667" s="832"/>
      <c r="T3667" s="3082"/>
      <c r="U3667" s="123"/>
      <c r="V3667" s="4031"/>
      <c r="W3667" s="865"/>
      <c r="X3667" s="865"/>
      <c r="Y3667" s="865"/>
      <c r="Z3667" s="865"/>
      <c r="AA3667" s="865"/>
      <c r="AB3667" s="865"/>
      <c r="AC3667" s="3054">
        <v>18</v>
      </c>
      <c r="AD3667" s="865"/>
      <c r="AE3667" s="865"/>
      <c r="AF3667" s="865"/>
      <c r="AG3667" s="865"/>
      <c r="BB3667" s="575"/>
      <c r="BC3667" s="576"/>
      <c r="BD3667" s="678"/>
      <c r="BE3667" s="585"/>
    </row>
    <row r="3668" spans="1:57" s="1942" customFormat="1" ht="14.45" hidden="1" customHeight="1" outlineLevel="1" x14ac:dyDescent="0.25">
      <c r="A3668" s="2060"/>
      <c r="B3668" s="576"/>
      <c r="C3668" s="328"/>
      <c r="D3668" s="3990"/>
      <c r="E3668" s="4009"/>
      <c r="F3668" s="3016" t="str">
        <f t="shared" si="271"/>
        <v>ASHP-SEER21+-Replace_CAC_ElectricHeat_ROF_MF_CompE</v>
      </c>
      <c r="G3668" s="2673"/>
      <c r="H3668" s="2673"/>
      <c r="I3668" s="2673"/>
      <c r="J3668" s="3302" t="str">
        <f t="shared" si="276"/>
        <v>353701_2019_12_</v>
      </c>
      <c r="K3668" s="3054">
        <v>18</v>
      </c>
      <c r="L3668" s="861"/>
      <c r="M3668" s="858"/>
      <c r="N3668" s="123"/>
      <c r="O3668" s="228"/>
      <c r="P3668" s="844"/>
      <c r="Q3668" s="845"/>
      <c r="R3668" s="844"/>
      <c r="S3668" s="832"/>
      <c r="T3668" s="3082"/>
      <c r="U3668" s="123"/>
      <c r="V3668" s="4031"/>
      <c r="W3668" s="865"/>
      <c r="X3668" s="865"/>
      <c r="Y3668" s="865"/>
      <c r="Z3668" s="865"/>
      <c r="AA3668" s="865"/>
      <c r="AB3668" s="865"/>
      <c r="AC3668" s="3054">
        <v>18</v>
      </c>
      <c r="AD3668" s="865"/>
      <c r="AE3668" s="865"/>
      <c r="AF3668" s="865"/>
      <c r="AG3668" s="865"/>
      <c r="BB3668" s="575"/>
      <c r="BC3668" s="576"/>
      <c r="BD3668" s="678"/>
      <c r="BE3668" s="585"/>
    </row>
    <row r="3669" spans="1:57" s="1942" customFormat="1" ht="14.45" hidden="1" customHeight="1" outlineLevel="1" x14ac:dyDescent="0.25">
      <c r="A3669" s="2060"/>
      <c r="B3669" s="576"/>
      <c r="C3669" s="328"/>
      <c r="D3669" s="3990"/>
      <c r="E3669" s="4009"/>
      <c r="F3669" s="3016" t="str">
        <f t="shared" si="271"/>
        <v>ASHP-SEER21+-Replace_CAC_NonElectricHeat_ROF_MF</v>
      </c>
      <c r="G3669" s="2673"/>
      <c r="H3669" s="2673"/>
      <c r="I3669" s="2673"/>
      <c r="J3669" s="3301" t="str">
        <f t="shared" si="276"/>
        <v>353710_2021_12_</v>
      </c>
      <c r="K3669" s="3054">
        <v>18</v>
      </c>
      <c r="L3669" s="861"/>
      <c r="M3669" s="858"/>
      <c r="N3669" s="123"/>
      <c r="O3669" s="228"/>
      <c r="P3669" s="844"/>
      <c r="Q3669" s="845"/>
      <c r="R3669" s="844"/>
      <c r="S3669" s="832"/>
      <c r="T3669" s="3082"/>
      <c r="U3669" s="123"/>
      <c r="V3669" s="4031"/>
      <c r="W3669" s="865"/>
      <c r="X3669" s="865"/>
      <c r="Y3669" s="865"/>
      <c r="Z3669" s="865"/>
      <c r="AA3669" s="865"/>
      <c r="AB3669" s="865"/>
      <c r="AC3669" s="3054">
        <v>18</v>
      </c>
      <c r="AD3669" s="865"/>
      <c r="AE3669" s="865"/>
      <c r="AF3669" s="865"/>
      <c r="AG3669" s="865"/>
      <c r="BB3669" s="575"/>
      <c r="BC3669" s="576"/>
      <c r="BD3669" s="678"/>
      <c r="BE3669" s="585"/>
    </row>
    <row r="3670" spans="1:57" s="1942" customFormat="1" ht="14.45" hidden="1" customHeight="1" outlineLevel="1" x14ac:dyDescent="0.25">
      <c r="A3670" s="2060"/>
      <c r="B3670" s="576"/>
      <c r="C3670" s="328"/>
      <c r="D3670" s="3990"/>
      <c r="E3670" s="4009"/>
      <c r="F3670" s="3016" t="str">
        <f t="shared" si="271"/>
        <v>ASHP-SEER21+-Replace_CAC_NonElectricHeat_ROF_MF</v>
      </c>
      <c r="G3670" s="2673"/>
      <c r="H3670" s="2673"/>
      <c r="I3670" s="2673"/>
      <c r="J3670" s="3301" t="str">
        <f t="shared" si="276"/>
        <v>353710_2021_12_</v>
      </c>
      <c r="K3670" s="3054">
        <v>18</v>
      </c>
      <c r="L3670" s="861"/>
      <c r="M3670" s="858"/>
      <c r="N3670" s="123"/>
      <c r="O3670" s="228"/>
      <c r="P3670" s="844"/>
      <c r="Q3670" s="845"/>
      <c r="R3670" s="844"/>
      <c r="S3670" s="832"/>
      <c r="T3670" s="3082"/>
      <c r="U3670" s="123"/>
      <c r="V3670" s="4031"/>
      <c r="W3670" s="865"/>
      <c r="X3670" s="865"/>
      <c r="Y3670" s="865"/>
      <c r="Z3670" s="865"/>
      <c r="AA3670" s="865"/>
      <c r="AB3670" s="865"/>
      <c r="AC3670" s="3054">
        <v>18</v>
      </c>
      <c r="AD3670" s="865"/>
      <c r="AE3670" s="865"/>
      <c r="AF3670" s="865"/>
      <c r="AG3670" s="865"/>
      <c r="BB3670" s="575"/>
      <c r="BC3670" s="576"/>
      <c r="BD3670" s="678"/>
      <c r="BE3670" s="585"/>
    </row>
    <row r="3671" spans="1:57" s="1942" customFormat="1" ht="14.45" hidden="1" customHeight="1" outlineLevel="1" x14ac:dyDescent="0.25">
      <c r="A3671" s="2060"/>
      <c r="B3671" s="576"/>
      <c r="C3671" s="328"/>
      <c r="D3671" s="3990"/>
      <c r="E3671" s="4009"/>
      <c r="F3671" s="3016" t="str">
        <f t="shared" si="271"/>
        <v>ASHP-SEER21+-Replace_CAC_NonElectricHeat_ROF_MF_CompE</v>
      </c>
      <c r="G3671" s="2673"/>
      <c r="H3671" s="2673"/>
      <c r="I3671" s="2673"/>
      <c r="J3671" s="3301" t="str">
        <f t="shared" si="276"/>
        <v>353711_2021_12_</v>
      </c>
      <c r="K3671" s="3054">
        <v>18</v>
      </c>
      <c r="L3671" s="861"/>
      <c r="M3671" s="858"/>
      <c r="N3671" s="123"/>
      <c r="O3671" s="228"/>
      <c r="P3671" s="844"/>
      <c r="Q3671" s="845"/>
      <c r="R3671" s="844"/>
      <c r="S3671" s="832"/>
      <c r="T3671" s="3082"/>
      <c r="U3671" s="123"/>
      <c r="V3671" s="4031"/>
      <c r="W3671" s="865"/>
      <c r="X3671" s="865"/>
      <c r="Y3671" s="865"/>
      <c r="Z3671" s="865"/>
      <c r="AA3671" s="865"/>
      <c r="AB3671" s="865"/>
      <c r="AC3671" s="3054">
        <v>18</v>
      </c>
      <c r="AD3671" s="865"/>
      <c r="AE3671" s="865"/>
      <c r="AF3671" s="865"/>
      <c r="AG3671" s="865"/>
      <c r="BB3671" s="575"/>
      <c r="BC3671" s="576"/>
      <c r="BD3671" s="678"/>
      <c r="BE3671" s="585"/>
    </row>
    <row r="3672" spans="1:57" s="1942" customFormat="1" ht="14.45" hidden="1" customHeight="1" outlineLevel="1" x14ac:dyDescent="0.25">
      <c r="A3672" s="2060"/>
      <c r="B3672" s="576"/>
      <c r="C3672" s="328"/>
      <c r="D3672" s="3990"/>
      <c r="E3672" s="4009"/>
      <c r="F3672" s="3016" t="str">
        <f t="shared" si="271"/>
        <v>ASHP-SEER21+-Replace_CAC_NonElectricHeat_ROF_MF_CompE</v>
      </c>
      <c r="G3672" s="2673"/>
      <c r="H3672" s="2673"/>
      <c r="I3672" s="2673"/>
      <c r="J3672" s="3301" t="str">
        <f t="shared" si="276"/>
        <v>353711_2021_12_</v>
      </c>
      <c r="K3672" s="3054">
        <v>18</v>
      </c>
      <c r="L3672" s="861"/>
      <c r="M3672" s="858"/>
      <c r="N3672" s="123"/>
      <c r="O3672" s="228"/>
      <c r="P3672" s="844"/>
      <c r="Q3672" s="845"/>
      <c r="R3672" s="844"/>
      <c r="S3672" s="832"/>
      <c r="T3672" s="3082"/>
      <c r="U3672" s="123"/>
      <c r="V3672" s="4031"/>
      <c r="W3672" s="865"/>
      <c r="X3672" s="865"/>
      <c r="Y3672" s="865"/>
      <c r="Z3672" s="865"/>
      <c r="AA3672" s="865"/>
      <c r="AB3672" s="865"/>
      <c r="AC3672" s="3054">
        <v>18</v>
      </c>
      <c r="AD3672" s="865"/>
      <c r="AE3672" s="865"/>
      <c r="AF3672" s="865"/>
      <c r="AG3672" s="865"/>
      <c r="BB3672" s="575"/>
      <c r="BC3672" s="576"/>
      <c r="BD3672" s="678"/>
      <c r="BE3672" s="585"/>
    </row>
    <row r="3673" spans="1:57" s="51" customFormat="1" ht="14.45" hidden="1" customHeight="1" outlineLevel="1" x14ac:dyDescent="0.25">
      <c r="A3673" s="2060"/>
      <c r="B3673" s="576"/>
      <c r="C3673" s="328"/>
      <c r="D3673" s="3990"/>
      <c r="E3673" s="4009"/>
      <c r="F3673" s="3016" t="str">
        <f t="shared" si="271"/>
        <v>ASHP-SEER17_ER1_SF</v>
      </c>
      <c r="G3673" s="2673"/>
      <c r="H3673" s="2673"/>
      <c r="I3673" s="2673"/>
      <c r="J3673" s="3301" t="str">
        <f t="shared" ref="J3673:J3694" si="277">C1595</f>
        <v>353750_2021_12_</v>
      </c>
      <c r="K3673" s="865">
        <v>6</v>
      </c>
      <c r="L3673" s="861"/>
      <c r="M3673" s="858"/>
      <c r="N3673" s="123"/>
      <c r="O3673" s="228"/>
      <c r="P3673" s="844"/>
      <c r="Q3673" s="845"/>
      <c r="R3673" s="844"/>
      <c r="S3673" s="832"/>
      <c r="T3673" s="3082"/>
      <c r="U3673" s="123"/>
      <c r="V3673" s="4031"/>
      <c r="W3673" s="865">
        <v>6</v>
      </c>
      <c r="X3673" s="865">
        <v>6</v>
      </c>
      <c r="Y3673" s="865">
        <v>6</v>
      </c>
      <c r="Z3673" s="865">
        <v>6</v>
      </c>
      <c r="AA3673" s="865">
        <v>6</v>
      </c>
      <c r="AB3673" s="865">
        <v>6</v>
      </c>
      <c r="AC3673" s="865">
        <v>6</v>
      </c>
      <c r="AD3673" s="865"/>
      <c r="AE3673" s="865"/>
      <c r="AF3673" s="865"/>
      <c r="AG3673" s="865"/>
      <c r="AH3673" s="1942"/>
      <c r="AI3673" s="1942"/>
      <c r="AJ3673" s="1942"/>
      <c r="AK3673" s="1942"/>
      <c r="AL3673" s="1942"/>
      <c r="AM3673" s="1942"/>
      <c r="AN3673" s="1942"/>
      <c r="AO3673" s="1942"/>
      <c r="AP3673" s="1942"/>
      <c r="AQ3673" s="1942"/>
      <c r="AR3673" s="1942"/>
      <c r="AS3673" s="1942"/>
      <c r="AT3673" s="1942"/>
      <c r="AU3673" s="1942"/>
      <c r="AV3673" s="1942"/>
      <c r="AW3673" s="1942"/>
      <c r="AX3673" s="1942"/>
      <c r="AY3673" s="1942"/>
      <c r="AZ3673" s="1942"/>
      <c r="BA3673" s="1942"/>
      <c r="BB3673" s="575"/>
      <c r="BC3673" s="576"/>
      <c r="BD3673" s="678"/>
      <c r="BE3673" s="585"/>
    </row>
    <row r="3674" spans="1:57" s="51" customFormat="1" ht="15" hidden="1" customHeight="1" outlineLevel="1" x14ac:dyDescent="0.25">
      <c r="A3674" s="2060"/>
      <c r="B3674" s="576"/>
      <c r="C3674" s="328"/>
      <c r="D3674" s="3990"/>
      <c r="E3674" s="4009"/>
      <c r="F3674" s="3016" t="str">
        <f t="shared" si="271"/>
        <v>ASHP-SEER17_ER1_SF</v>
      </c>
      <c r="G3674" s="2673"/>
      <c r="H3674" s="2673"/>
      <c r="I3674" s="2673"/>
      <c r="J3674" s="3301" t="str">
        <f t="shared" si="277"/>
        <v>353750_2021_12_</v>
      </c>
      <c r="K3674" s="865">
        <v>6</v>
      </c>
      <c r="L3674" s="851"/>
      <c r="M3674" s="698"/>
      <c r="N3674" s="123"/>
      <c r="O3674" s="228"/>
      <c r="P3674" s="844"/>
      <c r="Q3674" s="845"/>
      <c r="R3674" s="844"/>
      <c r="S3674" s="832"/>
      <c r="T3674" s="3082"/>
      <c r="U3674" s="123"/>
      <c r="V3674" s="4031"/>
      <c r="W3674" s="865">
        <v>6</v>
      </c>
      <c r="X3674" s="865">
        <v>6</v>
      </c>
      <c r="Y3674" s="865">
        <v>6</v>
      </c>
      <c r="Z3674" s="865">
        <v>6</v>
      </c>
      <c r="AA3674" s="865">
        <v>6</v>
      </c>
      <c r="AB3674" s="865">
        <v>6</v>
      </c>
      <c r="AC3674" s="865">
        <v>6</v>
      </c>
      <c r="AD3674" s="865"/>
      <c r="AE3674" s="865"/>
      <c r="AF3674" s="865"/>
      <c r="AG3674" s="865"/>
      <c r="AH3674" s="1942"/>
      <c r="AI3674" s="1942"/>
      <c r="AJ3674" s="1942"/>
      <c r="AK3674" s="1942"/>
      <c r="AL3674" s="1942"/>
      <c r="AM3674" s="1942"/>
      <c r="AN3674" s="1942"/>
      <c r="AO3674" s="1942"/>
      <c r="AP3674" s="1942"/>
      <c r="AQ3674" s="1942"/>
      <c r="AR3674" s="1942"/>
      <c r="AS3674" s="1942"/>
      <c r="AT3674" s="1942"/>
      <c r="AU3674" s="1942"/>
      <c r="AV3674" s="1942"/>
      <c r="AW3674" s="1942"/>
      <c r="AX3674" s="1942"/>
      <c r="AY3674" s="1942"/>
      <c r="AZ3674" s="1942"/>
      <c r="BA3674" s="1942"/>
      <c r="BB3674" s="575"/>
      <c r="BC3674" s="576"/>
      <c r="BD3674" s="678"/>
      <c r="BE3674" s="585"/>
    </row>
    <row r="3675" spans="1:57" s="51" customFormat="1" ht="15" hidden="1" customHeight="1" outlineLevel="1" x14ac:dyDescent="0.25">
      <c r="A3675" s="2060"/>
      <c r="B3675" s="576"/>
      <c r="C3675" s="328"/>
      <c r="D3675" s="3990"/>
      <c r="E3675" s="4009"/>
      <c r="F3675" s="3016" t="str">
        <f t="shared" si="271"/>
        <v>ASHP-SEER17_ER2_SF</v>
      </c>
      <c r="G3675" s="2673"/>
      <c r="H3675" s="2673"/>
      <c r="I3675" s="2673"/>
      <c r="J3675" s="3301" t="str">
        <f t="shared" si="277"/>
        <v>353750_2021_12_</v>
      </c>
      <c r="K3675" s="865">
        <v>12</v>
      </c>
      <c r="L3675" s="851"/>
      <c r="M3675" s="698"/>
      <c r="N3675" s="123"/>
      <c r="O3675" s="228"/>
      <c r="P3675" s="844"/>
      <c r="Q3675" s="845"/>
      <c r="R3675" s="844"/>
      <c r="S3675" s="832"/>
      <c r="T3675" s="3082"/>
      <c r="U3675" s="123"/>
      <c r="V3675" s="4031"/>
      <c r="W3675" s="865">
        <v>12</v>
      </c>
      <c r="X3675" s="865">
        <v>12</v>
      </c>
      <c r="Y3675" s="865">
        <v>12</v>
      </c>
      <c r="Z3675" s="865">
        <v>12</v>
      </c>
      <c r="AA3675" s="865">
        <v>12</v>
      </c>
      <c r="AB3675" s="865">
        <v>12</v>
      </c>
      <c r="AC3675" s="865">
        <v>12</v>
      </c>
      <c r="AD3675" s="865"/>
      <c r="AE3675" s="865"/>
      <c r="AF3675" s="865"/>
      <c r="AG3675" s="865"/>
      <c r="AH3675" s="1942"/>
      <c r="AI3675" s="1942"/>
      <c r="AJ3675" s="1942"/>
      <c r="AK3675" s="1942"/>
      <c r="AL3675" s="1942"/>
      <c r="AM3675" s="1942"/>
      <c r="AN3675" s="1942"/>
      <c r="AO3675" s="1942"/>
      <c r="AP3675" s="1942"/>
      <c r="AQ3675" s="1942"/>
      <c r="AR3675" s="1942"/>
      <c r="AS3675" s="1942"/>
      <c r="AT3675" s="1942"/>
      <c r="AU3675" s="1942"/>
      <c r="AV3675" s="1942"/>
      <c r="AW3675" s="1942"/>
      <c r="AX3675" s="1942"/>
      <c r="AY3675" s="1942"/>
      <c r="AZ3675" s="1942"/>
      <c r="BA3675" s="1942"/>
      <c r="BB3675" s="575"/>
      <c r="BC3675" s="576"/>
      <c r="BD3675" s="678"/>
      <c r="BE3675" s="585"/>
    </row>
    <row r="3676" spans="1:57" s="51" customFormat="1" ht="15" hidden="1" customHeight="1" outlineLevel="1" x14ac:dyDescent="0.25">
      <c r="A3676" s="2060"/>
      <c r="B3676" s="576"/>
      <c r="C3676" s="328"/>
      <c r="D3676" s="3990"/>
      <c r="E3676" s="4009"/>
      <c r="F3676" s="3016" t="str">
        <f t="shared" si="271"/>
        <v>ASHP-SEER17_ER2_SF</v>
      </c>
      <c r="G3676" s="2673"/>
      <c r="H3676" s="2673"/>
      <c r="I3676" s="2673"/>
      <c r="J3676" s="3301" t="str">
        <f t="shared" si="277"/>
        <v>353750_2021_12_</v>
      </c>
      <c r="K3676" s="865">
        <v>12</v>
      </c>
      <c r="L3676" s="851"/>
      <c r="M3676" s="698"/>
      <c r="N3676" s="123"/>
      <c r="O3676" s="228"/>
      <c r="P3676" s="844"/>
      <c r="Q3676" s="845"/>
      <c r="R3676" s="844"/>
      <c r="S3676" s="832"/>
      <c r="T3676" s="3082"/>
      <c r="U3676" s="123"/>
      <c r="V3676" s="4031"/>
      <c r="W3676" s="865">
        <v>12</v>
      </c>
      <c r="X3676" s="865">
        <v>12</v>
      </c>
      <c r="Y3676" s="865">
        <v>12</v>
      </c>
      <c r="Z3676" s="865">
        <v>12</v>
      </c>
      <c r="AA3676" s="865">
        <v>12</v>
      </c>
      <c r="AB3676" s="865">
        <v>12</v>
      </c>
      <c r="AC3676" s="865">
        <v>12</v>
      </c>
      <c r="AD3676" s="865"/>
      <c r="AE3676" s="865"/>
      <c r="AF3676" s="865"/>
      <c r="AG3676" s="865"/>
      <c r="AH3676" s="1942"/>
      <c r="AI3676" s="1942"/>
      <c r="AJ3676" s="1942"/>
      <c r="AK3676" s="1942"/>
      <c r="AL3676" s="1942"/>
      <c r="AM3676" s="1942"/>
      <c r="AN3676" s="1942"/>
      <c r="AO3676" s="1942"/>
      <c r="AP3676" s="1942"/>
      <c r="AQ3676" s="1942"/>
      <c r="AR3676" s="1942"/>
      <c r="AS3676" s="1942"/>
      <c r="AT3676" s="1942"/>
      <c r="AU3676" s="1942"/>
      <c r="AV3676" s="1942"/>
      <c r="AW3676" s="1942"/>
      <c r="AX3676" s="1942"/>
      <c r="AY3676" s="1942"/>
      <c r="AZ3676" s="1942"/>
      <c r="BA3676" s="1942"/>
      <c r="BB3676" s="575"/>
      <c r="BC3676" s="576"/>
      <c r="BD3676" s="678"/>
      <c r="BE3676" s="585"/>
    </row>
    <row r="3677" spans="1:57" s="51" customFormat="1" ht="15" hidden="1" customHeight="1" outlineLevel="1" x14ac:dyDescent="0.25">
      <c r="A3677" s="2060"/>
      <c r="B3677" s="576"/>
      <c r="C3677" s="328"/>
      <c r="D3677" s="3990"/>
      <c r="E3677" s="4009"/>
      <c r="F3677" s="3016" t="str">
        <f t="shared" si="271"/>
        <v>ASHP-SEER17_ROF_SF</v>
      </c>
      <c r="G3677" s="2673"/>
      <c r="H3677" s="2673"/>
      <c r="I3677" s="2673"/>
      <c r="J3677" s="3301" t="str">
        <f t="shared" si="277"/>
        <v>353800_2021_12_</v>
      </c>
      <c r="K3677" s="865">
        <v>18</v>
      </c>
      <c r="L3677" s="861"/>
      <c r="M3677" s="698"/>
      <c r="N3677" s="123"/>
      <c r="O3677" s="228"/>
      <c r="P3677" s="844"/>
      <c r="Q3677" s="845"/>
      <c r="R3677" s="844"/>
      <c r="S3677" s="832"/>
      <c r="T3677" s="3082"/>
      <c r="U3677" s="123"/>
      <c r="V3677" s="4031"/>
      <c r="W3677" s="865">
        <v>18</v>
      </c>
      <c r="X3677" s="865">
        <v>18</v>
      </c>
      <c r="Y3677" s="865">
        <v>18</v>
      </c>
      <c r="Z3677" s="865">
        <v>18</v>
      </c>
      <c r="AA3677" s="865">
        <v>18</v>
      </c>
      <c r="AB3677" s="865">
        <v>18</v>
      </c>
      <c r="AC3677" s="865">
        <v>18</v>
      </c>
      <c r="AD3677" s="865"/>
      <c r="AE3677" s="865"/>
      <c r="AF3677" s="865"/>
      <c r="AG3677" s="865"/>
      <c r="AH3677" s="1942"/>
      <c r="AI3677" s="1942"/>
      <c r="AJ3677" s="1942"/>
      <c r="AK3677" s="1942"/>
      <c r="AL3677" s="1942"/>
      <c r="AM3677" s="1942"/>
      <c r="AN3677" s="1942"/>
      <c r="AO3677" s="1942"/>
      <c r="AP3677" s="1942"/>
      <c r="AQ3677" s="1942"/>
      <c r="AR3677" s="1942"/>
      <c r="AS3677" s="1942"/>
      <c r="AT3677" s="1942"/>
      <c r="AU3677" s="1942"/>
      <c r="AV3677" s="1942"/>
      <c r="AW3677" s="1942"/>
      <c r="AX3677" s="1942"/>
      <c r="AY3677" s="1942"/>
      <c r="AZ3677" s="1942"/>
      <c r="BA3677" s="1942"/>
      <c r="BB3677" s="575"/>
      <c r="BC3677" s="576"/>
      <c r="BD3677" s="678"/>
      <c r="BE3677" s="585"/>
    </row>
    <row r="3678" spans="1:57" s="51" customFormat="1" ht="15" hidden="1" customHeight="1" outlineLevel="1" x14ac:dyDescent="0.25">
      <c r="A3678" s="2060"/>
      <c r="B3678" s="576"/>
      <c r="C3678" s="328"/>
      <c r="D3678" s="3990"/>
      <c r="E3678" s="4009"/>
      <c r="F3678" s="3016" t="str">
        <f t="shared" si="271"/>
        <v>ASHP-SEER17_ROF_SF</v>
      </c>
      <c r="G3678" s="2673"/>
      <c r="H3678" s="2673"/>
      <c r="I3678" s="2673"/>
      <c r="J3678" s="3301" t="str">
        <f t="shared" si="277"/>
        <v>353800_2021_12_</v>
      </c>
      <c r="K3678" s="865">
        <v>18</v>
      </c>
      <c r="L3678" s="850"/>
      <c r="M3678" s="858"/>
      <c r="N3678" s="123"/>
      <c r="O3678" s="228"/>
      <c r="P3678" s="844"/>
      <c r="Q3678" s="844"/>
      <c r="R3678" s="844"/>
      <c r="S3678" s="832"/>
      <c r="T3678" s="3082"/>
      <c r="U3678" s="123"/>
      <c r="V3678" s="4031"/>
      <c r="W3678" s="865">
        <v>18</v>
      </c>
      <c r="X3678" s="865">
        <v>18</v>
      </c>
      <c r="Y3678" s="865">
        <v>18</v>
      </c>
      <c r="Z3678" s="865">
        <v>18</v>
      </c>
      <c r="AA3678" s="865">
        <v>18</v>
      </c>
      <c r="AB3678" s="865">
        <v>18</v>
      </c>
      <c r="AC3678" s="865">
        <v>18</v>
      </c>
      <c r="AD3678" s="865"/>
      <c r="AE3678" s="865"/>
      <c r="AF3678" s="865"/>
      <c r="AG3678" s="865"/>
      <c r="AH3678" s="1942"/>
      <c r="AI3678" s="1942"/>
      <c r="AJ3678" s="1942"/>
      <c r="AK3678" s="1942"/>
      <c r="AL3678" s="1942"/>
      <c r="AM3678" s="1942"/>
      <c r="AN3678" s="1942"/>
      <c r="AO3678" s="1942"/>
      <c r="AP3678" s="1942"/>
      <c r="AQ3678" s="1942"/>
      <c r="AR3678" s="1942"/>
      <c r="AS3678" s="1942"/>
      <c r="AT3678" s="1942"/>
      <c r="AU3678" s="1942"/>
      <c r="AV3678" s="1942"/>
      <c r="AW3678" s="1942"/>
      <c r="AX3678" s="1942"/>
      <c r="AY3678" s="1942"/>
      <c r="AZ3678" s="1942"/>
      <c r="BA3678" s="1942"/>
      <c r="BB3678" s="575"/>
      <c r="BC3678" s="576"/>
      <c r="BD3678" s="678"/>
      <c r="BE3678" s="585"/>
    </row>
    <row r="3679" spans="1:57" s="51" customFormat="1" ht="15" hidden="1" customHeight="1" outlineLevel="1" x14ac:dyDescent="0.25">
      <c r="A3679" s="2060"/>
      <c r="B3679" s="576"/>
      <c r="C3679" s="328"/>
      <c r="D3679" s="3990"/>
      <c r="E3679" s="4009"/>
      <c r="F3679" s="3016" t="str">
        <f t="shared" si="271"/>
        <v>ASHP-SEER18_ER1_SF</v>
      </c>
      <c r="G3679" s="2673"/>
      <c r="H3679" s="2673"/>
      <c r="I3679" s="2673"/>
      <c r="J3679" s="3301" t="str">
        <f t="shared" si="277"/>
        <v>353850_2021_12_</v>
      </c>
      <c r="K3679" s="865">
        <v>6</v>
      </c>
      <c r="L3679" s="850"/>
      <c r="M3679" s="858"/>
      <c r="N3679" s="123"/>
      <c r="O3679" s="228"/>
      <c r="P3679" s="844"/>
      <c r="Q3679" s="844"/>
      <c r="R3679" s="844"/>
      <c r="S3679" s="832"/>
      <c r="T3679" s="3082"/>
      <c r="U3679" s="123"/>
      <c r="V3679" s="4031"/>
      <c r="W3679" s="865">
        <v>6</v>
      </c>
      <c r="X3679" s="865">
        <v>6</v>
      </c>
      <c r="Y3679" s="865">
        <v>6</v>
      </c>
      <c r="Z3679" s="865">
        <v>6</v>
      </c>
      <c r="AA3679" s="865">
        <v>6</v>
      </c>
      <c r="AB3679" s="865">
        <v>6</v>
      </c>
      <c r="AC3679" s="865">
        <v>6</v>
      </c>
      <c r="AD3679" s="865"/>
      <c r="AE3679" s="865"/>
      <c r="AF3679" s="865"/>
      <c r="AG3679" s="865"/>
      <c r="AH3679" s="1942"/>
      <c r="AI3679" s="1942"/>
      <c r="AJ3679" s="1942"/>
      <c r="AK3679" s="1942"/>
      <c r="AL3679" s="1942"/>
      <c r="AM3679" s="1942"/>
      <c r="AN3679" s="1942"/>
      <c r="AO3679" s="1942"/>
      <c r="AP3679" s="1942"/>
      <c r="AQ3679" s="1942"/>
      <c r="AR3679" s="1942"/>
      <c r="AS3679" s="1942"/>
      <c r="AT3679" s="1942"/>
      <c r="AU3679" s="1942"/>
      <c r="AV3679" s="1942"/>
      <c r="AW3679" s="1942"/>
      <c r="AX3679" s="1942"/>
      <c r="AY3679" s="1942"/>
      <c r="AZ3679" s="1942"/>
      <c r="BA3679" s="1942"/>
      <c r="BB3679" s="575"/>
      <c r="BC3679" s="576"/>
      <c r="BD3679" s="678"/>
      <c r="BE3679" s="585"/>
    </row>
    <row r="3680" spans="1:57" s="51" customFormat="1" ht="15" hidden="1" customHeight="1" outlineLevel="1" x14ac:dyDescent="0.25">
      <c r="A3680" s="2060"/>
      <c r="B3680" s="576"/>
      <c r="C3680" s="328"/>
      <c r="D3680" s="3990"/>
      <c r="E3680" s="4009"/>
      <c r="F3680" s="3016" t="str">
        <f t="shared" si="271"/>
        <v>ASHP-SEER18_ER1_SF</v>
      </c>
      <c r="G3680" s="2673"/>
      <c r="H3680" s="2673"/>
      <c r="I3680" s="2673"/>
      <c r="J3680" s="3301" t="str">
        <f t="shared" si="277"/>
        <v>353850_2021_12_</v>
      </c>
      <c r="K3680" s="865">
        <v>6</v>
      </c>
      <c r="L3680" s="850"/>
      <c r="M3680" s="858"/>
      <c r="N3680" s="123"/>
      <c r="O3680" s="228"/>
      <c r="P3680" s="844"/>
      <c r="Q3680" s="844"/>
      <c r="R3680" s="844"/>
      <c r="S3680" s="832"/>
      <c r="T3680" s="3082"/>
      <c r="U3680" s="123"/>
      <c r="V3680" s="4031"/>
      <c r="W3680" s="865">
        <v>6</v>
      </c>
      <c r="X3680" s="865">
        <v>6</v>
      </c>
      <c r="Y3680" s="865">
        <v>6</v>
      </c>
      <c r="Z3680" s="865">
        <v>6</v>
      </c>
      <c r="AA3680" s="865">
        <v>6</v>
      </c>
      <c r="AB3680" s="865">
        <v>6</v>
      </c>
      <c r="AC3680" s="865">
        <v>6</v>
      </c>
      <c r="AD3680" s="865"/>
      <c r="AE3680" s="865"/>
      <c r="AF3680" s="865"/>
      <c r="AG3680" s="865"/>
      <c r="AH3680" s="1942"/>
      <c r="AI3680" s="1942"/>
      <c r="AJ3680" s="1942"/>
      <c r="AK3680" s="1942"/>
      <c r="AL3680" s="1942"/>
      <c r="AM3680" s="1942"/>
      <c r="AN3680" s="1942"/>
      <c r="AO3680" s="1942"/>
      <c r="AP3680" s="1942"/>
      <c r="AQ3680" s="1942"/>
      <c r="AR3680" s="1942"/>
      <c r="AS3680" s="1942"/>
      <c r="AT3680" s="1942"/>
      <c r="AU3680" s="1942"/>
      <c r="AV3680" s="1942"/>
      <c r="AW3680" s="1942"/>
      <c r="AX3680" s="1942"/>
      <c r="AY3680" s="1942"/>
      <c r="AZ3680" s="1942"/>
      <c r="BA3680" s="1942"/>
      <c r="BB3680" s="575"/>
      <c r="BC3680" s="576"/>
      <c r="BD3680" s="678"/>
      <c r="BE3680" s="585"/>
    </row>
    <row r="3681" spans="1:57" s="51" customFormat="1" ht="15" hidden="1" customHeight="1" outlineLevel="1" x14ac:dyDescent="0.25">
      <c r="A3681" s="2060"/>
      <c r="B3681" s="576"/>
      <c r="C3681" s="328"/>
      <c r="D3681" s="3990"/>
      <c r="E3681" s="4009"/>
      <c r="F3681" s="3016" t="str">
        <f t="shared" si="271"/>
        <v>ASHP-SEER18_ER2_SF</v>
      </c>
      <c r="G3681" s="2673"/>
      <c r="H3681" s="2673"/>
      <c r="I3681" s="2673"/>
      <c r="J3681" s="3301" t="str">
        <f t="shared" si="277"/>
        <v>353850_2021_12_</v>
      </c>
      <c r="K3681" s="865">
        <v>12</v>
      </c>
      <c r="L3681" s="850"/>
      <c r="M3681" s="858"/>
      <c r="N3681" s="123"/>
      <c r="O3681" s="228"/>
      <c r="P3681" s="844"/>
      <c r="Q3681" s="844"/>
      <c r="R3681" s="844"/>
      <c r="S3681" s="832"/>
      <c r="T3681" s="3082"/>
      <c r="U3681" s="123"/>
      <c r="V3681" s="4031"/>
      <c r="W3681" s="865">
        <v>12</v>
      </c>
      <c r="X3681" s="865">
        <v>12</v>
      </c>
      <c r="Y3681" s="865">
        <v>12</v>
      </c>
      <c r="Z3681" s="865">
        <v>12</v>
      </c>
      <c r="AA3681" s="865">
        <v>12</v>
      </c>
      <c r="AB3681" s="865">
        <v>12</v>
      </c>
      <c r="AC3681" s="865">
        <v>12</v>
      </c>
      <c r="AD3681" s="865"/>
      <c r="AE3681" s="865"/>
      <c r="AF3681" s="865"/>
      <c r="AG3681" s="865"/>
      <c r="AH3681" s="1942"/>
      <c r="AI3681" s="1942"/>
      <c r="AJ3681" s="1942"/>
      <c r="AK3681" s="1942"/>
      <c r="AL3681" s="1942"/>
      <c r="AM3681" s="1942"/>
      <c r="AN3681" s="1942"/>
      <c r="AO3681" s="1942"/>
      <c r="AP3681" s="1942"/>
      <c r="AQ3681" s="1942"/>
      <c r="AR3681" s="1942"/>
      <c r="AS3681" s="1942"/>
      <c r="AT3681" s="1942"/>
      <c r="AU3681" s="1942"/>
      <c r="AV3681" s="1942"/>
      <c r="AW3681" s="1942"/>
      <c r="AX3681" s="1942"/>
      <c r="AY3681" s="1942"/>
      <c r="AZ3681" s="1942"/>
      <c r="BA3681" s="1942"/>
      <c r="BB3681" s="575"/>
      <c r="BC3681" s="576"/>
      <c r="BD3681" s="678"/>
      <c r="BE3681" s="585"/>
    </row>
    <row r="3682" spans="1:57" s="51" customFormat="1" ht="15" hidden="1" customHeight="1" outlineLevel="1" x14ac:dyDescent="0.25">
      <c r="A3682" s="2060"/>
      <c r="B3682" s="576"/>
      <c r="C3682" s="328"/>
      <c r="D3682" s="3990"/>
      <c r="E3682" s="4009"/>
      <c r="F3682" s="3016" t="str">
        <f t="shared" si="271"/>
        <v>ASHP-SEER18_ER2_SF</v>
      </c>
      <c r="G3682" s="2673"/>
      <c r="H3682" s="2673"/>
      <c r="I3682" s="2673"/>
      <c r="J3682" s="3301" t="str">
        <f t="shared" si="277"/>
        <v>353850_2021_12_</v>
      </c>
      <c r="K3682" s="865">
        <v>12</v>
      </c>
      <c r="L3682" s="850"/>
      <c r="M3682" s="858"/>
      <c r="N3682" s="123"/>
      <c r="O3682" s="228"/>
      <c r="P3682" s="844"/>
      <c r="Q3682" s="844"/>
      <c r="R3682" s="844"/>
      <c r="S3682" s="832"/>
      <c r="T3682" s="3082"/>
      <c r="U3682" s="123"/>
      <c r="V3682" s="4031"/>
      <c r="W3682" s="865">
        <v>12</v>
      </c>
      <c r="X3682" s="865">
        <v>12</v>
      </c>
      <c r="Y3682" s="865">
        <v>12</v>
      </c>
      <c r="Z3682" s="865">
        <v>12</v>
      </c>
      <c r="AA3682" s="865">
        <v>12</v>
      </c>
      <c r="AB3682" s="865">
        <v>12</v>
      </c>
      <c r="AC3682" s="865">
        <v>12</v>
      </c>
      <c r="AD3682" s="865"/>
      <c r="AE3682" s="865"/>
      <c r="AF3682" s="865"/>
      <c r="AG3682" s="865"/>
      <c r="AH3682" s="1942"/>
      <c r="AI3682" s="1942"/>
      <c r="AJ3682" s="1942"/>
      <c r="AK3682" s="1942"/>
      <c r="AL3682" s="1942"/>
      <c r="AM3682" s="1942"/>
      <c r="AN3682" s="1942"/>
      <c r="AO3682" s="1942"/>
      <c r="AP3682" s="1942"/>
      <c r="AQ3682" s="1942"/>
      <c r="AR3682" s="1942"/>
      <c r="AS3682" s="1942"/>
      <c r="AT3682" s="1942"/>
      <c r="AU3682" s="1942"/>
      <c r="AV3682" s="1942"/>
      <c r="AW3682" s="1942"/>
      <c r="AX3682" s="1942"/>
      <c r="AY3682" s="1942"/>
      <c r="AZ3682" s="1942"/>
      <c r="BA3682" s="1942"/>
      <c r="BB3682" s="575"/>
      <c r="BC3682" s="576"/>
      <c r="BD3682" s="678"/>
      <c r="BE3682" s="585"/>
    </row>
    <row r="3683" spans="1:57" s="51" customFormat="1" ht="15" hidden="1" customHeight="1" outlineLevel="1" x14ac:dyDescent="0.25">
      <c r="A3683" s="2060"/>
      <c r="B3683" s="576"/>
      <c r="C3683" s="328"/>
      <c r="D3683" s="3990"/>
      <c r="E3683" s="4009"/>
      <c r="F3683" s="3016" t="str">
        <f t="shared" si="271"/>
        <v>ASHP-SEER18_ROF_SF</v>
      </c>
      <c r="G3683" s="2673"/>
      <c r="H3683" s="2673"/>
      <c r="I3683" s="2673"/>
      <c r="J3683" s="3301" t="str">
        <f t="shared" si="277"/>
        <v>353950_2021_12_</v>
      </c>
      <c r="K3683" s="865">
        <v>18</v>
      </c>
      <c r="L3683" s="850"/>
      <c r="M3683" s="858"/>
      <c r="N3683" s="123"/>
      <c r="O3683" s="228"/>
      <c r="P3683" s="844"/>
      <c r="Q3683" s="844"/>
      <c r="R3683" s="844"/>
      <c r="S3683" s="832"/>
      <c r="T3683" s="3082"/>
      <c r="U3683" s="123"/>
      <c r="V3683" s="4031"/>
      <c r="W3683" s="865">
        <v>18</v>
      </c>
      <c r="X3683" s="865">
        <v>18</v>
      </c>
      <c r="Y3683" s="865">
        <v>18</v>
      </c>
      <c r="Z3683" s="865">
        <v>18</v>
      </c>
      <c r="AA3683" s="865">
        <v>18</v>
      </c>
      <c r="AB3683" s="865">
        <v>18</v>
      </c>
      <c r="AC3683" s="865">
        <v>18</v>
      </c>
      <c r="AD3683" s="865"/>
      <c r="AE3683" s="865"/>
      <c r="AF3683" s="865"/>
      <c r="AG3683" s="865"/>
      <c r="AH3683" s="1942"/>
      <c r="AI3683" s="1942"/>
      <c r="AJ3683" s="1942"/>
      <c r="AK3683" s="1942"/>
      <c r="AL3683" s="1942"/>
      <c r="AM3683" s="1942"/>
      <c r="AN3683" s="1942"/>
      <c r="AO3683" s="1942"/>
      <c r="AP3683" s="1942"/>
      <c r="AQ3683" s="1942"/>
      <c r="AR3683" s="1942"/>
      <c r="AS3683" s="1942"/>
      <c r="AT3683" s="1942"/>
      <c r="AU3683" s="1942"/>
      <c r="AV3683" s="1942"/>
      <c r="AW3683" s="1942"/>
      <c r="AX3683" s="1942"/>
      <c r="AY3683" s="1942"/>
      <c r="AZ3683" s="1942"/>
      <c r="BA3683" s="1942"/>
      <c r="BB3683" s="575"/>
      <c r="BC3683" s="576"/>
      <c r="BD3683" s="678"/>
      <c r="BE3683" s="585"/>
    </row>
    <row r="3684" spans="1:57" s="51" customFormat="1" ht="15" hidden="1" customHeight="1" outlineLevel="1" x14ac:dyDescent="0.25">
      <c r="A3684" s="2060"/>
      <c r="B3684" s="576"/>
      <c r="C3684" s="328"/>
      <c r="D3684" s="3990"/>
      <c r="E3684" s="4009"/>
      <c r="F3684" s="3016" t="str">
        <f t="shared" si="271"/>
        <v>ASHP-SEER18_ROF_SF</v>
      </c>
      <c r="G3684" s="2673"/>
      <c r="H3684" s="2673"/>
      <c r="I3684" s="2673"/>
      <c r="J3684" s="3301" t="str">
        <f t="shared" si="277"/>
        <v>353950_2021_12_</v>
      </c>
      <c r="K3684" s="865">
        <v>18</v>
      </c>
      <c r="L3684" s="851"/>
      <c r="M3684" s="858"/>
      <c r="N3684" s="123"/>
      <c r="O3684" s="228"/>
      <c r="P3684" s="844"/>
      <c r="Q3684" s="844"/>
      <c r="R3684" s="844"/>
      <c r="S3684" s="832"/>
      <c r="T3684" s="3082"/>
      <c r="U3684" s="123"/>
      <c r="V3684" s="4031"/>
      <c r="W3684" s="865">
        <v>18</v>
      </c>
      <c r="X3684" s="865">
        <v>18</v>
      </c>
      <c r="Y3684" s="865">
        <v>18</v>
      </c>
      <c r="Z3684" s="865">
        <v>18</v>
      </c>
      <c r="AA3684" s="865">
        <v>18</v>
      </c>
      <c r="AB3684" s="865">
        <v>18</v>
      </c>
      <c r="AC3684" s="865">
        <v>18</v>
      </c>
      <c r="AD3684" s="865"/>
      <c r="AE3684" s="865"/>
      <c r="AF3684" s="865"/>
      <c r="AG3684" s="865"/>
      <c r="AH3684" s="1942"/>
      <c r="AI3684" s="1942"/>
      <c r="AJ3684" s="1942"/>
      <c r="AK3684" s="1942"/>
      <c r="AL3684" s="1942"/>
      <c r="AM3684" s="1942"/>
      <c r="AN3684" s="1942"/>
      <c r="AO3684" s="1942"/>
      <c r="AP3684" s="1942"/>
      <c r="AQ3684" s="1942"/>
      <c r="AR3684" s="1942"/>
      <c r="AS3684" s="1942"/>
      <c r="AT3684" s="1942"/>
      <c r="AU3684" s="1942"/>
      <c r="AV3684" s="1942"/>
      <c r="AW3684" s="1942"/>
      <c r="AX3684" s="1942"/>
      <c r="AY3684" s="1942"/>
      <c r="AZ3684" s="1942"/>
      <c r="BA3684" s="1942"/>
      <c r="BB3684" s="575"/>
      <c r="BC3684" s="576"/>
      <c r="BD3684" s="678"/>
      <c r="BE3684" s="585"/>
    </row>
    <row r="3685" spans="1:57" s="51" customFormat="1" ht="15" hidden="1" customHeight="1" outlineLevel="1" x14ac:dyDescent="0.25">
      <c r="A3685" s="2060"/>
      <c r="B3685" s="576"/>
      <c r="C3685" s="328"/>
      <c r="D3685" s="3990"/>
      <c r="E3685" s="4009"/>
      <c r="F3685" s="3016" t="str">
        <f t="shared" ref="F3685:F3748" si="278">E1607</f>
        <v>ASHP-SEER19_ER1_SF</v>
      </c>
      <c r="G3685" s="2673"/>
      <c r="H3685" s="2673"/>
      <c r="I3685" s="2673"/>
      <c r="J3685" s="3301" t="str">
        <f t="shared" si="277"/>
        <v>354000_2021_12_</v>
      </c>
      <c r="K3685" s="865">
        <v>6</v>
      </c>
      <c r="L3685" s="851"/>
      <c r="M3685" s="858"/>
      <c r="N3685" s="123"/>
      <c r="O3685" s="228"/>
      <c r="P3685" s="844"/>
      <c r="Q3685" s="844"/>
      <c r="R3685" s="844"/>
      <c r="S3685" s="832"/>
      <c r="T3685" s="3082"/>
      <c r="U3685" s="123"/>
      <c r="V3685" s="4031"/>
      <c r="W3685" s="865">
        <v>6</v>
      </c>
      <c r="X3685" s="865">
        <v>6</v>
      </c>
      <c r="Y3685" s="865">
        <v>6</v>
      </c>
      <c r="Z3685" s="865">
        <v>6</v>
      </c>
      <c r="AA3685" s="865">
        <v>6</v>
      </c>
      <c r="AB3685" s="865">
        <v>6</v>
      </c>
      <c r="AC3685" s="865">
        <v>6</v>
      </c>
      <c r="AD3685" s="865"/>
      <c r="AE3685" s="865"/>
      <c r="AF3685" s="865"/>
      <c r="AG3685" s="865"/>
      <c r="AH3685" s="1942"/>
      <c r="AI3685" s="1942"/>
      <c r="AJ3685" s="1942"/>
      <c r="AK3685" s="1942"/>
      <c r="AL3685" s="1942"/>
      <c r="AM3685" s="1942"/>
      <c r="AN3685" s="1942"/>
      <c r="AO3685" s="1942"/>
      <c r="AP3685" s="1942"/>
      <c r="AQ3685" s="1942"/>
      <c r="AR3685" s="1942"/>
      <c r="AS3685" s="1942"/>
      <c r="AT3685" s="1942"/>
      <c r="AU3685" s="1942"/>
      <c r="AV3685" s="1942"/>
      <c r="AW3685" s="1942"/>
      <c r="AX3685" s="1942"/>
      <c r="AY3685" s="1942"/>
      <c r="AZ3685" s="1942"/>
      <c r="BA3685" s="1942"/>
      <c r="BB3685" s="575"/>
      <c r="BC3685" s="576"/>
      <c r="BD3685" s="678"/>
      <c r="BE3685" s="585"/>
    </row>
    <row r="3686" spans="1:57" s="51" customFormat="1" ht="15" hidden="1" customHeight="1" outlineLevel="1" x14ac:dyDescent="0.25">
      <c r="A3686" s="2060"/>
      <c r="B3686" s="576"/>
      <c r="C3686" s="328"/>
      <c r="D3686" s="3990"/>
      <c r="E3686" s="4009"/>
      <c r="F3686" s="3016" t="str">
        <f t="shared" si="278"/>
        <v>ASHP-SEER19_ER1_SF</v>
      </c>
      <c r="G3686" s="2673"/>
      <c r="H3686" s="2673"/>
      <c r="I3686" s="2673"/>
      <c r="J3686" s="3301" t="str">
        <f t="shared" si="277"/>
        <v>354000_2021_12_</v>
      </c>
      <c r="K3686" s="865">
        <v>6</v>
      </c>
      <c r="L3686" s="851"/>
      <c r="M3686" s="858"/>
      <c r="N3686" s="123"/>
      <c r="O3686" s="228"/>
      <c r="P3686" s="844"/>
      <c r="Q3686" s="844"/>
      <c r="R3686" s="844"/>
      <c r="S3686" s="832"/>
      <c r="T3686" s="3082"/>
      <c r="U3686" s="123"/>
      <c r="V3686" s="4031"/>
      <c r="W3686" s="865">
        <v>6</v>
      </c>
      <c r="X3686" s="865">
        <v>6</v>
      </c>
      <c r="Y3686" s="865">
        <v>6</v>
      </c>
      <c r="Z3686" s="865">
        <v>6</v>
      </c>
      <c r="AA3686" s="865">
        <v>6</v>
      </c>
      <c r="AB3686" s="865">
        <v>6</v>
      </c>
      <c r="AC3686" s="865">
        <v>6</v>
      </c>
      <c r="AD3686" s="865"/>
      <c r="AE3686" s="865"/>
      <c r="AF3686" s="865"/>
      <c r="AG3686" s="865"/>
      <c r="AH3686" s="1942"/>
      <c r="AI3686" s="1942"/>
      <c r="AJ3686" s="1942"/>
      <c r="AK3686" s="1942"/>
      <c r="AL3686" s="1942"/>
      <c r="AM3686" s="1942"/>
      <c r="AN3686" s="1942"/>
      <c r="AO3686" s="1942"/>
      <c r="AP3686" s="1942"/>
      <c r="AQ3686" s="1942"/>
      <c r="AR3686" s="1942"/>
      <c r="AS3686" s="1942"/>
      <c r="AT3686" s="1942"/>
      <c r="AU3686" s="1942"/>
      <c r="AV3686" s="1942"/>
      <c r="AW3686" s="1942"/>
      <c r="AX3686" s="1942"/>
      <c r="AY3686" s="1942"/>
      <c r="AZ3686" s="1942"/>
      <c r="BA3686" s="1942"/>
      <c r="BB3686" s="575"/>
      <c r="BC3686" s="576"/>
      <c r="BD3686" s="678"/>
      <c r="BE3686" s="585"/>
    </row>
    <row r="3687" spans="1:57" s="51" customFormat="1" ht="15" hidden="1" customHeight="1" outlineLevel="1" x14ac:dyDescent="0.25">
      <c r="A3687" s="2060"/>
      <c r="B3687" s="576"/>
      <c r="C3687" s="328"/>
      <c r="D3687" s="3990"/>
      <c r="E3687" s="4009"/>
      <c r="F3687" s="3016" t="str">
        <f t="shared" si="278"/>
        <v>ASHP-SEER19_ER2_SF</v>
      </c>
      <c r="G3687" s="2673"/>
      <c r="H3687" s="2673"/>
      <c r="I3687" s="2673"/>
      <c r="J3687" s="3301" t="str">
        <f t="shared" si="277"/>
        <v>354000_2021_12_</v>
      </c>
      <c r="K3687" s="865">
        <v>12</v>
      </c>
      <c r="L3687" s="851"/>
      <c r="M3687" s="698"/>
      <c r="N3687" s="123"/>
      <c r="O3687" s="228"/>
      <c r="P3687" s="844"/>
      <c r="Q3687" s="844"/>
      <c r="R3687" s="844"/>
      <c r="S3687" s="832"/>
      <c r="T3687" s="3082"/>
      <c r="U3687" s="123"/>
      <c r="V3687" s="4031"/>
      <c r="W3687" s="865">
        <v>12</v>
      </c>
      <c r="X3687" s="865">
        <v>12</v>
      </c>
      <c r="Y3687" s="865">
        <v>12</v>
      </c>
      <c r="Z3687" s="865">
        <v>12</v>
      </c>
      <c r="AA3687" s="865">
        <v>12</v>
      </c>
      <c r="AB3687" s="865">
        <v>12</v>
      </c>
      <c r="AC3687" s="865">
        <v>12</v>
      </c>
      <c r="AD3687" s="865"/>
      <c r="AE3687" s="865"/>
      <c r="AF3687" s="865"/>
      <c r="AG3687" s="865"/>
      <c r="AH3687" s="1942"/>
      <c r="AI3687" s="1942"/>
      <c r="AJ3687" s="1942"/>
      <c r="AK3687" s="1942"/>
      <c r="AL3687" s="1942"/>
      <c r="AM3687" s="1942"/>
      <c r="AN3687" s="1942"/>
      <c r="AO3687" s="1942"/>
      <c r="AP3687" s="1942"/>
      <c r="AQ3687" s="1942"/>
      <c r="AR3687" s="1942"/>
      <c r="AS3687" s="1942"/>
      <c r="AT3687" s="1942"/>
      <c r="AU3687" s="1942"/>
      <c r="AV3687" s="1942"/>
      <c r="AW3687" s="1942"/>
      <c r="AX3687" s="1942"/>
      <c r="AY3687" s="1942"/>
      <c r="AZ3687" s="1942"/>
      <c r="BA3687" s="1942"/>
      <c r="BB3687" s="575"/>
      <c r="BC3687" s="576"/>
      <c r="BD3687" s="678"/>
      <c r="BE3687" s="585"/>
    </row>
    <row r="3688" spans="1:57" s="51" customFormat="1" ht="15" hidden="1" customHeight="1" outlineLevel="1" x14ac:dyDescent="0.25">
      <c r="A3688" s="2060"/>
      <c r="B3688" s="576"/>
      <c r="C3688" s="328"/>
      <c r="D3688" s="3990"/>
      <c r="E3688" s="4009"/>
      <c r="F3688" s="3016" t="str">
        <f t="shared" si="278"/>
        <v>ASHP-SEER19_ER2_SF</v>
      </c>
      <c r="G3688" s="2673"/>
      <c r="H3688" s="2673"/>
      <c r="I3688" s="2673"/>
      <c r="J3688" s="3301" t="str">
        <f t="shared" si="277"/>
        <v>354000_2021_12_</v>
      </c>
      <c r="K3688" s="865">
        <v>12</v>
      </c>
      <c r="L3688" s="851"/>
      <c r="M3688" s="698"/>
      <c r="N3688" s="123"/>
      <c r="O3688" s="228"/>
      <c r="P3688" s="844"/>
      <c r="Q3688" s="844"/>
      <c r="R3688" s="844"/>
      <c r="S3688" s="832"/>
      <c r="T3688" s="3082"/>
      <c r="U3688" s="123"/>
      <c r="V3688" s="4031"/>
      <c r="W3688" s="865">
        <v>12</v>
      </c>
      <c r="X3688" s="865">
        <v>12</v>
      </c>
      <c r="Y3688" s="865">
        <v>12</v>
      </c>
      <c r="Z3688" s="865">
        <v>12</v>
      </c>
      <c r="AA3688" s="865">
        <v>12</v>
      </c>
      <c r="AB3688" s="865">
        <v>12</v>
      </c>
      <c r="AC3688" s="865">
        <v>12</v>
      </c>
      <c r="AD3688" s="865"/>
      <c r="AE3688" s="865"/>
      <c r="AF3688" s="865"/>
      <c r="AG3688" s="865"/>
      <c r="AH3688" s="1942"/>
      <c r="AI3688" s="1942"/>
      <c r="AJ3688" s="1942"/>
      <c r="AK3688" s="1942"/>
      <c r="AL3688" s="1942"/>
      <c r="AM3688" s="1942"/>
      <c r="AN3688" s="1942"/>
      <c r="AO3688" s="1942"/>
      <c r="AP3688" s="1942"/>
      <c r="AQ3688" s="1942"/>
      <c r="AR3688" s="1942"/>
      <c r="AS3688" s="1942"/>
      <c r="AT3688" s="1942"/>
      <c r="AU3688" s="1942"/>
      <c r="AV3688" s="1942"/>
      <c r="AW3688" s="1942"/>
      <c r="AX3688" s="1942"/>
      <c r="AY3688" s="1942"/>
      <c r="AZ3688" s="1942"/>
      <c r="BA3688" s="1942"/>
      <c r="BB3688" s="575"/>
      <c r="BC3688" s="576"/>
      <c r="BD3688" s="678"/>
      <c r="BE3688" s="585"/>
    </row>
    <row r="3689" spans="1:57" s="51" customFormat="1" ht="15" hidden="1" customHeight="1" outlineLevel="1" x14ac:dyDescent="0.25">
      <c r="A3689" s="2060"/>
      <c r="B3689" s="576"/>
      <c r="C3689" s="328"/>
      <c r="D3689" s="3990"/>
      <c r="E3689" s="4009"/>
      <c r="F3689" s="3016" t="str">
        <f t="shared" si="278"/>
        <v>ASHP-SEER19_ROF_SF</v>
      </c>
      <c r="G3689" s="2673"/>
      <c r="H3689" s="2673"/>
      <c r="I3689" s="2673"/>
      <c r="J3689" s="3301" t="str">
        <f t="shared" si="277"/>
        <v>354050_2021_12_</v>
      </c>
      <c r="K3689" s="865">
        <v>18</v>
      </c>
      <c r="L3689" s="851"/>
      <c r="M3689" s="698"/>
      <c r="N3689" s="123"/>
      <c r="O3689" s="228"/>
      <c r="P3689" s="844"/>
      <c r="Q3689" s="844"/>
      <c r="R3689" s="844"/>
      <c r="S3689" s="832"/>
      <c r="T3689" s="3082"/>
      <c r="U3689" s="123"/>
      <c r="V3689" s="4031"/>
      <c r="W3689" s="865">
        <v>18</v>
      </c>
      <c r="X3689" s="865">
        <v>18</v>
      </c>
      <c r="Y3689" s="865">
        <v>18</v>
      </c>
      <c r="Z3689" s="865">
        <v>18</v>
      </c>
      <c r="AA3689" s="865">
        <v>18</v>
      </c>
      <c r="AB3689" s="865">
        <v>18</v>
      </c>
      <c r="AC3689" s="865">
        <v>18</v>
      </c>
      <c r="AD3689" s="865"/>
      <c r="AE3689" s="865"/>
      <c r="AF3689" s="865"/>
      <c r="AG3689" s="865"/>
      <c r="AH3689" s="1942"/>
      <c r="AI3689" s="1942"/>
      <c r="AJ3689" s="1942"/>
      <c r="AK3689" s="1942"/>
      <c r="AL3689" s="1942"/>
      <c r="AM3689" s="1942"/>
      <c r="AN3689" s="1942"/>
      <c r="AO3689" s="1942"/>
      <c r="AP3689" s="1942"/>
      <c r="AQ3689" s="1942"/>
      <c r="AR3689" s="1942"/>
      <c r="AS3689" s="1942"/>
      <c r="AT3689" s="1942"/>
      <c r="AU3689" s="1942"/>
      <c r="AV3689" s="1942"/>
      <c r="AW3689" s="1942"/>
      <c r="AX3689" s="1942"/>
      <c r="AY3689" s="1942"/>
      <c r="AZ3689" s="1942"/>
      <c r="BA3689" s="1942"/>
      <c r="BB3689" s="575"/>
      <c r="BC3689" s="576"/>
      <c r="BD3689" s="678"/>
      <c r="BE3689" s="585"/>
    </row>
    <row r="3690" spans="1:57" s="51" customFormat="1" ht="15" hidden="1" customHeight="1" outlineLevel="1" x14ac:dyDescent="0.25">
      <c r="A3690" s="2060"/>
      <c r="B3690" s="576"/>
      <c r="C3690" s="328"/>
      <c r="D3690" s="3990"/>
      <c r="E3690" s="4009"/>
      <c r="F3690" s="3016" t="str">
        <f t="shared" si="278"/>
        <v>ASHP-SEER19_ROF_SF</v>
      </c>
      <c r="G3690" s="2673"/>
      <c r="H3690" s="2673"/>
      <c r="I3690" s="2673"/>
      <c r="J3690" s="3301" t="str">
        <f t="shared" si="277"/>
        <v>354050_2021_12_</v>
      </c>
      <c r="K3690" s="865">
        <v>18</v>
      </c>
      <c r="L3690" s="851"/>
      <c r="M3690" s="698"/>
      <c r="N3690" s="123"/>
      <c r="O3690" s="228"/>
      <c r="P3690" s="844"/>
      <c r="Q3690" s="844"/>
      <c r="R3690" s="844"/>
      <c r="S3690" s="832"/>
      <c r="T3690" s="3082"/>
      <c r="U3690" s="123"/>
      <c r="V3690" s="4031"/>
      <c r="W3690" s="865">
        <v>18</v>
      </c>
      <c r="X3690" s="865">
        <v>18</v>
      </c>
      <c r="Y3690" s="865">
        <v>18</v>
      </c>
      <c r="Z3690" s="865">
        <v>18</v>
      </c>
      <c r="AA3690" s="865">
        <v>18</v>
      </c>
      <c r="AB3690" s="865">
        <v>18</v>
      </c>
      <c r="AC3690" s="865">
        <v>18</v>
      </c>
      <c r="AD3690" s="865"/>
      <c r="AE3690" s="865"/>
      <c r="AF3690" s="865"/>
      <c r="AG3690" s="865"/>
      <c r="AH3690" s="1942"/>
      <c r="AI3690" s="1942"/>
      <c r="AJ3690" s="1942"/>
      <c r="AK3690" s="1942"/>
      <c r="AL3690" s="1942"/>
      <c r="AM3690" s="1942"/>
      <c r="AN3690" s="1942"/>
      <c r="AO3690" s="1942"/>
      <c r="AP3690" s="1942"/>
      <c r="AQ3690" s="1942"/>
      <c r="AR3690" s="1942"/>
      <c r="AS3690" s="1942"/>
      <c r="AT3690" s="1942"/>
      <c r="AU3690" s="1942"/>
      <c r="AV3690" s="1942"/>
      <c r="AW3690" s="1942"/>
      <c r="AX3690" s="1942"/>
      <c r="AY3690" s="1942"/>
      <c r="AZ3690" s="1942"/>
      <c r="BA3690" s="1942"/>
      <c r="BB3690" s="575"/>
      <c r="BC3690" s="576"/>
      <c r="BD3690" s="678"/>
      <c r="BE3690" s="585"/>
    </row>
    <row r="3691" spans="1:57" s="51" customFormat="1" ht="15" hidden="1" customHeight="1" outlineLevel="1" x14ac:dyDescent="0.25">
      <c r="A3691" s="2060"/>
      <c r="B3691" s="576"/>
      <c r="C3691" s="328"/>
      <c r="D3691" s="3990"/>
      <c r="E3691" s="4009"/>
      <c r="F3691" s="3016" t="str">
        <f t="shared" si="278"/>
        <v>ASHP-SEER17-Replace_CAC_ElectricHeat_ER1_SF</v>
      </c>
      <c r="G3691" s="2673"/>
      <c r="H3691" s="2673"/>
      <c r="I3691" s="2673"/>
      <c r="J3691" s="3301" t="str">
        <f t="shared" si="277"/>
        <v>354100_2021_12_</v>
      </c>
      <c r="K3691" s="865">
        <v>6</v>
      </c>
      <c r="L3691" s="851"/>
      <c r="M3691" s="698"/>
      <c r="N3691" s="123"/>
      <c r="O3691" s="228"/>
      <c r="P3691" s="844"/>
      <c r="Q3691" s="844"/>
      <c r="R3691" s="844"/>
      <c r="S3691" s="832"/>
      <c r="T3691" s="3082"/>
      <c r="U3691" s="123"/>
      <c r="V3691" s="4031"/>
      <c r="W3691" s="865">
        <v>6</v>
      </c>
      <c r="X3691" s="865">
        <v>6</v>
      </c>
      <c r="Y3691" s="865">
        <v>6</v>
      </c>
      <c r="Z3691" s="865">
        <v>6</v>
      </c>
      <c r="AA3691" s="865">
        <v>6</v>
      </c>
      <c r="AB3691" s="865">
        <v>6</v>
      </c>
      <c r="AC3691" s="865">
        <v>6</v>
      </c>
      <c r="AD3691" s="865"/>
      <c r="AE3691" s="865"/>
      <c r="AF3691" s="865"/>
      <c r="AG3691" s="865"/>
      <c r="AH3691" s="1942"/>
      <c r="AI3691" s="1942"/>
      <c r="AJ3691" s="1942"/>
      <c r="AK3691" s="1942"/>
      <c r="AL3691" s="1942"/>
      <c r="AM3691" s="1942"/>
      <c r="AN3691" s="1942"/>
      <c r="AO3691" s="1942"/>
      <c r="AP3691" s="1942"/>
      <c r="AQ3691" s="1942"/>
      <c r="AR3691" s="1942"/>
      <c r="AS3691" s="1942"/>
      <c r="AT3691" s="1942"/>
      <c r="AU3691" s="1942"/>
      <c r="AV3691" s="1942"/>
      <c r="AW3691" s="1942"/>
      <c r="AX3691" s="1942"/>
      <c r="AY3691" s="1942"/>
      <c r="AZ3691" s="1942"/>
      <c r="BA3691" s="1942"/>
      <c r="BB3691" s="575"/>
      <c r="BC3691" s="576"/>
      <c r="BD3691" s="678"/>
      <c r="BE3691" s="585"/>
    </row>
    <row r="3692" spans="1:57" s="51" customFormat="1" ht="15" hidden="1" customHeight="1" outlineLevel="1" x14ac:dyDescent="0.25">
      <c r="A3692" s="2060"/>
      <c r="B3692" s="576"/>
      <c r="C3692" s="328"/>
      <c r="D3692" s="3990"/>
      <c r="E3692" s="4009"/>
      <c r="F3692" s="3016" t="str">
        <f t="shared" si="278"/>
        <v>ASHP-SEER17-Replace_CAC_ElectricHeat_ER1_SF</v>
      </c>
      <c r="G3692" s="2673"/>
      <c r="H3692" s="2673"/>
      <c r="I3692" s="2673"/>
      <c r="J3692" s="3301" t="str">
        <f t="shared" si="277"/>
        <v>354100_2021_12_</v>
      </c>
      <c r="K3692" s="865">
        <v>6</v>
      </c>
      <c r="L3692" s="851"/>
      <c r="M3692" s="698"/>
      <c r="N3692" s="123"/>
      <c r="O3692" s="228"/>
      <c r="P3692" s="844"/>
      <c r="Q3692" s="844"/>
      <c r="R3692" s="844"/>
      <c r="S3692" s="832"/>
      <c r="T3692" s="3082"/>
      <c r="U3692" s="123"/>
      <c r="V3692" s="4031"/>
      <c r="W3692" s="865">
        <v>6</v>
      </c>
      <c r="X3692" s="865">
        <v>6</v>
      </c>
      <c r="Y3692" s="865">
        <v>6</v>
      </c>
      <c r="Z3692" s="865">
        <v>6</v>
      </c>
      <c r="AA3692" s="865">
        <v>6</v>
      </c>
      <c r="AB3692" s="865">
        <v>6</v>
      </c>
      <c r="AC3692" s="865">
        <v>6</v>
      </c>
      <c r="AD3692" s="865"/>
      <c r="AE3692" s="865"/>
      <c r="AF3692" s="865"/>
      <c r="AG3692" s="865"/>
      <c r="AH3692" s="1942"/>
      <c r="AI3692" s="1942"/>
      <c r="AJ3692" s="1942"/>
      <c r="AK3692" s="1942"/>
      <c r="AL3692" s="1942"/>
      <c r="AM3692" s="1942"/>
      <c r="AN3692" s="1942"/>
      <c r="AO3692" s="1942"/>
      <c r="AP3692" s="1942"/>
      <c r="AQ3692" s="1942"/>
      <c r="AR3692" s="1942"/>
      <c r="AS3692" s="1942"/>
      <c r="AT3692" s="1942"/>
      <c r="AU3692" s="1942"/>
      <c r="AV3692" s="1942"/>
      <c r="AW3692" s="1942"/>
      <c r="AX3692" s="1942"/>
      <c r="AY3692" s="1942"/>
      <c r="AZ3692" s="1942"/>
      <c r="BA3692" s="1942"/>
      <c r="BB3692" s="575"/>
      <c r="BC3692" s="576"/>
      <c r="BD3692" s="678"/>
      <c r="BE3692" s="585"/>
    </row>
    <row r="3693" spans="1:57" s="51" customFormat="1" ht="15" hidden="1" customHeight="1" outlineLevel="1" x14ac:dyDescent="0.25">
      <c r="A3693" s="2060"/>
      <c r="B3693" s="576"/>
      <c r="C3693" s="328"/>
      <c r="D3693" s="3990"/>
      <c r="E3693" s="4009"/>
      <c r="F3693" s="3016" t="str">
        <f t="shared" si="278"/>
        <v>ASHP-SEER17-Replace_CAC_ElectricHeat_ER2_SF</v>
      </c>
      <c r="G3693" s="2673"/>
      <c r="H3693" s="2673"/>
      <c r="I3693" s="2673"/>
      <c r="J3693" s="3301" t="str">
        <f t="shared" si="277"/>
        <v>354100_2021_12_</v>
      </c>
      <c r="K3693" s="865">
        <v>12</v>
      </c>
      <c r="L3693" s="851"/>
      <c r="M3693" s="698"/>
      <c r="N3693" s="123"/>
      <c r="O3693" s="228"/>
      <c r="P3693" s="844"/>
      <c r="Q3693" s="844"/>
      <c r="R3693" s="844"/>
      <c r="S3693" s="832"/>
      <c r="T3693" s="3082"/>
      <c r="U3693" s="123"/>
      <c r="V3693" s="4031"/>
      <c r="W3693" s="865">
        <v>12</v>
      </c>
      <c r="X3693" s="865">
        <v>12</v>
      </c>
      <c r="Y3693" s="865">
        <v>12</v>
      </c>
      <c r="Z3693" s="865">
        <v>12</v>
      </c>
      <c r="AA3693" s="865">
        <v>12</v>
      </c>
      <c r="AB3693" s="865">
        <v>12</v>
      </c>
      <c r="AC3693" s="865">
        <v>12</v>
      </c>
      <c r="AD3693" s="865"/>
      <c r="AE3693" s="865"/>
      <c r="AF3693" s="865"/>
      <c r="AG3693" s="865"/>
      <c r="AH3693" s="1942"/>
      <c r="AI3693" s="1942"/>
      <c r="AJ3693" s="1942"/>
      <c r="AK3693" s="1942"/>
      <c r="AL3693" s="1942"/>
      <c r="AM3693" s="1942"/>
      <c r="AN3693" s="1942"/>
      <c r="AO3693" s="1942"/>
      <c r="AP3693" s="1942"/>
      <c r="AQ3693" s="1942"/>
      <c r="AR3693" s="1942"/>
      <c r="AS3693" s="1942"/>
      <c r="AT3693" s="1942"/>
      <c r="AU3693" s="1942"/>
      <c r="AV3693" s="1942"/>
      <c r="AW3693" s="1942"/>
      <c r="AX3693" s="1942"/>
      <c r="AY3693" s="1942"/>
      <c r="AZ3693" s="1942"/>
      <c r="BA3693" s="1942"/>
      <c r="BB3693" s="575"/>
      <c r="BC3693" s="576"/>
      <c r="BD3693" s="678"/>
      <c r="BE3693" s="585"/>
    </row>
    <row r="3694" spans="1:57" s="51" customFormat="1" ht="15" hidden="1" customHeight="1" outlineLevel="1" x14ac:dyDescent="0.25">
      <c r="A3694" s="2060"/>
      <c r="B3694" s="576"/>
      <c r="C3694" s="328"/>
      <c r="D3694" s="3990"/>
      <c r="E3694" s="4009"/>
      <c r="F3694" s="3016" t="str">
        <f t="shared" si="278"/>
        <v>ASHP-SEER17-Replace_CAC_ElectricHeat_ER2_SF</v>
      </c>
      <c r="G3694" s="2673"/>
      <c r="H3694" s="2673"/>
      <c r="I3694" s="2673"/>
      <c r="J3694" s="3301" t="str">
        <f t="shared" si="277"/>
        <v>354100_2021_12_</v>
      </c>
      <c r="K3694" s="865">
        <v>12</v>
      </c>
      <c r="L3694" s="851"/>
      <c r="M3694" s="698"/>
      <c r="N3694" s="123"/>
      <c r="O3694" s="228"/>
      <c r="P3694" s="844"/>
      <c r="Q3694" s="844"/>
      <c r="R3694" s="844"/>
      <c r="S3694" s="832"/>
      <c r="T3694" s="3082"/>
      <c r="U3694" s="123"/>
      <c r="V3694" s="4031"/>
      <c r="W3694" s="865">
        <v>12</v>
      </c>
      <c r="X3694" s="865">
        <v>12</v>
      </c>
      <c r="Y3694" s="865">
        <v>12</v>
      </c>
      <c r="Z3694" s="865">
        <v>12</v>
      </c>
      <c r="AA3694" s="865">
        <v>12</v>
      </c>
      <c r="AB3694" s="865">
        <v>12</v>
      </c>
      <c r="AC3694" s="865">
        <v>12</v>
      </c>
      <c r="AD3694" s="865"/>
      <c r="AE3694" s="865"/>
      <c r="AF3694" s="865"/>
      <c r="AG3694" s="865"/>
      <c r="AH3694" s="1942"/>
      <c r="AI3694" s="1942"/>
      <c r="AJ3694" s="1942"/>
      <c r="AK3694" s="1942"/>
      <c r="AL3694" s="1942"/>
      <c r="AM3694" s="1942"/>
      <c r="AN3694" s="1942"/>
      <c r="AO3694" s="1942"/>
      <c r="AP3694" s="1942"/>
      <c r="AQ3694" s="1942"/>
      <c r="AR3694" s="1942"/>
      <c r="AS3694" s="1942"/>
      <c r="AT3694" s="1942"/>
      <c r="AU3694" s="1942"/>
      <c r="AV3694" s="1942"/>
      <c r="AW3694" s="1942"/>
      <c r="AX3694" s="1942"/>
      <c r="AY3694" s="1942"/>
      <c r="AZ3694" s="1942"/>
      <c r="BA3694" s="1942"/>
      <c r="BB3694" s="575"/>
      <c r="BC3694" s="576"/>
      <c r="BD3694" s="678"/>
      <c r="BE3694" s="585"/>
    </row>
    <row r="3695" spans="1:57" s="1942" customFormat="1" ht="15" hidden="1" customHeight="1" outlineLevel="1" x14ac:dyDescent="0.25">
      <c r="A3695" s="2060"/>
      <c r="B3695" s="576"/>
      <c r="C3695" s="328"/>
      <c r="D3695" s="3990"/>
      <c r="E3695" s="4009"/>
      <c r="F3695" s="3016" t="str">
        <f t="shared" si="278"/>
        <v>ASHP-SEER17-Replace_CAC_NonElectricHeat_ER1_SF</v>
      </c>
      <c r="G3695" s="2673"/>
      <c r="H3695" s="2673"/>
      <c r="I3695" s="2673"/>
      <c r="J3695" s="3301" t="str">
        <f t="shared" ref="J3695:J3698" si="279">C1617</f>
        <v>354110_2021_12_</v>
      </c>
      <c r="K3695" s="3054">
        <v>6</v>
      </c>
      <c r="L3695" s="851"/>
      <c r="M3695" s="698"/>
      <c r="N3695" s="123"/>
      <c r="O3695" s="228"/>
      <c r="P3695" s="844"/>
      <c r="Q3695" s="844"/>
      <c r="R3695" s="844"/>
      <c r="S3695" s="832"/>
      <c r="T3695" s="3082"/>
      <c r="U3695" s="123"/>
      <c r="V3695" s="4031"/>
      <c r="W3695" s="865"/>
      <c r="X3695" s="865"/>
      <c r="Y3695" s="865"/>
      <c r="Z3695" s="865"/>
      <c r="AA3695" s="865"/>
      <c r="AB3695" s="865"/>
      <c r="AC3695" s="3054">
        <v>6</v>
      </c>
      <c r="AD3695" s="865"/>
      <c r="AE3695" s="865"/>
      <c r="AF3695" s="865"/>
      <c r="AG3695" s="865"/>
      <c r="BB3695" s="575"/>
      <c r="BC3695" s="576"/>
      <c r="BD3695" s="678"/>
      <c r="BE3695" s="585"/>
    </row>
    <row r="3696" spans="1:57" s="1942" customFormat="1" ht="15" hidden="1" customHeight="1" outlineLevel="1" x14ac:dyDescent="0.25">
      <c r="A3696" s="2060"/>
      <c r="B3696" s="576"/>
      <c r="C3696" s="328"/>
      <c r="D3696" s="3990"/>
      <c r="E3696" s="4009"/>
      <c r="F3696" s="3016" t="str">
        <f t="shared" si="278"/>
        <v>ASHP-SEER17-Replace_CAC_NonElectricHeat_ER1_SF</v>
      </c>
      <c r="G3696" s="2673"/>
      <c r="H3696" s="2673"/>
      <c r="I3696" s="2673"/>
      <c r="J3696" s="3301" t="str">
        <f t="shared" si="279"/>
        <v>354110_2021_12_</v>
      </c>
      <c r="K3696" s="3054">
        <v>6</v>
      </c>
      <c r="L3696" s="851"/>
      <c r="M3696" s="698"/>
      <c r="N3696" s="123"/>
      <c r="O3696" s="228"/>
      <c r="P3696" s="844"/>
      <c r="Q3696" s="844"/>
      <c r="R3696" s="844"/>
      <c r="S3696" s="832"/>
      <c r="T3696" s="3082"/>
      <c r="U3696" s="123"/>
      <c r="V3696" s="4031"/>
      <c r="W3696" s="865"/>
      <c r="X3696" s="865"/>
      <c r="Y3696" s="865"/>
      <c r="Z3696" s="865"/>
      <c r="AA3696" s="865"/>
      <c r="AB3696" s="865"/>
      <c r="AC3696" s="3054">
        <v>6</v>
      </c>
      <c r="AD3696" s="865"/>
      <c r="AE3696" s="865"/>
      <c r="AF3696" s="865"/>
      <c r="AG3696" s="865"/>
      <c r="BB3696" s="575"/>
      <c r="BC3696" s="576"/>
      <c r="BD3696" s="678"/>
      <c r="BE3696" s="585"/>
    </row>
    <row r="3697" spans="1:57" s="1942" customFormat="1" ht="15" hidden="1" customHeight="1" outlineLevel="1" x14ac:dyDescent="0.25">
      <c r="A3697" s="2060"/>
      <c r="B3697" s="576"/>
      <c r="C3697" s="328"/>
      <c r="D3697" s="3990"/>
      <c r="E3697" s="4009"/>
      <c r="F3697" s="3016" t="str">
        <f t="shared" si="278"/>
        <v>ASHP-SEER17-Replace_CAC_NonElectricHeat_ER2_SF</v>
      </c>
      <c r="G3697" s="2673"/>
      <c r="H3697" s="2673"/>
      <c r="I3697" s="2673"/>
      <c r="J3697" s="3301" t="str">
        <f t="shared" si="279"/>
        <v>354110_2021_12_</v>
      </c>
      <c r="K3697" s="3054">
        <v>12</v>
      </c>
      <c r="L3697" s="851"/>
      <c r="M3697" s="698"/>
      <c r="N3697" s="123"/>
      <c r="O3697" s="228"/>
      <c r="P3697" s="844"/>
      <c r="Q3697" s="844"/>
      <c r="R3697" s="844"/>
      <c r="S3697" s="832"/>
      <c r="T3697" s="3082"/>
      <c r="U3697" s="123"/>
      <c r="V3697" s="4031"/>
      <c r="W3697" s="865"/>
      <c r="X3697" s="865"/>
      <c r="Y3697" s="865"/>
      <c r="Z3697" s="865"/>
      <c r="AA3697" s="865"/>
      <c r="AB3697" s="865"/>
      <c r="AC3697" s="3054">
        <v>12</v>
      </c>
      <c r="AD3697" s="865"/>
      <c r="AE3697" s="865"/>
      <c r="AF3697" s="865"/>
      <c r="AG3697" s="865"/>
      <c r="BB3697" s="575"/>
      <c r="BC3697" s="576"/>
      <c r="BD3697" s="678"/>
      <c r="BE3697" s="585"/>
    </row>
    <row r="3698" spans="1:57" s="1942" customFormat="1" ht="15" hidden="1" customHeight="1" outlineLevel="1" x14ac:dyDescent="0.25">
      <c r="A3698" s="2060"/>
      <c r="B3698" s="576"/>
      <c r="C3698" s="328"/>
      <c r="D3698" s="3990"/>
      <c r="E3698" s="4009"/>
      <c r="F3698" s="3016" t="str">
        <f t="shared" si="278"/>
        <v>ASHP-SEER17-Replace_CAC_NonElectricHeat_ER2_SF</v>
      </c>
      <c r="G3698" s="2673"/>
      <c r="H3698" s="2673"/>
      <c r="I3698" s="2673"/>
      <c r="J3698" s="3301" t="str">
        <f t="shared" si="279"/>
        <v>354110_2021_12_</v>
      </c>
      <c r="K3698" s="3054">
        <v>12</v>
      </c>
      <c r="L3698" s="851"/>
      <c r="M3698" s="698"/>
      <c r="N3698" s="123"/>
      <c r="O3698" s="228"/>
      <c r="P3698" s="844"/>
      <c r="Q3698" s="844"/>
      <c r="R3698" s="844"/>
      <c r="S3698" s="832"/>
      <c r="T3698" s="3082"/>
      <c r="U3698" s="123"/>
      <c r="V3698" s="4031"/>
      <c r="W3698" s="865"/>
      <c r="X3698" s="865"/>
      <c r="Y3698" s="865"/>
      <c r="Z3698" s="865"/>
      <c r="AA3698" s="865"/>
      <c r="AB3698" s="865"/>
      <c r="AC3698" s="3054">
        <v>12</v>
      </c>
      <c r="AD3698" s="865"/>
      <c r="AE3698" s="865"/>
      <c r="AF3698" s="865"/>
      <c r="AG3698" s="865"/>
      <c r="BB3698" s="575"/>
      <c r="BC3698" s="576"/>
      <c r="BD3698" s="678"/>
      <c r="BE3698" s="585"/>
    </row>
    <row r="3699" spans="1:57" s="51" customFormat="1" ht="15" hidden="1" customHeight="1" outlineLevel="1" x14ac:dyDescent="0.25">
      <c r="A3699" s="2060"/>
      <c r="B3699" s="576"/>
      <c r="C3699" s="328"/>
      <c r="D3699" s="3990"/>
      <c r="E3699" s="4009"/>
      <c r="F3699" s="3016" t="str">
        <f t="shared" si="278"/>
        <v>ASHP-SEER17-Replace_CAC_ElectricHeat_ER1_MF</v>
      </c>
      <c r="G3699" s="2673"/>
      <c r="H3699" s="2673"/>
      <c r="I3699" s="2673"/>
      <c r="J3699" s="3302" t="str">
        <f>C1621</f>
        <v>354150_2019_12_</v>
      </c>
      <c r="K3699" s="865">
        <v>6</v>
      </c>
      <c r="L3699" s="851"/>
      <c r="M3699" s="698"/>
      <c r="N3699" s="123"/>
      <c r="O3699" s="228"/>
      <c r="P3699" s="844"/>
      <c r="Q3699" s="844"/>
      <c r="R3699" s="844"/>
      <c r="S3699" s="832"/>
      <c r="T3699" s="3082"/>
      <c r="U3699" s="123"/>
      <c r="V3699" s="4031"/>
      <c r="W3699" s="865">
        <v>6</v>
      </c>
      <c r="X3699" s="865">
        <v>6</v>
      </c>
      <c r="Y3699" s="865">
        <v>6</v>
      </c>
      <c r="Z3699" s="865">
        <v>6</v>
      </c>
      <c r="AA3699" s="865">
        <v>6</v>
      </c>
      <c r="AB3699" s="865">
        <v>6</v>
      </c>
      <c r="AC3699" s="865">
        <v>6</v>
      </c>
      <c r="AD3699" s="865"/>
      <c r="AE3699" s="865"/>
      <c r="AF3699" s="865"/>
      <c r="AG3699" s="865"/>
      <c r="AH3699" s="1942"/>
      <c r="AI3699" s="1942"/>
      <c r="AJ3699" s="1942"/>
      <c r="AK3699" s="1942"/>
      <c r="AL3699" s="1942"/>
      <c r="AM3699" s="1942"/>
      <c r="AN3699" s="1942"/>
      <c r="AO3699" s="1942"/>
      <c r="AP3699" s="1942"/>
      <c r="AQ3699" s="1942"/>
      <c r="AR3699" s="1942"/>
      <c r="AS3699" s="1942"/>
      <c r="AT3699" s="1942"/>
      <c r="AU3699" s="1942"/>
      <c r="AV3699" s="1942"/>
      <c r="AW3699" s="1942"/>
      <c r="AX3699" s="1942"/>
      <c r="AY3699" s="1942"/>
      <c r="AZ3699" s="1942"/>
      <c r="BA3699" s="1942"/>
      <c r="BB3699" s="575"/>
      <c r="BC3699" s="576"/>
      <c r="BD3699" s="678"/>
      <c r="BE3699" s="585"/>
    </row>
    <row r="3700" spans="1:57" s="51" customFormat="1" ht="15" hidden="1" customHeight="1" outlineLevel="1" x14ac:dyDescent="0.25">
      <c r="A3700" s="2060"/>
      <c r="B3700" s="576"/>
      <c r="C3700" s="328"/>
      <c r="D3700" s="3990"/>
      <c r="E3700" s="4009"/>
      <c r="F3700" s="3016" t="str">
        <f t="shared" si="278"/>
        <v>ASHP-SEER17-Replace_CAC_ElectricHeat_ER1_MF</v>
      </c>
      <c r="G3700" s="2673"/>
      <c r="H3700" s="2673"/>
      <c r="I3700" s="2673"/>
      <c r="J3700" s="3302" t="str">
        <f>C1622</f>
        <v>354150_2019_12_</v>
      </c>
      <c r="K3700" s="865">
        <v>6</v>
      </c>
      <c r="L3700" s="851"/>
      <c r="M3700" s="698"/>
      <c r="N3700" s="123"/>
      <c r="O3700" s="228"/>
      <c r="P3700" s="844"/>
      <c r="Q3700" s="844"/>
      <c r="R3700" s="844"/>
      <c r="S3700" s="832"/>
      <c r="T3700" s="3082"/>
      <c r="U3700" s="123"/>
      <c r="V3700" s="4031"/>
      <c r="W3700" s="865">
        <v>6</v>
      </c>
      <c r="X3700" s="865">
        <v>6</v>
      </c>
      <c r="Y3700" s="865">
        <v>6</v>
      </c>
      <c r="Z3700" s="865">
        <v>6</v>
      </c>
      <c r="AA3700" s="865">
        <v>6</v>
      </c>
      <c r="AB3700" s="865">
        <v>6</v>
      </c>
      <c r="AC3700" s="865">
        <v>6</v>
      </c>
      <c r="AD3700" s="865"/>
      <c r="AE3700" s="865"/>
      <c r="AF3700" s="865"/>
      <c r="AG3700" s="865"/>
      <c r="AH3700" s="1942"/>
      <c r="AI3700" s="1942"/>
      <c r="AJ3700" s="1942"/>
      <c r="AK3700" s="1942"/>
      <c r="AL3700" s="1942"/>
      <c r="AM3700" s="1942"/>
      <c r="AN3700" s="1942"/>
      <c r="AO3700" s="1942"/>
      <c r="AP3700" s="1942"/>
      <c r="AQ3700" s="1942"/>
      <c r="AR3700" s="1942"/>
      <c r="AS3700" s="1942"/>
      <c r="AT3700" s="1942"/>
      <c r="AU3700" s="1942"/>
      <c r="AV3700" s="1942"/>
      <c r="AW3700" s="1942"/>
      <c r="AX3700" s="1942"/>
      <c r="AY3700" s="1942"/>
      <c r="AZ3700" s="1942"/>
      <c r="BA3700" s="1942"/>
      <c r="BB3700" s="575"/>
      <c r="BC3700" s="576"/>
      <c r="BD3700" s="678"/>
      <c r="BE3700" s="585"/>
    </row>
    <row r="3701" spans="1:57" s="51" customFormat="1" ht="15" hidden="1" customHeight="1" outlineLevel="1" x14ac:dyDescent="0.25">
      <c r="A3701" s="2060"/>
      <c r="B3701" s="576"/>
      <c r="C3701" s="328"/>
      <c r="D3701" s="3990"/>
      <c r="E3701" s="4009"/>
      <c r="F3701" s="3016" t="str">
        <f t="shared" si="278"/>
        <v>ASHP-SEER17-Replace_CAC_ElectricHeat_ER2_MF</v>
      </c>
      <c r="G3701" s="2673"/>
      <c r="H3701" s="2673"/>
      <c r="I3701" s="2673"/>
      <c r="J3701" s="3302" t="str">
        <f>C1623</f>
        <v>354150_2019_12_</v>
      </c>
      <c r="K3701" s="865">
        <v>12</v>
      </c>
      <c r="L3701" s="851"/>
      <c r="M3701" s="698"/>
      <c r="N3701" s="123"/>
      <c r="O3701" s="228"/>
      <c r="P3701" s="844"/>
      <c r="Q3701" s="844"/>
      <c r="R3701" s="844"/>
      <c r="S3701" s="832"/>
      <c r="T3701" s="3082"/>
      <c r="U3701" s="123"/>
      <c r="V3701" s="4031"/>
      <c r="W3701" s="865">
        <v>12</v>
      </c>
      <c r="X3701" s="865">
        <v>12</v>
      </c>
      <c r="Y3701" s="865">
        <v>12</v>
      </c>
      <c r="Z3701" s="865">
        <v>12</v>
      </c>
      <c r="AA3701" s="865">
        <v>12</v>
      </c>
      <c r="AB3701" s="865">
        <v>12</v>
      </c>
      <c r="AC3701" s="865">
        <v>12</v>
      </c>
      <c r="AD3701" s="865"/>
      <c r="AE3701" s="865"/>
      <c r="AF3701" s="865"/>
      <c r="AG3701" s="865"/>
      <c r="AH3701" s="1942"/>
      <c r="AI3701" s="1942"/>
      <c r="AJ3701" s="1942"/>
      <c r="AK3701" s="1942"/>
      <c r="AL3701" s="1942"/>
      <c r="AM3701" s="1942"/>
      <c r="AN3701" s="1942"/>
      <c r="AO3701" s="1942"/>
      <c r="AP3701" s="1942"/>
      <c r="AQ3701" s="1942"/>
      <c r="AR3701" s="1942"/>
      <c r="AS3701" s="1942"/>
      <c r="AT3701" s="1942"/>
      <c r="AU3701" s="1942"/>
      <c r="AV3701" s="1942"/>
      <c r="AW3701" s="1942"/>
      <c r="AX3701" s="1942"/>
      <c r="AY3701" s="1942"/>
      <c r="AZ3701" s="1942"/>
      <c r="BA3701" s="1942"/>
      <c r="BB3701" s="575"/>
      <c r="BC3701" s="576"/>
      <c r="BD3701" s="678"/>
      <c r="BE3701" s="585"/>
    </row>
    <row r="3702" spans="1:57" s="51" customFormat="1" ht="15" hidden="1" customHeight="1" outlineLevel="1" x14ac:dyDescent="0.25">
      <c r="A3702" s="2060"/>
      <c r="B3702" s="576"/>
      <c r="C3702" s="328"/>
      <c r="D3702" s="3990"/>
      <c r="E3702" s="4009"/>
      <c r="F3702" s="3016" t="str">
        <f t="shared" si="278"/>
        <v>ASHP-SEER17-Replace_CAC_ElectricHeat_ER2_MF</v>
      </c>
      <c r="G3702" s="2673"/>
      <c r="H3702" s="2673"/>
      <c r="I3702" s="2673"/>
      <c r="J3702" s="3302" t="str">
        <f>C1624</f>
        <v>354150_2019_12_</v>
      </c>
      <c r="K3702" s="865">
        <v>12</v>
      </c>
      <c r="L3702" s="851"/>
      <c r="M3702" s="698"/>
      <c r="N3702" s="123"/>
      <c r="O3702" s="228"/>
      <c r="P3702" s="844"/>
      <c r="Q3702" s="844"/>
      <c r="R3702" s="844"/>
      <c r="S3702" s="832"/>
      <c r="T3702" s="3082"/>
      <c r="U3702" s="123"/>
      <c r="V3702" s="4031"/>
      <c r="W3702" s="865">
        <v>12</v>
      </c>
      <c r="X3702" s="865">
        <v>12</v>
      </c>
      <c r="Y3702" s="865">
        <v>12</v>
      </c>
      <c r="Z3702" s="865">
        <v>12</v>
      </c>
      <c r="AA3702" s="865">
        <v>12</v>
      </c>
      <c r="AB3702" s="865">
        <v>12</v>
      </c>
      <c r="AC3702" s="865">
        <v>12</v>
      </c>
      <c r="AD3702" s="865"/>
      <c r="AE3702" s="865"/>
      <c r="AF3702" s="865"/>
      <c r="AG3702" s="865"/>
      <c r="AH3702" s="1942"/>
      <c r="AI3702" s="1942"/>
      <c r="AJ3702" s="1942"/>
      <c r="AK3702" s="1942"/>
      <c r="AL3702" s="1942"/>
      <c r="AM3702" s="1942"/>
      <c r="AN3702" s="1942"/>
      <c r="AO3702" s="1942"/>
      <c r="AP3702" s="1942"/>
      <c r="AQ3702" s="1942"/>
      <c r="AR3702" s="1942"/>
      <c r="AS3702" s="1942"/>
      <c r="AT3702" s="1942"/>
      <c r="AU3702" s="1942"/>
      <c r="AV3702" s="1942"/>
      <c r="AW3702" s="1942"/>
      <c r="AX3702" s="1942"/>
      <c r="AY3702" s="1942"/>
      <c r="AZ3702" s="1942"/>
      <c r="BA3702" s="1942"/>
      <c r="BB3702" s="575"/>
      <c r="BC3702" s="576"/>
      <c r="BD3702" s="678"/>
      <c r="BE3702" s="585"/>
    </row>
    <row r="3703" spans="1:57" s="1942" customFormat="1" ht="15" hidden="1" customHeight="1" outlineLevel="1" x14ac:dyDescent="0.25">
      <c r="A3703" s="2060"/>
      <c r="B3703" s="576"/>
      <c r="C3703" s="328"/>
      <c r="D3703" s="3990"/>
      <c r="E3703" s="4009"/>
      <c r="F3703" s="3016" t="str">
        <f t="shared" si="278"/>
        <v>ASHP-SEER17-Replace_CAC_ElectricHeat_ER1_MF_CompE</v>
      </c>
      <c r="G3703" s="2673"/>
      <c r="H3703" s="2673"/>
      <c r="I3703" s="2673"/>
      <c r="J3703" s="3302" t="str">
        <f t="shared" ref="J3703:J3714" si="280">C1625</f>
        <v>354151_2019_12_</v>
      </c>
      <c r="K3703" s="3054">
        <v>6</v>
      </c>
      <c r="L3703" s="851"/>
      <c r="M3703" s="698"/>
      <c r="N3703" s="123"/>
      <c r="O3703" s="228"/>
      <c r="P3703" s="844"/>
      <c r="Q3703" s="844"/>
      <c r="R3703" s="844"/>
      <c r="S3703" s="832"/>
      <c r="T3703" s="3082"/>
      <c r="U3703" s="123"/>
      <c r="V3703" s="4031"/>
      <c r="W3703" s="865"/>
      <c r="X3703" s="865"/>
      <c r="Y3703" s="865"/>
      <c r="Z3703" s="865"/>
      <c r="AA3703" s="865"/>
      <c r="AB3703" s="865"/>
      <c r="AC3703" s="3054">
        <v>6</v>
      </c>
      <c r="AD3703" s="865"/>
      <c r="AE3703" s="865"/>
      <c r="AF3703" s="865"/>
      <c r="AG3703" s="865"/>
      <c r="BB3703" s="575"/>
      <c r="BC3703" s="576"/>
      <c r="BD3703" s="678"/>
      <c r="BE3703" s="585"/>
    </row>
    <row r="3704" spans="1:57" s="1942" customFormat="1" ht="15" hidden="1" customHeight="1" outlineLevel="1" x14ac:dyDescent="0.25">
      <c r="A3704" s="2060"/>
      <c r="B3704" s="576"/>
      <c r="C3704" s="328"/>
      <c r="D3704" s="3990"/>
      <c r="E3704" s="4009"/>
      <c r="F3704" s="3016" t="str">
        <f t="shared" si="278"/>
        <v>ASHP-SEER17-Replace_CAC_ElectricHeat_ER1_MF_CompE</v>
      </c>
      <c r="G3704" s="2673"/>
      <c r="H3704" s="2673"/>
      <c r="I3704" s="2673"/>
      <c r="J3704" s="3302" t="str">
        <f t="shared" si="280"/>
        <v>354151_2019_12_</v>
      </c>
      <c r="K3704" s="3054">
        <v>6</v>
      </c>
      <c r="L3704" s="851"/>
      <c r="M3704" s="698"/>
      <c r="N3704" s="123"/>
      <c r="O3704" s="228"/>
      <c r="P3704" s="844"/>
      <c r="Q3704" s="844"/>
      <c r="R3704" s="844"/>
      <c r="S3704" s="832"/>
      <c r="T3704" s="3082"/>
      <c r="U3704" s="123"/>
      <c r="V3704" s="4031"/>
      <c r="W3704" s="865"/>
      <c r="X3704" s="865"/>
      <c r="Y3704" s="865"/>
      <c r="Z3704" s="865"/>
      <c r="AA3704" s="865"/>
      <c r="AB3704" s="865"/>
      <c r="AC3704" s="3054">
        <v>6</v>
      </c>
      <c r="AD3704" s="865"/>
      <c r="AE3704" s="865"/>
      <c r="AF3704" s="865"/>
      <c r="AG3704" s="865"/>
      <c r="BB3704" s="575"/>
      <c r="BC3704" s="576"/>
      <c r="BD3704" s="678"/>
      <c r="BE3704" s="585"/>
    </row>
    <row r="3705" spans="1:57" s="1942" customFormat="1" ht="15" hidden="1" customHeight="1" outlineLevel="1" x14ac:dyDescent="0.25">
      <c r="A3705" s="2060"/>
      <c r="B3705" s="576"/>
      <c r="C3705" s="328"/>
      <c r="D3705" s="3990"/>
      <c r="E3705" s="4009"/>
      <c r="F3705" s="3016" t="str">
        <f t="shared" si="278"/>
        <v>ASHP-SEER17-Replace_CAC_ElectricHeat_ER2_MF_CompE</v>
      </c>
      <c r="G3705" s="2673"/>
      <c r="H3705" s="2673"/>
      <c r="I3705" s="2673"/>
      <c r="J3705" s="3302" t="str">
        <f t="shared" si="280"/>
        <v>354151_2019_12_</v>
      </c>
      <c r="K3705" s="3054">
        <v>12</v>
      </c>
      <c r="L3705" s="851"/>
      <c r="M3705" s="698"/>
      <c r="N3705" s="123"/>
      <c r="O3705" s="228"/>
      <c r="P3705" s="844"/>
      <c r="Q3705" s="844"/>
      <c r="R3705" s="844"/>
      <c r="S3705" s="832"/>
      <c r="T3705" s="3082"/>
      <c r="U3705" s="123"/>
      <c r="V3705" s="4031"/>
      <c r="W3705" s="865"/>
      <c r="X3705" s="865"/>
      <c r="Y3705" s="865"/>
      <c r="Z3705" s="865"/>
      <c r="AA3705" s="865"/>
      <c r="AB3705" s="865"/>
      <c r="AC3705" s="3054">
        <v>12</v>
      </c>
      <c r="AD3705" s="865"/>
      <c r="AE3705" s="865"/>
      <c r="AF3705" s="865"/>
      <c r="AG3705" s="865"/>
      <c r="BB3705" s="575"/>
      <c r="BC3705" s="576"/>
      <c r="BD3705" s="678"/>
      <c r="BE3705" s="585"/>
    </row>
    <row r="3706" spans="1:57" s="1942" customFormat="1" ht="15" hidden="1" customHeight="1" outlineLevel="1" x14ac:dyDescent="0.25">
      <c r="A3706" s="2060"/>
      <c r="B3706" s="576"/>
      <c r="C3706" s="328"/>
      <c r="D3706" s="3990"/>
      <c r="E3706" s="4009"/>
      <c r="F3706" s="3016" t="str">
        <f t="shared" si="278"/>
        <v>ASHP-SEER17-Replace_CAC_ElectricHeat_ER2_MF_CompE</v>
      </c>
      <c r="G3706" s="2673"/>
      <c r="H3706" s="2673"/>
      <c r="I3706" s="2673"/>
      <c r="J3706" s="3302" t="str">
        <f t="shared" si="280"/>
        <v>354151_2019_12_</v>
      </c>
      <c r="K3706" s="3054">
        <v>12</v>
      </c>
      <c r="L3706" s="851"/>
      <c r="M3706" s="698"/>
      <c r="N3706" s="123"/>
      <c r="O3706" s="228"/>
      <c r="P3706" s="844"/>
      <c r="Q3706" s="844"/>
      <c r="R3706" s="844"/>
      <c r="S3706" s="832"/>
      <c r="T3706" s="3082"/>
      <c r="U3706" s="123"/>
      <c r="V3706" s="4031"/>
      <c r="W3706" s="865"/>
      <c r="X3706" s="865"/>
      <c r="Y3706" s="865"/>
      <c r="Z3706" s="865"/>
      <c r="AA3706" s="865"/>
      <c r="AB3706" s="865"/>
      <c r="AC3706" s="3054">
        <v>12</v>
      </c>
      <c r="AD3706" s="865"/>
      <c r="AE3706" s="865"/>
      <c r="AF3706" s="865"/>
      <c r="AG3706" s="865"/>
      <c r="BB3706" s="575"/>
      <c r="BC3706" s="576"/>
      <c r="BD3706" s="678"/>
      <c r="BE3706" s="585"/>
    </row>
    <row r="3707" spans="1:57" s="1942" customFormat="1" ht="15" hidden="1" customHeight="1" outlineLevel="1" x14ac:dyDescent="0.25">
      <c r="A3707" s="2060"/>
      <c r="B3707" s="576"/>
      <c r="C3707" s="328"/>
      <c r="D3707" s="3990"/>
      <c r="E3707" s="4009"/>
      <c r="F3707" s="3016" t="str">
        <f t="shared" si="278"/>
        <v>ASHP-SEER17-Replace_CAC_NonElectricHeat_ER1_MF</v>
      </c>
      <c r="G3707" s="2673"/>
      <c r="H3707" s="2673"/>
      <c r="I3707" s="2673"/>
      <c r="J3707" s="3301" t="str">
        <f t="shared" si="280"/>
        <v>354160_2021_12_</v>
      </c>
      <c r="K3707" s="3054">
        <v>6</v>
      </c>
      <c r="L3707" s="851"/>
      <c r="M3707" s="698"/>
      <c r="N3707" s="123"/>
      <c r="O3707" s="228"/>
      <c r="P3707" s="844"/>
      <c r="Q3707" s="844"/>
      <c r="R3707" s="844"/>
      <c r="S3707" s="832"/>
      <c r="T3707" s="3082"/>
      <c r="U3707" s="123"/>
      <c r="V3707" s="4031"/>
      <c r="W3707" s="865"/>
      <c r="X3707" s="865"/>
      <c r="Y3707" s="865"/>
      <c r="Z3707" s="865"/>
      <c r="AA3707" s="865"/>
      <c r="AB3707" s="865"/>
      <c r="AC3707" s="3054">
        <v>6</v>
      </c>
      <c r="AD3707" s="865"/>
      <c r="AE3707" s="865"/>
      <c r="AF3707" s="865"/>
      <c r="AG3707" s="865"/>
      <c r="BB3707" s="575"/>
      <c r="BC3707" s="576"/>
      <c r="BD3707" s="678"/>
      <c r="BE3707" s="585"/>
    </row>
    <row r="3708" spans="1:57" s="1942" customFormat="1" ht="15" hidden="1" customHeight="1" outlineLevel="1" x14ac:dyDescent="0.25">
      <c r="A3708" s="2060"/>
      <c r="B3708" s="576"/>
      <c r="C3708" s="328"/>
      <c r="D3708" s="3990"/>
      <c r="E3708" s="4009"/>
      <c r="F3708" s="3016" t="str">
        <f t="shared" si="278"/>
        <v>ASHP-SEER17-Replace_CAC_NonElectricHeat_ER1_MF</v>
      </c>
      <c r="G3708" s="2673"/>
      <c r="H3708" s="2673"/>
      <c r="I3708" s="2673"/>
      <c r="J3708" s="3301" t="str">
        <f t="shared" si="280"/>
        <v>354160_2021_12_</v>
      </c>
      <c r="K3708" s="3054">
        <v>6</v>
      </c>
      <c r="L3708" s="851"/>
      <c r="M3708" s="698"/>
      <c r="N3708" s="123"/>
      <c r="O3708" s="228"/>
      <c r="P3708" s="844"/>
      <c r="Q3708" s="844"/>
      <c r="R3708" s="844"/>
      <c r="S3708" s="832"/>
      <c r="T3708" s="3082"/>
      <c r="U3708" s="123"/>
      <c r="V3708" s="4031"/>
      <c r="W3708" s="865"/>
      <c r="X3708" s="865"/>
      <c r="Y3708" s="865"/>
      <c r="Z3708" s="865"/>
      <c r="AA3708" s="865"/>
      <c r="AB3708" s="865"/>
      <c r="AC3708" s="3054">
        <v>6</v>
      </c>
      <c r="AD3708" s="865"/>
      <c r="AE3708" s="865"/>
      <c r="AF3708" s="865"/>
      <c r="AG3708" s="865"/>
      <c r="BB3708" s="575"/>
      <c r="BC3708" s="576"/>
      <c r="BD3708" s="678"/>
      <c r="BE3708" s="585"/>
    </row>
    <row r="3709" spans="1:57" s="1942" customFormat="1" ht="15" hidden="1" customHeight="1" outlineLevel="1" x14ac:dyDescent="0.25">
      <c r="A3709" s="2060"/>
      <c r="B3709" s="576"/>
      <c r="C3709" s="328"/>
      <c r="D3709" s="3990"/>
      <c r="E3709" s="4009"/>
      <c r="F3709" s="3016" t="str">
        <f t="shared" si="278"/>
        <v>ASHP-SEER17-Replace_CAC_NonElectricHeat_ER2_MF</v>
      </c>
      <c r="G3709" s="2673"/>
      <c r="H3709" s="2673"/>
      <c r="I3709" s="2673"/>
      <c r="J3709" s="3301" t="str">
        <f t="shared" si="280"/>
        <v>354160_2021_12_</v>
      </c>
      <c r="K3709" s="3054">
        <v>12</v>
      </c>
      <c r="L3709" s="851"/>
      <c r="M3709" s="698"/>
      <c r="N3709" s="123"/>
      <c r="O3709" s="228"/>
      <c r="P3709" s="844"/>
      <c r="Q3709" s="844"/>
      <c r="R3709" s="844"/>
      <c r="S3709" s="832"/>
      <c r="T3709" s="3082"/>
      <c r="U3709" s="123"/>
      <c r="V3709" s="4031"/>
      <c r="W3709" s="865"/>
      <c r="X3709" s="865"/>
      <c r="Y3709" s="865"/>
      <c r="Z3709" s="865"/>
      <c r="AA3709" s="865"/>
      <c r="AB3709" s="865"/>
      <c r="AC3709" s="3054">
        <v>12</v>
      </c>
      <c r="AD3709" s="865"/>
      <c r="AE3709" s="865"/>
      <c r="AF3709" s="865"/>
      <c r="AG3709" s="865"/>
      <c r="BB3709" s="575"/>
      <c r="BC3709" s="576"/>
      <c r="BD3709" s="678"/>
      <c r="BE3709" s="585"/>
    </row>
    <row r="3710" spans="1:57" s="1942" customFormat="1" ht="15" hidden="1" customHeight="1" outlineLevel="1" x14ac:dyDescent="0.25">
      <c r="A3710" s="2060"/>
      <c r="B3710" s="576"/>
      <c r="C3710" s="328"/>
      <c r="D3710" s="3990"/>
      <c r="E3710" s="4009"/>
      <c r="F3710" s="3016" t="str">
        <f t="shared" si="278"/>
        <v>ASHP-SEER17-Replace_CAC_NonElectricHeat_ER2_MF</v>
      </c>
      <c r="G3710" s="2673"/>
      <c r="H3710" s="2673"/>
      <c r="I3710" s="2673"/>
      <c r="J3710" s="3301" t="str">
        <f t="shared" si="280"/>
        <v>354160_2021_12_</v>
      </c>
      <c r="K3710" s="3054">
        <v>12</v>
      </c>
      <c r="L3710" s="851"/>
      <c r="M3710" s="698"/>
      <c r="N3710" s="123"/>
      <c r="O3710" s="228"/>
      <c r="P3710" s="844"/>
      <c r="Q3710" s="844"/>
      <c r="R3710" s="844"/>
      <c r="S3710" s="832"/>
      <c r="T3710" s="3082"/>
      <c r="U3710" s="123"/>
      <c r="V3710" s="4031"/>
      <c r="W3710" s="865"/>
      <c r="X3710" s="865"/>
      <c r="Y3710" s="865"/>
      <c r="Z3710" s="865"/>
      <c r="AA3710" s="865"/>
      <c r="AB3710" s="865"/>
      <c r="AC3710" s="3054">
        <v>12</v>
      </c>
      <c r="AD3710" s="865"/>
      <c r="AE3710" s="865"/>
      <c r="AF3710" s="865"/>
      <c r="AG3710" s="865"/>
      <c r="BB3710" s="575"/>
      <c r="BC3710" s="576"/>
      <c r="BD3710" s="678"/>
      <c r="BE3710" s="585"/>
    </row>
    <row r="3711" spans="1:57" s="1942" customFormat="1" ht="15" hidden="1" customHeight="1" outlineLevel="1" x14ac:dyDescent="0.25">
      <c r="A3711" s="2060"/>
      <c r="B3711" s="576"/>
      <c r="C3711" s="328"/>
      <c r="D3711" s="3990"/>
      <c r="E3711" s="4009"/>
      <c r="F3711" s="3016" t="str">
        <f t="shared" si="278"/>
        <v>ASHP-SEER17-Replace_CAC_NonElectricHeat_ER1_MF_CompE</v>
      </c>
      <c r="G3711" s="2673"/>
      <c r="H3711" s="2673"/>
      <c r="I3711" s="2673"/>
      <c r="J3711" s="3301" t="str">
        <f t="shared" si="280"/>
        <v>354161_2021_12_</v>
      </c>
      <c r="K3711" s="3054">
        <v>6</v>
      </c>
      <c r="L3711" s="851"/>
      <c r="M3711" s="698"/>
      <c r="N3711" s="123"/>
      <c r="O3711" s="228"/>
      <c r="P3711" s="844"/>
      <c r="Q3711" s="844"/>
      <c r="R3711" s="844"/>
      <c r="S3711" s="832"/>
      <c r="T3711" s="3082"/>
      <c r="U3711" s="123"/>
      <c r="V3711" s="4031"/>
      <c r="W3711" s="865"/>
      <c r="X3711" s="865"/>
      <c r="Y3711" s="865"/>
      <c r="Z3711" s="865"/>
      <c r="AA3711" s="865"/>
      <c r="AB3711" s="865"/>
      <c r="AC3711" s="3054">
        <v>6</v>
      </c>
      <c r="AD3711" s="865"/>
      <c r="AE3711" s="865"/>
      <c r="AF3711" s="865"/>
      <c r="AG3711" s="865"/>
      <c r="BB3711" s="575"/>
      <c r="BC3711" s="576"/>
      <c r="BD3711" s="678"/>
      <c r="BE3711" s="585"/>
    </row>
    <row r="3712" spans="1:57" s="1942" customFormat="1" ht="15" hidden="1" customHeight="1" outlineLevel="1" x14ac:dyDescent="0.25">
      <c r="A3712" s="2060"/>
      <c r="B3712" s="576"/>
      <c r="C3712" s="328"/>
      <c r="D3712" s="3990"/>
      <c r="E3712" s="4009"/>
      <c r="F3712" s="3016" t="str">
        <f t="shared" si="278"/>
        <v>ASHP-SEER17-Replace_CAC_NonElectricHeat_ER1_MF_CompE</v>
      </c>
      <c r="G3712" s="2673"/>
      <c r="H3712" s="2673"/>
      <c r="I3712" s="2673"/>
      <c r="J3712" s="3301" t="str">
        <f t="shared" si="280"/>
        <v>354161_2021_12_</v>
      </c>
      <c r="K3712" s="3054">
        <v>6</v>
      </c>
      <c r="L3712" s="851"/>
      <c r="M3712" s="698"/>
      <c r="N3712" s="123"/>
      <c r="O3712" s="228"/>
      <c r="P3712" s="844"/>
      <c r="Q3712" s="844"/>
      <c r="R3712" s="844"/>
      <c r="S3712" s="832"/>
      <c r="T3712" s="3082"/>
      <c r="U3712" s="123"/>
      <c r="V3712" s="4031"/>
      <c r="W3712" s="865"/>
      <c r="X3712" s="865"/>
      <c r="Y3712" s="865"/>
      <c r="Z3712" s="865"/>
      <c r="AA3712" s="865"/>
      <c r="AB3712" s="865"/>
      <c r="AC3712" s="3054">
        <v>6</v>
      </c>
      <c r="AD3712" s="865"/>
      <c r="AE3712" s="865"/>
      <c r="AF3712" s="865"/>
      <c r="AG3712" s="865"/>
      <c r="BB3712" s="575"/>
      <c r="BC3712" s="576"/>
      <c r="BD3712" s="678"/>
      <c r="BE3712" s="585"/>
    </row>
    <row r="3713" spans="1:57" s="1942" customFormat="1" ht="15" hidden="1" customHeight="1" outlineLevel="1" x14ac:dyDescent="0.25">
      <c r="A3713" s="2060"/>
      <c r="B3713" s="576"/>
      <c r="C3713" s="328"/>
      <c r="D3713" s="3990"/>
      <c r="E3713" s="4009"/>
      <c r="F3713" s="3016" t="str">
        <f t="shared" si="278"/>
        <v>ASHP-SEER17-Replace_CAC_NonElectricHeat_ER2_MF_CompE</v>
      </c>
      <c r="G3713" s="2673"/>
      <c r="H3713" s="2673"/>
      <c r="I3713" s="2673"/>
      <c r="J3713" s="3301" t="str">
        <f t="shared" si="280"/>
        <v>354161_2021_12_</v>
      </c>
      <c r="K3713" s="3054">
        <v>12</v>
      </c>
      <c r="L3713" s="851"/>
      <c r="M3713" s="698"/>
      <c r="N3713" s="123"/>
      <c r="O3713" s="228"/>
      <c r="P3713" s="844"/>
      <c r="Q3713" s="844"/>
      <c r="R3713" s="844"/>
      <c r="S3713" s="832"/>
      <c r="T3713" s="3082"/>
      <c r="U3713" s="123"/>
      <c r="V3713" s="4031"/>
      <c r="W3713" s="865"/>
      <c r="X3713" s="865"/>
      <c r="Y3713" s="865"/>
      <c r="Z3713" s="865"/>
      <c r="AA3713" s="865"/>
      <c r="AB3713" s="865"/>
      <c r="AC3713" s="3054">
        <v>12</v>
      </c>
      <c r="AD3713" s="865"/>
      <c r="AE3713" s="865"/>
      <c r="AF3713" s="865"/>
      <c r="AG3713" s="865"/>
      <c r="BB3713" s="575"/>
      <c r="BC3713" s="576"/>
      <c r="BD3713" s="678"/>
      <c r="BE3713" s="585"/>
    </row>
    <row r="3714" spans="1:57" s="1942" customFormat="1" ht="15" hidden="1" customHeight="1" outlineLevel="1" x14ac:dyDescent="0.25">
      <c r="A3714" s="2060"/>
      <c r="B3714" s="576"/>
      <c r="C3714" s="328"/>
      <c r="D3714" s="3990"/>
      <c r="E3714" s="4009"/>
      <c r="F3714" s="3016" t="str">
        <f t="shared" si="278"/>
        <v>ASHP-SEER17-Replace_CAC_NonElectricHeat_ER2_MF_CompE</v>
      </c>
      <c r="G3714" s="2673"/>
      <c r="H3714" s="2673"/>
      <c r="I3714" s="2673"/>
      <c r="J3714" s="3301" t="str">
        <f t="shared" si="280"/>
        <v>354161_2021_12_</v>
      </c>
      <c r="K3714" s="3054">
        <v>12</v>
      </c>
      <c r="L3714" s="851"/>
      <c r="M3714" s="698"/>
      <c r="N3714" s="123"/>
      <c r="O3714" s="228"/>
      <c r="P3714" s="844"/>
      <c r="Q3714" s="844"/>
      <c r="R3714" s="844"/>
      <c r="S3714" s="832"/>
      <c r="T3714" s="3082"/>
      <c r="U3714" s="123"/>
      <c r="V3714" s="4031"/>
      <c r="W3714" s="865"/>
      <c r="X3714" s="865"/>
      <c r="Y3714" s="865"/>
      <c r="Z3714" s="865"/>
      <c r="AA3714" s="865"/>
      <c r="AB3714" s="865"/>
      <c r="AC3714" s="3054">
        <v>12</v>
      </c>
      <c r="AD3714" s="865"/>
      <c r="AE3714" s="865"/>
      <c r="AF3714" s="865"/>
      <c r="AG3714" s="865"/>
      <c r="BB3714" s="575"/>
      <c r="BC3714" s="576"/>
      <c r="BD3714" s="678"/>
      <c r="BE3714" s="585"/>
    </row>
    <row r="3715" spans="1:57" s="51" customFormat="1" ht="15" hidden="1" customHeight="1" outlineLevel="1" x14ac:dyDescent="0.25">
      <c r="A3715" s="2060"/>
      <c r="B3715" s="576"/>
      <c r="C3715" s="328"/>
      <c r="D3715" s="3990"/>
      <c r="E3715" s="4009"/>
      <c r="F3715" s="3016" t="str">
        <f t="shared" si="278"/>
        <v>ASHP-SEER17_ER1_MF</v>
      </c>
      <c r="G3715" s="2673"/>
      <c r="H3715" s="2673"/>
      <c r="I3715" s="2673"/>
      <c r="J3715" s="3302" t="str">
        <f>C1637</f>
        <v>354200_2019_12_</v>
      </c>
      <c r="K3715" s="865">
        <v>6</v>
      </c>
      <c r="L3715" s="851"/>
      <c r="M3715" s="698"/>
      <c r="N3715" s="123"/>
      <c r="O3715" s="228"/>
      <c r="P3715" s="844"/>
      <c r="Q3715" s="844"/>
      <c r="R3715" s="844"/>
      <c r="S3715" s="832"/>
      <c r="T3715" s="3082"/>
      <c r="U3715" s="123"/>
      <c r="V3715" s="4031"/>
      <c r="W3715" s="865">
        <v>6</v>
      </c>
      <c r="X3715" s="865">
        <v>6</v>
      </c>
      <c r="Y3715" s="865">
        <v>6</v>
      </c>
      <c r="Z3715" s="865">
        <v>6</v>
      </c>
      <c r="AA3715" s="865">
        <v>6</v>
      </c>
      <c r="AB3715" s="865">
        <v>6</v>
      </c>
      <c r="AC3715" s="865">
        <v>6</v>
      </c>
      <c r="AD3715" s="865"/>
      <c r="AE3715" s="865"/>
      <c r="AF3715" s="865"/>
      <c r="AG3715" s="865"/>
      <c r="AH3715" s="1942"/>
      <c r="AI3715" s="1942"/>
      <c r="AJ3715" s="1942"/>
      <c r="AK3715" s="1942"/>
      <c r="AL3715" s="1942"/>
      <c r="AM3715" s="1942"/>
      <c r="AN3715" s="1942"/>
      <c r="AO3715" s="1942"/>
      <c r="AP3715" s="1942"/>
      <c r="AQ3715" s="1942"/>
      <c r="AR3715" s="1942"/>
      <c r="AS3715" s="1942"/>
      <c r="AT3715" s="1942"/>
      <c r="AU3715" s="1942"/>
      <c r="AV3715" s="1942"/>
      <c r="AW3715" s="1942"/>
      <c r="AX3715" s="1942"/>
      <c r="AY3715" s="1942"/>
      <c r="AZ3715" s="1942"/>
      <c r="BA3715" s="1942"/>
      <c r="BB3715" s="575"/>
      <c r="BC3715" s="576"/>
      <c r="BD3715" s="678"/>
      <c r="BE3715" s="585"/>
    </row>
    <row r="3716" spans="1:57" s="51" customFormat="1" ht="15" hidden="1" customHeight="1" outlineLevel="1" x14ac:dyDescent="0.25">
      <c r="A3716" s="2060"/>
      <c r="B3716" s="576"/>
      <c r="C3716" s="328"/>
      <c r="D3716" s="3990"/>
      <c r="E3716" s="4009"/>
      <c r="F3716" s="3016" t="str">
        <f t="shared" si="278"/>
        <v>ASHP-SEER17_ER1_MF</v>
      </c>
      <c r="G3716" s="2673"/>
      <c r="H3716" s="2673"/>
      <c r="I3716" s="2673"/>
      <c r="J3716" s="3302" t="str">
        <f>C1638</f>
        <v>354200_2019_12_</v>
      </c>
      <c r="K3716" s="865">
        <v>6</v>
      </c>
      <c r="L3716" s="851"/>
      <c r="M3716" s="698"/>
      <c r="N3716" s="123"/>
      <c r="O3716" s="228"/>
      <c r="P3716" s="844"/>
      <c r="Q3716" s="844"/>
      <c r="R3716" s="844"/>
      <c r="S3716" s="832"/>
      <c r="T3716" s="3082"/>
      <c r="U3716" s="123"/>
      <c r="V3716" s="4031"/>
      <c r="W3716" s="865">
        <v>6</v>
      </c>
      <c r="X3716" s="865">
        <v>6</v>
      </c>
      <c r="Y3716" s="865">
        <v>6</v>
      </c>
      <c r="Z3716" s="865">
        <v>6</v>
      </c>
      <c r="AA3716" s="865">
        <v>6</v>
      </c>
      <c r="AB3716" s="865">
        <v>6</v>
      </c>
      <c r="AC3716" s="865">
        <v>6</v>
      </c>
      <c r="AD3716" s="865"/>
      <c r="AE3716" s="865"/>
      <c r="AF3716" s="865"/>
      <c r="AG3716" s="865"/>
      <c r="AH3716" s="1942"/>
      <c r="AI3716" s="1942"/>
      <c r="AJ3716" s="1942"/>
      <c r="AK3716" s="1942"/>
      <c r="AL3716" s="1942"/>
      <c r="AM3716" s="1942"/>
      <c r="AN3716" s="1942"/>
      <c r="AO3716" s="1942"/>
      <c r="AP3716" s="1942"/>
      <c r="AQ3716" s="1942"/>
      <c r="AR3716" s="1942"/>
      <c r="AS3716" s="1942"/>
      <c r="AT3716" s="1942"/>
      <c r="AU3716" s="1942"/>
      <c r="AV3716" s="1942"/>
      <c r="AW3716" s="1942"/>
      <c r="AX3716" s="1942"/>
      <c r="AY3716" s="1942"/>
      <c r="AZ3716" s="1942"/>
      <c r="BA3716" s="1942"/>
      <c r="BB3716" s="575"/>
      <c r="BC3716" s="576"/>
      <c r="BD3716" s="678"/>
      <c r="BE3716" s="585"/>
    </row>
    <row r="3717" spans="1:57" s="51" customFormat="1" ht="15" hidden="1" customHeight="1" outlineLevel="1" x14ac:dyDescent="0.25">
      <c r="A3717" s="2060"/>
      <c r="B3717" s="576"/>
      <c r="C3717" s="328"/>
      <c r="D3717" s="3990"/>
      <c r="E3717" s="4009"/>
      <c r="F3717" s="3016" t="str">
        <f t="shared" si="278"/>
        <v>ASHP-SEER17_ER2_MF</v>
      </c>
      <c r="G3717" s="2673"/>
      <c r="H3717" s="2673"/>
      <c r="I3717" s="2673"/>
      <c r="J3717" s="3302" t="str">
        <f>C1639</f>
        <v>354200_2019_12_</v>
      </c>
      <c r="K3717" s="865">
        <v>12</v>
      </c>
      <c r="L3717" s="851"/>
      <c r="M3717" s="698"/>
      <c r="N3717" s="123"/>
      <c r="O3717" s="228"/>
      <c r="P3717" s="844"/>
      <c r="Q3717" s="844"/>
      <c r="R3717" s="844"/>
      <c r="S3717" s="832"/>
      <c r="T3717" s="3082"/>
      <c r="U3717" s="123"/>
      <c r="V3717" s="4031"/>
      <c r="W3717" s="865">
        <v>12</v>
      </c>
      <c r="X3717" s="865">
        <v>12</v>
      </c>
      <c r="Y3717" s="865">
        <v>12</v>
      </c>
      <c r="Z3717" s="865">
        <v>12</v>
      </c>
      <c r="AA3717" s="865">
        <v>12</v>
      </c>
      <c r="AB3717" s="865">
        <v>12</v>
      </c>
      <c r="AC3717" s="865">
        <v>12</v>
      </c>
      <c r="AD3717" s="865"/>
      <c r="AE3717" s="865"/>
      <c r="AF3717" s="865"/>
      <c r="AG3717" s="865"/>
      <c r="AH3717" s="1942"/>
      <c r="AI3717" s="1942"/>
      <c r="AJ3717" s="1942"/>
      <c r="AK3717" s="1942"/>
      <c r="AL3717" s="1942"/>
      <c r="AM3717" s="1942"/>
      <c r="AN3717" s="1942"/>
      <c r="AO3717" s="1942"/>
      <c r="AP3717" s="1942"/>
      <c r="AQ3717" s="1942"/>
      <c r="AR3717" s="1942"/>
      <c r="AS3717" s="1942"/>
      <c r="AT3717" s="1942"/>
      <c r="AU3717" s="1942"/>
      <c r="AV3717" s="1942"/>
      <c r="AW3717" s="1942"/>
      <c r="AX3717" s="1942"/>
      <c r="AY3717" s="1942"/>
      <c r="AZ3717" s="1942"/>
      <c r="BA3717" s="1942"/>
      <c r="BB3717" s="575"/>
      <c r="BC3717" s="576"/>
      <c r="BD3717" s="678"/>
      <c r="BE3717" s="585"/>
    </row>
    <row r="3718" spans="1:57" s="51" customFormat="1" ht="15" hidden="1" customHeight="1" outlineLevel="1" x14ac:dyDescent="0.25">
      <c r="A3718" s="2060"/>
      <c r="B3718" s="576"/>
      <c r="C3718" s="328"/>
      <c r="D3718" s="3990"/>
      <c r="E3718" s="4009"/>
      <c r="F3718" s="3016" t="str">
        <f t="shared" si="278"/>
        <v>ASHP-SEER17_ER2_MF</v>
      </c>
      <c r="G3718" s="2673"/>
      <c r="H3718" s="2673"/>
      <c r="I3718" s="2673"/>
      <c r="J3718" s="3302" t="str">
        <f>C1640</f>
        <v>354200_2019_12_</v>
      </c>
      <c r="K3718" s="865">
        <v>12</v>
      </c>
      <c r="L3718" s="851"/>
      <c r="M3718" s="698"/>
      <c r="N3718" s="123"/>
      <c r="O3718" s="228"/>
      <c r="P3718" s="844"/>
      <c r="Q3718" s="844"/>
      <c r="R3718" s="844"/>
      <c r="S3718" s="832"/>
      <c r="T3718" s="3082"/>
      <c r="U3718" s="123"/>
      <c r="V3718" s="4031"/>
      <c r="W3718" s="865">
        <v>12</v>
      </c>
      <c r="X3718" s="865">
        <v>12</v>
      </c>
      <c r="Y3718" s="865">
        <v>12</v>
      </c>
      <c r="Z3718" s="865">
        <v>12</v>
      </c>
      <c r="AA3718" s="865">
        <v>12</v>
      </c>
      <c r="AB3718" s="865">
        <v>12</v>
      </c>
      <c r="AC3718" s="865">
        <v>12</v>
      </c>
      <c r="AD3718" s="865"/>
      <c r="AE3718" s="865"/>
      <c r="AF3718" s="865"/>
      <c r="AG3718" s="865"/>
      <c r="AH3718" s="1942"/>
      <c r="AI3718" s="1942"/>
      <c r="AJ3718" s="1942"/>
      <c r="AK3718" s="1942"/>
      <c r="AL3718" s="1942"/>
      <c r="AM3718" s="1942"/>
      <c r="AN3718" s="1942"/>
      <c r="AO3718" s="1942"/>
      <c r="AP3718" s="1942"/>
      <c r="AQ3718" s="1942"/>
      <c r="AR3718" s="1942"/>
      <c r="AS3718" s="1942"/>
      <c r="AT3718" s="1942"/>
      <c r="AU3718" s="1942"/>
      <c r="AV3718" s="1942"/>
      <c r="AW3718" s="1942"/>
      <c r="AX3718" s="1942"/>
      <c r="AY3718" s="1942"/>
      <c r="AZ3718" s="1942"/>
      <c r="BA3718" s="1942"/>
      <c r="BB3718" s="575"/>
      <c r="BC3718" s="576"/>
      <c r="BD3718" s="678"/>
      <c r="BE3718" s="585"/>
    </row>
    <row r="3719" spans="1:57" s="1942" customFormat="1" ht="15" hidden="1" customHeight="1" outlineLevel="1" x14ac:dyDescent="0.25">
      <c r="A3719" s="2060"/>
      <c r="B3719" s="576"/>
      <c r="C3719" s="328"/>
      <c r="D3719" s="3990"/>
      <c r="E3719" s="4009"/>
      <c r="F3719" s="3016" t="str">
        <f t="shared" si="278"/>
        <v>ASHP-SEER17_ER1_MF_CompE</v>
      </c>
      <c r="G3719" s="2673"/>
      <c r="H3719" s="2673"/>
      <c r="I3719" s="2673"/>
      <c r="J3719" s="3302" t="str">
        <f t="shared" ref="J3719:J3722" si="281">C1641</f>
        <v>354201_2019_12_</v>
      </c>
      <c r="K3719" s="3054">
        <v>6</v>
      </c>
      <c r="L3719" s="851"/>
      <c r="M3719" s="698"/>
      <c r="N3719" s="123"/>
      <c r="O3719" s="228"/>
      <c r="P3719" s="844"/>
      <c r="Q3719" s="844"/>
      <c r="R3719" s="844"/>
      <c r="S3719" s="832"/>
      <c r="T3719" s="3082"/>
      <c r="U3719" s="123"/>
      <c r="V3719" s="4031"/>
      <c r="W3719" s="865"/>
      <c r="X3719" s="865"/>
      <c r="Y3719" s="865"/>
      <c r="Z3719" s="865"/>
      <c r="AA3719" s="865"/>
      <c r="AB3719" s="865"/>
      <c r="AC3719" s="3054">
        <v>6</v>
      </c>
      <c r="AD3719" s="865"/>
      <c r="AE3719" s="865"/>
      <c r="AF3719" s="865"/>
      <c r="AG3719" s="865"/>
      <c r="BB3719" s="575"/>
      <c r="BC3719" s="576"/>
      <c r="BD3719" s="678"/>
      <c r="BE3719" s="585"/>
    </row>
    <row r="3720" spans="1:57" s="1942" customFormat="1" ht="15" hidden="1" customHeight="1" outlineLevel="1" x14ac:dyDescent="0.25">
      <c r="A3720" s="2060"/>
      <c r="B3720" s="576"/>
      <c r="C3720" s="328"/>
      <c r="D3720" s="3990"/>
      <c r="E3720" s="4009"/>
      <c r="F3720" s="3016" t="str">
        <f t="shared" si="278"/>
        <v>ASHP-SEER17_ER1_MF_CompE</v>
      </c>
      <c r="G3720" s="2673"/>
      <c r="H3720" s="2673"/>
      <c r="I3720" s="2673"/>
      <c r="J3720" s="3302" t="str">
        <f t="shared" si="281"/>
        <v>354201_2019_12_</v>
      </c>
      <c r="K3720" s="3054">
        <v>6</v>
      </c>
      <c r="L3720" s="851"/>
      <c r="M3720" s="698"/>
      <c r="N3720" s="123"/>
      <c r="O3720" s="228"/>
      <c r="P3720" s="844"/>
      <c r="Q3720" s="844"/>
      <c r="R3720" s="844"/>
      <c r="S3720" s="832"/>
      <c r="T3720" s="3082"/>
      <c r="U3720" s="123"/>
      <c r="V3720" s="4031"/>
      <c r="W3720" s="865"/>
      <c r="X3720" s="865"/>
      <c r="Y3720" s="865"/>
      <c r="Z3720" s="865"/>
      <c r="AA3720" s="865"/>
      <c r="AB3720" s="865"/>
      <c r="AC3720" s="3054">
        <v>6</v>
      </c>
      <c r="AD3720" s="865"/>
      <c r="AE3720" s="865"/>
      <c r="AF3720" s="865"/>
      <c r="AG3720" s="865"/>
      <c r="BB3720" s="575"/>
      <c r="BC3720" s="576"/>
      <c r="BD3720" s="678"/>
      <c r="BE3720" s="585"/>
    </row>
    <row r="3721" spans="1:57" s="1942" customFormat="1" ht="15" hidden="1" customHeight="1" outlineLevel="1" x14ac:dyDescent="0.25">
      <c r="A3721" s="2060"/>
      <c r="B3721" s="576"/>
      <c r="C3721" s="328"/>
      <c r="D3721" s="3990"/>
      <c r="E3721" s="4009"/>
      <c r="F3721" s="3016" t="str">
        <f t="shared" si="278"/>
        <v>ASHP-SEER17_ER2_MF_CompE</v>
      </c>
      <c r="G3721" s="2673"/>
      <c r="H3721" s="2673"/>
      <c r="I3721" s="2673"/>
      <c r="J3721" s="3302" t="str">
        <f t="shared" si="281"/>
        <v>354201_2019_12_</v>
      </c>
      <c r="K3721" s="3054">
        <v>12</v>
      </c>
      <c r="L3721" s="851"/>
      <c r="M3721" s="698"/>
      <c r="N3721" s="123"/>
      <c r="O3721" s="228"/>
      <c r="P3721" s="844"/>
      <c r="Q3721" s="844"/>
      <c r="R3721" s="844"/>
      <c r="S3721" s="832"/>
      <c r="T3721" s="3082"/>
      <c r="U3721" s="123"/>
      <c r="V3721" s="4031"/>
      <c r="W3721" s="865"/>
      <c r="X3721" s="865"/>
      <c r="Y3721" s="865"/>
      <c r="Z3721" s="865"/>
      <c r="AA3721" s="865"/>
      <c r="AB3721" s="865"/>
      <c r="AC3721" s="3054">
        <v>12</v>
      </c>
      <c r="AD3721" s="865"/>
      <c r="AE3721" s="865"/>
      <c r="AF3721" s="865"/>
      <c r="AG3721" s="865"/>
      <c r="BB3721" s="575"/>
      <c r="BC3721" s="576"/>
      <c r="BD3721" s="678"/>
      <c r="BE3721" s="585"/>
    </row>
    <row r="3722" spans="1:57" s="1942" customFormat="1" ht="15" hidden="1" customHeight="1" outlineLevel="1" x14ac:dyDescent="0.25">
      <c r="A3722" s="2060"/>
      <c r="B3722" s="576"/>
      <c r="C3722" s="328"/>
      <c r="D3722" s="3990"/>
      <c r="E3722" s="4009"/>
      <c r="F3722" s="3016" t="str">
        <f t="shared" si="278"/>
        <v>ASHP-SEER17_ER2_MF_CompE</v>
      </c>
      <c r="G3722" s="2673"/>
      <c r="H3722" s="2673"/>
      <c r="I3722" s="2673"/>
      <c r="J3722" s="3302" t="str">
        <f t="shared" si="281"/>
        <v>354201_2019_12_</v>
      </c>
      <c r="K3722" s="3054">
        <v>12</v>
      </c>
      <c r="L3722" s="851"/>
      <c r="M3722" s="698"/>
      <c r="N3722" s="123"/>
      <c r="O3722" s="228"/>
      <c r="P3722" s="844"/>
      <c r="Q3722" s="844"/>
      <c r="R3722" s="844"/>
      <c r="S3722" s="832"/>
      <c r="T3722" s="3082"/>
      <c r="U3722" s="123"/>
      <c r="V3722" s="4031"/>
      <c r="W3722" s="865"/>
      <c r="X3722" s="865"/>
      <c r="Y3722" s="865"/>
      <c r="Z3722" s="865"/>
      <c r="AA3722" s="865"/>
      <c r="AB3722" s="865"/>
      <c r="AC3722" s="3054">
        <v>12</v>
      </c>
      <c r="AD3722" s="865"/>
      <c r="AE3722" s="865"/>
      <c r="AF3722" s="865"/>
      <c r="AG3722" s="865"/>
      <c r="BB3722" s="575"/>
      <c r="BC3722" s="576"/>
      <c r="BD3722" s="678"/>
      <c r="BE3722" s="585"/>
    </row>
    <row r="3723" spans="1:57" s="51" customFormat="1" ht="15" hidden="1" customHeight="1" outlineLevel="1" x14ac:dyDescent="0.25">
      <c r="A3723" s="2060"/>
      <c r="B3723" s="576"/>
      <c r="C3723" s="328"/>
      <c r="D3723" s="3990"/>
      <c r="E3723" s="4009"/>
      <c r="F3723" s="3016" t="str">
        <f t="shared" si="278"/>
        <v>ASHP-SEER18-Replace_CAC_ElectricHeat_ER1_SF</v>
      </c>
      <c r="G3723" s="2673"/>
      <c r="H3723" s="2673"/>
      <c r="I3723" s="2673"/>
      <c r="J3723" s="3301" t="str">
        <f>C1645</f>
        <v>354250_2021_12_</v>
      </c>
      <c r="K3723" s="865">
        <v>6</v>
      </c>
      <c r="L3723" s="851"/>
      <c r="M3723" s="698"/>
      <c r="N3723" s="123"/>
      <c r="O3723" s="228"/>
      <c r="P3723" s="844"/>
      <c r="Q3723" s="844"/>
      <c r="R3723" s="844"/>
      <c r="S3723" s="832"/>
      <c r="T3723" s="3082"/>
      <c r="U3723" s="123"/>
      <c r="V3723" s="4031"/>
      <c r="W3723" s="865">
        <v>6</v>
      </c>
      <c r="X3723" s="865">
        <v>6</v>
      </c>
      <c r="Y3723" s="865">
        <v>6</v>
      </c>
      <c r="Z3723" s="865">
        <v>6</v>
      </c>
      <c r="AA3723" s="865">
        <v>6</v>
      </c>
      <c r="AB3723" s="865">
        <v>6</v>
      </c>
      <c r="AC3723" s="865">
        <v>6</v>
      </c>
      <c r="AD3723" s="865"/>
      <c r="AE3723" s="865"/>
      <c r="AF3723" s="865"/>
      <c r="AG3723" s="865"/>
      <c r="AH3723" s="1942"/>
      <c r="AI3723" s="1942"/>
      <c r="AJ3723" s="1942"/>
      <c r="AK3723" s="1942"/>
      <c r="AL3723" s="1942"/>
      <c r="AM3723" s="1942"/>
      <c r="AN3723" s="1942"/>
      <c r="AO3723" s="1942"/>
      <c r="AP3723" s="1942"/>
      <c r="AQ3723" s="1942"/>
      <c r="AR3723" s="1942"/>
      <c r="AS3723" s="1942"/>
      <c r="AT3723" s="1942"/>
      <c r="AU3723" s="1942"/>
      <c r="AV3723" s="1942"/>
      <c r="AW3723" s="1942"/>
      <c r="AX3723" s="1942"/>
      <c r="AY3723" s="1942"/>
      <c r="AZ3723" s="1942"/>
      <c r="BA3723" s="1942"/>
      <c r="BB3723" s="575"/>
      <c r="BC3723" s="576"/>
      <c r="BD3723" s="678"/>
      <c r="BE3723" s="585"/>
    </row>
    <row r="3724" spans="1:57" s="51" customFormat="1" ht="15" hidden="1" customHeight="1" outlineLevel="1" x14ac:dyDescent="0.25">
      <c r="A3724" s="2060"/>
      <c r="B3724" s="576"/>
      <c r="C3724" s="328"/>
      <c r="D3724" s="3990"/>
      <c r="E3724" s="4009"/>
      <c r="F3724" s="3016" t="str">
        <f t="shared" si="278"/>
        <v>ASHP-SEER18-Replace_CAC_ElectricHeat_ER1_SF</v>
      </c>
      <c r="G3724" s="2673"/>
      <c r="H3724" s="2673"/>
      <c r="I3724" s="2673"/>
      <c r="J3724" s="3301" t="str">
        <f>C1646</f>
        <v>354250_2021_12_</v>
      </c>
      <c r="K3724" s="865">
        <v>6</v>
      </c>
      <c r="L3724" s="851"/>
      <c r="M3724" s="698"/>
      <c r="N3724" s="123"/>
      <c r="O3724" s="228"/>
      <c r="P3724" s="844"/>
      <c r="Q3724" s="844"/>
      <c r="R3724" s="844"/>
      <c r="S3724" s="832"/>
      <c r="T3724" s="3082"/>
      <c r="U3724" s="123"/>
      <c r="V3724" s="4031"/>
      <c r="W3724" s="865">
        <v>6</v>
      </c>
      <c r="X3724" s="865">
        <v>6</v>
      </c>
      <c r="Y3724" s="865">
        <v>6</v>
      </c>
      <c r="Z3724" s="865">
        <v>6</v>
      </c>
      <c r="AA3724" s="865">
        <v>6</v>
      </c>
      <c r="AB3724" s="865">
        <v>6</v>
      </c>
      <c r="AC3724" s="865">
        <v>6</v>
      </c>
      <c r="AD3724" s="865"/>
      <c r="AE3724" s="865"/>
      <c r="AF3724" s="865"/>
      <c r="AG3724" s="865"/>
      <c r="AH3724" s="1942"/>
      <c r="AI3724" s="1942"/>
      <c r="AJ3724" s="1942"/>
      <c r="AK3724" s="1942"/>
      <c r="AL3724" s="1942"/>
      <c r="AM3724" s="1942"/>
      <c r="AN3724" s="1942"/>
      <c r="AO3724" s="1942"/>
      <c r="AP3724" s="1942"/>
      <c r="AQ3724" s="1942"/>
      <c r="AR3724" s="1942"/>
      <c r="AS3724" s="1942"/>
      <c r="AT3724" s="1942"/>
      <c r="AU3724" s="1942"/>
      <c r="AV3724" s="1942"/>
      <c r="AW3724" s="1942"/>
      <c r="AX3724" s="1942"/>
      <c r="AY3724" s="1942"/>
      <c r="AZ3724" s="1942"/>
      <c r="BA3724" s="1942"/>
      <c r="BB3724" s="575"/>
      <c r="BC3724" s="576"/>
      <c r="BD3724" s="678"/>
      <c r="BE3724" s="585"/>
    </row>
    <row r="3725" spans="1:57" s="51" customFormat="1" ht="15" hidden="1" customHeight="1" outlineLevel="1" x14ac:dyDescent="0.25">
      <c r="A3725" s="2060"/>
      <c r="B3725" s="576"/>
      <c r="C3725" s="328"/>
      <c r="D3725" s="3990"/>
      <c r="E3725" s="4009"/>
      <c r="F3725" s="3016" t="str">
        <f t="shared" si="278"/>
        <v>ASHP-SEER18-Replace_CAC_ElectricHeat_ER2_SF</v>
      </c>
      <c r="G3725" s="2673"/>
      <c r="H3725" s="2673"/>
      <c r="I3725" s="2673"/>
      <c r="J3725" s="3301" t="str">
        <f>C1647</f>
        <v>354250_2021_12_</v>
      </c>
      <c r="K3725" s="865">
        <v>12</v>
      </c>
      <c r="L3725" s="851"/>
      <c r="M3725" s="698"/>
      <c r="N3725" s="123"/>
      <c r="O3725" s="228"/>
      <c r="P3725" s="844"/>
      <c r="Q3725" s="844"/>
      <c r="R3725" s="844"/>
      <c r="S3725" s="832"/>
      <c r="T3725" s="3082"/>
      <c r="U3725" s="123"/>
      <c r="V3725" s="4031"/>
      <c r="W3725" s="865">
        <v>12</v>
      </c>
      <c r="X3725" s="865">
        <v>12</v>
      </c>
      <c r="Y3725" s="865">
        <v>12</v>
      </c>
      <c r="Z3725" s="865">
        <v>12</v>
      </c>
      <c r="AA3725" s="865">
        <v>12</v>
      </c>
      <c r="AB3725" s="865">
        <v>12</v>
      </c>
      <c r="AC3725" s="865">
        <v>12</v>
      </c>
      <c r="AD3725" s="865"/>
      <c r="AE3725" s="865"/>
      <c r="AF3725" s="865"/>
      <c r="AG3725" s="865"/>
      <c r="AH3725" s="1942"/>
      <c r="AI3725" s="1942"/>
      <c r="AJ3725" s="1942"/>
      <c r="AK3725" s="1942"/>
      <c r="AL3725" s="1942"/>
      <c r="AM3725" s="1942"/>
      <c r="AN3725" s="1942"/>
      <c r="AO3725" s="1942"/>
      <c r="AP3725" s="1942"/>
      <c r="AQ3725" s="1942"/>
      <c r="AR3725" s="1942"/>
      <c r="AS3725" s="1942"/>
      <c r="AT3725" s="1942"/>
      <c r="AU3725" s="1942"/>
      <c r="AV3725" s="1942"/>
      <c r="AW3725" s="1942"/>
      <c r="AX3725" s="1942"/>
      <c r="AY3725" s="1942"/>
      <c r="AZ3725" s="1942"/>
      <c r="BA3725" s="1942"/>
      <c r="BB3725" s="575"/>
      <c r="BC3725" s="576"/>
      <c r="BD3725" s="678"/>
      <c r="BE3725" s="585"/>
    </row>
    <row r="3726" spans="1:57" s="51" customFormat="1" ht="15" hidden="1" customHeight="1" outlineLevel="1" x14ac:dyDescent="0.25">
      <c r="A3726" s="2060"/>
      <c r="B3726" s="576"/>
      <c r="C3726" s="328"/>
      <c r="D3726" s="3990"/>
      <c r="E3726" s="4009"/>
      <c r="F3726" s="3016" t="str">
        <f t="shared" si="278"/>
        <v>ASHP-SEER18-Replace_CAC_ElectricHeat_ER2_SF</v>
      </c>
      <c r="G3726" s="2673"/>
      <c r="H3726" s="2673"/>
      <c r="I3726" s="2673"/>
      <c r="J3726" s="3301" t="str">
        <f>C1648</f>
        <v>354250_2021_12_</v>
      </c>
      <c r="K3726" s="865">
        <v>12</v>
      </c>
      <c r="L3726" s="851"/>
      <c r="M3726" s="698"/>
      <c r="N3726" s="123"/>
      <c r="O3726" s="228"/>
      <c r="P3726" s="844"/>
      <c r="Q3726" s="844"/>
      <c r="R3726" s="844"/>
      <c r="S3726" s="832"/>
      <c r="T3726" s="3082"/>
      <c r="U3726" s="123"/>
      <c r="V3726" s="4031"/>
      <c r="W3726" s="865">
        <v>12</v>
      </c>
      <c r="X3726" s="865">
        <v>12</v>
      </c>
      <c r="Y3726" s="865">
        <v>12</v>
      </c>
      <c r="Z3726" s="865">
        <v>12</v>
      </c>
      <c r="AA3726" s="865">
        <v>12</v>
      </c>
      <c r="AB3726" s="865">
        <v>12</v>
      </c>
      <c r="AC3726" s="865">
        <v>12</v>
      </c>
      <c r="AD3726" s="865"/>
      <c r="AE3726" s="865"/>
      <c r="AF3726" s="865"/>
      <c r="AG3726" s="865"/>
      <c r="AH3726" s="1942"/>
      <c r="AI3726" s="1942"/>
      <c r="AJ3726" s="1942"/>
      <c r="AK3726" s="1942"/>
      <c r="AL3726" s="1942"/>
      <c r="AM3726" s="1942"/>
      <c r="AN3726" s="1942"/>
      <c r="AO3726" s="1942"/>
      <c r="AP3726" s="1942"/>
      <c r="AQ3726" s="1942"/>
      <c r="AR3726" s="1942"/>
      <c r="AS3726" s="1942"/>
      <c r="AT3726" s="1942"/>
      <c r="AU3726" s="1942"/>
      <c r="AV3726" s="1942"/>
      <c r="AW3726" s="1942"/>
      <c r="AX3726" s="1942"/>
      <c r="AY3726" s="1942"/>
      <c r="AZ3726" s="1942"/>
      <c r="BA3726" s="1942"/>
      <c r="BB3726" s="575"/>
      <c r="BC3726" s="576"/>
      <c r="BD3726" s="678"/>
      <c r="BE3726" s="585"/>
    </row>
    <row r="3727" spans="1:57" s="1942" customFormat="1" ht="15" hidden="1" customHeight="1" outlineLevel="1" x14ac:dyDescent="0.25">
      <c r="A3727" s="2060"/>
      <c r="B3727" s="576"/>
      <c r="C3727" s="328"/>
      <c r="D3727" s="3990"/>
      <c r="E3727" s="4009"/>
      <c r="F3727" s="3016" t="str">
        <f t="shared" si="278"/>
        <v>ASHP-SEER18-Replace_CAC_NonElectricHeat_ER1_SF</v>
      </c>
      <c r="G3727" s="2673"/>
      <c r="H3727" s="2673"/>
      <c r="I3727" s="2673"/>
      <c r="J3727" s="3301" t="str">
        <f t="shared" ref="J3727:J3730" si="282">C1649</f>
        <v>354260_2021_12_</v>
      </c>
      <c r="K3727" s="3054">
        <v>6</v>
      </c>
      <c r="L3727" s="851"/>
      <c r="M3727" s="698"/>
      <c r="N3727" s="123"/>
      <c r="O3727" s="228"/>
      <c r="P3727" s="844"/>
      <c r="Q3727" s="844"/>
      <c r="R3727" s="844"/>
      <c r="S3727" s="832"/>
      <c r="T3727" s="3082"/>
      <c r="U3727" s="123"/>
      <c r="V3727" s="4031"/>
      <c r="W3727" s="865"/>
      <c r="X3727" s="865"/>
      <c r="Y3727" s="865"/>
      <c r="Z3727" s="865"/>
      <c r="AA3727" s="865"/>
      <c r="AB3727" s="865"/>
      <c r="AC3727" s="3054">
        <v>6</v>
      </c>
      <c r="AD3727" s="865"/>
      <c r="AE3727" s="865"/>
      <c r="AF3727" s="865"/>
      <c r="AG3727" s="865"/>
      <c r="BB3727" s="575"/>
      <c r="BC3727" s="576"/>
      <c r="BD3727" s="678"/>
      <c r="BE3727" s="585"/>
    </row>
    <row r="3728" spans="1:57" s="1942" customFormat="1" ht="15" hidden="1" customHeight="1" outlineLevel="1" x14ac:dyDescent="0.25">
      <c r="A3728" s="2060"/>
      <c r="B3728" s="576"/>
      <c r="C3728" s="328"/>
      <c r="D3728" s="3990"/>
      <c r="E3728" s="4009"/>
      <c r="F3728" s="3016" t="str">
        <f t="shared" si="278"/>
        <v>ASHP-SEER18-Replace_CAC_NonElectricHeat_ER1_SF</v>
      </c>
      <c r="G3728" s="2673"/>
      <c r="H3728" s="2673"/>
      <c r="I3728" s="2673"/>
      <c r="J3728" s="3301" t="str">
        <f t="shared" si="282"/>
        <v>354260_2021_12_</v>
      </c>
      <c r="K3728" s="3054">
        <v>6</v>
      </c>
      <c r="L3728" s="851"/>
      <c r="M3728" s="698"/>
      <c r="N3728" s="123"/>
      <c r="O3728" s="228"/>
      <c r="P3728" s="844"/>
      <c r="Q3728" s="844"/>
      <c r="R3728" s="844"/>
      <c r="S3728" s="832"/>
      <c r="T3728" s="3082"/>
      <c r="U3728" s="123"/>
      <c r="V3728" s="4031"/>
      <c r="W3728" s="865"/>
      <c r="X3728" s="865"/>
      <c r="Y3728" s="865"/>
      <c r="Z3728" s="865"/>
      <c r="AA3728" s="865"/>
      <c r="AB3728" s="865"/>
      <c r="AC3728" s="3054">
        <v>6</v>
      </c>
      <c r="AD3728" s="865"/>
      <c r="AE3728" s="865"/>
      <c r="AF3728" s="865"/>
      <c r="AG3728" s="865"/>
      <c r="BB3728" s="575"/>
      <c r="BC3728" s="576"/>
      <c r="BD3728" s="678"/>
      <c r="BE3728" s="585"/>
    </row>
    <row r="3729" spans="1:57" s="1942" customFormat="1" ht="15" hidden="1" customHeight="1" outlineLevel="1" x14ac:dyDescent="0.25">
      <c r="A3729" s="2060"/>
      <c r="B3729" s="576"/>
      <c r="C3729" s="328"/>
      <c r="D3729" s="3990"/>
      <c r="E3729" s="4009"/>
      <c r="F3729" s="3016" t="str">
        <f t="shared" si="278"/>
        <v>ASHP-SEER18-Replace_CAC_NonElectricHeat_ER2_SF</v>
      </c>
      <c r="G3729" s="2673"/>
      <c r="H3729" s="2673"/>
      <c r="I3729" s="2673"/>
      <c r="J3729" s="3301" t="str">
        <f t="shared" si="282"/>
        <v>354260_2021_12_</v>
      </c>
      <c r="K3729" s="3054">
        <v>12</v>
      </c>
      <c r="L3729" s="851"/>
      <c r="M3729" s="698"/>
      <c r="N3729" s="123"/>
      <c r="O3729" s="228"/>
      <c r="P3729" s="844"/>
      <c r="Q3729" s="844"/>
      <c r="R3729" s="844"/>
      <c r="S3729" s="832"/>
      <c r="T3729" s="3082"/>
      <c r="U3729" s="123"/>
      <c r="V3729" s="4031"/>
      <c r="W3729" s="865"/>
      <c r="X3729" s="865"/>
      <c r="Y3729" s="865"/>
      <c r="Z3729" s="865"/>
      <c r="AA3729" s="865"/>
      <c r="AB3729" s="865"/>
      <c r="AC3729" s="3054">
        <v>12</v>
      </c>
      <c r="AD3729" s="865"/>
      <c r="AE3729" s="865"/>
      <c r="AF3729" s="865"/>
      <c r="AG3729" s="865"/>
      <c r="BB3729" s="575"/>
      <c r="BC3729" s="576"/>
      <c r="BD3729" s="678"/>
      <c r="BE3729" s="585"/>
    </row>
    <row r="3730" spans="1:57" s="1942" customFormat="1" ht="15" hidden="1" customHeight="1" outlineLevel="1" x14ac:dyDescent="0.25">
      <c r="A3730" s="2060"/>
      <c r="B3730" s="576"/>
      <c r="C3730" s="328"/>
      <c r="D3730" s="3990"/>
      <c r="E3730" s="4009"/>
      <c r="F3730" s="3016" t="str">
        <f t="shared" si="278"/>
        <v>ASHP-SEER18-Replace_CAC_NonElectricHeat_ER2_SF</v>
      </c>
      <c r="G3730" s="2673"/>
      <c r="H3730" s="2673"/>
      <c r="I3730" s="2673"/>
      <c r="J3730" s="3301" t="str">
        <f t="shared" si="282"/>
        <v>354260_2021_12_</v>
      </c>
      <c r="K3730" s="3054">
        <v>12</v>
      </c>
      <c r="L3730" s="851"/>
      <c r="M3730" s="698"/>
      <c r="N3730" s="123"/>
      <c r="O3730" s="228"/>
      <c r="P3730" s="844"/>
      <c r="Q3730" s="844"/>
      <c r="R3730" s="844"/>
      <c r="S3730" s="832"/>
      <c r="T3730" s="3082"/>
      <c r="U3730" s="123"/>
      <c r="V3730" s="4031"/>
      <c r="W3730" s="865"/>
      <c r="X3730" s="865"/>
      <c r="Y3730" s="865"/>
      <c r="Z3730" s="865"/>
      <c r="AA3730" s="865"/>
      <c r="AB3730" s="865"/>
      <c r="AC3730" s="3054">
        <v>12</v>
      </c>
      <c r="AD3730" s="865"/>
      <c r="AE3730" s="865"/>
      <c r="AF3730" s="865"/>
      <c r="AG3730" s="865"/>
      <c r="BB3730" s="575"/>
      <c r="BC3730" s="576"/>
      <c r="BD3730" s="678"/>
      <c r="BE3730" s="585"/>
    </row>
    <row r="3731" spans="1:57" s="51" customFormat="1" ht="15" hidden="1" customHeight="1" outlineLevel="1" x14ac:dyDescent="0.25">
      <c r="A3731" s="2060"/>
      <c r="B3731" s="576"/>
      <c r="C3731" s="328"/>
      <c r="D3731" s="3990"/>
      <c r="E3731" s="4009"/>
      <c r="F3731" s="3016" t="str">
        <f t="shared" si="278"/>
        <v>ASHP-SEER18-Replace_CAC_ElectricHeat_ER1_MF</v>
      </c>
      <c r="G3731" s="2673"/>
      <c r="H3731" s="2673"/>
      <c r="I3731" s="2673"/>
      <c r="J3731" s="3301" t="str">
        <f>C1653</f>
        <v>354300_2021_12_</v>
      </c>
      <c r="K3731" s="865">
        <v>6</v>
      </c>
      <c r="L3731" s="851"/>
      <c r="M3731" s="698"/>
      <c r="N3731" s="123"/>
      <c r="O3731" s="228"/>
      <c r="P3731" s="844"/>
      <c r="Q3731" s="844"/>
      <c r="R3731" s="844"/>
      <c r="S3731" s="832"/>
      <c r="T3731" s="3082"/>
      <c r="U3731" s="123"/>
      <c r="V3731" s="4031"/>
      <c r="W3731" s="865">
        <v>6</v>
      </c>
      <c r="X3731" s="865">
        <v>6</v>
      </c>
      <c r="Y3731" s="865">
        <v>6</v>
      </c>
      <c r="Z3731" s="865">
        <v>6</v>
      </c>
      <c r="AA3731" s="865">
        <v>6</v>
      </c>
      <c r="AB3731" s="865">
        <v>6</v>
      </c>
      <c r="AC3731" s="865">
        <v>6</v>
      </c>
      <c r="AD3731" s="865"/>
      <c r="AE3731" s="865"/>
      <c r="AF3731" s="865"/>
      <c r="AG3731" s="865"/>
      <c r="AH3731" s="1942"/>
      <c r="AI3731" s="1942"/>
      <c r="AJ3731" s="1942"/>
      <c r="AK3731" s="1942"/>
      <c r="AL3731" s="1942"/>
      <c r="AM3731" s="1942"/>
      <c r="AN3731" s="1942"/>
      <c r="AO3731" s="1942"/>
      <c r="AP3731" s="1942"/>
      <c r="AQ3731" s="1942"/>
      <c r="AR3731" s="1942"/>
      <c r="AS3731" s="1942"/>
      <c r="AT3731" s="1942"/>
      <c r="AU3731" s="1942"/>
      <c r="AV3731" s="1942"/>
      <c r="AW3731" s="1942"/>
      <c r="AX3731" s="1942"/>
      <c r="AY3731" s="1942"/>
      <c r="AZ3731" s="1942"/>
      <c r="BA3731" s="1942"/>
      <c r="BB3731" s="575"/>
      <c r="BC3731" s="576"/>
      <c r="BD3731" s="678"/>
      <c r="BE3731" s="585"/>
    </row>
    <row r="3732" spans="1:57" s="51" customFormat="1" ht="15" hidden="1" customHeight="1" outlineLevel="1" x14ac:dyDescent="0.25">
      <c r="A3732" s="2060"/>
      <c r="B3732" s="576"/>
      <c r="C3732" s="328"/>
      <c r="D3732" s="3990"/>
      <c r="E3732" s="4009"/>
      <c r="F3732" s="3016" t="str">
        <f t="shared" si="278"/>
        <v>ASHP-SEER18-Replace_CAC_ElectricHeat_ER1_MF</v>
      </c>
      <c r="G3732" s="2673"/>
      <c r="H3732" s="2673"/>
      <c r="I3732" s="2673"/>
      <c r="J3732" s="3301" t="str">
        <f>C1654</f>
        <v>354300_2021_12_</v>
      </c>
      <c r="K3732" s="865">
        <v>6</v>
      </c>
      <c r="L3732" s="851"/>
      <c r="M3732" s="698"/>
      <c r="N3732" s="123"/>
      <c r="O3732" s="228"/>
      <c r="P3732" s="844"/>
      <c r="Q3732" s="844"/>
      <c r="R3732" s="844"/>
      <c r="S3732" s="832"/>
      <c r="T3732" s="3082"/>
      <c r="U3732" s="123"/>
      <c r="V3732" s="4031"/>
      <c r="W3732" s="865">
        <v>6</v>
      </c>
      <c r="X3732" s="865">
        <v>6</v>
      </c>
      <c r="Y3732" s="865">
        <v>6</v>
      </c>
      <c r="Z3732" s="865">
        <v>6</v>
      </c>
      <c r="AA3732" s="865">
        <v>6</v>
      </c>
      <c r="AB3732" s="865">
        <v>6</v>
      </c>
      <c r="AC3732" s="865">
        <v>6</v>
      </c>
      <c r="AD3732" s="865"/>
      <c r="AE3732" s="865"/>
      <c r="AF3732" s="865"/>
      <c r="AG3732" s="865"/>
      <c r="AH3732" s="1942"/>
      <c r="AI3732" s="1942"/>
      <c r="AJ3732" s="1942"/>
      <c r="AK3732" s="1942"/>
      <c r="AL3732" s="1942"/>
      <c r="AM3732" s="1942"/>
      <c r="AN3732" s="1942"/>
      <c r="AO3732" s="1942"/>
      <c r="AP3732" s="1942"/>
      <c r="AQ3732" s="1942"/>
      <c r="AR3732" s="1942"/>
      <c r="AS3732" s="1942"/>
      <c r="AT3732" s="1942"/>
      <c r="AU3732" s="1942"/>
      <c r="AV3732" s="1942"/>
      <c r="AW3732" s="1942"/>
      <c r="AX3732" s="1942"/>
      <c r="AY3732" s="1942"/>
      <c r="AZ3732" s="1942"/>
      <c r="BA3732" s="1942"/>
      <c r="BB3732" s="575"/>
      <c r="BC3732" s="576"/>
      <c r="BD3732" s="678"/>
      <c r="BE3732" s="585"/>
    </row>
    <row r="3733" spans="1:57" s="51" customFormat="1" ht="15" hidden="1" customHeight="1" outlineLevel="1" x14ac:dyDescent="0.25">
      <c r="A3733" s="2060"/>
      <c r="B3733" s="576"/>
      <c r="C3733" s="328"/>
      <c r="D3733" s="3990"/>
      <c r="E3733" s="4009"/>
      <c r="F3733" s="3016" t="str">
        <f t="shared" si="278"/>
        <v>ASHP-SEER18-Replace_CAC_ElectricHeat_ER2_MF</v>
      </c>
      <c r="G3733" s="2673"/>
      <c r="H3733" s="2673"/>
      <c r="I3733" s="2673"/>
      <c r="J3733" s="3301" t="str">
        <f>C1655</f>
        <v>354300_2021_12_</v>
      </c>
      <c r="K3733" s="865">
        <v>12</v>
      </c>
      <c r="L3733" s="851"/>
      <c r="M3733" s="698"/>
      <c r="N3733" s="123"/>
      <c r="O3733" s="228"/>
      <c r="P3733" s="844"/>
      <c r="Q3733" s="844"/>
      <c r="R3733" s="844"/>
      <c r="S3733" s="832"/>
      <c r="T3733" s="3082"/>
      <c r="U3733" s="123"/>
      <c r="V3733" s="4031"/>
      <c r="W3733" s="865">
        <v>12</v>
      </c>
      <c r="X3733" s="865">
        <v>12</v>
      </c>
      <c r="Y3733" s="865">
        <v>12</v>
      </c>
      <c r="Z3733" s="865">
        <v>12</v>
      </c>
      <c r="AA3733" s="865">
        <v>12</v>
      </c>
      <c r="AB3733" s="865">
        <v>12</v>
      </c>
      <c r="AC3733" s="865">
        <v>12</v>
      </c>
      <c r="AD3733" s="865"/>
      <c r="AE3733" s="865"/>
      <c r="AF3733" s="865"/>
      <c r="AG3733" s="865"/>
      <c r="AH3733" s="1942"/>
      <c r="AI3733" s="1942"/>
      <c r="AJ3733" s="1942"/>
      <c r="AK3733" s="1942"/>
      <c r="AL3733" s="1942"/>
      <c r="AM3733" s="1942"/>
      <c r="AN3733" s="1942"/>
      <c r="AO3733" s="1942"/>
      <c r="AP3733" s="1942"/>
      <c r="AQ3733" s="1942"/>
      <c r="AR3733" s="1942"/>
      <c r="AS3733" s="1942"/>
      <c r="AT3733" s="1942"/>
      <c r="AU3733" s="1942"/>
      <c r="AV3733" s="1942"/>
      <c r="AW3733" s="1942"/>
      <c r="AX3733" s="1942"/>
      <c r="AY3733" s="1942"/>
      <c r="AZ3733" s="1942"/>
      <c r="BA3733" s="1942"/>
      <c r="BB3733" s="575"/>
      <c r="BC3733" s="576"/>
      <c r="BD3733" s="678"/>
      <c r="BE3733" s="585"/>
    </row>
    <row r="3734" spans="1:57" s="51" customFormat="1" ht="15" hidden="1" customHeight="1" outlineLevel="1" x14ac:dyDescent="0.25">
      <c r="A3734" s="2060"/>
      <c r="B3734" s="576"/>
      <c r="C3734" s="328"/>
      <c r="D3734" s="3990"/>
      <c r="E3734" s="4009"/>
      <c r="F3734" s="3016" t="str">
        <f t="shared" si="278"/>
        <v>ASHP-SEER18-Replace_CAC_ElectricHeat_ER2_MF</v>
      </c>
      <c r="G3734" s="2673"/>
      <c r="H3734" s="2673"/>
      <c r="I3734" s="2673"/>
      <c r="J3734" s="3301" t="str">
        <f>C1656</f>
        <v>354300_2021_12_</v>
      </c>
      <c r="K3734" s="865">
        <v>12</v>
      </c>
      <c r="L3734" s="851"/>
      <c r="M3734" s="698"/>
      <c r="N3734" s="123"/>
      <c r="O3734" s="228"/>
      <c r="P3734" s="844"/>
      <c r="Q3734" s="845"/>
      <c r="R3734" s="844"/>
      <c r="S3734" s="832"/>
      <c r="T3734" s="3082"/>
      <c r="U3734" s="123"/>
      <c r="V3734" s="4031"/>
      <c r="W3734" s="865">
        <v>12</v>
      </c>
      <c r="X3734" s="865">
        <v>12</v>
      </c>
      <c r="Y3734" s="865">
        <v>12</v>
      </c>
      <c r="Z3734" s="865">
        <v>12</v>
      </c>
      <c r="AA3734" s="865">
        <v>12</v>
      </c>
      <c r="AB3734" s="865">
        <v>12</v>
      </c>
      <c r="AC3734" s="865">
        <v>12</v>
      </c>
      <c r="AD3734" s="865"/>
      <c r="AE3734" s="865"/>
      <c r="AF3734" s="865"/>
      <c r="AG3734" s="865"/>
      <c r="AH3734" s="1942"/>
      <c r="AI3734" s="1942"/>
      <c r="AJ3734" s="1942"/>
      <c r="AK3734" s="1942"/>
      <c r="AL3734" s="1942"/>
      <c r="AM3734" s="1942"/>
      <c r="AN3734" s="1942"/>
      <c r="AO3734" s="1942"/>
      <c r="AP3734" s="1942"/>
      <c r="AQ3734" s="1942"/>
      <c r="AR3734" s="1942"/>
      <c r="AS3734" s="1942"/>
      <c r="AT3734" s="1942"/>
      <c r="AU3734" s="1942"/>
      <c r="AV3734" s="1942"/>
      <c r="AW3734" s="1942"/>
      <c r="AX3734" s="1942"/>
      <c r="AY3734" s="1942"/>
      <c r="AZ3734" s="1942"/>
      <c r="BA3734" s="1942"/>
      <c r="BB3734" s="575"/>
      <c r="BC3734" s="576"/>
      <c r="BD3734" s="678"/>
      <c r="BE3734" s="585"/>
    </row>
    <row r="3735" spans="1:57" s="1942" customFormat="1" ht="15" hidden="1" customHeight="1" outlineLevel="1" x14ac:dyDescent="0.25">
      <c r="A3735" s="2060"/>
      <c r="B3735" s="576"/>
      <c r="C3735" s="328"/>
      <c r="D3735" s="3990"/>
      <c r="E3735" s="4009"/>
      <c r="F3735" s="3016" t="str">
        <f t="shared" si="278"/>
        <v>ASHP-SEER18-Replace_CAC_ElectricHeat_ER1_MF_CompE</v>
      </c>
      <c r="G3735" s="2673"/>
      <c r="H3735" s="2673"/>
      <c r="I3735" s="2673"/>
      <c r="J3735" s="3301" t="str">
        <f t="shared" ref="J3735:J3737" si="283">C1657</f>
        <v>354301_2021_12_</v>
      </c>
      <c r="K3735" s="3054">
        <v>6</v>
      </c>
      <c r="L3735" s="851"/>
      <c r="M3735" s="698"/>
      <c r="N3735" s="123"/>
      <c r="O3735" s="228"/>
      <c r="P3735" s="844"/>
      <c r="Q3735" s="845"/>
      <c r="R3735" s="844"/>
      <c r="S3735" s="832"/>
      <c r="T3735" s="3082"/>
      <c r="U3735" s="123"/>
      <c r="V3735" s="4031"/>
      <c r="W3735" s="865"/>
      <c r="X3735" s="865"/>
      <c r="Y3735" s="865"/>
      <c r="Z3735" s="865"/>
      <c r="AA3735" s="865"/>
      <c r="AB3735" s="865"/>
      <c r="AC3735" s="3054">
        <v>6</v>
      </c>
      <c r="AD3735" s="865"/>
      <c r="AE3735" s="865"/>
      <c r="AF3735" s="865"/>
      <c r="AG3735" s="865"/>
      <c r="BB3735" s="575"/>
      <c r="BC3735" s="576"/>
      <c r="BD3735" s="678"/>
      <c r="BE3735" s="585"/>
    </row>
    <row r="3736" spans="1:57" s="1942" customFormat="1" ht="15" hidden="1" customHeight="1" outlineLevel="1" x14ac:dyDescent="0.25">
      <c r="A3736" s="2060"/>
      <c r="B3736" s="576"/>
      <c r="C3736" s="328"/>
      <c r="D3736" s="3990"/>
      <c r="E3736" s="4009"/>
      <c r="F3736" s="3016" t="str">
        <f t="shared" si="278"/>
        <v>ASHP-SEER18-Replace_CAC_ElectricHeat_ER1_MF_CompE</v>
      </c>
      <c r="G3736" s="2673"/>
      <c r="H3736" s="2673"/>
      <c r="I3736" s="2673"/>
      <c r="J3736" s="3301" t="str">
        <f t="shared" si="283"/>
        <v>354301_2021_12_</v>
      </c>
      <c r="K3736" s="3054">
        <v>6</v>
      </c>
      <c r="L3736" s="851"/>
      <c r="M3736" s="698"/>
      <c r="N3736" s="123"/>
      <c r="O3736" s="228"/>
      <c r="P3736" s="844"/>
      <c r="Q3736" s="845"/>
      <c r="R3736" s="844"/>
      <c r="S3736" s="832"/>
      <c r="T3736" s="3082"/>
      <c r="U3736" s="123"/>
      <c r="V3736" s="4031"/>
      <c r="W3736" s="865"/>
      <c r="X3736" s="865"/>
      <c r="Y3736" s="865"/>
      <c r="Z3736" s="865"/>
      <c r="AA3736" s="865"/>
      <c r="AB3736" s="865"/>
      <c r="AC3736" s="3054">
        <v>6</v>
      </c>
      <c r="AD3736" s="865"/>
      <c r="AE3736" s="865"/>
      <c r="AF3736" s="865"/>
      <c r="AG3736" s="865"/>
      <c r="BB3736" s="575"/>
      <c r="BC3736" s="576"/>
      <c r="BD3736" s="678"/>
      <c r="BE3736" s="585"/>
    </row>
    <row r="3737" spans="1:57" s="1942" customFormat="1" ht="15" hidden="1" customHeight="1" outlineLevel="1" x14ac:dyDescent="0.25">
      <c r="A3737" s="2060"/>
      <c r="B3737" s="576"/>
      <c r="C3737" s="328"/>
      <c r="D3737" s="3990"/>
      <c r="E3737" s="4009"/>
      <c r="F3737" s="3016" t="str">
        <f t="shared" si="278"/>
        <v>ASHP-SEER18-Replace_CAC_ElectricHeat_ER2_MF_CompE</v>
      </c>
      <c r="G3737" s="2673"/>
      <c r="H3737" s="2673"/>
      <c r="I3737" s="2673"/>
      <c r="J3737" s="3301" t="str">
        <f t="shared" si="283"/>
        <v>354301_2021_12_</v>
      </c>
      <c r="K3737" s="3054">
        <v>12</v>
      </c>
      <c r="L3737" s="851"/>
      <c r="M3737" s="698"/>
      <c r="N3737" s="123"/>
      <c r="O3737" s="228"/>
      <c r="P3737" s="844"/>
      <c r="Q3737" s="845"/>
      <c r="R3737" s="844"/>
      <c r="S3737" s="832"/>
      <c r="T3737" s="3082"/>
      <c r="U3737" s="123"/>
      <c r="V3737" s="4031"/>
      <c r="W3737" s="865"/>
      <c r="X3737" s="865"/>
      <c r="Y3737" s="865"/>
      <c r="Z3737" s="865"/>
      <c r="AA3737" s="865"/>
      <c r="AB3737" s="865"/>
      <c r="AC3737" s="3054">
        <v>12</v>
      </c>
      <c r="AD3737" s="865"/>
      <c r="AE3737" s="865"/>
      <c r="AF3737" s="865"/>
      <c r="AG3737" s="865"/>
      <c r="BB3737" s="575"/>
      <c r="BC3737" s="576"/>
      <c r="BD3737" s="678"/>
      <c r="BE3737" s="585"/>
    </row>
    <row r="3738" spans="1:57" s="1942" customFormat="1" ht="15" hidden="1" customHeight="1" outlineLevel="1" x14ac:dyDescent="0.25">
      <c r="A3738" s="2060"/>
      <c r="B3738" s="576"/>
      <c r="C3738" s="328"/>
      <c r="D3738" s="3990"/>
      <c r="E3738" s="4009"/>
      <c r="F3738" s="3016" t="str">
        <f t="shared" si="278"/>
        <v>ASHP-SEER18-Replace_CAC_ElectricHeat_ER2_MF_CompE</v>
      </c>
      <c r="G3738" s="2673"/>
      <c r="H3738" s="2673"/>
      <c r="I3738" s="2673"/>
      <c r="J3738" s="3301" t="str">
        <f>C1660</f>
        <v>354301_2021_12_</v>
      </c>
      <c r="K3738" s="3054">
        <v>12</v>
      </c>
      <c r="L3738" s="851"/>
      <c r="M3738" s="698"/>
      <c r="N3738" s="123"/>
      <c r="O3738" s="228"/>
      <c r="P3738" s="844"/>
      <c r="Q3738" s="845"/>
      <c r="R3738" s="844"/>
      <c r="S3738" s="832"/>
      <c r="T3738" s="3082"/>
      <c r="U3738" s="123"/>
      <c r="V3738" s="4031"/>
      <c r="W3738" s="865"/>
      <c r="X3738" s="865"/>
      <c r="Y3738" s="865"/>
      <c r="Z3738" s="865"/>
      <c r="AA3738" s="865"/>
      <c r="AB3738" s="865"/>
      <c r="AC3738" s="3054">
        <v>12</v>
      </c>
      <c r="AD3738" s="865"/>
      <c r="AE3738" s="865"/>
      <c r="AF3738" s="865"/>
      <c r="AG3738" s="865"/>
      <c r="BB3738" s="575"/>
      <c r="BC3738" s="576"/>
      <c r="BD3738" s="678"/>
      <c r="BE3738" s="585"/>
    </row>
    <row r="3739" spans="1:57" s="1942" customFormat="1" ht="15" hidden="1" customHeight="1" outlineLevel="1" x14ac:dyDescent="0.25">
      <c r="A3739" s="2060"/>
      <c r="B3739" s="576"/>
      <c r="C3739" s="328"/>
      <c r="D3739" s="3990"/>
      <c r="E3739" s="4009"/>
      <c r="F3739" s="3016" t="str">
        <f t="shared" si="278"/>
        <v>ASHP-SEER18-Replace_CAC_NonElectricHeat_ER1_MF</v>
      </c>
      <c r="G3739" s="2673"/>
      <c r="H3739" s="2673"/>
      <c r="I3739" s="2673"/>
      <c r="J3739" s="3301" t="str">
        <f t="shared" ref="J3739:J3746" si="284">C1661</f>
        <v>354310_2021_12_</v>
      </c>
      <c r="K3739" s="3054">
        <v>6</v>
      </c>
      <c r="L3739" s="851"/>
      <c r="M3739" s="698"/>
      <c r="N3739" s="123"/>
      <c r="O3739" s="228"/>
      <c r="P3739" s="844"/>
      <c r="Q3739" s="845"/>
      <c r="R3739" s="844"/>
      <c r="S3739" s="832"/>
      <c r="T3739" s="3082"/>
      <c r="U3739" s="123"/>
      <c r="V3739" s="4031"/>
      <c r="W3739" s="865"/>
      <c r="X3739" s="865"/>
      <c r="Y3739" s="865"/>
      <c r="Z3739" s="865"/>
      <c r="AA3739" s="865"/>
      <c r="AB3739" s="865"/>
      <c r="AC3739" s="3054">
        <v>6</v>
      </c>
      <c r="AD3739" s="865"/>
      <c r="AE3739" s="865"/>
      <c r="AF3739" s="865"/>
      <c r="AG3739" s="865"/>
      <c r="BB3739" s="575"/>
      <c r="BC3739" s="576"/>
      <c r="BD3739" s="678"/>
      <c r="BE3739" s="585"/>
    </row>
    <row r="3740" spans="1:57" s="1942" customFormat="1" ht="15" hidden="1" customHeight="1" outlineLevel="1" x14ac:dyDescent="0.25">
      <c r="A3740" s="2060"/>
      <c r="B3740" s="576"/>
      <c r="C3740" s="328"/>
      <c r="D3740" s="3990"/>
      <c r="E3740" s="4009"/>
      <c r="F3740" s="3016" t="str">
        <f t="shared" si="278"/>
        <v>ASHP-SEER18-Replace_CAC_NonElectricHeat_ER1_MF</v>
      </c>
      <c r="G3740" s="2673"/>
      <c r="H3740" s="2673"/>
      <c r="I3740" s="2673"/>
      <c r="J3740" s="3301" t="str">
        <f t="shared" si="284"/>
        <v>354310_2021_12_</v>
      </c>
      <c r="K3740" s="3054">
        <v>6</v>
      </c>
      <c r="L3740" s="851"/>
      <c r="M3740" s="698"/>
      <c r="N3740" s="123"/>
      <c r="O3740" s="228"/>
      <c r="P3740" s="844"/>
      <c r="Q3740" s="845"/>
      <c r="R3740" s="844"/>
      <c r="S3740" s="832"/>
      <c r="T3740" s="3082"/>
      <c r="U3740" s="123"/>
      <c r="V3740" s="4031"/>
      <c r="W3740" s="865"/>
      <c r="X3740" s="865"/>
      <c r="Y3740" s="865"/>
      <c r="Z3740" s="865"/>
      <c r="AA3740" s="865"/>
      <c r="AB3740" s="865"/>
      <c r="AC3740" s="3054">
        <v>6</v>
      </c>
      <c r="AD3740" s="865"/>
      <c r="AE3740" s="865"/>
      <c r="AF3740" s="865"/>
      <c r="AG3740" s="865"/>
      <c r="BB3740" s="575"/>
      <c r="BC3740" s="576"/>
      <c r="BD3740" s="678"/>
      <c r="BE3740" s="585"/>
    </row>
    <row r="3741" spans="1:57" s="1942" customFormat="1" ht="15" hidden="1" customHeight="1" outlineLevel="1" x14ac:dyDescent="0.25">
      <c r="A3741" s="2060"/>
      <c r="B3741" s="576"/>
      <c r="C3741" s="328"/>
      <c r="D3741" s="3990"/>
      <c r="E3741" s="4009"/>
      <c r="F3741" s="3016" t="str">
        <f t="shared" si="278"/>
        <v>ASHP-SEER18-Replace_CAC_NonElectricHeat_ER2_MF</v>
      </c>
      <c r="G3741" s="2673"/>
      <c r="H3741" s="2673"/>
      <c r="I3741" s="2673"/>
      <c r="J3741" s="3301" t="str">
        <f t="shared" si="284"/>
        <v>354310_2021_12_</v>
      </c>
      <c r="K3741" s="3054">
        <v>12</v>
      </c>
      <c r="L3741" s="851"/>
      <c r="M3741" s="698"/>
      <c r="N3741" s="123"/>
      <c r="O3741" s="228"/>
      <c r="P3741" s="844"/>
      <c r="Q3741" s="845"/>
      <c r="R3741" s="844"/>
      <c r="S3741" s="832"/>
      <c r="T3741" s="3082"/>
      <c r="U3741" s="123"/>
      <c r="V3741" s="4031"/>
      <c r="W3741" s="865"/>
      <c r="X3741" s="865"/>
      <c r="Y3741" s="865"/>
      <c r="Z3741" s="865"/>
      <c r="AA3741" s="865"/>
      <c r="AB3741" s="865"/>
      <c r="AC3741" s="3054">
        <v>12</v>
      </c>
      <c r="AD3741" s="865"/>
      <c r="AE3741" s="865"/>
      <c r="AF3741" s="865"/>
      <c r="AG3741" s="865"/>
      <c r="BB3741" s="575"/>
      <c r="BC3741" s="576"/>
      <c r="BD3741" s="678"/>
      <c r="BE3741" s="585"/>
    </row>
    <row r="3742" spans="1:57" s="1942" customFormat="1" ht="15" hidden="1" customHeight="1" outlineLevel="1" x14ac:dyDescent="0.25">
      <c r="A3742" s="2060"/>
      <c r="B3742" s="576"/>
      <c r="C3742" s="328"/>
      <c r="D3742" s="3990"/>
      <c r="E3742" s="4009"/>
      <c r="F3742" s="3016" t="str">
        <f t="shared" si="278"/>
        <v>ASHP-SEER18-Replace_CAC_NonElectricHeat_ER2_MF</v>
      </c>
      <c r="G3742" s="2673"/>
      <c r="H3742" s="2673"/>
      <c r="I3742" s="2673"/>
      <c r="J3742" s="3301" t="str">
        <f t="shared" si="284"/>
        <v>354310_2021_12_</v>
      </c>
      <c r="K3742" s="3054">
        <v>12</v>
      </c>
      <c r="L3742" s="851"/>
      <c r="M3742" s="698"/>
      <c r="N3742" s="123"/>
      <c r="O3742" s="228"/>
      <c r="P3742" s="844"/>
      <c r="Q3742" s="845"/>
      <c r="R3742" s="844"/>
      <c r="S3742" s="832"/>
      <c r="T3742" s="3082"/>
      <c r="U3742" s="123"/>
      <c r="V3742" s="4031"/>
      <c r="W3742" s="865"/>
      <c r="X3742" s="865"/>
      <c r="Y3742" s="865"/>
      <c r="Z3742" s="865"/>
      <c r="AA3742" s="865"/>
      <c r="AB3742" s="865"/>
      <c r="AC3742" s="3054">
        <v>12</v>
      </c>
      <c r="AD3742" s="865"/>
      <c r="AE3742" s="865"/>
      <c r="AF3742" s="865"/>
      <c r="AG3742" s="865"/>
      <c r="BB3742" s="575"/>
      <c r="BC3742" s="576"/>
      <c r="BD3742" s="678"/>
      <c r="BE3742" s="585"/>
    </row>
    <row r="3743" spans="1:57" s="1942" customFormat="1" ht="15" hidden="1" customHeight="1" outlineLevel="1" x14ac:dyDescent="0.25">
      <c r="A3743" s="2060"/>
      <c r="B3743" s="576"/>
      <c r="C3743" s="328"/>
      <c r="D3743" s="3990"/>
      <c r="E3743" s="4009"/>
      <c r="F3743" s="3016" t="str">
        <f t="shared" si="278"/>
        <v>ASHP-SEER18-Replace_CAC_NonElectricHeat_ER1_MF_CompE</v>
      </c>
      <c r="G3743" s="2673"/>
      <c r="H3743" s="2673"/>
      <c r="I3743" s="2673"/>
      <c r="J3743" s="3301" t="str">
        <f t="shared" si="284"/>
        <v>354311_2021_12_</v>
      </c>
      <c r="K3743" s="3054">
        <v>6</v>
      </c>
      <c r="L3743" s="851"/>
      <c r="M3743" s="698"/>
      <c r="N3743" s="123"/>
      <c r="O3743" s="228"/>
      <c r="P3743" s="844"/>
      <c r="Q3743" s="845"/>
      <c r="R3743" s="844"/>
      <c r="S3743" s="832"/>
      <c r="T3743" s="3082"/>
      <c r="U3743" s="123"/>
      <c r="V3743" s="4031"/>
      <c r="W3743" s="865"/>
      <c r="X3743" s="865"/>
      <c r="Y3743" s="865"/>
      <c r="Z3743" s="865"/>
      <c r="AA3743" s="865"/>
      <c r="AB3743" s="865"/>
      <c r="AC3743" s="3054">
        <v>6</v>
      </c>
      <c r="AD3743" s="865"/>
      <c r="AE3743" s="865"/>
      <c r="AF3743" s="865"/>
      <c r="AG3743" s="865"/>
      <c r="BB3743" s="575"/>
      <c r="BC3743" s="576"/>
      <c r="BD3743" s="678"/>
      <c r="BE3743" s="585"/>
    </row>
    <row r="3744" spans="1:57" s="1942" customFormat="1" ht="15" hidden="1" customHeight="1" outlineLevel="1" x14ac:dyDescent="0.25">
      <c r="A3744" s="2060"/>
      <c r="B3744" s="576"/>
      <c r="C3744" s="328"/>
      <c r="D3744" s="3990"/>
      <c r="E3744" s="4009"/>
      <c r="F3744" s="3016" t="str">
        <f t="shared" si="278"/>
        <v>ASHP-SEER18-Replace_CAC_NonElectricHeat_ER1_MF_CompE</v>
      </c>
      <c r="G3744" s="2673"/>
      <c r="H3744" s="2673"/>
      <c r="I3744" s="2673"/>
      <c r="J3744" s="3301" t="str">
        <f t="shared" si="284"/>
        <v>354311_2021_12_</v>
      </c>
      <c r="K3744" s="3054">
        <v>6</v>
      </c>
      <c r="L3744" s="851"/>
      <c r="M3744" s="698"/>
      <c r="N3744" s="123"/>
      <c r="O3744" s="228"/>
      <c r="P3744" s="844"/>
      <c r="Q3744" s="845"/>
      <c r="R3744" s="844"/>
      <c r="S3744" s="832"/>
      <c r="T3744" s="3082"/>
      <c r="U3744" s="123"/>
      <c r="V3744" s="4031"/>
      <c r="W3744" s="865"/>
      <c r="X3744" s="865"/>
      <c r="Y3744" s="865"/>
      <c r="Z3744" s="865"/>
      <c r="AA3744" s="865"/>
      <c r="AB3744" s="865"/>
      <c r="AC3744" s="3054">
        <v>6</v>
      </c>
      <c r="AD3744" s="865"/>
      <c r="AE3744" s="865"/>
      <c r="AF3744" s="865"/>
      <c r="AG3744" s="865"/>
      <c r="BB3744" s="575"/>
      <c r="BC3744" s="576"/>
      <c r="BD3744" s="678"/>
      <c r="BE3744" s="585"/>
    </row>
    <row r="3745" spans="1:57" s="1942" customFormat="1" ht="15" hidden="1" customHeight="1" outlineLevel="1" x14ac:dyDescent="0.25">
      <c r="A3745" s="2060"/>
      <c r="B3745" s="576"/>
      <c r="C3745" s="328"/>
      <c r="D3745" s="3990"/>
      <c r="E3745" s="4009"/>
      <c r="F3745" s="3016" t="str">
        <f t="shared" si="278"/>
        <v>ASHP-SEER18-Replace_CAC_NonElectricHeat_ER2_MF_CompE</v>
      </c>
      <c r="G3745" s="2673"/>
      <c r="H3745" s="2673"/>
      <c r="I3745" s="2673"/>
      <c r="J3745" s="3301" t="str">
        <f t="shared" si="284"/>
        <v>354311_2021_12_</v>
      </c>
      <c r="K3745" s="3054">
        <v>12</v>
      </c>
      <c r="L3745" s="851"/>
      <c r="M3745" s="698"/>
      <c r="N3745" s="123"/>
      <c r="O3745" s="228"/>
      <c r="P3745" s="844"/>
      <c r="Q3745" s="845"/>
      <c r="R3745" s="844"/>
      <c r="S3745" s="832"/>
      <c r="T3745" s="3082"/>
      <c r="U3745" s="123"/>
      <c r="V3745" s="4031"/>
      <c r="W3745" s="865"/>
      <c r="X3745" s="865"/>
      <c r="Y3745" s="865"/>
      <c r="Z3745" s="865"/>
      <c r="AA3745" s="865"/>
      <c r="AB3745" s="865"/>
      <c r="AC3745" s="3054">
        <v>12</v>
      </c>
      <c r="AD3745" s="865"/>
      <c r="AE3745" s="865"/>
      <c r="AF3745" s="865"/>
      <c r="AG3745" s="865"/>
      <c r="BB3745" s="575"/>
      <c r="BC3745" s="576"/>
      <c r="BD3745" s="678"/>
      <c r="BE3745" s="585"/>
    </row>
    <row r="3746" spans="1:57" s="1942" customFormat="1" ht="15" hidden="1" customHeight="1" outlineLevel="1" x14ac:dyDescent="0.25">
      <c r="A3746" s="2060"/>
      <c r="B3746" s="576"/>
      <c r="C3746" s="328"/>
      <c r="D3746" s="3990"/>
      <c r="E3746" s="4009"/>
      <c r="F3746" s="3016" t="str">
        <f t="shared" si="278"/>
        <v>ASHP-SEER18-Replace_CAC_NonElectricHeat_ER2_MF_CompE</v>
      </c>
      <c r="G3746" s="2673"/>
      <c r="H3746" s="2673"/>
      <c r="I3746" s="2673"/>
      <c r="J3746" s="3301" t="str">
        <f t="shared" si="284"/>
        <v>354311_2021_12_</v>
      </c>
      <c r="K3746" s="3054">
        <v>12</v>
      </c>
      <c r="L3746" s="851"/>
      <c r="M3746" s="698"/>
      <c r="N3746" s="123"/>
      <c r="O3746" s="228"/>
      <c r="P3746" s="844"/>
      <c r="Q3746" s="845"/>
      <c r="R3746" s="844"/>
      <c r="S3746" s="832"/>
      <c r="T3746" s="3082"/>
      <c r="U3746" s="123"/>
      <c r="V3746" s="4031"/>
      <c r="W3746" s="865"/>
      <c r="X3746" s="865"/>
      <c r="Y3746" s="865"/>
      <c r="Z3746" s="865"/>
      <c r="AA3746" s="865"/>
      <c r="AB3746" s="865"/>
      <c r="AC3746" s="3054">
        <v>12</v>
      </c>
      <c r="AD3746" s="865"/>
      <c r="AE3746" s="865"/>
      <c r="AF3746" s="865"/>
      <c r="AG3746" s="865"/>
      <c r="BB3746" s="575"/>
      <c r="BC3746" s="576"/>
      <c r="BD3746" s="678"/>
      <c r="BE3746" s="585"/>
    </row>
    <row r="3747" spans="1:57" s="51" customFormat="1" ht="15" hidden="1" customHeight="1" outlineLevel="1" x14ac:dyDescent="0.25">
      <c r="A3747" s="2060"/>
      <c r="B3747" s="576"/>
      <c r="C3747" s="328"/>
      <c r="D3747" s="3990"/>
      <c r="E3747" s="4009"/>
      <c r="F3747" s="3016" t="str">
        <f t="shared" si="278"/>
        <v>ASHP-SEER18_ER1_MF</v>
      </c>
      <c r="G3747" s="2673"/>
      <c r="H3747" s="2673"/>
      <c r="I3747" s="2673"/>
      <c r="J3747" s="3301" t="str">
        <f>C1669</f>
        <v>354350_2021_12_</v>
      </c>
      <c r="K3747" s="865">
        <v>6</v>
      </c>
      <c r="L3747" s="851"/>
      <c r="M3747" s="698"/>
      <c r="N3747" s="123"/>
      <c r="O3747" s="228"/>
      <c r="P3747" s="844"/>
      <c r="Q3747" s="845"/>
      <c r="R3747" s="844"/>
      <c r="S3747" s="832"/>
      <c r="T3747" s="3082"/>
      <c r="U3747" s="123"/>
      <c r="V3747" s="4031"/>
      <c r="W3747" s="865">
        <v>6</v>
      </c>
      <c r="X3747" s="865">
        <v>6</v>
      </c>
      <c r="Y3747" s="865">
        <v>6</v>
      </c>
      <c r="Z3747" s="865">
        <v>6</v>
      </c>
      <c r="AA3747" s="865">
        <v>6</v>
      </c>
      <c r="AB3747" s="865">
        <v>6</v>
      </c>
      <c r="AC3747" s="865">
        <v>6</v>
      </c>
      <c r="AD3747" s="865"/>
      <c r="AE3747" s="865"/>
      <c r="AF3747" s="865"/>
      <c r="AG3747" s="865"/>
      <c r="AH3747" s="1942"/>
      <c r="AI3747" s="1942"/>
      <c r="AJ3747" s="1942"/>
      <c r="AK3747" s="1942"/>
      <c r="AL3747" s="1942"/>
      <c r="AM3747" s="1942"/>
      <c r="AN3747" s="1942"/>
      <c r="AO3747" s="1942"/>
      <c r="AP3747" s="1942"/>
      <c r="AQ3747" s="1942"/>
      <c r="AR3747" s="1942"/>
      <c r="AS3747" s="1942"/>
      <c r="AT3747" s="1942"/>
      <c r="AU3747" s="1942"/>
      <c r="AV3747" s="1942"/>
      <c r="AW3747" s="1942"/>
      <c r="AX3747" s="1942"/>
      <c r="AY3747" s="1942"/>
      <c r="AZ3747" s="1942"/>
      <c r="BA3747" s="1942"/>
      <c r="BB3747" s="575"/>
      <c r="BC3747" s="576"/>
      <c r="BD3747" s="678"/>
      <c r="BE3747" s="585"/>
    </row>
    <row r="3748" spans="1:57" s="51" customFormat="1" ht="15" hidden="1" customHeight="1" outlineLevel="1" x14ac:dyDescent="0.25">
      <c r="A3748" s="2060"/>
      <c r="B3748" s="576"/>
      <c r="C3748" s="328"/>
      <c r="D3748" s="3990"/>
      <c r="E3748" s="4009"/>
      <c r="F3748" s="3016" t="str">
        <f t="shared" si="278"/>
        <v>ASHP-SEER18_ER1_MF</v>
      </c>
      <c r="G3748" s="2673"/>
      <c r="H3748" s="2673"/>
      <c r="I3748" s="2673"/>
      <c r="J3748" s="3301" t="str">
        <f>C1670</f>
        <v>354350_2021_12_</v>
      </c>
      <c r="K3748" s="865">
        <v>6</v>
      </c>
      <c r="L3748" s="851"/>
      <c r="M3748" s="698"/>
      <c r="N3748" s="123"/>
      <c r="O3748" s="228"/>
      <c r="P3748" s="844"/>
      <c r="Q3748" s="845"/>
      <c r="R3748" s="844"/>
      <c r="S3748" s="832"/>
      <c r="T3748" s="3082"/>
      <c r="U3748" s="123"/>
      <c r="V3748" s="4031"/>
      <c r="W3748" s="865">
        <v>6</v>
      </c>
      <c r="X3748" s="865">
        <v>6</v>
      </c>
      <c r="Y3748" s="865">
        <v>6</v>
      </c>
      <c r="Z3748" s="865">
        <v>6</v>
      </c>
      <c r="AA3748" s="865">
        <v>6</v>
      </c>
      <c r="AB3748" s="865">
        <v>6</v>
      </c>
      <c r="AC3748" s="865">
        <v>6</v>
      </c>
      <c r="AD3748" s="865"/>
      <c r="AE3748" s="865"/>
      <c r="AF3748" s="865"/>
      <c r="AG3748" s="865"/>
      <c r="AH3748" s="1942"/>
      <c r="AI3748" s="1942"/>
      <c r="AJ3748" s="1942"/>
      <c r="AK3748" s="1942"/>
      <c r="AL3748" s="1942"/>
      <c r="AM3748" s="1942"/>
      <c r="AN3748" s="1942"/>
      <c r="AO3748" s="1942"/>
      <c r="AP3748" s="1942"/>
      <c r="AQ3748" s="1942"/>
      <c r="AR3748" s="1942"/>
      <c r="AS3748" s="1942"/>
      <c r="AT3748" s="1942"/>
      <c r="AU3748" s="1942"/>
      <c r="AV3748" s="1942"/>
      <c r="AW3748" s="1942"/>
      <c r="AX3748" s="1942"/>
      <c r="AY3748" s="1942"/>
      <c r="AZ3748" s="1942"/>
      <c r="BA3748" s="1942"/>
      <c r="BB3748" s="575"/>
      <c r="BC3748" s="576"/>
      <c r="BD3748" s="678"/>
      <c r="BE3748" s="585"/>
    </row>
    <row r="3749" spans="1:57" s="51" customFormat="1" ht="15" hidden="1" customHeight="1" outlineLevel="1" x14ac:dyDescent="0.25">
      <c r="A3749" s="2060"/>
      <c r="B3749" s="576"/>
      <c r="C3749" s="328"/>
      <c r="D3749" s="3990"/>
      <c r="E3749" s="4009"/>
      <c r="F3749" s="3016" t="str">
        <f t="shared" ref="F3749:F3812" si="285">E1671</f>
        <v>ASHP-SEER18_ER2_MF</v>
      </c>
      <c r="G3749" s="2673"/>
      <c r="H3749" s="2673"/>
      <c r="I3749" s="2673"/>
      <c r="J3749" s="3301" t="str">
        <f>C1671</f>
        <v>354350_2021_12_</v>
      </c>
      <c r="K3749" s="865">
        <v>12</v>
      </c>
      <c r="L3749" s="851"/>
      <c r="M3749" s="698"/>
      <c r="N3749" s="123"/>
      <c r="O3749" s="228"/>
      <c r="P3749" s="844"/>
      <c r="Q3749" s="845"/>
      <c r="R3749" s="844"/>
      <c r="S3749" s="832"/>
      <c r="T3749" s="3082"/>
      <c r="U3749" s="123"/>
      <c r="V3749" s="4031"/>
      <c r="W3749" s="865">
        <v>12</v>
      </c>
      <c r="X3749" s="865">
        <v>12</v>
      </c>
      <c r="Y3749" s="865">
        <v>12</v>
      </c>
      <c r="Z3749" s="865">
        <v>12</v>
      </c>
      <c r="AA3749" s="865">
        <v>12</v>
      </c>
      <c r="AB3749" s="865">
        <v>12</v>
      </c>
      <c r="AC3749" s="865">
        <v>12</v>
      </c>
      <c r="AD3749" s="865"/>
      <c r="AE3749" s="865"/>
      <c r="AF3749" s="865"/>
      <c r="AG3749" s="865"/>
      <c r="AH3749" s="1942"/>
      <c r="AI3749" s="1942"/>
      <c r="AJ3749" s="1942"/>
      <c r="AK3749" s="1942"/>
      <c r="AL3749" s="1942"/>
      <c r="AM3749" s="1942"/>
      <c r="AN3749" s="1942"/>
      <c r="AO3749" s="1942"/>
      <c r="AP3749" s="1942"/>
      <c r="AQ3749" s="1942"/>
      <c r="AR3749" s="1942"/>
      <c r="AS3749" s="1942"/>
      <c r="AT3749" s="1942"/>
      <c r="AU3749" s="1942"/>
      <c r="AV3749" s="1942"/>
      <c r="AW3749" s="1942"/>
      <c r="AX3749" s="1942"/>
      <c r="AY3749" s="1942"/>
      <c r="AZ3749" s="1942"/>
      <c r="BA3749" s="1942"/>
      <c r="BB3749" s="575"/>
      <c r="BC3749" s="576"/>
      <c r="BD3749" s="678"/>
      <c r="BE3749" s="585"/>
    </row>
    <row r="3750" spans="1:57" s="51" customFormat="1" ht="15" hidden="1" customHeight="1" outlineLevel="1" x14ac:dyDescent="0.25">
      <c r="A3750" s="2060"/>
      <c r="B3750" s="576"/>
      <c r="C3750" s="328"/>
      <c r="D3750" s="3990"/>
      <c r="E3750" s="4009"/>
      <c r="F3750" s="3016" t="str">
        <f t="shared" si="285"/>
        <v>ASHP-SEER18_ER2_MF</v>
      </c>
      <c r="G3750" s="2673"/>
      <c r="H3750" s="2673"/>
      <c r="I3750" s="2673"/>
      <c r="J3750" s="3301" t="str">
        <f>C1672</f>
        <v>354350_2021_12_</v>
      </c>
      <c r="K3750" s="865">
        <v>12</v>
      </c>
      <c r="L3750" s="851"/>
      <c r="M3750" s="698"/>
      <c r="N3750" s="123"/>
      <c r="O3750" s="228"/>
      <c r="P3750" s="844"/>
      <c r="Q3750" s="845"/>
      <c r="R3750" s="844"/>
      <c r="S3750" s="832"/>
      <c r="T3750" s="3082"/>
      <c r="U3750" s="123"/>
      <c r="V3750" s="4031"/>
      <c r="W3750" s="865">
        <v>12</v>
      </c>
      <c r="X3750" s="865">
        <v>12</v>
      </c>
      <c r="Y3750" s="865">
        <v>12</v>
      </c>
      <c r="Z3750" s="865">
        <v>12</v>
      </c>
      <c r="AA3750" s="865">
        <v>12</v>
      </c>
      <c r="AB3750" s="865">
        <v>12</v>
      </c>
      <c r="AC3750" s="865">
        <v>12</v>
      </c>
      <c r="AD3750" s="865"/>
      <c r="AE3750" s="865"/>
      <c r="AF3750" s="865"/>
      <c r="AG3750" s="865"/>
      <c r="AH3750" s="1942"/>
      <c r="AI3750" s="1942"/>
      <c r="AJ3750" s="1942"/>
      <c r="AK3750" s="1942"/>
      <c r="AL3750" s="1942"/>
      <c r="AM3750" s="1942"/>
      <c r="AN3750" s="1942"/>
      <c r="AO3750" s="1942"/>
      <c r="AP3750" s="1942"/>
      <c r="AQ3750" s="1942"/>
      <c r="AR3750" s="1942"/>
      <c r="AS3750" s="1942"/>
      <c r="AT3750" s="1942"/>
      <c r="AU3750" s="1942"/>
      <c r="AV3750" s="1942"/>
      <c r="AW3750" s="1942"/>
      <c r="AX3750" s="1942"/>
      <c r="AY3750" s="1942"/>
      <c r="AZ3750" s="1942"/>
      <c r="BA3750" s="1942"/>
      <c r="BB3750" s="575"/>
      <c r="BC3750" s="576"/>
      <c r="BD3750" s="678"/>
      <c r="BE3750" s="585"/>
    </row>
    <row r="3751" spans="1:57" s="1942" customFormat="1" ht="15" hidden="1" customHeight="1" outlineLevel="1" x14ac:dyDescent="0.25">
      <c r="A3751" s="2060"/>
      <c r="B3751" s="576"/>
      <c r="C3751" s="328"/>
      <c r="D3751" s="3990"/>
      <c r="E3751" s="4009"/>
      <c r="F3751" s="3016" t="str">
        <f t="shared" si="285"/>
        <v>ASHP-SEER18_ER1_MF_CompE</v>
      </c>
      <c r="G3751" s="2673"/>
      <c r="H3751" s="2673"/>
      <c r="I3751" s="2673"/>
      <c r="J3751" s="3301" t="str">
        <f t="shared" ref="J3751:J3754" si="286">C1673</f>
        <v>354351_2021_12_</v>
      </c>
      <c r="K3751" s="3054">
        <v>6</v>
      </c>
      <c r="L3751" s="851"/>
      <c r="M3751" s="698"/>
      <c r="N3751" s="123"/>
      <c r="O3751" s="228"/>
      <c r="P3751" s="844"/>
      <c r="Q3751" s="845"/>
      <c r="R3751" s="844"/>
      <c r="S3751" s="832"/>
      <c r="T3751" s="3082"/>
      <c r="U3751" s="123"/>
      <c r="V3751" s="4031"/>
      <c r="W3751" s="865"/>
      <c r="X3751" s="865"/>
      <c r="Y3751" s="865"/>
      <c r="Z3751" s="865"/>
      <c r="AA3751" s="865"/>
      <c r="AB3751" s="865"/>
      <c r="AC3751" s="3054">
        <v>6</v>
      </c>
      <c r="AD3751" s="865"/>
      <c r="AE3751" s="865"/>
      <c r="AF3751" s="865"/>
      <c r="AG3751" s="865"/>
      <c r="BB3751" s="575"/>
      <c r="BC3751" s="576"/>
      <c r="BD3751" s="678"/>
      <c r="BE3751" s="585"/>
    </row>
    <row r="3752" spans="1:57" s="1942" customFormat="1" ht="15" hidden="1" customHeight="1" outlineLevel="1" x14ac:dyDescent="0.25">
      <c r="A3752" s="2060"/>
      <c r="B3752" s="576"/>
      <c r="C3752" s="328"/>
      <c r="D3752" s="3990"/>
      <c r="E3752" s="4009"/>
      <c r="F3752" s="3016" t="str">
        <f t="shared" si="285"/>
        <v>ASHP-SEER18_ER1_MF_CompE</v>
      </c>
      <c r="G3752" s="2673"/>
      <c r="H3752" s="2673"/>
      <c r="I3752" s="2673"/>
      <c r="J3752" s="3301" t="str">
        <f t="shared" si="286"/>
        <v>354351_2021_12_</v>
      </c>
      <c r="K3752" s="3054">
        <v>6</v>
      </c>
      <c r="L3752" s="851"/>
      <c r="M3752" s="698"/>
      <c r="N3752" s="123"/>
      <c r="O3752" s="228"/>
      <c r="P3752" s="844"/>
      <c r="Q3752" s="845"/>
      <c r="R3752" s="844"/>
      <c r="S3752" s="832"/>
      <c r="T3752" s="3082"/>
      <c r="U3752" s="123"/>
      <c r="V3752" s="4031"/>
      <c r="W3752" s="865"/>
      <c r="X3752" s="865"/>
      <c r="Y3752" s="865"/>
      <c r="Z3752" s="865"/>
      <c r="AA3752" s="865"/>
      <c r="AB3752" s="865"/>
      <c r="AC3752" s="3054">
        <v>6</v>
      </c>
      <c r="AD3752" s="865"/>
      <c r="AE3752" s="865"/>
      <c r="AF3752" s="865"/>
      <c r="AG3752" s="865"/>
      <c r="BB3752" s="575"/>
      <c r="BC3752" s="576"/>
      <c r="BD3752" s="678"/>
      <c r="BE3752" s="585"/>
    </row>
    <row r="3753" spans="1:57" s="1942" customFormat="1" ht="15" hidden="1" customHeight="1" outlineLevel="1" x14ac:dyDescent="0.25">
      <c r="A3753" s="2060"/>
      <c r="B3753" s="576"/>
      <c r="C3753" s="328"/>
      <c r="D3753" s="3990"/>
      <c r="E3753" s="4009"/>
      <c r="F3753" s="3016" t="str">
        <f t="shared" si="285"/>
        <v>ASHP-SEER18_ER2_MF_CompE</v>
      </c>
      <c r="G3753" s="2673"/>
      <c r="H3753" s="2673"/>
      <c r="I3753" s="2673"/>
      <c r="J3753" s="3301" t="str">
        <f t="shared" si="286"/>
        <v>354351_2021_12_</v>
      </c>
      <c r="K3753" s="3054">
        <v>12</v>
      </c>
      <c r="L3753" s="851"/>
      <c r="M3753" s="698"/>
      <c r="N3753" s="123"/>
      <c r="O3753" s="228"/>
      <c r="P3753" s="844"/>
      <c r="Q3753" s="845"/>
      <c r="R3753" s="844"/>
      <c r="S3753" s="832"/>
      <c r="T3753" s="3082"/>
      <c r="U3753" s="123"/>
      <c r="V3753" s="4031"/>
      <c r="W3753" s="865"/>
      <c r="X3753" s="865"/>
      <c r="Y3753" s="865"/>
      <c r="Z3753" s="865"/>
      <c r="AA3753" s="865"/>
      <c r="AB3753" s="865"/>
      <c r="AC3753" s="3054">
        <v>12</v>
      </c>
      <c r="AD3753" s="865"/>
      <c r="AE3753" s="865"/>
      <c r="AF3753" s="865"/>
      <c r="AG3753" s="865"/>
      <c r="BB3753" s="575"/>
      <c r="BC3753" s="576"/>
      <c r="BD3753" s="678"/>
      <c r="BE3753" s="585"/>
    </row>
    <row r="3754" spans="1:57" s="1942" customFormat="1" ht="15" hidden="1" customHeight="1" outlineLevel="1" x14ac:dyDescent="0.25">
      <c r="A3754" s="2060"/>
      <c r="B3754" s="576"/>
      <c r="C3754" s="328"/>
      <c r="D3754" s="3990"/>
      <c r="E3754" s="4009"/>
      <c r="F3754" s="3016" t="str">
        <f t="shared" si="285"/>
        <v>ASHP-SEER18_ER2_MF_CompE</v>
      </c>
      <c r="G3754" s="2673"/>
      <c r="H3754" s="2673"/>
      <c r="I3754" s="2673"/>
      <c r="J3754" s="3301" t="str">
        <f t="shared" si="286"/>
        <v>354351_2021_12_</v>
      </c>
      <c r="K3754" s="3054">
        <v>12</v>
      </c>
      <c r="L3754" s="851"/>
      <c r="M3754" s="698"/>
      <c r="N3754" s="123"/>
      <c r="O3754" s="228"/>
      <c r="P3754" s="844"/>
      <c r="Q3754" s="845"/>
      <c r="R3754" s="844"/>
      <c r="S3754" s="832"/>
      <c r="T3754" s="3082"/>
      <c r="U3754" s="123"/>
      <c r="V3754" s="4031"/>
      <c r="W3754" s="865"/>
      <c r="X3754" s="865"/>
      <c r="Y3754" s="865"/>
      <c r="Z3754" s="865"/>
      <c r="AA3754" s="865"/>
      <c r="AB3754" s="865"/>
      <c r="AC3754" s="3054">
        <v>12</v>
      </c>
      <c r="AD3754" s="865"/>
      <c r="AE3754" s="865"/>
      <c r="AF3754" s="865"/>
      <c r="AG3754" s="865"/>
      <c r="BB3754" s="575"/>
      <c r="BC3754" s="576"/>
      <c r="BD3754" s="678"/>
      <c r="BE3754" s="585"/>
    </row>
    <row r="3755" spans="1:57" s="51" customFormat="1" ht="15" hidden="1" customHeight="1" outlineLevel="1" x14ac:dyDescent="0.25">
      <c r="A3755" s="2060"/>
      <c r="B3755" s="576"/>
      <c r="C3755" s="328"/>
      <c r="D3755" s="3990"/>
      <c r="E3755" s="4009"/>
      <c r="F3755" s="3016" t="str">
        <f t="shared" si="285"/>
        <v>ASHP-SEER19-Replace_CAC_ElectricHeat_ER1_SF</v>
      </c>
      <c r="G3755" s="2673"/>
      <c r="H3755" s="2673"/>
      <c r="I3755" s="2673"/>
      <c r="J3755" s="3301" t="str">
        <f>C1677</f>
        <v>354400_2021_12_</v>
      </c>
      <c r="K3755" s="865">
        <v>6</v>
      </c>
      <c r="L3755" s="851"/>
      <c r="M3755" s="698"/>
      <c r="N3755" s="123"/>
      <c r="O3755" s="228"/>
      <c r="P3755" s="844"/>
      <c r="Q3755" s="845"/>
      <c r="R3755" s="844"/>
      <c r="S3755" s="832"/>
      <c r="T3755" s="3082"/>
      <c r="U3755" s="123"/>
      <c r="V3755" s="4031"/>
      <c r="W3755" s="865">
        <v>6</v>
      </c>
      <c r="X3755" s="865">
        <v>6</v>
      </c>
      <c r="Y3755" s="865">
        <v>6</v>
      </c>
      <c r="Z3755" s="865">
        <v>6</v>
      </c>
      <c r="AA3755" s="865">
        <v>6</v>
      </c>
      <c r="AB3755" s="865">
        <v>6</v>
      </c>
      <c r="AC3755" s="865">
        <v>6</v>
      </c>
      <c r="AD3755" s="865"/>
      <c r="AE3755" s="865"/>
      <c r="AF3755" s="865"/>
      <c r="AG3755" s="865"/>
      <c r="AH3755" s="1942"/>
      <c r="AI3755" s="1942"/>
      <c r="AJ3755" s="1942"/>
      <c r="AK3755" s="1942"/>
      <c r="AL3755" s="1942"/>
      <c r="AM3755" s="1942"/>
      <c r="AN3755" s="1942"/>
      <c r="AO3755" s="1942"/>
      <c r="AP3755" s="1942"/>
      <c r="AQ3755" s="1942"/>
      <c r="AR3755" s="1942"/>
      <c r="AS3755" s="1942"/>
      <c r="AT3755" s="1942"/>
      <c r="AU3755" s="1942"/>
      <c r="AV3755" s="1942"/>
      <c r="AW3755" s="1942"/>
      <c r="AX3755" s="1942"/>
      <c r="AY3755" s="1942"/>
      <c r="AZ3755" s="1942"/>
      <c r="BA3755" s="1942"/>
      <c r="BB3755" s="575"/>
      <c r="BC3755" s="576"/>
      <c r="BD3755" s="678"/>
      <c r="BE3755" s="585"/>
    </row>
    <row r="3756" spans="1:57" s="51" customFormat="1" ht="15" hidden="1" customHeight="1" outlineLevel="1" x14ac:dyDescent="0.25">
      <c r="A3756" s="1267"/>
      <c r="B3756" s="576"/>
      <c r="C3756" s="328"/>
      <c r="D3756" s="3990"/>
      <c r="E3756" s="4009"/>
      <c r="F3756" s="3016" t="str">
        <f t="shared" si="285"/>
        <v>ASHP-SEER19-Replace_CAC_ElectricHeat_ER1_SF</v>
      </c>
      <c r="G3756" s="2673"/>
      <c r="H3756" s="2673"/>
      <c r="I3756" s="2673"/>
      <c r="J3756" s="3301" t="str">
        <f>C1678</f>
        <v>354400_2021_12_</v>
      </c>
      <c r="K3756" s="865">
        <v>6</v>
      </c>
      <c r="L3756" s="851"/>
      <c r="M3756" s="698"/>
      <c r="N3756" s="123"/>
      <c r="O3756" s="228"/>
      <c r="P3756" s="228"/>
      <c r="Q3756" s="228"/>
      <c r="R3756" s="228"/>
      <c r="S3756" s="123"/>
      <c r="T3756" s="123"/>
      <c r="U3756" s="123"/>
      <c r="V3756" s="4031"/>
      <c r="W3756" s="865">
        <v>6</v>
      </c>
      <c r="X3756" s="865">
        <v>6</v>
      </c>
      <c r="Y3756" s="865">
        <v>6</v>
      </c>
      <c r="Z3756" s="865">
        <v>6</v>
      </c>
      <c r="AA3756" s="865">
        <v>6</v>
      </c>
      <c r="AB3756" s="865">
        <v>6</v>
      </c>
      <c r="AC3756" s="865">
        <v>6</v>
      </c>
      <c r="AD3756" s="865"/>
      <c r="AE3756" s="865"/>
      <c r="AF3756" s="865"/>
      <c r="AG3756" s="865"/>
      <c r="AH3756" s="1942"/>
      <c r="AI3756" s="1942"/>
      <c r="AJ3756" s="1942"/>
      <c r="AK3756" s="1942"/>
      <c r="AL3756" s="1942"/>
      <c r="AM3756" s="1942"/>
      <c r="AN3756" s="1942"/>
      <c r="AO3756" s="1942"/>
      <c r="AP3756" s="1942"/>
      <c r="AQ3756" s="1942"/>
      <c r="AR3756" s="1942"/>
      <c r="AS3756" s="1942"/>
      <c r="AT3756" s="1942"/>
      <c r="AU3756" s="1942"/>
      <c r="AV3756" s="1942"/>
      <c r="AW3756" s="1942"/>
      <c r="AX3756" s="1942"/>
      <c r="AY3756" s="1942"/>
      <c r="AZ3756" s="1942"/>
      <c r="BA3756" s="1942"/>
      <c r="BB3756" s="575"/>
      <c r="BC3756" s="576"/>
      <c r="BD3756" s="678"/>
      <c r="BE3756" s="585"/>
    </row>
    <row r="3757" spans="1:57" s="51" customFormat="1" ht="15" hidden="1" customHeight="1" outlineLevel="1" x14ac:dyDescent="0.25">
      <c r="A3757" s="2060"/>
      <c r="B3757" s="576"/>
      <c r="C3757" s="328"/>
      <c r="D3757" s="3990"/>
      <c r="E3757" s="4009"/>
      <c r="F3757" s="3016" t="str">
        <f t="shared" si="285"/>
        <v>ASHP-SEER19-Replace_CAC_ElectricHeat_ER2_SF</v>
      </c>
      <c r="G3757" s="2673"/>
      <c r="H3757" s="2673"/>
      <c r="I3757" s="2673"/>
      <c r="J3757" s="3301" t="str">
        <f>C1679</f>
        <v>354400_2021_12_</v>
      </c>
      <c r="K3757" s="865">
        <v>12</v>
      </c>
      <c r="L3757" s="851"/>
      <c r="M3757" s="858"/>
      <c r="N3757" s="123"/>
      <c r="O3757" s="228"/>
      <c r="P3757" s="844"/>
      <c r="Q3757" s="845"/>
      <c r="R3757" s="844"/>
      <c r="S3757" s="832"/>
      <c r="T3757" s="3082"/>
      <c r="U3757" s="123"/>
      <c r="V3757" s="4031"/>
      <c r="W3757" s="865">
        <v>12</v>
      </c>
      <c r="X3757" s="865">
        <v>12</v>
      </c>
      <c r="Y3757" s="865">
        <v>12</v>
      </c>
      <c r="Z3757" s="865">
        <v>12</v>
      </c>
      <c r="AA3757" s="865">
        <v>12</v>
      </c>
      <c r="AB3757" s="865">
        <v>12</v>
      </c>
      <c r="AC3757" s="865">
        <v>12</v>
      </c>
      <c r="AD3757" s="865"/>
      <c r="AE3757" s="865"/>
      <c r="AF3757" s="865"/>
      <c r="AG3757" s="865"/>
      <c r="AH3757" s="1942"/>
      <c r="AI3757" s="1942"/>
      <c r="AJ3757" s="1942"/>
      <c r="AK3757" s="1942"/>
      <c r="AL3757" s="1942"/>
      <c r="AM3757" s="1942"/>
      <c r="AN3757" s="1942"/>
      <c r="AO3757" s="1942"/>
      <c r="AP3757" s="1942"/>
      <c r="AQ3757" s="1942"/>
      <c r="AR3757" s="1942"/>
      <c r="AS3757" s="1942"/>
      <c r="AT3757" s="1942"/>
      <c r="AU3757" s="1942"/>
      <c r="AV3757" s="1942"/>
      <c r="AW3757" s="1942"/>
      <c r="AX3757" s="1942"/>
      <c r="AY3757" s="1942"/>
      <c r="AZ3757" s="1942"/>
      <c r="BA3757" s="1942"/>
      <c r="BB3757" s="575"/>
      <c r="BC3757" s="576"/>
      <c r="BD3757" s="678"/>
      <c r="BE3757" s="585"/>
    </row>
    <row r="3758" spans="1:57" s="51" customFormat="1" ht="15" hidden="1" customHeight="1" outlineLevel="1" x14ac:dyDescent="0.25">
      <c r="A3758" s="1267"/>
      <c r="B3758" s="576"/>
      <c r="C3758" s="328"/>
      <c r="D3758" s="3990"/>
      <c r="E3758" s="4009"/>
      <c r="F3758" s="3016" t="str">
        <f t="shared" si="285"/>
        <v>ASHP-SEER19-Replace_CAC_ElectricHeat_ER2_SF</v>
      </c>
      <c r="G3758" s="2673"/>
      <c r="H3758" s="2673"/>
      <c r="I3758" s="2673"/>
      <c r="J3758" s="3301" t="str">
        <f>C1680</f>
        <v>354400_2021_12_</v>
      </c>
      <c r="K3758" s="865">
        <v>12</v>
      </c>
      <c r="L3758" s="851"/>
      <c r="M3758" s="858"/>
      <c r="N3758" s="123"/>
      <c r="O3758" s="228"/>
      <c r="P3758" s="228"/>
      <c r="Q3758" s="228"/>
      <c r="R3758" s="228"/>
      <c r="S3758" s="123"/>
      <c r="T3758" s="123"/>
      <c r="U3758" s="123"/>
      <c r="V3758" s="4031"/>
      <c r="W3758" s="865">
        <v>12</v>
      </c>
      <c r="X3758" s="865">
        <v>12</v>
      </c>
      <c r="Y3758" s="865">
        <v>12</v>
      </c>
      <c r="Z3758" s="865">
        <v>12</v>
      </c>
      <c r="AA3758" s="865">
        <v>12</v>
      </c>
      <c r="AB3758" s="865">
        <v>12</v>
      </c>
      <c r="AC3758" s="865">
        <v>12</v>
      </c>
      <c r="AD3758" s="865"/>
      <c r="AE3758" s="865"/>
      <c r="AF3758" s="865"/>
      <c r="AG3758" s="865"/>
      <c r="AH3758" s="1942"/>
      <c r="AI3758" s="1942"/>
      <c r="AJ3758" s="1942"/>
      <c r="AK3758" s="1942"/>
      <c r="AL3758" s="1942"/>
      <c r="AM3758" s="1942"/>
      <c r="AN3758" s="1942"/>
      <c r="AO3758" s="1942"/>
      <c r="AP3758" s="1942"/>
      <c r="AQ3758" s="1942"/>
      <c r="AR3758" s="1942"/>
      <c r="AS3758" s="1942"/>
      <c r="AT3758" s="1942"/>
      <c r="AU3758" s="1942"/>
      <c r="AV3758" s="1942"/>
      <c r="AW3758" s="1942"/>
      <c r="AX3758" s="1942"/>
      <c r="AY3758" s="1942"/>
      <c r="AZ3758" s="1942"/>
      <c r="BA3758" s="1942"/>
      <c r="BB3758" s="575"/>
      <c r="BC3758" s="576"/>
      <c r="BD3758" s="678"/>
      <c r="BE3758" s="585"/>
    </row>
    <row r="3759" spans="1:57" s="1942" customFormat="1" ht="15" hidden="1" customHeight="1" outlineLevel="1" x14ac:dyDescent="0.25">
      <c r="A3759" s="1267"/>
      <c r="B3759" s="576"/>
      <c r="C3759" s="328"/>
      <c r="D3759" s="3990"/>
      <c r="E3759" s="4009"/>
      <c r="F3759" s="3016" t="str">
        <f t="shared" si="285"/>
        <v>ASHP-SEER19-Replace_CAC_NonElectricHeat_ER1_SF</v>
      </c>
      <c r="G3759" s="2673"/>
      <c r="H3759" s="2673"/>
      <c r="I3759" s="2673"/>
      <c r="J3759" s="3301" t="str">
        <f t="shared" ref="J3759:J3762" si="287">C1681</f>
        <v>354410_2021_12_</v>
      </c>
      <c r="K3759" s="3054">
        <v>6</v>
      </c>
      <c r="L3759" s="851"/>
      <c r="M3759" s="858"/>
      <c r="N3759" s="123"/>
      <c r="O3759" s="228"/>
      <c r="P3759" s="228"/>
      <c r="Q3759" s="228"/>
      <c r="R3759" s="228"/>
      <c r="S3759" s="123"/>
      <c r="T3759" s="123"/>
      <c r="U3759" s="123"/>
      <c r="V3759" s="4031"/>
      <c r="W3759" s="865"/>
      <c r="X3759" s="865"/>
      <c r="Y3759" s="865"/>
      <c r="Z3759" s="865"/>
      <c r="AA3759" s="865"/>
      <c r="AB3759" s="865"/>
      <c r="AC3759" s="3054">
        <v>6</v>
      </c>
      <c r="AD3759" s="865"/>
      <c r="AE3759" s="865"/>
      <c r="AF3759" s="865"/>
      <c r="AG3759" s="865"/>
      <c r="BB3759" s="575"/>
      <c r="BC3759" s="576"/>
      <c r="BD3759" s="678"/>
      <c r="BE3759" s="585"/>
    </row>
    <row r="3760" spans="1:57" s="1942" customFormat="1" ht="15" hidden="1" customHeight="1" outlineLevel="1" x14ac:dyDescent="0.25">
      <c r="A3760" s="1267"/>
      <c r="B3760" s="576"/>
      <c r="C3760" s="328"/>
      <c r="D3760" s="3990"/>
      <c r="E3760" s="4009"/>
      <c r="F3760" s="3016" t="str">
        <f t="shared" si="285"/>
        <v>ASHP-SEER19-Replace_CAC_NonElectricHeat_ER1_SF</v>
      </c>
      <c r="G3760" s="2673"/>
      <c r="H3760" s="2673"/>
      <c r="I3760" s="2673"/>
      <c r="J3760" s="3301" t="str">
        <f t="shared" si="287"/>
        <v>354410_2021_12_</v>
      </c>
      <c r="K3760" s="3054">
        <v>6</v>
      </c>
      <c r="L3760" s="851"/>
      <c r="M3760" s="858"/>
      <c r="N3760" s="123"/>
      <c r="O3760" s="228"/>
      <c r="P3760" s="228"/>
      <c r="Q3760" s="228"/>
      <c r="R3760" s="228"/>
      <c r="S3760" s="123"/>
      <c r="T3760" s="123"/>
      <c r="U3760" s="123"/>
      <c r="V3760" s="4031"/>
      <c r="W3760" s="865"/>
      <c r="X3760" s="865"/>
      <c r="Y3760" s="865"/>
      <c r="Z3760" s="865"/>
      <c r="AA3760" s="865"/>
      <c r="AB3760" s="865"/>
      <c r="AC3760" s="3054">
        <v>6</v>
      </c>
      <c r="AD3760" s="865"/>
      <c r="AE3760" s="865"/>
      <c r="AF3760" s="865"/>
      <c r="AG3760" s="865"/>
      <c r="BB3760" s="575"/>
      <c r="BC3760" s="576"/>
      <c r="BD3760" s="678"/>
      <c r="BE3760" s="585"/>
    </row>
    <row r="3761" spans="1:57" s="1942" customFormat="1" ht="15" hidden="1" customHeight="1" outlineLevel="1" x14ac:dyDescent="0.25">
      <c r="A3761" s="1267"/>
      <c r="B3761" s="576"/>
      <c r="C3761" s="328"/>
      <c r="D3761" s="3990"/>
      <c r="E3761" s="4009"/>
      <c r="F3761" s="3016" t="str">
        <f t="shared" si="285"/>
        <v>ASHP-SEER19-Replace_CAC_NonElectricHeat_ER2_SF</v>
      </c>
      <c r="G3761" s="2673"/>
      <c r="H3761" s="2673"/>
      <c r="I3761" s="2673"/>
      <c r="J3761" s="3301" t="str">
        <f t="shared" si="287"/>
        <v>354410_2021_12_</v>
      </c>
      <c r="K3761" s="3054">
        <v>12</v>
      </c>
      <c r="L3761" s="851"/>
      <c r="M3761" s="858"/>
      <c r="N3761" s="123"/>
      <c r="O3761" s="228"/>
      <c r="P3761" s="228"/>
      <c r="Q3761" s="228"/>
      <c r="R3761" s="228"/>
      <c r="S3761" s="123"/>
      <c r="T3761" s="123"/>
      <c r="U3761" s="123"/>
      <c r="V3761" s="4031"/>
      <c r="W3761" s="865"/>
      <c r="X3761" s="865"/>
      <c r="Y3761" s="865"/>
      <c r="Z3761" s="865"/>
      <c r="AA3761" s="865"/>
      <c r="AB3761" s="865"/>
      <c r="AC3761" s="3054">
        <v>12</v>
      </c>
      <c r="AD3761" s="865"/>
      <c r="AE3761" s="865"/>
      <c r="AF3761" s="865"/>
      <c r="AG3761" s="865"/>
      <c r="BB3761" s="575"/>
      <c r="BC3761" s="576"/>
      <c r="BD3761" s="678"/>
      <c r="BE3761" s="585"/>
    </row>
    <row r="3762" spans="1:57" s="1942" customFormat="1" ht="15" hidden="1" customHeight="1" outlineLevel="1" x14ac:dyDescent="0.25">
      <c r="A3762" s="1267"/>
      <c r="B3762" s="576"/>
      <c r="C3762" s="328"/>
      <c r="D3762" s="3990"/>
      <c r="E3762" s="4009"/>
      <c r="F3762" s="3016" t="str">
        <f t="shared" si="285"/>
        <v>ASHP-SEER19-Replace_CAC_NonElectricHeat_ER2_SF</v>
      </c>
      <c r="G3762" s="2673"/>
      <c r="H3762" s="2673"/>
      <c r="I3762" s="2673"/>
      <c r="J3762" s="3301" t="str">
        <f t="shared" si="287"/>
        <v>354410_2021_12_</v>
      </c>
      <c r="K3762" s="3054">
        <v>12</v>
      </c>
      <c r="L3762" s="851"/>
      <c r="M3762" s="858"/>
      <c r="N3762" s="123"/>
      <c r="O3762" s="228"/>
      <c r="P3762" s="228"/>
      <c r="Q3762" s="228"/>
      <c r="R3762" s="228"/>
      <c r="S3762" s="123"/>
      <c r="T3762" s="123"/>
      <c r="U3762" s="123"/>
      <c r="V3762" s="4031"/>
      <c r="W3762" s="865"/>
      <c r="X3762" s="865"/>
      <c r="Y3762" s="865"/>
      <c r="Z3762" s="865"/>
      <c r="AA3762" s="865"/>
      <c r="AB3762" s="865"/>
      <c r="AC3762" s="3054">
        <v>12</v>
      </c>
      <c r="AD3762" s="865"/>
      <c r="AE3762" s="865"/>
      <c r="AF3762" s="865"/>
      <c r="AG3762" s="865"/>
      <c r="BB3762" s="575"/>
      <c r="BC3762" s="576"/>
      <c r="BD3762" s="678"/>
      <c r="BE3762" s="585"/>
    </row>
    <row r="3763" spans="1:57" s="51" customFormat="1" ht="15" hidden="1" customHeight="1" outlineLevel="1" x14ac:dyDescent="0.25">
      <c r="A3763" s="2060"/>
      <c r="B3763" s="576"/>
      <c r="C3763" s="328"/>
      <c r="D3763" s="3990"/>
      <c r="E3763" s="4009"/>
      <c r="F3763" s="3016" t="str">
        <f t="shared" si="285"/>
        <v>ASHP-SEER19-Replace_CAC_ElectricHeat_ER1_MF</v>
      </c>
      <c r="G3763" s="2673"/>
      <c r="H3763" s="2673"/>
      <c r="I3763" s="2673"/>
      <c r="J3763" s="3302" t="str">
        <f>C1685</f>
        <v>354450_2019_12_</v>
      </c>
      <c r="K3763" s="865">
        <v>6</v>
      </c>
      <c r="L3763" s="851"/>
      <c r="M3763" s="858"/>
      <c r="N3763" s="123"/>
      <c r="O3763" s="228"/>
      <c r="P3763" s="844"/>
      <c r="Q3763" s="845"/>
      <c r="R3763" s="844"/>
      <c r="S3763" s="832"/>
      <c r="T3763" s="3082"/>
      <c r="U3763" s="123"/>
      <c r="V3763" s="4031"/>
      <c r="W3763" s="865">
        <v>6</v>
      </c>
      <c r="X3763" s="865">
        <v>6</v>
      </c>
      <c r="Y3763" s="865">
        <v>6</v>
      </c>
      <c r="Z3763" s="865">
        <v>6</v>
      </c>
      <c r="AA3763" s="865">
        <v>6</v>
      </c>
      <c r="AB3763" s="865">
        <v>6</v>
      </c>
      <c r="AC3763" s="865">
        <v>6</v>
      </c>
      <c r="AD3763" s="865"/>
      <c r="AE3763" s="865"/>
      <c r="AF3763" s="865"/>
      <c r="AG3763" s="865"/>
      <c r="AH3763" s="1942"/>
      <c r="AI3763" s="1942"/>
      <c r="AJ3763" s="1942"/>
      <c r="AK3763" s="1942"/>
      <c r="AL3763" s="1942"/>
      <c r="AM3763" s="1942"/>
      <c r="AN3763" s="1942"/>
      <c r="AO3763" s="1942"/>
      <c r="AP3763" s="1942"/>
      <c r="AQ3763" s="1942"/>
      <c r="AR3763" s="1942"/>
      <c r="AS3763" s="1942"/>
      <c r="AT3763" s="1942"/>
      <c r="AU3763" s="1942"/>
      <c r="AV3763" s="1942"/>
      <c r="AW3763" s="1942"/>
      <c r="AX3763" s="1942"/>
      <c r="AY3763" s="1942"/>
      <c r="AZ3763" s="1942"/>
      <c r="BA3763" s="1942"/>
      <c r="BB3763" s="575"/>
      <c r="BC3763" s="576"/>
      <c r="BD3763" s="678"/>
      <c r="BE3763" s="585"/>
    </row>
    <row r="3764" spans="1:57" s="51" customFormat="1" ht="15" hidden="1" customHeight="1" outlineLevel="1" x14ac:dyDescent="0.25">
      <c r="A3764" s="1267"/>
      <c r="B3764" s="576"/>
      <c r="C3764" s="328"/>
      <c r="D3764" s="3990"/>
      <c r="E3764" s="4009"/>
      <c r="F3764" s="3016" t="str">
        <f t="shared" si="285"/>
        <v>ASHP-SEER19-Replace_CAC_ElectricHeat_ER1_MF</v>
      </c>
      <c r="G3764" s="2673"/>
      <c r="H3764" s="2673"/>
      <c r="I3764" s="2673"/>
      <c r="J3764" s="3302" t="str">
        <f>C1686</f>
        <v>354450_2019_12_</v>
      </c>
      <c r="K3764" s="865">
        <v>6</v>
      </c>
      <c r="L3764" s="851"/>
      <c r="M3764" s="858"/>
      <c r="N3764" s="123"/>
      <c r="O3764" s="228"/>
      <c r="P3764" s="228"/>
      <c r="Q3764" s="228"/>
      <c r="R3764" s="228"/>
      <c r="S3764" s="123"/>
      <c r="T3764" s="123"/>
      <c r="U3764" s="123"/>
      <c r="V3764" s="4031"/>
      <c r="W3764" s="865">
        <v>6</v>
      </c>
      <c r="X3764" s="865">
        <v>6</v>
      </c>
      <c r="Y3764" s="865">
        <v>6</v>
      </c>
      <c r="Z3764" s="865">
        <v>6</v>
      </c>
      <c r="AA3764" s="865">
        <v>6</v>
      </c>
      <c r="AB3764" s="865">
        <v>6</v>
      </c>
      <c r="AC3764" s="865">
        <v>6</v>
      </c>
      <c r="AD3764" s="865"/>
      <c r="AE3764" s="865"/>
      <c r="AF3764" s="865"/>
      <c r="AG3764" s="865"/>
      <c r="AH3764" s="1942"/>
      <c r="AI3764" s="1942"/>
      <c r="AJ3764" s="1942"/>
      <c r="AK3764" s="1942"/>
      <c r="AL3764" s="1942"/>
      <c r="AM3764" s="1942"/>
      <c r="AN3764" s="1942"/>
      <c r="AO3764" s="1942"/>
      <c r="AP3764" s="1942"/>
      <c r="AQ3764" s="1942"/>
      <c r="AR3764" s="1942"/>
      <c r="AS3764" s="1942"/>
      <c r="AT3764" s="1942"/>
      <c r="AU3764" s="1942"/>
      <c r="AV3764" s="1942"/>
      <c r="AW3764" s="1942"/>
      <c r="AX3764" s="1942"/>
      <c r="AY3764" s="1942"/>
      <c r="AZ3764" s="1942"/>
      <c r="BA3764" s="1942"/>
      <c r="BB3764" s="575"/>
      <c r="BC3764" s="576"/>
      <c r="BD3764" s="678"/>
      <c r="BE3764" s="585"/>
    </row>
    <row r="3765" spans="1:57" s="51" customFormat="1" ht="15" hidden="1" customHeight="1" outlineLevel="1" x14ac:dyDescent="0.25">
      <c r="A3765" s="1267"/>
      <c r="B3765" s="576"/>
      <c r="C3765" s="328"/>
      <c r="D3765" s="3990"/>
      <c r="E3765" s="4009"/>
      <c r="F3765" s="3016" t="str">
        <f t="shared" si="285"/>
        <v>ASHP-SEER19-Replace_CAC_ElectricHeat_ER2_MF</v>
      </c>
      <c r="G3765" s="2673"/>
      <c r="H3765" s="2673"/>
      <c r="I3765" s="2673"/>
      <c r="J3765" s="3302" t="str">
        <f>C1687</f>
        <v>354450_2019_12_</v>
      </c>
      <c r="K3765" s="865">
        <v>12</v>
      </c>
      <c r="L3765" s="851"/>
      <c r="M3765" s="858"/>
      <c r="N3765" s="123"/>
      <c r="O3765" s="228"/>
      <c r="P3765" s="228"/>
      <c r="Q3765" s="228"/>
      <c r="R3765" s="228"/>
      <c r="S3765" s="123"/>
      <c r="T3765" s="123"/>
      <c r="U3765" s="123"/>
      <c r="V3765" s="4031"/>
      <c r="W3765" s="865">
        <v>12</v>
      </c>
      <c r="X3765" s="865">
        <v>12</v>
      </c>
      <c r="Y3765" s="865">
        <v>12</v>
      </c>
      <c r="Z3765" s="865">
        <v>12</v>
      </c>
      <c r="AA3765" s="865">
        <v>12</v>
      </c>
      <c r="AB3765" s="865">
        <v>12</v>
      </c>
      <c r="AC3765" s="865">
        <v>12</v>
      </c>
      <c r="AD3765" s="865"/>
      <c r="AE3765" s="865"/>
      <c r="AF3765" s="865"/>
      <c r="AG3765" s="865"/>
      <c r="AH3765" s="1942"/>
      <c r="AI3765" s="1942"/>
      <c r="AJ3765" s="1942"/>
      <c r="AK3765" s="1942"/>
      <c r="AL3765" s="1942"/>
      <c r="AM3765" s="1942"/>
      <c r="AN3765" s="1942"/>
      <c r="AO3765" s="1942"/>
      <c r="AP3765" s="1942"/>
      <c r="AQ3765" s="1942"/>
      <c r="AR3765" s="1942"/>
      <c r="AS3765" s="1942"/>
      <c r="AT3765" s="1942"/>
      <c r="AU3765" s="1942"/>
      <c r="AV3765" s="1942"/>
      <c r="AW3765" s="1942"/>
      <c r="AX3765" s="1942"/>
      <c r="AY3765" s="1942"/>
      <c r="AZ3765" s="1942"/>
      <c r="BA3765" s="1942"/>
      <c r="BB3765" s="575"/>
      <c r="BC3765" s="576"/>
      <c r="BD3765" s="678"/>
      <c r="BE3765" s="585"/>
    </row>
    <row r="3766" spans="1:57" s="51" customFormat="1" ht="15" hidden="1" customHeight="1" outlineLevel="1" x14ac:dyDescent="0.25">
      <c r="A3766" s="2060"/>
      <c r="B3766" s="576"/>
      <c r="C3766" s="328"/>
      <c r="D3766" s="3990"/>
      <c r="E3766" s="4009"/>
      <c r="F3766" s="3016" t="str">
        <f t="shared" si="285"/>
        <v>ASHP-SEER19-Replace_CAC_ElectricHeat_ER2_MF</v>
      </c>
      <c r="G3766" s="2673"/>
      <c r="H3766" s="2673"/>
      <c r="I3766" s="2673"/>
      <c r="J3766" s="3302" t="str">
        <f>C1688</f>
        <v>354450_2019_12_</v>
      </c>
      <c r="K3766" s="865">
        <v>12</v>
      </c>
      <c r="L3766" s="851"/>
      <c r="M3766" s="858"/>
      <c r="N3766" s="123"/>
      <c r="O3766" s="228"/>
      <c r="P3766" s="844"/>
      <c r="Q3766" s="845"/>
      <c r="R3766" s="844"/>
      <c r="S3766" s="832"/>
      <c r="T3766" s="3082"/>
      <c r="U3766" s="123"/>
      <c r="V3766" s="4031"/>
      <c r="W3766" s="865">
        <v>12</v>
      </c>
      <c r="X3766" s="865">
        <v>12</v>
      </c>
      <c r="Y3766" s="865">
        <v>12</v>
      </c>
      <c r="Z3766" s="865">
        <v>12</v>
      </c>
      <c r="AA3766" s="865">
        <v>12</v>
      </c>
      <c r="AB3766" s="865">
        <v>12</v>
      </c>
      <c r="AC3766" s="865">
        <v>12</v>
      </c>
      <c r="AD3766" s="865"/>
      <c r="AE3766" s="865"/>
      <c r="AF3766" s="865"/>
      <c r="AG3766" s="865"/>
      <c r="AH3766" s="1942"/>
      <c r="AI3766" s="1942"/>
      <c r="AJ3766" s="1942"/>
      <c r="AK3766" s="1942"/>
      <c r="AL3766" s="1942"/>
      <c r="AM3766" s="1942"/>
      <c r="AN3766" s="1942"/>
      <c r="AO3766" s="1942"/>
      <c r="AP3766" s="1942"/>
      <c r="AQ3766" s="1942"/>
      <c r="AR3766" s="1942"/>
      <c r="AS3766" s="1942"/>
      <c r="AT3766" s="1942"/>
      <c r="AU3766" s="1942"/>
      <c r="AV3766" s="1942"/>
      <c r="AW3766" s="1942"/>
      <c r="AX3766" s="1942"/>
      <c r="AY3766" s="1942"/>
      <c r="AZ3766" s="1942"/>
      <c r="BA3766" s="1942"/>
      <c r="BB3766" s="575"/>
      <c r="BC3766" s="576"/>
      <c r="BD3766" s="678"/>
      <c r="BE3766" s="585"/>
    </row>
    <row r="3767" spans="1:57" s="1942" customFormat="1" ht="15" hidden="1" customHeight="1" outlineLevel="1" x14ac:dyDescent="0.25">
      <c r="A3767" s="2060"/>
      <c r="B3767" s="576"/>
      <c r="C3767" s="328"/>
      <c r="D3767" s="3990"/>
      <c r="E3767" s="4009"/>
      <c r="F3767" s="3016" t="str">
        <f t="shared" si="285"/>
        <v>ASHP-SEER19-Replace_CAC_ElectricHeat_ER1_MF_CompE</v>
      </c>
      <c r="G3767" s="2673"/>
      <c r="H3767" s="2673"/>
      <c r="I3767" s="2673"/>
      <c r="J3767" s="3302" t="str">
        <f t="shared" ref="J3767:J3778" si="288">C1689</f>
        <v>354451_2019_12_</v>
      </c>
      <c r="K3767" s="3054">
        <v>6</v>
      </c>
      <c r="L3767" s="851"/>
      <c r="M3767" s="858"/>
      <c r="N3767" s="123"/>
      <c r="O3767" s="228"/>
      <c r="P3767" s="844"/>
      <c r="Q3767" s="845"/>
      <c r="R3767" s="844"/>
      <c r="S3767" s="832"/>
      <c r="T3767" s="3082"/>
      <c r="U3767" s="123"/>
      <c r="V3767" s="4031"/>
      <c r="W3767" s="865"/>
      <c r="X3767" s="865"/>
      <c r="Y3767" s="865"/>
      <c r="Z3767" s="865"/>
      <c r="AA3767" s="865"/>
      <c r="AB3767" s="865"/>
      <c r="AC3767" s="3054">
        <v>6</v>
      </c>
      <c r="AD3767" s="865"/>
      <c r="AE3767" s="865"/>
      <c r="AF3767" s="865"/>
      <c r="AG3767" s="865"/>
      <c r="BB3767" s="575"/>
      <c r="BC3767" s="576"/>
      <c r="BD3767" s="678"/>
      <c r="BE3767" s="585"/>
    </row>
    <row r="3768" spans="1:57" s="1942" customFormat="1" ht="15" hidden="1" customHeight="1" outlineLevel="1" x14ac:dyDescent="0.25">
      <c r="A3768" s="2060"/>
      <c r="B3768" s="576"/>
      <c r="C3768" s="328"/>
      <c r="D3768" s="3990"/>
      <c r="E3768" s="4009"/>
      <c r="F3768" s="3016" t="str">
        <f t="shared" si="285"/>
        <v>ASHP-SEER19-Replace_CAC_ElectricHeat_ER1_MF_CompE</v>
      </c>
      <c r="G3768" s="2673"/>
      <c r="H3768" s="2673"/>
      <c r="I3768" s="2673"/>
      <c r="J3768" s="3302" t="str">
        <f t="shared" si="288"/>
        <v>354451_2019_12_</v>
      </c>
      <c r="K3768" s="3054">
        <v>6</v>
      </c>
      <c r="L3768" s="851"/>
      <c r="M3768" s="858"/>
      <c r="N3768" s="123"/>
      <c r="O3768" s="228"/>
      <c r="P3768" s="844"/>
      <c r="Q3768" s="845"/>
      <c r="R3768" s="844"/>
      <c r="S3768" s="832"/>
      <c r="T3768" s="3082"/>
      <c r="U3768" s="123"/>
      <c r="V3768" s="4031"/>
      <c r="W3768" s="865"/>
      <c r="X3768" s="865"/>
      <c r="Y3768" s="865"/>
      <c r="Z3768" s="865"/>
      <c r="AA3768" s="865"/>
      <c r="AB3768" s="865"/>
      <c r="AC3768" s="3054">
        <v>6</v>
      </c>
      <c r="AD3768" s="865"/>
      <c r="AE3768" s="865"/>
      <c r="AF3768" s="865"/>
      <c r="AG3768" s="865"/>
      <c r="BB3768" s="575"/>
      <c r="BC3768" s="576"/>
      <c r="BD3768" s="678"/>
      <c r="BE3768" s="585"/>
    </row>
    <row r="3769" spans="1:57" s="1942" customFormat="1" ht="15" hidden="1" customHeight="1" outlineLevel="1" x14ac:dyDescent="0.25">
      <c r="A3769" s="2060"/>
      <c r="B3769" s="576"/>
      <c r="C3769" s="328"/>
      <c r="D3769" s="3990"/>
      <c r="E3769" s="4009"/>
      <c r="F3769" s="3016" t="str">
        <f t="shared" si="285"/>
        <v>ASHP-SEER19-Replace_CAC_ElectricHeat_ER2_MF_CompE</v>
      </c>
      <c r="G3769" s="2673"/>
      <c r="H3769" s="2673"/>
      <c r="I3769" s="2673"/>
      <c r="J3769" s="3302" t="str">
        <f t="shared" si="288"/>
        <v>354451_2019_12_</v>
      </c>
      <c r="K3769" s="3054">
        <v>12</v>
      </c>
      <c r="L3769" s="851"/>
      <c r="M3769" s="858"/>
      <c r="N3769" s="123"/>
      <c r="O3769" s="228"/>
      <c r="P3769" s="844"/>
      <c r="Q3769" s="845"/>
      <c r="R3769" s="844"/>
      <c r="S3769" s="832"/>
      <c r="T3769" s="3082"/>
      <c r="U3769" s="123"/>
      <c r="V3769" s="4031"/>
      <c r="W3769" s="865"/>
      <c r="X3769" s="865"/>
      <c r="Y3769" s="865"/>
      <c r="Z3769" s="865"/>
      <c r="AA3769" s="865"/>
      <c r="AB3769" s="865"/>
      <c r="AC3769" s="3054">
        <v>12</v>
      </c>
      <c r="AD3769" s="865"/>
      <c r="AE3769" s="865"/>
      <c r="AF3769" s="865"/>
      <c r="AG3769" s="865"/>
      <c r="BB3769" s="575"/>
      <c r="BC3769" s="576"/>
      <c r="BD3769" s="678"/>
      <c r="BE3769" s="585"/>
    </row>
    <row r="3770" spans="1:57" s="1942" customFormat="1" ht="15" hidden="1" customHeight="1" outlineLevel="1" x14ac:dyDescent="0.25">
      <c r="A3770" s="2060"/>
      <c r="B3770" s="576"/>
      <c r="C3770" s="328"/>
      <c r="D3770" s="3990"/>
      <c r="E3770" s="4009"/>
      <c r="F3770" s="3016" t="str">
        <f t="shared" si="285"/>
        <v>ASHP-SEER19-Replace_CAC_ElectricHeat_ER2_MF_CompE</v>
      </c>
      <c r="G3770" s="2673"/>
      <c r="H3770" s="2673"/>
      <c r="I3770" s="2673"/>
      <c r="J3770" s="3302" t="str">
        <f t="shared" si="288"/>
        <v>354451_2019_12_</v>
      </c>
      <c r="K3770" s="3054">
        <v>12</v>
      </c>
      <c r="L3770" s="851"/>
      <c r="M3770" s="858"/>
      <c r="N3770" s="123"/>
      <c r="O3770" s="228"/>
      <c r="P3770" s="844"/>
      <c r="Q3770" s="845"/>
      <c r="R3770" s="844"/>
      <c r="S3770" s="832"/>
      <c r="T3770" s="3082"/>
      <c r="U3770" s="123"/>
      <c r="V3770" s="4031"/>
      <c r="W3770" s="865"/>
      <c r="X3770" s="865"/>
      <c r="Y3770" s="865"/>
      <c r="Z3770" s="865"/>
      <c r="AA3770" s="865"/>
      <c r="AB3770" s="865"/>
      <c r="AC3770" s="3054">
        <v>12</v>
      </c>
      <c r="AD3770" s="865"/>
      <c r="AE3770" s="865"/>
      <c r="AF3770" s="865"/>
      <c r="AG3770" s="865"/>
      <c r="BB3770" s="575"/>
      <c r="BC3770" s="576"/>
      <c r="BD3770" s="678"/>
      <c r="BE3770" s="585"/>
    </row>
    <row r="3771" spans="1:57" s="1942" customFormat="1" ht="15" hidden="1" customHeight="1" outlineLevel="1" x14ac:dyDescent="0.25">
      <c r="A3771" s="2060"/>
      <c r="B3771" s="576"/>
      <c r="C3771" s="328"/>
      <c r="D3771" s="3990"/>
      <c r="E3771" s="4009"/>
      <c r="F3771" s="3016" t="str">
        <f t="shared" si="285"/>
        <v>ASHP-SEER19-Replace_CAC_NonElectricHeat_ER1_MF</v>
      </c>
      <c r="G3771" s="2673"/>
      <c r="H3771" s="2673"/>
      <c r="I3771" s="2673"/>
      <c r="J3771" s="3301" t="str">
        <f t="shared" si="288"/>
        <v>354460_2021_12_</v>
      </c>
      <c r="K3771" s="3054">
        <v>6</v>
      </c>
      <c r="L3771" s="851"/>
      <c r="M3771" s="858"/>
      <c r="N3771" s="123"/>
      <c r="O3771" s="228"/>
      <c r="P3771" s="844"/>
      <c r="Q3771" s="845"/>
      <c r="R3771" s="844"/>
      <c r="S3771" s="832"/>
      <c r="T3771" s="3082"/>
      <c r="U3771" s="123"/>
      <c r="V3771" s="4031"/>
      <c r="W3771" s="865"/>
      <c r="X3771" s="865"/>
      <c r="Y3771" s="865"/>
      <c r="Z3771" s="865"/>
      <c r="AA3771" s="865"/>
      <c r="AB3771" s="865"/>
      <c r="AC3771" s="3054">
        <v>6</v>
      </c>
      <c r="AD3771" s="865"/>
      <c r="AE3771" s="865"/>
      <c r="AF3771" s="865"/>
      <c r="AG3771" s="865"/>
      <c r="BB3771" s="575"/>
      <c r="BC3771" s="576"/>
      <c r="BD3771" s="678"/>
      <c r="BE3771" s="585"/>
    </row>
    <row r="3772" spans="1:57" s="1942" customFormat="1" ht="15" hidden="1" customHeight="1" outlineLevel="1" x14ac:dyDescent="0.25">
      <c r="A3772" s="2060"/>
      <c r="B3772" s="576"/>
      <c r="C3772" s="328"/>
      <c r="D3772" s="3990"/>
      <c r="E3772" s="4009"/>
      <c r="F3772" s="3016" t="str">
        <f t="shared" si="285"/>
        <v>ASHP-SEER19-Replace_CAC_NonElectricHeat_ER1_MF</v>
      </c>
      <c r="G3772" s="2673"/>
      <c r="H3772" s="2673"/>
      <c r="I3772" s="2673"/>
      <c r="J3772" s="3301" t="str">
        <f t="shared" si="288"/>
        <v>354460_2021_12_</v>
      </c>
      <c r="K3772" s="3054">
        <v>6</v>
      </c>
      <c r="L3772" s="851"/>
      <c r="M3772" s="858"/>
      <c r="N3772" s="123"/>
      <c r="O3772" s="228"/>
      <c r="P3772" s="844"/>
      <c r="Q3772" s="845"/>
      <c r="R3772" s="844"/>
      <c r="S3772" s="832"/>
      <c r="T3772" s="3082"/>
      <c r="U3772" s="123"/>
      <c r="V3772" s="4031"/>
      <c r="W3772" s="865"/>
      <c r="X3772" s="865"/>
      <c r="Y3772" s="865"/>
      <c r="Z3772" s="865"/>
      <c r="AA3772" s="865"/>
      <c r="AB3772" s="865"/>
      <c r="AC3772" s="3054">
        <v>6</v>
      </c>
      <c r="AD3772" s="865"/>
      <c r="AE3772" s="865"/>
      <c r="AF3772" s="865"/>
      <c r="AG3772" s="865"/>
      <c r="BB3772" s="575"/>
      <c r="BC3772" s="576"/>
      <c r="BD3772" s="678"/>
      <c r="BE3772" s="585"/>
    </row>
    <row r="3773" spans="1:57" s="1942" customFormat="1" ht="15" hidden="1" customHeight="1" outlineLevel="1" x14ac:dyDescent="0.25">
      <c r="A3773" s="2060"/>
      <c r="B3773" s="576"/>
      <c r="C3773" s="328"/>
      <c r="D3773" s="3990"/>
      <c r="E3773" s="4009"/>
      <c r="F3773" s="3016" t="str">
        <f t="shared" si="285"/>
        <v>ASHP-SEER19-Replace_CAC_NonElectricHeat_ER2_MF</v>
      </c>
      <c r="G3773" s="2673"/>
      <c r="H3773" s="2673"/>
      <c r="I3773" s="2673"/>
      <c r="J3773" s="3301" t="str">
        <f t="shared" si="288"/>
        <v>354460_2021_12_</v>
      </c>
      <c r="K3773" s="3054">
        <v>12</v>
      </c>
      <c r="L3773" s="851"/>
      <c r="M3773" s="858"/>
      <c r="N3773" s="123"/>
      <c r="O3773" s="228"/>
      <c r="P3773" s="844"/>
      <c r="Q3773" s="845"/>
      <c r="R3773" s="844"/>
      <c r="S3773" s="832"/>
      <c r="T3773" s="3082"/>
      <c r="U3773" s="123"/>
      <c r="V3773" s="4031"/>
      <c r="W3773" s="865"/>
      <c r="X3773" s="865"/>
      <c r="Y3773" s="865"/>
      <c r="Z3773" s="865"/>
      <c r="AA3773" s="865"/>
      <c r="AB3773" s="865"/>
      <c r="AC3773" s="3054">
        <v>12</v>
      </c>
      <c r="AD3773" s="865"/>
      <c r="AE3773" s="865"/>
      <c r="AF3773" s="865"/>
      <c r="AG3773" s="865"/>
      <c r="BB3773" s="575"/>
      <c r="BC3773" s="576"/>
      <c r="BD3773" s="678"/>
      <c r="BE3773" s="585"/>
    </row>
    <row r="3774" spans="1:57" s="1942" customFormat="1" ht="15" hidden="1" customHeight="1" outlineLevel="1" x14ac:dyDescent="0.25">
      <c r="A3774" s="2060"/>
      <c r="B3774" s="576"/>
      <c r="C3774" s="328"/>
      <c r="D3774" s="3990"/>
      <c r="E3774" s="4009"/>
      <c r="F3774" s="3016" t="str">
        <f t="shared" si="285"/>
        <v>ASHP-SEER19-Replace_CAC_NonElectricHeat_ER2_MF</v>
      </c>
      <c r="G3774" s="2673"/>
      <c r="H3774" s="2673"/>
      <c r="I3774" s="2673"/>
      <c r="J3774" s="3301" t="str">
        <f t="shared" si="288"/>
        <v>354460_2021_12_</v>
      </c>
      <c r="K3774" s="3054">
        <v>12</v>
      </c>
      <c r="L3774" s="851"/>
      <c r="M3774" s="858"/>
      <c r="N3774" s="123"/>
      <c r="O3774" s="228"/>
      <c r="P3774" s="844"/>
      <c r="Q3774" s="845"/>
      <c r="R3774" s="844"/>
      <c r="S3774" s="832"/>
      <c r="T3774" s="3082"/>
      <c r="U3774" s="123"/>
      <c r="V3774" s="4031"/>
      <c r="W3774" s="865"/>
      <c r="X3774" s="865"/>
      <c r="Y3774" s="865"/>
      <c r="Z3774" s="865"/>
      <c r="AA3774" s="865"/>
      <c r="AB3774" s="865"/>
      <c r="AC3774" s="3054">
        <v>12</v>
      </c>
      <c r="AD3774" s="865"/>
      <c r="AE3774" s="865"/>
      <c r="AF3774" s="865"/>
      <c r="AG3774" s="865"/>
      <c r="BB3774" s="575"/>
      <c r="BC3774" s="576"/>
      <c r="BD3774" s="678"/>
      <c r="BE3774" s="585"/>
    </row>
    <row r="3775" spans="1:57" s="1942" customFormat="1" ht="15" hidden="1" customHeight="1" outlineLevel="1" x14ac:dyDescent="0.25">
      <c r="A3775" s="2060"/>
      <c r="B3775" s="576"/>
      <c r="C3775" s="328"/>
      <c r="D3775" s="3990"/>
      <c r="E3775" s="4009"/>
      <c r="F3775" s="3016" t="str">
        <f t="shared" si="285"/>
        <v>ASHP-SEER19-Replace_CAC_NonElectricHeat_ER1_MF_CompE</v>
      </c>
      <c r="G3775" s="2673"/>
      <c r="H3775" s="2673"/>
      <c r="I3775" s="2673"/>
      <c r="J3775" s="3301" t="str">
        <f t="shared" si="288"/>
        <v>354461_2021_12_</v>
      </c>
      <c r="K3775" s="3054">
        <v>6</v>
      </c>
      <c r="L3775" s="851"/>
      <c r="M3775" s="858"/>
      <c r="N3775" s="123"/>
      <c r="O3775" s="228"/>
      <c r="P3775" s="844"/>
      <c r="Q3775" s="845"/>
      <c r="R3775" s="844"/>
      <c r="S3775" s="832"/>
      <c r="T3775" s="3082"/>
      <c r="U3775" s="123"/>
      <c r="V3775" s="4031"/>
      <c r="W3775" s="865"/>
      <c r="X3775" s="865"/>
      <c r="Y3775" s="865"/>
      <c r="Z3775" s="865"/>
      <c r="AA3775" s="865"/>
      <c r="AB3775" s="865"/>
      <c r="AC3775" s="3054">
        <v>6</v>
      </c>
      <c r="AD3775" s="865"/>
      <c r="AE3775" s="865"/>
      <c r="AF3775" s="865"/>
      <c r="AG3775" s="865"/>
      <c r="BB3775" s="575"/>
      <c r="BC3775" s="576"/>
      <c r="BD3775" s="678"/>
      <c r="BE3775" s="585"/>
    </row>
    <row r="3776" spans="1:57" s="1942" customFormat="1" ht="15" hidden="1" customHeight="1" outlineLevel="1" x14ac:dyDescent="0.25">
      <c r="A3776" s="2060"/>
      <c r="B3776" s="576"/>
      <c r="C3776" s="328"/>
      <c r="D3776" s="3990"/>
      <c r="E3776" s="4009"/>
      <c r="F3776" s="3016" t="str">
        <f t="shared" si="285"/>
        <v>ASHP-SEER19-Replace_CAC_NonElectricHeat_ER1_MF_CompE</v>
      </c>
      <c r="G3776" s="2673"/>
      <c r="H3776" s="2673"/>
      <c r="I3776" s="2673"/>
      <c r="J3776" s="3301" t="str">
        <f t="shared" si="288"/>
        <v>354461_2021_12_</v>
      </c>
      <c r="K3776" s="3054">
        <v>6</v>
      </c>
      <c r="L3776" s="851"/>
      <c r="M3776" s="858"/>
      <c r="N3776" s="123"/>
      <c r="O3776" s="228"/>
      <c r="P3776" s="844"/>
      <c r="Q3776" s="845"/>
      <c r="R3776" s="844"/>
      <c r="S3776" s="832"/>
      <c r="T3776" s="3082"/>
      <c r="U3776" s="123"/>
      <c r="V3776" s="4031"/>
      <c r="W3776" s="865"/>
      <c r="X3776" s="865"/>
      <c r="Y3776" s="865"/>
      <c r="Z3776" s="865"/>
      <c r="AA3776" s="865"/>
      <c r="AB3776" s="865"/>
      <c r="AC3776" s="3054">
        <v>6</v>
      </c>
      <c r="AD3776" s="865"/>
      <c r="AE3776" s="865"/>
      <c r="AF3776" s="865"/>
      <c r="AG3776" s="865"/>
      <c r="BB3776" s="575"/>
      <c r="BC3776" s="576"/>
      <c r="BD3776" s="678"/>
      <c r="BE3776" s="585"/>
    </row>
    <row r="3777" spans="1:57" s="1942" customFormat="1" ht="15" hidden="1" customHeight="1" outlineLevel="1" x14ac:dyDescent="0.25">
      <c r="A3777" s="2060"/>
      <c r="B3777" s="576"/>
      <c r="C3777" s="328"/>
      <c r="D3777" s="3990"/>
      <c r="E3777" s="4009"/>
      <c r="F3777" s="3016" t="str">
        <f t="shared" si="285"/>
        <v>ASHP-SEER19-Replace_CAC_NonElectricHeat_ER2_MF_CompE</v>
      </c>
      <c r="G3777" s="2673"/>
      <c r="H3777" s="2673"/>
      <c r="I3777" s="2673"/>
      <c r="J3777" s="3301" t="str">
        <f t="shared" si="288"/>
        <v>354461_2021_12_</v>
      </c>
      <c r="K3777" s="3054">
        <v>12</v>
      </c>
      <c r="L3777" s="851"/>
      <c r="M3777" s="858"/>
      <c r="N3777" s="123"/>
      <c r="O3777" s="228"/>
      <c r="P3777" s="844"/>
      <c r="Q3777" s="845"/>
      <c r="R3777" s="844"/>
      <c r="S3777" s="832"/>
      <c r="T3777" s="3082"/>
      <c r="U3777" s="123"/>
      <c r="V3777" s="4031"/>
      <c r="W3777" s="865"/>
      <c r="X3777" s="865"/>
      <c r="Y3777" s="865"/>
      <c r="Z3777" s="865"/>
      <c r="AA3777" s="865"/>
      <c r="AB3777" s="865"/>
      <c r="AC3777" s="3054">
        <v>12</v>
      </c>
      <c r="AD3777" s="865"/>
      <c r="AE3777" s="865"/>
      <c r="AF3777" s="865"/>
      <c r="AG3777" s="865"/>
      <c r="BB3777" s="575"/>
      <c r="BC3777" s="576"/>
      <c r="BD3777" s="678"/>
      <c r="BE3777" s="585"/>
    </row>
    <row r="3778" spans="1:57" s="1942" customFormat="1" ht="15" hidden="1" customHeight="1" outlineLevel="1" x14ac:dyDescent="0.25">
      <c r="A3778" s="2060"/>
      <c r="B3778" s="576"/>
      <c r="C3778" s="328"/>
      <c r="D3778" s="3990"/>
      <c r="E3778" s="4009"/>
      <c r="F3778" s="3016" t="str">
        <f t="shared" si="285"/>
        <v>ASHP-SEER19-Replace_CAC_NonElectricHeat_ER2_MF_CompE</v>
      </c>
      <c r="G3778" s="2673"/>
      <c r="H3778" s="2673"/>
      <c r="I3778" s="2673"/>
      <c r="J3778" s="3301" t="str">
        <f t="shared" si="288"/>
        <v>354461_2021_12_</v>
      </c>
      <c r="K3778" s="3054">
        <v>12</v>
      </c>
      <c r="L3778" s="851"/>
      <c r="M3778" s="858"/>
      <c r="N3778" s="123"/>
      <c r="O3778" s="228"/>
      <c r="P3778" s="844"/>
      <c r="Q3778" s="845"/>
      <c r="R3778" s="844"/>
      <c r="S3778" s="832"/>
      <c r="T3778" s="3082"/>
      <c r="U3778" s="123"/>
      <c r="V3778" s="4031"/>
      <c r="W3778" s="865"/>
      <c r="X3778" s="865"/>
      <c r="Y3778" s="865"/>
      <c r="Z3778" s="865"/>
      <c r="AA3778" s="865"/>
      <c r="AB3778" s="865"/>
      <c r="AC3778" s="3054">
        <v>12</v>
      </c>
      <c r="AD3778" s="865"/>
      <c r="AE3778" s="865"/>
      <c r="AF3778" s="865"/>
      <c r="AG3778" s="865"/>
      <c r="BB3778" s="575"/>
      <c r="BC3778" s="576"/>
      <c r="BD3778" s="678"/>
      <c r="BE3778" s="585"/>
    </row>
    <row r="3779" spans="1:57" s="51" customFormat="1" ht="15" hidden="1" customHeight="1" outlineLevel="1" x14ac:dyDescent="0.25">
      <c r="A3779" s="2060"/>
      <c r="B3779" s="576"/>
      <c r="C3779" s="328"/>
      <c r="D3779" s="3990"/>
      <c r="E3779" s="4009"/>
      <c r="F3779" s="3016" t="str">
        <f t="shared" si="285"/>
        <v>ASHP-SEER19_ER1_MF</v>
      </c>
      <c r="G3779" s="2673"/>
      <c r="H3779" s="2673"/>
      <c r="I3779" s="2673"/>
      <c r="J3779" s="3302" t="str">
        <f>C1701</f>
        <v>354500_2019_12_</v>
      </c>
      <c r="K3779" s="865">
        <v>6</v>
      </c>
      <c r="L3779" s="851"/>
      <c r="M3779" s="858"/>
      <c r="N3779" s="123"/>
      <c r="O3779" s="228"/>
      <c r="P3779" s="844"/>
      <c r="Q3779" s="845"/>
      <c r="R3779" s="844"/>
      <c r="S3779" s="832"/>
      <c r="T3779" s="3082"/>
      <c r="U3779" s="123"/>
      <c r="V3779" s="4031"/>
      <c r="W3779" s="865">
        <v>6</v>
      </c>
      <c r="X3779" s="865">
        <v>6</v>
      </c>
      <c r="Y3779" s="865">
        <v>6</v>
      </c>
      <c r="Z3779" s="865">
        <v>6</v>
      </c>
      <c r="AA3779" s="865">
        <v>6</v>
      </c>
      <c r="AB3779" s="865">
        <v>6</v>
      </c>
      <c r="AC3779" s="865">
        <v>6</v>
      </c>
      <c r="AD3779" s="865"/>
      <c r="AE3779" s="865"/>
      <c r="AF3779" s="865"/>
      <c r="AG3779" s="865"/>
      <c r="AH3779" s="1942"/>
      <c r="AI3779" s="1942"/>
      <c r="AJ3779" s="1942"/>
      <c r="AK3779" s="1942"/>
      <c r="AL3779" s="1942"/>
      <c r="AM3779" s="1942"/>
      <c r="AN3779" s="1942"/>
      <c r="AO3779" s="1942"/>
      <c r="AP3779" s="1942"/>
      <c r="AQ3779" s="1942"/>
      <c r="AR3779" s="1942"/>
      <c r="AS3779" s="1942"/>
      <c r="AT3779" s="1942"/>
      <c r="AU3779" s="1942"/>
      <c r="AV3779" s="1942"/>
      <c r="AW3779" s="1942"/>
      <c r="AX3779" s="1942"/>
      <c r="AY3779" s="1942"/>
      <c r="AZ3779" s="1942"/>
      <c r="BA3779" s="1942"/>
      <c r="BB3779" s="575"/>
      <c r="BC3779" s="576"/>
      <c r="BD3779" s="678"/>
      <c r="BE3779" s="585"/>
    </row>
    <row r="3780" spans="1:57" s="51" customFormat="1" ht="15" hidden="1" customHeight="1" outlineLevel="1" x14ac:dyDescent="0.25">
      <c r="A3780" s="1267"/>
      <c r="B3780" s="576"/>
      <c r="C3780" s="328"/>
      <c r="D3780" s="3990"/>
      <c r="E3780" s="4009"/>
      <c r="F3780" s="3016" t="str">
        <f t="shared" si="285"/>
        <v>ASHP-SEER19_ER1_MF</v>
      </c>
      <c r="G3780" s="2673"/>
      <c r="H3780" s="2673"/>
      <c r="I3780" s="2673"/>
      <c r="J3780" s="3302" t="str">
        <f>C1702</f>
        <v>354500_2019_12_</v>
      </c>
      <c r="K3780" s="865">
        <v>6</v>
      </c>
      <c r="L3780" s="851"/>
      <c r="M3780" s="858"/>
      <c r="N3780" s="123"/>
      <c r="O3780" s="228"/>
      <c r="P3780" s="228"/>
      <c r="Q3780" s="228"/>
      <c r="R3780" s="228"/>
      <c r="S3780" s="123"/>
      <c r="T3780" s="123"/>
      <c r="U3780" s="123"/>
      <c r="V3780" s="4031"/>
      <c r="W3780" s="865">
        <v>6</v>
      </c>
      <c r="X3780" s="865">
        <v>6</v>
      </c>
      <c r="Y3780" s="865">
        <v>6</v>
      </c>
      <c r="Z3780" s="865">
        <v>6</v>
      </c>
      <c r="AA3780" s="865">
        <v>6</v>
      </c>
      <c r="AB3780" s="865">
        <v>6</v>
      </c>
      <c r="AC3780" s="865">
        <v>6</v>
      </c>
      <c r="AD3780" s="865"/>
      <c r="AE3780" s="865"/>
      <c r="AF3780" s="865"/>
      <c r="AG3780" s="865"/>
      <c r="AH3780" s="1942"/>
      <c r="AI3780" s="1942"/>
      <c r="AJ3780" s="1942"/>
      <c r="AK3780" s="1942"/>
      <c r="AL3780" s="1942"/>
      <c r="AM3780" s="1942"/>
      <c r="AN3780" s="1942"/>
      <c r="AO3780" s="1942"/>
      <c r="AP3780" s="1942"/>
      <c r="AQ3780" s="1942"/>
      <c r="AR3780" s="1942"/>
      <c r="AS3780" s="1942"/>
      <c r="AT3780" s="1942"/>
      <c r="AU3780" s="1942"/>
      <c r="AV3780" s="1942"/>
      <c r="AW3780" s="1942"/>
      <c r="AX3780" s="1942"/>
      <c r="AY3780" s="1942"/>
      <c r="AZ3780" s="1942"/>
      <c r="BA3780" s="1942"/>
      <c r="BB3780" s="575"/>
      <c r="BC3780" s="576"/>
      <c r="BD3780" s="678"/>
      <c r="BE3780" s="585"/>
    </row>
    <row r="3781" spans="1:57" s="51" customFormat="1" ht="15" hidden="1" customHeight="1" outlineLevel="1" x14ac:dyDescent="0.25">
      <c r="A3781" s="1267"/>
      <c r="B3781" s="576"/>
      <c r="C3781" s="328"/>
      <c r="D3781" s="3990"/>
      <c r="E3781" s="4009"/>
      <c r="F3781" s="3016" t="str">
        <f t="shared" si="285"/>
        <v>ASHP-SEER19_ER2_MF</v>
      </c>
      <c r="G3781" s="2673"/>
      <c r="H3781" s="2673"/>
      <c r="I3781" s="2673"/>
      <c r="J3781" s="3302" t="str">
        <f>C1703</f>
        <v>354500_2019_12_</v>
      </c>
      <c r="K3781" s="865">
        <v>12</v>
      </c>
      <c r="L3781" s="851"/>
      <c r="M3781" s="858"/>
      <c r="N3781" s="123"/>
      <c r="O3781" s="228"/>
      <c r="P3781" s="228"/>
      <c r="Q3781" s="228"/>
      <c r="R3781" s="228"/>
      <c r="S3781" s="123"/>
      <c r="T3781" s="123"/>
      <c r="U3781" s="123"/>
      <c r="V3781" s="4031"/>
      <c r="W3781" s="865">
        <v>12</v>
      </c>
      <c r="X3781" s="865">
        <v>12</v>
      </c>
      <c r="Y3781" s="865">
        <v>12</v>
      </c>
      <c r="Z3781" s="865">
        <v>12</v>
      </c>
      <c r="AA3781" s="865">
        <v>12</v>
      </c>
      <c r="AB3781" s="865">
        <v>12</v>
      </c>
      <c r="AC3781" s="865">
        <v>12</v>
      </c>
      <c r="AD3781" s="865"/>
      <c r="AE3781" s="865"/>
      <c r="AF3781" s="865"/>
      <c r="AG3781" s="865"/>
      <c r="AH3781" s="1942"/>
      <c r="AI3781" s="1942"/>
      <c r="AJ3781" s="1942"/>
      <c r="AK3781" s="1942"/>
      <c r="AL3781" s="1942"/>
      <c r="AM3781" s="1942"/>
      <c r="AN3781" s="1942"/>
      <c r="AO3781" s="1942"/>
      <c r="AP3781" s="1942"/>
      <c r="AQ3781" s="1942"/>
      <c r="AR3781" s="1942"/>
      <c r="AS3781" s="1942"/>
      <c r="AT3781" s="1942"/>
      <c r="AU3781" s="1942"/>
      <c r="AV3781" s="1942"/>
      <c r="AW3781" s="1942"/>
      <c r="AX3781" s="1942"/>
      <c r="AY3781" s="1942"/>
      <c r="AZ3781" s="1942"/>
      <c r="BA3781" s="1942"/>
      <c r="BB3781" s="575"/>
      <c r="BC3781" s="576"/>
      <c r="BD3781" s="678"/>
      <c r="BE3781" s="585"/>
    </row>
    <row r="3782" spans="1:57" s="51" customFormat="1" ht="15" hidden="1" customHeight="1" outlineLevel="1" x14ac:dyDescent="0.25">
      <c r="A3782" s="2060"/>
      <c r="B3782" s="576"/>
      <c r="C3782" s="328"/>
      <c r="D3782" s="3990"/>
      <c r="E3782" s="4009"/>
      <c r="F3782" s="3016" t="str">
        <f t="shared" si="285"/>
        <v>ASHP-SEER19_ER2_MF</v>
      </c>
      <c r="G3782" s="2673"/>
      <c r="H3782" s="2673"/>
      <c r="I3782" s="2673"/>
      <c r="J3782" s="3302" t="str">
        <f>C1704</f>
        <v>354500_2019_12_</v>
      </c>
      <c r="K3782" s="865">
        <v>12</v>
      </c>
      <c r="L3782" s="851"/>
      <c r="M3782" s="858"/>
      <c r="N3782" s="123"/>
      <c r="O3782" s="228"/>
      <c r="P3782" s="844"/>
      <c r="Q3782" s="845"/>
      <c r="R3782" s="844"/>
      <c r="S3782" s="832"/>
      <c r="T3782" s="3082"/>
      <c r="U3782" s="123"/>
      <c r="V3782" s="4031"/>
      <c r="W3782" s="865">
        <v>12</v>
      </c>
      <c r="X3782" s="865">
        <v>12</v>
      </c>
      <c r="Y3782" s="865">
        <v>12</v>
      </c>
      <c r="Z3782" s="865">
        <v>12</v>
      </c>
      <c r="AA3782" s="865">
        <v>12</v>
      </c>
      <c r="AB3782" s="865">
        <v>12</v>
      </c>
      <c r="AC3782" s="865">
        <v>12</v>
      </c>
      <c r="AD3782" s="865"/>
      <c r="AE3782" s="865"/>
      <c r="AF3782" s="865"/>
      <c r="AG3782" s="865"/>
      <c r="AH3782" s="1942"/>
      <c r="AI3782" s="1942"/>
      <c r="AJ3782" s="1942"/>
      <c r="AK3782" s="1942"/>
      <c r="AL3782" s="1942"/>
      <c r="AM3782" s="1942"/>
      <c r="AN3782" s="1942"/>
      <c r="AO3782" s="1942"/>
      <c r="AP3782" s="1942"/>
      <c r="AQ3782" s="1942"/>
      <c r="AR3782" s="1942"/>
      <c r="AS3782" s="1942"/>
      <c r="AT3782" s="1942"/>
      <c r="AU3782" s="1942"/>
      <c r="AV3782" s="1942"/>
      <c r="AW3782" s="1942"/>
      <c r="AX3782" s="1942"/>
      <c r="AY3782" s="1942"/>
      <c r="AZ3782" s="1942"/>
      <c r="BA3782" s="1942"/>
      <c r="BB3782" s="575"/>
      <c r="BC3782" s="576"/>
      <c r="BD3782" s="678"/>
      <c r="BE3782" s="585"/>
    </row>
    <row r="3783" spans="1:57" s="1942" customFormat="1" ht="15" hidden="1" customHeight="1" outlineLevel="1" x14ac:dyDescent="0.25">
      <c r="A3783" s="2060"/>
      <c r="B3783" s="576"/>
      <c r="C3783" s="328"/>
      <c r="D3783" s="3990"/>
      <c r="E3783" s="4009"/>
      <c r="F3783" s="3016" t="str">
        <f t="shared" si="285"/>
        <v>ASHP-SEER19_ER1_MF_CompE</v>
      </c>
      <c r="G3783" s="2673"/>
      <c r="H3783" s="2673"/>
      <c r="I3783" s="2673"/>
      <c r="J3783" s="3302" t="str">
        <f t="shared" ref="J3783:J3786" si="289">C1705</f>
        <v>354501_2019_12_</v>
      </c>
      <c r="K3783" s="3054">
        <v>6</v>
      </c>
      <c r="L3783" s="851"/>
      <c r="M3783" s="858"/>
      <c r="N3783" s="123"/>
      <c r="O3783" s="228"/>
      <c r="P3783" s="844"/>
      <c r="Q3783" s="845"/>
      <c r="R3783" s="844"/>
      <c r="S3783" s="832"/>
      <c r="T3783" s="3082"/>
      <c r="U3783" s="123"/>
      <c r="V3783" s="4031"/>
      <c r="W3783" s="865"/>
      <c r="X3783" s="865"/>
      <c r="Y3783" s="865"/>
      <c r="Z3783" s="865"/>
      <c r="AA3783" s="865"/>
      <c r="AB3783" s="865"/>
      <c r="AC3783" s="3054">
        <v>6</v>
      </c>
      <c r="AD3783" s="865"/>
      <c r="AE3783" s="865"/>
      <c r="AF3783" s="865"/>
      <c r="AG3783" s="865"/>
      <c r="BB3783" s="575"/>
      <c r="BC3783" s="576"/>
      <c r="BD3783" s="678"/>
      <c r="BE3783" s="585"/>
    </row>
    <row r="3784" spans="1:57" s="1942" customFormat="1" ht="15" hidden="1" customHeight="1" outlineLevel="1" x14ac:dyDescent="0.25">
      <c r="A3784" s="2060"/>
      <c r="B3784" s="576"/>
      <c r="C3784" s="328"/>
      <c r="D3784" s="3990"/>
      <c r="E3784" s="4009"/>
      <c r="F3784" s="3016" t="str">
        <f t="shared" si="285"/>
        <v>ASHP-SEER19_ER1_MF_CompE</v>
      </c>
      <c r="G3784" s="2673"/>
      <c r="H3784" s="2673"/>
      <c r="I3784" s="2673"/>
      <c r="J3784" s="3302" t="str">
        <f t="shared" si="289"/>
        <v>354501_2019_12_</v>
      </c>
      <c r="K3784" s="3054">
        <v>6</v>
      </c>
      <c r="L3784" s="851"/>
      <c r="M3784" s="858"/>
      <c r="N3784" s="123"/>
      <c r="O3784" s="228"/>
      <c r="P3784" s="844"/>
      <c r="Q3784" s="845"/>
      <c r="R3784" s="844"/>
      <c r="S3784" s="832"/>
      <c r="T3784" s="3082"/>
      <c r="U3784" s="123"/>
      <c r="V3784" s="4031"/>
      <c r="W3784" s="865"/>
      <c r="X3784" s="865"/>
      <c r="Y3784" s="865"/>
      <c r="Z3784" s="865"/>
      <c r="AA3784" s="865"/>
      <c r="AB3784" s="865"/>
      <c r="AC3784" s="3054">
        <v>6</v>
      </c>
      <c r="AD3784" s="865"/>
      <c r="AE3784" s="865"/>
      <c r="AF3784" s="865"/>
      <c r="AG3784" s="865"/>
      <c r="BB3784" s="575"/>
      <c r="BC3784" s="576"/>
      <c r="BD3784" s="678"/>
      <c r="BE3784" s="585"/>
    </row>
    <row r="3785" spans="1:57" s="1942" customFormat="1" ht="15" hidden="1" customHeight="1" outlineLevel="1" x14ac:dyDescent="0.25">
      <c r="A3785" s="2060"/>
      <c r="B3785" s="576"/>
      <c r="C3785" s="328"/>
      <c r="D3785" s="3990"/>
      <c r="E3785" s="4009"/>
      <c r="F3785" s="3016" t="str">
        <f t="shared" si="285"/>
        <v>ASHP-SEER19_ER2_MF_CompE</v>
      </c>
      <c r="G3785" s="2673"/>
      <c r="H3785" s="2673"/>
      <c r="I3785" s="2673"/>
      <c r="J3785" s="3302" t="str">
        <f t="shared" si="289"/>
        <v>354501_2019_12_</v>
      </c>
      <c r="K3785" s="3054">
        <v>12</v>
      </c>
      <c r="L3785" s="851"/>
      <c r="M3785" s="858"/>
      <c r="N3785" s="123"/>
      <c r="O3785" s="228"/>
      <c r="P3785" s="844"/>
      <c r="Q3785" s="845"/>
      <c r="R3785" s="844"/>
      <c r="S3785" s="832"/>
      <c r="T3785" s="3082"/>
      <c r="U3785" s="123"/>
      <c r="V3785" s="4031"/>
      <c r="W3785" s="865"/>
      <c r="X3785" s="865"/>
      <c r="Y3785" s="865"/>
      <c r="Z3785" s="865"/>
      <c r="AA3785" s="865"/>
      <c r="AB3785" s="865"/>
      <c r="AC3785" s="3054">
        <v>12</v>
      </c>
      <c r="AD3785" s="865"/>
      <c r="AE3785" s="865"/>
      <c r="AF3785" s="865"/>
      <c r="AG3785" s="865"/>
      <c r="BB3785" s="575"/>
      <c r="BC3785" s="576"/>
      <c r="BD3785" s="678"/>
      <c r="BE3785" s="585"/>
    </row>
    <row r="3786" spans="1:57" s="1942" customFormat="1" ht="15" hidden="1" customHeight="1" outlineLevel="1" x14ac:dyDescent="0.25">
      <c r="A3786" s="2060"/>
      <c r="B3786" s="576"/>
      <c r="C3786" s="328"/>
      <c r="D3786" s="3990"/>
      <c r="E3786" s="4009"/>
      <c r="F3786" s="3016" t="str">
        <f t="shared" si="285"/>
        <v>ASHP-SEER19_ER2_MF_CompE</v>
      </c>
      <c r="G3786" s="2673"/>
      <c r="H3786" s="2673"/>
      <c r="I3786" s="2673"/>
      <c r="J3786" s="3302" t="str">
        <f t="shared" si="289"/>
        <v>354501_2019_12_</v>
      </c>
      <c r="K3786" s="3054">
        <v>12</v>
      </c>
      <c r="L3786" s="851"/>
      <c r="M3786" s="858"/>
      <c r="N3786" s="123"/>
      <c r="O3786" s="228"/>
      <c r="P3786" s="844"/>
      <c r="Q3786" s="845"/>
      <c r="R3786" s="844"/>
      <c r="S3786" s="832"/>
      <c r="T3786" s="3082"/>
      <c r="U3786" s="123"/>
      <c r="V3786" s="4031"/>
      <c r="W3786" s="865"/>
      <c r="X3786" s="865"/>
      <c r="Y3786" s="865"/>
      <c r="Z3786" s="865"/>
      <c r="AA3786" s="865"/>
      <c r="AB3786" s="865"/>
      <c r="AC3786" s="3054">
        <v>12</v>
      </c>
      <c r="AD3786" s="865"/>
      <c r="AE3786" s="865"/>
      <c r="AF3786" s="865"/>
      <c r="AG3786" s="865"/>
      <c r="BB3786" s="575"/>
      <c r="BC3786" s="576"/>
      <c r="BD3786" s="678"/>
      <c r="BE3786" s="585"/>
    </row>
    <row r="3787" spans="1:57" s="51" customFormat="1" ht="15" hidden="1" customHeight="1" outlineLevel="1" x14ac:dyDescent="0.25">
      <c r="A3787" s="2060"/>
      <c r="B3787" s="576"/>
      <c r="C3787" s="328"/>
      <c r="D3787" s="3990"/>
      <c r="E3787" s="4009"/>
      <c r="F3787" s="3016" t="str">
        <f t="shared" si="285"/>
        <v>ASHP-SEER20_ER1_SF</v>
      </c>
      <c r="G3787" s="2673"/>
      <c r="H3787" s="2673"/>
      <c r="I3787" s="2673"/>
      <c r="J3787" s="3301" t="str">
        <f t="shared" ref="J3787:J3796" si="290">C1709</f>
        <v>354550_2021_12_</v>
      </c>
      <c r="K3787" s="865">
        <v>6</v>
      </c>
      <c r="L3787" s="851"/>
      <c r="M3787" s="858"/>
      <c r="N3787" s="123"/>
      <c r="O3787" s="228"/>
      <c r="P3787" s="844"/>
      <c r="Q3787" s="845"/>
      <c r="R3787" s="844"/>
      <c r="S3787" s="832"/>
      <c r="T3787" s="3082"/>
      <c r="U3787" s="123"/>
      <c r="V3787" s="4031"/>
      <c r="W3787" s="865">
        <v>6</v>
      </c>
      <c r="X3787" s="865">
        <v>6</v>
      </c>
      <c r="Y3787" s="865">
        <v>6</v>
      </c>
      <c r="Z3787" s="865">
        <v>6</v>
      </c>
      <c r="AA3787" s="865">
        <v>6</v>
      </c>
      <c r="AB3787" s="865">
        <v>6</v>
      </c>
      <c r="AC3787" s="865">
        <v>6</v>
      </c>
      <c r="AD3787" s="865"/>
      <c r="AE3787" s="865"/>
      <c r="AF3787" s="865"/>
      <c r="AG3787" s="865"/>
      <c r="AH3787" s="1942"/>
      <c r="AI3787" s="1942"/>
      <c r="AJ3787" s="1942"/>
      <c r="AK3787" s="1942"/>
      <c r="AL3787" s="1942"/>
      <c r="AM3787" s="1942"/>
      <c r="AN3787" s="1942"/>
      <c r="AO3787" s="1942"/>
      <c r="AP3787" s="1942"/>
      <c r="AQ3787" s="1942"/>
      <c r="AR3787" s="1942"/>
      <c r="AS3787" s="1942"/>
      <c r="AT3787" s="1942"/>
      <c r="AU3787" s="1942"/>
      <c r="AV3787" s="1942"/>
      <c r="AW3787" s="1942"/>
      <c r="AX3787" s="1942"/>
      <c r="AY3787" s="1942"/>
      <c r="AZ3787" s="1942"/>
      <c r="BA3787" s="1942"/>
      <c r="BB3787" s="575"/>
      <c r="BC3787" s="576"/>
      <c r="BD3787" s="678"/>
      <c r="BE3787" s="585"/>
    </row>
    <row r="3788" spans="1:57" s="51" customFormat="1" ht="15" hidden="1" customHeight="1" outlineLevel="1" x14ac:dyDescent="0.25">
      <c r="A3788" s="2060"/>
      <c r="B3788" s="576"/>
      <c r="C3788" s="328"/>
      <c r="D3788" s="3990"/>
      <c r="E3788" s="4009"/>
      <c r="F3788" s="3016" t="str">
        <f t="shared" si="285"/>
        <v>ASHP-SEER20_ER1_SF</v>
      </c>
      <c r="G3788" s="2673"/>
      <c r="H3788" s="2673"/>
      <c r="I3788" s="2673"/>
      <c r="J3788" s="3301" t="str">
        <f t="shared" si="290"/>
        <v>354550_2021_12_</v>
      </c>
      <c r="K3788" s="865">
        <v>6</v>
      </c>
      <c r="L3788" s="851"/>
      <c r="M3788" s="858"/>
      <c r="N3788" s="123"/>
      <c r="O3788" s="228"/>
      <c r="P3788" s="844"/>
      <c r="Q3788" s="845"/>
      <c r="R3788" s="844"/>
      <c r="S3788" s="832"/>
      <c r="T3788" s="3082"/>
      <c r="U3788" s="123"/>
      <c r="V3788" s="4031"/>
      <c r="W3788" s="865">
        <v>6</v>
      </c>
      <c r="X3788" s="865">
        <v>6</v>
      </c>
      <c r="Y3788" s="865">
        <v>6</v>
      </c>
      <c r="Z3788" s="865">
        <v>6</v>
      </c>
      <c r="AA3788" s="865">
        <v>6</v>
      </c>
      <c r="AB3788" s="865">
        <v>6</v>
      </c>
      <c r="AC3788" s="865">
        <v>6</v>
      </c>
      <c r="AD3788" s="865"/>
      <c r="AE3788" s="865"/>
      <c r="AF3788" s="865"/>
      <c r="AG3788" s="865"/>
      <c r="AH3788" s="1942"/>
      <c r="AI3788" s="1942"/>
      <c r="AJ3788" s="1942"/>
      <c r="AK3788" s="1942"/>
      <c r="AL3788" s="1942"/>
      <c r="AM3788" s="1942"/>
      <c r="AN3788" s="1942"/>
      <c r="AO3788" s="1942"/>
      <c r="AP3788" s="1942"/>
      <c r="AQ3788" s="1942"/>
      <c r="AR3788" s="1942"/>
      <c r="AS3788" s="1942"/>
      <c r="AT3788" s="1942"/>
      <c r="AU3788" s="1942"/>
      <c r="AV3788" s="1942"/>
      <c r="AW3788" s="1942"/>
      <c r="AX3788" s="1942"/>
      <c r="AY3788" s="1942"/>
      <c r="AZ3788" s="1942"/>
      <c r="BA3788" s="1942"/>
      <c r="BB3788" s="575"/>
      <c r="BC3788" s="576"/>
      <c r="BD3788" s="678"/>
      <c r="BE3788" s="585"/>
    </row>
    <row r="3789" spans="1:57" s="51" customFormat="1" ht="15" hidden="1" customHeight="1" outlineLevel="1" x14ac:dyDescent="0.25">
      <c r="A3789" s="2060"/>
      <c r="B3789" s="576"/>
      <c r="C3789" s="328"/>
      <c r="D3789" s="3990"/>
      <c r="E3789" s="4009"/>
      <c r="F3789" s="3016" t="str">
        <f t="shared" si="285"/>
        <v>ASHP-SEER20_ER2_SF</v>
      </c>
      <c r="G3789" s="2673"/>
      <c r="H3789" s="2673"/>
      <c r="I3789" s="2673"/>
      <c r="J3789" s="3301" t="str">
        <f t="shared" si="290"/>
        <v>354550_2021_12_</v>
      </c>
      <c r="K3789" s="865">
        <v>12</v>
      </c>
      <c r="L3789" s="851"/>
      <c r="M3789" s="858"/>
      <c r="N3789" s="123"/>
      <c r="O3789" s="228"/>
      <c r="P3789" s="844"/>
      <c r="Q3789" s="845"/>
      <c r="R3789" s="844"/>
      <c r="S3789" s="832"/>
      <c r="T3789" s="3082"/>
      <c r="U3789" s="123"/>
      <c r="V3789" s="4031"/>
      <c r="W3789" s="865">
        <v>12</v>
      </c>
      <c r="X3789" s="865">
        <v>12</v>
      </c>
      <c r="Y3789" s="865">
        <v>12</v>
      </c>
      <c r="Z3789" s="865">
        <v>12</v>
      </c>
      <c r="AA3789" s="865">
        <v>12</v>
      </c>
      <c r="AB3789" s="865">
        <v>12</v>
      </c>
      <c r="AC3789" s="865">
        <v>12</v>
      </c>
      <c r="AD3789" s="865"/>
      <c r="AE3789" s="865"/>
      <c r="AF3789" s="865"/>
      <c r="AG3789" s="865"/>
      <c r="AH3789" s="1942"/>
      <c r="AI3789" s="1942"/>
      <c r="AJ3789" s="1942"/>
      <c r="AK3789" s="1942"/>
      <c r="AL3789" s="1942"/>
      <c r="AM3789" s="1942"/>
      <c r="AN3789" s="1942"/>
      <c r="AO3789" s="1942"/>
      <c r="AP3789" s="1942"/>
      <c r="AQ3789" s="1942"/>
      <c r="AR3789" s="1942"/>
      <c r="AS3789" s="1942"/>
      <c r="AT3789" s="1942"/>
      <c r="AU3789" s="1942"/>
      <c r="AV3789" s="1942"/>
      <c r="AW3789" s="1942"/>
      <c r="AX3789" s="1942"/>
      <c r="AY3789" s="1942"/>
      <c r="AZ3789" s="1942"/>
      <c r="BA3789" s="1942"/>
      <c r="BB3789" s="575"/>
      <c r="BC3789" s="576"/>
      <c r="BD3789" s="678"/>
      <c r="BE3789" s="585"/>
    </row>
    <row r="3790" spans="1:57" s="51" customFormat="1" ht="15" hidden="1" customHeight="1" outlineLevel="1" x14ac:dyDescent="0.25">
      <c r="A3790" s="2060"/>
      <c r="B3790" s="576"/>
      <c r="C3790" s="328"/>
      <c r="D3790" s="3990"/>
      <c r="E3790" s="4009"/>
      <c r="F3790" s="3016" t="str">
        <f t="shared" si="285"/>
        <v>ASHP-SEER20_ER2_SF</v>
      </c>
      <c r="G3790" s="2673"/>
      <c r="H3790" s="2673"/>
      <c r="I3790" s="2673"/>
      <c r="J3790" s="3301" t="str">
        <f t="shared" si="290"/>
        <v>354550_2021_12_</v>
      </c>
      <c r="K3790" s="865">
        <v>12</v>
      </c>
      <c r="L3790" s="851"/>
      <c r="M3790" s="858"/>
      <c r="N3790" s="123"/>
      <c r="O3790" s="228"/>
      <c r="P3790" s="844"/>
      <c r="Q3790" s="845"/>
      <c r="R3790" s="844"/>
      <c r="S3790" s="832"/>
      <c r="T3790" s="3082"/>
      <c r="U3790" s="123"/>
      <c r="V3790" s="4031"/>
      <c r="W3790" s="865">
        <v>12</v>
      </c>
      <c r="X3790" s="865">
        <v>12</v>
      </c>
      <c r="Y3790" s="865">
        <v>12</v>
      </c>
      <c r="Z3790" s="865">
        <v>12</v>
      </c>
      <c r="AA3790" s="865">
        <v>12</v>
      </c>
      <c r="AB3790" s="865">
        <v>12</v>
      </c>
      <c r="AC3790" s="865">
        <v>12</v>
      </c>
      <c r="AD3790" s="865"/>
      <c r="AE3790" s="865"/>
      <c r="AF3790" s="865"/>
      <c r="AG3790" s="865"/>
      <c r="AH3790" s="1942"/>
      <c r="AI3790" s="1942"/>
      <c r="AJ3790" s="1942"/>
      <c r="AK3790" s="1942"/>
      <c r="AL3790" s="1942"/>
      <c r="AM3790" s="1942"/>
      <c r="AN3790" s="1942"/>
      <c r="AO3790" s="1942"/>
      <c r="AP3790" s="1942"/>
      <c r="AQ3790" s="1942"/>
      <c r="AR3790" s="1942"/>
      <c r="AS3790" s="1942"/>
      <c r="AT3790" s="1942"/>
      <c r="AU3790" s="1942"/>
      <c r="AV3790" s="1942"/>
      <c r="AW3790" s="1942"/>
      <c r="AX3790" s="1942"/>
      <c r="AY3790" s="1942"/>
      <c r="AZ3790" s="1942"/>
      <c r="BA3790" s="1942"/>
      <c r="BB3790" s="575"/>
      <c r="BC3790" s="576"/>
      <c r="BD3790" s="678"/>
      <c r="BE3790" s="585"/>
    </row>
    <row r="3791" spans="1:57" s="51" customFormat="1" ht="15" hidden="1" customHeight="1" outlineLevel="1" x14ac:dyDescent="0.25">
      <c r="A3791" s="2060"/>
      <c r="B3791" s="576"/>
      <c r="C3791" s="328"/>
      <c r="D3791" s="3990"/>
      <c r="E3791" s="4009"/>
      <c r="F3791" s="3016" t="str">
        <f t="shared" si="285"/>
        <v>ASHP-SEER20_ROF_SF</v>
      </c>
      <c r="G3791" s="2673"/>
      <c r="H3791" s="2673"/>
      <c r="I3791" s="2673"/>
      <c r="J3791" s="3301" t="str">
        <f t="shared" si="290"/>
        <v>354600_2021_12_</v>
      </c>
      <c r="K3791" s="865">
        <v>18</v>
      </c>
      <c r="L3791" s="851"/>
      <c r="M3791" s="858"/>
      <c r="N3791" s="123"/>
      <c r="O3791" s="228"/>
      <c r="P3791" s="844"/>
      <c r="Q3791" s="845"/>
      <c r="R3791" s="844"/>
      <c r="S3791" s="832"/>
      <c r="T3791" s="3082"/>
      <c r="U3791" s="123"/>
      <c r="V3791" s="4031"/>
      <c r="W3791" s="865">
        <v>18</v>
      </c>
      <c r="X3791" s="865">
        <v>18</v>
      </c>
      <c r="Y3791" s="865">
        <v>18</v>
      </c>
      <c r="Z3791" s="865">
        <v>18</v>
      </c>
      <c r="AA3791" s="865">
        <v>18</v>
      </c>
      <c r="AB3791" s="865">
        <v>18</v>
      </c>
      <c r="AC3791" s="865">
        <v>18</v>
      </c>
      <c r="AD3791" s="865"/>
      <c r="AE3791" s="865"/>
      <c r="AF3791" s="865"/>
      <c r="AG3791" s="865"/>
      <c r="AH3791" s="1942"/>
      <c r="AI3791" s="1942"/>
      <c r="AJ3791" s="1942"/>
      <c r="AK3791" s="1942"/>
      <c r="AL3791" s="1942"/>
      <c r="AM3791" s="1942"/>
      <c r="AN3791" s="1942"/>
      <c r="AO3791" s="1942"/>
      <c r="AP3791" s="1942"/>
      <c r="AQ3791" s="1942"/>
      <c r="AR3791" s="1942"/>
      <c r="AS3791" s="1942"/>
      <c r="AT3791" s="1942"/>
      <c r="AU3791" s="1942"/>
      <c r="AV3791" s="1942"/>
      <c r="AW3791" s="1942"/>
      <c r="AX3791" s="1942"/>
      <c r="AY3791" s="1942"/>
      <c r="AZ3791" s="1942"/>
      <c r="BA3791" s="1942"/>
      <c r="BB3791" s="575"/>
      <c r="BC3791" s="576"/>
      <c r="BD3791" s="678"/>
      <c r="BE3791" s="585"/>
    </row>
    <row r="3792" spans="1:57" s="51" customFormat="1" ht="15" hidden="1" customHeight="1" outlineLevel="1" x14ac:dyDescent="0.25">
      <c r="A3792" s="2060"/>
      <c r="B3792" s="576"/>
      <c r="C3792" s="328"/>
      <c r="D3792" s="3990"/>
      <c r="E3792" s="4009"/>
      <c r="F3792" s="3016" t="str">
        <f t="shared" si="285"/>
        <v>ASHP-SEER20_ROF_SF</v>
      </c>
      <c r="G3792" s="2673"/>
      <c r="H3792" s="2673"/>
      <c r="I3792" s="2673"/>
      <c r="J3792" s="3301" t="str">
        <f t="shared" si="290"/>
        <v>354600_2021_12_</v>
      </c>
      <c r="K3792" s="866">
        <v>18</v>
      </c>
      <c r="L3792" s="851"/>
      <c r="M3792" s="858"/>
      <c r="N3792" s="123"/>
      <c r="O3792" s="228"/>
      <c r="P3792" s="844"/>
      <c r="Q3792" s="845"/>
      <c r="R3792" s="844"/>
      <c r="S3792" s="832"/>
      <c r="T3792" s="3082"/>
      <c r="U3792" s="123"/>
      <c r="V3792" s="4031"/>
      <c r="W3792" s="866">
        <v>18</v>
      </c>
      <c r="X3792" s="866">
        <v>18</v>
      </c>
      <c r="Y3792" s="866">
        <v>18</v>
      </c>
      <c r="Z3792" s="866">
        <v>18</v>
      </c>
      <c r="AA3792" s="866">
        <v>18</v>
      </c>
      <c r="AB3792" s="866">
        <v>18</v>
      </c>
      <c r="AC3792" s="866">
        <v>18</v>
      </c>
      <c r="AD3792" s="866"/>
      <c r="AE3792" s="866"/>
      <c r="AF3792" s="866"/>
      <c r="AG3792" s="866"/>
      <c r="AH3792" s="1942"/>
      <c r="AI3792" s="1942"/>
      <c r="AJ3792" s="1942"/>
      <c r="AK3792" s="1942"/>
      <c r="AL3792" s="1942"/>
      <c r="AM3792" s="1942"/>
      <c r="AN3792" s="1942"/>
      <c r="AO3792" s="1942"/>
      <c r="AP3792" s="1942"/>
      <c r="AQ3792" s="1942"/>
      <c r="AR3792" s="1942"/>
      <c r="AS3792" s="1942"/>
      <c r="AT3792" s="1942"/>
      <c r="AU3792" s="1942"/>
      <c r="AV3792" s="1942"/>
      <c r="AW3792" s="1942"/>
      <c r="AX3792" s="1942"/>
      <c r="AY3792" s="1942"/>
      <c r="AZ3792" s="1942"/>
      <c r="BA3792" s="1942"/>
      <c r="BB3792" s="575"/>
      <c r="BC3792" s="576"/>
      <c r="BD3792" s="678"/>
      <c r="BE3792" s="585"/>
    </row>
    <row r="3793" spans="1:57" s="51" customFormat="1" ht="14.45" hidden="1" customHeight="1" outlineLevel="1" x14ac:dyDescent="0.25">
      <c r="A3793" s="2060"/>
      <c r="B3793" s="576"/>
      <c r="C3793" s="328"/>
      <c r="D3793" s="3990"/>
      <c r="E3793" s="4009"/>
      <c r="F3793" s="3016" t="str">
        <f t="shared" si="285"/>
        <v>ASHP-SEER20-Replace_CAC_ElectricHeat_ER1_MF</v>
      </c>
      <c r="G3793" s="2673"/>
      <c r="H3793" s="2673"/>
      <c r="I3793" s="2673"/>
      <c r="J3793" s="3302" t="str">
        <f t="shared" si="290"/>
        <v>354650_2019_12_</v>
      </c>
      <c r="K3793" s="865">
        <v>6</v>
      </c>
      <c r="L3793" s="861"/>
      <c r="M3793" s="858"/>
      <c r="N3793" s="123"/>
      <c r="O3793" s="228"/>
      <c r="P3793" s="844"/>
      <c r="Q3793" s="845"/>
      <c r="R3793" s="844"/>
      <c r="S3793" s="832"/>
      <c r="T3793" s="3082"/>
      <c r="U3793" s="123"/>
      <c r="V3793" s="4031"/>
      <c r="W3793" s="865">
        <v>6</v>
      </c>
      <c r="X3793" s="865">
        <v>6</v>
      </c>
      <c r="Y3793" s="865">
        <v>6</v>
      </c>
      <c r="Z3793" s="865">
        <v>6</v>
      </c>
      <c r="AA3793" s="865">
        <v>6</v>
      </c>
      <c r="AB3793" s="865">
        <v>6</v>
      </c>
      <c r="AC3793" s="865">
        <v>6</v>
      </c>
      <c r="AD3793" s="865"/>
      <c r="AE3793" s="865"/>
      <c r="AF3793" s="865"/>
      <c r="AG3793" s="865"/>
      <c r="AH3793" s="1942"/>
      <c r="AI3793" s="1942"/>
      <c r="AJ3793" s="1942"/>
      <c r="AK3793" s="1942"/>
      <c r="AL3793" s="1942"/>
      <c r="AM3793" s="1942"/>
      <c r="AN3793" s="1942"/>
      <c r="AO3793" s="1942"/>
      <c r="AP3793" s="1942"/>
      <c r="AQ3793" s="1942"/>
      <c r="AR3793" s="1942"/>
      <c r="AS3793" s="1942"/>
      <c r="AT3793" s="1942"/>
      <c r="AU3793" s="1942"/>
      <c r="AV3793" s="1942"/>
      <c r="AW3793" s="1942"/>
      <c r="AX3793" s="1942"/>
      <c r="AY3793" s="1942"/>
      <c r="AZ3793" s="1942"/>
      <c r="BA3793" s="1942"/>
      <c r="BB3793" s="575"/>
      <c r="BC3793" s="576"/>
      <c r="BD3793" s="678"/>
      <c r="BE3793" s="585"/>
    </row>
    <row r="3794" spans="1:57" s="51" customFormat="1" ht="14.45" hidden="1" customHeight="1" outlineLevel="1" x14ac:dyDescent="0.25">
      <c r="A3794" s="2060"/>
      <c r="B3794" s="576"/>
      <c r="C3794" s="328"/>
      <c r="D3794" s="3990"/>
      <c r="E3794" s="4009"/>
      <c r="F3794" s="3016" t="str">
        <f t="shared" si="285"/>
        <v>ASHP-SEER20-Replace_CAC_ElectricHeat_ER1_MF</v>
      </c>
      <c r="G3794" s="2673"/>
      <c r="H3794" s="2673"/>
      <c r="I3794" s="2673"/>
      <c r="J3794" s="3302" t="str">
        <f t="shared" si="290"/>
        <v>354650_2019_12_</v>
      </c>
      <c r="K3794" s="865">
        <v>6</v>
      </c>
      <c r="L3794" s="861"/>
      <c r="M3794" s="858"/>
      <c r="N3794" s="123"/>
      <c r="O3794" s="228"/>
      <c r="P3794" s="844"/>
      <c r="Q3794" s="845"/>
      <c r="R3794" s="844"/>
      <c r="S3794" s="832"/>
      <c r="T3794" s="3082"/>
      <c r="U3794" s="123"/>
      <c r="V3794" s="4031"/>
      <c r="W3794" s="865">
        <v>6</v>
      </c>
      <c r="X3794" s="865">
        <v>6</v>
      </c>
      <c r="Y3794" s="865">
        <v>6</v>
      </c>
      <c r="Z3794" s="865">
        <v>6</v>
      </c>
      <c r="AA3794" s="865">
        <v>6</v>
      </c>
      <c r="AB3794" s="865">
        <v>6</v>
      </c>
      <c r="AC3794" s="865">
        <v>6</v>
      </c>
      <c r="AD3794" s="865"/>
      <c r="AE3794" s="865"/>
      <c r="AF3794" s="865"/>
      <c r="AG3794" s="865"/>
      <c r="AH3794" s="1942"/>
      <c r="AI3794" s="1942"/>
      <c r="AJ3794" s="1942"/>
      <c r="AK3794" s="1942"/>
      <c r="AL3794" s="1942"/>
      <c r="AM3794" s="1942"/>
      <c r="AN3794" s="1942"/>
      <c r="AO3794" s="1942"/>
      <c r="AP3794" s="1942"/>
      <c r="AQ3794" s="1942"/>
      <c r="AR3794" s="1942"/>
      <c r="AS3794" s="1942"/>
      <c r="AT3794" s="1942"/>
      <c r="AU3794" s="1942"/>
      <c r="AV3794" s="1942"/>
      <c r="AW3794" s="1942"/>
      <c r="AX3794" s="1942"/>
      <c r="AY3794" s="1942"/>
      <c r="AZ3794" s="1942"/>
      <c r="BA3794" s="1942"/>
      <c r="BB3794" s="575"/>
      <c r="BC3794" s="576"/>
      <c r="BD3794" s="678"/>
      <c r="BE3794" s="585"/>
    </row>
    <row r="3795" spans="1:57" s="51" customFormat="1" ht="14.45" hidden="1" customHeight="1" outlineLevel="1" x14ac:dyDescent="0.25">
      <c r="A3795" s="2060"/>
      <c r="B3795" s="576"/>
      <c r="C3795" s="328"/>
      <c r="D3795" s="3990"/>
      <c r="E3795" s="4009"/>
      <c r="F3795" s="3016" t="str">
        <f t="shared" si="285"/>
        <v>ASHP-SEER20-Replace_CAC_ElectricHeat_ER2_MF</v>
      </c>
      <c r="G3795" s="2673"/>
      <c r="H3795" s="2673"/>
      <c r="I3795" s="2673"/>
      <c r="J3795" s="3302" t="str">
        <f t="shared" si="290"/>
        <v>354650_2019_12_</v>
      </c>
      <c r="K3795" s="865">
        <v>12</v>
      </c>
      <c r="L3795" s="861"/>
      <c r="M3795" s="858"/>
      <c r="N3795" s="123"/>
      <c r="O3795" s="228"/>
      <c r="P3795" s="844"/>
      <c r="Q3795" s="845"/>
      <c r="R3795" s="844"/>
      <c r="S3795" s="832"/>
      <c r="T3795" s="3082"/>
      <c r="U3795" s="123"/>
      <c r="V3795" s="4031"/>
      <c r="W3795" s="865">
        <v>12</v>
      </c>
      <c r="X3795" s="865">
        <v>12</v>
      </c>
      <c r="Y3795" s="865">
        <v>12</v>
      </c>
      <c r="Z3795" s="865">
        <v>12</v>
      </c>
      <c r="AA3795" s="865">
        <v>12</v>
      </c>
      <c r="AB3795" s="865">
        <v>12</v>
      </c>
      <c r="AC3795" s="865">
        <v>12</v>
      </c>
      <c r="AD3795" s="865"/>
      <c r="AE3795" s="865"/>
      <c r="AF3795" s="865"/>
      <c r="AG3795" s="865"/>
      <c r="AH3795" s="1942"/>
      <c r="AI3795" s="1942"/>
      <c r="AJ3795" s="1942"/>
      <c r="AK3795" s="1942"/>
      <c r="AL3795" s="1942"/>
      <c r="AM3795" s="1942"/>
      <c r="AN3795" s="1942"/>
      <c r="AO3795" s="1942"/>
      <c r="AP3795" s="1942"/>
      <c r="AQ3795" s="1942"/>
      <c r="AR3795" s="1942"/>
      <c r="AS3795" s="1942"/>
      <c r="AT3795" s="1942"/>
      <c r="AU3795" s="1942"/>
      <c r="AV3795" s="1942"/>
      <c r="AW3795" s="1942"/>
      <c r="AX3795" s="1942"/>
      <c r="AY3795" s="1942"/>
      <c r="AZ3795" s="1942"/>
      <c r="BA3795" s="1942"/>
      <c r="BB3795" s="575"/>
      <c r="BC3795" s="576"/>
      <c r="BD3795" s="678"/>
      <c r="BE3795" s="585"/>
    </row>
    <row r="3796" spans="1:57" s="51" customFormat="1" ht="14.45" hidden="1" customHeight="1" outlineLevel="1" x14ac:dyDescent="0.25">
      <c r="A3796" s="2060"/>
      <c r="B3796" s="576"/>
      <c r="C3796" s="328"/>
      <c r="D3796" s="3990"/>
      <c r="E3796" s="4009"/>
      <c r="F3796" s="3016" t="str">
        <f t="shared" si="285"/>
        <v>ASHP-SEER20-Replace_CAC_ElectricHeat_ER2_MF</v>
      </c>
      <c r="G3796" s="2673"/>
      <c r="H3796" s="2673"/>
      <c r="I3796" s="2673"/>
      <c r="J3796" s="3302" t="str">
        <f t="shared" si="290"/>
        <v>354650_2019_12_</v>
      </c>
      <c r="K3796" s="865">
        <v>12</v>
      </c>
      <c r="L3796" s="861"/>
      <c r="M3796" s="858"/>
      <c r="N3796" s="123"/>
      <c r="O3796" s="228"/>
      <c r="P3796" s="844"/>
      <c r="Q3796" s="845"/>
      <c r="R3796" s="844"/>
      <c r="S3796" s="832"/>
      <c r="T3796" s="3082"/>
      <c r="U3796" s="123"/>
      <c r="V3796" s="4031"/>
      <c r="W3796" s="865">
        <v>12</v>
      </c>
      <c r="X3796" s="865">
        <v>12</v>
      </c>
      <c r="Y3796" s="865">
        <v>12</v>
      </c>
      <c r="Z3796" s="865">
        <v>12</v>
      </c>
      <c r="AA3796" s="865">
        <v>12</v>
      </c>
      <c r="AB3796" s="865">
        <v>12</v>
      </c>
      <c r="AC3796" s="865">
        <v>12</v>
      </c>
      <c r="AD3796" s="865"/>
      <c r="AE3796" s="865"/>
      <c r="AF3796" s="865"/>
      <c r="AG3796" s="865"/>
      <c r="AH3796" s="1942"/>
      <c r="AI3796" s="1942"/>
      <c r="AJ3796" s="1942"/>
      <c r="AK3796" s="1942"/>
      <c r="AL3796" s="1942"/>
      <c r="AM3796" s="1942"/>
      <c r="AN3796" s="1942"/>
      <c r="AO3796" s="1942"/>
      <c r="AP3796" s="1942"/>
      <c r="AQ3796" s="1942"/>
      <c r="AR3796" s="1942"/>
      <c r="AS3796" s="1942"/>
      <c r="AT3796" s="1942"/>
      <c r="AU3796" s="1942"/>
      <c r="AV3796" s="1942"/>
      <c r="AW3796" s="1942"/>
      <c r="AX3796" s="1942"/>
      <c r="AY3796" s="1942"/>
      <c r="AZ3796" s="1942"/>
      <c r="BA3796" s="1942"/>
      <c r="BB3796" s="575"/>
      <c r="BC3796" s="576"/>
      <c r="BD3796" s="678"/>
      <c r="BE3796" s="585"/>
    </row>
    <row r="3797" spans="1:57" s="1942" customFormat="1" ht="14.45" hidden="1" customHeight="1" outlineLevel="1" x14ac:dyDescent="0.25">
      <c r="A3797" s="2060"/>
      <c r="B3797" s="576"/>
      <c r="C3797" s="328"/>
      <c r="D3797" s="3990"/>
      <c r="E3797" s="4009"/>
      <c r="F3797" s="3016" t="str">
        <f t="shared" si="285"/>
        <v>ASHP-SEER20-Replace_CAC_ElectricHeat_ER1_MF_CompE</v>
      </c>
      <c r="G3797" s="2673"/>
      <c r="H3797" s="2673"/>
      <c r="I3797" s="2673"/>
      <c r="J3797" s="3302" t="str">
        <f t="shared" ref="J3797:J3808" si="291">C1719</f>
        <v>354651_2019_12_</v>
      </c>
      <c r="K3797" s="3054">
        <v>6</v>
      </c>
      <c r="L3797" s="861"/>
      <c r="M3797" s="858"/>
      <c r="N3797" s="123"/>
      <c r="O3797" s="228"/>
      <c r="P3797" s="844"/>
      <c r="Q3797" s="845"/>
      <c r="R3797" s="844"/>
      <c r="S3797" s="832"/>
      <c r="T3797" s="3082"/>
      <c r="U3797" s="123"/>
      <c r="V3797" s="4031"/>
      <c r="W3797" s="865"/>
      <c r="X3797" s="865"/>
      <c r="Y3797" s="865"/>
      <c r="Z3797" s="865"/>
      <c r="AA3797" s="865"/>
      <c r="AB3797" s="865"/>
      <c r="AC3797" s="3054">
        <v>6</v>
      </c>
      <c r="AD3797" s="865"/>
      <c r="AE3797" s="865"/>
      <c r="AF3797" s="865"/>
      <c r="AG3797" s="865"/>
      <c r="BB3797" s="575"/>
      <c r="BC3797" s="576"/>
      <c r="BD3797" s="678"/>
      <c r="BE3797" s="585"/>
    </row>
    <row r="3798" spans="1:57" s="1942" customFormat="1" ht="14.45" hidden="1" customHeight="1" outlineLevel="1" x14ac:dyDescent="0.25">
      <c r="A3798" s="2060"/>
      <c r="B3798" s="576"/>
      <c r="C3798" s="328"/>
      <c r="D3798" s="3990"/>
      <c r="E3798" s="4009"/>
      <c r="F3798" s="3016" t="str">
        <f t="shared" si="285"/>
        <v>ASHP-SEER20-Replace_CAC_ElectricHeat_ER1_MF_CompE</v>
      </c>
      <c r="G3798" s="2673"/>
      <c r="H3798" s="2673"/>
      <c r="I3798" s="2673"/>
      <c r="J3798" s="3302" t="str">
        <f t="shared" si="291"/>
        <v>354651_2019_12_</v>
      </c>
      <c r="K3798" s="3054">
        <v>6</v>
      </c>
      <c r="L3798" s="861"/>
      <c r="M3798" s="858"/>
      <c r="N3798" s="123"/>
      <c r="O3798" s="228"/>
      <c r="P3798" s="844"/>
      <c r="Q3798" s="845"/>
      <c r="R3798" s="844"/>
      <c r="S3798" s="832"/>
      <c r="T3798" s="3082"/>
      <c r="U3798" s="123"/>
      <c r="V3798" s="4031"/>
      <c r="W3798" s="865"/>
      <c r="X3798" s="865"/>
      <c r="Y3798" s="865"/>
      <c r="Z3798" s="865"/>
      <c r="AA3798" s="865"/>
      <c r="AB3798" s="865"/>
      <c r="AC3798" s="3054">
        <v>6</v>
      </c>
      <c r="AD3798" s="865"/>
      <c r="AE3798" s="865"/>
      <c r="AF3798" s="865"/>
      <c r="AG3798" s="865"/>
      <c r="BB3798" s="575"/>
      <c r="BC3798" s="576"/>
      <c r="BD3798" s="678"/>
      <c r="BE3798" s="585"/>
    </row>
    <row r="3799" spans="1:57" s="1942" customFormat="1" ht="14.45" hidden="1" customHeight="1" outlineLevel="1" x14ac:dyDescent="0.25">
      <c r="A3799" s="2060"/>
      <c r="B3799" s="576"/>
      <c r="C3799" s="328"/>
      <c r="D3799" s="3990"/>
      <c r="E3799" s="4009"/>
      <c r="F3799" s="3016" t="str">
        <f t="shared" si="285"/>
        <v>ASHP-SEER20-Replace_CAC_ElectricHeat_ER2_MF_CompE</v>
      </c>
      <c r="G3799" s="2673"/>
      <c r="H3799" s="2673"/>
      <c r="I3799" s="2673"/>
      <c r="J3799" s="3302" t="str">
        <f t="shared" si="291"/>
        <v>354651_2019_12_</v>
      </c>
      <c r="K3799" s="3054">
        <v>12</v>
      </c>
      <c r="L3799" s="861"/>
      <c r="M3799" s="858"/>
      <c r="N3799" s="123"/>
      <c r="O3799" s="228"/>
      <c r="P3799" s="844"/>
      <c r="Q3799" s="845"/>
      <c r="R3799" s="844"/>
      <c r="S3799" s="832"/>
      <c r="T3799" s="3082"/>
      <c r="U3799" s="123"/>
      <c r="V3799" s="4031"/>
      <c r="W3799" s="865"/>
      <c r="X3799" s="865"/>
      <c r="Y3799" s="865"/>
      <c r="Z3799" s="865"/>
      <c r="AA3799" s="865"/>
      <c r="AB3799" s="865"/>
      <c r="AC3799" s="3054">
        <v>12</v>
      </c>
      <c r="AD3799" s="865"/>
      <c r="AE3799" s="865"/>
      <c r="AF3799" s="865"/>
      <c r="AG3799" s="865"/>
      <c r="BB3799" s="575"/>
      <c r="BC3799" s="576"/>
      <c r="BD3799" s="678"/>
      <c r="BE3799" s="585"/>
    </row>
    <row r="3800" spans="1:57" s="1942" customFormat="1" ht="14.45" hidden="1" customHeight="1" outlineLevel="1" x14ac:dyDescent="0.25">
      <c r="A3800" s="2060"/>
      <c r="B3800" s="576"/>
      <c r="C3800" s="328"/>
      <c r="D3800" s="3990"/>
      <c r="E3800" s="4009"/>
      <c r="F3800" s="3016" t="str">
        <f t="shared" si="285"/>
        <v>ASHP-SEER20-Replace_CAC_ElectricHeat_ER2_MF_CompE</v>
      </c>
      <c r="G3800" s="2673"/>
      <c r="H3800" s="2673"/>
      <c r="I3800" s="2673"/>
      <c r="J3800" s="3302" t="str">
        <f t="shared" si="291"/>
        <v>354651_2019_12_</v>
      </c>
      <c r="K3800" s="3054">
        <v>12</v>
      </c>
      <c r="L3800" s="861"/>
      <c r="M3800" s="858"/>
      <c r="N3800" s="123"/>
      <c r="O3800" s="228"/>
      <c r="P3800" s="844"/>
      <c r="Q3800" s="845"/>
      <c r="R3800" s="844"/>
      <c r="S3800" s="832"/>
      <c r="T3800" s="3082"/>
      <c r="U3800" s="123"/>
      <c r="V3800" s="4031"/>
      <c r="W3800" s="865"/>
      <c r="X3800" s="865"/>
      <c r="Y3800" s="865"/>
      <c r="Z3800" s="865"/>
      <c r="AA3800" s="865"/>
      <c r="AB3800" s="865"/>
      <c r="AC3800" s="3054">
        <v>12</v>
      </c>
      <c r="AD3800" s="865"/>
      <c r="AE3800" s="865"/>
      <c r="AF3800" s="865"/>
      <c r="AG3800" s="865"/>
      <c r="BB3800" s="575"/>
      <c r="BC3800" s="576"/>
      <c r="BD3800" s="678"/>
      <c r="BE3800" s="585"/>
    </row>
    <row r="3801" spans="1:57" s="1942" customFormat="1" ht="14.45" hidden="1" customHeight="1" outlineLevel="1" x14ac:dyDescent="0.25">
      <c r="A3801" s="2060"/>
      <c r="B3801" s="576"/>
      <c r="C3801" s="328"/>
      <c r="D3801" s="3990"/>
      <c r="E3801" s="4009"/>
      <c r="F3801" s="3016" t="str">
        <f t="shared" si="285"/>
        <v>ASHP-SEER20-Replace_CAC_NonElectricHeat_ER1_MF</v>
      </c>
      <c r="G3801" s="2673"/>
      <c r="H3801" s="2673"/>
      <c r="I3801" s="2673"/>
      <c r="J3801" s="3301" t="str">
        <f t="shared" si="291"/>
        <v>354660_2021_12_</v>
      </c>
      <c r="K3801" s="3054">
        <v>6</v>
      </c>
      <c r="L3801" s="861"/>
      <c r="M3801" s="858"/>
      <c r="N3801" s="123"/>
      <c r="O3801" s="228"/>
      <c r="P3801" s="844"/>
      <c r="Q3801" s="845"/>
      <c r="R3801" s="844"/>
      <c r="S3801" s="832"/>
      <c r="T3801" s="3082"/>
      <c r="U3801" s="123"/>
      <c r="V3801" s="4031"/>
      <c r="W3801" s="865"/>
      <c r="X3801" s="865"/>
      <c r="Y3801" s="865"/>
      <c r="Z3801" s="865"/>
      <c r="AA3801" s="865"/>
      <c r="AB3801" s="865"/>
      <c r="AC3801" s="3054">
        <v>6</v>
      </c>
      <c r="AD3801" s="865"/>
      <c r="AE3801" s="865"/>
      <c r="AF3801" s="865"/>
      <c r="AG3801" s="865"/>
      <c r="BB3801" s="575"/>
      <c r="BC3801" s="576"/>
      <c r="BD3801" s="678"/>
      <c r="BE3801" s="585"/>
    </row>
    <row r="3802" spans="1:57" s="1942" customFormat="1" ht="14.45" hidden="1" customHeight="1" outlineLevel="1" x14ac:dyDescent="0.25">
      <c r="A3802" s="2060"/>
      <c r="B3802" s="576"/>
      <c r="C3802" s="328"/>
      <c r="D3802" s="3990"/>
      <c r="E3802" s="4009"/>
      <c r="F3802" s="3016" t="str">
        <f t="shared" si="285"/>
        <v>ASHP-SEER20-Replace_CAC_NonElectricHeat_ER1_MF</v>
      </c>
      <c r="G3802" s="2673"/>
      <c r="H3802" s="2673"/>
      <c r="I3802" s="2673"/>
      <c r="J3802" s="3301" t="str">
        <f t="shared" si="291"/>
        <v>354660_2021_12_</v>
      </c>
      <c r="K3802" s="3054">
        <v>6</v>
      </c>
      <c r="L3802" s="861"/>
      <c r="M3802" s="858"/>
      <c r="N3802" s="123"/>
      <c r="O3802" s="228"/>
      <c r="P3802" s="844"/>
      <c r="Q3802" s="845"/>
      <c r="R3802" s="844"/>
      <c r="S3802" s="832"/>
      <c r="T3802" s="3082"/>
      <c r="U3802" s="123"/>
      <c r="V3802" s="4031"/>
      <c r="W3802" s="865"/>
      <c r="X3802" s="865"/>
      <c r="Y3802" s="865"/>
      <c r="Z3802" s="865"/>
      <c r="AA3802" s="865"/>
      <c r="AB3802" s="865"/>
      <c r="AC3802" s="3054">
        <v>6</v>
      </c>
      <c r="AD3802" s="865"/>
      <c r="AE3802" s="865"/>
      <c r="AF3802" s="865"/>
      <c r="AG3802" s="865"/>
      <c r="BB3802" s="575"/>
      <c r="BC3802" s="576"/>
      <c r="BD3802" s="678"/>
      <c r="BE3802" s="585"/>
    </row>
    <row r="3803" spans="1:57" s="1942" customFormat="1" ht="14.45" hidden="1" customHeight="1" outlineLevel="1" x14ac:dyDescent="0.25">
      <c r="A3803" s="2060"/>
      <c r="B3803" s="576"/>
      <c r="C3803" s="328"/>
      <c r="D3803" s="3990"/>
      <c r="E3803" s="4009"/>
      <c r="F3803" s="3016" t="str">
        <f t="shared" si="285"/>
        <v>ASHP-SEER20-Replace_CAC_NonElectricHeat_ER2_MF</v>
      </c>
      <c r="G3803" s="2673"/>
      <c r="H3803" s="2673"/>
      <c r="I3803" s="2673"/>
      <c r="J3803" s="3301" t="str">
        <f t="shared" si="291"/>
        <v>354660_2021_12_</v>
      </c>
      <c r="K3803" s="3054">
        <v>12</v>
      </c>
      <c r="L3803" s="861"/>
      <c r="M3803" s="858"/>
      <c r="N3803" s="123"/>
      <c r="O3803" s="228"/>
      <c r="P3803" s="844"/>
      <c r="Q3803" s="845"/>
      <c r="R3803" s="844"/>
      <c r="S3803" s="832"/>
      <c r="T3803" s="3082"/>
      <c r="U3803" s="123"/>
      <c r="V3803" s="4031"/>
      <c r="W3803" s="865"/>
      <c r="X3803" s="865"/>
      <c r="Y3803" s="865"/>
      <c r="Z3803" s="865"/>
      <c r="AA3803" s="865"/>
      <c r="AB3803" s="865"/>
      <c r="AC3803" s="3054">
        <v>12</v>
      </c>
      <c r="AD3803" s="865"/>
      <c r="AE3803" s="865"/>
      <c r="AF3803" s="865"/>
      <c r="AG3803" s="865"/>
      <c r="BB3803" s="575"/>
      <c r="BC3803" s="576"/>
      <c r="BD3803" s="678"/>
      <c r="BE3803" s="585"/>
    </row>
    <row r="3804" spans="1:57" s="1942" customFormat="1" ht="14.45" hidden="1" customHeight="1" outlineLevel="1" x14ac:dyDescent="0.25">
      <c r="A3804" s="2060"/>
      <c r="B3804" s="576"/>
      <c r="C3804" s="328"/>
      <c r="D3804" s="3990"/>
      <c r="E3804" s="4009"/>
      <c r="F3804" s="3016" t="str">
        <f t="shared" si="285"/>
        <v>ASHP-SEER20-Replace_CAC_NonElectricHeat_ER2_MF</v>
      </c>
      <c r="G3804" s="2673"/>
      <c r="H3804" s="2673"/>
      <c r="I3804" s="2673"/>
      <c r="J3804" s="3301" t="str">
        <f t="shared" si="291"/>
        <v>354660_2021_12_</v>
      </c>
      <c r="K3804" s="3054">
        <v>12</v>
      </c>
      <c r="L3804" s="861"/>
      <c r="M3804" s="858"/>
      <c r="N3804" s="123"/>
      <c r="O3804" s="228"/>
      <c r="P3804" s="844"/>
      <c r="Q3804" s="845"/>
      <c r="R3804" s="844"/>
      <c r="S3804" s="832"/>
      <c r="T3804" s="3082"/>
      <c r="U3804" s="123"/>
      <c r="V3804" s="4031"/>
      <c r="W3804" s="865"/>
      <c r="X3804" s="865"/>
      <c r="Y3804" s="865"/>
      <c r="Z3804" s="865"/>
      <c r="AA3804" s="865"/>
      <c r="AB3804" s="865"/>
      <c r="AC3804" s="3054">
        <v>12</v>
      </c>
      <c r="AD3804" s="865"/>
      <c r="AE3804" s="865"/>
      <c r="AF3804" s="865"/>
      <c r="AG3804" s="865"/>
      <c r="BB3804" s="575"/>
      <c r="BC3804" s="576"/>
      <c r="BD3804" s="678"/>
      <c r="BE3804" s="585"/>
    </row>
    <row r="3805" spans="1:57" s="1942" customFormat="1" ht="14.45" hidden="1" customHeight="1" outlineLevel="1" x14ac:dyDescent="0.25">
      <c r="A3805" s="2060"/>
      <c r="B3805" s="576"/>
      <c r="C3805" s="328"/>
      <c r="D3805" s="3990"/>
      <c r="E3805" s="4009"/>
      <c r="F3805" s="3016" t="str">
        <f t="shared" si="285"/>
        <v>ASHP-SEER20-Replace_CAC_NonElectricHeat_ER1_MF_CompE</v>
      </c>
      <c r="G3805" s="2673"/>
      <c r="H3805" s="2673"/>
      <c r="I3805" s="2673"/>
      <c r="J3805" s="3301" t="str">
        <f t="shared" si="291"/>
        <v>354661_2021_12_</v>
      </c>
      <c r="K3805" s="3054">
        <v>6</v>
      </c>
      <c r="L3805" s="861"/>
      <c r="M3805" s="858"/>
      <c r="N3805" s="123"/>
      <c r="O3805" s="228"/>
      <c r="P3805" s="844"/>
      <c r="Q3805" s="845"/>
      <c r="R3805" s="844"/>
      <c r="S3805" s="832"/>
      <c r="T3805" s="3082"/>
      <c r="U3805" s="123"/>
      <c r="V3805" s="4031"/>
      <c r="W3805" s="865"/>
      <c r="X3805" s="865"/>
      <c r="Y3805" s="865"/>
      <c r="Z3805" s="865"/>
      <c r="AA3805" s="865"/>
      <c r="AB3805" s="865"/>
      <c r="AC3805" s="3054">
        <v>6</v>
      </c>
      <c r="AD3805" s="865"/>
      <c r="AE3805" s="865"/>
      <c r="AF3805" s="865"/>
      <c r="AG3805" s="865"/>
      <c r="BB3805" s="575"/>
      <c r="BC3805" s="576"/>
      <c r="BD3805" s="678"/>
      <c r="BE3805" s="585"/>
    </row>
    <row r="3806" spans="1:57" s="1942" customFormat="1" ht="14.45" hidden="1" customHeight="1" outlineLevel="1" x14ac:dyDescent="0.25">
      <c r="A3806" s="2060"/>
      <c r="B3806" s="576"/>
      <c r="C3806" s="328"/>
      <c r="D3806" s="3990"/>
      <c r="E3806" s="4009"/>
      <c r="F3806" s="3016" t="str">
        <f t="shared" si="285"/>
        <v>ASHP-SEER20-Replace_CAC_NonElectricHeat_ER1_MF_CompE</v>
      </c>
      <c r="G3806" s="2673"/>
      <c r="H3806" s="2673"/>
      <c r="I3806" s="2673"/>
      <c r="J3806" s="3301" t="str">
        <f t="shared" si="291"/>
        <v>354661_2021_12_</v>
      </c>
      <c r="K3806" s="3054">
        <v>6</v>
      </c>
      <c r="L3806" s="861"/>
      <c r="M3806" s="858"/>
      <c r="N3806" s="123"/>
      <c r="O3806" s="228"/>
      <c r="P3806" s="844"/>
      <c r="Q3806" s="845"/>
      <c r="R3806" s="844"/>
      <c r="S3806" s="832"/>
      <c r="T3806" s="3082"/>
      <c r="U3806" s="123"/>
      <c r="V3806" s="4031"/>
      <c r="W3806" s="865"/>
      <c r="X3806" s="865"/>
      <c r="Y3806" s="865"/>
      <c r="Z3806" s="865"/>
      <c r="AA3806" s="865"/>
      <c r="AB3806" s="865"/>
      <c r="AC3806" s="3054">
        <v>6</v>
      </c>
      <c r="AD3806" s="865"/>
      <c r="AE3806" s="865"/>
      <c r="AF3806" s="865"/>
      <c r="AG3806" s="865"/>
      <c r="BB3806" s="575"/>
      <c r="BC3806" s="576"/>
      <c r="BD3806" s="678"/>
      <c r="BE3806" s="585"/>
    </row>
    <row r="3807" spans="1:57" s="1942" customFormat="1" ht="14.45" hidden="1" customHeight="1" outlineLevel="1" x14ac:dyDescent="0.25">
      <c r="A3807" s="2060"/>
      <c r="B3807" s="576"/>
      <c r="C3807" s="328"/>
      <c r="D3807" s="3990"/>
      <c r="E3807" s="4009"/>
      <c r="F3807" s="3016" t="str">
        <f t="shared" si="285"/>
        <v>ASHP-SEER20-Replace_CAC_NonElectricHeat_ER2_MF_CompE</v>
      </c>
      <c r="G3807" s="2673"/>
      <c r="H3807" s="2673"/>
      <c r="I3807" s="2673"/>
      <c r="J3807" s="3301" t="str">
        <f t="shared" si="291"/>
        <v>354661_2021_12_</v>
      </c>
      <c r="K3807" s="3054">
        <v>12</v>
      </c>
      <c r="L3807" s="861"/>
      <c r="M3807" s="858"/>
      <c r="N3807" s="123"/>
      <c r="O3807" s="228"/>
      <c r="P3807" s="844"/>
      <c r="Q3807" s="845"/>
      <c r="R3807" s="844"/>
      <c r="S3807" s="832"/>
      <c r="T3807" s="3082"/>
      <c r="U3807" s="123"/>
      <c r="V3807" s="4031"/>
      <c r="W3807" s="865"/>
      <c r="X3807" s="865"/>
      <c r="Y3807" s="865"/>
      <c r="Z3807" s="865"/>
      <c r="AA3807" s="865"/>
      <c r="AB3807" s="865"/>
      <c r="AC3807" s="3054">
        <v>12</v>
      </c>
      <c r="AD3807" s="865"/>
      <c r="AE3807" s="865"/>
      <c r="AF3807" s="865"/>
      <c r="AG3807" s="865"/>
      <c r="BB3807" s="575"/>
      <c r="BC3807" s="576"/>
      <c r="BD3807" s="678"/>
      <c r="BE3807" s="585"/>
    </row>
    <row r="3808" spans="1:57" s="1942" customFormat="1" ht="14.45" hidden="1" customHeight="1" outlineLevel="1" x14ac:dyDescent="0.25">
      <c r="A3808" s="2060"/>
      <c r="B3808" s="576"/>
      <c r="C3808" s="328"/>
      <c r="D3808" s="3990"/>
      <c r="E3808" s="4009"/>
      <c r="F3808" s="3016" t="str">
        <f t="shared" si="285"/>
        <v>ASHP-SEER20-Replace_CAC_NonElectricHeat_ER2_MF_CompE</v>
      </c>
      <c r="G3808" s="2673"/>
      <c r="H3808" s="2673"/>
      <c r="I3808" s="2673"/>
      <c r="J3808" s="3301" t="str">
        <f t="shared" si="291"/>
        <v>354661_2021_12_</v>
      </c>
      <c r="K3808" s="3054">
        <v>12</v>
      </c>
      <c r="L3808" s="861"/>
      <c r="M3808" s="858"/>
      <c r="N3808" s="123"/>
      <c r="O3808" s="228"/>
      <c r="P3808" s="844"/>
      <c r="Q3808" s="845"/>
      <c r="R3808" s="844"/>
      <c r="S3808" s="832"/>
      <c r="T3808" s="3082"/>
      <c r="U3808" s="123"/>
      <c r="V3808" s="4031"/>
      <c r="W3808" s="865"/>
      <c r="X3808" s="865"/>
      <c r="Y3808" s="865"/>
      <c r="Z3808" s="865"/>
      <c r="AA3808" s="865"/>
      <c r="AB3808" s="865"/>
      <c r="AC3808" s="3054">
        <v>12</v>
      </c>
      <c r="AD3808" s="865"/>
      <c r="AE3808" s="865"/>
      <c r="AF3808" s="865"/>
      <c r="AG3808" s="865"/>
      <c r="BB3808" s="575"/>
      <c r="BC3808" s="576"/>
      <c r="BD3808" s="678"/>
      <c r="BE3808" s="585"/>
    </row>
    <row r="3809" spans="1:57" s="51" customFormat="1" ht="14.45" hidden="1" customHeight="1" outlineLevel="1" x14ac:dyDescent="0.25">
      <c r="A3809" s="2060"/>
      <c r="B3809" s="576"/>
      <c r="C3809" s="328"/>
      <c r="D3809" s="3990"/>
      <c r="E3809" s="4009"/>
      <c r="F3809" s="3016" t="str">
        <f t="shared" si="285"/>
        <v>ASHP-SEER20_ER1_MF</v>
      </c>
      <c r="G3809" s="2673"/>
      <c r="H3809" s="2673"/>
      <c r="I3809" s="2673"/>
      <c r="J3809" s="3302" t="str">
        <f>C1731</f>
        <v>354700_2019_12_</v>
      </c>
      <c r="K3809" s="865">
        <v>6</v>
      </c>
      <c r="L3809" s="861"/>
      <c r="M3809" s="858"/>
      <c r="N3809" s="123"/>
      <c r="O3809" s="228"/>
      <c r="P3809" s="844"/>
      <c r="Q3809" s="845"/>
      <c r="R3809" s="844"/>
      <c r="S3809" s="832"/>
      <c r="T3809" s="3082"/>
      <c r="U3809" s="123"/>
      <c r="V3809" s="4031"/>
      <c r="W3809" s="865">
        <v>6</v>
      </c>
      <c r="X3809" s="865">
        <v>6</v>
      </c>
      <c r="Y3809" s="865">
        <v>6</v>
      </c>
      <c r="Z3809" s="865">
        <v>6</v>
      </c>
      <c r="AA3809" s="865">
        <v>6</v>
      </c>
      <c r="AB3809" s="865">
        <v>6</v>
      </c>
      <c r="AC3809" s="865">
        <v>6</v>
      </c>
      <c r="AD3809" s="865"/>
      <c r="AE3809" s="865"/>
      <c r="AF3809" s="865"/>
      <c r="AG3809" s="865"/>
      <c r="AH3809" s="1942"/>
      <c r="AI3809" s="1942"/>
      <c r="AJ3809" s="1942"/>
      <c r="AK3809" s="1942"/>
      <c r="AL3809" s="1942"/>
      <c r="AM3809" s="1942"/>
      <c r="AN3809" s="1942"/>
      <c r="AO3809" s="1942"/>
      <c r="AP3809" s="1942"/>
      <c r="AQ3809" s="1942"/>
      <c r="AR3809" s="1942"/>
      <c r="AS3809" s="1942"/>
      <c r="AT3809" s="1942"/>
      <c r="AU3809" s="1942"/>
      <c r="AV3809" s="1942"/>
      <c r="AW3809" s="1942"/>
      <c r="AX3809" s="1942"/>
      <c r="AY3809" s="1942"/>
      <c r="AZ3809" s="1942"/>
      <c r="BA3809" s="1942"/>
      <c r="BB3809" s="575"/>
      <c r="BC3809" s="576"/>
      <c r="BD3809" s="678"/>
      <c r="BE3809" s="585"/>
    </row>
    <row r="3810" spans="1:57" s="51" customFormat="1" ht="14.45" hidden="1" customHeight="1" outlineLevel="1" x14ac:dyDescent="0.25">
      <c r="A3810" s="2060"/>
      <c r="B3810" s="576"/>
      <c r="C3810" s="328"/>
      <c r="D3810" s="3990"/>
      <c r="E3810" s="4009"/>
      <c r="F3810" s="3016" t="str">
        <f t="shared" si="285"/>
        <v>ASHP-SEER20_ER1_MF</v>
      </c>
      <c r="G3810" s="2673"/>
      <c r="H3810" s="2673"/>
      <c r="I3810" s="2673"/>
      <c r="J3810" s="3302" t="str">
        <f>C1732</f>
        <v>354700_2019_12_</v>
      </c>
      <c r="K3810" s="865">
        <v>6</v>
      </c>
      <c r="L3810" s="861"/>
      <c r="M3810" s="858"/>
      <c r="N3810" s="123"/>
      <c r="O3810" s="228"/>
      <c r="P3810" s="844"/>
      <c r="Q3810" s="845"/>
      <c r="R3810" s="844"/>
      <c r="S3810" s="832"/>
      <c r="T3810" s="3082"/>
      <c r="U3810" s="123"/>
      <c r="V3810" s="4031"/>
      <c r="W3810" s="865">
        <v>6</v>
      </c>
      <c r="X3810" s="865">
        <v>6</v>
      </c>
      <c r="Y3810" s="865">
        <v>6</v>
      </c>
      <c r="Z3810" s="865">
        <v>6</v>
      </c>
      <c r="AA3810" s="865">
        <v>6</v>
      </c>
      <c r="AB3810" s="865">
        <v>6</v>
      </c>
      <c r="AC3810" s="865">
        <v>6</v>
      </c>
      <c r="AD3810" s="865"/>
      <c r="AE3810" s="865"/>
      <c r="AF3810" s="865"/>
      <c r="AG3810" s="865"/>
      <c r="AH3810" s="1942"/>
      <c r="AI3810" s="1942"/>
      <c r="AJ3810" s="1942"/>
      <c r="AK3810" s="1942"/>
      <c r="AL3810" s="1942"/>
      <c r="AM3810" s="1942"/>
      <c r="AN3810" s="1942"/>
      <c r="AO3810" s="1942"/>
      <c r="AP3810" s="1942"/>
      <c r="AQ3810" s="1942"/>
      <c r="AR3810" s="1942"/>
      <c r="AS3810" s="1942"/>
      <c r="AT3810" s="1942"/>
      <c r="AU3810" s="1942"/>
      <c r="AV3810" s="1942"/>
      <c r="AW3810" s="1942"/>
      <c r="AX3810" s="1942"/>
      <c r="AY3810" s="1942"/>
      <c r="AZ3810" s="1942"/>
      <c r="BA3810" s="1942"/>
      <c r="BB3810" s="575"/>
      <c r="BC3810" s="576"/>
      <c r="BD3810" s="678"/>
      <c r="BE3810" s="585"/>
    </row>
    <row r="3811" spans="1:57" s="51" customFormat="1" ht="14.45" hidden="1" customHeight="1" outlineLevel="1" x14ac:dyDescent="0.25">
      <c r="A3811" s="2060"/>
      <c r="B3811" s="576"/>
      <c r="C3811" s="328"/>
      <c r="D3811" s="3990"/>
      <c r="E3811" s="4009"/>
      <c r="F3811" s="3016" t="str">
        <f t="shared" si="285"/>
        <v>ASHP-SEER20_ER2_MF</v>
      </c>
      <c r="G3811" s="2673"/>
      <c r="H3811" s="2673"/>
      <c r="I3811" s="2673"/>
      <c r="J3811" s="3302" t="str">
        <f>C1733</f>
        <v>354700_2019_12_</v>
      </c>
      <c r="K3811" s="865">
        <v>12</v>
      </c>
      <c r="L3811" s="861"/>
      <c r="M3811" s="858"/>
      <c r="N3811" s="123"/>
      <c r="O3811" s="228"/>
      <c r="P3811" s="844"/>
      <c r="Q3811" s="845"/>
      <c r="R3811" s="844"/>
      <c r="S3811" s="832"/>
      <c r="T3811" s="3082"/>
      <c r="U3811" s="123"/>
      <c r="V3811" s="4031"/>
      <c r="W3811" s="865">
        <v>12</v>
      </c>
      <c r="X3811" s="865">
        <v>12</v>
      </c>
      <c r="Y3811" s="865">
        <v>12</v>
      </c>
      <c r="Z3811" s="865">
        <v>12</v>
      </c>
      <c r="AA3811" s="865">
        <v>12</v>
      </c>
      <c r="AB3811" s="865">
        <v>12</v>
      </c>
      <c r="AC3811" s="865">
        <v>12</v>
      </c>
      <c r="AD3811" s="865"/>
      <c r="AE3811" s="865"/>
      <c r="AF3811" s="865"/>
      <c r="AG3811" s="865"/>
      <c r="AH3811" s="1942"/>
      <c r="AI3811" s="1942"/>
      <c r="AJ3811" s="1942"/>
      <c r="AK3811" s="1942"/>
      <c r="AL3811" s="1942"/>
      <c r="AM3811" s="1942"/>
      <c r="AN3811" s="1942"/>
      <c r="AO3811" s="1942"/>
      <c r="AP3811" s="1942"/>
      <c r="AQ3811" s="1942"/>
      <c r="AR3811" s="1942"/>
      <c r="AS3811" s="1942"/>
      <c r="AT3811" s="1942"/>
      <c r="AU3811" s="1942"/>
      <c r="AV3811" s="1942"/>
      <c r="AW3811" s="1942"/>
      <c r="AX3811" s="1942"/>
      <c r="AY3811" s="1942"/>
      <c r="AZ3811" s="1942"/>
      <c r="BA3811" s="1942"/>
      <c r="BB3811" s="575"/>
      <c r="BC3811" s="576"/>
      <c r="BD3811" s="678"/>
      <c r="BE3811" s="585"/>
    </row>
    <row r="3812" spans="1:57" s="51" customFormat="1" ht="14.45" hidden="1" customHeight="1" outlineLevel="1" x14ac:dyDescent="0.25">
      <c r="A3812" s="2060"/>
      <c r="B3812" s="576"/>
      <c r="C3812" s="328"/>
      <c r="D3812" s="3990"/>
      <c r="E3812" s="4009"/>
      <c r="F3812" s="3016" t="str">
        <f t="shared" si="285"/>
        <v>ASHP-SEER20_ER2_MF</v>
      </c>
      <c r="G3812" s="2673"/>
      <c r="H3812" s="2673"/>
      <c r="I3812" s="2673"/>
      <c r="J3812" s="3302" t="str">
        <f>C1734</f>
        <v>354700_2019_12_</v>
      </c>
      <c r="K3812" s="865">
        <v>12</v>
      </c>
      <c r="L3812" s="861"/>
      <c r="M3812" s="858"/>
      <c r="N3812" s="123"/>
      <c r="O3812" s="228"/>
      <c r="P3812" s="844"/>
      <c r="Q3812" s="845"/>
      <c r="R3812" s="844"/>
      <c r="S3812" s="832"/>
      <c r="T3812" s="3082"/>
      <c r="U3812" s="123"/>
      <c r="V3812" s="4031"/>
      <c r="W3812" s="865">
        <v>12</v>
      </c>
      <c r="X3812" s="865">
        <v>12</v>
      </c>
      <c r="Y3812" s="865">
        <v>12</v>
      </c>
      <c r="Z3812" s="865">
        <v>12</v>
      </c>
      <c r="AA3812" s="865">
        <v>12</v>
      </c>
      <c r="AB3812" s="865">
        <v>12</v>
      </c>
      <c r="AC3812" s="865">
        <v>12</v>
      </c>
      <c r="AD3812" s="865"/>
      <c r="AE3812" s="865"/>
      <c r="AF3812" s="865"/>
      <c r="AG3812" s="865"/>
      <c r="AH3812" s="1942"/>
      <c r="AI3812" s="1942"/>
      <c r="AJ3812" s="1942"/>
      <c r="AK3812" s="1942"/>
      <c r="AL3812" s="1942"/>
      <c r="AM3812" s="1942"/>
      <c r="AN3812" s="1942"/>
      <c r="AO3812" s="1942"/>
      <c r="AP3812" s="1942"/>
      <c r="AQ3812" s="1942"/>
      <c r="AR3812" s="1942"/>
      <c r="AS3812" s="1942"/>
      <c r="AT3812" s="1942"/>
      <c r="AU3812" s="1942"/>
      <c r="AV3812" s="1942"/>
      <c r="AW3812" s="1942"/>
      <c r="AX3812" s="1942"/>
      <c r="AY3812" s="1942"/>
      <c r="AZ3812" s="1942"/>
      <c r="BA3812" s="1942"/>
      <c r="BB3812" s="575"/>
      <c r="BC3812" s="576"/>
      <c r="BD3812" s="678"/>
      <c r="BE3812" s="585"/>
    </row>
    <row r="3813" spans="1:57" s="1942" customFormat="1" ht="14.45" hidden="1" customHeight="1" outlineLevel="1" x14ac:dyDescent="0.25">
      <c r="A3813" s="2060"/>
      <c r="B3813" s="576"/>
      <c r="C3813" s="328"/>
      <c r="D3813" s="3990"/>
      <c r="E3813" s="4009"/>
      <c r="F3813" s="3016" t="str">
        <f t="shared" ref="F3813:F3858" si="292">E1735</f>
        <v>ASHP-SEER20_ER1_MF_CompE</v>
      </c>
      <c r="G3813" s="2673"/>
      <c r="H3813" s="2673"/>
      <c r="I3813" s="2673"/>
      <c r="J3813" s="3302" t="str">
        <f t="shared" ref="J3813:J3816" si="293">C1735</f>
        <v>354701_2019_12_</v>
      </c>
      <c r="K3813" s="3054">
        <v>6</v>
      </c>
      <c r="L3813" s="861"/>
      <c r="M3813" s="858"/>
      <c r="N3813" s="123"/>
      <c r="O3813" s="228"/>
      <c r="P3813" s="844"/>
      <c r="Q3813" s="845"/>
      <c r="R3813" s="844"/>
      <c r="S3813" s="832"/>
      <c r="T3813" s="3082"/>
      <c r="U3813" s="123"/>
      <c r="V3813" s="4031"/>
      <c r="W3813" s="865"/>
      <c r="X3813" s="865"/>
      <c r="Y3813" s="865"/>
      <c r="Z3813" s="865"/>
      <c r="AA3813" s="865"/>
      <c r="AB3813" s="865"/>
      <c r="AC3813" s="3054">
        <v>6</v>
      </c>
      <c r="AD3813" s="865"/>
      <c r="AE3813" s="865"/>
      <c r="AF3813" s="865"/>
      <c r="AG3813" s="865"/>
      <c r="BB3813" s="575"/>
      <c r="BC3813" s="576"/>
      <c r="BD3813" s="678"/>
      <c r="BE3813" s="585"/>
    </row>
    <row r="3814" spans="1:57" s="1942" customFormat="1" ht="14.45" hidden="1" customHeight="1" outlineLevel="1" x14ac:dyDescent="0.25">
      <c r="A3814" s="2060"/>
      <c r="B3814" s="576"/>
      <c r="C3814" s="328"/>
      <c r="D3814" s="3990"/>
      <c r="E3814" s="4009"/>
      <c r="F3814" s="3016" t="str">
        <f t="shared" si="292"/>
        <v>ASHP-SEER20_ER1_MF_CompE</v>
      </c>
      <c r="G3814" s="2673"/>
      <c r="H3814" s="2673"/>
      <c r="I3814" s="2673"/>
      <c r="J3814" s="3302" t="str">
        <f t="shared" si="293"/>
        <v>354701_2019_12_</v>
      </c>
      <c r="K3814" s="3054">
        <v>6</v>
      </c>
      <c r="L3814" s="861"/>
      <c r="M3814" s="858"/>
      <c r="N3814" s="123"/>
      <c r="O3814" s="228"/>
      <c r="P3814" s="844"/>
      <c r="Q3814" s="845"/>
      <c r="R3814" s="844"/>
      <c r="S3814" s="832"/>
      <c r="T3814" s="3082"/>
      <c r="U3814" s="123"/>
      <c r="V3814" s="4031"/>
      <c r="W3814" s="865"/>
      <c r="X3814" s="865"/>
      <c r="Y3814" s="865"/>
      <c r="Z3814" s="865"/>
      <c r="AA3814" s="865"/>
      <c r="AB3814" s="865"/>
      <c r="AC3814" s="3054">
        <v>6</v>
      </c>
      <c r="AD3814" s="865"/>
      <c r="AE3814" s="865"/>
      <c r="AF3814" s="865"/>
      <c r="AG3814" s="865"/>
      <c r="BB3814" s="575"/>
      <c r="BC3814" s="576"/>
      <c r="BD3814" s="678"/>
      <c r="BE3814" s="585"/>
    </row>
    <row r="3815" spans="1:57" s="1942" customFormat="1" ht="14.45" hidden="1" customHeight="1" outlineLevel="1" x14ac:dyDescent="0.25">
      <c r="A3815" s="2060"/>
      <c r="B3815" s="576"/>
      <c r="C3815" s="328"/>
      <c r="D3815" s="3990"/>
      <c r="E3815" s="4009"/>
      <c r="F3815" s="3016" t="str">
        <f t="shared" si="292"/>
        <v>ASHP-SEER20_ER2_MF_CompE</v>
      </c>
      <c r="G3815" s="2673"/>
      <c r="H3815" s="2673"/>
      <c r="I3815" s="2673"/>
      <c r="J3815" s="3302" t="str">
        <f t="shared" si="293"/>
        <v>354701_2019_12_</v>
      </c>
      <c r="K3815" s="3054">
        <v>12</v>
      </c>
      <c r="L3815" s="861"/>
      <c r="M3815" s="858"/>
      <c r="N3815" s="123"/>
      <c r="O3815" s="228"/>
      <c r="P3815" s="844"/>
      <c r="Q3815" s="845"/>
      <c r="R3815" s="844"/>
      <c r="S3815" s="832"/>
      <c r="T3815" s="3082"/>
      <c r="U3815" s="123"/>
      <c r="V3815" s="4031"/>
      <c r="W3815" s="865"/>
      <c r="X3815" s="865"/>
      <c r="Y3815" s="865"/>
      <c r="Z3815" s="865"/>
      <c r="AA3815" s="865"/>
      <c r="AB3815" s="865"/>
      <c r="AC3815" s="3054">
        <v>12</v>
      </c>
      <c r="AD3815" s="865"/>
      <c r="AE3815" s="865"/>
      <c r="AF3815" s="865"/>
      <c r="AG3815" s="865"/>
      <c r="BB3815" s="575"/>
      <c r="BC3815" s="576"/>
      <c r="BD3815" s="678"/>
      <c r="BE3815" s="585"/>
    </row>
    <row r="3816" spans="1:57" s="1942" customFormat="1" ht="14.45" hidden="1" customHeight="1" outlineLevel="1" x14ac:dyDescent="0.25">
      <c r="A3816" s="2060"/>
      <c r="B3816" s="576"/>
      <c r="C3816" s="328"/>
      <c r="D3816" s="3990"/>
      <c r="E3816" s="4009"/>
      <c r="F3816" s="3016" t="str">
        <f t="shared" si="292"/>
        <v>ASHP-SEER20_ER2_MF_CompE</v>
      </c>
      <c r="G3816" s="2673"/>
      <c r="H3816" s="2673"/>
      <c r="I3816" s="2673"/>
      <c r="J3816" s="3302" t="str">
        <f t="shared" si="293"/>
        <v>354701_2019_12_</v>
      </c>
      <c r="K3816" s="3054">
        <v>12</v>
      </c>
      <c r="L3816" s="861"/>
      <c r="M3816" s="858"/>
      <c r="N3816" s="123"/>
      <c r="O3816" s="228"/>
      <c r="P3816" s="844"/>
      <c r="Q3816" s="845"/>
      <c r="R3816" s="844"/>
      <c r="S3816" s="832"/>
      <c r="T3816" s="3082"/>
      <c r="U3816" s="123"/>
      <c r="V3816" s="4031"/>
      <c r="W3816" s="865"/>
      <c r="X3816" s="865"/>
      <c r="Y3816" s="865"/>
      <c r="Z3816" s="865"/>
      <c r="AA3816" s="865"/>
      <c r="AB3816" s="865"/>
      <c r="AC3816" s="3054">
        <v>12</v>
      </c>
      <c r="AD3816" s="865"/>
      <c r="AE3816" s="865"/>
      <c r="AF3816" s="865"/>
      <c r="AG3816" s="865"/>
      <c r="BB3816" s="575"/>
      <c r="BC3816" s="576"/>
      <c r="BD3816" s="678"/>
      <c r="BE3816" s="585"/>
    </row>
    <row r="3817" spans="1:57" s="51" customFormat="1" ht="14.45" hidden="1" customHeight="1" outlineLevel="1" x14ac:dyDescent="0.25">
      <c r="A3817" s="2060"/>
      <c r="B3817" s="576"/>
      <c r="C3817" s="328"/>
      <c r="D3817" s="3990"/>
      <c r="E3817" s="4009"/>
      <c r="F3817" s="3016" t="str">
        <f t="shared" si="292"/>
        <v>ASHP-SEER21_ER1_SF</v>
      </c>
      <c r="G3817" s="2673"/>
      <c r="H3817" s="2673"/>
      <c r="I3817" s="2673"/>
      <c r="J3817" s="3301" t="str">
        <f t="shared" ref="J3817:J3824" si="294">C1739</f>
        <v>354750_2021_12_</v>
      </c>
      <c r="K3817" s="865">
        <v>6</v>
      </c>
      <c r="L3817" s="861"/>
      <c r="M3817" s="858"/>
      <c r="N3817" s="123"/>
      <c r="O3817" s="228"/>
      <c r="P3817" s="844"/>
      <c r="Q3817" s="845"/>
      <c r="R3817" s="844"/>
      <c r="S3817" s="832"/>
      <c r="T3817" s="3082"/>
      <c r="U3817" s="123"/>
      <c r="V3817" s="4031"/>
      <c r="W3817" s="865">
        <v>6</v>
      </c>
      <c r="X3817" s="865">
        <v>6</v>
      </c>
      <c r="Y3817" s="865">
        <v>6</v>
      </c>
      <c r="Z3817" s="865">
        <v>6</v>
      </c>
      <c r="AA3817" s="865">
        <v>6</v>
      </c>
      <c r="AB3817" s="865">
        <v>6</v>
      </c>
      <c r="AC3817" s="865">
        <v>6</v>
      </c>
      <c r="AD3817" s="865"/>
      <c r="AE3817" s="865"/>
      <c r="AF3817" s="865"/>
      <c r="AG3817" s="865"/>
      <c r="AH3817" s="1942"/>
      <c r="AI3817" s="1942"/>
      <c r="AJ3817" s="1942"/>
      <c r="AK3817" s="1942"/>
      <c r="AL3817" s="1942"/>
      <c r="AM3817" s="1942"/>
      <c r="AN3817" s="1942"/>
      <c r="AO3817" s="1942"/>
      <c r="AP3817" s="1942"/>
      <c r="AQ3817" s="1942"/>
      <c r="AR3817" s="1942"/>
      <c r="AS3817" s="1942"/>
      <c r="AT3817" s="1942"/>
      <c r="AU3817" s="1942"/>
      <c r="AV3817" s="1942"/>
      <c r="AW3817" s="1942"/>
      <c r="AX3817" s="1942"/>
      <c r="AY3817" s="1942"/>
      <c r="AZ3817" s="1942"/>
      <c r="BA3817" s="1942"/>
      <c r="BB3817" s="575"/>
      <c r="BC3817" s="576"/>
      <c r="BD3817" s="678"/>
      <c r="BE3817" s="585"/>
    </row>
    <row r="3818" spans="1:57" s="51" customFormat="1" ht="14.45" hidden="1" customHeight="1" outlineLevel="1" x14ac:dyDescent="0.25">
      <c r="A3818" s="2060"/>
      <c r="B3818" s="576"/>
      <c r="C3818" s="328"/>
      <c r="D3818" s="3990"/>
      <c r="E3818" s="4009"/>
      <c r="F3818" s="3016" t="str">
        <f t="shared" si="292"/>
        <v>ASHP-SEER21_ER1_SF</v>
      </c>
      <c r="G3818" s="2673"/>
      <c r="H3818" s="2673"/>
      <c r="I3818" s="2673"/>
      <c r="J3818" s="3301" t="str">
        <f t="shared" si="294"/>
        <v>354750_2021_12_</v>
      </c>
      <c r="K3818" s="865">
        <v>6</v>
      </c>
      <c r="L3818" s="861"/>
      <c r="M3818" s="858"/>
      <c r="N3818" s="123"/>
      <c r="O3818" s="228"/>
      <c r="P3818" s="844"/>
      <c r="Q3818" s="845"/>
      <c r="R3818" s="844"/>
      <c r="S3818" s="832"/>
      <c r="T3818" s="3082"/>
      <c r="U3818" s="123"/>
      <c r="V3818" s="4031"/>
      <c r="W3818" s="865">
        <v>6</v>
      </c>
      <c r="X3818" s="865">
        <v>6</v>
      </c>
      <c r="Y3818" s="865">
        <v>6</v>
      </c>
      <c r="Z3818" s="865">
        <v>6</v>
      </c>
      <c r="AA3818" s="865">
        <v>6</v>
      </c>
      <c r="AB3818" s="865">
        <v>6</v>
      </c>
      <c r="AC3818" s="865">
        <v>6</v>
      </c>
      <c r="AD3818" s="865"/>
      <c r="AE3818" s="865"/>
      <c r="AF3818" s="865"/>
      <c r="AG3818" s="865"/>
      <c r="AH3818" s="1942"/>
      <c r="AI3818" s="1942"/>
      <c r="AJ3818" s="1942"/>
      <c r="AK3818" s="1942"/>
      <c r="AL3818" s="1942"/>
      <c r="AM3818" s="1942"/>
      <c r="AN3818" s="1942"/>
      <c r="AO3818" s="1942"/>
      <c r="AP3818" s="1942"/>
      <c r="AQ3818" s="1942"/>
      <c r="AR3818" s="1942"/>
      <c r="AS3818" s="1942"/>
      <c r="AT3818" s="1942"/>
      <c r="AU3818" s="1942"/>
      <c r="AV3818" s="1942"/>
      <c r="AW3818" s="1942"/>
      <c r="AX3818" s="1942"/>
      <c r="AY3818" s="1942"/>
      <c r="AZ3818" s="1942"/>
      <c r="BA3818" s="1942"/>
      <c r="BB3818" s="575"/>
      <c r="BC3818" s="576"/>
      <c r="BD3818" s="678"/>
      <c r="BE3818" s="585"/>
    </row>
    <row r="3819" spans="1:57" s="51" customFormat="1" ht="14.45" hidden="1" customHeight="1" outlineLevel="1" x14ac:dyDescent="0.25">
      <c r="A3819" s="2060"/>
      <c r="B3819" s="576"/>
      <c r="C3819" s="328"/>
      <c r="D3819" s="3990"/>
      <c r="E3819" s="4009"/>
      <c r="F3819" s="3016" t="str">
        <f t="shared" si="292"/>
        <v>ASHP-SEER21_ER2_SF</v>
      </c>
      <c r="G3819" s="2673"/>
      <c r="H3819" s="2673"/>
      <c r="I3819" s="2673"/>
      <c r="J3819" s="3301" t="str">
        <f t="shared" si="294"/>
        <v>354750_2021_12_</v>
      </c>
      <c r="K3819" s="865">
        <v>12</v>
      </c>
      <c r="L3819" s="861"/>
      <c r="M3819" s="858"/>
      <c r="N3819" s="123"/>
      <c r="O3819" s="228"/>
      <c r="P3819" s="844"/>
      <c r="Q3819" s="845"/>
      <c r="R3819" s="844"/>
      <c r="S3819" s="832"/>
      <c r="T3819" s="3082"/>
      <c r="U3819" s="123"/>
      <c r="V3819" s="4031"/>
      <c r="W3819" s="865">
        <v>12</v>
      </c>
      <c r="X3819" s="865">
        <v>12</v>
      </c>
      <c r="Y3819" s="865">
        <v>12</v>
      </c>
      <c r="Z3819" s="865">
        <v>12</v>
      </c>
      <c r="AA3819" s="865">
        <v>12</v>
      </c>
      <c r="AB3819" s="865">
        <v>12</v>
      </c>
      <c r="AC3819" s="865">
        <v>12</v>
      </c>
      <c r="AD3819" s="865"/>
      <c r="AE3819" s="865"/>
      <c r="AF3819" s="865"/>
      <c r="AG3819" s="865"/>
      <c r="AH3819" s="1942"/>
      <c r="AI3819" s="1942"/>
      <c r="AJ3819" s="1942"/>
      <c r="AK3819" s="1942"/>
      <c r="AL3819" s="1942"/>
      <c r="AM3819" s="1942"/>
      <c r="AN3819" s="1942"/>
      <c r="AO3819" s="1942"/>
      <c r="AP3819" s="1942"/>
      <c r="AQ3819" s="1942"/>
      <c r="AR3819" s="1942"/>
      <c r="AS3819" s="1942"/>
      <c r="AT3819" s="1942"/>
      <c r="AU3819" s="1942"/>
      <c r="AV3819" s="1942"/>
      <c r="AW3819" s="1942"/>
      <c r="AX3819" s="1942"/>
      <c r="AY3819" s="1942"/>
      <c r="AZ3819" s="1942"/>
      <c r="BA3819" s="1942"/>
      <c r="BB3819" s="575"/>
      <c r="BC3819" s="576"/>
      <c r="BD3819" s="678"/>
      <c r="BE3819" s="585"/>
    </row>
    <row r="3820" spans="1:57" s="51" customFormat="1" ht="14.45" hidden="1" customHeight="1" outlineLevel="1" x14ac:dyDescent="0.25">
      <c r="A3820" s="2060"/>
      <c r="B3820" s="576"/>
      <c r="C3820" s="328"/>
      <c r="D3820" s="3990"/>
      <c r="E3820" s="4009"/>
      <c r="F3820" s="3016" t="str">
        <f t="shared" si="292"/>
        <v>ASHP-SEER21_ER2_SF</v>
      </c>
      <c r="G3820" s="2673"/>
      <c r="H3820" s="2673"/>
      <c r="I3820" s="2673"/>
      <c r="J3820" s="3301" t="str">
        <f t="shared" si="294"/>
        <v>354750_2021_12_</v>
      </c>
      <c r="K3820" s="865">
        <v>12</v>
      </c>
      <c r="L3820" s="861"/>
      <c r="M3820" s="858"/>
      <c r="N3820" s="123"/>
      <c r="O3820" s="228"/>
      <c r="P3820" s="844"/>
      <c r="Q3820" s="845"/>
      <c r="R3820" s="844"/>
      <c r="S3820" s="832"/>
      <c r="T3820" s="3082"/>
      <c r="U3820" s="123"/>
      <c r="V3820" s="4031"/>
      <c r="W3820" s="865">
        <v>12</v>
      </c>
      <c r="X3820" s="865">
        <v>12</v>
      </c>
      <c r="Y3820" s="865">
        <v>12</v>
      </c>
      <c r="Z3820" s="865">
        <v>12</v>
      </c>
      <c r="AA3820" s="865">
        <v>12</v>
      </c>
      <c r="AB3820" s="865">
        <v>12</v>
      </c>
      <c r="AC3820" s="865">
        <v>12</v>
      </c>
      <c r="AD3820" s="865"/>
      <c r="AE3820" s="865"/>
      <c r="AF3820" s="865"/>
      <c r="AG3820" s="865"/>
      <c r="AH3820" s="1942"/>
      <c r="AI3820" s="1942"/>
      <c r="AJ3820" s="1942"/>
      <c r="AK3820" s="1942"/>
      <c r="AL3820" s="1942"/>
      <c r="AM3820" s="1942"/>
      <c r="AN3820" s="1942"/>
      <c r="AO3820" s="1942"/>
      <c r="AP3820" s="1942"/>
      <c r="AQ3820" s="1942"/>
      <c r="AR3820" s="1942"/>
      <c r="AS3820" s="1942"/>
      <c r="AT3820" s="1942"/>
      <c r="AU3820" s="1942"/>
      <c r="AV3820" s="1942"/>
      <c r="AW3820" s="1942"/>
      <c r="AX3820" s="1942"/>
      <c r="AY3820" s="1942"/>
      <c r="AZ3820" s="1942"/>
      <c r="BA3820" s="1942"/>
      <c r="BB3820" s="575"/>
      <c r="BC3820" s="576"/>
      <c r="BD3820" s="678"/>
      <c r="BE3820" s="585"/>
    </row>
    <row r="3821" spans="1:57" s="51" customFormat="1" ht="14.45" hidden="1" customHeight="1" outlineLevel="1" x14ac:dyDescent="0.25">
      <c r="A3821" s="2060"/>
      <c r="B3821" s="576"/>
      <c r="C3821" s="328"/>
      <c r="D3821" s="3990"/>
      <c r="E3821" s="4009"/>
      <c r="F3821" s="3016" t="str">
        <f t="shared" si="292"/>
        <v>ASHP-SEER21_ROF_SF</v>
      </c>
      <c r="G3821" s="2673"/>
      <c r="H3821" s="2673"/>
      <c r="I3821" s="2673"/>
      <c r="J3821" s="3301" t="str">
        <f t="shared" si="294"/>
        <v>354800_2021_12_</v>
      </c>
      <c r="K3821" s="865">
        <v>18</v>
      </c>
      <c r="L3821" s="861"/>
      <c r="M3821" s="858"/>
      <c r="N3821" s="123"/>
      <c r="O3821" s="228"/>
      <c r="P3821" s="844"/>
      <c r="Q3821" s="845"/>
      <c r="R3821" s="844"/>
      <c r="S3821" s="832"/>
      <c r="T3821" s="3082"/>
      <c r="U3821" s="123"/>
      <c r="V3821" s="4031"/>
      <c r="W3821" s="865">
        <v>18</v>
      </c>
      <c r="X3821" s="865">
        <v>18</v>
      </c>
      <c r="Y3821" s="865">
        <v>18</v>
      </c>
      <c r="Z3821" s="865">
        <v>18</v>
      </c>
      <c r="AA3821" s="865">
        <v>18</v>
      </c>
      <c r="AB3821" s="865">
        <v>18</v>
      </c>
      <c r="AC3821" s="865">
        <v>18</v>
      </c>
      <c r="AD3821" s="865"/>
      <c r="AE3821" s="865"/>
      <c r="AF3821" s="865"/>
      <c r="AG3821" s="865"/>
      <c r="AH3821" s="1942"/>
      <c r="AI3821" s="1942"/>
      <c r="AJ3821" s="1942"/>
      <c r="AK3821" s="1942"/>
      <c r="AL3821" s="1942"/>
      <c r="AM3821" s="1942"/>
      <c r="AN3821" s="1942"/>
      <c r="AO3821" s="1942"/>
      <c r="AP3821" s="1942"/>
      <c r="AQ3821" s="1942"/>
      <c r="AR3821" s="1942"/>
      <c r="AS3821" s="1942"/>
      <c r="AT3821" s="1942"/>
      <c r="AU3821" s="1942"/>
      <c r="AV3821" s="1942"/>
      <c r="AW3821" s="1942"/>
      <c r="AX3821" s="1942"/>
      <c r="AY3821" s="1942"/>
      <c r="AZ3821" s="1942"/>
      <c r="BA3821" s="1942"/>
      <c r="BB3821" s="575"/>
      <c r="BC3821" s="576"/>
      <c r="BD3821" s="678"/>
      <c r="BE3821" s="585"/>
    </row>
    <row r="3822" spans="1:57" s="51" customFormat="1" ht="14.45" hidden="1" customHeight="1" outlineLevel="1" x14ac:dyDescent="0.25">
      <c r="A3822" s="2060"/>
      <c r="B3822" s="576"/>
      <c r="C3822" s="328"/>
      <c r="D3822" s="3990"/>
      <c r="E3822" s="4009"/>
      <c r="F3822" s="3016" t="str">
        <f t="shared" si="292"/>
        <v>ASHP-SEER21_ROF_SF</v>
      </c>
      <c r="G3822" s="2673"/>
      <c r="H3822" s="2673"/>
      <c r="I3822" s="2673"/>
      <c r="J3822" s="3301" t="str">
        <f t="shared" si="294"/>
        <v>354800_2021_12_</v>
      </c>
      <c r="K3822" s="865">
        <v>18</v>
      </c>
      <c r="L3822" s="861"/>
      <c r="M3822" s="858"/>
      <c r="N3822" s="123"/>
      <c r="O3822" s="228"/>
      <c r="P3822" s="844"/>
      <c r="Q3822" s="845"/>
      <c r="R3822" s="844"/>
      <c r="S3822" s="832"/>
      <c r="T3822" s="3082"/>
      <c r="U3822" s="123"/>
      <c r="V3822" s="4031"/>
      <c r="W3822" s="865">
        <v>18</v>
      </c>
      <c r="X3822" s="865">
        <v>18</v>
      </c>
      <c r="Y3822" s="865">
        <v>18</v>
      </c>
      <c r="Z3822" s="865">
        <v>18</v>
      </c>
      <c r="AA3822" s="865">
        <v>18</v>
      </c>
      <c r="AB3822" s="865">
        <v>18</v>
      </c>
      <c r="AC3822" s="865">
        <v>18</v>
      </c>
      <c r="AD3822" s="865"/>
      <c r="AE3822" s="865"/>
      <c r="AF3822" s="865"/>
      <c r="AG3822" s="865"/>
      <c r="AH3822" s="1942"/>
      <c r="AI3822" s="1942"/>
      <c r="AJ3822" s="1942"/>
      <c r="AK3822" s="1942"/>
      <c r="AL3822" s="1942"/>
      <c r="AM3822" s="1942"/>
      <c r="AN3822" s="1942"/>
      <c r="AO3822" s="1942"/>
      <c r="AP3822" s="1942"/>
      <c r="AQ3822" s="1942"/>
      <c r="AR3822" s="1942"/>
      <c r="AS3822" s="1942"/>
      <c r="AT3822" s="1942"/>
      <c r="AU3822" s="1942"/>
      <c r="AV3822" s="1942"/>
      <c r="AW3822" s="1942"/>
      <c r="AX3822" s="1942"/>
      <c r="AY3822" s="1942"/>
      <c r="AZ3822" s="1942"/>
      <c r="BA3822" s="1942"/>
      <c r="BB3822" s="575"/>
      <c r="BC3822" s="576"/>
      <c r="BD3822" s="678"/>
      <c r="BE3822" s="585"/>
    </row>
    <row r="3823" spans="1:57" s="51" customFormat="1" ht="14.45" hidden="1" customHeight="1" outlineLevel="1" x14ac:dyDescent="0.25">
      <c r="A3823" s="2060"/>
      <c r="B3823" s="576"/>
      <c r="C3823" s="328"/>
      <c r="D3823" s="3990"/>
      <c r="E3823" s="4009"/>
      <c r="F3823" s="3016" t="str">
        <f t="shared" si="292"/>
        <v>ASHP-SEER21-Replace_CAC_ElectricHeat_ROF_MF</v>
      </c>
      <c r="G3823" s="2673"/>
      <c r="H3823" s="2673"/>
      <c r="I3823" s="2673"/>
      <c r="J3823" s="3302" t="str">
        <f t="shared" si="294"/>
        <v>354850_2019_12_</v>
      </c>
      <c r="K3823" s="865">
        <v>18</v>
      </c>
      <c r="L3823" s="861"/>
      <c r="M3823" s="858"/>
      <c r="N3823" s="123"/>
      <c r="O3823" s="228"/>
      <c r="P3823" s="844"/>
      <c r="Q3823" s="845"/>
      <c r="R3823" s="844"/>
      <c r="S3823" s="832"/>
      <c r="T3823" s="3082"/>
      <c r="U3823" s="123"/>
      <c r="V3823" s="4031"/>
      <c r="W3823" s="865">
        <v>18</v>
      </c>
      <c r="X3823" s="865">
        <v>18</v>
      </c>
      <c r="Y3823" s="865">
        <v>18</v>
      </c>
      <c r="Z3823" s="865">
        <v>18</v>
      </c>
      <c r="AA3823" s="865">
        <v>18</v>
      </c>
      <c r="AB3823" s="865">
        <v>18</v>
      </c>
      <c r="AC3823" s="865">
        <v>18</v>
      </c>
      <c r="AD3823" s="865"/>
      <c r="AE3823" s="865"/>
      <c r="AF3823" s="865"/>
      <c r="AG3823" s="865"/>
      <c r="AH3823" s="1942"/>
      <c r="AI3823" s="1942"/>
      <c r="AJ3823" s="1942"/>
      <c r="AK3823" s="1942"/>
      <c r="AL3823" s="1942"/>
      <c r="AM3823" s="1942"/>
      <c r="AN3823" s="1942"/>
      <c r="AO3823" s="1942"/>
      <c r="AP3823" s="1942"/>
      <c r="AQ3823" s="1942"/>
      <c r="AR3823" s="1942"/>
      <c r="AS3823" s="1942"/>
      <c r="AT3823" s="1942"/>
      <c r="AU3823" s="1942"/>
      <c r="AV3823" s="1942"/>
      <c r="AW3823" s="1942"/>
      <c r="AX3823" s="1942"/>
      <c r="AY3823" s="1942"/>
      <c r="AZ3823" s="1942"/>
      <c r="BA3823" s="1942"/>
      <c r="BB3823" s="575"/>
      <c r="BC3823" s="576"/>
      <c r="BD3823" s="678"/>
      <c r="BE3823" s="585"/>
    </row>
    <row r="3824" spans="1:57" s="51" customFormat="1" ht="14.45" hidden="1" customHeight="1" outlineLevel="1" x14ac:dyDescent="0.25">
      <c r="A3824" s="2060"/>
      <c r="B3824" s="576"/>
      <c r="C3824" s="328"/>
      <c r="D3824" s="3990"/>
      <c r="E3824" s="4009"/>
      <c r="F3824" s="3016" t="str">
        <f t="shared" si="292"/>
        <v>ASHP-SEER21-Replace_CAC_ElectricHeat_ROF_MF</v>
      </c>
      <c r="G3824" s="2673"/>
      <c r="H3824" s="2673"/>
      <c r="I3824" s="2673"/>
      <c r="J3824" s="3302" t="str">
        <f t="shared" si="294"/>
        <v>354850_2019_12_</v>
      </c>
      <c r="K3824" s="865">
        <v>18</v>
      </c>
      <c r="L3824" s="861"/>
      <c r="M3824" s="858"/>
      <c r="N3824" s="123"/>
      <c r="O3824" s="228"/>
      <c r="P3824" s="844"/>
      <c r="Q3824" s="845"/>
      <c r="R3824" s="844"/>
      <c r="S3824" s="832"/>
      <c r="T3824" s="3082"/>
      <c r="U3824" s="123"/>
      <c r="V3824" s="4031"/>
      <c r="W3824" s="865">
        <v>18</v>
      </c>
      <c r="X3824" s="865">
        <v>18</v>
      </c>
      <c r="Y3824" s="865">
        <v>18</v>
      </c>
      <c r="Z3824" s="865">
        <v>18</v>
      </c>
      <c r="AA3824" s="865">
        <v>18</v>
      </c>
      <c r="AB3824" s="865">
        <v>18</v>
      </c>
      <c r="AC3824" s="865">
        <v>18</v>
      </c>
      <c r="AD3824" s="865"/>
      <c r="AE3824" s="865"/>
      <c r="AF3824" s="865"/>
      <c r="AG3824" s="865"/>
      <c r="AH3824" s="1942"/>
      <c r="AI3824" s="1942"/>
      <c r="AJ3824" s="1942"/>
      <c r="AK3824" s="1942"/>
      <c r="AL3824" s="1942"/>
      <c r="AM3824" s="1942"/>
      <c r="AN3824" s="1942"/>
      <c r="AO3824" s="1942"/>
      <c r="AP3824" s="1942"/>
      <c r="AQ3824" s="1942"/>
      <c r="AR3824" s="1942"/>
      <c r="AS3824" s="1942"/>
      <c r="AT3824" s="1942"/>
      <c r="AU3824" s="1942"/>
      <c r="AV3824" s="1942"/>
      <c r="AW3824" s="1942"/>
      <c r="AX3824" s="1942"/>
      <c r="AY3824" s="1942"/>
      <c r="AZ3824" s="1942"/>
      <c r="BA3824" s="1942"/>
      <c r="BB3824" s="575"/>
      <c r="BC3824" s="576"/>
      <c r="BD3824" s="678"/>
      <c r="BE3824" s="585"/>
    </row>
    <row r="3825" spans="1:57" s="1942" customFormat="1" ht="14.45" hidden="1" customHeight="1" outlineLevel="1" x14ac:dyDescent="0.25">
      <c r="A3825" s="2060"/>
      <c r="B3825" s="576"/>
      <c r="C3825" s="328"/>
      <c r="D3825" s="3990"/>
      <c r="E3825" s="4009"/>
      <c r="F3825" s="3016" t="str">
        <f t="shared" si="292"/>
        <v>ASHP-SEER21-Replace_CAC_ElectricHeat_ROF_MF_CompE</v>
      </c>
      <c r="G3825" s="2673"/>
      <c r="H3825" s="2673"/>
      <c r="I3825" s="2673"/>
      <c r="J3825" s="3302" t="str">
        <f t="shared" ref="J3825:J3830" si="295">C1747</f>
        <v>354851_2019_12_</v>
      </c>
      <c r="K3825" s="3054">
        <v>18</v>
      </c>
      <c r="L3825" s="861"/>
      <c r="M3825" s="858"/>
      <c r="N3825" s="123"/>
      <c r="O3825" s="228"/>
      <c r="P3825" s="844"/>
      <c r="Q3825" s="845"/>
      <c r="R3825" s="844"/>
      <c r="S3825" s="832"/>
      <c r="T3825" s="3082"/>
      <c r="U3825" s="123"/>
      <c r="V3825" s="4031"/>
      <c r="W3825" s="865"/>
      <c r="X3825" s="865"/>
      <c r="Y3825" s="865"/>
      <c r="Z3825" s="865"/>
      <c r="AA3825" s="865"/>
      <c r="AB3825" s="865"/>
      <c r="AC3825" s="3054">
        <v>18</v>
      </c>
      <c r="AD3825" s="865"/>
      <c r="AE3825" s="865"/>
      <c r="AF3825" s="865"/>
      <c r="AG3825" s="865"/>
      <c r="BB3825" s="575"/>
      <c r="BC3825" s="576"/>
      <c r="BD3825" s="678"/>
      <c r="BE3825" s="585"/>
    </row>
    <row r="3826" spans="1:57" s="1942" customFormat="1" ht="14.45" hidden="1" customHeight="1" outlineLevel="1" x14ac:dyDescent="0.25">
      <c r="A3826" s="2060"/>
      <c r="B3826" s="576"/>
      <c r="C3826" s="328"/>
      <c r="D3826" s="3990"/>
      <c r="E3826" s="4009"/>
      <c r="F3826" s="3016" t="str">
        <f t="shared" si="292"/>
        <v>ASHP-SEER21-Replace_CAC_ElectricHeat_ROF_MF_CompE</v>
      </c>
      <c r="G3826" s="2673"/>
      <c r="H3826" s="2673"/>
      <c r="I3826" s="2673"/>
      <c r="J3826" s="3302" t="str">
        <f t="shared" si="295"/>
        <v>354851_2019_12_</v>
      </c>
      <c r="K3826" s="3054">
        <v>18</v>
      </c>
      <c r="L3826" s="861"/>
      <c r="M3826" s="858"/>
      <c r="N3826" s="123"/>
      <c r="O3826" s="228"/>
      <c r="P3826" s="844"/>
      <c r="Q3826" s="845"/>
      <c r="R3826" s="844"/>
      <c r="S3826" s="832"/>
      <c r="T3826" s="3082"/>
      <c r="U3826" s="123"/>
      <c r="V3826" s="4031"/>
      <c r="W3826" s="865"/>
      <c r="X3826" s="865"/>
      <c r="Y3826" s="865"/>
      <c r="Z3826" s="865"/>
      <c r="AA3826" s="865"/>
      <c r="AB3826" s="865"/>
      <c r="AC3826" s="3054">
        <v>18</v>
      </c>
      <c r="AD3826" s="865"/>
      <c r="AE3826" s="865"/>
      <c r="AF3826" s="865"/>
      <c r="AG3826" s="865"/>
      <c r="BB3826" s="575"/>
      <c r="BC3826" s="576"/>
      <c r="BD3826" s="678"/>
      <c r="BE3826" s="585"/>
    </row>
    <row r="3827" spans="1:57" s="1942" customFormat="1" ht="14.45" hidden="1" customHeight="1" outlineLevel="1" x14ac:dyDescent="0.25">
      <c r="A3827" s="2060"/>
      <c r="B3827" s="576"/>
      <c r="C3827" s="328"/>
      <c r="D3827" s="3990"/>
      <c r="E3827" s="4009"/>
      <c r="F3827" s="3016" t="str">
        <f t="shared" si="292"/>
        <v>ASHP-SEER21-Replace_CAC_NonElectricHeat_ROF_MF</v>
      </c>
      <c r="G3827" s="2673"/>
      <c r="H3827" s="2673"/>
      <c r="I3827" s="2673"/>
      <c r="J3827" s="3301" t="str">
        <f t="shared" si="295"/>
        <v>354860_2021_12_</v>
      </c>
      <c r="K3827" s="3054">
        <v>18</v>
      </c>
      <c r="L3827" s="861"/>
      <c r="M3827" s="858"/>
      <c r="N3827" s="123"/>
      <c r="O3827" s="228"/>
      <c r="P3827" s="844"/>
      <c r="Q3827" s="845"/>
      <c r="R3827" s="844"/>
      <c r="S3827" s="832"/>
      <c r="T3827" s="3082"/>
      <c r="U3827" s="123"/>
      <c r="V3827" s="4031"/>
      <c r="W3827" s="865"/>
      <c r="X3827" s="865"/>
      <c r="Y3827" s="865"/>
      <c r="Z3827" s="865"/>
      <c r="AA3827" s="865"/>
      <c r="AB3827" s="865"/>
      <c r="AC3827" s="3054">
        <v>18</v>
      </c>
      <c r="AD3827" s="865"/>
      <c r="AE3827" s="865"/>
      <c r="AF3827" s="865"/>
      <c r="AG3827" s="865"/>
      <c r="BB3827" s="575"/>
      <c r="BC3827" s="576"/>
      <c r="BD3827" s="678"/>
      <c r="BE3827" s="585"/>
    </row>
    <row r="3828" spans="1:57" s="1942" customFormat="1" ht="14.45" hidden="1" customHeight="1" outlineLevel="1" x14ac:dyDescent="0.25">
      <c r="A3828" s="2060"/>
      <c r="B3828" s="576"/>
      <c r="C3828" s="328"/>
      <c r="D3828" s="3990"/>
      <c r="E3828" s="4009"/>
      <c r="F3828" s="3016" t="str">
        <f t="shared" si="292"/>
        <v>ASHP-SEER21-Replace_CAC_NonElectricHeat_ROF_MF</v>
      </c>
      <c r="G3828" s="2673"/>
      <c r="H3828" s="2673"/>
      <c r="I3828" s="2673"/>
      <c r="J3828" s="3301" t="str">
        <f t="shared" si="295"/>
        <v>354860_2021_12_</v>
      </c>
      <c r="K3828" s="3054">
        <v>18</v>
      </c>
      <c r="L3828" s="861"/>
      <c r="M3828" s="858"/>
      <c r="N3828" s="123"/>
      <c r="O3828" s="228"/>
      <c r="P3828" s="844"/>
      <c r="Q3828" s="845"/>
      <c r="R3828" s="844"/>
      <c r="S3828" s="832"/>
      <c r="T3828" s="3082"/>
      <c r="U3828" s="123"/>
      <c r="V3828" s="4031"/>
      <c r="W3828" s="865"/>
      <c r="X3828" s="865"/>
      <c r="Y3828" s="865"/>
      <c r="Z3828" s="865"/>
      <c r="AA3828" s="865"/>
      <c r="AB3828" s="865"/>
      <c r="AC3828" s="3054">
        <v>18</v>
      </c>
      <c r="AD3828" s="865"/>
      <c r="AE3828" s="865"/>
      <c r="AF3828" s="865"/>
      <c r="AG3828" s="865"/>
      <c r="BB3828" s="575"/>
      <c r="BC3828" s="576"/>
      <c r="BD3828" s="678"/>
      <c r="BE3828" s="585"/>
    </row>
    <row r="3829" spans="1:57" s="1942" customFormat="1" ht="14.45" hidden="1" customHeight="1" outlineLevel="1" x14ac:dyDescent="0.25">
      <c r="A3829" s="2060"/>
      <c r="B3829" s="576"/>
      <c r="C3829" s="328"/>
      <c r="D3829" s="3990"/>
      <c r="E3829" s="4009"/>
      <c r="F3829" s="3016" t="str">
        <f t="shared" si="292"/>
        <v>ASHP-SEER21-Replace_CAC_NonElectricHeat_ROF_MF_CompE</v>
      </c>
      <c r="G3829" s="2673"/>
      <c r="H3829" s="2673"/>
      <c r="I3829" s="2673"/>
      <c r="J3829" s="3301" t="str">
        <f t="shared" si="295"/>
        <v>354861_2021_12_</v>
      </c>
      <c r="K3829" s="3054">
        <v>18</v>
      </c>
      <c r="L3829" s="861"/>
      <c r="M3829" s="858"/>
      <c r="N3829" s="123"/>
      <c r="O3829" s="228"/>
      <c r="P3829" s="844"/>
      <c r="Q3829" s="845"/>
      <c r="R3829" s="844"/>
      <c r="S3829" s="832"/>
      <c r="T3829" s="3082"/>
      <c r="U3829" s="123"/>
      <c r="V3829" s="4031"/>
      <c r="W3829" s="865"/>
      <c r="X3829" s="865"/>
      <c r="Y3829" s="865"/>
      <c r="Z3829" s="865"/>
      <c r="AA3829" s="865"/>
      <c r="AB3829" s="865"/>
      <c r="AC3829" s="3054">
        <v>18</v>
      </c>
      <c r="AD3829" s="865"/>
      <c r="AE3829" s="865"/>
      <c r="AF3829" s="865"/>
      <c r="AG3829" s="865"/>
      <c r="BB3829" s="575"/>
      <c r="BC3829" s="576"/>
      <c r="BD3829" s="678"/>
      <c r="BE3829" s="585"/>
    </row>
    <row r="3830" spans="1:57" s="1942" customFormat="1" ht="14.45" hidden="1" customHeight="1" outlineLevel="1" x14ac:dyDescent="0.25">
      <c r="A3830" s="2060"/>
      <c r="B3830" s="576"/>
      <c r="C3830" s="328"/>
      <c r="D3830" s="3990"/>
      <c r="E3830" s="4009"/>
      <c r="F3830" s="3016" t="str">
        <f t="shared" si="292"/>
        <v>ASHP-SEER21-Replace_CAC_NonElectricHeat_ROF_MF_CompE</v>
      </c>
      <c r="G3830" s="2673"/>
      <c r="H3830" s="2673"/>
      <c r="I3830" s="2673"/>
      <c r="J3830" s="3301" t="str">
        <f t="shared" si="295"/>
        <v>354861_2021_12_</v>
      </c>
      <c r="K3830" s="3054">
        <v>18</v>
      </c>
      <c r="L3830" s="861"/>
      <c r="M3830" s="858"/>
      <c r="N3830" s="123"/>
      <c r="O3830" s="228"/>
      <c r="P3830" s="844"/>
      <c r="Q3830" s="845"/>
      <c r="R3830" s="844"/>
      <c r="S3830" s="832"/>
      <c r="T3830" s="3082"/>
      <c r="U3830" s="123"/>
      <c r="V3830" s="4031"/>
      <c r="W3830" s="865"/>
      <c r="X3830" s="865"/>
      <c r="Y3830" s="865"/>
      <c r="Z3830" s="865"/>
      <c r="AA3830" s="865"/>
      <c r="AB3830" s="865"/>
      <c r="AC3830" s="3054">
        <v>18</v>
      </c>
      <c r="AD3830" s="865"/>
      <c r="AE3830" s="865"/>
      <c r="AF3830" s="865"/>
      <c r="AG3830" s="865"/>
      <c r="BB3830" s="575"/>
      <c r="BC3830" s="576"/>
      <c r="BD3830" s="678"/>
      <c r="BE3830" s="585"/>
    </row>
    <row r="3831" spans="1:57" s="51" customFormat="1" ht="14.45" hidden="1" customHeight="1" outlineLevel="1" x14ac:dyDescent="0.25">
      <c r="A3831" s="2060"/>
      <c r="B3831" s="576"/>
      <c r="C3831" s="328"/>
      <c r="D3831" s="3990"/>
      <c r="E3831" s="4009"/>
      <c r="F3831" s="3016" t="str">
        <f t="shared" si="292"/>
        <v>ASHP-SEER21_ER1_MF</v>
      </c>
      <c r="G3831" s="2673"/>
      <c r="H3831" s="2673"/>
      <c r="I3831" s="2673"/>
      <c r="J3831" s="3302" t="str">
        <f>C1753</f>
        <v>354900_2019_12_</v>
      </c>
      <c r="K3831" s="865">
        <v>6</v>
      </c>
      <c r="L3831" s="861"/>
      <c r="M3831" s="858"/>
      <c r="N3831" s="123"/>
      <c r="O3831" s="228"/>
      <c r="P3831" s="844"/>
      <c r="Q3831" s="845"/>
      <c r="R3831" s="844"/>
      <c r="S3831" s="832"/>
      <c r="T3831" s="3082"/>
      <c r="U3831" s="123"/>
      <c r="V3831" s="4031"/>
      <c r="W3831" s="865">
        <v>6</v>
      </c>
      <c r="X3831" s="865">
        <v>6</v>
      </c>
      <c r="Y3831" s="865">
        <v>6</v>
      </c>
      <c r="Z3831" s="865">
        <v>6</v>
      </c>
      <c r="AA3831" s="865">
        <v>6</v>
      </c>
      <c r="AB3831" s="865">
        <v>6</v>
      </c>
      <c r="AC3831" s="865">
        <v>6</v>
      </c>
      <c r="AD3831" s="865"/>
      <c r="AE3831" s="865"/>
      <c r="AF3831" s="865"/>
      <c r="AG3831" s="865"/>
      <c r="AH3831" s="1942"/>
      <c r="AI3831" s="1942"/>
      <c r="AJ3831" s="1942"/>
      <c r="AK3831" s="1942"/>
      <c r="AL3831" s="1942"/>
      <c r="AM3831" s="1942"/>
      <c r="AN3831" s="1942"/>
      <c r="AO3831" s="1942"/>
      <c r="AP3831" s="1942"/>
      <c r="AQ3831" s="1942"/>
      <c r="AR3831" s="1942"/>
      <c r="AS3831" s="1942"/>
      <c r="AT3831" s="1942"/>
      <c r="AU3831" s="1942"/>
      <c r="AV3831" s="1942"/>
      <c r="AW3831" s="1942"/>
      <c r="AX3831" s="1942"/>
      <c r="AY3831" s="1942"/>
      <c r="AZ3831" s="1942"/>
      <c r="BA3831" s="1942"/>
      <c r="BB3831" s="575"/>
      <c r="BC3831" s="576"/>
      <c r="BD3831" s="678"/>
      <c r="BE3831" s="585"/>
    </row>
    <row r="3832" spans="1:57" s="51" customFormat="1" ht="14.45" hidden="1" customHeight="1" outlineLevel="1" x14ac:dyDescent="0.25">
      <c r="A3832" s="2060"/>
      <c r="B3832" s="576"/>
      <c r="C3832" s="328"/>
      <c r="D3832" s="3990"/>
      <c r="E3832" s="4009"/>
      <c r="F3832" s="3016" t="str">
        <f t="shared" si="292"/>
        <v>ASHP-SEER21_ER1_MF</v>
      </c>
      <c r="G3832" s="2673"/>
      <c r="H3832" s="2673"/>
      <c r="I3832" s="2673"/>
      <c r="J3832" s="3302" t="str">
        <f>C1754</f>
        <v>354900_2019_12_</v>
      </c>
      <c r="K3832" s="865">
        <v>6</v>
      </c>
      <c r="L3832" s="861"/>
      <c r="M3832" s="858"/>
      <c r="N3832" s="123"/>
      <c r="O3832" s="228"/>
      <c r="P3832" s="844"/>
      <c r="Q3832" s="845"/>
      <c r="R3832" s="844"/>
      <c r="S3832" s="832"/>
      <c r="T3832" s="3082"/>
      <c r="U3832" s="123"/>
      <c r="V3832" s="4031"/>
      <c r="W3832" s="865">
        <v>6</v>
      </c>
      <c r="X3832" s="865">
        <v>6</v>
      </c>
      <c r="Y3832" s="865">
        <v>6</v>
      </c>
      <c r="Z3832" s="865">
        <v>6</v>
      </c>
      <c r="AA3832" s="865">
        <v>6</v>
      </c>
      <c r="AB3832" s="865">
        <v>6</v>
      </c>
      <c r="AC3832" s="865">
        <v>6</v>
      </c>
      <c r="AD3832" s="865"/>
      <c r="AE3832" s="865"/>
      <c r="AF3832" s="865"/>
      <c r="AG3832" s="865"/>
      <c r="AH3832" s="1942"/>
      <c r="AI3832" s="1942"/>
      <c r="AJ3832" s="1942"/>
      <c r="AK3832" s="1942"/>
      <c r="AL3832" s="1942"/>
      <c r="AM3832" s="1942"/>
      <c r="AN3832" s="1942"/>
      <c r="AO3832" s="1942"/>
      <c r="AP3832" s="1942"/>
      <c r="AQ3832" s="1942"/>
      <c r="AR3832" s="1942"/>
      <c r="AS3832" s="1942"/>
      <c r="AT3832" s="1942"/>
      <c r="AU3832" s="1942"/>
      <c r="AV3832" s="1942"/>
      <c r="AW3832" s="1942"/>
      <c r="AX3832" s="1942"/>
      <c r="AY3832" s="1942"/>
      <c r="AZ3832" s="1942"/>
      <c r="BA3832" s="1942"/>
      <c r="BB3832" s="575"/>
      <c r="BC3832" s="576"/>
      <c r="BD3832" s="678"/>
      <c r="BE3832" s="585"/>
    </row>
    <row r="3833" spans="1:57" s="51" customFormat="1" ht="14.45" hidden="1" customHeight="1" outlineLevel="1" x14ac:dyDescent="0.25">
      <c r="A3833" s="2060"/>
      <c r="B3833" s="576"/>
      <c r="C3833" s="328"/>
      <c r="D3833" s="3990"/>
      <c r="E3833" s="4009"/>
      <c r="F3833" s="3016" t="str">
        <f t="shared" si="292"/>
        <v>ASHP-SEER21_ER2_MF</v>
      </c>
      <c r="G3833" s="2673"/>
      <c r="H3833" s="2673"/>
      <c r="I3833" s="2673"/>
      <c r="J3833" s="3302" t="str">
        <f>C1755</f>
        <v>354900_2019_12_</v>
      </c>
      <c r="K3833" s="865">
        <v>12</v>
      </c>
      <c r="L3833" s="861"/>
      <c r="M3833" s="858"/>
      <c r="N3833" s="123"/>
      <c r="O3833" s="228"/>
      <c r="P3833" s="844"/>
      <c r="Q3833" s="845"/>
      <c r="R3833" s="844"/>
      <c r="S3833" s="832"/>
      <c r="T3833" s="3082"/>
      <c r="U3833" s="123"/>
      <c r="V3833" s="4031"/>
      <c r="W3833" s="865">
        <v>12</v>
      </c>
      <c r="X3833" s="865">
        <v>12</v>
      </c>
      <c r="Y3833" s="865">
        <v>12</v>
      </c>
      <c r="Z3833" s="865">
        <v>12</v>
      </c>
      <c r="AA3833" s="865">
        <v>12</v>
      </c>
      <c r="AB3833" s="865">
        <v>12</v>
      </c>
      <c r="AC3833" s="865">
        <v>12</v>
      </c>
      <c r="AD3833" s="865"/>
      <c r="AE3833" s="865"/>
      <c r="AF3833" s="865"/>
      <c r="AG3833" s="865"/>
      <c r="AH3833" s="1942"/>
      <c r="AI3833" s="1942"/>
      <c r="AJ3833" s="1942"/>
      <c r="AK3833" s="1942"/>
      <c r="AL3833" s="1942"/>
      <c r="AM3833" s="1942"/>
      <c r="AN3833" s="1942"/>
      <c r="AO3833" s="1942"/>
      <c r="AP3833" s="1942"/>
      <c r="AQ3833" s="1942"/>
      <c r="AR3833" s="1942"/>
      <c r="AS3833" s="1942"/>
      <c r="AT3833" s="1942"/>
      <c r="AU3833" s="1942"/>
      <c r="AV3833" s="1942"/>
      <c r="AW3833" s="1942"/>
      <c r="AX3833" s="1942"/>
      <c r="AY3833" s="1942"/>
      <c r="AZ3833" s="1942"/>
      <c r="BA3833" s="1942"/>
      <c r="BB3833" s="575"/>
      <c r="BC3833" s="576"/>
      <c r="BD3833" s="678"/>
      <c r="BE3833" s="585"/>
    </row>
    <row r="3834" spans="1:57" s="51" customFormat="1" ht="14.45" hidden="1" customHeight="1" outlineLevel="1" x14ac:dyDescent="0.25">
      <c r="A3834" s="2060"/>
      <c r="B3834" s="576"/>
      <c r="C3834" s="328"/>
      <c r="D3834" s="3990"/>
      <c r="E3834" s="4009"/>
      <c r="F3834" s="3016" t="str">
        <f t="shared" si="292"/>
        <v>ASHP-SEER21_ER2_MF</v>
      </c>
      <c r="G3834" s="2673"/>
      <c r="H3834" s="2673"/>
      <c r="I3834" s="2673"/>
      <c r="J3834" s="3302" t="str">
        <f>C1756</f>
        <v>354900_2019_12_</v>
      </c>
      <c r="K3834" s="865">
        <v>12</v>
      </c>
      <c r="L3834" s="861"/>
      <c r="M3834" s="858"/>
      <c r="N3834" s="123"/>
      <c r="O3834" s="228"/>
      <c r="P3834" s="844"/>
      <c r="Q3834" s="845"/>
      <c r="R3834" s="844"/>
      <c r="S3834" s="832"/>
      <c r="T3834" s="3082"/>
      <c r="U3834" s="123"/>
      <c r="V3834" s="4031"/>
      <c r="W3834" s="865">
        <v>12</v>
      </c>
      <c r="X3834" s="865">
        <v>12</v>
      </c>
      <c r="Y3834" s="865">
        <v>12</v>
      </c>
      <c r="Z3834" s="865">
        <v>12</v>
      </c>
      <c r="AA3834" s="865">
        <v>12</v>
      </c>
      <c r="AB3834" s="865">
        <v>12</v>
      </c>
      <c r="AC3834" s="865">
        <v>12</v>
      </c>
      <c r="AD3834" s="865"/>
      <c r="AE3834" s="865"/>
      <c r="AF3834" s="865"/>
      <c r="AG3834" s="865"/>
      <c r="AH3834" s="1942"/>
      <c r="AI3834" s="1942"/>
      <c r="AJ3834" s="1942"/>
      <c r="AK3834" s="1942"/>
      <c r="AL3834" s="1942"/>
      <c r="AM3834" s="1942"/>
      <c r="AN3834" s="1942"/>
      <c r="AO3834" s="1942"/>
      <c r="AP3834" s="1942"/>
      <c r="AQ3834" s="1942"/>
      <c r="AR3834" s="1942"/>
      <c r="AS3834" s="1942"/>
      <c r="AT3834" s="1942"/>
      <c r="AU3834" s="1942"/>
      <c r="AV3834" s="1942"/>
      <c r="AW3834" s="1942"/>
      <c r="AX3834" s="1942"/>
      <c r="AY3834" s="1942"/>
      <c r="AZ3834" s="1942"/>
      <c r="BA3834" s="1942"/>
      <c r="BB3834" s="575"/>
      <c r="BC3834" s="576"/>
      <c r="BD3834" s="678"/>
      <c r="BE3834" s="585"/>
    </row>
    <row r="3835" spans="1:57" s="1942" customFormat="1" ht="14.45" hidden="1" customHeight="1" outlineLevel="1" x14ac:dyDescent="0.25">
      <c r="A3835" s="2060"/>
      <c r="B3835" s="576"/>
      <c r="C3835" s="328"/>
      <c r="D3835" s="3990"/>
      <c r="E3835" s="4009"/>
      <c r="F3835" s="3016" t="str">
        <f t="shared" si="292"/>
        <v>ASHP-SEER21_ER1_MF_CompE</v>
      </c>
      <c r="G3835" s="2673"/>
      <c r="H3835" s="2673"/>
      <c r="I3835" s="2673"/>
      <c r="J3835" s="3302" t="str">
        <f t="shared" ref="J3835:J3838" si="296">C1757</f>
        <v>354901_2019_12_</v>
      </c>
      <c r="K3835" s="3054">
        <v>6</v>
      </c>
      <c r="L3835" s="861"/>
      <c r="M3835" s="858"/>
      <c r="N3835" s="123"/>
      <c r="O3835" s="228"/>
      <c r="P3835" s="844"/>
      <c r="Q3835" s="845"/>
      <c r="R3835" s="844"/>
      <c r="S3835" s="832"/>
      <c r="T3835" s="3082"/>
      <c r="U3835" s="123"/>
      <c r="V3835" s="4031"/>
      <c r="W3835" s="865"/>
      <c r="X3835" s="865"/>
      <c r="Y3835" s="865"/>
      <c r="Z3835" s="865"/>
      <c r="AA3835" s="865"/>
      <c r="AB3835" s="865"/>
      <c r="AC3835" s="3054">
        <v>6</v>
      </c>
      <c r="AD3835" s="865"/>
      <c r="AE3835" s="865"/>
      <c r="AF3835" s="865"/>
      <c r="AG3835" s="865"/>
      <c r="BB3835" s="575"/>
      <c r="BC3835" s="576"/>
      <c r="BD3835" s="678"/>
      <c r="BE3835" s="585"/>
    </row>
    <row r="3836" spans="1:57" s="1942" customFormat="1" ht="14.45" hidden="1" customHeight="1" outlineLevel="1" x14ac:dyDescent="0.25">
      <c r="A3836" s="2060"/>
      <c r="B3836" s="576"/>
      <c r="C3836" s="328"/>
      <c r="D3836" s="3990"/>
      <c r="E3836" s="4009"/>
      <c r="F3836" s="3016" t="str">
        <f t="shared" si="292"/>
        <v>ASHP-SEER21_ER1_MF_CompE</v>
      </c>
      <c r="G3836" s="2673"/>
      <c r="H3836" s="2673"/>
      <c r="I3836" s="2673"/>
      <c r="J3836" s="3302" t="str">
        <f t="shared" si="296"/>
        <v>354901_2019_12_</v>
      </c>
      <c r="K3836" s="3054">
        <v>6</v>
      </c>
      <c r="L3836" s="861"/>
      <c r="M3836" s="858"/>
      <c r="N3836" s="123"/>
      <c r="O3836" s="228"/>
      <c r="P3836" s="844"/>
      <c r="Q3836" s="845"/>
      <c r="R3836" s="844"/>
      <c r="S3836" s="832"/>
      <c r="T3836" s="3082"/>
      <c r="U3836" s="123"/>
      <c r="V3836" s="4031"/>
      <c r="W3836" s="865"/>
      <c r="X3836" s="865"/>
      <c r="Y3836" s="865"/>
      <c r="Z3836" s="865"/>
      <c r="AA3836" s="865"/>
      <c r="AB3836" s="865"/>
      <c r="AC3836" s="3054">
        <v>6</v>
      </c>
      <c r="AD3836" s="865"/>
      <c r="AE3836" s="865"/>
      <c r="AF3836" s="865"/>
      <c r="AG3836" s="865"/>
      <c r="BB3836" s="575"/>
      <c r="BC3836" s="576"/>
      <c r="BD3836" s="678"/>
      <c r="BE3836" s="585"/>
    </row>
    <row r="3837" spans="1:57" s="1942" customFormat="1" ht="14.45" hidden="1" customHeight="1" outlineLevel="1" x14ac:dyDescent="0.25">
      <c r="A3837" s="2060"/>
      <c r="B3837" s="576"/>
      <c r="C3837" s="328"/>
      <c r="D3837" s="3990"/>
      <c r="E3837" s="4009"/>
      <c r="F3837" s="3016" t="str">
        <f t="shared" si="292"/>
        <v>ASHP-SEER21_ER2_MF_CompE</v>
      </c>
      <c r="G3837" s="2673"/>
      <c r="H3837" s="2673"/>
      <c r="I3837" s="2673"/>
      <c r="J3837" s="3302" t="str">
        <f t="shared" si="296"/>
        <v>354901_2019_12_</v>
      </c>
      <c r="K3837" s="3054">
        <v>12</v>
      </c>
      <c r="L3837" s="861"/>
      <c r="M3837" s="858"/>
      <c r="N3837" s="123"/>
      <c r="O3837" s="228"/>
      <c r="P3837" s="844"/>
      <c r="Q3837" s="845"/>
      <c r="R3837" s="844"/>
      <c r="S3837" s="832"/>
      <c r="T3837" s="3082"/>
      <c r="U3837" s="123"/>
      <c r="V3837" s="4031"/>
      <c r="W3837" s="865"/>
      <c r="X3837" s="865"/>
      <c r="Y3837" s="865"/>
      <c r="Z3837" s="865"/>
      <c r="AA3837" s="865"/>
      <c r="AB3837" s="865"/>
      <c r="AC3837" s="3054">
        <v>12</v>
      </c>
      <c r="AD3837" s="865"/>
      <c r="AE3837" s="865"/>
      <c r="AF3837" s="865"/>
      <c r="AG3837" s="865"/>
      <c r="BB3837" s="575"/>
      <c r="BC3837" s="576"/>
      <c r="BD3837" s="678"/>
      <c r="BE3837" s="585"/>
    </row>
    <row r="3838" spans="1:57" s="1942" customFormat="1" ht="14.45" hidden="1" customHeight="1" outlineLevel="1" x14ac:dyDescent="0.25">
      <c r="A3838" s="2060"/>
      <c r="B3838" s="576"/>
      <c r="C3838" s="328"/>
      <c r="D3838" s="3990"/>
      <c r="E3838" s="4009"/>
      <c r="F3838" s="3016" t="str">
        <f t="shared" si="292"/>
        <v>ASHP-SEER21_ER2_MF_CompE</v>
      </c>
      <c r="G3838" s="2673"/>
      <c r="H3838" s="2673"/>
      <c r="I3838" s="2673"/>
      <c r="J3838" s="3302" t="str">
        <f t="shared" si="296"/>
        <v>354901_2019_12_</v>
      </c>
      <c r="K3838" s="3054">
        <v>12</v>
      </c>
      <c r="L3838" s="861"/>
      <c r="M3838" s="858"/>
      <c r="N3838" s="123"/>
      <c r="O3838" s="228"/>
      <c r="P3838" s="844"/>
      <c r="Q3838" s="845"/>
      <c r="R3838" s="844"/>
      <c r="S3838" s="832"/>
      <c r="T3838" s="3082"/>
      <c r="U3838" s="123"/>
      <c r="V3838" s="4031"/>
      <c r="W3838" s="865"/>
      <c r="X3838" s="865"/>
      <c r="Y3838" s="865"/>
      <c r="Z3838" s="865"/>
      <c r="AA3838" s="865"/>
      <c r="AB3838" s="865"/>
      <c r="AC3838" s="3054">
        <v>12</v>
      </c>
      <c r="AD3838" s="865"/>
      <c r="AE3838" s="865"/>
      <c r="AF3838" s="865"/>
      <c r="AG3838" s="865"/>
      <c r="BB3838" s="575"/>
      <c r="BC3838" s="576"/>
      <c r="BD3838" s="678"/>
      <c r="BE3838" s="585"/>
    </row>
    <row r="3839" spans="1:57" s="51" customFormat="1" ht="14.45" hidden="1" customHeight="1" outlineLevel="1" x14ac:dyDescent="0.25">
      <c r="A3839" s="2060"/>
      <c r="B3839" s="576"/>
      <c r="C3839" s="328"/>
      <c r="D3839" s="3990"/>
      <c r="E3839" s="4009"/>
      <c r="F3839" s="3016" t="str">
        <f t="shared" si="292"/>
        <v>ASHP-SEER17_ROF_MF</v>
      </c>
      <c r="G3839" s="2673"/>
      <c r="H3839" s="2673"/>
      <c r="I3839" s="2673"/>
      <c r="J3839" s="3302" t="str">
        <f>C1761</f>
        <v>354950_2019_12_</v>
      </c>
      <c r="K3839" s="865">
        <v>18</v>
      </c>
      <c r="L3839" s="861"/>
      <c r="M3839" s="858"/>
      <c r="N3839" s="123"/>
      <c r="O3839" s="228"/>
      <c r="P3839" s="844"/>
      <c r="Q3839" s="845"/>
      <c r="R3839" s="844"/>
      <c r="S3839" s="832"/>
      <c r="T3839" s="3082"/>
      <c r="U3839" s="123"/>
      <c r="V3839" s="4031"/>
      <c r="W3839" s="865">
        <v>18</v>
      </c>
      <c r="X3839" s="865">
        <v>18</v>
      </c>
      <c r="Y3839" s="865">
        <v>18</v>
      </c>
      <c r="Z3839" s="865">
        <v>18</v>
      </c>
      <c r="AA3839" s="865">
        <v>18</v>
      </c>
      <c r="AB3839" s="865">
        <v>18</v>
      </c>
      <c r="AC3839" s="865">
        <v>18</v>
      </c>
      <c r="AD3839" s="865"/>
      <c r="AE3839" s="865"/>
      <c r="AF3839" s="865"/>
      <c r="AG3839" s="865"/>
      <c r="AH3839" s="1942"/>
      <c r="AI3839" s="1942"/>
      <c r="AJ3839" s="1942"/>
      <c r="AK3839" s="1942"/>
      <c r="AL3839" s="1942"/>
      <c r="AM3839" s="1942"/>
      <c r="AN3839" s="1942"/>
      <c r="AO3839" s="1942"/>
      <c r="AP3839" s="1942"/>
      <c r="AQ3839" s="1942"/>
      <c r="AR3839" s="1942"/>
      <c r="AS3839" s="1942"/>
      <c r="AT3839" s="1942"/>
      <c r="AU3839" s="1942"/>
      <c r="AV3839" s="1942"/>
      <c r="AW3839" s="1942"/>
      <c r="AX3839" s="1942"/>
      <c r="AY3839" s="1942"/>
      <c r="AZ3839" s="1942"/>
      <c r="BA3839" s="1942"/>
      <c r="BB3839" s="575"/>
      <c r="BC3839" s="576"/>
      <c r="BD3839" s="678"/>
      <c r="BE3839" s="585"/>
    </row>
    <row r="3840" spans="1:57" s="51" customFormat="1" ht="14.45" hidden="1" customHeight="1" outlineLevel="1" x14ac:dyDescent="0.25">
      <c r="A3840" s="2060"/>
      <c r="B3840" s="576"/>
      <c r="C3840" s="328"/>
      <c r="D3840" s="3990"/>
      <c r="E3840" s="4009"/>
      <c r="F3840" s="3016" t="str">
        <f t="shared" si="292"/>
        <v>ASHP-SEER17_ROF_MF</v>
      </c>
      <c r="G3840" s="2673"/>
      <c r="H3840" s="2673"/>
      <c r="I3840" s="2673"/>
      <c r="J3840" s="3302" t="str">
        <f>C1762</f>
        <v>354950_2019_12_</v>
      </c>
      <c r="K3840" s="865">
        <v>18</v>
      </c>
      <c r="L3840" s="861"/>
      <c r="M3840" s="858"/>
      <c r="N3840" s="123"/>
      <c r="O3840" s="228"/>
      <c r="P3840" s="844"/>
      <c r="Q3840" s="845"/>
      <c r="R3840" s="844"/>
      <c r="S3840" s="832"/>
      <c r="T3840" s="3082"/>
      <c r="U3840" s="123"/>
      <c r="V3840" s="4031"/>
      <c r="W3840" s="865">
        <v>18</v>
      </c>
      <c r="X3840" s="865">
        <v>18</v>
      </c>
      <c r="Y3840" s="865">
        <v>18</v>
      </c>
      <c r="Z3840" s="865">
        <v>18</v>
      </c>
      <c r="AA3840" s="865">
        <v>18</v>
      </c>
      <c r="AB3840" s="865">
        <v>18</v>
      </c>
      <c r="AC3840" s="865">
        <v>18</v>
      </c>
      <c r="AD3840" s="865"/>
      <c r="AE3840" s="865"/>
      <c r="AF3840" s="865"/>
      <c r="AG3840" s="865"/>
      <c r="AH3840" s="1942"/>
      <c r="AI3840" s="1942"/>
      <c r="AJ3840" s="1942"/>
      <c r="AK3840" s="1942"/>
      <c r="AL3840" s="1942"/>
      <c r="AM3840" s="1942"/>
      <c r="AN3840" s="1942"/>
      <c r="AO3840" s="1942"/>
      <c r="AP3840" s="1942"/>
      <c r="AQ3840" s="1942"/>
      <c r="AR3840" s="1942"/>
      <c r="AS3840" s="1942"/>
      <c r="AT3840" s="1942"/>
      <c r="AU3840" s="1942"/>
      <c r="AV3840" s="1942"/>
      <c r="AW3840" s="1942"/>
      <c r="AX3840" s="1942"/>
      <c r="AY3840" s="1942"/>
      <c r="AZ3840" s="1942"/>
      <c r="BA3840" s="1942"/>
      <c r="BB3840" s="575"/>
      <c r="BC3840" s="576"/>
      <c r="BD3840" s="678"/>
      <c r="BE3840" s="585"/>
    </row>
    <row r="3841" spans="1:57" s="1942" customFormat="1" ht="14.45" hidden="1" customHeight="1" outlineLevel="1" x14ac:dyDescent="0.25">
      <c r="A3841" s="2060"/>
      <c r="B3841" s="576"/>
      <c r="C3841" s="328"/>
      <c r="D3841" s="3990"/>
      <c r="E3841" s="4009"/>
      <c r="F3841" s="3016" t="str">
        <f t="shared" si="292"/>
        <v>ASHP-SEER17_ROF_MF_CompE</v>
      </c>
      <c r="G3841" s="2673"/>
      <c r="H3841" s="2673"/>
      <c r="I3841" s="2673"/>
      <c r="J3841" s="3302" t="str">
        <f t="shared" ref="J3841:J3842" si="297">C1763</f>
        <v>354951_2019_12_</v>
      </c>
      <c r="K3841" s="3054">
        <v>18</v>
      </c>
      <c r="L3841" s="861"/>
      <c r="M3841" s="858"/>
      <c r="N3841" s="123"/>
      <c r="O3841" s="228"/>
      <c r="P3841" s="844"/>
      <c r="Q3841" s="845"/>
      <c r="R3841" s="844"/>
      <c r="S3841" s="832"/>
      <c r="T3841" s="3082"/>
      <c r="U3841" s="123"/>
      <c r="V3841" s="4031"/>
      <c r="W3841" s="865"/>
      <c r="X3841" s="865"/>
      <c r="Y3841" s="865"/>
      <c r="Z3841" s="865"/>
      <c r="AA3841" s="865"/>
      <c r="AB3841" s="865"/>
      <c r="AC3841" s="3054">
        <v>18</v>
      </c>
      <c r="AD3841" s="865"/>
      <c r="AE3841" s="865"/>
      <c r="AF3841" s="865"/>
      <c r="AG3841" s="865"/>
      <c r="BB3841" s="575"/>
      <c r="BC3841" s="576"/>
      <c r="BD3841" s="678"/>
      <c r="BE3841" s="585"/>
    </row>
    <row r="3842" spans="1:57" s="1942" customFormat="1" ht="14.45" hidden="1" customHeight="1" outlineLevel="1" x14ac:dyDescent="0.25">
      <c r="A3842" s="2060"/>
      <c r="B3842" s="576"/>
      <c r="C3842" s="328"/>
      <c r="D3842" s="3990"/>
      <c r="E3842" s="4009"/>
      <c r="F3842" s="3016" t="str">
        <f t="shared" si="292"/>
        <v>ASHP-SEER17_ROF_MF_CompE</v>
      </c>
      <c r="G3842" s="2673"/>
      <c r="H3842" s="2673"/>
      <c r="I3842" s="2673"/>
      <c r="J3842" s="3302" t="str">
        <f t="shared" si="297"/>
        <v>354951_2019_12_</v>
      </c>
      <c r="K3842" s="3054">
        <v>18</v>
      </c>
      <c r="L3842" s="861"/>
      <c r="M3842" s="858"/>
      <c r="N3842" s="123"/>
      <c r="O3842" s="228"/>
      <c r="P3842" s="844"/>
      <c r="Q3842" s="845"/>
      <c r="R3842" s="844"/>
      <c r="S3842" s="832"/>
      <c r="T3842" s="3082"/>
      <c r="U3842" s="123"/>
      <c r="V3842" s="4031"/>
      <c r="W3842" s="865"/>
      <c r="X3842" s="865"/>
      <c r="Y3842" s="865"/>
      <c r="Z3842" s="865"/>
      <c r="AA3842" s="865"/>
      <c r="AB3842" s="865"/>
      <c r="AC3842" s="3054">
        <v>18</v>
      </c>
      <c r="AD3842" s="865"/>
      <c r="AE3842" s="865"/>
      <c r="AF3842" s="865"/>
      <c r="AG3842" s="865"/>
      <c r="BB3842" s="575"/>
      <c r="BC3842" s="576"/>
      <c r="BD3842" s="678"/>
      <c r="BE3842" s="585"/>
    </row>
    <row r="3843" spans="1:57" s="51" customFormat="1" ht="14.45" hidden="1" customHeight="1" outlineLevel="1" x14ac:dyDescent="0.25">
      <c r="A3843" s="2060"/>
      <c r="B3843" s="576"/>
      <c r="C3843" s="328"/>
      <c r="D3843" s="3990"/>
      <c r="E3843" s="4009"/>
      <c r="F3843" s="3016" t="str">
        <f t="shared" si="292"/>
        <v>ASHP-SEER18_ROF_MF</v>
      </c>
      <c r="G3843" s="2673"/>
      <c r="H3843" s="2673"/>
      <c r="I3843" s="2673"/>
      <c r="J3843" s="3302" t="str">
        <f>C1765</f>
        <v>355000_2019_12_</v>
      </c>
      <c r="K3843" s="865">
        <v>18</v>
      </c>
      <c r="L3843" s="861"/>
      <c r="M3843" s="858"/>
      <c r="N3843" s="123"/>
      <c r="O3843" s="228"/>
      <c r="P3843" s="844"/>
      <c r="Q3843" s="845"/>
      <c r="R3843" s="844"/>
      <c r="S3843" s="832"/>
      <c r="T3843" s="3082"/>
      <c r="U3843" s="123"/>
      <c r="V3843" s="4031"/>
      <c r="W3843" s="865">
        <v>18</v>
      </c>
      <c r="X3843" s="865">
        <v>18</v>
      </c>
      <c r="Y3843" s="865">
        <v>18</v>
      </c>
      <c r="Z3843" s="865">
        <v>18</v>
      </c>
      <c r="AA3843" s="865">
        <v>18</v>
      </c>
      <c r="AB3843" s="865">
        <v>18</v>
      </c>
      <c r="AC3843" s="865">
        <v>18</v>
      </c>
      <c r="AD3843" s="865"/>
      <c r="AE3843" s="865"/>
      <c r="AF3843" s="865"/>
      <c r="AG3843" s="865"/>
      <c r="AH3843" s="1942"/>
      <c r="AI3843" s="1942"/>
      <c r="AJ3843" s="1942"/>
      <c r="AK3843" s="1942"/>
      <c r="AL3843" s="1942"/>
      <c r="AM3843" s="1942"/>
      <c r="AN3843" s="1942"/>
      <c r="AO3843" s="1942"/>
      <c r="AP3843" s="1942"/>
      <c r="AQ3843" s="1942"/>
      <c r="AR3843" s="1942"/>
      <c r="AS3843" s="1942"/>
      <c r="AT3843" s="1942"/>
      <c r="AU3843" s="1942"/>
      <c r="AV3843" s="1942"/>
      <c r="AW3843" s="1942"/>
      <c r="AX3843" s="1942"/>
      <c r="AY3843" s="1942"/>
      <c r="AZ3843" s="1942"/>
      <c r="BA3843" s="1942"/>
      <c r="BB3843" s="575"/>
      <c r="BC3843" s="576"/>
      <c r="BD3843" s="678"/>
      <c r="BE3843" s="585"/>
    </row>
    <row r="3844" spans="1:57" s="51" customFormat="1" ht="14.45" hidden="1" customHeight="1" outlineLevel="1" x14ac:dyDescent="0.25">
      <c r="A3844" s="2060"/>
      <c r="B3844" s="576"/>
      <c r="C3844" s="328"/>
      <c r="D3844" s="3990"/>
      <c r="E3844" s="4009"/>
      <c r="F3844" s="3016" t="str">
        <f t="shared" si="292"/>
        <v>ASHP-SEER18_ROF_MF</v>
      </c>
      <c r="G3844" s="2673"/>
      <c r="H3844" s="2673"/>
      <c r="I3844" s="2673"/>
      <c r="J3844" s="3302" t="str">
        <f>C1766</f>
        <v>355000_2019_12_</v>
      </c>
      <c r="K3844" s="865">
        <v>18</v>
      </c>
      <c r="L3844" s="861"/>
      <c r="M3844" s="858"/>
      <c r="N3844" s="123"/>
      <c r="O3844" s="228"/>
      <c r="P3844" s="844"/>
      <c r="Q3844" s="845"/>
      <c r="R3844" s="844"/>
      <c r="S3844" s="832"/>
      <c r="T3844" s="3082"/>
      <c r="U3844" s="123"/>
      <c r="V3844" s="4031"/>
      <c r="W3844" s="865">
        <v>18</v>
      </c>
      <c r="X3844" s="865">
        <v>18</v>
      </c>
      <c r="Y3844" s="865">
        <v>18</v>
      </c>
      <c r="Z3844" s="865">
        <v>18</v>
      </c>
      <c r="AA3844" s="865">
        <v>18</v>
      </c>
      <c r="AB3844" s="865">
        <v>18</v>
      </c>
      <c r="AC3844" s="865">
        <v>18</v>
      </c>
      <c r="AD3844" s="865"/>
      <c r="AE3844" s="865"/>
      <c r="AF3844" s="865"/>
      <c r="AG3844" s="865"/>
      <c r="AH3844" s="1942"/>
      <c r="AI3844" s="1942"/>
      <c r="AJ3844" s="1942"/>
      <c r="AK3844" s="1942"/>
      <c r="AL3844" s="1942"/>
      <c r="AM3844" s="1942"/>
      <c r="AN3844" s="1942"/>
      <c r="AO3844" s="1942"/>
      <c r="AP3844" s="1942"/>
      <c r="AQ3844" s="1942"/>
      <c r="AR3844" s="1942"/>
      <c r="AS3844" s="1942"/>
      <c r="AT3844" s="1942"/>
      <c r="AU3844" s="1942"/>
      <c r="AV3844" s="1942"/>
      <c r="AW3844" s="1942"/>
      <c r="AX3844" s="1942"/>
      <c r="AY3844" s="1942"/>
      <c r="AZ3844" s="1942"/>
      <c r="BA3844" s="1942"/>
      <c r="BB3844" s="575"/>
      <c r="BC3844" s="576"/>
      <c r="BD3844" s="678"/>
      <c r="BE3844" s="585"/>
    </row>
    <row r="3845" spans="1:57" s="1942" customFormat="1" ht="14.45" hidden="1" customHeight="1" outlineLevel="1" x14ac:dyDescent="0.25">
      <c r="A3845" s="2060"/>
      <c r="B3845" s="576"/>
      <c r="C3845" s="328"/>
      <c r="D3845" s="3990"/>
      <c r="E3845" s="4009"/>
      <c r="F3845" s="3016" t="str">
        <f t="shared" si="292"/>
        <v>ASHP-SEER18_ROF_MF_CompE</v>
      </c>
      <c r="G3845" s="2673"/>
      <c r="H3845" s="2673"/>
      <c r="I3845" s="2673"/>
      <c r="J3845" s="3302" t="str">
        <f t="shared" ref="J3845:J3846" si="298">C1767</f>
        <v>355001_2021_12_</v>
      </c>
      <c r="K3845" s="3054">
        <v>18</v>
      </c>
      <c r="L3845" s="861"/>
      <c r="M3845" s="858"/>
      <c r="N3845" s="123"/>
      <c r="O3845" s="228"/>
      <c r="P3845" s="844"/>
      <c r="Q3845" s="845"/>
      <c r="R3845" s="844"/>
      <c r="S3845" s="832"/>
      <c r="T3845" s="3082"/>
      <c r="U3845" s="123"/>
      <c r="V3845" s="4031"/>
      <c r="W3845" s="865"/>
      <c r="X3845" s="865"/>
      <c r="Y3845" s="865"/>
      <c r="Z3845" s="865"/>
      <c r="AA3845" s="865"/>
      <c r="AB3845" s="865"/>
      <c r="AC3845" s="3054">
        <v>18</v>
      </c>
      <c r="AD3845" s="865"/>
      <c r="AE3845" s="865"/>
      <c r="AF3845" s="865"/>
      <c r="AG3845" s="865"/>
      <c r="BB3845" s="575"/>
      <c r="BC3845" s="576"/>
      <c r="BD3845" s="678"/>
      <c r="BE3845" s="585"/>
    </row>
    <row r="3846" spans="1:57" s="1942" customFormat="1" ht="14.45" hidden="1" customHeight="1" outlineLevel="1" x14ac:dyDescent="0.25">
      <c r="A3846" s="2060"/>
      <c r="B3846" s="576"/>
      <c r="C3846" s="328"/>
      <c r="D3846" s="3990"/>
      <c r="E3846" s="4009"/>
      <c r="F3846" s="3016" t="str">
        <f t="shared" si="292"/>
        <v>ASHP-SEER18_ROF_MF_CompE</v>
      </c>
      <c r="G3846" s="2673"/>
      <c r="H3846" s="2673"/>
      <c r="I3846" s="2673"/>
      <c r="J3846" s="3302" t="str">
        <f t="shared" si="298"/>
        <v>355001_2021_12_</v>
      </c>
      <c r="K3846" s="3054">
        <v>18</v>
      </c>
      <c r="L3846" s="861"/>
      <c r="M3846" s="858"/>
      <c r="N3846" s="123"/>
      <c r="O3846" s="228"/>
      <c r="P3846" s="844"/>
      <c r="Q3846" s="845"/>
      <c r="R3846" s="844"/>
      <c r="S3846" s="832"/>
      <c r="T3846" s="3082"/>
      <c r="U3846" s="123"/>
      <c r="V3846" s="4031"/>
      <c r="W3846" s="865"/>
      <c r="X3846" s="865"/>
      <c r="Y3846" s="865"/>
      <c r="Z3846" s="865"/>
      <c r="AA3846" s="865"/>
      <c r="AB3846" s="865"/>
      <c r="AC3846" s="3054">
        <v>18</v>
      </c>
      <c r="AD3846" s="865"/>
      <c r="AE3846" s="865"/>
      <c r="AF3846" s="865"/>
      <c r="AG3846" s="865"/>
      <c r="BB3846" s="575"/>
      <c r="BC3846" s="576"/>
      <c r="BD3846" s="678"/>
      <c r="BE3846" s="585"/>
    </row>
    <row r="3847" spans="1:57" s="51" customFormat="1" ht="14.45" hidden="1" customHeight="1" outlineLevel="1" x14ac:dyDescent="0.25">
      <c r="A3847" s="2060"/>
      <c r="B3847" s="576"/>
      <c r="C3847" s="328"/>
      <c r="D3847" s="3990"/>
      <c r="E3847" s="4009"/>
      <c r="F3847" s="3016" t="str">
        <f t="shared" si="292"/>
        <v>ASHP-SEER19_ROF_MF</v>
      </c>
      <c r="G3847" s="2673"/>
      <c r="H3847" s="2673"/>
      <c r="I3847" s="2673"/>
      <c r="J3847" s="3302" t="str">
        <f>C1769</f>
        <v>355050_2019_12_</v>
      </c>
      <c r="K3847" s="865">
        <v>18</v>
      </c>
      <c r="L3847" s="861"/>
      <c r="M3847" s="858"/>
      <c r="N3847" s="123"/>
      <c r="O3847" s="228"/>
      <c r="P3847" s="844"/>
      <c r="Q3847" s="845"/>
      <c r="R3847" s="844"/>
      <c r="S3847" s="832"/>
      <c r="T3847" s="3082"/>
      <c r="U3847" s="123"/>
      <c r="V3847" s="4031"/>
      <c r="W3847" s="865">
        <v>18</v>
      </c>
      <c r="X3847" s="865">
        <v>18</v>
      </c>
      <c r="Y3847" s="865">
        <v>18</v>
      </c>
      <c r="Z3847" s="865">
        <v>18</v>
      </c>
      <c r="AA3847" s="865">
        <v>18</v>
      </c>
      <c r="AB3847" s="865">
        <v>18</v>
      </c>
      <c r="AC3847" s="865">
        <v>18</v>
      </c>
      <c r="AD3847" s="865"/>
      <c r="AE3847" s="865"/>
      <c r="AF3847" s="865"/>
      <c r="AG3847" s="865"/>
      <c r="AH3847" s="1942"/>
      <c r="AI3847" s="1942"/>
      <c r="AJ3847" s="1942"/>
      <c r="AK3847" s="1942"/>
      <c r="AL3847" s="1942"/>
      <c r="AM3847" s="1942"/>
      <c r="AN3847" s="1942"/>
      <c r="AO3847" s="1942"/>
      <c r="AP3847" s="1942"/>
      <c r="AQ3847" s="1942"/>
      <c r="AR3847" s="1942"/>
      <c r="AS3847" s="1942"/>
      <c r="AT3847" s="1942"/>
      <c r="AU3847" s="1942"/>
      <c r="AV3847" s="1942"/>
      <c r="AW3847" s="1942"/>
      <c r="AX3847" s="1942"/>
      <c r="AY3847" s="1942"/>
      <c r="AZ3847" s="1942"/>
      <c r="BA3847" s="1942"/>
      <c r="BB3847" s="575"/>
      <c r="BC3847" s="576"/>
      <c r="BD3847" s="678"/>
      <c r="BE3847" s="585"/>
    </row>
    <row r="3848" spans="1:57" s="51" customFormat="1" ht="15" hidden="1" customHeight="1" outlineLevel="1" x14ac:dyDescent="0.25">
      <c r="A3848" s="2060"/>
      <c r="B3848" s="576"/>
      <c r="C3848" s="328"/>
      <c r="D3848" s="3990"/>
      <c r="E3848" s="4009"/>
      <c r="F3848" s="3016" t="str">
        <f t="shared" si="292"/>
        <v>ASHP-SEER19_ROF_MF</v>
      </c>
      <c r="G3848" s="2673"/>
      <c r="H3848" s="2673"/>
      <c r="I3848" s="2673"/>
      <c r="J3848" s="3302" t="str">
        <f>C1770</f>
        <v>355050_2019_12_</v>
      </c>
      <c r="K3848" s="865">
        <v>18</v>
      </c>
      <c r="L3848" s="851"/>
      <c r="M3848" s="698"/>
      <c r="N3848" s="123"/>
      <c r="O3848" s="228"/>
      <c r="P3848" s="844"/>
      <c r="Q3848" s="845"/>
      <c r="R3848" s="844"/>
      <c r="S3848" s="832"/>
      <c r="T3848" s="3082"/>
      <c r="U3848" s="123"/>
      <c r="V3848" s="4031"/>
      <c r="W3848" s="865">
        <v>18</v>
      </c>
      <c r="X3848" s="865">
        <v>18</v>
      </c>
      <c r="Y3848" s="865">
        <v>18</v>
      </c>
      <c r="Z3848" s="865">
        <v>18</v>
      </c>
      <c r="AA3848" s="865">
        <v>18</v>
      </c>
      <c r="AB3848" s="865">
        <v>18</v>
      </c>
      <c r="AC3848" s="865">
        <v>18</v>
      </c>
      <c r="AD3848" s="865"/>
      <c r="AE3848" s="865"/>
      <c r="AF3848" s="865"/>
      <c r="AG3848" s="865"/>
      <c r="AH3848" s="1942"/>
      <c r="AI3848" s="1942"/>
      <c r="AJ3848" s="1942"/>
      <c r="AK3848" s="1942"/>
      <c r="AL3848" s="1942"/>
      <c r="AM3848" s="1942"/>
      <c r="AN3848" s="1942"/>
      <c r="AO3848" s="1942"/>
      <c r="AP3848" s="1942"/>
      <c r="AQ3848" s="1942"/>
      <c r="AR3848" s="1942"/>
      <c r="AS3848" s="1942"/>
      <c r="AT3848" s="1942"/>
      <c r="AU3848" s="1942"/>
      <c r="AV3848" s="1942"/>
      <c r="AW3848" s="1942"/>
      <c r="AX3848" s="1942"/>
      <c r="AY3848" s="1942"/>
      <c r="AZ3848" s="1942"/>
      <c r="BA3848" s="1942"/>
      <c r="BB3848" s="575"/>
      <c r="BC3848" s="576"/>
      <c r="BD3848" s="678"/>
      <c r="BE3848" s="585"/>
    </row>
    <row r="3849" spans="1:57" s="1942" customFormat="1" ht="15" hidden="1" customHeight="1" outlineLevel="1" x14ac:dyDescent="0.25">
      <c r="A3849" s="2060"/>
      <c r="B3849" s="576"/>
      <c r="C3849" s="328"/>
      <c r="D3849" s="3990"/>
      <c r="E3849" s="4009"/>
      <c r="F3849" s="3016" t="str">
        <f t="shared" si="292"/>
        <v>ASHP-SEER19_ROF_MF_CompE</v>
      </c>
      <c r="G3849" s="2673"/>
      <c r="H3849" s="2673"/>
      <c r="I3849" s="2673"/>
      <c r="J3849" s="3302" t="str">
        <f t="shared" ref="J3849:J3850" si="299">C1771</f>
        <v>355051_2019_12_</v>
      </c>
      <c r="K3849" s="3054">
        <v>18</v>
      </c>
      <c r="L3849" s="851"/>
      <c r="M3849" s="698"/>
      <c r="N3849" s="123"/>
      <c r="O3849" s="228"/>
      <c r="P3849" s="844"/>
      <c r="Q3849" s="845"/>
      <c r="R3849" s="844"/>
      <c r="S3849" s="832"/>
      <c r="T3849" s="3082"/>
      <c r="U3849" s="123"/>
      <c r="V3849" s="4031"/>
      <c r="W3849" s="865"/>
      <c r="X3849" s="865"/>
      <c r="Y3849" s="865"/>
      <c r="Z3849" s="865"/>
      <c r="AA3849" s="865"/>
      <c r="AB3849" s="865"/>
      <c r="AC3849" s="3054">
        <v>18</v>
      </c>
      <c r="AD3849" s="865"/>
      <c r="AE3849" s="865"/>
      <c r="AF3849" s="865"/>
      <c r="AG3849" s="865"/>
      <c r="BB3849" s="575"/>
      <c r="BC3849" s="576"/>
      <c r="BD3849" s="678"/>
      <c r="BE3849" s="585"/>
    </row>
    <row r="3850" spans="1:57" s="1942" customFormat="1" ht="15" hidden="1" customHeight="1" outlineLevel="1" x14ac:dyDescent="0.25">
      <c r="A3850" s="2060"/>
      <c r="B3850" s="576"/>
      <c r="C3850" s="328"/>
      <c r="D3850" s="3990"/>
      <c r="E3850" s="4009"/>
      <c r="F3850" s="3016" t="str">
        <f t="shared" si="292"/>
        <v>ASHP-SEER19_ROF_MF_CompE</v>
      </c>
      <c r="G3850" s="2673"/>
      <c r="H3850" s="2673"/>
      <c r="I3850" s="2673"/>
      <c r="J3850" s="3302" t="str">
        <f t="shared" si="299"/>
        <v>355051_2019_12_</v>
      </c>
      <c r="K3850" s="3054">
        <v>18</v>
      </c>
      <c r="L3850" s="851"/>
      <c r="M3850" s="698"/>
      <c r="N3850" s="123"/>
      <c r="O3850" s="228"/>
      <c r="P3850" s="844"/>
      <c r="Q3850" s="845"/>
      <c r="R3850" s="844"/>
      <c r="S3850" s="832"/>
      <c r="T3850" s="3082"/>
      <c r="U3850" s="123"/>
      <c r="V3850" s="4031"/>
      <c r="W3850" s="865"/>
      <c r="X3850" s="865"/>
      <c r="Y3850" s="865"/>
      <c r="Z3850" s="865"/>
      <c r="AA3850" s="865"/>
      <c r="AB3850" s="865"/>
      <c r="AC3850" s="3054">
        <v>18</v>
      </c>
      <c r="AD3850" s="865"/>
      <c r="AE3850" s="865"/>
      <c r="AF3850" s="865"/>
      <c r="AG3850" s="865"/>
      <c r="BB3850" s="575"/>
      <c r="BC3850" s="576"/>
      <c r="BD3850" s="678"/>
      <c r="BE3850" s="585"/>
    </row>
    <row r="3851" spans="1:57" s="51" customFormat="1" ht="15" hidden="1" customHeight="1" outlineLevel="1" x14ac:dyDescent="0.25">
      <c r="A3851" s="2060"/>
      <c r="B3851" s="576"/>
      <c r="C3851" s="328"/>
      <c r="D3851" s="3990"/>
      <c r="E3851" s="4009"/>
      <c r="F3851" s="3016" t="str">
        <f t="shared" si="292"/>
        <v>ASHP-SEER20_ROF_MF</v>
      </c>
      <c r="G3851" s="2673"/>
      <c r="H3851" s="2673"/>
      <c r="I3851" s="2673"/>
      <c r="J3851" s="3302" t="str">
        <f>C1773</f>
        <v>355100_2019_12_</v>
      </c>
      <c r="K3851" s="865">
        <v>18</v>
      </c>
      <c r="L3851" s="851"/>
      <c r="M3851" s="698"/>
      <c r="N3851" s="123"/>
      <c r="O3851" s="228"/>
      <c r="P3851" s="844"/>
      <c r="Q3851" s="845"/>
      <c r="R3851" s="844"/>
      <c r="S3851" s="832"/>
      <c r="T3851" s="3082"/>
      <c r="U3851" s="123"/>
      <c r="V3851" s="4031"/>
      <c r="W3851" s="865">
        <v>18</v>
      </c>
      <c r="X3851" s="865">
        <v>18</v>
      </c>
      <c r="Y3851" s="865">
        <v>18</v>
      </c>
      <c r="Z3851" s="865">
        <v>18</v>
      </c>
      <c r="AA3851" s="865">
        <v>18</v>
      </c>
      <c r="AB3851" s="865">
        <v>18</v>
      </c>
      <c r="AC3851" s="865">
        <v>18</v>
      </c>
      <c r="AD3851" s="865"/>
      <c r="AE3851" s="865"/>
      <c r="AF3851" s="865"/>
      <c r="AG3851" s="865"/>
      <c r="AH3851" s="1942"/>
      <c r="AI3851" s="1942"/>
      <c r="AJ3851" s="1942"/>
      <c r="AK3851" s="1942"/>
      <c r="AL3851" s="1942"/>
      <c r="AM3851" s="1942"/>
      <c r="AN3851" s="1942"/>
      <c r="AO3851" s="1942"/>
      <c r="AP3851" s="1942"/>
      <c r="AQ3851" s="1942"/>
      <c r="AR3851" s="1942"/>
      <c r="AS3851" s="1942"/>
      <c r="AT3851" s="1942"/>
      <c r="AU3851" s="1942"/>
      <c r="AV3851" s="1942"/>
      <c r="AW3851" s="1942"/>
      <c r="AX3851" s="1942"/>
      <c r="AY3851" s="1942"/>
      <c r="AZ3851" s="1942"/>
      <c r="BA3851" s="1942"/>
      <c r="BB3851" s="575"/>
      <c r="BC3851" s="576"/>
      <c r="BD3851" s="678"/>
      <c r="BE3851" s="585"/>
    </row>
    <row r="3852" spans="1:57" s="51" customFormat="1" ht="15" hidden="1" customHeight="1" outlineLevel="1" x14ac:dyDescent="0.25">
      <c r="A3852" s="2060"/>
      <c r="B3852" s="576"/>
      <c r="C3852" s="328"/>
      <c r="D3852" s="3990"/>
      <c r="E3852" s="4009"/>
      <c r="F3852" s="3016" t="str">
        <f t="shared" si="292"/>
        <v>ASHP-SEER20_ROF_MF</v>
      </c>
      <c r="G3852" s="2673"/>
      <c r="H3852" s="2673"/>
      <c r="I3852" s="2673"/>
      <c r="J3852" s="3302" t="str">
        <f>C1774</f>
        <v>355100_2019_12_</v>
      </c>
      <c r="K3852" s="865">
        <v>18</v>
      </c>
      <c r="L3852" s="851"/>
      <c r="M3852" s="698"/>
      <c r="N3852" s="123"/>
      <c r="O3852" s="228"/>
      <c r="P3852" s="844"/>
      <c r="Q3852" s="845"/>
      <c r="R3852" s="844"/>
      <c r="S3852" s="832"/>
      <c r="T3852" s="3082"/>
      <c r="U3852" s="123"/>
      <c r="V3852" s="4031"/>
      <c r="W3852" s="865">
        <v>18</v>
      </c>
      <c r="X3852" s="865">
        <v>18</v>
      </c>
      <c r="Y3852" s="865">
        <v>18</v>
      </c>
      <c r="Z3852" s="865">
        <v>18</v>
      </c>
      <c r="AA3852" s="865">
        <v>18</v>
      </c>
      <c r="AB3852" s="865">
        <v>18</v>
      </c>
      <c r="AC3852" s="865">
        <v>18</v>
      </c>
      <c r="AD3852" s="865"/>
      <c r="AE3852" s="865"/>
      <c r="AF3852" s="865"/>
      <c r="AG3852" s="865"/>
      <c r="AH3852" s="1942"/>
      <c r="AI3852" s="1942"/>
      <c r="AJ3852" s="1942"/>
      <c r="AK3852" s="1942"/>
      <c r="AL3852" s="1942"/>
      <c r="AM3852" s="1942"/>
      <c r="AN3852" s="1942"/>
      <c r="AO3852" s="1942"/>
      <c r="AP3852" s="1942"/>
      <c r="AQ3852" s="1942"/>
      <c r="AR3852" s="1942"/>
      <c r="AS3852" s="1942"/>
      <c r="AT3852" s="1942"/>
      <c r="AU3852" s="1942"/>
      <c r="AV3852" s="1942"/>
      <c r="AW3852" s="1942"/>
      <c r="AX3852" s="1942"/>
      <c r="AY3852" s="1942"/>
      <c r="AZ3852" s="1942"/>
      <c r="BA3852" s="1942"/>
      <c r="BB3852" s="575"/>
      <c r="BC3852" s="576"/>
      <c r="BD3852" s="678"/>
      <c r="BE3852" s="585"/>
    </row>
    <row r="3853" spans="1:57" s="1942" customFormat="1" ht="15" hidden="1" customHeight="1" outlineLevel="1" x14ac:dyDescent="0.25">
      <c r="A3853" s="2060"/>
      <c r="B3853" s="576"/>
      <c r="C3853" s="328"/>
      <c r="D3853" s="3990"/>
      <c r="E3853" s="4009"/>
      <c r="F3853" s="3016" t="str">
        <f t="shared" si="292"/>
        <v>ASHP-SEER20_ROF_MF_CompE</v>
      </c>
      <c r="G3853" s="2673"/>
      <c r="H3853" s="2673"/>
      <c r="I3853" s="2673"/>
      <c r="J3853" s="3302" t="str">
        <f t="shared" ref="J3853:J3854" si="300">C1775</f>
        <v>355101_2019_12_</v>
      </c>
      <c r="K3853" s="3054">
        <v>18</v>
      </c>
      <c r="L3853" s="851"/>
      <c r="M3853" s="698"/>
      <c r="N3853" s="123"/>
      <c r="O3853" s="228"/>
      <c r="P3853" s="844"/>
      <c r="Q3853" s="845"/>
      <c r="R3853" s="844"/>
      <c r="S3853" s="832"/>
      <c r="T3853" s="3082"/>
      <c r="U3853" s="123"/>
      <c r="V3853" s="4031"/>
      <c r="W3853" s="865"/>
      <c r="X3853" s="865"/>
      <c r="Y3853" s="865"/>
      <c r="Z3853" s="865"/>
      <c r="AA3853" s="865"/>
      <c r="AB3853" s="865"/>
      <c r="AC3853" s="3054">
        <v>18</v>
      </c>
      <c r="AD3853" s="865"/>
      <c r="AE3853" s="865"/>
      <c r="AF3853" s="865"/>
      <c r="AG3853" s="865"/>
      <c r="BB3853" s="575"/>
      <c r="BC3853" s="576"/>
      <c r="BD3853" s="678"/>
      <c r="BE3853" s="585"/>
    </row>
    <row r="3854" spans="1:57" s="1942" customFormat="1" ht="15" hidden="1" customHeight="1" outlineLevel="1" x14ac:dyDescent="0.25">
      <c r="A3854" s="2060"/>
      <c r="B3854" s="576"/>
      <c r="C3854" s="328"/>
      <c r="D3854" s="3990"/>
      <c r="E3854" s="4009"/>
      <c r="F3854" s="3016" t="str">
        <f t="shared" si="292"/>
        <v>ASHP-SEER20_ROF_MF_CompE</v>
      </c>
      <c r="G3854" s="2673"/>
      <c r="H3854" s="2673"/>
      <c r="I3854" s="2673"/>
      <c r="J3854" s="3302" t="str">
        <f t="shared" si="300"/>
        <v>355101_2019_12_</v>
      </c>
      <c r="K3854" s="3054">
        <v>18</v>
      </c>
      <c r="L3854" s="851"/>
      <c r="M3854" s="698"/>
      <c r="N3854" s="123"/>
      <c r="O3854" s="228"/>
      <c r="P3854" s="844"/>
      <c r="Q3854" s="845"/>
      <c r="R3854" s="844"/>
      <c r="S3854" s="832"/>
      <c r="T3854" s="3082"/>
      <c r="U3854" s="123"/>
      <c r="V3854" s="4031"/>
      <c r="W3854" s="865"/>
      <c r="X3854" s="865"/>
      <c r="Y3854" s="865"/>
      <c r="Z3854" s="865"/>
      <c r="AA3854" s="865"/>
      <c r="AB3854" s="865"/>
      <c r="AC3854" s="3054">
        <v>18</v>
      </c>
      <c r="AD3854" s="865"/>
      <c r="AE3854" s="865"/>
      <c r="AF3854" s="865"/>
      <c r="AG3854" s="865"/>
      <c r="BB3854" s="575"/>
      <c r="BC3854" s="576"/>
      <c r="BD3854" s="678"/>
      <c r="BE3854" s="585"/>
    </row>
    <row r="3855" spans="1:57" s="51" customFormat="1" ht="15" hidden="1" customHeight="1" outlineLevel="1" x14ac:dyDescent="0.25">
      <c r="A3855" s="2060"/>
      <c r="B3855" s="576"/>
      <c r="C3855" s="328"/>
      <c r="D3855" s="3990"/>
      <c r="E3855" s="4009"/>
      <c r="F3855" s="3016" t="str">
        <f t="shared" si="292"/>
        <v>ASHP-SEER21_ROF_MF</v>
      </c>
      <c r="G3855" s="2673"/>
      <c r="H3855" s="2673"/>
      <c r="I3855" s="2673"/>
      <c r="J3855" s="3302" t="str">
        <f>C1777</f>
        <v>355150_2019_12_</v>
      </c>
      <c r="K3855" s="865">
        <v>18</v>
      </c>
      <c r="L3855" s="861"/>
      <c r="M3855" s="698"/>
      <c r="N3855" s="123"/>
      <c r="O3855" s="228"/>
      <c r="P3855" s="844"/>
      <c r="Q3855" s="845"/>
      <c r="R3855" s="844"/>
      <c r="S3855" s="832"/>
      <c r="T3855" s="3082"/>
      <c r="U3855" s="123"/>
      <c r="V3855" s="4031"/>
      <c r="W3855" s="865">
        <v>18</v>
      </c>
      <c r="X3855" s="865">
        <v>18</v>
      </c>
      <c r="Y3855" s="865">
        <v>18</v>
      </c>
      <c r="Z3855" s="865">
        <v>18</v>
      </c>
      <c r="AA3855" s="865">
        <v>18</v>
      </c>
      <c r="AB3855" s="865">
        <v>18</v>
      </c>
      <c r="AC3855" s="865">
        <v>18</v>
      </c>
      <c r="AD3855" s="865"/>
      <c r="AE3855" s="865"/>
      <c r="AF3855" s="865"/>
      <c r="AG3855" s="865"/>
      <c r="AH3855" s="1942"/>
      <c r="AI3855" s="1942"/>
      <c r="AJ3855" s="1942"/>
      <c r="AK3855" s="1942"/>
      <c r="AL3855" s="1942"/>
      <c r="AM3855" s="1942"/>
      <c r="AN3855" s="1942"/>
      <c r="AO3855" s="1942"/>
      <c r="AP3855" s="1942"/>
      <c r="AQ3855" s="1942"/>
      <c r="AR3855" s="1942"/>
      <c r="AS3855" s="1942"/>
      <c r="AT3855" s="1942"/>
      <c r="AU3855" s="1942"/>
      <c r="AV3855" s="1942"/>
      <c r="AW3855" s="1942"/>
      <c r="AX3855" s="1942"/>
      <c r="AY3855" s="1942"/>
      <c r="AZ3855" s="1942"/>
      <c r="BA3855" s="1942"/>
      <c r="BB3855" s="575"/>
      <c r="BC3855" s="576"/>
      <c r="BD3855" s="678"/>
      <c r="BE3855" s="585"/>
    </row>
    <row r="3856" spans="1:57" s="51" customFormat="1" ht="15.75" hidden="1" customHeight="1" outlineLevel="1" x14ac:dyDescent="0.25">
      <c r="A3856" s="2060"/>
      <c r="B3856" s="576"/>
      <c r="C3856" s="328"/>
      <c r="D3856" s="3990"/>
      <c r="E3856" s="4009"/>
      <c r="F3856" s="3016" t="str">
        <f t="shared" si="292"/>
        <v>ASHP-SEER21_ROF_MF</v>
      </c>
      <c r="G3856" s="2673"/>
      <c r="H3856" s="2673"/>
      <c r="I3856" s="2673"/>
      <c r="J3856" s="3302" t="str">
        <f>C1778</f>
        <v>355150_2019_12_</v>
      </c>
      <c r="K3856" s="865">
        <v>18</v>
      </c>
      <c r="L3856" s="861"/>
      <c r="M3856" s="698"/>
      <c r="N3856" s="123"/>
      <c r="O3856" s="228"/>
      <c r="P3856" s="844"/>
      <c r="Q3856" s="845"/>
      <c r="R3856" s="844"/>
      <c r="S3856" s="832"/>
      <c r="T3856" s="3082"/>
      <c r="U3856" s="123"/>
      <c r="V3856" s="4031"/>
      <c r="W3856" s="865">
        <v>18</v>
      </c>
      <c r="X3856" s="865">
        <v>18</v>
      </c>
      <c r="Y3856" s="865">
        <v>18</v>
      </c>
      <c r="Z3856" s="865">
        <v>18</v>
      </c>
      <c r="AA3856" s="865">
        <v>18</v>
      </c>
      <c r="AB3856" s="865">
        <v>18</v>
      </c>
      <c r="AC3856" s="865">
        <v>18</v>
      </c>
      <c r="AD3856" s="865"/>
      <c r="AE3856" s="865"/>
      <c r="AF3856" s="865"/>
      <c r="AG3856" s="865"/>
      <c r="AH3856" s="1942"/>
      <c r="AI3856" s="1942"/>
      <c r="AJ3856" s="1942"/>
      <c r="AK3856" s="1942"/>
      <c r="AL3856" s="1942"/>
      <c r="AM3856" s="1942"/>
      <c r="AN3856" s="1942"/>
      <c r="AO3856" s="1942"/>
      <c r="AP3856" s="1942"/>
      <c r="AQ3856" s="1942"/>
      <c r="AR3856" s="1942"/>
      <c r="AS3856" s="1942"/>
      <c r="AT3856" s="1942"/>
      <c r="AU3856" s="1942"/>
      <c r="AV3856" s="1942"/>
      <c r="AW3856" s="1942"/>
      <c r="AX3856" s="1942"/>
      <c r="AY3856" s="1942"/>
      <c r="AZ3856" s="1942"/>
      <c r="BA3856" s="1942"/>
      <c r="BB3856" s="575"/>
      <c r="BC3856" s="576"/>
      <c r="BD3856" s="678"/>
      <c r="BE3856" s="585"/>
    </row>
    <row r="3857" spans="1:57" s="1942" customFormat="1" ht="15.75" hidden="1" customHeight="1" outlineLevel="1" x14ac:dyDescent="0.25">
      <c r="A3857" s="2060"/>
      <c r="B3857" s="576"/>
      <c r="C3857" s="328"/>
      <c r="D3857" s="3990"/>
      <c r="E3857" s="4009"/>
      <c r="F3857" s="3060" t="str">
        <f t="shared" si="292"/>
        <v>ASHP-SEER21_ROF_MF_CompE</v>
      </c>
      <c r="G3857" s="3061"/>
      <c r="H3857" s="3061"/>
      <c r="I3857" s="3061"/>
      <c r="J3857" s="3303" t="str">
        <f t="shared" ref="J3857:J3858" si="301">C1779</f>
        <v>355151_2019_12_</v>
      </c>
      <c r="K3857" s="3054">
        <v>18</v>
      </c>
      <c r="L3857" s="861"/>
      <c r="M3857" s="698"/>
      <c r="N3857" s="123"/>
      <c r="O3857" s="228"/>
      <c r="P3857" s="844"/>
      <c r="Q3857" s="845"/>
      <c r="R3857" s="844"/>
      <c r="S3857" s="832"/>
      <c r="T3857" s="3082"/>
      <c r="U3857" s="123"/>
      <c r="V3857" s="4031"/>
      <c r="W3857" s="865"/>
      <c r="X3857" s="865"/>
      <c r="Y3857" s="865"/>
      <c r="Z3857" s="865"/>
      <c r="AA3857" s="865"/>
      <c r="AB3857" s="865"/>
      <c r="AC3857" s="3054">
        <v>18</v>
      </c>
      <c r="AD3857" s="865"/>
      <c r="AE3857" s="865"/>
      <c r="AF3857" s="865"/>
      <c r="AG3857" s="865"/>
      <c r="BB3857" s="575"/>
      <c r="BC3857" s="576"/>
      <c r="BD3857" s="678"/>
      <c r="BE3857" s="585"/>
    </row>
    <row r="3858" spans="1:57" s="1942" customFormat="1" ht="15.75" hidden="1" customHeight="1" outlineLevel="1" thickBot="1" x14ac:dyDescent="0.3">
      <c r="A3858" s="2060"/>
      <c r="B3858" s="576"/>
      <c r="C3858" s="328"/>
      <c r="D3858" s="3991"/>
      <c r="E3858" s="4025"/>
      <c r="F3858" s="3060" t="str">
        <f t="shared" si="292"/>
        <v>ASHP-SEER21_ROF_MF_CompE</v>
      </c>
      <c r="G3858" s="3061"/>
      <c r="H3858" s="3061"/>
      <c r="I3858" s="3061"/>
      <c r="J3858" s="3303" t="str">
        <f t="shared" si="301"/>
        <v>355151_2019_12_</v>
      </c>
      <c r="K3858" s="3063">
        <v>18</v>
      </c>
      <c r="L3858" s="3062"/>
      <c r="M3858" s="698"/>
      <c r="N3858" s="123"/>
      <c r="O3858" s="228"/>
      <c r="P3858" s="844"/>
      <c r="Q3858" s="845"/>
      <c r="R3858" s="844"/>
      <c r="S3858" s="832"/>
      <c r="T3858" s="3082"/>
      <c r="U3858" s="123"/>
      <c r="V3858" s="4032"/>
      <c r="W3858" s="867"/>
      <c r="X3858" s="867"/>
      <c r="Y3858" s="867"/>
      <c r="Z3858" s="867"/>
      <c r="AA3858" s="867"/>
      <c r="AB3858" s="867"/>
      <c r="AC3858" s="3293">
        <v>18</v>
      </c>
      <c r="AD3858" s="867"/>
      <c r="AE3858" s="867"/>
      <c r="AF3858" s="867"/>
      <c r="AG3858" s="867"/>
      <c r="BB3858" s="575"/>
      <c r="BC3858" s="576"/>
      <c r="BD3858" s="678"/>
      <c r="BE3858" s="585"/>
    </row>
    <row r="3859" spans="1:57" s="51" customFormat="1" ht="14.45" hidden="1" customHeight="1" outlineLevel="1" x14ac:dyDescent="0.25">
      <c r="A3859" s="2060"/>
      <c r="B3859" s="576"/>
      <c r="C3859" s="328"/>
      <c r="D3859" s="4022" t="str">
        <f>D1389</f>
        <v>Inc. Cost</v>
      </c>
      <c r="E3859" s="3996" t="str">
        <f>E1389</f>
        <v>Incremental Cost ($)</v>
      </c>
      <c r="F3859" s="3009" t="str">
        <f>E1407</f>
        <v>ASHP-SEER15-Replace_CAC_ElectricHeat_ER1_SF</v>
      </c>
      <c r="G3859" s="2675"/>
      <c r="H3859" s="2675"/>
      <c r="I3859" s="2675"/>
      <c r="J3859" s="3297" t="str">
        <f>C1407</f>
        <v>352300_2021_12_</v>
      </c>
      <c r="K3859" s="3453">
        <f>(($R$1820*L3859)+$R$1805)-(($Q$1820*L3859)/((1+$R$1822)^($R$1823-1)))</f>
        <v>991.06005994555017</v>
      </c>
      <c r="L3859" s="124">
        <f>VLOOKUP(J3859,$J$1801:$L$1987,3,FALSE)*M3859</f>
        <v>2.8796610169491528</v>
      </c>
      <c r="M3859" s="3065">
        <f>VLOOKUP(J3859,$J$3297:$K$3483,2,FALSE)</f>
        <v>1</v>
      </c>
      <c r="N3859" s="1135"/>
      <c r="O3859" s="228"/>
      <c r="P3859" s="844"/>
      <c r="Q3859" s="844"/>
      <c r="R3859" s="844"/>
      <c r="S3859" s="832"/>
      <c r="T3859" s="3082"/>
      <c r="U3859" s="123"/>
      <c r="V3859" s="4030" t="s">
        <v>170</v>
      </c>
      <c r="W3859" s="3306">
        <v>2365.1309007383738</v>
      </c>
      <c r="X3859" s="3291">
        <f>$Q$1805*(X$1801/12000)*X$3297</f>
        <v>3120.6296154662073</v>
      </c>
      <c r="Y3859" s="3292">
        <v>1119.3961863407253</v>
      </c>
      <c r="Z3859" s="3290">
        <v>1119.3961863407253</v>
      </c>
      <c r="AA3859" s="3290">
        <v>1119.3961863407253</v>
      </c>
      <c r="AB3859" s="3292">
        <v>989.09301697589126</v>
      </c>
      <c r="AC3859" s="3453">
        <v>991.06005994555017</v>
      </c>
      <c r="AD3859" s="792"/>
      <c r="AE3859" s="792"/>
      <c r="AF3859" s="792"/>
      <c r="AG3859" s="792"/>
      <c r="AH3859" s="1942"/>
      <c r="AI3859" s="1942"/>
      <c r="AJ3859" s="1942"/>
      <c r="AK3859" s="1942"/>
      <c r="AL3859" s="1942"/>
      <c r="AM3859" s="1942"/>
      <c r="AN3859" s="1942"/>
      <c r="AO3859" s="1942"/>
      <c r="AP3859" s="1942"/>
      <c r="AQ3859" s="1942"/>
      <c r="AR3859" s="1942"/>
      <c r="AS3859" s="1942"/>
      <c r="AT3859" s="1942"/>
      <c r="AU3859" s="1942"/>
      <c r="AV3859" s="1942"/>
      <c r="AW3859" s="1942"/>
      <c r="AX3859" s="1942"/>
      <c r="AY3859" s="1942"/>
      <c r="AZ3859" s="1942"/>
      <c r="BA3859" s="1942"/>
      <c r="BB3859" s="575"/>
      <c r="BC3859" s="576"/>
      <c r="BD3859" s="678"/>
      <c r="BE3859" s="585"/>
    </row>
    <row r="3860" spans="1:57" s="51" customFormat="1" ht="15" hidden="1" customHeight="1" outlineLevel="1" x14ac:dyDescent="0.25">
      <c r="A3860" s="2060"/>
      <c r="B3860" s="576"/>
      <c r="C3860" s="328"/>
      <c r="D3860" s="4023"/>
      <c r="E3860" s="4020"/>
      <c r="F3860" s="3016" t="str">
        <f>E1408</f>
        <v>ASHP-SEER15-Replace_CAC_ElectricHeat_ER1_SF</v>
      </c>
      <c r="G3860" s="2673"/>
      <c r="H3860" s="2673"/>
      <c r="I3860" s="2673"/>
      <c r="J3860" s="3301" t="str">
        <f>C1408</f>
        <v>352300_2021_12_</v>
      </c>
      <c r="K3860" s="1052"/>
      <c r="L3860" s="109"/>
      <c r="M3860" s="3066" t="str">
        <f>IF(K3860&gt;0,VLOOKUP(J3860,$J$3297:$K$3483,2,FALSE),"")</f>
        <v/>
      </c>
      <c r="N3860" s="1135"/>
      <c r="O3860" s="228"/>
      <c r="P3860" s="844"/>
      <c r="Q3860" s="844"/>
      <c r="R3860" s="844"/>
      <c r="S3860" s="832"/>
      <c r="T3860" s="3082"/>
      <c r="U3860" s="123"/>
      <c r="V3860" s="4031"/>
      <c r="W3860" s="3307"/>
      <c r="X3860" s="823"/>
      <c r="Y3860" s="532"/>
      <c r="Z3860" s="532"/>
      <c r="AA3860" s="532"/>
      <c r="AB3860" s="535"/>
      <c r="AC3860" s="1052"/>
      <c r="AD3860" s="793"/>
      <c r="AE3860" s="793"/>
      <c r="AF3860" s="793"/>
      <c r="AG3860" s="793"/>
      <c r="AH3860" s="1942"/>
      <c r="AI3860" s="1942"/>
      <c r="AJ3860" s="1942"/>
      <c r="AK3860" s="1942"/>
      <c r="AL3860" s="1942"/>
      <c r="AM3860" s="1942"/>
      <c r="AN3860" s="1942"/>
      <c r="AO3860" s="1942"/>
      <c r="AP3860" s="1942"/>
      <c r="AQ3860" s="1942"/>
      <c r="AR3860" s="1942"/>
      <c r="AS3860" s="1942"/>
      <c r="AT3860" s="1942"/>
      <c r="AU3860" s="1942"/>
      <c r="AV3860" s="1942"/>
      <c r="AW3860" s="1942"/>
      <c r="AX3860" s="1942"/>
      <c r="AY3860" s="1942"/>
      <c r="AZ3860" s="1942"/>
      <c r="BA3860" s="1942"/>
      <c r="BB3860" s="575"/>
      <c r="BC3860" s="576"/>
      <c r="BD3860" s="678"/>
      <c r="BE3860" s="585"/>
    </row>
    <row r="3861" spans="1:57" s="51" customFormat="1" ht="15" hidden="1" customHeight="1" outlineLevel="1" x14ac:dyDescent="0.25">
      <c r="A3861" s="2060"/>
      <c r="B3861" s="576"/>
      <c r="C3861" s="328"/>
      <c r="D3861" s="4023"/>
      <c r="E3861" s="4020"/>
      <c r="F3861" s="3016" t="str">
        <f>E1409</f>
        <v>ASHP-SEER15-Replace_CAC_ElectricHeat_ER2_SF</v>
      </c>
      <c r="G3861" s="2673"/>
      <c r="H3861" s="2673"/>
      <c r="I3861" s="2673"/>
      <c r="J3861" s="3301" t="str">
        <f>C1409</f>
        <v>352300_2021_12_</v>
      </c>
      <c r="K3861" s="1052"/>
      <c r="L3861" s="109"/>
      <c r="M3861" s="3066" t="str">
        <f>IF(K3861&gt;0,VLOOKUP(J3861,$J$3297:$K$3483,2,FALSE),"")</f>
        <v/>
      </c>
      <c r="N3861" s="1135"/>
      <c r="O3861" s="228"/>
      <c r="P3861" s="844"/>
      <c r="Q3861" s="844"/>
      <c r="R3861" s="844"/>
      <c r="S3861" s="832"/>
      <c r="T3861" s="3082"/>
      <c r="U3861" s="123"/>
      <c r="V3861" s="4031"/>
      <c r="W3861" s="3307"/>
      <c r="X3861" s="823"/>
      <c r="Y3861" s="532"/>
      <c r="Z3861" s="532"/>
      <c r="AA3861" s="532"/>
      <c r="AB3861" s="535"/>
      <c r="AC3861" s="1052"/>
      <c r="AD3861" s="793"/>
      <c r="AE3861" s="793"/>
      <c r="AF3861" s="793"/>
      <c r="AG3861" s="793"/>
      <c r="AH3861" s="1942"/>
      <c r="AI3861" s="1942"/>
      <c r="AJ3861" s="1942"/>
      <c r="AK3861" s="1942"/>
      <c r="AL3861" s="1942"/>
      <c r="AM3861" s="1942"/>
      <c r="AN3861" s="1942"/>
      <c r="AO3861" s="1942"/>
      <c r="AP3861" s="1942"/>
      <c r="AQ3861" s="1942"/>
      <c r="AR3861" s="1942"/>
      <c r="AS3861" s="1942"/>
      <c r="AT3861" s="1942"/>
      <c r="AU3861" s="1942"/>
      <c r="AV3861" s="1942"/>
      <c r="AW3861" s="1942"/>
      <c r="AX3861" s="1942"/>
      <c r="AY3861" s="1942"/>
      <c r="AZ3861" s="1942"/>
      <c r="BA3861" s="1942"/>
      <c r="BB3861" s="575"/>
      <c r="BC3861" s="576"/>
      <c r="BD3861" s="678"/>
      <c r="BE3861" s="585"/>
    </row>
    <row r="3862" spans="1:57" s="51" customFormat="1" ht="15" hidden="1" customHeight="1" outlineLevel="1" x14ac:dyDescent="0.25">
      <c r="A3862" s="2060"/>
      <c r="B3862" s="576"/>
      <c r="C3862" s="328"/>
      <c r="D3862" s="4023"/>
      <c r="E3862" s="4020"/>
      <c r="F3862" s="3016" t="str">
        <f>E1410</f>
        <v>ASHP-SEER15-Replace_CAC_ElectricHeat_ER2_SF</v>
      </c>
      <c r="G3862" s="2673"/>
      <c r="H3862" s="2673"/>
      <c r="I3862" s="2673"/>
      <c r="J3862" s="3301" t="str">
        <f>C1410</f>
        <v>352300_2021_12_</v>
      </c>
      <c r="K3862" s="1052"/>
      <c r="L3862" s="109"/>
      <c r="M3862" s="3066" t="str">
        <f>IF(K3862&gt;0,VLOOKUP(J3862,$J$3297:$K$3483,2,FALSE),"")</f>
        <v/>
      </c>
      <c r="N3862" s="1135"/>
      <c r="O3862" s="228"/>
      <c r="P3862" s="844"/>
      <c r="Q3862" s="844"/>
      <c r="R3862" s="844"/>
      <c r="S3862" s="832"/>
      <c r="T3862" s="3082"/>
      <c r="U3862" s="123"/>
      <c r="V3862" s="4031"/>
      <c r="W3862" s="3307"/>
      <c r="X3862" s="823"/>
      <c r="Y3862" s="532"/>
      <c r="Z3862" s="532"/>
      <c r="AA3862" s="532"/>
      <c r="AB3862" s="535"/>
      <c r="AC3862" s="1052"/>
      <c r="AD3862" s="793"/>
      <c r="AE3862" s="793"/>
      <c r="AF3862" s="793"/>
      <c r="AG3862" s="793"/>
      <c r="AH3862" s="1942"/>
      <c r="AI3862" s="1942"/>
      <c r="AJ3862" s="1942"/>
      <c r="AK3862" s="1942"/>
      <c r="AL3862" s="1942"/>
      <c r="AM3862" s="1942"/>
      <c r="AN3862" s="1942"/>
      <c r="AO3862" s="1942"/>
      <c r="AP3862" s="1942"/>
      <c r="AQ3862" s="1942"/>
      <c r="AR3862" s="1942"/>
      <c r="AS3862" s="1942"/>
      <c r="AT3862" s="1942"/>
      <c r="AU3862" s="1942"/>
      <c r="AV3862" s="1942"/>
      <c r="AW3862" s="1942"/>
      <c r="AX3862" s="1942"/>
      <c r="AY3862" s="1942"/>
      <c r="AZ3862" s="1942"/>
      <c r="BA3862" s="1942"/>
      <c r="BB3862" s="575"/>
      <c r="BC3862" s="576"/>
      <c r="BD3862" s="678"/>
      <c r="BE3862" s="585"/>
    </row>
    <row r="3863" spans="1:57" s="1942" customFormat="1" ht="15" hidden="1" customHeight="1" outlineLevel="1" x14ac:dyDescent="0.25">
      <c r="A3863" s="2060"/>
      <c r="B3863" s="576"/>
      <c r="C3863" s="328"/>
      <c r="D3863" s="4023"/>
      <c r="E3863" s="4020"/>
      <c r="F3863" s="3016" t="str">
        <f t="shared" ref="F3863:F3926" si="302">E1411</f>
        <v>ASHP-SEER15-Replace_CAC_NonElectricHeat_ER1_SF</v>
      </c>
      <c r="G3863" s="2673"/>
      <c r="H3863" s="2673"/>
      <c r="I3863" s="2673"/>
      <c r="J3863" s="3301" t="str">
        <f t="shared" ref="J3863:J3866" si="303">C1411</f>
        <v>352310_2021_12_</v>
      </c>
      <c r="K3863" s="3294">
        <f>(($R$1820*L3863)+$R$1805)-(($Q$1820*L3863)/((1+$R$1822)^($R$1823-1)))</f>
        <v>991.06005994555017</v>
      </c>
      <c r="L3863" s="112">
        <f>VLOOKUP(J3863,$J$1801:$L$1987,3,FALSE)*M3863</f>
        <v>2.8796610169491528</v>
      </c>
      <c r="M3863" s="3285">
        <f>VLOOKUP(J3863,$J$3297:$K$3483,2,FALSE)</f>
        <v>1</v>
      </c>
      <c r="N3863" s="1135"/>
      <c r="O3863" s="228"/>
      <c r="P3863" s="844"/>
      <c r="Q3863" s="844"/>
      <c r="R3863" s="844"/>
      <c r="S3863" s="832"/>
      <c r="T3863" s="3082"/>
      <c r="U3863" s="123"/>
      <c r="V3863" s="4031"/>
      <c r="W3863" s="3307"/>
      <c r="X3863" s="823"/>
      <c r="Y3863" s="532"/>
      <c r="Z3863" s="532"/>
      <c r="AA3863" s="532"/>
      <c r="AB3863" s="535"/>
      <c r="AC3863" s="3294">
        <v>991.06005994555017</v>
      </c>
      <c r="AD3863" s="793"/>
      <c r="AE3863" s="793"/>
      <c r="AF3863" s="793"/>
      <c r="AG3863" s="793"/>
      <c r="BB3863" s="575"/>
      <c r="BC3863" s="576"/>
      <c r="BD3863" s="678"/>
      <c r="BE3863" s="585"/>
    </row>
    <row r="3864" spans="1:57" s="1942" customFormat="1" ht="15" hidden="1" customHeight="1" outlineLevel="1" x14ac:dyDescent="0.25">
      <c r="A3864" s="2060"/>
      <c r="B3864" s="576"/>
      <c r="C3864" s="328"/>
      <c r="D3864" s="4023"/>
      <c r="E3864" s="4020"/>
      <c r="F3864" s="3016" t="str">
        <f t="shared" si="302"/>
        <v>ASHP-SEER15-Replace_CAC_NonElectricHeat_ER1_SF</v>
      </c>
      <c r="G3864" s="2673"/>
      <c r="H3864" s="2673"/>
      <c r="I3864" s="2673"/>
      <c r="J3864" s="3301" t="str">
        <f t="shared" si="303"/>
        <v>352310_2021_12_</v>
      </c>
      <c r="K3864" s="1052"/>
      <c r="L3864" s="109"/>
      <c r="M3864" s="3066"/>
      <c r="N3864" s="1135"/>
      <c r="O3864" s="228"/>
      <c r="P3864" s="844"/>
      <c r="Q3864" s="844"/>
      <c r="R3864" s="844"/>
      <c r="S3864" s="832"/>
      <c r="T3864" s="3082"/>
      <c r="U3864" s="123"/>
      <c r="V3864" s="4031"/>
      <c r="W3864" s="3307"/>
      <c r="X3864" s="823"/>
      <c r="Y3864" s="532"/>
      <c r="Z3864" s="532"/>
      <c r="AA3864" s="532"/>
      <c r="AB3864" s="535"/>
      <c r="AC3864" s="1052"/>
      <c r="AD3864" s="793"/>
      <c r="AE3864" s="793"/>
      <c r="AF3864" s="793"/>
      <c r="AG3864" s="793"/>
      <c r="BB3864" s="575"/>
      <c r="BC3864" s="576"/>
      <c r="BD3864" s="678"/>
      <c r="BE3864" s="585"/>
    </row>
    <row r="3865" spans="1:57" s="1942" customFormat="1" ht="15" hidden="1" customHeight="1" outlineLevel="1" x14ac:dyDescent="0.25">
      <c r="A3865" s="2060"/>
      <c r="B3865" s="576"/>
      <c r="C3865" s="328"/>
      <c r="D3865" s="4023"/>
      <c r="E3865" s="4020"/>
      <c r="F3865" s="3016" t="str">
        <f t="shared" si="302"/>
        <v>ASHP-SEER15-Replace_CAC_NonElectricHeat_ER2_SF</v>
      </c>
      <c r="G3865" s="2673"/>
      <c r="H3865" s="2673"/>
      <c r="I3865" s="2673"/>
      <c r="J3865" s="3301" t="str">
        <f t="shared" si="303"/>
        <v>352310_2021_12_</v>
      </c>
      <c r="K3865" s="1052"/>
      <c r="L3865" s="109"/>
      <c r="M3865" s="3066"/>
      <c r="N3865" s="1135"/>
      <c r="O3865" s="228"/>
      <c r="P3865" s="844"/>
      <c r="Q3865" s="844"/>
      <c r="R3865" s="844"/>
      <c r="S3865" s="832"/>
      <c r="T3865" s="3082"/>
      <c r="U3865" s="123"/>
      <c r="V3865" s="4031"/>
      <c r="W3865" s="3307"/>
      <c r="X3865" s="823"/>
      <c r="Y3865" s="532"/>
      <c r="Z3865" s="532"/>
      <c r="AA3865" s="532"/>
      <c r="AB3865" s="535"/>
      <c r="AC3865" s="1052"/>
      <c r="AD3865" s="793"/>
      <c r="AE3865" s="793"/>
      <c r="AF3865" s="793"/>
      <c r="AG3865" s="793"/>
      <c r="BB3865" s="575"/>
      <c r="BC3865" s="576"/>
      <c r="BD3865" s="678"/>
      <c r="BE3865" s="585"/>
    </row>
    <row r="3866" spans="1:57" s="1942" customFormat="1" ht="15" hidden="1" customHeight="1" outlineLevel="1" x14ac:dyDescent="0.25">
      <c r="A3866" s="2060"/>
      <c r="B3866" s="576"/>
      <c r="C3866" s="328"/>
      <c r="D3866" s="4023"/>
      <c r="E3866" s="4020"/>
      <c r="F3866" s="3016" t="str">
        <f t="shared" si="302"/>
        <v>ASHP-SEER15-Replace_CAC_NonElectricHeat_ER2_SF</v>
      </c>
      <c r="G3866" s="2673"/>
      <c r="H3866" s="2673"/>
      <c r="I3866" s="2673"/>
      <c r="J3866" s="3301" t="str">
        <f t="shared" si="303"/>
        <v>352310_2021_12_</v>
      </c>
      <c r="K3866" s="1052"/>
      <c r="L3866" s="109"/>
      <c r="M3866" s="3066"/>
      <c r="N3866" s="1135"/>
      <c r="O3866" s="228"/>
      <c r="P3866" s="844"/>
      <c r="Q3866" s="844"/>
      <c r="R3866" s="844"/>
      <c r="S3866" s="832"/>
      <c r="T3866" s="3082"/>
      <c r="U3866" s="123"/>
      <c r="V3866" s="4031"/>
      <c r="W3866" s="3307"/>
      <c r="X3866" s="823"/>
      <c r="Y3866" s="532"/>
      <c r="Z3866" s="532"/>
      <c r="AA3866" s="532"/>
      <c r="AB3866" s="535"/>
      <c r="AC3866" s="1052"/>
      <c r="AD3866" s="793"/>
      <c r="AE3866" s="793"/>
      <c r="AF3866" s="793"/>
      <c r="AG3866" s="793"/>
      <c r="BB3866" s="575"/>
      <c r="BC3866" s="576"/>
      <c r="BD3866" s="678"/>
      <c r="BE3866" s="585"/>
    </row>
    <row r="3867" spans="1:57" s="51" customFormat="1" ht="15" hidden="1" customHeight="1" outlineLevel="1" x14ac:dyDescent="0.25">
      <c r="A3867" s="2060"/>
      <c r="B3867" s="576"/>
      <c r="C3867" s="328"/>
      <c r="D3867" s="4023"/>
      <c r="E3867" s="4020"/>
      <c r="F3867" s="3016" t="str">
        <f t="shared" si="302"/>
        <v>ASHP-SEER15_ER1_SF</v>
      </c>
      <c r="G3867" s="2673"/>
      <c r="H3867" s="2673"/>
      <c r="I3867" s="2673"/>
      <c r="J3867" s="3301" t="str">
        <f t="shared" ref="J3867:J3874" si="304">C1415</f>
        <v>352350_2021_12_</v>
      </c>
      <c r="K3867" s="3294">
        <f>(($R$1820*L3867)+$R$1805)-(($Q$1820*L3867)/((1+$R$1822)^($R$1823-1)))</f>
        <v>1049.2929470045315</v>
      </c>
      <c r="L3867" s="109">
        <f>VLOOKUP(J3867,$J$1801:$L$1987,3,FALSE)*M3867</f>
        <v>3.1233766233766236</v>
      </c>
      <c r="M3867" s="3066">
        <f>VLOOKUP(J3867,$J$3297:$K$3483,2,FALSE)</f>
        <v>1</v>
      </c>
      <c r="N3867" s="1135"/>
      <c r="O3867" s="228"/>
      <c r="P3867" s="844"/>
      <c r="Q3867" s="844"/>
      <c r="R3867" s="844"/>
      <c r="S3867" s="832"/>
      <c r="T3867" s="3082"/>
      <c r="U3867" s="123"/>
      <c r="V3867" s="4031"/>
      <c r="W3867" s="3307">
        <v>2618.5377829603426</v>
      </c>
      <c r="X3867" s="823">
        <f>$Q$1805*(X$1805/12000)*X$3301</f>
        <v>3120.6296154662073</v>
      </c>
      <c r="Y3867" s="535">
        <v>1127.8416641304575</v>
      </c>
      <c r="Z3867" s="532">
        <v>1127.8416641304575</v>
      </c>
      <c r="AA3867" s="532">
        <v>1127.8416641304575</v>
      </c>
      <c r="AB3867" s="535">
        <v>1044.1498640171662</v>
      </c>
      <c r="AC3867" s="3294">
        <v>1049.2929470045315</v>
      </c>
      <c r="AD3867" s="793"/>
      <c r="AE3867" s="793"/>
      <c r="AF3867" s="793"/>
      <c r="AG3867" s="793"/>
      <c r="AH3867" s="1942"/>
      <c r="AI3867" s="1942"/>
      <c r="AJ3867" s="1942"/>
      <c r="AK3867" s="1942"/>
      <c r="AL3867" s="1942"/>
      <c r="AM3867" s="1942"/>
      <c r="AN3867" s="1942"/>
      <c r="AO3867" s="1942"/>
      <c r="AP3867" s="1942"/>
      <c r="AQ3867" s="1942"/>
      <c r="AR3867" s="1942"/>
      <c r="AS3867" s="1942"/>
      <c r="AT3867" s="1942"/>
      <c r="AU3867" s="1942"/>
      <c r="AV3867" s="1942"/>
      <c r="AW3867" s="1942"/>
      <c r="AX3867" s="1942"/>
      <c r="AY3867" s="1942"/>
      <c r="AZ3867" s="1942"/>
      <c r="BA3867" s="1942"/>
      <c r="BB3867" s="575"/>
      <c r="BC3867" s="576"/>
      <c r="BD3867" s="678"/>
      <c r="BE3867" s="585"/>
    </row>
    <row r="3868" spans="1:57" s="51" customFormat="1" ht="15" hidden="1" customHeight="1" outlineLevel="1" x14ac:dyDescent="0.25">
      <c r="A3868" s="2060"/>
      <c r="B3868" s="576"/>
      <c r="C3868" s="328"/>
      <c r="D3868" s="4023"/>
      <c r="E3868" s="4020"/>
      <c r="F3868" s="3016" t="str">
        <f t="shared" si="302"/>
        <v>ASHP-SEER15_ER1_SF</v>
      </c>
      <c r="G3868" s="2673"/>
      <c r="H3868" s="2673"/>
      <c r="I3868" s="2673"/>
      <c r="J3868" s="3301" t="str">
        <f t="shared" si="304"/>
        <v>352350_2021_12_</v>
      </c>
      <c r="K3868" s="1052"/>
      <c r="L3868" s="109" t="str">
        <f>IF(K3868&gt;0,VLOOKUP(J3868,$J$1801:$L$1987,3,FALSE),"")</f>
        <v/>
      </c>
      <c r="M3868" s="3066" t="str">
        <f>IF(K3868&gt;0,VLOOKUP(J3868,$J$3297:$K$3483,2,FALSE),"")</f>
        <v/>
      </c>
      <c r="N3868" s="1135"/>
      <c r="O3868" s="228"/>
      <c r="P3868" s="844"/>
      <c r="Q3868" s="844"/>
      <c r="R3868" s="844"/>
      <c r="S3868" s="832"/>
      <c r="T3868" s="3082"/>
      <c r="U3868" s="123"/>
      <c r="V3868" s="4031"/>
      <c r="W3868" s="3307"/>
      <c r="X3868" s="823"/>
      <c r="Y3868" s="535"/>
      <c r="Z3868" s="532"/>
      <c r="AA3868" s="532"/>
      <c r="AB3868" s="532"/>
      <c r="AC3868" s="1052"/>
      <c r="AD3868" s="793"/>
      <c r="AE3868" s="793"/>
      <c r="AF3868" s="793"/>
      <c r="AG3868" s="793"/>
      <c r="AH3868" s="1942"/>
      <c r="AI3868" s="1942"/>
      <c r="AJ3868" s="1942"/>
      <c r="AK3868" s="1942"/>
      <c r="AL3868" s="1942"/>
      <c r="AM3868" s="1942"/>
      <c r="AN3868" s="1942"/>
      <c r="AO3868" s="1942"/>
      <c r="AP3868" s="1942"/>
      <c r="AQ3868" s="1942"/>
      <c r="AR3868" s="1942"/>
      <c r="AS3868" s="1942"/>
      <c r="AT3868" s="1942"/>
      <c r="AU3868" s="1942"/>
      <c r="AV3868" s="1942"/>
      <c r="AW3868" s="1942"/>
      <c r="AX3868" s="1942"/>
      <c r="AY3868" s="1942"/>
      <c r="AZ3868" s="1942"/>
      <c r="BA3868" s="1942"/>
      <c r="BB3868" s="575"/>
      <c r="BC3868" s="576"/>
      <c r="BD3868" s="678"/>
      <c r="BE3868" s="585"/>
    </row>
    <row r="3869" spans="1:57" s="51" customFormat="1" ht="15" hidden="1" customHeight="1" outlineLevel="1" x14ac:dyDescent="0.25">
      <c r="A3869" s="2060"/>
      <c r="B3869" s="576"/>
      <c r="C3869" s="328"/>
      <c r="D3869" s="4023"/>
      <c r="E3869" s="4020"/>
      <c r="F3869" s="3016" t="str">
        <f t="shared" si="302"/>
        <v>ASHP-SEER15_ER2_SF</v>
      </c>
      <c r="G3869" s="2673"/>
      <c r="H3869" s="2673"/>
      <c r="I3869" s="2673"/>
      <c r="J3869" s="3301" t="str">
        <f t="shared" si="304"/>
        <v>352350_2021_12_</v>
      </c>
      <c r="K3869" s="1052"/>
      <c r="L3869" s="109" t="str">
        <f>IF(K3869&gt;0,VLOOKUP(J3869,$J$1801:$L$1987,3,FALSE),"")</f>
        <v/>
      </c>
      <c r="M3869" s="3066" t="str">
        <f>IF(K3869&gt;0,VLOOKUP(J3869,$J$3297:$K$3483,2,FALSE),"")</f>
        <v/>
      </c>
      <c r="N3869" s="1135"/>
      <c r="O3869" s="228"/>
      <c r="P3869" s="844"/>
      <c r="Q3869" s="844"/>
      <c r="R3869" s="844"/>
      <c r="S3869" s="832"/>
      <c r="T3869" s="3082"/>
      <c r="U3869" s="123"/>
      <c r="V3869" s="4031"/>
      <c r="W3869" s="3307"/>
      <c r="X3869" s="823"/>
      <c r="Y3869" s="535"/>
      <c r="Z3869" s="532"/>
      <c r="AA3869" s="532"/>
      <c r="AB3869" s="532"/>
      <c r="AC3869" s="1052"/>
      <c r="AD3869" s="793"/>
      <c r="AE3869" s="793"/>
      <c r="AF3869" s="793"/>
      <c r="AG3869" s="793"/>
      <c r="AH3869" s="1942"/>
      <c r="AI3869" s="1942"/>
      <c r="AJ3869" s="1942"/>
      <c r="AK3869" s="1942"/>
      <c r="AL3869" s="1942"/>
      <c r="AM3869" s="1942"/>
      <c r="AN3869" s="1942"/>
      <c r="AO3869" s="1942"/>
      <c r="AP3869" s="1942"/>
      <c r="AQ3869" s="1942"/>
      <c r="AR3869" s="1942"/>
      <c r="AS3869" s="1942"/>
      <c r="AT3869" s="1942"/>
      <c r="AU3869" s="1942"/>
      <c r="AV3869" s="1942"/>
      <c r="AW3869" s="1942"/>
      <c r="AX3869" s="1942"/>
      <c r="AY3869" s="1942"/>
      <c r="AZ3869" s="1942"/>
      <c r="BA3869" s="1942"/>
      <c r="BB3869" s="575"/>
      <c r="BC3869" s="576"/>
      <c r="BD3869" s="678"/>
      <c r="BE3869" s="585"/>
    </row>
    <row r="3870" spans="1:57" s="51" customFormat="1" ht="15" hidden="1" customHeight="1" outlineLevel="1" x14ac:dyDescent="0.25">
      <c r="A3870" s="2060"/>
      <c r="B3870" s="576"/>
      <c r="C3870" s="328"/>
      <c r="D3870" s="4023"/>
      <c r="E3870" s="4020"/>
      <c r="F3870" s="3016" t="str">
        <f t="shared" si="302"/>
        <v>ASHP-SEER15_ER2_SF</v>
      </c>
      <c r="G3870" s="2673"/>
      <c r="H3870" s="2673"/>
      <c r="I3870" s="2673"/>
      <c r="J3870" s="3301" t="str">
        <f t="shared" si="304"/>
        <v>352350_2021_12_</v>
      </c>
      <c r="K3870" s="1052"/>
      <c r="L3870" s="109" t="str">
        <f>IF(K3870&gt;0,VLOOKUP(J3870,$J$1801:$L$1987,3,FALSE),"")</f>
        <v/>
      </c>
      <c r="M3870" s="3066" t="str">
        <f>IF(K3870&gt;0,VLOOKUP(J3870,$J$3297:$K$3483,2,FALSE),"")</f>
        <v/>
      </c>
      <c r="N3870" s="1135"/>
      <c r="O3870" s="228"/>
      <c r="P3870" s="844"/>
      <c r="Q3870" s="844"/>
      <c r="R3870" s="844"/>
      <c r="S3870" s="832"/>
      <c r="T3870" s="3082"/>
      <c r="U3870" s="123"/>
      <c r="V3870" s="4031"/>
      <c r="W3870" s="3307"/>
      <c r="X3870" s="823"/>
      <c r="Y3870" s="535"/>
      <c r="Z3870" s="532"/>
      <c r="AA3870" s="532"/>
      <c r="AB3870" s="532"/>
      <c r="AC3870" s="1052"/>
      <c r="AD3870" s="793"/>
      <c r="AE3870" s="793"/>
      <c r="AF3870" s="793"/>
      <c r="AG3870" s="793"/>
      <c r="AH3870" s="1942"/>
      <c r="AI3870" s="1942"/>
      <c r="AJ3870" s="1942"/>
      <c r="AK3870" s="1942"/>
      <c r="AL3870" s="1942"/>
      <c r="AM3870" s="1942"/>
      <c r="AN3870" s="1942"/>
      <c r="AO3870" s="1942"/>
      <c r="AP3870" s="1942"/>
      <c r="AQ3870" s="1942"/>
      <c r="AR3870" s="1942"/>
      <c r="AS3870" s="1942"/>
      <c r="AT3870" s="1942"/>
      <c r="AU3870" s="1942"/>
      <c r="AV3870" s="1942"/>
      <c r="AW3870" s="1942"/>
      <c r="AX3870" s="1942"/>
      <c r="AY3870" s="1942"/>
      <c r="AZ3870" s="1942"/>
      <c r="BA3870" s="1942"/>
      <c r="BB3870" s="575"/>
      <c r="BC3870" s="576"/>
      <c r="BD3870" s="678"/>
      <c r="BE3870" s="585"/>
    </row>
    <row r="3871" spans="1:57" s="51" customFormat="1" ht="15" hidden="1" customHeight="1" outlineLevel="1" x14ac:dyDescent="0.25">
      <c r="A3871" s="2060"/>
      <c r="B3871" s="576"/>
      <c r="C3871" s="328"/>
      <c r="D3871" s="4023"/>
      <c r="E3871" s="4020"/>
      <c r="F3871" s="3016" t="str">
        <f t="shared" si="302"/>
        <v>ASHP-SEER15-Replace_CAC_ElectricHeat_ROF_SF</v>
      </c>
      <c r="G3871" s="2673"/>
      <c r="H3871" s="2673"/>
      <c r="I3871" s="2673"/>
      <c r="J3871" s="3301" t="str">
        <f t="shared" si="304"/>
        <v>352400_2021_12_</v>
      </c>
      <c r="K3871" s="1052">
        <f>$R$1805*K$3303</f>
        <v>303</v>
      </c>
      <c r="L3871" s="109">
        <f>VLOOKUP(J3871,$J$1801:$L$1987,3,FALSE)*M3871</f>
        <v>3.087301587301587</v>
      </c>
      <c r="M3871" s="3066">
        <f>VLOOKUP(J3871,$J$3297:$K$3483,2,FALSE)</f>
        <v>1</v>
      </c>
      <c r="N3871" s="1135"/>
      <c r="O3871" s="228"/>
      <c r="P3871" s="844"/>
      <c r="Q3871" s="844"/>
      <c r="R3871" s="844"/>
      <c r="S3871" s="832"/>
      <c r="T3871" s="3082"/>
      <c r="U3871" s="123"/>
      <c r="V3871" s="4031"/>
      <c r="W3871" s="3307">
        <v>787.80000000000007</v>
      </c>
      <c r="X3871" s="823">
        <f>$R$1805*(X$1807/12000)*X$3303</f>
        <v>927.18000000000006</v>
      </c>
      <c r="Y3871" s="535">
        <v>303</v>
      </c>
      <c r="Z3871" s="532">
        <v>303</v>
      </c>
      <c r="AA3871" s="532">
        <v>303</v>
      </c>
      <c r="AB3871" s="532">
        <v>303</v>
      </c>
      <c r="AC3871" s="1052">
        <v>303</v>
      </c>
      <c r="AD3871" s="793"/>
      <c r="AE3871" s="793"/>
      <c r="AF3871" s="793"/>
      <c r="AG3871" s="793"/>
      <c r="AH3871" s="1942"/>
      <c r="AI3871" s="1942"/>
      <c r="AJ3871" s="1942"/>
      <c r="AK3871" s="1942"/>
      <c r="AL3871" s="1942"/>
      <c r="AM3871" s="1942"/>
      <c r="AN3871" s="1942"/>
      <c r="AO3871" s="1942"/>
      <c r="AP3871" s="1942"/>
      <c r="AQ3871" s="1942"/>
      <c r="AR3871" s="1942"/>
      <c r="AS3871" s="1942"/>
      <c r="AT3871" s="1942"/>
      <c r="AU3871" s="1942"/>
      <c r="AV3871" s="1942"/>
      <c r="AW3871" s="1942"/>
      <c r="AX3871" s="1942"/>
      <c r="AY3871" s="1942"/>
      <c r="AZ3871" s="1942"/>
      <c r="BA3871" s="1942"/>
      <c r="BB3871" s="575"/>
      <c r="BC3871" s="576"/>
      <c r="BD3871" s="678"/>
      <c r="BE3871" s="585"/>
    </row>
    <row r="3872" spans="1:57" s="51" customFormat="1" ht="15" hidden="1" customHeight="1" outlineLevel="1" x14ac:dyDescent="0.25">
      <c r="A3872" s="2060"/>
      <c r="B3872" s="576"/>
      <c r="C3872" s="328"/>
      <c r="D3872" s="4023"/>
      <c r="E3872" s="4020"/>
      <c r="F3872" s="3016" t="str">
        <f t="shared" si="302"/>
        <v>ASHP-SEER15-Replace_CAC_ElectricHeat_ROF_SF</v>
      </c>
      <c r="G3872" s="2673"/>
      <c r="H3872" s="2673"/>
      <c r="I3872" s="2673"/>
      <c r="J3872" s="3301" t="str">
        <f t="shared" si="304"/>
        <v>352400_2021_12_</v>
      </c>
      <c r="K3872" s="1052"/>
      <c r="L3872" s="109" t="str">
        <f>IF(K3872&gt;0,VLOOKUP(J3872,$J$1801:$L$1987,3,FALSE),"")</f>
        <v/>
      </c>
      <c r="M3872" s="3066" t="str">
        <f>IF(K3872&gt;0,VLOOKUP(J3872,$J$3297:$K$3483,2,FALSE),"")</f>
        <v/>
      </c>
      <c r="N3872" s="1135"/>
      <c r="O3872" s="228"/>
      <c r="P3872" s="844"/>
      <c r="Q3872" s="844"/>
      <c r="R3872" s="844"/>
      <c r="S3872" s="832"/>
      <c r="T3872" s="3082"/>
      <c r="U3872" s="123"/>
      <c r="V3872" s="4031"/>
      <c r="W3872" s="3307"/>
      <c r="X3872" s="823"/>
      <c r="Y3872" s="535"/>
      <c r="Z3872" s="532"/>
      <c r="AA3872" s="532"/>
      <c r="AB3872" s="532"/>
      <c r="AC3872" s="1052"/>
      <c r="AD3872" s="793"/>
      <c r="AE3872" s="793"/>
      <c r="AF3872" s="793"/>
      <c r="AG3872" s="793"/>
      <c r="AH3872" s="1942"/>
      <c r="AI3872" s="1942"/>
      <c r="AJ3872" s="1942"/>
      <c r="AK3872" s="1942"/>
      <c r="AL3872" s="1942"/>
      <c r="AM3872" s="1942"/>
      <c r="AN3872" s="1942"/>
      <c r="AO3872" s="1942"/>
      <c r="AP3872" s="1942"/>
      <c r="AQ3872" s="1942"/>
      <c r="AR3872" s="1942"/>
      <c r="AS3872" s="1942"/>
      <c r="AT3872" s="1942"/>
      <c r="AU3872" s="1942"/>
      <c r="AV3872" s="1942"/>
      <c r="AW3872" s="1942"/>
      <c r="AX3872" s="1942"/>
      <c r="AY3872" s="1942"/>
      <c r="AZ3872" s="1942"/>
      <c r="BA3872" s="1942"/>
      <c r="BB3872" s="575"/>
      <c r="BC3872" s="576"/>
      <c r="BD3872" s="678"/>
      <c r="BE3872" s="585"/>
    </row>
    <row r="3873" spans="1:57" s="1942" customFormat="1" ht="15" hidden="1" customHeight="1" outlineLevel="1" x14ac:dyDescent="0.25">
      <c r="A3873" s="2060"/>
      <c r="B3873" s="576"/>
      <c r="C3873" s="328"/>
      <c r="D3873" s="4023"/>
      <c r="E3873" s="4020"/>
      <c r="F3873" s="3016" t="str">
        <f t="shared" si="302"/>
        <v>ASHP-SEER15-Replace_CAC_NonElectricHeat_ROF_SF</v>
      </c>
      <c r="G3873" s="2673"/>
      <c r="H3873" s="2673"/>
      <c r="I3873" s="2673"/>
      <c r="J3873" s="3301" t="str">
        <f t="shared" si="304"/>
        <v>352410_2021_12_</v>
      </c>
      <c r="K3873" s="3294">
        <f>$R$1805*K$3303</f>
        <v>303</v>
      </c>
      <c r="L3873" s="112">
        <f>VLOOKUP(J3873,$J$1801:$L$1987,3,FALSE)*M3873</f>
        <v>3.087301587301587</v>
      </c>
      <c r="M3873" s="3286">
        <f>VLOOKUP(J3873,$J$3297:$K$3483,2,FALSE)</f>
        <v>1</v>
      </c>
      <c r="N3873" s="1135"/>
      <c r="O3873" s="228"/>
      <c r="P3873" s="844"/>
      <c r="Q3873" s="844"/>
      <c r="R3873" s="844"/>
      <c r="S3873" s="832"/>
      <c r="T3873" s="3082"/>
      <c r="U3873" s="123"/>
      <c r="V3873" s="4031"/>
      <c r="W3873" s="3307"/>
      <c r="X3873" s="823"/>
      <c r="Y3873" s="535"/>
      <c r="Z3873" s="532"/>
      <c r="AA3873" s="532"/>
      <c r="AB3873" s="532"/>
      <c r="AC3873" s="3294">
        <v>303</v>
      </c>
      <c r="AD3873" s="793"/>
      <c r="AE3873" s="793"/>
      <c r="AF3873" s="793"/>
      <c r="AG3873" s="793"/>
      <c r="BB3873" s="575"/>
      <c r="BC3873" s="576"/>
      <c r="BD3873" s="678"/>
      <c r="BE3873" s="585"/>
    </row>
    <row r="3874" spans="1:57" s="1942" customFormat="1" ht="15" hidden="1" customHeight="1" outlineLevel="1" x14ac:dyDescent="0.25">
      <c r="A3874" s="2060"/>
      <c r="B3874" s="576"/>
      <c r="C3874" s="328"/>
      <c r="D3874" s="4023"/>
      <c r="E3874" s="4020"/>
      <c r="F3874" s="3016" t="str">
        <f t="shared" si="302"/>
        <v>ASHP-SEER15-Replace_CAC_NonElectricHeat_ROF_SF</v>
      </c>
      <c r="G3874" s="2673"/>
      <c r="H3874" s="2673"/>
      <c r="I3874" s="2673"/>
      <c r="J3874" s="3301" t="str">
        <f t="shared" si="304"/>
        <v>352410_2021_12_</v>
      </c>
      <c r="K3874" s="1052"/>
      <c r="L3874" s="109"/>
      <c r="M3874" s="3066"/>
      <c r="N3874" s="1135"/>
      <c r="O3874" s="228"/>
      <c r="P3874" s="844"/>
      <c r="Q3874" s="844"/>
      <c r="R3874" s="844"/>
      <c r="S3874" s="832"/>
      <c r="T3874" s="3082"/>
      <c r="U3874" s="123"/>
      <c r="V3874" s="4031"/>
      <c r="W3874" s="3307"/>
      <c r="X3874" s="823"/>
      <c r="Y3874" s="535"/>
      <c r="Z3874" s="532"/>
      <c r="AA3874" s="532"/>
      <c r="AB3874" s="532"/>
      <c r="AC3874" s="1052"/>
      <c r="AD3874" s="793"/>
      <c r="AE3874" s="793"/>
      <c r="AF3874" s="793"/>
      <c r="AG3874" s="793"/>
      <c r="BB3874" s="575"/>
      <c r="BC3874" s="576"/>
      <c r="BD3874" s="678"/>
      <c r="BE3874" s="585"/>
    </row>
    <row r="3875" spans="1:57" s="51" customFormat="1" ht="15" hidden="1" customHeight="1" outlineLevel="1" x14ac:dyDescent="0.25">
      <c r="A3875" s="2060"/>
      <c r="B3875" s="576"/>
      <c r="C3875" s="328"/>
      <c r="D3875" s="4023"/>
      <c r="E3875" s="4020"/>
      <c r="F3875" s="3016" t="str">
        <f t="shared" si="302"/>
        <v>ASHP-SEER15_ROF_SF</v>
      </c>
      <c r="G3875" s="2673"/>
      <c r="H3875" s="2673"/>
      <c r="I3875" s="2673"/>
      <c r="J3875" s="3301" t="str">
        <f t="shared" ref="J3875:J3884" si="305">C1423</f>
        <v>352450_2021_12_</v>
      </c>
      <c r="K3875" s="1052">
        <f>$R$1805*K$3303</f>
        <v>303</v>
      </c>
      <c r="L3875" s="109">
        <f>VLOOKUP(J3875,$J$1801:$L$1987,3,FALSE)*M3875</f>
        <v>2.9910714285714279</v>
      </c>
      <c r="M3875" s="3066">
        <f>VLOOKUP(J3875,$J$3297:$K$3483,2,FALSE)</f>
        <v>1</v>
      </c>
      <c r="N3875" s="1135"/>
      <c r="O3875" s="228"/>
      <c r="P3875" s="844"/>
      <c r="Q3875" s="844"/>
      <c r="R3875" s="844"/>
      <c r="S3875" s="832"/>
      <c r="T3875" s="3082"/>
      <c r="U3875" s="123"/>
      <c r="V3875" s="4031"/>
      <c r="W3875" s="3307">
        <v>939.30000000000007</v>
      </c>
      <c r="X3875" s="823">
        <f>$R$1805*(X$1809/12000)*X$3305</f>
        <v>927.18000000000006</v>
      </c>
      <c r="Y3875" s="535">
        <v>303</v>
      </c>
      <c r="Z3875" s="532">
        <v>303</v>
      </c>
      <c r="AA3875" s="532">
        <v>303</v>
      </c>
      <c r="AB3875" s="532">
        <v>303</v>
      </c>
      <c r="AC3875" s="1052">
        <v>303</v>
      </c>
      <c r="AD3875" s="793"/>
      <c r="AE3875" s="793"/>
      <c r="AF3875" s="793"/>
      <c r="AG3875" s="793"/>
      <c r="AH3875" s="1942"/>
      <c r="AI3875" s="1942"/>
      <c r="AJ3875" s="1942"/>
      <c r="AK3875" s="1942"/>
      <c r="AL3875" s="1942"/>
      <c r="AM3875" s="1942"/>
      <c r="AN3875" s="1942"/>
      <c r="AO3875" s="1942"/>
      <c r="AP3875" s="1942"/>
      <c r="AQ3875" s="1942"/>
      <c r="AR3875" s="1942"/>
      <c r="AS3875" s="1942"/>
      <c r="AT3875" s="1942"/>
      <c r="AU3875" s="1942"/>
      <c r="AV3875" s="1942"/>
      <c r="AW3875" s="1942"/>
      <c r="AX3875" s="1942"/>
      <c r="AY3875" s="1942"/>
      <c r="AZ3875" s="1942"/>
      <c r="BA3875" s="1942"/>
      <c r="BB3875" s="575"/>
      <c r="BC3875" s="576"/>
      <c r="BD3875" s="678"/>
      <c r="BE3875" s="585"/>
    </row>
    <row r="3876" spans="1:57" s="51" customFormat="1" ht="15" hidden="1" customHeight="1" outlineLevel="1" x14ac:dyDescent="0.25">
      <c r="A3876" s="2060"/>
      <c r="B3876" s="576"/>
      <c r="C3876" s="328"/>
      <c r="D3876" s="4023"/>
      <c r="E3876" s="4020"/>
      <c r="F3876" s="3016" t="str">
        <f t="shared" si="302"/>
        <v>ASHP-SEER15_ROF_SF</v>
      </c>
      <c r="G3876" s="2673"/>
      <c r="H3876" s="2673"/>
      <c r="I3876" s="2673"/>
      <c r="J3876" s="3301" t="str">
        <f t="shared" si="305"/>
        <v>352450_2021_12_</v>
      </c>
      <c r="K3876" s="1052"/>
      <c r="L3876" s="109" t="str">
        <f>IF(K3876&gt;0,VLOOKUP(J3876,$J$1801:$L$1987,3,FALSE),"")</f>
        <v/>
      </c>
      <c r="M3876" s="3066" t="str">
        <f>IF(K3876&gt;0,VLOOKUP(J3876,$J$3297:$K$3483,2,FALSE),"")</f>
        <v/>
      </c>
      <c r="N3876" s="1135"/>
      <c r="O3876" s="228"/>
      <c r="P3876" s="844"/>
      <c r="Q3876" s="844"/>
      <c r="R3876" s="844"/>
      <c r="S3876" s="832"/>
      <c r="T3876" s="3082"/>
      <c r="U3876" s="123"/>
      <c r="V3876" s="4031"/>
      <c r="W3876" s="3307"/>
      <c r="X3876" s="823"/>
      <c r="Y3876" s="535"/>
      <c r="Z3876" s="532"/>
      <c r="AA3876" s="532"/>
      <c r="AB3876" s="532"/>
      <c r="AC3876" s="1052"/>
      <c r="AD3876" s="793"/>
      <c r="AE3876" s="793"/>
      <c r="AF3876" s="793"/>
      <c r="AG3876" s="793"/>
      <c r="AH3876" s="1942"/>
      <c r="AI3876" s="1942"/>
      <c r="AJ3876" s="1942"/>
      <c r="AK3876" s="1942"/>
      <c r="AL3876" s="1942"/>
      <c r="AM3876" s="1942"/>
      <c r="AN3876" s="1942"/>
      <c r="AO3876" s="1942"/>
      <c r="AP3876" s="1942"/>
      <c r="AQ3876" s="1942"/>
      <c r="AR3876" s="1942"/>
      <c r="AS3876" s="1942"/>
      <c r="AT3876" s="1942"/>
      <c r="AU3876" s="1942"/>
      <c r="AV3876" s="1942"/>
      <c r="AW3876" s="1942"/>
      <c r="AX3876" s="1942"/>
      <c r="AY3876" s="1942"/>
      <c r="AZ3876" s="1942"/>
      <c r="BA3876" s="1942"/>
      <c r="BB3876" s="575"/>
      <c r="BC3876" s="576"/>
      <c r="BD3876" s="678"/>
      <c r="BE3876" s="585"/>
    </row>
    <row r="3877" spans="1:57" s="51" customFormat="1" ht="15" hidden="1" customHeight="1" outlineLevel="1" x14ac:dyDescent="0.25">
      <c r="A3877" s="2060"/>
      <c r="B3877" s="576"/>
      <c r="C3877" s="328"/>
      <c r="D3877" s="4023"/>
      <c r="E3877" s="4020"/>
      <c r="F3877" s="3016" t="str">
        <f t="shared" si="302"/>
        <v>ASHP-SEER16-Replace_CAC_ElectricHeat_ER1_SF</v>
      </c>
      <c r="G3877" s="2673"/>
      <c r="H3877" s="2673"/>
      <c r="I3877" s="2673"/>
      <c r="J3877" s="3301" t="str">
        <f t="shared" si="305"/>
        <v>352500_2021_12_</v>
      </c>
      <c r="K3877" s="3294">
        <f>(($R$1820*L3877)+$R$1806)-(($Q$1820*L3877)/((1+$R$1822)^($R$1823-1)))</f>
        <v>1136.2940995261133</v>
      </c>
      <c r="L3877" s="109">
        <f>VLOOKUP(J3877,$J$1801:$L$1987,3,FALSE)*M3877</f>
        <v>2.9224924012158056</v>
      </c>
      <c r="M3877" s="3066">
        <f>VLOOKUP(J3877,$J$3297:$K$3483,2,FALSE)</f>
        <v>1</v>
      </c>
      <c r="N3877" s="1135"/>
      <c r="O3877" s="228"/>
      <c r="P3877" s="844"/>
      <c r="Q3877" s="844"/>
      <c r="R3877" s="844"/>
      <c r="S3877" s="832"/>
      <c r="T3877" s="3082"/>
      <c r="U3877" s="123"/>
      <c r="V3877" s="4031"/>
      <c r="W3877" s="3307">
        <v>2896.6077829603428</v>
      </c>
      <c r="X3877" s="823">
        <f>$Q$1806*(X$1810/12000)*X$3306</f>
        <v>3533.7296154662076</v>
      </c>
      <c r="Y3877" s="535">
        <v>1287.9206457115542</v>
      </c>
      <c r="Z3877" s="532">
        <v>1287.9206457115542</v>
      </c>
      <c r="AA3877" s="532">
        <v>1287.9206457115542</v>
      </c>
      <c r="AB3877" s="535">
        <v>1142.384378503531</v>
      </c>
      <c r="AC3877" s="3294">
        <v>1136.2940995261133</v>
      </c>
      <c r="AD3877" s="793"/>
      <c r="AE3877" s="793"/>
      <c r="AF3877" s="793"/>
      <c r="AG3877" s="793"/>
      <c r="AH3877" s="1942"/>
      <c r="AI3877" s="1942"/>
      <c r="AJ3877" s="1942"/>
      <c r="AK3877" s="1942"/>
      <c r="AL3877" s="1942"/>
      <c r="AM3877" s="1942"/>
      <c r="AN3877" s="1942"/>
      <c r="AO3877" s="1942"/>
      <c r="AP3877" s="1942"/>
      <c r="AQ3877" s="1942"/>
      <c r="AR3877" s="1942"/>
      <c r="AS3877" s="1942"/>
      <c r="AT3877" s="1942"/>
      <c r="AU3877" s="1942"/>
      <c r="AV3877" s="1942"/>
      <c r="AW3877" s="1942"/>
      <c r="AX3877" s="1942"/>
      <c r="AY3877" s="1942"/>
      <c r="AZ3877" s="1942"/>
      <c r="BA3877" s="1942"/>
      <c r="BB3877" s="575"/>
      <c r="BC3877" s="576"/>
      <c r="BD3877" s="678"/>
      <c r="BE3877" s="585"/>
    </row>
    <row r="3878" spans="1:57" s="51" customFormat="1" ht="15" hidden="1" customHeight="1" outlineLevel="1" x14ac:dyDescent="0.25">
      <c r="A3878" s="2060"/>
      <c r="B3878" s="576"/>
      <c r="C3878" s="328"/>
      <c r="D3878" s="4023"/>
      <c r="E3878" s="4020"/>
      <c r="F3878" s="3016" t="str">
        <f t="shared" si="302"/>
        <v>ASHP-SEER16-Replace_CAC_ElectricHeat_ER1_SF</v>
      </c>
      <c r="G3878" s="2673"/>
      <c r="H3878" s="2673"/>
      <c r="I3878" s="2673"/>
      <c r="J3878" s="3301" t="str">
        <f t="shared" si="305"/>
        <v>352500_2021_12_</v>
      </c>
      <c r="K3878" s="1052"/>
      <c r="L3878" s="109" t="str">
        <f>IF(K3878&gt;0,VLOOKUP(J3878,$J$1801:$L$1987,3,FALSE),"")</f>
        <v/>
      </c>
      <c r="M3878" s="3066" t="str">
        <f>IF(K3878&gt;0,VLOOKUP(J3878,$J$3297:$K$3483,2,FALSE),"")</f>
        <v/>
      </c>
      <c r="N3878" s="1135"/>
      <c r="O3878" s="228"/>
      <c r="P3878" s="844"/>
      <c r="Q3878" s="844"/>
      <c r="R3878" s="844"/>
      <c r="S3878" s="832"/>
      <c r="T3878" s="3082"/>
      <c r="U3878" s="123"/>
      <c r="V3878" s="4031"/>
      <c r="W3878" s="3307"/>
      <c r="X3878" s="823"/>
      <c r="Y3878" s="535"/>
      <c r="Z3878" s="532"/>
      <c r="AA3878" s="532"/>
      <c r="AB3878" s="532"/>
      <c r="AC3878" s="1052"/>
      <c r="AD3878" s="793"/>
      <c r="AE3878" s="793"/>
      <c r="AF3878" s="793"/>
      <c r="AG3878" s="793"/>
      <c r="AH3878" s="1942"/>
      <c r="AI3878" s="1942"/>
      <c r="AJ3878" s="1942"/>
      <c r="AK3878" s="1942"/>
      <c r="AL3878" s="1942"/>
      <c r="AM3878" s="1942"/>
      <c r="AN3878" s="1942"/>
      <c r="AO3878" s="1942"/>
      <c r="AP3878" s="1942"/>
      <c r="AQ3878" s="1942"/>
      <c r="AR3878" s="1942"/>
      <c r="AS3878" s="1942"/>
      <c r="AT3878" s="1942"/>
      <c r="AU3878" s="1942"/>
      <c r="AV3878" s="1942"/>
      <c r="AW3878" s="1942"/>
      <c r="AX3878" s="1942"/>
      <c r="AY3878" s="1942"/>
      <c r="AZ3878" s="1942"/>
      <c r="BA3878" s="1942"/>
      <c r="BB3878" s="575"/>
      <c r="BC3878" s="576"/>
      <c r="BD3878" s="678"/>
      <c r="BE3878" s="585"/>
    </row>
    <row r="3879" spans="1:57" s="51" customFormat="1" ht="15" hidden="1" customHeight="1" outlineLevel="1" x14ac:dyDescent="0.25">
      <c r="A3879" s="2060"/>
      <c r="B3879" s="576"/>
      <c r="C3879" s="328"/>
      <c r="D3879" s="4023"/>
      <c r="E3879" s="4020"/>
      <c r="F3879" s="3016" t="str">
        <f t="shared" si="302"/>
        <v>ASHP-SEER16-Replace_CAC_ElectricHeat_ER2_SF</v>
      </c>
      <c r="G3879" s="2673"/>
      <c r="H3879" s="2673"/>
      <c r="I3879" s="2673"/>
      <c r="J3879" s="3301" t="str">
        <f t="shared" si="305"/>
        <v>352500_2021_12_</v>
      </c>
      <c r="K3879" s="1052"/>
      <c r="L3879" s="109" t="str">
        <f>IF(K3879&gt;0,VLOOKUP(J3879,$J$1801:$L$1987,3,FALSE),"")</f>
        <v/>
      </c>
      <c r="M3879" s="3066" t="str">
        <f>IF(K3879&gt;0,VLOOKUP(J3879,$J$3297:$K$3483,2,FALSE),"")</f>
        <v/>
      </c>
      <c r="N3879" s="1135"/>
      <c r="O3879" s="228"/>
      <c r="P3879" s="844"/>
      <c r="Q3879" s="844"/>
      <c r="R3879" s="844"/>
      <c r="S3879" s="832"/>
      <c r="T3879" s="3082"/>
      <c r="U3879" s="123"/>
      <c r="V3879" s="4031"/>
      <c r="W3879" s="3307"/>
      <c r="X3879" s="823"/>
      <c r="Y3879" s="535"/>
      <c r="Z3879" s="532"/>
      <c r="AA3879" s="532"/>
      <c r="AB3879" s="532"/>
      <c r="AC3879" s="1052"/>
      <c r="AD3879" s="793"/>
      <c r="AE3879" s="793"/>
      <c r="AF3879" s="793"/>
      <c r="AG3879" s="793"/>
      <c r="AH3879" s="1942"/>
      <c r="AI3879" s="1942"/>
      <c r="AJ3879" s="1942"/>
      <c r="AK3879" s="1942"/>
      <c r="AL3879" s="1942"/>
      <c r="AM3879" s="1942"/>
      <c r="AN3879" s="1942"/>
      <c r="AO3879" s="1942"/>
      <c r="AP3879" s="1942"/>
      <c r="AQ3879" s="1942"/>
      <c r="AR3879" s="1942"/>
      <c r="AS3879" s="1942"/>
      <c r="AT3879" s="1942"/>
      <c r="AU3879" s="1942"/>
      <c r="AV3879" s="1942"/>
      <c r="AW3879" s="1942"/>
      <c r="AX3879" s="1942"/>
      <c r="AY3879" s="1942"/>
      <c r="AZ3879" s="1942"/>
      <c r="BA3879" s="1942"/>
      <c r="BB3879" s="575"/>
      <c r="BC3879" s="576"/>
      <c r="BD3879" s="678"/>
      <c r="BE3879" s="585"/>
    </row>
    <row r="3880" spans="1:57" s="51" customFormat="1" ht="15" hidden="1" customHeight="1" outlineLevel="1" x14ac:dyDescent="0.25">
      <c r="A3880" s="2060"/>
      <c r="B3880" s="576"/>
      <c r="C3880" s="328"/>
      <c r="D3880" s="4023"/>
      <c r="E3880" s="4020"/>
      <c r="F3880" s="3016" t="str">
        <f t="shared" si="302"/>
        <v>ASHP-SEER16-Replace_CAC_ElectricHeat_ER2_SF</v>
      </c>
      <c r="G3880" s="2673"/>
      <c r="H3880" s="2673"/>
      <c r="I3880" s="2673"/>
      <c r="J3880" s="3301" t="str">
        <f t="shared" si="305"/>
        <v>352500_2021_12_</v>
      </c>
      <c r="K3880" s="1052"/>
      <c r="L3880" s="109" t="str">
        <f>IF(K3880&gt;0,VLOOKUP(J3880,$J$1801:$L$1987,3,FALSE),"")</f>
        <v/>
      </c>
      <c r="M3880" s="3066" t="str">
        <f>IF(K3880&gt;0,VLOOKUP(J3880,$J$3297:$K$3483,2,FALSE),"")</f>
        <v/>
      </c>
      <c r="N3880" s="1135"/>
      <c r="O3880" s="228"/>
      <c r="P3880" s="844"/>
      <c r="Q3880" s="844"/>
      <c r="R3880" s="844"/>
      <c r="S3880" s="832"/>
      <c r="T3880" s="3082"/>
      <c r="U3880" s="123"/>
      <c r="V3880" s="4031"/>
      <c r="W3880" s="3307"/>
      <c r="X3880" s="823"/>
      <c r="Y3880" s="535"/>
      <c r="Z3880" s="532"/>
      <c r="AA3880" s="532"/>
      <c r="AB3880" s="532"/>
      <c r="AC3880" s="1052"/>
      <c r="AD3880" s="793"/>
      <c r="AE3880" s="793"/>
      <c r="AF3880" s="793"/>
      <c r="AG3880" s="793"/>
      <c r="AH3880" s="1942"/>
      <c r="AI3880" s="1942"/>
      <c r="AJ3880" s="1942"/>
      <c r="AK3880" s="1942"/>
      <c r="AL3880" s="1942"/>
      <c r="AM3880" s="1942"/>
      <c r="AN3880" s="1942"/>
      <c r="AO3880" s="1942"/>
      <c r="AP3880" s="1942"/>
      <c r="AQ3880" s="1942"/>
      <c r="AR3880" s="1942"/>
      <c r="AS3880" s="1942"/>
      <c r="AT3880" s="1942"/>
      <c r="AU3880" s="1942"/>
      <c r="AV3880" s="1942"/>
      <c r="AW3880" s="1942"/>
      <c r="AX3880" s="1942"/>
      <c r="AY3880" s="1942"/>
      <c r="AZ3880" s="1942"/>
      <c r="BA3880" s="1942"/>
      <c r="BB3880" s="575"/>
      <c r="BC3880" s="576"/>
      <c r="BD3880" s="678"/>
      <c r="BE3880" s="585"/>
    </row>
    <row r="3881" spans="1:57" s="1942" customFormat="1" ht="15" hidden="1" customHeight="1" outlineLevel="1" x14ac:dyDescent="0.25">
      <c r="A3881" s="2060"/>
      <c r="B3881" s="576"/>
      <c r="C3881" s="328"/>
      <c r="D3881" s="4023"/>
      <c r="E3881" s="4020"/>
      <c r="F3881" s="3016" t="str">
        <f t="shared" si="302"/>
        <v>ASHP-SEER16-Replace_CAC_NonElectricHeat_ER1_SF</v>
      </c>
      <c r="G3881" s="2673"/>
      <c r="H3881" s="2673"/>
      <c r="I3881" s="2673"/>
      <c r="J3881" s="3301" t="str">
        <f t="shared" si="305"/>
        <v>352510_2021_12_</v>
      </c>
      <c r="K3881" s="3294">
        <f>(($R$1820*L3881)+$R$1806)-(($Q$1820*L3881)/((1+$R$1822)^($R$1823-1)))</f>
        <v>1136.2940995261133</v>
      </c>
      <c r="L3881" s="112">
        <f>VLOOKUP(J3881,$J$1801:$L$1987,3,FALSE)*M3881</f>
        <v>2.9224924012158056</v>
      </c>
      <c r="M3881" s="3286">
        <f>VLOOKUP(J3881,$J$3297:$K$3483,2,FALSE)</f>
        <v>1</v>
      </c>
      <c r="N3881" s="1135"/>
      <c r="O3881" s="228"/>
      <c r="P3881" s="844"/>
      <c r="Q3881" s="844"/>
      <c r="R3881" s="844"/>
      <c r="S3881" s="832"/>
      <c r="T3881" s="3082"/>
      <c r="U3881" s="123"/>
      <c r="V3881" s="4031"/>
      <c r="W3881" s="3307"/>
      <c r="X3881" s="823"/>
      <c r="Y3881" s="535"/>
      <c r="Z3881" s="532"/>
      <c r="AA3881" s="532"/>
      <c r="AB3881" s="532"/>
      <c r="AC3881" s="3294">
        <v>1136.2940995261133</v>
      </c>
      <c r="AD3881" s="793"/>
      <c r="AE3881" s="793"/>
      <c r="AF3881" s="793"/>
      <c r="AG3881" s="793"/>
      <c r="BB3881" s="575"/>
      <c r="BC3881" s="576"/>
      <c r="BD3881" s="678"/>
      <c r="BE3881" s="585"/>
    </row>
    <row r="3882" spans="1:57" s="1942" customFormat="1" ht="15" hidden="1" customHeight="1" outlineLevel="1" x14ac:dyDescent="0.25">
      <c r="A3882" s="2060"/>
      <c r="B3882" s="576"/>
      <c r="C3882" s="328"/>
      <c r="D3882" s="4023"/>
      <c r="E3882" s="4020"/>
      <c r="F3882" s="3016" t="str">
        <f t="shared" si="302"/>
        <v>ASHP-SEER16-Replace_CAC_NonElectricHeat_ER1_SF</v>
      </c>
      <c r="G3882" s="2673"/>
      <c r="H3882" s="2673"/>
      <c r="I3882" s="2673"/>
      <c r="J3882" s="3301" t="str">
        <f t="shared" si="305"/>
        <v>352510_2021_12_</v>
      </c>
      <c r="K3882" s="1052"/>
      <c r="L3882" s="109"/>
      <c r="M3882" s="3066"/>
      <c r="N3882" s="1135"/>
      <c r="O3882" s="228"/>
      <c r="P3882" s="844"/>
      <c r="Q3882" s="844"/>
      <c r="R3882" s="844"/>
      <c r="S3882" s="832"/>
      <c r="T3882" s="3082"/>
      <c r="U3882" s="123"/>
      <c r="V3882" s="4031"/>
      <c r="W3882" s="3307"/>
      <c r="X3882" s="823"/>
      <c r="Y3882" s="535"/>
      <c r="Z3882" s="532"/>
      <c r="AA3882" s="532"/>
      <c r="AB3882" s="532"/>
      <c r="AC3882" s="1052"/>
      <c r="AD3882" s="793"/>
      <c r="AE3882" s="793"/>
      <c r="AF3882" s="793"/>
      <c r="AG3882" s="793"/>
      <c r="BB3882" s="575"/>
      <c r="BC3882" s="576"/>
      <c r="BD3882" s="678"/>
      <c r="BE3882" s="585"/>
    </row>
    <row r="3883" spans="1:57" s="1942" customFormat="1" ht="15" hidden="1" customHeight="1" outlineLevel="1" x14ac:dyDescent="0.25">
      <c r="A3883" s="2060"/>
      <c r="B3883" s="576"/>
      <c r="C3883" s="328"/>
      <c r="D3883" s="4023"/>
      <c r="E3883" s="4020"/>
      <c r="F3883" s="3016" t="str">
        <f t="shared" si="302"/>
        <v>ASHP-SEER16-Replace_CAC_NonElectricHeat_ER2_SF</v>
      </c>
      <c r="G3883" s="2673"/>
      <c r="H3883" s="2673"/>
      <c r="I3883" s="2673"/>
      <c r="J3883" s="3301" t="str">
        <f t="shared" si="305"/>
        <v>352510_2021_12_</v>
      </c>
      <c r="K3883" s="1052"/>
      <c r="L3883" s="109"/>
      <c r="M3883" s="3066"/>
      <c r="N3883" s="1135"/>
      <c r="O3883" s="228"/>
      <c r="P3883" s="844"/>
      <c r="Q3883" s="844"/>
      <c r="R3883" s="844"/>
      <c r="S3883" s="832"/>
      <c r="T3883" s="3082"/>
      <c r="U3883" s="123"/>
      <c r="V3883" s="4031"/>
      <c r="W3883" s="3307"/>
      <c r="X3883" s="823"/>
      <c r="Y3883" s="535"/>
      <c r="Z3883" s="532"/>
      <c r="AA3883" s="532"/>
      <c r="AB3883" s="532"/>
      <c r="AC3883" s="1052"/>
      <c r="AD3883" s="793"/>
      <c r="AE3883" s="793"/>
      <c r="AF3883" s="793"/>
      <c r="AG3883" s="793"/>
      <c r="BB3883" s="575"/>
      <c r="BC3883" s="576"/>
      <c r="BD3883" s="678"/>
      <c r="BE3883" s="585"/>
    </row>
    <row r="3884" spans="1:57" s="1942" customFormat="1" ht="15" hidden="1" customHeight="1" outlineLevel="1" x14ac:dyDescent="0.25">
      <c r="A3884" s="2060"/>
      <c r="B3884" s="576"/>
      <c r="C3884" s="328"/>
      <c r="D3884" s="4023"/>
      <c r="E3884" s="4020"/>
      <c r="F3884" s="3016" t="str">
        <f t="shared" si="302"/>
        <v>ASHP-SEER16-Replace_CAC_NonElectricHeat_ER2_SF</v>
      </c>
      <c r="G3884" s="2673"/>
      <c r="H3884" s="2673"/>
      <c r="I3884" s="2673"/>
      <c r="J3884" s="3301" t="str">
        <f t="shared" si="305"/>
        <v>352510_2021_12_</v>
      </c>
      <c r="K3884" s="1052"/>
      <c r="L3884" s="109"/>
      <c r="M3884" s="3066"/>
      <c r="N3884" s="1135"/>
      <c r="O3884" s="228"/>
      <c r="P3884" s="844"/>
      <c r="Q3884" s="844"/>
      <c r="R3884" s="844"/>
      <c r="S3884" s="832"/>
      <c r="T3884" s="3082"/>
      <c r="U3884" s="123"/>
      <c r="V3884" s="4031"/>
      <c r="W3884" s="3307"/>
      <c r="X3884" s="823"/>
      <c r="Y3884" s="535"/>
      <c r="Z3884" s="532"/>
      <c r="AA3884" s="532"/>
      <c r="AB3884" s="532"/>
      <c r="AC3884" s="1052"/>
      <c r="AD3884" s="793"/>
      <c r="AE3884" s="793"/>
      <c r="AF3884" s="793"/>
      <c r="AG3884" s="793"/>
      <c r="BB3884" s="575"/>
      <c r="BC3884" s="576"/>
      <c r="BD3884" s="678"/>
      <c r="BE3884" s="585"/>
    </row>
    <row r="3885" spans="1:57" s="51" customFormat="1" ht="15" hidden="1" customHeight="1" outlineLevel="1" x14ac:dyDescent="0.25">
      <c r="A3885" s="2060"/>
      <c r="B3885" s="576"/>
      <c r="C3885" s="328"/>
      <c r="D3885" s="4023"/>
      <c r="E3885" s="4020"/>
      <c r="F3885" s="3016" t="str">
        <f t="shared" si="302"/>
        <v>ASHP-SEER16_ER1_SF</v>
      </c>
      <c r="G3885" s="2673"/>
      <c r="H3885" s="2673"/>
      <c r="I3885" s="2673"/>
      <c r="J3885" s="3301" t="str">
        <f t="shared" ref="J3885:J3900" si="306">C1433</f>
        <v>352550_2021_12_</v>
      </c>
      <c r="K3885" s="3294">
        <f>(($R$1820*L3885)+$R$1806)-(($Q$1820*L3885)/((1+$R$1822)^($R$1823-1)))</f>
        <v>1165.4895470570027</v>
      </c>
      <c r="L3885" s="109">
        <f>VLOOKUP(J3885,$J$1801:$L$1987,3,FALSE)*M3885</f>
        <v>3.0446808510638301</v>
      </c>
      <c r="M3885" s="3066">
        <f>VLOOKUP(J3885,$J$3297:$K$3483,2,FALSE)</f>
        <v>1</v>
      </c>
      <c r="N3885" s="1135"/>
      <c r="O3885" s="228"/>
      <c r="P3885" s="844"/>
      <c r="Q3885" s="844"/>
      <c r="R3885" s="844"/>
      <c r="S3885" s="832"/>
      <c r="T3885" s="3082"/>
      <c r="U3885" s="123"/>
      <c r="V3885" s="4031"/>
      <c r="W3885" s="3307">
        <v>3083.4857044416549</v>
      </c>
      <c r="X3885" s="823">
        <f>$Q$1806*(X$1814/12000)*X$3310</f>
        <v>3533.7296154662076</v>
      </c>
      <c r="Y3885" s="535">
        <v>1279.4751679218225</v>
      </c>
      <c r="Z3885" s="532">
        <v>1279.4751679218225</v>
      </c>
      <c r="AA3885" s="532">
        <v>1279.4751679218225</v>
      </c>
      <c r="AB3885" s="535">
        <v>1181.0521038690172</v>
      </c>
      <c r="AC3885" s="3294">
        <v>1165.4895470570027</v>
      </c>
      <c r="AD3885" s="793"/>
      <c r="AE3885" s="793"/>
      <c r="AF3885" s="793"/>
      <c r="AG3885" s="793"/>
      <c r="AH3885" s="1942"/>
      <c r="AI3885" s="1942"/>
      <c r="AJ3885" s="1942"/>
      <c r="AK3885" s="1942"/>
      <c r="AL3885" s="1942"/>
      <c r="AM3885" s="1942"/>
      <c r="AN3885" s="1942"/>
      <c r="AO3885" s="1942"/>
      <c r="AP3885" s="1942"/>
      <c r="AQ3885" s="1942"/>
      <c r="AR3885" s="1942"/>
      <c r="AS3885" s="1942"/>
      <c r="AT3885" s="1942"/>
      <c r="AU3885" s="1942"/>
      <c r="AV3885" s="1942"/>
      <c r="AW3885" s="1942"/>
      <c r="AX3885" s="1942"/>
      <c r="AY3885" s="1942"/>
      <c r="AZ3885" s="1942"/>
      <c r="BA3885" s="1942"/>
      <c r="BB3885" s="575"/>
      <c r="BC3885" s="576"/>
      <c r="BD3885" s="678"/>
      <c r="BE3885" s="585"/>
    </row>
    <row r="3886" spans="1:57" s="51" customFormat="1" ht="15" hidden="1" customHeight="1" outlineLevel="1" x14ac:dyDescent="0.25">
      <c r="A3886" s="2060"/>
      <c r="B3886" s="576"/>
      <c r="C3886" s="328"/>
      <c r="D3886" s="4023"/>
      <c r="E3886" s="4020"/>
      <c r="F3886" s="3016" t="str">
        <f t="shared" si="302"/>
        <v>ASHP-SEER16_ER1_SF</v>
      </c>
      <c r="G3886" s="2673"/>
      <c r="H3886" s="2673"/>
      <c r="I3886" s="2673"/>
      <c r="J3886" s="3301" t="str">
        <f t="shared" si="306"/>
        <v>352550_2021_12_</v>
      </c>
      <c r="K3886" s="1052"/>
      <c r="L3886" s="109" t="str">
        <f>IF(K3886&gt;0,VLOOKUP(J3886,$J$1801:$L$1987,3,FALSE),"")</f>
        <v/>
      </c>
      <c r="M3886" s="3066" t="str">
        <f>IF(K3886&gt;0,VLOOKUP(J3886,$J$3297:$K$3483,2,FALSE),"")</f>
        <v/>
      </c>
      <c r="N3886" s="1135"/>
      <c r="O3886" s="228"/>
      <c r="P3886" s="844"/>
      <c r="Q3886" s="844"/>
      <c r="R3886" s="844"/>
      <c r="S3886" s="832"/>
      <c r="T3886" s="3082"/>
      <c r="U3886" s="123"/>
      <c r="V3886" s="4031"/>
      <c r="W3886" s="3307"/>
      <c r="X3886" s="823"/>
      <c r="Y3886" s="535"/>
      <c r="Z3886" s="532"/>
      <c r="AA3886" s="532"/>
      <c r="AB3886" s="535"/>
      <c r="AC3886" s="1052"/>
      <c r="AD3886" s="793"/>
      <c r="AE3886" s="793"/>
      <c r="AF3886" s="793"/>
      <c r="AG3886" s="793"/>
      <c r="AH3886" s="1942"/>
      <c r="AI3886" s="1942"/>
      <c r="AJ3886" s="1942"/>
      <c r="AK3886" s="1942"/>
      <c r="AL3886" s="1942"/>
      <c r="AM3886" s="1942"/>
      <c r="AN3886" s="1942"/>
      <c r="AO3886" s="1942"/>
      <c r="AP3886" s="1942"/>
      <c r="AQ3886" s="1942"/>
      <c r="AR3886" s="1942"/>
      <c r="AS3886" s="1942"/>
      <c r="AT3886" s="1942"/>
      <c r="AU3886" s="1942"/>
      <c r="AV3886" s="1942"/>
      <c r="AW3886" s="1942"/>
      <c r="AX3886" s="1942"/>
      <c r="AY3886" s="1942"/>
      <c r="AZ3886" s="1942"/>
      <c r="BA3886" s="1942"/>
      <c r="BB3886" s="575"/>
      <c r="BC3886" s="576"/>
      <c r="BD3886" s="678"/>
      <c r="BE3886" s="585"/>
    </row>
    <row r="3887" spans="1:57" s="51" customFormat="1" ht="15" hidden="1" customHeight="1" outlineLevel="1" x14ac:dyDescent="0.25">
      <c r="A3887" s="2060"/>
      <c r="B3887" s="576"/>
      <c r="C3887" s="328"/>
      <c r="D3887" s="4023"/>
      <c r="E3887" s="4020"/>
      <c r="F3887" s="3016" t="str">
        <f t="shared" si="302"/>
        <v>ASHP-SEER16_ER2_SF</v>
      </c>
      <c r="G3887" s="2673"/>
      <c r="H3887" s="2673"/>
      <c r="I3887" s="2673"/>
      <c r="J3887" s="3301" t="str">
        <f t="shared" si="306"/>
        <v>352550_2021_12_</v>
      </c>
      <c r="K3887" s="1052"/>
      <c r="L3887" s="109" t="str">
        <f>IF(K3887&gt;0,VLOOKUP(J3887,$J$1801:$L$1987,3,FALSE),"")</f>
        <v/>
      </c>
      <c r="M3887" s="3066" t="str">
        <f>IF(K3887&gt;0,VLOOKUP(J3887,$J$3297:$K$3483,2,FALSE),"")</f>
        <v/>
      </c>
      <c r="N3887" s="1135"/>
      <c r="O3887" s="228"/>
      <c r="P3887" s="844"/>
      <c r="Q3887" s="844"/>
      <c r="R3887" s="844"/>
      <c r="S3887" s="832"/>
      <c r="T3887" s="3082"/>
      <c r="U3887" s="123"/>
      <c r="V3887" s="4031"/>
      <c r="W3887" s="3307"/>
      <c r="X3887" s="823"/>
      <c r="Y3887" s="535"/>
      <c r="Z3887" s="532"/>
      <c r="AA3887" s="532"/>
      <c r="AB3887" s="535"/>
      <c r="AC3887" s="1052"/>
      <c r="AD3887" s="793"/>
      <c r="AE3887" s="793"/>
      <c r="AF3887" s="793"/>
      <c r="AG3887" s="793"/>
      <c r="AH3887" s="1942"/>
      <c r="AI3887" s="1942"/>
      <c r="AJ3887" s="1942"/>
      <c r="AK3887" s="1942"/>
      <c r="AL3887" s="1942"/>
      <c r="AM3887" s="1942"/>
      <c r="AN3887" s="1942"/>
      <c r="AO3887" s="1942"/>
      <c r="AP3887" s="1942"/>
      <c r="AQ3887" s="1942"/>
      <c r="AR3887" s="1942"/>
      <c r="AS3887" s="1942"/>
      <c r="AT3887" s="1942"/>
      <c r="AU3887" s="1942"/>
      <c r="AV3887" s="1942"/>
      <c r="AW3887" s="1942"/>
      <c r="AX3887" s="1942"/>
      <c r="AY3887" s="1942"/>
      <c r="AZ3887" s="1942"/>
      <c r="BA3887" s="1942"/>
      <c r="BB3887" s="575"/>
      <c r="BC3887" s="576"/>
      <c r="BD3887" s="678"/>
      <c r="BE3887" s="585"/>
    </row>
    <row r="3888" spans="1:57" s="51" customFormat="1" ht="15" hidden="1" customHeight="1" outlineLevel="1" x14ac:dyDescent="0.25">
      <c r="A3888" s="2060"/>
      <c r="B3888" s="576"/>
      <c r="C3888" s="328"/>
      <c r="D3888" s="4023"/>
      <c r="E3888" s="4020"/>
      <c r="F3888" s="3016" t="str">
        <f t="shared" si="302"/>
        <v>ASHP-SEER16_ER2_SF</v>
      </c>
      <c r="G3888" s="2673"/>
      <c r="H3888" s="2673"/>
      <c r="I3888" s="2673"/>
      <c r="J3888" s="3301" t="str">
        <f t="shared" si="306"/>
        <v>352550_2021_12_</v>
      </c>
      <c r="K3888" s="1052"/>
      <c r="L3888" s="109" t="str">
        <f>IF(K3888&gt;0,VLOOKUP(J3888,$J$1801:$L$1987,3,FALSE),"")</f>
        <v/>
      </c>
      <c r="M3888" s="3066" t="str">
        <f>IF(K3888&gt;0,VLOOKUP(J3888,$J$3297:$K$3483,2,FALSE),"")</f>
        <v/>
      </c>
      <c r="N3888" s="1135"/>
      <c r="O3888" s="228"/>
      <c r="P3888" s="844"/>
      <c r="Q3888" s="844"/>
      <c r="R3888" s="844"/>
      <c r="S3888" s="832"/>
      <c r="T3888" s="3082"/>
      <c r="U3888" s="123"/>
      <c r="V3888" s="4031"/>
      <c r="W3888" s="3307"/>
      <c r="X3888" s="823"/>
      <c r="Y3888" s="535"/>
      <c r="Z3888" s="532"/>
      <c r="AA3888" s="532"/>
      <c r="AB3888" s="535"/>
      <c r="AC3888" s="1052"/>
      <c r="AD3888" s="793"/>
      <c r="AE3888" s="793"/>
      <c r="AF3888" s="793"/>
      <c r="AG3888" s="793"/>
      <c r="AH3888" s="1942"/>
      <c r="AI3888" s="1942"/>
      <c r="AJ3888" s="1942"/>
      <c r="AK3888" s="1942"/>
      <c r="AL3888" s="1942"/>
      <c r="AM3888" s="1942"/>
      <c r="AN3888" s="1942"/>
      <c r="AO3888" s="1942"/>
      <c r="AP3888" s="1942"/>
      <c r="AQ3888" s="1942"/>
      <c r="AR3888" s="1942"/>
      <c r="AS3888" s="1942"/>
      <c r="AT3888" s="1942"/>
      <c r="AU3888" s="1942"/>
      <c r="AV3888" s="1942"/>
      <c r="AW3888" s="1942"/>
      <c r="AX3888" s="1942"/>
      <c r="AY3888" s="1942"/>
      <c r="AZ3888" s="1942"/>
      <c r="BA3888" s="1942"/>
      <c r="BB3888" s="575"/>
      <c r="BC3888" s="576"/>
      <c r="BD3888" s="678"/>
      <c r="BE3888" s="585"/>
    </row>
    <row r="3889" spans="1:57" s="51" customFormat="1" ht="15" hidden="1" customHeight="1" outlineLevel="1" x14ac:dyDescent="0.25">
      <c r="A3889" s="2060"/>
      <c r="B3889" s="576"/>
      <c r="C3889" s="328"/>
      <c r="D3889" s="4023"/>
      <c r="E3889" s="4020"/>
      <c r="F3889" s="3016" t="str">
        <f t="shared" si="302"/>
        <v>ASHP-SEER16-Replace_CAC_ElectricHeat_ROF_SF</v>
      </c>
      <c r="G3889" s="2673"/>
      <c r="H3889" s="2673"/>
      <c r="I3889" s="2673"/>
      <c r="J3889" s="3301" t="str">
        <f t="shared" si="306"/>
        <v>352600_2021_12_</v>
      </c>
      <c r="K3889" s="1052">
        <f>$R$1806*K$3303</f>
        <v>438</v>
      </c>
      <c r="L3889" s="109">
        <f>VLOOKUP(J3889,$J$1801:$L$1987,3,FALSE)*M3889</f>
        <v>2.9556962025316453</v>
      </c>
      <c r="M3889" s="3066">
        <f>VLOOKUP(J3889,$J$3297:$K$3483,2,FALSE)</f>
        <v>1</v>
      </c>
      <c r="N3889" s="1135"/>
      <c r="O3889" s="228"/>
      <c r="P3889" s="844"/>
      <c r="Q3889" s="844"/>
      <c r="R3889" s="844"/>
      <c r="S3889" s="832"/>
      <c r="T3889" s="3082"/>
      <c r="U3889" s="123"/>
      <c r="V3889" s="4031"/>
      <c r="W3889" s="3307">
        <v>1256.6400000000001</v>
      </c>
      <c r="X3889" s="823">
        <f>$R$1806*(X$1816/12000)*X$3312</f>
        <v>1340.28</v>
      </c>
      <c r="Y3889" s="535">
        <v>392.7</v>
      </c>
      <c r="Z3889" s="532">
        <v>392.7</v>
      </c>
      <c r="AA3889" s="532">
        <v>392.7</v>
      </c>
      <c r="AB3889" s="535">
        <v>438</v>
      </c>
      <c r="AC3889" s="1052">
        <v>438</v>
      </c>
      <c r="AD3889" s="793"/>
      <c r="AE3889" s="793"/>
      <c r="AF3889" s="793"/>
      <c r="AG3889" s="793"/>
      <c r="AH3889" s="1942"/>
      <c r="AI3889" s="1942"/>
      <c r="AJ3889" s="1942"/>
      <c r="AK3889" s="1942"/>
      <c r="AL3889" s="1942"/>
      <c r="AM3889" s="1942"/>
      <c r="AN3889" s="1942"/>
      <c r="AO3889" s="1942"/>
      <c r="AP3889" s="1942"/>
      <c r="AQ3889" s="1942"/>
      <c r="AR3889" s="1942"/>
      <c r="AS3889" s="1942"/>
      <c r="AT3889" s="1942"/>
      <c r="AU3889" s="1942"/>
      <c r="AV3889" s="1942"/>
      <c r="AW3889" s="1942"/>
      <c r="AX3889" s="1942"/>
      <c r="AY3889" s="1942"/>
      <c r="AZ3889" s="1942"/>
      <c r="BA3889" s="1942"/>
      <c r="BB3889" s="575"/>
      <c r="BC3889" s="576"/>
      <c r="BD3889" s="678"/>
      <c r="BE3889" s="585"/>
    </row>
    <row r="3890" spans="1:57" s="51" customFormat="1" ht="15" hidden="1" customHeight="1" outlineLevel="1" x14ac:dyDescent="0.25">
      <c r="A3890" s="2060"/>
      <c r="B3890" s="576"/>
      <c r="C3890" s="328"/>
      <c r="D3890" s="4023"/>
      <c r="E3890" s="4020"/>
      <c r="F3890" s="3016" t="str">
        <f t="shared" si="302"/>
        <v>ASHP-SEER16-Replace_CAC_ElectricHeat_ROF_SF</v>
      </c>
      <c r="G3890" s="2673"/>
      <c r="H3890" s="2673"/>
      <c r="I3890" s="2673"/>
      <c r="J3890" s="3301" t="str">
        <f t="shared" si="306"/>
        <v>352600_2021_12_</v>
      </c>
      <c r="K3890" s="1052"/>
      <c r="L3890" s="109" t="str">
        <f>IF(K3890&gt;0,VLOOKUP(J3890,$J$1801:$L$1987,3,FALSE),"")</f>
        <v/>
      </c>
      <c r="M3890" s="3066" t="str">
        <f>IF(K3890&gt;0,VLOOKUP(J3890,$J$3297:$K$3483,2,FALSE),"")</f>
        <v/>
      </c>
      <c r="N3890" s="1135"/>
      <c r="O3890" s="228"/>
      <c r="P3890" s="844"/>
      <c r="Q3890" s="844"/>
      <c r="R3890" s="844"/>
      <c r="S3890" s="832"/>
      <c r="T3890" s="3082"/>
      <c r="U3890" s="123"/>
      <c r="V3890" s="4031"/>
      <c r="W3890" s="3307"/>
      <c r="X3890" s="823"/>
      <c r="Y3890" s="535"/>
      <c r="Z3890" s="532"/>
      <c r="AA3890" s="532"/>
      <c r="AB3890" s="535"/>
      <c r="AC3890" s="1052"/>
      <c r="AD3890" s="793"/>
      <c r="AE3890" s="793"/>
      <c r="AF3890" s="793"/>
      <c r="AG3890" s="793"/>
      <c r="AH3890" s="1942"/>
      <c r="AI3890" s="1942"/>
      <c r="AJ3890" s="1942"/>
      <c r="AK3890" s="1942"/>
      <c r="AL3890" s="1942"/>
      <c r="AM3890" s="1942"/>
      <c r="AN3890" s="1942"/>
      <c r="AO3890" s="1942"/>
      <c r="AP3890" s="1942"/>
      <c r="AQ3890" s="1942"/>
      <c r="AR3890" s="1942"/>
      <c r="AS3890" s="1942"/>
      <c r="AT3890" s="1942"/>
      <c r="AU3890" s="1942"/>
      <c r="AV3890" s="1942"/>
      <c r="AW3890" s="1942"/>
      <c r="AX3890" s="1942"/>
      <c r="AY3890" s="1942"/>
      <c r="AZ3890" s="1942"/>
      <c r="BA3890" s="1942"/>
      <c r="BB3890" s="575"/>
      <c r="BC3890" s="576"/>
      <c r="BD3890" s="678"/>
      <c r="BE3890" s="585"/>
    </row>
    <row r="3891" spans="1:57" s="51" customFormat="1" ht="15" hidden="1" customHeight="1" outlineLevel="1" x14ac:dyDescent="0.25">
      <c r="A3891" s="2060"/>
      <c r="B3891" s="576"/>
      <c r="C3891" s="328"/>
      <c r="D3891" s="4023"/>
      <c r="E3891" s="4020"/>
      <c r="F3891" s="3016" t="str">
        <f t="shared" si="302"/>
        <v>ASHP-SEER16_ROF_SF</v>
      </c>
      <c r="G3891" s="2673"/>
      <c r="H3891" s="2673"/>
      <c r="I3891" s="2673"/>
      <c r="J3891" s="3301" t="str">
        <f t="shared" si="306"/>
        <v>352650_2021_12_</v>
      </c>
      <c r="K3891" s="1052">
        <f>$R$1806*K$3303</f>
        <v>438</v>
      </c>
      <c r="L3891" s="109">
        <f>VLOOKUP(J3891,$J$1801:$L$1987,3,FALSE)*M3891</f>
        <v>3.0921052631578942</v>
      </c>
      <c r="M3891" s="3066">
        <f>VLOOKUP(J3891,$J$3297:$K$3483,2,FALSE)</f>
        <v>1</v>
      </c>
      <c r="N3891" s="1135"/>
      <c r="O3891" s="228"/>
      <c r="P3891" s="844"/>
      <c r="Q3891" s="844"/>
      <c r="R3891" s="844"/>
      <c r="S3891" s="832"/>
      <c r="T3891" s="3082"/>
      <c r="U3891" s="123"/>
      <c r="V3891" s="4031"/>
      <c r="W3891" s="3307">
        <v>999.9</v>
      </c>
      <c r="X3891" s="823">
        <f>$R$1805*(X$1817/12000)*X$3313</f>
        <v>927.18000000000006</v>
      </c>
      <c r="Y3891" s="535">
        <v>392.7</v>
      </c>
      <c r="Z3891" s="532">
        <v>392.7</v>
      </c>
      <c r="AA3891" s="532">
        <v>392.7</v>
      </c>
      <c r="AB3891" s="535">
        <v>438</v>
      </c>
      <c r="AC3891" s="1052">
        <v>438</v>
      </c>
      <c r="AD3891" s="793"/>
      <c r="AE3891" s="793"/>
      <c r="AF3891" s="793"/>
      <c r="AG3891" s="793"/>
      <c r="AH3891" s="1942"/>
      <c r="AI3891" s="1942"/>
      <c r="AJ3891" s="1942"/>
      <c r="AK3891" s="1942"/>
      <c r="AL3891" s="1942"/>
      <c r="AM3891" s="1942"/>
      <c r="AN3891" s="1942"/>
      <c r="AO3891" s="1942"/>
      <c r="AP3891" s="1942"/>
      <c r="AQ3891" s="1942"/>
      <c r="AR3891" s="1942"/>
      <c r="AS3891" s="1942"/>
      <c r="AT3891" s="1942"/>
      <c r="AU3891" s="1942"/>
      <c r="AV3891" s="1942"/>
      <c r="AW3891" s="1942"/>
      <c r="AX3891" s="1942"/>
      <c r="AY3891" s="1942"/>
      <c r="AZ3891" s="1942"/>
      <c r="BA3891" s="1942"/>
      <c r="BB3891" s="575"/>
      <c r="BC3891" s="576"/>
      <c r="BD3891" s="678"/>
      <c r="BE3891" s="585"/>
    </row>
    <row r="3892" spans="1:57" s="51" customFormat="1" ht="15" hidden="1" customHeight="1" outlineLevel="1" x14ac:dyDescent="0.25">
      <c r="A3892" s="2060"/>
      <c r="B3892" s="576"/>
      <c r="C3892" s="328"/>
      <c r="D3892" s="4023"/>
      <c r="E3892" s="4020"/>
      <c r="F3892" s="3016" t="str">
        <f t="shared" si="302"/>
        <v>ASHP-SEER16_ROF_SF</v>
      </c>
      <c r="G3892" s="2673"/>
      <c r="H3892" s="2673"/>
      <c r="I3892" s="2673"/>
      <c r="J3892" s="3301" t="str">
        <f t="shared" si="306"/>
        <v>352650_2021_12_</v>
      </c>
      <c r="K3892" s="1052"/>
      <c r="L3892" s="109" t="str">
        <f>IF(K3892&gt;0,VLOOKUP(J3892,$J$1801:$L$1987,3,FALSE),"")</f>
        <v/>
      </c>
      <c r="M3892" s="3066" t="str">
        <f>IF(K3892&gt;0,VLOOKUP(J3892,$J$3297:$K$3483,2,FALSE),"")</f>
        <v/>
      </c>
      <c r="N3892" s="1135"/>
      <c r="O3892" s="228"/>
      <c r="P3892" s="844"/>
      <c r="Q3892" s="844"/>
      <c r="R3892" s="844"/>
      <c r="S3892" s="832"/>
      <c r="T3892" s="3082"/>
      <c r="U3892" s="123"/>
      <c r="V3892" s="4031"/>
      <c r="W3892" s="3307"/>
      <c r="X3892" s="535"/>
      <c r="Y3892" s="535"/>
      <c r="Z3892" s="532"/>
      <c r="AA3892" s="532"/>
      <c r="AB3892" s="535"/>
      <c r="AC3892" s="1052"/>
      <c r="AD3892" s="793"/>
      <c r="AE3892" s="793"/>
      <c r="AF3892" s="793"/>
      <c r="AG3892" s="793"/>
      <c r="AH3892" s="1942"/>
      <c r="AI3892" s="1942"/>
      <c r="AJ3892" s="1942"/>
      <c r="AK3892" s="1942"/>
      <c r="AL3892" s="1942"/>
      <c r="AM3892" s="1942"/>
      <c r="AN3892" s="1942"/>
      <c r="AO3892" s="1942"/>
      <c r="AP3892" s="1942"/>
      <c r="AQ3892" s="1942"/>
      <c r="AR3892" s="1942"/>
      <c r="AS3892" s="1942"/>
      <c r="AT3892" s="1942"/>
      <c r="AU3892" s="1942"/>
      <c r="AV3892" s="1942"/>
      <c r="AW3892" s="1942"/>
      <c r="AX3892" s="1942"/>
      <c r="AY3892" s="1942"/>
      <c r="AZ3892" s="1942"/>
      <c r="BA3892" s="1942"/>
      <c r="BB3892" s="575"/>
      <c r="BC3892" s="576"/>
      <c r="BD3892" s="678"/>
      <c r="BE3892" s="585"/>
    </row>
    <row r="3893" spans="1:57" s="51" customFormat="1" ht="15" hidden="1" customHeight="1" outlineLevel="1" x14ac:dyDescent="0.25">
      <c r="A3893" s="2060"/>
      <c r="B3893" s="576"/>
      <c r="C3893" s="328"/>
      <c r="D3893" s="4023"/>
      <c r="E3893" s="4020"/>
      <c r="F3893" s="3016" t="str">
        <f t="shared" si="302"/>
        <v>ASHP-SEER15_ER1_MF</v>
      </c>
      <c r="G3893" s="2673"/>
      <c r="H3893" s="2673"/>
      <c r="I3893" s="2673"/>
      <c r="J3893" s="3301" t="str">
        <f t="shared" si="306"/>
        <v>352700_2021_12_</v>
      </c>
      <c r="K3893" s="3294">
        <f>(($R$1820*L3893)+$R$1805)-(($Q$1820*L3893)/((1+$R$1822)^($R$1823-1)))</f>
        <v>755.98637211198456</v>
      </c>
      <c r="L3893" s="109">
        <f>VLOOKUP(J3893,$J$1801:$L$1987,3,FALSE)*M3893</f>
        <v>1.8958333333333333</v>
      </c>
      <c r="M3893" s="3066">
        <f>VLOOKUP(J3893,$J$3297:$K$3483,2,FALSE)</f>
        <v>0.65</v>
      </c>
      <c r="N3893" s="1135"/>
      <c r="O3893" s="228"/>
      <c r="P3893" s="844"/>
      <c r="Q3893" s="844"/>
      <c r="R3893" s="844"/>
      <c r="S3893" s="832"/>
      <c r="T3893" s="3082"/>
      <c r="U3893" s="123"/>
      <c r="V3893" s="4031"/>
      <c r="W3893" s="3307">
        <v>2618.5377829603426</v>
      </c>
      <c r="X3893" s="535">
        <f>$Q$1805*(X$1818/12000)*X$3314</f>
        <v>2054.9244036484993</v>
      </c>
      <c r="Y3893" s="535">
        <v>870.25459154364216</v>
      </c>
      <c r="Z3893" s="532">
        <v>870.25459154364216</v>
      </c>
      <c r="AA3893" s="532">
        <v>870.25459154364216</v>
      </c>
      <c r="AB3893" s="535">
        <v>749.51513822467041</v>
      </c>
      <c r="AC3893" s="3294">
        <v>755.98637211198456</v>
      </c>
      <c r="AD3893" s="793"/>
      <c r="AE3893" s="793"/>
      <c r="AF3893" s="793"/>
      <c r="AG3893" s="793"/>
      <c r="AH3893" s="1942"/>
      <c r="AI3893" s="1942"/>
      <c r="AJ3893" s="1942"/>
      <c r="AK3893" s="1942"/>
      <c r="AL3893" s="1942"/>
      <c r="AM3893" s="1942"/>
      <c r="AN3893" s="1942"/>
      <c r="AO3893" s="1942"/>
      <c r="AP3893" s="1942"/>
      <c r="AQ3893" s="1942"/>
      <c r="AR3893" s="1942"/>
      <c r="AS3893" s="1942"/>
      <c r="AT3893" s="1942"/>
      <c r="AU3893" s="1942"/>
      <c r="AV3893" s="1942"/>
      <c r="AW3893" s="1942"/>
      <c r="AX3893" s="1942"/>
      <c r="AY3893" s="1942"/>
      <c r="AZ3893" s="1942"/>
      <c r="BA3893" s="1942"/>
      <c r="BB3893" s="575"/>
      <c r="BC3893" s="576"/>
      <c r="BD3893" s="678"/>
      <c r="BE3893" s="585"/>
    </row>
    <row r="3894" spans="1:57" s="51" customFormat="1" ht="15" hidden="1" customHeight="1" outlineLevel="1" x14ac:dyDescent="0.25">
      <c r="A3894" s="2060"/>
      <c r="B3894" s="576"/>
      <c r="C3894" s="328"/>
      <c r="D3894" s="4023"/>
      <c r="E3894" s="4020"/>
      <c r="F3894" s="3016" t="str">
        <f t="shared" si="302"/>
        <v>ASHP-SEER15_ER1_MF</v>
      </c>
      <c r="G3894" s="2673"/>
      <c r="H3894" s="2673"/>
      <c r="I3894" s="2673"/>
      <c r="J3894" s="3301" t="str">
        <f t="shared" si="306"/>
        <v>352700_2021_12_</v>
      </c>
      <c r="K3894" s="1052"/>
      <c r="L3894" s="109" t="str">
        <f>IF(K3894&gt;0,VLOOKUP(J3894,$J$1801:$L$1987,3,FALSE),"")</f>
        <v/>
      </c>
      <c r="M3894" s="3066" t="str">
        <f>IF(K3894&gt;0,VLOOKUP(J3894,$J$3297:$K$3483,2,FALSE),"")</f>
        <v/>
      </c>
      <c r="N3894" s="1135"/>
      <c r="O3894" s="228"/>
      <c r="P3894" s="844"/>
      <c r="Q3894" s="844"/>
      <c r="R3894" s="844"/>
      <c r="S3894" s="832"/>
      <c r="T3894" s="3082"/>
      <c r="U3894" s="123"/>
      <c r="V3894" s="4031"/>
      <c r="W3894" s="3307"/>
      <c r="X3894" s="535"/>
      <c r="Y3894" s="535"/>
      <c r="Z3894" s="532"/>
      <c r="AA3894" s="532"/>
      <c r="AB3894" s="535"/>
      <c r="AC3894" s="1052"/>
      <c r="AD3894" s="793"/>
      <c r="AE3894" s="793"/>
      <c r="AF3894" s="793"/>
      <c r="AG3894" s="793"/>
      <c r="AH3894" s="1942"/>
      <c r="AI3894" s="1942"/>
      <c r="AJ3894" s="1942"/>
      <c r="AK3894" s="1942"/>
      <c r="AL3894" s="1942"/>
      <c r="AM3894" s="1942"/>
      <c r="AN3894" s="1942"/>
      <c r="AO3894" s="1942"/>
      <c r="AP3894" s="1942"/>
      <c r="AQ3894" s="1942"/>
      <c r="AR3894" s="1942"/>
      <c r="AS3894" s="1942"/>
      <c r="AT3894" s="1942"/>
      <c r="AU3894" s="1942"/>
      <c r="AV3894" s="1942"/>
      <c r="AW3894" s="1942"/>
      <c r="AX3894" s="1942"/>
      <c r="AY3894" s="1942"/>
      <c r="AZ3894" s="1942"/>
      <c r="BA3894" s="1942"/>
      <c r="BB3894" s="575"/>
      <c r="BC3894" s="576"/>
      <c r="BD3894" s="678"/>
      <c r="BE3894" s="585"/>
    </row>
    <row r="3895" spans="1:57" s="51" customFormat="1" ht="15" hidden="1" customHeight="1" outlineLevel="1" x14ac:dyDescent="0.25">
      <c r="A3895" s="2060"/>
      <c r="B3895" s="576"/>
      <c r="C3895" s="328"/>
      <c r="D3895" s="4023"/>
      <c r="E3895" s="4020"/>
      <c r="F3895" s="3016" t="str">
        <f t="shared" si="302"/>
        <v>ASHP-SEER15_ER2_MF</v>
      </c>
      <c r="G3895" s="2673"/>
      <c r="H3895" s="2673"/>
      <c r="I3895" s="2673"/>
      <c r="J3895" s="3301" t="str">
        <f t="shared" si="306"/>
        <v>352700_2021_12_</v>
      </c>
      <c r="K3895" s="1052"/>
      <c r="L3895" s="109" t="str">
        <f>IF(K3895&gt;0,VLOOKUP(J3895,$J$1801:$L$1987,3,FALSE),"")</f>
        <v/>
      </c>
      <c r="M3895" s="3066" t="str">
        <f>IF(K3895&gt;0,VLOOKUP(J3895,$J$3297:$K$3483,2,FALSE),"")</f>
        <v/>
      </c>
      <c r="N3895" s="1135"/>
      <c r="O3895" s="228"/>
      <c r="P3895" s="844"/>
      <c r="Q3895" s="844"/>
      <c r="R3895" s="844"/>
      <c r="S3895" s="832"/>
      <c r="T3895" s="3082"/>
      <c r="U3895" s="123"/>
      <c r="V3895" s="4031"/>
      <c r="W3895" s="3307"/>
      <c r="X3895" s="535"/>
      <c r="Y3895" s="535"/>
      <c r="Z3895" s="532"/>
      <c r="AA3895" s="532"/>
      <c r="AB3895" s="535"/>
      <c r="AC3895" s="1052"/>
      <c r="AD3895" s="793"/>
      <c r="AE3895" s="793"/>
      <c r="AF3895" s="793"/>
      <c r="AG3895" s="793"/>
      <c r="AH3895" s="1942"/>
      <c r="AI3895" s="1942"/>
      <c r="AJ3895" s="1942"/>
      <c r="AK3895" s="1942"/>
      <c r="AL3895" s="1942"/>
      <c r="AM3895" s="1942"/>
      <c r="AN3895" s="1942"/>
      <c r="AO3895" s="1942"/>
      <c r="AP3895" s="1942"/>
      <c r="AQ3895" s="1942"/>
      <c r="AR3895" s="1942"/>
      <c r="AS3895" s="1942"/>
      <c r="AT3895" s="1942"/>
      <c r="AU3895" s="1942"/>
      <c r="AV3895" s="1942"/>
      <c r="AW3895" s="1942"/>
      <c r="AX3895" s="1942"/>
      <c r="AY3895" s="1942"/>
      <c r="AZ3895" s="1942"/>
      <c r="BA3895" s="1942"/>
      <c r="BB3895" s="575"/>
      <c r="BC3895" s="576"/>
      <c r="BD3895" s="678"/>
      <c r="BE3895" s="585"/>
    </row>
    <row r="3896" spans="1:57" s="51" customFormat="1" ht="15" hidden="1" customHeight="1" outlineLevel="1" x14ac:dyDescent="0.25">
      <c r="A3896" s="2060"/>
      <c r="B3896" s="576"/>
      <c r="C3896" s="328"/>
      <c r="D3896" s="4023"/>
      <c r="E3896" s="4020"/>
      <c r="F3896" s="3016" t="str">
        <f t="shared" si="302"/>
        <v>ASHP-SEER15_ER2_MF</v>
      </c>
      <c r="G3896" s="2673"/>
      <c r="H3896" s="2673"/>
      <c r="I3896" s="2673"/>
      <c r="J3896" s="3301" t="str">
        <f t="shared" si="306"/>
        <v>352700_2021_12_</v>
      </c>
      <c r="K3896" s="1052"/>
      <c r="L3896" s="109" t="str">
        <f>IF(K3896&gt;0,VLOOKUP(J3896,$J$1801:$L$1987,3,FALSE),"")</f>
        <v/>
      </c>
      <c r="M3896" s="3066" t="str">
        <f>IF(K3896&gt;0,VLOOKUP(J3896,$J$3297:$K$3483,2,FALSE),"")</f>
        <v/>
      </c>
      <c r="N3896" s="1135"/>
      <c r="O3896" s="228"/>
      <c r="P3896" s="844"/>
      <c r="Q3896" s="844"/>
      <c r="R3896" s="844"/>
      <c r="S3896" s="832"/>
      <c r="T3896" s="3082"/>
      <c r="U3896" s="123"/>
      <c r="V3896" s="4031"/>
      <c r="W3896" s="3307"/>
      <c r="X3896" s="535"/>
      <c r="Y3896" s="535"/>
      <c r="Z3896" s="532"/>
      <c r="AA3896" s="532"/>
      <c r="AB3896" s="535"/>
      <c r="AC3896" s="1052"/>
      <c r="AD3896" s="793"/>
      <c r="AE3896" s="793"/>
      <c r="AF3896" s="793"/>
      <c r="AG3896" s="793"/>
      <c r="AH3896" s="1942"/>
      <c r="AI3896" s="1942"/>
      <c r="AJ3896" s="1942"/>
      <c r="AK3896" s="1942"/>
      <c r="AL3896" s="1942"/>
      <c r="AM3896" s="1942"/>
      <c r="AN3896" s="1942"/>
      <c r="AO3896" s="1942"/>
      <c r="AP3896" s="1942"/>
      <c r="AQ3896" s="1942"/>
      <c r="AR3896" s="1942"/>
      <c r="AS3896" s="1942"/>
      <c r="AT3896" s="1942"/>
      <c r="AU3896" s="1942"/>
      <c r="AV3896" s="1942"/>
      <c r="AW3896" s="1942"/>
      <c r="AX3896" s="1942"/>
      <c r="AY3896" s="1942"/>
      <c r="AZ3896" s="1942"/>
      <c r="BA3896" s="1942"/>
      <c r="BB3896" s="575"/>
      <c r="BC3896" s="576"/>
      <c r="BD3896" s="678"/>
      <c r="BE3896" s="585"/>
    </row>
    <row r="3897" spans="1:57" s="1942" customFormat="1" ht="15" hidden="1" customHeight="1" outlineLevel="1" x14ac:dyDescent="0.25">
      <c r="A3897" s="2060"/>
      <c r="B3897" s="576"/>
      <c r="C3897" s="328"/>
      <c r="D3897" s="4023"/>
      <c r="E3897" s="4020"/>
      <c r="F3897" s="3016" t="str">
        <f t="shared" si="302"/>
        <v>ASHP-SEER15_ER1_MF_CompE</v>
      </c>
      <c r="G3897" s="2673"/>
      <c r="H3897" s="2673"/>
      <c r="I3897" s="2673"/>
      <c r="J3897" s="3301" t="str">
        <f t="shared" si="306"/>
        <v>352701_2021_12_</v>
      </c>
      <c r="K3897" s="3294">
        <f>(($R$1820*L3897)+$R$1805)-(($Q$1820*L3897)/((1+$R$1822)^($R$1823-1)))</f>
        <v>755.98637211198456</v>
      </c>
      <c r="L3897" s="112">
        <f>VLOOKUP(J3897,$J$1801:$L$1987,3,FALSE)*M3897</f>
        <v>1.8958333333333333</v>
      </c>
      <c r="M3897" s="3066">
        <f>VLOOKUP(J3897,$J$3297:$K$3483,2,FALSE)</f>
        <v>0.65</v>
      </c>
      <c r="N3897" s="1135"/>
      <c r="O3897" s="228"/>
      <c r="P3897" s="844"/>
      <c r="Q3897" s="844"/>
      <c r="R3897" s="844"/>
      <c r="S3897" s="832"/>
      <c r="T3897" s="3082"/>
      <c r="U3897" s="123"/>
      <c r="V3897" s="4031"/>
      <c r="W3897" s="3307"/>
      <c r="X3897" s="535"/>
      <c r="Y3897" s="535"/>
      <c r="Z3897" s="532"/>
      <c r="AA3897" s="532"/>
      <c r="AB3897" s="535"/>
      <c r="AC3897" s="3294">
        <v>755.98637211198456</v>
      </c>
      <c r="AD3897" s="793"/>
      <c r="AE3897" s="793"/>
      <c r="AF3897" s="793"/>
      <c r="AG3897" s="793"/>
      <c r="BB3897" s="575"/>
      <c r="BC3897" s="576"/>
      <c r="BD3897" s="678"/>
      <c r="BE3897" s="585"/>
    </row>
    <row r="3898" spans="1:57" s="1942" customFormat="1" ht="15" hidden="1" customHeight="1" outlineLevel="1" x14ac:dyDescent="0.25">
      <c r="A3898" s="2060"/>
      <c r="B3898" s="576"/>
      <c r="C3898" s="328"/>
      <c r="D3898" s="4023"/>
      <c r="E3898" s="4020"/>
      <c r="F3898" s="3016" t="str">
        <f t="shared" si="302"/>
        <v>ASHP-SEER15_ER1_MF_CompE</v>
      </c>
      <c r="G3898" s="2673"/>
      <c r="H3898" s="2673"/>
      <c r="I3898" s="2673"/>
      <c r="J3898" s="3301" t="str">
        <f t="shared" si="306"/>
        <v>352701_2021_12_</v>
      </c>
      <c r="K3898" s="1052"/>
      <c r="L3898" s="109"/>
      <c r="M3898" s="3066"/>
      <c r="N3898" s="1135"/>
      <c r="O3898" s="228"/>
      <c r="P3898" s="844"/>
      <c r="Q3898" s="844"/>
      <c r="R3898" s="844"/>
      <c r="S3898" s="832"/>
      <c r="T3898" s="3082"/>
      <c r="U3898" s="123"/>
      <c r="V3898" s="4031"/>
      <c r="W3898" s="3307"/>
      <c r="X3898" s="535"/>
      <c r="Y3898" s="535"/>
      <c r="Z3898" s="532"/>
      <c r="AA3898" s="532"/>
      <c r="AB3898" s="535"/>
      <c r="AC3898" s="1052"/>
      <c r="AD3898" s="793"/>
      <c r="AE3898" s="793"/>
      <c r="AF3898" s="793"/>
      <c r="AG3898" s="793"/>
      <c r="BB3898" s="575"/>
      <c r="BC3898" s="576"/>
      <c r="BD3898" s="678"/>
      <c r="BE3898" s="585"/>
    </row>
    <row r="3899" spans="1:57" s="1942" customFormat="1" ht="15" hidden="1" customHeight="1" outlineLevel="1" x14ac:dyDescent="0.25">
      <c r="A3899" s="2060"/>
      <c r="B3899" s="576"/>
      <c r="C3899" s="328"/>
      <c r="D3899" s="4023"/>
      <c r="E3899" s="4020"/>
      <c r="F3899" s="3016" t="str">
        <f t="shared" si="302"/>
        <v>ASHP-SEER15_ER2_MF_CompE</v>
      </c>
      <c r="G3899" s="2673"/>
      <c r="H3899" s="2673"/>
      <c r="I3899" s="2673"/>
      <c r="J3899" s="3301" t="str">
        <f t="shared" si="306"/>
        <v>352701_2021_12_</v>
      </c>
      <c r="K3899" s="1052"/>
      <c r="L3899" s="109"/>
      <c r="M3899" s="3066"/>
      <c r="N3899" s="1135"/>
      <c r="O3899" s="228"/>
      <c r="P3899" s="844"/>
      <c r="Q3899" s="844"/>
      <c r="R3899" s="844"/>
      <c r="S3899" s="832"/>
      <c r="T3899" s="3082"/>
      <c r="U3899" s="123"/>
      <c r="V3899" s="4031"/>
      <c r="W3899" s="3307"/>
      <c r="X3899" s="535"/>
      <c r="Y3899" s="535"/>
      <c r="Z3899" s="532"/>
      <c r="AA3899" s="532"/>
      <c r="AB3899" s="535"/>
      <c r="AC3899" s="1052"/>
      <c r="AD3899" s="793"/>
      <c r="AE3899" s="793"/>
      <c r="AF3899" s="793"/>
      <c r="AG3899" s="793"/>
      <c r="BB3899" s="575"/>
      <c r="BC3899" s="576"/>
      <c r="BD3899" s="678"/>
      <c r="BE3899" s="585"/>
    </row>
    <row r="3900" spans="1:57" s="1942" customFormat="1" ht="15" hidden="1" customHeight="1" outlineLevel="1" x14ac:dyDescent="0.25">
      <c r="A3900" s="2060"/>
      <c r="B3900" s="576"/>
      <c r="C3900" s="328"/>
      <c r="D3900" s="4023"/>
      <c r="E3900" s="4020"/>
      <c r="F3900" s="3016" t="str">
        <f t="shared" si="302"/>
        <v>ASHP-SEER15_ER2_MF_CompE</v>
      </c>
      <c r="G3900" s="2673"/>
      <c r="H3900" s="2673"/>
      <c r="I3900" s="2673"/>
      <c r="J3900" s="3301" t="str">
        <f t="shared" si="306"/>
        <v>352701_2021_12_</v>
      </c>
      <c r="K3900" s="1052"/>
      <c r="L3900" s="109"/>
      <c r="M3900" s="3066"/>
      <c r="N3900" s="1135"/>
      <c r="O3900" s="228"/>
      <c r="P3900" s="844"/>
      <c r="Q3900" s="844"/>
      <c r="R3900" s="844"/>
      <c r="S3900" s="832"/>
      <c r="T3900" s="3082"/>
      <c r="U3900" s="123"/>
      <c r="V3900" s="4031"/>
      <c r="W3900" s="3307"/>
      <c r="X3900" s="535"/>
      <c r="Y3900" s="535"/>
      <c r="Z3900" s="532"/>
      <c r="AA3900" s="532"/>
      <c r="AB3900" s="535"/>
      <c r="AC3900" s="1052"/>
      <c r="AD3900" s="793"/>
      <c r="AE3900" s="793"/>
      <c r="AF3900" s="793"/>
      <c r="AG3900" s="793"/>
      <c r="BB3900" s="575"/>
      <c r="BC3900" s="576"/>
      <c r="BD3900" s="678"/>
      <c r="BE3900" s="585"/>
    </row>
    <row r="3901" spans="1:57" s="51" customFormat="1" ht="15" hidden="1" customHeight="1" outlineLevel="1" x14ac:dyDescent="0.25">
      <c r="A3901" s="2060"/>
      <c r="B3901" s="576"/>
      <c r="C3901" s="328"/>
      <c r="D3901" s="4023"/>
      <c r="E3901" s="4020"/>
      <c r="F3901" s="3016" t="str">
        <f t="shared" si="302"/>
        <v>ASHP-SEER15-Replace_CAC_ElectricHeat_ER1_MF</v>
      </c>
      <c r="G3901" s="2673"/>
      <c r="H3901" s="2673"/>
      <c r="I3901" s="2673"/>
      <c r="J3901" s="3301" t="str">
        <f>C1449</f>
        <v>352750_2021_12_</v>
      </c>
      <c r="K3901" s="3294">
        <f>(($R$1820*L3901)+$R$1805)-(($Q$1820*L3901)/((1+$R$1822)^($R$1823-1)))</f>
        <v>691.27403323884414</v>
      </c>
      <c r="L3901" s="109">
        <f>VLOOKUP(J3901,$J$1801:$L$1987,3,FALSE)*M3901</f>
        <v>1.625</v>
      </c>
      <c r="M3901" s="3066">
        <f>VLOOKUP(J3901,$J$3297:$K$3483,2,FALSE)</f>
        <v>0.65</v>
      </c>
      <c r="N3901" s="1135"/>
      <c r="O3901" s="228"/>
      <c r="P3901" s="844"/>
      <c r="Q3901" s="844"/>
      <c r="R3901" s="844"/>
      <c r="S3901" s="832"/>
      <c r="T3901" s="3082"/>
      <c r="U3901" s="123"/>
      <c r="V3901" s="4031"/>
      <c r="W3901" s="3307">
        <v>2365.1309007383738</v>
      </c>
      <c r="X3901" s="535">
        <f>$Q$1805*(X$1822/12000)*X$3318</f>
        <v>1856.0607516825155</v>
      </c>
      <c r="Y3901" s="535">
        <v>815.35898591038654</v>
      </c>
      <c r="Z3901" s="532">
        <v>815.35898591038654</v>
      </c>
      <c r="AA3901" s="532">
        <v>815.35898591038654</v>
      </c>
      <c r="AB3901" s="535">
        <v>730.10143656272817</v>
      </c>
      <c r="AC3901" s="3294">
        <v>691.27403323884414</v>
      </c>
      <c r="AD3901" s="793"/>
      <c r="AE3901" s="793"/>
      <c r="AF3901" s="793"/>
      <c r="AG3901" s="793"/>
      <c r="AH3901" s="1942"/>
      <c r="AI3901" s="1942"/>
      <c r="AJ3901" s="1942"/>
      <c r="AK3901" s="1942"/>
      <c r="AL3901" s="1942"/>
      <c r="AM3901" s="1942"/>
      <c r="AN3901" s="1942"/>
      <c r="AO3901" s="1942"/>
      <c r="AP3901" s="1942"/>
      <c r="AQ3901" s="1942"/>
      <c r="AR3901" s="1942"/>
      <c r="AS3901" s="1942"/>
      <c r="AT3901" s="1942"/>
      <c r="AU3901" s="1942"/>
      <c r="AV3901" s="1942"/>
      <c r="AW3901" s="1942"/>
      <c r="AX3901" s="1942"/>
      <c r="AY3901" s="1942"/>
      <c r="AZ3901" s="1942"/>
      <c r="BA3901" s="1942"/>
      <c r="BB3901" s="575"/>
      <c r="BC3901" s="576"/>
      <c r="BD3901" s="678"/>
      <c r="BE3901" s="585"/>
    </row>
    <row r="3902" spans="1:57" s="51" customFormat="1" ht="15" hidden="1" customHeight="1" outlineLevel="1" x14ac:dyDescent="0.25">
      <c r="A3902" s="2060"/>
      <c r="B3902" s="576"/>
      <c r="C3902" s="328"/>
      <c r="D3902" s="4023"/>
      <c r="E3902" s="4020"/>
      <c r="F3902" s="3016" t="str">
        <f t="shared" si="302"/>
        <v>ASHP-SEER15-Replace_CAC_ElectricHeat_ER1_MF</v>
      </c>
      <c r="G3902" s="2673"/>
      <c r="H3902" s="2673"/>
      <c r="I3902" s="2673"/>
      <c r="J3902" s="3301" t="str">
        <f>C1450</f>
        <v>352750_2021_12_</v>
      </c>
      <c r="K3902" s="1052"/>
      <c r="L3902" s="109" t="str">
        <f>IF(K3902&gt;0,VLOOKUP(J3902,$J$1801:$L$1987,3,FALSE),"")</f>
        <v/>
      </c>
      <c r="M3902" s="3066" t="str">
        <f>IF(K3902&gt;0,VLOOKUP(J3902,$J$3297:$K$3483,2,FALSE),"")</f>
        <v/>
      </c>
      <c r="N3902" s="1135"/>
      <c r="O3902" s="228"/>
      <c r="P3902" s="844"/>
      <c r="Q3902" s="844"/>
      <c r="R3902" s="844"/>
      <c r="S3902" s="832"/>
      <c r="T3902" s="3082"/>
      <c r="U3902" s="123"/>
      <c r="V3902" s="4031"/>
      <c r="W3902" s="3307"/>
      <c r="X3902" s="535"/>
      <c r="Y3902" s="535"/>
      <c r="Z3902" s="532"/>
      <c r="AA3902" s="532"/>
      <c r="AB3902" s="535"/>
      <c r="AC3902" s="1052"/>
      <c r="AD3902" s="793"/>
      <c r="AE3902" s="793"/>
      <c r="AF3902" s="793"/>
      <c r="AG3902" s="793"/>
      <c r="AH3902" s="1942"/>
      <c r="AI3902" s="1942"/>
      <c r="AJ3902" s="1942"/>
      <c r="AK3902" s="1942"/>
      <c r="AL3902" s="1942"/>
      <c r="AM3902" s="1942"/>
      <c r="AN3902" s="1942"/>
      <c r="AO3902" s="1942"/>
      <c r="AP3902" s="1942"/>
      <c r="AQ3902" s="1942"/>
      <c r="AR3902" s="1942"/>
      <c r="AS3902" s="1942"/>
      <c r="AT3902" s="1942"/>
      <c r="AU3902" s="1942"/>
      <c r="AV3902" s="1942"/>
      <c r="AW3902" s="1942"/>
      <c r="AX3902" s="1942"/>
      <c r="AY3902" s="1942"/>
      <c r="AZ3902" s="1942"/>
      <c r="BA3902" s="1942"/>
      <c r="BB3902" s="575"/>
      <c r="BC3902" s="576"/>
      <c r="BD3902" s="678"/>
      <c r="BE3902" s="585"/>
    </row>
    <row r="3903" spans="1:57" s="51" customFormat="1" ht="15" hidden="1" customHeight="1" outlineLevel="1" x14ac:dyDescent="0.25">
      <c r="A3903" s="2060"/>
      <c r="B3903" s="576"/>
      <c r="C3903" s="328"/>
      <c r="D3903" s="4023"/>
      <c r="E3903" s="4020"/>
      <c r="F3903" s="3016" t="str">
        <f t="shared" si="302"/>
        <v>ASHP-SEER15-Replace_CAC_ElectricHeat_ER2_MF</v>
      </c>
      <c r="G3903" s="2673"/>
      <c r="H3903" s="2673"/>
      <c r="I3903" s="2673"/>
      <c r="J3903" s="3301" t="str">
        <f>C1451</f>
        <v>352750_2021_12_</v>
      </c>
      <c r="K3903" s="1052"/>
      <c r="L3903" s="109" t="str">
        <f>IF(K3903&gt;0,VLOOKUP(J3903,$J$1801:$L$1987,3,FALSE),"")</f>
        <v/>
      </c>
      <c r="M3903" s="3066" t="str">
        <f>IF(K3903&gt;0,VLOOKUP(J3903,$J$3297:$K$3483,2,FALSE),"")</f>
        <v/>
      </c>
      <c r="N3903" s="1135"/>
      <c r="O3903" s="228"/>
      <c r="P3903" s="844"/>
      <c r="Q3903" s="844"/>
      <c r="R3903" s="844"/>
      <c r="S3903" s="832"/>
      <c r="T3903" s="3082"/>
      <c r="U3903" s="123"/>
      <c r="V3903" s="4031"/>
      <c r="W3903" s="3307"/>
      <c r="X3903" s="535"/>
      <c r="Y3903" s="535"/>
      <c r="Z3903" s="532"/>
      <c r="AA3903" s="532"/>
      <c r="AB3903" s="532"/>
      <c r="AC3903" s="1052"/>
      <c r="AD3903" s="793"/>
      <c r="AE3903" s="793"/>
      <c r="AF3903" s="793"/>
      <c r="AG3903" s="793"/>
      <c r="AH3903" s="1942"/>
      <c r="AI3903" s="1942"/>
      <c r="AJ3903" s="1942"/>
      <c r="AK3903" s="1942"/>
      <c r="AL3903" s="1942"/>
      <c r="AM3903" s="1942"/>
      <c r="AN3903" s="1942"/>
      <c r="AO3903" s="1942"/>
      <c r="AP3903" s="1942"/>
      <c r="AQ3903" s="1942"/>
      <c r="AR3903" s="1942"/>
      <c r="AS3903" s="1942"/>
      <c r="AT3903" s="1942"/>
      <c r="AU3903" s="1942"/>
      <c r="AV3903" s="1942"/>
      <c r="AW3903" s="1942"/>
      <c r="AX3903" s="1942"/>
      <c r="AY3903" s="1942"/>
      <c r="AZ3903" s="1942"/>
      <c r="BA3903" s="1942"/>
      <c r="BB3903" s="575"/>
      <c r="BC3903" s="576"/>
      <c r="BD3903" s="678"/>
      <c r="BE3903" s="585"/>
    </row>
    <row r="3904" spans="1:57" s="51" customFormat="1" ht="15" hidden="1" customHeight="1" outlineLevel="1" x14ac:dyDescent="0.25">
      <c r="A3904" s="2060"/>
      <c r="B3904" s="576"/>
      <c r="C3904" s="328"/>
      <c r="D3904" s="4023"/>
      <c r="E3904" s="4020"/>
      <c r="F3904" s="3016" t="str">
        <f t="shared" si="302"/>
        <v>ASHP-SEER15-Replace_CAC_ElectricHeat_ER2_MF</v>
      </c>
      <c r="G3904" s="2673"/>
      <c r="H3904" s="2673"/>
      <c r="I3904" s="2673"/>
      <c r="J3904" s="3301" t="str">
        <f>C1452</f>
        <v>352750_2021_12_</v>
      </c>
      <c r="K3904" s="1052"/>
      <c r="L3904" s="109" t="str">
        <f>IF(K3904&gt;0,VLOOKUP(J3904,$J$1801:$L$1987,3,FALSE),"")</f>
        <v/>
      </c>
      <c r="M3904" s="3066" t="str">
        <f>IF(K3904&gt;0,VLOOKUP(J3904,$J$3297:$K$3483,2,FALSE),"")</f>
        <v/>
      </c>
      <c r="N3904" s="1135"/>
      <c r="O3904" s="228"/>
      <c r="P3904" s="844"/>
      <c r="Q3904" s="844"/>
      <c r="R3904" s="844"/>
      <c r="S3904" s="832"/>
      <c r="T3904" s="3082"/>
      <c r="U3904" s="123"/>
      <c r="V3904" s="4031"/>
      <c r="W3904" s="3307"/>
      <c r="X3904" s="535"/>
      <c r="Y3904" s="535"/>
      <c r="Z3904" s="532"/>
      <c r="AA3904" s="532"/>
      <c r="AB3904" s="532"/>
      <c r="AC3904" s="1052"/>
      <c r="AD3904" s="793"/>
      <c r="AE3904" s="793"/>
      <c r="AF3904" s="793"/>
      <c r="AG3904" s="793"/>
      <c r="AH3904" s="1942"/>
      <c r="AI3904" s="1942"/>
      <c r="AJ3904" s="1942"/>
      <c r="AK3904" s="1942"/>
      <c r="AL3904" s="1942"/>
      <c r="AM3904" s="1942"/>
      <c r="AN3904" s="1942"/>
      <c r="AO3904" s="1942"/>
      <c r="AP3904" s="1942"/>
      <c r="AQ3904" s="1942"/>
      <c r="AR3904" s="1942"/>
      <c r="AS3904" s="1942"/>
      <c r="AT3904" s="1942"/>
      <c r="AU3904" s="1942"/>
      <c r="AV3904" s="1942"/>
      <c r="AW3904" s="1942"/>
      <c r="AX3904" s="1942"/>
      <c r="AY3904" s="1942"/>
      <c r="AZ3904" s="1942"/>
      <c r="BA3904" s="1942"/>
      <c r="BB3904" s="575"/>
      <c r="BC3904" s="576"/>
      <c r="BD3904" s="678"/>
      <c r="BE3904" s="585"/>
    </row>
    <row r="3905" spans="1:57" s="1942" customFormat="1" ht="15" hidden="1" customHeight="1" outlineLevel="1" x14ac:dyDescent="0.25">
      <c r="A3905" s="2060"/>
      <c r="B3905" s="576"/>
      <c r="C3905" s="328"/>
      <c r="D3905" s="4023"/>
      <c r="E3905" s="4020"/>
      <c r="F3905" s="3016" t="str">
        <f t="shared" si="302"/>
        <v>ASHP-SEER15-Replace_CAC_ElectricHeat_ER1_MF_CompE</v>
      </c>
      <c r="G3905" s="2673"/>
      <c r="H3905" s="2673"/>
      <c r="I3905" s="2673"/>
      <c r="J3905" s="3301" t="str">
        <f t="shared" ref="J3905:J3916" si="307">C1453</f>
        <v>352751_2021_12_</v>
      </c>
      <c r="K3905" s="3294">
        <f>(($R$1820*L3905)+$R$1805)-(($Q$1820*L3905)/((1+$R$1822)^($R$1823-1)))</f>
        <v>691.27403323884414</v>
      </c>
      <c r="L3905" s="109">
        <f>VLOOKUP(J3905,$J$1801:$L$1987,3,FALSE)*M3905</f>
        <v>1.625</v>
      </c>
      <c r="M3905" s="3286">
        <f>VLOOKUP(J3905,$J$3297:$K$3483,2,FALSE)</f>
        <v>0.65</v>
      </c>
      <c r="N3905" s="1135"/>
      <c r="O3905" s="228"/>
      <c r="P3905" s="844"/>
      <c r="Q3905" s="844"/>
      <c r="R3905" s="844"/>
      <c r="S3905" s="832"/>
      <c r="T3905" s="3082"/>
      <c r="U3905" s="123"/>
      <c r="V3905" s="4031"/>
      <c r="W3905" s="3307"/>
      <c r="X3905" s="535"/>
      <c r="Y3905" s="535"/>
      <c r="Z3905" s="532"/>
      <c r="AA3905" s="532"/>
      <c r="AB3905" s="532"/>
      <c r="AC3905" s="3294">
        <v>691.27403323884414</v>
      </c>
      <c r="AD3905" s="793"/>
      <c r="AE3905" s="793"/>
      <c r="AF3905" s="793"/>
      <c r="AG3905" s="793"/>
      <c r="BB3905" s="575"/>
      <c r="BC3905" s="576"/>
      <c r="BD3905" s="678"/>
      <c r="BE3905" s="585"/>
    </row>
    <row r="3906" spans="1:57" s="1942" customFormat="1" ht="15" hidden="1" customHeight="1" outlineLevel="1" x14ac:dyDescent="0.25">
      <c r="A3906" s="2060"/>
      <c r="B3906" s="576"/>
      <c r="C3906" s="328"/>
      <c r="D3906" s="4023"/>
      <c r="E3906" s="4020"/>
      <c r="F3906" s="3016" t="str">
        <f t="shared" si="302"/>
        <v>ASHP-SEER15-Replace_CAC_ElectricHeat_ER1_MF_CompE</v>
      </c>
      <c r="G3906" s="2673"/>
      <c r="H3906" s="2673"/>
      <c r="I3906" s="2673"/>
      <c r="J3906" s="3301" t="str">
        <f t="shared" si="307"/>
        <v>352751_2021_12_</v>
      </c>
      <c r="K3906" s="1052"/>
      <c r="L3906" s="109"/>
      <c r="M3906" s="3066"/>
      <c r="N3906" s="1135"/>
      <c r="O3906" s="228"/>
      <c r="P3906" s="844"/>
      <c r="Q3906" s="844"/>
      <c r="R3906" s="844"/>
      <c r="S3906" s="832"/>
      <c r="T3906" s="3082"/>
      <c r="U3906" s="123"/>
      <c r="V3906" s="4031"/>
      <c r="W3906" s="3307"/>
      <c r="X3906" s="535"/>
      <c r="Y3906" s="535"/>
      <c r="Z3906" s="532"/>
      <c r="AA3906" s="532"/>
      <c r="AB3906" s="532"/>
      <c r="AC3906" s="1052"/>
      <c r="AD3906" s="793"/>
      <c r="AE3906" s="793"/>
      <c r="AF3906" s="793"/>
      <c r="AG3906" s="793"/>
      <c r="BB3906" s="575"/>
      <c r="BC3906" s="576"/>
      <c r="BD3906" s="678"/>
      <c r="BE3906" s="585"/>
    </row>
    <row r="3907" spans="1:57" s="1942" customFormat="1" ht="15" hidden="1" customHeight="1" outlineLevel="1" x14ac:dyDescent="0.25">
      <c r="A3907" s="2060"/>
      <c r="B3907" s="576"/>
      <c r="C3907" s="328"/>
      <c r="D3907" s="4023"/>
      <c r="E3907" s="4020"/>
      <c r="F3907" s="3016" t="str">
        <f t="shared" si="302"/>
        <v>ASHP-SEER15-Replace_CAC_ElectricHeat_ER2_MF_CompE</v>
      </c>
      <c r="G3907" s="2673"/>
      <c r="H3907" s="2673"/>
      <c r="I3907" s="2673"/>
      <c r="J3907" s="3301" t="str">
        <f t="shared" si="307"/>
        <v>352751_2021_12_</v>
      </c>
      <c r="K3907" s="1052"/>
      <c r="L3907" s="109"/>
      <c r="M3907" s="3066"/>
      <c r="N3907" s="1135"/>
      <c r="O3907" s="228"/>
      <c r="P3907" s="844"/>
      <c r="Q3907" s="844"/>
      <c r="R3907" s="844"/>
      <c r="S3907" s="832"/>
      <c r="T3907" s="3082"/>
      <c r="U3907" s="123"/>
      <c r="V3907" s="4031"/>
      <c r="W3907" s="3307"/>
      <c r="X3907" s="535"/>
      <c r="Y3907" s="535"/>
      <c r="Z3907" s="532"/>
      <c r="AA3907" s="532"/>
      <c r="AB3907" s="532"/>
      <c r="AC3907" s="1052"/>
      <c r="AD3907" s="793"/>
      <c r="AE3907" s="793"/>
      <c r="AF3907" s="793"/>
      <c r="AG3907" s="793"/>
      <c r="BB3907" s="575"/>
      <c r="BC3907" s="576"/>
      <c r="BD3907" s="678"/>
      <c r="BE3907" s="585"/>
    </row>
    <row r="3908" spans="1:57" s="1942" customFormat="1" ht="15" hidden="1" customHeight="1" outlineLevel="1" x14ac:dyDescent="0.25">
      <c r="A3908" s="2060"/>
      <c r="B3908" s="576"/>
      <c r="C3908" s="328"/>
      <c r="D3908" s="4023"/>
      <c r="E3908" s="4020"/>
      <c r="F3908" s="3016" t="str">
        <f t="shared" si="302"/>
        <v>ASHP-SEER15-Replace_CAC_ElectricHeat_ER2_MF_CompE</v>
      </c>
      <c r="G3908" s="2673"/>
      <c r="H3908" s="2673"/>
      <c r="I3908" s="2673"/>
      <c r="J3908" s="3301" t="str">
        <f t="shared" si="307"/>
        <v>352751_2021_12_</v>
      </c>
      <c r="K3908" s="1052"/>
      <c r="L3908" s="109"/>
      <c r="M3908" s="3066"/>
      <c r="N3908" s="1135"/>
      <c r="O3908" s="228"/>
      <c r="P3908" s="844"/>
      <c r="Q3908" s="844"/>
      <c r="R3908" s="844"/>
      <c r="S3908" s="832"/>
      <c r="T3908" s="3082"/>
      <c r="U3908" s="123"/>
      <c r="V3908" s="4031"/>
      <c r="W3908" s="3307"/>
      <c r="X3908" s="535"/>
      <c r="Y3908" s="535"/>
      <c r="Z3908" s="532"/>
      <c r="AA3908" s="532"/>
      <c r="AB3908" s="532"/>
      <c r="AC3908" s="1052"/>
      <c r="AD3908" s="793"/>
      <c r="AE3908" s="793"/>
      <c r="AF3908" s="793"/>
      <c r="AG3908" s="793"/>
      <c r="BB3908" s="575"/>
      <c r="BC3908" s="576"/>
      <c r="BD3908" s="678"/>
      <c r="BE3908" s="585"/>
    </row>
    <row r="3909" spans="1:57" s="1942" customFormat="1" ht="15" hidden="1" customHeight="1" outlineLevel="1" x14ac:dyDescent="0.25">
      <c r="A3909" s="2060"/>
      <c r="B3909" s="576"/>
      <c r="C3909" s="328"/>
      <c r="D3909" s="4023"/>
      <c r="E3909" s="4020"/>
      <c r="F3909" s="3016" t="str">
        <f t="shared" si="302"/>
        <v>ASHP-SEER15-Replace_CAC_NonElectricHeat_ER1_MF</v>
      </c>
      <c r="G3909" s="2673"/>
      <c r="H3909" s="2673"/>
      <c r="I3909" s="2673"/>
      <c r="J3909" s="3301" t="str">
        <f t="shared" si="307"/>
        <v>352760_2021_12_</v>
      </c>
      <c r="K3909" s="3294">
        <f>(($R$1820*L3909)+$R$1805)-(($Q$1820*L3909)/((1+$R$1822)^($R$1823-1)))</f>
        <v>691.27403323884414</v>
      </c>
      <c r="L3909" s="112">
        <f>VLOOKUP(J3909,$J$1801:$L$1987,3,FALSE)*M3909</f>
        <v>1.625</v>
      </c>
      <c r="M3909" s="3286">
        <f>VLOOKUP(J3909,$J$3297:$K$3483,2,FALSE)</f>
        <v>0.65</v>
      </c>
      <c r="N3909" s="1135"/>
      <c r="O3909" s="228"/>
      <c r="P3909" s="844"/>
      <c r="Q3909" s="844"/>
      <c r="R3909" s="844"/>
      <c r="S3909" s="832"/>
      <c r="T3909" s="3082"/>
      <c r="U3909" s="123"/>
      <c r="V3909" s="4031"/>
      <c r="W3909" s="3307"/>
      <c r="X3909" s="535"/>
      <c r="Y3909" s="535"/>
      <c r="Z3909" s="532"/>
      <c r="AA3909" s="532"/>
      <c r="AB3909" s="532"/>
      <c r="AC3909" s="3294">
        <v>691.27403323884414</v>
      </c>
      <c r="AD3909" s="793"/>
      <c r="AE3909" s="793"/>
      <c r="AF3909" s="793"/>
      <c r="AG3909" s="793"/>
      <c r="BB3909" s="575"/>
      <c r="BC3909" s="576"/>
      <c r="BD3909" s="678"/>
      <c r="BE3909" s="585"/>
    </row>
    <row r="3910" spans="1:57" s="1942" customFormat="1" ht="15" hidden="1" customHeight="1" outlineLevel="1" x14ac:dyDescent="0.25">
      <c r="A3910" s="2060"/>
      <c r="B3910" s="576"/>
      <c r="C3910" s="328"/>
      <c r="D3910" s="4023"/>
      <c r="E3910" s="4020"/>
      <c r="F3910" s="3016" t="str">
        <f t="shared" si="302"/>
        <v>ASHP-SEER15-Replace_CAC_NonElectricHeat_ER1_MF</v>
      </c>
      <c r="G3910" s="2673"/>
      <c r="H3910" s="2673"/>
      <c r="I3910" s="2673"/>
      <c r="J3910" s="3301" t="str">
        <f t="shared" si="307"/>
        <v>352760_2021_12_</v>
      </c>
      <c r="K3910" s="1052"/>
      <c r="L3910" s="109"/>
      <c r="M3910" s="3066"/>
      <c r="N3910" s="1135"/>
      <c r="O3910" s="228"/>
      <c r="P3910" s="844"/>
      <c r="Q3910" s="844"/>
      <c r="R3910" s="844"/>
      <c r="S3910" s="832"/>
      <c r="T3910" s="3082"/>
      <c r="U3910" s="123"/>
      <c r="V3910" s="4031"/>
      <c r="W3910" s="3307"/>
      <c r="X3910" s="535"/>
      <c r="Y3910" s="535"/>
      <c r="Z3910" s="532"/>
      <c r="AA3910" s="532"/>
      <c r="AB3910" s="532"/>
      <c r="AC3910" s="1052"/>
      <c r="AD3910" s="793"/>
      <c r="AE3910" s="793"/>
      <c r="AF3910" s="793"/>
      <c r="AG3910" s="793"/>
      <c r="BB3910" s="575"/>
      <c r="BC3910" s="576"/>
      <c r="BD3910" s="678"/>
      <c r="BE3910" s="585"/>
    </row>
    <row r="3911" spans="1:57" s="1942" customFormat="1" ht="15" hidden="1" customHeight="1" outlineLevel="1" x14ac:dyDescent="0.25">
      <c r="A3911" s="2060"/>
      <c r="B3911" s="576"/>
      <c r="C3911" s="328"/>
      <c r="D3911" s="4023"/>
      <c r="E3911" s="4020"/>
      <c r="F3911" s="3016" t="str">
        <f t="shared" si="302"/>
        <v>ASHP-SEER15-Replace_CAC_NonElectricHeat_ER2_MF</v>
      </c>
      <c r="G3911" s="2673"/>
      <c r="H3911" s="2673"/>
      <c r="I3911" s="2673"/>
      <c r="J3911" s="3301" t="str">
        <f t="shared" si="307"/>
        <v>352760_2021_12_</v>
      </c>
      <c r="K3911" s="1052"/>
      <c r="L3911" s="109"/>
      <c r="M3911" s="3066"/>
      <c r="N3911" s="1135"/>
      <c r="O3911" s="228"/>
      <c r="P3911" s="844"/>
      <c r="Q3911" s="844"/>
      <c r="R3911" s="844"/>
      <c r="S3911" s="832"/>
      <c r="T3911" s="3082"/>
      <c r="U3911" s="123"/>
      <c r="V3911" s="4031"/>
      <c r="W3911" s="3307"/>
      <c r="X3911" s="535"/>
      <c r="Y3911" s="535"/>
      <c r="Z3911" s="532"/>
      <c r="AA3911" s="532"/>
      <c r="AB3911" s="532"/>
      <c r="AC3911" s="1052"/>
      <c r="AD3911" s="793"/>
      <c r="AE3911" s="793"/>
      <c r="AF3911" s="793"/>
      <c r="AG3911" s="793"/>
      <c r="BB3911" s="575"/>
      <c r="BC3911" s="576"/>
      <c r="BD3911" s="678"/>
      <c r="BE3911" s="585"/>
    </row>
    <row r="3912" spans="1:57" s="1942" customFormat="1" ht="15" hidden="1" customHeight="1" outlineLevel="1" x14ac:dyDescent="0.25">
      <c r="A3912" s="2060"/>
      <c r="B3912" s="576"/>
      <c r="C3912" s="328"/>
      <c r="D3912" s="4023"/>
      <c r="E3912" s="4020"/>
      <c r="F3912" s="3016" t="str">
        <f t="shared" si="302"/>
        <v>ASHP-SEER15-Replace_CAC_NonElectricHeat_ER2_MF</v>
      </c>
      <c r="G3912" s="2673"/>
      <c r="H3912" s="2673"/>
      <c r="I3912" s="2673"/>
      <c r="J3912" s="3301" t="str">
        <f t="shared" si="307"/>
        <v>352760_2021_12_</v>
      </c>
      <c r="K3912" s="1052"/>
      <c r="L3912" s="109"/>
      <c r="M3912" s="3066"/>
      <c r="N3912" s="1135"/>
      <c r="O3912" s="228"/>
      <c r="P3912" s="844"/>
      <c r="Q3912" s="844"/>
      <c r="R3912" s="844"/>
      <c r="S3912" s="832"/>
      <c r="T3912" s="3082"/>
      <c r="U3912" s="123"/>
      <c r="V3912" s="4031"/>
      <c r="W3912" s="3307"/>
      <c r="X3912" s="535"/>
      <c r="Y3912" s="535"/>
      <c r="Z3912" s="532"/>
      <c r="AA3912" s="532"/>
      <c r="AB3912" s="532"/>
      <c r="AC3912" s="1052"/>
      <c r="AD3912" s="793"/>
      <c r="AE3912" s="793"/>
      <c r="AF3912" s="793"/>
      <c r="AG3912" s="793"/>
      <c r="BB3912" s="575"/>
      <c r="BC3912" s="576"/>
      <c r="BD3912" s="678"/>
      <c r="BE3912" s="585"/>
    </row>
    <row r="3913" spans="1:57" s="1942" customFormat="1" ht="15" hidden="1" customHeight="1" outlineLevel="1" x14ac:dyDescent="0.25">
      <c r="A3913" s="2060"/>
      <c r="B3913" s="576"/>
      <c r="C3913" s="328"/>
      <c r="D3913" s="4023"/>
      <c r="E3913" s="4020"/>
      <c r="F3913" s="3016" t="str">
        <f t="shared" si="302"/>
        <v>ASHP-SEER15-Replace_CAC_NonElectricHeat_ER1_MF_CompE</v>
      </c>
      <c r="G3913" s="2673"/>
      <c r="H3913" s="2673"/>
      <c r="I3913" s="2673"/>
      <c r="J3913" s="3301" t="str">
        <f t="shared" si="307"/>
        <v>352761_2021_12_</v>
      </c>
      <c r="K3913" s="3294">
        <f>(($R$1820*L3913)+$R$1805)-(($Q$1820*L3913)/((1+$R$1822)^($R$1823-1)))</f>
        <v>691.27403323884414</v>
      </c>
      <c r="L3913" s="112">
        <f>VLOOKUP(J3913,$J$1801:$L$1987,3,FALSE)*M3913</f>
        <v>1.625</v>
      </c>
      <c r="M3913" s="3286">
        <f>VLOOKUP(J3913,$J$3297:$K$3483,2,FALSE)</f>
        <v>0.65</v>
      </c>
      <c r="N3913" s="1135"/>
      <c r="O3913" s="228"/>
      <c r="P3913" s="844"/>
      <c r="Q3913" s="844"/>
      <c r="R3913" s="844"/>
      <c r="S3913" s="832"/>
      <c r="T3913" s="3082"/>
      <c r="U3913" s="123"/>
      <c r="V3913" s="4031"/>
      <c r="W3913" s="3307"/>
      <c r="X3913" s="535"/>
      <c r="Y3913" s="535"/>
      <c r="Z3913" s="532"/>
      <c r="AA3913" s="532"/>
      <c r="AB3913" s="532"/>
      <c r="AC3913" s="3294">
        <v>691.27403323884414</v>
      </c>
      <c r="AD3913" s="793"/>
      <c r="AE3913" s="793"/>
      <c r="AF3913" s="793"/>
      <c r="AG3913" s="793"/>
      <c r="BB3913" s="575"/>
      <c r="BC3913" s="576"/>
      <c r="BD3913" s="678"/>
      <c r="BE3913" s="585"/>
    </row>
    <row r="3914" spans="1:57" s="1942" customFormat="1" ht="15" hidden="1" customHeight="1" outlineLevel="1" x14ac:dyDescent="0.25">
      <c r="A3914" s="2060"/>
      <c r="B3914" s="576"/>
      <c r="C3914" s="328"/>
      <c r="D3914" s="4023"/>
      <c r="E3914" s="4020"/>
      <c r="F3914" s="3016" t="str">
        <f t="shared" si="302"/>
        <v>ASHP-SEER15-Replace_CAC_NonElectricHeat_ER1_MF_CompE</v>
      </c>
      <c r="G3914" s="2673"/>
      <c r="H3914" s="2673"/>
      <c r="I3914" s="2673"/>
      <c r="J3914" s="3301" t="str">
        <f t="shared" si="307"/>
        <v>352761_2021_12_</v>
      </c>
      <c r="K3914" s="1052"/>
      <c r="L3914" s="109"/>
      <c r="M3914" s="3066"/>
      <c r="N3914" s="1135"/>
      <c r="O3914" s="228"/>
      <c r="P3914" s="844"/>
      <c r="Q3914" s="844"/>
      <c r="R3914" s="844"/>
      <c r="S3914" s="832"/>
      <c r="T3914" s="3082"/>
      <c r="U3914" s="123"/>
      <c r="V3914" s="4031"/>
      <c r="W3914" s="3307"/>
      <c r="X3914" s="535"/>
      <c r="Y3914" s="535"/>
      <c r="Z3914" s="532"/>
      <c r="AA3914" s="532"/>
      <c r="AB3914" s="532"/>
      <c r="AC3914" s="1052"/>
      <c r="AD3914" s="793"/>
      <c r="AE3914" s="793"/>
      <c r="AF3914" s="793"/>
      <c r="AG3914" s="793"/>
      <c r="BB3914" s="575"/>
      <c r="BC3914" s="576"/>
      <c r="BD3914" s="678"/>
      <c r="BE3914" s="585"/>
    </row>
    <row r="3915" spans="1:57" s="1942" customFormat="1" ht="15" hidden="1" customHeight="1" outlineLevel="1" x14ac:dyDescent="0.25">
      <c r="A3915" s="2060"/>
      <c r="B3915" s="576"/>
      <c r="C3915" s="328"/>
      <c r="D3915" s="4023"/>
      <c r="E3915" s="4020"/>
      <c r="F3915" s="3016" t="str">
        <f t="shared" si="302"/>
        <v>ASHP-SEER15-Replace_CAC_NonElectricHeat_ER2_MF_CompE</v>
      </c>
      <c r="G3915" s="2673"/>
      <c r="H3915" s="2673"/>
      <c r="I3915" s="2673"/>
      <c r="J3915" s="3301" t="str">
        <f t="shared" si="307"/>
        <v>352761_2021_12_</v>
      </c>
      <c r="K3915" s="1052"/>
      <c r="L3915" s="109"/>
      <c r="M3915" s="3066"/>
      <c r="N3915" s="1135"/>
      <c r="O3915" s="228"/>
      <c r="P3915" s="844"/>
      <c r="Q3915" s="844"/>
      <c r="R3915" s="844"/>
      <c r="S3915" s="832"/>
      <c r="T3915" s="3082"/>
      <c r="U3915" s="123"/>
      <c r="V3915" s="4031"/>
      <c r="W3915" s="3307"/>
      <c r="X3915" s="535"/>
      <c r="Y3915" s="535"/>
      <c r="Z3915" s="532"/>
      <c r="AA3915" s="532"/>
      <c r="AB3915" s="532"/>
      <c r="AC3915" s="1052"/>
      <c r="AD3915" s="793"/>
      <c r="AE3915" s="793"/>
      <c r="AF3915" s="793"/>
      <c r="AG3915" s="793"/>
      <c r="BB3915" s="575"/>
      <c r="BC3915" s="576"/>
      <c r="BD3915" s="678"/>
      <c r="BE3915" s="585"/>
    </row>
    <row r="3916" spans="1:57" s="1942" customFormat="1" ht="15" hidden="1" customHeight="1" outlineLevel="1" x14ac:dyDescent="0.25">
      <c r="A3916" s="2060"/>
      <c r="B3916" s="576"/>
      <c r="C3916" s="328"/>
      <c r="D3916" s="4023"/>
      <c r="E3916" s="4020"/>
      <c r="F3916" s="3016" t="str">
        <f t="shared" si="302"/>
        <v>ASHP-SEER15-Replace_CAC_NonElectricHeat_ER2_MF_CompE</v>
      </c>
      <c r="G3916" s="2673"/>
      <c r="H3916" s="2673"/>
      <c r="I3916" s="2673"/>
      <c r="J3916" s="3301" t="str">
        <f t="shared" si="307"/>
        <v>352761_2021_12_</v>
      </c>
      <c r="K3916" s="1052"/>
      <c r="L3916" s="109"/>
      <c r="M3916" s="3066"/>
      <c r="N3916" s="1135"/>
      <c r="O3916" s="228"/>
      <c r="P3916" s="844"/>
      <c r="Q3916" s="844"/>
      <c r="R3916" s="844"/>
      <c r="S3916" s="832"/>
      <c r="T3916" s="3082"/>
      <c r="U3916" s="123"/>
      <c r="V3916" s="4031"/>
      <c r="W3916" s="3307"/>
      <c r="X3916" s="535"/>
      <c r="Y3916" s="535"/>
      <c r="Z3916" s="532"/>
      <c r="AA3916" s="532"/>
      <c r="AB3916" s="532"/>
      <c r="AC3916" s="1052"/>
      <c r="AD3916" s="793"/>
      <c r="AE3916" s="793"/>
      <c r="AF3916" s="793"/>
      <c r="AG3916" s="793"/>
      <c r="BB3916" s="575"/>
      <c r="BC3916" s="576"/>
      <c r="BD3916" s="678"/>
      <c r="BE3916" s="585"/>
    </row>
    <row r="3917" spans="1:57" s="51" customFormat="1" ht="15" hidden="1" customHeight="1" outlineLevel="1" x14ac:dyDescent="0.25">
      <c r="A3917" s="2060"/>
      <c r="B3917" s="576"/>
      <c r="C3917" s="328"/>
      <c r="D3917" s="4023"/>
      <c r="E3917" s="4020"/>
      <c r="F3917" s="3016" t="str">
        <f t="shared" si="302"/>
        <v>ASHP-SEER15-Replace_CAC_ElectricHeat_ROF_MF</v>
      </c>
      <c r="G3917" s="2673"/>
      <c r="H3917" s="2673"/>
      <c r="I3917" s="2673"/>
      <c r="J3917" s="3302" t="str">
        <f>C1465</f>
        <v>352800_2019_12_</v>
      </c>
      <c r="K3917" s="1052">
        <f>$R$1805*K$3303</f>
        <v>303</v>
      </c>
      <c r="L3917" s="109">
        <f>VLOOKUP(J3917,$J$1801:$L$1987,3,FALSE)*M3917</f>
        <v>1.6900000000000002</v>
      </c>
      <c r="M3917" s="3066">
        <f>VLOOKUP(J3917,$J$3297:$K$3483,2,FALSE)</f>
        <v>0.65</v>
      </c>
      <c r="N3917" s="1135"/>
      <c r="O3917" s="228"/>
      <c r="P3917" s="844"/>
      <c r="Q3917" s="844"/>
      <c r="R3917" s="844"/>
      <c r="S3917" s="832"/>
      <c r="T3917" s="3082"/>
      <c r="U3917" s="123"/>
      <c r="V3917" s="4031"/>
      <c r="W3917" s="3307">
        <v>787.80000000000007</v>
      </c>
      <c r="X3917" s="535">
        <f>$R$1805*(X$1830/12000)*X$3326</f>
        <v>512.07000000000005</v>
      </c>
      <c r="Y3917" s="535">
        <v>303</v>
      </c>
      <c r="Z3917" s="532">
        <v>303</v>
      </c>
      <c r="AA3917" s="532">
        <v>303</v>
      </c>
      <c r="AB3917" s="532">
        <v>303</v>
      </c>
      <c r="AC3917" s="1052">
        <v>303</v>
      </c>
      <c r="AD3917" s="793"/>
      <c r="AE3917" s="793"/>
      <c r="AF3917" s="793"/>
      <c r="AG3917" s="793"/>
      <c r="AH3917" s="1942"/>
      <c r="AI3917" s="1942"/>
      <c r="AJ3917" s="1942"/>
      <c r="AK3917" s="1942"/>
      <c r="AL3917" s="1942"/>
      <c r="AM3917" s="1942"/>
      <c r="AN3917" s="1942"/>
      <c r="AO3917" s="1942"/>
      <c r="AP3917" s="1942"/>
      <c r="AQ3917" s="1942"/>
      <c r="AR3917" s="1942"/>
      <c r="AS3917" s="1942"/>
      <c r="AT3917" s="1942"/>
      <c r="AU3917" s="1942"/>
      <c r="AV3917" s="1942"/>
      <c r="AW3917" s="1942"/>
      <c r="AX3917" s="1942"/>
      <c r="AY3917" s="1942"/>
      <c r="AZ3917" s="1942"/>
      <c r="BA3917" s="1942"/>
      <c r="BB3917" s="575"/>
      <c r="BC3917" s="576"/>
      <c r="BD3917" s="678"/>
      <c r="BE3917" s="585"/>
    </row>
    <row r="3918" spans="1:57" s="51" customFormat="1" ht="15" hidden="1" customHeight="1" outlineLevel="1" x14ac:dyDescent="0.25">
      <c r="A3918" s="2060"/>
      <c r="B3918" s="576"/>
      <c r="C3918" s="328"/>
      <c r="D3918" s="4023"/>
      <c r="E3918" s="4020"/>
      <c r="F3918" s="3016" t="str">
        <f t="shared" si="302"/>
        <v>ASHP-SEER15-Replace_CAC_ElectricHeat_ROF_MF</v>
      </c>
      <c r="G3918" s="2673"/>
      <c r="H3918" s="2673"/>
      <c r="I3918" s="2673"/>
      <c r="J3918" s="3302" t="str">
        <f>C1466</f>
        <v>352800_2019_12_</v>
      </c>
      <c r="K3918" s="1052"/>
      <c r="L3918" s="109" t="str">
        <f>IF(K3918&gt;0,VLOOKUP(J3918,$J$1801:$L$1987,3,FALSE),"")</f>
        <v/>
      </c>
      <c r="M3918" s="3066" t="str">
        <f>IF(K3918&gt;0,VLOOKUP(J3918,$J$3297:$K$3483,2,FALSE),"")</f>
        <v/>
      </c>
      <c r="N3918" s="1135"/>
      <c r="O3918" s="228"/>
      <c r="P3918" s="844"/>
      <c r="Q3918" s="845"/>
      <c r="R3918" s="844"/>
      <c r="S3918" s="832"/>
      <c r="T3918" s="3082"/>
      <c r="U3918" s="123"/>
      <c r="V3918" s="4031"/>
      <c r="W3918" s="3307"/>
      <c r="X3918" s="535"/>
      <c r="Y3918" s="535"/>
      <c r="Z3918" s="532"/>
      <c r="AA3918" s="532"/>
      <c r="AB3918" s="532"/>
      <c r="AC3918" s="1052"/>
      <c r="AD3918" s="793"/>
      <c r="AE3918" s="793"/>
      <c r="AF3918" s="793"/>
      <c r="AG3918" s="793"/>
      <c r="AH3918" s="1942"/>
      <c r="AI3918" s="1942"/>
      <c r="AJ3918" s="1942"/>
      <c r="AK3918" s="1942"/>
      <c r="AL3918" s="1942"/>
      <c r="AM3918" s="1942"/>
      <c r="AN3918" s="1942"/>
      <c r="AO3918" s="1942"/>
      <c r="AP3918" s="1942"/>
      <c r="AQ3918" s="1942"/>
      <c r="AR3918" s="1942"/>
      <c r="AS3918" s="1942"/>
      <c r="AT3918" s="1942"/>
      <c r="AU3918" s="1942"/>
      <c r="AV3918" s="1942"/>
      <c r="AW3918" s="1942"/>
      <c r="AX3918" s="1942"/>
      <c r="AY3918" s="1942"/>
      <c r="AZ3918" s="1942"/>
      <c r="BA3918" s="1942"/>
      <c r="BB3918" s="575"/>
      <c r="BC3918" s="576"/>
      <c r="BD3918" s="678"/>
      <c r="BE3918" s="585"/>
    </row>
    <row r="3919" spans="1:57" s="1942" customFormat="1" ht="15" hidden="1" customHeight="1" outlineLevel="1" x14ac:dyDescent="0.25">
      <c r="A3919" s="2060"/>
      <c r="B3919" s="576"/>
      <c r="C3919" s="328"/>
      <c r="D3919" s="4023"/>
      <c r="E3919" s="4020"/>
      <c r="F3919" s="3016" t="str">
        <f t="shared" si="302"/>
        <v>ASHP-SEER15-Replace_CAC_ElectricHeat_ROF_MF_CompE</v>
      </c>
      <c r="G3919" s="2673"/>
      <c r="H3919" s="2673"/>
      <c r="I3919" s="2673"/>
      <c r="J3919" s="3302" t="str">
        <f t="shared" ref="J3919:J3924" si="308">C1467</f>
        <v>352801_2021_12_</v>
      </c>
      <c r="K3919" s="3294">
        <f>$R$1805*K$3303</f>
        <v>303</v>
      </c>
      <c r="L3919" s="112">
        <f>VLOOKUP(J3919,$J$1801:$L$1987,3,FALSE)*M3919</f>
        <v>1.6900000000000002</v>
      </c>
      <c r="M3919" s="3286">
        <f>VLOOKUP(J3919,$J$3297:$K$3483,2,FALSE)</f>
        <v>0.65</v>
      </c>
      <c r="N3919" s="1135"/>
      <c r="O3919" s="228"/>
      <c r="P3919" s="844"/>
      <c r="Q3919" s="845"/>
      <c r="R3919" s="844"/>
      <c r="S3919" s="832"/>
      <c r="T3919" s="3082"/>
      <c r="U3919" s="123"/>
      <c r="V3919" s="4031"/>
      <c r="W3919" s="3307"/>
      <c r="X3919" s="535"/>
      <c r="Y3919" s="535"/>
      <c r="Z3919" s="532"/>
      <c r="AA3919" s="532"/>
      <c r="AB3919" s="532"/>
      <c r="AC3919" s="3294">
        <v>303</v>
      </c>
      <c r="AD3919" s="793"/>
      <c r="AE3919" s="793"/>
      <c r="AF3919" s="793"/>
      <c r="AG3919" s="793"/>
      <c r="BB3919" s="575"/>
      <c r="BC3919" s="576"/>
      <c r="BD3919" s="678"/>
      <c r="BE3919" s="585"/>
    </row>
    <row r="3920" spans="1:57" s="1942" customFormat="1" ht="15" hidden="1" customHeight="1" outlineLevel="1" x14ac:dyDescent="0.25">
      <c r="A3920" s="2060"/>
      <c r="B3920" s="576"/>
      <c r="C3920" s="328"/>
      <c r="D3920" s="4023"/>
      <c r="E3920" s="4020"/>
      <c r="F3920" s="3016" t="str">
        <f t="shared" si="302"/>
        <v>ASHP-SEER15-Replace_CAC_ElectricHeat_ROF_MF_CompE</v>
      </c>
      <c r="G3920" s="2673"/>
      <c r="H3920" s="2673"/>
      <c r="I3920" s="2673"/>
      <c r="J3920" s="3302" t="str">
        <f t="shared" si="308"/>
        <v>352801_2021_12_</v>
      </c>
      <c r="K3920" s="1052"/>
      <c r="L3920" s="109"/>
      <c r="M3920" s="3066"/>
      <c r="N3920" s="1135"/>
      <c r="O3920" s="228"/>
      <c r="P3920" s="844"/>
      <c r="Q3920" s="845"/>
      <c r="R3920" s="844"/>
      <c r="S3920" s="832"/>
      <c r="T3920" s="3082"/>
      <c r="U3920" s="123"/>
      <c r="V3920" s="4031"/>
      <c r="W3920" s="3307"/>
      <c r="X3920" s="535"/>
      <c r="Y3920" s="535"/>
      <c r="Z3920" s="532"/>
      <c r="AA3920" s="532"/>
      <c r="AB3920" s="532"/>
      <c r="AC3920" s="1052"/>
      <c r="AD3920" s="793"/>
      <c r="AE3920" s="793"/>
      <c r="AF3920" s="793"/>
      <c r="AG3920" s="793"/>
      <c r="BB3920" s="575"/>
      <c r="BC3920" s="576"/>
      <c r="BD3920" s="678"/>
      <c r="BE3920" s="585"/>
    </row>
    <row r="3921" spans="1:57" s="1942" customFormat="1" ht="15" hidden="1" customHeight="1" outlineLevel="1" x14ac:dyDescent="0.25">
      <c r="A3921" s="2060"/>
      <c r="B3921" s="576"/>
      <c r="C3921" s="328"/>
      <c r="D3921" s="4023"/>
      <c r="E3921" s="4020"/>
      <c r="F3921" s="3016" t="str">
        <f t="shared" si="302"/>
        <v>ASHP-SEER15-Replace_CAC_NonElectricHeat_ROF_MF</v>
      </c>
      <c r="G3921" s="2673"/>
      <c r="H3921" s="2673"/>
      <c r="I3921" s="2673"/>
      <c r="J3921" s="3301" t="str">
        <f t="shared" si="308"/>
        <v>352810_2021_12_</v>
      </c>
      <c r="K3921" s="3294">
        <f>$R$1805*K$3303</f>
        <v>303</v>
      </c>
      <c r="L3921" s="112">
        <f>VLOOKUP(J3921,$J$1801:$L$1987,3,FALSE)*M3921</f>
        <v>1.6900000000000002</v>
      </c>
      <c r="M3921" s="3286">
        <f>VLOOKUP(J3921,$J$3297:$K$3483,2,FALSE)</f>
        <v>0.65</v>
      </c>
      <c r="N3921" s="1135"/>
      <c r="O3921" s="228"/>
      <c r="P3921" s="844"/>
      <c r="Q3921" s="845"/>
      <c r="R3921" s="844"/>
      <c r="S3921" s="832"/>
      <c r="T3921" s="3082"/>
      <c r="U3921" s="123"/>
      <c r="V3921" s="4031"/>
      <c r="W3921" s="3307"/>
      <c r="X3921" s="535"/>
      <c r="Y3921" s="535"/>
      <c r="Z3921" s="532"/>
      <c r="AA3921" s="532"/>
      <c r="AB3921" s="532"/>
      <c r="AC3921" s="3294">
        <v>303</v>
      </c>
      <c r="AD3921" s="793"/>
      <c r="AE3921" s="793"/>
      <c r="AF3921" s="793"/>
      <c r="AG3921" s="793"/>
      <c r="BB3921" s="575"/>
      <c r="BC3921" s="576"/>
      <c r="BD3921" s="678"/>
      <c r="BE3921" s="585"/>
    </row>
    <row r="3922" spans="1:57" s="1942" customFormat="1" ht="15" hidden="1" customHeight="1" outlineLevel="1" x14ac:dyDescent="0.25">
      <c r="A3922" s="2060"/>
      <c r="B3922" s="576"/>
      <c r="C3922" s="328"/>
      <c r="D3922" s="4023"/>
      <c r="E3922" s="4020"/>
      <c r="F3922" s="3016" t="str">
        <f t="shared" si="302"/>
        <v>ASHP-SEER15-Replace_CAC_NonElectricHeat_ROF_MF</v>
      </c>
      <c r="G3922" s="2673"/>
      <c r="H3922" s="2673"/>
      <c r="I3922" s="2673"/>
      <c r="J3922" s="3301" t="str">
        <f t="shared" si="308"/>
        <v>352810_2021_12_</v>
      </c>
      <c r="K3922" s="1052"/>
      <c r="L3922" s="109"/>
      <c r="M3922" s="3066"/>
      <c r="N3922" s="1135"/>
      <c r="O3922" s="228"/>
      <c r="P3922" s="844"/>
      <c r="Q3922" s="845"/>
      <c r="R3922" s="844"/>
      <c r="S3922" s="832"/>
      <c r="T3922" s="3082"/>
      <c r="U3922" s="123"/>
      <c r="V3922" s="4031"/>
      <c r="W3922" s="3307"/>
      <c r="X3922" s="535"/>
      <c r="Y3922" s="535"/>
      <c r="Z3922" s="532"/>
      <c r="AA3922" s="532"/>
      <c r="AB3922" s="532"/>
      <c r="AC3922" s="1052"/>
      <c r="AD3922" s="793"/>
      <c r="AE3922" s="793"/>
      <c r="AF3922" s="793"/>
      <c r="AG3922" s="793"/>
      <c r="BB3922" s="575"/>
      <c r="BC3922" s="576"/>
      <c r="BD3922" s="678"/>
      <c r="BE3922" s="585"/>
    </row>
    <row r="3923" spans="1:57" s="1942" customFormat="1" ht="15" hidden="1" customHeight="1" outlineLevel="1" x14ac:dyDescent="0.25">
      <c r="A3923" s="2060"/>
      <c r="B3923" s="576"/>
      <c r="C3923" s="328"/>
      <c r="D3923" s="4023"/>
      <c r="E3923" s="4020"/>
      <c r="F3923" s="3016" t="str">
        <f t="shared" si="302"/>
        <v>ASHP-SEER15-Replace_CAC_NonElectricHeat_ROF_MF_CompE</v>
      </c>
      <c r="G3923" s="2673"/>
      <c r="H3923" s="2673"/>
      <c r="I3923" s="2673"/>
      <c r="J3923" s="3301" t="str">
        <f t="shared" si="308"/>
        <v>352811_2021_12_</v>
      </c>
      <c r="K3923" s="3294">
        <f>$R$1805*K$3303</f>
        <v>303</v>
      </c>
      <c r="L3923" s="112">
        <f>VLOOKUP(J3923,$J$1801:$L$1987,3,FALSE)*M3923</f>
        <v>1.6900000000000002</v>
      </c>
      <c r="M3923" s="3286">
        <f>VLOOKUP(J3923,$J$3297:$K$3483,2,FALSE)</f>
        <v>0.65</v>
      </c>
      <c r="N3923" s="1135"/>
      <c r="O3923" s="228"/>
      <c r="P3923" s="844"/>
      <c r="Q3923" s="845"/>
      <c r="R3923" s="844"/>
      <c r="S3923" s="832"/>
      <c r="T3923" s="3082"/>
      <c r="U3923" s="123"/>
      <c r="V3923" s="4031"/>
      <c r="W3923" s="3307"/>
      <c r="X3923" s="535"/>
      <c r="Y3923" s="535"/>
      <c r="Z3923" s="532"/>
      <c r="AA3923" s="532"/>
      <c r="AB3923" s="532"/>
      <c r="AC3923" s="3294">
        <v>303</v>
      </c>
      <c r="AD3923" s="793"/>
      <c r="AE3923" s="793"/>
      <c r="AF3923" s="793"/>
      <c r="AG3923" s="793"/>
      <c r="BB3923" s="575"/>
      <c r="BC3923" s="576"/>
      <c r="BD3923" s="678"/>
      <c r="BE3923" s="585"/>
    </row>
    <row r="3924" spans="1:57" s="1942" customFormat="1" ht="15" hidden="1" customHeight="1" outlineLevel="1" x14ac:dyDescent="0.25">
      <c r="A3924" s="2060"/>
      <c r="B3924" s="576"/>
      <c r="C3924" s="328"/>
      <c r="D3924" s="4023"/>
      <c r="E3924" s="4020"/>
      <c r="F3924" s="3016" t="str">
        <f t="shared" si="302"/>
        <v>ASHP-SEER15-Replace_CAC_NonElectricHeat_ROF_MF_CompE</v>
      </c>
      <c r="G3924" s="2673"/>
      <c r="H3924" s="2673"/>
      <c r="I3924" s="2673"/>
      <c r="J3924" s="3301" t="str">
        <f t="shared" si="308"/>
        <v>352811_2021_12_</v>
      </c>
      <c r="K3924" s="1052"/>
      <c r="L3924" s="109"/>
      <c r="M3924" s="3066"/>
      <c r="N3924" s="1135"/>
      <c r="O3924" s="228"/>
      <c r="P3924" s="844"/>
      <c r="Q3924" s="845"/>
      <c r="R3924" s="844"/>
      <c r="S3924" s="832"/>
      <c r="T3924" s="3082"/>
      <c r="U3924" s="123"/>
      <c r="V3924" s="4031"/>
      <c r="W3924" s="3307"/>
      <c r="X3924" s="535"/>
      <c r="Y3924" s="535"/>
      <c r="Z3924" s="532"/>
      <c r="AA3924" s="532"/>
      <c r="AB3924" s="532"/>
      <c r="AC3924" s="1052"/>
      <c r="AD3924" s="793"/>
      <c r="AE3924" s="793"/>
      <c r="AF3924" s="793"/>
      <c r="AG3924" s="793"/>
      <c r="BB3924" s="575"/>
      <c r="BC3924" s="576"/>
      <c r="BD3924" s="678"/>
      <c r="BE3924" s="585"/>
    </row>
    <row r="3925" spans="1:57" s="51" customFormat="1" ht="15" hidden="1" customHeight="1" outlineLevel="1" x14ac:dyDescent="0.25">
      <c r="A3925" s="2060"/>
      <c r="B3925" s="576"/>
      <c r="C3925" s="328"/>
      <c r="D3925" s="4023"/>
      <c r="E3925" s="4020"/>
      <c r="F3925" s="3016" t="str">
        <f t="shared" si="302"/>
        <v>ASHP-SEER16_ER1_MF</v>
      </c>
      <c r="G3925" s="2673"/>
      <c r="H3925" s="2673"/>
      <c r="I3925" s="2673"/>
      <c r="J3925" s="3301" t="str">
        <f>C1473</f>
        <v>352850_2021_12_</v>
      </c>
      <c r="K3925" s="3294">
        <f>(($R$1820*L3925)+$R$1806)-(($Q$1820*L3925)/((1+$R$1822)^($R$1823-1)))</f>
        <v>903.92883988661288</v>
      </c>
      <c r="L3925" s="109">
        <f>VLOOKUP(J3925,$J$1801:$L$1987,3,FALSE)*M3925</f>
        <v>1.9500000000000002</v>
      </c>
      <c r="M3925" s="3066">
        <f>VLOOKUP(J3925,$J$3297:$K$3483,2,FALSE)</f>
        <v>0.65</v>
      </c>
      <c r="N3925" s="1135"/>
      <c r="O3925" s="228"/>
      <c r="P3925" s="844"/>
      <c r="Q3925" s="845"/>
      <c r="R3925" s="844"/>
      <c r="S3925" s="832"/>
      <c r="T3925" s="3082"/>
      <c r="U3925" s="123"/>
      <c r="V3925" s="4031"/>
      <c r="W3925" s="3307">
        <v>3083.4857044416549</v>
      </c>
      <c r="X3925" s="535">
        <f>$Q$1806*(X$1834/12000)*X$3330</f>
        <v>2477.0751716258214</v>
      </c>
      <c r="Y3925" s="535">
        <v>996.5516619658124</v>
      </c>
      <c r="Z3925" s="532">
        <v>996.5516619658124</v>
      </c>
      <c r="AA3925" s="532">
        <v>996.5516619658124</v>
      </c>
      <c r="AB3925" s="535">
        <v>950.52172387527389</v>
      </c>
      <c r="AC3925" s="3294">
        <v>903.92883988661288</v>
      </c>
      <c r="AD3925" s="793"/>
      <c r="AE3925" s="793"/>
      <c r="AF3925" s="793"/>
      <c r="AG3925" s="793"/>
      <c r="AH3925" s="1942"/>
      <c r="AI3925" s="1942"/>
      <c r="AJ3925" s="1942"/>
      <c r="AK3925" s="1942"/>
      <c r="AL3925" s="1942"/>
      <c r="AM3925" s="1942"/>
      <c r="AN3925" s="1942"/>
      <c r="AO3925" s="1942"/>
      <c r="AP3925" s="1942"/>
      <c r="AQ3925" s="1942"/>
      <c r="AR3925" s="1942"/>
      <c r="AS3925" s="1942"/>
      <c r="AT3925" s="1942"/>
      <c r="AU3925" s="1942"/>
      <c r="AV3925" s="1942"/>
      <c r="AW3925" s="1942"/>
      <c r="AX3925" s="1942"/>
      <c r="AY3925" s="1942"/>
      <c r="AZ3925" s="1942"/>
      <c r="BA3925" s="1942"/>
      <c r="BB3925" s="575"/>
      <c r="BC3925" s="576"/>
      <c r="BD3925" s="678"/>
      <c r="BE3925" s="585"/>
    </row>
    <row r="3926" spans="1:57" s="51" customFormat="1" ht="15" hidden="1" customHeight="1" outlineLevel="1" x14ac:dyDescent="0.25">
      <c r="A3926" s="2060"/>
      <c r="B3926" s="576"/>
      <c r="C3926" s="328"/>
      <c r="D3926" s="4023"/>
      <c r="E3926" s="4020"/>
      <c r="F3926" s="3016" t="str">
        <f t="shared" si="302"/>
        <v>ASHP-SEER16_ER1_MF</v>
      </c>
      <c r="G3926" s="2673"/>
      <c r="H3926" s="2673"/>
      <c r="I3926" s="2673"/>
      <c r="J3926" s="3301" t="str">
        <f>C1474</f>
        <v>352850_2021_12_</v>
      </c>
      <c r="K3926" s="1052"/>
      <c r="L3926" s="109" t="str">
        <f>IF(K3926&gt;0,VLOOKUP(J3926,$J$1801:$L$1987,3,FALSE),"")</f>
        <v/>
      </c>
      <c r="M3926" s="3066" t="str">
        <f>IF(K3926&gt;0,VLOOKUP(J3926,$J$3297:$K$3483,2,FALSE),"")</f>
        <v/>
      </c>
      <c r="N3926" s="1135"/>
      <c r="O3926" s="228"/>
      <c r="P3926" s="844"/>
      <c r="Q3926" s="845"/>
      <c r="R3926" s="844"/>
      <c r="S3926" s="832"/>
      <c r="T3926" s="3082"/>
      <c r="U3926" s="123"/>
      <c r="V3926" s="4031"/>
      <c r="W3926" s="3307"/>
      <c r="X3926" s="535"/>
      <c r="Y3926" s="535"/>
      <c r="Z3926" s="532"/>
      <c r="AA3926" s="532"/>
      <c r="AB3926" s="535"/>
      <c r="AC3926" s="1052"/>
      <c r="AD3926" s="793"/>
      <c r="AE3926" s="793"/>
      <c r="AF3926" s="793"/>
      <c r="AG3926" s="793"/>
      <c r="AH3926" s="1942"/>
      <c r="AI3926" s="1942"/>
      <c r="AJ3926" s="1942"/>
      <c r="AK3926" s="1942"/>
      <c r="AL3926" s="1942"/>
      <c r="AM3926" s="1942"/>
      <c r="AN3926" s="1942"/>
      <c r="AO3926" s="1942"/>
      <c r="AP3926" s="1942"/>
      <c r="AQ3926" s="1942"/>
      <c r="AR3926" s="1942"/>
      <c r="AS3926" s="1942"/>
      <c r="AT3926" s="1942"/>
      <c r="AU3926" s="1942"/>
      <c r="AV3926" s="1942"/>
      <c r="AW3926" s="1942"/>
      <c r="AX3926" s="1942"/>
      <c r="AY3926" s="1942"/>
      <c r="AZ3926" s="1942"/>
      <c r="BA3926" s="1942"/>
      <c r="BB3926" s="575"/>
      <c r="BC3926" s="576"/>
      <c r="BD3926" s="678"/>
      <c r="BE3926" s="585"/>
    </row>
    <row r="3927" spans="1:57" s="51" customFormat="1" ht="15" hidden="1" customHeight="1" outlineLevel="1" x14ac:dyDescent="0.25">
      <c r="A3927" s="2060"/>
      <c r="B3927" s="576"/>
      <c r="C3927" s="328"/>
      <c r="D3927" s="4023"/>
      <c r="E3927" s="4020"/>
      <c r="F3927" s="3016" t="str">
        <f t="shared" ref="F3927:F3990" si="309">E1475</f>
        <v>ASHP-SEER16_ER2_MF</v>
      </c>
      <c r="G3927" s="2673"/>
      <c r="H3927" s="2673"/>
      <c r="I3927" s="2673"/>
      <c r="J3927" s="3301" t="str">
        <f>C1475</f>
        <v>352850_2021_12_</v>
      </c>
      <c r="K3927" s="1052"/>
      <c r="L3927" s="109" t="str">
        <f>IF(K3927&gt;0,VLOOKUP(J3927,$J$1801:$L$1987,3,FALSE),"")</f>
        <v/>
      </c>
      <c r="M3927" s="3066" t="str">
        <f>IF(K3927&gt;0,VLOOKUP(J3927,$J$3297:$K$3483,2,FALSE),"")</f>
        <v/>
      </c>
      <c r="N3927" s="1135"/>
      <c r="O3927" s="228"/>
      <c r="P3927" s="844"/>
      <c r="Q3927" s="845"/>
      <c r="R3927" s="844"/>
      <c r="S3927" s="832"/>
      <c r="T3927" s="3082"/>
      <c r="U3927" s="123"/>
      <c r="V3927" s="4031"/>
      <c r="W3927" s="3307"/>
      <c r="X3927" s="535"/>
      <c r="Y3927" s="535"/>
      <c r="Z3927" s="532"/>
      <c r="AA3927" s="532"/>
      <c r="AB3927" s="535"/>
      <c r="AC3927" s="1052"/>
      <c r="AD3927" s="793"/>
      <c r="AE3927" s="793"/>
      <c r="AF3927" s="793"/>
      <c r="AG3927" s="793"/>
      <c r="AH3927" s="1942"/>
      <c r="AI3927" s="1942"/>
      <c r="AJ3927" s="1942"/>
      <c r="AK3927" s="1942"/>
      <c r="AL3927" s="1942"/>
      <c r="AM3927" s="1942"/>
      <c r="AN3927" s="1942"/>
      <c r="AO3927" s="1942"/>
      <c r="AP3927" s="1942"/>
      <c r="AQ3927" s="1942"/>
      <c r="AR3927" s="1942"/>
      <c r="AS3927" s="1942"/>
      <c r="AT3927" s="1942"/>
      <c r="AU3927" s="1942"/>
      <c r="AV3927" s="1942"/>
      <c r="AW3927" s="1942"/>
      <c r="AX3927" s="1942"/>
      <c r="AY3927" s="1942"/>
      <c r="AZ3927" s="1942"/>
      <c r="BA3927" s="1942"/>
      <c r="BB3927" s="575"/>
      <c r="BC3927" s="576"/>
      <c r="BD3927" s="678"/>
      <c r="BE3927" s="585"/>
    </row>
    <row r="3928" spans="1:57" s="51" customFormat="1" ht="15" hidden="1" customHeight="1" outlineLevel="1" x14ac:dyDescent="0.25">
      <c r="A3928" s="2060"/>
      <c r="B3928" s="576"/>
      <c r="C3928" s="328"/>
      <c r="D3928" s="4023"/>
      <c r="E3928" s="4020"/>
      <c r="F3928" s="3016" t="str">
        <f t="shared" si="309"/>
        <v>ASHP-SEER16_ER2_MF</v>
      </c>
      <c r="G3928" s="2673"/>
      <c r="H3928" s="2673"/>
      <c r="I3928" s="2673"/>
      <c r="J3928" s="3301" t="str">
        <f>C1476</f>
        <v>352850_2021_12_</v>
      </c>
      <c r="K3928" s="1052"/>
      <c r="L3928" s="109" t="str">
        <f>IF(K3928&gt;0,VLOOKUP(J3928,$J$1801:$L$1987,3,FALSE),"")</f>
        <v/>
      </c>
      <c r="M3928" s="3066" t="str">
        <f>IF(K3928&gt;0,VLOOKUP(J3928,$J$3297:$K$3483,2,FALSE),"")</f>
        <v/>
      </c>
      <c r="N3928" s="1135"/>
      <c r="O3928" s="228"/>
      <c r="P3928" s="844"/>
      <c r="Q3928" s="845"/>
      <c r="R3928" s="844"/>
      <c r="S3928" s="832"/>
      <c r="T3928" s="3082"/>
      <c r="U3928" s="123"/>
      <c r="V3928" s="4031"/>
      <c r="W3928" s="3307"/>
      <c r="X3928" s="535"/>
      <c r="Y3928" s="535"/>
      <c r="Z3928" s="532"/>
      <c r="AA3928" s="532"/>
      <c r="AB3928" s="535"/>
      <c r="AC3928" s="1052"/>
      <c r="AD3928" s="793"/>
      <c r="AE3928" s="793"/>
      <c r="AF3928" s="793"/>
      <c r="AG3928" s="793"/>
      <c r="AH3928" s="1942"/>
      <c r="AI3928" s="1942"/>
      <c r="AJ3928" s="1942"/>
      <c r="AK3928" s="1942"/>
      <c r="AL3928" s="1942"/>
      <c r="AM3928" s="1942"/>
      <c r="AN3928" s="1942"/>
      <c r="AO3928" s="1942"/>
      <c r="AP3928" s="1942"/>
      <c r="AQ3928" s="1942"/>
      <c r="AR3928" s="1942"/>
      <c r="AS3928" s="1942"/>
      <c r="AT3928" s="1942"/>
      <c r="AU3928" s="1942"/>
      <c r="AV3928" s="1942"/>
      <c r="AW3928" s="1942"/>
      <c r="AX3928" s="1942"/>
      <c r="AY3928" s="1942"/>
      <c r="AZ3928" s="1942"/>
      <c r="BA3928" s="1942"/>
      <c r="BB3928" s="575"/>
      <c r="BC3928" s="576"/>
      <c r="BD3928" s="678"/>
      <c r="BE3928" s="585"/>
    </row>
    <row r="3929" spans="1:57" s="1942" customFormat="1" ht="15" hidden="1" customHeight="1" outlineLevel="1" x14ac:dyDescent="0.25">
      <c r="A3929" s="2060"/>
      <c r="B3929" s="576"/>
      <c r="C3929" s="328"/>
      <c r="D3929" s="4023"/>
      <c r="E3929" s="4020"/>
      <c r="F3929" s="3016" t="str">
        <f t="shared" si="309"/>
        <v>ASHP-SEER16_ER1_MF_CompE</v>
      </c>
      <c r="G3929" s="2673"/>
      <c r="H3929" s="2673"/>
      <c r="I3929" s="2673"/>
      <c r="J3929" s="3301" t="str">
        <f t="shared" ref="J3929:J3932" si="310">C1477</f>
        <v>352851_2021_12_</v>
      </c>
      <c r="K3929" s="3294">
        <f>(($R$1820*L3929)+$R$1806)-(($Q$1820*L3929)/((1+$R$1822)^($R$1823-1)))</f>
        <v>903.92883988661288</v>
      </c>
      <c r="L3929" s="112">
        <f>VLOOKUP(J3929,$J$1801:$L$1987,3,FALSE)*M3929</f>
        <v>1.9500000000000002</v>
      </c>
      <c r="M3929" s="3286">
        <f>VLOOKUP(J3929,$J$3297:$K$3483,2,FALSE)</f>
        <v>0.65</v>
      </c>
      <c r="N3929" s="1135"/>
      <c r="O3929" s="228"/>
      <c r="P3929" s="844"/>
      <c r="Q3929" s="845"/>
      <c r="R3929" s="844"/>
      <c r="S3929" s="832"/>
      <c r="T3929" s="3082"/>
      <c r="U3929" s="123"/>
      <c r="V3929" s="4031"/>
      <c r="W3929" s="3307"/>
      <c r="X3929" s="535"/>
      <c r="Y3929" s="535"/>
      <c r="Z3929" s="532"/>
      <c r="AA3929" s="532"/>
      <c r="AB3929" s="535"/>
      <c r="AC3929" s="3294">
        <v>903.92883988661288</v>
      </c>
      <c r="AD3929" s="793"/>
      <c r="AE3929" s="793"/>
      <c r="AF3929" s="793"/>
      <c r="AG3929" s="793"/>
      <c r="BB3929" s="575"/>
      <c r="BC3929" s="576"/>
      <c r="BD3929" s="678"/>
      <c r="BE3929" s="585"/>
    </row>
    <row r="3930" spans="1:57" s="1942" customFormat="1" ht="15" hidden="1" customHeight="1" outlineLevel="1" x14ac:dyDescent="0.25">
      <c r="A3930" s="2060"/>
      <c r="B3930" s="576"/>
      <c r="C3930" s="328"/>
      <c r="D3930" s="4023"/>
      <c r="E3930" s="4020"/>
      <c r="F3930" s="3016" t="str">
        <f t="shared" si="309"/>
        <v>ASHP-SEER16_ER1_MF_CompE</v>
      </c>
      <c r="G3930" s="2673"/>
      <c r="H3930" s="2673"/>
      <c r="I3930" s="2673"/>
      <c r="J3930" s="3301" t="str">
        <f t="shared" si="310"/>
        <v>352851_2021_12_</v>
      </c>
      <c r="K3930" s="1052"/>
      <c r="L3930" s="109"/>
      <c r="M3930" s="3066"/>
      <c r="N3930" s="1135"/>
      <c r="O3930" s="228"/>
      <c r="P3930" s="844"/>
      <c r="Q3930" s="845"/>
      <c r="R3930" s="844"/>
      <c r="S3930" s="832"/>
      <c r="T3930" s="3082"/>
      <c r="U3930" s="123"/>
      <c r="V3930" s="4031"/>
      <c r="W3930" s="3307"/>
      <c r="X3930" s="535"/>
      <c r="Y3930" s="535"/>
      <c r="Z3930" s="532"/>
      <c r="AA3930" s="532"/>
      <c r="AB3930" s="535"/>
      <c r="AC3930" s="1052"/>
      <c r="AD3930" s="793"/>
      <c r="AE3930" s="793"/>
      <c r="AF3930" s="793"/>
      <c r="AG3930" s="793"/>
      <c r="BB3930" s="575"/>
      <c r="BC3930" s="576"/>
      <c r="BD3930" s="678"/>
      <c r="BE3930" s="585"/>
    </row>
    <row r="3931" spans="1:57" s="1942" customFormat="1" ht="15" hidden="1" customHeight="1" outlineLevel="1" x14ac:dyDescent="0.25">
      <c r="A3931" s="2060"/>
      <c r="B3931" s="576"/>
      <c r="C3931" s="328"/>
      <c r="D3931" s="4023"/>
      <c r="E3931" s="4020"/>
      <c r="F3931" s="3016" t="str">
        <f t="shared" si="309"/>
        <v>ASHP-SEER16_ER2_MF_CompE</v>
      </c>
      <c r="G3931" s="2673"/>
      <c r="H3931" s="2673"/>
      <c r="I3931" s="2673"/>
      <c r="J3931" s="3301" t="str">
        <f t="shared" si="310"/>
        <v>352851_2021_12_</v>
      </c>
      <c r="K3931" s="1052"/>
      <c r="L3931" s="109"/>
      <c r="M3931" s="3066"/>
      <c r="N3931" s="1135"/>
      <c r="O3931" s="228"/>
      <c r="P3931" s="844"/>
      <c r="Q3931" s="845"/>
      <c r="R3931" s="844"/>
      <c r="S3931" s="832"/>
      <c r="T3931" s="3082"/>
      <c r="U3931" s="123"/>
      <c r="V3931" s="4031"/>
      <c r="W3931" s="3307"/>
      <c r="X3931" s="535"/>
      <c r="Y3931" s="535"/>
      <c r="Z3931" s="532"/>
      <c r="AA3931" s="532"/>
      <c r="AB3931" s="535"/>
      <c r="AC3931" s="1052"/>
      <c r="AD3931" s="793"/>
      <c r="AE3931" s="793"/>
      <c r="AF3931" s="793"/>
      <c r="AG3931" s="793"/>
      <c r="BB3931" s="575"/>
      <c r="BC3931" s="576"/>
      <c r="BD3931" s="678"/>
      <c r="BE3931" s="585"/>
    </row>
    <row r="3932" spans="1:57" s="1942" customFormat="1" ht="15" hidden="1" customHeight="1" outlineLevel="1" x14ac:dyDescent="0.25">
      <c r="A3932" s="2060"/>
      <c r="B3932" s="576"/>
      <c r="C3932" s="328"/>
      <c r="D3932" s="4023"/>
      <c r="E3932" s="4020"/>
      <c r="F3932" s="3016" t="str">
        <f t="shared" si="309"/>
        <v>ASHP-SEER16_ER2_MF_CompE</v>
      </c>
      <c r="G3932" s="2673"/>
      <c r="H3932" s="2673"/>
      <c r="I3932" s="2673"/>
      <c r="J3932" s="3301" t="str">
        <f t="shared" si="310"/>
        <v>352851_2021_12_</v>
      </c>
      <c r="K3932" s="1052"/>
      <c r="L3932" s="109"/>
      <c r="M3932" s="3066"/>
      <c r="N3932" s="1135"/>
      <c r="O3932" s="228"/>
      <c r="P3932" s="844"/>
      <c r="Q3932" s="845"/>
      <c r="R3932" s="844"/>
      <c r="S3932" s="832"/>
      <c r="T3932" s="3082"/>
      <c r="U3932" s="123"/>
      <c r="V3932" s="4031"/>
      <c r="W3932" s="3307"/>
      <c r="X3932" s="535"/>
      <c r="Y3932" s="535"/>
      <c r="Z3932" s="532"/>
      <c r="AA3932" s="532"/>
      <c r="AB3932" s="535"/>
      <c r="AC3932" s="1052"/>
      <c r="AD3932" s="793"/>
      <c r="AE3932" s="793"/>
      <c r="AF3932" s="793"/>
      <c r="AG3932" s="793"/>
      <c r="BB3932" s="575"/>
      <c r="BC3932" s="576"/>
      <c r="BD3932" s="678"/>
      <c r="BE3932" s="585"/>
    </row>
    <row r="3933" spans="1:57" s="51" customFormat="1" ht="15" hidden="1" customHeight="1" outlineLevel="1" x14ac:dyDescent="0.25">
      <c r="A3933" s="2060"/>
      <c r="B3933" s="576"/>
      <c r="C3933" s="328"/>
      <c r="D3933" s="4023"/>
      <c r="E3933" s="4020"/>
      <c r="F3933" s="3016" t="str">
        <f t="shared" si="309"/>
        <v>ASHP-SEER16_ROF_MF</v>
      </c>
      <c r="G3933" s="2673"/>
      <c r="H3933" s="2673"/>
      <c r="I3933" s="2673"/>
      <c r="J3933" s="3301" t="str">
        <f>C1481</f>
        <v>352900_2021_12_</v>
      </c>
      <c r="K3933" s="1052">
        <f>$R$1806*K$3303</f>
        <v>438</v>
      </c>
      <c r="L3933" s="109">
        <f>VLOOKUP(J3933,$J$1801:$L$1987,3,FALSE)*M3933</f>
        <v>1.9500000000000002</v>
      </c>
      <c r="M3933" s="3066">
        <f>VLOOKUP(J3933,$J$3297:$K$3483,2,FALSE)</f>
        <v>0.65</v>
      </c>
      <c r="N3933" s="1135"/>
      <c r="O3933" s="228"/>
      <c r="P3933" s="844"/>
      <c r="Q3933" s="845"/>
      <c r="R3933" s="844"/>
      <c r="S3933" s="832"/>
      <c r="T3933" s="3082"/>
      <c r="U3933" s="123"/>
      <c r="V3933" s="4031"/>
      <c r="W3933" s="3307">
        <v>1295.9099999999999</v>
      </c>
      <c r="X3933" s="535">
        <f>$R$1806*(X$1838/12000)*X$3334</f>
        <v>939.51</v>
      </c>
      <c r="Y3933" s="535">
        <v>392.7</v>
      </c>
      <c r="Z3933" s="532">
        <v>392.7</v>
      </c>
      <c r="AA3933" s="532">
        <v>392.7</v>
      </c>
      <c r="AB3933" s="535">
        <v>438</v>
      </c>
      <c r="AC3933" s="1052">
        <v>438</v>
      </c>
      <c r="AD3933" s="793"/>
      <c r="AE3933" s="793"/>
      <c r="AF3933" s="793"/>
      <c r="AG3933" s="793"/>
      <c r="AH3933" s="1942"/>
      <c r="AI3933" s="1942"/>
      <c r="AJ3933" s="1942"/>
      <c r="AK3933" s="1942"/>
      <c r="AL3933" s="1942"/>
      <c r="AM3933" s="1942"/>
      <c r="AN3933" s="1942"/>
      <c r="AO3933" s="1942"/>
      <c r="AP3933" s="1942"/>
      <c r="AQ3933" s="1942"/>
      <c r="AR3933" s="1942"/>
      <c r="AS3933" s="1942"/>
      <c r="AT3933" s="1942"/>
      <c r="AU3933" s="1942"/>
      <c r="AV3933" s="1942"/>
      <c r="AW3933" s="1942"/>
      <c r="AX3933" s="1942"/>
      <c r="AY3933" s="1942"/>
      <c r="AZ3933" s="1942"/>
      <c r="BA3933" s="1942"/>
      <c r="BB3933" s="575"/>
      <c r="BC3933" s="576"/>
      <c r="BD3933" s="678"/>
      <c r="BE3933" s="585"/>
    </row>
    <row r="3934" spans="1:57" s="51" customFormat="1" ht="15" hidden="1" customHeight="1" outlineLevel="1" x14ac:dyDescent="0.25">
      <c r="A3934" s="1267"/>
      <c r="B3934" s="576"/>
      <c r="C3934" s="328"/>
      <c r="D3934" s="4023"/>
      <c r="E3934" s="4020"/>
      <c r="F3934" s="3016" t="str">
        <f t="shared" si="309"/>
        <v>ASHP-SEER16_ROF_MF</v>
      </c>
      <c r="G3934" s="2673"/>
      <c r="H3934" s="2673"/>
      <c r="I3934" s="2673"/>
      <c r="J3934" s="3301" t="str">
        <f>C1482</f>
        <v>352900_2021_12_</v>
      </c>
      <c r="K3934" s="1052"/>
      <c r="L3934" s="109" t="str">
        <f>IF(K3934&gt;0,VLOOKUP(J3934,$J$1801:$L$1987,3,FALSE),"")</f>
        <v/>
      </c>
      <c r="M3934" s="3066" t="str">
        <f>IF(K3934&gt;0,VLOOKUP(J3934,$J$3297:$K$3483,2,FALSE),"")</f>
        <v/>
      </c>
      <c r="N3934" s="1135"/>
      <c r="O3934" s="228"/>
      <c r="P3934" s="844"/>
      <c r="Q3934" s="228"/>
      <c r="R3934" s="228"/>
      <c r="S3934" s="123"/>
      <c r="T3934" s="123"/>
      <c r="U3934" s="123"/>
      <c r="V3934" s="4031"/>
      <c r="W3934" s="3307"/>
      <c r="X3934" s="535"/>
      <c r="Y3934" s="535"/>
      <c r="Z3934" s="532"/>
      <c r="AA3934" s="532"/>
      <c r="AB3934" s="535"/>
      <c r="AC3934" s="1052"/>
      <c r="AD3934" s="793"/>
      <c r="AE3934" s="793"/>
      <c r="AF3934" s="793"/>
      <c r="AG3934" s="793"/>
      <c r="AH3934" s="1942"/>
      <c r="AI3934" s="1942"/>
      <c r="AJ3934" s="1942"/>
      <c r="AK3934" s="1942"/>
      <c r="AL3934" s="1942"/>
      <c r="AM3934" s="1942"/>
      <c r="AN3934" s="1942"/>
      <c r="AO3934" s="1942"/>
      <c r="AP3934" s="1942"/>
      <c r="AQ3934" s="1942"/>
      <c r="AR3934" s="1942"/>
      <c r="AS3934" s="1942"/>
      <c r="AT3934" s="1942"/>
      <c r="AU3934" s="1942"/>
      <c r="AV3934" s="1942"/>
      <c r="AW3934" s="1942"/>
      <c r="AX3934" s="1942"/>
      <c r="AY3934" s="1942"/>
      <c r="AZ3934" s="1942"/>
      <c r="BA3934" s="1942"/>
      <c r="BB3934" s="575"/>
      <c r="BC3934" s="576"/>
      <c r="BD3934" s="678"/>
      <c r="BE3934" s="585"/>
    </row>
    <row r="3935" spans="1:57" s="1942" customFormat="1" ht="15" hidden="1" customHeight="1" outlineLevel="1" x14ac:dyDescent="0.25">
      <c r="A3935" s="1267"/>
      <c r="B3935" s="576"/>
      <c r="C3935" s="328"/>
      <c r="D3935" s="4023"/>
      <c r="E3935" s="4020"/>
      <c r="F3935" s="3016" t="str">
        <f t="shared" si="309"/>
        <v>ASHP-SEER16_ROF_MF_CompE</v>
      </c>
      <c r="G3935" s="2673"/>
      <c r="H3935" s="2673"/>
      <c r="I3935" s="2673"/>
      <c r="J3935" s="3301" t="str">
        <f t="shared" ref="J3935:J3936" si="311">C1483</f>
        <v>352901_2021_12_</v>
      </c>
      <c r="K3935" s="3294">
        <f>$R$1806*K$3303</f>
        <v>438</v>
      </c>
      <c r="L3935" s="112">
        <f>VLOOKUP(J3935,$J$1801:$L$1987,3,FALSE)*M3935</f>
        <v>1.9500000000000002</v>
      </c>
      <c r="M3935" s="3286">
        <f>VLOOKUP(J3935,$J$3297:$K$3483,2,FALSE)</f>
        <v>0.65</v>
      </c>
      <c r="N3935" s="1135"/>
      <c r="O3935" s="228"/>
      <c r="P3935" s="844"/>
      <c r="Q3935" s="228"/>
      <c r="R3935" s="228"/>
      <c r="S3935" s="123"/>
      <c r="T3935" s="123"/>
      <c r="U3935" s="123"/>
      <c r="V3935" s="4031"/>
      <c r="W3935" s="3307"/>
      <c r="X3935" s="535"/>
      <c r="Y3935" s="535"/>
      <c r="Z3935" s="532"/>
      <c r="AA3935" s="532"/>
      <c r="AB3935" s="535"/>
      <c r="AC3935" s="3294">
        <v>438</v>
      </c>
      <c r="AD3935" s="793"/>
      <c r="AE3935" s="793"/>
      <c r="AF3935" s="793"/>
      <c r="AG3935" s="793"/>
      <c r="BB3935" s="575"/>
      <c r="BC3935" s="576"/>
      <c r="BD3935" s="678"/>
      <c r="BE3935" s="585"/>
    </row>
    <row r="3936" spans="1:57" s="1942" customFormat="1" ht="15" hidden="1" customHeight="1" outlineLevel="1" x14ac:dyDescent="0.25">
      <c r="A3936" s="1267"/>
      <c r="B3936" s="576"/>
      <c r="C3936" s="328"/>
      <c r="D3936" s="4023"/>
      <c r="E3936" s="4020"/>
      <c r="F3936" s="3016" t="str">
        <f t="shared" si="309"/>
        <v>ASHP-SEER16_ROF_MF_CompE</v>
      </c>
      <c r="G3936" s="2673"/>
      <c r="H3936" s="2673"/>
      <c r="I3936" s="2673"/>
      <c r="J3936" s="3301" t="str">
        <f t="shared" si="311"/>
        <v>352901_2021_12_</v>
      </c>
      <c r="K3936" s="1052"/>
      <c r="L3936" s="109"/>
      <c r="M3936" s="3066"/>
      <c r="N3936" s="1135"/>
      <c r="O3936" s="228"/>
      <c r="P3936" s="844"/>
      <c r="Q3936" s="228"/>
      <c r="R3936" s="228"/>
      <c r="S3936" s="123"/>
      <c r="T3936" s="123"/>
      <c r="U3936" s="123"/>
      <c r="V3936" s="4031"/>
      <c r="W3936" s="3307"/>
      <c r="X3936" s="535"/>
      <c r="Y3936" s="535"/>
      <c r="Z3936" s="532"/>
      <c r="AA3936" s="532"/>
      <c r="AB3936" s="535"/>
      <c r="AC3936" s="1052"/>
      <c r="AD3936" s="793"/>
      <c r="AE3936" s="793"/>
      <c r="AF3936" s="793"/>
      <c r="AG3936" s="793"/>
      <c r="BB3936" s="575"/>
      <c r="BC3936" s="576"/>
      <c r="BD3936" s="678"/>
      <c r="BE3936" s="585"/>
    </row>
    <row r="3937" spans="1:57" s="51" customFormat="1" ht="15" hidden="1" customHeight="1" outlineLevel="1" x14ac:dyDescent="0.25">
      <c r="A3937" s="2060"/>
      <c r="B3937" s="576"/>
      <c r="C3937" s="328"/>
      <c r="D3937" s="4023"/>
      <c r="E3937" s="4020"/>
      <c r="F3937" s="3016" t="str">
        <f t="shared" si="309"/>
        <v>ASHP-SEER16-Replace_CAC_ElectricHeat_ROF_MF</v>
      </c>
      <c r="G3937" s="2673"/>
      <c r="H3937" s="2673"/>
      <c r="I3937" s="2673"/>
      <c r="J3937" s="3302" t="str">
        <f>C1485</f>
        <v>352950_2019_12_</v>
      </c>
      <c r="K3937" s="1052">
        <f>$R$1806*K$3303</f>
        <v>438</v>
      </c>
      <c r="L3937" s="109">
        <f>VLOOKUP(J3937,$J$1801:$L$1987,3,FALSE)*M3937</f>
        <v>1.3</v>
      </c>
      <c r="M3937" s="3066">
        <f>VLOOKUP(J3937,$J$3297:$K$3483,2,FALSE)</f>
        <v>0.65</v>
      </c>
      <c r="N3937" s="1135"/>
      <c r="O3937" s="228"/>
      <c r="P3937" s="844"/>
      <c r="Q3937" s="845"/>
      <c r="R3937" s="844"/>
      <c r="S3937" s="832"/>
      <c r="T3937" s="3082"/>
      <c r="U3937" s="123"/>
      <c r="V3937" s="4031"/>
      <c r="W3937" s="3307">
        <v>1256.6400000000001</v>
      </c>
      <c r="X3937" s="535">
        <f>$R$1806*(X$1840/12000)*X$3336</f>
        <v>911.04000000000008</v>
      </c>
      <c r="Y3937" s="535">
        <v>392.7</v>
      </c>
      <c r="Z3937" s="532">
        <v>392.7</v>
      </c>
      <c r="AA3937" s="532">
        <v>392.7</v>
      </c>
      <c r="AB3937" s="535">
        <v>438</v>
      </c>
      <c r="AC3937" s="1052">
        <v>438</v>
      </c>
      <c r="AD3937" s="793"/>
      <c r="AE3937" s="793"/>
      <c r="AF3937" s="793"/>
      <c r="AG3937" s="793"/>
      <c r="AH3937" s="1942"/>
      <c r="AI3937" s="1942"/>
      <c r="AJ3937" s="1942"/>
      <c r="AK3937" s="1942"/>
      <c r="AL3937" s="1942"/>
      <c r="AM3937" s="1942"/>
      <c r="AN3937" s="1942"/>
      <c r="AO3937" s="1942"/>
      <c r="AP3937" s="1942"/>
      <c r="AQ3937" s="1942"/>
      <c r="AR3937" s="1942"/>
      <c r="AS3937" s="1942"/>
      <c r="AT3937" s="1942"/>
      <c r="AU3937" s="1942"/>
      <c r="AV3937" s="1942"/>
      <c r="AW3937" s="1942"/>
      <c r="AX3937" s="1942"/>
      <c r="AY3937" s="1942"/>
      <c r="AZ3937" s="1942"/>
      <c r="BA3937" s="1942"/>
      <c r="BB3937" s="575"/>
      <c r="BC3937" s="576"/>
      <c r="BD3937" s="678"/>
      <c r="BE3937" s="585"/>
    </row>
    <row r="3938" spans="1:57" s="51" customFormat="1" ht="15" hidden="1" customHeight="1" outlineLevel="1" x14ac:dyDescent="0.25">
      <c r="A3938" s="1267"/>
      <c r="B3938" s="576"/>
      <c r="C3938" s="328"/>
      <c r="D3938" s="4023"/>
      <c r="E3938" s="4020"/>
      <c r="F3938" s="3016" t="str">
        <f t="shared" si="309"/>
        <v>ASHP-SEER16-Replace_CAC_ElectricHeat_ROF_MF</v>
      </c>
      <c r="G3938" s="2673"/>
      <c r="H3938" s="2673"/>
      <c r="I3938" s="2673"/>
      <c r="J3938" s="3302" t="str">
        <f>C1486</f>
        <v>352950_2019_12_</v>
      </c>
      <c r="K3938" s="1052"/>
      <c r="L3938" s="109" t="str">
        <f>IF(K3938&gt;0,VLOOKUP(J3938,$J$1801:$L$1987,3,FALSE),"")</f>
        <v/>
      </c>
      <c r="M3938" s="3066" t="str">
        <f>IF(K3938&gt;0,VLOOKUP(J3938,$J$3297:$K$3483,2,FALSE),"")</f>
        <v/>
      </c>
      <c r="N3938" s="1135"/>
      <c r="O3938" s="228"/>
      <c r="P3938" s="844"/>
      <c r="Q3938" s="228"/>
      <c r="R3938" s="228"/>
      <c r="S3938" s="123"/>
      <c r="T3938" s="123"/>
      <c r="U3938" s="123"/>
      <c r="V3938" s="4031"/>
      <c r="W3938" s="3307"/>
      <c r="X3938" s="535"/>
      <c r="Y3938" s="535"/>
      <c r="Z3938" s="532"/>
      <c r="AA3938" s="532"/>
      <c r="AB3938" s="535"/>
      <c r="AC3938" s="1052"/>
      <c r="AD3938" s="793"/>
      <c r="AE3938" s="793"/>
      <c r="AF3938" s="793"/>
      <c r="AG3938" s="793"/>
      <c r="AH3938" s="1942"/>
      <c r="AI3938" s="1942"/>
      <c r="AJ3938" s="1942"/>
      <c r="AK3938" s="1942"/>
      <c r="AL3938" s="1942"/>
      <c r="AM3938" s="1942"/>
      <c r="AN3938" s="1942"/>
      <c r="AO3938" s="1942"/>
      <c r="AP3938" s="1942"/>
      <c r="AQ3938" s="1942"/>
      <c r="AR3938" s="1942"/>
      <c r="AS3938" s="1942"/>
      <c r="AT3938" s="1942"/>
      <c r="AU3938" s="1942"/>
      <c r="AV3938" s="1942"/>
      <c r="AW3938" s="1942"/>
      <c r="AX3938" s="1942"/>
      <c r="AY3938" s="1942"/>
      <c r="AZ3938" s="1942"/>
      <c r="BA3938" s="1942"/>
      <c r="BB3938" s="575"/>
      <c r="BC3938" s="576"/>
      <c r="BD3938" s="678"/>
      <c r="BE3938" s="585"/>
    </row>
    <row r="3939" spans="1:57" s="1942" customFormat="1" ht="15" hidden="1" customHeight="1" outlineLevel="1" x14ac:dyDescent="0.25">
      <c r="A3939" s="1267"/>
      <c r="B3939" s="576"/>
      <c r="C3939" s="328"/>
      <c r="D3939" s="4023"/>
      <c r="E3939" s="4020"/>
      <c r="F3939" s="3016" t="str">
        <f t="shared" si="309"/>
        <v>ASHP-SEER16-Replace_CAC_ElectricHeat_ROF_MF_CompE</v>
      </c>
      <c r="G3939" s="2673"/>
      <c r="H3939" s="2673"/>
      <c r="I3939" s="2673"/>
      <c r="J3939" s="3302" t="str">
        <f t="shared" ref="J3939:J3944" si="312">C1487</f>
        <v>352951_2019_12_</v>
      </c>
      <c r="K3939" s="3294">
        <f>$R$1806*K$3303</f>
        <v>438</v>
      </c>
      <c r="L3939" s="112">
        <f>VLOOKUP(J3939,$J$1801:$L$1987,3,FALSE)*M3939</f>
        <v>1.3</v>
      </c>
      <c r="M3939" s="3286">
        <f>VLOOKUP(J3939,$J$3297:$K$3483,2,FALSE)</f>
        <v>0.65</v>
      </c>
      <c r="N3939" s="1135"/>
      <c r="O3939" s="228"/>
      <c r="P3939" s="844"/>
      <c r="Q3939" s="228"/>
      <c r="R3939" s="228"/>
      <c r="S3939" s="123"/>
      <c r="T3939" s="123"/>
      <c r="U3939" s="123"/>
      <c r="V3939" s="4031"/>
      <c r="W3939" s="3307"/>
      <c r="X3939" s="535"/>
      <c r="Y3939" s="535"/>
      <c r="Z3939" s="532"/>
      <c r="AA3939" s="532"/>
      <c r="AB3939" s="535"/>
      <c r="AC3939" s="3294">
        <v>438</v>
      </c>
      <c r="AD3939" s="793"/>
      <c r="AE3939" s="793"/>
      <c r="AF3939" s="793"/>
      <c r="AG3939" s="793"/>
      <c r="BB3939" s="575"/>
      <c r="BC3939" s="576"/>
      <c r="BD3939" s="678"/>
      <c r="BE3939" s="585"/>
    </row>
    <row r="3940" spans="1:57" s="1942" customFormat="1" ht="15" hidden="1" customHeight="1" outlineLevel="1" x14ac:dyDescent="0.25">
      <c r="A3940" s="1267"/>
      <c r="B3940" s="576"/>
      <c r="C3940" s="328"/>
      <c r="D3940" s="4023"/>
      <c r="E3940" s="4020"/>
      <c r="F3940" s="3016" t="str">
        <f t="shared" si="309"/>
        <v>ASHP-SEER16-Replace_CAC_ElectricHeat_ROF_MF_CompE</v>
      </c>
      <c r="G3940" s="2673"/>
      <c r="H3940" s="2673"/>
      <c r="I3940" s="2673"/>
      <c r="J3940" s="3302" t="str">
        <f t="shared" si="312"/>
        <v>352951_2019_12_</v>
      </c>
      <c r="K3940" s="1052"/>
      <c r="L3940" s="109"/>
      <c r="M3940" s="3066"/>
      <c r="N3940" s="1135"/>
      <c r="O3940" s="228"/>
      <c r="P3940" s="844"/>
      <c r="Q3940" s="228"/>
      <c r="R3940" s="228"/>
      <c r="S3940" s="123"/>
      <c r="T3940" s="123"/>
      <c r="U3940" s="123"/>
      <c r="V3940" s="4031"/>
      <c r="W3940" s="3307"/>
      <c r="X3940" s="535"/>
      <c r="Y3940" s="535"/>
      <c r="Z3940" s="532"/>
      <c r="AA3940" s="532"/>
      <c r="AB3940" s="535"/>
      <c r="AC3940" s="1052"/>
      <c r="AD3940" s="793"/>
      <c r="AE3940" s="793"/>
      <c r="AF3940" s="793"/>
      <c r="AG3940" s="793"/>
      <c r="BB3940" s="575"/>
      <c r="BC3940" s="576"/>
      <c r="BD3940" s="678"/>
      <c r="BE3940" s="585"/>
    </row>
    <row r="3941" spans="1:57" s="1942" customFormat="1" ht="15" hidden="1" customHeight="1" outlineLevel="1" x14ac:dyDescent="0.25">
      <c r="A3941" s="1267"/>
      <c r="B3941" s="576"/>
      <c r="C3941" s="328"/>
      <c r="D3941" s="4023"/>
      <c r="E3941" s="4020"/>
      <c r="F3941" s="3016" t="str">
        <f t="shared" si="309"/>
        <v>ASHP-SEER16-Replace_CAC_NonElectricHeat_ROF_MF</v>
      </c>
      <c r="G3941" s="2673"/>
      <c r="H3941" s="2673"/>
      <c r="I3941" s="2673"/>
      <c r="J3941" s="3301" t="str">
        <f t="shared" si="312"/>
        <v>352960_2021_12_</v>
      </c>
      <c r="K3941" s="3294">
        <f>$R$1806*K$3303</f>
        <v>438</v>
      </c>
      <c r="L3941" s="112">
        <f>VLOOKUP(J3941,$J$1801:$L$1987,3,FALSE)*M3941</f>
        <v>1.3</v>
      </c>
      <c r="M3941" s="3286">
        <f>VLOOKUP(J3941,$J$3297:$K$3483,2,FALSE)</f>
        <v>0.65</v>
      </c>
      <c r="N3941" s="1135"/>
      <c r="O3941" s="228"/>
      <c r="P3941" s="844"/>
      <c r="Q3941" s="228"/>
      <c r="R3941" s="228"/>
      <c r="S3941" s="123"/>
      <c r="T3941" s="123"/>
      <c r="U3941" s="123"/>
      <c r="V3941" s="4031"/>
      <c r="W3941" s="3307"/>
      <c r="X3941" s="535"/>
      <c r="Y3941" s="535"/>
      <c r="Z3941" s="532"/>
      <c r="AA3941" s="532"/>
      <c r="AB3941" s="535"/>
      <c r="AC3941" s="3294">
        <v>438</v>
      </c>
      <c r="AD3941" s="793"/>
      <c r="AE3941" s="793"/>
      <c r="AF3941" s="793"/>
      <c r="AG3941" s="793"/>
      <c r="BB3941" s="575"/>
      <c r="BC3941" s="576"/>
      <c r="BD3941" s="678"/>
      <c r="BE3941" s="585"/>
    </row>
    <row r="3942" spans="1:57" s="1942" customFormat="1" ht="15" hidden="1" customHeight="1" outlineLevel="1" x14ac:dyDescent="0.25">
      <c r="A3942" s="1267"/>
      <c r="B3942" s="576"/>
      <c r="C3942" s="328"/>
      <c r="D3942" s="4023"/>
      <c r="E3942" s="4020"/>
      <c r="F3942" s="3016" t="str">
        <f t="shared" si="309"/>
        <v>ASHP-SEER16-Replace_CAC_NonElectricHeat_ROF_MF</v>
      </c>
      <c r="G3942" s="2673"/>
      <c r="H3942" s="2673"/>
      <c r="I3942" s="2673"/>
      <c r="J3942" s="3301" t="str">
        <f t="shared" si="312"/>
        <v>352960_2021_12_</v>
      </c>
      <c r="K3942" s="1052"/>
      <c r="L3942" s="109"/>
      <c r="M3942" s="3066"/>
      <c r="N3942" s="1135"/>
      <c r="O3942" s="228"/>
      <c r="P3942" s="844"/>
      <c r="Q3942" s="228"/>
      <c r="R3942" s="228"/>
      <c r="S3942" s="123"/>
      <c r="T3942" s="123"/>
      <c r="U3942" s="123"/>
      <c r="V3942" s="4031"/>
      <c r="W3942" s="3307"/>
      <c r="X3942" s="535"/>
      <c r="Y3942" s="535"/>
      <c r="Z3942" s="532"/>
      <c r="AA3942" s="532"/>
      <c r="AB3942" s="535"/>
      <c r="AC3942" s="1052"/>
      <c r="AD3942" s="793"/>
      <c r="AE3942" s="793"/>
      <c r="AF3942" s="793"/>
      <c r="AG3942" s="793"/>
      <c r="BB3942" s="575"/>
      <c r="BC3942" s="576"/>
      <c r="BD3942" s="678"/>
      <c r="BE3942" s="585"/>
    </row>
    <row r="3943" spans="1:57" s="1942" customFormat="1" ht="15" hidden="1" customHeight="1" outlineLevel="1" x14ac:dyDescent="0.25">
      <c r="A3943" s="1267"/>
      <c r="B3943" s="576"/>
      <c r="C3943" s="328"/>
      <c r="D3943" s="4023"/>
      <c r="E3943" s="4020"/>
      <c r="F3943" s="3016" t="str">
        <f t="shared" si="309"/>
        <v>ASHP-SEER16-Replace_CAC_NonElectricHeat_ROF_MF_CompE</v>
      </c>
      <c r="G3943" s="2673"/>
      <c r="H3943" s="2673"/>
      <c r="I3943" s="2673"/>
      <c r="J3943" s="3301" t="str">
        <f t="shared" si="312"/>
        <v>352961_2021_12_</v>
      </c>
      <c r="K3943" s="3294">
        <f>$R$1806*K$3303</f>
        <v>438</v>
      </c>
      <c r="L3943" s="112">
        <f>VLOOKUP(J3943,$J$1801:$L$1987,3,FALSE)*M3943</f>
        <v>1.3</v>
      </c>
      <c r="M3943" s="3286">
        <f>VLOOKUP(J3943,$J$3297:$K$3483,2,FALSE)</f>
        <v>0.65</v>
      </c>
      <c r="N3943" s="1135"/>
      <c r="O3943" s="228"/>
      <c r="P3943" s="844"/>
      <c r="Q3943" s="228"/>
      <c r="R3943" s="228"/>
      <c r="S3943" s="123"/>
      <c r="T3943" s="123"/>
      <c r="U3943" s="123"/>
      <c r="V3943" s="4031"/>
      <c r="W3943" s="3307"/>
      <c r="X3943" s="535"/>
      <c r="Y3943" s="535"/>
      <c r="Z3943" s="532"/>
      <c r="AA3943" s="532"/>
      <c r="AB3943" s="535"/>
      <c r="AC3943" s="3294">
        <v>438</v>
      </c>
      <c r="AD3943" s="793"/>
      <c r="AE3943" s="793"/>
      <c r="AF3943" s="793"/>
      <c r="AG3943" s="793"/>
      <c r="BB3943" s="575"/>
      <c r="BC3943" s="576"/>
      <c r="BD3943" s="678"/>
      <c r="BE3943" s="585"/>
    </row>
    <row r="3944" spans="1:57" s="1942" customFormat="1" ht="15" hidden="1" customHeight="1" outlineLevel="1" x14ac:dyDescent="0.25">
      <c r="A3944" s="1267"/>
      <c r="B3944" s="576"/>
      <c r="C3944" s="328"/>
      <c r="D3944" s="4023"/>
      <c r="E3944" s="4020"/>
      <c r="F3944" s="3016" t="str">
        <f t="shared" si="309"/>
        <v>ASHP-SEER16-Replace_CAC_NonElectricHeat_ROF_MF_CompE</v>
      </c>
      <c r="G3944" s="2673"/>
      <c r="H3944" s="2673"/>
      <c r="I3944" s="2673"/>
      <c r="J3944" s="3301" t="str">
        <f t="shared" si="312"/>
        <v>352961_2021_12_</v>
      </c>
      <c r="K3944" s="1052"/>
      <c r="L3944" s="109"/>
      <c r="M3944" s="3066"/>
      <c r="N3944" s="1135"/>
      <c r="O3944" s="228"/>
      <c r="P3944" s="844"/>
      <c r="Q3944" s="228"/>
      <c r="R3944" s="228"/>
      <c r="S3944" s="123"/>
      <c r="T3944" s="123"/>
      <c r="U3944" s="123"/>
      <c r="V3944" s="4031"/>
      <c r="W3944" s="3307"/>
      <c r="X3944" s="535"/>
      <c r="Y3944" s="535"/>
      <c r="Z3944" s="532"/>
      <c r="AA3944" s="532"/>
      <c r="AB3944" s="535"/>
      <c r="AC3944" s="1052"/>
      <c r="AD3944" s="793"/>
      <c r="AE3944" s="793"/>
      <c r="AF3944" s="793"/>
      <c r="AG3944" s="793"/>
      <c r="BB3944" s="575"/>
      <c r="BC3944" s="576"/>
      <c r="BD3944" s="678"/>
      <c r="BE3944" s="585"/>
    </row>
    <row r="3945" spans="1:57" s="51" customFormat="1" ht="15" hidden="1" customHeight="1" outlineLevel="1" x14ac:dyDescent="0.25">
      <c r="A3945" s="2060"/>
      <c r="B3945" s="576"/>
      <c r="C3945" s="328"/>
      <c r="D3945" s="4023"/>
      <c r="E3945" s="4020"/>
      <c r="F3945" s="3016" t="str">
        <f t="shared" si="309"/>
        <v>ASHP-SEER16-Replace_CAC_ElectricHeat_ER1_MF</v>
      </c>
      <c r="G3945" s="2673"/>
      <c r="H3945" s="2673"/>
      <c r="I3945" s="2673"/>
      <c r="J3945" s="3301" t="str">
        <f>C1493</f>
        <v>353000_2021_12_</v>
      </c>
      <c r="K3945" s="3294">
        <f>(($R$1820*L3945)+$R$1806)-(($Q$1820*L3945)/((1+$R$1822)^($R$1823-1)))</f>
        <v>748.6192265910754</v>
      </c>
      <c r="L3945" s="109">
        <f>VLOOKUP(J3945,$J$1801:$L$1987,3,FALSE)*M3945</f>
        <v>1.3</v>
      </c>
      <c r="M3945" s="3066">
        <f>VLOOKUP(J3945,$J$3297:$K$3483,2,FALSE)</f>
        <v>0.65</v>
      </c>
      <c r="N3945" s="1135"/>
      <c r="O3945" s="228"/>
      <c r="P3945" s="844"/>
      <c r="Q3945" s="845"/>
      <c r="R3945" s="844"/>
      <c r="S3945" s="832"/>
      <c r="T3945" s="3082"/>
      <c r="U3945" s="123"/>
      <c r="V3945" s="4031"/>
      <c r="W3945" s="3307">
        <v>2896.6077829603428</v>
      </c>
      <c r="X3945" s="535">
        <f>$Q$1806*(X$1844/12000)*X$3340</f>
        <v>2326.9494036484994</v>
      </c>
      <c r="Y3945" s="535">
        <v>959.95459154364198</v>
      </c>
      <c r="Z3945" s="532">
        <v>959.95459154364198</v>
      </c>
      <c r="AA3945" s="532">
        <v>959.95459154364198</v>
      </c>
      <c r="AB3945" s="535">
        <v>950.52172387527389</v>
      </c>
      <c r="AC3945" s="3294">
        <v>748.6192265910754</v>
      </c>
      <c r="AD3945" s="793"/>
      <c r="AE3945" s="793"/>
      <c r="AF3945" s="793"/>
      <c r="AG3945" s="793"/>
      <c r="AH3945" s="1942"/>
      <c r="AI3945" s="1942"/>
      <c r="AJ3945" s="1942"/>
      <c r="AK3945" s="1942"/>
      <c r="AL3945" s="1942"/>
      <c r="AM3945" s="1942"/>
      <c r="AN3945" s="1942"/>
      <c r="AO3945" s="1942"/>
      <c r="AP3945" s="1942"/>
      <c r="AQ3945" s="1942"/>
      <c r="AR3945" s="1942"/>
      <c r="AS3945" s="1942"/>
      <c r="AT3945" s="1942"/>
      <c r="AU3945" s="1942"/>
      <c r="AV3945" s="1942"/>
      <c r="AW3945" s="1942"/>
      <c r="AX3945" s="1942"/>
      <c r="AY3945" s="1942"/>
      <c r="AZ3945" s="1942"/>
      <c r="BA3945" s="1942"/>
      <c r="BB3945" s="575"/>
      <c r="BC3945" s="576"/>
      <c r="BD3945" s="678"/>
      <c r="BE3945" s="585"/>
    </row>
    <row r="3946" spans="1:57" s="51" customFormat="1" ht="15" hidden="1" customHeight="1" outlineLevel="1" x14ac:dyDescent="0.25">
      <c r="A3946" s="1267"/>
      <c r="B3946" s="576"/>
      <c r="C3946" s="328"/>
      <c r="D3946" s="4023"/>
      <c r="E3946" s="4020"/>
      <c r="F3946" s="3016" t="str">
        <f t="shared" si="309"/>
        <v>ASHP-SEER16-Replace_CAC_ElectricHeat_ER1_MF</v>
      </c>
      <c r="G3946" s="2673"/>
      <c r="H3946" s="2673"/>
      <c r="I3946" s="2673"/>
      <c r="J3946" s="3301" t="str">
        <f>C1494</f>
        <v>353000_2021_12_</v>
      </c>
      <c r="K3946" s="1052"/>
      <c r="L3946" s="109" t="str">
        <f>IF(K3946&gt;0,VLOOKUP(J3946,$J$1801:$L$1987,3,FALSE),"")</f>
        <v/>
      </c>
      <c r="M3946" s="3066" t="str">
        <f>IF(K3946&gt;0,VLOOKUP(J3946,$J$3297:$K$3483,2,FALSE),"")</f>
        <v/>
      </c>
      <c r="N3946" s="1135"/>
      <c r="O3946" s="228"/>
      <c r="P3946" s="844"/>
      <c r="Q3946" s="228"/>
      <c r="R3946" s="228"/>
      <c r="S3946" s="123"/>
      <c r="T3946" s="123"/>
      <c r="U3946" s="123"/>
      <c r="V3946" s="4031"/>
      <c r="W3946" s="3307"/>
      <c r="X3946" s="535"/>
      <c r="Y3946" s="535"/>
      <c r="Z3946" s="532"/>
      <c r="AA3946" s="532"/>
      <c r="AB3946" s="535"/>
      <c r="AC3946" s="1052"/>
      <c r="AD3946" s="793"/>
      <c r="AE3946" s="793"/>
      <c r="AF3946" s="793"/>
      <c r="AG3946" s="793"/>
      <c r="AH3946" s="1942"/>
      <c r="AI3946" s="1942"/>
      <c r="AJ3946" s="1942"/>
      <c r="AK3946" s="1942"/>
      <c r="AL3946" s="1942"/>
      <c r="AM3946" s="1942"/>
      <c r="AN3946" s="1942"/>
      <c r="AO3946" s="1942"/>
      <c r="AP3946" s="1942"/>
      <c r="AQ3946" s="1942"/>
      <c r="AR3946" s="1942"/>
      <c r="AS3946" s="1942"/>
      <c r="AT3946" s="1942"/>
      <c r="AU3946" s="1942"/>
      <c r="AV3946" s="1942"/>
      <c r="AW3946" s="1942"/>
      <c r="AX3946" s="1942"/>
      <c r="AY3946" s="1942"/>
      <c r="AZ3946" s="1942"/>
      <c r="BA3946" s="1942"/>
      <c r="BB3946" s="575"/>
      <c r="BC3946" s="576"/>
      <c r="BD3946" s="678"/>
      <c r="BE3946" s="585"/>
    </row>
    <row r="3947" spans="1:57" s="51" customFormat="1" ht="15" hidden="1" customHeight="1" outlineLevel="1" x14ac:dyDescent="0.25">
      <c r="A3947" s="1267"/>
      <c r="B3947" s="576"/>
      <c r="C3947" s="328"/>
      <c r="D3947" s="4023"/>
      <c r="E3947" s="4020"/>
      <c r="F3947" s="3016" t="str">
        <f t="shared" si="309"/>
        <v>ASHP-SEER16-Replace_CAC_ElectricHeat_ER2_MF</v>
      </c>
      <c r="G3947" s="2673"/>
      <c r="H3947" s="2673"/>
      <c r="I3947" s="2673"/>
      <c r="J3947" s="3301" t="str">
        <f>C1495</f>
        <v>353000_2021_12_</v>
      </c>
      <c r="K3947" s="1052"/>
      <c r="L3947" s="109" t="str">
        <f>IF(K3947&gt;0,VLOOKUP(J3947,$J$1801:$L$1987,3,FALSE),"")</f>
        <v/>
      </c>
      <c r="M3947" s="3066" t="str">
        <f>IF(K3947&gt;0,VLOOKUP(J3947,$J$3297:$K$3483,2,FALSE),"")</f>
        <v/>
      </c>
      <c r="N3947" s="1135"/>
      <c r="O3947" s="228"/>
      <c r="P3947" s="844"/>
      <c r="Q3947" s="228"/>
      <c r="R3947" s="228"/>
      <c r="S3947" s="123"/>
      <c r="T3947" s="123"/>
      <c r="U3947" s="123"/>
      <c r="V3947" s="4031"/>
      <c r="W3947" s="3307"/>
      <c r="X3947" s="535"/>
      <c r="Y3947" s="535"/>
      <c r="Z3947" s="532"/>
      <c r="AA3947" s="532"/>
      <c r="AB3947" s="535"/>
      <c r="AC3947" s="1052"/>
      <c r="AD3947" s="793"/>
      <c r="AE3947" s="793"/>
      <c r="AF3947" s="793"/>
      <c r="AG3947" s="793"/>
      <c r="AH3947" s="1942"/>
      <c r="AI3947" s="1942"/>
      <c r="AJ3947" s="1942"/>
      <c r="AK3947" s="1942"/>
      <c r="AL3947" s="1942"/>
      <c r="AM3947" s="1942"/>
      <c r="AN3947" s="1942"/>
      <c r="AO3947" s="1942"/>
      <c r="AP3947" s="1942"/>
      <c r="AQ3947" s="1942"/>
      <c r="AR3947" s="1942"/>
      <c r="AS3947" s="1942"/>
      <c r="AT3947" s="1942"/>
      <c r="AU3947" s="1942"/>
      <c r="AV3947" s="1942"/>
      <c r="AW3947" s="1942"/>
      <c r="AX3947" s="1942"/>
      <c r="AY3947" s="1942"/>
      <c r="AZ3947" s="1942"/>
      <c r="BA3947" s="1942"/>
      <c r="BB3947" s="575"/>
      <c r="BC3947" s="576"/>
      <c r="BD3947" s="678"/>
      <c r="BE3947" s="585"/>
    </row>
    <row r="3948" spans="1:57" s="51" customFormat="1" ht="15" hidden="1" customHeight="1" outlineLevel="1" x14ac:dyDescent="0.25">
      <c r="A3948" s="2060"/>
      <c r="B3948" s="576"/>
      <c r="C3948" s="328"/>
      <c r="D3948" s="4023"/>
      <c r="E3948" s="4020"/>
      <c r="F3948" s="3016" t="str">
        <f t="shared" si="309"/>
        <v>ASHP-SEER16-Replace_CAC_ElectricHeat_ER2_MF</v>
      </c>
      <c r="G3948" s="2673"/>
      <c r="H3948" s="2673"/>
      <c r="I3948" s="2673"/>
      <c r="J3948" s="3301" t="str">
        <f>C1496</f>
        <v>353000_2021_12_</v>
      </c>
      <c r="K3948" s="1052"/>
      <c r="L3948" s="109" t="str">
        <f>IF(K3948&gt;0,VLOOKUP(J3948,$J$1801:$L$1987,3,FALSE),"")</f>
        <v/>
      </c>
      <c r="M3948" s="3066" t="str">
        <f>IF(K3948&gt;0,VLOOKUP(J3948,$J$3297:$K$3483,2,FALSE),"")</f>
        <v/>
      </c>
      <c r="N3948" s="1135"/>
      <c r="O3948" s="228"/>
      <c r="P3948" s="844"/>
      <c r="Q3948" s="845"/>
      <c r="R3948" s="844"/>
      <c r="S3948" s="832"/>
      <c r="T3948" s="3082"/>
      <c r="U3948" s="123"/>
      <c r="V3948" s="4031"/>
      <c r="W3948" s="3307"/>
      <c r="X3948" s="535"/>
      <c r="Y3948" s="535"/>
      <c r="Z3948" s="532"/>
      <c r="AA3948" s="532"/>
      <c r="AB3948" s="532"/>
      <c r="AC3948" s="1052"/>
      <c r="AD3948" s="793"/>
      <c r="AE3948" s="793"/>
      <c r="AF3948" s="793"/>
      <c r="AG3948" s="793"/>
      <c r="AH3948" s="1942"/>
      <c r="AI3948" s="1942"/>
      <c r="AJ3948" s="1942"/>
      <c r="AK3948" s="1942"/>
      <c r="AL3948" s="1942"/>
      <c r="AM3948" s="1942"/>
      <c r="AN3948" s="1942"/>
      <c r="AO3948" s="1942"/>
      <c r="AP3948" s="1942"/>
      <c r="AQ3948" s="1942"/>
      <c r="AR3948" s="1942"/>
      <c r="AS3948" s="1942"/>
      <c r="AT3948" s="1942"/>
      <c r="AU3948" s="1942"/>
      <c r="AV3948" s="1942"/>
      <c r="AW3948" s="1942"/>
      <c r="AX3948" s="1942"/>
      <c r="AY3948" s="1942"/>
      <c r="AZ3948" s="1942"/>
      <c r="BA3948" s="1942"/>
      <c r="BB3948" s="575"/>
      <c r="BC3948" s="576"/>
      <c r="BD3948" s="678"/>
      <c r="BE3948" s="585"/>
    </row>
    <row r="3949" spans="1:57" s="1942" customFormat="1" ht="15" hidden="1" customHeight="1" outlineLevel="1" x14ac:dyDescent="0.25">
      <c r="A3949" s="2060"/>
      <c r="B3949" s="576"/>
      <c r="C3949" s="328"/>
      <c r="D3949" s="4023"/>
      <c r="E3949" s="4020"/>
      <c r="F3949" s="3016" t="str">
        <f t="shared" si="309"/>
        <v>ASHP-SEER16-Replace_CAC_ElectricHeat_ER1_MF_CompE</v>
      </c>
      <c r="G3949" s="2673"/>
      <c r="H3949" s="2673"/>
      <c r="I3949" s="2673"/>
      <c r="J3949" s="3301" t="str">
        <f t="shared" ref="J3949:J3960" si="313">C1497</f>
        <v>353001_2021_12_</v>
      </c>
      <c r="K3949" s="3294">
        <f>(($R$1820*L3949)+$R$1806)-(($Q$1820*L3949)/((1+$R$1822)^($R$1823-1)))</f>
        <v>748.6192265910754</v>
      </c>
      <c r="L3949" s="112">
        <f>VLOOKUP(J3949,$J$1801:$L$1987,3,FALSE)*M3949</f>
        <v>1.3</v>
      </c>
      <c r="M3949" s="3286">
        <f>VLOOKUP(J3949,$J$3297:$K$3483,2,FALSE)</f>
        <v>0.65</v>
      </c>
      <c r="N3949" s="1135"/>
      <c r="O3949" s="228"/>
      <c r="P3949" s="844"/>
      <c r="Q3949" s="845"/>
      <c r="R3949" s="844"/>
      <c r="S3949" s="832"/>
      <c r="T3949" s="3082"/>
      <c r="U3949" s="123"/>
      <c r="V3949" s="4031"/>
      <c r="W3949" s="3307"/>
      <c r="X3949" s="535"/>
      <c r="Y3949" s="535"/>
      <c r="Z3949" s="532"/>
      <c r="AA3949" s="532"/>
      <c r="AB3949" s="532"/>
      <c r="AC3949" s="3294">
        <v>748.6192265910754</v>
      </c>
      <c r="AD3949" s="793"/>
      <c r="AE3949" s="793"/>
      <c r="AF3949" s="793"/>
      <c r="AG3949" s="793"/>
      <c r="BB3949" s="575"/>
      <c r="BC3949" s="576"/>
      <c r="BD3949" s="678"/>
      <c r="BE3949" s="585"/>
    </row>
    <row r="3950" spans="1:57" s="1942" customFormat="1" ht="15" hidden="1" customHeight="1" outlineLevel="1" x14ac:dyDescent="0.25">
      <c r="A3950" s="2060"/>
      <c r="B3950" s="576"/>
      <c r="C3950" s="328"/>
      <c r="D3950" s="4023"/>
      <c r="E3950" s="4020"/>
      <c r="F3950" s="3016" t="str">
        <f t="shared" si="309"/>
        <v>ASHP-SEER16-Replace_CAC_ElectricHeat_ER1_MF_CompE</v>
      </c>
      <c r="G3950" s="2673"/>
      <c r="H3950" s="2673"/>
      <c r="I3950" s="2673"/>
      <c r="J3950" s="3301" t="str">
        <f t="shared" si="313"/>
        <v>353001_2021_12_</v>
      </c>
      <c r="K3950" s="1052"/>
      <c r="L3950" s="109"/>
      <c r="M3950" s="3066"/>
      <c r="N3950" s="1135"/>
      <c r="O3950" s="228"/>
      <c r="P3950" s="844"/>
      <c r="Q3950" s="845"/>
      <c r="R3950" s="844"/>
      <c r="S3950" s="832"/>
      <c r="T3950" s="3082"/>
      <c r="U3950" s="123"/>
      <c r="V3950" s="4031"/>
      <c r="W3950" s="3307"/>
      <c r="X3950" s="535"/>
      <c r="Y3950" s="535"/>
      <c r="Z3950" s="532"/>
      <c r="AA3950" s="532"/>
      <c r="AB3950" s="532"/>
      <c r="AC3950" s="1052"/>
      <c r="AD3950" s="793"/>
      <c r="AE3950" s="793"/>
      <c r="AF3950" s="793"/>
      <c r="AG3950" s="793"/>
      <c r="BB3950" s="575"/>
      <c r="BC3950" s="576"/>
      <c r="BD3950" s="678"/>
      <c r="BE3950" s="585"/>
    </row>
    <row r="3951" spans="1:57" s="1942" customFormat="1" ht="15" hidden="1" customHeight="1" outlineLevel="1" x14ac:dyDescent="0.25">
      <c r="A3951" s="2060"/>
      <c r="B3951" s="576"/>
      <c r="C3951" s="328"/>
      <c r="D3951" s="4023"/>
      <c r="E3951" s="4020"/>
      <c r="F3951" s="3016" t="str">
        <f t="shared" si="309"/>
        <v>ASHP-SEER16-Replace_CAC_ElectricHeat_ER2_MF_CompE</v>
      </c>
      <c r="G3951" s="2673"/>
      <c r="H3951" s="2673"/>
      <c r="I3951" s="2673"/>
      <c r="J3951" s="3301" t="str">
        <f t="shared" si="313"/>
        <v>353001_2021_12_</v>
      </c>
      <c r="K3951" s="1052"/>
      <c r="L3951" s="109"/>
      <c r="M3951" s="3066"/>
      <c r="N3951" s="1135"/>
      <c r="O3951" s="228"/>
      <c r="P3951" s="844"/>
      <c r="Q3951" s="845"/>
      <c r="R3951" s="844"/>
      <c r="S3951" s="832"/>
      <c r="T3951" s="3082"/>
      <c r="U3951" s="123"/>
      <c r="V3951" s="4031"/>
      <c r="W3951" s="3307"/>
      <c r="X3951" s="535"/>
      <c r="Y3951" s="535"/>
      <c r="Z3951" s="532"/>
      <c r="AA3951" s="532"/>
      <c r="AB3951" s="532"/>
      <c r="AC3951" s="1052"/>
      <c r="AD3951" s="793"/>
      <c r="AE3951" s="793"/>
      <c r="AF3951" s="793"/>
      <c r="AG3951" s="793"/>
      <c r="BB3951" s="575"/>
      <c r="BC3951" s="576"/>
      <c r="BD3951" s="678"/>
      <c r="BE3951" s="585"/>
    </row>
    <row r="3952" spans="1:57" s="1942" customFormat="1" ht="15" hidden="1" customHeight="1" outlineLevel="1" x14ac:dyDescent="0.25">
      <c r="A3952" s="2060"/>
      <c r="B3952" s="576"/>
      <c r="C3952" s="328"/>
      <c r="D3952" s="4023"/>
      <c r="E3952" s="4020"/>
      <c r="F3952" s="3016" t="str">
        <f t="shared" si="309"/>
        <v>ASHP-SEER16-Replace_CAC_ElectricHeat_ER2_MF_CompE</v>
      </c>
      <c r="G3952" s="2673"/>
      <c r="H3952" s="2673"/>
      <c r="I3952" s="2673"/>
      <c r="J3952" s="3301" t="str">
        <f t="shared" si="313"/>
        <v>353001_2021_12_</v>
      </c>
      <c r="K3952" s="1052"/>
      <c r="L3952" s="109"/>
      <c r="M3952" s="3066"/>
      <c r="N3952" s="1135"/>
      <c r="O3952" s="228"/>
      <c r="P3952" s="844"/>
      <c r="Q3952" s="845"/>
      <c r="R3952" s="844"/>
      <c r="S3952" s="832"/>
      <c r="T3952" s="3082"/>
      <c r="U3952" s="123"/>
      <c r="V3952" s="4031"/>
      <c r="W3952" s="3307"/>
      <c r="X3952" s="535"/>
      <c r="Y3952" s="535"/>
      <c r="Z3952" s="532"/>
      <c r="AA3952" s="532"/>
      <c r="AB3952" s="532"/>
      <c r="AC3952" s="1052"/>
      <c r="AD3952" s="793"/>
      <c r="AE3952" s="793"/>
      <c r="AF3952" s="793"/>
      <c r="AG3952" s="793"/>
      <c r="BB3952" s="575"/>
      <c r="BC3952" s="576"/>
      <c r="BD3952" s="678"/>
      <c r="BE3952" s="585"/>
    </row>
    <row r="3953" spans="1:57" s="1942" customFormat="1" ht="15" hidden="1" customHeight="1" outlineLevel="1" x14ac:dyDescent="0.25">
      <c r="A3953" s="2060"/>
      <c r="B3953" s="576"/>
      <c r="C3953" s="328"/>
      <c r="D3953" s="4023"/>
      <c r="E3953" s="4020"/>
      <c r="F3953" s="3016" t="str">
        <f t="shared" si="309"/>
        <v>ASHP-SEER16-Replace_CAC_NonElectricHeat_ER1_MF</v>
      </c>
      <c r="G3953" s="2673"/>
      <c r="H3953" s="2673"/>
      <c r="I3953" s="2673"/>
      <c r="J3953" s="3301" t="str">
        <f t="shared" si="313"/>
        <v>353010_2021_12_</v>
      </c>
      <c r="K3953" s="3294">
        <f>(($R$1820*L3953)+$R$1806)-(($Q$1820*L3953)/((1+$R$1822)^($R$1823-1)))</f>
        <v>748.6192265910754</v>
      </c>
      <c r="L3953" s="112">
        <f>VLOOKUP(J3953,$J$1801:$L$1987,3,FALSE)*M3953</f>
        <v>1.3</v>
      </c>
      <c r="M3953" s="3286">
        <f>VLOOKUP(J3953,$J$3297:$K$3483,2,FALSE)</f>
        <v>0.65</v>
      </c>
      <c r="N3953" s="1135"/>
      <c r="O3953" s="228"/>
      <c r="P3953" s="844"/>
      <c r="Q3953" s="845"/>
      <c r="R3953" s="844"/>
      <c r="S3953" s="832"/>
      <c r="T3953" s="3082"/>
      <c r="U3953" s="123"/>
      <c r="V3953" s="4031"/>
      <c r="W3953" s="3307"/>
      <c r="X3953" s="535"/>
      <c r="Y3953" s="535"/>
      <c r="Z3953" s="532"/>
      <c r="AA3953" s="532"/>
      <c r="AB3953" s="532"/>
      <c r="AC3953" s="3294">
        <v>748.6192265910754</v>
      </c>
      <c r="AD3953" s="793"/>
      <c r="AE3953" s="793"/>
      <c r="AF3953" s="793"/>
      <c r="AG3953" s="793"/>
      <c r="BB3953" s="575"/>
      <c r="BC3953" s="576"/>
      <c r="BD3953" s="678"/>
      <c r="BE3953" s="585"/>
    </row>
    <row r="3954" spans="1:57" s="1942" customFormat="1" ht="15" hidden="1" customHeight="1" outlineLevel="1" x14ac:dyDescent="0.25">
      <c r="A3954" s="2060"/>
      <c r="B3954" s="576"/>
      <c r="C3954" s="328"/>
      <c r="D3954" s="4023"/>
      <c r="E3954" s="4020"/>
      <c r="F3954" s="3016" t="str">
        <f t="shared" si="309"/>
        <v>ASHP-SEER16-Replace_CAC_NonElectricHeat_ER1_MF</v>
      </c>
      <c r="G3954" s="2673"/>
      <c r="H3954" s="2673"/>
      <c r="I3954" s="2673"/>
      <c r="J3954" s="3301" t="str">
        <f t="shared" si="313"/>
        <v>353010_2021_12_</v>
      </c>
      <c r="K3954" s="1052"/>
      <c r="L3954" s="109"/>
      <c r="M3954" s="3066"/>
      <c r="N3954" s="1135"/>
      <c r="O3954" s="228"/>
      <c r="P3954" s="844"/>
      <c r="Q3954" s="845"/>
      <c r="R3954" s="844"/>
      <c r="S3954" s="832"/>
      <c r="T3954" s="3082"/>
      <c r="U3954" s="123"/>
      <c r="V3954" s="4031"/>
      <c r="W3954" s="3307"/>
      <c r="X3954" s="535"/>
      <c r="Y3954" s="535"/>
      <c r="Z3954" s="532"/>
      <c r="AA3954" s="532"/>
      <c r="AB3954" s="532"/>
      <c r="AC3954" s="1052"/>
      <c r="AD3954" s="793"/>
      <c r="AE3954" s="793"/>
      <c r="AF3954" s="793"/>
      <c r="AG3954" s="793"/>
      <c r="BB3954" s="575"/>
      <c r="BC3954" s="576"/>
      <c r="BD3954" s="678"/>
      <c r="BE3954" s="585"/>
    </row>
    <row r="3955" spans="1:57" s="1942" customFormat="1" ht="15" hidden="1" customHeight="1" outlineLevel="1" x14ac:dyDescent="0.25">
      <c r="A3955" s="2060"/>
      <c r="B3955" s="576"/>
      <c r="C3955" s="328"/>
      <c r="D3955" s="4023"/>
      <c r="E3955" s="4020"/>
      <c r="F3955" s="3016" t="str">
        <f t="shared" si="309"/>
        <v>ASHP-SEER16-Replace_CAC_NonElectricHeat_ER2_MF</v>
      </c>
      <c r="G3955" s="2673"/>
      <c r="H3955" s="2673"/>
      <c r="I3955" s="2673"/>
      <c r="J3955" s="3301" t="str">
        <f t="shared" si="313"/>
        <v>353010_2021_12_</v>
      </c>
      <c r="K3955" s="1052"/>
      <c r="L3955" s="109"/>
      <c r="M3955" s="3066"/>
      <c r="N3955" s="1135"/>
      <c r="O3955" s="228"/>
      <c r="P3955" s="844"/>
      <c r="Q3955" s="845"/>
      <c r="R3955" s="844"/>
      <c r="S3955" s="832"/>
      <c r="T3955" s="3082"/>
      <c r="U3955" s="123"/>
      <c r="V3955" s="4031"/>
      <c r="W3955" s="3307"/>
      <c r="X3955" s="535"/>
      <c r="Y3955" s="535"/>
      <c r="Z3955" s="532"/>
      <c r="AA3955" s="532"/>
      <c r="AB3955" s="532"/>
      <c r="AC3955" s="1052"/>
      <c r="AD3955" s="793"/>
      <c r="AE3955" s="793"/>
      <c r="AF3955" s="793"/>
      <c r="AG3955" s="793"/>
      <c r="BB3955" s="575"/>
      <c r="BC3955" s="576"/>
      <c r="BD3955" s="678"/>
      <c r="BE3955" s="585"/>
    </row>
    <row r="3956" spans="1:57" s="1942" customFormat="1" ht="15" hidden="1" customHeight="1" outlineLevel="1" x14ac:dyDescent="0.25">
      <c r="A3956" s="2060"/>
      <c r="B3956" s="576"/>
      <c r="C3956" s="328"/>
      <c r="D3956" s="4023"/>
      <c r="E3956" s="4020"/>
      <c r="F3956" s="3016" t="str">
        <f t="shared" si="309"/>
        <v>ASHP-SEER16-Replace_CAC_NonElectricHeat_ER2_MF</v>
      </c>
      <c r="G3956" s="2673"/>
      <c r="H3956" s="2673"/>
      <c r="I3956" s="2673"/>
      <c r="J3956" s="3301" t="str">
        <f t="shared" si="313"/>
        <v>353010_2021_12_</v>
      </c>
      <c r="K3956" s="1052"/>
      <c r="L3956" s="109"/>
      <c r="M3956" s="3066"/>
      <c r="N3956" s="1135"/>
      <c r="O3956" s="228"/>
      <c r="P3956" s="844"/>
      <c r="Q3956" s="845"/>
      <c r="R3956" s="844"/>
      <c r="S3956" s="832"/>
      <c r="T3956" s="3082"/>
      <c r="U3956" s="123"/>
      <c r="V3956" s="4031"/>
      <c r="W3956" s="3307"/>
      <c r="X3956" s="535"/>
      <c r="Y3956" s="535"/>
      <c r="Z3956" s="532"/>
      <c r="AA3956" s="532"/>
      <c r="AB3956" s="532"/>
      <c r="AC3956" s="1052"/>
      <c r="AD3956" s="793"/>
      <c r="AE3956" s="793"/>
      <c r="AF3956" s="793"/>
      <c r="AG3956" s="793"/>
      <c r="BB3956" s="575"/>
      <c r="BC3956" s="576"/>
      <c r="BD3956" s="678"/>
      <c r="BE3956" s="585"/>
    </row>
    <row r="3957" spans="1:57" s="1942" customFormat="1" ht="15" hidden="1" customHeight="1" outlineLevel="1" x14ac:dyDescent="0.25">
      <c r="A3957" s="2060"/>
      <c r="B3957" s="576"/>
      <c r="C3957" s="328"/>
      <c r="D3957" s="4023"/>
      <c r="E3957" s="4020"/>
      <c r="F3957" s="3016" t="str">
        <f t="shared" si="309"/>
        <v>ASHP-SEER16-Replace_CAC_NonElectricHeat_ER1_MF_CompE</v>
      </c>
      <c r="G3957" s="2673"/>
      <c r="H3957" s="2673"/>
      <c r="I3957" s="2673"/>
      <c r="J3957" s="3301" t="str">
        <f t="shared" si="313"/>
        <v>353011_2021_12_</v>
      </c>
      <c r="K3957" s="3294">
        <f>(($R$1820*L3957)+$R$1806)-(($Q$1820*L3957)/((1+$R$1822)^($R$1823-1)))</f>
        <v>748.6192265910754</v>
      </c>
      <c r="L3957" s="112">
        <f>VLOOKUP(J3957,$J$1801:$L$1987,3,FALSE)*M3957</f>
        <v>1.3</v>
      </c>
      <c r="M3957" s="3286">
        <f>VLOOKUP(J3957,$J$3297:$K$3483,2,FALSE)</f>
        <v>0.65</v>
      </c>
      <c r="N3957" s="1135"/>
      <c r="O3957" s="228"/>
      <c r="P3957" s="844"/>
      <c r="Q3957" s="845"/>
      <c r="R3957" s="844"/>
      <c r="S3957" s="832"/>
      <c r="T3957" s="3082"/>
      <c r="U3957" s="123"/>
      <c r="V3957" s="4031"/>
      <c r="W3957" s="3307"/>
      <c r="X3957" s="535"/>
      <c r="Y3957" s="535"/>
      <c r="Z3957" s="532"/>
      <c r="AA3957" s="532"/>
      <c r="AB3957" s="532"/>
      <c r="AC3957" s="3294">
        <v>748.6192265910754</v>
      </c>
      <c r="AD3957" s="793"/>
      <c r="AE3957" s="793"/>
      <c r="AF3957" s="793"/>
      <c r="AG3957" s="793"/>
      <c r="BB3957" s="575"/>
      <c r="BC3957" s="576"/>
      <c r="BD3957" s="678"/>
      <c r="BE3957" s="585"/>
    </row>
    <row r="3958" spans="1:57" s="1942" customFormat="1" ht="15" hidden="1" customHeight="1" outlineLevel="1" x14ac:dyDescent="0.25">
      <c r="A3958" s="2060"/>
      <c r="B3958" s="576"/>
      <c r="C3958" s="328"/>
      <c r="D3958" s="4023"/>
      <c r="E3958" s="4020"/>
      <c r="F3958" s="3016" t="str">
        <f t="shared" si="309"/>
        <v>ASHP-SEER16-Replace_CAC_NonElectricHeat_ER1_MF_CompE</v>
      </c>
      <c r="G3958" s="2673"/>
      <c r="H3958" s="2673"/>
      <c r="I3958" s="2673"/>
      <c r="J3958" s="3301" t="str">
        <f t="shared" si="313"/>
        <v>353011_2021_12_</v>
      </c>
      <c r="K3958" s="1052"/>
      <c r="L3958" s="109"/>
      <c r="M3958" s="3066"/>
      <c r="N3958" s="1135"/>
      <c r="O3958" s="228"/>
      <c r="P3958" s="844"/>
      <c r="Q3958" s="845"/>
      <c r="R3958" s="844"/>
      <c r="S3958" s="832"/>
      <c r="T3958" s="3082"/>
      <c r="U3958" s="123"/>
      <c r="V3958" s="4031"/>
      <c r="W3958" s="3307"/>
      <c r="X3958" s="535"/>
      <c r="Y3958" s="535"/>
      <c r="Z3958" s="532"/>
      <c r="AA3958" s="532"/>
      <c r="AB3958" s="532"/>
      <c r="AC3958" s="1052"/>
      <c r="AD3958" s="793"/>
      <c r="AE3958" s="793"/>
      <c r="AF3958" s="793"/>
      <c r="AG3958" s="793"/>
      <c r="BB3958" s="575"/>
      <c r="BC3958" s="576"/>
      <c r="BD3958" s="678"/>
      <c r="BE3958" s="585"/>
    </row>
    <row r="3959" spans="1:57" s="1942" customFormat="1" ht="15" hidden="1" customHeight="1" outlineLevel="1" x14ac:dyDescent="0.25">
      <c r="A3959" s="2060"/>
      <c r="B3959" s="576"/>
      <c r="C3959" s="328"/>
      <c r="D3959" s="4023"/>
      <c r="E3959" s="4020"/>
      <c r="F3959" s="3016" t="str">
        <f t="shared" si="309"/>
        <v>ASHP-SEER16-Replace_CAC_NonElectricHeat_ER2_MF_CompE</v>
      </c>
      <c r="G3959" s="2673"/>
      <c r="H3959" s="2673"/>
      <c r="I3959" s="2673"/>
      <c r="J3959" s="3301" t="str">
        <f t="shared" si="313"/>
        <v>353011_2021_12_</v>
      </c>
      <c r="K3959" s="1052"/>
      <c r="L3959" s="109"/>
      <c r="M3959" s="3066"/>
      <c r="N3959" s="1135"/>
      <c r="O3959" s="228"/>
      <c r="P3959" s="844"/>
      <c r="Q3959" s="845"/>
      <c r="R3959" s="844"/>
      <c r="S3959" s="832"/>
      <c r="T3959" s="3082"/>
      <c r="U3959" s="123"/>
      <c r="V3959" s="4031"/>
      <c r="W3959" s="3307"/>
      <c r="X3959" s="535"/>
      <c r="Y3959" s="535"/>
      <c r="Z3959" s="532"/>
      <c r="AA3959" s="532"/>
      <c r="AB3959" s="532"/>
      <c r="AC3959" s="1052"/>
      <c r="AD3959" s="793"/>
      <c r="AE3959" s="793"/>
      <c r="AF3959" s="793"/>
      <c r="AG3959" s="793"/>
      <c r="BB3959" s="575"/>
      <c r="BC3959" s="576"/>
      <c r="BD3959" s="678"/>
      <c r="BE3959" s="585"/>
    </row>
    <row r="3960" spans="1:57" s="1942" customFormat="1" ht="15" hidden="1" customHeight="1" outlineLevel="1" x14ac:dyDescent="0.25">
      <c r="A3960" s="2060"/>
      <c r="B3960" s="576"/>
      <c r="C3960" s="328"/>
      <c r="D3960" s="4023"/>
      <c r="E3960" s="4020"/>
      <c r="F3960" s="3016" t="str">
        <f t="shared" si="309"/>
        <v>ASHP-SEER16-Replace_CAC_NonElectricHeat_ER2_MF_CompE</v>
      </c>
      <c r="G3960" s="2673"/>
      <c r="H3960" s="2673"/>
      <c r="I3960" s="2673"/>
      <c r="J3960" s="3301" t="str">
        <f t="shared" si="313"/>
        <v>353011_2021_12_</v>
      </c>
      <c r="K3960" s="1052"/>
      <c r="L3960" s="109"/>
      <c r="M3960" s="3066"/>
      <c r="N3960" s="1135"/>
      <c r="O3960" s="228"/>
      <c r="P3960" s="844"/>
      <c r="Q3960" s="845"/>
      <c r="R3960" s="844"/>
      <c r="S3960" s="832"/>
      <c r="T3960" s="3082"/>
      <c r="U3960" s="123"/>
      <c r="V3960" s="4031"/>
      <c r="W3960" s="3307"/>
      <c r="X3960" s="535"/>
      <c r="Y3960" s="535"/>
      <c r="Z3960" s="532"/>
      <c r="AA3960" s="532"/>
      <c r="AB3960" s="532"/>
      <c r="AC3960" s="1052"/>
      <c r="AD3960" s="793"/>
      <c r="AE3960" s="793"/>
      <c r="AF3960" s="793"/>
      <c r="AG3960" s="793"/>
      <c r="BB3960" s="575"/>
      <c r="BC3960" s="576"/>
      <c r="BD3960" s="678"/>
      <c r="BE3960" s="585"/>
    </row>
    <row r="3961" spans="1:57" s="51" customFormat="1" ht="15" hidden="1" customHeight="1" outlineLevel="1" x14ac:dyDescent="0.25">
      <c r="A3961" s="2060"/>
      <c r="B3961" s="576"/>
      <c r="C3961" s="328"/>
      <c r="D3961" s="4023"/>
      <c r="E3961" s="4020"/>
      <c r="F3961" s="3016" t="str">
        <f t="shared" si="309"/>
        <v>ASHP-SEER15_ROF_MF</v>
      </c>
      <c r="G3961" s="2673"/>
      <c r="H3961" s="2673"/>
      <c r="I3961" s="2673"/>
      <c r="J3961" s="3301" t="str">
        <f>C1509</f>
        <v>353050_2021_12_</v>
      </c>
      <c r="K3961" s="1052">
        <f>$R$1805*K$3303</f>
        <v>303</v>
      </c>
      <c r="L3961" s="109">
        <f>VLOOKUP(J3961,$J$1801:$L$1987,3,FALSE)*M3961</f>
        <v>1.3085526315789473</v>
      </c>
      <c r="M3961" s="3066">
        <f>VLOOKUP(J3961,$J$3297:$K$3483,2,FALSE)</f>
        <v>0.65</v>
      </c>
      <c r="N3961" s="1135"/>
      <c r="O3961" s="228"/>
      <c r="P3961" s="844"/>
      <c r="Q3961" s="845"/>
      <c r="R3961" s="844"/>
      <c r="S3961" s="832"/>
      <c r="T3961" s="3082"/>
      <c r="U3961" s="123"/>
      <c r="V3961" s="4031"/>
      <c r="W3961" s="3307">
        <v>939.30000000000007</v>
      </c>
      <c r="X3961" s="535">
        <f>$R$1805*(X$1852/12000)*X$3348</f>
        <v>610.54500000000007</v>
      </c>
      <c r="Y3961" s="535">
        <v>303</v>
      </c>
      <c r="Z3961" s="532">
        <v>303</v>
      </c>
      <c r="AA3961" s="532">
        <v>303</v>
      </c>
      <c r="AB3961" s="532">
        <v>303</v>
      </c>
      <c r="AC3961" s="1052">
        <v>303</v>
      </c>
      <c r="AD3961" s="793"/>
      <c r="AE3961" s="793"/>
      <c r="AF3961" s="793"/>
      <c r="AG3961" s="793"/>
      <c r="AH3961" s="1942"/>
      <c r="AI3961" s="1942"/>
      <c r="AJ3961" s="1942"/>
      <c r="AK3961" s="1942"/>
      <c r="AL3961" s="1942"/>
      <c r="AM3961" s="1942"/>
      <c r="AN3961" s="1942"/>
      <c r="AO3961" s="1942"/>
      <c r="AP3961" s="1942"/>
      <c r="AQ3961" s="1942"/>
      <c r="AR3961" s="1942"/>
      <c r="AS3961" s="1942"/>
      <c r="AT3961" s="1942"/>
      <c r="AU3961" s="1942"/>
      <c r="AV3961" s="1942"/>
      <c r="AW3961" s="1942"/>
      <c r="AX3961" s="1942"/>
      <c r="AY3961" s="1942"/>
      <c r="AZ3961" s="1942"/>
      <c r="BA3961" s="1942"/>
      <c r="BB3961" s="575"/>
      <c r="BC3961" s="576"/>
      <c r="BD3961" s="678"/>
      <c r="BE3961" s="585"/>
    </row>
    <row r="3962" spans="1:57" s="51" customFormat="1" ht="15" hidden="1" customHeight="1" outlineLevel="1" x14ac:dyDescent="0.25">
      <c r="A3962" s="1267"/>
      <c r="B3962" s="576"/>
      <c r="C3962" s="328"/>
      <c r="D3962" s="4023"/>
      <c r="E3962" s="4020"/>
      <c r="F3962" s="3016" t="str">
        <f t="shared" si="309"/>
        <v>ASHP-SEER15_ROF_MF</v>
      </c>
      <c r="G3962" s="2673"/>
      <c r="H3962" s="2673"/>
      <c r="I3962" s="2673"/>
      <c r="J3962" s="3301" t="str">
        <f>C1510</f>
        <v>353050_2021_12_</v>
      </c>
      <c r="K3962" s="1052"/>
      <c r="L3962" s="109" t="str">
        <f>IF(K3962&gt;0,VLOOKUP(J3962,$J$1801:$L$1987,3,FALSE),"")</f>
        <v/>
      </c>
      <c r="M3962" s="3066" t="str">
        <f>IF(K3962&gt;0,VLOOKUP(J3962,$J$3297:$K$3483,2,FALSE),"")</f>
        <v/>
      </c>
      <c r="N3962" s="1135"/>
      <c r="O3962" s="228"/>
      <c r="P3962" s="844"/>
      <c r="Q3962" s="228"/>
      <c r="R3962" s="228"/>
      <c r="S3962" s="123"/>
      <c r="T3962" s="123"/>
      <c r="U3962" s="123"/>
      <c r="V3962" s="4031"/>
      <c r="W3962" s="3307"/>
      <c r="X3962" s="535"/>
      <c r="Y3962" s="535"/>
      <c r="Z3962" s="532"/>
      <c r="AA3962" s="532"/>
      <c r="AB3962" s="532"/>
      <c r="AC3962" s="1052"/>
      <c r="AD3962" s="793"/>
      <c r="AE3962" s="793"/>
      <c r="AF3962" s="793"/>
      <c r="AG3962" s="793"/>
      <c r="AH3962" s="1942"/>
      <c r="AI3962" s="1942"/>
      <c r="AJ3962" s="1942"/>
      <c r="AK3962" s="1942"/>
      <c r="AL3962" s="1942"/>
      <c r="AM3962" s="1942"/>
      <c r="AN3962" s="1942"/>
      <c r="AO3962" s="1942"/>
      <c r="AP3962" s="1942"/>
      <c r="AQ3962" s="1942"/>
      <c r="AR3962" s="1942"/>
      <c r="AS3962" s="1942"/>
      <c r="AT3962" s="1942"/>
      <c r="AU3962" s="1942"/>
      <c r="AV3962" s="1942"/>
      <c r="AW3962" s="1942"/>
      <c r="AX3962" s="1942"/>
      <c r="AY3962" s="1942"/>
      <c r="AZ3962" s="1942"/>
      <c r="BA3962" s="1942"/>
      <c r="BB3962" s="575"/>
      <c r="BC3962" s="576"/>
      <c r="BD3962" s="678"/>
      <c r="BE3962" s="585"/>
    </row>
    <row r="3963" spans="1:57" s="1942" customFormat="1" ht="15" hidden="1" customHeight="1" outlineLevel="1" x14ac:dyDescent="0.25">
      <c r="A3963" s="1267"/>
      <c r="B3963" s="576"/>
      <c r="C3963" s="328"/>
      <c r="D3963" s="4023"/>
      <c r="E3963" s="4020"/>
      <c r="F3963" s="3016" t="str">
        <f t="shared" si="309"/>
        <v>ASHP-SEER15_ROF_MF_CompE</v>
      </c>
      <c r="G3963" s="2673"/>
      <c r="H3963" s="2673"/>
      <c r="I3963" s="2673"/>
      <c r="J3963" s="3301" t="str">
        <f t="shared" ref="J3963:J3964" si="314">C1511</f>
        <v>353051_2021_12_</v>
      </c>
      <c r="K3963" s="3294">
        <f>$R$1805*K$3303</f>
        <v>303</v>
      </c>
      <c r="L3963" s="112">
        <f>VLOOKUP(J3963,$J$1801:$L$1987,3,FALSE)*M3963</f>
        <v>1.3085526315789473</v>
      </c>
      <c r="M3963" s="3286">
        <f>VLOOKUP(J3963,$J$3297:$K$3483,2,FALSE)</f>
        <v>0.65</v>
      </c>
      <c r="N3963" s="1135"/>
      <c r="O3963" s="228"/>
      <c r="P3963" s="844"/>
      <c r="Q3963" s="228"/>
      <c r="R3963" s="228"/>
      <c r="S3963" s="123"/>
      <c r="T3963" s="123"/>
      <c r="U3963" s="123"/>
      <c r="V3963" s="4031"/>
      <c r="W3963" s="3307"/>
      <c r="X3963" s="535"/>
      <c r="Y3963" s="535"/>
      <c r="Z3963" s="532"/>
      <c r="AA3963" s="532"/>
      <c r="AB3963" s="532"/>
      <c r="AC3963" s="3294">
        <v>303</v>
      </c>
      <c r="AD3963" s="793"/>
      <c r="AE3963" s="793"/>
      <c r="AF3963" s="793"/>
      <c r="AG3963" s="793"/>
      <c r="BB3963" s="575"/>
      <c r="BC3963" s="576"/>
      <c r="BD3963" s="678"/>
      <c r="BE3963" s="585"/>
    </row>
    <row r="3964" spans="1:57" s="1942" customFormat="1" ht="15" hidden="1" customHeight="1" outlineLevel="1" x14ac:dyDescent="0.25">
      <c r="A3964" s="1267"/>
      <c r="B3964" s="576"/>
      <c r="C3964" s="328"/>
      <c r="D3964" s="4023"/>
      <c r="E3964" s="4020"/>
      <c r="F3964" s="3016" t="str">
        <f t="shared" si="309"/>
        <v>ASHP-SEER15_ROF_MF_CompE</v>
      </c>
      <c r="G3964" s="2673"/>
      <c r="H3964" s="2673"/>
      <c r="I3964" s="2673"/>
      <c r="J3964" s="3301" t="str">
        <f t="shared" si="314"/>
        <v>353051_2021_12_</v>
      </c>
      <c r="K3964" s="1052"/>
      <c r="L3964" s="109"/>
      <c r="M3964" s="3066"/>
      <c r="N3964" s="1135"/>
      <c r="O3964" s="228"/>
      <c r="P3964" s="844"/>
      <c r="Q3964" s="228"/>
      <c r="R3964" s="228"/>
      <c r="S3964" s="123"/>
      <c r="T3964" s="123"/>
      <c r="U3964" s="123"/>
      <c r="V3964" s="4031"/>
      <c r="W3964" s="3307"/>
      <c r="X3964" s="535"/>
      <c r="Y3964" s="535"/>
      <c r="Z3964" s="532"/>
      <c r="AA3964" s="532"/>
      <c r="AB3964" s="532"/>
      <c r="AC3964" s="1052"/>
      <c r="AD3964" s="793"/>
      <c r="AE3964" s="793"/>
      <c r="AF3964" s="793"/>
      <c r="AG3964" s="793"/>
      <c r="BB3964" s="575"/>
      <c r="BC3964" s="576"/>
      <c r="BD3964" s="678"/>
      <c r="BE3964" s="585"/>
    </row>
    <row r="3965" spans="1:57" s="51" customFormat="1" ht="15" hidden="1" customHeight="1" outlineLevel="1" x14ac:dyDescent="0.25">
      <c r="A3965" s="1267"/>
      <c r="B3965" s="576"/>
      <c r="C3965" s="328"/>
      <c r="D3965" s="4023"/>
      <c r="E3965" s="4020"/>
      <c r="F3965" s="3016" t="str">
        <f t="shared" si="309"/>
        <v>ASHP-SEER17-Replace_CAC_ElectricHeat_ROF_SF</v>
      </c>
      <c r="G3965" s="2673"/>
      <c r="H3965" s="2673"/>
      <c r="I3965" s="2673"/>
      <c r="J3965" s="3301" t="str">
        <f>C1513</f>
        <v>353100_2021_12_</v>
      </c>
      <c r="K3965" s="1052">
        <f>$R$1807*K$3303</f>
        <v>724</v>
      </c>
      <c r="L3965" s="109">
        <f>VLOOKUP(J3965,$J$1801:$L$1987,3,FALSE)*M3965</f>
        <v>2.7</v>
      </c>
      <c r="M3965" s="3066">
        <f>VLOOKUP(J3965,$J$3297:$K$3483,2,FALSE)</f>
        <v>1</v>
      </c>
      <c r="N3965" s="1135"/>
      <c r="O3965" s="228"/>
      <c r="P3965" s="844"/>
      <c r="Q3965" s="228"/>
      <c r="R3965" s="228"/>
      <c r="S3965" s="123"/>
      <c r="T3965" s="123"/>
      <c r="U3965" s="123"/>
      <c r="V3965" s="4031"/>
      <c r="W3965" s="3307">
        <v>1624</v>
      </c>
      <c r="X3965" s="535">
        <f>$R$1807*(X$1854/12000)*X$3350</f>
        <v>2027.1999999999998</v>
      </c>
      <c r="Y3965" s="535">
        <v>580</v>
      </c>
      <c r="Z3965" s="532">
        <v>580</v>
      </c>
      <c r="AA3965" s="532">
        <v>580</v>
      </c>
      <c r="AB3965" s="535">
        <v>724</v>
      </c>
      <c r="AC3965" s="1052">
        <v>724</v>
      </c>
      <c r="AD3965" s="793"/>
      <c r="AE3965" s="793"/>
      <c r="AF3965" s="793"/>
      <c r="AG3965" s="793"/>
      <c r="AH3965" s="1942"/>
      <c r="AI3965" s="1942"/>
      <c r="AJ3965" s="1942"/>
      <c r="AK3965" s="1942"/>
      <c r="AL3965" s="1942"/>
      <c r="AM3965" s="1942"/>
      <c r="AN3965" s="1942"/>
      <c r="AO3965" s="1942"/>
      <c r="AP3965" s="1942"/>
      <c r="AQ3965" s="1942"/>
      <c r="AR3965" s="1942"/>
      <c r="AS3965" s="1942"/>
      <c r="AT3965" s="1942"/>
      <c r="AU3965" s="1942"/>
      <c r="AV3965" s="1942"/>
      <c r="AW3965" s="1942"/>
      <c r="AX3965" s="1942"/>
      <c r="AY3965" s="1942"/>
      <c r="AZ3965" s="1942"/>
      <c r="BA3965" s="1942"/>
      <c r="BB3965" s="575"/>
      <c r="BC3965" s="576"/>
      <c r="BD3965" s="678"/>
      <c r="BE3965" s="585"/>
    </row>
    <row r="3966" spans="1:57" s="51" customFormat="1" ht="15" hidden="1" customHeight="1" outlineLevel="1" x14ac:dyDescent="0.25">
      <c r="A3966" s="2060"/>
      <c r="B3966" s="576"/>
      <c r="C3966" s="328"/>
      <c r="D3966" s="4023"/>
      <c r="E3966" s="4020"/>
      <c r="F3966" s="3016" t="str">
        <f t="shared" si="309"/>
        <v>ASHP-SEER17-Replace_CAC_ElectricHeat_ROF_SF</v>
      </c>
      <c r="G3966" s="2673"/>
      <c r="H3966" s="2673"/>
      <c r="I3966" s="2673"/>
      <c r="J3966" s="3301" t="str">
        <f>C1514</f>
        <v>353100_2021_12_</v>
      </c>
      <c r="K3966" s="1052"/>
      <c r="L3966" s="109" t="str">
        <f>IF(K3966&gt;0,VLOOKUP(J3966,$J$1801:$L$1987,3,FALSE),"")</f>
        <v/>
      </c>
      <c r="M3966" s="3066" t="str">
        <f>IF(K3966&gt;0,VLOOKUP(J3966,$J$3297:$K$3483,2,FALSE),"")</f>
        <v/>
      </c>
      <c r="N3966" s="1135"/>
      <c r="O3966" s="228"/>
      <c r="P3966" s="844"/>
      <c r="Q3966" s="845"/>
      <c r="R3966" s="844"/>
      <c r="S3966" s="832"/>
      <c r="T3966" s="3082"/>
      <c r="U3966" s="123"/>
      <c r="V3966" s="4031"/>
      <c r="W3966" s="3307"/>
      <c r="X3966" s="535"/>
      <c r="Y3966" s="535"/>
      <c r="Z3966" s="532"/>
      <c r="AA3966" s="532"/>
      <c r="AB3966" s="535"/>
      <c r="AC3966" s="1052"/>
      <c r="AD3966" s="793"/>
      <c r="AE3966" s="793"/>
      <c r="AF3966" s="793"/>
      <c r="AG3966" s="793"/>
      <c r="AH3966" s="1942"/>
      <c r="AI3966" s="1942"/>
      <c r="AJ3966" s="1942"/>
      <c r="AK3966" s="1942"/>
      <c r="AL3966" s="1942"/>
      <c r="AM3966" s="1942"/>
      <c r="AN3966" s="1942"/>
      <c r="AO3966" s="1942"/>
      <c r="AP3966" s="1942"/>
      <c r="AQ3966" s="1942"/>
      <c r="AR3966" s="1942"/>
      <c r="AS3966" s="1942"/>
      <c r="AT3966" s="1942"/>
      <c r="AU3966" s="1942"/>
      <c r="AV3966" s="1942"/>
      <c r="AW3966" s="1942"/>
      <c r="AX3966" s="1942"/>
      <c r="AY3966" s="1942"/>
      <c r="AZ3966" s="1942"/>
      <c r="BA3966" s="1942"/>
      <c r="BB3966" s="575"/>
      <c r="BC3966" s="576"/>
      <c r="BD3966" s="678"/>
      <c r="BE3966" s="585"/>
    </row>
    <row r="3967" spans="1:57" s="51" customFormat="1" ht="15" hidden="1" customHeight="1" outlineLevel="1" x14ac:dyDescent="0.25">
      <c r="A3967" s="2060"/>
      <c r="B3967" s="576"/>
      <c r="C3967" s="328"/>
      <c r="D3967" s="4023"/>
      <c r="E3967" s="4020"/>
      <c r="F3967" s="3016" t="str">
        <f t="shared" si="309"/>
        <v>ASHP-SEER17-Replace_CAC_ElectricHeat_ROF_MF</v>
      </c>
      <c r="G3967" s="2673"/>
      <c r="H3967" s="2673"/>
      <c r="I3967" s="2673"/>
      <c r="J3967" s="3302" t="str">
        <f>C1515</f>
        <v>353150_2019_12_</v>
      </c>
      <c r="K3967" s="1052">
        <f>$R$1807*K$3303</f>
        <v>724</v>
      </c>
      <c r="L3967" s="109">
        <f>VLOOKUP(J3967,$J$1801:$L$1987,3,FALSE)*M3967</f>
        <v>1.8199999999999998</v>
      </c>
      <c r="M3967" s="3066">
        <f>VLOOKUP(J3967,$J$3297:$K$3483,2,FALSE)</f>
        <v>0.65</v>
      </c>
      <c r="N3967" s="1135"/>
      <c r="O3967" s="228"/>
      <c r="P3967" s="844"/>
      <c r="Q3967" s="845"/>
      <c r="R3967" s="844"/>
      <c r="S3967" s="832"/>
      <c r="T3967" s="3082"/>
      <c r="U3967" s="123"/>
      <c r="V3967" s="4031"/>
      <c r="W3967" s="3307">
        <v>1624</v>
      </c>
      <c r="X3967" s="535">
        <f>$R$1807*(X$1855/12000)*X$3351</f>
        <v>1317.6799999999998</v>
      </c>
      <c r="Y3967" s="535">
        <v>580</v>
      </c>
      <c r="Z3967" s="532">
        <v>580</v>
      </c>
      <c r="AA3967" s="532">
        <v>580</v>
      </c>
      <c r="AB3967" s="535">
        <v>724</v>
      </c>
      <c r="AC3967" s="1052">
        <v>724</v>
      </c>
      <c r="AD3967" s="793"/>
      <c r="AE3967" s="793"/>
      <c r="AF3967" s="793"/>
      <c r="AG3967" s="793"/>
      <c r="AH3967" s="1942"/>
      <c r="AI3967" s="1942"/>
      <c r="AJ3967" s="1942"/>
      <c r="AK3967" s="1942"/>
      <c r="AL3967" s="1942"/>
      <c r="AM3967" s="1942"/>
      <c r="AN3967" s="1942"/>
      <c r="AO3967" s="1942"/>
      <c r="AP3967" s="1942"/>
      <c r="AQ3967" s="1942"/>
      <c r="AR3967" s="1942"/>
      <c r="AS3967" s="1942"/>
      <c r="AT3967" s="1942"/>
      <c r="AU3967" s="1942"/>
      <c r="AV3967" s="1942"/>
      <c r="AW3967" s="1942"/>
      <c r="AX3967" s="1942"/>
      <c r="AY3967" s="1942"/>
      <c r="AZ3967" s="1942"/>
      <c r="BA3967" s="1942"/>
      <c r="BB3967" s="575"/>
      <c r="BC3967" s="576"/>
      <c r="BD3967" s="678"/>
      <c r="BE3967" s="585"/>
    </row>
    <row r="3968" spans="1:57" s="51" customFormat="1" ht="15" hidden="1" customHeight="1" outlineLevel="1" x14ac:dyDescent="0.25">
      <c r="A3968" s="2060"/>
      <c r="B3968" s="576"/>
      <c r="C3968" s="328"/>
      <c r="D3968" s="4023"/>
      <c r="E3968" s="4020"/>
      <c r="F3968" s="3016" t="str">
        <f t="shared" si="309"/>
        <v>ASHP-SEER17-Replace_CAC_ElectricHeat_ROF_MF</v>
      </c>
      <c r="G3968" s="2673"/>
      <c r="H3968" s="2673"/>
      <c r="I3968" s="2673"/>
      <c r="J3968" s="3302" t="str">
        <f>C1516</f>
        <v>353150_2019_12_</v>
      </c>
      <c r="K3968" s="1052"/>
      <c r="L3968" s="109" t="str">
        <f>IF(K3968&gt;0,VLOOKUP(J3968,$J$1801:$L$1987,3,FALSE),"")</f>
        <v/>
      </c>
      <c r="M3968" s="3066" t="str">
        <f>IF(K3968&gt;0,VLOOKUP(J3968,$J$3297:$K$3483,2,FALSE),"")</f>
        <v/>
      </c>
      <c r="N3968" s="1135"/>
      <c r="O3968" s="228"/>
      <c r="P3968" s="844"/>
      <c r="Q3968" s="845"/>
      <c r="R3968" s="844"/>
      <c r="S3968" s="832"/>
      <c r="T3968" s="3082"/>
      <c r="U3968" s="123"/>
      <c r="V3968" s="4031"/>
      <c r="W3968" s="3307"/>
      <c r="X3968" s="535"/>
      <c r="Y3968" s="535"/>
      <c r="Z3968" s="532"/>
      <c r="AA3968" s="532"/>
      <c r="AB3968" s="535"/>
      <c r="AC3968" s="1052"/>
      <c r="AD3968" s="793"/>
      <c r="AE3968" s="793"/>
      <c r="AF3968" s="793"/>
      <c r="AG3968" s="793"/>
      <c r="AH3968" s="1942"/>
      <c r="AI3968" s="1942"/>
      <c r="AJ3968" s="1942"/>
      <c r="AK3968" s="1942"/>
      <c r="AL3968" s="1942"/>
      <c r="AM3968" s="1942"/>
      <c r="AN3968" s="1942"/>
      <c r="AO3968" s="1942"/>
      <c r="AP3968" s="1942"/>
      <c r="AQ3968" s="1942"/>
      <c r="AR3968" s="1942"/>
      <c r="AS3968" s="1942"/>
      <c r="AT3968" s="1942"/>
      <c r="AU3968" s="1942"/>
      <c r="AV3968" s="1942"/>
      <c r="AW3968" s="1942"/>
      <c r="AX3968" s="1942"/>
      <c r="AY3968" s="1942"/>
      <c r="AZ3968" s="1942"/>
      <c r="BA3968" s="1942"/>
      <c r="BB3968" s="575"/>
      <c r="BC3968" s="576"/>
      <c r="BD3968" s="678"/>
      <c r="BE3968" s="585"/>
    </row>
    <row r="3969" spans="1:57" s="1942" customFormat="1" ht="15" hidden="1" customHeight="1" outlineLevel="1" x14ac:dyDescent="0.25">
      <c r="A3969" s="2060"/>
      <c r="B3969" s="576"/>
      <c r="C3969" s="328"/>
      <c r="D3969" s="4023"/>
      <c r="E3969" s="4020"/>
      <c r="F3969" s="3016" t="str">
        <f t="shared" si="309"/>
        <v>ASHP-SEER17-Replace_CAC_ElectricHeat_ROF_MF_CompE</v>
      </c>
      <c r="G3969" s="2673"/>
      <c r="H3969" s="2673"/>
      <c r="I3969" s="2673"/>
      <c r="J3969" s="3302" t="str">
        <f t="shared" ref="J3969:J3974" si="315">C1517</f>
        <v>353151_2019_12_</v>
      </c>
      <c r="K3969" s="3294">
        <f>$R$1807*K$3303</f>
        <v>724</v>
      </c>
      <c r="L3969" s="112">
        <f>VLOOKUP(J3969,$J$1801:$L$1987,3,FALSE)*M3969</f>
        <v>1.8199999999999998</v>
      </c>
      <c r="M3969" s="3286">
        <f>VLOOKUP(J3969,$J$3297:$K$3483,2,FALSE)</f>
        <v>0.65</v>
      </c>
      <c r="N3969" s="1135"/>
      <c r="O3969" s="228"/>
      <c r="P3969" s="844"/>
      <c r="Q3969" s="845"/>
      <c r="R3969" s="844"/>
      <c r="S3969" s="832"/>
      <c r="T3969" s="3082"/>
      <c r="U3969" s="123"/>
      <c r="V3969" s="4031"/>
      <c r="W3969" s="3307"/>
      <c r="X3969" s="535"/>
      <c r="Y3969" s="535"/>
      <c r="Z3969" s="532"/>
      <c r="AA3969" s="532"/>
      <c r="AB3969" s="535"/>
      <c r="AC3969" s="3294">
        <v>724</v>
      </c>
      <c r="AD3969" s="793"/>
      <c r="AE3969" s="793"/>
      <c r="AF3969" s="793"/>
      <c r="AG3969" s="793"/>
      <c r="BB3969" s="575"/>
      <c r="BC3969" s="576"/>
      <c r="BD3969" s="678"/>
      <c r="BE3969" s="585"/>
    </row>
    <row r="3970" spans="1:57" s="1942" customFormat="1" ht="15" hidden="1" customHeight="1" outlineLevel="1" x14ac:dyDescent="0.25">
      <c r="A3970" s="2060"/>
      <c r="B3970" s="576"/>
      <c r="C3970" s="328"/>
      <c r="D3970" s="4023"/>
      <c r="E3970" s="4020"/>
      <c r="F3970" s="3016" t="str">
        <f t="shared" si="309"/>
        <v>ASHP-SEER17-Replace_CAC_ElectricHeat_ROF_MF_CompE</v>
      </c>
      <c r="G3970" s="2673"/>
      <c r="H3970" s="2673"/>
      <c r="I3970" s="2673"/>
      <c r="J3970" s="3302" t="str">
        <f t="shared" si="315"/>
        <v>353151_2019_12_</v>
      </c>
      <c r="K3970" s="1052"/>
      <c r="L3970" s="109"/>
      <c r="M3970" s="3066"/>
      <c r="N3970" s="1135"/>
      <c r="O3970" s="228"/>
      <c r="P3970" s="844"/>
      <c r="Q3970" s="845"/>
      <c r="R3970" s="844"/>
      <c r="S3970" s="832"/>
      <c r="T3970" s="3082"/>
      <c r="U3970" s="123"/>
      <c r="V3970" s="4031"/>
      <c r="W3970" s="3307"/>
      <c r="X3970" s="535"/>
      <c r="Y3970" s="535"/>
      <c r="Z3970" s="532"/>
      <c r="AA3970" s="532"/>
      <c r="AB3970" s="535"/>
      <c r="AC3970" s="1052"/>
      <c r="AD3970" s="793"/>
      <c r="AE3970" s="793"/>
      <c r="AF3970" s="793"/>
      <c r="AG3970" s="793"/>
      <c r="BB3970" s="575"/>
      <c r="BC3970" s="576"/>
      <c r="BD3970" s="678"/>
      <c r="BE3970" s="585"/>
    </row>
    <row r="3971" spans="1:57" s="1942" customFormat="1" ht="15" hidden="1" customHeight="1" outlineLevel="1" x14ac:dyDescent="0.25">
      <c r="A3971" s="2060"/>
      <c r="B3971" s="576"/>
      <c r="C3971" s="328"/>
      <c r="D3971" s="4023"/>
      <c r="E3971" s="4020"/>
      <c r="F3971" s="3016" t="str">
        <f t="shared" si="309"/>
        <v>ASHP-SEER17-Replace_CAC_NonElectricHeat_ROF_MF</v>
      </c>
      <c r="G3971" s="2673"/>
      <c r="H3971" s="2673"/>
      <c r="I3971" s="2673"/>
      <c r="J3971" s="3301" t="str">
        <f t="shared" si="315"/>
        <v>353160_2021_12_</v>
      </c>
      <c r="K3971" s="3294">
        <f>$R$1807*K$3303</f>
        <v>724</v>
      </c>
      <c r="L3971" s="112">
        <f>VLOOKUP(J3971,$J$1801:$L$1987,3,FALSE)*M3971</f>
        <v>1.8199999999999998</v>
      </c>
      <c r="M3971" s="3286">
        <f>VLOOKUP(J3971,$J$3297:$K$3483,2,FALSE)</f>
        <v>0.65</v>
      </c>
      <c r="N3971" s="1135"/>
      <c r="O3971" s="228"/>
      <c r="P3971" s="844"/>
      <c r="Q3971" s="845"/>
      <c r="R3971" s="844"/>
      <c r="S3971" s="832"/>
      <c r="T3971" s="3082"/>
      <c r="U3971" s="123"/>
      <c r="V3971" s="4031"/>
      <c r="W3971" s="3307"/>
      <c r="X3971" s="535"/>
      <c r="Y3971" s="535"/>
      <c r="Z3971" s="532"/>
      <c r="AA3971" s="532"/>
      <c r="AB3971" s="535"/>
      <c r="AC3971" s="3294">
        <v>724</v>
      </c>
      <c r="AD3971" s="793"/>
      <c r="AE3971" s="793"/>
      <c r="AF3971" s="793"/>
      <c r="AG3971" s="793"/>
      <c r="BB3971" s="575"/>
      <c r="BC3971" s="576"/>
      <c r="BD3971" s="678"/>
      <c r="BE3971" s="585"/>
    </row>
    <row r="3972" spans="1:57" s="1942" customFormat="1" ht="15" hidden="1" customHeight="1" outlineLevel="1" x14ac:dyDescent="0.25">
      <c r="A3972" s="2060"/>
      <c r="B3972" s="576"/>
      <c r="C3972" s="328"/>
      <c r="D3972" s="4023"/>
      <c r="E3972" s="4020"/>
      <c r="F3972" s="3016" t="str">
        <f t="shared" si="309"/>
        <v>ASHP-SEER17-Replace_CAC_NonElectricHeat_ROF_MF</v>
      </c>
      <c r="G3972" s="2673"/>
      <c r="H3972" s="2673"/>
      <c r="I3972" s="2673"/>
      <c r="J3972" s="3301" t="str">
        <f t="shared" si="315"/>
        <v>353160_2021_12_</v>
      </c>
      <c r="K3972" s="1052"/>
      <c r="L3972" s="109"/>
      <c r="M3972" s="3066"/>
      <c r="N3972" s="1135"/>
      <c r="O3972" s="228"/>
      <c r="P3972" s="844"/>
      <c r="Q3972" s="845"/>
      <c r="R3972" s="844"/>
      <c r="S3972" s="832"/>
      <c r="T3972" s="3082"/>
      <c r="U3972" s="123"/>
      <c r="V3972" s="4031"/>
      <c r="W3972" s="3307"/>
      <c r="X3972" s="535"/>
      <c r="Y3972" s="535"/>
      <c r="Z3972" s="532"/>
      <c r="AA3972" s="532"/>
      <c r="AB3972" s="535"/>
      <c r="AC3972" s="1052"/>
      <c r="AD3972" s="793"/>
      <c r="AE3972" s="793"/>
      <c r="AF3972" s="793"/>
      <c r="AG3972" s="793"/>
      <c r="BB3972" s="575"/>
      <c r="BC3972" s="576"/>
      <c r="BD3972" s="678"/>
      <c r="BE3972" s="585"/>
    </row>
    <row r="3973" spans="1:57" s="1942" customFormat="1" ht="15" hidden="1" customHeight="1" outlineLevel="1" x14ac:dyDescent="0.25">
      <c r="A3973" s="2060"/>
      <c r="B3973" s="576"/>
      <c r="C3973" s="328"/>
      <c r="D3973" s="4023"/>
      <c r="E3973" s="4020"/>
      <c r="F3973" s="3016" t="str">
        <f t="shared" si="309"/>
        <v>ASHP-SEER17-Replace_CAC_NonElectricHeat_ROF_MF_CompE</v>
      </c>
      <c r="G3973" s="2673"/>
      <c r="H3973" s="2673"/>
      <c r="I3973" s="2673"/>
      <c r="J3973" s="3301" t="str">
        <f t="shared" si="315"/>
        <v>353161_2021_12_</v>
      </c>
      <c r="K3973" s="3294">
        <f>$R$1807*K$3303</f>
        <v>724</v>
      </c>
      <c r="L3973" s="112">
        <f>VLOOKUP(J3973,$J$1801:$L$1987,3,FALSE)*M3973</f>
        <v>1.8199999999999998</v>
      </c>
      <c r="M3973" s="3286">
        <f>VLOOKUP(J3973,$J$3297:$K$3483,2,FALSE)</f>
        <v>0.65</v>
      </c>
      <c r="N3973" s="1135"/>
      <c r="O3973" s="228"/>
      <c r="P3973" s="844"/>
      <c r="Q3973" s="845"/>
      <c r="R3973" s="844"/>
      <c r="S3973" s="832"/>
      <c r="T3973" s="3082"/>
      <c r="U3973" s="123"/>
      <c r="V3973" s="4031"/>
      <c r="W3973" s="3307"/>
      <c r="X3973" s="535"/>
      <c r="Y3973" s="535"/>
      <c r="Z3973" s="532"/>
      <c r="AA3973" s="532"/>
      <c r="AB3973" s="535"/>
      <c r="AC3973" s="3294">
        <v>724</v>
      </c>
      <c r="AD3973" s="793"/>
      <c r="AE3973" s="793"/>
      <c r="AF3973" s="793"/>
      <c r="AG3973" s="793"/>
      <c r="BB3973" s="575"/>
      <c r="BC3973" s="576"/>
      <c r="BD3973" s="678"/>
      <c r="BE3973" s="585"/>
    </row>
    <row r="3974" spans="1:57" s="1942" customFormat="1" ht="15" hidden="1" customHeight="1" outlineLevel="1" x14ac:dyDescent="0.25">
      <c r="A3974" s="2060"/>
      <c r="B3974" s="576"/>
      <c r="C3974" s="328"/>
      <c r="D3974" s="4023"/>
      <c r="E3974" s="4020"/>
      <c r="F3974" s="3016" t="str">
        <f t="shared" si="309"/>
        <v>ASHP-SEER17-Replace_CAC_NonElectricHeat_ROF_MF_CompE</v>
      </c>
      <c r="G3974" s="2673"/>
      <c r="H3974" s="2673"/>
      <c r="I3974" s="2673"/>
      <c r="J3974" s="3301" t="str">
        <f t="shared" si="315"/>
        <v>353161_2021_12_</v>
      </c>
      <c r="K3974" s="1052"/>
      <c r="L3974" s="109"/>
      <c r="M3974" s="3066"/>
      <c r="N3974" s="1135"/>
      <c r="O3974" s="228"/>
      <c r="P3974" s="844"/>
      <c r="Q3974" s="845"/>
      <c r="R3974" s="844"/>
      <c r="S3974" s="832"/>
      <c r="T3974" s="3082"/>
      <c r="U3974" s="123"/>
      <c r="V3974" s="4031"/>
      <c r="W3974" s="3307"/>
      <c r="X3974" s="535"/>
      <c r="Y3974" s="535"/>
      <c r="Z3974" s="532"/>
      <c r="AA3974" s="532"/>
      <c r="AB3974" s="535"/>
      <c r="AC3974" s="1052"/>
      <c r="AD3974" s="793"/>
      <c r="AE3974" s="793"/>
      <c r="AF3974" s="793"/>
      <c r="AG3974" s="793"/>
      <c r="BB3974" s="575"/>
      <c r="BC3974" s="576"/>
      <c r="BD3974" s="678"/>
      <c r="BE3974" s="585"/>
    </row>
    <row r="3975" spans="1:57" s="51" customFormat="1" ht="15" hidden="1" customHeight="1" outlineLevel="1" x14ac:dyDescent="0.25">
      <c r="A3975" s="2060"/>
      <c r="B3975" s="576"/>
      <c r="C3975" s="328"/>
      <c r="D3975" s="4023"/>
      <c r="E3975" s="4020"/>
      <c r="F3975" s="3016" t="str">
        <f t="shared" si="309"/>
        <v>ASHP-SEER18-Replace_CAC_ElectricHeat_ROF_SF</v>
      </c>
      <c r="G3975" s="2673"/>
      <c r="H3975" s="2673"/>
      <c r="I3975" s="2673"/>
      <c r="J3975" s="3301" t="str">
        <f>C1523</f>
        <v>353200_2021_12_</v>
      </c>
      <c r="K3975" s="1052">
        <f>$R$1808*K$3303</f>
        <v>962.92000000000007</v>
      </c>
      <c r="L3975" s="109">
        <f>VLOOKUP(J3975,$J$1801:$L$1987,3,FALSE)*M3975</f>
        <v>3.0405405405405403</v>
      </c>
      <c r="M3975" s="3066">
        <f>VLOOKUP(J3975,$J$3297:$K$3483,2,FALSE)</f>
        <v>1</v>
      </c>
      <c r="N3975" s="1135"/>
      <c r="O3975" s="228"/>
      <c r="P3975" s="844"/>
      <c r="Q3975" s="845"/>
      <c r="R3975" s="844"/>
      <c r="S3975" s="832"/>
      <c r="T3975" s="3082"/>
      <c r="U3975" s="123"/>
      <c r="V3975" s="4031"/>
      <c r="W3975" s="3307">
        <v>1997.3333333333333</v>
      </c>
      <c r="X3975" s="535">
        <f>$R$1808*(X$1859/12000)*X$3355</f>
        <v>2696.1759999999999</v>
      </c>
      <c r="Y3975" s="535">
        <v>713.33333333333337</v>
      </c>
      <c r="Z3975" s="532">
        <v>713.33333333333337</v>
      </c>
      <c r="AA3975" s="532">
        <v>713.33333333333337</v>
      </c>
      <c r="AB3975" s="535">
        <v>962.92000000000007</v>
      </c>
      <c r="AC3975" s="1052">
        <v>962.92000000000007</v>
      </c>
      <c r="AD3975" s="3295"/>
      <c r="AE3975" s="793"/>
      <c r="AF3975" s="793"/>
      <c r="AG3975" s="793"/>
      <c r="AH3975" s="1942"/>
      <c r="AI3975" s="1942"/>
      <c r="AJ3975" s="1942"/>
      <c r="AK3975" s="1942"/>
      <c r="AL3975" s="1942"/>
      <c r="AM3975" s="1942"/>
      <c r="AN3975" s="1942"/>
      <c r="AO3975" s="1942"/>
      <c r="AP3975" s="1942"/>
      <c r="AQ3975" s="1942"/>
      <c r="AR3975" s="1942"/>
      <c r="AS3975" s="1942"/>
      <c r="AT3975" s="1942"/>
      <c r="AU3975" s="1942"/>
      <c r="AV3975" s="1942"/>
      <c r="AW3975" s="1942"/>
      <c r="AX3975" s="1942"/>
      <c r="AY3975" s="1942"/>
      <c r="AZ3975" s="1942"/>
      <c r="BA3975" s="1942"/>
      <c r="BB3975" s="575"/>
      <c r="BC3975" s="576"/>
      <c r="BD3975" s="678"/>
      <c r="BE3975" s="585"/>
    </row>
    <row r="3976" spans="1:57" s="51" customFormat="1" ht="15" hidden="1" customHeight="1" outlineLevel="1" x14ac:dyDescent="0.25">
      <c r="A3976" s="2060"/>
      <c r="B3976" s="576"/>
      <c r="C3976" s="328"/>
      <c r="D3976" s="4023"/>
      <c r="E3976" s="4020"/>
      <c r="F3976" s="3016" t="str">
        <f t="shared" si="309"/>
        <v>ASHP-SEER18-Replace_CAC_ElectricHeat_ROF_SF</v>
      </c>
      <c r="G3976" s="2673"/>
      <c r="H3976" s="2673"/>
      <c r="I3976" s="2673"/>
      <c r="J3976" s="3301" t="str">
        <f>C1524</f>
        <v>353200_2021_12_</v>
      </c>
      <c r="K3976" s="1052"/>
      <c r="L3976" s="109" t="str">
        <f>IF(K3976&gt;0,VLOOKUP(J3976,$J$1801:$L$1987,3,FALSE),"")</f>
        <v/>
      </c>
      <c r="M3976" s="3066" t="str">
        <f>IF(K3976&gt;0,VLOOKUP(J3976,$J$3297:$K$3483,2,FALSE),"")</f>
        <v/>
      </c>
      <c r="N3976" s="1135"/>
      <c r="O3976" s="228"/>
      <c r="P3976" s="844"/>
      <c r="Q3976" s="845"/>
      <c r="R3976" s="844"/>
      <c r="S3976" s="832"/>
      <c r="T3976" s="3082"/>
      <c r="U3976" s="123"/>
      <c r="V3976" s="4031"/>
      <c r="W3976" s="3307"/>
      <c r="X3976" s="535"/>
      <c r="Y3976" s="535"/>
      <c r="Z3976" s="532"/>
      <c r="AA3976" s="532"/>
      <c r="AB3976" s="535"/>
      <c r="AC3976" s="1052"/>
      <c r="AD3976" s="793"/>
      <c r="AE3976" s="793"/>
      <c r="AF3976" s="793"/>
      <c r="AG3976" s="793"/>
      <c r="AH3976" s="1942"/>
      <c r="AI3976" s="1942"/>
      <c r="AJ3976" s="1942"/>
      <c r="AK3976" s="1942"/>
      <c r="AL3976" s="1942"/>
      <c r="AM3976" s="1942"/>
      <c r="AN3976" s="1942"/>
      <c r="AO3976" s="1942"/>
      <c r="AP3976" s="1942"/>
      <c r="AQ3976" s="1942"/>
      <c r="AR3976" s="1942"/>
      <c r="AS3976" s="1942"/>
      <c r="AT3976" s="1942"/>
      <c r="AU3976" s="1942"/>
      <c r="AV3976" s="1942"/>
      <c r="AW3976" s="1942"/>
      <c r="AX3976" s="1942"/>
      <c r="AY3976" s="1942"/>
      <c r="AZ3976" s="1942"/>
      <c r="BA3976" s="1942"/>
      <c r="BB3976" s="575"/>
      <c r="BC3976" s="576"/>
      <c r="BD3976" s="678"/>
      <c r="BE3976" s="585"/>
    </row>
    <row r="3977" spans="1:57" s="51" customFormat="1" ht="15" hidden="1" customHeight="1" outlineLevel="1" x14ac:dyDescent="0.25">
      <c r="A3977" s="2060"/>
      <c r="B3977" s="576"/>
      <c r="C3977" s="328"/>
      <c r="D3977" s="4023"/>
      <c r="E3977" s="4020"/>
      <c r="F3977" s="3016" t="str">
        <f t="shared" si="309"/>
        <v>ASHP-SEER18-Replace_CAC_ElectricHeat_ROF_MF</v>
      </c>
      <c r="G3977" s="2673"/>
      <c r="H3977" s="2673"/>
      <c r="I3977" s="2673"/>
      <c r="J3977" s="3301" t="str">
        <f>C1525</f>
        <v>353250_2021_12_</v>
      </c>
      <c r="K3977" s="1052">
        <f>$R$1808*K$3303</f>
        <v>962.92000000000007</v>
      </c>
      <c r="L3977" s="109">
        <f>VLOOKUP(J3977,$J$1801:$L$1987,3,FALSE)*M3977</f>
        <v>1.9500000000000002</v>
      </c>
      <c r="M3977" s="3066">
        <f>VLOOKUP(J3977,$J$3297:$K$3483,2,FALSE)</f>
        <v>0.65</v>
      </c>
      <c r="N3977" s="1135"/>
      <c r="O3977" s="228"/>
      <c r="P3977" s="844"/>
      <c r="Q3977" s="845"/>
      <c r="R3977" s="844"/>
      <c r="S3977" s="832"/>
      <c r="T3977" s="3082"/>
      <c r="U3977" s="123"/>
      <c r="V3977" s="4031"/>
      <c r="W3977" s="3307">
        <v>1997.3333333333333</v>
      </c>
      <c r="X3977" s="535">
        <f>$R$1808*(X$1860/12000)*X$3356</f>
        <v>1752.5144</v>
      </c>
      <c r="Y3977" s="535">
        <v>713.33333333333337</v>
      </c>
      <c r="Z3977" s="532">
        <v>713.33333333333337</v>
      </c>
      <c r="AA3977" s="532">
        <v>713.33333333333337</v>
      </c>
      <c r="AB3977" s="535">
        <v>962.92000000000007</v>
      </c>
      <c r="AC3977" s="1052">
        <v>962.92000000000007</v>
      </c>
      <c r="AD3977" s="793"/>
      <c r="AE3977" s="793"/>
      <c r="AF3977" s="793"/>
      <c r="AG3977" s="793"/>
      <c r="AH3977" s="1942"/>
      <c r="AI3977" s="1942"/>
      <c r="AJ3977" s="1942"/>
      <c r="AK3977" s="1942"/>
      <c r="AL3977" s="1942"/>
      <c r="AM3977" s="1942"/>
      <c r="AN3977" s="1942"/>
      <c r="AO3977" s="1942"/>
      <c r="AP3977" s="1942"/>
      <c r="AQ3977" s="1942"/>
      <c r="AR3977" s="1942"/>
      <c r="AS3977" s="1942"/>
      <c r="AT3977" s="1942"/>
      <c r="AU3977" s="1942"/>
      <c r="AV3977" s="1942"/>
      <c r="AW3977" s="1942"/>
      <c r="AX3977" s="1942"/>
      <c r="AY3977" s="1942"/>
      <c r="AZ3977" s="1942"/>
      <c r="BA3977" s="1942"/>
      <c r="BB3977" s="575"/>
      <c r="BC3977" s="576"/>
      <c r="BD3977" s="678"/>
      <c r="BE3977" s="585"/>
    </row>
    <row r="3978" spans="1:57" s="51" customFormat="1" ht="15" hidden="1" customHeight="1" outlineLevel="1" x14ac:dyDescent="0.25">
      <c r="A3978" s="2060"/>
      <c r="B3978" s="576"/>
      <c r="C3978" s="328"/>
      <c r="D3978" s="4023"/>
      <c r="E3978" s="4020"/>
      <c r="F3978" s="3016" t="str">
        <f t="shared" si="309"/>
        <v>ASHP-SEER18-Replace_CAC_ElectricHeat_ROF_MF</v>
      </c>
      <c r="G3978" s="2673"/>
      <c r="H3978" s="2673"/>
      <c r="I3978" s="2673"/>
      <c r="J3978" s="3301" t="str">
        <f>C1526</f>
        <v>353250_2021_12_</v>
      </c>
      <c r="K3978" s="1052"/>
      <c r="L3978" s="109" t="str">
        <f>IF(K3978&gt;0,VLOOKUP(J3978,$J$1801:$L$1987,3,FALSE),"")</f>
        <v/>
      </c>
      <c r="M3978" s="3066" t="str">
        <f>IF(K3978&gt;0,VLOOKUP(J3978,$J$3297:$K$3483,2,FALSE),"")</f>
        <v/>
      </c>
      <c r="N3978" s="1135"/>
      <c r="O3978" s="228"/>
      <c r="P3978" s="844"/>
      <c r="Q3978" s="845"/>
      <c r="R3978" s="844"/>
      <c r="S3978" s="832"/>
      <c r="T3978" s="3082"/>
      <c r="U3978" s="123"/>
      <c r="V3978" s="4031"/>
      <c r="W3978" s="3307"/>
      <c r="X3978" s="535"/>
      <c r="Y3978" s="535"/>
      <c r="Z3978" s="532"/>
      <c r="AA3978" s="532"/>
      <c r="AB3978" s="535"/>
      <c r="AC3978" s="1052"/>
      <c r="AD3978" s="792"/>
      <c r="AE3978" s="792"/>
      <c r="AF3978" s="792"/>
      <c r="AG3978" s="792"/>
      <c r="AH3978" s="1942"/>
      <c r="AI3978" s="1942"/>
      <c r="AJ3978" s="1942"/>
      <c r="AK3978" s="1942"/>
      <c r="AL3978" s="1942"/>
      <c r="AM3978" s="1942"/>
      <c r="AN3978" s="1942"/>
      <c r="AO3978" s="1942"/>
      <c r="AP3978" s="1942"/>
      <c r="AQ3978" s="1942"/>
      <c r="AR3978" s="1942"/>
      <c r="AS3978" s="1942"/>
      <c r="AT3978" s="1942"/>
      <c r="AU3978" s="1942"/>
      <c r="AV3978" s="1942"/>
      <c r="AW3978" s="1942"/>
      <c r="AX3978" s="1942"/>
      <c r="AY3978" s="1942"/>
      <c r="AZ3978" s="1942"/>
      <c r="BA3978" s="1942"/>
      <c r="BB3978" s="575"/>
      <c r="BC3978" s="576"/>
      <c r="BD3978" s="678"/>
      <c r="BE3978" s="585"/>
    </row>
    <row r="3979" spans="1:57" s="1942" customFormat="1" ht="15" hidden="1" customHeight="1" outlineLevel="1" x14ac:dyDescent="0.25">
      <c r="A3979" s="2060"/>
      <c r="B3979" s="576"/>
      <c r="C3979" s="328"/>
      <c r="D3979" s="4023"/>
      <c r="E3979" s="4020"/>
      <c r="F3979" s="3016" t="str">
        <f t="shared" si="309"/>
        <v>ASHP-SEER18-Replace_CAC_ElectricHeat_ROF_MF_CompE</v>
      </c>
      <c r="G3979" s="2673"/>
      <c r="H3979" s="2673"/>
      <c r="I3979" s="2673"/>
      <c r="J3979" s="3301" t="str">
        <f t="shared" ref="J3979:J3984" si="316">C1527</f>
        <v>353251_2021_12_</v>
      </c>
      <c r="K3979" s="3294">
        <f>$R$1808*K$3303</f>
        <v>962.92000000000007</v>
      </c>
      <c r="L3979" s="112">
        <f>VLOOKUP(J3979,$J$1801:$L$1987,3,FALSE)*M3979</f>
        <v>1.9500000000000002</v>
      </c>
      <c r="M3979" s="3286">
        <f>VLOOKUP(J3979,$J$3297:$K$3483,2,FALSE)</f>
        <v>0.65</v>
      </c>
      <c r="N3979" s="1135"/>
      <c r="O3979" s="228"/>
      <c r="P3979" s="844"/>
      <c r="Q3979" s="845"/>
      <c r="R3979" s="844"/>
      <c r="S3979" s="832"/>
      <c r="T3979" s="3082"/>
      <c r="U3979" s="123"/>
      <c r="V3979" s="4031"/>
      <c r="W3979" s="3307"/>
      <c r="X3979" s="535"/>
      <c r="Y3979" s="535"/>
      <c r="Z3979" s="532"/>
      <c r="AA3979" s="532"/>
      <c r="AB3979" s="535"/>
      <c r="AC3979" s="3294">
        <v>962.92000000000007</v>
      </c>
      <c r="AD3979" s="792"/>
      <c r="AE3979" s="792"/>
      <c r="AF3979" s="792"/>
      <c r="AG3979" s="792"/>
      <c r="BB3979" s="575"/>
      <c r="BC3979" s="576"/>
      <c r="BD3979" s="678"/>
      <c r="BE3979" s="585"/>
    </row>
    <row r="3980" spans="1:57" s="1942" customFormat="1" ht="15" hidden="1" customHeight="1" outlineLevel="1" x14ac:dyDescent="0.25">
      <c r="A3980" s="2060"/>
      <c r="B3980" s="576"/>
      <c r="C3980" s="328"/>
      <c r="D3980" s="4023"/>
      <c r="E3980" s="4020"/>
      <c r="F3980" s="3016" t="str">
        <f t="shared" si="309"/>
        <v>ASHP-SEER18-Replace_CAC_ElectricHeat_ROF_MF_CompE</v>
      </c>
      <c r="G3980" s="2673"/>
      <c r="H3980" s="2673"/>
      <c r="I3980" s="2673"/>
      <c r="J3980" s="3301" t="str">
        <f t="shared" si="316"/>
        <v>353251_2021_12_</v>
      </c>
      <c r="K3980" s="1052"/>
      <c r="L3980" s="109"/>
      <c r="M3980" s="3066"/>
      <c r="N3980" s="1135"/>
      <c r="O3980" s="228"/>
      <c r="P3980" s="844"/>
      <c r="Q3980" s="845"/>
      <c r="R3980" s="844"/>
      <c r="S3980" s="832"/>
      <c r="T3980" s="3082"/>
      <c r="U3980" s="123"/>
      <c r="V3980" s="4031"/>
      <c r="W3980" s="3307"/>
      <c r="X3980" s="535"/>
      <c r="Y3980" s="535"/>
      <c r="Z3980" s="532"/>
      <c r="AA3980" s="532"/>
      <c r="AB3980" s="535"/>
      <c r="AC3980" s="1052"/>
      <c r="AD3980" s="792"/>
      <c r="AE3980" s="792"/>
      <c r="AF3980" s="792"/>
      <c r="AG3980" s="792"/>
      <c r="BB3980" s="575"/>
      <c r="BC3980" s="576"/>
      <c r="BD3980" s="678"/>
      <c r="BE3980" s="585"/>
    </row>
    <row r="3981" spans="1:57" s="1942" customFormat="1" ht="15" hidden="1" customHeight="1" outlineLevel="1" x14ac:dyDescent="0.25">
      <c r="A3981" s="2060"/>
      <c r="B3981" s="576"/>
      <c r="C3981" s="328"/>
      <c r="D3981" s="4023"/>
      <c r="E3981" s="4020"/>
      <c r="F3981" s="3016" t="str">
        <f t="shared" si="309"/>
        <v>ASHP-SEER18-Replace_CAC_NonElectricHeat_ROF_MF</v>
      </c>
      <c r="G3981" s="2673"/>
      <c r="H3981" s="2673"/>
      <c r="I3981" s="2673"/>
      <c r="J3981" s="3301" t="str">
        <f t="shared" si="316"/>
        <v>353260_2021_12_</v>
      </c>
      <c r="K3981" s="3294">
        <f>$R$1808*K$3303</f>
        <v>962.92000000000007</v>
      </c>
      <c r="L3981" s="112">
        <f>VLOOKUP(J3981,$J$1801:$L$1987,3,FALSE)*M3981</f>
        <v>1.9500000000000002</v>
      </c>
      <c r="M3981" s="3286">
        <f>VLOOKUP(J3981,$J$3297:$K$3483,2,FALSE)</f>
        <v>0.65</v>
      </c>
      <c r="N3981" s="1135"/>
      <c r="O3981" s="228"/>
      <c r="P3981" s="844"/>
      <c r="Q3981" s="845"/>
      <c r="R3981" s="844"/>
      <c r="S3981" s="832"/>
      <c r="T3981" s="3082"/>
      <c r="U3981" s="123"/>
      <c r="V3981" s="4031"/>
      <c r="W3981" s="3307"/>
      <c r="X3981" s="535"/>
      <c r="Y3981" s="535"/>
      <c r="Z3981" s="532"/>
      <c r="AA3981" s="532"/>
      <c r="AB3981" s="535"/>
      <c r="AC3981" s="3294">
        <v>962.92000000000007</v>
      </c>
      <c r="AD3981" s="792"/>
      <c r="AE3981" s="792"/>
      <c r="AF3981" s="792"/>
      <c r="AG3981" s="792"/>
      <c r="BB3981" s="575"/>
      <c r="BC3981" s="576"/>
      <c r="BD3981" s="678"/>
      <c r="BE3981" s="585"/>
    </row>
    <row r="3982" spans="1:57" s="1942" customFormat="1" ht="15" hidden="1" customHeight="1" outlineLevel="1" x14ac:dyDescent="0.25">
      <c r="A3982" s="2060"/>
      <c r="B3982" s="576"/>
      <c r="C3982" s="328"/>
      <c r="D3982" s="4023"/>
      <c r="E3982" s="4020"/>
      <c r="F3982" s="3016" t="str">
        <f t="shared" si="309"/>
        <v>ASHP-SEER18-Replace_CAC_NonElectricHeat_ROF_MF</v>
      </c>
      <c r="G3982" s="2673"/>
      <c r="H3982" s="2673"/>
      <c r="I3982" s="2673"/>
      <c r="J3982" s="3301" t="str">
        <f t="shared" si="316"/>
        <v>353260_2021_12_</v>
      </c>
      <c r="K3982" s="1052"/>
      <c r="L3982" s="109"/>
      <c r="M3982" s="3066"/>
      <c r="N3982" s="1135"/>
      <c r="O3982" s="228"/>
      <c r="P3982" s="844"/>
      <c r="Q3982" s="845"/>
      <c r="R3982" s="844"/>
      <c r="S3982" s="832"/>
      <c r="T3982" s="3082"/>
      <c r="U3982" s="123"/>
      <c r="V3982" s="4031"/>
      <c r="W3982" s="3307"/>
      <c r="X3982" s="535"/>
      <c r="Y3982" s="535"/>
      <c r="Z3982" s="532"/>
      <c r="AA3982" s="532"/>
      <c r="AB3982" s="535"/>
      <c r="AC3982" s="1052"/>
      <c r="AD3982" s="792"/>
      <c r="AE3982" s="792"/>
      <c r="AF3982" s="792"/>
      <c r="AG3982" s="792"/>
      <c r="BB3982" s="575"/>
      <c r="BC3982" s="576"/>
      <c r="BD3982" s="678"/>
      <c r="BE3982" s="585"/>
    </row>
    <row r="3983" spans="1:57" s="1942" customFormat="1" ht="15" hidden="1" customHeight="1" outlineLevel="1" x14ac:dyDescent="0.25">
      <c r="A3983" s="2060"/>
      <c r="B3983" s="576"/>
      <c r="C3983" s="328"/>
      <c r="D3983" s="4023"/>
      <c r="E3983" s="4020"/>
      <c r="F3983" s="3016" t="str">
        <f t="shared" si="309"/>
        <v>ASHP-SEER18-Replace_CAC_NonElectricHeat_ROF_MF_CompE</v>
      </c>
      <c r="G3983" s="2673"/>
      <c r="H3983" s="2673"/>
      <c r="I3983" s="2673"/>
      <c r="J3983" s="3301" t="str">
        <f t="shared" si="316"/>
        <v>353261_2021_12_</v>
      </c>
      <c r="K3983" s="3294">
        <f>$R$1808*K$3303</f>
        <v>962.92000000000007</v>
      </c>
      <c r="L3983" s="112">
        <f>VLOOKUP(J3983,$J$1801:$L$1987,3,FALSE)*M3983</f>
        <v>1.9500000000000002</v>
      </c>
      <c r="M3983" s="3286">
        <f>VLOOKUP(J3983,$J$3297:$K$3483,2,FALSE)</f>
        <v>0.65</v>
      </c>
      <c r="N3983" s="1135"/>
      <c r="O3983" s="228"/>
      <c r="P3983" s="844"/>
      <c r="Q3983" s="845"/>
      <c r="R3983" s="844"/>
      <c r="S3983" s="832"/>
      <c r="T3983" s="3082"/>
      <c r="U3983" s="123"/>
      <c r="V3983" s="4031"/>
      <c r="W3983" s="3307"/>
      <c r="X3983" s="535"/>
      <c r="Y3983" s="535"/>
      <c r="Z3983" s="532"/>
      <c r="AA3983" s="532"/>
      <c r="AB3983" s="535"/>
      <c r="AC3983" s="3294">
        <v>962.92000000000007</v>
      </c>
      <c r="AD3983" s="792"/>
      <c r="AE3983" s="792"/>
      <c r="AF3983" s="792"/>
      <c r="AG3983" s="792"/>
      <c r="BB3983" s="575"/>
      <c r="BC3983" s="576"/>
      <c r="BD3983" s="678"/>
      <c r="BE3983" s="585"/>
    </row>
    <row r="3984" spans="1:57" s="1942" customFormat="1" ht="15" hidden="1" customHeight="1" outlineLevel="1" x14ac:dyDescent="0.25">
      <c r="A3984" s="2060"/>
      <c r="B3984" s="576"/>
      <c r="C3984" s="328"/>
      <c r="D3984" s="4023"/>
      <c r="E3984" s="4020"/>
      <c r="F3984" s="3016" t="str">
        <f t="shared" si="309"/>
        <v>ASHP-SEER18-Replace_CAC_NonElectricHeat_ROF_MF_CompE</v>
      </c>
      <c r="G3984" s="2673"/>
      <c r="H3984" s="2673"/>
      <c r="I3984" s="2673"/>
      <c r="J3984" s="3301" t="str">
        <f t="shared" si="316"/>
        <v>353261_2021_12_</v>
      </c>
      <c r="K3984" s="1052"/>
      <c r="L3984" s="109"/>
      <c r="M3984" s="3066"/>
      <c r="N3984" s="1135"/>
      <c r="O3984" s="228"/>
      <c r="P3984" s="844"/>
      <c r="Q3984" s="845"/>
      <c r="R3984" s="844"/>
      <c r="S3984" s="832"/>
      <c r="T3984" s="3082"/>
      <c r="U3984" s="123"/>
      <c r="V3984" s="4031"/>
      <c r="W3984" s="3307"/>
      <c r="X3984" s="535"/>
      <c r="Y3984" s="535"/>
      <c r="Z3984" s="532"/>
      <c r="AA3984" s="532"/>
      <c r="AB3984" s="535"/>
      <c r="AC3984" s="1052"/>
      <c r="AD3984" s="792"/>
      <c r="AE3984" s="792"/>
      <c r="AF3984" s="792"/>
      <c r="AG3984" s="792"/>
      <c r="BB3984" s="575"/>
      <c r="BC3984" s="576"/>
      <c r="BD3984" s="678"/>
      <c r="BE3984" s="585"/>
    </row>
    <row r="3985" spans="1:57" s="51" customFormat="1" ht="14.45" hidden="1" customHeight="1" outlineLevel="1" x14ac:dyDescent="0.25">
      <c r="A3985" s="2060"/>
      <c r="B3985" s="576"/>
      <c r="C3985" s="328"/>
      <c r="D3985" s="4023"/>
      <c r="E3985" s="4020"/>
      <c r="F3985" s="3016" t="str">
        <f t="shared" si="309"/>
        <v>ASHP-SEER19-Replace_CAC_ElectricHeat_ROF_SF</v>
      </c>
      <c r="G3985" s="2673"/>
      <c r="H3985" s="2673"/>
      <c r="I3985" s="2673"/>
      <c r="J3985" s="3301" t="str">
        <f t="shared" ref="J3985:J3990" si="317">C1533</f>
        <v>353300_2021_12_</v>
      </c>
      <c r="K3985" s="1052">
        <f>$R$1809*K$3303</f>
        <v>1203.6500000000003</v>
      </c>
      <c r="L3985" s="109">
        <f>VLOOKUP(J3985,$J$1801:$L$1987,3,FALSE)*M3985</f>
        <v>4</v>
      </c>
      <c r="M3985" s="3066">
        <f>VLOOKUP(J3985,$J$3297:$K$3483,2,FALSE)</f>
        <v>1</v>
      </c>
      <c r="N3985" s="1135"/>
      <c r="O3985" s="228"/>
      <c r="P3985" s="844"/>
      <c r="Q3985" s="845"/>
      <c r="R3985" s="844"/>
      <c r="S3985" s="832"/>
      <c r="T3985" s="3082"/>
      <c r="U3985" s="123"/>
      <c r="V3985" s="4031"/>
      <c r="W3985" s="3307">
        <v>2277.3333333333335</v>
      </c>
      <c r="X3985" s="535">
        <f>$R$1809*(X$1864/12000)*X$3360</f>
        <v>3370.2200000000007</v>
      </c>
      <c r="Y3985" s="535">
        <v>813.33333333333337</v>
      </c>
      <c r="Z3985" s="532">
        <v>813.33333333333337</v>
      </c>
      <c r="AA3985" s="532">
        <v>813.33333333333337</v>
      </c>
      <c r="AB3985" s="535">
        <v>1203.6500000000003</v>
      </c>
      <c r="AC3985" s="1052">
        <v>1203.6500000000003</v>
      </c>
      <c r="AD3985" s="793"/>
      <c r="AE3985" s="793"/>
      <c r="AF3985" s="793"/>
      <c r="AG3985" s="793"/>
      <c r="AH3985" s="1942"/>
      <c r="AI3985" s="1942"/>
      <c r="AJ3985" s="1942"/>
      <c r="AK3985" s="1942"/>
      <c r="AL3985" s="1942"/>
      <c r="AM3985" s="1942"/>
      <c r="AN3985" s="1942"/>
      <c r="AO3985" s="1942"/>
      <c r="AP3985" s="1942"/>
      <c r="AQ3985" s="1942"/>
      <c r="AR3985" s="1942"/>
      <c r="AS3985" s="1942"/>
      <c r="AT3985" s="1942"/>
      <c r="AU3985" s="1942"/>
      <c r="AV3985" s="1942"/>
      <c r="AW3985" s="1942"/>
      <c r="AX3985" s="1942"/>
      <c r="AY3985" s="1942"/>
      <c r="AZ3985" s="1942"/>
      <c r="BA3985" s="1942"/>
      <c r="BB3985" s="575"/>
      <c r="BC3985" s="576"/>
      <c r="BD3985" s="678"/>
      <c r="BE3985" s="585"/>
    </row>
    <row r="3986" spans="1:57" s="51" customFormat="1" ht="14.45" hidden="1" customHeight="1" outlineLevel="1" x14ac:dyDescent="0.25">
      <c r="A3986" s="2060"/>
      <c r="B3986" s="576"/>
      <c r="C3986" s="328"/>
      <c r="D3986" s="4023"/>
      <c r="E3986" s="4020"/>
      <c r="F3986" s="3016" t="str">
        <f t="shared" si="309"/>
        <v>ASHP-SEER19-Replace_CAC_ElectricHeat_ROF_SF</v>
      </c>
      <c r="G3986" s="2673"/>
      <c r="H3986" s="2673"/>
      <c r="I3986" s="2673"/>
      <c r="J3986" s="3301" t="str">
        <f t="shared" si="317"/>
        <v>353300_2021_12_</v>
      </c>
      <c r="K3986" s="1052"/>
      <c r="L3986" s="109" t="str">
        <f>IF(K3986&gt;0,VLOOKUP(J3986,$J$1801:$L$1987,3,FALSE),"")</f>
        <v/>
      </c>
      <c r="M3986" s="3066" t="str">
        <f>IF(K3986&gt;0,VLOOKUP(J3986,$J$3297:$K$3483,2,FALSE),"")</f>
        <v/>
      </c>
      <c r="N3986" s="1135"/>
      <c r="O3986" s="228"/>
      <c r="P3986" s="844"/>
      <c r="Q3986" s="845"/>
      <c r="R3986" s="844"/>
      <c r="S3986" s="832"/>
      <c r="T3986" s="3082"/>
      <c r="U3986" s="123"/>
      <c r="V3986" s="4031"/>
      <c r="W3986" s="3307"/>
      <c r="X3986" s="535"/>
      <c r="Y3986" s="535"/>
      <c r="Z3986" s="532"/>
      <c r="AA3986" s="532"/>
      <c r="AB3986" s="535"/>
      <c r="AC3986" s="1052"/>
      <c r="AD3986" s="793"/>
      <c r="AE3986" s="793"/>
      <c r="AF3986" s="793"/>
      <c r="AG3986" s="793"/>
      <c r="AH3986" s="1942"/>
      <c r="AI3986" s="1942"/>
      <c r="AJ3986" s="1942"/>
      <c r="AK3986" s="1942"/>
      <c r="AL3986" s="1942"/>
      <c r="AM3986" s="1942"/>
      <c r="AN3986" s="1942"/>
      <c r="AO3986" s="1942"/>
      <c r="AP3986" s="1942"/>
      <c r="AQ3986" s="1942"/>
      <c r="AR3986" s="1942"/>
      <c r="AS3986" s="1942"/>
      <c r="AT3986" s="1942"/>
      <c r="AU3986" s="1942"/>
      <c r="AV3986" s="1942"/>
      <c r="AW3986" s="1942"/>
      <c r="AX3986" s="1942"/>
      <c r="AY3986" s="1942"/>
      <c r="AZ3986" s="1942"/>
      <c r="BA3986" s="1942"/>
      <c r="BB3986" s="575"/>
      <c r="BC3986" s="576"/>
      <c r="BD3986" s="678"/>
      <c r="BE3986" s="585"/>
    </row>
    <row r="3987" spans="1:57" s="51" customFormat="1" ht="14.45" hidden="1" customHeight="1" outlineLevel="1" x14ac:dyDescent="0.25">
      <c r="A3987" s="2060"/>
      <c r="B3987" s="576"/>
      <c r="C3987" s="328"/>
      <c r="D3987" s="4023"/>
      <c r="E3987" s="4020"/>
      <c r="F3987" s="3016" t="str">
        <f t="shared" si="309"/>
        <v>ASHP-SEER19-Replace_CAC_ElectricHeat_ROF_MF</v>
      </c>
      <c r="G3987" s="2673"/>
      <c r="H3987" s="2673"/>
      <c r="I3987" s="2673"/>
      <c r="J3987" s="3301" t="str">
        <f t="shared" si="317"/>
        <v>353350_2021_12_</v>
      </c>
      <c r="K3987" s="1052">
        <f>$R$1809*K$3303</f>
        <v>1203.6500000000003</v>
      </c>
      <c r="L3987" s="109">
        <f>VLOOKUP(J3987,$J$1801:$L$1987,3,FALSE)*M3987</f>
        <v>1.8199999999999998</v>
      </c>
      <c r="M3987" s="3066">
        <f>VLOOKUP(J3987,$J$3297:$K$3483,2,FALSE)</f>
        <v>0.65</v>
      </c>
      <c r="N3987" s="1135"/>
      <c r="O3987" s="228"/>
      <c r="P3987" s="844"/>
      <c r="Q3987" s="845"/>
      <c r="R3987" s="844"/>
      <c r="S3987" s="832"/>
      <c r="T3987" s="3082"/>
      <c r="U3987" s="123"/>
      <c r="V3987" s="4031"/>
      <c r="W3987" s="3307">
        <v>2277.3333333333335</v>
      </c>
      <c r="X3987" s="535">
        <f>$R$1809*(X$1865/12000)*X$3361</f>
        <v>2190.6430000000005</v>
      </c>
      <c r="Y3987" s="535">
        <v>813.33333333333337</v>
      </c>
      <c r="Z3987" s="532">
        <v>813.33333333333337</v>
      </c>
      <c r="AA3987" s="532">
        <v>813.33333333333337</v>
      </c>
      <c r="AB3987" s="535">
        <v>1203.6500000000003</v>
      </c>
      <c r="AC3987" s="1052">
        <v>1203.6500000000003</v>
      </c>
      <c r="AD3987" s="793"/>
      <c r="AE3987" s="793"/>
      <c r="AF3987" s="793"/>
      <c r="AG3987" s="793"/>
      <c r="AH3987" s="1942"/>
      <c r="AI3987" s="1942"/>
      <c r="AJ3987" s="1942"/>
      <c r="AK3987" s="1942"/>
      <c r="AL3987" s="1942"/>
      <c r="AM3987" s="1942"/>
      <c r="AN3987" s="1942"/>
      <c r="AO3987" s="1942"/>
      <c r="AP3987" s="1942"/>
      <c r="AQ3987" s="1942"/>
      <c r="AR3987" s="1942"/>
      <c r="AS3987" s="1942"/>
      <c r="AT3987" s="1942"/>
      <c r="AU3987" s="1942"/>
      <c r="AV3987" s="1942"/>
      <c r="AW3987" s="1942"/>
      <c r="AX3987" s="1942"/>
      <c r="AY3987" s="1942"/>
      <c r="AZ3987" s="1942"/>
      <c r="BA3987" s="1942"/>
      <c r="BB3987" s="575"/>
      <c r="BC3987" s="576"/>
      <c r="BD3987" s="678"/>
      <c r="BE3987" s="585"/>
    </row>
    <row r="3988" spans="1:57" s="51" customFormat="1" ht="14.45" hidden="1" customHeight="1" outlineLevel="1" x14ac:dyDescent="0.25">
      <c r="A3988" s="2060"/>
      <c r="B3988" s="576"/>
      <c r="C3988" s="328"/>
      <c r="D3988" s="4023"/>
      <c r="E3988" s="4020"/>
      <c r="F3988" s="3016" t="str">
        <f t="shared" si="309"/>
        <v>ASHP-SEER19-Replace_CAC_ElectricHeat_ROF_MF</v>
      </c>
      <c r="G3988" s="2673"/>
      <c r="H3988" s="2673"/>
      <c r="I3988" s="2673"/>
      <c r="J3988" s="3301" t="str">
        <f t="shared" si="317"/>
        <v>353350_2021_12_</v>
      </c>
      <c r="K3988" s="1052"/>
      <c r="L3988" s="109" t="str">
        <f>IF(K3988&gt;0,VLOOKUP(J3988,$J$1801:$L$1987,3,FALSE),"")</f>
        <v/>
      </c>
      <c r="M3988" s="3066" t="str">
        <f>IF(K3988&gt;0,VLOOKUP(J3988,$J$3297:$K$3483,2,FALSE),"")</f>
        <v/>
      </c>
      <c r="N3988" s="1135"/>
      <c r="O3988" s="228"/>
      <c r="P3988" s="844"/>
      <c r="Q3988" s="845"/>
      <c r="R3988" s="844"/>
      <c r="S3988" s="832"/>
      <c r="T3988" s="3082"/>
      <c r="U3988" s="123"/>
      <c r="V3988" s="4031"/>
      <c r="W3988" s="3307"/>
      <c r="X3988" s="535"/>
      <c r="Y3988" s="535"/>
      <c r="Z3988" s="532"/>
      <c r="AA3988" s="532"/>
      <c r="AB3988" s="535"/>
      <c r="AC3988" s="1052"/>
      <c r="AD3988" s="793"/>
      <c r="AE3988" s="793"/>
      <c r="AF3988" s="793"/>
      <c r="AG3988" s="793"/>
      <c r="AH3988" s="1942"/>
      <c r="AI3988" s="1942"/>
      <c r="AJ3988" s="1942"/>
      <c r="AK3988" s="1942"/>
      <c r="AL3988" s="1942"/>
      <c r="AM3988" s="1942"/>
      <c r="AN3988" s="1942"/>
      <c r="AO3988" s="1942"/>
      <c r="AP3988" s="1942"/>
      <c r="AQ3988" s="1942"/>
      <c r="AR3988" s="1942"/>
      <c r="AS3988" s="1942"/>
      <c r="AT3988" s="1942"/>
      <c r="AU3988" s="1942"/>
      <c r="AV3988" s="1942"/>
      <c r="AW3988" s="1942"/>
      <c r="AX3988" s="1942"/>
      <c r="AY3988" s="1942"/>
      <c r="AZ3988" s="1942"/>
      <c r="BA3988" s="1942"/>
      <c r="BB3988" s="575"/>
      <c r="BC3988" s="576"/>
      <c r="BD3988" s="678"/>
      <c r="BE3988" s="585"/>
    </row>
    <row r="3989" spans="1:57" s="1942" customFormat="1" ht="14.45" hidden="1" customHeight="1" outlineLevel="1" x14ac:dyDescent="0.25">
      <c r="A3989" s="2060"/>
      <c r="B3989" s="576"/>
      <c r="C3989" s="328"/>
      <c r="D3989" s="4023"/>
      <c r="E3989" s="4020"/>
      <c r="F3989" s="3016" t="str">
        <f t="shared" si="309"/>
        <v>ASHP-SEER19-Replace_CAC_ElectricHeat_ROF_MF_CompE</v>
      </c>
      <c r="G3989" s="2673"/>
      <c r="H3989" s="2673"/>
      <c r="I3989" s="2673"/>
      <c r="J3989" s="3302" t="str">
        <f t="shared" si="317"/>
        <v>353351_2019_12_</v>
      </c>
      <c r="K3989" s="3294">
        <f>$R$1809*K$3303</f>
        <v>1203.6500000000003</v>
      </c>
      <c r="L3989" s="112">
        <f>VLOOKUP(J3989,$J$1801:$L$1987,3,FALSE)*M3989</f>
        <v>1.8199999999999998</v>
      </c>
      <c r="M3989" s="3286">
        <f>VLOOKUP(J3989,$J$3297:$K$3483,2,FALSE)</f>
        <v>0.65</v>
      </c>
      <c r="N3989" s="1135"/>
      <c r="O3989" s="228"/>
      <c r="P3989" s="844"/>
      <c r="Q3989" s="845"/>
      <c r="R3989" s="844"/>
      <c r="S3989" s="832"/>
      <c r="T3989" s="3082"/>
      <c r="U3989" s="123"/>
      <c r="V3989" s="4031"/>
      <c r="W3989" s="3307"/>
      <c r="X3989" s="535"/>
      <c r="Y3989" s="535"/>
      <c r="Z3989" s="532"/>
      <c r="AA3989" s="532"/>
      <c r="AB3989" s="535"/>
      <c r="AC3989" s="3294">
        <v>1203.6500000000003</v>
      </c>
      <c r="AD3989" s="793"/>
      <c r="AE3989" s="793"/>
      <c r="AF3989" s="793"/>
      <c r="AG3989" s="793"/>
      <c r="BB3989" s="575"/>
      <c r="BC3989" s="576"/>
      <c r="BD3989" s="678"/>
      <c r="BE3989" s="585"/>
    </row>
    <row r="3990" spans="1:57" s="1942" customFormat="1" ht="14.45" hidden="1" customHeight="1" outlineLevel="1" x14ac:dyDescent="0.25">
      <c r="A3990" s="2060"/>
      <c r="B3990" s="576"/>
      <c r="C3990" s="328"/>
      <c r="D3990" s="4023"/>
      <c r="E3990" s="4020"/>
      <c r="F3990" s="3016" t="str">
        <f t="shared" si="309"/>
        <v>ASHP-SEER19-Replace_CAC_ElectricHeat_ROF_MF_CompE</v>
      </c>
      <c r="G3990" s="2673"/>
      <c r="H3990" s="2673"/>
      <c r="I3990" s="2673"/>
      <c r="J3990" s="3302" t="str">
        <f t="shared" si="317"/>
        <v>353351_2019_12_</v>
      </c>
      <c r="K3990" s="1052"/>
      <c r="L3990" s="109"/>
      <c r="M3990" s="3066"/>
      <c r="N3990" s="1135"/>
      <c r="O3990" s="228"/>
      <c r="P3990" s="844"/>
      <c r="Q3990" s="845"/>
      <c r="R3990" s="844"/>
      <c r="S3990" s="832"/>
      <c r="T3990" s="3082"/>
      <c r="U3990" s="123"/>
      <c r="V3990" s="4031"/>
      <c r="W3990" s="3307"/>
      <c r="X3990" s="535"/>
      <c r="Y3990" s="535"/>
      <c r="Z3990" s="532"/>
      <c r="AA3990" s="532"/>
      <c r="AB3990" s="535"/>
      <c r="AC3990" s="1052"/>
      <c r="AD3990" s="793"/>
      <c r="AE3990" s="793"/>
      <c r="AF3990" s="793"/>
      <c r="AG3990" s="793"/>
      <c r="BB3990" s="575"/>
      <c r="BC3990" s="576"/>
      <c r="BD3990" s="678"/>
      <c r="BE3990" s="585"/>
    </row>
    <row r="3991" spans="1:57" s="1942" customFormat="1" ht="14.45" hidden="1" customHeight="1" outlineLevel="1" x14ac:dyDescent="0.25">
      <c r="A3991" s="2060"/>
      <c r="B3991" s="576"/>
      <c r="C3991" s="328"/>
      <c r="D3991" s="4023"/>
      <c r="E3991" s="4020"/>
      <c r="F3991" s="3016" t="str">
        <f t="shared" ref="F3991:F4054" si="318">E1539</f>
        <v>ASHP-SEER19-Replace_CAC_NonElectricHeat_ROF_MF</v>
      </c>
      <c r="G3991" s="2673"/>
      <c r="H3991" s="2673"/>
      <c r="I3991" s="2673"/>
      <c r="J3991" s="3301" t="str">
        <f t="shared" ref="J3991:J3994" si="319">C1539</f>
        <v>353360_2021_12_</v>
      </c>
      <c r="K3991" s="3294">
        <f>$R$1809*K$3303</f>
        <v>1203.6500000000003</v>
      </c>
      <c r="L3991" s="112">
        <f>VLOOKUP(J3991,$J$1801:$L$1987,3,FALSE)*M3991</f>
        <v>1.8199999999999998</v>
      </c>
      <c r="M3991" s="3286">
        <f>VLOOKUP(J3991,$J$3297:$K$3483,2,FALSE)</f>
        <v>0.65</v>
      </c>
      <c r="N3991" s="1135"/>
      <c r="O3991" s="228"/>
      <c r="P3991" s="844"/>
      <c r="Q3991" s="845"/>
      <c r="R3991" s="844"/>
      <c r="S3991" s="832"/>
      <c r="T3991" s="3082"/>
      <c r="U3991" s="123"/>
      <c r="V3991" s="4031"/>
      <c r="W3991" s="3307"/>
      <c r="X3991" s="535"/>
      <c r="Y3991" s="535"/>
      <c r="Z3991" s="532"/>
      <c r="AA3991" s="532"/>
      <c r="AB3991" s="535"/>
      <c r="AC3991" s="3294">
        <v>1203.6500000000003</v>
      </c>
      <c r="AD3991" s="793"/>
      <c r="AE3991" s="793"/>
      <c r="AF3991" s="793"/>
      <c r="AG3991" s="793"/>
      <c r="BB3991" s="575"/>
      <c r="BC3991" s="576"/>
      <c r="BD3991" s="678"/>
      <c r="BE3991" s="585"/>
    </row>
    <row r="3992" spans="1:57" s="1942" customFormat="1" ht="14.45" hidden="1" customHeight="1" outlineLevel="1" x14ac:dyDescent="0.25">
      <c r="A3992" s="2060"/>
      <c r="B3992" s="576"/>
      <c r="C3992" s="328"/>
      <c r="D3992" s="4023"/>
      <c r="E3992" s="4020"/>
      <c r="F3992" s="3016" t="str">
        <f t="shared" si="318"/>
        <v>ASHP-SEER19-Replace_CAC_NonElectricHeat_ROF_MF</v>
      </c>
      <c r="G3992" s="2673"/>
      <c r="H3992" s="2673"/>
      <c r="I3992" s="2673"/>
      <c r="J3992" s="3301" t="str">
        <f t="shared" si="319"/>
        <v>353360_2021_12_</v>
      </c>
      <c r="K3992" s="1052"/>
      <c r="L3992" s="109"/>
      <c r="M3992" s="3066"/>
      <c r="N3992" s="1135"/>
      <c r="O3992" s="228"/>
      <c r="P3992" s="844"/>
      <c r="Q3992" s="845"/>
      <c r="R3992" s="844"/>
      <c r="S3992" s="832"/>
      <c r="T3992" s="3082"/>
      <c r="U3992" s="123"/>
      <c r="V3992" s="4031"/>
      <c r="W3992" s="3307"/>
      <c r="X3992" s="535"/>
      <c r="Y3992" s="535"/>
      <c r="Z3992" s="532"/>
      <c r="AA3992" s="532"/>
      <c r="AB3992" s="535"/>
      <c r="AC3992" s="1052"/>
      <c r="AD3992" s="793"/>
      <c r="AE3992" s="793"/>
      <c r="AF3992" s="793"/>
      <c r="AG3992" s="793"/>
      <c r="BB3992" s="575"/>
      <c r="BC3992" s="576"/>
      <c r="BD3992" s="678"/>
      <c r="BE3992" s="585"/>
    </row>
    <row r="3993" spans="1:57" s="1942" customFormat="1" ht="14.45" hidden="1" customHeight="1" outlineLevel="1" x14ac:dyDescent="0.25">
      <c r="A3993" s="2060"/>
      <c r="B3993" s="576"/>
      <c r="C3993" s="328"/>
      <c r="D3993" s="4023"/>
      <c r="E3993" s="4020"/>
      <c r="F3993" s="3016" t="str">
        <f t="shared" si="318"/>
        <v>ASHP-SEER19-Replace_CAC_NonElectricHeat_ROF_MF_CompE</v>
      </c>
      <c r="G3993" s="2673"/>
      <c r="H3993" s="2673"/>
      <c r="I3993" s="2673"/>
      <c r="J3993" s="3301" t="str">
        <f t="shared" si="319"/>
        <v>353361_2021_12_</v>
      </c>
      <c r="K3993" s="3294">
        <f>$R$1809*K$3303</f>
        <v>1203.6500000000003</v>
      </c>
      <c r="L3993" s="112">
        <f>VLOOKUP(J3993,$J$1801:$L$1987,3,FALSE)*M3993</f>
        <v>1.8199999999999998</v>
      </c>
      <c r="M3993" s="3286">
        <f>VLOOKUP(J3993,$J$3297:$K$3483,2,FALSE)</f>
        <v>0.65</v>
      </c>
      <c r="N3993" s="1135"/>
      <c r="O3993" s="228"/>
      <c r="P3993" s="844"/>
      <c r="Q3993" s="845"/>
      <c r="R3993" s="844"/>
      <c r="S3993" s="832"/>
      <c r="T3993" s="3082"/>
      <c r="U3993" s="123"/>
      <c r="V3993" s="4031"/>
      <c r="W3993" s="3307"/>
      <c r="X3993" s="535"/>
      <c r="Y3993" s="535"/>
      <c r="Z3993" s="532"/>
      <c r="AA3993" s="532"/>
      <c r="AB3993" s="535"/>
      <c r="AC3993" s="3294">
        <v>1203.6500000000003</v>
      </c>
      <c r="AD3993" s="793"/>
      <c r="AE3993" s="793"/>
      <c r="AF3993" s="793"/>
      <c r="AG3993" s="793"/>
      <c r="BB3993" s="575"/>
      <c r="BC3993" s="576"/>
      <c r="BD3993" s="678"/>
      <c r="BE3993" s="585"/>
    </row>
    <row r="3994" spans="1:57" s="1942" customFormat="1" ht="14.45" hidden="1" customHeight="1" outlineLevel="1" x14ac:dyDescent="0.25">
      <c r="A3994" s="2060"/>
      <c r="B3994" s="576"/>
      <c r="C3994" s="328"/>
      <c r="D3994" s="4023"/>
      <c r="E3994" s="4020"/>
      <c r="F3994" s="3016" t="str">
        <f t="shared" si="318"/>
        <v>ASHP-SEER19-Replace_CAC_NonElectricHeat_ROF_MF_CompE</v>
      </c>
      <c r="G3994" s="2673"/>
      <c r="H3994" s="2673"/>
      <c r="I3994" s="2673"/>
      <c r="J3994" s="3301" t="str">
        <f t="shared" si="319"/>
        <v>353361_2021_12_</v>
      </c>
      <c r="K3994" s="1052"/>
      <c r="L3994" s="109"/>
      <c r="M3994" s="3066"/>
      <c r="N3994" s="1135"/>
      <c r="O3994" s="228"/>
      <c r="P3994" s="844"/>
      <c r="Q3994" s="845"/>
      <c r="R3994" s="844"/>
      <c r="S3994" s="832"/>
      <c r="T3994" s="3082"/>
      <c r="U3994" s="123"/>
      <c r="V3994" s="4031"/>
      <c r="W3994" s="3307"/>
      <c r="X3994" s="535"/>
      <c r="Y3994" s="535"/>
      <c r="Z3994" s="532"/>
      <c r="AA3994" s="532"/>
      <c r="AB3994" s="535"/>
      <c r="AC3994" s="1052"/>
      <c r="AD3994" s="793"/>
      <c r="AE3994" s="793"/>
      <c r="AF3994" s="793"/>
      <c r="AG3994" s="793"/>
      <c r="BB3994" s="575"/>
      <c r="BC3994" s="576"/>
      <c r="BD3994" s="678"/>
      <c r="BE3994" s="585"/>
    </row>
    <row r="3995" spans="1:57" s="51" customFormat="1" ht="14.45" hidden="1" customHeight="1" outlineLevel="1" x14ac:dyDescent="0.25">
      <c r="A3995" s="2060"/>
      <c r="B3995" s="576"/>
      <c r="C3995" s="328"/>
      <c r="D3995" s="4023"/>
      <c r="E3995" s="4020"/>
      <c r="F3995" s="3016" t="str">
        <f t="shared" si="318"/>
        <v>ASHP-SEER20-Replace_CAC_ElectricHeat_ER1_SF</v>
      </c>
      <c r="G3995" s="2673"/>
      <c r="H3995" s="2673"/>
      <c r="I3995" s="2673"/>
      <c r="J3995" s="3301" t="str">
        <f>C1543</f>
        <v>353400_2021_12_</v>
      </c>
      <c r="K3995" s="3294">
        <f>(($R$1820*L3995)+$R$1810)-(($Q$1820*L3995)/((1+$R$1822)^($R$1823-1)))</f>
        <v>2161.1935998255572</v>
      </c>
      <c r="L3995" s="109">
        <f>VLOOKUP(J3995,$J$1801:$L$1987,3,FALSE)*M3995</f>
        <v>3</v>
      </c>
      <c r="M3995" s="3066">
        <f>VLOOKUP(J3995,$J$3297:$K$3483,2,FALSE)</f>
        <v>1</v>
      </c>
      <c r="N3995" s="1135"/>
      <c r="O3995" s="228"/>
      <c r="P3995" s="844"/>
      <c r="Q3995" s="845"/>
      <c r="R3995" s="844"/>
      <c r="S3995" s="832"/>
      <c r="T3995" s="3082"/>
      <c r="U3995" s="123"/>
      <c r="V3995" s="4031"/>
      <c r="W3995" s="3307">
        <v>5275.2377829603429</v>
      </c>
      <c r="X3995" s="535">
        <f>$Q$1810*(X$1869/12000)*X$3365</f>
        <v>6699.7001594592275</v>
      </c>
      <c r="Y3995" s="535">
        <v>2032.6993716056036</v>
      </c>
      <c r="Z3995" s="532">
        <v>2032.6993716056036</v>
      </c>
      <c r="AA3995" s="532">
        <v>2032.6993716056036</v>
      </c>
      <c r="AB3995" s="535">
        <v>2185.0873864864097</v>
      </c>
      <c r="AC3995" s="3294">
        <v>2161.1935998255572</v>
      </c>
      <c r="AD3995" s="793"/>
      <c r="AE3995" s="793"/>
      <c r="AF3995" s="793"/>
      <c r="AG3995" s="793"/>
      <c r="AH3995" s="1942"/>
      <c r="AI3995" s="1942"/>
      <c r="AJ3995" s="1942"/>
      <c r="AK3995" s="1942"/>
      <c r="AL3995" s="1942"/>
      <c r="AM3995" s="1942"/>
      <c r="AN3995" s="1942"/>
      <c r="AO3995" s="1942"/>
      <c r="AP3995" s="1942"/>
      <c r="AQ3995" s="1942"/>
      <c r="AR3995" s="1942"/>
      <c r="AS3995" s="1942"/>
      <c r="AT3995" s="1942"/>
      <c r="AU3995" s="1942"/>
      <c r="AV3995" s="1942"/>
      <c r="AW3995" s="1942"/>
      <c r="AX3995" s="1942"/>
      <c r="AY3995" s="1942"/>
      <c r="AZ3995" s="1942"/>
      <c r="BA3995" s="1942"/>
      <c r="BB3995" s="575"/>
      <c r="BC3995" s="576"/>
      <c r="BD3995" s="678"/>
      <c r="BE3995" s="585"/>
    </row>
    <row r="3996" spans="1:57" s="51" customFormat="1" ht="14.45" hidden="1" customHeight="1" outlineLevel="1" x14ac:dyDescent="0.25">
      <c r="A3996" s="2060"/>
      <c r="B3996" s="576"/>
      <c r="C3996" s="328"/>
      <c r="D3996" s="4023"/>
      <c r="E3996" s="4020"/>
      <c r="F3996" s="3016" t="str">
        <f t="shared" si="318"/>
        <v>ASHP-SEER20-Replace_CAC_ElectricHeat_ER1_SF</v>
      </c>
      <c r="G3996" s="2673"/>
      <c r="H3996" s="2673"/>
      <c r="I3996" s="2673"/>
      <c r="J3996" s="3301" t="str">
        <f>C1544</f>
        <v>353400_2021_12_</v>
      </c>
      <c r="K3996" s="1052"/>
      <c r="L3996" s="109" t="str">
        <f>IF(K3996&gt;0,VLOOKUP(J3996,$J$1801:$L$1987,3,FALSE),"")</f>
        <v/>
      </c>
      <c r="M3996" s="3066" t="str">
        <f>IF(K3996&gt;0,VLOOKUP(J3996,$J$3297:$K$3483,2,FALSE),"")</f>
        <v/>
      </c>
      <c r="N3996" s="1135"/>
      <c r="O3996" s="228"/>
      <c r="P3996" s="844"/>
      <c r="Q3996" s="845"/>
      <c r="R3996" s="844"/>
      <c r="S3996" s="832"/>
      <c r="T3996" s="3082"/>
      <c r="U3996" s="123"/>
      <c r="V3996" s="4031"/>
      <c r="W3996" s="3307"/>
      <c r="X3996" s="535"/>
      <c r="Y3996" s="535"/>
      <c r="Z3996" s="532"/>
      <c r="AA3996" s="532"/>
      <c r="AB3996" s="535"/>
      <c r="AC3996" s="1052"/>
      <c r="AD3996" s="793"/>
      <c r="AE3996" s="793"/>
      <c r="AF3996" s="793"/>
      <c r="AG3996" s="793"/>
      <c r="AH3996" s="1942"/>
      <c r="AI3996" s="1942"/>
      <c r="AJ3996" s="1942"/>
      <c r="AK3996" s="1942"/>
      <c r="AL3996" s="1942"/>
      <c r="AM3996" s="1942"/>
      <c r="AN3996" s="1942"/>
      <c r="AO3996" s="1942"/>
      <c r="AP3996" s="1942"/>
      <c r="AQ3996" s="1942"/>
      <c r="AR3996" s="1942"/>
      <c r="AS3996" s="1942"/>
      <c r="AT3996" s="1942"/>
      <c r="AU3996" s="1942"/>
      <c r="AV3996" s="1942"/>
      <c r="AW3996" s="1942"/>
      <c r="AX3996" s="1942"/>
      <c r="AY3996" s="1942"/>
      <c r="AZ3996" s="1942"/>
      <c r="BA3996" s="1942"/>
      <c r="BB3996" s="575"/>
      <c r="BC3996" s="576"/>
      <c r="BD3996" s="678"/>
      <c r="BE3996" s="585"/>
    </row>
    <row r="3997" spans="1:57" s="51" customFormat="1" ht="14.45" hidden="1" customHeight="1" outlineLevel="1" x14ac:dyDescent="0.25">
      <c r="A3997" s="2060"/>
      <c r="B3997" s="576"/>
      <c r="C3997" s="328"/>
      <c r="D3997" s="4023"/>
      <c r="E3997" s="4020"/>
      <c r="F3997" s="3016" t="str">
        <f t="shared" si="318"/>
        <v>ASHP-SEER20-Replace_CAC_ElectricHeat_ER2_SF</v>
      </c>
      <c r="G3997" s="2673"/>
      <c r="H3997" s="2673"/>
      <c r="I3997" s="2673"/>
      <c r="J3997" s="3301" t="str">
        <f>C1545</f>
        <v>353400_2021_12_</v>
      </c>
      <c r="K3997" s="1052"/>
      <c r="L3997" s="109" t="str">
        <f>IF(K3997&gt;0,VLOOKUP(J3997,$J$1801:$L$1987,3,FALSE),"")</f>
        <v/>
      </c>
      <c r="M3997" s="3066" t="str">
        <f>IF(K3997&gt;0,VLOOKUP(J3997,$J$3297:$K$3483,2,FALSE),"")</f>
        <v/>
      </c>
      <c r="N3997" s="1135"/>
      <c r="O3997" s="228"/>
      <c r="P3997" s="844"/>
      <c r="Q3997" s="845"/>
      <c r="R3997" s="844"/>
      <c r="S3997" s="832"/>
      <c r="T3997" s="3082"/>
      <c r="U3997" s="123"/>
      <c r="V3997" s="4031"/>
      <c r="W3997" s="3307"/>
      <c r="X3997" s="535"/>
      <c r="Y3997" s="535"/>
      <c r="Z3997" s="532"/>
      <c r="AA3997" s="532"/>
      <c r="AB3997" s="535"/>
      <c r="AC3997" s="1052"/>
      <c r="AD3997" s="793"/>
      <c r="AE3997" s="793"/>
      <c r="AF3997" s="793"/>
      <c r="AG3997" s="793"/>
      <c r="AH3997" s="1942"/>
      <c r="AI3997" s="1942"/>
      <c r="AJ3997" s="1942"/>
      <c r="AK3997" s="1942"/>
      <c r="AL3997" s="1942"/>
      <c r="AM3997" s="1942"/>
      <c r="AN3997" s="1942"/>
      <c r="AO3997" s="1942"/>
      <c r="AP3997" s="1942"/>
      <c r="AQ3997" s="1942"/>
      <c r="AR3997" s="1942"/>
      <c r="AS3997" s="1942"/>
      <c r="AT3997" s="1942"/>
      <c r="AU3997" s="1942"/>
      <c r="AV3997" s="1942"/>
      <c r="AW3997" s="1942"/>
      <c r="AX3997" s="1942"/>
      <c r="AY3997" s="1942"/>
      <c r="AZ3997" s="1942"/>
      <c r="BA3997" s="1942"/>
      <c r="BB3997" s="575"/>
      <c r="BC3997" s="576"/>
      <c r="BD3997" s="678"/>
      <c r="BE3997" s="585"/>
    </row>
    <row r="3998" spans="1:57" s="51" customFormat="1" ht="14.45" hidden="1" customHeight="1" outlineLevel="1" x14ac:dyDescent="0.25">
      <c r="A3998" s="2060"/>
      <c r="B3998" s="576"/>
      <c r="C3998" s="328"/>
      <c r="D3998" s="4023"/>
      <c r="E3998" s="4020"/>
      <c r="F3998" s="3016" t="str">
        <f t="shared" si="318"/>
        <v>ASHP-SEER20-Replace_CAC_ElectricHeat_ER2_SF</v>
      </c>
      <c r="G3998" s="2673"/>
      <c r="H3998" s="2673"/>
      <c r="I3998" s="2673"/>
      <c r="J3998" s="3301" t="str">
        <f>C1546</f>
        <v>353400_2021_12_</v>
      </c>
      <c r="K3998" s="1052"/>
      <c r="L3998" s="109" t="str">
        <f>IF(K3998&gt;0,VLOOKUP(J3998,$J$1801:$L$1987,3,FALSE),"")</f>
        <v/>
      </c>
      <c r="M3998" s="3066" t="str">
        <f>IF(K3998&gt;0,VLOOKUP(J3998,$J$3297:$K$3483,2,FALSE),"")</f>
        <v/>
      </c>
      <c r="N3998" s="1135"/>
      <c r="O3998" s="228"/>
      <c r="P3998" s="844"/>
      <c r="Q3998" s="845"/>
      <c r="R3998" s="844"/>
      <c r="S3998" s="832"/>
      <c r="T3998" s="3082"/>
      <c r="U3998" s="123"/>
      <c r="V3998" s="4031"/>
      <c r="W3998" s="3307"/>
      <c r="X3998" s="535"/>
      <c r="Y3998" s="535"/>
      <c r="Z3998" s="532"/>
      <c r="AA3998" s="532"/>
      <c r="AB3998" s="535"/>
      <c r="AC3998" s="1052"/>
      <c r="AD3998" s="793"/>
      <c r="AE3998" s="793"/>
      <c r="AF3998" s="793"/>
      <c r="AG3998" s="793"/>
      <c r="AH3998" s="1942"/>
      <c r="AI3998" s="1942"/>
      <c r="AJ3998" s="1942"/>
      <c r="AK3998" s="1942"/>
      <c r="AL3998" s="1942"/>
      <c r="AM3998" s="1942"/>
      <c r="AN3998" s="1942"/>
      <c r="AO3998" s="1942"/>
      <c r="AP3998" s="1942"/>
      <c r="AQ3998" s="1942"/>
      <c r="AR3998" s="1942"/>
      <c r="AS3998" s="1942"/>
      <c r="AT3998" s="1942"/>
      <c r="AU3998" s="1942"/>
      <c r="AV3998" s="1942"/>
      <c r="AW3998" s="1942"/>
      <c r="AX3998" s="1942"/>
      <c r="AY3998" s="1942"/>
      <c r="AZ3998" s="1942"/>
      <c r="BA3998" s="1942"/>
      <c r="BB3998" s="575"/>
      <c r="BC3998" s="576"/>
      <c r="BD3998" s="678"/>
      <c r="BE3998" s="585"/>
    </row>
    <row r="3999" spans="1:57" s="1942" customFormat="1" ht="14.45" hidden="1" customHeight="1" outlineLevel="1" x14ac:dyDescent="0.25">
      <c r="A3999" s="2060"/>
      <c r="B3999" s="576"/>
      <c r="C3999" s="328"/>
      <c r="D3999" s="4023"/>
      <c r="E3999" s="4020"/>
      <c r="F3999" s="3016" t="str">
        <f t="shared" si="318"/>
        <v>ASHP-SEER20-Replace_CAC_NonElectricHeat_ER1_SF</v>
      </c>
      <c r="G3999" s="2673"/>
      <c r="H3999" s="2673"/>
      <c r="I3999" s="2673"/>
      <c r="J3999" s="3301" t="str">
        <f t="shared" ref="J3999:J4002" si="320">C1547</f>
        <v>353410_2021_12_</v>
      </c>
      <c r="K3999" s="3294">
        <f>(($R$1820*L3999)+$R$1810)-(($Q$1820*L3999)/((1+$R$1822)^($R$1823-1)))</f>
        <v>2161.1935998255572</v>
      </c>
      <c r="L3999" s="112">
        <f>VLOOKUP(J3999,$J$1801:$L$1987,3,FALSE)*M3999</f>
        <v>3</v>
      </c>
      <c r="M3999" s="3286">
        <f>VLOOKUP(J3999,$J$3297:$K$3483,2,FALSE)</f>
        <v>1</v>
      </c>
      <c r="N3999" s="1135"/>
      <c r="O3999" s="228"/>
      <c r="P3999" s="844"/>
      <c r="Q3999" s="845"/>
      <c r="R3999" s="844"/>
      <c r="S3999" s="832"/>
      <c r="T3999" s="3082"/>
      <c r="U3999" s="123"/>
      <c r="V3999" s="4031"/>
      <c r="W3999" s="3307"/>
      <c r="X3999" s="535"/>
      <c r="Y3999" s="535"/>
      <c r="Z3999" s="532"/>
      <c r="AA3999" s="532"/>
      <c r="AB3999" s="535"/>
      <c r="AC3999" s="3294">
        <v>2161.1935998255572</v>
      </c>
      <c r="AD3999" s="793"/>
      <c r="AE3999" s="793"/>
      <c r="AF3999" s="793"/>
      <c r="AG3999" s="793"/>
      <c r="BB3999" s="575"/>
      <c r="BC3999" s="576"/>
      <c r="BD3999" s="678"/>
      <c r="BE3999" s="585"/>
    </row>
    <row r="4000" spans="1:57" s="1942" customFormat="1" ht="14.45" hidden="1" customHeight="1" outlineLevel="1" x14ac:dyDescent="0.25">
      <c r="A4000" s="2060"/>
      <c r="B4000" s="576"/>
      <c r="C4000" s="328"/>
      <c r="D4000" s="4023"/>
      <c r="E4000" s="4020"/>
      <c r="F4000" s="3016" t="str">
        <f t="shared" si="318"/>
        <v>ASHP-SEER20-Replace_CAC_NonElectricHeat_ER1_SF</v>
      </c>
      <c r="G4000" s="2673"/>
      <c r="H4000" s="2673"/>
      <c r="I4000" s="2673"/>
      <c r="J4000" s="3301" t="str">
        <f t="shared" si="320"/>
        <v>353410_2021_12_</v>
      </c>
      <c r="K4000" s="1052"/>
      <c r="L4000" s="109"/>
      <c r="M4000" s="3066"/>
      <c r="N4000" s="1135"/>
      <c r="O4000" s="228"/>
      <c r="P4000" s="844"/>
      <c r="Q4000" s="845"/>
      <c r="R4000" s="844"/>
      <c r="S4000" s="832"/>
      <c r="T4000" s="3082"/>
      <c r="U4000" s="123"/>
      <c r="V4000" s="4031"/>
      <c r="W4000" s="3307"/>
      <c r="X4000" s="535"/>
      <c r="Y4000" s="535"/>
      <c r="Z4000" s="532"/>
      <c r="AA4000" s="532"/>
      <c r="AB4000" s="535"/>
      <c r="AC4000" s="1052"/>
      <c r="AD4000" s="793"/>
      <c r="AE4000" s="793"/>
      <c r="AF4000" s="793"/>
      <c r="AG4000" s="793"/>
      <c r="BB4000" s="575"/>
      <c r="BC4000" s="576"/>
      <c r="BD4000" s="678"/>
      <c r="BE4000" s="585"/>
    </row>
    <row r="4001" spans="1:57" s="1942" customFormat="1" ht="14.45" hidden="1" customHeight="1" outlineLevel="1" x14ac:dyDescent="0.25">
      <c r="A4001" s="2060"/>
      <c r="B4001" s="576"/>
      <c r="C4001" s="328"/>
      <c r="D4001" s="4023"/>
      <c r="E4001" s="4020"/>
      <c r="F4001" s="3016" t="str">
        <f t="shared" si="318"/>
        <v>ASHP-SEER20-Replace_CAC_NonElectricHeat_ER2_SF</v>
      </c>
      <c r="G4001" s="2673"/>
      <c r="H4001" s="2673"/>
      <c r="I4001" s="2673"/>
      <c r="J4001" s="3301" t="str">
        <f t="shared" si="320"/>
        <v>353410_2021_12_</v>
      </c>
      <c r="K4001" s="1052"/>
      <c r="L4001" s="109"/>
      <c r="M4001" s="3066"/>
      <c r="N4001" s="1135"/>
      <c r="O4001" s="228"/>
      <c r="P4001" s="844"/>
      <c r="Q4001" s="845"/>
      <c r="R4001" s="844"/>
      <c r="S4001" s="832"/>
      <c r="T4001" s="3082"/>
      <c r="U4001" s="123"/>
      <c r="V4001" s="4031"/>
      <c r="W4001" s="3307"/>
      <c r="X4001" s="535"/>
      <c r="Y4001" s="535"/>
      <c r="Z4001" s="532"/>
      <c r="AA4001" s="532"/>
      <c r="AB4001" s="535"/>
      <c r="AC4001" s="1052"/>
      <c r="AD4001" s="793"/>
      <c r="AE4001" s="793"/>
      <c r="AF4001" s="793"/>
      <c r="AG4001" s="793"/>
      <c r="BB4001" s="575"/>
      <c r="BC4001" s="576"/>
      <c r="BD4001" s="678"/>
      <c r="BE4001" s="585"/>
    </row>
    <row r="4002" spans="1:57" s="1942" customFormat="1" ht="14.45" hidden="1" customHeight="1" outlineLevel="1" x14ac:dyDescent="0.25">
      <c r="A4002" s="2060"/>
      <c r="B4002" s="576"/>
      <c r="C4002" s="328"/>
      <c r="D4002" s="4023"/>
      <c r="E4002" s="4020"/>
      <c r="F4002" s="3016" t="str">
        <f t="shared" si="318"/>
        <v>ASHP-SEER20-Replace_CAC_NonElectricHeat_ER2_SF</v>
      </c>
      <c r="G4002" s="2673"/>
      <c r="H4002" s="2673"/>
      <c r="I4002" s="2673"/>
      <c r="J4002" s="3301" t="str">
        <f t="shared" si="320"/>
        <v>353410_2021_12_</v>
      </c>
      <c r="K4002" s="1052"/>
      <c r="L4002" s="109"/>
      <c r="M4002" s="3066"/>
      <c r="N4002" s="1135"/>
      <c r="O4002" s="228"/>
      <c r="P4002" s="844"/>
      <c r="Q4002" s="845"/>
      <c r="R4002" s="844"/>
      <c r="S4002" s="832"/>
      <c r="T4002" s="3082"/>
      <c r="U4002" s="123"/>
      <c r="V4002" s="4031"/>
      <c r="W4002" s="3307"/>
      <c r="X4002" s="535"/>
      <c r="Y4002" s="535"/>
      <c r="Z4002" s="532"/>
      <c r="AA4002" s="532"/>
      <c r="AB4002" s="535"/>
      <c r="AC4002" s="1052"/>
      <c r="AD4002" s="793"/>
      <c r="AE4002" s="793"/>
      <c r="AF4002" s="793"/>
      <c r="AG4002" s="793"/>
      <c r="BB4002" s="575"/>
      <c r="BC4002" s="576"/>
      <c r="BD4002" s="678"/>
      <c r="BE4002" s="585"/>
    </row>
    <row r="4003" spans="1:57" s="51" customFormat="1" ht="14.45" hidden="1" customHeight="1" outlineLevel="1" x14ac:dyDescent="0.25">
      <c r="A4003" s="2060"/>
      <c r="B4003" s="576"/>
      <c r="C4003" s="328"/>
      <c r="D4003" s="4023"/>
      <c r="E4003" s="4020"/>
      <c r="F4003" s="3016" t="str">
        <f t="shared" si="318"/>
        <v>ASHP-SEER20-Replace_CAC_ElectricHeat_ROF_SF</v>
      </c>
      <c r="G4003" s="2673"/>
      <c r="H4003" s="2673"/>
      <c r="I4003" s="2673"/>
      <c r="J4003" s="3301" t="str">
        <f>C1551</f>
        <v>353450_2021_12_</v>
      </c>
      <c r="K4003" s="1052">
        <f>$R$1810*K$3303</f>
        <v>1444.3799999999994</v>
      </c>
      <c r="L4003" s="109">
        <f>VLOOKUP(J4003,$J$1801:$L$1987,3,FALSE)*M4003</f>
        <v>2.5</v>
      </c>
      <c r="M4003" s="3066">
        <f>VLOOKUP(J4003,$J$3297:$K$3483,2,FALSE)</f>
        <v>1</v>
      </c>
      <c r="N4003" s="1135"/>
      <c r="O4003" s="228"/>
      <c r="P4003" s="844"/>
      <c r="Q4003" s="845"/>
      <c r="R4003" s="844"/>
      <c r="S4003" s="832"/>
      <c r="T4003" s="3082"/>
      <c r="U4003" s="123"/>
      <c r="V4003" s="4031"/>
      <c r="W4003" s="3307">
        <v>3712</v>
      </c>
      <c r="X4003" s="535">
        <f>$R$1810*(X$1873/12000)*X$3369</f>
        <v>4622.0159999999987</v>
      </c>
      <c r="Y4003" s="535">
        <v>1160</v>
      </c>
      <c r="Z4003" s="532">
        <v>1160</v>
      </c>
      <c r="AA4003" s="532">
        <v>1160</v>
      </c>
      <c r="AB4003" s="535">
        <v>1444.3799999999994</v>
      </c>
      <c r="AC4003" s="1052">
        <v>1444.3799999999994</v>
      </c>
      <c r="AD4003" s="793"/>
      <c r="AE4003" s="793"/>
      <c r="AF4003" s="793"/>
      <c r="AG4003" s="793"/>
      <c r="AH4003" s="1942"/>
      <c r="AI4003" s="1942"/>
      <c r="AJ4003" s="1942"/>
      <c r="AK4003" s="1942"/>
      <c r="AL4003" s="1942"/>
      <c r="AM4003" s="1942"/>
      <c r="AN4003" s="1942"/>
      <c r="AO4003" s="1942"/>
      <c r="AP4003" s="1942"/>
      <c r="AQ4003" s="1942"/>
      <c r="AR4003" s="1942"/>
      <c r="AS4003" s="1942"/>
      <c r="AT4003" s="1942"/>
      <c r="AU4003" s="1942"/>
      <c r="AV4003" s="1942"/>
      <c r="AW4003" s="1942"/>
      <c r="AX4003" s="1942"/>
      <c r="AY4003" s="1942"/>
      <c r="AZ4003" s="1942"/>
      <c r="BA4003" s="1942"/>
      <c r="BB4003" s="575"/>
      <c r="BC4003" s="576"/>
      <c r="BD4003" s="678"/>
      <c r="BE4003" s="585"/>
    </row>
    <row r="4004" spans="1:57" s="51" customFormat="1" ht="14.45" hidden="1" customHeight="1" outlineLevel="1" x14ac:dyDescent="0.25">
      <c r="A4004" s="2060"/>
      <c r="B4004" s="576"/>
      <c r="C4004" s="328"/>
      <c r="D4004" s="4023"/>
      <c r="E4004" s="4020"/>
      <c r="F4004" s="3016" t="str">
        <f t="shared" si="318"/>
        <v>ASHP-SEER20-Replace_CAC_ElectricHeat_ROF_SF</v>
      </c>
      <c r="G4004" s="2673"/>
      <c r="H4004" s="2673"/>
      <c r="I4004" s="2673"/>
      <c r="J4004" s="3301" t="str">
        <f>C1552</f>
        <v>353450_2021_12_</v>
      </c>
      <c r="K4004" s="1052"/>
      <c r="L4004" s="109" t="str">
        <f>IF(K4004&gt;0,VLOOKUP(J4004,$J$1801:$L$1987,3,FALSE),"")</f>
        <v/>
      </c>
      <c r="M4004" s="3066" t="str">
        <f>IF(K4004&gt;0,VLOOKUP(J4004,$J$3297:$K$3483,2,FALSE),"")</f>
        <v/>
      </c>
      <c r="N4004" s="1135"/>
      <c r="O4004" s="228"/>
      <c r="P4004" s="844"/>
      <c r="Q4004" s="845"/>
      <c r="R4004" s="844"/>
      <c r="S4004" s="832"/>
      <c r="T4004" s="3082"/>
      <c r="U4004" s="123"/>
      <c r="V4004" s="4031"/>
      <c r="W4004" s="3307"/>
      <c r="X4004" s="535"/>
      <c r="Y4004" s="535"/>
      <c r="Z4004" s="532"/>
      <c r="AA4004" s="532"/>
      <c r="AB4004" s="535"/>
      <c r="AC4004" s="1052"/>
      <c r="AD4004" s="793"/>
      <c r="AE4004" s="793"/>
      <c r="AF4004" s="793"/>
      <c r="AG4004" s="793"/>
      <c r="AH4004" s="1942"/>
      <c r="AI4004" s="1942"/>
      <c r="AJ4004" s="1942"/>
      <c r="AK4004" s="1942"/>
      <c r="AL4004" s="1942"/>
      <c r="AM4004" s="1942"/>
      <c r="AN4004" s="1942"/>
      <c r="AO4004" s="1942"/>
      <c r="AP4004" s="1942"/>
      <c r="AQ4004" s="1942"/>
      <c r="AR4004" s="1942"/>
      <c r="AS4004" s="1942"/>
      <c r="AT4004" s="1942"/>
      <c r="AU4004" s="1942"/>
      <c r="AV4004" s="1942"/>
      <c r="AW4004" s="1942"/>
      <c r="AX4004" s="1942"/>
      <c r="AY4004" s="1942"/>
      <c r="AZ4004" s="1942"/>
      <c r="BA4004" s="1942"/>
      <c r="BB4004" s="575"/>
      <c r="BC4004" s="576"/>
      <c r="BD4004" s="678"/>
      <c r="BE4004" s="585"/>
    </row>
    <row r="4005" spans="1:57" s="51" customFormat="1" ht="14.45" hidden="1" customHeight="1" outlineLevel="1" x14ac:dyDescent="0.25">
      <c r="A4005" s="2060"/>
      <c r="B4005" s="576"/>
      <c r="C4005" s="328"/>
      <c r="D4005" s="4023"/>
      <c r="E4005" s="4020"/>
      <c r="F4005" s="3016" t="str">
        <f t="shared" si="318"/>
        <v>ASHP-SEER20-Replace_CAC_ElectricHeat_ROF_MF</v>
      </c>
      <c r="G4005" s="2673"/>
      <c r="H4005" s="2673"/>
      <c r="I4005" s="2673"/>
      <c r="J4005" s="3302" t="str">
        <f>C1553</f>
        <v>353500_2019_12_</v>
      </c>
      <c r="K4005" s="1052">
        <f>$R$1810*K$3303</f>
        <v>1444.3799999999994</v>
      </c>
      <c r="L4005" s="109">
        <f>VLOOKUP(J4005,$J$1801:$L$1987,3,FALSE)*M4005</f>
        <v>2.08</v>
      </c>
      <c r="M4005" s="3066">
        <f>VLOOKUP(J4005,$J$3297:$K$3483,2,FALSE)</f>
        <v>0.65</v>
      </c>
      <c r="N4005" s="1135"/>
      <c r="O4005" s="228"/>
      <c r="P4005" s="844"/>
      <c r="Q4005" s="845"/>
      <c r="R4005" s="844"/>
      <c r="S4005" s="832"/>
      <c r="T4005" s="3082"/>
      <c r="U4005" s="123"/>
      <c r="V4005" s="4031"/>
      <c r="W4005" s="3307">
        <v>3596</v>
      </c>
      <c r="X4005" s="535">
        <f>$R$1810*(X$1874/12000)*X$3370</f>
        <v>3004.3103999999994</v>
      </c>
      <c r="Y4005" s="535">
        <v>1160</v>
      </c>
      <c r="Z4005" s="532">
        <v>1160</v>
      </c>
      <c r="AA4005" s="532">
        <v>1160</v>
      </c>
      <c r="AB4005" s="535">
        <v>1444.3799999999994</v>
      </c>
      <c r="AC4005" s="1052">
        <v>1444.3799999999994</v>
      </c>
      <c r="AD4005" s="793"/>
      <c r="AE4005" s="793"/>
      <c r="AF4005" s="793"/>
      <c r="AG4005" s="793"/>
      <c r="AH4005" s="1942"/>
      <c r="AI4005" s="1942"/>
      <c r="AJ4005" s="1942"/>
      <c r="AK4005" s="1942"/>
      <c r="AL4005" s="1942"/>
      <c r="AM4005" s="1942"/>
      <c r="AN4005" s="1942"/>
      <c r="AO4005" s="1942"/>
      <c r="AP4005" s="1942"/>
      <c r="AQ4005" s="1942"/>
      <c r="AR4005" s="1942"/>
      <c r="AS4005" s="1942"/>
      <c r="AT4005" s="1942"/>
      <c r="AU4005" s="1942"/>
      <c r="AV4005" s="1942"/>
      <c r="AW4005" s="1942"/>
      <c r="AX4005" s="1942"/>
      <c r="AY4005" s="1942"/>
      <c r="AZ4005" s="1942"/>
      <c r="BA4005" s="1942"/>
      <c r="BB4005" s="575"/>
      <c r="BC4005" s="576"/>
      <c r="BD4005" s="678"/>
      <c r="BE4005" s="585"/>
    </row>
    <row r="4006" spans="1:57" s="51" customFormat="1" ht="14.45" hidden="1" customHeight="1" outlineLevel="1" x14ac:dyDescent="0.25">
      <c r="A4006" s="2060"/>
      <c r="B4006" s="576"/>
      <c r="C4006" s="328"/>
      <c r="D4006" s="4023"/>
      <c r="E4006" s="4020"/>
      <c r="F4006" s="3016" t="str">
        <f t="shared" si="318"/>
        <v>ASHP-SEER20-Replace_CAC_ElectricHeat_ROF_MF</v>
      </c>
      <c r="G4006" s="2673"/>
      <c r="H4006" s="2673"/>
      <c r="I4006" s="2673"/>
      <c r="J4006" s="3302" t="str">
        <f>C1554</f>
        <v>353500_2019_12_</v>
      </c>
      <c r="K4006" s="1052"/>
      <c r="L4006" s="109" t="str">
        <f>IF(K4006&gt;0,VLOOKUP(J4006,$J$1801:$L$1987,3,FALSE),"")</f>
        <v/>
      </c>
      <c r="M4006" s="3066" t="str">
        <f>IF(K4006&gt;0,VLOOKUP(J4006,$J$3297:$K$3483,2,FALSE),"")</f>
        <v/>
      </c>
      <c r="N4006" s="1135"/>
      <c r="O4006" s="228"/>
      <c r="P4006" s="844"/>
      <c r="Q4006" s="845"/>
      <c r="R4006" s="844"/>
      <c r="S4006" s="832"/>
      <c r="T4006" s="3082"/>
      <c r="U4006" s="123"/>
      <c r="V4006" s="4031"/>
      <c r="W4006" s="3307"/>
      <c r="X4006" s="535"/>
      <c r="Y4006" s="535"/>
      <c r="Z4006" s="532"/>
      <c r="AA4006" s="532"/>
      <c r="AB4006" s="535"/>
      <c r="AC4006" s="1052"/>
      <c r="AD4006" s="793"/>
      <c r="AE4006" s="793"/>
      <c r="AF4006" s="793"/>
      <c r="AG4006" s="793"/>
      <c r="AH4006" s="1942"/>
      <c r="AI4006" s="1942"/>
      <c r="AJ4006" s="1942"/>
      <c r="AK4006" s="1942"/>
      <c r="AL4006" s="1942"/>
      <c r="AM4006" s="1942"/>
      <c r="AN4006" s="1942"/>
      <c r="AO4006" s="1942"/>
      <c r="AP4006" s="1942"/>
      <c r="AQ4006" s="1942"/>
      <c r="AR4006" s="1942"/>
      <c r="AS4006" s="1942"/>
      <c r="AT4006" s="1942"/>
      <c r="AU4006" s="1942"/>
      <c r="AV4006" s="1942"/>
      <c r="AW4006" s="1942"/>
      <c r="AX4006" s="1942"/>
      <c r="AY4006" s="1942"/>
      <c r="AZ4006" s="1942"/>
      <c r="BA4006" s="1942"/>
      <c r="BB4006" s="575"/>
      <c r="BC4006" s="576"/>
      <c r="BD4006" s="678"/>
      <c r="BE4006" s="585"/>
    </row>
    <row r="4007" spans="1:57" s="1942" customFormat="1" ht="14.45" hidden="1" customHeight="1" outlineLevel="1" x14ac:dyDescent="0.25">
      <c r="A4007" s="2060"/>
      <c r="B4007" s="576"/>
      <c r="C4007" s="328"/>
      <c r="D4007" s="4023"/>
      <c r="E4007" s="4020"/>
      <c r="F4007" s="3016" t="str">
        <f t="shared" si="318"/>
        <v>ASHP-SEER20-Replace_CAC_ElectricHeat_ROF_MF_CompE</v>
      </c>
      <c r="G4007" s="2673"/>
      <c r="H4007" s="2673"/>
      <c r="I4007" s="2673"/>
      <c r="J4007" s="3302" t="str">
        <f t="shared" ref="J4007:J4012" si="321">C1555</f>
        <v>353501_2019_12_</v>
      </c>
      <c r="K4007" s="3294">
        <f>$R$1810*K$3303</f>
        <v>1444.3799999999994</v>
      </c>
      <c r="L4007" s="112">
        <f>VLOOKUP(J4007,$J$1801:$L$1987,3,FALSE)*M4007</f>
        <v>2.08</v>
      </c>
      <c r="M4007" s="3286">
        <f>VLOOKUP(J4007,$J$3297:$K$3483,2,FALSE)</f>
        <v>0.65</v>
      </c>
      <c r="N4007" s="1135"/>
      <c r="O4007" s="228"/>
      <c r="P4007" s="844"/>
      <c r="Q4007" s="845"/>
      <c r="R4007" s="844"/>
      <c r="S4007" s="832"/>
      <c r="T4007" s="3082"/>
      <c r="U4007" s="123"/>
      <c r="V4007" s="4031"/>
      <c r="W4007" s="3307"/>
      <c r="X4007" s="535"/>
      <c r="Y4007" s="535"/>
      <c r="Z4007" s="532"/>
      <c r="AA4007" s="532"/>
      <c r="AB4007" s="535"/>
      <c r="AC4007" s="3294">
        <v>1444.3799999999994</v>
      </c>
      <c r="AD4007" s="793"/>
      <c r="AE4007" s="793"/>
      <c r="AF4007" s="793"/>
      <c r="AG4007" s="793"/>
      <c r="BB4007" s="575"/>
      <c r="BC4007" s="576"/>
      <c r="BD4007" s="678"/>
      <c r="BE4007" s="585"/>
    </row>
    <row r="4008" spans="1:57" s="1942" customFormat="1" ht="14.45" hidden="1" customHeight="1" outlineLevel="1" x14ac:dyDescent="0.25">
      <c r="A4008" s="2060"/>
      <c r="B4008" s="576"/>
      <c r="C4008" s="328"/>
      <c r="D4008" s="4023"/>
      <c r="E4008" s="4020"/>
      <c r="F4008" s="3016" t="str">
        <f t="shared" si="318"/>
        <v>ASHP-SEER20-Replace_CAC_ElectricHeat_ROF_MF_CompE</v>
      </c>
      <c r="G4008" s="2673"/>
      <c r="H4008" s="2673"/>
      <c r="I4008" s="2673"/>
      <c r="J4008" s="3302" t="str">
        <f t="shared" si="321"/>
        <v>353501_2019_12_</v>
      </c>
      <c r="K4008" s="1052"/>
      <c r="L4008" s="109"/>
      <c r="M4008" s="3066"/>
      <c r="N4008" s="1135"/>
      <c r="O4008" s="228"/>
      <c r="P4008" s="844"/>
      <c r="Q4008" s="845"/>
      <c r="R4008" s="844"/>
      <c r="S4008" s="832"/>
      <c r="T4008" s="3082"/>
      <c r="U4008" s="123"/>
      <c r="V4008" s="4031"/>
      <c r="W4008" s="3307"/>
      <c r="X4008" s="535"/>
      <c r="Y4008" s="535"/>
      <c r="Z4008" s="532"/>
      <c r="AA4008" s="532"/>
      <c r="AB4008" s="535"/>
      <c r="AC4008" s="1052"/>
      <c r="AD4008" s="793"/>
      <c r="AE4008" s="793"/>
      <c r="AF4008" s="793"/>
      <c r="AG4008" s="793"/>
      <c r="BB4008" s="575"/>
      <c r="BC4008" s="576"/>
      <c r="BD4008" s="678"/>
      <c r="BE4008" s="585"/>
    </row>
    <row r="4009" spans="1:57" s="1942" customFormat="1" ht="14.45" hidden="1" customHeight="1" outlineLevel="1" x14ac:dyDescent="0.25">
      <c r="A4009" s="2060"/>
      <c r="B4009" s="576"/>
      <c r="C4009" s="328"/>
      <c r="D4009" s="4023"/>
      <c r="E4009" s="4020"/>
      <c r="F4009" s="3016" t="str">
        <f t="shared" si="318"/>
        <v>ASHP-SEER20-Replace_CAC_NonElectricHeat_ROF_MF</v>
      </c>
      <c r="G4009" s="2673"/>
      <c r="H4009" s="2673"/>
      <c r="I4009" s="2673"/>
      <c r="J4009" s="3301" t="str">
        <f t="shared" si="321"/>
        <v>353510_2021_12_</v>
      </c>
      <c r="K4009" s="3294">
        <f>$R$1810*K$3303</f>
        <v>1444.3799999999994</v>
      </c>
      <c r="L4009" s="112">
        <f>VLOOKUP(J4009,$J$1801:$L$1987,3,FALSE)*M4009</f>
        <v>2.08</v>
      </c>
      <c r="M4009" s="3286">
        <f>VLOOKUP(J4009,$J$3297:$K$3483,2,FALSE)</f>
        <v>0.65</v>
      </c>
      <c r="N4009" s="1135"/>
      <c r="O4009" s="228"/>
      <c r="P4009" s="844"/>
      <c r="Q4009" s="845"/>
      <c r="R4009" s="844"/>
      <c r="S4009" s="832"/>
      <c r="T4009" s="3082"/>
      <c r="U4009" s="123"/>
      <c r="V4009" s="4031"/>
      <c r="W4009" s="3307"/>
      <c r="X4009" s="535"/>
      <c r="Y4009" s="535"/>
      <c r="Z4009" s="532"/>
      <c r="AA4009" s="532"/>
      <c r="AB4009" s="535"/>
      <c r="AC4009" s="3294">
        <v>1444.3799999999994</v>
      </c>
      <c r="AD4009" s="793"/>
      <c r="AE4009" s="793"/>
      <c r="AF4009" s="793"/>
      <c r="AG4009" s="793"/>
      <c r="BB4009" s="575"/>
      <c r="BC4009" s="576"/>
      <c r="BD4009" s="678"/>
      <c r="BE4009" s="585"/>
    </row>
    <row r="4010" spans="1:57" s="1942" customFormat="1" ht="14.45" hidden="1" customHeight="1" outlineLevel="1" x14ac:dyDescent="0.25">
      <c r="A4010" s="2060"/>
      <c r="B4010" s="576"/>
      <c r="C4010" s="328"/>
      <c r="D4010" s="4023"/>
      <c r="E4010" s="4020"/>
      <c r="F4010" s="3016" t="str">
        <f t="shared" si="318"/>
        <v>ASHP-SEER20-Replace_CAC_NonElectricHeat_ROF_MF</v>
      </c>
      <c r="G4010" s="2673"/>
      <c r="H4010" s="2673"/>
      <c r="I4010" s="2673"/>
      <c r="J4010" s="3301" t="str">
        <f t="shared" si="321"/>
        <v>353510_2021_12_</v>
      </c>
      <c r="K4010" s="1052"/>
      <c r="L4010" s="109"/>
      <c r="M4010" s="3066"/>
      <c r="N4010" s="1135"/>
      <c r="O4010" s="228"/>
      <c r="P4010" s="844"/>
      <c r="Q4010" s="845"/>
      <c r="R4010" s="844"/>
      <c r="S4010" s="832"/>
      <c r="T4010" s="3082"/>
      <c r="U4010" s="123"/>
      <c r="V4010" s="4031"/>
      <c r="W4010" s="3307"/>
      <c r="X4010" s="535"/>
      <c r="Y4010" s="535"/>
      <c r="Z4010" s="532"/>
      <c r="AA4010" s="532"/>
      <c r="AB4010" s="535"/>
      <c r="AC4010" s="1052"/>
      <c r="AD4010" s="793"/>
      <c r="AE4010" s="793"/>
      <c r="AF4010" s="793"/>
      <c r="AG4010" s="793"/>
      <c r="BB4010" s="575"/>
      <c r="BC4010" s="576"/>
      <c r="BD4010" s="678"/>
      <c r="BE4010" s="585"/>
    </row>
    <row r="4011" spans="1:57" s="1942" customFormat="1" ht="14.45" hidden="1" customHeight="1" outlineLevel="1" x14ac:dyDescent="0.25">
      <c r="A4011" s="2060"/>
      <c r="B4011" s="576"/>
      <c r="C4011" s="328"/>
      <c r="D4011" s="4023"/>
      <c r="E4011" s="4020"/>
      <c r="F4011" s="3016" t="str">
        <f t="shared" si="318"/>
        <v>ASHP-SEER20-Replace_CAC_NonElectricHeat_ROF_MF_CompE</v>
      </c>
      <c r="G4011" s="2673"/>
      <c r="H4011" s="2673"/>
      <c r="I4011" s="2673"/>
      <c r="J4011" s="3301" t="str">
        <f t="shared" si="321"/>
        <v>353511_2021_12_</v>
      </c>
      <c r="K4011" s="3294">
        <f>$R$1810*K$3303</f>
        <v>1444.3799999999994</v>
      </c>
      <c r="L4011" s="112">
        <f>VLOOKUP(J4011,$J$1801:$L$1987,3,FALSE)*M4011</f>
        <v>2.08</v>
      </c>
      <c r="M4011" s="3286">
        <f>VLOOKUP(J4011,$J$3297:$K$3483,2,FALSE)</f>
        <v>0.65</v>
      </c>
      <c r="N4011" s="1135"/>
      <c r="O4011" s="228"/>
      <c r="P4011" s="844"/>
      <c r="Q4011" s="845"/>
      <c r="R4011" s="844"/>
      <c r="S4011" s="832"/>
      <c r="T4011" s="3082"/>
      <c r="U4011" s="123"/>
      <c r="V4011" s="4031"/>
      <c r="W4011" s="3307"/>
      <c r="X4011" s="535"/>
      <c r="Y4011" s="535"/>
      <c r="Z4011" s="532"/>
      <c r="AA4011" s="532"/>
      <c r="AB4011" s="535"/>
      <c r="AC4011" s="3294">
        <v>1444.3799999999994</v>
      </c>
      <c r="AD4011" s="793"/>
      <c r="AE4011" s="793"/>
      <c r="AF4011" s="793"/>
      <c r="AG4011" s="793"/>
      <c r="BB4011" s="575"/>
      <c r="BC4011" s="576"/>
      <c r="BD4011" s="678"/>
      <c r="BE4011" s="585"/>
    </row>
    <row r="4012" spans="1:57" s="1942" customFormat="1" ht="14.45" hidden="1" customHeight="1" outlineLevel="1" x14ac:dyDescent="0.25">
      <c r="A4012" s="2060"/>
      <c r="B4012" s="576"/>
      <c r="C4012" s="328"/>
      <c r="D4012" s="4023"/>
      <c r="E4012" s="4020"/>
      <c r="F4012" s="3016" t="str">
        <f t="shared" si="318"/>
        <v>ASHP-SEER20-Replace_CAC_NonElectricHeat_ROF_MF_CompE</v>
      </c>
      <c r="G4012" s="2673"/>
      <c r="H4012" s="2673"/>
      <c r="I4012" s="2673"/>
      <c r="J4012" s="3301" t="str">
        <f t="shared" si="321"/>
        <v>353511_2021_12_</v>
      </c>
      <c r="K4012" s="1052"/>
      <c r="L4012" s="109"/>
      <c r="M4012" s="3066"/>
      <c r="N4012" s="1135"/>
      <c r="O4012" s="228"/>
      <c r="P4012" s="844"/>
      <c r="Q4012" s="845"/>
      <c r="R4012" s="844"/>
      <c r="S4012" s="832"/>
      <c r="T4012" s="3082"/>
      <c r="U4012" s="123"/>
      <c r="V4012" s="4031"/>
      <c r="W4012" s="3307"/>
      <c r="X4012" s="535"/>
      <c r="Y4012" s="535"/>
      <c r="Z4012" s="532"/>
      <c r="AA4012" s="532"/>
      <c r="AB4012" s="535"/>
      <c r="AC4012" s="1052"/>
      <c r="AD4012" s="793"/>
      <c r="AE4012" s="793"/>
      <c r="AF4012" s="793"/>
      <c r="AG4012" s="793"/>
      <c r="BB4012" s="575"/>
      <c r="BC4012" s="576"/>
      <c r="BD4012" s="678"/>
      <c r="BE4012" s="585"/>
    </row>
    <row r="4013" spans="1:57" s="51" customFormat="1" ht="14.45" hidden="1" customHeight="1" outlineLevel="1" x14ac:dyDescent="0.25">
      <c r="A4013" s="2060"/>
      <c r="B4013" s="576"/>
      <c r="C4013" s="328"/>
      <c r="D4013" s="4023"/>
      <c r="E4013" s="4020"/>
      <c r="F4013" s="3016" t="str">
        <f t="shared" si="318"/>
        <v>ASHP-SEER21-Replace_CAC_ElectricHeat_ER1_SF</v>
      </c>
      <c r="G4013" s="2673"/>
      <c r="H4013" s="2673"/>
      <c r="I4013" s="2673"/>
      <c r="J4013" s="3301" t="str">
        <f>C1561</f>
        <v>353550_2021_12_</v>
      </c>
      <c r="K4013" s="3294">
        <f>(($R$1820*L4013)+$R$1811)-(($Q$1820*L4013)/((1+$R$1822)^($R$1823-1)))</f>
        <v>2547.9287573669544</v>
      </c>
      <c r="L4013" s="109">
        <f>VLOOKUP(J4013,$J$1801:$L$1987,3,FALSE)*M4013</f>
        <v>3.5909090909090908</v>
      </c>
      <c r="M4013" s="3066">
        <f>VLOOKUP(J4013,$J$3297:$K$3483,2,FALSE)</f>
        <v>1</v>
      </c>
      <c r="N4013" s="1135"/>
      <c r="O4013" s="228"/>
      <c r="P4013" s="844"/>
      <c r="Q4013" s="845"/>
      <c r="R4013" s="844"/>
      <c r="S4013" s="832"/>
      <c r="T4013" s="3082"/>
      <c r="U4013" s="123"/>
      <c r="V4013" s="4031"/>
      <c r="W4013" s="3307">
        <v>5275.2377829603429</v>
      </c>
      <c r="X4013" s="535">
        <f>$Q$1811*(X$1878/12000)*X$3374</f>
        <v>7460.8884194592283</v>
      </c>
      <c r="Y4013" s="535">
        <v>2032.6993716056036</v>
      </c>
      <c r="Z4013" s="532">
        <v>2032.6993716056036</v>
      </c>
      <c r="AA4013" s="532">
        <v>2032.6993716056036</v>
      </c>
      <c r="AB4013" s="535">
        <v>2430.6319864864099</v>
      </c>
      <c r="AC4013" s="3294">
        <v>2547.9287573669544</v>
      </c>
      <c r="AD4013" s="793"/>
      <c r="AE4013" s="793"/>
      <c r="AF4013" s="793"/>
      <c r="AG4013" s="793"/>
      <c r="AH4013" s="1942"/>
      <c r="AI4013" s="1942"/>
      <c r="AJ4013" s="1942"/>
      <c r="AK4013" s="1942"/>
      <c r="AL4013" s="1942"/>
      <c r="AM4013" s="1942"/>
      <c r="AN4013" s="1942"/>
      <c r="AO4013" s="1942"/>
      <c r="AP4013" s="1942"/>
      <c r="AQ4013" s="1942"/>
      <c r="AR4013" s="1942"/>
      <c r="AS4013" s="1942"/>
      <c r="AT4013" s="1942"/>
      <c r="AU4013" s="1942"/>
      <c r="AV4013" s="1942"/>
      <c r="AW4013" s="1942"/>
      <c r="AX4013" s="1942"/>
      <c r="AY4013" s="1942"/>
      <c r="AZ4013" s="1942"/>
      <c r="BA4013" s="1942"/>
      <c r="BB4013" s="575"/>
      <c r="BC4013" s="576"/>
      <c r="BD4013" s="678"/>
      <c r="BE4013" s="585"/>
    </row>
    <row r="4014" spans="1:57" s="51" customFormat="1" ht="14.45" hidden="1" customHeight="1" outlineLevel="1" x14ac:dyDescent="0.25">
      <c r="A4014" s="2060"/>
      <c r="B4014" s="576"/>
      <c r="C4014" s="328"/>
      <c r="D4014" s="4023"/>
      <c r="E4014" s="4020"/>
      <c r="F4014" s="3016" t="str">
        <f t="shared" si="318"/>
        <v>ASHP-SEER21-Replace_CAC_ElectricHeat_ER1_SF</v>
      </c>
      <c r="G4014" s="2673"/>
      <c r="H4014" s="2673"/>
      <c r="I4014" s="2673"/>
      <c r="J4014" s="3301" t="str">
        <f>C1562</f>
        <v>353550_2021_12_</v>
      </c>
      <c r="K4014" s="1052"/>
      <c r="L4014" s="109" t="str">
        <f>IF(K4014&gt;0,VLOOKUP(J4014,$J$1801:$L$1987,3,FALSE),"")</f>
        <v/>
      </c>
      <c r="M4014" s="3066" t="str">
        <f>IF(K4014&gt;0,VLOOKUP(J4014,$J$3297:$K$3483,2,FALSE),"")</f>
        <v/>
      </c>
      <c r="N4014" s="1135"/>
      <c r="O4014" s="228"/>
      <c r="P4014" s="844"/>
      <c r="Q4014" s="845"/>
      <c r="R4014" s="844"/>
      <c r="S4014" s="832"/>
      <c r="T4014" s="3082"/>
      <c r="U4014" s="123"/>
      <c r="V4014" s="4031"/>
      <c r="W4014" s="3307"/>
      <c r="X4014" s="535"/>
      <c r="Y4014" s="535"/>
      <c r="Z4014" s="532"/>
      <c r="AA4014" s="532"/>
      <c r="AB4014" s="535"/>
      <c r="AC4014" s="1052"/>
      <c r="AD4014" s="793"/>
      <c r="AE4014" s="793"/>
      <c r="AF4014" s="793"/>
      <c r="AG4014" s="793"/>
      <c r="AH4014" s="1942"/>
      <c r="AI4014" s="1942"/>
      <c r="AJ4014" s="1942"/>
      <c r="AK4014" s="1942"/>
      <c r="AL4014" s="1942"/>
      <c r="AM4014" s="1942"/>
      <c r="AN4014" s="1942"/>
      <c r="AO4014" s="1942"/>
      <c r="AP4014" s="1942"/>
      <c r="AQ4014" s="1942"/>
      <c r="AR4014" s="1942"/>
      <c r="AS4014" s="1942"/>
      <c r="AT4014" s="1942"/>
      <c r="AU4014" s="1942"/>
      <c r="AV4014" s="1942"/>
      <c r="AW4014" s="1942"/>
      <c r="AX4014" s="1942"/>
      <c r="AY4014" s="1942"/>
      <c r="AZ4014" s="1942"/>
      <c r="BA4014" s="1942"/>
      <c r="BB4014" s="575"/>
      <c r="BC4014" s="576"/>
      <c r="BD4014" s="678"/>
      <c r="BE4014" s="585"/>
    </row>
    <row r="4015" spans="1:57" s="51" customFormat="1" ht="14.45" hidden="1" customHeight="1" outlineLevel="1" x14ac:dyDescent="0.25">
      <c r="A4015" s="2060"/>
      <c r="B4015" s="576"/>
      <c r="C4015" s="328"/>
      <c r="D4015" s="4023"/>
      <c r="E4015" s="4020"/>
      <c r="F4015" s="3016" t="str">
        <f t="shared" si="318"/>
        <v>ASHP-SEER21-Replace_CAC_ElectricHeat_ER2_SF</v>
      </c>
      <c r="G4015" s="2673"/>
      <c r="H4015" s="2673"/>
      <c r="I4015" s="2673"/>
      <c r="J4015" s="3301" t="str">
        <f>C1563</f>
        <v>353550_2021_12_</v>
      </c>
      <c r="K4015" s="1052"/>
      <c r="L4015" s="109" t="str">
        <f>IF(K4015&gt;0,VLOOKUP(J4015,$J$1801:$L$1987,3,FALSE),"")</f>
        <v/>
      </c>
      <c r="M4015" s="3066" t="str">
        <f>IF(K4015&gt;0,VLOOKUP(J4015,$J$3297:$K$3483,2,FALSE),"")</f>
        <v/>
      </c>
      <c r="N4015" s="1135"/>
      <c r="O4015" s="228"/>
      <c r="P4015" s="844"/>
      <c r="Q4015" s="845"/>
      <c r="R4015" s="844"/>
      <c r="S4015" s="832"/>
      <c r="T4015" s="3082"/>
      <c r="U4015" s="123"/>
      <c r="V4015" s="4031"/>
      <c r="W4015" s="3307"/>
      <c r="X4015" s="535"/>
      <c r="Y4015" s="535"/>
      <c r="Z4015" s="532"/>
      <c r="AA4015" s="532"/>
      <c r="AB4015" s="535"/>
      <c r="AC4015" s="1052"/>
      <c r="AD4015" s="793"/>
      <c r="AE4015" s="793"/>
      <c r="AF4015" s="793"/>
      <c r="AG4015" s="793"/>
      <c r="AH4015" s="1942"/>
      <c r="AI4015" s="1942"/>
      <c r="AJ4015" s="1942"/>
      <c r="AK4015" s="1942"/>
      <c r="AL4015" s="1942"/>
      <c r="AM4015" s="1942"/>
      <c r="AN4015" s="1942"/>
      <c r="AO4015" s="1942"/>
      <c r="AP4015" s="1942"/>
      <c r="AQ4015" s="1942"/>
      <c r="AR4015" s="1942"/>
      <c r="AS4015" s="1942"/>
      <c r="AT4015" s="1942"/>
      <c r="AU4015" s="1942"/>
      <c r="AV4015" s="1942"/>
      <c r="AW4015" s="1942"/>
      <c r="AX4015" s="1942"/>
      <c r="AY4015" s="1942"/>
      <c r="AZ4015" s="1942"/>
      <c r="BA4015" s="1942"/>
      <c r="BB4015" s="575"/>
      <c r="BC4015" s="576"/>
      <c r="BD4015" s="678"/>
      <c r="BE4015" s="585"/>
    </row>
    <row r="4016" spans="1:57" s="51" customFormat="1" ht="14.45" hidden="1" customHeight="1" outlineLevel="1" x14ac:dyDescent="0.25">
      <c r="A4016" s="2060"/>
      <c r="B4016" s="576"/>
      <c r="C4016" s="328"/>
      <c r="D4016" s="4023"/>
      <c r="E4016" s="4020"/>
      <c r="F4016" s="3016" t="str">
        <f t="shared" si="318"/>
        <v>ASHP-SEER21-Replace_CAC_ElectricHeat_ER2_SF</v>
      </c>
      <c r="G4016" s="2673"/>
      <c r="H4016" s="2673"/>
      <c r="I4016" s="2673"/>
      <c r="J4016" s="3301" t="str">
        <f>C1564</f>
        <v>353550_2021_12_</v>
      </c>
      <c r="K4016" s="1052"/>
      <c r="L4016" s="109" t="str">
        <f>IF(K4016&gt;0,VLOOKUP(J4016,$J$1801:$L$1987,3,FALSE),"")</f>
        <v/>
      </c>
      <c r="M4016" s="3066" t="str">
        <f>IF(K4016&gt;0,VLOOKUP(J4016,$J$3297:$K$3483,2,FALSE),"")</f>
        <v/>
      </c>
      <c r="N4016" s="1135"/>
      <c r="O4016" s="228"/>
      <c r="P4016" s="844"/>
      <c r="Q4016" s="845"/>
      <c r="R4016" s="844"/>
      <c r="S4016" s="832"/>
      <c r="T4016" s="3082"/>
      <c r="U4016" s="123"/>
      <c r="V4016" s="4031"/>
      <c r="W4016" s="3307"/>
      <c r="X4016" s="535"/>
      <c r="Y4016" s="535"/>
      <c r="Z4016" s="532"/>
      <c r="AA4016" s="532"/>
      <c r="AB4016" s="535"/>
      <c r="AC4016" s="1052"/>
      <c r="AD4016" s="793"/>
      <c r="AE4016" s="793"/>
      <c r="AF4016" s="793"/>
      <c r="AG4016" s="793"/>
      <c r="AH4016" s="1942"/>
      <c r="AI4016" s="1942"/>
      <c r="AJ4016" s="1942"/>
      <c r="AK4016" s="1942"/>
      <c r="AL4016" s="1942"/>
      <c r="AM4016" s="1942"/>
      <c r="AN4016" s="1942"/>
      <c r="AO4016" s="1942"/>
      <c r="AP4016" s="1942"/>
      <c r="AQ4016" s="1942"/>
      <c r="AR4016" s="1942"/>
      <c r="AS4016" s="1942"/>
      <c r="AT4016" s="1942"/>
      <c r="AU4016" s="1942"/>
      <c r="AV4016" s="1942"/>
      <c r="AW4016" s="1942"/>
      <c r="AX4016" s="1942"/>
      <c r="AY4016" s="1942"/>
      <c r="AZ4016" s="1942"/>
      <c r="BA4016" s="1942"/>
      <c r="BB4016" s="575"/>
      <c r="BC4016" s="576"/>
      <c r="BD4016" s="678"/>
      <c r="BE4016" s="585"/>
    </row>
    <row r="4017" spans="1:57" s="1942" customFormat="1" ht="14.45" hidden="1" customHeight="1" outlineLevel="1" x14ac:dyDescent="0.25">
      <c r="A4017" s="2060"/>
      <c r="B4017" s="576"/>
      <c r="C4017" s="328"/>
      <c r="D4017" s="4023"/>
      <c r="E4017" s="4020"/>
      <c r="F4017" s="3016" t="str">
        <f t="shared" si="318"/>
        <v>ASHP-SEER21-Replace_CAC_NonElectricHeat_ER1_SF</v>
      </c>
      <c r="G4017" s="2673"/>
      <c r="H4017" s="2673"/>
      <c r="I4017" s="2673"/>
      <c r="J4017" s="3301" t="str">
        <f t="shared" ref="J4017:J4020" si="322">C1565</f>
        <v>353560_2021_12_</v>
      </c>
      <c r="K4017" s="3294">
        <f>(($R$1820*L4017)+$R$1811)-(($Q$1820*L4017)/((1+$R$1822)^($R$1823-1)))</f>
        <v>2547.9287573669544</v>
      </c>
      <c r="L4017" s="112">
        <f>VLOOKUP(J4017,$J$1801:$L$1987,3,FALSE)*M4017</f>
        <v>3.5909090909090908</v>
      </c>
      <c r="M4017" s="3286">
        <f>VLOOKUP(J4017,$J$3297:$K$3483,2,FALSE)</f>
        <v>1</v>
      </c>
      <c r="N4017" s="1135"/>
      <c r="O4017" s="228"/>
      <c r="P4017" s="844"/>
      <c r="Q4017" s="845"/>
      <c r="R4017" s="844"/>
      <c r="S4017" s="832"/>
      <c r="T4017" s="3082"/>
      <c r="U4017" s="123"/>
      <c r="V4017" s="4031"/>
      <c r="W4017" s="3307"/>
      <c r="X4017" s="535"/>
      <c r="Y4017" s="535"/>
      <c r="Z4017" s="532"/>
      <c r="AA4017" s="532"/>
      <c r="AB4017" s="535"/>
      <c r="AC4017" s="3294">
        <v>2547.9287573669544</v>
      </c>
      <c r="AD4017" s="793"/>
      <c r="AE4017" s="793"/>
      <c r="AF4017" s="793"/>
      <c r="AG4017" s="793"/>
      <c r="BB4017" s="575"/>
      <c r="BC4017" s="576"/>
      <c r="BD4017" s="678"/>
      <c r="BE4017" s="585"/>
    </row>
    <row r="4018" spans="1:57" s="1942" customFormat="1" ht="14.45" hidden="1" customHeight="1" outlineLevel="1" x14ac:dyDescent="0.25">
      <c r="A4018" s="2060"/>
      <c r="B4018" s="576"/>
      <c r="C4018" s="328"/>
      <c r="D4018" s="4023"/>
      <c r="E4018" s="4020"/>
      <c r="F4018" s="3016" t="str">
        <f t="shared" si="318"/>
        <v>ASHP-SEER21-Replace_CAC_NonElectricHeat_ER1_SF</v>
      </c>
      <c r="G4018" s="2673"/>
      <c r="H4018" s="2673"/>
      <c r="I4018" s="2673"/>
      <c r="J4018" s="3301" t="str">
        <f t="shared" si="322"/>
        <v>353560_2021_12_</v>
      </c>
      <c r="K4018" s="1052"/>
      <c r="L4018" s="109"/>
      <c r="M4018" s="3066"/>
      <c r="N4018" s="1135"/>
      <c r="O4018" s="228"/>
      <c r="P4018" s="844"/>
      <c r="Q4018" s="845"/>
      <c r="R4018" s="844"/>
      <c r="S4018" s="832"/>
      <c r="T4018" s="3082"/>
      <c r="U4018" s="123"/>
      <c r="V4018" s="4031"/>
      <c r="W4018" s="3307"/>
      <c r="X4018" s="535"/>
      <c r="Y4018" s="535"/>
      <c r="Z4018" s="532"/>
      <c r="AA4018" s="532"/>
      <c r="AB4018" s="535"/>
      <c r="AC4018" s="1052"/>
      <c r="AD4018" s="793"/>
      <c r="AE4018" s="793"/>
      <c r="AF4018" s="793"/>
      <c r="AG4018" s="793"/>
      <c r="BB4018" s="575"/>
      <c r="BC4018" s="576"/>
      <c r="BD4018" s="678"/>
      <c r="BE4018" s="585"/>
    </row>
    <row r="4019" spans="1:57" s="1942" customFormat="1" ht="14.45" hidden="1" customHeight="1" outlineLevel="1" x14ac:dyDescent="0.25">
      <c r="A4019" s="2060"/>
      <c r="B4019" s="576"/>
      <c r="C4019" s="328"/>
      <c r="D4019" s="4023"/>
      <c r="E4019" s="4020"/>
      <c r="F4019" s="3016" t="str">
        <f t="shared" si="318"/>
        <v>ASHP-SEER21-Replace_CAC_NonElectricHeat_ER2_SF</v>
      </c>
      <c r="G4019" s="2673"/>
      <c r="H4019" s="2673"/>
      <c r="I4019" s="2673"/>
      <c r="J4019" s="3301" t="str">
        <f t="shared" si="322"/>
        <v>353560_2021_12_</v>
      </c>
      <c r="K4019" s="1052"/>
      <c r="L4019" s="109"/>
      <c r="M4019" s="3066"/>
      <c r="N4019" s="1135"/>
      <c r="O4019" s="228"/>
      <c r="P4019" s="844"/>
      <c r="Q4019" s="845"/>
      <c r="R4019" s="844"/>
      <c r="S4019" s="832"/>
      <c r="T4019" s="3082"/>
      <c r="U4019" s="123"/>
      <c r="V4019" s="4031"/>
      <c r="W4019" s="3307"/>
      <c r="X4019" s="535"/>
      <c r="Y4019" s="535"/>
      <c r="Z4019" s="532"/>
      <c r="AA4019" s="532"/>
      <c r="AB4019" s="535"/>
      <c r="AC4019" s="1052"/>
      <c r="AD4019" s="793"/>
      <c r="AE4019" s="793"/>
      <c r="AF4019" s="793"/>
      <c r="AG4019" s="793"/>
      <c r="BB4019" s="575"/>
      <c r="BC4019" s="576"/>
      <c r="BD4019" s="678"/>
      <c r="BE4019" s="585"/>
    </row>
    <row r="4020" spans="1:57" s="1942" customFormat="1" ht="14.45" hidden="1" customHeight="1" outlineLevel="1" x14ac:dyDescent="0.25">
      <c r="A4020" s="2060"/>
      <c r="B4020" s="576"/>
      <c r="C4020" s="328"/>
      <c r="D4020" s="4023"/>
      <c r="E4020" s="4020"/>
      <c r="F4020" s="3016" t="str">
        <f t="shared" si="318"/>
        <v>ASHP-SEER21-Replace_CAC_NonElectricHeat_ER2_SF</v>
      </c>
      <c r="G4020" s="2673"/>
      <c r="H4020" s="2673"/>
      <c r="I4020" s="2673"/>
      <c r="J4020" s="3301" t="str">
        <f t="shared" si="322"/>
        <v>353560_2021_12_</v>
      </c>
      <c r="K4020" s="1052"/>
      <c r="L4020" s="109"/>
      <c r="M4020" s="3066"/>
      <c r="N4020" s="1135"/>
      <c r="O4020" s="228"/>
      <c r="P4020" s="844"/>
      <c r="Q4020" s="845"/>
      <c r="R4020" s="844"/>
      <c r="S4020" s="832"/>
      <c r="T4020" s="3082"/>
      <c r="U4020" s="123"/>
      <c r="V4020" s="4031"/>
      <c r="W4020" s="3307"/>
      <c r="X4020" s="535"/>
      <c r="Y4020" s="535"/>
      <c r="Z4020" s="532"/>
      <c r="AA4020" s="532"/>
      <c r="AB4020" s="535"/>
      <c r="AC4020" s="1052"/>
      <c r="AD4020" s="793"/>
      <c r="AE4020" s="793"/>
      <c r="AF4020" s="793"/>
      <c r="AG4020" s="793"/>
      <c r="BB4020" s="575"/>
      <c r="BC4020" s="576"/>
      <c r="BD4020" s="678"/>
      <c r="BE4020" s="585"/>
    </row>
    <row r="4021" spans="1:57" s="51" customFormat="1" ht="14.45" hidden="1" customHeight="1" outlineLevel="1" x14ac:dyDescent="0.25">
      <c r="A4021" s="2060"/>
      <c r="B4021" s="576"/>
      <c r="C4021" s="328"/>
      <c r="D4021" s="4023"/>
      <c r="E4021" s="4020"/>
      <c r="F4021" s="3016" t="str">
        <f t="shared" si="318"/>
        <v>ASHP-SEER21-Replace_CAC_ElectricHeat_ER1_MF</v>
      </c>
      <c r="G4021" s="2673"/>
      <c r="H4021" s="2673"/>
      <c r="I4021" s="2673"/>
      <c r="J4021" s="3302" t="str">
        <f>C1569</f>
        <v>353600_2019_12_</v>
      </c>
      <c r="K4021" s="1052">
        <f>(($R$1820*L4021)+$R$1811)-(($Q$1820*L4021)/((1+$R$1822)^($R$1823-1)))</f>
        <v>2171.3844012161662</v>
      </c>
      <c r="L4021" s="109">
        <f>VLOOKUP(J4021,$J$1801:$L$1987,3,FALSE)*M4021</f>
        <v>2.0150000000000001</v>
      </c>
      <c r="M4021" s="3066">
        <f>VLOOKUP(J4021,$J$3297:$K$3483,2,FALSE)</f>
        <v>0.65</v>
      </c>
      <c r="N4021" s="1135"/>
      <c r="O4021" s="228"/>
      <c r="P4021" s="844"/>
      <c r="Q4021" s="845"/>
      <c r="R4021" s="844"/>
      <c r="S4021" s="832"/>
      <c r="T4021" s="3082"/>
      <c r="U4021" s="123"/>
      <c r="V4021" s="4031"/>
      <c r="W4021" s="3307">
        <v>5275.2377829603429</v>
      </c>
      <c r="X4021" s="535">
        <f>$Q$1811*(X$1882/12000)*X$3378</f>
        <v>4849.5774726484988</v>
      </c>
      <c r="Y4021" s="535">
        <v>1727.2545915436422</v>
      </c>
      <c r="Z4021" s="532">
        <v>1727.2545915436422</v>
      </c>
      <c r="AA4021" s="532">
        <v>1727.2545915436422</v>
      </c>
      <c r="AB4021" s="535">
        <v>2171.3844012161662</v>
      </c>
      <c r="AC4021" s="1052">
        <v>2171.3844012161662</v>
      </c>
      <c r="AD4021" s="793"/>
      <c r="AE4021" s="793"/>
      <c r="AF4021" s="793"/>
      <c r="AG4021" s="793"/>
      <c r="AH4021" s="1942"/>
      <c r="AI4021" s="1942"/>
      <c r="AJ4021" s="1942"/>
      <c r="AK4021" s="1942"/>
      <c r="AL4021" s="1942"/>
      <c r="AM4021" s="1942"/>
      <c r="AN4021" s="1942"/>
      <c r="AO4021" s="1942"/>
      <c r="AP4021" s="1942"/>
      <c r="AQ4021" s="1942"/>
      <c r="AR4021" s="1942"/>
      <c r="AS4021" s="1942"/>
      <c r="AT4021" s="1942"/>
      <c r="AU4021" s="1942"/>
      <c r="AV4021" s="1942"/>
      <c r="AW4021" s="1942"/>
      <c r="AX4021" s="1942"/>
      <c r="AY4021" s="1942"/>
      <c r="AZ4021" s="1942"/>
      <c r="BA4021" s="1942"/>
      <c r="BB4021" s="575"/>
      <c r="BC4021" s="576"/>
      <c r="BD4021" s="678"/>
      <c r="BE4021" s="585"/>
    </row>
    <row r="4022" spans="1:57" s="51" customFormat="1" ht="14.45" hidden="1" customHeight="1" outlineLevel="1" x14ac:dyDescent="0.25">
      <c r="A4022" s="2060"/>
      <c r="B4022" s="576"/>
      <c r="C4022" s="328"/>
      <c r="D4022" s="4023"/>
      <c r="E4022" s="4020"/>
      <c r="F4022" s="3016" t="str">
        <f t="shared" si="318"/>
        <v>ASHP-SEER21-Replace_CAC_ElectricHeat_ER1_MF</v>
      </c>
      <c r="G4022" s="2673"/>
      <c r="H4022" s="2673"/>
      <c r="I4022" s="2673"/>
      <c r="J4022" s="3302" t="str">
        <f>C1570</f>
        <v>353600_2019_12_</v>
      </c>
      <c r="K4022" s="1052"/>
      <c r="L4022" s="109" t="str">
        <f>IF(K4022&gt;0,VLOOKUP(J4022,$J$1801:$L$1987,3,FALSE),"")</f>
        <v/>
      </c>
      <c r="M4022" s="3066" t="str">
        <f>IF(K4022&gt;0,VLOOKUP(J4022,$J$3297:$K$3483,2,FALSE),"")</f>
        <v/>
      </c>
      <c r="N4022" s="1135"/>
      <c r="O4022" s="228"/>
      <c r="P4022" s="844"/>
      <c r="Q4022" s="845"/>
      <c r="R4022" s="844"/>
      <c r="S4022" s="832"/>
      <c r="T4022" s="3082"/>
      <c r="U4022" s="123"/>
      <c r="V4022" s="4031"/>
      <c r="W4022" s="3307"/>
      <c r="X4022" s="535"/>
      <c r="Y4022" s="535"/>
      <c r="Z4022" s="532"/>
      <c r="AA4022" s="532"/>
      <c r="AB4022" s="535"/>
      <c r="AC4022" s="1052"/>
      <c r="AD4022" s="793"/>
      <c r="AE4022" s="793"/>
      <c r="AF4022" s="793"/>
      <c r="AG4022" s="793"/>
      <c r="AH4022" s="1942"/>
      <c r="AI4022" s="1942"/>
      <c r="AJ4022" s="1942"/>
      <c r="AK4022" s="1942"/>
      <c r="AL4022" s="1942"/>
      <c r="AM4022" s="1942"/>
      <c r="AN4022" s="1942"/>
      <c r="AO4022" s="1942"/>
      <c r="AP4022" s="1942"/>
      <c r="AQ4022" s="1942"/>
      <c r="AR4022" s="1942"/>
      <c r="AS4022" s="1942"/>
      <c r="AT4022" s="1942"/>
      <c r="AU4022" s="1942"/>
      <c r="AV4022" s="1942"/>
      <c r="AW4022" s="1942"/>
      <c r="AX4022" s="1942"/>
      <c r="AY4022" s="1942"/>
      <c r="AZ4022" s="1942"/>
      <c r="BA4022" s="1942"/>
      <c r="BB4022" s="575"/>
      <c r="BC4022" s="576"/>
      <c r="BD4022" s="678"/>
      <c r="BE4022" s="585"/>
    </row>
    <row r="4023" spans="1:57" s="51" customFormat="1" ht="14.45" hidden="1" customHeight="1" outlineLevel="1" x14ac:dyDescent="0.25">
      <c r="A4023" s="2060"/>
      <c r="B4023" s="576"/>
      <c r="C4023" s="328"/>
      <c r="D4023" s="4023"/>
      <c r="E4023" s="4020"/>
      <c r="F4023" s="3016" t="str">
        <f t="shared" si="318"/>
        <v>ASHP-SEER21-Replace_CAC_ElectricHeat_ER2_MF</v>
      </c>
      <c r="G4023" s="2673"/>
      <c r="H4023" s="2673"/>
      <c r="I4023" s="2673"/>
      <c r="J4023" s="3302" t="str">
        <f>C1571</f>
        <v>353600_2019_12_</v>
      </c>
      <c r="K4023" s="1052"/>
      <c r="L4023" s="109" t="str">
        <f>IF(K4023&gt;0,VLOOKUP(J4023,$J$1801:$L$1987,3,FALSE),"")</f>
        <v/>
      </c>
      <c r="M4023" s="3066" t="str">
        <f>IF(K4023&gt;0,VLOOKUP(J4023,$J$3297:$K$3483,2,FALSE),"")</f>
        <v/>
      </c>
      <c r="N4023" s="1135"/>
      <c r="O4023" s="228"/>
      <c r="P4023" s="844"/>
      <c r="Q4023" s="845"/>
      <c r="R4023" s="844"/>
      <c r="S4023" s="832"/>
      <c r="T4023" s="3082"/>
      <c r="U4023" s="123"/>
      <c r="V4023" s="4031"/>
      <c r="W4023" s="3307"/>
      <c r="X4023" s="535"/>
      <c r="Y4023" s="535"/>
      <c r="Z4023" s="532"/>
      <c r="AA4023" s="532"/>
      <c r="AB4023" s="535"/>
      <c r="AC4023" s="1052"/>
      <c r="AD4023" s="793"/>
      <c r="AE4023" s="793"/>
      <c r="AF4023" s="793"/>
      <c r="AG4023" s="793"/>
      <c r="AH4023" s="1942"/>
      <c r="AI4023" s="1942"/>
      <c r="AJ4023" s="1942"/>
      <c r="AK4023" s="1942"/>
      <c r="AL4023" s="1942"/>
      <c r="AM4023" s="1942"/>
      <c r="AN4023" s="1942"/>
      <c r="AO4023" s="1942"/>
      <c r="AP4023" s="1942"/>
      <c r="AQ4023" s="1942"/>
      <c r="AR4023" s="1942"/>
      <c r="AS4023" s="1942"/>
      <c r="AT4023" s="1942"/>
      <c r="AU4023" s="1942"/>
      <c r="AV4023" s="1942"/>
      <c r="AW4023" s="1942"/>
      <c r="AX4023" s="1942"/>
      <c r="AY4023" s="1942"/>
      <c r="AZ4023" s="1942"/>
      <c r="BA4023" s="1942"/>
      <c r="BB4023" s="575"/>
      <c r="BC4023" s="576"/>
      <c r="BD4023" s="678"/>
      <c r="BE4023" s="585"/>
    </row>
    <row r="4024" spans="1:57" s="51" customFormat="1" ht="14.45" hidden="1" customHeight="1" outlineLevel="1" x14ac:dyDescent="0.25">
      <c r="A4024" s="2060"/>
      <c r="B4024" s="576"/>
      <c r="C4024" s="328"/>
      <c r="D4024" s="4023"/>
      <c r="E4024" s="4020"/>
      <c r="F4024" s="3016" t="str">
        <f t="shared" si="318"/>
        <v>ASHP-SEER21-Replace_CAC_ElectricHeat_ER2_MF</v>
      </c>
      <c r="G4024" s="2673"/>
      <c r="H4024" s="2673"/>
      <c r="I4024" s="2673"/>
      <c r="J4024" s="3302" t="str">
        <f>C1572</f>
        <v>353600_2019_12_</v>
      </c>
      <c r="K4024" s="1052"/>
      <c r="L4024" s="109" t="str">
        <f>IF(K4024&gt;0,VLOOKUP(J4024,$J$1801:$L$1987,3,FALSE),"")</f>
        <v/>
      </c>
      <c r="M4024" s="3066" t="str">
        <f>IF(K4024&gt;0,VLOOKUP(J4024,$J$3297:$K$3483,2,FALSE),"")</f>
        <v/>
      </c>
      <c r="N4024" s="1135"/>
      <c r="O4024" s="228"/>
      <c r="P4024" s="844"/>
      <c r="Q4024" s="845"/>
      <c r="R4024" s="844"/>
      <c r="S4024" s="832"/>
      <c r="T4024" s="3082"/>
      <c r="U4024" s="123"/>
      <c r="V4024" s="4031"/>
      <c r="W4024" s="3307"/>
      <c r="X4024" s="535"/>
      <c r="Y4024" s="535"/>
      <c r="Z4024" s="532"/>
      <c r="AA4024" s="532"/>
      <c r="AB4024" s="535"/>
      <c r="AC4024" s="1052"/>
      <c r="AD4024" s="793"/>
      <c r="AE4024" s="793"/>
      <c r="AF4024" s="793"/>
      <c r="AG4024" s="793"/>
      <c r="AH4024" s="1942"/>
      <c r="AI4024" s="1942"/>
      <c r="AJ4024" s="1942"/>
      <c r="AK4024" s="1942"/>
      <c r="AL4024" s="1942"/>
      <c r="AM4024" s="1942"/>
      <c r="AN4024" s="1942"/>
      <c r="AO4024" s="1942"/>
      <c r="AP4024" s="1942"/>
      <c r="AQ4024" s="1942"/>
      <c r="AR4024" s="1942"/>
      <c r="AS4024" s="1942"/>
      <c r="AT4024" s="1942"/>
      <c r="AU4024" s="1942"/>
      <c r="AV4024" s="1942"/>
      <c r="AW4024" s="1942"/>
      <c r="AX4024" s="1942"/>
      <c r="AY4024" s="1942"/>
      <c r="AZ4024" s="1942"/>
      <c r="BA4024" s="1942"/>
      <c r="BB4024" s="575"/>
      <c r="BC4024" s="576"/>
      <c r="BD4024" s="678"/>
      <c r="BE4024" s="585"/>
    </row>
    <row r="4025" spans="1:57" s="1942" customFormat="1" ht="14.45" hidden="1" customHeight="1" outlineLevel="1" x14ac:dyDescent="0.25">
      <c r="A4025" s="2060"/>
      <c r="B4025" s="576"/>
      <c r="C4025" s="328"/>
      <c r="D4025" s="4023"/>
      <c r="E4025" s="4020"/>
      <c r="F4025" s="3016" t="str">
        <f t="shared" si="318"/>
        <v>ASHP-SEER21-Replace_CAC_ElectricHeat_ER1_MF_CompE</v>
      </c>
      <c r="G4025" s="2673"/>
      <c r="H4025" s="2673"/>
      <c r="I4025" s="2673"/>
      <c r="J4025" s="3302" t="str">
        <f t="shared" ref="J4025:J4036" si="323">C1573</f>
        <v>353601_2019_12_</v>
      </c>
      <c r="K4025" s="3294">
        <f>(($R$1820*L4025)+$R$1811)-(($Q$1820*L4025)/((1+$R$1822)^($R$1823-1)))</f>
        <v>2171.3844012161662</v>
      </c>
      <c r="L4025" s="109">
        <f>VLOOKUP(J4025,$J$1801:$L$1987,3,FALSE)*M4025</f>
        <v>2.0150000000000001</v>
      </c>
      <c r="M4025" s="3286">
        <f>VLOOKUP(J4025,$J$3297:$K$3483,2,FALSE)</f>
        <v>0.65</v>
      </c>
      <c r="N4025" s="1135"/>
      <c r="O4025" s="228"/>
      <c r="P4025" s="844"/>
      <c r="Q4025" s="845"/>
      <c r="R4025" s="844"/>
      <c r="S4025" s="832"/>
      <c r="T4025" s="3082"/>
      <c r="U4025" s="123"/>
      <c r="V4025" s="4031"/>
      <c r="W4025" s="3307"/>
      <c r="X4025" s="535"/>
      <c r="Y4025" s="535"/>
      <c r="Z4025" s="532"/>
      <c r="AA4025" s="532"/>
      <c r="AB4025" s="535"/>
      <c r="AC4025" s="3294">
        <v>2171.3844012161662</v>
      </c>
      <c r="AD4025" s="793"/>
      <c r="AE4025" s="793"/>
      <c r="AF4025" s="793"/>
      <c r="AG4025" s="793"/>
      <c r="BB4025" s="575"/>
      <c r="BC4025" s="576"/>
      <c r="BD4025" s="678"/>
      <c r="BE4025" s="585"/>
    </row>
    <row r="4026" spans="1:57" s="1942" customFormat="1" ht="14.45" hidden="1" customHeight="1" outlineLevel="1" x14ac:dyDescent="0.25">
      <c r="A4026" s="2060"/>
      <c r="B4026" s="576"/>
      <c r="C4026" s="328"/>
      <c r="D4026" s="4023"/>
      <c r="E4026" s="4020"/>
      <c r="F4026" s="3016" t="str">
        <f t="shared" si="318"/>
        <v>ASHP-SEER21-Replace_CAC_ElectricHeat_ER1_MF_CompE</v>
      </c>
      <c r="G4026" s="2673"/>
      <c r="H4026" s="2673"/>
      <c r="I4026" s="2673"/>
      <c r="J4026" s="3302" t="str">
        <f t="shared" si="323"/>
        <v>353601_2019_12_</v>
      </c>
      <c r="K4026" s="1052"/>
      <c r="L4026" s="109"/>
      <c r="M4026" s="3066"/>
      <c r="N4026" s="1135"/>
      <c r="O4026" s="228"/>
      <c r="P4026" s="844"/>
      <c r="Q4026" s="845"/>
      <c r="R4026" s="844"/>
      <c r="S4026" s="832"/>
      <c r="T4026" s="3082"/>
      <c r="U4026" s="123"/>
      <c r="V4026" s="4031"/>
      <c r="W4026" s="3307"/>
      <c r="X4026" s="535"/>
      <c r="Y4026" s="535"/>
      <c r="Z4026" s="532"/>
      <c r="AA4026" s="532"/>
      <c r="AB4026" s="535"/>
      <c r="AC4026" s="1052"/>
      <c r="AD4026" s="793"/>
      <c r="AE4026" s="793"/>
      <c r="AF4026" s="793"/>
      <c r="AG4026" s="793"/>
      <c r="BB4026" s="575"/>
      <c r="BC4026" s="576"/>
      <c r="BD4026" s="678"/>
      <c r="BE4026" s="585"/>
    </row>
    <row r="4027" spans="1:57" s="1942" customFormat="1" ht="14.45" hidden="1" customHeight="1" outlineLevel="1" x14ac:dyDescent="0.25">
      <c r="A4027" s="2060"/>
      <c r="B4027" s="576"/>
      <c r="C4027" s="328"/>
      <c r="D4027" s="4023"/>
      <c r="E4027" s="4020"/>
      <c r="F4027" s="3016" t="str">
        <f t="shared" si="318"/>
        <v>ASHP-SEER21-Replace_CAC_ElectricHeat_ER2_MF_CompE</v>
      </c>
      <c r="G4027" s="2673"/>
      <c r="H4027" s="2673"/>
      <c r="I4027" s="2673"/>
      <c r="J4027" s="3302" t="str">
        <f t="shared" si="323"/>
        <v>353601_2019_12_</v>
      </c>
      <c r="K4027" s="1052"/>
      <c r="L4027" s="109"/>
      <c r="M4027" s="3066"/>
      <c r="N4027" s="1135"/>
      <c r="O4027" s="228"/>
      <c r="P4027" s="844"/>
      <c r="Q4027" s="845"/>
      <c r="R4027" s="844"/>
      <c r="S4027" s="832"/>
      <c r="T4027" s="3082"/>
      <c r="U4027" s="123"/>
      <c r="V4027" s="4031"/>
      <c r="W4027" s="3307"/>
      <c r="X4027" s="535"/>
      <c r="Y4027" s="535"/>
      <c r="Z4027" s="532"/>
      <c r="AA4027" s="532"/>
      <c r="AB4027" s="535"/>
      <c r="AC4027" s="1052"/>
      <c r="AD4027" s="793"/>
      <c r="AE4027" s="793"/>
      <c r="AF4027" s="793"/>
      <c r="AG4027" s="793"/>
      <c r="BB4027" s="575"/>
      <c r="BC4027" s="576"/>
      <c r="BD4027" s="678"/>
      <c r="BE4027" s="585"/>
    </row>
    <row r="4028" spans="1:57" s="1942" customFormat="1" ht="14.45" hidden="1" customHeight="1" outlineLevel="1" x14ac:dyDescent="0.25">
      <c r="A4028" s="2060"/>
      <c r="B4028" s="576"/>
      <c r="C4028" s="328"/>
      <c r="D4028" s="4023"/>
      <c r="E4028" s="4020"/>
      <c r="F4028" s="3016" t="str">
        <f t="shared" si="318"/>
        <v>ASHP-SEER21-Replace_CAC_ElectricHeat_ER2_MF_CompE</v>
      </c>
      <c r="G4028" s="2673"/>
      <c r="H4028" s="2673"/>
      <c r="I4028" s="2673"/>
      <c r="J4028" s="3302" t="str">
        <f t="shared" si="323"/>
        <v>353601_2019_12_</v>
      </c>
      <c r="K4028" s="1052"/>
      <c r="L4028" s="109"/>
      <c r="M4028" s="3066"/>
      <c r="N4028" s="1135"/>
      <c r="O4028" s="228"/>
      <c r="P4028" s="844"/>
      <c r="Q4028" s="845"/>
      <c r="R4028" s="844"/>
      <c r="S4028" s="832"/>
      <c r="T4028" s="3082"/>
      <c r="U4028" s="123"/>
      <c r="V4028" s="4031"/>
      <c r="W4028" s="3307"/>
      <c r="X4028" s="535"/>
      <c r="Y4028" s="535"/>
      <c r="Z4028" s="532"/>
      <c r="AA4028" s="532"/>
      <c r="AB4028" s="535"/>
      <c r="AC4028" s="1052"/>
      <c r="AD4028" s="793"/>
      <c r="AE4028" s="793"/>
      <c r="AF4028" s="793"/>
      <c r="AG4028" s="793"/>
      <c r="BB4028" s="575"/>
      <c r="BC4028" s="576"/>
      <c r="BD4028" s="678"/>
      <c r="BE4028" s="585"/>
    </row>
    <row r="4029" spans="1:57" s="1942" customFormat="1" ht="14.45" hidden="1" customHeight="1" outlineLevel="1" x14ac:dyDescent="0.25">
      <c r="A4029" s="2060"/>
      <c r="B4029" s="576"/>
      <c r="C4029" s="328"/>
      <c r="D4029" s="4023"/>
      <c r="E4029" s="4020"/>
      <c r="F4029" s="3016" t="str">
        <f t="shared" si="318"/>
        <v>ASHP-SEER21-Replace_CAC_NonElectricHeat_ER1_MF</v>
      </c>
      <c r="G4029" s="2673"/>
      <c r="H4029" s="2673"/>
      <c r="I4029" s="2673"/>
      <c r="J4029" s="3301" t="str">
        <f t="shared" si="323"/>
        <v>353610_2021_12_</v>
      </c>
      <c r="K4029" s="3294">
        <f>(($R$1820*L4029)+$R$1811)-(($Q$1820*L4029)/((1+$R$1822)^($R$1823-1)))</f>
        <v>2171.3844012161662</v>
      </c>
      <c r="L4029" s="112">
        <f>VLOOKUP(J4029,$J$1801:$L$1987,3,FALSE)*M4029</f>
        <v>2.0150000000000001</v>
      </c>
      <c r="M4029" s="3286">
        <f>VLOOKUP(J4029,$J$3297:$K$3483,2,FALSE)</f>
        <v>0.65</v>
      </c>
      <c r="N4029" s="1135"/>
      <c r="O4029" s="228"/>
      <c r="P4029" s="844"/>
      <c r="Q4029" s="845"/>
      <c r="R4029" s="844"/>
      <c r="S4029" s="832"/>
      <c r="T4029" s="3082"/>
      <c r="U4029" s="123"/>
      <c r="V4029" s="4031"/>
      <c r="W4029" s="3307"/>
      <c r="X4029" s="535"/>
      <c r="Y4029" s="535"/>
      <c r="Z4029" s="532"/>
      <c r="AA4029" s="532"/>
      <c r="AB4029" s="535"/>
      <c r="AC4029" s="3294">
        <v>2171.3844012161662</v>
      </c>
      <c r="AD4029" s="793"/>
      <c r="AE4029" s="793"/>
      <c r="AF4029" s="793"/>
      <c r="AG4029" s="793"/>
      <c r="BB4029" s="575"/>
      <c r="BC4029" s="576"/>
      <c r="BD4029" s="678"/>
      <c r="BE4029" s="585"/>
    </row>
    <row r="4030" spans="1:57" s="1942" customFormat="1" ht="14.45" hidden="1" customHeight="1" outlineLevel="1" x14ac:dyDescent="0.25">
      <c r="A4030" s="2060"/>
      <c r="B4030" s="576"/>
      <c r="C4030" s="328"/>
      <c r="D4030" s="4023"/>
      <c r="E4030" s="4020"/>
      <c r="F4030" s="3016" t="str">
        <f t="shared" si="318"/>
        <v>ASHP-SEER21-Replace_CAC_NonElectricHeat_ER1_MF</v>
      </c>
      <c r="G4030" s="2673"/>
      <c r="H4030" s="2673"/>
      <c r="I4030" s="2673"/>
      <c r="J4030" s="3301" t="str">
        <f t="shared" si="323"/>
        <v>353610_2021_12_</v>
      </c>
      <c r="K4030" s="1052"/>
      <c r="L4030" s="109"/>
      <c r="M4030" s="3066"/>
      <c r="N4030" s="1135"/>
      <c r="O4030" s="228"/>
      <c r="P4030" s="844"/>
      <c r="Q4030" s="845"/>
      <c r="R4030" s="844"/>
      <c r="S4030" s="832"/>
      <c r="T4030" s="3082"/>
      <c r="U4030" s="123"/>
      <c r="V4030" s="4031"/>
      <c r="W4030" s="3307"/>
      <c r="X4030" s="535"/>
      <c r="Y4030" s="535"/>
      <c r="Z4030" s="532"/>
      <c r="AA4030" s="532"/>
      <c r="AB4030" s="535"/>
      <c r="AC4030" s="1052"/>
      <c r="AD4030" s="793"/>
      <c r="AE4030" s="793"/>
      <c r="AF4030" s="793"/>
      <c r="AG4030" s="793"/>
      <c r="BB4030" s="575"/>
      <c r="BC4030" s="576"/>
      <c r="BD4030" s="678"/>
      <c r="BE4030" s="585"/>
    </row>
    <row r="4031" spans="1:57" s="1942" customFormat="1" ht="14.45" hidden="1" customHeight="1" outlineLevel="1" x14ac:dyDescent="0.25">
      <c r="A4031" s="2060"/>
      <c r="B4031" s="576"/>
      <c r="C4031" s="328"/>
      <c r="D4031" s="4023"/>
      <c r="E4031" s="4020"/>
      <c r="F4031" s="3016" t="str">
        <f t="shared" si="318"/>
        <v>ASHP-SEER21-Replace_CAC_NonElectricHeat_ER2_MF</v>
      </c>
      <c r="G4031" s="2673"/>
      <c r="H4031" s="2673"/>
      <c r="I4031" s="2673"/>
      <c r="J4031" s="3301" t="str">
        <f t="shared" si="323"/>
        <v>353610_2021_12_</v>
      </c>
      <c r="K4031" s="1052"/>
      <c r="L4031" s="109"/>
      <c r="M4031" s="3066"/>
      <c r="N4031" s="1135"/>
      <c r="O4031" s="228"/>
      <c r="P4031" s="844"/>
      <c r="Q4031" s="845"/>
      <c r="R4031" s="844"/>
      <c r="S4031" s="832"/>
      <c r="T4031" s="3082"/>
      <c r="U4031" s="123"/>
      <c r="V4031" s="4031"/>
      <c r="W4031" s="3307"/>
      <c r="X4031" s="535"/>
      <c r="Y4031" s="535"/>
      <c r="Z4031" s="532"/>
      <c r="AA4031" s="532"/>
      <c r="AB4031" s="535"/>
      <c r="AC4031" s="1052"/>
      <c r="AD4031" s="793"/>
      <c r="AE4031" s="793"/>
      <c r="AF4031" s="793"/>
      <c r="AG4031" s="793"/>
      <c r="BB4031" s="575"/>
      <c r="BC4031" s="576"/>
      <c r="BD4031" s="678"/>
      <c r="BE4031" s="585"/>
    </row>
    <row r="4032" spans="1:57" s="1942" customFormat="1" ht="14.45" hidden="1" customHeight="1" outlineLevel="1" x14ac:dyDescent="0.25">
      <c r="A4032" s="2060"/>
      <c r="B4032" s="576"/>
      <c r="C4032" s="328"/>
      <c r="D4032" s="4023"/>
      <c r="E4032" s="4020"/>
      <c r="F4032" s="3016" t="str">
        <f t="shared" si="318"/>
        <v>ASHP-SEER21-Replace_CAC_NonElectricHeat_ER2_MF</v>
      </c>
      <c r="G4032" s="2673"/>
      <c r="H4032" s="2673"/>
      <c r="I4032" s="2673"/>
      <c r="J4032" s="3301" t="str">
        <f t="shared" si="323"/>
        <v>353610_2021_12_</v>
      </c>
      <c r="K4032" s="1052"/>
      <c r="L4032" s="109"/>
      <c r="M4032" s="3066"/>
      <c r="N4032" s="1135"/>
      <c r="O4032" s="228"/>
      <c r="P4032" s="844"/>
      <c r="Q4032" s="845"/>
      <c r="R4032" s="844"/>
      <c r="S4032" s="832"/>
      <c r="T4032" s="3082"/>
      <c r="U4032" s="123"/>
      <c r="V4032" s="4031"/>
      <c r="W4032" s="3307"/>
      <c r="X4032" s="535"/>
      <c r="Y4032" s="535"/>
      <c r="Z4032" s="532"/>
      <c r="AA4032" s="532"/>
      <c r="AB4032" s="535"/>
      <c r="AC4032" s="1052"/>
      <c r="AD4032" s="793"/>
      <c r="AE4032" s="793"/>
      <c r="AF4032" s="793"/>
      <c r="AG4032" s="793"/>
      <c r="BB4032" s="575"/>
      <c r="BC4032" s="576"/>
      <c r="BD4032" s="678"/>
      <c r="BE4032" s="585"/>
    </row>
    <row r="4033" spans="1:57" s="1942" customFormat="1" ht="14.45" hidden="1" customHeight="1" outlineLevel="1" x14ac:dyDescent="0.25">
      <c r="A4033" s="2060"/>
      <c r="B4033" s="576"/>
      <c r="C4033" s="328"/>
      <c r="D4033" s="4023"/>
      <c r="E4033" s="4020"/>
      <c r="F4033" s="3016" t="str">
        <f t="shared" si="318"/>
        <v>ASHP-SEER21-Replace_CAC_NonElectricHeat_ER1_MF_CompE</v>
      </c>
      <c r="G4033" s="2673"/>
      <c r="H4033" s="2673"/>
      <c r="I4033" s="2673"/>
      <c r="J4033" s="3301" t="str">
        <f t="shared" si="323"/>
        <v>353611_2021_12_</v>
      </c>
      <c r="K4033" s="3294">
        <f>(($R$1820*L4033)+$R$1811)-(($Q$1820*L4033)/((1+$R$1822)^($R$1823-1)))</f>
        <v>2171.3844012161662</v>
      </c>
      <c r="L4033" s="112">
        <f>VLOOKUP(J4033,$J$1801:$L$1987,3,FALSE)*M4033</f>
        <v>2.0150000000000001</v>
      </c>
      <c r="M4033" s="3286">
        <f>VLOOKUP(J4033,$J$3297:$K$3483,2,FALSE)</f>
        <v>0.65</v>
      </c>
      <c r="N4033" s="1135"/>
      <c r="O4033" s="228"/>
      <c r="P4033" s="844"/>
      <c r="Q4033" s="845"/>
      <c r="R4033" s="844"/>
      <c r="S4033" s="832"/>
      <c r="T4033" s="3082"/>
      <c r="U4033" s="123"/>
      <c r="V4033" s="4031"/>
      <c r="W4033" s="3307"/>
      <c r="X4033" s="535"/>
      <c r="Y4033" s="535"/>
      <c r="Z4033" s="532"/>
      <c r="AA4033" s="532"/>
      <c r="AB4033" s="535"/>
      <c r="AC4033" s="3294">
        <v>2171.3844012161662</v>
      </c>
      <c r="AD4033" s="793"/>
      <c r="AE4033" s="793"/>
      <c r="AF4033" s="793"/>
      <c r="AG4033" s="793"/>
      <c r="BB4033" s="575"/>
      <c r="BC4033" s="576"/>
      <c r="BD4033" s="678"/>
      <c r="BE4033" s="585"/>
    </row>
    <row r="4034" spans="1:57" s="1942" customFormat="1" ht="14.45" hidden="1" customHeight="1" outlineLevel="1" x14ac:dyDescent="0.25">
      <c r="A4034" s="2060"/>
      <c r="B4034" s="576"/>
      <c r="C4034" s="328"/>
      <c r="D4034" s="4023"/>
      <c r="E4034" s="4020"/>
      <c r="F4034" s="3016" t="str">
        <f t="shared" si="318"/>
        <v>ASHP-SEER21-Replace_CAC_NonElectricHeat_ER1_MF_CompE</v>
      </c>
      <c r="G4034" s="2673"/>
      <c r="H4034" s="2673"/>
      <c r="I4034" s="2673"/>
      <c r="J4034" s="3301" t="str">
        <f t="shared" si="323"/>
        <v>353611_2021_12_</v>
      </c>
      <c r="K4034" s="1052"/>
      <c r="L4034" s="109"/>
      <c r="M4034" s="3066"/>
      <c r="N4034" s="1135"/>
      <c r="O4034" s="228"/>
      <c r="P4034" s="844"/>
      <c r="Q4034" s="845"/>
      <c r="R4034" s="844"/>
      <c r="S4034" s="832"/>
      <c r="T4034" s="3082"/>
      <c r="U4034" s="123"/>
      <c r="V4034" s="4031"/>
      <c r="W4034" s="3307"/>
      <c r="X4034" s="535"/>
      <c r="Y4034" s="535"/>
      <c r="Z4034" s="532"/>
      <c r="AA4034" s="532"/>
      <c r="AB4034" s="535"/>
      <c r="AC4034" s="1052"/>
      <c r="AD4034" s="793"/>
      <c r="AE4034" s="793"/>
      <c r="AF4034" s="793"/>
      <c r="AG4034" s="793"/>
      <c r="BB4034" s="575"/>
      <c r="BC4034" s="576"/>
      <c r="BD4034" s="678"/>
      <c r="BE4034" s="585"/>
    </row>
    <row r="4035" spans="1:57" s="1942" customFormat="1" ht="14.45" hidden="1" customHeight="1" outlineLevel="1" x14ac:dyDescent="0.25">
      <c r="A4035" s="2060"/>
      <c r="B4035" s="576"/>
      <c r="C4035" s="328"/>
      <c r="D4035" s="4023"/>
      <c r="E4035" s="4020"/>
      <c r="F4035" s="3016" t="str">
        <f t="shared" si="318"/>
        <v>ASHP-SEER21-Replace_CAC_NonElectricHeat_ER2_MF_CompE</v>
      </c>
      <c r="G4035" s="2673"/>
      <c r="H4035" s="2673"/>
      <c r="I4035" s="2673"/>
      <c r="J4035" s="3301" t="str">
        <f t="shared" si="323"/>
        <v>353611_2021_12_</v>
      </c>
      <c r="K4035" s="1052"/>
      <c r="L4035" s="109"/>
      <c r="M4035" s="3066"/>
      <c r="N4035" s="1135"/>
      <c r="O4035" s="228"/>
      <c r="P4035" s="844"/>
      <c r="Q4035" s="845"/>
      <c r="R4035" s="844"/>
      <c r="S4035" s="832"/>
      <c r="T4035" s="3082"/>
      <c r="U4035" s="123"/>
      <c r="V4035" s="4031"/>
      <c r="W4035" s="3307"/>
      <c r="X4035" s="535"/>
      <c r="Y4035" s="535"/>
      <c r="Z4035" s="532"/>
      <c r="AA4035" s="532"/>
      <c r="AB4035" s="535"/>
      <c r="AC4035" s="1052"/>
      <c r="AD4035" s="793"/>
      <c r="AE4035" s="793"/>
      <c r="AF4035" s="793"/>
      <c r="AG4035" s="793"/>
      <c r="BB4035" s="575"/>
      <c r="BC4035" s="576"/>
      <c r="BD4035" s="678"/>
      <c r="BE4035" s="585"/>
    </row>
    <row r="4036" spans="1:57" s="1942" customFormat="1" ht="14.45" hidden="1" customHeight="1" outlineLevel="1" x14ac:dyDescent="0.25">
      <c r="A4036" s="2060"/>
      <c r="B4036" s="576"/>
      <c r="C4036" s="328"/>
      <c r="D4036" s="4023"/>
      <c r="E4036" s="4020"/>
      <c r="F4036" s="3016" t="str">
        <f t="shared" si="318"/>
        <v>ASHP-SEER21-Replace_CAC_NonElectricHeat_ER2_MF_CompE</v>
      </c>
      <c r="G4036" s="2673"/>
      <c r="H4036" s="2673"/>
      <c r="I4036" s="2673"/>
      <c r="J4036" s="3301" t="str">
        <f t="shared" si="323"/>
        <v>353611_2021_12_</v>
      </c>
      <c r="K4036" s="1052"/>
      <c r="L4036" s="109"/>
      <c r="M4036" s="3066"/>
      <c r="N4036" s="1135"/>
      <c r="O4036" s="228"/>
      <c r="P4036" s="844"/>
      <c r="Q4036" s="845"/>
      <c r="R4036" s="844"/>
      <c r="S4036" s="832"/>
      <c r="T4036" s="3082"/>
      <c r="U4036" s="123"/>
      <c r="V4036" s="4031"/>
      <c r="W4036" s="3307"/>
      <c r="X4036" s="535"/>
      <c r="Y4036" s="535"/>
      <c r="Z4036" s="532"/>
      <c r="AA4036" s="532"/>
      <c r="AB4036" s="535"/>
      <c r="AC4036" s="1052"/>
      <c r="AD4036" s="793"/>
      <c r="AE4036" s="793"/>
      <c r="AF4036" s="793"/>
      <c r="AG4036" s="793"/>
      <c r="BB4036" s="575"/>
      <c r="BC4036" s="576"/>
      <c r="BD4036" s="678"/>
      <c r="BE4036" s="585"/>
    </row>
    <row r="4037" spans="1:57" s="51" customFormat="1" ht="14.45" hidden="1" customHeight="1" outlineLevel="1" x14ac:dyDescent="0.25">
      <c r="A4037" s="2060"/>
      <c r="B4037" s="576"/>
      <c r="C4037" s="328"/>
      <c r="D4037" s="4023"/>
      <c r="E4037" s="4020"/>
      <c r="F4037" s="3016" t="str">
        <f t="shared" si="318"/>
        <v>ASHP-SEER21-Replace_CAC_ElectricHeat_ROF_SF</v>
      </c>
      <c r="G4037" s="2673"/>
      <c r="H4037" s="2673"/>
      <c r="I4037" s="2673"/>
      <c r="J4037" s="3301" t="str">
        <f>C1585</f>
        <v>353650_2021_12_</v>
      </c>
      <c r="K4037" s="1052">
        <f>$R$1811*K$3303</f>
        <v>1689.9245999999991</v>
      </c>
      <c r="L4037" s="109">
        <f>VLOOKUP(J4037,$J$1801:$L$1987,3,FALSE)*M4037</f>
        <v>3.5</v>
      </c>
      <c r="M4037" s="3066">
        <f>VLOOKUP(J4037,$J$3297:$K$3483,2,FALSE)</f>
        <v>1</v>
      </c>
      <c r="N4037" s="1135"/>
      <c r="O4037" s="228"/>
      <c r="P4037" s="844"/>
      <c r="Q4037" s="845"/>
      <c r="R4037" s="844"/>
      <c r="S4037" s="832"/>
      <c r="T4037" s="3082"/>
      <c r="U4037" s="123"/>
      <c r="V4037" s="4031"/>
      <c r="W4037" s="3307">
        <v>3712</v>
      </c>
      <c r="X4037" s="535">
        <f>$R$1811*(X$1890/12000)*X$3386</f>
        <v>5407.758719999998</v>
      </c>
      <c r="Y4037" s="535">
        <v>1160</v>
      </c>
      <c r="Z4037" s="532">
        <v>1160</v>
      </c>
      <c r="AA4037" s="532">
        <v>1160</v>
      </c>
      <c r="AB4037" s="535">
        <v>1689.9245999999991</v>
      </c>
      <c r="AC4037" s="1052">
        <v>1689.9245999999991</v>
      </c>
      <c r="AD4037" s="793"/>
      <c r="AE4037" s="793"/>
      <c r="AF4037" s="793"/>
      <c r="AG4037" s="793"/>
      <c r="AH4037" s="1942"/>
      <c r="AI4037" s="1942"/>
      <c r="AJ4037" s="1942"/>
      <c r="AK4037" s="1942"/>
      <c r="AL4037" s="1942"/>
      <c r="AM4037" s="1942"/>
      <c r="AN4037" s="1942"/>
      <c r="AO4037" s="1942"/>
      <c r="AP4037" s="1942"/>
      <c r="AQ4037" s="1942"/>
      <c r="AR4037" s="1942"/>
      <c r="AS4037" s="1942"/>
      <c r="AT4037" s="1942"/>
      <c r="AU4037" s="1942"/>
      <c r="AV4037" s="1942"/>
      <c r="AW4037" s="1942"/>
      <c r="AX4037" s="1942"/>
      <c r="AY4037" s="1942"/>
      <c r="AZ4037" s="1942"/>
      <c r="BA4037" s="1942"/>
      <c r="BB4037" s="575"/>
      <c r="BC4037" s="576"/>
      <c r="BD4037" s="678"/>
      <c r="BE4037" s="585"/>
    </row>
    <row r="4038" spans="1:57" s="51" customFormat="1" ht="14.45" hidden="1" customHeight="1" outlineLevel="1" x14ac:dyDescent="0.25">
      <c r="A4038" s="2060"/>
      <c r="B4038" s="576"/>
      <c r="C4038" s="328"/>
      <c r="D4038" s="4023"/>
      <c r="E4038" s="4020"/>
      <c r="F4038" s="3016" t="str">
        <f t="shared" si="318"/>
        <v>ASHP-SEER21-Replace_CAC_ElectricHeat_ROF_SF</v>
      </c>
      <c r="G4038" s="2673"/>
      <c r="H4038" s="2673"/>
      <c r="I4038" s="2673"/>
      <c r="J4038" s="3301" t="str">
        <f>C1586</f>
        <v>353650_2021_12_</v>
      </c>
      <c r="K4038" s="1052"/>
      <c r="L4038" s="109" t="str">
        <f>IF(K4038&gt;0,VLOOKUP(J4038,$J$1801:$L$1987,3,FALSE),"")</f>
        <v/>
      </c>
      <c r="M4038" s="3066" t="str">
        <f>IF(K4038&gt;0,VLOOKUP(J4038,$J$3297:$K$3483,2,FALSE),"")</f>
        <v/>
      </c>
      <c r="N4038" s="1135"/>
      <c r="O4038" s="228"/>
      <c r="P4038" s="844"/>
      <c r="Q4038" s="845"/>
      <c r="R4038" s="844"/>
      <c r="S4038" s="832"/>
      <c r="T4038" s="3082"/>
      <c r="U4038" s="123"/>
      <c r="V4038" s="4031"/>
      <c r="W4038" s="3307"/>
      <c r="X4038" s="535"/>
      <c r="Y4038" s="535"/>
      <c r="Z4038" s="532"/>
      <c r="AA4038" s="532"/>
      <c r="AB4038" s="535"/>
      <c r="AC4038" s="1052"/>
      <c r="AD4038" s="793"/>
      <c r="AE4038" s="793"/>
      <c r="AF4038" s="793"/>
      <c r="AG4038" s="793"/>
      <c r="AH4038" s="1942"/>
      <c r="AI4038" s="1942"/>
      <c r="AJ4038" s="1942"/>
      <c r="AK4038" s="1942"/>
      <c r="AL4038" s="1942"/>
      <c r="AM4038" s="1942"/>
      <c r="AN4038" s="1942"/>
      <c r="AO4038" s="1942"/>
      <c r="AP4038" s="1942"/>
      <c r="AQ4038" s="1942"/>
      <c r="AR4038" s="1942"/>
      <c r="AS4038" s="1942"/>
      <c r="AT4038" s="1942"/>
      <c r="AU4038" s="1942"/>
      <c r="AV4038" s="1942"/>
      <c r="AW4038" s="1942"/>
      <c r="AX4038" s="1942"/>
      <c r="AY4038" s="1942"/>
      <c r="AZ4038" s="1942"/>
      <c r="BA4038" s="1942"/>
      <c r="BB4038" s="575"/>
      <c r="BC4038" s="576"/>
      <c r="BD4038" s="678"/>
      <c r="BE4038" s="585"/>
    </row>
    <row r="4039" spans="1:57" s="51" customFormat="1" ht="14.45" hidden="1" customHeight="1" outlineLevel="1" x14ac:dyDescent="0.25">
      <c r="A4039" s="2060"/>
      <c r="B4039" s="576"/>
      <c r="C4039" s="328"/>
      <c r="D4039" s="4023"/>
      <c r="E4039" s="4020"/>
      <c r="F4039" s="3016" t="str">
        <f t="shared" si="318"/>
        <v>ASHP-SEER21+-Replace_CAC_ElectricHeat_ROF_MF</v>
      </c>
      <c r="G4039" s="2673"/>
      <c r="H4039" s="2673"/>
      <c r="I4039" s="2673"/>
      <c r="J4039" s="3302" t="str">
        <f>C1587</f>
        <v>353700_2019_12_</v>
      </c>
      <c r="K4039" s="1052">
        <f>$R$1811*K$3303</f>
        <v>1689.9245999999991</v>
      </c>
      <c r="L4039" s="109">
        <f>VLOOKUP(J4039,$J$1801:$L$1987,3,FALSE)*M4039</f>
        <v>2.08</v>
      </c>
      <c r="M4039" s="3066">
        <f>VLOOKUP(J4039,$J$3297:$K$3483,2,FALSE)</f>
        <v>0.65</v>
      </c>
      <c r="N4039" s="1135"/>
      <c r="O4039" s="228"/>
      <c r="P4039" s="844"/>
      <c r="Q4039" s="845"/>
      <c r="R4039" s="844"/>
      <c r="S4039" s="832"/>
      <c r="T4039" s="3082"/>
      <c r="U4039" s="123"/>
      <c r="V4039" s="4031"/>
      <c r="W4039" s="3307">
        <v>3712</v>
      </c>
      <c r="X4039" s="535">
        <f>$R$1811*(X$1891/12000)*X$3387</f>
        <v>3515.0431679999988</v>
      </c>
      <c r="Y4039" s="535">
        <v>1160</v>
      </c>
      <c r="Z4039" s="532">
        <v>1160</v>
      </c>
      <c r="AA4039" s="532">
        <v>1160</v>
      </c>
      <c r="AB4039" s="535">
        <v>1689.9245999999991</v>
      </c>
      <c r="AC4039" s="1052">
        <v>1689.9245999999991</v>
      </c>
      <c r="AD4039" s="793"/>
      <c r="AE4039" s="793"/>
      <c r="AF4039" s="793"/>
      <c r="AG4039" s="793"/>
      <c r="AH4039" s="1942"/>
      <c r="AI4039" s="1942"/>
      <c r="AJ4039" s="1942"/>
      <c r="AK4039" s="1942"/>
      <c r="AL4039" s="1942"/>
      <c r="AM4039" s="1942"/>
      <c r="AN4039" s="1942"/>
      <c r="AO4039" s="1942"/>
      <c r="AP4039" s="1942"/>
      <c r="AQ4039" s="1942"/>
      <c r="AR4039" s="1942"/>
      <c r="AS4039" s="1942"/>
      <c r="AT4039" s="1942"/>
      <c r="AU4039" s="1942"/>
      <c r="AV4039" s="1942"/>
      <c r="AW4039" s="1942"/>
      <c r="AX4039" s="1942"/>
      <c r="AY4039" s="1942"/>
      <c r="AZ4039" s="1942"/>
      <c r="BA4039" s="1942"/>
      <c r="BB4039" s="575"/>
      <c r="BC4039" s="576"/>
      <c r="BD4039" s="678"/>
      <c r="BE4039" s="585"/>
    </row>
    <row r="4040" spans="1:57" s="51" customFormat="1" ht="14.45" hidden="1" customHeight="1" outlineLevel="1" x14ac:dyDescent="0.25">
      <c r="A4040" s="2060"/>
      <c r="B4040" s="576"/>
      <c r="C4040" s="328"/>
      <c r="D4040" s="4023"/>
      <c r="E4040" s="4020"/>
      <c r="F4040" s="3016" t="str">
        <f t="shared" si="318"/>
        <v>ASHP-SEER21+-Replace_CAC_ElectricHeat_ROF_MF</v>
      </c>
      <c r="G4040" s="2673"/>
      <c r="H4040" s="2673"/>
      <c r="I4040" s="2673"/>
      <c r="J4040" s="3302" t="str">
        <f>C1588</f>
        <v>353700_2019_12_</v>
      </c>
      <c r="K4040" s="1052"/>
      <c r="L4040" s="109" t="str">
        <f>IF(K4040&gt;0,VLOOKUP(J4040,$J$1801:$L$1987,3,FALSE),"")</f>
        <v/>
      </c>
      <c r="M4040" s="3066" t="str">
        <f>IF(K4040&gt;0,VLOOKUP(J4040,$J$3297:$K$3483,2,FALSE),"")</f>
        <v/>
      </c>
      <c r="N4040" s="1135"/>
      <c r="O4040" s="228"/>
      <c r="P4040" s="844"/>
      <c r="Q4040" s="845"/>
      <c r="R4040" s="844"/>
      <c r="S4040" s="832"/>
      <c r="T4040" s="3082"/>
      <c r="U4040" s="123"/>
      <c r="V4040" s="4031"/>
      <c r="W4040" s="3307"/>
      <c r="X4040" s="823"/>
      <c r="Y4040" s="535"/>
      <c r="Z4040" s="532"/>
      <c r="AA4040" s="532"/>
      <c r="AB4040" s="535"/>
      <c r="AC4040" s="1052"/>
      <c r="AD4040" s="793"/>
      <c r="AE4040" s="793"/>
      <c r="AF4040" s="793"/>
      <c r="AG4040" s="793"/>
      <c r="AH4040" s="1942"/>
      <c r="AI4040" s="1942"/>
      <c r="AJ4040" s="1942"/>
      <c r="AK4040" s="1942"/>
      <c r="AL4040" s="1942"/>
      <c r="AM4040" s="1942"/>
      <c r="AN4040" s="1942"/>
      <c r="AO4040" s="1942"/>
      <c r="AP4040" s="1942"/>
      <c r="AQ4040" s="1942"/>
      <c r="AR4040" s="1942"/>
      <c r="AS4040" s="1942"/>
      <c r="AT4040" s="1942"/>
      <c r="AU4040" s="1942"/>
      <c r="AV4040" s="1942"/>
      <c r="AW4040" s="1942"/>
      <c r="AX4040" s="1942"/>
      <c r="AY4040" s="1942"/>
      <c r="AZ4040" s="1942"/>
      <c r="BA4040" s="1942"/>
      <c r="BB4040" s="575"/>
      <c r="BC4040" s="576"/>
      <c r="BD4040" s="678"/>
      <c r="BE4040" s="585"/>
    </row>
    <row r="4041" spans="1:57" s="1942" customFormat="1" ht="14.45" hidden="1" customHeight="1" outlineLevel="1" x14ac:dyDescent="0.25">
      <c r="A4041" s="2060"/>
      <c r="B4041" s="576"/>
      <c r="C4041" s="328"/>
      <c r="D4041" s="4023"/>
      <c r="E4041" s="4020"/>
      <c r="F4041" s="3016" t="str">
        <f t="shared" si="318"/>
        <v>ASHP-SEER21+-Replace_CAC_ElectricHeat_ROF_MF_CompE</v>
      </c>
      <c r="G4041" s="2673"/>
      <c r="H4041" s="2673"/>
      <c r="I4041" s="2673"/>
      <c r="J4041" s="3302" t="str">
        <f t="shared" ref="J4041:J4046" si="324">C1589</f>
        <v>353701_2019_12_</v>
      </c>
      <c r="K4041" s="3294">
        <f>$R$1811*K$3303</f>
        <v>1689.9245999999991</v>
      </c>
      <c r="L4041" s="2098">
        <f>VLOOKUP(J4041,$J$1801:$L$1987,3,FALSE)*M4041</f>
        <v>2.08</v>
      </c>
      <c r="M4041" s="3286">
        <f>VLOOKUP(J4041,$J$3297:$K$3483,2,FALSE)</f>
        <v>0.65</v>
      </c>
      <c r="N4041" s="1135"/>
      <c r="O4041" s="228"/>
      <c r="P4041" s="844"/>
      <c r="Q4041" s="845"/>
      <c r="R4041" s="844"/>
      <c r="S4041" s="832"/>
      <c r="T4041" s="3082"/>
      <c r="U4041" s="123"/>
      <c r="V4041" s="4031"/>
      <c r="W4041" s="3307"/>
      <c r="X4041" s="823"/>
      <c r="Y4041" s="535"/>
      <c r="Z4041" s="532"/>
      <c r="AA4041" s="532"/>
      <c r="AB4041" s="535"/>
      <c r="AC4041" s="3294">
        <v>1689.9245999999991</v>
      </c>
      <c r="AD4041" s="793"/>
      <c r="AE4041" s="793"/>
      <c r="AF4041" s="793"/>
      <c r="AG4041" s="793"/>
      <c r="BB4041" s="575"/>
      <c r="BC4041" s="576"/>
      <c r="BD4041" s="678"/>
      <c r="BE4041" s="585"/>
    </row>
    <row r="4042" spans="1:57" s="1942" customFormat="1" ht="14.45" hidden="1" customHeight="1" outlineLevel="1" x14ac:dyDescent="0.25">
      <c r="A4042" s="2060"/>
      <c r="B4042" s="576"/>
      <c r="C4042" s="328"/>
      <c r="D4042" s="4023"/>
      <c r="E4042" s="4020"/>
      <c r="F4042" s="3016" t="str">
        <f t="shared" si="318"/>
        <v>ASHP-SEER21+-Replace_CAC_ElectricHeat_ROF_MF_CompE</v>
      </c>
      <c r="G4042" s="2673"/>
      <c r="H4042" s="2673"/>
      <c r="I4042" s="2673"/>
      <c r="J4042" s="3302" t="str">
        <f t="shared" si="324"/>
        <v>353701_2019_12_</v>
      </c>
      <c r="K4042" s="1052"/>
      <c r="L4042" s="109"/>
      <c r="M4042" s="3066"/>
      <c r="N4042" s="1135"/>
      <c r="O4042" s="228"/>
      <c r="P4042" s="844"/>
      <c r="Q4042" s="845"/>
      <c r="R4042" s="844"/>
      <c r="S4042" s="832"/>
      <c r="T4042" s="3082"/>
      <c r="U4042" s="123"/>
      <c r="V4042" s="4031"/>
      <c r="W4042" s="3307"/>
      <c r="X4042" s="823"/>
      <c r="Y4042" s="535"/>
      <c r="Z4042" s="532"/>
      <c r="AA4042" s="532"/>
      <c r="AB4042" s="535"/>
      <c r="AC4042" s="1052"/>
      <c r="AD4042" s="793"/>
      <c r="AE4042" s="793"/>
      <c r="AF4042" s="793"/>
      <c r="AG4042" s="793"/>
      <c r="BB4042" s="575"/>
      <c r="BC4042" s="576"/>
      <c r="BD4042" s="678"/>
      <c r="BE4042" s="585"/>
    </row>
    <row r="4043" spans="1:57" s="1942" customFormat="1" ht="14.45" hidden="1" customHeight="1" outlineLevel="1" x14ac:dyDescent="0.25">
      <c r="A4043" s="2060"/>
      <c r="B4043" s="576"/>
      <c r="C4043" s="328"/>
      <c r="D4043" s="4023"/>
      <c r="E4043" s="4020"/>
      <c r="F4043" s="3016" t="str">
        <f t="shared" si="318"/>
        <v>ASHP-SEER21+-Replace_CAC_NonElectricHeat_ROF_MF</v>
      </c>
      <c r="G4043" s="2673"/>
      <c r="H4043" s="2673"/>
      <c r="I4043" s="2673"/>
      <c r="J4043" s="3301" t="str">
        <f t="shared" si="324"/>
        <v>353710_2021_12_</v>
      </c>
      <c r="K4043" s="3294">
        <f>$R$1811*K$3303</f>
        <v>1689.9245999999991</v>
      </c>
      <c r="L4043" s="112">
        <f>VLOOKUP(J4043,$J$1801:$L$1987,3,FALSE)*M4043</f>
        <v>2.08</v>
      </c>
      <c r="M4043" s="3286">
        <f>VLOOKUP(J4043,$J$3297:$K$3483,2,FALSE)</f>
        <v>0.65</v>
      </c>
      <c r="N4043" s="1135"/>
      <c r="O4043" s="228"/>
      <c r="P4043" s="844"/>
      <c r="Q4043" s="845"/>
      <c r="R4043" s="844"/>
      <c r="S4043" s="832"/>
      <c r="T4043" s="3082"/>
      <c r="U4043" s="123"/>
      <c r="V4043" s="4031"/>
      <c r="W4043" s="3307"/>
      <c r="X4043" s="823"/>
      <c r="Y4043" s="535"/>
      <c r="Z4043" s="532"/>
      <c r="AA4043" s="532"/>
      <c r="AB4043" s="535"/>
      <c r="AC4043" s="3294">
        <v>1689.9245999999991</v>
      </c>
      <c r="AD4043" s="793"/>
      <c r="AE4043" s="793"/>
      <c r="AF4043" s="793"/>
      <c r="AG4043" s="793"/>
      <c r="BB4043" s="575"/>
      <c r="BC4043" s="576"/>
      <c r="BD4043" s="678"/>
      <c r="BE4043" s="585"/>
    </row>
    <row r="4044" spans="1:57" s="1942" customFormat="1" ht="14.45" hidden="1" customHeight="1" outlineLevel="1" x14ac:dyDescent="0.25">
      <c r="A4044" s="2060"/>
      <c r="B4044" s="576"/>
      <c r="C4044" s="328"/>
      <c r="D4044" s="4023"/>
      <c r="E4044" s="4020"/>
      <c r="F4044" s="3016" t="str">
        <f t="shared" si="318"/>
        <v>ASHP-SEER21+-Replace_CAC_NonElectricHeat_ROF_MF</v>
      </c>
      <c r="G4044" s="2673"/>
      <c r="H4044" s="2673"/>
      <c r="I4044" s="2673"/>
      <c r="J4044" s="3301" t="str">
        <f t="shared" si="324"/>
        <v>353710_2021_12_</v>
      </c>
      <c r="K4044" s="1052"/>
      <c r="L4044" s="109"/>
      <c r="M4044" s="3066"/>
      <c r="N4044" s="1135"/>
      <c r="O4044" s="228"/>
      <c r="P4044" s="844"/>
      <c r="Q4044" s="845"/>
      <c r="R4044" s="844"/>
      <c r="S4044" s="832"/>
      <c r="T4044" s="3082"/>
      <c r="U4044" s="123"/>
      <c r="V4044" s="4031"/>
      <c r="W4044" s="3307"/>
      <c r="X4044" s="823"/>
      <c r="Y4044" s="535"/>
      <c r="Z4044" s="532"/>
      <c r="AA4044" s="532"/>
      <c r="AB4044" s="535"/>
      <c r="AC4044" s="1052"/>
      <c r="AD4044" s="793"/>
      <c r="AE4044" s="793"/>
      <c r="AF4044" s="793"/>
      <c r="AG4044" s="793"/>
      <c r="BB4044" s="575"/>
      <c r="BC4044" s="576"/>
      <c r="BD4044" s="678"/>
      <c r="BE4044" s="585"/>
    </row>
    <row r="4045" spans="1:57" s="1942" customFormat="1" ht="14.45" hidden="1" customHeight="1" outlineLevel="1" x14ac:dyDescent="0.25">
      <c r="A4045" s="2060"/>
      <c r="B4045" s="576"/>
      <c r="C4045" s="328"/>
      <c r="D4045" s="4023"/>
      <c r="E4045" s="4020"/>
      <c r="F4045" s="3016" t="str">
        <f t="shared" si="318"/>
        <v>ASHP-SEER21+-Replace_CAC_NonElectricHeat_ROF_MF_CompE</v>
      </c>
      <c r="G4045" s="2673"/>
      <c r="H4045" s="2673"/>
      <c r="I4045" s="2673"/>
      <c r="J4045" s="3301" t="str">
        <f t="shared" si="324"/>
        <v>353711_2021_12_</v>
      </c>
      <c r="K4045" s="3294">
        <f>$R$1811*K$3303</f>
        <v>1689.9245999999991</v>
      </c>
      <c r="L4045" s="112">
        <f>VLOOKUP(J4045,$J$1801:$L$1987,3,FALSE)*M4045</f>
        <v>2.08</v>
      </c>
      <c r="M4045" s="3286">
        <f>VLOOKUP(J4045,$J$3297:$K$3483,2,FALSE)</f>
        <v>0.65</v>
      </c>
      <c r="N4045" s="1135"/>
      <c r="O4045" s="228"/>
      <c r="P4045" s="844"/>
      <c r="Q4045" s="845"/>
      <c r="R4045" s="844"/>
      <c r="S4045" s="832"/>
      <c r="T4045" s="3082"/>
      <c r="U4045" s="123"/>
      <c r="V4045" s="4031"/>
      <c r="W4045" s="3307"/>
      <c r="X4045" s="823"/>
      <c r="Y4045" s="535"/>
      <c r="Z4045" s="532"/>
      <c r="AA4045" s="532"/>
      <c r="AB4045" s="535"/>
      <c r="AC4045" s="3294">
        <v>1689.9245999999991</v>
      </c>
      <c r="AD4045" s="793"/>
      <c r="AE4045" s="793"/>
      <c r="AF4045" s="793"/>
      <c r="AG4045" s="793"/>
      <c r="BB4045" s="575"/>
      <c r="BC4045" s="576"/>
      <c r="BD4045" s="678"/>
      <c r="BE4045" s="585"/>
    </row>
    <row r="4046" spans="1:57" s="1942" customFormat="1" ht="14.45" hidden="1" customHeight="1" outlineLevel="1" x14ac:dyDescent="0.25">
      <c r="A4046" s="2060"/>
      <c r="B4046" s="576"/>
      <c r="C4046" s="328"/>
      <c r="D4046" s="4023"/>
      <c r="E4046" s="4020"/>
      <c r="F4046" s="3016" t="str">
        <f t="shared" si="318"/>
        <v>ASHP-SEER21+-Replace_CAC_NonElectricHeat_ROF_MF_CompE</v>
      </c>
      <c r="G4046" s="2673"/>
      <c r="H4046" s="2673"/>
      <c r="I4046" s="2673"/>
      <c r="J4046" s="3301" t="str">
        <f t="shared" si="324"/>
        <v>353711_2021_12_</v>
      </c>
      <c r="K4046" s="1052"/>
      <c r="L4046" s="109"/>
      <c r="M4046" s="3066"/>
      <c r="N4046" s="1135"/>
      <c r="O4046" s="228"/>
      <c r="P4046" s="844"/>
      <c r="Q4046" s="845"/>
      <c r="R4046" s="844"/>
      <c r="S4046" s="832"/>
      <c r="T4046" s="3082"/>
      <c r="U4046" s="123"/>
      <c r="V4046" s="4031"/>
      <c r="W4046" s="3307"/>
      <c r="X4046" s="823"/>
      <c r="Y4046" s="535"/>
      <c r="Z4046" s="532"/>
      <c r="AA4046" s="532"/>
      <c r="AB4046" s="535"/>
      <c r="AC4046" s="1052"/>
      <c r="AD4046" s="793"/>
      <c r="AE4046" s="793"/>
      <c r="AF4046" s="793"/>
      <c r="AG4046" s="793"/>
      <c r="BB4046" s="575"/>
      <c r="BC4046" s="576"/>
      <c r="BD4046" s="678"/>
      <c r="BE4046" s="585"/>
    </row>
    <row r="4047" spans="1:57" s="51" customFormat="1" ht="14.45" hidden="1" customHeight="1" outlineLevel="1" x14ac:dyDescent="0.25">
      <c r="A4047" s="2060"/>
      <c r="B4047" s="576"/>
      <c r="C4047" s="328"/>
      <c r="D4047" s="4023"/>
      <c r="E4047" s="4020"/>
      <c r="F4047" s="3016" t="str">
        <f t="shared" si="318"/>
        <v>ASHP-SEER17_ER1_SF</v>
      </c>
      <c r="G4047" s="2673"/>
      <c r="H4047" s="2673"/>
      <c r="I4047" s="2673"/>
      <c r="J4047" s="3301" t="str">
        <f t="shared" ref="J4047:J4072" si="325">C1595</f>
        <v>353750_2021_12_</v>
      </c>
      <c r="K4047" s="3294">
        <f>(($R$1820*L4047)+$R$1807)-(($Q$1820*L4047)/((1+$R$1822)^($R$1823-1)))</f>
        <v>1423.7466093535209</v>
      </c>
      <c r="L4047" s="109">
        <f>VLOOKUP(J4047,$J$1801:$L$1987,3,FALSE)*M4047</f>
        <v>2.9285714285714279</v>
      </c>
      <c r="M4047" s="3066">
        <f>VLOOKUP(J4047,$J$3297:$K$3483,2,FALSE)</f>
        <v>1</v>
      </c>
      <c r="N4047" s="1135"/>
      <c r="O4047" s="228"/>
      <c r="P4047" s="844"/>
      <c r="Q4047" s="845"/>
      <c r="R4047" s="844"/>
      <c r="S4047" s="832"/>
      <c r="T4047" s="3082"/>
      <c r="U4047" s="123"/>
      <c r="V4047" s="4031"/>
      <c r="W4047" s="3307">
        <v>3701.5757044416546</v>
      </c>
      <c r="X4047" s="823">
        <f>$Q$1807*(X$1895/12000)*X$3391</f>
        <v>4754.6848794243406</v>
      </c>
      <c r="Y4047" s="535">
        <v>1509.0025568704818</v>
      </c>
      <c r="Z4047" s="532">
        <v>1509.0025568704818</v>
      </c>
      <c r="AA4047" s="532">
        <v>1509.0025568704818</v>
      </c>
      <c r="AB4047" s="535">
        <v>1512.4949598081143</v>
      </c>
      <c r="AC4047" s="3294">
        <v>1423.7466093535209</v>
      </c>
      <c r="AD4047" s="793"/>
      <c r="AE4047" s="793"/>
      <c r="AF4047" s="793"/>
      <c r="AG4047" s="793"/>
      <c r="AH4047" s="1942"/>
      <c r="AI4047" s="1942"/>
      <c r="AJ4047" s="1942"/>
      <c r="AK4047" s="1942"/>
      <c r="AL4047" s="1942"/>
      <c r="AM4047" s="1942"/>
      <c r="AN4047" s="1942"/>
      <c r="AO4047" s="1942"/>
      <c r="AP4047" s="1942"/>
      <c r="AQ4047" s="1942"/>
      <c r="AR4047" s="1942"/>
      <c r="AS4047" s="1942"/>
      <c r="AT4047" s="1942"/>
      <c r="AU4047" s="1942"/>
      <c r="AV4047" s="1942"/>
      <c r="AW4047" s="1942"/>
      <c r="AX4047" s="1942"/>
      <c r="AY4047" s="1942"/>
      <c r="AZ4047" s="1942"/>
      <c r="BA4047" s="1942"/>
      <c r="BB4047" s="575"/>
      <c r="BC4047" s="576"/>
      <c r="BD4047" s="678"/>
      <c r="BE4047" s="585"/>
    </row>
    <row r="4048" spans="1:57" s="51" customFormat="1" ht="15" hidden="1" customHeight="1" outlineLevel="1" x14ac:dyDescent="0.25">
      <c r="A4048" s="2060"/>
      <c r="B4048" s="576"/>
      <c r="C4048" s="328"/>
      <c r="D4048" s="4023"/>
      <c r="E4048" s="4020"/>
      <c r="F4048" s="3016" t="str">
        <f t="shared" si="318"/>
        <v>ASHP-SEER17_ER1_SF</v>
      </c>
      <c r="G4048" s="2673"/>
      <c r="H4048" s="2673"/>
      <c r="I4048" s="2673"/>
      <c r="J4048" s="3301" t="str">
        <f t="shared" si="325"/>
        <v>353750_2021_12_</v>
      </c>
      <c r="K4048" s="1052"/>
      <c r="L4048" s="109" t="str">
        <f>IF(K4048&gt;0,VLOOKUP(J4048,$J$1801:$L$1987,3,FALSE),"")</f>
        <v/>
      </c>
      <c r="M4048" s="3066" t="str">
        <f>IF(K4048&gt;0,VLOOKUP(J4048,$J$3297:$K$3483,2,FALSE),"")</f>
        <v/>
      </c>
      <c r="N4048" s="1135"/>
      <c r="O4048" s="228"/>
      <c r="P4048" s="844"/>
      <c r="Q4048" s="845"/>
      <c r="R4048" s="844"/>
      <c r="S4048" s="832"/>
      <c r="T4048" s="3082"/>
      <c r="U4048" s="123"/>
      <c r="V4048" s="4031"/>
      <c r="W4048" s="3307"/>
      <c r="X4048" s="823"/>
      <c r="Y4048" s="535"/>
      <c r="Z4048" s="532"/>
      <c r="AA4048" s="532"/>
      <c r="AB4048" s="535"/>
      <c r="AC4048" s="1052"/>
      <c r="AD4048" s="793"/>
      <c r="AE4048" s="793"/>
      <c r="AF4048" s="793"/>
      <c r="AG4048" s="793"/>
      <c r="AH4048" s="1942"/>
      <c r="AI4048" s="1942"/>
      <c r="AJ4048" s="1942"/>
      <c r="AK4048" s="1942"/>
      <c r="AL4048" s="1942"/>
      <c r="AM4048" s="1942"/>
      <c r="AN4048" s="1942"/>
      <c r="AO4048" s="1942"/>
      <c r="AP4048" s="1942"/>
      <c r="AQ4048" s="1942"/>
      <c r="AR4048" s="1942"/>
      <c r="AS4048" s="1942"/>
      <c r="AT4048" s="1942"/>
      <c r="AU4048" s="1942"/>
      <c r="AV4048" s="1942"/>
      <c r="AW4048" s="1942"/>
      <c r="AX4048" s="1942"/>
      <c r="AY4048" s="1942"/>
      <c r="AZ4048" s="1942"/>
      <c r="BA4048" s="1942"/>
      <c r="BB4048" s="575"/>
      <c r="BC4048" s="576"/>
      <c r="BD4048" s="678"/>
      <c r="BE4048" s="585"/>
    </row>
    <row r="4049" spans="1:57" s="51" customFormat="1" ht="15" hidden="1" customHeight="1" outlineLevel="1" x14ac:dyDescent="0.25">
      <c r="A4049" s="2060"/>
      <c r="B4049" s="576"/>
      <c r="C4049" s="328"/>
      <c r="D4049" s="4023"/>
      <c r="E4049" s="4020"/>
      <c r="F4049" s="3016" t="str">
        <f t="shared" si="318"/>
        <v>ASHP-SEER17_ER2_SF</v>
      </c>
      <c r="G4049" s="2673"/>
      <c r="H4049" s="2673"/>
      <c r="I4049" s="2673"/>
      <c r="J4049" s="3301" t="str">
        <f t="shared" si="325"/>
        <v>353750_2021_12_</v>
      </c>
      <c r="K4049" s="1052"/>
      <c r="L4049" s="109" t="str">
        <f>IF(K4049&gt;0,VLOOKUP(J4049,$J$1801:$L$1987,3,FALSE),"")</f>
        <v/>
      </c>
      <c r="M4049" s="3066" t="str">
        <f>IF(K4049&gt;0,VLOOKUP(J4049,$J$3297:$K$3483,2,FALSE),"")</f>
        <v/>
      </c>
      <c r="N4049" s="1135"/>
      <c r="O4049" s="228"/>
      <c r="P4049" s="844"/>
      <c r="Q4049" s="845"/>
      <c r="R4049" s="844"/>
      <c r="S4049" s="832"/>
      <c r="T4049" s="3082"/>
      <c r="U4049" s="123"/>
      <c r="V4049" s="4031"/>
      <c r="W4049" s="3307"/>
      <c r="X4049" s="823"/>
      <c r="Y4049" s="535"/>
      <c r="Z4049" s="532"/>
      <c r="AA4049" s="532"/>
      <c r="AB4049" s="535"/>
      <c r="AC4049" s="1052"/>
      <c r="AD4049" s="793"/>
      <c r="AE4049" s="793"/>
      <c r="AF4049" s="793"/>
      <c r="AG4049" s="793"/>
      <c r="AH4049" s="1942"/>
      <c r="AI4049" s="1942"/>
      <c r="AJ4049" s="1942"/>
      <c r="AK4049" s="1942"/>
      <c r="AL4049" s="1942"/>
      <c r="AM4049" s="1942"/>
      <c r="AN4049" s="1942"/>
      <c r="AO4049" s="1942"/>
      <c r="AP4049" s="1942"/>
      <c r="AQ4049" s="1942"/>
      <c r="AR4049" s="1942"/>
      <c r="AS4049" s="1942"/>
      <c r="AT4049" s="1942"/>
      <c r="AU4049" s="1942"/>
      <c r="AV4049" s="1942"/>
      <c r="AW4049" s="1942"/>
      <c r="AX4049" s="1942"/>
      <c r="AY4049" s="1942"/>
      <c r="AZ4049" s="1942"/>
      <c r="BA4049" s="1942"/>
      <c r="BB4049" s="575"/>
      <c r="BC4049" s="576"/>
      <c r="BD4049" s="678"/>
      <c r="BE4049" s="585"/>
    </row>
    <row r="4050" spans="1:57" s="51" customFormat="1" ht="15" hidden="1" customHeight="1" outlineLevel="1" x14ac:dyDescent="0.25">
      <c r="A4050" s="2060"/>
      <c r="B4050" s="576"/>
      <c r="C4050" s="328"/>
      <c r="D4050" s="4023"/>
      <c r="E4050" s="4020"/>
      <c r="F4050" s="3016" t="str">
        <f t="shared" si="318"/>
        <v>ASHP-SEER17_ER2_SF</v>
      </c>
      <c r="G4050" s="2673"/>
      <c r="H4050" s="2673"/>
      <c r="I4050" s="2673"/>
      <c r="J4050" s="3301" t="str">
        <f t="shared" si="325"/>
        <v>353750_2021_12_</v>
      </c>
      <c r="K4050" s="1052"/>
      <c r="L4050" s="109" t="str">
        <f>IF(K4050&gt;0,VLOOKUP(J4050,$J$1801:$L$1987,3,FALSE),"")</f>
        <v/>
      </c>
      <c r="M4050" s="3066" t="str">
        <f>IF(K4050&gt;0,VLOOKUP(J4050,$J$3297:$K$3483,2,FALSE),"")</f>
        <v/>
      </c>
      <c r="N4050" s="1135"/>
      <c r="O4050" s="228"/>
      <c r="P4050" s="844"/>
      <c r="Q4050" s="845"/>
      <c r="R4050" s="844"/>
      <c r="S4050" s="832"/>
      <c r="T4050" s="3082"/>
      <c r="U4050" s="123"/>
      <c r="V4050" s="4031"/>
      <c r="W4050" s="3307"/>
      <c r="X4050" s="823"/>
      <c r="Y4050" s="535"/>
      <c r="Z4050" s="532"/>
      <c r="AA4050" s="532"/>
      <c r="AB4050" s="535"/>
      <c r="AC4050" s="1052"/>
      <c r="AD4050" s="793"/>
      <c r="AE4050" s="793"/>
      <c r="AF4050" s="793"/>
      <c r="AG4050" s="793"/>
      <c r="AH4050" s="1942"/>
      <c r="AI4050" s="1942"/>
      <c r="AJ4050" s="1942"/>
      <c r="AK4050" s="1942"/>
      <c r="AL4050" s="1942"/>
      <c r="AM4050" s="1942"/>
      <c r="AN4050" s="1942"/>
      <c r="AO4050" s="1942"/>
      <c r="AP4050" s="1942"/>
      <c r="AQ4050" s="1942"/>
      <c r="AR4050" s="1942"/>
      <c r="AS4050" s="1942"/>
      <c r="AT4050" s="1942"/>
      <c r="AU4050" s="1942"/>
      <c r="AV4050" s="1942"/>
      <c r="AW4050" s="1942"/>
      <c r="AX4050" s="1942"/>
      <c r="AY4050" s="1942"/>
      <c r="AZ4050" s="1942"/>
      <c r="BA4050" s="1942"/>
      <c r="BB4050" s="575"/>
      <c r="BC4050" s="576"/>
      <c r="BD4050" s="678"/>
      <c r="BE4050" s="585"/>
    </row>
    <row r="4051" spans="1:57" s="51" customFormat="1" ht="15" hidden="1" customHeight="1" outlineLevel="1" x14ac:dyDescent="0.25">
      <c r="A4051" s="2060"/>
      <c r="B4051" s="576"/>
      <c r="C4051" s="328"/>
      <c r="D4051" s="4023"/>
      <c r="E4051" s="4020"/>
      <c r="F4051" s="3016" t="str">
        <f t="shared" si="318"/>
        <v>ASHP-SEER17_ROF_SF</v>
      </c>
      <c r="G4051" s="2673"/>
      <c r="H4051" s="2673"/>
      <c r="I4051" s="2673"/>
      <c r="J4051" s="3301" t="str">
        <f t="shared" si="325"/>
        <v>353800_2021_12_</v>
      </c>
      <c r="K4051" s="1052">
        <f>$R$1807*K$3303</f>
        <v>724</v>
      </c>
      <c r="L4051" s="109">
        <f>VLOOKUP(J4051,$J$1801:$L$1987,3,FALSE)*M4051</f>
        <v>3.8571428571428577</v>
      </c>
      <c r="M4051" s="3066">
        <f>VLOOKUP(J4051,$J$3297:$K$3483,2,FALSE)</f>
        <v>1</v>
      </c>
      <c r="N4051" s="1135"/>
      <c r="O4051" s="228"/>
      <c r="P4051" s="844"/>
      <c r="Q4051" s="845"/>
      <c r="R4051" s="844"/>
      <c r="S4051" s="832"/>
      <c r="T4051" s="3082"/>
      <c r="U4051" s="123"/>
      <c r="V4051" s="4031"/>
      <c r="W4051" s="3307">
        <v>1914</v>
      </c>
      <c r="X4051" s="823">
        <f>$R$1807*(X$1897/12000)*X$3393</f>
        <v>2389.1999999999998</v>
      </c>
      <c r="Y4051" s="535">
        <v>580</v>
      </c>
      <c r="Z4051" s="532">
        <v>580</v>
      </c>
      <c r="AA4051" s="532">
        <v>580</v>
      </c>
      <c r="AB4051" s="535">
        <v>724</v>
      </c>
      <c r="AC4051" s="1052">
        <v>724</v>
      </c>
      <c r="AD4051" s="793"/>
      <c r="AE4051" s="793"/>
      <c r="AF4051" s="793"/>
      <c r="AG4051" s="793"/>
      <c r="AH4051" s="1942"/>
      <c r="AI4051" s="1942"/>
      <c r="AJ4051" s="1942"/>
      <c r="AK4051" s="1942"/>
      <c r="AL4051" s="1942"/>
      <c r="AM4051" s="1942"/>
      <c r="AN4051" s="1942"/>
      <c r="AO4051" s="1942"/>
      <c r="AP4051" s="1942"/>
      <c r="AQ4051" s="1942"/>
      <c r="AR4051" s="1942"/>
      <c r="AS4051" s="1942"/>
      <c r="AT4051" s="1942"/>
      <c r="AU4051" s="1942"/>
      <c r="AV4051" s="1942"/>
      <c r="AW4051" s="1942"/>
      <c r="AX4051" s="1942"/>
      <c r="AY4051" s="1942"/>
      <c r="AZ4051" s="1942"/>
      <c r="BA4051" s="1942"/>
      <c r="BB4051" s="575"/>
      <c r="BC4051" s="576"/>
      <c r="BD4051" s="678"/>
      <c r="BE4051" s="585"/>
    </row>
    <row r="4052" spans="1:57" s="51" customFormat="1" ht="15" hidden="1" customHeight="1" outlineLevel="1" x14ac:dyDescent="0.25">
      <c r="A4052" s="2060"/>
      <c r="B4052" s="576"/>
      <c r="C4052" s="328"/>
      <c r="D4052" s="4023"/>
      <c r="E4052" s="4020"/>
      <c r="F4052" s="3016" t="str">
        <f t="shared" si="318"/>
        <v>ASHP-SEER17_ROF_SF</v>
      </c>
      <c r="G4052" s="2673"/>
      <c r="H4052" s="2673"/>
      <c r="I4052" s="2673"/>
      <c r="J4052" s="3301" t="str">
        <f t="shared" si="325"/>
        <v>353800_2021_12_</v>
      </c>
      <c r="K4052" s="1052"/>
      <c r="L4052" s="109" t="str">
        <f>IF(K4052&gt;0,VLOOKUP(J4052,$J$1801:$L$1987,3,FALSE),"")</f>
        <v/>
      </c>
      <c r="M4052" s="3066" t="str">
        <f>IF(K4052&gt;0,VLOOKUP(J4052,$J$3297:$K$3483,2,FALSE),"")</f>
        <v/>
      </c>
      <c r="N4052" s="1135"/>
      <c r="O4052" s="228"/>
      <c r="P4052" s="844"/>
      <c r="Q4052" s="844"/>
      <c r="R4052" s="844"/>
      <c r="S4052" s="832"/>
      <c r="T4052" s="3082"/>
      <c r="U4052" s="123"/>
      <c r="V4052" s="4031"/>
      <c r="W4052" s="3307"/>
      <c r="X4052" s="823"/>
      <c r="Y4052" s="535"/>
      <c r="Z4052" s="532"/>
      <c r="AA4052" s="532"/>
      <c r="AB4052" s="535"/>
      <c r="AC4052" s="1052"/>
      <c r="AD4052" s="793"/>
      <c r="AE4052" s="793"/>
      <c r="AF4052" s="793"/>
      <c r="AG4052" s="793"/>
      <c r="AH4052" s="1942"/>
      <c r="AI4052" s="1942"/>
      <c r="AJ4052" s="1942"/>
      <c r="AK4052" s="1942"/>
      <c r="AL4052" s="1942"/>
      <c r="AM4052" s="1942"/>
      <c r="AN4052" s="1942"/>
      <c r="AO4052" s="1942"/>
      <c r="AP4052" s="1942"/>
      <c r="AQ4052" s="1942"/>
      <c r="AR4052" s="1942"/>
      <c r="AS4052" s="1942"/>
      <c r="AT4052" s="1942"/>
      <c r="AU4052" s="1942"/>
      <c r="AV4052" s="1942"/>
      <c r="AW4052" s="1942"/>
      <c r="AX4052" s="1942"/>
      <c r="AY4052" s="1942"/>
      <c r="AZ4052" s="1942"/>
      <c r="BA4052" s="1942"/>
      <c r="BB4052" s="575"/>
      <c r="BC4052" s="576"/>
      <c r="BD4052" s="678"/>
      <c r="BE4052" s="585"/>
    </row>
    <row r="4053" spans="1:57" s="51" customFormat="1" ht="15" hidden="1" customHeight="1" outlineLevel="1" x14ac:dyDescent="0.25">
      <c r="A4053" s="2060"/>
      <c r="B4053" s="576"/>
      <c r="C4053" s="328"/>
      <c r="D4053" s="4023"/>
      <c r="E4053" s="4020"/>
      <c r="F4053" s="3016" t="str">
        <f t="shared" si="318"/>
        <v>ASHP-SEER18_ER1_SF</v>
      </c>
      <c r="G4053" s="2673"/>
      <c r="H4053" s="2673"/>
      <c r="I4053" s="2673"/>
      <c r="J4053" s="3301" t="str">
        <f t="shared" si="325"/>
        <v>353850_2021_12_</v>
      </c>
      <c r="K4053" s="3294">
        <f>(($R$1820*L4053)+$R$1808)-(($Q$1820*L4053)/((1+$R$1822)^($R$1823-1)))</f>
        <v>1729.9451804896671</v>
      </c>
      <c r="L4053" s="109">
        <f>VLOOKUP(J4053,$J$1801:$L$1987,3,FALSE)*M4053</f>
        <v>3.2101449275362319</v>
      </c>
      <c r="M4053" s="3066">
        <f>VLOOKUP(J4053,$J$3297:$K$3483,2,FALSE)</f>
        <v>1</v>
      </c>
      <c r="N4053" s="1135"/>
      <c r="O4053" s="228"/>
      <c r="P4053" s="844"/>
      <c r="Q4053" s="844"/>
      <c r="R4053" s="844"/>
      <c r="S4053" s="832"/>
      <c r="T4053" s="3082"/>
      <c r="U4053" s="123"/>
      <c r="V4053" s="4031"/>
      <c r="W4053" s="3307">
        <v>4141.575704441655</v>
      </c>
      <c r="X4053" s="823">
        <f>$Q$1808*(X$1898/12000)*X$3394</f>
        <v>5543.1208794243412</v>
      </c>
      <c r="Y4053" s="535">
        <v>1642.3358902038149</v>
      </c>
      <c r="Z4053" s="532">
        <v>1642.3358902038149</v>
      </c>
      <c r="AA4053" s="532">
        <v>1642.3358902038149</v>
      </c>
      <c r="AB4053" s="535">
        <v>1811.1494264602443</v>
      </c>
      <c r="AC4053" s="3294">
        <v>1729.9451804896671</v>
      </c>
      <c r="AD4053" s="793"/>
      <c r="AE4053" s="793"/>
      <c r="AF4053" s="793"/>
      <c r="AG4053" s="793"/>
      <c r="AH4053" s="1942"/>
      <c r="AI4053" s="1942"/>
      <c r="AJ4053" s="1942"/>
      <c r="AK4053" s="1942"/>
      <c r="AL4053" s="1942"/>
      <c r="AM4053" s="1942"/>
      <c r="AN4053" s="1942"/>
      <c r="AO4053" s="1942"/>
      <c r="AP4053" s="1942"/>
      <c r="AQ4053" s="1942"/>
      <c r="AR4053" s="1942"/>
      <c r="AS4053" s="1942"/>
      <c r="AT4053" s="1942"/>
      <c r="AU4053" s="1942"/>
      <c r="AV4053" s="1942"/>
      <c r="AW4053" s="1942"/>
      <c r="AX4053" s="1942"/>
      <c r="AY4053" s="1942"/>
      <c r="AZ4053" s="1942"/>
      <c r="BA4053" s="1942"/>
      <c r="BB4053" s="575"/>
      <c r="BC4053" s="576"/>
      <c r="BD4053" s="678"/>
      <c r="BE4053" s="585"/>
    </row>
    <row r="4054" spans="1:57" s="51" customFormat="1" ht="15" hidden="1" customHeight="1" outlineLevel="1" x14ac:dyDescent="0.25">
      <c r="A4054" s="2060"/>
      <c r="B4054" s="576"/>
      <c r="C4054" s="328"/>
      <c r="D4054" s="4023"/>
      <c r="E4054" s="4020"/>
      <c r="F4054" s="3016" t="str">
        <f t="shared" si="318"/>
        <v>ASHP-SEER18_ER1_SF</v>
      </c>
      <c r="G4054" s="2673"/>
      <c r="H4054" s="2673"/>
      <c r="I4054" s="2673"/>
      <c r="J4054" s="3301" t="str">
        <f t="shared" si="325"/>
        <v>353850_2021_12_</v>
      </c>
      <c r="K4054" s="1052"/>
      <c r="L4054" s="109" t="str">
        <f>IF(K4054&gt;0,VLOOKUP(J4054,$J$1801:$L$1987,3,FALSE),"")</f>
        <v/>
      </c>
      <c r="M4054" s="3066" t="str">
        <f>IF(K4054&gt;0,VLOOKUP(J4054,$J$3297:$K$3483,2,FALSE),"")</f>
        <v/>
      </c>
      <c r="N4054" s="1135"/>
      <c r="O4054" s="228"/>
      <c r="P4054" s="844"/>
      <c r="Q4054" s="844"/>
      <c r="R4054" s="844"/>
      <c r="S4054" s="832"/>
      <c r="T4054" s="3082"/>
      <c r="U4054" s="123"/>
      <c r="V4054" s="4031"/>
      <c r="W4054" s="3307"/>
      <c r="X4054" s="823"/>
      <c r="Y4054" s="535"/>
      <c r="Z4054" s="532"/>
      <c r="AA4054" s="532"/>
      <c r="AB4054" s="535"/>
      <c r="AC4054" s="1052"/>
      <c r="AD4054" s="793"/>
      <c r="AE4054" s="793"/>
      <c r="AF4054" s="793"/>
      <c r="AG4054" s="793"/>
      <c r="AH4054" s="1942"/>
      <c r="AI4054" s="1942"/>
      <c r="AJ4054" s="1942"/>
      <c r="AK4054" s="1942"/>
      <c r="AL4054" s="1942"/>
      <c r="AM4054" s="1942"/>
      <c r="AN4054" s="1942"/>
      <c r="AO4054" s="1942"/>
      <c r="AP4054" s="1942"/>
      <c r="AQ4054" s="1942"/>
      <c r="AR4054" s="1942"/>
      <c r="AS4054" s="1942"/>
      <c r="AT4054" s="1942"/>
      <c r="AU4054" s="1942"/>
      <c r="AV4054" s="1942"/>
      <c r="AW4054" s="1942"/>
      <c r="AX4054" s="1942"/>
      <c r="AY4054" s="1942"/>
      <c r="AZ4054" s="1942"/>
      <c r="BA4054" s="1942"/>
      <c r="BB4054" s="575"/>
      <c r="BC4054" s="576"/>
      <c r="BD4054" s="678"/>
      <c r="BE4054" s="585"/>
    </row>
    <row r="4055" spans="1:57" s="51" customFormat="1" ht="15" hidden="1" customHeight="1" outlineLevel="1" x14ac:dyDescent="0.25">
      <c r="A4055" s="2060"/>
      <c r="B4055" s="576"/>
      <c r="C4055" s="328"/>
      <c r="D4055" s="4023"/>
      <c r="E4055" s="4020"/>
      <c r="F4055" s="3016" t="str">
        <f t="shared" ref="F4055:F4118" si="326">E1603</f>
        <v>ASHP-SEER18_ER2_SF</v>
      </c>
      <c r="G4055" s="2673"/>
      <c r="H4055" s="2673"/>
      <c r="I4055" s="2673"/>
      <c r="J4055" s="3301" t="str">
        <f t="shared" si="325"/>
        <v>353850_2021_12_</v>
      </c>
      <c r="K4055" s="1052"/>
      <c r="L4055" s="109" t="str">
        <f>IF(K4055&gt;0,VLOOKUP(J4055,$J$1801:$L$1987,3,FALSE),"")</f>
        <v/>
      </c>
      <c r="M4055" s="3066" t="str">
        <f>IF(K4055&gt;0,VLOOKUP(J4055,$J$3297:$K$3483,2,FALSE),"")</f>
        <v/>
      </c>
      <c r="N4055" s="1135"/>
      <c r="O4055" s="228"/>
      <c r="P4055" s="844"/>
      <c r="Q4055" s="844"/>
      <c r="R4055" s="844"/>
      <c r="S4055" s="832"/>
      <c r="T4055" s="3082"/>
      <c r="U4055" s="123"/>
      <c r="V4055" s="4031"/>
      <c r="W4055" s="3307"/>
      <c r="X4055" s="823"/>
      <c r="Y4055" s="535"/>
      <c r="Z4055" s="532"/>
      <c r="AA4055" s="532"/>
      <c r="AB4055" s="535"/>
      <c r="AC4055" s="1052"/>
      <c r="AD4055" s="793"/>
      <c r="AE4055" s="793"/>
      <c r="AF4055" s="793"/>
      <c r="AG4055" s="793"/>
      <c r="AH4055" s="1942"/>
      <c r="AI4055" s="1942"/>
      <c r="AJ4055" s="1942"/>
      <c r="AK4055" s="1942"/>
      <c r="AL4055" s="1942"/>
      <c r="AM4055" s="1942"/>
      <c r="AN4055" s="1942"/>
      <c r="AO4055" s="1942"/>
      <c r="AP4055" s="1942"/>
      <c r="AQ4055" s="1942"/>
      <c r="AR4055" s="1942"/>
      <c r="AS4055" s="1942"/>
      <c r="AT4055" s="1942"/>
      <c r="AU4055" s="1942"/>
      <c r="AV4055" s="1942"/>
      <c r="AW4055" s="1942"/>
      <c r="AX4055" s="1942"/>
      <c r="AY4055" s="1942"/>
      <c r="AZ4055" s="1942"/>
      <c r="BA4055" s="1942"/>
      <c r="BB4055" s="575"/>
      <c r="BC4055" s="576"/>
      <c r="BD4055" s="678"/>
      <c r="BE4055" s="585"/>
    </row>
    <row r="4056" spans="1:57" s="51" customFormat="1" ht="15" hidden="1" customHeight="1" outlineLevel="1" x14ac:dyDescent="0.25">
      <c r="A4056" s="2060"/>
      <c r="B4056" s="576"/>
      <c r="C4056" s="328"/>
      <c r="D4056" s="4023"/>
      <c r="E4056" s="4020"/>
      <c r="F4056" s="3016" t="str">
        <f t="shared" si="326"/>
        <v>ASHP-SEER18_ER2_SF</v>
      </c>
      <c r="G4056" s="2673"/>
      <c r="H4056" s="2673"/>
      <c r="I4056" s="2673"/>
      <c r="J4056" s="3301" t="str">
        <f t="shared" si="325"/>
        <v>353850_2021_12_</v>
      </c>
      <c r="K4056" s="1052"/>
      <c r="L4056" s="109" t="str">
        <f>IF(K4056&gt;0,VLOOKUP(J4056,$J$1801:$L$1987,3,FALSE),"")</f>
        <v/>
      </c>
      <c r="M4056" s="3066" t="str">
        <f>IF(K4056&gt;0,VLOOKUP(J4056,$J$3297:$K$3483,2,FALSE),"")</f>
        <v/>
      </c>
      <c r="N4056" s="1135"/>
      <c r="O4056" s="228"/>
      <c r="P4056" s="844"/>
      <c r="Q4056" s="844"/>
      <c r="R4056" s="844"/>
      <c r="S4056" s="832"/>
      <c r="T4056" s="3082"/>
      <c r="U4056" s="123"/>
      <c r="V4056" s="4031"/>
      <c r="W4056" s="3307"/>
      <c r="X4056" s="823"/>
      <c r="Y4056" s="535"/>
      <c r="Z4056" s="532"/>
      <c r="AA4056" s="532"/>
      <c r="AB4056" s="535"/>
      <c r="AC4056" s="1052"/>
      <c r="AD4056" s="793"/>
      <c r="AE4056" s="793"/>
      <c r="AF4056" s="793"/>
      <c r="AG4056" s="793"/>
      <c r="AH4056" s="1942"/>
      <c r="AI4056" s="1942"/>
      <c r="AJ4056" s="1942"/>
      <c r="AK4056" s="1942"/>
      <c r="AL4056" s="1942"/>
      <c r="AM4056" s="1942"/>
      <c r="AN4056" s="1942"/>
      <c r="AO4056" s="1942"/>
      <c r="AP4056" s="1942"/>
      <c r="AQ4056" s="1942"/>
      <c r="AR4056" s="1942"/>
      <c r="AS4056" s="1942"/>
      <c r="AT4056" s="1942"/>
      <c r="AU4056" s="1942"/>
      <c r="AV4056" s="1942"/>
      <c r="AW4056" s="1942"/>
      <c r="AX4056" s="1942"/>
      <c r="AY4056" s="1942"/>
      <c r="AZ4056" s="1942"/>
      <c r="BA4056" s="1942"/>
      <c r="BB4056" s="575"/>
      <c r="BC4056" s="576"/>
      <c r="BD4056" s="678"/>
      <c r="BE4056" s="585"/>
    </row>
    <row r="4057" spans="1:57" s="51" customFormat="1" ht="15" hidden="1" customHeight="1" outlineLevel="1" x14ac:dyDescent="0.25">
      <c r="A4057" s="2060"/>
      <c r="B4057" s="576"/>
      <c r="C4057" s="328"/>
      <c r="D4057" s="4023"/>
      <c r="E4057" s="4020"/>
      <c r="F4057" s="3016" t="str">
        <f t="shared" si="326"/>
        <v>ASHP-SEER18_ROF_SF</v>
      </c>
      <c r="G4057" s="2673"/>
      <c r="H4057" s="2673"/>
      <c r="I4057" s="2673"/>
      <c r="J4057" s="3301" t="str">
        <f t="shared" si="325"/>
        <v>353950_2021_12_</v>
      </c>
      <c r="K4057" s="1052">
        <f>$R$1808*K$3303</f>
        <v>962.92000000000007</v>
      </c>
      <c r="L4057" s="109">
        <f>VLOOKUP(J4057,$J$1801:$L$1987,3,FALSE)*M4057</f>
        <v>3.4375</v>
      </c>
      <c r="M4057" s="3066">
        <f>VLOOKUP(J4057,$J$3297:$K$3483,2,FALSE)</f>
        <v>1</v>
      </c>
      <c r="N4057" s="1135"/>
      <c r="O4057" s="228"/>
      <c r="P4057" s="844"/>
      <c r="Q4057" s="844"/>
      <c r="R4057" s="844"/>
      <c r="S4057" s="832"/>
      <c r="T4057" s="3082"/>
      <c r="U4057" s="123"/>
      <c r="V4057" s="4031"/>
      <c r="W4057" s="3307">
        <v>2354</v>
      </c>
      <c r="X4057" s="823">
        <f>$R$1808*(X$1900/12000)*X$3396</f>
        <v>3177.636</v>
      </c>
      <c r="Y4057" s="535">
        <v>713.33333333333337</v>
      </c>
      <c r="Z4057" s="532">
        <v>713.33333333333337</v>
      </c>
      <c r="AA4057" s="532">
        <v>713.33333333333337</v>
      </c>
      <c r="AB4057" s="535">
        <v>962.92000000000007</v>
      </c>
      <c r="AC4057" s="1052">
        <v>962.92000000000007</v>
      </c>
      <c r="AD4057" s="793"/>
      <c r="AE4057" s="793"/>
      <c r="AF4057" s="793"/>
      <c r="AG4057" s="793"/>
      <c r="AH4057" s="1942"/>
      <c r="AI4057" s="1942"/>
      <c r="AJ4057" s="1942"/>
      <c r="AK4057" s="1942"/>
      <c r="AL4057" s="1942"/>
      <c r="AM4057" s="1942"/>
      <c r="AN4057" s="1942"/>
      <c r="AO4057" s="1942"/>
      <c r="AP4057" s="1942"/>
      <c r="AQ4057" s="1942"/>
      <c r="AR4057" s="1942"/>
      <c r="AS4057" s="1942"/>
      <c r="AT4057" s="1942"/>
      <c r="AU4057" s="1942"/>
      <c r="AV4057" s="1942"/>
      <c r="AW4057" s="1942"/>
      <c r="AX4057" s="1942"/>
      <c r="AY4057" s="1942"/>
      <c r="AZ4057" s="1942"/>
      <c r="BA4057" s="1942"/>
      <c r="BB4057" s="575"/>
      <c r="BC4057" s="576"/>
      <c r="BD4057" s="678"/>
      <c r="BE4057" s="585"/>
    </row>
    <row r="4058" spans="1:57" s="51" customFormat="1" ht="15" hidden="1" customHeight="1" outlineLevel="1" x14ac:dyDescent="0.25">
      <c r="A4058" s="2060"/>
      <c r="B4058" s="576"/>
      <c r="C4058" s="328"/>
      <c r="D4058" s="4023"/>
      <c r="E4058" s="4020"/>
      <c r="F4058" s="3016" t="str">
        <f t="shared" si="326"/>
        <v>ASHP-SEER18_ROF_SF</v>
      </c>
      <c r="G4058" s="2673"/>
      <c r="H4058" s="2673"/>
      <c r="I4058" s="2673"/>
      <c r="J4058" s="3301" t="str">
        <f t="shared" si="325"/>
        <v>353950_2021_12_</v>
      </c>
      <c r="K4058" s="1052"/>
      <c r="L4058" s="109" t="str">
        <f>IF(K4058&gt;0,VLOOKUP(J4058,$J$1801:$L$1987,3,FALSE),"")</f>
        <v/>
      </c>
      <c r="M4058" s="3066" t="str">
        <f>IF(K4058&gt;0,VLOOKUP(J4058,$J$3297:$K$3483,2,FALSE),"")</f>
        <v/>
      </c>
      <c r="N4058" s="1135"/>
      <c r="O4058" s="228"/>
      <c r="P4058" s="844"/>
      <c r="Q4058" s="844"/>
      <c r="R4058" s="844"/>
      <c r="S4058" s="832"/>
      <c r="T4058" s="3082"/>
      <c r="U4058" s="123"/>
      <c r="V4058" s="4031"/>
      <c r="W4058" s="3307"/>
      <c r="X4058" s="823"/>
      <c r="Y4058" s="535"/>
      <c r="Z4058" s="532"/>
      <c r="AA4058" s="532"/>
      <c r="AB4058" s="535"/>
      <c r="AC4058" s="1052"/>
      <c r="AD4058" s="793"/>
      <c r="AE4058" s="793"/>
      <c r="AF4058" s="793"/>
      <c r="AG4058" s="793"/>
      <c r="AH4058" s="1942"/>
      <c r="AI4058" s="1942"/>
      <c r="AJ4058" s="1942"/>
      <c r="AK4058" s="1942"/>
      <c r="AL4058" s="1942"/>
      <c r="AM4058" s="1942"/>
      <c r="AN4058" s="1942"/>
      <c r="AO4058" s="1942"/>
      <c r="AP4058" s="1942"/>
      <c r="AQ4058" s="1942"/>
      <c r="AR4058" s="1942"/>
      <c r="AS4058" s="1942"/>
      <c r="AT4058" s="1942"/>
      <c r="AU4058" s="1942"/>
      <c r="AV4058" s="1942"/>
      <c r="AW4058" s="1942"/>
      <c r="AX4058" s="1942"/>
      <c r="AY4058" s="1942"/>
      <c r="AZ4058" s="1942"/>
      <c r="BA4058" s="1942"/>
      <c r="BB4058" s="575"/>
      <c r="BC4058" s="576"/>
      <c r="BD4058" s="678"/>
      <c r="BE4058" s="585"/>
    </row>
    <row r="4059" spans="1:57" s="51" customFormat="1" ht="15" hidden="1" customHeight="1" outlineLevel="1" x14ac:dyDescent="0.25">
      <c r="A4059" s="2060"/>
      <c r="B4059" s="576"/>
      <c r="C4059" s="328"/>
      <c r="D4059" s="4023"/>
      <c r="E4059" s="4020"/>
      <c r="F4059" s="3016" t="str">
        <f t="shared" si="326"/>
        <v>ASHP-SEER19_ER1_SF</v>
      </c>
      <c r="G4059" s="2673"/>
      <c r="H4059" s="2673"/>
      <c r="I4059" s="2673"/>
      <c r="J4059" s="3301" t="str">
        <f t="shared" si="325"/>
        <v>354000_2021_12_</v>
      </c>
      <c r="K4059" s="3294">
        <f>(($R$1820*L4059)+$R$1809)-(($Q$1820*L4059)/((1+$R$1822)^($R$1823-1)))</f>
        <v>2159.4014664340775</v>
      </c>
      <c r="L4059" s="109">
        <f>VLOOKUP(J4059,$J$1801:$L$1987,3,FALSE)*M4059</f>
        <v>4</v>
      </c>
      <c r="M4059" s="3066">
        <f>VLOOKUP(J4059,$J$3297:$K$3483,2,FALSE)</f>
        <v>1</v>
      </c>
      <c r="N4059" s="1135"/>
      <c r="O4059" s="228"/>
      <c r="P4059" s="844"/>
      <c r="Q4059" s="844"/>
      <c r="R4059" s="844"/>
      <c r="S4059" s="832"/>
      <c r="T4059" s="3082"/>
      <c r="U4059" s="123"/>
      <c r="V4059" s="4031"/>
      <c r="W4059" s="3307">
        <v>4471.575704441655</v>
      </c>
      <c r="X4059" s="535">
        <f>$Q$1809*(X$1901/12000)*$K$3397</f>
        <v>6337.5298794243427</v>
      </c>
      <c r="Y4059" s="535">
        <v>1742.3358902038149</v>
      </c>
      <c r="Z4059" s="532">
        <v>1742.3358902038149</v>
      </c>
      <c r="AA4059" s="532">
        <v>1742.3358902038149</v>
      </c>
      <c r="AB4059" s="535">
        <v>1992.1449598081149</v>
      </c>
      <c r="AC4059" s="3294">
        <v>2159.4014664340775</v>
      </c>
      <c r="AD4059" s="793"/>
      <c r="AE4059" s="793"/>
      <c r="AF4059" s="793"/>
      <c r="AG4059" s="793"/>
      <c r="AH4059" s="1942"/>
      <c r="AI4059" s="1942"/>
      <c r="AJ4059" s="1942"/>
      <c r="AK4059" s="1942"/>
      <c r="AL4059" s="1942"/>
      <c r="AM4059" s="1942"/>
      <c r="AN4059" s="1942"/>
      <c r="AO4059" s="1942"/>
      <c r="AP4059" s="1942"/>
      <c r="AQ4059" s="1942"/>
      <c r="AR4059" s="1942"/>
      <c r="AS4059" s="1942"/>
      <c r="AT4059" s="1942"/>
      <c r="AU4059" s="1942"/>
      <c r="AV4059" s="1942"/>
      <c r="AW4059" s="1942"/>
      <c r="AX4059" s="1942"/>
      <c r="AY4059" s="1942"/>
      <c r="AZ4059" s="1942"/>
      <c r="BA4059" s="1942"/>
      <c r="BB4059" s="575"/>
      <c r="BC4059" s="576"/>
      <c r="BD4059" s="678"/>
      <c r="BE4059" s="585"/>
    </row>
    <row r="4060" spans="1:57" s="51" customFormat="1" ht="15" hidden="1" customHeight="1" outlineLevel="1" x14ac:dyDescent="0.25">
      <c r="A4060" s="2060"/>
      <c r="B4060" s="576"/>
      <c r="C4060" s="328"/>
      <c r="D4060" s="4023"/>
      <c r="E4060" s="4020"/>
      <c r="F4060" s="3016" t="str">
        <f t="shared" si="326"/>
        <v>ASHP-SEER19_ER1_SF</v>
      </c>
      <c r="G4060" s="2673"/>
      <c r="H4060" s="2673"/>
      <c r="I4060" s="2673"/>
      <c r="J4060" s="3301" t="str">
        <f t="shared" si="325"/>
        <v>354000_2021_12_</v>
      </c>
      <c r="K4060" s="1052"/>
      <c r="L4060" s="109" t="str">
        <f>IF(K4060&gt;0,VLOOKUP(J4060,$J$1801:$L$1987,3,FALSE),"")</f>
        <v/>
      </c>
      <c r="M4060" s="3066" t="str">
        <f>IF(K4060&gt;0,VLOOKUP(J4060,$J$3297:$K$3483,2,FALSE),"")</f>
        <v/>
      </c>
      <c r="N4060" s="1135"/>
      <c r="O4060" s="228"/>
      <c r="P4060" s="844"/>
      <c r="Q4060" s="844"/>
      <c r="R4060" s="844"/>
      <c r="S4060" s="832"/>
      <c r="T4060" s="3082"/>
      <c r="U4060" s="123"/>
      <c r="V4060" s="4031"/>
      <c r="W4060" s="3307"/>
      <c r="X4060" s="535"/>
      <c r="Y4060" s="535"/>
      <c r="Z4060" s="532"/>
      <c r="AA4060" s="532"/>
      <c r="AB4060" s="535"/>
      <c r="AC4060" s="1052"/>
      <c r="AD4060" s="793"/>
      <c r="AE4060" s="793"/>
      <c r="AF4060" s="793"/>
      <c r="AG4060" s="793"/>
      <c r="AH4060" s="1942"/>
      <c r="AI4060" s="1942"/>
      <c r="AJ4060" s="1942"/>
      <c r="AK4060" s="1942"/>
      <c r="AL4060" s="1942"/>
      <c r="AM4060" s="1942"/>
      <c r="AN4060" s="1942"/>
      <c r="AO4060" s="1942"/>
      <c r="AP4060" s="1942"/>
      <c r="AQ4060" s="1942"/>
      <c r="AR4060" s="1942"/>
      <c r="AS4060" s="1942"/>
      <c r="AT4060" s="1942"/>
      <c r="AU4060" s="1942"/>
      <c r="AV4060" s="1942"/>
      <c r="AW4060" s="1942"/>
      <c r="AX4060" s="1942"/>
      <c r="AY4060" s="1942"/>
      <c r="AZ4060" s="1942"/>
      <c r="BA4060" s="1942"/>
      <c r="BB4060" s="575"/>
      <c r="BC4060" s="576"/>
      <c r="BD4060" s="678"/>
      <c r="BE4060" s="585"/>
    </row>
    <row r="4061" spans="1:57" s="51" customFormat="1" ht="15" hidden="1" customHeight="1" outlineLevel="1" x14ac:dyDescent="0.25">
      <c r="A4061" s="2060"/>
      <c r="B4061" s="576"/>
      <c r="C4061" s="328"/>
      <c r="D4061" s="4023"/>
      <c r="E4061" s="4020"/>
      <c r="F4061" s="3016" t="str">
        <f t="shared" si="326"/>
        <v>ASHP-SEER19_ER2_SF</v>
      </c>
      <c r="G4061" s="2673"/>
      <c r="H4061" s="2673"/>
      <c r="I4061" s="2673"/>
      <c r="J4061" s="3301" t="str">
        <f t="shared" si="325"/>
        <v>354000_2021_12_</v>
      </c>
      <c r="K4061" s="1052"/>
      <c r="L4061" s="109" t="str">
        <f>IF(K4061&gt;0,VLOOKUP(J4061,$J$1801:$L$1987,3,FALSE),"")</f>
        <v/>
      </c>
      <c r="M4061" s="3066" t="str">
        <f>IF(K4061&gt;0,VLOOKUP(J4061,$J$3297:$K$3483,2,FALSE),"")</f>
        <v/>
      </c>
      <c r="N4061" s="1135"/>
      <c r="O4061" s="228"/>
      <c r="P4061" s="844"/>
      <c r="Q4061" s="844"/>
      <c r="R4061" s="844"/>
      <c r="S4061" s="832"/>
      <c r="T4061" s="3082"/>
      <c r="U4061" s="123"/>
      <c r="V4061" s="4031"/>
      <c r="W4061" s="3307"/>
      <c r="X4061" s="535"/>
      <c r="Y4061" s="535"/>
      <c r="Z4061" s="532"/>
      <c r="AA4061" s="532"/>
      <c r="AB4061" s="535"/>
      <c r="AC4061" s="1052"/>
      <c r="AD4061" s="793"/>
      <c r="AE4061" s="793"/>
      <c r="AF4061" s="793"/>
      <c r="AG4061" s="793"/>
      <c r="AH4061" s="1942"/>
      <c r="AI4061" s="1942"/>
      <c r="AJ4061" s="1942"/>
      <c r="AK4061" s="1942"/>
      <c r="AL4061" s="1942"/>
      <c r="AM4061" s="1942"/>
      <c r="AN4061" s="1942"/>
      <c r="AO4061" s="1942"/>
      <c r="AP4061" s="1942"/>
      <c r="AQ4061" s="1942"/>
      <c r="AR4061" s="1942"/>
      <c r="AS4061" s="1942"/>
      <c r="AT4061" s="1942"/>
      <c r="AU4061" s="1942"/>
      <c r="AV4061" s="1942"/>
      <c r="AW4061" s="1942"/>
      <c r="AX4061" s="1942"/>
      <c r="AY4061" s="1942"/>
      <c r="AZ4061" s="1942"/>
      <c r="BA4061" s="1942"/>
      <c r="BB4061" s="575"/>
      <c r="BC4061" s="576"/>
      <c r="BD4061" s="678"/>
      <c r="BE4061" s="585"/>
    </row>
    <row r="4062" spans="1:57" s="51" customFormat="1" ht="15" hidden="1" customHeight="1" outlineLevel="1" x14ac:dyDescent="0.25">
      <c r="A4062" s="2060"/>
      <c r="B4062" s="576"/>
      <c r="C4062" s="328"/>
      <c r="D4062" s="4023"/>
      <c r="E4062" s="4020"/>
      <c r="F4062" s="3016" t="str">
        <f t="shared" si="326"/>
        <v>ASHP-SEER19_ER2_SF</v>
      </c>
      <c r="G4062" s="2673"/>
      <c r="H4062" s="2673"/>
      <c r="I4062" s="2673"/>
      <c r="J4062" s="3301" t="str">
        <f t="shared" si="325"/>
        <v>354000_2021_12_</v>
      </c>
      <c r="K4062" s="1052"/>
      <c r="L4062" s="109" t="str">
        <f>IF(K4062&gt;0,VLOOKUP(J4062,$J$1801:$L$1987,3,FALSE),"")</f>
        <v/>
      </c>
      <c r="M4062" s="3066" t="str">
        <f>IF(K4062&gt;0,VLOOKUP(J4062,$J$3297:$K$3483,2,FALSE),"")</f>
        <v/>
      </c>
      <c r="N4062" s="1135"/>
      <c r="O4062" s="228"/>
      <c r="P4062" s="844"/>
      <c r="Q4062" s="844"/>
      <c r="R4062" s="844"/>
      <c r="S4062" s="832"/>
      <c r="T4062" s="3082"/>
      <c r="U4062" s="123"/>
      <c r="V4062" s="4031"/>
      <c r="W4062" s="3307"/>
      <c r="X4062" s="535"/>
      <c r="Y4062" s="535"/>
      <c r="Z4062" s="532"/>
      <c r="AA4062" s="532"/>
      <c r="AB4062" s="535"/>
      <c r="AC4062" s="1052"/>
      <c r="AD4062" s="793"/>
      <c r="AE4062" s="793"/>
      <c r="AF4062" s="793"/>
      <c r="AG4062" s="793"/>
      <c r="AH4062" s="1942"/>
      <c r="AI4062" s="1942"/>
      <c r="AJ4062" s="1942"/>
      <c r="AK4062" s="1942"/>
      <c r="AL4062" s="1942"/>
      <c r="AM4062" s="1942"/>
      <c r="AN4062" s="1942"/>
      <c r="AO4062" s="1942"/>
      <c r="AP4062" s="1942"/>
      <c r="AQ4062" s="1942"/>
      <c r="AR4062" s="1942"/>
      <c r="AS4062" s="1942"/>
      <c r="AT4062" s="1942"/>
      <c r="AU4062" s="1942"/>
      <c r="AV4062" s="1942"/>
      <c r="AW4062" s="1942"/>
      <c r="AX4062" s="1942"/>
      <c r="AY4062" s="1942"/>
      <c r="AZ4062" s="1942"/>
      <c r="BA4062" s="1942"/>
      <c r="BB4062" s="575"/>
      <c r="BC4062" s="576"/>
      <c r="BD4062" s="678"/>
      <c r="BE4062" s="585"/>
    </row>
    <row r="4063" spans="1:57" s="51" customFormat="1" ht="15" hidden="1" customHeight="1" outlineLevel="1" x14ac:dyDescent="0.25">
      <c r="A4063" s="2060"/>
      <c r="B4063" s="576"/>
      <c r="C4063" s="328"/>
      <c r="D4063" s="4023"/>
      <c r="E4063" s="4020"/>
      <c r="F4063" s="3016" t="str">
        <f t="shared" si="326"/>
        <v>ASHP-SEER19_ROF_SF</v>
      </c>
      <c r="G4063" s="2673"/>
      <c r="H4063" s="2673"/>
      <c r="I4063" s="2673"/>
      <c r="J4063" s="3301" t="str">
        <f t="shared" si="325"/>
        <v>354050_2021_12_</v>
      </c>
      <c r="K4063" s="1052">
        <f>$R$1809*K$3303</f>
        <v>1203.6500000000003</v>
      </c>
      <c r="L4063" s="109">
        <f>VLOOKUP(J4063,$J$1801:$L$1987,3,FALSE)*M4063</f>
        <v>2.1777777777777776</v>
      </c>
      <c r="M4063" s="3066">
        <f>VLOOKUP(J4063,$J$3297:$K$3483,2,FALSE)</f>
        <v>1</v>
      </c>
      <c r="N4063" s="1135"/>
      <c r="O4063" s="228"/>
      <c r="P4063" s="844"/>
      <c r="Q4063" s="844"/>
      <c r="R4063" s="844"/>
      <c r="S4063" s="832"/>
      <c r="T4063" s="3082"/>
      <c r="U4063" s="123"/>
      <c r="V4063" s="4031"/>
      <c r="W4063" s="3307">
        <v>2684</v>
      </c>
      <c r="X4063" s="535">
        <f>$R$1809*(X$1903/12000)*X$3399</f>
        <v>3972.045000000001</v>
      </c>
      <c r="Y4063" s="535">
        <v>813.33333333333337</v>
      </c>
      <c r="Z4063" s="532">
        <v>813.33333333333337</v>
      </c>
      <c r="AA4063" s="532">
        <v>813.33333333333337</v>
      </c>
      <c r="AB4063" s="535">
        <v>1203.6500000000003</v>
      </c>
      <c r="AC4063" s="1052">
        <v>1203.6500000000003</v>
      </c>
      <c r="AD4063" s="793"/>
      <c r="AE4063" s="793"/>
      <c r="AF4063" s="793"/>
      <c r="AG4063" s="793"/>
      <c r="AH4063" s="1942"/>
      <c r="AI4063" s="1942"/>
      <c r="AJ4063" s="1942"/>
      <c r="AK4063" s="1942"/>
      <c r="AL4063" s="1942"/>
      <c r="AM4063" s="1942"/>
      <c r="AN4063" s="1942"/>
      <c r="AO4063" s="1942"/>
      <c r="AP4063" s="1942"/>
      <c r="AQ4063" s="1942"/>
      <c r="AR4063" s="1942"/>
      <c r="AS4063" s="1942"/>
      <c r="AT4063" s="1942"/>
      <c r="AU4063" s="1942"/>
      <c r="AV4063" s="1942"/>
      <c r="AW4063" s="1942"/>
      <c r="AX4063" s="1942"/>
      <c r="AY4063" s="1942"/>
      <c r="AZ4063" s="1942"/>
      <c r="BA4063" s="1942"/>
      <c r="BB4063" s="575"/>
      <c r="BC4063" s="576"/>
      <c r="BD4063" s="678"/>
      <c r="BE4063" s="585"/>
    </row>
    <row r="4064" spans="1:57" s="51" customFormat="1" ht="15" hidden="1" customHeight="1" outlineLevel="1" x14ac:dyDescent="0.25">
      <c r="A4064" s="2060"/>
      <c r="B4064" s="576"/>
      <c r="C4064" s="328"/>
      <c r="D4064" s="4023"/>
      <c r="E4064" s="4020"/>
      <c r="F4064" s="3016" t="str">
        <f t="shared" si="326"/>
        <v>ASHP-SEER19_ROF_SF</v>
      </c>
      <c r="G4064" s="2673"/>
      <c r="H4064" s="2673"/>
      <c r="I4064" s="2673"/>
      <c r="J4064" s="3301" t="str">
        <f t="shared" si="325"/>
        <v>354050_2021_12_</v>
      </c>
      <c r="K4064" s="1052"/>
      <c r="L4064" s="109" t="str">
        <f>IF(K4064&gt;0,VLOOKUP(J4064,$J$1801:$L$1987,3,FALSE),"")</f>
        <v/>
      </c>
      <c r="M4064" s="3066" t="str">
        <f>IF(K4064&gt;0,VLOOKUP(J4064,$J$3297:$K$3483,2,FALSE),"")</f>
        <v/>
      </c>
      <c r="N4064" s="1135"/>
      <c r="O4064" s="228"/>
      <c r="P4064" s="844"/>
      <c r="Q4064" s="844"/>
      <c r="R4064" s="844"/>
      <c r="S4064" s="832"/>
      <c r="T4064" s="3082"/>
      <c r="U4064" s="123"/>
      <c r="V4064" s="4031"/>
      <c r="W4064" s="3307"/>
      <c r="X4064" s="535"/>
      <c r="Y4064" s="535"/>
      <c r="Z4064" s="532"/>
      <c r="AA4064" s="532"/>
      <c r="AB4064" s="535"/>
      <c r="AC4064" s="1052"/>
      <c r="AD4064" s="793"/>
      <c r="AE4064" s="793"/>
      <c r="AF4064" s="793"/>
      <c r="AG4064" s="793"/>
      <c r="AH4064" s="1942"/>
      <c r="AI4064" s="1942"/>
      <c r="AJ4064" s="1942"/>
      <c r="AK4064" s="1942"/>
      <c r="AL4064" s="1942"/>
      <c r="AM4064" s="1942"/>
      <c r="AN4064" s="1942"/>
      <c r="AO4064" s="1942"/>
      <c r="AP4064" s="1942"/>
      <c r="AQ4064" s="1942"/>
      <c r="AR4064" s="1942"/>
      <c r="AS4064" s="1942"/>
      <c r="AT4064" s="1942"/>
      <c r="AU4064" s="1942"/>
      <c r="AV4064" s="1942"/>
      <c r="AW4064" s="1942"/>
      <c r="AX4064" s="1942"/>
      <c r="AY4064" s="1942"/>
      <c r="AZ4064" s="1942"/>
      <c r="BA4064" s="1942"/>
      <c r="BB4064" s="575"/>
      <c r="BC4064" s="576"/>
      <c r="BD4064" s="678"/>
      <c r="BE4064" s="585"/>
    </row>
    <row r="4065" spans="1:57" s="51" customFormat="1" ht="15" hidden="1" customHeight="1" outlineLevel="1" x14ac:dyDescent="0.25">
      <c r="A4065" s="2060"/>
      <c r="B4065" s="576"/>
      <c r="C4065" s="328"/>
      <c r="D4065" s="4023"/>
      <c r="E4065" s="4020"/>
      <c r="F4065" s="3016" t="str">
        <f t="shared" si="326"/>
        <v>ASHP-SEER17-Replace_CAC_ElectricHeat_ER1_SF</v>
      </c>
      <c r="G4065" s="2673"/>
      <c r="H4065" s="2673"/>
      <c r="I4065" s="2673"/>
      <c r="J4065" s="3301" t="str">
        <f t="shared" si="325"/>
        <v>354100_2021_12_</v>
      </c>
      <c r="K4065" s="3294">
        <f>(($R$1820*L4065)+$R$1807)-(($Q$1820*L4065)/((1+$R$1822)^($R$1823-1)))</f>
        <v>1402.8007574105659</v>
      </c>
      <c r="L4065" s="109">
        <f>VLOOKUP(J4065,$J$1801:$L$1987,3,FALSE)*M4065</f>
        <v>2.8409090909090908</v>
      </c>
      <c r="M4065" s="3066">
        <f>VLOOKUP(J4065,$J$3297:$K$3483,2,FALSE)</f>
        <v>1</v>
      </c>
      <c r="N4065" s="1135"/>
      <c r="O4065" s="228"/>
      <c r="P4065" s="844"/>
      <c r="Q4065" s="844"/>
      <c r="R4065" s="844"/>
      <c r="S4065" s="832"/>
      <c r="T4065" s="3082"/>
      <c r="U4065" s="123"/>
      <c r="V4065" s="4031"/>
      <c r="W4065" s="3307">
        <v>3824.9615612563771</v>
      </c>
      <c r="X4065" s="535">
        <f>(X$1904/12000)*$Q$1807*X$3400</f>
        <v>4466.5221594592294</v>
      </c>
      <c r="Y4065" s="535">
        <v>1452.6993716056036</v>
      </c>
      <c r="Z4065" s="532">
        <v>1452.6993716056036</v>
      </c>
      <c r="AA4065" s="532">
        <v>1452.6993716056036</v>
      </c>
      <c r="AB4065" s="535">
        <v>1464.7073864864105</v>
      </c>
      <c r="AC4065" s="3294">
        <v>1402.8007574105659</v>
      </c>
      <c r="AD4065" s="793"/>
      <c r="AE4065" s="793"/>
      <c r="AF4065" s="793"/>
      <c r="AG4065" s="793"/>
      <c r="AH4065" s="1942"/>
      <c r="AI4065" s="1942"/>
      <c r="AJ4065" s="1942"/>
      <c r="AK4065" s="1942"/>
      <c r="AL4065" s="1942"/>
      <c r="AM4065" s="1942"/>
      <c r="AN4065" s="1942"/>
      <c r="AO4065" s="1942"/>
      <c r="AP4065" s="1942"/>
      <c r="AQ4065" s="1942"/>
      <c r="AR4065" s="1942"/>
      <c r="AS4065" s="1942"/>
      <c r="AT4065" s="1942"/>
      <c r="AU4065" s="1942"/>
      <c r="AV4065" s="1942"/>
      <c r="AW4065" s="1942"/>
      <c r="AX4065" s="1942"/>
      <c r="AY4065" s="1942"/>
      <c r="AZ4065" s="1942"/>
      <c r="BA4065" s="1942"/>
      <c r="BB4065" s="575"/>
      <c r="BC4065" s="576"/>
      <c r="BD4065" s="678"/>
      <c r="BE4065" s="585"/>
    </row>
    <row r="4066" spans="1:57" s="51" customFormat="1" ht="15" hidden="1" customHeight="1" outlineLevel="1" x14ac:dyDescent="0.25">
      <c r="A4066" s="2060"/>
      <c r="B4066" s="576"/>
      <c r="C4066" s="328"/>
      <c r="D4066" s="4023"/>
      <c r="E4066" s="4020"/>
      <c r="F4066" s="3016" t="str">
        <f t="shared" si="326"/>
        <v>ASHP-SEER17-Replace_CAC_ElectricHeat_ER1_SF</v>
      </c>
      <c r="G4066" s="2673"/>
      <c r="H4066" s="2673"/>
      <c r="I4066" s="2673"/>
      <c r="J4066" s="3301" t="str">
        <f t="shared" si="325"/>
        <v>354100_2021_12_</v>
      </c>
      <c r="K4066" s="1052"/>
      <c r="L4066" s="109" t="str">
        <f>IF(K4066&gt;0,VLOOKUP(J4066,$J$1801:$L$1987,3,FALSE),"")</f>
        <v/>
      </c>
      <c r="M4066" s="3066" t="str">
        <f>IF(K4066&gt;0,VLOOKUP(J4066,$J$3297:$K$3483,2,FALSE),"")</f>
        <v/>
      </c>
      <c r="N4066" s="1135"/>
      <c r="O4066" s="228"/>
      <c r="P4066" s="844"/>
      <c r="Q4066" s="844"/>
      <c r="R4066" s="844"/>
      <c r="S4066" s="832"/>
      <c r="T4066" s="3082"/>
      <c r="U4066" s="123"/>
      <c r="V4066" s="4031"/>
      <c r="W4066" s="3307"/>
      <c r="X4066" s="535"/>
      <c r="Y4066" s="535"/>
      <c r="Z4066" s="532"/>
      <c r="AA4066" s="532"/>
      <c r="AB4066" s="535"/>
      <c r="AC4066" s="1052"/>
      <c r="AD4066" s="793"/>
      <c r="AE4066" s="793"/>
      <c r="AF4066" s="793"/>
      <c r="AG4066" s="793"/>
      <c r="AH4066" s="1942"/>
      <c r="AI4066" s="1942"/>
      <c r="AJ4066" s="1942"/>
      <c r="AK4066" s="1942"/>
      <c r="AL4066" s="1942"/>
      <c r="AM4066" s="1942"/>
      <c r="AN4066" s="1942"/>
      <c r="AO4066" s="1942"/>
      <c r="AP4066" s="1942"/>
      <c r="AQ4066" s="1942"/>
      <c r="AR4066" s="1942"/>
      <c r="AS4066" s="1942"/>
      <c r="AT4066" s="1942"/>
      <c r="AU4066" s="1942"/>
      <c r="AV4066" s="1942"/>
      <c r="AW4066" s="1942"/>
      <c r="AX4066" s="1942"/>
      <c r="AY4066" s="1942"/>
      <c r="AZ4066" s="1942"/>
      <c r="BA4066" s="1942"/>
      <c r="BB4066" s="575"/>
      <c r="BC4066" s="576"/>
      <c r="BD4066" s="678"/>
      <c r="BE4066" s="585"/>
    </row>
    <row r="4067" spans="1:57" s="51" customFormat="1" ht="15" hidden="1" customHeight="1" outlineLevel="1" x14ac:dyDescent="0.25">
      <c r="A4067" s="2060"/>
      <c r="B4067" s="576"/>
      <c r="C4067" s="328"/>
      <c r="D4067" s="4023"/>
      <c r="E4067" s="4020"/>
      <c r="F4067" s="3016" t="str">
        <f t="shared" si="326"/>
        <v>ASHP-SEER17-Replace_CAC_ElectricHeat_ER2_SF</v>
      </c>
      <c r="G4067" s="2673"/>
      <c r="H4067" s="2673"/>
      <c r="I4067" s="2673"/>
      <c r="J4067" s="3301" t="str">
        <f t="shared" si="325"/>
        <v>354100_2021_12_</v>
      </c>
      <c r="K4067" s="1052"/>
      <c r="L4067" s="109" t="str">
        <f>IF(K4067&gt;0,VLOOKUP(J4067,$J$1801:$L$1987,3,FALSE),"")</f>
        <v/>
      </c>
      <c r="M4067" s="3066" t="str">
        <f>IF(K4067&gt;0,VLOOKUP(J4067,$J$3297:$K$3483,2,FALSE),"")</f>
        <v/>
      </c>
      <c r="N4067" s="1135"/>
      <c r="O4067" s="228"/>
      <c r="P4067" s="844"/>
      <c r="Q4067" s="844"/>
      <c r="R4067" s="844"/>
      <c r="S4067" s="832"/>
      <c r="T4067" s="3082"/>
      <c r="U4067" s="123"/>
      <c r="V4067" s="4031"/>
      <c r="W4067" s="3307"/>
      <c r="X4067" s="535"/>
      <c r="Y4067" s="535"/>
      <c r="Z4067" s="532"/>
      <c r="AA4067" s="532"/>
      <c r="AB4067" s="535"/>
      <c r="AC4067" s="1052"/>
      <c r="AD4067" s="793"/>
      <c r="AE4067" s="793"/>
      <c r="AF4067" s="793"/>
      <c r="AG4067" s="793"/>
      <c r="AH4067" s="1942"/>
      <c r="AI4067" s="1942"/>
      <c r="AJ4067" s="1942"/>
      <c r="AK4067" s="1942"/>
      <c r="AL4067" s="1942"/>
      <c r="AM4067" s="1942"/>
      <c r="AN4067" s="1942"/>
      <c r="AO4067" s="1942"/>
      <c r="AP4067" s="1942"/>
      <c r="AQ4067" s="1942"/>
      <c r="AR4067" s="1942"/>
      <c r="AS4067" s="1942"/>
      <c r="AT4067" s="1942"/>
      <c r="AU4067" s="1942"/>
      <c r="AV4067" s="1942"/>
      <c r="AW4067" s="1942"/>
      <c r="AX4067" s="1942"/>
      <c r="AY4067" s="1942"/>
      <c r="AZ4067" s="1942"/>
      <c r="BA4067" s="1942"/>
      <c r="BB4067" s="575"/>
      <c r="BC4067" s="576"/>
      <c r="BD4067" s="678"/>
      <c r="BE4067" s="585"/>
    </row>
    <row r="4068" spans="1:57" s="51" customFormat="1" ht="15" hidden="1" customHeight="1" outlineLevel="1" x14ac:dyDescent="0.25">
      <c r="A4068" s="2060"/>
      <c r="B4068" s="576"/>
      <c r="C4068" s="328"/>
      <c r="D4068" s="4023"/>
      <c r="E4068" s="4020"/>
      <c r="F4068" s="3016" t="str">
        <f t="shared" si="326"/>
        <v>ASHP-SEER17-Replace_CAC_ElectricHeat_ER2_SF</v>
      </c>
      <c r="G4068" s="2673"/>
      <c r="H4068" s="2673"/>
      <c r="I4068" s="2673"/>
      <c r="J4068" s="3301" t="str">
        <f t="shared" si="325"/>
        <v>354100_2021_12_</v>
      </c>
      <c r="K4068" s="1052"/>
      <c r="L4068" s="109" t="str">
        <f>IF(K4068&gt;0,VLOOKUP(J4068,$J$1801:$L$1987,3,FALSE),"")</f>
        <v/>
      </c>
      <c r="M4068" s="3066" t="str">
        <f>IF(K4068&gt;0,VLOOKUP(J4068,$J$3297:$K$3483,2,FALSE),"")</f>
        <v/>
      </c>
      <c r="N4068" s="1135"/>
      <c r="O4068" s="228"/>
      <c r="P4068" s="844"/>
      <c r="Q4068" s="844"/>
      <c r="R4068" s="844"/>
      <c r="S4068" s="832"/>
      <c r="T4068" s="3082"/>
      <c r="U4068" s="123"/>
      <c r="V4068" s="4031"/>
      <c r="W4068" s="3307"/>
      <c r="X4068" s="535"/>
      <c r="Y4068" s="535"/>
      <c r="Z4068" s="532"/>
      <c r="AA4068" s="532"/>
      <c r="AB4068" s="535"/>
      <c r="AC4068" s="1052"/>
      <c r="AD4068" s="793"/>
      <c r="AE4068" s="793"/>
      <c r="AF4068" s="793"/>
      <c r="AG4068" s="793"/>
      <c r="AH4068" s="1942"/>
      <c r="AI4068" s="1942"/>
      <c r="AJ4068" s="1942"/>
      <c r="AK4068" s="1942"/>
      <c r="AL4068" s="1942"/>
      <c r="AM4068" s="1942"/>
      <c r="AN4068" s="1942"/>
      <c r="AO4068" s="1942"/>
      <c r="AP4068" s="1942"/>
      <c r="AQ4068" s="1942"/>
      <c r="AR4068" s="1942"/>
      <c r="AS4068" s="1942"/>
      <c r="AT4068" s="1942"/>
      <c r="AU4068" s="1942"/>
      <c r="AV4068" s="1942"/>
      <c r="AW4068" s="1942"/>
      <c r="AX4068" s="1942"/>
      <c r="AY4068" s="1942"/>
      <c r="AZ4068" s="1942"/>
      <c r="BA4068" s="1942"/>
      <c r="BB4068" s="575"/>
      <c r="BC4068" s="576"/>
      <c r="BD4068" s="678"/>
      <c r="BE4068" s="585"/>
    </row>
    <row r="4069" spans="1:57" s="1942" customFormat="1" ht="15" hidden="1" customHeight="1" outlineLevel="1" x14ac:dyDescent="0.25">
      <c r="A4069" s="2060"/>
      <c r="B4069" s="576"/>
      <c r="C4069" s="328"/>
      <c r="D4069" s="4023"/>
      <c r="E4069" s="4020"/>
      <c r="F4069" s="3016" t="str">
        <f t="shared" si="326"/>
        <v>ASHP-SEER17-Replace_CAC_NonElectricHeat_ER1_SF</v>
      </c>
      <c r="G4069" s="2673"/>
      <c r="H4069" s="2673"/>
      <c r="I4069" s="2673"/>
      <c r="J4069" s="3301" t="str">
        <f t="shared" si="325"/>
        <v>354110_2021_12_</v>
      </c>
      <c r="K4069" s="3294">
        <f>(($R$1820*L4069)+$R$1807)-(($Q$1820*L4069)/((1+$R$1822)^($R$1823-1)))</f>
        <v>1402.8007574105659</v>
      </c>
      <c r="L4069" s="112">
        <f>VLOOKUP(J4069,$J$1801:$L$1987,3,FALSE)*M4069</f>
        <v>2.8409090909090908</v>
      </c>
      <c r="M4069" s="3286">
        <f>VLOOKUP(J4069,$J$3297:$K$3483,2,FALSE)</f>
        <v>1</v>
      </c>
      <c r="N4069" s="1135"/>
      <c r="O4069" s="228"/>
      <c r="P4069" s="844"/>
      <c r="Q4069" s="844"/>
      <c r="R4069" s="844"/>
      <c r="S4069" s="832"/>
      <c r="T4069" s="3082"/>
      <c r="U4069" s="123"/>
      <c r="V4069" s="4031"/>
      <c r="W4069" s="3307"/>
      <c r="X4069" s="535"/>
      <c r="Y4069" s="535"/>
      <c r="Z4069" s="532"/>
      <c r="AA4069" s="532"/>
      <c r="AB4069" s="535"/>
      <c r="AC4069" s="3294">
        <v>1402.8007574105659</v>
      </c>
      <c r="AD4069" s="793"/>
      <c r="AE4069" s="793"/>
      <c r="AF4069" s="793"/>
      <c r="AG4069" s="793"/>
      <c r="BB4069" s="575"/>
      <c r="BC4069" s="576"/>
      <c r="BD4069" s="678"/>
      <c r="BE4069" s="585"/>
    </row>
    <row r="4070" spans="1:57" s="1942" customFormat="1" ht="15" hidden="1" customHeight="1" outlineLevel="1" x14ac:dyDescent="0.25">
      <c r="A4070" s="2060"/>
      <c r="B4070" s="576"/>
      <c r="C4070" s="328"/>
      <c r="D4070" s="4023"/>
      <c r="E4070" s="4020"/>
      <c r="F4070" s="3016" t="str">
        <f t="shared" si="326"/>
        <v>ASHP-SEER17-Replace_CAC_NonElectricHeat_ER1_SF</v>
      </c>
      <c r="G4070" s="2673"/>
      <c r="H4070" s="2673"/>
      <c r="I4070" s="2673"/>
      <c r="J4070" s="3301" t="str">
        <f t="shared" si="325"/>
        <v>354110_2021_12_</v>
      </c>
      <c r="K4070" s="1052"/>
      <c r="L4070" s="109"/>
      <c r="M4070" s="3066"/>
      <c r="N4070" s="1135"/>
      <c r="O4070" s="228"/>
      <c r="P4070" s="844"/>
      <c r="Q4070" s="844"/>
      <c r="R4070" s="844"/>
      <c r="S4070" s="832"/>
      <c r="T4070" s="3082"/>
      <c r="U4070" s="123"/>
      <c r="V4070" s="4031"/>
      <c r="W4070" s="3307"/>
      <c r="X4070" s="535"/>
      <c r="Y4070" s="535"/>
      <c r="Z4070" s="532"/>
      <c r="AA4070" s="532"/>
      <c r="AB4070" s="535"/>
      <c r="AC4070" s="1052"/>
      <c r="AD4070" s="793"/>
      <c r="AE4070" s="793"/>
      <c r="AF4070" s="793"/>
      <c r="AG4070" s="793"/>
      <c r="BB4070" s="575"/>
      <c r="BC4070" s="576"/>
      <c r="BD4070" s="678"/>
      <c r="BE4070" s="585"/>
    </row>
    <row r="4071" spans="1:57" s="1942" customFormat="1" ht="15" hidden="1" customHeight="1" outlineLevel="1" x14ac:dyDescent="0.25">
      <c r="A4071" s="2060"/>
      <c r="B4071" s="576"/>
      <c r="C4071" s="328"/>
      <c r="D4071" s="4023"/>
      <c r="E4071" s="4020"/>
      <c r="F4071" s="3016" t="str">
        <f t="shared" si="326"/>
        <v>ASHP-SEER17-Replace_CAC_NonElectricHeat_ER2_SF</v>
      </c>
      <c r="G4071" s="2673"/>
      <c r="H4071" s="2673"/>
      <c r="I4071" s="2673"/>
      <c r="J4071" s="3301" t="str">
        <f t="shared" si="325"/>
        <v>354110_2021_12_</v>
      </c>
      <c r="K4071" s="1052"/>
      <c r="L4071" s="109"/>
      <c r="M4071" s="3066"/>
      <c r="N4071" s="1135"/>
      <c r="O4071" s="228"/>
      <c r="P4071" s="844"/>
      <c r="Q4071" s="844"/>
      <c r="R4071" s="844"/>
      <c r="S4071" s="832"/>
      <c r="T4071" s="3082"/>
      <c r="U4071" s="123"/>
      <c r="V4071" s="4031"/>
      <c r="W4071" s="3307"/>
      <c r="X4071" s="535"/>
      <c r="Y4071" s="535"/>
      <c r="Z4071" s="532"/>
      <c r="AA4071" s="532"/>
      <c r="AB4071" s="535"/>
      <c r="AC4071" s="1052"/>
      <c r="AD4071" s="793"/>
      <c r="AE4071" s="793"/>
      <c r="AF4071" s="793"/>
      <c r="AG4071" s="793"/>
      <c r="BB4071" s="575"/>
      <c r="BC4071" s="576"/>
      <c r="BD4071" s="678"/>
      <c r="BE4071" s="585"/>
    </row>
    <row r="4072" spans="1:57" s="1942" customFormat="1" ht="15" hidden="1" customHeight="1" outlineLevel="1" x14ac:dyDescent="0.25">
      <c r="A4072" s="2060"/>
      <c r="B4072" s="576"/>
      <c r="C4072" s="328"/>
      <c r="D4072" s="4023"/>
      <c r="E4072" s="4020"/>
      <c r="F4072" s="3016" t="str">
        <f t="shared" si="326"/>
        <v>ASHP-SEER17-Replace_CAC_NonElectricHeat_ER2_SF</v>
      </c>
      <c r="G4072" s="2673"/>
      <c r="H4072" s="2673"/>
      <c r="I4072" s="2673"/>
      <c r="J4072" s="3301" t="str">
        <f t="shared" si="325"/>
        <v>354110_2021_12_</v>
      </c>
      <c r="K4072" s="1052"/>
      <c r="L4072" s="109"/>
      <c r="M4072" s="3066"/>
      <c r="N4072" s="1135"/>
      <c r="O4072" s="228"/>
      <c r="P4072" s="844"/>
      <c r="Q4072" s="844"/>
      <c r="R4072" s="844"/>
      <c r="S4072" s="832"/>
      <c r="T4072" s="3082"/>
      <c r="U4072" s="123"/>
      <c r="V4072" s="4031"/>
      <c r="W4072" s="3307"/>
      <c r="X4072" s="535"/>
      <c r="Y4072" s="535"/>
      <c r="Z4072" s="532"/>
      <c r="AA4072" s="532"/>
      <c r="AB4072" s="535"/>
      <c r="AC4072" s="1052"/>
      <c r="AD4072" s="793"/>
      <c r="AE4072" s="793"/>
      <c r="AF4072" s="793"/>
      <c r="AG4072" s="793"/>
      <c r="BB4072" s="575"/>
      <c r="BC4072" s="576"/>
      <c r="BD4072" s="678"/>
      <c r="BE4072" s="585"/>
    </row>
    <row r="4073" spans="1:57" s="51" customFormat="1" ht="15" hidden="1" customHeight="1" outlineLevel="1" x14ac:dyDescent="0.25">
      <c r="A4073" s="2060"/>
      <c r="B4073" s="576"/>
      <c r="C4073" s="328"/>
      <c r="D4073" s="4023"/>
      <c r="E4073" s="4020"/>
      <c r="F4073" s="3016" t="str">
        <f t="shared" si="326"/>
        <v>ASHP-SEER17-Replace_CAC_ElectricHeat_ER1_MF</v>
      </c>
      <c r="G4073" s="2673"/>
      <c r="H4073" s="2673"/>
      <c r="I4073" s="2673"/>
      <c r="J4073" s="3302" t="str">
        <f>C1621</f>
        <v>354150_2019_12_</v>
      </c>
      <c r="K4073" s="1052">
        <f>(($R$1820*L4073)+$R$1807)-(($Q$1820*L4073)/((1+$R$1822)^($R$1823-1)))</f>
        <v>1205.4598012161669</v>
      </c>
      <c r="L4073" s="109">
        <f>VLOOKUP(J4073,$J$1801:$L$1987,3,FALSE)*M4073</f>
        <v>2.0150000000000001</v>
      </c>
      <c r="M4073" s="3066">
        <f>VLOOKUP(J4073,$J$3297:$K$3483,2,FALSE)</f>
        <v>0.65</v>
      </c>
      <c r="N4073" s="1135"/>
      <c r="O4073" s="228"/>
      <c r="P4073" s="844"/>
      <c r="Q4073" s="844"/>
      <c r="R4073" s="844"/>
      <c r="S4073" s="832"/>
      <c r="T4073" s="3082"/>
      <c r="U4073" s="123"/>
      <c r="V4073" s="4031"/>
      <c r="W4073" s="3307">
        <v>3824.9615612563771</v>
      </c>
      <c r="X4073" s="535">
        <f>(X$1908/12000)*$Q$1807*X$3404</f>
        <v>2903.2394036484993</v>
      </c>
      <c r="Y4073" s="535">
        <v>1147.2545915436422</v>
      </c>
      <c r="Z4073" s="532">
        <v>1147.2545915436422</v>
      </c>
      <c r="AA4073" s="532">
        <v>1147.2545915436422</v>
      </c>
      <c r="AB4073" s="535">
        <v>1205.4598012161669</v>
      </c>
      <c r="AC4073" s="1052">
        <v>1205.4598012161669</v>
      </c>
      <c r="AD4073" s="793"/>
      <c r="AE4073" s="793"/>
      <c r="AF4073" s="793"/>
      <c r="AG4073" s="793"/>
      <c r="AH4073" s="1942"/>
      <c r="AI4073" s="1942"/>
      <c r="AJ4073" s="1942"/>
      <c r="AK4073" s="1942"/>
      <c r="AL4073" s="1942"/>
      <c r="AM4073" s="1942"/>
      <c r="AN4073" s="1942"/>
      <c r="AO4073" s="1942"/>
      <c r="AP4073" s="1942"/>
      <c r="AQ4073" s="1942"/>
      <c r="AR4073" s="1942"/>
      <c r="AS4073" s="1942"/>
      <c r="AT4073" s="1942"/>
      <c r="AU4073" s="1942"/>
      <c r="AV4073" s="1942"/>
      <c r="AW4073" s="1942"/>
      <c r="AX4073" s="1942"/>
      <c r="AY4073" s="1942"/>
      <c r="AZ4073" s="1942"/>
      <c r="BA4073" s="1942"/>
      <c r="BB4073" s="575"/>
      <c r="BC4073" s="576"/>
      <c r="BD4073" s="678"/>
      <c r="BE4073" s="585"/>
    </row>
    <row r="4074" spans="1:57" s="51" customFormat="1" ht="15" hidden="1" customHeight="1" outlineLevel="1" x14ac:dyDescent="0.25">
      <c r="A4074" s="2060"/>
      <c r="B4074" s="576"/>
      <c r="C4074" s="328"/>
      <c r="D4074" s="4023"/>
      <c r="E4074" s="4020"/>
      <c r="F4074" s="3016" t="str">
        <f t="shared" si="326"/>
        <v>ASHP-SEER17-Replace_CAC_ElectricHeat_ER1_MF</v>
      </c>
      <c r="G4074" s="2673"/>
      <c r="H4074" s="2673"/>
      <c r="I4074" s="2673"/>
      <c r="J4074" s="3302" t="str">
        <f>C1622</f>
        <v>354150_2019_12_</v>
      </c>
      <c r="K4074" s="1052"/>
      <c r="L4074" s="109" t="str">
        <f>IF(K4074&gt;0,VLOOKUP(J4074,$J$1801:$L$1987,3,FALSE),"")</f>
        <v/>
      </c>
      <c r="M4074" s="3066" t="str">
        <f>IF(K4074&gt;0,VLOOKUP(J4074,$J$3297:$K$3483,2,FALSE),"")</f>
        <v/>
      </c>
      <c r="N4074" s="1135"/>
      <c r="O4074" s="228"/>
      <c r="P4074" s="844"/>
      <c r="Q4074" s="844"/>
      <c r="R4074" s="844"/>
      <c r="S4074" s="832"/>
      <c r="T4074" s="3082"/>
      <c r="U4074" s="123"/>
      <c r="V4074" s="4031"/>
      <c r="W4074" s="3307"/>
      <c r="X4074" s="535"/>
      <c r="Y4074" s="535"/>
      <c r="Z4074" s="532"/>
      <c r="AA4074" s="532"/>
      <c r="AB4074" s="535"/>
      <c r="AC4074" s="1052"/>
      <c r="AD4074" s="793"/>
      <c r="AE4074" s="793"/>
      <c r="AF4074" s="793"/>
      <c r="AG4074" s="793"/>
      <c r="AH4074" s="1942"/>
      <c r="AI4074" s="1942"/>
      <c r="AJ4074" s="1942"/>
      <c r="AK4074" s="1942"/>
      <c r="AL4074" s="1942"/>
      <c r="AM4074" s="1942"/>
      <c r="AN4074" s="1942"/>
      <c r="AO4074" s="1942"/>
      <c r="AP4074" s="1942"/>
      <c r="AQ4074" s="1942"/>
      <c r="AR4074" s="1942"/>
      <c r="AS4074" s="1942"/>
      <c r="AT4074" s="1942"/>
      <c r="AU4074" s="1942"/>
      <c r="AV4074" s="1942"/>
      <c r="AW4074" s="1942"/>
      <c r="AX4074" s="1942"/>
      <c r="AY4074" s="1942"/>
      <c r="AZ4074" s="1942"/>
      <c r="BA4074" s="1942"/>
      <c r="BB4074" s="575"/>
      <c r="BC4074" s="576"/>
      <c r="BD4074" s="678"/>
      <c r="BE4074" s="585"/>
    </row>
    <row r="4075" spans="1:57" s="51" customFormat="1" ht="15" hidden="1" customHeight="1" outlineLevel="1" x14ac:dyDescent="0.25">
      <c r="A4075" s="2060"/>
      <c r="B4075" s="576"/>
      <c r="C4075" s="328"/>
      <c r="D4075" s="4023"/>
      <c r="E4075" s="4020"/>
      <c r="F4075" s="3016" t="str">
        <f t="shared" si="326"/>
        <v>ASHP-SEER17-Replace_CAC_ElectricHeat_ER2_MF</v>
      </c>
      <c r="G4075" s="2673"/>
      <c r="H4075" s="2673"/>
      <c r="I4075" s="2673"/>
      <c r="J4075" s="3302" t="str">
        <f>C1623</f>
        <v>354150_2019_12_</v>
      </c>
      <c r="K4075" s="1052"/>
      <c r="L4075" s="109" t="str">
        <f>IF(K4075&gt;0,VLOOKUP(J4075,$J$1801:$L$1987,3,FALSE),"")</f>
        <v/>
      </c>
      <c r="M4075" s="3066" t="str">
        <f>IF(K4075&gt;0,VLOOKUP(J4075,$J$3297:$K$3483,2,FALSE),"")</f>
        <v/>
      </c>
      <c r="N4075" s="1135"/>
      <c r="O4075" s="228"/>
      <c r="P4075" s="844"/>
      <c r="Q4075" s="844"/>
      <c r="R4075" s="844"/>
      <c r="S4075" s="832"/>
      <c r="T4075" s="3082"/>
      <c r="U4075" s="123"/>
      <c r="V4075" s="4031"/>
      <c r="W4075" s="3307"/>
      <c r="X4075" s="535"/>
      <c r="Y4075" s="535"/>
      <c r="Z4075" s="532"/>
      <c r="AA4075" s="532"/>
      <c r="AB4075" s="535"/>
      <c r="AC4075" s="1052"/>
      <c r="AD4075" s="793"/>
      <c r="AE4075" s="793"/>
      <c r="AF4075" s="793"/>
      <c r="AG4075" s="793"/>
      <c r="AH4075" s="1942"/>
      <c r="AI4075" s="1942"/>
      <c r="AJ4075" s="1942"/>
      <c r="AK4075" s="1942"/>
      <c r="AL4075" s="1942"/>
      <c r="AM4075" s="1942"/>
      <c r="AN4075" s="1942"/>
      <c r="AO4075" s="1942"/>
      <c r="AP4075" s="1942"/>
      <c r="AQ4075" s="1942"/>
      <c r="AR4075" s="1942"/>
      <c r="AS4075" s="1942"/>
      <c r="AT4075" s="1942"/>
      <c r="AU4075" s="1942"/>
      <c r="AV4075" s="1942"/>
      <c r="AW4075" s="1942"/>
      <c r="AX4075" s="1942"/>
      <c r="AY4075" s="1942"/>
      <c r="AZ4075" s="1942"/>
      <c r="BA4075" s="1942"/>
      <c r="BB4075" s="575"/>
      <c r="BC4075" s="576"/>
      <c r="BD4075" s="678"/>
      <c r="BE4075" s="585"/>
    </row>
    <row r="4076" spans="1:57" s="51" customFormat="1" ht="15" hidden="1" customHeight="1" outlineLevel="1" x14ac:dyDescent="0.25">
      <c r="A4076" s="2060"/>
      <c r="B4076" s="576"/>
      <c r="C4076" s="328"/>
      <c r="D4076" s="4023"/>
      <c r="E4076" s="4020"/>
      <c r="F4076" s="3016" t="str">
        <f t="shared" si="326"/>
        <v>ASHP-SEER17-Replace_CAC_ElectricHeat_ER2_MF</v>
      </c>
      <c r="G4076" s="2673"/>
      <c r="H4076" s="2673"/>
      <c r="I4076" s="2673"/>
      <c r="J4076" s="3302" t="str">
        <f>C1624</f>
        <v>354150_2019_12_</v>
      </c>
      <c r="K4076" s="1052"/>
      <c r="L4076" s="109" t="str">
        <f>IF(K4076&gt;0,VLOOKUP(J4076,$J$1801:$L$1987,3,FALSE),"")</f>
        <v/>
      </c>
      <c r="M4076" s="3066" t="str">
        <f>IF(K4076&gt;0,VLOOKUP(J4076,$J$3297:$K$3483,2,FALSE),"")</f>
        <v/>
      </c>
      <c r="N4076" s="1135"/>
      <c r="O4076" s="228"/>
      <c r="P4076" s="844"/>
      <c r="Q4076" s="844"/>
      <c r="R4076" s="844"/>
      <c r="S4076" s="832"/>
      <c r="T4076" s="3082"/>
      <c r="U4076" s="123"/>
      <c r="V4076" s="4031"/>
      <c r="W4076" s="3307"/>
      <c r="X4076" s="535"/>
      <c r="Y4076" s="535"/>
      <c r="Z4076" s="532"/>
      <c r="AA4076" s="532"/>
      <c r="AB4076" s="535"/>
      <c r="AC4076" s="1052"/>
      <c r="AD4076" s="793"/>
      <c r="AE4076" s="793"/>
      <c r="AF4076" s="793"/>
      <c r="AG4076" s="793"/>
      <c r="AH4076" s="1942"/>
      <c r="AI4076" s="1942"/>
      <c r="AJ4076" s="1942"/>
      <c r="AK4076" s="1942"/>
      <c r="AL4076" s="1942"/>
      <c r="AM4076" s="1942"/>
      <c r="AN4076" s="1942"/>
      <c r="AO4076" s="1942"/>
      <c r="AP4076" s="1942"/>
      <c r="AQ4076" s="1942"/>
      <c r="AR4076" s="1942"/>
      <c r="AS4076" s="1942"/>
      <c r="AT4076" s="1942"/>
      <c r="AU4076" s="1942"/>
      <c r="AV4076" s="1942"/>
      <c r="AW4076" s="1942"/>
      <c r="AX4076" s="1942"/>
      <c r="AY4076" s="1942"/>
      <c r="AZ4076" s="1942"/>
      <c r="BA4076" s="1942"/>
      <c r="BB4076" s="575"/>
      <c r="BC4076" s="576"/>
      <c r="BD4076" s="678"/>
      <c r="BE4076" s="585"/>
    </row>
    <row r="4077" spans="1:57" s="1942" customFormat="1" ht="15" hidden="1" customHeight="1" outlineLevel="1" x14ac:dyDescent="0.25">
      <c r="A4077" s="2060"/>
      <c r="B4077" s="576"/>
      <c r="C4077" s="328"/>
      <c r="D4077" s="4023"/>
      <c r="E4077" s="4020"/>
      <c r="F4077" s="3016" t="str">
        <f t="shared" si="326"/>
        <v>ASHP-SEER17-Replace_CAC_ElectricHeat_ER1_MF_CompE</v>
      </c>
      <c r="G4077" s="2673"/>
      <c r="H4077" s="2673"/>
      <c r="I4077" s="2673"/>
      <c r="J4077" s="3302" t="str">
        <f t="shared" ref="J4077:J4088" si="327">C1625</f>
        <v>354151_2019_12_</v>
      </c>
      <c r="K4077" s="3294">
        <f>(($R$1820*L4077)+$R$1807)-(($Q$1820*L4077)/((1+$R$1822)^($R$1823-1)))</f>
        <v>1205.4598012161669</v>
      </c>
      <c r="L4077" s="109">
        <f>VLOOKUP(J4077,$J$1801:$L$1987,3,FALSE)*M4077</f>
        <v>2.0150000000000001</v>
      </c>
      <c r="M4077" s="3286">
        <f>VLOOKUP(J4077,$J$3297:$K$3483,2,FALSE)</f>
        <v>0.65</v>
      </c>
      <c r="N4077" s="1135"/>
      <c r="O4077" s="228"/>
      <c r="P4077" s="844"/>
      <c r="Q4077" s="844"/>
      <c r="R4077" s="844"/>
      <c r="S4077" s="832"/>
      <c r="T4077" s="3082"/>
      <c r="U4077" s="123"/>
      <c r="V4077" s="4031"/>
      <c r="W4077" s="3307"/>
      <c r="X4077" s="535"/>
      <c r="Y4077" s="535"/>
      <c r="Z4077" s="532"/>
      <c r="AA4077" s="532"/>
      <c r="AB4077" s="535"/>
      <c r="AC4077" s="3294">
        <v>1205.4598012161669</v>
      </c>
      <c r="AD4077" s="793"/>
      <c r="AE4077" s="793"/>
      <c r="AF4077" s="793"/>
      <c r="AG4077" s="793"/>
      <c r="BB4077" s="575"/>
      <c r="BC4077" s="576"/>
      <c r="BD4077" s="678"/>
      <c r="BE4077" s="585"/>
    </row>
    <row r="4078" spans="1:57" s="1942" customFormat="1" ht="15" hidden="1" customHeight="1" outlineLevel="1" x14ac:dyDescent="0.25">
      <c r="A4078" s="2060"/>
      <c r="B4078" s="576"/>
      <c r="C4078" s="328"/>
      <c r="D4078" s="4023"/>
      <c r="E4078" s="4020"/>
      <c r="F4078" s="3016" t="str">
        <f t="shared" si="326"/>
        <v>ASHP-SEER17-Replace_CAC_ElectricHeat_ER1_MF_CompE</v>
      </c>
      <c r="G4078" s="2673"/>
      <c r="H4078" s="2673"/>
      <c r="I4078" s="2673"/>
      <c r="J4078" s="3302" t="str">
        <f t="shared" si="327"/>
        <v>354151_2019_12_</v>
      </c>
      <c r="K4078" s="1052"/>
      <c r="L4078" s="109"/>
      <c r="M4078" s="3066"/>
      <c r="N4078" s="1135"/>
      <c r="O4078" s="228"/>
      <c r="P4078" s="844"/>
      <c r="Q4078" s="844"/>
      <c r="R4078" s="844"/>
      <c r="S4078" s="832"/>
      <c r="T4078" s="3082"/>
      <c r="U4078" s="123"/>
      <c r="V4078" s="4031"/>
      <c r="W4078" s="3307"/>
      <c r="X4078" s="535"/>
      <c r="Y4078" s="535"/>
      <c r="Z4078" s="532"/>
      <c r="AA4078" s="532"/>
      <c r="AB4078" s="535"/>
      <c r="AC4078" s="1052"/>
      <c r="AD4078" s="793"/>
      <c r="AE4078" s="793"/>
      <c r="AF4078" s="793"/>
      <c r="AG4078" s="793"/>
      <c r="BB4078" s="575"/>
      <c r="BC4078" s="576"/>
      <c r="BD4078" s="678"/>
      <c r="BE4078" s="585"/>
    </row>
    <row r="4079" spans="1:57" s="1942" customFormat="1" ht="15" hidden="1" customHeight="1" outlineLevel="1" x14ac:dyDescent="0.25">
      <c r="A4079" s="2060"/>
      <c r="B4079" s="576"/>
      <c r="C4079" s="328"/>
      <c r="D4079" s="4023"/>
      <c r="E4079" s="4020"/>
      <c r="F4079" s="3016" t="str">
        <f t="shared" si="326"/>
        <v>ASHP-SEER17-Replace_CAC_ElectricHeat_ER2_MF_CompE</v>
      </c>
      <c r="G4079" s="2673"/>
      <c r="H4079" s="2673"/>
      <c r="I4079" s="2673"/>
      <c r="J4079" s="3302" t="str">
        <f t="shared" si="327"/>
        <v>354151_2019_12_</v>
      </c>
      <c r="K4079" s="1052"/>
      <c r="L4079" s="109"/>
      <c r="M4079" s="3066"/>
      <c r="N4079" s="1135"/>
      <c r="O4079" s="228"/>
      <c r="P4079" s="844"/>
      <c r="Q4079" s="844"/>
      <c r="R4079" s="844"/>
      <c r="S4079" s="832"/>
      <c r="T4079" s="3082"/>
      <c r="U4079" s="123"/>
      <c r="V4079" s="4031"/>
      <c r="W4079" s="3307"/>
      <c r="X4079" s="535"/>
      <c r="Y4079" s="535"/>
      <c r="Z4079" s="532"/>
      <c r="AA4079" s="532"/>
      <c r="AB4079" s="535"/>
      <c r="AC4079" s="1052"/>
      <c r="AD4079" s="793"/>
      <c r="AE4079" s="793"/>
      <c r="AF4079" s="793"/>
      <c r="AG4079" s="793"/>
      <c r="BB4079" s="575"/>
      <c r="BC4079" s="576"/>
      <c r="BD4079" s="678"/>
      <c r="BE4079" s="585"/>
    </row>
    <row r="4080" spans="1:57" s="1942" customFormat="1" ht="15" hidden="1" customHeight="1" outlineLevel="1" x14ac:dyDescent="0.25">
      <c r="A4080" s="2060"/>
      <c r="B4080" s="576"/>
      <c r="C4080" s="328"/>
      <c r="D4080" s="4023"/>
      <c r="E4080" s="4020"/>
      <c r="F4080" s="3016" t="str">
        <f t="shared" si="326"/>
        <v>ASHP-SEER17-Replace_CAC_ElectricHeat_ER2_MF_CompE</v>
      </c>
      <c r="G4080" s="2673"/>
      <c r="H4080" s="2673"/>
      <c r="I4080" s="2673"/>
      <c r="J4080" s="3302" t="str">
        <f t="shared" si="327"/>
        <v>354151_2019_12_</v>
      </c>
      <c r="K4080" s="1052"/>
      <c r="L4080" s="109"/>
      <c r="M4080" s="3066"/>
      <c r="N4080" s="1135"/>
      <c r="O4080" s="228"/>
      <c r="P4080" s="844"/>
      <c r="Q4080" s="844"/>
      <c r="R4080" s="844"/>
      <c r="S4080" s="832"/>
      <c r="T4080" s="3082"/>
      <c r="U4080" s="123"/>
      <c r="V4080" s="4031"/>
      <c r="W4080" s="3307"/>
      <c r="X4080" s="535"/>
      <c r="Y4080" s="535"/>
      <c r="Z4080" s="532"/>
      <c r="AA4080" s="532"/>
      <c r="AB4080" s="535"/>
      <c r="AC4080" s="1052"/>
      <c r="AD4080" s="793"/>
      <c r="AE4080" s="793"/>
      <c r="AF4080" s="793"/>
      <c r="AG4080" s="793"/>
      <c r="BB4080" s="575"/>
      <c r="BC4080" s="576"/>
      <c r="BD4080" s="678"/>
      <c r="BE4080" s="585"/>
    </row>
    <row r="4081" spans="1:57" s="1942" customFormat="1" ht="15" hidden="1" customHeight="1" outlineLevel="1" x14ac:dyDescent="0.25">
      <c r="A4081" s="2060"/>
      <c r="B4081" s="576"/>
      <c r="C4081" s="328"/>
      <c r="D4081" s="4023"/>
      <c r="E4081" s="4020"/>
      <c r="F4081" s="3016" t="str">
        <f t="shared" si="326"/>
        <v>ASHP-SEER17-Replace_CAC_NonElectricHeat_ER1_MF</v>
      </c>
      <c r="G4081" s="2673"/>
      <c r="H4081" s="2673"/>
      <c r="I4081" s="2673"/>
      <c r="J4081" s="3301" t="str">
        <f t="shared" si="327"/>
        <v>354160_2021_12_</v>
      </c>
      <c r="K4081" s="3294">
        <f>(($R$1820*L4081)+$R$1807)-(($Q$1820*L4081)/((1+$R$1822)^($R$1823-1)))</f>
        <v>1205.4598012161669</v>
      </c>
      <c r="L4081" s="112">
        <f>VLOOKUP(J4081,$J$1801:$L$1987,3,FALSE)*M4081</f>
        <v>2.0150000000000001</v>
      </c>
      <c r="M4081" s="3286">
        <f>VLOOKUP(J4081,$J$3297:$K$3483,2,FALSE)</f>
        <v>0.65</v>
      </c>
      <c r="N4081" s="1135"/>
      <c r="O4081" s="228"/>
      <c r="P4081" s="844"/>
      <c r="Q4081" s="844"/>
      <c r="R4081" s="844"/>
      <c r="S4081" s="832"/>
      <c r="T4081" s="3082"/>
      <c r="U4081" s="123"/>
      <c r="V4081" s="4031"/>
      <c r="W4081" s="3307"/>
      <c r="X4081" s="535"/>
      <c r="Y4081" s="535"/>
      <c r="Z4081" s="532"/>
      <c r="AA4081" s="532"/>
      <c r="AB4081" s="535"/>
      <c r="AC4081" s="3294">
        <v>1205.4598012161669</v>
      </c>
      <c r="AD4081" s="793"/>
      <c r="AE4081" s="793"/>
      <c r="AF4081" s="793"/>
      <c r="AG4081" s="793"/>
      <c r="BB4081" s="575"/>
      <c r="BC4081" s="576"/>
      <c r="BD4081" s="678"/>
      <c r="BE4081" s="585"/>
    </row>
    <row r="4082" spans="1:57" s="1942" customFormat="1" ht="15" hidden="1" customHeight="1" outlineLevel="1" x14ac:dyDescent="0.25">
      <c r="A4082" s="2060"/>
      <c r="B4082" s="576"/>
      <c r="C4082" s="328"/>
      <c r="D4082" s="4023"/>
      <c r="E4082" s="4020"/>
      <c r="F4082" s="3016" t="str">
        <f t="shared" si="326"/>
        <v>ASHP-SEER17-Replace_CAC_NonElectricHeat_ER1_MF</v>
      </c>
      <c r="G4082" s="2673"/>
      <c r="H4082" s="2673"/>
      <c r="I4082" s="2673"/>
      <c r="J4082" s="3301" t="str">
        <f t="shared" si="327"/>
        <v>354160_2021_12_</v>
      </c>
      <c r="K4082" s="1052"/>
      <c r="L4082" s="109"/>
      <c r="M4082" s="3066"/>
      <c r="N4082" s="1135"/>
      <c r="O4082" s="228"/>
      <c r="P4082" s="844"/>
      <c r="Q4082" s="844"/>
      <c r="R4082" s="844"/>
      <c r="S4082" s="832"/>
      <c r="T4082" s="3082"/>
      <c r="U4082" s="123"/>
      <c r="V4082" s="4031"/>
      <c r="W4082" s="3307"/>
      <c r="X4082" s="535"/>
      <c r="Y4082" s="535"/>
      <c r="Z4082" s="532"/>
      <c r="AA4082" s="532"/>
      <c r="AB4082" s="535"/>
      <c r="AC4082" s="1052"/>
      <c r="AD4082" s="793"/>
      <c r="AE4082" s="793"/>
      <c r="AF4082" s="793"/>
      <c r="AG4082" s="793"/>
      <c r="BB4082" s="575"/>
      <c r="BC4082" s="576"/>
      <c r="BD4082" s="678"/>
      <c r="BE4082" s="585"/>
    </row>
    <row r="4083" spans="1:57" s="1942" customFormat="1" ht="15" hidden="1" customHeight="1" outlineLevel="1" x14ac:dyDescent="0.25">
      <c r="A4083" s="2060"/>
      <c r="B4083" s="576"/>
      <c r="C4083" s="328"/>
      <c r="D4083" s="4023"/>
      <c r="E4083" s="4020"/>
      <c r="F4083" s="3016" t="str">
        <f t="shared" si="326"/>
        <v>ASHP-SEER17-Replace_CAC_NonElectricHeat_ER2_MF</v>
      </c>
      <c r="G4083" s="2673"/>
      <c r="H4083" s="2673"/>
      <c r="I4083" s="2673"/>
      <c r="J4083" s="3301" t="str">
        <f t="shared" si="327"/>
        <v>354160_2021_12_</v>
      </c>
      <c r="K4083" s="1052"/>
      <c r="L4083" s="109"/>
      <c r="M4083" s="3066"/>
      <c r="N4083" s="1135"/>
      <c r="O4083" s="228"/>
      <c r="P4083" s="844"/>
      <c r="Q4083" s="844"/>
      <c r="R4083" s="844"/>
      <c r="S4083" s="832"/>
      <c r="T4083" s="3082"/>
      <c r="U4083" s="123"/>
      <c r="V4083" s="4031"/>
      <c r="W4083" s="3307"/>
      <c r="X4083" s="535"/>
      <c r="Y4083" s="535"/>
      <c r="Z4083" s="532"/>
      <c r="AA4083" s="532"/>
      <c r="AB4083" s="535"/>
      <c r="AC4083" s="1052"/>
      <c r="AD4083" s="793"/>
      <c r="AE4083" s="793"/>
      <c r="AF4083" s="793"/>
      <c r="AG4083" s="793"/>
      <c r="BB4083" s="575"/>
      <c r="BC4083" s="576"/>
      <c r="BD4083" s="678"/>
      <c r="BE4083" s="585"/>
    </row>
    <row r="4084" spans="1:57" s="1942" customFormat="1" ht="15" hidden="1" customHeight="1" outlineLevel="1" x14ac:dyDescent="0.25">
      <c r="A4084" s="2060"/>
      <c r="B4084" s="576"/>
      <c r="C4084" s="328"/>
      <c r="D4084" s="4023"/>
      <c r="E4084" s="4020"/>
      <c r="F4084" s="3016" t="str">
        <f t="shared" si="326"/>
        <v>ASHP-SEER17-Replace_CAC_NonElectricHeat_ER2_MF</v>
      </c>
      <c r="G4084" s="2673"/>
      <c r="H4084" s="2673"/>
      <c r="I4084" s="2673"/>
      <c r="J4084" s="3301" t="str">
        <f t="shared" si="327"/>
        <v>354160_2021_12_</v>
      </c>
      <c r="K4084" s="1052"/>
      <c r="L4084" s="109"/>
      <c r="M4084" s="3066"/>
      <c r="N4084" s="1135"/>
      <c r="O4084" s="228"/>
      <c r="P4084" s="844"/>
      <c r="Q4084" s="844"/>
      <c r="R4084" s="844"/>
      <c r="S4084" s="832"/>
      <c r="T4084" s="3082"/>
      <c r="U4084" s="123"/>
      <c r="V4084" s="4031"/>
      <c r="W4084" s="3307"/>
      <c r="X4084" s="535"/>
      <c r="Y4084" s="535"/>
      <c r="Z4084" s="532"/>
      <c r="AA4084" s="532"/>
      <c r="AB4084" s="535"/>
      <c r="AC4084" s="1052"/>
      <c r="AD4084" s="793"/>
      <c r="AE4084" s="793"/>
      <c r="AF4084" s="793"/>
      <c r="AG4084" s="793"/>
      <c r="BB4084" s="575"/>
      <c r="BC4084" s="576"/>
      <c r="BD4084" s="678"/>
      <c r="BE4084" s="585"/>
    </row>
    <row r="4085" spans="1:57" s="1942" customFormat="1" ht="15" hidden="1" customHeight="1" outlineLevel="1" x14ac:dyDescent="0.25">
      <c r="A4085" s="2060"/>
      <c r="B4085" s="576"/>
      <c r="C4085" s="328"/>
      <c r="D4085" s="4023"/>
      <c r="E4085" s="4020"/>
      <c r="F4085" s="3016" t="str">
        <f t="shared" si="326"/>
        <v>ASHP-SEER17-Replace_CAC_NonElectricHeat_ER1_MF_CompE</v>
      </c>
      <c r="G4085" s="2673"/>
      <c r="H4085" s="2673"/>
      <c r="I4085" s="2673"/>
      <c r="J4085" s="3301" t="str">
        <f t="shared" si="327"/>
        <v>354161_2021_12_</v>
      </c>
      <c r="K4085" s="3294">
        <f>(($R$1820*L4085)+$R$1807)-(($Q$1820*L4085)/((1+$R$1822)^($R$1823-1)))</f>
        <v>1205.4598012161669</v>
      </c>
      <c r="L4085" s="112">
        <f>VLOOKUP(J4085,$J$1801:$L$1987,3,FALSE)*M4085</f>
        <v>2.0150000000000001</v>
      </c>
      <c r="M4085" s="3286">
        <f>VLOOKUP(J4085,$J$3297:$K$3483,2,FALSE)</f>
        <v>0.65</v>
      </c>
      <c r="N4085" s="1135"/>
      <c r="O4085" s="228"/>
      <c r="P4085" s="844"/>
      <c r="Q4085" s="844"/>
      <c r="R4085" s="844"/>
      <c r="S4085" s="832"/>
      <c r="T4085" s="3082"/>
      <c r="U4085" s="123"/>
      <c r="V4085" s="4031"/>
      <c r="W4085" s="3307"/>
      <c r="X4085" s="535"/>
      <c r="Y4085" s="535"/>
      <c r="Z4085" s="532"/>
      <c r="AA4085" s="532"/>
      <c r="AB4085" s="535"/>
      <c r="AC4085" s="3294">
        <v>1205.4598012161669</v>
      </c>
      <c r="AD4085" s="793"/>
      <c r="AE4085" s="793"/>
      <c r="AF4085" s="793"/>
      <c r="AG4085" s="793"/>
      <c r="BB4085" s="575"/>
      <c r="BC4085" s="576"/>
      <c r="BD4085" s="678"/>
      <c r="BE4085" s="585"/>
    </row>
    <row r="4086" spans="1:57" s="1942" customFormat="1" ht="15" hidden="1" customHeight="1" outlineLevel="1" x14ac:dyDescent="0.25">
      <c r="A4086" s="2060"/>
      <c r="B4086" s="576"/>
      <c r="C4086" s="328"/>
      <c r="D4086" s="4023"/>
      <c r="E4086" s="4020"/>
      <c r="F4086" s="3016" t="str">
        <f t="shared" si="326"/>
        <v>ASHP-SEER17-Replace_CAC_NonElectricHeat_ER1_MF_CompE</v>
      </c>
      <c r="G4086" s="2673"/>
      <c r="H4086" s="2673"/>
      <c r="I4086" s="2673"/>
      <c r="J4086" s="3301" t="str">
        <f t="shared" si="327"/>
        <v>354161_2021_12_</v>
      </c>
      <c r="K4086" s="1052"/>
      <c r="L4086" s="109"/>
      <c r="M4086" s="3066"/>
      <c r="N4086" s="1135"/>
      <c r="O4086" s="228"/>
      <c r="P4086" s="844"/>
      <c r="Q4086" s="844"/>
      <c r="R4086" s="844"/>
      <c r="S4086" s="832"/>
      <c r="T4086" s="3082"/>
      <c r="U4086" s="123"/>
      <c r="V4086" s="4031"/>
      <c r="W4086" s="3307"/>
      <c r="X4086" s="535"/>
      <c r="Y4086" s="535"/>
      <c r="Z4086" s="532"/>
      <c r="AA4086" s="532"/>
      <c r="AB4086" s="535"/>
      <c r="AC4086" s="1052"/>
      <c r="AD4086" s="793"/>
      <c r="AE4086" s="793"/>
      <c r="AF4086" s="793"/>
      <c r="AG4086" s="793"/>
      <c r="BB4086" s="575"/>
      <c r="BC4086" s="576"/>
      <c r="BD4086" s="678"/>
      <c r="BE4086" s="585"/>
    </row>
    <row r="4087" spans="1:57" s="1942" customFormat="1" ht="15" hidden="1" customHeight="1" outlineLevel="1" x14ac:dyDescent="0.25">
      <c r="A4087" s="2060"/>
      <c r="B4087" s="576"/>
      <c r="C4087" s="328"/>
      <c r="D4087" s="4023"/>
      <c r="E4087" s="4020"/>
      <c r="F4087" s="3016" t="str">
        <f t="shared" si="326"/>
        <v>ASHP-SEER17-Replace_CAC_NonElectricHeat_ER2_MF_CompE</v>
      </c>
      <c r="G4087" s="2673"/>
      <c r="H4087" s="2673"/>
      <c r="I4087" s="2673"/>
      <c r="J4087" s="3301" t="str">
        <f t="shared" si="327"/>
        <v>354161_2021_12_</v>
      </c>
      <c r="K4087" s="1052"/>
      <c r="L4087" s="109"/>
      <c r="M4087" s="3066"/>
      <c r="N4087" s="1135"/>
      <c r="O4087" s="228"/>
      <c r="P4087" s="844"/>
      <c r="Q4087" s="844"/>
      <c r="R4087" s="844"/>
      <c r="S4087" s="832"/>
      <c r="T4087" s="3082"/>
      <c r="U4087" s="123"/>
      <c r="V4087" s="4031"/>
      <c r="W4087" s="3307"/>
      <c r="X4087" s="535"/>
      <c r="Y4087" s="535"/>
      <c r="Z4087" s="532"/>
      <c r="AA4087" s="532"/>
      <c r="AB4087" s="535"/>
      <c r="AC4087" s="1052"/>
      <c r="AD4087" s="793"/>
      <c r="AE4087" s="793"/>
      <c r="AF4087" s="793"/>
      <c r="AG4087" s="793"/>
      <c r="BB4087" s="575"/>
      <c r="BC4087" s="576"/>
      <c r="BD4087" s="678"/>
      <c r="BE4087" s="585"/>
    </row>
    <row r="4088" spans="1:57" s="1942" customFormat="1" ht="15" hidden="1" customHeight="1" outlineLevel="1" x14ac:dyDescent="0.25">
      <c r="A4088" s="2060"/>
      <c r="B4088" s="576"/>
      <c r="C4088" s="328"/>
      <c r="D4088" s="4023"/>
      <c r="E4088" s="4020"/>
      <c r="F4088" s="3016" t="str">
        <f t="shared" si="326"/>
        <v>ASHP-SEER17-Replace_CAC_NonElectricHeat_ER2_MF_CompE</v>
      </c>
      <c r="G4088" s="2673"/>
      <c r="H4088" s="2673"/>
      <c r="I4088" s="2673"/>
      <c r="J4088" s="3301" t="str">
        <f t="shared" si="327"/>
        <v>354161_2021_12_</v>
      </c>
      <c r="K4088" s="1052"/>
      <c r="L4088" s="109"/>
      <c r="M4088" s="3066"/>
      <c r="N4088" s="1135"/>
      <c r="O4088" s="228"/>
      <c r="P4088" s="844"/>
      <c r="Q4088" s="844"/>
      <c r="R4088" s="844"/>
      <c r="S4088" s="832"/>
      <c r="T4088" s="3082"/>
      <c r="U4088" s="123"/>
      <c r="V4088" s="4031"/>
      <c r="W4088" s="3307"/>
      <c r="X4088" s="535"/>
      <c r="Y4088" s="535"/>
      <c r="Z4088" s="532"/>
      <c r="AA4088" s="532"/>
      <c r="AB4088" s="535"/>
      <c r="AC4088" s="1052"/>
      <c r="AD4088" s="793"/>
      <c r="AE4088" s="793"/>
      <c r="AF4088" s="793"/>
      <c r="AG4088" s="793"/>
      <c r="BB4088" s="575"/>
      <c r="BC4088" s="576"/>
      <c r="BD4088" s="678"/>
      <c r="BE4088" s="585"/>
    </row>
    <row r="4089" spans="1:57" s="51" customFormat="1" ht="15" hidden="1" customHeight="1" outlineLevel="1" x14ac:dyDescent="0.25">
      <c r="A4089" s="2060"/>
      <c r="B4089" s="576"/>
      <c r="C4089" s="328"/>
      <c r="D4089" s="4023"/>
      <c r="E4089" s="4020"/>
      <c r="F4089" s="3016" t="str">
        <f t="shared" si="326"/>
        <v>ASHP-SEER17_ER1_MF</v>
      </c>
      <c r="G4089" s="2673"/>
      <c r="H4089" s="2673"/>
      <c r="I4089" s="2673"/>
      <c r="J4089" s="3302" t="str">
        <f>C1637</f>
        <v>354200_2019_12_</v>
      </c>
      <c r="K4089" s="1052">
        <f>(($R$1820*L4089)+$R$1807)-(($Q$1820*L4089)/((1+$R$1822)^($R$1823-1)))</f>
        <v>1236.5217238752739</v>
      </c>
      <c r="L4089" s="109">
        <f>VLOOKUP(J4089,$J$1801:$L$1987,3,FALSE)*M4089</f>
        <v>2.145</v>
      </c>
      <c r="M4089" s="3066">
        <f>VLOOKUP(J4089,$J$3297:$K$3483,2,FALSE)</f>
        <v>0.65</v>
      </c>
      <c r="N4089" s="1135"/>
      <c r="O4089" s="228"/>
      <c r="P4089" s="844"/>
      <c r="Q4089" s="844"/>
      <c r="R4089" s="844"/>
      <c r="S4089" s="832"/>
      <c r="T4089" s="3082"/>
      <c r="U4089" s="123"/>
      <c r="V4089" s="4031"/>
      <c r="W4089" s="3307">
        <v>6101.9914642916983</v>
      </c>
      <c r="X4089" s="535">
        <f>(X$1916/12000)*$Q$1807*X$3412</f>
        <v>3090.5451716258217</v>
      </c>
      <c r="Y4089" s="535">
        <v>1183.8516619658126</v>
      </c>
      <c r="Z4089" s="532">
        <v>1183.8516619658126</v>
      </c>
      <c r="AA4089" s="532">
        <v>1183.8516619658126</v>
      </c>
      <c r="AB4089" s="535">
        <v>1236.5217238752739</v>
      </c>
      <c r="AC4089" s="1052">
        <v>1236.5217238752739</v>
      </c>
      <c r="AD4089" s="793"/>
      <c r="AE4089" s="793"/>
      <c r="AF4089" s="793"/>
      <c r="AG4089" s="793"/>
      <c r="AH4089" s="1942"/>
      <c r="AI4089" s="1942"/>
      <c r="AJ4089" s="1942"/>
      <c r="AK4089" s="1942"/>
      <c r="AL4089" s="1942"/>
      <c r="AM4089" s="1942"/>
      <c r="AN4089" s="1942"/>
      <c r="AO4089" s="1942"/>
      <c r="AP4089" s="1942"/>
      <c r="AQ4089" s="1942"/>
      <c r="AR4089" s="1942"/>
      <c r="AS4089" s="1942"/>
      <c r="AT4089" s="1942"/>
      <c r="AU4089" s="1942"/>
      <c r="AV4089" s="1942"/>
      <c r="AW4089" s="1942"/>
      <c r="AX4089" s="1942"/>
      <c r="AY4089" s="1942"/>
      <c r="AZ4089" s="1942"/>
      <c r="BA4089" s="1942"/>
      <c r="BB4089" s="575"/>
      <c r="BC4089" s="576"/>
      <c r="BD4089" s="678"/>
      <c r="BE4089" s="585"/>
    </row>
    <row r="4090" spans="1:57" s="51" customFormat="1" ht="15" hidden="1" customHeight="1" outlineLevel="1" x14ac:dyDescent="0.25">
      <c r="A4090" s="2060"/>
      <c r="B4090" s="576"/>
      <c r="C4090" s="328"/>
      <c r="D4090" s="4023"/>
      <c r="E4090" s="4020"/>
      <c r="F4090" s="3016" t="str">
        <f t="shared" si="326"/>
        <v>ASHP-SEER17_ER1_MF</v>
      </c>
      <c r="G4090" s="2673"/>
      <c r="H4090" s="2673"/>
      <c r="I4090" s="2673"/>
      <c r="J4090" s="3302" t="str">
        <f>C1638</f>
        <v>354200_2019_12_</v>
      </c>
      <c r="K4090" s="1052"/>
      <c r="L4090" s="109" t="str">
        <f>IF(K4090&gt;0,VLOOKUP(J4090,$J$1801:$L$1987,3,FALSE),"")</f>
        <v/>
      </c>
      <c r="M4090" s="3066" t="str">
        <f>IF(K4090&gt;0,VLOOKUP(J4090,$J$3297:$K$3483,2,FALSE),"")</f>
        <v/>
      </c>
      <c r="N4090" s="1135"/>
      <c r="O4090" s="228"/>
      <c r="P4090" s="844"/>
      <c r="Q4090" s="844"/>
      <c r="R4090" s="844"/>
      <c r="S4090" s="832"/>
      <c r="T4090" s="3082"/>
      <c r="U4090" s="123"/>
      <c r="V4090" s="4031"/>
      <c r="W4090" s="3307"/>
      <c r="X4090" s="535"/>
      <c r="Y4090" s="535"/>
      <c r="Z4090" s="532"/>
      <c r="AA4090" s="532"/>
      <c r="AB4090" s="535"/>
      <c r="AC4090" s="1052"/>
      <c r="AD4090" s="793"/>
      <c r="AE4090" s="793"/>
      <c r="AF4090" s="793"/>
      <c r="AG4090" s="793"/>
      <c r="AH4090" s="1942"/>
      <c r="AI4090" s="1942"/>
      <c r="AJ4090" s="1942"/>
      <c r="AK4090" s="1942"/>
      <c r="AL4090" s="1942"/>
      <c r="AM4090" s="1942"/>
      <c r="AN4090" s="1942"/>
      <c r="AO4090" s="1942"/>
      <c r="AP4090" s="1942"/>
      <c r="AQ4090" s="1942"/>
      <c r="AR4090" s="1942"/>
      <c r="AS4090" s="1942"/>
      <c r="AT4090" s="1942"/>
      <c r="AU4090" s="1942"/>
      <c r="AV4090" s="1942"/>
      <c r="AW4090" s="1942"/>
      <c r="AX4090" s="1942"/>
      <c r="AY4090" s="1942"/>
      <c r="AZ4090" s="1942"/>
      <c r="BA4090" s="1942"/>
      <c r="BB4090" s="575"/>
      <c r="BC4090" s="576"/>
      <c r="BD4090" s="678"/>
      <c r="BE4090" s="585"/>
    </row>
    <row r="4091" spans="1:57" s="51" customFormat="1" ht="15" hidden="1" customHeight="1" outlineLevel="1" x14ac:dyDescent="0.25">
      <c r="A4091" s="2060"/>
      <c r="B4091" s="576"/>
      <c r="C4091" s="328"/>
      <c r="D4091" s="4023"/>
      <c r="E4091" s="4020"/>
      <c r="F4091" s="3016" t="str">
        <f t="shared" si="326"/>
        <v>ASHP-SEER17_ER2_MF</v>
      </c>
      <c r="G4091" s="2673"/>
      <c r="H4091" s="2673"/>
      <c r="I4091" s="2673"/>
      <c r="J4091" s="3302" t="str">
        <f>C1639</f>
        <v>354200_2019_12_</v>
      </c>
      <c r="K4091" s="1052"/>
      <c r="L4091" s="109" t="str">
        <f>IF(K4091&gt;0,VLOOKUP(J4091,$J$1801:$L$1987,3,FALSE),"")</f>
        <v/>
      </c>
      <c r="M4091" s="3066" t="str">
        <f>IF(K4091&gt;0,VLOOKUP(J4091,$J$3297:$K$3483,2,FALSE),"")</f>
        <v/>
      </c>
      <c r="N4091" s="1135"/>
      <c r="O4091" s="228"/>
      <c r="P4091" s="844"/>
      <c r="Q4091" s="844"/>
      <c r="R4091" s="844"/>
      <c r="S4091" s="832"/>
      <c r="T4091" s="3082"/>
      <c r="U4091" s="123"/>
      <c r="V4091" s="4031"/>
      <c r="W4091" s="3307"/>
      <c r="X4091" s="535"/>
      <c r="Y4091" s="535"/>
      <c r="Z4091" s="532"/>
      <c r="AA4091" s="532"/>
      <c r="AB4091" s="535"/>
      <c r="AC4091" s="1052"/>
      <c r="AD4091" s="793"/>
      <c r="AE4091" s="793"/>
      <c r="AF4091" s="793"/>
      <c r="AG4091" s="793"/>
      <c r="AH4091" s="1942"/>
      <c r="AI4091" s="1942"/>
      <c r="AJ4091" s="1942"/>
      <c r="AK4091" s="1942"/>
      <c r="AL4091" s="1942"/>
      <c r="AM4091" s="1942"/>
      <c r="AN4091" s="1942"/>
      <c r="AO4091" s="1942"/>
      <c r="AP4091" s="1942"/>
      <c r="AQ4091" s="1942"/>
      <c r="AR4091" s="1942"/>
      <c r="AS4091" s="1942"/>
      <c r="AT4091" s="1942"/>
      <c r="AU4091" s="1942"/>
      <c r="AV4091" s="1942"/>
      <c r="AW4091" s="1942"/>
      <c r="AX4091" s="1942"/>
      <c r="AY4091" s="1942"/>
      <c r="AZ4091" s="1942"/>
      <c r="BA4091" s="1942"/>
      <c r="BB4091" s="575"/>
      <c r="BC4091" s="576"/>
      <c r="BD4091" s="678"/>
      <c r="BE4091" s="585"/>
    </row>
    <row r="4092" spans="1:57" s="51" customFormat="1" ht="15" hidden="1" customHeight="1" outlineLevel="1" x14ac:dyDescent="0.25">
      <c r="A4092" s="2060"/>
      <c r="B4092" s="576"/>
      <c r="C4092" s="328"/>
      <c r="D4092" s="4023"/>
      <c r="E4092" s="4020"/>
      <c r="F4092" s="3016" t="str">
        <f t="shared" si="326"/>
        <v>ASHP-SEER17_ER2_MF</v>
      </c>
      <c r="G4092" s="2673"/>
      <c r="H4092" s="2673"/>
      <c r="I4092" s="2673"/>
      <c r="J4092" s="3302" t="str">
        <f>C1640</f>
        <v>354200_2019_12_</v>
      </c>
      <c r="K4092" s="1052"/>
      <c r="L4092" s="109" t="str">
        <f>IF(K4092&gt;0,VLOOKUP(J4092,$J$1801:$L$1987,3,FALSE),"")</f>
        <v/>
      </c>
      <c r="M4092" s="3066" t="str">
        <f>IF(K4092&gt;0,VLOOKUP(J4092,$J$3297:$K$3483,2,FALSE),"")</f>
        <v/>
      </c>
      <c r="N4092" s="1135"/>
      <c r="O4092" s="228"/>
      <c r="P4092" s="844"/>
      <c r="Q4092" s="844"/>
      <c r="R4092" s="844"/>
      <c r="S4092" s="832"/>
      <c r="T4092" s="3082"/>
      <c r="U4092" s="123"/>
      <c r="V4092" s="4031"/>
      <c r="W4092" s="3307"/>
      <c r="X4092" s="535"/>
      <c r="Y4092" s="535"/>
      <c r="Z4092" s="532"/>
      <c r="AA4092" s="532"/>
      <c r="AB4092" s="535"/>
      <c r="AC4092" s="1052"/>
      <c r="AD4092" s="793"/>
      <c r="AE4092" s="793"/>
      <c r="AF4092" s="793"/>
      <c r="AG4092" s="793"/>
      <c r="AH4092" s="1942"/>
      <c r="AI4092" s="1942"/>
      <c r="AJ4092" s="1942"/>
      <c r="AK4092" s="1942"/>
      <c r="AL4092" s="1942"/>
      <c r="AM4092" s="1942"/>
      <c r="AN4092" s="1942"/>
      <c r="AO4092" s="1942"/>
      <c r="AP4092" s="1942"/>
      <c r="AQ4092" s="1942"/>
      <c r="AR4092" s="1942"/>
      <c r="AS4092" s="1942"/>
      <c r="AT4092" s="1942"/>
      <c r="AU4092" s="1942"/>
      <c r="AV4092" s="1942"/>
      <c r="AW4092" s="1942"/>
      <c r="AX4092" s="1942"/>
      <c r="AY4092" s="1942"/>
      <c r="AZ4092" s="1942"/>
      <c r="BA4092" s="1942"/>
      <c r="BB4092" s="575"/>
      <c r="BC4092" s="576"/>
      <c r="BD4092" s="678"/>
      <c r="BE4092" s="585"/>
    </row>
    <row r="4093" spans="1:57" s="1942" customFormat="1" ht="15" hidden="1" customHeight="1" outlineLevel="1" x14ac:dyDescent="0.25">
      <c r="A4093" s="2060"/>
      <c r="B4093" s="576"/>
      <c r="C4093" s="328"/>
      <c r="D4093" s="4023"/>
      <c r="E4093" s="4020"/>
      <c r="F4093" s="3016" t="str">
        <f t="shared" si="326"/>
        <v>ASHP-SEER17_ER1_MF_CompE</v>
      </c>
      <c r="G4093" s="2673"/>
      <c r="H4093" s="2673"/>
      <c r="I4093" s="2673"/>
      <c r="J4093" s="3302" t="str">
        <f t="shared" ref="J4093:J4096" si="328">C1641</f>
        <v>354201_2019_12_</v>
      </c>
      <c r="K4093" s="3294">
        <f>(($R$1820*L4093)+$R$1807)-(($Q$1820*L4093)/((1+$R$1822)^($R$1823-1)))</f>
        <v>1236.5217238752739</v>
      </c>
      <c r="L4093" s="112">
        <f>VLOOKUP(J4093,$J$1801:$L$1987,3,FALSE)*M4093</f>
        <v>2.145</v>
      </c>
      <c r="M4093" s="3286">
        <f>VLOOKUP(J4093,$J$3297:$K$3483,2,FALSE)</f>
        <v>0.65</v>
      </c>
      <c r="N4093" s="1135"/>
      <c r="O4093" s="228"/>
      <c r="P4093" s="844"/>
      <c r="Q4093" s="844"/>
      <c r="R4093" s="844"/>
      <c r="S4093" s="832"/>
      <c r="T4093" s="3082"/>
      <c r="U4093" s="123"/>
      <c r="V4093" s="4031"/>
      <c r="W4093" s="3307"/>
      <c r="X4093" s="535"/>
      <c r="Y4093" s="535"/>
      <c r="Z4093" s="532"/>
      <c r="AA4093" s="532"/>
      <c r="AB4093" s="535"/>
      <c r="AC4093" s="3294">
        <v>1236.5217238752739</v>
      </c>
      <c r="AD4093" s="793"/>
      <c r="AE4093" s="793"/>
      <c r="AF4093" s="793"/>
      <c r="AG4093" s="793"/>
      <c r="BB4093" s="575"/>
      <c r="BC4093" s="576"/>
      <c r="BD4093" s="678"/>
      <c r="BE4093" s="585"/>
    </row>
    <row r="4094" spans="1:57" s="1942" customFormat="1" ht="15" hidden="1" customHeight="1" outlineLevel="1" x14ac:dyDescent="0.25">
      <c r="A4094" s="2060"/>
      <c r="B4094" s="576"/>
      <c r="C4094" s="328"/>
      <c r="D4094" s="4023"/>
      <c r="E4094" s="4020"/>
      <c r="F4094" s="3016" t="str">
        <f t="shared" si="326"/>
        <v>ASHP-SEER17_ER1_MF_CompE</v>
      </c>
      <c r="G4094" s="2673"/>
      <c r="H4094" s="2673"/>
      <c r="I4094" s="2673"/>
      <c r="J4094" s="3302" t="str">
        <f t="shared" si="328"/>
        <v>354201_2019_12_</v>
      </c>
      <c r="K4094" s="1052"/>
      <c r="L4094" s="109"/>
      <c r="M4094" s="3066"/>
      <c r="N4094" s="1135"/>
      <c r="O4094" s="228"/>
      <c r="P4094" s="844"/>
      <c r="Q4094" s="844"/>
      <c r="R4094" s="844"/>
      <c r="S4094" s="832"/>
      <c r="T4094" s="3082"/>
      <c r="U4094" s="123"/>
      <c r="V4094" s="4031"/>
      <c r="W4094" s="3307"/>
      <c r="X4094" s="535"/>
      <c r="Y4094" s="535"/>
      <c r="Z4094" s="532"/>
      <c r="AA4094" s="532"/>
      <c r="AB4094" s="535"/>
      <c r="AC4094" s="1052"/>
      <c r="AD4094" s="793"/>
      <c r="AE4094" s="793"/>
      <c r="AF4094" s="793"/>
      <c r="AG4094" s="793"/>
      <c r="BB4094" s="575"/>
      <c r="BC4094" s="576"/>
      <c r="BD4094" s="678"/>
      <c r="BE4094" s="585"/>
    </row>
    <row r="4095" spans="1:57" s="1942" customFormat="1" ht="15" hidden="1" customHeight="1" outlineLevel="1" x14ac:dyDescent="0.25">
      <c r="A4095" s="2060"/>
      <c r="B4095" s="576"/>
      <c r="C4095" s="328"/>
      <c r="D4095" s="4023"/>
      <c r="E4095" s="4020"/>
      <c r="F4095" s="3016" t="str">
        <f t="shared" si="326"/>
        <v>ASHP-SEER17_ER2_MF_CompE</v>
      </c>
      <c r="G4095" s="2673"/>
      <c r="H4095" s="2673"/>
      <c r="I4095" s="2673"/>
      <c r="J4095" s="3302" t="str">
        <f t="shared" si="328"/>
        <v>354201_2019_12_</v>
      </c>
      <c r="K4095" s="1052"/>
      <c r="L4095" s="109"/>
      <c r="M4095" s="3066"/>
      <c r="N4095" s="1135"/>
      <c r="O4095" s="228"/>
      <c r="P4095" s="844"/>
      <c r="Q4095" s="844"/>
      <c r="R4095" s="844"/>
      <c r="S4095" s="832"/>
      <c r="T4095" s="3082"/>
      <c r="U4095" s="123"/>
      <c r="V4095" s="4031"/>
      <c r="W4095" s="3307"/>
      <c r="X4095" s="535"/>
      <c r="Y4095" s="535"/>
      <c r="Z4095" s="532"/>
      <c r="AA4095" s="532"/>
      <c r="AB4095" s="535"/>
      <c r="AC4095" s="1052"/>
      <c r="AD4095" s="793"/>
      <c r="AE4095" s="793"/>
      <c r="AF4095" s="793"/>
      <c r="AG4095" s="793"/>
      <c r="BB4095" s="575"/>
      <c r="BC4095" s="576"/>
      <c r="BD4095" s="678"/>
      <c r="BE4095" s="585"/>
    </row>
    <row r="4096" spans="1:57" s="1942" customFormat="1" ht="15" hidden="1" customHeight="1" outlineLevel="1" x14ac:dyDescent="0.25">
      <c r="A4096" s="2060"/>
      <c r="B4096" s="576"/>
      <c r="C4096" s="328"/>
      <c r="D4096" s="4023"/>
      <c r="E4096" s="4020"/>
      <c r="F4096" s="3016" t="str">
        <f t="shared" si="326"/>
        <v>ASHP-SEER17_ER2_MF_CompE</v>
      </c>
      <c r="G4096" s="2673"/>
      <c r="H4096" s="2673"/>
      <c r="I4096" s="2673"/>
      <c r="J4096" s="3302" t="str">
        <f t="shared" si="328"/>
        <v>354201_2019_12_</v>
      </c>
      <c r="K4096" s="1052"/>
      <c r="L4096" s="109"/>
      <c r="M4096" s="3066"/>
      <c r="N4096" s="1135"/>
      <c r="O4096" s="228"/>
      <c r="P4096" s="844"/>
      <c r="Q4096" s="844"/>
      <c r="R4096" s="844"/>
      <c r="S4096" s="832"/>
      <c r="T4096" s="3082"/>
      <c r="U4096" s="123"/>
      <c r="V4096" s="4031"/>
      <c r="W4096" s="3307"/>
      <c r="X4096" s="535"/>
      <c r="Y4096" s="535"/>
      <c r="Z4096" s="532"/>
      <c r="AA4096" s="532"/>
      <c r="AB4096" s="535"/>
      <c r="AC4096" s="1052"/>
      <c r="AD4096" s="793"/>
      <c r="AE4096" s="793"/>
      <c r="AF4096" s="793"/>
      <c r="AG4096" s="793"/>
      <c r="BB4096" s="575"/>
      <c r="BC4096" s="576"/>
      <c r="BD4096" s="678"/>
      <c r="BE4096" s="585"/>
    </row>
    <row r="4097" spans="1:57" s="51" customFormat="1" ht="15" hidden="1" customHeight="1" outlineLevel="1" x14ac:dyDescent="0.25">
      <c r="A4097" s="2060"/>
      <c r="B4097" s="576"/>
      <c r="C4097" s="328"/>
      <c r="D4097" s="4023"/>
      <c r="E4097" s="4020"/>
      <c r="F4097" s="3016" t="str">
        <f t="shared" si="326"/>
        <v>ASHP-SEER18-Replace_CAC_ElectricHeat_ER1_SF</v>
      </c>
      <c r="G4097" s="2673"/>
      <c r="H4097" s="2673"/>
      <c r="I4097" s="2673"/>
      <c r="J4097" s="3301" t="str">
        <f>C1645</f>
        <v>354250_2021_12_</v>
      </c>
      <c r="K4097" s="3294">
        <f>(($R$1820*L4097)+$R$1808)-(($Q$1820*L4097)/((1+$R$1822)^($R$1823-1)))</f>
        <v>1714.015989382433</v>
      </c>
      <c r="L4097" s="109">
        <f>VLOOKUP(J4097,$J$1801:$L$1987,3,FALSE)*M4097</f>
        <v>3.1434782608695655</v>
      </c>
      <c r="M4097" s="3066">
        <f>VLOOKUP(J4097,$J$3297:$K$3483,2,FALSE)</f>
        <v>1</v>
      </c>
      <c r="N4097" s="1135"/>
      <c r="O4097" s="228"/>
      <c r="P4097" s="844"/>
      <c r="Q4097" s="844"/>
      <c r="R4097" s="844"/>
      <c r="S4097" s="832"/>
      <c r="T4097" s="3082"/>
      <c r="U4097" s="123"/>
      <c r="V4097" s="4031"/>
      <c r="W4097" s="3307">
        <v>4279.6282279230445</v>
      </c>
      <c r="X4097" s="535">
        <f>(X$1920/12000)*$Q$1808*X$3416</f>
        <v>5207.1741594592304</v>
      </c>
      <c r="Y4097" s="535">
        <v>1586.0327049389366</v>
      </c>
      <c r="Z4097" s="532">
        <v>1586.0327049389366</v>
      </c>
      <c r="AA4097" s="532">
        <v>1586.0327049389366</v>
      </c>
      <c r="AB4097" s="535">
        <v>1778.604441180808</v>
      </c>
      <c r="AC4097" s="3294">
        <v>1714.015989382433</v>
      </c>
      <c r="AD4097" s="793"/>
      <c r="AE4097" s="793"/>
      <c r="AF4097" s="793"/>
      <c r="AG4097" s="793"/>
      <c r="AH4097" s="1942"/>
      <c r="AI4097" s="1942"/>
      <c r="AJ4097" s="1942"/>
      <c r="AK4097" s="1942"/>
      <c r="AL4097" s="1942"/>
      <c r="AM4097" s="1942"/>
      <c r="AN4097" s="1942"/>
      <c r="AO4097" s="1942"/>
      <c r="AP4097" s="1942"/>
      <c r="AQ4097" s="1942"/>
      <c r="AR4097" s="1942"/>
      <c r="AS4097" s="1942"/>
      <c r="AT4097" s="1942"/>
      <c r="AU4097" s="1942"/>
      <c r="AV4097" s="1942"/>
      <c r="AW4097" s="1942"/>
      <c r="AX4097" s="1942"/>
      <c r="AY4097" s="1942"/>
      <c r="AZ4097" s="1942"/>
      <c r="BA4097" s="1942"/>
      <c r="BB4097" s="575"/>
      <c r="BC4097" s="576"/>
      <c r="BD4097" s="678"/>
      <c r="BE4097" s="585"/>
    </row>
    <row r="4098" spans="1:57" s="51" customFormat="1" ht="15" hidden="1" customHeight="1" outlineLevel="1" x14ac:dyDescent="0.25">
      <c r="A4098" s="2060"/>
      <c r="B4098" s="576"/>
      <c r="C4098" s="328"/>
      <c r="D4098" s="4023"/>
      <c r="E4098" s="4020"/>
      <c r="F4098" s="3016" t="str">
        <f t="shared" si="326"/>
        <v>ASHP-SEER18-Replace_CAC_ElectricHeat_ER1_SF</v>
      </c>
      <c r="G4098" s="2673"/>
      <c r="H4098" s="2673"/>
      <c r="I4098" s="2673"/>
      <c r="J4098" s="3301" t="str">
        <f>C1646</f>
        <v>354250_2021_12_</v>
      </c>
      <c r="K4098" s="1052"/>
      <c r="L4098" s="109" t="str">
        <f>IF(K4098&gt;0,VLOOKUP(J4098,$J$1801:$L$1987,3,FALSE),"")</f>
        <v/>
      </c>
      <c r="M4098" s="3066" t="str">
        <f>IF(K4098&gt;0,VLOOKUP(J4098,$J$3297:$K$3483,2,FALSE),"")</f>
        <v/>
      </c>
      <c r="N4098" s="1135"/>
      <c r="O4098" s="228"/>
      <c r="P4098" s="844"/>
      <c r="Q4098" s="844"/>
      <c r="R4098" s="844"/>
      <c r="S4098" s="832"/>
      <c r="T4098" s="3082"/>
      <c r="U4098" s="123"/>
      <c r="V4098" s="4031"/>
      <c r="W4098" s="3307"/>
      <c r="X4098" s="535"/>
      <c r="Y4098" s="535"/>
      <c r="Z4098" s="532"/>
      <c r="AA4098" s="532"/>
      <c r="AB4098" s="535"/>
      <c r="AC4098" s="1052"/>
      <c r="AD4098" s="793"/>
      <c r="AE4098" s="793"/>
      <c r="AF4098" s="793"/>
      <c r="AG4098" s="793"/>
      <c r="AH4098" s="1942"/>
      <c r="AI4098" s="1942"/>
      <c r="AJ4098" s="1942"/>
      <c r="AK4098" s="1942"/>
      <c r="AL4098" s="1942"/>
      <c r="AM4098" s="1942"/>
      <c r="AN4098" s="1942"/>
      <c r="AO4098" s="1942"/>
      <c r="AP4098" s="1942"/>
      <c r="AQ4098" s="1942"/>
      <c r="AR4098" s="1942"/>
      <c r="AS4098" s="1942"/>
      <c r="AT4098" s="1942"/>
      <c r="AU4098" s="1942"/>
      <c r="AV4098" s="1942"/>
      <c r="AW4098" s="1942"/>
      <c r="AX4098" s="1942"/>
      <c r="AY4098" s="1942"/>
      <c r="AZ4098" s="1942"/>
      <c r="BA4098" s="1942"/>
      <c r="BB4098" s="575"/>
      <c r="BC4098" s="576"/>
      <c r="BD4098" s="678"/>
      <c r="BE4098" s="585"/>
    </row>
    <row r="4099" spans="1:57" s="51" customFormat="1" ht="15" hidden="1" customHeight="1" outlineLevel="1" x14ac:dyDescent="0.25">
      <c r="A4099" s="2060"/>
      <c r="B4099" s="576"/>
      <c r="C4099" s="328"/>
      <c r="D4099" s="4023"/>
      <c r="E4099" s="4020"/>
      <c r="F4099" s="3016" t="str">
        <f t="shared" si="326"/>
        <v>ASHP-SEER18-Replace_CAC_ElectricHeat_ER2_SF</v>
      </c>
      <c r="G4099" s="2673"/>
      <c r="H4099" s="2673"/>
      <c r="I4099" s="2673"/>
      <c r="J4099" s="3301" t="str">
        <f>C1647</f>
        <v>354250_2021_12_</v>
      </c>
      <c r="K4099" s="1052"/>
      <c r="L4099" s="109" t="str">
        <f>IF(K4099&gt;0,VLOOKUP(J4099,$J$1801:$L$1987,3,FALSE),"")</f>
        <v/>
      </c>
      <c r="M4099" s="3066" t="str">
        <f>IF(K4099&gt;0,VLOOKUP(J4099,$J$3297:$K$3483,2,FALSE),"")</f>
        <v/>
      </c>
      <c r="N4099" s="1135"/>
      <c r="O4099" s="228"/>
      <c r="P4099" s="844"/>
      <c r="Q4099" s="844"/>
      <c r="R4099" s="844"/>
      <c r="S4099" s="832"/>
      <c r="T4099" s="3082"/>
      <c r="U4099" s="123"/>
      <c r="V4099" s="4031"/>
      <c r="W4099" s="3307"/>
      <c r="X4099" s="535"/>
      <c r="Y4099" s="535"/>
      <c r="Z4099" s="532"/>
      <c r="AA4099" s="532"/>
      <c r="AB4099" s="535"/>
      <c r="AC4099" s="1052"/>
      <c r="AD4099" s="793"/>
      <c r="AE4099" s="793"/>
      <c r="AF4099" s="793"/>
      <c r="AG4099" s="793"/>
      <c r="AH4099" s="1942"/>
      <c r="AI4099" s="1942"/>
      <c r="AJ4099" s="1942"/>
      <c r="AK4099" s="1942"/>
      <c r="AL4099" s="1942"/>
      <c r="AM4099" s="1942"/>
      <c r="AN4099" s="1942"/>
      <c r="AO4099" s="1942"/>
      <c r="AP4099" s="1942"/>
      <c r="AQ4099" s="1942"/>
      <c r="AR4099" s="1942"/>
      <c r="AS4099" s="1942"/>
      <c r="AT4099" s="1942"/>
      <c r="AU4099" s="1942"/>
      <c r="AV4099" s="1942"/>
      <c r="AW4099" s="1942"/>
      <c r="AX4099" s="1942"/>
      <c r="AY4099" s="1942"/>
      <c r="AZ4099" s="1942"/>
      <c r="BA4099" s="1942"/>
      <c r="BB4099" s="575"/>
      <c r="BC4099" s="576"/>
      <c r="BD4099" s="678"/>
      <c r="BE4099" s="585"/>
    </row>
    <row r="4100" spans="1:57" s="51" customFormat="1" ht="15" hidden="1" customHeight="1" outlineLevel="1" x14ac:dyDescent="0.25">
      <c r="A4100" s="2060"/>
      <c r="B4100" s="576"/>
      <c r="C4100" s="328"/>
      <c r="D4100" s="4023"/>
      <c r="E4100" s="4020"/>
      <c r="F4100" s="3016" t="str">
        <f t="shared" si="326"/>
        <v>ASHP-SEER18-Replace_CAC_ElectricHeat_ER2_SF</v>
      </c>
      <c r="G4100" s="2673"/>
      <c r="H4100" s="2673"/>
      <c r="I4100" s="2673"/>
      <c r="J4100" s="3301" t="str">
        <f>C1648</f>
        <v>354250_2021_12_</v>
      </c>
      <c r="K4100" s="1052"/>
      <c r="L4100" s="109" t="str">
        <f>IF(K4100&gt;0,VLOOKUP(J4100,$J$1801:$L$1987,3,FALSE),"")</f>
        <v/>
      </c>
      <c r="M4100" s="3066" t="str">
        <f>IF(K4100&gt;0,VLOOKUP(J4100,$J$3297:$K$3483,2,FALSE),"")</f>
        <v/>
      </c>
      <c r="N4100" s="1135"/>
      <c r="O4100" s="228"/>
      <c r="P4100" s="844"/>
      <c r="Q4100" s="844"/>
      <c r="R4100" s="844"/>
      <c r="S4100" s="832"/>
      <c r="T4100" s="3082"/>
      <c r="U4100" s="123"/>
      <c r="V4100" s="4031"/>
      <c r="W4100" s="3307"/>
      <c r="X4100" s="535"/>
      <c r="Y4100" s="535"/>
      <c r="Z4100" s="532"/>
      <c r="AA4100" s="532"/>
      <c r="AB4100" s="535"/>
      <c r="AC4100" s="1052"/>
      <c r="AD4100" s="793"/>
      <c r="AE4100" s="793"/>
      <c r="AF4100" s="793"/>
      <c r="AG4100" s="793"/>
      <c r="AH4100" s="1942"/>
      <c r="AI4100" s="1942"/>
      <c r="AJ4100" s="1942"/>
      <c r="AK4100" s="1942"/>
      <c r="AL4100" s="1942"/>
      <c r="AM4100" s="1942"/>
      <c r="AN4100" s="1942"/>
      <c r="AO4100" s="1942"/>
      <c r="AP4100" s="1942"/>
      <c r="AQ4100" s="1942"/>
      <c r="AR4100" s="1942"/>
      <c r="AS4100" s="1942"/>
      <c r="AT4100" s="1942"/>
      <c r="AU4100" s="1942"/>
      <c r="AV4100" s="1942"/>
      <c r="AW4100" s="1942"/>
      <c r="AX4100" s="1942"/>
      <c r="AY4100" s="1942"/>
      <c r="AZ4100" s="1942"/>
      <c r="BA4100" s="1942"/>
      <c r="BB4100" s="575"/>
      <c r="BC4100" s="576"/>
      <c r="BD4100" s="678"/>
      <c r="BE4100" s="585"/>
    </row>
    <row r="4101" spans="1:57" s="1942" customFormat="1" ht="15" hidden="1" customHeight="1" outlineLevel="1" x14ac:dyDescent="0.25">
      <c r="A4101" s="2060"/>
      <c r="B4101" s="576"/>
      <c r="C4101" s="328"/>
      <c r="D4101" s="4023"/>
      <c r="E4101" s="4020"/>
      <c r="F4101" s="3016" t="str">
        <f t="shared" si="326"/>
        <v>ASHP-SEER18-Replace_CAC_NonElectricHeat_ER1_SF</v>
      </c>
      <c r="G4101" s="2673"/>
      <c r="H4101" s="2673"/>
      <c r="I4101" s="2673"/>
      <c r="J4101" s="3301" t="str">
        <f t="shared" ref="J4101:J4104" si="329">C1649</f>
        <v>354260_2021_12_</v>
      </c>
      <c r="K4101" s="3294">
        <f>(($R$1820*L4101)+$R$1808)-(($Q$1820*L4101)/((1+$R$1822)^($R$1823-1)))</f>
        <v>1714.015989382433</v>
      </c>
      <c r="L4101" s="112">
        <f>VLOOKUP(J4101,$J$1801:$L$1987,3,FALSE)*M4101</f>
        <v>3.1434782608695655</v>
      </c>
      <c r="M4101" s="3286">
        <f>VLOOKUP(J4101,$J$3297:$K$3483,2,FALSE)</f>
        <v>1</v>
      </c>
      <c r="N4101" s="1135"/>
      <c r="O4101" s="228"/>
      <c r="P4101" s="844"/>
      <c r="Q4101" s="844"/>
      <c r="R4101" s="844"/>
      <c r="S4101" s="832"/>
      <c r="T4101" s="3082"/>
      <c r="U4101" s="123"/>
      <c r="V4101" s="4031"/>
      <c r="W4101" s="3307"/>
      <c r="X4101" s="535"/>
      <c r="Y4101" s="535"/>
      <c r="Z4101" s="532"/>
      <c r="AA4101" s="532"/>
      <c r="AB4101" s="535"/>
      <c r="AC4101" s="3294">
        <v>1714.015989382433</v>
      </c>
      <c r="AD4101" s="793"/>
      <c r="AE4101" s="793"/>
      <c r="AF4101" s="793"/>
      <c r="AG4101" s="793"/>
      <c r="BB4101" s="575"/>
      <c r="BC4101" s="576"/>
      <c r="BD4101" s="678"/>
      <c r="BE4101" s="585"/>
    </row>
    <row r="4102" spans="1:57" s="1942" customFormat="1" ht="15" hidden="1" customHeight="1" outlineLevel="1" x14ac:dyDescent="0.25">
      <c r="A4102" s="2060"/>
      <c r="B4102" s="576"/>
      <c r="C4102" s="328"/>
      <c r="D4102" s="4023"/>
      <c r="E4102" s="4020"/>
      <c r="F4102" s="3016" t="str">
        <f t="shared" si="326"/>
        <v>ASHP-SEER18-Replace_CAC_NonElectricHeat_ER1_SF</v>
      </c>
      <c r="G4102" s="2673"/>
      <c r="H4102" s="2673"/>
      <c r="I4102" s="2673"/>
      <c r="J4102" s="3301" t="str">
        <f t="shared" si="329"/>
        <v>354260_2021_12_</v>
      </c>
      <c r="K4102" s="1052"/>
      <c r="L4102" s="109"/>
      <c r="M4102" s="3066"/>
      <c r="N4102" s="1135"/>
      <c r="O4102" s="228"/>
      <c r="P4102" s="844"/>
      <c r="Q4102" s="844"/>
      <c r="R4102" s="844"/>
      <c r="S4102" s="832"/>
      <c r="T4102" s="3082"/>
      <c r="U4102" s="123"/>
      <c r="V4102" s="4031"/>
      <c r="W4102" s="3307"/>
      <c r="X4102" s="535"/>
      <c r="Y4102" s="535"/>
      <c r="Z4102" s="532"/>
      <c r="AA4102" s="532"/>
      <c r="AB4102" s="535"/>
      <c r="AC4102" s="1052"/>
      <c r="AD4102" s="793"/>
      <c r="AE4102" s="793"/>
      <c r="AF4102" s="793"/>
      <c r="AG4102" s="793"/>
      <c r="BB4102" s="575"/>
      <c r="BC4102" s="576"/>
      <c r="BD4102" s="678"/>
      <c r="BE4102" s="585"/>
    </row>
    <row r="4103" spans="1:57" s="1942" customFormat="1" ht="15" hidden="1" customHeight="1" outlineLevel="1" x14ac:dyDescent="0.25">
      <c r="A4103" s="2060"/>
      <c r="B4103" s="576"/>
      <c r="C4103" s="328"/>
      <c r="D4103" s="4023"/>
      <c r="E4103" s="4020"/>
      <c r="F4103" s="3016" t="str">
        <f t="shared" si="326"/>
        <v>ASHP-SEER18-Replace_CAC_NonElectricHeat_ER2_SF</v>
      </c>
      <c r="G4103" s="2673"/>
      <c r="H4103" s="2673"/>
      <c r="I4103" s="2673"/>
      <c r="J4103" s="3301" t="str">
        <f t="shared" si="329"/>
        <v>354260_2021_12_</v>
      </c>
      <c r="K4103" s="1052"/>
      <c r="L4103" s="109"/>
      <c r="M4103" s="3066"/>
      <c r="N4103" s="1135"/>
      <c r="O4103" s="228"/>
      <c r="P4103" s="844"/>
      <c r="Q4103" s="844"/>
      <c r="R4103" s="844"/>
      <c r="S4103" s="832"/>
      <c r="T4103" s="3082"/>
      <c r="U4103" s="123"/>
      <c r="V4103" s="4031"/>
      <c r="W4103" s="3307"/>
      <c r="X4103" s="535"/>
      <c r="Y4103" s="535"/>
      <c r="Z4103" s="532"/>
      <c r="AA4103" s="532"/>
      <c r="AB4103" s="535"/>
      <c r="AC4103" s="1052"/>
      <c r="AD4103" s="793"/>
      <c r="AE4103" s="793"/>
      <c r="AF4103" s="793"/>
      <c r="AG4103" s="793"/>
      <c r="BB4103" s="575"/>
      <c r="BC4103" s="576"/>
      <c r="BD4103" s="678"/>
      <c r="BE4103" s="585"/>
    </row>
    <row r="4104" spans="1:57" s="1942" customFormat="1" ht="15" hidden="1" customHeight="1" outlineLevel="1" x14ac:dyDescent="0.25">
      <c r="A4104" s="2060"/>
      <c r="B4104" s="576"/>
      <c r="C4104" s="328"/>
      <c r="D4104" s="4023"/>
      <c r="E4104" s="4020"/>
      <c r="F4104" s="3016" t="str">
        <f t="shared" si="326"/>
        <v>ASHP-SEER18-Replace_CAC_NonElectricHeat_ER2_SF</v>
      </c>
      <c r="G4104" s="2673"/>
      <c r="H4104" s="2673"/>
      <c r="I4104" s="2673"/>
      <c r="J4104" s="3301" t="str">
        <f t="shared" si="329"/>
        <v>354260_2021_12_</v>
      </c>
      <c r="K4104" s="1052"/>
      <c r="L4104" s="109"/>
      <c r="M4104" s="3066"/>
      <c r="N4104" s="1135"/>
      <c r="O4104" s="228"/>
      <c r="P4104" s="844"/>
      <c r="Q4104" s="844"/>
      <c r="R4104" s="844"/>
      <c r="S4104" s="832"/>
      <c r="T4104" s="3082"/>
      <c r="U4104" s="123"/>
      <c r="V4104" s="4031"/>
      <c r="W4104" s="3307"/>
      <c r="X4104" s="535"/>
      <c r="Y4104" s="535"/>
      <c r="Z4104" s="532"/>
      <c r="AA4104" s="532"/>
      <c r="AB4104" s="535"/>
      <c r="AC4104" s="1052"/>
      <c r="AD4104" s="793"/>
      <c r="AE4104" s="793"/>
      <c r="AF4104" s="793"/>
      <c r="AG4104" s="793"/>
      <c r="BB4104" s="575"/>
      <c r="BC4104" s="576"/>
      <c r="BD4104" s="678"/>
      <c r="BE4104" s="585"/>
    </row>
    <row r="4105" spans="1:57" s="51" customFormat="1" ht="15" hidden="1" customHeight="1" outlineLevel="1" x14ac:dyDescent="0.25">
      <c r="A4105" s="2060"/>
      <c r="B4105" s="576"/>
      <c r="C4105" s="328"/>
      <c r="D4105" s="4023"/>
      <c r="E4105" s="4020"/>
      <c r="F4105" s="3016" t="str">
        <f t="shared" si="326"/>
        <v>ASHP-SEER18-Replace_CAC_ElectricHeat_ER1_MF</v>
      </c>
      <c r="G4105" s="2673"/>
      <c r="H4105" s="2673"/>
      <c r="I4105" s="2673"/>
      <c r="J4105" s="3301" t="str">
        <f>C1653</f>
        <v>354300_2021_12_</v>
      </c>
      <c r="K4105" s="3294">
        <f>(($R$1820*L4105)+$R$1808)-(($Q$1820*L4105)/((1+$R$1822)^($R$1823-1)))</f>
        <v>1195.8844199433067</v>
      </c>
      <c r="L4105" s="109">
        <f>VLOOKUP(J4105,$J$1801:$L$1987,3,FALSE)*M4105</f>
        <v>0.97500000000000009</v>
      </c>
      <c r="M4105" s="3066">
        <f>VLOOKUP(J4105,$J$3297:$K$3483,2,FALSE)</f>
        <v>0.65</v>
      </c>
      <c r="N4105" s="1135"/>
      <c r="O4105" s="228"/>
      <c r="P4105" s="844"/>
      <c r="Q4105" s="844"/>
      <c r="R4105" s="844"/>
      <c r="S4105" s="832"/>
      <c r="T4105" s="3082"/>
      <c r="U4105" s="123"/>
      <c r="V4105" s="4031"/>
      <c r="W4105" s="3307">
        <v>4279.6282279230445</v>
      </c>
      <c r="X4105" s="535">
        <f>(X$1924/12000)*$Q$1808*X$3420</f>
        <v>3384.6632036484998</v>
      </c>
      <c r="Y4105" s="535">
        <v>1280.5879248769756</v>
      </c>
      <c r="Z4105" s="532">
        <v>1280.5879248769756</v>
      </c>
      <c r="AA4105" s="532">
        <v>1280.5879248769756</v>
      </c>
      <c r="AB4105" s="535">
        <v>1584.1584531821509</v>
      </c>
      <c r="AC4105" s="3294">
        <v>1195.8844199433067</v>
      </c>
      <c r="AD4105" s="793"/>
      <c r="AE4105" s="793"/>
      <c r="AF4105" s="793"/>
      <c r="AG4105" s="793"/>
      <c r="AH4105" s="1942"/>
      <c r="AI4105" s="1942"/>
      <c r="AJ4105" s="1942"/>
      <c r="AK4105" s="1942"/>
      <c r="AL4105" s="1942"/>
      <c r="AM4105" s="1942"/>
      <c r="AN4105" s="1942"/>
      <c r="AO4105" s="1942"/>
      <c r="AP4105" s="1942"/>
      <c r="AQ4105" s="1942"/>
      <c r="AR4105" s="1942"/>
      <c r="AS4105" s="1942"/>
      <c r="AT4105" s="1942"/>
      <c r="AU4105" s="1942"/>
      <c r="AV4105" s="1942"/>
      <c r="AW4105" s="1942"/>
      <c r="AX4105" s="1942"/>
      <c r="AY4105" s="1942"/>
      <c r="AZ4105" s="1942"/>
      <c r="BA4105" s="1942"/>
      <c r="BB4105" s="575"/>
      <c r="BC4105" s="576"/>
      <c r="BD4105" s="678"/>
      <c r="BE4105" s="585"/>
    </row>
    <row r="4106" spans="1:57" s="51" customFormat="1" ht="15" hidden="1" customHeight="1" outlineLevel="1" x14ac:dyDescent="0.25">
      <c r="A4106" s="2060"/>
      <c r="B4106" s="576"/>
      <c r="C4106" s="328"/>
      <c r="D4106" s="4023"/>
      <c r="E4106" s="4020"/>
      <c r="F4106" s="3016" t="str">
        <f t="shared" si="326"/>
        <v>ASHP-SEER18-Replace_CAC_ElectricHeat_ER1_MF</v>
      </c>
      <c r="G4106" s="2673"/>
      <c r="H4106" s="2673"/>
      <c r="I4106" s="2673"/>
      <c r="J4106" s="3301" t="str">
        <f>C1654</f>
        <v>354300_2021_12_</v>
      </c>
      <c r="K4106" s="1052"/>
      <c r="L4106" s="109" t="str">
        <f>IF(K4106&gt;0,VLOOKUP(J4106,$J$1801:$L$1987,3,FALSE),"")</f>
        <v/>
      </c>
      <c r="M4106" s="3066" t="str">
        <f>IF(K4106&gt;0,VLOOKUP(J4106,$J$3297:$K$3483,2,FALSE),"")</f>
        <v/>
      </c>
      <c r="N4106" s="1135"/>
      <c r="O4106" s="228"/>
      <c r="P4106" s="844"/>
      <c r="Q4106" s="844"/>
      <c r="R4106" s="844"/>
      <c r="S4106" s="832"/>
      <c r="T4106" s="3082"/>
      <c r="U4106" s="123"/>
      <c r="V4106" s="4031"/>
      <c r="W4106" s="3307"/>
      <c r="X4106" s="535"/>
      <c r="Y4106" s="535"/>
      <c r="Z4106" s="532"/>
      <c r="AA4106" s="532"/>
      <c r="AB4106" s="535"/>
      <c r="AC4106" s="1052"/>
      <c r="AD4106" s="793"/>
      <c r="AE4106" s="793"/>
      <c r="AF4106" s="793"/>
      <c r="AG4106" s="793"/>
      <c r="AH4106" s="1942"/>
      <c r="AI4106" s="1942"/>
      <c r="AJ4106" s="1942"/>
      <c r="AK4106" s="1942"/>
      <c r="AL4106" s="1942"/>
      <c r="AM4106" s="1942"/>
      <c r="AN4106" s="1942"/>
      <c r="AO4106" s="1942"/>
      <c r="AP4106" s="1942"/>
      <c r="AQ4106" s="1942"/>
      <c r="AR4106" s="1942"/>
      <c r="AS4106" s="1942"/>
      <c r="AT4106" s="1942"/>
      <c r="AU4106" s="1942"/>
      <c r="AV4106" s="1942"/>
      <c r="AW4106" s="1942"/>
      <c r="AX4106" s="1942"/>
      <c r="AY4106" s="1942"/>
      <c r="AZ4106" s="1942"/>
      <c r="BA4106" s="1942"/>
      <c r="BB4106" s="575"/>
      <c r="BC4106" s="576"/>
      <c r="BD4106" s="678"/>
      <c r="BE4106" s="585"/>
    </row>
    <row r="4107" spans="1:57" s="51" customFormat="1" ht="15" hidden="1" customHeight="1" outlineLevel="1" x14ac:dyDescent="0.25">
      <c r="A4107" s="2060"/>
      <c r="B4107" s="576"/>
      <c r="C4107" s="328"/>
      <c r="D4107" s="4023"/>
      <c r="E4107" s="4020"/>
      <c r="F4107" s="3016" t="str">
        <f t="shared" si="326"/>
        <v>ASHP-SEER18-Replace_CAC_ElectricHeat_ER2_MF</v>
      </c>
      <c r="G4107" s="2673"/>
      <c r="H4107" s="2673"/>
      <c r="I4107" s="2673"/>
      <c r="J4107" s="3301" t="str">
        <f>C1655</f>
        <v>354300_2021_12_</v>
      </c>
      <c r="K4107" s="1052"/>
      <c r="L4107" s="109" t="str">
        <f>IF(K4107&gt;0,VLOOKUP(J4107,$J$1801:$L$1987,3,FALSE),"")</f>
        <v/>
      </c>
      <c r="M4107" s="3066" t="str">
        <f>IF(K4107&gt;0,VLOOKUP(J4107,$J$3297:$K$3483,2,FALSE),"")</f>
        <v/>
      </c>
      <c r="N4107" s="1135"/>
      <c r="O4107" s="228"/>
      <c r="P4107" s="844"/>
      <c r="Q4107" s="844"/>
      <c r="R4107" s="844"/>
      <c r="S4107" s="832"/>
      <c r="T4107" s="3082"/>
      <c r="U4107" s="123"/>
      <c r="V4107" s="4031"/>
      <c r="W4107" s="3307"/>
      <c r="X4107" s="535"/>
      <c r="Y4107" s="535"/>
      <c r="Z4107" s="532"/>
      <c r="AA4107" s="532"/>
      <c r="AB4107" s="535"/>
      <c r="AC4107" s="1052"/>
      <c r="AD4107" s="793"/>
      <c r="AE4107" s="793"/>
      <c r="AF4107" s="793"/>
      <c r="AG4107" s="793"/>
      <c r="AH4107" s="1942"/>
      <c r="AI4107" s="1942"/>
      <c r="AJ4107" s="1942"/>
      <c r="AK4107" s="1942"/>
      <c r="AL4107" s="1942"/>
      <c r="AM4107" s="1942"/>
      <c r="AN4107" s="1942"/>
      <c r="AO4107" s="1942"/>
      <c r="AP4107" s="1942"/>
      <c r="AQ4107" s="1942"/>
      <c r="AR4107" s="1942"/>
      <c r="AS4107" s="1942"/>
      <c r="AT4107" s="1942"/>
      <c r="AU4107" s="1942"/>
      <c r="AV4107" s="1942"/>
      <c r="AW4107" s="1942"/>
      <c r="AX4107" s="1942"/>
      <c r="AY4107" s="1942"/>
      <c r="AZ4107" s="1942"/>
      <c r="BA4107" s="1942"/>
      <c r="BB4107" s="575"/>
      <c r="BC4107" s="576"/>
      <c r="BD4107" s="678"/>
      <c r="BE4107" s="585"/>
    </row>
    <row r="4108" spans="1:57" s="51" customFormat="1" ht="15" hidden="1" customHeight="1" outlineLevel="1" x14ac:dyDescent="0.25">
      <c r="A4108" s="2060"/>
      <c r="B4108" s="576"/>
      <c r="C4108" s="328"/>
      <c r="D4108" s="4023"/>
      <c r="E4108" s="4020"/>
      <c r="F4108" s="3016" t="str">
        <f t="shared" si="326"/>
        <v>ASHP-SEER18-Replace_CAC_ElectricHeat_ER2_MF</v>
      </c>
      <c r="G4108" s="2673"/>
      <c r="H4108" s="2673"/>
      <c r="I4108" s="2673"/>
      <c r="J4108" s="3301" t="str">
        <f>C1656</f>
        <v>354300_2021_12_</v>
      </c>
      <c r="K4108" s="1052"/>
      <c r="L4108" s="109" t="str">
        <f>IF(K4108&gt;0,VLOOKUP(J4108,$J$1801:$L$1987,3,FALSE),"")</f>
        <v/>
      </c>
      <c r="M4108" s="3066" t="str">
        <f>IF(K4108&gt;0,VLOOKUP(J4108,$J$3297:$K$3483,2,FALSE),"")</f>
        <v/>
      </c>
      <c r="N4108" s="1135"/>
      <c r="O4108" s="228"/>
      <c r="P4108" s="844"/>
      <c r="Q4108" s="845"/>
      <c r="R4108" s="844"/>
      <c r="S4108" s="832"/>
      <c r="T4108" s="3082"/>
      <c r="U4108" s="123"/>
      <c r="V4108" s="4031"/>
      <c r="W4108" s="3307"/>
      <c r="X4108" s="535"/>
      <c r="Y4108" s="535"/>
      <c r="Z4108" s="532"/>
      <c r="AA4108" s="532"/>
      <c r="AB4108" s="535"/>
      <c r="AC4108" s="1052"/>
      <c r="AD4108" s="793"/>
      <c r="AE4108" s="793"/>
      <c r="AF4108" s="793"/>
      <c r="AG4108" s="793"/>
      <c r="AH4108" s="1942"/>
      <c r="AI4108" s="1942"/>
      <c r="AJ4108" s="1942"/>
      <c r="AK4108" s="1942"/>
      <c r="AL4108" s="1942"/>
      <c r="AM4108" s="1942"/>
      <c r="AN4108" s="1942"/>
      <c r="AO4108" s="1942"/>
      <c r="AP4108" s="1942"/>
      <c r="AQ4108" s="1942"/>
      <c r="AR4108" s="1942"/>
      <c r="AS4108" s="1942"/>
      <c r="AT4108" s="1942"/>
      <c r="AU4108" s="1942"/>
      <c r="AV4108" s="1942"/>
      <c r="AW4108" s="1942"/>
      <c r="AX4108" s="1942"/>
      <c r="AY4108" s="1942"/>
      <c r="AZ4108" s="1942"/>
      <c r="BA4108" s="1942"/>
      <c r="BB4108" s="575"/>
      <c r="BC4108" s="576"/>
      <c r="BD4108" s="678"/>
      <c r="BE4108" s="585"/>
    </row>
    <row r="4109" spans="1:57" s="1942" customFormat="1" ht="15" hidden="1" customHeight="1" outlineLevel="1" x14ac:dyDescent="0.25">
      <c r="A4109" s="2060"/>
      <c r="B4109" s="576"/>
      <c r="C4109" s="328"/>
      <c r="D4109" s="4023"/>
      <c r="E4109" s="4020"/>
      <c r="F4109" s="3016" t="str">
        <f t="shared" si="326"/>
        <v>ASHP-SEER18-Replace_CAC_ElectricHeat_ER1_MF_CompE</v>
      </c>
      <c r="G4109" s="2673"/>
      <c r="H4109" s="2673"/>
      <c r="I4109" s="2673"/>
      <c r="J4109" s="3301" t="str">
        <f t="shared" ref="J4109:J4120" si="330">C1657</f>
        <v>354301_2021_12_</v>
      </c>
      <c r="K4109" s="3294">
        <f>(($R$1820*L4109)+$R$1808)-(($Q$1820*L4109)/((1+$R$1822)^($R$1823-1)))</f>
        <v>1195.8844199433067</v>
      </c>
      <c r="L4109" s="109">
        <f>VLOOKUP(J4109,$J$1801:$L$1987,3,FALSE)*M4109</f>
        <v>0.97500000000000009</v>
      </c>
      <c r="M4109" s="3286">
        <f>VLOOKUP(J4109,$J$3297:$K$3483,2,FALSE)</f>
        <v>0.65</v>
      </c>
      <c r="N4109" s="1135"/>
      <c r="O4109" s="228"/>
      <c r="P4109" s="844"/>
      <c r="Q4109" s="845"/>
      <c r="R4109" s="844"/>
      <c r="S4109" s="832"/>
      <c r="T4109" s="3082"/>
      <c r="U4109" s="123"/>
      <c r="V4109" s="4031"/>
      <c r="W4109" s="3307"/>
      <c r="X4109" s="535"/>
      <c r="Y4109" s="535"/>
      <c r="Z4109" s="532"/>
      <c r="AA4109" s="532"/>
      <c r="AB4109" s="535"/>
      <c r="AC4109" s="3294">
        <v>1195.8844199433067</v>
      </c>
      <c r="AD4109" s="793"/>
      <c r="AE4109" s="793"/>
      <c r="AF4109" s="793"/>
      <c r="AG4109" s="793"/>
      <c r="BB4109" s="575"/>
      <c r="BC4109" s="576"/>
      <c r="BD4109" s="678"/>
      <c r="BE4109" s="585"/>
    </row>
    <row r="4110" spans="1:57" s="1942" customFormat="1" ht="15" hidden="1" customHeight="1" outlineLevel="1" x14ac:dyDescent="0.25">
      <c r="A4110" s="2060"/>
      <c r="B4110" s="576"/>
      <c r="C4110" s="328"/>
      <c r="D4110" s="4023"/>
      <c r="E4110" s="4020"/>
      <c r="F4110" s="3016" t="str">
        <f t="shared" si="326"/>
        <v>ASHP-SEER18-Replace_CAC_ElectricHeat_ER1_MF_CompE</v>
      </c>
      <c r="G4110" s="2673"/>
      <c r="H4110" s="2673"/>
      <c r="I4110" s="2673"/>
      <c r="J4110" s="3301" t="str">
        <f t="shared" si="330"/>
        <v>354301_2021_12_</v>
      </c>
      <c r="K4110" s="1052"/>
      <c r="L4110" s="109"/>
      <c r="M4110" s="3066"/>
      <c r="N4110" s="1135"/>
      <c r="O4110" s="228"/>
      <c r="P4110" s="844"/>
      <c r="Q4110" s="845"/>
      <c r="R4110" s="844"/>
      <c r="S4110" s="832"/>
      <c r="T4110" s="3082"/>
      <c r="U4110" s="123"/>
      <c r="V4110" s="4031"/>
      <c r="W4110" s="3307"/>
      <c r="X4110" s="535"/>
      <c r="Y4110" s="535"/>
      <c r="Z4110" s="532"/>
      <c r="AA4110" s="532"/>
      <c r="AB4110" s="535"/>
      <c r="AC4110" s="1052"/>
      <c r="AD4110" s="793"/>
      <c r="AE4110" s="793"/>
      <c r="AF4110" s="793"/>
      <c r="AG4110" s="793"/>
      <c r="BB4110" s="575"/>
      <c r="BC4110" s="576"/>
      <c r="BD4110" s="678"/>
      <c r="BE4110" s="585"/>
    </row>
    <row r="4111" spans="1:57" s="1942" customFormat="1" ht="15" hidden="1" customHeight="1" outlineLevel="1" x14ac:dyDescent="0.25">
      <c r="A4111" s="2060"/>
      <c r="B4111" s="576"/>
      <c r="C4111" s="328"/>
      <c r="D4111" s="4023"/>
      <c r="E4111" s="4020"/>
      <c r="F4111" s="3016" t="str">
        <f t="shared" si="326"/>
        <v>ASHP-SEER18-Replace_CAC_ElectricHeat_ER2_MF_CompE</v>
      </c>
      <c r="G4111" s="2673"/>
      <c r="H4111" s="2673"/>
      <c r="I4111" s="2673"/>
      <c r="J4111" s="3301" t="str">
        <f t="shared" si="330"/>
        <v>354301_2021_12_</v>
      </c>
      <c r="K4111" s="1052"/>
      <c r="L4111" s="109"/>
      <c r="M4111" s="3066"/>
      <c r="N4111" s="1135"/>
      <c r="O4111" s="228"/>
      <c r="P4111" s="844"/>
      <c r="Q4111" s="845"/>
      <c r="R4111" s="844"/>
      <c r="S4111" s="832"/>
      <c r="T4111" s="3082"/>
      <c r="U4111" s="123"/>
      <c r="V4111" s="4031"/>
      <c r="W4111" s="3307"/>
      <c r="X4111" s="535"/>
      <c r="Y4111" s="535"/>
      <c r="Z4111" s="532"/>
      <c r="AA4111" s="532"/>
      <c r="AB4111" s="535"/>
      <c r="AC4111" s="1052"/>
      <c r="AD4111" s="793"/>
      <c r="AE4111" s="793"/>
      <c r="AF4111" s="793"/>
      <c r="AG4111" s="793"/>
      <c r="BB4111" s="575"/>
      <c r="BC4111" s="576"/>
      <c r="BD4111" s="678"/>
      <c r="BE4111" s="585"/>
    </row>
    <row r="4112" spans="1:57" s="1942" customFormat="1" ht="15" hidden="1" customHeight="1" outlineLevel="1" x14ac:dyDescent="0.25">
      <c r="A4112" s="2060"/>
      <c r="B4112" s="576"/>
      <c r="C4112" s="328"/>
      <c r="D4112" s="4023"/>
      <c r="E4112" s="4020"/>
      <c r="F4112" s="3016" t="str">
        <f t="shared" si="326"/>
        <v>ASHP-SEER18-Replace_CAC_ElectricHeat_ER2_MF_CompE</v>
      </c>
      <c r="G4112" s="2673"/>
      <c r="H4112" s="2673"/>
      <c r="I4112" s="2673"/>
      <c r="J4112" s="3301" t="str">
        <f t="shared" si="330"/>
        <v>354301_2021_12_</v>
      </c>
      <c r="K4112" s="1052"/>
      <c r="L4112" s="109"/>
      <c r="M4112" s="3066"/>
      <c r="N4112" s="1135"/>
      <c r="O4112" s="228"/>
      <c r="P4112" s="844"/>
      <c r="Q4112" s="845"/>
      <c r="R4112" s="844"/>
      <c r="S4112" s="832"/>
      <c r="T4112" s="3082"/>
      <c r="U4112" s="123"/>
      <c r="V4112" s="4031"/>
      <c r="W4112" s="3307"/>
      <c r="X4112" s="535"/>
      <c r="Y4112" s="535"/>
      <c r="Z4112" s="532"/>
      <c r="AA4112" s="532"/>
      <c r="AB4112" s="535"/>
      <c r="AC4112" s="1052"/>
      <c r="AD4112" s="793"/>
      <c r="AE4112" s="793"/>
      <c r="AF4112" s="793"/>
      <c r="AG4112" s="793"/>
      <c r="BB4112" s="575"/>
      <c r="BC4112" s="576"/>
      <c r="BD4112" s="678"/>
      <c r="BE4112" s="585"/>
    </row>
    <row r="4113" spans="1:57" s="1942" customFormat="1" ht="15" hidden="1" customHeight="1" outlineLevel="1" x14ac:dyDescent="0.25">
      <c r="A4113" s="2060"/>
      <c r="B4113" s="576"/>
      <c r="C4113" s="328"/>
      <c r="D4113" s="4023"/>
      <c r="E4113" s="4020"/>
      <c r="F4113" s="3016" t="str">
        <f t="shared" si="326"/>
        <v>ASHP-SEER18-Replace_CAC_NonElectricHeat_ER1_MF</v>
      </c>
      <c r="G4113" s="2673"/>
      <c r="H4113" s="2673"/>
      <c r="I4113" s="2673"/>
      <c r="J4113" s="3301" t="str">
        <f t="shared" si="330"/>
        <v>354310_2021_12_</v>
      </c>
      <c r="K4113" s="3294">
        <f>(($R$1820*L4113)+$R$1808)-(($Q$1820*L4113)/((1+$R$1822)^($R$1823-1)))</f>
        <v>1195.8844199433067</v>
      </c>
      <c r="L4113" s="112">
        <f>VLOOKUP(J4113,$J$1801:$L$1987,3,FALSE)*M4113</f>
        <v>0.97500000000000009</v>
      </c>
      <c r="M4113" s="3286">
        <f>VLOOKUP(J4113,$J$3297:$K$3483,2,FALSE)</f>
        <v>0.65</v>
      </c>
      <c r="N4113" s="1135"/>
      <c r="O4113" s="228"/>
      <c r="P4113" s="844"/>
      <c r="Q4113" s="845"/>
      <c r="R4113" s="844"/>
      <c r="S4113" s="832"/>
      <c r="T4113" s="3082"/>
      <c r="U4113" s="123"/>
      <c r="V4113" s="4031"/>
      <c r="W4113" s="3307"/>
      <c r="X4113" s="535"/>
      <c r="Y4113" s="535"/>
      <c r="Z4113" s="532"/>
      <c r="AA4113" s="532"/>
      <c r="AB4113" s="535"/>
      <c r="AC4113" s="3294">
        <v>1195.8844199433067</v>
      </c>
      <c r="AD4113" s="793"/>
      <c r="AE4113" s="793"/>
      <c r="AF4113" s="793"/>
      <c r="AG4113" s="793"/>
      <c r="BB4113" s="575"/>
      <c r="BC4113" s="576"/>
      <c r="BD4113" s="678"/>
      <c r="BE4113" s="585"/>
    </row>
    <row r="4114" spans="1:57" s="1942" customFormat="1" ht="15" hidden="1" customHeight="1" outlineLevel="1" x14ac:dyDescent="0.25">
      <c r="A4114" s="2060"/>
      <c r="B4114" s="576"/>
      <c r="C4114" s="328"/>
      <c r="D4114" s="4023"/>
      <c r="E4114" s="4020"/>
      <c r="F4114" s="3016" t="str">
        <f t="shared" si="326"/>
        <v>ASHP-SEER18-Replace_CAC_NonElectricHeat_ER1_MF</v>
      </c>
      <c r="G4114" s="2673"/>
      <c r="H4114" s="2673"/>
      <c r="I4114" s="2673"/>
      <c r="J4114" s="3301" t="str">
        <f t="shared" si="330"/>
        <v>354310_2021_12_</v>
      </c>
      <c r="K4114" s="1052"/>
      <c r="L4114" s="109"/>
      <c r="M4114" s="3066"/>
      <c r="N4114" s="1135"/>
      <c r="O4114" s="228"/>
      <c r="P4114" s="844"/>
      <c r="Q4114" s="845"/>
      <c r="R4114" s="844"/>
      <c r="S4114" s="832"/>
      <c r="T4114" s="3082"/>
      <c r="U4114" s="123"/>
      <c r="V4114" s="4031"/>
      <c r="W4114" s="3307"/>
      <c r="X4114" s="535"/>
      <c r="Y4114" s="535"/>
      <c r="Z4114" s="532"/>
      <c r="AA4114" s="532"/>
      <c r="AB4114" s="535"/>
      <c r="AC4114" s="1052"/>
      <c r="AD4114" s="793"/>
      <c r="AE4114" s="793"/>
      <c r="AF4114" s="793"/>
      <c r="AG4114" s="793"/>
      <c r="BB4114" s="575"/>
      <c r="BC4114" s="576"/>
      <c r="BD4114" s="678"/>
      <c r="BE4114" s="585"/>
    </row>
    <row r="4115" spans="1:57" s="1942" customFormat="1" ht="15" hidden="1" customHeight="1" outlineLevel="1" x14ac:dyDescent="0.25">
      <c r="A4115" s="2060"/>
      <c r="B4115" s="576"/>
      <c r="C4115" s="328"/>
      <c r="D4115" s="4023"/>
      <c r="E4115" s="4020"/>
      <c r="F4115" s="3016" t="str">
        <f t="shared" si="326"/>
        <v>ASHP-SEER18-Replace_CAC_NonElectricHeat_ER2_MF</v>
      </c>
      <c r="G4115" s="2673"/>
      <c r="H4115" s="2673"/>
      <c r="I4115" s="2673"/>
      <c r="J4115" s="3301" t="str">
        <f t="shared" si="330"/>
        <v>354310_2021_12_</v>
      </c>
      <c r="K4115" s="1052"/>
      <c r="L4115" s="109"/>
      <c r="M4115" s="3066"/>
      <c r="N4115" s="1135"/>
      <c r="O4115" s="228"/>
      <c r="P4115" s="844"/>
      <c r="Q4115" s="845"/>
      <c r="R4115" s="844"/>
      <c r="S4115" s="832"/>
      <c r="T4115" s="3082"/>
      <c r="U4115" s="123"/>
      <c r="V4115" s="4031"/>
      <c r="W4115" s="3307"/>
      <c r="X4115" s="535"/>
      <c r="Y4115" s="535"/>
      <c r="Z4115" s="532"/>
      <c r="AA4115" s="532"/>
      <c r="AB4115" s="535"/>
      <c r="AC4115" s="1052"/>
      <c r="AD4115" s="793"/>
      <c r="AE4115" s="793"/>
      <c r="AF4115" s="793"/>
      <c r="AG4115" s="793"/>
      <c r="BB4115" s="575"/>
      <c r="BC4115" s="576"/>
      <c r="BD4115" s="678"/>
      <c r="BE4115" s="585"/>
    </row>
    <row r="4116" spans="1:57" s="1942" customFormat="1" ht="15" hidden="1" customHeight="1" outlineLevel="1" x14ac:dyDescent="0.25">
      <c r="A4116" s="2060"/>
      <c r="B4116" s="576"/>
      <c r="C4116" s="328"/>
      <c r="D4116" s="4023"/>
      <c r="E4116" s="4020"/>
      <c r="F4116" s="3016" t="str">
        <f t="shared" si="326"/>
        <v>ASHP-SEER18-Replace_CAC_NonElectricHeat_ER2_MF</v>
      </c>
      <c r="G4116" s="2673"/>
      <c r="H4116" s="2673"/>
      <c r="I4116" s="2673"/>
      <c r="J4116" s="3301" t="str">
        <f t="shared" si="330"/>
        <v>354310_2021_12_</v>
      </c>
      <c r="K4116" s="1052"/>
      <c r="L4116" s="109"/>
      <c r="M4116" s="3066"/>
      <c r="N4116" s="1135"/>
      <c r="O4116" s="228"/>
      <c r="P4116" s="844"/>
      <c r="Q4116" s="845"/>
      <c r="R4116" s="844"/>
      <c r="S4116" s="832"/>
      <c r="T4116" s="3082"/>
      <c r="U4116" s="123"/>
      <c r="V4116" s="4031"/>
      <c r="W4116" s="3307"/>
      <c r="X4116" s="535"/>
      <c r="Y4116" s="535"/>
      <c r="Z4116" s="532"/>
      <c r="AA4116" s="532"/>
      <c r="AB4116" s="535"/>
      <c r="AC4116" s="1052"/>
      <c r="AD4116" s="793"/>
      <c r="AE4116" s="793"/>
      <c r="AF4116" s="793"/>
      <c r="AG4116" s="793"/>
      <c r="BB4116" s="575"/>
      <c r="BC4116" s="576"/>
      <c r="BD4116" s="678"/>
      <c r="BE4116" s="585"/>
    </row>
    <row r="4117" spans="1:57" s="1942" customFormat="1" ht="15" hidden="1" customHeight="1" outlineLevel="1" x14ac:dyDescent="0.25">
      <c r="A4117" s="2060"/>
      <c r="B4117" s="576"/>
      <c r="C4117" s="328"/>
      <c r="D4117" s="4023"/>
      <c r="E4117" s="4020"/>
      <c r="F4117" s="3016" t="str">
        <f t="shared" si="326"/>
        <v>ASHP-SEER18-Replace_CAC_NonElectricHeat_ER1_MF_CompE</v>
      </c>
      <c r="G4117" s="2673"/>
      <c r="H4117" s="2673"/>
      <c r="I4117" s="2673"/>
      <c r="J4117" s="3301" t="str">
        <f t="shared" si="330"/>
        <v>354311_2021_12_</v>
      </c>
      <c r="K4117" s="3294">
        <f>(($R$1820*L4117)+$R$1808)-(($Q$1820*L4117)/((1+$R$1822)^($R$1823-1)))</f>
        <v>1195.8844199433067</v>
      </c>
      <c r="L4117" s="112">
        <f>VLOOKUP(J4117,$J$1801:$L$1987,3,FALSE)*M4117</f>
        <v>0.97500000000000009</v>
      </c>
      <c r="M4117" s="3286">
        <f>VLOOKUP(J4117,$J$3297:$K$3483,2,FALSE)</f>
        <v>0.65</v>
      </c>
      <c r="N4117" s="1135"/>
      <c r="O4117" s="228"/>
      <c r="P4117" s="844"/>
      <c r="Q4117" s="845"/>
      <c r="R4117" s="844"/>
      <c r="S4117" s="832"/>
      <c r="T4117" s="3082"/>
      <c r="U4117" s="123"/>
      <c r="V4117" s="4031"/>
      <c r="W4117" s="3307"/>
      <c r="X4117" s="535"/>
      <c r="Y4117" s="535"/>
      <c r="Z4117" s="532"/>
      <c r="AA4117" s="532"/>
      <c r="AB4117" s="535"/>
      <c r="AC4117" s="3294">
        <v>1195.8844199433067</v>
      </c>
      <c r="AD4117" s="793"/>
      <c r="AE4117" s="793"/>
      <c r="AF4117" s="793"/>
      <c r="AG4117" s="793"/>
      <c r="BB4117" s="575"/>
      <c r="BC4117" s="576"/>
      <c r="BD4117" s="678"/>
      <c r="BE4117" s="585"/>
    </row>
    <row r="4118" spans="1:57" s="1942" customFormat="1" ht="15" hidden="1" customHeight="1" outlineLevel="1" x14ac:dyDescent="0.25">
      <c r="A4118" s="2060"/>
      <c r="B4118" s="576"/>
      <c r="C4118" s="328"/>
      <c r="D4118" s="4023"/>
      <c r="E4118" s="4020"/>
      <c r="F4118" s="3016" t="str">
        <f t="shared" si="326"/>
        <v>ASHP-SEER18-Replace_CAC_NonElectricHeat_ER1_MF_CompE</v>
      </c>
      <c r="G4118" s="2673"/>
      <c r="H4118" s="2673"/>
      <c r="I4118" s="2673"/>
      <c r="J4118" s="3301" t="str">
        <f t="shared" si="330"/>
        <v>354311_2021_12_</v>
      </c>
      <c r="K4118" s="1052"/>
      <c r="L4118" s="109"/>
      <c r="M4118" s="3066"/>
      <c r="N4118" s="1135"/>
      <c r="O4118" s="228"/>
      <c r="P4118" s="844"/>
      <c r="Q4118" s="845"/>
      <c r="R4118" s="844"/>
      <c r="S4118" s="832"/>
      <c r="T4118" s="3082"/>
      <c r="U4118" s="123"/>
      <c r="V4118" s="4031"/>
      <c r="W4118" s="3307"/>
      <c r="X4118" s="535"/>
      <c r="Y4118" s="535"/>
      <c r="Z4118" s="532"/>
      <c r="AA4118" s="532"/>
      <c r="AB4118" s="535"/>
      <c r="AC4118" s="1052"/>
      <c r="AD4118" s="793"/>
      <c r="AE4118" s="793"/>
      <c r="AF4118" s="793"/>
      <c r="AG4118" s="793"/>
      <c r="BB4118" s="575"/>
      <c r="BC4118" s="576"/>
      <c r="BD4118" s="678"/>
      <c r="BE4118" s="585"/>
    </row>
    <row r="4119" spans="1:57" s="1942" customFormat="1" ht="15" hidden="1" customHeight="1" outlineLevel="1" x14ac:dyDescent="0.25">
      <c r="A4119" s="2060"/>
      <c r="B4119" s="576"/>
      <c r="C4119" s="328"/>
      <c r="D4119" s="4023"/>
      <c r="E4119" s="4020"/>
      <c r="F4119" s="3016" t="str">
        <f t="shared" ref="F4119:F4182" si="331">E1667</f>
        <v>ASHP-SEER18-Replace_CAC_NonElectricHeat_ER2_MF_CompE</v>
      </c>
      <c r="G4119" s="2673"/>
      <c r="H4119" s="2673"/>
      <c r="I4119" s="2673"/>
      <c r="J4119" s="3301" t="str">
        <f t="shared" si="330"/>
        <v>354311_2021_12_</v>
      </c>
      <c r="K4119" s="1052"/>
      <c r="L4119" s="109"/>
      <c r="M4119" s="3066"/>
      <c r="N4119" s="1135"/>
      <c r="O4119" s="228"/>
      <c r="P4119" s="844"/>
      <c r="Q4119" s="845"/>
      <c r="R4119" s="844"/>
      <c r="S4119" s="832"/>
      <c r="T4119" s="3082"/>
      <c r="U4119" s="123"/>
      <c r="V4119" s="4031"/>
      <c r="W4119" s="3307"/>
      <c r="X4119" s="535"/>
      <c r="Y4119" s="535"/>
      <c r="Z4119" s="532"/>
      <c r="AA4119" s="532"/>
      <c r="AB4119" s="535"/>
      <c r="AC4119" s="1052"/>
      <c r="AD4119" s="793"/>
      <c r="AE4119" s="793"/>
      <c r="AF4119" s="793"/>
      <c r="AG4119" s="793"/>
      <c r="BB4119" s="575"/>
      <c r="BC4119" s="576"/>
      <c r="BD4119" s="678"/>
      <c r="BE4119" s="585"/>
    </row>
    <row r="4120" spans="1:57" s="1942" customFormat="1" ht="15" hidden="1" customHeight="1" outlineLevel="1" x14ac:dyDescent="0.25">
      <c r="A4120" s="2060"/>
      <c r="B4120" s="576"/>
      <c r="C4120" s="328"/>
      <c r="D4120" s="4023"/>
      <c r="E4120" s="4020"/>
      <c r="F4120" s="3016" t="str">
        <f t="shared" si="331"/>
        <v>ASHP-SEER18-Replace_CAC_NonElectricHeat_ER2_MF_CompE</v>
      </c>
      <c r="G4120" s="2673"/>
      <c r="H4120" s="2673"/>
      <c r="I4120" s="2673"/>
      <c r="J4120" s="3301" t="str">
        <f t="shared" si="330"/>
        <v>354311_2021_12_</v>
      </c>
      <c r="K4120" s="1052"/>
      <c r="L4120" s="109"/>
      <c r="M4120" s="3066"/>
      <c r="N4120" s="1135"/>
      <c r="O4120" s="228"/>
      <c r="P4120" s="844"/>
      <c r="Q4120" s="845"/>
      <c r="R4120" s="844"/>
      <c r="S4120" s="832"/>
      <c r="T4120" s="3082"/>
      <c r="U4120" s="123"/>
      <c r="V4120" s="4031"/>
      <c r="W4120" s="3307"/>
      <c r="X4120" s="535"/>
      <c r="Y4120" s="535"/>
      <c r="Z4120" s="532"/>
      <c r="AA4120" s="532"/>
      <c r="AB4120" s="535"/>
      <c r="AC4120" s="1052"/>
      <c r="AD4120" s="793"/>
      <c r="AE4120" s="793"/>
      <c r="AF4120" s="793"/>
      <c r="AG4120" s="793"/>
      <c r="BB4120" s="575"/>
      <c r="BC4120" s="576"/>
      <c r="BD4120" s="678"/>
      <c r="BE4120" s="585"/>
    </row>
    <row r="4121" spans="1:57" s="51" customFormat="1" ht="15" hidden="1" customHeight="1" outlineLevel="1" x14ac:dyDescent="0.25">
      <c r="A4121" s="2060"/>
      <c r="B4121" s="576"/>
      <c r="C4121" s="328"/>
      <c r="D4121" s="4023"/>
      <c r="E4121" s="4020"/>
      <c r="F4121" s="3016" t="str">
        <f t="shared" si="331"/>
        <v>ASHP-SEER18_ER1_MF</v>
      </c>
      <c r="G4121" s="2673"/>
      <c r="H4121" s="2673"/>
      <c r="I4121" s="2673"/>
      <c r="J4121" s="3301" t="str">
        <f>C1669</f>
        <v>354350_2021_12_</v>
      </c>
      <c r="K4121" s="3294">
        <f>(($R$1820*L4121)+$R$1808)-(($Q$1820*L4121)/((1+$R$1822)^($R$1823-1)))</f>
        <v>1739.4680664776884</v>
      </c>
      <c r="L4121" s="109">
        <f>VLOOKUP(J4121,$J$1801:$L$1987,3,FALSE)*M4121</f>
        <v>3.25</v>
      </c>
      <c r="M4121" s="3066">
        <f>VLOOKUP(J4121,$J$3297:$K$3483,2,FALSE)</f>
        <v>0.65</v>
      </c>
      <c r="N4121" s="1135"/>
      <c r="O4121" s="228"/>
      <c r="P4121" s="844"/>
      <c r="Q4121" s="845"/>
      <c r="R4121" s="844"/>
      <c r="S4121" s="832"/>
      <c r="T4121" s="3082"/>
      <c r="U4121" s="123"/>
      <c r="V4121" s="4031"/>
      <c r="W4121" s="3307">
        <v>6827.3247976250323</v>
      </c>
      <c r="X4121" s="535">
        <f>(X$1932/12000)*$Q$1808*X$3428</f>
        <v>3603.0285716258218</v>
      </c>
      <c r="Y4121" s="535">
        <v>1317.1849952991461</v>
      </c>
      <c r="Z4121" s="532">
        <v>1317.1849952991461</v>
      </c>
      <c r="AA4121" s="532">
        <v>1317.1849952991461</v>
      </c>
      <c r="AB4121" s="535">
        <v>1475.441723875274</v>
      </c>
      <c r="AC4121" s="3294">
        <v>1739.4680664776884</v>
      </c>
      <c r="AD4121" s="793"/>
      <c r="AE4121" s="793"/>
      <c r="AF4121" s="793"/>
      <c r="AG4121" s="793"/>
      <c r="AH4121" s="1942"/>
      <c r="AI4121" s="1942"/>
      <c r="AJ4121" s="1942"/>
      <c r="AK4121" s="1942"/>
      <c r="AL4121" s="1942"/>
      <c r="AM4121" s="1942"/>
      <c r="AN4121" s="1942"/>
      <c r="AO4121" s="1942"/>
      <c r="AP4121" s="1942"/>
      <c r="AQ4121" s="1942"/>
      <c r="AR4121" s="1942"/>
      <c r="AS4121" s="1942"/>
      <c r="AT4121" s="1942"/>
      <c r="AU4121" s="1942"/>
      <c r="AV4121" s="1942"/>
      <c r="AW4121" s="1942"/>
      <c r="AX4121" s="1942"/>
      <c r="AY4121" s="1942"/>
      <c r="AZ4121" s="1942"/>
      <c r="BA4121" s="1942"/>
      <c r="BB4121" s="575"/>
      <c r="BC4121" s="576"/>
      <c r="BD4121" s="678"/>
      <c r="BE4121" s="585"/>
    </row>
    <row r="4122" spans="1:57" s="51" customFormat="1" ht="15" hidden="1" customHeight="1" outlineLevel="1" x14ac:dyDescent="0.25">
      <c r="A4122" s="2060"/>
      <c r="B4122" s="576"/>
      <c r="C4122" s="328"/>
      <c r="D4122" s="4023"/>
      <c r="E4122" s="4020"/>
      <c r="F4122" s="3016" t="str">
        <f t="shared" si="331"/>
        <v>ASHP-SEER18_ER1_MF</v>
      </c>
      <c r="G4122" s="2673"/>
      <c r="H4122" s="2673"/>
      <c r="I4122" s="2673"/>
      <c r="J4122" s="3301" t="str">
        <f>C1670</f>
        <v>354350_2021_12_</v>
      </c>
      <c r="K4122" s="1052"/>
      <c r="L4122" s="109" t="str">
        <f>IF(K4122&gt;0,VLOOKUP(J4122,$J$1801:$L$1987,3,FALSE),"")</f>
        <v/>
      </c>
      <c r="M4122" s="3066" t="str">
        <f>IF(K4122&gt;0,VLOOKUP(J4122,$J$3297:$K$3483,2,FALSE),"")</f>
        <v/>
      </c>
      <c r="N4122" s="1135"/>
      <c r="O4122" s="228"/>
      <c r="P4122" s="844"/>
      <c r="Q4122" s="845"/>
      <c r="R4122" s="844"/>
      <c r="S4122" s="832"/>
      <c r="T4122" s="3082"/>
      <c r="U4122" s="123"/>
      <c r="V4122" s="4031"/>
      <c r="W4122" s="3307"/>
      <c r="X4122" s="535"/>
      <c r="Y4122" s="535"/>
      <c r="Z4122" s="532"/>
      <c r="AA4122" s="532"/>
      <c r="AB4122" s="535"/>
      <c r="AC4122" s="1052"/>
      <c r="AD4122" s="793"/>
      <c r="AE4122" s="793"/>
      <c r="AF4122" s="793"/>
      <c r="AG4122" s="793"/>
      <c r="AH4122" s="1942"/>
      <c r="AI4122" s="1942"/>
      <c r="AJ4122" s="1942"/>
      <c r="AK4122" s="1942"/>
      <c r="AL4122" s="1942"/>
      <c r="AM4122" s="1942"/>
      <c r="AN4122" s="1942"/>
      <c r="AO4122" s="1942"/>
      <c r="AP4122" s="1942"/>
      <c r="AQ4122" s="1942"/>
      <c r="AR4122" s="1942"/>
      <c r="AS4122" s="1942"/>
      <c r="AT4122" s="1942"/>
      <c r="AU4122" s="1942"/>
      <c r="AV4122" s="1942"/>
      <c r="AW4122" s="1942"/>
      <c r="AX4122" s="1942"/>
      <c r="AY4122" s="1942"/>
      <c r="AZ4122" s="1942"/>
      <c r="BA4122" s="1942"/>
      <c r="BB4122" s="575"/>
      <c r="BC4122" s="576"/>
      <c r="BD4122" s="678"/>
      <c r="BE4122" s="585"/>
    </row>
    <row r="4123" spans="1:57" s="51" customFormat="1" ht="15" hidden="1" customHeight="1" outlineLevel="1" x14ac:dyDescent="0.25">
      <c r="A4123" s="2060"/>
      <c r="B4123" s="576"/>
      <c r="C4123" s="328"/>
      <c r="D4123" s="4023"/>
      <c r="E4123" s="4020"/>
      <c r="F4123" s="3016" t="str">
        <f t="shared" si="331"/>
        <v>ASHP-SEER18_ER2_MF</v>
      </c>
      <c r="G4123" s="2673"/>
      <c r="H4123" s="2673"/>
      <c r="I4123" s="2673"/>
      <c r="J4123" s="3301" t="str">
        <f>C1671</f>
        <v>354350_2021_12_</v>
      </c>
      <c r="K4123" s="1052"/>
      <c r="L4123" s="109" t="str">
        <f>IF(K4123&gt;0,VLOOKUP(J4123,$J$1801:$L$1987,3,FALSE),"")</f>
        <v/>
      </c>
      <c r="M4123" s="3066" t="str">
        <f>IF(K4123&gt;0,VLOOKUP(J4123,$J$3297:$K$3483,2,FALSE),"")</f>
        <v/>
      </c>
      <c r="N4123" s="1135"/>
      <c r="O4123" s="228"/>
      <c r="P4123" s="844"/>
      <c r="Q4123" s="845"/>
      <c r="R4123" s="844"/>
      <c r="S4123" s="832"/>
      <c r="T4123" s="3082"/>
      <c r="U4123" s="123"/>
      <c r="V4123" s="4031"/>
      <c r="W4123" s="3307"/>
      <c r="X4123" s="535"/>
      <c r="Y4123" s="535"/>
      <c r="Z4123" s="532"/>
      <c r="AA4123" s="532"/>
      <c r="AB4123" s="535"/>
      <c r="AC4123" s="1052"/>
      <c r="AD4123" s="793"/>
      <c r="AE4123" s="793"/>
      <c r="AF4123" s="793"/>
      <c r="AG4123" s="793"/>
      <c r="AH4123" s="1942"/>
      <c r="AI4123" s="1942"/>
      <c r="AJ4123" s="1942"/>
      <c r="AK4123" s="1942"/>
      <c r="AL4123" s="1942"/>
      <c r="AM4123" s="1942"/>
      <c r="AN4123" s="1942"/>
      <c r="AO4123" s="1942"/>
      <c r="AP4123" s="1942"/>
      <c r="AQ4123" s="1942"/>
      <c r="AR4123" s="1942"/>
      <c r="AS4123" s="1942"/>
      <c r="AT4123" s="1942"/>
      <c r="AU4123" s="1942"/>
      <c r="AV4123" s="1942"/>
      <c r="AW4123" s="1942"/>
      <c r="AX4123" s="1942"/>
      <c r="AY4123" s="1942"/>
      <c r="AZ4123" s="1942"/>
      <c r="BA4123" s="1942"/>
      <c r="BB4123" s="575"/>
      <c r="BC4123" s="576"/>
      <c r="BD4123" s="678"/>
      <c r="BE4123" s="585"/>
    </row>
    <row r="4124" spans="1:57" s="51" customFormat="1" ht="15" hidden="1" customHeight="1" outlineLevel="1" x14ac:dyDescent="0.25">
      <c r="A4124" s="2060"/>
      <c r="B4124" s="576"/>
      <c r="C4124" s="328"/>
      <c r="D4124" s="4023"/>
      <c r="E4124" s="4020"/>
      <c r="F4124" s="3016" t="str">
        <f t="shared" si="331"/>
        <v>ASHP-SEER18_ER2_MF</v>
      </c>
      <c r="G4124" s="2673"/>
      <c r="H4124" s="2673"/>
      <c r="I4124" s="2673"/>
      <c r="J4124" s="3301" t="str">
        <f>C1672</f>
        <v>354350_2021_12_</v>
      </c>
      <c r="K4124" s="1052"/>
      <c r="L4124" s="109" t="str">
        <f>IF(K4124&gt;0,VLOOKUP(J4124,$J$1801:$L$1987,3,FALSE),"")</f>
        <v/>
      </c>
      <c r="M4124" s="3066" t="str">
        <f>IF(K4124&gt;0,VLOOKUP(J4124,$J$3297:$K$3483,2,FALSE),"")</f>
        <v/>
      </c>
      <c r="N4124" s="1135"/>
      <c r="O4124" s="228"/>
      <c r="P4124" s="844"/>
      <c r="Q4124" s="845"/>
      <c r="R4124" s="844"/>
      <c r="S4124" s="832"/>
      <c r="T4124" s="3082"/>
      <c r="U4124" s="123"/>
      <c r="V4124" s="4031"/>
      <c r="W4124" s="3307"/>
      <c r="X4124" s="535"/>
      <c r="Y4124" s="535"/>
      <c r="Z4124" s="532"/>
      <c r="AA4124" s="532"/>
      <c r="AB4124" s="535"/>
      <c r="AC4124" s="1052"/>
      <c r="AD4124" s="793"/>
      <c r="AE4124" s="793"/>
      <c r="AF4124" s="793"/>
      <c r="AG4124" s="793"/>
      <c r="AH4124" s="1942"/>
      <c r="AI4124" s="1942"/>
      <c r="AJ4124" s="1942"/>
      <c r="AK4124" s="1942"/>
      <c r="AL4124" s="1942"/>
      <c r="AM4124" s="1942"/>
      <c r="AN4124" s="1942"/>
      <c r="AO4124" s="1942"/>
      <c r="AP4124" s="1942"/>
      <c r="AQ4124" s="1942"/>
      <c r="AR4124" s="1942"/>
      <c r="AS4124" s="1942"/>
      <c r="AT4124" s="1942"/>
      <c r="AU4124" s="1942"/>
      <c r="AV4124" s="1942"/>
      <c r="AW4124" s="1942"/>
      <c r="AX4124" s="1942"/>
      <c r="AY4124" s="1942"/>
      <c r="AZ4124" s="1942"/>
      <c r="BA4124" s="1942"/>
      <c r="BB4124" s="575"/>
      <c r="BC4124" s="576"/>
      <c r="BD4124" s="678"/>
      <c r="BE4124" s="585"/>
    </row>
    <row r="4125" spans="1:57" s="1942" customFormat="1" ht="15" hidden="1" customHeight="1" outlineLevel="1" x14ac:dyDescent="0.25">
      <c r="A4125" s="2060"/>
      <c r="B4125" s="576"/>
      <c r="C4125" s="328"/>
      <c r="D4125" s="4023"/>
      <c r="E4125" s="4020"/>
      <c r="F4125" s="3016" t="str">
        <f t="shared" si="331"/>
        <v>ASHP-SEER18_ER1_MF_CompE</v>
      </c>
      <c r="G4125" s="2673"/>
      <c r="H4125" s="2673"/>
      <c r="I4125" s="2673"/>
      <c r="J4125" s="3301" t="str">
        <f t="shared" ref="J4125:J4128" si="332">C1673</f>
        <v>354351_2021_12_</v>
      </c>
      <c r="K4125" s="3294">
        <f>(($R$1820*L4125)+$R$1808)-(($Q$1820*L4125)/((1+$R$1822)^($R$1823-1)))</f>
        <v>1739.4680664776884</v>
      </c>
      <c r="L4125" s="112">
        <f>VLOOKUP(J4125,$J$1801:$L$1987,3,FALSE)*M4125</f>
        <v>3.25</v>
      </c>
      <c r="M4125" s="3286">
        <f>VLOOKUP(J4125,$J$3297:$K$3483,2,FALSE)</f>
        <v>0.65</v>
      </c>
      <c r="N4125" s="1135"/>
      <c r="O4125" s="228"/>
      <c r="P4125" s="844"/>
      <c r="Q4125" s="845"/>
      <c r="R4125" s="844"/>
      <c r="S4125" s="832"/>
      <c r="T4125" s="3082"/>
      <c r="U4125" s="123"/>
      <c r="V4125" s="4031"/>
      <c r="W4125" s="3307"/>
      <c r="X4125" s="535"/>
      <c r="Y4125" s="535"/>
      <c r="Z4125" s="532"/>
      <c r="AA4125" s="532"/>
      <c r="AB4125" s="535"/>
      <c r="AC4125" s="3294">
        <v>1739.4680664776884</v>
      </c>
      <c r="AD4125" s="793"/>
      <c r="AE4125" s="793"/>
      <c r="AF4125" s="793"/>
      <c r="AG4125" s="793"/>
      <c r="BB4125" s="575"/>
      <c r="BC4125" s="576"/>
      <c r="BD4125" s="678"/>
      <c r="BE4125" s="585"/>
    </row>
    <row r="4126" spans="1:57" s="1942" customFormat="1" ht="15" hidden="1" customHeight="1" outlineLevel="1" x14ac:dyDescent="0.25">
      <c r="A4126" s="2060"/>
      <c r="B4126" s="576"/>
      <c r="C4126" s="328"/>
      <c r="D4126" s="4023"/>
      <c r="E4126" s="4020"/>
      <c r="F4126" s="3016" t="str">
        <f t="shared" si="331"/>
        <v>ASHP-SEER18_ER1_MF_CompE</v>
      </c>
      <c r="G4126" s="2673"/>
      <c r="H4126" s="2673"/>
      <c r="I4126" s="2673"/>
      <c r="J4126" s="3301" t="str">
        <f t="shared" si="332"/>
        <v>354351_2021_12_</v>
      </c>
      <c r="K4126" s="1052"/>
      <c r="L4126" s="109"/>
      <c r="M4126" s="3066"/>
      <c r="N4126" s="1135"/>
      <c r="O4126" s="228"/>
      <c r="P4126" s="844"/>
      <c r="Q4126" s="845"/>
      <c r="R4126" s="844"/>
      <c r="S4126" s="832"/>
      <c r="T4126" s="3082"/>
      <c r="U4126" s="123"/>
      <c r="V4126" s="4031"/>
      <c r="W4126" s="3307"/>
      <c r="X4126" s="535"/>
      <c r="Y4126" s="535"/>
      <c r="Z4126" s="532"/>
      <c r="AA4126" s="532"/>
      <c r="AB4126" s="535"/>
      <c r="AC4126" s="1052"/>
      <c r="AD4126" s="793"/>
      <c r="AE4126" s="793"/>
      <c r="AF4126" s="793"/>
      <c r="AG4126" s="793"/>
      <c r="BB4126" s="575"/>
      <c r="BC4126" s="576"/>
      <c r="BD4126" s="678"/>
      <c r="BE4126" s="585"/>
    </row>
    <row r="4127" spans="1:57" s="1942" customFormat="1" ht="15" hidden="1" customHeight="1" outlineLevel="1" x14ac:dyDescent="0.25">
      <c r="A4127" s="2060"/>
      <c r="B4127" s="576"/>
      <c r="C4127" s="328"/>
      <c r="D4127" s="4023"/>
      <c r="E4127" s="4020"/>
      <c r="F4127" s="3016" t="str">
        <f t="shared" si="331"/>
        <v>ASHP-SEER18_ER2_MF_CompE</v>
      </c>
      <c r="G4127" s="2673"/>
      <c r="H4127" s="2673"/>
      <c r="I4127" s="2673"/>
      <c r="J4127" s="3301" t="str">
        <f t="shared" si="332"/>
        <v>354351_2021_12_</v>
      </c>
      <c r="K4127" s="1052"/>
      <c r="L4127" s="109"/>
      <c r="M4127" s="3066"/>
      <c r="N4127" s="1135"/>
      <c r="O4127" s="228"/>
      <c r="P4127" s="844"/>
      <c r="Q4127" s="845"/>
      <c r="R4127" s="844"/>
      <c r="S4127" s="832"/>
      <c r="T4127" s="3082"/>
      <c r="U4127" s="123"/>
      <c r="V4127" s="4031"/>
      <c r="W4127" s="3307"/>
      <c r="X4127" s="535"/>
      <c r="Y4127" s="535"/>
      <c r="Z4127" s="532"/>
      <c r="AA4127" s="532"/>
      <c r="AB4127" s="535"/>
      <c r="AC4127" s="1052"/>
      <c r="AD4127" s="793"/>
      <c r="AE4127" s="793"/>
      <c r="AF4127" s="793"/>
      <c r="AG4127" s="793"/>
      <c r="BB4127" s="575"/>
      <c r="BC4127" s="576"/>
      <c r="BD4127" s="678"/>
      <c r="BE4127" s="585"/>
    </row>
    <row r="4128" spans="1:57" s="1942" customFormat="1" ht="15" hidden="1" customHeight="1" outlineLevel="1" x14ac:dyDescent="0.25">
      <c r="A4128" s="2060"/>
      <c r="B4128" s="576"/>
      <c r="C4128" s="328"/>
      <c r="D4128" s="4023"/>
      <c r="E4128" s="4020"/>
      <c r="F4128" s="3016" t="str">
        <f t="shared" si="331"/>
        <v>ASHP-SEER18_ER2_MF_CompE</v>
      </c>
      <c r="G4128" s="2673"/>
      <c r="H4128" s="2673"/>
      <c r="I4128" s="2673"/>
      <c r="J4128" s="3301" t="str">
        <f t="shared" si="332"/>
        <v>354351_2021_12_</v>
      </c>
      <c r="K4128" s="1052"/>
      <c r="L4128" s="109"/>
      <c r="M4128" s="3066"/>
      <c r="N4128" s="1135"/>
      <c r="O4128" s="228"/>
      <c r="P4128" s="844"/>
      <c r="Q4128" s="845"/>
      <c r="R4128" s="844"/>
      <c r="S4128" s="832"/>
      <c r="T4128" s="3082"/>
      <c r="U4128" s="123"/>
      <c r="V4128" s="4031"/>
      <c r="W4128" s="3307"/>
      <c r="X4128" s="535"/>
      <c r="Y4128" s="535"/>
      <c r="Z4128" s="532"/>
      <c r="AA4128" s="532"/>
      <c r="AB4128" s="535"/>
      <c r="AC4128" s="1052"/>
      <c r="AD4128" s="793"/>
      <c r="AE4128" s="793"/>
      <c r="AF4128" s="793"/>
      <c r="AG4128" s="793"/>
      <c r="BB4128" s="575"/>
      <c r="BC4128" s="576"/>
      <c r="BD4128" s="678"/>
      <c r="BE4128" s="585"/>
    </row>
    <row r="4129" spans="1:57" s="51" customFormat="1" ht="15" hidden="1" customHeight="1" outlineLevel="1" x14ac:dyDescent="0.25">
      <c r="A4129" s="2060"/>
      <c r="B4129" s="576"/>
      <c r="C4129" s="328"/>
      <c r="D4129" s="4023"/>
      <c r="E4129" s="4020"/>
      <c r="F4129" s="3016" t="str">
        <f t="shared" si="331"/>
        <v>ASHP-SEER19-Replace_CAC_ElectricHeat_ER1_SF</v>
      </c>
      <c r="G4129" s="2673"/>
      <c r="H4129" s="2673"/>
      <c r="I4129" s="2673"/>
      <c r="J4129" s="3301" t="str">
        <f>C1677</f>
        <v>354400_2021_12_</v>
      </c>
      <c r="K4129" s="3294">
        <f>(($R$1820*L4129)+$R$1809)-(($Q$1820*L4129)/((1+$R$1822)^($R$1823-1)))</f>
        <v>2063.8263197906699</v>
      </c>
      <c r="L4129" s="109">
        <f>VLOOKUP(J4129,$J$1801:$L$1987,3,FALSE)*M4129</f>
        <v>3.6</v>
      </c>
      <c r="M4129" s="3066">
        <f>VLOOKUP(J4129,$J$3297:$K$3483,2,FALSE)</f>
        <v>1</v>
      </c>
      <c r="N4129" s="1135"/>
      <c r="O4129" s="228"/>
      <c r="P4129" s="844"/>
      <c r="Q4129" s="845"/>
      <c r="R4129" s="844"/>
      <c r="S4129" s="832"/>
      <c r="T4129" s="3082"/>
      <c r="U4129" s="123"/>
      <c r="V4129" s="4031"/>
      <c r="W4129" s="3307">
        <v>4620.6282279230445</v>
      </c>
      <c r="X4129" s="535">
        <f>(X$1936/12000)*$Q$1809*X$3432</f>
        <v>5953.4371594592312</v>
      </c>
      <c r="Y4129" s="535">
        <v>1686.0327049389366</v>
      </c>
      <c r="Z4129" s="532">
        <v>1686.0327049389366</v>
      </c>
      <c r="AA4129" s="532">
        <v>1686.0327049389366</v>
      </c>
      <c r="AB4129" s="535">
        <v>1944.3573864864111</v>
      </c>
      <c r="AC4129" s="3294">
        <v>2063.8263197906699</v>
      </c>
      <c r="AD4129" s="793"/>
      <c r="AE4129" s="793"/>
      <c r="AF4129" s="793"/>
      <c r="AG4129" s="793"/>
      <c r="AH4129" s="1942"/>
      <c r="AI4129" s="1942"/>
      <c r="AJ4129" s="1942"/>
      <c r="AK4129" s="1942"/>
      <c r="AL4129" s="1942"/>
      <c r="AM4129" s="1942"/>
      <c r="AN4129" s="1942"/>
      <c r="AO4129" s="1942"/>
      <c r="AP4129" s="1942"/>
      <c r="AQ4129" s="1942"/>
      <c r="AR4129" s="1942"/>
      <c r="AS4129" s="1942"/>
      <c r="AT4129" s="1942"/>
      <c r="AU4129" s="1942"/>
      <c r="AV4129" s="1942"/>
      <c r="AW4129" s="1942"/>
      <c r="AX4129" s="1942"/>
      <c r="AY4129" s="1942"/>
      <c r="AZ4129" s="1942"/>
      <c r="BA4129" s="1942"/>
      <c r="BB4129" s="575"/>
      <c r="BC4129" s="576"/>
      <c r="BD4129" s="678"/>
      <c r="BE4129" s="585"/>
    </row>
    <row r="4130" spans="1:57" s="51" customFormat="1" ht="15" hidden="1" customHeight="1" outlineLevel="1" x14ac:dyDescent="0.25">
      <c r="A4130" s="1267"/>
      <c r="B4130" s="576"/>
      <c r="C4130" s="328"/>
      <c r="D4130" s="4023"/>
      <c r="E4130" s="4020"/>
      <c r="F4130" s="3016" t="str">
        <f t="shared" si="331"/>
        <v>ASHP-SEER19-Replace_CAC_ElectricHeat_ER1_SF</v>
      </c>
      <c r="G4130" s="2673"/>
      <c r="H4130" s="2673"/>
      <c r="I4130" s="2673"/>
      <c r="J4130" s="3301" t="str">
        <f>C1678</f>
        <v>354400_2021_12_</v>
      </c>
      <c r="K4130" s="1052"/>
      <c r="L4130" s="109" t="str">
        <f>IF(K4130&gt;0,VLOOKUP(J4130,$J$1801:$L$1987,3,FALSE),"")</f>
        <v/>
      </c>
      <c r="M4130" s="3066" t="str">
        <f>IF(K4130&gt;0,VLOOKUP(J4130,$J$3297:$K$3483,2,FALSE),"")</f>
        <v/>
      </c>
      <c r="N4130" s="1135"/>
      <c r="O4130" s="228"/>
      <c r="P4130" s="844"/>
      <c r="Q4130" s="228"/>
      <c r="R4130" s="228"/>
      <c r="S4130" s="123"/>
      <c r="T4130" s="123"/>
      <c r="U4130" s="123"/>
      <c r="V4130" s="4031"/>
      <c r="W4130" s="3307"/>
      <c r="X4130" s="535"/>
      <c r="Y4130" s="535"/>
      <c r="Z4130" s="532"/>
      <c r="AA4130" s="532"/>
      <c r="AB4130" s="535"/>
      <c r="AC4130" s="1052"/>
      <c r="AD4130" s="793"/>
      <c r="AE4130" s="793"/>
      <c r="AF4130" s="793"/>
      <c r="AG4130" s="793"/>
      <c r="AH4130" s="1942"/>
      <c r="AI4130" s="1942"/>
      <c r="AJ4130" s="1942"/>
      <c r="AK4130" s="1942"/>
      <c r="AL4130" s="1942"/>
      <c r="AM4130" s="1942"/>
      <c r="AN4130" s="1942"/>
      <c r="AO4130" s="1942"/>
      <c r="AP4130" s="1942"/>
      <c r="AQ4130" s="1942"/>
      <c r="AR4130" s="1942"/>
      <c r="AS4130" s="1942"/>
      <c r="AT4130" s="1942"/>
      <c r="AU4130" s="1942"/>
      <c r="AV4130" s="1942"/>
      <c r="AW4130" s="1942"/>
      <c r="AX4130" s="1942"/>
      <c r="AY4130" s="1942"/>
      <c r="AZ4130" s="1942"/>
      <c r="BA4130" s="1942"/>
      <c r="BB4130" s="575"/>
      <c r="BC4130" s="576"/>
      <c r="BD4130" s="678"/>
      <c r="BE4130" s="585"/>
    </row>
    <row r="4131" spans="1:57" s="51" customFormat="1" ht="15" hidden="1" customHeight="1" outlineLevel="1" x14ac:dyDescent="0.25">
      <c r="A4131" s="2060"/>
      <c r="B4131" s="576"/>
      <c r="C4131" s="328"/>
      <c r="D4131" s="4023"/>
      <c r="E4131" s="4020"/>
      <c r="F4131" s="3016" t="str">
        <f t="shared" si="331"/>
        <v>ASHP-SEER19-Replace_CAC_ElectricHeat_ER2_SF</v>
      </c>
      <c r="G4131" s="2673"/>
      <c r="H4131" s="2673"/>
      <c r="I4131" s="2673"/>
      <c r="J4131" s="3301" t="str">
        <f>C1679</f>
        <v>354400_2021_12_</v>
      </c>
      <c r="K4131" s="1052"/>
      <c r="L4131" s="109" t="str">
        <f>IF(K4131&gt;0,VLOOKUP(J4131,$J$1801:$L$1987,3,FALSE),"")</f>
        <v/>
      </c>
      <c r="M4131" s="3066" t="str">
        <f>IF(K4131&gt;0,VLOOKUP(J4131,$J$3297:$K$3483,2,FALSE),"")</f>
        <v/>
      </c>
      <c r="N4131" s="1135"/>
      <c r="O4131" s="228"/>
      <c r="P4131" s="844"/>
      <c r="Q4131" s="845"/>
      <c r="R4131" s="844"/>
      <c r="S4131" s="832"/>
      <c r="T4131" s="3082"/>
      <c r="U4131" s="123"/>
      <c r="V4131" s="4031"/>
      <c r="W4131" s="3307"/>
      <c r="X4131" s="535"/>
      <c r="Y4131" s="535"/>
      <c r="Z4131" s="532"/>
      <c r="AA4131" s="532"/>
      <c r="AB4131" s="535"/>
      <c r="AC4131" s="1052"/>
      <c r="AD4131" s="793"/>
      <c r="AE4131" s="793"/>
      <c r="AF4131" s="793"/>
      <c r="AG4131" s="793"/>
      <c r="AH4131" s="1942"/>
      <c r="AI4131" s="1942"/>
      <c r="AJ4131" s="1942"/>
      <c r="AK4131" s="1942"/>
      <c r="AL4131" s="1942"/>
      <c r="AM4131" s="1942"/>
      <c r="AN4131" s="1942"/>
      <c r="AO4131" s="1942"/>
      <c r="AP4131" s="1942"/>
      <c r="AQ4131" s="1942"/>
      <c r="AR4131" s="1942"/>
      <c r="AS4131" s="1942"/>
      <c r="AT4131" s="1942"/>
      <c r="AU4131" s="1942"/>
      <c r="AV4131" s="1942"/>
      <c r="AW4131" s="1942"/>
      <c r="AX4131" s="1942"/>
      <c r="AY4131" s="1942"/>
      <c r="AZ4131" s="1942"/>
      <c r="BA4131" s="1942"/>
      <c r="BB4131" s="575"/>
      <c r="BC4131" s="576"/>
      <c r="BD4131" s="678"/>
      <c r="BE4131" s="585"/>
    </row>
    <row r="4132" spans="1:57" s="51" customFormat="1" ht="15" hidden="1" customHeight="1" outlineLevel="1" x14ac:dyDescent="0.25">
      <c r="A4132" s="1267"/>
      <c r="B4132" s="576"/>
      <c r="C4132" s="328"/>
      <c r="D4132" s="4023"/>
      <c r="E4132" s="4020"/>
      <c r="F4132" s="3016" t="str">
        <f t="shared" si="331"/>
        <v>ASHP-SEER19-Replace_CAC_ElectricHeat_ER2_SF</v>
      </c>
      <c r="G4132" s="2673"/>
      <c r="H4132" s="2673"/>
      <c r="I4132" s="2673"/>
      <c r="J4132" s="3301" t="str">
        <f>C1680</f>
        <v>354400_2021_12_</v>
      </c>
      <c r="K4132" s="1052"/>
      <c r="L4132" s="109" t="str">
        <f>IF(K4132&gt;0,VLOOKUP(J4132,$J$1801:$L$1987,3,FALSE),"")</f>
        <v/>
      </c>
      <c r="M4132" s="3066" t="str">
        <f>IF(K4132&gt;0,VLOOKUP(J4132,$J$3297:$K$3483,2,FALSE),"")</f>
        <v/>
      </c>
      <c r="N4132" s="1135"/>
      <c r="O4132" s="228"/>
      <c r="P4132" s="844"/>
      <c r="Q4132" s="228"/>
      <c r="R4132" s="228"/>
      <c r="S4132" s="123"/>
      <c r="T4132" s="123"/>
      <c r="U4132" s="123"/>
      <c r="V4132" s="4031"/>
      <c r="W4132" s="3307"/>
      <c r="X4132" s="535"/>
      <c r="Y4132" s="535"/>
      <c r="Z4132" s="532"/>
      <c r="AA4132" s="532"/>
      <c r="AB4132" s="535"/>
      <c r="AC4132" s="1052"/>
      <c r="AD4132" s="793"/>
      <c r="AE4132" s="793"/>
      <c r="AF4132" s="793"/>
      <c r="AG4132" s="793"/>
      <c r="AH4132" s="1942"/>
      <c r="AI4132" s="1942"/>
      <c r="AJ4132" s="1942"/>
      <c r="AK4132" s="1942"/>
      <c r="AL4132" s="1942"/>
      <c r="AM4132" s="1942"/>
      <c r="AN4132" s="1942"/>
      <c r="AO4132" s="1942"/>
      <c r="AP4132" s="1942"/>
      <c r="AQ4132" s="1942"/>
      <c r="AR4132" s="1942"/>
      <c r="AS4132" s="1942"/>
      <c r="AT4132" s="1942"/>
      <c r="AU4132" s="1942"/>
      <c r="AV4132" s="1942"/>
      <c r="AW4132" s="1942"/>
      <c r="AX4132" s="1942"/>
      <c r="AY4132" s="1942"/>
      <c r="AZ4132" s="1942"/>
      <c r="BA4132" s="1942"/>
      <c r="BB4132" s="575"/>
      <c r="BC4132" s="576"/>
      <c r="BD4132" s="678"/>
      <c r="BE4132" s="585"/>
    </row>
    <row r="4133" spans="1:57" s="1942" customFormat="1" ht="15" hidden="1" customHeight="1" outlineLevel="1" x14ac:dyDescent="0.25">
      <c r="A4133" s="1267"/>
      <c r="B4133" s="576"/>
      <c r="C4133" s="328"/>
      <c r="D4133" s="4023"/>
      <c r="E4133" s="4020"/>
      <c r="F4133" s="3016" t="str">
        <f t="shared" si="331"/>
        <v>ASHP-SEER19-Replace_CAC_NonElectricHeat_ER1_SF</v>
      </c>
      <c r="G4133" s="2673"/>
      <c r="H4133" s="2673"/>
      <c r="I4133" s="2673"/>
      <c r="J4133" s="3301" t="str">
        <f t="shared" ref="J4133:J4136" si="333">C1681</f>
        <v>354410_2021_12_</v>
      </c>
      <c r="K4133" s="3294">
        <f>(($R$1820*L4133)+$R$1809)-(($Q$1820*L4133)/((1+$R$1822)^($R$1823-1)))</f>
        <v>2063.8263197906699</v>
      </c>
      <c r="L4133" s="112">
        <f>VLOOKUP(J4133,$J$1801:$L$1987,3,FALSE)*M4133</f>
        <v>3.6</v>
      </c>
      <c r="M4133" s="3286">
        <f>VLOOKUP(J4133,$J$3297:$K$3483,2,FALSE)</f>
        <v>1</v>
      </c>
      <c r="N4133" s="1135"/>
      <c r="O4133" s="228"/>
      <c r="P4133" s="844"/>
      <c r="Q4133" s="228"/>
      <c r="R4133" s="228"/>
      <c r="S4133" s="123"/>
      <c r="T4133" s="123"/>
      <c r="U4133" s="123"/>
      <c r="V4133" s="4031"/>
      <c r="W4133" s="3307"/>
      <c r="X4133" s="535"/>
      <c r="Y4133" s="535"/>
      <c r="Z4133" s="532"/>
      <c r="AA4133" s="532"/>
      <c r="AB4133" s="535"/>
      <c r="AC4133" s="3294">
        <v>2063.8263197906699</v>
      </c>
      <c r="AD4133" s="793"/>
      <c r="AE4133" s="793"/>
      <c r="AF4133" s="793"/>
      <c r="AG4133" s="793"/>
      <c r="BB4133" s="575"/>
      <c r="BC4133" s="576"/>
      <c r="BD4133" s="678"/>
      <c r="BE4133" s="585"/>
    </row>
    <row r="4134" spans="1:57" s="1942" customFormat="1" ht="15" hidden="1" customHeight="1" outlineLevel="1" x14ac:dyDescent="0.25">
      <c r="A4134" s="1267"/>
      <c r="B4134" s="576"/>
      <c r="C4134" s="328"/>
      <c r="D4134" s="4023"/>
      <c r="E4134" s="4020"/>
      <c r="F4134" s="3016" t="str">
        <f t="shared" si="331"/>
        <v>ASHP-SEER19-Replace_CAC_NonElectricHeat_ER1_SF</v>
      </c>
      <c r="G4134" s="2673"/>
      <c r="H4134" s="2673"/>
      <c r="I4134" s="2673"/>
      <c r="J4134" s="3301" t="str">
        <f t="shared" si="333"/>
        <v>354410_2021_12_</v>
      </c>
      <c r="K4134" s="1052"/>
      <c r="L4134" s="109"/>
      <c r="M4134" s="3066"/>
      <c r="N4134" s="1135"/>
      <c r="O4134" s="228"/>
      <c r="P4134" s="844"/>
      <c r="Q4134" s="228"/>
      <c r="R4134" s="228"/>
      <c r="S4134" s="123"/>
      <c r="T4134" s="123"/>
      <c r="U4134" s="123"/>
      <c r="V4134" s="4031"/>
      <c r="W4134" s="3307"/>
      <c r="X4134" s="535"/>
      <c r="Y4134" s="535"/>
      <c r="Z4134" s="532"/>
      <c r="AA4134" s="532"/>
      <c r="AB4134" s="535"/>
      <c r="AC4134" s="1052"/>
      <c r="AD4134" s="793"/>
      <c r="AE4134" s="793"/>
      <c r="AF4134" s="793"/>
      <c r="AG4134" s="793"/>
      <c r="BB4134" s="575"/>
      <c r="BC4134" s="576"/>
      <c r="BD4134" s="678"/>
      <c r="BE4134" s="585"/>
    </row>
    <row r="4135" spans="1:57" s="1942" customFormat="1" ht="15" hidden="1" customHeight="1" outlineLevel="1" x14ac:dyDescent="0.25">
      <c r="A4135" s="1267"/>
      <c r="B4135" s="576"/>
      <c r="C4135" s="328"/>
      <c r="D4135" s="4023"/>
      <c r="E4135" s="4020"/>
      <c r="F4135" s="3016" t="str">
        <f t="shared" si="331"/>
        <v>ASHP-SEER19-Replace_CAC_NonElectricHeat_ER2_SF</v>
      </c>
      <c r="G4135" s="2673"/>
      <c r="H4135" s="2673"/>
      <c r="I4135" s="2673"/>
      <c r="J4135" s="3301" t="str">
        <f t="shared" si="333"/>
        <v>354410_2021_12_</v>
      </c>
      <c r="K4135" s="1052"/>
      <c r="L4135" s="109"/>
      <c r="M4135" s="3066"/>
      <c r="N4135" s="1135"/>
      <c r="O4135" s="228"/>
      <c r="P4135" s="844"/>
      <c r="Q4135" s="228"/>
      <c r="R4135" s="228"/>
      <c r="S4135" s="123"/>
      <c r="T4135" s="123"/>
      <c r="U4135" s="123"/>
      <c r="V4135" s="4031"/>
      <c r="W4135" s="3307"/>
      <c r="X4135" s="535"/>
      <c r="Y4135" s="535"/>
      <c r="Z4135" s="532"/>
      <c r="AA4135" s="532"/>
      <c r="AB4135" s="535"/>
      <c r="AC4135" s="1052"/>
      <c r="AD4135" s="793"/>
      <c r="AE4135" s="793"/>
      <c r="AF4135" s="793"/>
      <c r="AG4135" s="793"/>
      <c r="BB4135" s="575"/>
      <c r="BC4135" s="576"/>
      <c r="BD4135" s="678"/>
      <c r="BE4135" s="585"/>
    </row>
    <row r="4136" spans="1:57" s="1942" customFormat="1" ht="15" hidden="1" customHeight="1" outlineLevel="1" x14ac:dyDescent="0.25">
      <c r="A4136" s="1267"/>
      <c r="B4136" s="576"/>
      <c r="C4136" s="328"/>
      <c r="D4136" s="4023"/>
      <c r="E4136" s="4020"/>
      <c r="F4136" s="3016" t="str">
        <f t="shared" si="331"/>
        <v>ASHP-SEER19-Replace_CAC_NonElectricHeat_ER2_SF</v>
      </c>
      <c r="G4136" s="2673"/>
      <c r="H4136" s="2673"/>
      <c r="I4136" s="2673"/>
      <c r="J4136" s="3301" t="str">
        <f t="shared" si="333"/>
        <v>354410_2021_12_</v>
      </c>
      <c r="K4136" s="1052"/>
      <c r="L4136" s="109"/>
      <c r="M4136" s="3066"/>
      <c r="N4136" s="1135"/>
      <c r="O4136" s="228"/>
      <c r="P4136" s="844"/>
      <c r="Q4136" s="228"/>
      <c r="R4136" s="228"/>
      <c r="S4136" s="123"/>
      <c r="T4136" s="123"/>
      <c r="U4136" s="123"/>
      <c r="V4136" s="4031"/>
      <c r="W4136" s="3307"/>
      <c r="X4136" s="535"/>
      <c r="Y4136" s="535"/>
      <c r="Z4136" s="532"/>
      <c r="AA4136" s="532"/>
      <c r="AB4136" s="535"/>
      <c r="AC4136" s="1052"/>
      <c r="AD4136" s="793"/>
      <c r="AE4136" s="793"/>
      <c r="AF4136" s="793"/>
      <c r="AG4136" s="793"/>
      <c r="BB4136" s="575"/>
      <c r="BC4136" s="576"/>
      <c r="BD4136" s="678"/>
      <c r="BE4136" s="585"/>
    </row>
    <row r="4137" spans="1:57" s="51" customFormat="1" ht="15" hidden="1" customHeight="1" outlineLevel="1" x14ac:dyDescent="0.25">
      <c r="A4137" s="2060"/>
      <c r="B4137" s="576"/>
      <c r="C4137" s="328"/>
      <c r="D4137" s="4023"/>
      <c r="E4137" s="4020"/>
      <c r="F4137" s="3016" t="str">
        <f t="shared" si="331"/>
        <v>ASHP-SEER19-Replace_CAC_ElectricHeat_ER1_MF</v>
      </c>
      <c r="G4137" s="2673"/>
      <c r="H4137" s="2673"/>
      <c r="I4137" s="2673"/>
      <c r="J4137" s="3302" t="str">
        <f>C1685</f>
        <v>354450_2019_12_</v>
      </c>
      <c r="K4137" s="1052">
        <f>(($R$1820*L4137)+$R$1809)-(($Q$1820*L4137)/((1+$R$1822)^($R$1823-1)))</f>
        <v>1685.1098012161674</v>
      </c>
      <c r="L4137" s="109">
        <f>VLOOKUP(J4137,$J$1801:$L$1987,3,FALSE)*M4137</f>
        <v>2.0150000000000001</v>
      </c>
      <c r="M4137" s="3066">
        <f>VLOOKUP(J4137,$J$3297:$K$3483,2,FALSE)</f>
        <v>0.65</v>
      </c>
      <c r="N4137" s="1135"/>
      <c r="O4137" s="228"/>
      <c r="P4137" s="844"/>
      <c r="Q4137" s="845"/>
      <c r="R4137" s="844"/>
      <c r="S4137" s="832"/>
      <c r="T4137" s="3082"/>
      <c r="U4137" s="123"/>
      <c r="V4137" s="4031"/>
      <c r="W4137" s="3307">
        <v>4620.6282279230445</v>
      </c>
      <c r="X4137" s="535">
        <f>(X$1940/12000)*$Q$1809*X$3436</f>
        <v>3869.7341536485005</v>
      </c>
      <c r="Y4137" s="535">
        <v>1380.5879248769756</v>
      </c>
      <c r="Z4137" s="532">
        <v>1380.5879248769756</v>
      </c>
      <c r="AA4137" s="532">
        <v>1380.5879248769756</v>
      </c>
      <c r="AB4137" s="535">
        <v>1685.1098012161674</v>
      </c>
      <c r="AC4137" s="1052">
        <v>1685.1098012161674</v>
      </c>
      <c r="AD4137" s="793"/>
      <c r="AE4137" s="793"/>
      <c r="AF4137" s="793"/>
      <c r="AG4137" s="793"/>
      <c r="AH4137" s="1942"/>
      <c r="AI4137" s="1942"/>
      <c r="AJ4137" s="1942"/>
      <c r="AK4137" s="1942"/>
      <c r="AL4137" s="1942"/>
      <c r="AM4137" s="1942"/>
      <c r="AN4137" s="1942"/>
      <c r="AO4137" s="1942"/>
      <c r="AP4137" s="1942"/>
      <c r="AQ4137" s="1942"/>
      <c r="AR4137" s="1942"/>
      <c r="AS4137" s="1942"/>
      <c r="AT4137" s="1942"/>
      <c r="AU4137" s="1942"/>
      <c r="AV4137" s="1942"/>
      <c r="AW4137" s="1942"/>
      <c r="AX4137" s="1942"/>
      <c r="AY4137" s="1942"/>
      <c r="AZ4137" s="1942"/>
      <c r="BA4137" s="1942"/>
      <c r="BB4137" s="575"/>
      <c r="BC4137" s="576"/>
      <c r="BD4137" s="678"/>
      <c r="BE4137" s="585"/>
    </row>
    <row r="4138" spans="1:57" s="51" customFormat="1" ht="15" hidden="1" customHeight="1" outlineLevel="1" x14ac:dyDescent="0.25">
      <c r="A4138" s="1267"/>
      <c r="B4138" s="576"/>
      <c r="C4138" s="328"/>
      <c r="D4138" s="4023"/>
      <c r="E4138" s="4020"/>
      <c r="F4138" s="3016" t="str">
        <f t="shared" si="331"/>
        <v>ASHP-SEER19-Replace_CAC_ElectricHeat_ER1_MF</v>
      </c>
      <c r="G4138" s="2673"/>
      <c r="H4138" s="2673"/>
      <c r="I4138" s="2673"/>
      <c r="J4138" s="3302" t="str">
        <f>C1686</f>
        <v>354450_2019_12_</v>
      </c>
      <c r="K4138" s="1052"/>
      <c r="L4138" s="109" t="str">
        <f>IF(K4138&gt;0,VLOOKUP(J4138,$J$1801:$L$1987,3,FALSE),"")</f>
        <v/>
      </c>
      <c r="M4138" s="3066" t="str">
        <f>IF(K4138&gt;0,VLOOKUP(J4138,$J$3297:$K$3483,2,FALSE),"")</f>
        <v/>
      </c>
      <c r="N4138" s="1135"/>
      <c r="O4138" s="228"/>
      <c r="P4138" s="844"/>
      <c r="Q4138" s="228"/>
      <c r="R4138" s="228"/>
      <c r="S4138" s="123"/>
      <c r="T4138" s="123"/>
      <c r="U4138" s="123"/>
      <c r="V4138" s="4031"/>
      <c r="W4138" s="3307"/>
      <c r="X4138" s="535"/>
      <c r="Y4138" s="535"/>
      <c r="Z4138" s="532"/>
      <c r="AA4138" s="532"/>
      <c r="AB4138" s="535"/>
      <c r="AC4138" s="1052"/>
      <c r="AD4138" s="793"/>
      <c r="AE4138" s="793"/>
      <c r="AF4138" s="793"/>
      <c r="AG4138" s="793"/>
      <c r="AH4138" s="1942"/>
      <c r="AI4138" s="1942"/>
      <c r="AJ4138" s="1942"/>
      <c r="AK4138" s="1942"/>
      <c r="AL4138" s="1942"/>
      <c r="AM4138" s="1942"/>
      <c r="AN4138" s="1942"/>
      <c r="AO4138" s="1942"/>
      <c r="AP4138" s="1942"/>
      <c r="AQ4138" s="1942"/>
      <c r="AR4138" s="1942"/>
      <c r="AS4138" s="1942"/>
      <c r="AT4138" s="1942"/>
      <c r="AU4138" s="1942"/>
      <c r="AV4138" s="1942"/>
      <c r="AW4138" s="1942"/>
      <c r="AX4138" s="1942"/>
      <c r="AY4138" s="1942"/>
      <c r="AZ4138" s="1942"/>
      <c r="BA4138" s="1942"/>
      <c r="BB4138" s="575"/>
      <c r="BC4138" s="576"/>
      <c r="BD4138" s="678"/>
      <c r="BE4138" s="585"/>
    </row>
    <row r="4139" spans="1:57" s="51" customFormat="1" ht="15" hidden="1" customHeight="1" outlineLevel="1" x14ac:dyDescent="0.25">
      <c r="A4139" s="1267"/>
      <c r="B4139" s="576"/>
      <c r="C4139" s="328"/>
      <c r="D4139" s="4023"/>
      <c r="E4139" s="4020"/>
      <c r="F4139" s="3016" t="str">
        <f t="shared" si="331"/>
        <v>ASHP-SEER19-Replace_CAC_ElectricHeat_ER2_MF</v>
      </c>
      <c r="G4139" s="2673"/>
      <c r="H4139" s="2673"/>
      <c r="I4139" s="2673"/>
      <c r="J4139" s="3302" t="str">
        <f>C1687</f>
        <v>354450_2019_12_</v>
      </c>
      <c r="K4139" s="1052"/>
      <c r="L4139" s="109" t="str">
        <f>IF(K4139&gt;0,VLOOKUP(J4139,$J$1801:$L$1987,3,FALSE),"")</f>
        <v/>
      </c>
      <c r="M4139" s="3066" t="str">
        <f>IF(K4139&gt;0,VLOOKUP(J4139,$J$3297:$K$3483,2,FALSE),"")</f>
        <v/>
      </c>
      <c r="N4139" s="1135"/>
      <c r="O4139" s="228"/>
      <c r="P4139" s="844"/>
      <c r="Q4139" s="228"/>
      <c r="R4139" s="228"/>
      <c r="S4139" s="123"/>
      <c r="T4139" s="123"/>
      <c r="U4139" s="123"/>
      <c r="V4139" s="4031"/>
      <c r="W4139" s="3307"/>
      <c r="X4139" s="535"/>
      <c r="Y4139" s="535"/>
      <c r="Z4139" s="532"/>
      <c r="AA4139" s="532"/>
      <c r="AB4139" s="535"/>
      <c r="AC4139" s="1052"/>
      <c r="AD4139" s="793"/>
      <c r="AE4139" s="793"/>
      <c r="AF4139" s="793"/>
      <c r="AG4139" s="793"/>
      <c r="AH4139" s="1942"/>
      <c r="AI4139" s="1942"/>
      <c r="AJ4139" s="1942"/>
      <c r="AK4139" s="1942"/>
      <c r="AL4139" s="1942"/>
      <c r="AM4139" s="1942"/>
      <c r="AN4139" s="1942"/>
      <c r="AO4139" s="1942"/>
      <c r="AP4139" s="1942"/>
      <c r="AQ4139" s="1942"/>
      <c r="AR4139" s="1942"/>
      <c r="AS4139" s="1942"/>
      <c r="AT4139" s="1942"/>
      <c r="AU4139" s="1942"/>
      <c r="AV4139" s="1942"/>
      <c r="AW4139" s="1942"/>
      <c r="AX4139" s="1942"/>
      <c r="AY4139" s="1942"/>
      <c r="AZ4139" s="1942"/>
      <c r="BA4139" s="1942"/>
      <c r="BB4139" s="575"/>
      <c r="BC4139" s="576"/>
      <c r="BD4139" s="678"/>
      <c r="BE4139" s="585"/>
    </row>
    <row r="4140" spans="1:57" s="51" customFormat="1" ht="15" hidden="1" customHeight="1" outlineLevel="1" x14ac:dyDescent="0.25">
      <c r="A4140" s="2060"/>
      <c r="B4140" s="576"/>
      <c r="C4140" s="328"/>
      <c r="D4140" s="4023"/>
      <c r="E4140" s="4020"/>
      <c r="F4140" s="3016" t="str">
        <f t="shared" si="331"/>
        <v>ASHP-SEER19-Replace_CAC_ElectricHeat_ER2_MF</v>
      </c>
      <c r="G4140" s="2673"/>
      <c r="H4140" s="2673"/>
      <c r="I4140" s="2673"/>
      <c r="J4140" s="3302" t="str">
        <f>C1688</f>
        <v>354450_2019_12_</v>
      </c>
      <c r="K4140" s="1052"/>
      <c r="L4140" s="109" t="str">
        <f>IF(K4140&gt;0,VLOOKUP(J4140,$J$1801:$L$1987,3,FALSE),"")</f>
        <v/>
      </c>
      <c r="M4140" s="3066" t="str">
        <f>IF(K4140&gt;0,VLOOKUP(J4140,$J$3297:$K$3483,2,FALSE),"")</f>
        <v/>
      </c>
      <c r="N4140" s="1135"/>
      <c r="O4140" s="228"/>
      <c r="P4140" s="844"/>
      <c r="Q4140" s="845"/>
      <c r="R4140" s="844"/>
      <c r="S4140" s="832"/>
      <c r="T4140" s="3082"/>
      <c r="U4140" s="123"/>
      <c r="V4140" s="4031"/>
      <c r="W4140" s="3307"/>
      <c r="X4140" s="535"/>
      <c r="Y4140" s="535"/>
      <c r="Z4140" s="532"/>
      <c r="AA4140" s="532"/>
      <c r="AB4140" s="535"/>
      <c r="AC4140" s="1052"/>
      <c r="AD4140" s="793"/>
      <c r="AE4140" s="793"/>
      <c r="AF4140" s="793"/>
      <c r="AG4140" s="793"/>
      <c r="AH4140" s="1942"/>
      <c r="AI4140" s="1942"/>
      <c r="AJ4140" s="1942"/>
      <c r="AK4140" s="1942"/>
      <c r="AL4140" s="1942"/>
      <c r="AM4140" s="1942"/>
      <c r="AN4140" s="1942"/>
      <c r="AO4140" s="1942"/>
      <c r="AP4140" s="1942"/>
      <c r="AQ4140" s="1942"/>
      <c r="AR4140" s="1942"/>
      <c r="AS4140" s="1942"/>
      <c r="AT4140" s="1942"/>
      <c r="AU4140" s="1942"/>
      <c r="AV4140" s="1942"/>
      <c r="AW4140" s="1942"/>
      <c r="AX4140" s="1942"/>
      <c r="AY4140" s="1942"/>
      <c r="AZ4140" s="1942"/>
      <c r="BA4140" s="1942"/>
      <c r="BB4140" s="575"/>
      <c r="BC4140" s="576"/>
      <c r="BD4140" s="678"/>
      <c r="BE4140" s="585"/>
    </row>
    <row r="4141" spans="1:57" s="1942" customFormat="1" ht="15" hidden="1" customHeight="1" outlineLevel="1" x14ac:dyDescent="0.25">
      <c r="A4141" s="2060"/>
      <c r="B4141" s="576"/>
      <c r="C4141" s="328"/>
      <c r="D4141" s="4023"/>
      <c r="E4141" s="4020"/>
      <c r="F4141" s="3016" t="str">
        <f t="shared" si="331"/>
        <v>ASHP-SEER19-Replace_CAC_ElectricHeat_ER1_MF_CompE</v>
      </c>
      <c r="G4141" s="2673"/>
      <c r="H4141" s="2673"/>
      <c r="I4141" s="2673"/>
      <c r="J4141" s="3302" t="str">
        <f t="shared" ref="J4141:J4152" si="334">C1689</f>
        <v>354451_2019_12_</v>
      </c>
      <c r="K4141" s="3294">
        <f>(($R$1820*L4141)+$R$1809)-(($Q$1820*L4141)/((1+$R$1822)^($R$1823-1)))</f>
        <v>1685.1098012161674</v>
      </c>
      <c r="L4141" s="112">
        <f>VLOOKUP(J4141,$J$1801:$L$1987,3,FALSE)*M4141</f>
        <v>2.0150000000000001</v>
      </c>
      <c r="M4141" s="3286">
        <f>VLOOKUP(J4141,$J$3297:$K$3483,2,FALSE)</f>
        <v>0.65</v>
      </c>
      <c r="N4141" s="1135"/>
      <c r="O4141" s="228"/>
      <c r="P4141" s="844"/>
      <c r="Q4141" s="845"/>
      <c r="R4141" s="844"/>
      <c r="S4141" s="832"/>
      <c r="T4141" s="3082"/>
      <c r="U4141" s="123"/>
      <c r="V4141" s="4031"/>
      <c r="W4141" s="3307"/>
      <c r="X4141" s="535"/>
      <c r="Y4141" s="535"/>
      <c r="Z4141" s="532"/>
      <c r="AA4141" s="532"/>
      <c r="AB4141" s="535"/>
      <c r="AC4141" s="3294">
        <v>1685.1098012161674</v>
      </c>
      <c r="AD4141" s="793"/>
      <c r="AE4141" s="793"/>
      <c r="AF4141" s="793"/>
      <c r="AG4141" s="793"/>
      <c r="BB4141" s="575"/>
      <c r="BC4141" s="576"/>
      <c r="BD4141" s="678"/>
      <c r="BE4141" s="585"/>
    </row>
    <row r="4142" spans="1:57" s="1942" customFormat="1" ht="15" hidden="1" customHeight="1" outlineLevel="1" x14ac:dyDescent="0.25">
      <c r="A4142" s="2060"/>
      <c r="B4142" s="576"/>
      <c r="C4142" s="328"/>
      <c r="D4142" s="4023"/>
      <c r="E4142" s="4020"/>
      <c r="F4142" s="3016" t="str">
        <f t="shared" si="331"/>
        <v>ASHP-SEER19-Replace_CAC_ElectricHeat_ER1_MF_CompE</v>
      </c>
      <c r="G4142" s="2673"/>
      <c r="H4142" s="2673"/>
      <c r="I4142" s="2673"/>
      <c r="J4142" s="3302" t="str">
        <f t="shared" si="334"/>
        <v>354451_2019_12_</v>
      </c>
      <c r="K4142" s="1052"/>
      <c r="L4142" s="109"/>
      <c r="M4142" s="3066"/>
      <c r="N4142" s="1135"/>
      <c r="O4142" s="228"/>
      <c r="P4142" s="844"/>
      <c r="Q4142" s="845"/>
      <c r="R4142" s="844"/>
      <c r="S4142" s="832"/>
      <c r="T4142" s="3082"/>
      <c r="U4142" s="123"/>
      <c r="V4142" s="4031"/>
      <c r="W4142" s="3307"/>
      <c r="X4142" s="535"/>
      <c r="Y4142" s="535"/>
      <c r="Z4142" s="532"/>
      <c r="AA4142" s="532"/>
      <c r="AB4142" s="535"/>
      <c r="AC4142" s="1052"/>
      <c r="AD4142" s="793"/>
      <c r="AE4142" s="793"/>
      <c r="AF4142" s="793"/>
      <c r="AG4142" s="793"/>
      <c r="BB4142" s="575"/>
      <c r="BC4142" s="576"/>
      <c r="BD4142" s="678"/>
      <c r="BE4142" s="585"/>
    </row>
    <row r="4143" spans="1:57" s="1942" customFormat="1" ht="15" hidden="1" customHeight="1" outlineLevel="1" x14ac:dyDescent="0.25">
      <c r="A4143" s="2060"/>
      <c r="B4143" s="576"/>
      <c r="C4143" s="328"/>
      <c r="D4143" s="4023"/>
      <c r="E4143" s="4020"/>
      <c r="F4143" s="3016" t="str">
        <f t="shared" si="331"/>
        <v>ASHP-SEER19-Replace_CAC_ElectricHeat_ER2_MF_CompE</v>
      </c>
      <c r="G4143" s="2673"/>
      <c r="H4143" s="2673"/>
      <c r="I4143" s="2673"/>
      <c r="J4143" s="3302" t="str">
        <f t="shared" si="334"/>
        <v>354451_2019_12_</v>
      </c>
      <c r="K4143" s="1052"/>
      <c r="L4143" s="109"/>
      <c r="M4143" s="3066"/>
      <c r="N4143" s="1135"/>
      <c r="O4143" s="228"/>
      <c r="P4143" s="844"/>
      <c r="Q4143" s="845"/>
      <c r="R4143" s="844"/>
      <c r="S4143" s="832"/>
      <c r="T4143" s="3082"/>
      <c r="U4143" s="123"/>
      <c r="V4143" s="4031"/>
      <c r="W4143" s="3307"/>
      <c r="X4143" s="535"/>
      <c r="Y4143" s="535"/>
      <c r="Z4143" s="532"/>
      <c r="AA4143" s="532"/>
      <c r="AB4143" s="535"/>
      <c r="AC4143" s="1052"/>
      <c r="AD4143" s="793"/>
      <c r="AE4143" s="793"/>
      <c r="AF4143" s="793"/>
      <c r="AG4143" s="793"/>
      <c r="BB4143" s="575"/>
      <c r="BC4143" s="576"/>
      <c r="BD4143" s="678"/>
      <c r="BE4143" s="585"/>
    </row>
    <row r="4144" spans="1:57" s="1942" customFormat="1" ht="15" hidden="1" customHeight="1" outlineLevel="1" x14ac:dyDescent="0.25">
      <c r="A4144" s="2060"/>
      <c r="B4144" s="576"/>
      <c r="C4144" s="328"/>
      <c r="D4144" s="4023"/>
      <c r="E4144" s="4020"/>
      <c r="F4144" s="3016" t="str">
        <f t="shared" si="331"/>
        <v>ASHP-SEER19-Replace_CAC_ElectricHeat_ER2_MF_CompE</v>
      </c>
      <c r="G4144" s="2673"/>
      <c r="H4144" s="2673"/>
      <c r="I4144" s="2673"/>
      <c r="J4144" s="3302" t="str">
        <f t="shared" si="334"/>
        <v>354451_2019_12_</v>
      </c>
      <c r="K4144" s="1052"/>
      <c r="L4144" s="109"/>
      <c r="M4144" s="3066"/>
      <c r="N4144" s="1135"/>
      <c r="O4144" s="228"/>
      <c r="P4144" s="844"/>
      <c r="Q4144" s="845"/>
      <c r="R4144" s="844"/>
      <c r="S4144" s="832"/>
      <c r="T4144" s="3082"/>
      <c r="U4144" s="123"/>
      <c r="V4144" s="4031"/>
      <c r="W4144" s="3307"/>
      <c r="X4144" s="535"/>
      <c r="Y4144" s="535"/>
      <c r="Z4144" s="532"/>
      <c r="AA4144" s="532"/>
      <c r="AB4144" s="535"/>
      <c r="AC4144" s="1052"/>
      <c r="AD4144" s="793"/>
      <c r="AE4144" s="793"/>
      <c r="AF4144" s="793"/>
      <c r="AG4144" s="793"/>
      <c r="BB4144" s="575"/>
      <c r="BC4144" s="576"/>
      <c r="BD4144" s="678"/>
      <c r="BE4144" s="585"/>
    </row>
    <row r="4145" spans="1:57" s="1942" customFormat="1" ht="15" hidden="1" customHeight="1" outlineLevel="1" x14ac:dyDescent="0.25">
      <c r="A4145" s="2060"/>
      <c r="B4145" s="576"/>
      <c r="C4145" s="328"/>
      <c r="D4145" s="4023"/>
      <c r="E4145" s="4020"/>
      <c r="F4145" s="3016" t="str">
        <f t="shared" si="331"/>
        <v>ASHP-SEER19-Replace_CAC_NonElectricHeat_ER1_MF</v>
      </c>
      <c r="G4145" s="2673"/>
      <c r="H4145" s="2673"/>
      <c r="I4145" s="2673"/>
      <c r="J4145" s="3301" t="str">
        <f t="shared" si="334"/>
        <v>354460_2021_12_</v>
      </c>
      <c r="K4145" s="3294">
        <f>(($R$1820*L4145)+$R$1809)-(($Q$1820*L4145)/((1+$R$1822)^($R$1823-1)))</f>
        <v>1685.1098012161674</v>
      </c>
      <c r="L4145" s="112">
        <f>VLOOKUP(J4145,$J$1801:$L$1987,3,FALSE)*M4145</f>
        <v>2.0150000000000001</v>
      </c>
      <c r="M4145" s="3286">
        <f>VLOOKUP(J4145,$J$3297:$K$3483,2,FALSE)</f>
        <v>0.65</v>
      </c>
      <c r="N4145" s="1135"/>
      <c r="O4145" s="228"/>
      <c r="P4145" s="844"/>
      <c r="Q4145" s="845"/>
      <c r="R4145" s="844"/>
      <c r="S4145" s="832"/>
      <c r="T4145" s="3082"/>
      <c r="U4145" s="123"/>
      <c r="V4145" s="4031"/>
      <c r="W4145" s="3307"/>
      <c r="X4145" s="535"/>
      <c r="Y4145" s="535"/>
      <c r="Z4145" s="532"/>
      <c r="AA4145" s="532"/>
      <c r="AB4145" s="535"/>
      <c r="AC4145" s="3294">
        <v>1685.1098012161674</v>
      </c>
      <c r="AD4145" s="793"/>
      <c r="AE4145" s="793"/>
      <c r="AF4145" s="793"/>
      <c r="AG4145" s="793"/>
      <c r="BB4145" s="575"/>
      <c r="BC4145" s="576"/>
      <c r="BD4145" s="678"/>
      <c r="BE4145" s="585"/>
    </row>
    <row r="4146" spans="1:57" s="1942" customFormat="1" ht="15" hidden="1" customHeight="1" outlineLevel="1" x14ac:dyDescent="0.25">
      <c r="A4146" s="2060"/>
      <c r="B4146" s="576"/>
      <c r="C4146" s="328"/>
      <c r="D4146" s="4023"/>
      <c r="E4146" s="4020"/>
      <c r="F4146" s="3016" t="str">
        <f t="shared" si="331"/>
        <v>ASHP-SEER19-Replace_CAC_NonElectricHeat_ER1_MF</v>
      </c>
      <c r="G4146" s="2673"/>
      <c r="H4146" s="2673"/>
      <c r="I4146" s="2673"/>
      <c r="J4146" s="3301" t="str">
        <f t="shared" si="334"/>
        <v>354460_2021_12_</v>
      </c>
      <c r="K4146" s="1052"/>
      <c r="L4146" s="109"/>
      <c r="M4146" s="3066"/>
      <c r="N4146" s="1135"/>
      <c r="O4146" s="228"/>
      <c r="P4146" s="844"/>
      <c r="Q4146" s="845"/>
      <c r="R4146" s="844"/>
      <c r="S4146" s="832"/>
      <c r="T4146" s="3082"/>
      <c r="U4146" s="123"/>
      <c r="V4146" s="4031"/>
      <c r="W4146" s="3307"/>
      <c r="X4146" s="535"/>
      <c r="Y4146" s="535"/>
      <c r="Z4146" s="532"/>
      <c r="AA4146" s="532"/>
      <c r="AB4146" s="535"/>
      <c r="AC4146" s="1052"/>
      <c r="AD4146" s="793"/>
      <c r="AE4146" s="793"/>
      <c r="AF4146" s="793"/>
      <c r="AG4146" s="793"/>
      <c r="BB4146" s="575"/>
      <c r="BC4146" s="576"/>
      <c r="BD4146" s="678"/>
      <c r="BE4146" s="585"/>
    </row>
    <row r="4147" spans="1:57" s="1942" customFormat="1" ht="15" hidden="1" customHeight="1" outlineLevel="1" x14ac:dyDescent="0.25">
      <c r="A4147" s="2060"/>
      <c r="B4147" s="576"/>
      <c r="C4147" s="328"/>
      <c r="D4147" s="4023"/>
      <c r="E4147" s="4020"/>
      <c r="F4147" s="3016" t="str">
        <f t="shared" si="331"/>
        <v>ASHP-SEER19-Replace_CAC_NonElectricHeat_ER2_MF</v>
      </c>
      <c r="G4147" s="2673"/>
      <c r="H4147" s="2673"/>
      <c r="I4147" s="2673"/>
      <c r="J4147" s="3301" t="str">
        <f t="shared" si="334"/>
        <v>354460_2021_12_</v>
      </c>
      <c r="K4147" s="1052"/>
      <c r="L4147" s="109"/>
      <c r="M4147" s="3066"/>
      <c r="N4147" s="1135"/>
      <c r="O4147" s="228"/>
      <c r="P4147" s="844"/>
      <c r="Q4147" s="845"/>
      <c r="R4147" s="844"/>
      <c r="S4147" s="832"/>
      <c r="T4147" s="3082"/>
      <c r="U4147" s="123"/>
      <c r="V4147" s="4031"/>
      <c r="W4147" s="3307"/>
      <c r="X4147" s="535"/>
      <c r="Y4147" s="535"/>
      <c r="Z4147" s="532"/>
      <c r="AA4147" s="532"/>
      <c r="AB4147" s="535"/>
      <c r="AC4147" s="1052"/>
      <c r="AD4147" s="793"/>
      <c r="AE4147" s="793"/>
      <c r="AF4147" s="793"/>
      <c r="AG4147" s="793"/>
      <c r="BB4147" s="575"/>
      <c r="BC4147" s="576"/>
      <c r="BD4147" s="678"/>
      <c r="BE4147" s="585"/>
    </row>
    <row r="4148" spans="1:57" s="1942" customFormat="1" ht="15" hidden="1" customHeight="1" outlineLevel="1" x14ac:dyDescent="0.25">
      <c r="A4148" s="2060"/>
      <c r="B4148" s="576"/>
      <c r="C4148" s="328"/>
      <c r="D4148" s="4023"/>
      <c r="E4148" s="4020"/>
      <c r="F4148" s="3016" t="str">
        <f t="shared" si="331"/>
        <v>ASHP-SEER19-Replace_CAC_NonElectricHeat_ER2_MF</v>
      </c>
      <c r="G4148" s="2673"/>
      <c r="H4148" s="2673"/>
      <c r="I4148" s="2673"/>
      <c r="J4148" s="3301" t="str">
        <f t="shared" si="334"/>
        <v>354460_2021_12_</v>
      </c>
      <c r="K4148" s="1052"/>
      <c r="L4148" s="109"/>
      <c r="M4148" s="3066"/>
      <c r="N4148" s="1135"/>
      <c r="O4148" s="228"/>
      <c r="P4148" s="844"/>
      <c r="Q4148" s="845"/>
      <c r="R4148" s="844"/>
      <c r="S4148" s="832"/>
      <c r="T4148" s="3082"/>
      <c r="U4148" s="123"/>
      <c r="V4148" s="4031"/>
      <c r="W4148" s="3307"/>
      <c r="X4148" s="535"/>
      <c r="Y4148" s="535"/>
      <c r="Z4148" s="532"/>
      <c r="AA4148" s="532"/>
      <c r="AB4148" s="535"/>
      <c r="AC4148" s="1052"/>
      <c r="AD4148" s="793"/>
      <c r="AE4148" s="793"/>
      <c r="AF4148" s="793"/>
      <c r="AG4148" s="793"/>
      <c r="BB4148" s="575"/>
      <c r="BC4148" s="576"/>
      <c r="BD4148" s="678"/>
      <c r="BE4148" s="585"/>
    </row>
    <row r="4149" spans="1:57" s="1942" customFormat="1" ht="15" hidden="1" customHeight="1" outlineLevel="1" x14ac:dyDescent="0.25">
      <c r="A4149" s="2060"/>
      <c r="B4149" s="576"/>
      <c r="C4149" s="328"/>
      <c r="D4149" s="4023"/>
      <c r="E4149" s="4020"/>
      <c r="F4149" s="3016" t="str">
        <f t="shared" si="331"/>
        <v>ASHP-SEER19-Replace_CAC_NonElectricHeat_ER1_MF_CompE</v>
      </c>
      <c r="G4149" s="2673"/>
      <c r="H4149" s="2673"/>
      <c r="I4149" s="2673"/>
      <c r="J4149" s="3301" t="str">
        <f t="shared" si="334"/>
        <v>354461_2021_12_</v>
      </c>
      <c r="K4149" s="3294">
        <f>(($R$1820*L4149)+$R$1809)-(($Q$1820*L4149)/((1+$R$1822)^($R$1823-1)))</f>
        <v>1685.1098012161674</v>
      </c>
      <c r="L4149" s="112">
        <f>VLOOKUP(J4149,$J$1801:$L$1987,3,FALSE)*M4149</f>
        <v>2.0150000000000001</v>
      </c>
      <c r="M4149" s="3286">
        <f>VLOOKUP(J4149,$J$3297:$K$3483,2,FALSE)</f>
        <v>0.65</v>
      </c>
      <c r="N4149" s="1135"/>
      <c r="O4149" s="228"/>
      <c r="P4149" s="844"/>
      <c r="Q4149" s="845"/>
      <c r="R4149" s="844"/>
      <c r="S4149" s="832"/>
      <c r="T4149" s="3082"/>
      <c r="U4149" s="123"/>
      <c r="V4149" s="4031"/>
      <c r="W4149" s="3307"/>
      <c r="X4149" s="535"/>
      <c r="Y4149" s="535"/>
      <c r="Z4149" s="532"/>
      <c r="AA4149" s="532"/>
      <c r="AB4149" s="535"/>
      <c r="AC4149" s="3294">
        <v>1685.1098012161674</v>
      </c>
      <c r="AD4149" s="793"/>
      <c r="AE4149" s="793"/>
      <c r="AF4149" s="793"/>
      <c r="AG4149" s="793"/>
      <c r="BB4149" s="575"/>
      <c r="BC4149" s="576"/>
      <c r="BD4149" s="678"/>
      <c r="BE4149" s="585"/>
    </row>
    <row r="4150" spans="1:57" s="1942" customFormat="1" ht="15" hidden="1" customHeight="1" outlineLevel="1" x14ac:dyDescent="0.25">
      <c r="A4150" s="2060"/>
      <c r="B4150" s="576"/>
      <c r="C4150" s="328"/>
      <c r="D4150" s="4023"/>
      <c r="E4150" s="4020"/>
      <c r="F4150" s="3016" t="str">
        <f t="shared" si="331"/>
        <v>ASHP-SEER19-Replace_CAC_NonElectricHeat_ER1_MF_CompE</v>
      </c>
      <c r="G4150" s="2673"/>
      <c r="H4150" s="2673"/>
      <c r="I4150" s="2673"/>
      <c r="J4150" s="3301" t="str">
        <f t="shared" si="334"/>
        <v>354461_2021_12_</v>
      </c>
      <c r="K4150" s="1052"/>
      <c r="L4150" s="109"/>
      <c r="M4150" s="3066"/>
      <c r="N4150" s="1135"/>
      <c r="O4150" s="228"/>
      <c r="P4150" s="844"/>
      <c r="Q4150" s="845"/>
      <c r="R4150" s="844"/>
      <c r="S4150" s="832"/>
      <c r="T4150" s="3082"/>
      <c r="U4150" s="123"/>
      <c r="V4150" s="4031"/>
      <c r="W4150" s="3307"/>
      <c r="X4150" s="535"/>
      <c r="Y4150" s="535"/>
      <c r="Z4150" s="532"/>
      <c r="AA4150" s="532"/>
      <c r="AB4150" s="535"/>
      <c r="AC4150" s="1052"/>
      <c r="AD4150" s="793"/>
      <c r="AE4150" s="793"/>
      <c r="AF4150" s="793"/>
      <c r="AG4150" s="793"/>
      <c r="BB4150" s="575"/>
      <c r="BC4150" s="576"/>
      <c r="BD4150" s="678"/>
      <c r="BE4150" s="585"/>
    </row>
    <row r="4151" spans="1:57" s="1942" customFormat="1" ht="15" hidden="1" customHeight="1" outlineLevel="1" x14ac:dyDescent="0.25">
      <c r="A4151" s="2060"/>
      <c r="B4151" s="576"/>
      <c r="C4151" s="328"/>
      <c r="D4151" s="4023"/>
      <c r="E4151" s="4020"/>
      <c r="F4151" s="3016" t="str">
        <f t="shared" si="331"/>
        <v>ASHP-SEER19-Replace_CAC_NonElectricHeat_ER2_MF_CompE</v>
      </c>
      <c r="G4151" s="2673"/>
      <c r="H4151" s="2673"/>
      <c r="I4151" s="2673"/>
      <c r="J4151" s="3301" t="str">
        <f t="shared" si="334"/>
        <v>354461_2021_12_</v>
      </c>
      <c r="K4151" s="1052"/>
      <c r="L4151" s="109"/>
      <c r="M4151" s="3066"/>
      <c r="N4151" s="1135"/>
      <c r="O4151" s="228"/>
      <c r="P4151" s="844"/>
      <c r="Q4151" s="845"/>
      <c r="R4151" s="844"/>
      <c r="S4151" s="832"/>
      <c r="T4151" s="3082"/>
      <c r="U4151" s="123"/>
      <c r="V4151" s="4031"/>
      <c r="W4151" s="3307"/>
      <c r="X4151" s="535"/>
      <c r="Y4151" s="535"/>
      <c r="Z4151" s="532"/>
      <c r="AA4151" s="532"/>
      <c r="AB4151" s="535"/>
      <c r="AC4151" s="1052"/>
      <c r="AD4151" s="793"/>
      <c r="AE4151" s="793"/>
      <c r="AF4151" s="793"/>
      <c r="AG4151" s="793"/>
      <c r="BB4151" s="575"/>
      <c r="BC4151" s="576"/>
      <c r="BD4151" s="678"/>
      <c r="BE4151" s="585"/>
    </row>
    <row r="4152" spans="1:57" s="1942" customFormat="1" ht="15" hidden="1" customHeight="1" outlineLevel="1" x14ac:dyDescent="0.25">
      <c r="A4152" s="2060"/>
      <c r="B4152" s="576"/>
      <c r="C4152" s="328"/>
      <c r="D4152" s="4023"/>
      <c r="E4152" s="4020"/>
      <c r="F4152" s="3016" t="str">
        <f t="shared" si="331"/>
        <v>ASHP-SEER19-Replace_CAC_NonElectricHeat_ER2_MF_CompE</v>
      </c>
      <c r="G4152" s="2673"/>
      <c r="H4152" s="2673"/>
      <c r="I4152" s="2673"/>
      <c r="J4152" s="3301" t="str">
        <f t="shared" si="334"/>
        <v>354461_2021_12_</v>
      </c>
      <c r="K4152" s="1052"/>
      <c r="L4152" s="109"/>
      <c r="M4152" s="3066"/>
      <c r="N4152" s="1135"/>
      <c r="O4152" s="228"/>
      <c r="P4152" s="844"/>
      <c r="Q4152" s="845"/>
      <c r="R4152" s="844"/>
      <c r="S4152" s="832"/>
      <c r="T4152" s="3082"/>
      <c r="U4152" s="123"/>
      <c r="V4152" s="4031"/>
      <c r="W4152" s="3307"/>
      <c r="X4152" s="535"/>
      <c r="Y4152" s="535"/>
      <c r="Z4152" s="532"/>
      <c r="AA4152" s="532"/>
      <c r="AB4152" s="535"/>
      <c r="AC4152" s="1052"/>
      <c r="AD4152" s="793"/>
      <c r="AE4152" s="793"/>
      <c r="AF4152" s="793"/>
      <c r="AG4152" s="793"/>
      <c r="BB4152" s="575"/>
      <c r="BC4152" s="576"/>
      <c r="BD4152" s="678"/>
      <c r="BE4152" s="585"/>
    </row>
    <row r="4153" spans="1:57" s="51" customFormat="1" ht="15" hidden="1" customHeight="1" outlineLevel="1" x14ac:dyDescent="0.25">
      <c r="A4153" s="2060"/>
      <c r="B4153" s="576"/>
      <c r="C4153" s="328"/>
      <c r="D4153" s="4023"/>
      <c r="E4153" s="4020"/>
      <c r="F4153" s="3016" t="str">
        <f t="shared" si="331"/>
        <v>ASHP-SEER19_ER1_MF</v>
      </c>
      <c r="G4153" s="2673"/>
      <c r="H4153" s="2673"/>
      <c r="I4153" s="2673"/>
      <c r="J4153" s="3302" t="str">
        <f>C1701</f>
        <v>354500_2019_12_</v>
      </c>
      <c r="K4153" s="1052">
        <f>(($R$1820*L4153)+$R$1809)-(($Q$1820*L4153)/((1+$R$1822)^($R$1823-1)))</f>
        <v>1716.1717238752744</v>
      </c>
      <c r="L4153" s="109">
        <f>VLOOKUP(J4153,$J$1801:$L$1987,3,FALSE)*M4153</f>
        <v>2.145</v>
      </c>
      <c r="M4153" s="3066">
        <f>VLOOKUP(J4153,$J$3297:$K$3483,2,FALSE)</f>
        <v>0.65</v>
      </c>
      <c r="N4153" s="1135"/>
      <c r="O4153" s="228"/>
      <c r="P4153" s="844"/>
      <c r="Q4153" s="845"/>
      <c r="R4153" s="844"/>
      <c r="S4153" s="832"/>
      <c r="T4153" s="3082"/>
      <c r="U4153" s="123"/>
      <c r="V4153" s="4031"/>
      <c r="W4153" s="3307">
        <v>7371.3247976250323</v>
      </c>
      <c r="X4153" s="535">
        <f>(X$1948/12000)*$Q$1809*X$3444</f>
        <v>4119.3944216258233</v>
      </c>
      <c r="Y4153" s="535">
        <v>1417.1849952991461</v>
      </c>
      <c r="Z4153" s="532">
        <v>1417.1849952991461</v>
      </c>
      <c r="AA4153" s="532">
        <v>1417.1849952991461</v>
      </c>
      <c r="AB4153" s="535">
        <v>1716.1717238752744</v>
      </c>
      <c r="AC4153" s="1052">
        <v>1716.1717238752744</v>
      </c>
      <c r="AD4153" s="793"/>
      <c r="AE4153" s="793"/>
      <c r="AF4153" s="793"/>
      <c r="AG4153" s="793"/>
      <c r="AH4153" s="1942"/>
      <c r="AI4153" s="1942"/>
      <c r="AJ4153" s="1942"/>
      <c r="AK4153" s="1942"/>
      <c r="AL4153" s="1942"/>
      <c r="AM4153" s="1942"/>
      <c r="AN4153" s="1942"/>
      <c r="AO4153" s="1942"/>
      <c r="AP4153" s="1942"/>
      <c r="AQ4153" s="1942"/>
      <c r="AR4153" s="1942"/>
      <c r="AS4153" s="1942"/>
      <c r="AT4153" s="1942"/>
      <c r="AU4153" s="1942"/>
      <c r="AV4153" s="1942"/>
      <c r="AW4153" s="1942"/>
      <c r="AX4153" s="1942"/>
      <c r="AY4153" s="1942"/>
      <c r="AZ4153" s="1942"/>
      <c r="BA4153" s="1942"/>
      <c r="BB4153" s="575"/>
      <c r="BC4153" s="576"/>
      <c r="BD4153" s="678"/>
      <c r="BE4153" s="585"/>
    </row>
    <row r="4154" spans="1:57" s="51" customFormat="1" ht="15" hidden="1" customHeight="1" outlineLevel="1" x14ac:dyDescent="0.25">
      <c r="A4154" s="1267"/>
      <c r="B4154" s="576"/>
      <c r="C4154" s="328"/>
      <c r="D4154" s="4023"/>
      <c r="E4154" s="4020"/>
      <c r="F4154" s="3016" t="str">
        <f t="shared" si="331"/>
        <v>ASHP-SEER19_ER1_MF</v>
      </c>
      <c r="G4154" s="2673"/>
      <c r="H4154" s="2673"/>
      <c r="I4154" s="2673"/>
      <c r="J4154" s="3302" t="str">
        <f>C1702</f>
        <v>354500_2019_12_</v>
      </c>
      <c r="K4154" s="1052"/>
      <c r="L4154" s="109" t="str">
        <f>IF(K4154&gt;0,VLOOKUP(J4154,$J$1801:$L$1987,3,FALSE),"")</f>
        <v/>
      </c>
      <c r="M4154" s="3066" t="str">
        <f>IF(K4154&gt;0,VLOOKUP(J4154,$J$3297:$K$3483,2,FALSE),"")</f>
        <v/>
      </c>
      <c r="N4154" s="1135"/>
      <c r="O4154" s="228"/>
      <c r="P4154" s="844"/>
      <c r="Q4154" s="228"/>
      <c r="R4154" s="228"/>
      <c r="S4154" s="123"/>
      <c r="T4154" s="123"/>
      <c r="U4154" s="123"/>
      <c r="V4154" s="4031"/>
      <c r="W4154" s="3307"/>
      <c r="X4154" s="535"/>
      <c r="Y4154" s="535"/>
      <c r="Z4154" s="532"/>
      <c r="AA4154" s="532"/>
      <c r="AB4154" s="535"/>
      <c r="AC4154" s="1052"/>
      <c r="AD4154" s="793"/>
      <c r="AE4154" s="793"/>
      <c r="AF4154" s="793"/>
      <c r="AG4154" s="793"/>
      <c r="AH4154" s="1942"/>
      <c r="AI4154" s="1942"/>
      <c r="AJ4154" s="1942"/>
      <c r="AK4154" s="1942"/>
      <c r="AL4154" s="1942"/>
      <c r="AM4154" s="1942"/>
      <c r="AN4154" s="1942"/>
      <c r="AO4154" s="1942"/>
      <c r="AP4154" s="1942"/>
      <c r="AQ4154" s="1942"/>
      <c r="AR4154" s="1942"/>
      <c r="AS4154" s="1942"/>
      <c r="AT4154" s="1942"/>
      <c r="AU4154" s="1942"/>
      <c r="AV4154" s="1942"/>
      <c r="AW4154" s="1942"/>
      <c r="AX4154" s="1942"/>
      <c r="AY4154" s="1942"/>
      <c r="AZ4154" s="1942"/>
      <c r="BA4154" s="1942"/>
      <c r="BB4154" s="575"/>
      <c r="BC4154" s="576"/>
      <c r="BD4154" s="678"/>
      <c r="BE4154" s="585"/>
    </row>
    <row r="4155" spans="1:57" s="51" customFormat="1" ht="15" hidden="1" customHeight="1" outlineLevel="1" x14ac:dyDescent="0.25">
      <c r="A4155" s="1267"/>
      <c r="B4155" s="576"/>
      <c r="C4155" s="328"/>
      <c r="D4155" s="4023"/>
      <c r="E4155" s="4020"/>
      <c r="F4155" s="3016" t="str">
        <f t="shared" si="331"/>
        <v>ASHP-SEER19_ER2_MF</v>
      </c>
      <c r="G4155" s="2673"/>
      <c r="H4155" s="2673"/>
      <c r="I4155" s="2673"/>
      <c r="J4155" s="3302" t="str">
        <f>C1703</f>
        <v>354500_2019_12_</v>
      </c>
      <c r="K4155" s="1052"/>
      <c r="L4155" s="109" t="str">
        <f>IF(K4155&gt;0,VLOOKUP(J4155,$J$1801:$L$1987,3,FALSE),"")</f>
        <v/>
      </c>
      <c r="M4155" s="3066" t="str">
        <f>IF(K4155&gt;0,VLOOKUP(J4155,$J$3297:$K$3483,2,FALSE),"")</f>
        <v/>
      </c>
      <c r="N4155" s="1135"/>
      <c r="O4155" s="228"/>
      <c r="P4155" s="844"/>
      <c r="Q4155" s="228"/>
      <c r="R4155" s="228"/>
      <c r="S4155" s="123"/>
      <c r="T4155" s="123"/>
      <c r="U4155" s="123"/>
      <c r="V4155" s="4031"/>
      <c r="W4155" s="3307"/>
      <c r="X4155" s="535"/>
      <c r="Y4155" s="535"/>
      <c r="Z4155" s="532"/>
      <c r="AA4155" s="532"/>
      <c r="AB4155" s="535"/>
      <c r="AC4155" s="1052"/>
      <c r="AD4155" s="793"/>
      <c r="AE4155" s="793"/>
      <c r="AF4155" s="793"/>
      <c r="AG4155" s="793"/>
      <c r="AH4155" s="1942"/>
      <c r="AI4155" s="1942"/>
      <c r="AJ4155" s="1942"/>
      <c r="AK4155" s="1942"/>
      <c r="AL4155" s="1942"/>
      <c r="AM4155" s="1942"/>
      <c r="AN4155" s="1942"/>
      <c r="AO4155" s="1942"/>
      <c r="AP4155" s="1942"/>
      <c r="AQ4155" s="1942"/>
      <c r="AR4155" s="1942"/>
      <c r="AS4155" s="1942"/>
      <c r="AT4155" s="1942"/>
      <c r="AU4155" s="1942"/>
      <c r="AV4155" s="1942"/>
      <c r="AW4155" s="1942"/>
      <c r="AX4155" s="1942"/>
      <c r="AY4155" s="1942"/>
      <c r="AZ4155" s="1942"/>
      <c r="BA4155" s="1942"/>
      <c r="BB4155" s="575"/>
      <c r="BC4155" s="576"/>
      <c r="BD4155" s="678"/>
      <c r="BE4155" s="585"/>
    </row>
    <row r="4156" spans="1:57" s="51" customFormat="1" ht="15" hidden="1" customHeight="1" outlineLevel="1" x14ac:dyDescent="0.25">
      <c r="A4156" s="2060"/>
      <c r="B4156" s="576"/>
      <c r="C4156" s="328"/>
      <c r="D4156" s="4023"/>
      <c r="E4156" s="4020"/>
      <c r="F4156" s="3016" t="str">
        <f t="shared" si="331"/>
        <v>ASHP-SEER19_ER2_MF</v>
      </c>
      <c r="G4156" s="2673"/>
      <c r="H4156" s="2673"/>
      <c r="I4156" s="2673"/>
      <c r="J4156" s="3302" t="str">
        <f>C1704</f>
        <v>354500_2019_12_</v>
      </c>
      <c r="K4156" s="1052"/>
      <c r="L4156" s="109" t="str">
        <f>IF(K4156&gt;0,VLOOKUP(J4156,$J$1801:$L$1987,3,FALSE),"")</f>
        <v/>
      </c>
      <c r="M4156" s="3066" t="str">
        <f>IF(K4156&gt;0,VLOOKUP(J4156,$J$3297:$K$3483,2,FALSE),"")</f>
        <v/>
      </c>
      <c r="N4156" s="1135"/>
      <c r="O4156" s="228"/>
      <c r="P4156" s="844"/>
      <c r="Q4156" s="845"/>
      <c r="R4156" s="844"/>
      <c r="S4156" s="832"/>
      <c r="T4156" s="3082"/>
      <c r="U4156" s="123"/>
      <c r="V4156" s="4031"/>
      <c r="W4156" s="3307"/>
      <c r="X4156" s="535"/>
      <c r="Y4156" s="535"/>
      <c r="Z4156" s="532"/>
      <c r="AA4156" s="532"/>
      <c r="AB4156" s="535"/>
      <c r="AC4156" s="1052"/>
      <c r="AD4156" s="793"/>
      <c r="AE4156" s="793"/>
      <c r="AF4156" s="793"/>
      <c r="AG4156" s="793"/>
      <c r="AH4156" s="1942"/>
      <c r="AI4156" s="1942"/>
      <c r="AJ4156" s="1942"/>
      <c r="AK4156" s="1942"/>
      <c r="AL4156" s="1942"/>
      <c r="AM4156" s="1942"/>
      <c r="AN4156" s="1942"/>
      <c r="AO4156" s="1942"/>
      <c r="AP4156" s="1942"/>
      <c r="AQ4156" s="1942"/>
      <c r="AR4156" s="1942"/>
      <c r="AS4156" s="1942"/>
      <c r="AT4156" s="1942"/>
      <c r="AU4156" s="1942"/>
      <c r="AV4156" s="1942"/>
      <c r="AW4156" s="1942"/>
      <c r="AX4156" s="1942"/>
      <c r="AY4156" s="1942"/>
      <c r="AZ4156" s="1942"/>
      <c r="BA4156" s="1942"/>
      <c r="BB4156" s="575"/>
      <c r="BC4156" s="576"/>
      <c r="BD4156" s="678"/>
      <c r="BE4156" s="585"/>
    </row>
    <row r="4157" spans="1:57" s="1942" customFormat="1" ht="15" hidden="1" customHeight="1" outlineLevel="1" x14ac:dyDescent="0.25">
      <c r="A4157" s="2060"/>
      <c r="B4157" s="576"/>
      <c r="C4157" s="328"/>
      <c r="D4157" s="4023"/>
      <c r="E4157" s="4020"/>
      <c r="F4157" s="3016" t="str">
        <f t="shared" si="331"/>
        <v>ASHP-SEER19_ER1_MF_CompE</v>
      </c>
      <c r="G4157" s="2673"/>
      <c r="H4157" s="2673"/>
      <c r="I4157" s="2673"/>
      <c r="J4157" s="3302" t="str">
        <f t="shared" ref="J4157:J4160" si="335">C1705</f>
        <v>354501_2019_12_</v>
      </c>
      <c r="K4157" s="3294">
        <f>(($R$1820*L4157)+$R$1809)-(($Q$1820*L4157)/((1+$R$1822)^($R$1823-1)))</f>
        <v>1716.1717238752744</v>
      </c>
      <c r="L4157" s="112">
        <f>VLOOKUP(J4157,$J$1801:$L$1987,3,FALSE)*M4157</f>
        <v>2.145</v>
      </c>
      <c r="M4157" s="3286">
        <f>VLOOKUP(J4157,$J$3297:$K$3483,2,FALSE)</f>
        <v>0.65</v>
      </c>
      <c r="N4157" s="1135"/>
      <c r="O4157" s="228"/>
      <c r="P4157" s="844"/>
      <c r="Q4157" s="845"/>
      <c r="R4157" s="844"/>
      <c r="S4157" s="832"/>
      <c r="T4157" s="3082"/>
      <c r="U4157" s="123"/>
      <c r="V4157" s="4031"/>
      <c r="W4157" s="3307"/>
      <c r="X4157" s="535"/>
      <c r="Y4157" s="535"/>
      <c r="Z4157" s="532"/>
      <c r="AA4157" s="532"/>
      <c r="AB4157" s="535"/>
      <c r="AC4157" s="3294">
        <v>1716.1717238752744</v>
      </c>
      <c r="AD4157" s="793"/>
      <c r="AE4157" s="793"/>
      <c r="AF4157" s="793"/>
      <c r="AG4157" s="793"/>
      <c r="BB4157" s="575"/>
      <c r="BC4157" s="576"/>
      <c r="BD4157" s="678"/>
      <c r="BE4157" s="585"/>
    </row>
    <row r="4158" spans="1:57" s="1942" customFormat="1" ht="15" hidden="1" customHeight="1" outlineLevel="1" x14ac:dyDescent="0.25">
      <c r="A4158" s="2060"/>
      <c r="B4158" s="576"/>
      <c r="C4158" s="328"/>
      <c r="D4158" s="4023"/>
      <c r="E4158" s="4020"/>
      <c r="F4158" s="3016" t="str">
        <f t="shared" si="331"/>
        <v>ASHP-SEER19_ER1_MF_CompE</v>
      </c>
      <c r="G4158" s="2673"/>
      <c r="H4158" s="2673"/>
      <c r="I4158" s="2673"/>
      <c r="J4158" s="3302" t="str">
        <f t="shared" si="335"/>
        <v>354501_2019_12_</v>
      </c>
      <c r="K4158" s="1052"/>
      <c r="L4158" s="109"/>
      <c r="M4158" s="3066"/>
      <c r="N4158" s="1135"/>
      <c r="O4158" s="228"/>
      <c r="P4158" s="844"/>
      <c r="Q4158" s="845"/>
      <c r="R4158" s="844"/>
      <c r="S4158" s="832"/>
      <c r="T4158" s="3082"/>
      <c r="U4158" s="123"/>
      <c r="V4158" s="4031"/>
      <c r="W4158" s="3307"/>
      <c r="X4158" s="535"/>
      <c r="Y4158" s="535"/>
      <c r="Z4158" s="532"/>
      <c r="AA4158" s="532"/>
      <c r="AB4158" s="535"/>
      <c r="AC4158" s="1052"/>
      <c r="AD4158" s="793"/>
      <c r="AE4158" s="793"/>
      <c r="AF4158" s="793"/>
      <c r="AG4158" s="793"/>
      <c r="BB4158" s="575"/>
      <c r="BC4158" s="576"/>
      <c r="BD4158" s="678"/>
      <c r="BE4158" s="585"/>
    </row>
    <row r="4159" spans="1:57" s="1942" customFormat="1" ht="15" hidden="1" customHeight="1" outlineLevel="1" x14ac:dyDescent="0.25">
      <c r="A4159" s="2060"/>
      <c r="B4159" s="576"/>
      <c r="C4159" s="328"/>
      <c r="D4159" s="4023"/>
      <c r="E4159" s="4020"/>
      <c r="F4159" s="3016" t="str">
        <f t="shared" si="331"/>
        <v>ASHP-SEER19_ER2_MF_CompE</v>
      </c>
      <c r="G4159" s="2673"/>
      <c r="H4159" s="2673"/>
      <c r="I4159" s="2673"/>
      <c r="J4159" s="3302" t="str">
        <f t="shared" si="335"/>
        <v>354501_2019_12_</v>
      </c>
      <c r="K4159" s="1052"/>
      <c r="L4159" s="109"/>
      <c r="M4159" s="3066"/>
      <c r="N4159" s="1135"/>
      <c r="O4159" s="228"/>
      <c r="P4159" s="844"/>
      <c r="Q4159" s="845"/>
      <c r="R4159" s="844"/>
      <c r="S4159" s="832"/>
      <c r="T4159" s="3082"/>
      <c r="U4159" s="123"/>
      <c r="V4159" s="4031"/>
      <c r="W4159" s="3307"/>
      <c r="X4159" s="535"/>
      <c r="Y4159" s="535"/>
      <c r="Z4159" s="532"/>
      <c r="AA4159" s="532"/>
      <c r="AB4159" s="535"/>
      <c r="AC4159" s="1052"/>
      <c r="AD4159" s="793"/>
      <c r="AE4159" s="793"/>
      <c r="AF4159" s="793"/>
      <c r="AG4159" s="793"/>
      <c r="BB4159" s="575"/>
      <c r="BC4159" s="576"/>
      <c r="BD4159" s="678"/>
      <c r="BE4159" s="585"/>
    </row>
    <row r="4160" spans="1:57" s="1942" customFormat="1" ht="15" hidden="1" customHeight="1" outlineLevel="1" x14ac:dyDescent="0.25">
      <c r="A4160" s="2060"/>
      <c r="B4160" s="576"/>
      <c r="C4160" s="328"/>
      <c r="D4160" s="4023"/>
      <c r="E4160" s="4020"/>
      <c r="F4160" s="3016" t="str">
        <f t="shared" si="331"/>
        <v>ASHP-SEER19_ER2_MF_CompE</v>
      </c>
      <c r="G4160" s="2673"/>
      <c r="H4160" s="2673"/>
      <c r="I4160" s="2673"/>
      <c r="J4160" s="3302" t="str">
        <f t="shared" si="335"/>
        <v>354501_2019_12_</v>
      </c>
      <c r="K4160" s="1052"/>
      <c r="L4160" s="109"/>
      <c r="M4160" s="3066"/>
      <c r="N4160" s="1135"/>
      <c r="O4160" s="228"/>
      <c r="P4160" s="844"/>
      <c r="Q4160" s="845"/>
      <c r="R4160" s="844"/>
      <c r="S4160" s="832"/>
      <c r="T4160" s="3082"/>
      <c r="U4160" s="123"/>
      <c r="V4160" s="4031"/>
      <c r="W4160" s="3307"/>
      <c r="X4160" s="535"/>
      <c r="Y4160" s="535"/>
      <c r="Z4160" s="532"/>
      <c r="AA4160" s="532"/>
      <c r="AB4160" s="535"/>
      <c r="AC4160" s="1052"/>
      <c r="AD4160" s="793"/>
      <c r="AE4160" s="793"/>
      <c r="AF4160" s="793"/>
      <c r="AG4160" s="793"/>
      <c r="BB4160" s="575"/>
      <c r="BC4160" s="576"/>
      <c r="BD4160" s="678"/>
      <c r="BE4160" s="585"/>
    </row>
    <row r="4161" spans="1:57" s="51" customFormat="1" ht="15" hidden="1" customHeight="1" outlineLevel="1" x14ac:dyDescent="0.25">
      <c r="A4161" s="2060"/>
      <c r="B4161" s="576"/>
      <c r="C4161" s="328"/>
      <c r="D4161" s="4023"/>
      <c r="E4161" s="4020"/>
      <c r="F4161" s="3016" t="str">
        <f t="shared" si="331"/>
        <v>ASHP-SEER20_ER1_SF</v>
      </c>
      <c r="G4161" s="2673"/>
      <c r="H4161" s="2673"/>
      <c r="I4161" s="2673"/>
      <c r="J4161" s="3301" t="str">
        <f t="shared" ref="J4161:J4182" si="336">C1709</f>
        <v>354550_2021_12_</v>
      </c>
      <c r="K4161" s="3294">
        <f>(($R$1820*L4161)+$R$1810)-(($Q$1820*L4161)/((1+$R$1822)^($R$1823-1)))</f>
        <v>2639.0693330425956</v>
      </c>
      <c r="L4161" s="109">
        <f>VLOOKUP(J4161,$J$1801:$L$1987,3,FALSE)*M4161</f>
        <v>5</v>
      </c>
      <c r="M4161" s="3066">
        <f>VLOOKUP(J4161,$J$3297:$K$3483,2,FALSE)</f>
        <v>1</v>
      </c>
      <c r="N4161" s="1135"/>
      <c r="O4161" s="228"/>
      <c r="P4161" s="844"/>
      <c r="Q4161" s="845"/>
      <c r="R4161" s="844"/>
      <c r="S4161" s="832"/>
      <c r="T4161" s="3082"/>
      <c r="U4161" s="123"/>
      <c r="V4161" s="4031"/>
      <c r="W4161" s="3307">
        <v>13953.854780733807</v>
      </c>
      <c r="X4161" s="535">
        <f>(X$1952/12000)*$Q$1810*X$3448</f>
        <v>7131.9388794243387</v>
      </c>
      <c r="Y4161" s="535">
        <v>2089.0025568704818</v>
      </c>
      <c r="Z4161" s="532">
        <v>2089.0025568704818</v>
      </c>
      <c r="AA4161" s="532">
        <v>2089.0025568704818</v>
      </c>
      <c r="AB4161" s="535">
        <v>2232.8749598081135</v>
      </c>
      <c r="AC4161" s="3294">
        <v>2639.0693330425956</v>
      </c>
      <c r="AD4161" s="793"/>
      <c r="AE4161" s="793"/>
      <c r="AF4161" s="793"/>
      <c r="AG4161" s="793"/>
      <c r="AH4161" s="1942"/>
      <c r="AI4161" s="1942"/>
      <c r="AJ4161" s="1942"/>
      <c r="AK4161" s="1942"/>
      <c r="AL4161" s="1942"/>
      <c r="AM4161" s="1942"/>
      <c r="AN4161" s="1942"/>
      <c r="AO4161" s="1942"/>
      <c r="AP4161" s="1942"/>
      <c r="AQ4161" s="1942"/>
      <c r="AR4161" s="1942"/>
      <c r="AS4161" s="1942"/>
      <c r="AT4161" s="1942"/>
      <c r="AU4161" s="1942"/>
      <c r="AV4161" s="1942"/>
      <c r="AW4161" s="1942"/>
      <c r="AX4161" s="1942"/>
      <c r="AY4161" s="1942"/>
      <c r="AZ4161" s="1942"/>
      <c r="BA4161" s="1942"/>
      <c r="BB4161" s="575"/>
      <c r="BC4161" s="576"/>
      <c r="BD4161" s="678"/>
      <c r="BE4161" s="585"/>
    </row>
    <row r="4162" spans="1:57" s="51" customFormat="1" ht="15" hidden="1" customHeight="1" outlineLevel="1" x14ac:dyDescent="0.25">
      <c r="A4162" s="2060"/>
      <c r="B4162" s="576"/>
      <c r="C4162" s="328"/>
      <c r="D4162" s="4023"/>
      <c r="E4162" s="4020"/>
      <c r="F4162" s="3016" t="str">
        <f t="shared" si="331"/>
        <v>ASHP-SEER20_ER1_SF</v>
      </c>
      <c r="G4162" s="2673"/>
      <c r="H4162" s="2673"/>
      <c r="I4162" s="2673"/>
      <c r="J4162" s="3301" t="str">
        <f t="shared" si="336"/>
        <v>354550_2021_12_</v>
      </c>
      <c r="K4162" s="1052"/>
      <c r="L4162" s="109" t="str">
        <f>IF(K4162&gt;0,VLOOKUP(J4162,$J$1801:$L$1987,3,FALSE),"")</f>
        <v/>
      </c>
      <c r="M4162" s="3066" t="str">
        <f>IF(K4162&gt;0,VLOOKUP(J4162,$J$3297:$K$3483,2,FALSE),"")</f>
        <v/>
      </c>
      <c r="N4162" s="1135"/>
      <c r="O4162" s="228"/>
      <c r="P4162" s="844"/>
      <c r="Q4162" s="845"/>
      <c r="R4162" s="844"/>
      <c r="S4162" s="832"/>
      <c r="T4162" s="3082"/>
      <c r="U4162" s="123"/>
      <c r="V4162" s="4031"/>
      <c r="W4162" s="3307"/>
      <c r="X4162" s="535"/>
      <c r="Y4162" s="535"/>
      <c r="Z4162" s="532"/>
      <c r="AA4162" s="532"/>
      <c r="AB4162" s="535"/>
      <c r="AC4162" s="1052"/>
      <c r="AD4162" s="793"/>
      <c r="AE4162" s="793"/>
      <c r="AF4162" s="793"/>
      <c r="AG4162" s="793"/>
      <c r="AH4162" s="1942"/>
      <c r="AI4162" s="1942"/>
      <c r="AJ4162" s="1942"/>
      <c r="AK4162" s="1942"/>
      <c r="AL4162" s="1942"/>
      <c r="AM4162" s="1942"/>
      <c r="AN4162" s="1942"/>
      <c r="AO4162" s="1942"/>
      <c r="AP4162" s="1942"/>
      <c r="AQ4162" s="1942"/>
      <c r="AR4162" s="1942"/>
      <c r="AS4162" s="1942"/>
      <c r="AT4162" s="1942"/>
      <c r="AU4162" s="1942"/>
      <c r="AV4162" s="1942"/>
      <c r="AW4162" s="1942"/>
      <c r="AX4162" s="1942"/>
      <c r="AY4162" s="1942"/>
      <c r="AZ4162" s="1942"/>
      <c r="BA4162" s="1942"/>
      <c r="BB4162" s="575"/>
      <c r="BC4162" s="576"/>
      <c r="BD4162" s="678"/>
      <c r="BE4162" s="585"/>
    </row>
    <row r="4163" spans="1:57" s="51" customFormat="1" ht="15" hidden="1" customHeight="1" outlineLevel="1" x14ac:dyDescent="0.25">
      <c r="A4163" s="2060"/>
      <c r="B4163" s="576"/>
      <c r="C4163" s="328"/>
      <c r="D4163" s="4023"/>
      <c r="E4163" s="4020"/>
      <c r="F4163" s="3016" t="str">
        <f t="shared" si="331"/>
        <v>ASHP-SEER20_ER2_SF</v>
      </c>
      <c r="G4163" s="2673"/>
      <c r="H4163" s="2673"/>
      <c r="I4163" s="2673"/>
      <c r="J4163" s="3301" t="str">
        <f t="shared" si="336"/>
        <v>354550_2021_12_</v>
      </c>
      <c r="K4163" s="1052"/>
      <c r="L4163" s="109" t="str">
        <f>IF(K4163&gt;0,VLOOKUP(J4163,$J$1801:$L$1987,3,FALSE),"")</f>
        <v/>
      </c>
      <c r="M4163" s="3066" t="str">
        <f>IF(K4163&gt;0,VLOOKUP(J4163,$J$3297:$K$3483,2,FALSE),"")</f>
        <v/>
      </c>
      <c r="N4163" s="1135"/>
      <c r="O4163" s="228"/>
      <c r="P4163" s="844"/>
      <c r="Q4163" s="845"/>
      <c r="R4163" s="844"/>
      <c r="S4163" s="832"/>
      <c r="T4163" s="3082"/>
      <c r="U4163" s="123"/>
      <c r="V4163" s="4031"/>
      <c r="W4163" s="3307"/>
      <c r="X4163" s="535"/>
      <c r="Y4163" s="535"/>
      <c r="Z4163" s="532"/>
      <c r="AA4163" s="532"/>
      <c r="AB4163" s="535"/>
      <c r="AC4163" s="1052"/>
      <c r="AD4163" s="793"/>
      <c r="AE4163" s="793"/>
      <c r="AF4163" s="793"/>
      <c r="AG4163" s="793"/>
      <c r="AH4163" s="1942"/>
      <c r="AI4163" s="1942"/>
      <c r="AJ4163" s="1942"/>
      <c r="AK4163" s="1942"/>
      <c r="AL4163" s="1942"/>
      <c r="AM4163" s="1942"/>
      <c r="AN4163" s="1942"/>
      <c r="AO4163" s="1942"/>
      <c r="AP4163" s="1942"/>
      <c r="AQ4163" s="1942"/>
      <c r="AR4163" s="1942"/>
      <c r="AS4163" s="1942"/>
      <c r="AT4163" s="1942"/>
      <c r="AU4163" s="1942"/>
      <c r="AV4163" s="1942"/>
      <c r="AW4163" s="1942"/>
      <c r="AX4163" s="1942"/>
      <c r="AY4163" s="1942"/>
      <c r="AZ4163" s="1942"/>
      <c r="BA4163" s="1942"/>
      <c r="BB4163" s="575"/>
      <c r="BC4163" s="576"/>
      <c r="BD4163" s="678"/>
      <c r="BE4163" s="585"/>
    </row>
    <row r="4164" spans="1:57" s="51" customFormat="1" ht="15" hidden="1" customHeight="1" outlineLevel="1" x14ac:dyDescent="0.25">
      <c r="A4164" s="2060"/>
      <c r="B4164" s="576"/>
      <c r="C4164" s="328"/>
      <c r="D4164" s="4023"/>
      <c r="E4164" s="4020"/>
      <c r="F4164" s="3016" t="str">
        <f t="shared" si="331"/>
        <v>ASHP-SEER20_ER2_SF</v>
      </c>
      <c r="G4164" s="2673"/>
      <c r="H4164" s="2673"/>
      <c r="I4164" s="2673"/>
      <c r="J4164" s="3301" t="str">
        <f t="shared" si="336"/>
        <v>354550_2021_12_</v>
      </c>
      <c r="K4164" s="1052"/>
      <c r="L4164" s="109" t="str">
        <f>IF(K4164&gt;0,VLOOKUP(J4164,$J$1801:$L$1987,3,FALSE),"")</f>
        <v/>
      </c>
      <c r="M4164" s="3066" t="str">
        <f>IF(K4164&gt;0,VLOOKUP(J4164,$J$3297:$K$3483,2,FALSE),"")</f>
        <v/>
      </c>
      <c r="N4164" s="1135"/>
      <c r="O4164" s="228"/>
      <c r="P4164" s="844"/>
      <c r="Q4164" s="845"/>
      <c r="R4164" s="844"/>
      <c r="S4164" s="832"/>
      <c r="T4164" s="3082"/>
      <c r="U4164" s="123"/>
      <c r="V4164" s="4031"/>
      <c r="W4164" s="3307"/>
      <c r="X4164" s="535"/>
      <c r="Y4164" s="535"/>
      <c r="Z4164" s="532"/>
      <c r="AA4164" s="532"/>
      <c r="AB4164" s="535"/>
      <c r="AC4164" s="1052"/>
      <c r="AD4164" s="793"/>
      <c r="AE4164" s="793"/>
      <c r="AF4164" s="793"/>
      <c r="AG4164" s="793"/>
      <c r="AH4164" s="1942"/>
      <c r="AI4164" s="1942"/>
      <c r="AJ4164" s="1942"/>
      <c r="AK4164" s="1942"/>
      <c r="AL4164" s="1942"/>
      <c r="AM4164" s="1942"/>
      <c r="AN4164" s="1942"/>
      <c r="AO4164" s="1942"/>
      <c r="AP4164" s="1942"/>
      <c r="AQ4164" s="1942"/>
      <c r="AR4164" s="1942"/>
      <c r="AS4164" s="1942"/>
      <c r="AT4164" s="1942"/>
      <c r="AU4164" s="1942"/>
      <c r="AV4164" s="1942"/>
      <c r="AW4164" s="1942"/>
      <c r="AX4164" s="1942"/>
      <c r="AY4164" s="1942"/>
      <c r="AZ4164" s="1942"/>
      <c r="BA4164" s="1942"/>
      <c r="BB4164" s="575"/>
      <c r="BC4164" s="576"/>
      <c r="BD4164" s="678"/>
      <c r="BE4164" s="585"/>
    </row>
    <row r="4165" spans="1:57" s="51" customFormat="1" ht="15" hidden="1" customHeight="1" outlineLevel="1" x14ac:dyDescent="0.25">
      <c r="A4165" s="2060"/>
      <c r="B4165" s="576"/>
      <c r="C4165" s="328"/>
      <c r="D4165" s="4023"/>
      <c r="E4165" s="4020"/>
      <c r="F4165" s="3016" t="str">
        <f t="shared" si="331"/>
        <v>ASHP-SEER20_ROF_SF</v>
      </c>
      <c r="G4165" s="2673"/>
      <c r="H4165" s="2673"/>
      <c r="I4165" s="2673"/>
      <c r="J4165" s="3301" t="str">
        <f t="shared" si="336"/>
        <v>354600_2021_12_</v>
      </c>
      <c r="K4165" s="1052">
        <f>$R$1810*K$3303</f>
        <v>1444.3799999999994</v>
      </c>
      <c r="L4165" s="109">
        <f>VLOOKUP(J4165,$J$1801:$L$1987,3,FALSE)*M4165</f>
        <v>3</v>
      </c>
      <c r="M4165" s="3066">
        <f>VLOOKUP(J4165,$J$3297:$K$3483,2,FALSE)</f>
        <v>1</v>
      </c>
      <c r="N4165" s="1135"/>
      <c r="O4165" s="228"/>
      <c r="P4165" s="844"/>
      <c r="Q4165" s="845"/>
      <c r="R4165" s="844"/>
      <c r="S4165" s="832"/>
      <c r="T4165" s="3082"/>
      <c r="U4165" s="123"/>
      <c r="V4165" s="4031"/>
      <c r="W4165" s="3307">
        <v>9512</v>
      </c>
      <c r="X4165" s="535">
        <f>(X$1954/12000)*$R$1810*X$3450</f>
        <v>4766.4539999999979</v>
      </c>
      <c r="Y4165" s="535">
        <v>1160</v>
      </c>
      <c r="Z4165" s="532">
        <v>1160</v>
      </c>
      <c r="AA4165" s="532">
        <v>1160</v>
      </c>
      <c r="AB4165" s="535">
        <v>1444.3799999999994</v>
      </c>
      <c r="AC4165" s="1052">
        <v>1444.3799999999994</v>
      </c>
      <c r="AD4165" s="793"/>
      <c r="AE4165" s="793"/>
      <c r="AF4165" s="793"/>
      <c r="AG4165" s="793"/>
      <c r="AH4165" s="1942"/>
      <c r="AI4165" s="1942"/>
      <c r="AJ4165" s="1942"/>
      <c r="AK4165" s="1942"/>
      <c r="AL4165" s="1942"/>
      <c r="AM4165" s="1942"/>
      <c r="AN4165" s="1942"/>
      <c r="AO4165" s="1942"/>
      <c r="AP4165" s="1942"/>
      <c r="AQ4165" s="1942"/>
      <c r="AR4165" s="1942"/>
      <c r="AS4165" s="1942"/>
      <c r="AT4165" s="1942"/>
      <c r="AU4165" s="1942"/>
      <c r="AV4165" s="1942"/>
      <c r="AW4165" s="1942"/>
      <c r="AX4165" s="1942"/>
      <c r="AY4165" s="1942"/>
      <c r="AZ4165" s="1942"/>
      <c r="BA4165" s="1942"/>
      <c r="BB4165" s="575"/>
      <c r="BC4165" s="576"/>
      <c r="BD4165" s="678"/>
      <c r="BE4165" s="585"/>
    </row>
    <row r="4166" spans="1:57" s="51" customFormat="1" ht="15" hidden="1" customHeight="1" outlineLevel="1" x14ac:dyDescent="0.25">
      <c r="A4166" s="2060"/>
      <c r="B4166" s="576"/>
      <c r="C4166" s="328"/>
      <c r="D4166" s="4023"/>
      <c r="E4166" s="4020"/>
      <c r="F4166" s="3016" t="str">
        <f t="shared" si="331"/>
        <v>ASHP-SEER20_ROF_SF</v>
      </c>
      <c r="G4166" s="2673"/>
      <c r="H4166" s="2673"/>
      <c r="I4166" s="2673"/>
      <c r="J4166" s="3301" t="str">
        <f t="shared" si="336"/>
        <v>354600_2021_12_</v>
      </c>
      <c r="K4166" s="1052"/>
      <c r="L4166" s="109" t="str">
        <f>IF(K4166&gt;0,VLOOKUP(J4166,$J$1801:$L$1987,3,FALSE),"")</f>
        <v/>
      </c>
      <c r="M4166" s="3066" t="str">
        <f>IF(K4166&gt;0,VLOOKUP(J4166,$J$3297:$K$3483,2,FALSE),"")</f>
        <v/>
      </c>
      <c r="N4166" s="1135"/>
      <c r="O4166" s="228"/>
      <c r="P4166" s="844"/>
      <c r="Q4166" s="845"/>
      <c r="R4166" s="844"/>
      <c r="S4166" s="832"/>
      <c r="T4166" s="3082"/>
      <c r="U4166" s="123"/>
      <c r="V4166" s="4031"/>
      <c r="W4166" s="3307"/>
      <c r="X4166" s="535"/>
      <c r="Y4166" s="535"/>
      <c r="Z4166" s="532"/>
      <c r="AA4166" s="532"/>
      <c r="AB4166" s="535"/>
      <c r="AC4166" s="1052"/>
      <c r="AD4166" s="792"/>
      <c r="AE4166" s="792"/>
      <c r="AF4166" s="792"/>
      <c r="AG4166" s="792"/>
      <c r="AH4166" s="1942"/>
      <c r="AI4166" s="1942"/>
      <c r="AJ4166" s="1942"/>
      <c r="AK4166" s="1942"/>
      <c r="AL4166" s="1942"/>
      <c r="AM4166" s="1942"/>
      <c r="AN4166" s="1942"/>
      <c r="AO4166" s="1942"/>
      <c r="AP4166" s="1942"/>
      <c r="AQ4166" s="1942"/>
      <c r="AR4166" s="1942"/>
      <c r="AS4166" s="1942"/>
      <c r="AT4166" s="1942"/>
      <c r="AU4166" s="1942"/>
      <c r="AV4166" s="1942"/>
      <c r="AW4166" s="1942"/>
      <c r="AX4166" s="1942"/>
      <c r="AY4166" s="1942"/>
      <c r="AZ4166" s="1942"/>
      <c r="BA4166" s="1942"/>
      <c r="BB4166" s="575"/>
      <c r="BC4166" s="576"/>
      <c r="BD4166" s="678"/>
      <c r="BE4166" s="585"/>
    </row>
    <row r="4167" spans="1:57" s="51" customFormat="1" ht="14.45" hidden="1" customHeight="1" outlineLevel="1" x14ac:dyDescent="0.25">
      <c r="A4167" s="2060"/>
      <c r="B4167" s="576"/>
      <c r="C4167" s="328"/>
      <c r="D4167" s="4023"/>
      <c r="E4167" s="4020"/>
      <c r="F4167" s="3016" t="str">
        <f t="shared" si="331"/>
        <v>ASHP-SEER20-Replace_CAC_ElectricHeat_ER1_MF</v>
      </c>
      <c r="G4167" s="2673"/>
      <c r="H4167" s="2673"/>
      <c r="I4167" s="2673"/>
      <c r="J4167" s="3302" t="str">
        <f t="shared" si="336"/>
        <v>354650_2019_12_</v>
      </c>
      <c r="K4167" s="1052">
        <f>(($R$1820*L4167)+$R$1810)-(($Q$1820*L4167)/((1+$R$1822)^($R$1823-1)))</f>
        <v>1925.8398012161661</v>
      </c>
      <c r="L4167" s="109">
        <f>VLOOKUP(J4167,$J$1801:$L$1987,3,FALSE)*M4167</f>
        <v>2.0150000000000001</v>
      </c>
      <c r="M4167" s="3066">
        <f>VLOOKUP(J4167,$J$3297:$K$3483,2,FALSE)</f>
        <v>0.65</v>
      </c>
      <c r="N4167" s="1135"/>
      <c r="O4167" s="228"/>
      <c r="P4167" s="844"/>
      <c r="Q4167" s="845"/>
      <c r="R4167" s="844"/>
      <c r="S4167" s="832"/>
      <c r="T4167" s="3082"/>
      <c r="U4167" s="123"/>
      <c r="V4167" s="4031"/>
      <c r="W4167" s="3307">
        <v>13953.854780733807</v>
      </c>
      <c r="X4167" s="535">
        <f>(X$1955/12000)*$Q$1810*X$3451</f>
        <v>4354.8051036484976</v>
      </c>
      <c r="Y4167" s="535">
        <v>1727.2545915436422</v>
      </c>
      <c r="Z4167" s="532">
        <v>1727.2545915436422</v>
      </c>
      <c r="AA4167" s="532">
        <v>1727.2545915436422</v>
      </c>
      <c r="AB4167" s="535">
        <v>1925.8398012161661</v>
      </c>
      <c r="AC4167" s="1052">
        <v>1925.8398012161661</v>
      </c>
      <c r="AD4167" s="793"/>
      <c r="AE4167" s="793"/>
      <c r="AF4167" s="793"/>
      <c r="AG4167" s="793"/>
      <c r="AH4167" s="1942"/>
      <c r="AI4167" s="1942"/>
      <c r="AJ4167" s="1942"/>
      <c r="AK4167" s="1942"/>
      <c r="AL4167" s="1942"/>
      <c r="AM4167" s="1942"/>
      <c r="AN4167" s="1942"/>
      <c r="AO4167" s="1942"/>
      <c r="AP4167" s="1942"/>
      <c r="AQ4167" s="1942"/>
      <c r="AR4167" s="1942"/>
      <c r="AS4167" s="1942"/>
      <c r="AT4167" s="1942"/>
      <c r="AU4167" s="1942"/>
      <c r="AV4167" s="1942"/>
      <c r="AW4167" s="1942"/>
      <c r="AX4167" s="1942"/>
      <c r="AY4167" s="1942"/>
      <c r="AZ4167" s="1942"/>
      <c r="BA4167" s="1942"/>
      <c r="BB4167" s="575"/>
      <c r="BC4167" s="576"/>
      <c r="BD4167" s="678"/>
      <c r="BE4167" s="585"/>
    </row>
    <row r="4168" spans="1:57" s="51" customFormat="1" ht="14.45" hidden="1" customHeight="1" outlineLevel="1" x14ac:dyDescent="0.25">
      <c r="A4168" s="2060"/>
      <c r="B4168" s="576"/>
      <c r="C4168" s="328"/>
      <c r="D4168" s="4023"/>
      <c r="E4168" s="4020"/>
      <c r="F4168" s="3016" t="str">
        <f t="shared" si="331"/>
        <v>ASHP-SEER20-Replace_CAC_ElectricHeat_ER1_MF</v>
      </c>
      <c r="G4168" s="2673"/>
      <c r="H4168" s="2673"/>
      <c r="I4168" s="2673"/>
      <c r="J4168" s="3302" t="str">
        <f t="shared" si="336"/>
        <v>354650_2019_12_</v>
      </c>
      <c r="K4168" s="1052"/>
      <c r="L4168" s="109" t="str">
        <f>IF(K4168&gt;0,VLOOKUP(J4168,$J$1801:$L$1987,3,FALSE),"")</f>
        <v/>
      </c>
      <c r="M4168" s="3066" t="str">
        <f>IF(K4168&gt;0,VLOOKUP(J4168,$J$3297:$K$3483,2,FALSE),"")</f>
        <v/>
      </c>
      <c r="N4168" s="1135"/>
      <c r="O4168" s="228"/>
      <c r="P4168" s="844"/>
      <c r="Q4168" s="845"/>
      <c r="R4168" s="844"/>
      <c r="S4168" s="832"/>
      <c r="T4168" s="3082"/>
      <c r="U4168" s="123"/>
      <c r="V4168" s="4031"/>
      <c r="W4168" s="3307"/>
      <c r="X4168" s="535"/>
      <c r="Y4168" s="535"/>
      <c r="Z4168" s="532"/>
      <c r="AA4168" s="532"/>
      <c r="AB4168" s="535"/>
      <c r="AC4168" s="1052"/>
      <c r="AD4168" s="793"/>
      <c r="AE4168" s="793"/>
      <c r="AF4168" s="793"/>
      <c r="AG4168" s="793"/>
      <c r="AH4168" s="1942"/>
      <c r="AI4168" s="1942"/>
      <c r="AJ4168" s="1942"/>
      <c r="AK4168" s="1942"/>
      <c r="AL4168" s="1942"/>
      <c r="AM4168" s="1942"/>
      <c r="AN4168" s="1942"/>
      <c r="AO4168" s="1942"/>
      <c r="AP4168" s="1942"/>
      <c r="AQ4168" s="1942"/>
      <c r="AR4168" s="1942"/>
      <c r="AS4168" s="1942"/>
      <c r="AT4168" s="1942"/>
      <c r="AU4168" s="1942"/>
      <c r="AV4168" s="1942"/>
      <c r="AW4168" s="1942"/>
      <c r="AX4168" s="1942"/>
      <c r="AY4168" s="1942"/>
      <c r="AZ4168" s="1942"/>
      <c r="BA4168" s="1942"/>
      <c r="BB4168" s="575"/>
      <c r="BC4168" s="576"/>
      <c r="BD4168" s="678"/>
      <c r="BE4168" s="585"/>
    </row>
    <row r="4169" spans="1:57" s="51" customFormat="1" ht="14.45" hidden="1" customHeight="1" outlineLevel="1" x14ac:dyDescent="0.25">
      <c r="A4169" s="2060"/>
      <c r="B4169" s="576"/>
      <c r="C4169" s="328"/>
      <c r="D4169" s="4023"/>
      <c r="E4169" s="4020"/>
      <c r="F4169" s="3016" t="str">
        <f t="shared" si="331"/>
        <v>ASHP-SEER20-Replace_CAC_ElectricHeat_ER2_MF</v>
      </c>
      <c r="G4169" s="2673"/>
      <c r="H4169" s="2673"/>
      <c r="I4169" s="2673"/>
      <c r="J4169" s="3302" t="str">
        <f t="shared" si="336"/>
        <v>354650_2019_12_</v>
      </c>
      <c r="K4169" s="1052"/>
      <c r="L4169" s="109" t="str">
        <f>IF(K4169&gt;0,VLOOKUP(J4169,$J$1801:$L$1987,3,FALSE),"")</f>
        <v/>
      </c>
      <c r="M4169" s="3066" t="str">
        <f>IF(K4169&gt;0,VLOOKUP(J4169,$J$3297:$K$3483,2,FALSE),"")</f>
        <v/>
      </c>
      <c r="N4169" s="1135"/>
      <c r="O4169" s="228"/>
      <c r="P4169" s="844"/>
      <c r="Q4169" s="845"/>
      <c r="R4169" s="844"/>
      <c r="S4169" s="832"/>
      <c r="T4169" s="3082"/>
      <c r="U4169" s="123"/>
      <c r="V4169" s="4031"/>
      <c r="W4169" s="3307"/>
      <c r="X4169" s="535"/>
      <c r="Y4169" s="535"/>
      <c r="Z4169" s="532"/>
      <c r="AA4169" s="532"/>
      <c r="AB4169" s="535"/>
      <c r="AC4169" s="1052"/>
      <c r="AD4169" s="793"/>
      <c r="AE4169" s="793"/>
      <c r="AF4169" s="793"/>
      <c r="AG4169" s="793"/>
      <c r="AH4169" s="1942"/>
      <c r="AI4169" s="1942"/>
      <c r="AJ4169" s="1942"/>
      <c r="AK4169" s="1942"/>
      <c r="AL4169" s="1942"/>
      <c r="AM4169" s="1942"/>
      <c r="AN4169" s="1942"/>
      <c r="AO4169" s="1942"/>
      <c r="AP4169" s="1942"/>
      <c r="AQ4169" s="1942"/>
      <c r="AR4169" s="1942"/>
      <c r="AS4169" s="1942"/>
      <c r="AT4169" s="1942"/>
      <c r="AU4169" s="1942"/>
      <c r="AV4169" s="1942"/>
      <c r="AW4169" s="1942"/>
      <c r="AX4169" s="1942"/>
      <c r="AY4169" s="1942"/>
      <c r="AZ4169" s="1942"/>
      <c r="BA4169" s="1942"/>
      <c r="BB4169" s="575"/>
      <c r="BC4169" s="576"/>
      <c r="BD4169" s="678"/>
      <c r="BE4169" s="585"/>
    </row>
    <row r="4170" spans="1:57" s="51" customFormat="1" ht="14.45" hidden="1" customHeight="1" outlineLevel="1" x14ac:dyDescent="0.25">
      <c r="A4170" s="2060"/>
      <c r="B4170" s="576"/>
      <c r="C4170" s="328"/>
      <c r="D4170" s="4023"/>
      <c r="E4170" s="4020"/>
      <c r="F4170" s="3016" t="str">
        <f t="shared" si="331"/>
        <v>ASHP-SEER20-Replace_CAC_ElectricHeat_ER2_MF</v>
      </c>
      <c r="G4170" s="2673"/>
      <c r="H4170" s="2673"/>
      <c r="I4170" s="2673"/>
      <c r="J4170" s="3302" t="str">
        <f t="shared" si="336"/>
        <v>354650_2019_12_</v>
      </c>
      <c r="K4170" s="1052"/>
      <c r="L4170" s="109" t="str">
        <f>IF(K4170&gt;0,VLOOKUP(J4170,$J$1801:$L$1987,3,FALSE),"")</f>
        <v/>
      </c>
      <c r="M4170" s="3066" t="str">
        <f>IF(K4170&gt;0,VLOOKUP(J4170,$J$3297:$K$3483,2,FALSE),"")</f>
        <v/>
      </c>
      <c r="N4170" s="1135"/>
      <c r="O4170" s="228"/>
      <c r="P4170" s="844"/>
      <c r="Q4170" s="845"/>
      <c r="R4170" s="844"/>
      <c r="S4170" s="832"/>
      <c r="T4170" s="3082"/>
      <c r="U4170" s="123"/>
      <c r="V4170" s="4031"/>
      <c r="W4170" s="3307"/>
      <c r="X4170" s="535"/>
      <c r="Y4170" s="535"/>
      <c r="Z4170" s="532"/>
      <c r="AA4170" s="532"/>
      <c r="AB4170" s="535"/>
      <c r="AC4170" s="1052"/>
      <c r="AD4170" s="793"/>
      <c r="AE4170" s="793"/>
      <c r="AF4170" s="793"/>
      <c r="AG4170" s="793"/>
      <c r="AH4170" s="1942"/>
      <c r="AI4170" s="1942"/>
      <c r="AJ4170" s="1942"/>
      <c r="AK4170" s="1942"/>
      <c r="AL4170" s="1942"/>
      <c r="AM4170" s="1942"/>
      <c r="AN4170" s="1942"/>
      <c r="AO4170" s="1942"/>
      <c r="AP4170" s="1942"/>
      <c r="AQ4170" s="1942"/>
      <c r="AR4170" s="1942"/>
      <c r="AS4170" s="1942"/>
      <c r="AT4170" s="1942"/>
      <c r="AU4170" s="1942"/>
      <c r="AV4170" s="1942"/>
      <c r="AW4170" s="1942"/>
      <c r="AX4170" s="1942"/>
      <c r="AY4170" s="1942"/>
      <c r="AZ4170" s="1942"/>
      <c r="BA4170" s="1942"/>
      <c r="BB4170" s="575"/>
      <c r="BC4170" s="576"/>
      <c r="BD4170" s="678"/>
      <c r="BE4170" s="585"/>
    </row>
    <row r="4171" spans="1:57" s="1942" customFormat="1" ht="14.45" hidden="1" customHeight="1" outlineLevel="1" x14ac:dyDescent="0.25">
      <c r="A4171" s="2060"/>
      <c r="B4171" s="576"/>
      <c r="C4171" s="328"/>
      <c r="D4171" s="4023"/>
      <c r="E4171" s="4020"/>
      <c r="F4171" s="3016" t="str">
        <f t="shared" si="331"/>
        <v>ASHP-SEER20-Replace_CAC_ElectricHeat_ER1_MF_CompE</v>
      </c>
      <c r="G4171" s="2673"/>
      <c r="H4171" s="2673"/>
      <c r="I4171" s="2673"/>
      <c r="J4171" s="3302" t="str">
        <f t="shared" si="336"/>
        <v>354651_2019_12_</v>
      </c>
      <c r="K4171" s="3294">
        <f>(($R$1820*L4171)+$R$1810)-(($Q$1820*L4171)/((1+$R$1822)^($R$1823-1)))</f>
        <v>1925.8398012161661</v>
      </c>
      <c r="L4171" s="112">
        <f>VLOOKUP(J4171,$J$1801:$L$1987,3,FALSE)*M4171</f>
        <v>2.0150000000000001</v>
      </c>
      <c r="M4171" s="3286">
        <f>VLOOKUP(J4171,$J$3297:$K$3483,2,FALSE)</f>
        <v>0.65</v>
      </c>
      <c r="N4171" s="1135"/>
      <c r="O4171" s="228"/>
      <c r="P4171" s="844"/>
      <c r="Q4171" s="845"/>
      <c r="R4171" s="844"/>
      <c r="S4171" s="832"/>
      <c r="T4171" s="3082"/>
      <c r="U4171" s="123"/>
      <c r="V4171" s="4031"/>
      <c r="W4171" s="3307"/>
      <c r="X4171" s="535"/>
      <c r="Y4171" s="535"/>
      <c r="Z4171" s="532"/>
      <c r="AA4171" s="532"/>
      <c r="AB4171" s="535"/>
      <c r="AC4171" s="3294">
        <v>1925.8398012161661</v>
      </c>
      <c r="AD4171" s="793"/>
      <c r="AE4171" s="793"/>
      <c r="AF4171" s="793"/>
      <c r="AG4171" s="793"/>
      <c r="BB4171" s="575"/>
      <c r="BC4171" s="576"/>
      <c r="BD4171" s="678"/>
      <c r="BE4171" s="585"/>
    </row>
    <row r="4172" spans="1:57" s="1942" customFormat="1" ht="14.45" hidden="1" customHeight="1" outlineLevel="1" x14ac:dyDescent="0.25">
      <c r="A4172" s="2060"/>
      <c r="B4172" s="576"/>
      <c r="C4172" s="328"/>
      <c r="D4172" s="4023"/>
      <c r="E4172" s="4020"/>
      <c r="F4172" s="3016" t="str">
        <f t="shared" si="331"/>
        <v>ASHP-SEER20-Replace_CAC_ElectricHeat_ER1_MF_CompE</v>
      </c>
      <c r="G4172" s="2673"/>
      <c r="H4172" s="2673"/>
      <c r="I4172" s="2673"/>
      <c r="J4172" s="3302" t="str">
        <f t="shared" si="336"/>
        <v>354651_2019_12_</v>
      </c>
      <c r="K4172" s="1052"/>
      <c r="L4172" s="109"/>
      <c r="M4172" s="3066"/>
      <c r="N4172" s="1135"/>
      <c r="O4172" s="228"/>
      <c r="P4172" s="844"/>
      <c r="Q4172" s="845"/>
      <c r="R4172" s="844"/>
      <c r="S4172" s="832"/>
      <c r="T4172" s="3082"/>
      <c r="U4172" s="123"/>
      <c r="V4172" s="4031"/>
      <c r="W4172" s="3307"/>
      <c r="X4172" s="535"/>
      <c r="Y4172" s="535"/>
      <c r="Z4172" s="532"/>
      <c r="AA4172" s="532"/>
      <c r="AB4172" s="535"/>
      <c r="AC4172" s="1052"/>
      <c r="AD4172" s="793"/>
      <c r="AE4172" s="793"/>
      <c r="AF4172" s="793"/>
      <c r="AG4172" s="793"/>
      <c r="BB4172" s="575"/>
      <c r="BC4172" s="576"/>
      <c r="BD4172" s="678"/>
      <c r="BE4172" s="585"/>
    </row>
    <row r="4173" spans="1:57" s="1942" customFormat="1" ht="14.45" hidden="1" customHeight="1" outlineLevel="1" x14ac:dyDescent="0.25">
      <c r="A4173" s="2060"/>
      <c r="B4173" s="576"/>
      <c r="C4173" s="328"/>
      <c r="D4173" s="4023"/>
      <c r="E4173" s="4020"/>
      <c r="F4173" s="3016" t="str">
        <f t="shared" si="331"/>
        <v>ASHP-SEER20-Replace_CAC_ElectricHeat_ER2_MF_CompE</v>
      </c>
      <c r="G4173" s="2673"/>
      <c r="H4173" s="2673"/>
      <c r="I4173" s="2673"/>
      <c r="J4173" s="3302" t="str">
        <f t="shared" si="336"/>
        <v>354651_2019_12_</v>
      </c>
      <c r="K4173" s="1052"/>
      <c r="L4173" s="109"/>
      <c r="M4173" s="3066"/>
      <c r="N4173" s="1135"/>
      <c r="O4173" s="228"/>
      <c r="P4173" s="844"/>
      <c r="Q4173" s="845"/>
      <c r="R4173" s="844"/>
      <c r="S4173" s="832"/>
      <c r="T4173" s="3082"/>
      <c r="U4173" s="123"/>
      <c r="V4173" s="4031"/>
      <c r="W4173" s="3307"/>
      <c r="X4173" s="535"/>
      <c r="Y4173" s="535"/>
      <c r="Z4173" s="532"/>
      <c r="AA4173" s="532"/>
      <c r="AB4173" s="535"/>
      <c r="AC4173" s="1052"/>
      <c r="AD4173" s="793"/>
      <c r="AE4173" s="793"/>
      <c r="AF4173" s="793"/>
      <c r="AG4173" s="793"/>
      <c r="BB4173" s="575"/>
      <c r="BC4173" s="576"/>
      <c r="BD4173" s="678"/>
      <c r="BE4173" s="585"/>
    </row>
    <row r="4174" spans="1:57" s="1942" customFormat="1" ht="14.45" hidden="1" customHeight="1" outlineLevel="1" x14ac:dyDescent="0.25">
      <c r="A4174" s="2060"/>
      <c r="B4174" s="576"/>
      <c r="C4174" s="328"/>
      <c r="D4174" s="4023"/>
      <c r="E4174" s="4020"/>
      <c r="F4174" s="3016" t="str">
        <f t="shared" si="331"/>
        <v>ASHP-SEER20-Replace_CAC_ElectricHeat_ER2_MF_CompE</v>
      </c>
      <c r="G4174" s="2673"/>
      <c r="H4174" s="2673"/>
      <c r="I4174" s="2673"/>
      <c r="J4174" s="3302" t="str">
        <f t="shared" si="336"/>
        <v>354651_2019_12_</v>
      </c>
      <c r="K4174" s="1052"/>
      <c r="L4174" s="109"/>
      <c r="M4174" s="3066"/>
      <c r="N4174" s="1135"/>
      <c r="O4174" s="228"/>
      <c r="P4174" s="844"/>
      <c r="Q4174" s="845"/>
      <c r="R4174" s="844"/>
      <c r="S4174" s="832"/>
      <c r="T4174" s="3082"/>
      <c r="U4174" s="123"/>
      <c r="V4174" s="4031"/>
      <c r="W4174" s="3307"/>
      <c r="X4174" s="535"/>
      <c r="Y4174" s="535"/>
      <c r="Z4174" s="532"/>
      <c r="AA4174" s="532"/>
      <c r="AB4174" s="535"/>
      <c r="AC4174" s="1052"/>
      <c r="AD4174" s="793"/>
      <c r="AE4174" s="793"/>
      <c r="AF4174" s="793"/>
      <c r="AG4174" s="793"/>
      <c r="BB4174" s="575"/>
      <c r="BC4174" s="576"/>
      <c r="BD4174" s="678"/>
      <c r="BE4174" s="585"/>
    </row>
    <row r="4175" spans="1:57" s="1942" customFormat="1" ht="14.45" hidden="1" customHeight="1" outlineLevel="1" x14ac:dyDescent="0.25">
      <c r="A4175" s="2060"/>
      <c r="B4175" s="576"/>
      <c r="C4175" s="328"/>
      <c r="D4175" s="4023"/>
      <c r="E4175" s="4020"/>
      <c r="F4175" s="3016" t="str">
        <f t="shared" si="331"/>
        <v>ASHP-SEER20-Replace_CAC_NonElectricHeat_ER1_MF</v>
      </c>
      <c r="G4175" s="2673"/>
      <c r="H4175" s="2673"/>
      <c r="I4175" s="2673"/>
      <c r="J4175" s="3301" t="str">
        <f t="shared" si="336"/>
        <v>354660_2021_12_</v>
      </c>
      <c r="K4175" s="3294">
        <f>(($R$1820*L4175)+$R$1810)-(($Q$1820*L4175)/((1+$R$1822)^($R$1823-1)))</f>
        <v>1925.8398012161661</v>
      </c>
      <c r="L4175" s="112">
        <f>VLOOKUP(J4175,$J$1801:$L$1987,3,FALSE)*M4175</f>
        <v>2.0150000000000001</v>
      </c>
      <c r="M4175" s="3286">
        <f>VLOOKUP(J4175,$J$3297:$K$3483,2,FALSE)</f>
        <v>0.65</v>
      </c>
      <c r="N4175" s="1135"/>
      <c r="O4175" s="228"/>
      <c r="P4175" s="844"/>
      <c r="Q4175" s="845"/>
      <c r="R4175" s="844"/>
      <c r="S4175" s="832"/>
      <c r="T4175" s="3082"/>
      <c r="U4175" s="123"/>
      <c r="V4175" s="4031"/>
      <c r="W4175" s="3307"/>
      <c r="X4175" s="535"/>
      <c r="Y4175" s="535"/>
      <c r="Z4175" s="532"/>
      <c r="AA4175" s="532"/>
      <c r="AB4175" s="535"/>
      <c r="AC4175" s="3294">
        <v>1925.8398012161661</v>
      </c>
      <c r="AD4175" s="793"/>
      <c r="AE4175" s="793"/>
      <c r="AF4175" s="793"/>
      <c r="AG4175" s="793"/>
      <c r="BB4175" s="575"/>
      <c r="BC4175" s="576"/>
      <c r="BD4175" s="678"/>
      <c r="BE4175" s="585"/>
    </row>
    <row r="4176" spans="1:57" s="1942" customFormat="1" ht="14.45" hidden="1" customHeight="1" outlineLevel="1" x14ac:dyDescent="0.25">
      <c r="A4176" s="2060"/>
      <c r="B4176" s="576"/>
      <c r="C4176" s="328"/>
      <c r="D4176" s="4023"/>
      <c r="E4176" s="4020"/>
      <c r="F4176" s="3016" t="str">
        <f t="shared" si="331"/>
        <v>ASHP-SEER20-Replace_CAC_NonElectricHeat_ER1_MF</v>
      </c>
      <c r="G4176" s="2673"/>
      <c r="H4176" s="2673"/>
      <c r="I4176" s="2673"/>
      <c r="J4176" s="3301" t="str">
        <f t="shared" si="336"/>
        <v>354660_2021_12_</v>
      </c>
      <c r="K4176" s="1052"/>
      <c r="L4176" s="109"/>
      <c r="M4176" s="3066"/>
      <c r="N4176" s="1135"/>
      <c r="O4176" s="228"/>
      <c r="P4176" s="844"/>
      <c r="Q4176" s="845"/>
      <c r="R4176" s="844"/>
      <c r="S4176" s="832"/>
      <c r="T4176" s="3082"/>
      <c r="U4176" s="123"/>
      <c r="V4176" s="4031"/>
      <c r="W4176" s="3307"/>
      <c r="X4176" s="535"/>
      <c r="Y4176" s="535"/>
      <c r="Z4176" s="532"/>
      <c r="AA4176" s="532"/>
      <c r="AB4176" s="535"/>
      <c r="AC4176" s="1052"/>
      <c r="AD4176" s="793"/>
      <c r="AE4176" s="793"/>
      <c r="AF4176" s="793"/>
      <c r="AG4176" s="793"/>
      <c r="BB4176" s="575"/>
      <c r="BC4176" s="576"/>
      <c r="BD4176" s="678"/>
      <c r="BE4176" s="585"/>
    </row>
    <row r="4177" spans="1:57" s="1942" customFormat="1" ht="14.45" hidden="1" customHeight="1" outlineLevel="1" x14ac:dyDescent="0.25">
      <c r="A4177" s="2060"/>
      <c r="B4177" s="576"/>
      <c r="C4177" s="328"/>
      <c r="D4177" s="4023"/>
      <c r="E4177" s="4020"/>
      <c r="F4177" s="3016" t="str">
        <f t="shared" si="331"/>
        <v>ASHP-SEER20-Replace_CAC_NonElectricHeat_ER2_MF</v>
      </c>
      <c r="G4177" s="2673"/>
      <c r="H4177" s="2673"/>
      <c r="I4177" s="2673"/>
      <c r="J4177" s="3301" t="str">
        <f t="shared" si="336"/>
        <v>354660_2021_12_</v>
      </c>
      <c r="K4177" s="1052"/>
      <c r="L4177" s="109"/>
      <c r="M4177" s="3066"/>
      <c r="N4177" s="1135"/>
      <c r="O4177" s="228"/>
      <c r="P4177" s="844"/>
      <c r="Q4177" s="845"/>
      <c r="R4177" s="844"/>
      <c r="S4177" s="832"/>
      <c r="T4177" s="3082"/>
      <c r="U4177" s="123"/>
      <c r="V4177" s="4031"/>
      <c r="W4177" s="3307"/>
      <c r="X4177" s="535"/>
      <c r="Y4177" s="535"/>
      <c r="Z4177" s="532"/>
      <c r="AA4177" s="532"/>
      <c r="AB4177" s="535"/>
      <c r="AC4177" s="1052"/>
      <c r="AD4177" s="793"/>
      <c r="AE4177" s="793"/>
      <c r="AF4177" s="793"/>
      <c r="AG4177" s="793"/>
      <c r="BB4177" s="575"/>
      <c r="BC4177" s="576"/>
      <c r="BD4177" s="678"/>
      <c r="BE4177" s="585"/>
    </row>
    <row r="4178" spans="1:57" s="1942" customFormat="1" ht="14.45" hidden="1" customHeight="1" outlineLevel="1" x14ac:dyDescent="0.25">
      <c r="A4178" s="2060"/>
      <c r="B4178" s="576"/>
      <c r="C4178" s="328"/>
      <c r="D4178" s="4023"/>
      <c r="E4178" s="4020"/>
      <c r="F4178" s="3016" t="str">
        <f t="shared" si="331"/>
        <v>ASHP-SEER20-Replace_CAC_NonElectricHeat_ER2_MF</v>
      </c>
      <c r="G4178" s="2673"/>
      <c r="H4178" s="2673"/>
      <c r="I4178" s="2673"/>
      <c r="J4178" s="3301" t="str">
        <f t="shared" si="336"/>
        <v>354660_2021_12_</v>
      </c>
      <c r="K4178" s="1052"/>
      <c r="L4178" s="109"/>
      <c r="M4178" s="3066"/>
      <c r="N4178" s="1135"/>
      <c r="O4178" s="228"/>
      <c r="P4178" s="844"/>
      <c r="Q4178" s="845"/>
      <c r="R4178" s="844"/>
      <c r="S4178" s="832"/>
      <c r="T4178" s="3082"/>
      <c r="U4178" s="123"/>
      <c r="V4178" s="4031"/>
      <c r="W4178" s="3307"/>
      <c r="X4178" s="535"/>
      <c r="Y4178" s="535"/>
      <c r="Z4178" s="532"/>
      <c r="AA4178" s="532"/>
      <c r="AB4178" s="535"/>
      <c r="AC4178" s="1052"/>
      <c r="AD4178" s="793"/>
      <c r="AE4178" s="793"/>
      <c r="AF4178" s="793"/>
      <c r="AG4178" s="793"/>
      <c r="BB4178" s="575"/>
      <c r="BC4178" s="576"/>
      <c r="BD4178" s="678"/>
      <c r="BE4178" s="585"/>
    </row>
    <row r="4179" spans="1:57" s="1942" customFormat="1" ht="14.45" hidden="1" customHeight="1" outlineLevel="1" x14ac:dyDescent="0.25">
      <c r="A4179" s="2060"/>
      <c r="B4179" s="576"/>
      <c r="C4179" s="328"/>
      <c r="D4179" s="4023"/>
      <c r="E4179" s="4020"/>
      <c r="F4179" s="3016" t="str">
        <f t="shared" si="331"/>
        <v>ASHP-SEER20-Replace_CAC_NonElectricHeat_ER1_MF_CompE</v>
      </c>
      <c r="G4179" s="2673"/>
      <c r="H4179" s="2673"/>
      <c r="I4179" s="2673"/>
      <c r="J4179" s="3301" t="str">
        <f t="shared" si="336"/>
        <v>354661_2021_12_</v>
      </c>
      <c r="K4179" s="3294">
        <f>(($R$1820*L4179)+$R$1810)-(($Q$1820*L4179)/((1+$R$1822)^($R$1823-1)))</f>
        <v>1925.8398012161661</v>
      </c>
      <c r="L4179" s="112">
        <f>VLOOKUP(J4179,$J$1801:$L$1987,3,FALSE)*M4179</f>
        <v>2.0150000000000001</v>
      </c>
      <c r="M4179" s="3286">
        <f>VLOOKUP(J4179,$J$3297:$K$3483,2,FALSE)</f>
        <v>0.65</v>
      </c>
      <c r="N4179" s="1135"/>
      <c r="O4179" s="228"/>
      <c r="P4179" s="844"/>
      <c r="Q4179" s="845"/>
      <c r="R4179" s="844"/>
      <c r="S4179" s="832"/>
      <c r="T4179" s="3082"/>
      <c r="U4179" s="123"/>
      <c r="V4179" s="4031"/>
      <c r="W4179" s="3307"/>
      <c r="X4179" s="535"/>
      <c r="Y4179" s="535"/>
      <c r="Z4179" s="532"/>
      <c r="AA4179" s="532"/>
      <c r="AB4179" s="535"/>
      <c r="AC4179" s="3294">
        <v>1925.8398012161661</v>
      </c>
      <c r="AD4179" s="793"/>
      <c r="AE4179" s="793"/>
      <c r="AF4179" s="793"/>
      <c r="AG4179" s="793"/>
      <c r="BB4179" s="575"/>
      <c r="BC4179" s="576"/>
      <c r="BD4179" s="678"/>
      <c r="BE4179" s="585"/>
    </row>
    <row r="4180" spans="1:57" s="1942" customFormat="1" ht="14.45" hidden="1" customHeight="1" outlineLevel="1" x14ac:dyDescent="0.25">
      <c r="A4180" s="2060"/>
      <c r="B4180" s="576"/>
      <c r="C4180" s="328"/>
      <c r="D4180" s="4023"/>
      <c r="E4180" s="4020"/>
      <c r="F4180" s="3016" t="str">
        <f t="shared" si="331"/>
        <v>ASHP-SEER20-Replace_CAC_NonElectricHeat_ER1_MF_CompE</v>
      </c>
      <c r="G4180" s="2673"/>
      <c r="H4180" s="2673"/>
      <c r="I4180" s="2673"/>
      <c r="J4180" s="3301" t="str">
        <f t="shared" si="336"/>
        <v>354661_2021_12_</v>
      </c>
      <c r="K4180" s="1052"/>
      <c r="L4180" s="109"/>
      <c r="M4180" s="3066"/>
      <c r="N4180" s="1135"/>
      <c r="O4180" s="228"/>
      <c r="P4180" s="844"/>
      <c r="Q4180" s="845"/>
      <c r="R4180" s="844"/>
      <c r="S4180" s="832"/>
      <c r="T4180" s="3082"/>
      <c r="U4180" s="123"/>
      <c r="V4180" s="4031"/>
      <c r="W4180" s="3307"/>
      <c r="X4180" s="535"/>
      <c r="Y4180" s="535"/>
      <c r="Z4180" s="532"/>
      <c r="AA4180" s="532"/>
      <c r="AB4180" s="535"/>
      <c r="AC4180" s="1052"/>
      <c r="AD4180" s="793"/>
      <c r="AE4180" s="793"/>
      <c r="AF4180" s="793"/>
      <c r="AG4180" s="793"/>
      <c r="BB4180" s="575"/>
      <c r="BC4180" s="576"/>
      <c r="BD4180" s="678"/>
      <c r="BE4180" s="585"/>
    </row>
    <row r="4181" spans="1:57" s="1942" customFormat="1" ht="14.45" hidden="1" customHeight="1" outlineLevel="1" x14ac:dyDescent="0.25">
      <c r="A4181" s="2060"/>
      <c r="B4181" s="576"/>
      <c r="C4181" s="328"/>
      <c r="D4181" s="4023"/>
      <c r="E4181" s="4020"/>
      <c r="F4181" s="3016" t="str">
        <f t="shared" si="331"/>
        <v>ASHP-SEER20-Replace_CAC_NonElectricHeat_ER2_MF_CompE</v>
      </c>
      <c r="G4181" s="2673"/>
      <c r="H4181" s="2673"/>
      <c r="I4181" s="2673"/>
      <c r="J4181" s="3301" t="str">
        <f t="shared" si="336"/>
        <v>354661_2021_12_</v>
      </c>
      <c r="K4181" s="1052"/>
      <c r="L4181" s="109"/>
      <c r="M4181" s="3066"/>
      <c r="N4181" s="1135"/>
      <c r="O4181" s="228"/>
      <c r="P4181" s="844"/>
      <c r="Q4181" s="845"/>
      <c r="R4181" s="844"/>
      <c r="S4181" s="832"/>
      <c r="T4181" s="3082"/>
      <c r="U4181" s="123"/>
      <c r="V4181" s="4031"/>
      <c r="W4181" s="3307"/>
      <c r="X4181" s="535"/>
      <c r="Y4181" s="535"/>
      <c r="Z4181" s="532"/>
      <c r="AA4181" s="532"/>
      <c r="AB4181" s="535"/>
      <c r="AC4181" s="1052"/>
      <c r="AD4181" s="793"/>
      <c r="AE4181" s="793"/>
      <c r="AF4181" s="793"/>
      <c r="AG4181" s="793"/>
      <c r="BB4181" s="575"/>
      <c r="BC4181" s="576"/>
      <c r="BD4181" s="678"/>
      <c r="BE4181" s="585"/>
    </row>
    <row r="4182" spans="1:57" s="1942" customFormat="1" ht="14.45" hidden="1" customHeight="1" outlineLevel="1" x14ac:dyDescent="0.25">
      <c r="A4182" s="2060"/>
      <c r="B4182" s="576"/>
      <c r="C4182" s="328"/>
      <c r="D4182" s="4023"/>
      <c r="E4182" s="4020"/>
      <c r="F4182" s="3016" t="str">
        <f t="shared" si="331"/>
        <v>ASHP-SEER20-Replace_CAC_NonElectricHeat_ER2_MF_CompE</v>
      </c>
      <c r="G4182" s="2673"/>
      <c r="H4182" s="2673"/>
      <c r="I4182" s="2673"/>
      <c r="J4182" s="3301" t="str">
        <f t="shared" si="336"/>
        <v>354661_2021_12_</v>
      </c>
      <c r="K4182" s="1052"/>
      <c r="L4182" s="109"/>
      <c r="M4182" s="3066"/>
      <c r="N4182" s="1135"/>
      <c r="O4182" s="228"/>
      <c r="P4182" s="844"/>
      <c r="Q4182" s="845"/>
      <c r="R4182" s="844"/>
      <c r="S4182" s="832"/>
      <c r="T4182" s="3082"/>
      <c r="U4182" s="123"/>
      <c r="V4182" s="4031"/>
      <c r="W4182" s="3307"/>
      <c r="X4182" s="535"/>
      <c r="Y4182" s="535"/>
      <c r="Z4182" s="532"/>
      <c r="AA4182" s="532"/>
      <c r="AB4182" s="535"/>
      <c r="AC4182" s="1052"/>
      <c r="AD4182" s="793"/>
      <c r="AE4182" s="793"/>
      <c r="AF4182" s="793"/>
      <c r="AG4182" s="793"/>
      <c r="BB4182" s="575"/>
      <c r="BC4182" s="576"/>
      <c r="BD4182" s="678"/>
      <c r="BE4182" s="585"/>
    </row>
    <row r="4183" spans="1:57" s="51" customFormat="1" ht="14.45" hidden="1" customHeight="1" outlineLevel="1" x14ac:dyDescent="0.25">
      <c r="A4183" s="2060"/>
      <c r="B4183" s="576"/>
      <c r="C4183" s="328"/>
      <c r="D4183" s="4023"/>
      <c r="E4183" s="4020"/>
      <c r="F4183" s="3016" t="str">
        <f t="shared" ref="F4183:F4232" si="337">E1731</f>
        <v>ASHP-SEER20_ER1_MF</v>
      </c>
      <c r="G4183" s="2673"/>
      <c r="H4183" s="2673"/>
      <c r="I4183" s="2673"/>
      <c r="J4183" s="3302" t="str">
        <f>C1731</f>
        <v>354700_2019_12_</v>
      </c>
      <c r="K4183" s="1052">
        <f>(($R$1820*L4183)+$R$1810)-(($Q$1820*L4183)/((1+$R$1822)^($R$1823-1)))</f>
        <v>1956.9017238752731</v>
      </c>
      <c r="L4183" s="109">
        <f>VLOOKUP(J4183,$J$1801:$L$1987,3,FALSE)*M4183</f>
        <v>2.145</v>
      </c>
      <c r="M4183" s="3066">
        <f>VLOOKUP(J4183,$J$3297:$K$3483,2,FALSE)</f>
        <v>0.65</v>
      </c>
      <c r="N4183" s="1135"/>
      <c r="O4183" s="228"/>
      <c r="P4183" s="844"/>
      <c r="Q4183" s="845"/>
      <c r="R4183" s="844"/>
      <c r="S4183" s="832"/>
      <c r="T4183" s="3082"/>
      <c r="U4183" s="123"/>
      <c r="V4183" s="4031"/>
      <c r="W4183" s="3307">
        <v>14804.699584437089</v>
      </c>
      <c r="X4183" s="535">
        <f>(X$1963/12000)*$Q$1810*X$3459</f>
        <v>4635.7602716258207</v>
      </c>
      <c r="Y4183" s="535">
        <v>1763.8516619658126</v>
      </c>
      <c r="Z4183" s="532">
        <v>1763.8516619658126</v>
      </c>
      <c r="AA4183" s="532">
        <v>1763.8516619658126</v>
      </c>
      <c r="AB4183" s="535">
        <v>1956.9017238752731</v>
      </c>
      <c r="AC4183" s="1052">
        <v>1956.9017238752731</v>
      </c>
      <c r="AD4183" s="793"/>
      <c r="AE4183" s="793"/>
      <c r="AF4183" s="793"/>
      <c r="AG4183" s="793"/>
      <c r="AH4183" s="1942"/>
      <c r="AI4183" s="1942"/>
      <c r="AJ4183" s="1942"/>
      <c r="AK4183" s="1942"/>
      <c r="AL4183" s="1942"/>
      <c r="AM4183" s="1942"/>
      <c r="AN4183" s="1942"/>
      <c r="AO4183" s="1942"/>
      <c r="AP4183" s="1942"/>
      <c r="AQ4183" s="1942"/>
      <c r="AR4183" s="1942"/>
      <c r="AS4183" s="1942"/>
      <c r="AT4183" s="1942"/>
      <c r="AU4183" s="1942"/>
      <c r="AV4183" s="1942"/>
      <c r="AW4183" s="1942"/>
      <c r="AX4183" s="1942"/>
      <c r="AY4183" s="1942"/>
      <c r="AZ4183" s="1942"/>
      <c r="BA4183" s="1942"/>
      <c r="BB4183" s="575"/>
      <c r="BC4183" s="576"/>
      <c r="BD4183" s="678"/>
      <c r="BE4183" s="585"/>
    </row>
    <row r="4184" spans="1:57" s="51" customFormat="1" ht="14.45" hidden="1" customHeight="1" outlineLevel="1" x14ac:dyDescent="0.25">
      <c r="A4184" s="2060"/>
      <c r="B4184" s="576"/>
      <c r="C4184" s="328"/>
      <c r="D4184" s="4023"/>
      <c r="E4184" s="4020"/>
      <c r="F4184" s="3016" t="str">
        <f t="shared" si="337"/>
        <v>ASHP-SEER20_ER1_MF</v>
      </c>
      <c r="G4184" s="2673"/>
      <c r="H4184" s="2673"/>
      <c r="I4184" s="2673"/>
      <c r="J4184" s="3302" t="str">
        <f>C1732</f>
        <v>354700_2019_12_</v>
      </c>
      <c r="K4184" s="1052"/>
      <c r="L4184" s="109" t="str">
        <f>IF(K4184&gt;0,VLOOKUP(J4184,$J$1801:$L$1987,3,FALSE),"")</f>
        <v/>
      </c>
      <c r="M4184" s="3066" t="str">
        <f>IF(K4184&gt;0,VLOOKUP(J4184,$J$3297:$K$3483,2,FALSE),"")</f>
        <v/>
      </c>
      <c r="N4184" s="1135"/>
      <c r="O4184" s="228"/>
      <c r="P4184" s="844"/>
      <c r="Q4184" s="845"/>
      <c r="R4184" s="844"/>
      <c r="S4184" s="832"/>
      <c r="T4184" s="3082"/>
      <c r="U4184" s="123"/>
      <c r="V4184" s="4031"/>
      <c r="W4184" s="3307"/>
      <c r="X4184" s="535"/>
      <c r="Y4184" s="535"/>
      <c r="Z4184" s="532"/>
      <c r="AA4184" s="532"/>
      <c r="AB4184" s="535"/>
      <c r="AC4184" s="1052"/>
      <c r="AD4184" s="793"/>
      <c r="AE4184" s="793"/>
      <c r="AF4184" s="793"/>
      <c r="AG4184" s="793"/>
      <c r="AH4184" s="1942"/>
      <c r="AI4184" s="1942"/>
      <c r="AJ4184" s="1942"/>
      <c r="AK4184" s="1942"/>
      <c r="AL4184" s="1942"/>
      <c r="AM4184" s="1942"/>
      <c r="AN4184" s="1942"/>
      <c r="AO4184" s="1942"/>
      <c r="AP4184" s="1942"/>
      <c r="AQ4184" s="1942"/>
      <c r="AR4184" s="1942"/>
      <c r="AS4184" s="1942"/>
      <c r="AT4184" s="1942"/>
      <c r="AU4184" s="1942"/>
      <c r="AV4184" s="1942"/>
      <c r="AW4184" s="1942"/>
      <c r="AX4184" s="1942"/>
      <c r="AY4184" s="1942"/>
      <c r="AZ4184" s="1942"/>
      <c r="BA4184" s="1942"/>
      <c r="BB4184" s="575"/>
      <c r="BC4184" s="576"/>
      <c r="BD4184" s="678"/>
      <c r="BE4184" s="585"/>
    </row>
    <row r="4185" spans="1:57" s="51" customFormat="1" ht="14.45" hidden="1" customHeight="1" outlineLevel="1" x14ac:dyDescent="0.25">
      <c r="A4185" s="2060"/>
      <c r="B4185" s="576"/>
      <c r="C4185" s="328"/>
      <c r="D4185" s="4023"/>
      <c r="E4185" s="4020"/>
      <c r="F4185" s="3016" t="str">
        <f t="shared" si="337"/>
        <v>ASHP-SEER20_ER2_MF</v>
      </c>
      <c r="G4185" s="2673"/>
      <c r="H4185" s="2673"/>
      <c r="I4185" s="2673"/>
      <c r="J4185" s="3302" t="str">
        <f>C1733</f>
        <v>354700_2019_12_</v>
      </c>
      <c r="K4185" s="1052"/>
      <c r="L4185" s="109" t="str">
        <f>IF(K4185&gt;0,VLOOKUP(J4185,$J$1801:$L$1987,3,FALSE),"")</f>
        <v/>
      </c>
      <c r="M4185" s="3066" t="str">
        <f>IF(K4185&gt;0,VLOOKUP(J4185,$J$3297:$K$3483,2,FALSE),"")</f>
        <v/>
      </c>
      <c r="N4185" s="1135"/>
      <c r="O4185" s="228"/>
      <c r="P4185" s="844"/>
      <c r="Q4185" s="845"/>
      <c r="R4185" s="844"/>
      <c r="S4185" s="832"/>
      <c r="T4185" s="3082"/>
      <c r="U4185" s="123"/>
      <c r="V4185" s="4031"/>
      <c r="W4185" s="3307"/>
      <c r="X4185" s="535"/>
      <c r="Y4185" s="535"/>
      <c r="Z4185" s="532"/>
      <c r="AA4185" s="532"/>
      <c r="AB4185" s="535"/>
      <c r="AC4185" s="1052"/>
      <c r="AD4185" s="793"/>
      <c r="AE4185" s="793"/>
      <c r="AF4185" s="793"/>
      <c r="AG4185" s="793"/>
      <c r="AH4185" s="1942"/>
      <c r="AI4185" s="1942"/>
      <c r="AJ4185" s="1942"/>
      <c r="AK4185" s="1942"/>
      <c r="AL4185" s="1942"/>
      <c r="AM4185" s="1942"/>
      <c r="AN4185" s="1942"/>
      <c r="AO4185" s="1942"/>
      <c r="AP4185" s="1942"/>
      <c r="AQ4185" s="1942"/>
      <c r="AR4185" s="1942"/>
      <c r="AS4185" s="1942"/>
      <c r="AT4185" s="1942"/>
      <c r="AU4185" s="1942"/>
      <c r="AV4185" s="1942"/>
      <c r="AW4185" s="1942"/>
      <c r="AX4185" s="1942"/>
      <c r="AY4185" s="1942"/>
      <c r="AZ4185" s="1942"/>
      <c r="BA4185" s="1942"/>
      <c r="BB4185" s="575"/>
      <c r="BC4185" s="576"/>
      <c r="BD4185" s="678"/>
      <c r="BE4185" s="585"/>
    </row>
    <row r="4186" spans="1:57" s="51" customFormat="1" ht="14.45" hidden="1" customHeight="1" outlineLevel="1" x14ac:dyDescent="0.25">
      <c r="A4186" s="2060"/>
      <c r="B4186" s="576"/>
      <c r="C4186" s="328"/>
      <c r="D4186" s="4023"/>
      <c r="E4186" s="4020"/>
      <c r="F4186" s="3016" t="str">
        <f t="shared" si="337"/>
        <v>ASHP-SEER20_ER2_MF</v>
      </c>
      <c r="G4186" s="2673"/>
      <c r="H4186" s="2673"/>
      <c r="I4186" s="2673"/>
      <c r="J4186" s="3302" t="str">
        <f>C1734</f>
        <v>354700_2019_12_</v>
      </c>
      <c r="K4186" s="1052"/>
      <c r="L4186" s="109" t="str">
        <f>IF(K4186&gt;0,VLOOKUP(J4186,$J$1801:$L$1987,3,FALSE),"")</f>
        <v/>
      </c>
      <c r="M4186" s="3066" t="str">
        <f>IF(K4186&gt;0,VLOOKUP(J4186,$J$3297:$K$3483,2,FALSE),"")</f>
        <v/>
      </c>
      <c r="N4186" s="1135"/>
      <c r="O4186" s="228"/>
      <c r="P4186" s="844"/>
      <c r="Q4186" s="845"/>
      <c r="R4186" s="844"/>
      <c r="S4186" s="832"/>
      <c r="T4186" s="3082"/>
      <c r="U4186" s="123"/>
      <c r="V4186" s="4031"/>
      <c r="W4186" s="3307"/>
      <c r="X4186" s="535"/>
      <c r="Y4186" s="535"/>
      <c r="Z4186" s="532"/>
      <c r="AA4186" s="532"/>
      <c r="AB4186" s="535"/>
      <c r="AC4186" s="1052"/>
      <c r="AD4186" s="793"/>
      <c r="AE4186" s="793"/>
      <c r="AF4186" s="793"/>
      <c r="AG4186" s="793"/>
      <c r="AH4186" s="1942"/>
      <c r="AI4186" s="1942"/>
      <c r="AJ4186" s="1942"/>
      <c r="AK4186" s="1942"/>
      <c r="AL4186" s="1942"/>
      <c r="AM4186" s="1942"/>
      <c r="AN4186" s="1942"/>
      <c r="AO4186" s="1942"/>
      <c r="AP4186" s="1942"/>
      <c r="AQ4186" s="1942"/>
      <c r="AR4186" s="1942"/>
      <c r="AS4186" s="1942"/>
      <c r="AT4186" s="1942"/>
      <c r="AU4186" s="1942"/>
      <c r="AV4186" s="1942"/>
      <c r="AW4186" s="1942"/>
      <c r="AX4186" s="1942"/>
      <c r="AY4186" s="1942"/>
      <c r="AZ4186" s="1942"/>
      <c r="BA4186" s="1942"/>
      <c r="BB4186" s="575"/>
      <c r="BC4186" s="576"/>
      <c r="BD4186" s="678"/>
      <c r="BE4186" s="585"/>
    </row>
    <row r="4187" spans="1:57" s="1942" customFormat="1" ht="14.45" hidden="1" customHeight="1" outlineLevel="1" x14ac:dyDescent="0.25">
      <c r="A4187" s="2060"/>
      <c r="B4187" s="576"/>
      <c r="C4187" s="328"/>
      <c r="D4187" s="4023"/>
      <c r="E4187" s="4020"/>
      <c r="F4187" s="3016" t="str">
        <f t="shared" si="337"/>
        <v>ASHP-SEER20_ER1_MF_CompE</v>
      </c>
      <c r="G4187" s="2673"/>
      <c r="H4187" s="2673"/>
      <c r="I4187" s="2673"/>
      <c r="J4187" s="3302" t="str">
        <f t="shared" ref="J4187:J4190" si="338">C1735</f>
        <v>354701_2019_12_</v>
      </c>
      <c r="K4187" s="3294">
        <f>(($R$1820*L4187)+$R$1810)-(($Q$1820*L4187)/((1+$R$1822)^($R$1823-1)))</f>
        <v>1956.9017238752731</v>
      </c>
      <c r="L4187" s="112">
        <f>VLOOKUP(J4187,$J$1801:$L$1987,3,FALSE)*M4187</f>
        <v>2.145</v>
      </c>
      <c r="M4187" s="3286">
        <f>VLOOKUP(J4187,$J$3297:$K$3483,2,FALSE)</f>
        <v>0.65</v>
      </c>
      <c r="N4187" s="1135"/>
      <c r="O4187" s="228"/>
      <c r="P4187" s="844"/>
      <c r="Q4187" s="845"/>
      <c r="R4187" s="844"/>
      <c r="S4187" s="832"/>
      <c r="T4187" s="3082"/>
      <c r="U4187" s="123"/>
      <c r="V4187" s="4031"/>
      <c r="W4187" s="3307"/>
      <c r="X4187" s="535"/>
      <c r="Y4187" s="535"/>
      <c r="Z4187" s="532"/>
      <c r="AA4187" s="532"/>
      <c r="AB4187" s="535"/>
      <c r="AC4187" s="3294">
        <v>1956.9017238752731</v>
      </c>
      <c r="AD4187" s="793"/>
      <c r="AE4187" s="793"/>
      <c r="AF4187" s="793"/>
      <c r="AG4187" s="793"/>
      <c r="BB4187" s="575"/>
      <c r="BC4187" s="576"/>
      <c r="BD4187" s="678"/>
      <c r="BE4187" s="585"/>
    </row>
    <row r="4188" spans="1:57" s="1942" customFormat="1" ht="14.45" hidden="1" customHeight="1" outlineLevel="1" x14ac:dyDescent="0.25">
      <c r="A4188" s="2060"/>
      <c r="B4188" s="576"/>
      <c r="C4188" s="328"/>
      <c r="D4188" s="4023"/>
      <c r="E4188" s="4020"/>
      <c r="F4188" s="3016" t="str">
        <f t="shared" si="337"/>
        <v>ASHP-SEER20_ER1_MF_CompE</v>
      </c>
      <c r="G4188" s="2673"/>
      <c r="H4188" s="2673"/>
      <c r="I4188" s="2673"/>
      <c r="J4188" s="3302" t="str">
        <f t="shared" si="338"/>
        <v>354701_2019_12_</v>
      </c>
      <c r="K4188" s="1052"/>
      <c r="L4188" s="109"/>
      <c r="M4188" s="3066"/>
      <c r="N4188" s="1135"/>
      <c r="O4188" s="228"/>
      <c r="P4188" s="844"/>
      <c r="Q4188" s="845"/>
      <c r="R4188" s="844"/>
      <c r="S4188" s="832"/>
      <c r="T4188" s="3082"/>
      <c r="U4188" s="123"/>
      <c r="V4188" s="4031"/>
      <c r="W4188" s="3307"/>
      <c r="X4188" s="535"/>
      <c r="Y4188" s="535"/>
      <c r="Z4188" s="532"/>
      <c r="AA4188" s="532"/>
      <c r="AB4188" s="535"/>
      <c r="AC4188" s="1052"/>
      <c r="AD4188" s="793"/>
      <c r="AE4188" s="793"/>
      <c r="AF4188" s="793"/>
      <c r="AG4188" s="793"/>
      <c r="BB4188" s="575"/>
      <c r="BC4188" s="576"/>
      <c r="BD4188" s="678"/>
      <c r="BE4188" s="585"/>
    </row>
    <row r="4189" spans="1:57" s="1942" customFormat="1" ht="14.45" hidden="1" customHeight="1" outlineLevel="1" x14ac:dyDescent="0.25">
      <c r="A4189" s="2060"/>
      <c r="B4189" s="576"/>
      <c r="C4189" s="328"/>
      <c r="D4189" s="4023"/>
      <c r="E4189" s="4020"/>
      <c r="F4189" s="3016" t="str">
        <f t="shared" si="337"/>
        <v>ASHP-SEER20_ER2_MF_CompE</v>
      </c>
      <c r="G4189" s="2673"/>
      <c r="H4189" s="2673"/>
      <c r="I4189" s="2673"/>
      <c r="J4189" s="3302" t="str">
        <f t="shared" si="338"/>
        <v>354701_2019_12_</v>
      </c>
      <c r="K4189" s="1052"/>
      <c r="L4189" s="109"/>
      <c r="M4189" s="3066"/>
      <c r="N4189" s="1135"/>
      <c r="O4189" s="228"/>
      <c r="P4189" s="844"/>
      <c r="Q4189" s="845"/>
      <c r="R4189" s="844"/>
      <c r="S4189" s="832"/>
      <c r="T4189" s="3082"/>
      <c r="U4189" s="123"/>
      <c r="V4189" s="4031"/>
      <c r="W4189" s="3307"/>
      <c r="X4189" s="535"/>
      <c r="Y4189" s="535"/>
      <c r="Z4189" s="532"/>
      <c r="AA4189" s="532"/>
      <c r="AB4189" s="535"/>
      <c r="AC4189" s="1052"/>
      <c r="AD4189" s="793"/>
      <c r="AE4189" s="793"/>
      <c r="AF4189" s="793"/>
      <c r="AG4189" s="793"/>
      <c r="BB4189" s="575"/>
      <c r="BC4189" s="576"/>
      <c r="BD4189" s="678"/>
      <c r="BE4189" s="585"/>
    </row>
    <row r="4190" spans="1:57" s="1942" customFormat="1" ht="14.45" hidden="1" customHeight="1" outlineLevel="1" x14ac:dyDescent="0.25">
      <c r="A4190" s="2060"/>
      <c r="B4190" s="576"/>
      <c r="C4190" s="328"/>
      <c r="D4190" s="4023"/>
      <c r="E4190" s="4020"/>
      <c r="F4190" s="3016" t="str">
        <f t="shared" si="337"/>
        <v>ASHP-SEER20_ER2_MF_CompE</v>
      </c>
      <c r="G4190" s="2673"/>
      <c r="H4190" s="2673"/>
      <c r="I4190" s="2673"/>
      <c r="J4190" s="3302" t="str">
        <f t="shared" si="338"/>
        <v>354701_2019_12_</v>
      </c>
      <c r="K4190" s="1052"/>
      <c r="L4190" s="109"/>
      <c r="M4190" s="3066"/>
      <c r="N4190" s="1135"/>
      <c r="O4190" s="228"/>
      <c r="P4190" s="844"/>
      <c r="Q4190" s="845"/>
      <c r="R4190" s="844"/>
      <c r="S4190" s="832"/>
      <c r="T4190" s="3082"/>
      <c r="U4190" s="123"/>
      <c r="V4190" s="4031"/>
      <c r="W4190" s="3307"/>
      <c r="X4190" s="535"/>
      <c r="Y4190" s="535"/>
      <c r="Z4190" s="532"/>
      <c r="AA4190" s="532"/>
      <c r="AB4190" s="535"/>
      <c r="AC4190" s="1052"/>
      <c r="AD4190" s="793"/>
      <c r="AE4190" s="793"/>
      <c r="AF4190" s="793"/>
      <c r="AG4190" s="793"/>
      <c r="BB4190" s="575"/>
      <c r="BC4190" s="576"/>
      <c r="BD4190" s="678"/>
      <c r="BE4190" s="585"/>
    </row>
    <row r="4191" spans="1:57" s="51" customFormat="1" ht="14.45" hidden="1" customHeight="1" outlineLevel="1" x14ac:dyDescent="0.25">
      <c r="A4191" s="2060"/>
      <c r="B4191" s="576"/>
      <c r="C4191" s="328"/>
      <c r="D4191" s="4023"/>
      <c r="E4191" s="4020"/>
      <c r="F4191" s="3016" t="str">
        <f t="shared" si="337"/>
        <v>ASHP-SEER21_ER1_SF</v>
      </c>
      <c r="G4191" s="2673"/>
      <c r="H4191" s="2673"/>
      <c r="I4191" s="2673"/>
      <c r="J4191" s="3301" t="str">
        <f t="shared" ref="J4191:J4204" si="339">C1739</f>
        <v>354750_2021_12_</v>
      </c>
      <c r="K4191" s="3294">
        <f>(($R$1820*L4191)+$R$1811)-(($Q$1820*L4191)/((1+$R$1822)^($R$1823-1)))</f>
        <v>2498.6373792903719</v>
      </c>
      <c r="L4191" s="109">
        <f>VLOOKUP(J4191,$J$1801:$L$1987,3,FALSE)*M4191</f>
        <v>3.3846153846153846</v>
      </c>
      <c r="M4191" s="3066">
        <f>VLOOKUP(J4191,$J$3297:$K$3483,2,FALSE)</f>
        <v>1</v>
      </c>
      <c r="N4191" s="1135"/>
      <c r="O4191" s="228"/>
      <c r="P4191" s="844"/>
      <c r="Q4191" s="845"/>
      <c r="R4191" s="844"/>
      <c r="S4191" s="832"/>
      <c r="T4191" s="3082"/>
      <c r="U4191" s="123"/>
      <c r="V4191" s="4031"/>
      <c r="W4191" s="3307">
        <v>14804.699584437089</v>
      </c>
      <c r="X4191" s="535">
        <f>(X$1967/12000)*$Q$1811*X$3463</f>
        <v>7942.2360594243391</v>
      </c>
      <c r="Y4191" s="535">
        <v>2089.0025568704818</v>
      </c>
      <c r="Z4191" s="532">
        <v>2089.0025568704818</v>
      </c>
      <c r="AA4191" s="532">
        <v>2089.0025568704818</v>
      </c>
      <c r="AB4191" s="535">
        <v>2478.4195598081137</v>
      </c>
      <c r="AC4191" s="3294">
        <v>2498.6373792903719</v>
      </c>
      <c r="AD4191" s="793"/>
      <c r="AE4191" s="793"/>
      <c r="AF4191" s="793"/>
      <c r="AG4191" s="793"/>
      <c r="AH4191" s="1942"/>
      <c r="AI4191" s="1942"/>
      <c r="AJ4191" s="1942"/>
      <c r="AK4191" s="1942"/>
      <c r="AL4191" s="1942"/>
      <c r="AM4191" s="1942"/>
      <c r="AN4191" s="1942"/>
      <c r="AO4191" s="1942"/>
      <c r="AP4191" s="1942"/>
      <c r="AQ4191" s="1942"/>
      <c r="AR4191" s="1942"/>
      <c r="AS4191" s="1942"/>
      <c r="AT4191" s="1942"/>
      <c r="AU4191" s="1942"/>
      <c r="AV4191" s="1942"/>
      <c r="AW4191" s="1942"/>
      <c r="AX4191" s="1942"/>
      <c r="AY4191" s="1942"/>
      <c r="AZ4191" s="1942"/>
      <c r="BA4191" s="1942"/>
      <c r="BB4191" s="575"/>
      <c r="BC4191" s="576"/>
      <c r="BD4191" s="678"/>
      <c r="BE4191" s="585"/>
    </row>
    <row r="4192" spans="1:57" s="51" customFormat="1" ht="14.45" hidden="1" customHeight="1" outlineLevel="1" x14ac:dyDescent="0.25">
      <c r="A4192" s="2060"/>
      <c r="B4192" s="576"/>
      <c r="C4192" s="328"/>
      <c r="D4192" s="4023"/>
      <c r="E4192" s="4020"/>
      <c r="F4192" s="3016" t="str">
        <f t="shared" si="337"/>
        <v>ASHP-SEER21_ER1_SF</v>
      </c>
      <c r="G4192" s="2673"/>
      <c r="H4192" s="2673"/>
      <c r="I4192" s="2673"/>
      <c r="J4192" s="3301" t="str">
        <f t="shared" si="339"/>
        <v>354750_2021_12_</v>
      </c>
      <c r="K4192" s="1052"/>
      <c r="L4192" s="109" t="str">
        <f>IF(K4192&gt;0,VLOOKUP(J4192,$J$1801:$L$1987,3,FALSE),"")</f>
        <v/>
      </c>
      <c r="M4192" s="3066" t="str">
        <f>IF(K4192&gt;0,VLOOKUP(J4192,$J$3297:$K$3483,2,FALSE),"")</f>
        <v/>
      </c>
      <c r="N4192" s="1135"/>
      <c r="O4192" s="228"/>
      <c r="P4192" s="844"/>
      <c r="Q4192" s="845"/>
      <c r="R4192" s="844"/>
      <c r="S4192" s="832"/>
      <c r="T4192" s="3082"/>
      <c r="U4192" s="123"/>
      <c r="V4192" s="4031"/>
      <c r="W4192" s="3307"/>
      <c r="X4192" s="535"/>
      <c r="Y4192" s="535"/>
      <c r="Z4192" s="532"/>
      <c r="AA4192" s="532"/>
      <c r="AB4192" s="535"/>
      <c r="AC4192" s="1052"/>
      <c r="AD4192" s="793"/>
      <c r="AE4192" s="793"/>
      <c r="AF4192" s="793"/>
      <c r="AG4192" s="793"/>
      <c r="AH4192" s="1942"/>
      <c r="AI4192" s="1942"/>
      <c r="AJ4192" s="1942"/>
      <c r="AK4192" s="1942"/>
      <c r="AL4192" s="1942"/>
      <c r="AM4192" s="1942"/>
      <c r="AN4192" s="1942"/>
      <c r="AO4192" s="1942"/>
      <c r="AP4192" s="1942"/>
      <c r="AQ4192" s="1942"/>
      <c r="AR4192" s="1942"/>
      <c r="AS4192" s="1942"/>
      <c r="AT4192" s="1942"/>
      <c r="AU4192" s="1942"/>
      <c r="AV4192" s="1942"/>
      <c r="AW4192" s="1942"/>
      <c r="AX4192" s="1942"/>
      <c r="AY4192" s="1942"/>
      <c r="AZ4192" s="1942"/>
      <c r="BA4192" s="1942"/>
      <c r="BB4192" s="575"/>
      <c r="BC4192" s="576"/>
      <c r="BD4192" s="678"/>
      <c r="BE4192" s="585"/>
    </row>
    <row r="4193" spans="1:57" s="51" customFormat="1" ht="14.45" hidden="1" customHeight="1" outlineLevel="1" x14ac:dyDescent="0.25">
      <c r="A4193" s="2060"/>
      <c r="B4193" s="576"/>
      <c r="C4193" s="328"/>
      <c r="D4193" s="4023"/>
      <c r="E4193" s="4020"/>
      <c r="F4193" s="3016" t="str">
        <f t="shared" si="337"/>
        <v>ASHP-SEER21_ER2_SF</v>
      </c>
      <c r="G4193" s="2673"/>
      <c r="H4193" s="2673"/>
      <c r="I4193" s="2673"/>
      <c r="J4193" s="3301" t="str">
        <f t="shared" si="339"/>
        <v>354750_2021_12_</v>
      </c>
      <c r="K4193" s="1052"/>
      <c r="L4193" s="109" t="str">
        <f>IF(K4193&gt;0,VLOOKUP(J4193,$J$1801:$L$1987,3,FALSE),"")</f>
        <v/>
      </c>
      <c r="M4193" s="3066" t="str">
        <f>IF(K4193&gt;0,VLOOKUP(J4193,$J$3297:$K$3483,2,FALSE),"")</f>
        <v/>
      </c>
      <c r="N4193" s="1135"/>
      <c r="O4193" s="228"/>
      <c r="P4193" s="844"/>
      <c r="Q4193" s="845"/>
      <c r="R4193" s="844"/>
      <c r="S4193" s="832"/>
      <c r="T4193" s="3082"/>
      <c r="U4193" s="123"/>
      <c r="V4193" s="4031"/>
      <c r="W4193" s="3307"/>
      <c r="X4193" s="535"/>
      <c r="Y4193" s="535"/>
      <c r="Z4193" s="532"/>
      <c r="AA4193" s="532"/>
      <c r="AB4193" s="535"/>
      <c r="AC4193" s="1052"/>
      <c r="AD4193" s="793"/>
      <c r="AE4193" s="793"/>
      <c r="AF4193" s="793"/>
      <c r="AG4193" s="793"/>
      <c r="AH4193" s="1942"/>
      <c r="AI4193" s="1942"/>
      <c r="AJ4193" s="1942"/>
      <c r="AK4193" s="1942"/>
      <c r="AL4193" s="1942"/>
      <c r="AM4193" s="1942"/>
      <c r="AN4193" s="1942"/>
      <c r="AO4193" s="1942"/>
      <c r="AP4193" s="1942"/>
      <c r="AQ4193" s="1942"/>
      <c r="AR4193" s="1942"/>
      <c r="AS4193" s="1942"/>
      <c r="AT4193" s="1942"/>
      <c r="AU4193" s="1942"/>
      <c r="AV4193" s="1942"/>
      <c r="AW4193" s="1942"/>
      <c r="AX4193" s="1942"/>
      <c r="AY4193" s="1942"/>
      <c r="AZ4193" s="1942"/>
      <c r="BA4193" s="1942"/>
      <c r="BB4193" s="575"/>
      <c r="BC4193" s="576"/>
      <c r="BD4193" s="678"/>
      <c r="BE4193" s="585"/>
    </row>
    <row r="4194" spans="1:57" s="51" customFormat="1" ht="14.45" hidden="1" customHeight="1" outlineLevel="1" x14ac:dyDescent="0.25">
      <c r="A4194" s="2060"/>
      <c r="B4194" s="576"/>
      <c r="C4194" s="328"/>
      <c r="D4194" s="4023"/>
      <c r="E4194" s="4020"/>
      <c r="F4194" s="3016" t="str">
        <f t="shared" si="337"/>
        <v>ASHP-SEER21_ER2_SF</v>
      </c>
      <c r="G4194" s="2673"/>
      <c r="H4194" s="2673"/>
      <c r="I4194" s="2673"/>
      <c r="J4194" s="3301" t="str">
        <f t="shared" si="339"/>
        <v>354750_2021_12_</v>
      </c>
      <c r="K4194" s="1052"/>
      <c r="L4194" s="109" t="str">
        <f>IF(K4194&gt;0,VLOOKUP(J4194,$J$1801:$L$1987,3,FALSE),"")</f>
        <v/>
      </c>
      <c r="M4194" s="3066" t="str">
        <f>IF(K4194&gt;0,VLOOKUP(J4194,$J$3297:$K$3483,2,FALSE),"")</f>
        <v/>
      </c>
      <c r="N4194" s="1135"/>
      <c r="O4194" s="228"/>
      <c r="P4194" s="844"/>
      <c r="Q4194" s="845"/>
      <c r="R4194" s="844"/>
      <c r="S4194" s="832"/>
      <c r="T4194" s="3082"/>
      <c r="U4194" s="123"/>
      <c r="V4194" s="4031"/>
      <c r="W4194" s="3307"/>
      <c r="X4194" s="535"/>
      <c r="Y4194" s="535"/>
      <c r="Z4194" s="532"/>
      <c r="AA4194" s="532"/>
      <c r="AB4194" s="535"/>
      <c r="AC4194" s="1052"/>
      <c r="AD4194" s="793"/>
      <c r="AE4194" s="793"/>
      <c r="AF4194" s="793"/>
      <c r="AG4194" s="793"/>
      <c r="AH4194" s="1942"/>
      <c r="AI4194" s="1942"/>
      <c r="AJ4194" s="1942"/>
      <c r="AK4194" s="1942"/>
      <c r="AL4194" s="1942"/>
      <c r="AM4194" s="1942"/>
      <c r="AN4194" s="1942"/>
      <c r="AO4194" s="1942"/>
      <c r="AP4194" s="1942"/>
      <c r="AQ4194" s="1942"/>
      <c r="AR4194" s="1942"/>
      <c r="AS4194" s="1942"/>
      <c r="AT4194" s="1942"/>
      <c r="AU4194" s="1942"/>
      <c r="AV4194" s="1942"/>
      <c r="AW4194" s="1942"/>
      <c r="AX4194" s="1942"/>
      <c r="AY4194" s="1942"/>
      <c r="AZ4194" s="1942"/>
      <c r="BA4194" s="1942"/>
      <c r="BB4194" s="575"/>
      <c r="BC4194" s="576"/>
      <c r="BD4194" s="678"/>
      <c r="BE4194" s="585"/>
    </row>
    <row r="4195" spans="1:57" s="51" customFormat="1" ht="14.45" hidden="1" customHeight="1" outlineLevel="1" x14ac:dyDescent="0.25">
      <c r="A4195" s="2060"/>
      <c r="B4195" s="576"/>
      <c r="C4195" s="328"/>
      <c r="D4195" s="4023"/>
      <c r="E4195" s="4020"/>
      <c r="F4195" s="3016" t="str">
        <f t="shared" si="337"/>
        <v>ASHP-SEER21_ROF_SF</v>
      </c>
      <c r="G4195" s="2673"/>
      <c r="H4195" s="2673"/>
      <c r="I4195" s="2673"/>
      <c r="J4195" s="3301" t="str">
        <f t="shared" si="339"/>
        <v>354800_2021_12_</v>
      </c>
      <c r="K4195" s="1052">
        <f>$R$1811*K$3303</f>
        <v>1689.9245999999991</v>
      </c>
      <c r="L4195" s="109">
        <f>VLOOKUP(J4195,$J$1801:$L$1987,3,FALSE)*M4195</f>
        <v>3.875</v>
      </c>
      <c r="M4195" s="3066">
        <f>VLOOKUP(J4195,$J$3297:$K$3483,2,FALSE)</f>
        <v>1</v>
      </c>
      <c r="N4195" s="1135"/>
      <c r="O4195" s="228"/>
      <c r="P4195" s="844"/>
      <c r="Q4195" s="845"/>
      <c r="R4195" s="844"/>
      <c r="S4195" s="832"/>
      <c r="T4195" s="3082"/>
      <c r="U4195" s="123"/>
      <c r="V4195" s="4031"/>
      <c r="W4195" s="3307">
        <v>9976</v>
      </c>
      <c r="X4195" s="535">
        <f>(X$1969/12000)*$R$1811*X$3465</f>
        <v>5576.7511799999966</v>
      </c>
      <c r="Y4195" s="535">
        <v>1160</v>
      </c>
      <c r="Z4195" s="532">
        <v>1160</v>
      </c>
      <c r="AA4195" s="532">
        <v>1160</v>
      </c>
      <c r="AB4195" s="535">
        <v>1689.9245999999991</v>
      </c>
      <c r="AC4195" s="1052">
        <v>1689.9245999999991</v>
      </c>
      <c r="AD4195" s="793"/>
      <c r="AE4195" s="793"/>
      <c r="AF4195" s="793"/>
      <c r="AG4195" s="793"/>
      <c r="AH4195" s="1942"/>
      <c r="AI4195" s="1942"/>
      <c r="AJ4195" s="1942"/>
      <c r="AK4195" s="1942"/>
      <c r="AL4195" s="1942"/>
      <c r="AM4195" s="1942"/>
      <c r="AN4195" s="1942"/>
      <c r="AO4195" s="1942"/>
      <c r="AP4195" s="1942"/>
      <c r="AQ4195" s="1942"/>
      <c r="AR4195" s="1942"/>
      <c r="AS4195" s="1942"/>
      <c r="AT4195" s="1942"/>
      <c r="AU4195" s="1942"/>
      <c r="AV4195" s="1942"/>
      <c r="AW4195" s="1942"/>
      <c r="AX4195" s="1942"/>
      <c r="AY4195" s="1942"/>
      <c r="AZ4195" s="1942"/>
      <c r="BA4195" s="1942"/>
      <c r="BB4195" s="575"/>
      <c r="BC4195" s="576"/>
      <c r="BD4195" s="678"/>
      <c r="BE4195" s="585"/>
    </row>
    <row r="4196" spans="1:57" s="51" customFormat="1" ht="14.45" hidden="1" customHeight="1" outlineLevel="1" x14ac:dyDescent="0.25">
      <c r="A4196" s="2060"/>
      <c r="B4196" s="576"/>
      <c r="C4196" s="328"/>
      <c r="D4196" s="4023"/>
      <c r="E4196" s="4020"/>
      <c r="F4196" s="3016" t="str">
        <f t="shared" si="337"/>
        <v>ASHP-SEER21_ROF_SF</v>
      </c>
      <c r="G4196" s="2673"/>
      <c r="H4196" s="2673"/>
      <c r="I4196" s="2673"/>
      <c r="J4196" s="3301" t="str">
        <f t="shared" si="339"/>
        <v>354800_2021_12_</v>
      </c>
      <c r="K4196" s="1052"/>
      <c r="L4196" s="109" t="str">
        <f>IF(K4196&gt;0,VLOOKUP(J4196,$J$1801:$L$1987,3,FALSE),"")</f>
        <v/>
      </c>
      <c r="M4196" s="3066" t="str">
        <f>IF(K4196&gt;0,VLOOKUP(J4196,$J$3297:$K$3483,2,FALSE),"")</f>
        <v/>
      </c>
      <c r="N4196" s="1135"/>
      <c r="O4196" s="228"/>
      <c r="P4196" s="844"/>
      <c r="Q4196" s="845"/>
      <c r="R4196" s="844"/>
      <c r="S4196" s="832"/>
      <c r="T4196" s="3082"/>
      <c r="U4196" s="123"/>
      <c r="V4196" s="4031"/>
      <c r="W4196" s="3307"/>
      <c r="X4196" s="535"/>
      <c r="Y4196" s="535"/>
      <c r="Z4196" s="532"/>
      <c r="AA4196" s="532"/>
      <c r="AB4196" s="535"/>
      <c r="AC4196" s="1052"/>
      <c r="AD4196" s="793"/>
      <c r="AE4196" s="793"/>
      <c r="AF4196" s="793"/>
      <c r="AG4196" s="793"/>
      <c r="AH4196" s="1942"/>
      <c r="AI4196" s="1942"/>
      <c r="AJ4196" s="1942"/>
      <c r="AK4196" s="1942"/>
      <c r="AL4196" s="1942"/>
      <c r="AM4196" s="1942"/>
      <c r="AN4196" s="1942"/>
      <c r="AO4196" s="1942"/>
      <c r="AP4196" s="1942"/>
      <c r="AQ4196" s="1942"/>
      <c r="AR4196" s="1942"/>
      <c r="AS4196" s="1942"/>
      <c r="AT4196" s="1942"/>
      <c r="AU4196" s="1942"/>
      <c r="AV4196" s="1942"/>
      <c r="AW4196" s="1942"/>
      <c r="AX4196" s="1942"/>
      <c r="AY4196" s="1942"/>
      <c r="AZ4196" s="1942"/>
      <c r="BA4196" s="1942"/>
      <c r="BB4196" s="575"/>
      <c r="BC4196" s="576"/>
      <c r="BD4196" s="678"/>
      <c r="BE4196" s="585"/>
    </row>
    <row r="4197" spans="1:57" s="51" customFormat="1" ht="14.45" hidden="1" customHeight="1" outlineLevel="1" x14ac:dyDescent="0.25">
      <c r="A4197" s="2060"/>
      <c r="B4197" s="576"/>
      <c r="C4197" s="328"/>
      <c r="D4197" s="4023"/>
      <c r="E4197" s="4020"/>
      <c r="F4197" s="3016" t="str">
        <f t="shared" si="337"/>
        <v>ASHP-SEER21-Replace_CAC_ElectricHeat_ROF_MF</v>
      </c>
      <c r="G4197" s="2673"/>
      <c r="H4197" s="2673"/>
      <c r="I4197" s="2673"/>
      <c r="J4197" s="3302" t="str">
        <f t="shared" si="339"/>
        <v>354850_2019_12_</v>
      </c>
      <c r="K4197" s="1052">
        <f>$R$1811*K$3303</f>
        <v>1689.9245999999991</v>
      </c>
      <c r="L4197" s="109">
        <f>VLOOKUP(J4197,$J$1801:$L$1987,3,FALSE)*M4197</f>
        <v>1.8199999999999998</v>
      </c>
      <c r="M4197" s="3066">
        <f>VLOOKUP(J4197,$J$3297:$K$3483,2,FALSE)</f>
        <v>0.65</v>
      </c>
      <c r="N4197" s="1135"/>
      <c r="O4197" s="228"/>
      <c r="P4197" s="844"/>
      <c r="Q4197" s="845"/>
      <c r="R4197" s="844"/>
      <c r="S4197" s="832"/>
      <c r="T4197" s="3082"/>
      <c r="U4197" s="123"/>
      <c r="V4197" s="4031"/>
      <c r="W4197" s="3307">
        <v>10092</v>
      </c>
      <c r="X4197" s="535">
        <f>(X$1970/12000)*$R$1811*X$3466</f>
        <v>3075.6627719999983</v>
      </c>
      <c r="Y4197" s="535">
        <v>1160</v>
      </c>
      <c r="Z4197" s="532">
        <v>1160</v>
      </c>
      <c r="AA4197" s="532">
        <v>1160</v>
      </c>
      <c r="AB4197" s="535">
        <v>1689.9245999999991</v>
      </c>
      <c r="AC4197" s="1052">
        <v>1689.9245999999991</v>
      </c>
      <c r="AD4197" s="793"/>
      <c r="AE4197" s="793"/>
      <c r="AF4197" s="793"/>
      <c r="AG4197" s="793"/>
      <c r="AH4197" s="1942"/>
      <c r="AI4197" s="1942"/>
      <c r="AJ4197" s="1942"/>
      <c r="AK4197" s="1942"/>
      <c r="AL4197" s="1942"/>
      <c r="AM4197" s="1942"/>
      <c r="AN4197" s="1942"/>
      <c r="AO4197" s="1942"/>
      <c r="AP4197" s="1942"/>
      <c r="AQ4197" s="1942"/>
      <c r="AR4197" s="1942"/>
      <c r="AS4197" s="1942"/>
      <c r="AT4197" s="1942"/>
      <c r="AU4197" s="1942"/>
      <c r="AV4197" s="1942"/>
      <c r="AW4197" s="1942"/>
      <c r="AX4197" s="1942"/>
      <c r="AY4197" s="1942"/>
      <c r="AZ4197" s="1942"/>
      <c r="BA4197" s="1942"/>
      <c r="BB4197" s="575"/>
      <c r="BC4197" s="576"/>
      <c r="BD4197" s="678"/>
      <c r="BE4197" s="585"/>
    </row>
    <row r="4198" spans="1:57" s="51" customFormat="1" ht="14.45" hidden="1" customHeight="1" outlineLevel="1" x14ac:dyDescent="0.25">
      <c r="A4198" s="2060"/>
      <c r="B4198" s="576"/>
      <c r="C4198" s="328"/>
      <c r="D4198" s="4023"/>
      <c r="E4198" s="4020"/>
      <c r="F4198" s="3016" t="str">
        <f t="shared" si="337"/>
        <v>ASHP-SEER21-Replace_CAC_ElectricHeat_ROF_MF</v>
      </c>
      <c r="G4198" s="2673"/>
      <c r="H4198" s="2673"/>
      <c r="I4198" s="2673"/>
      <c r="J4198" s="3302" t="str">
        <f t="shared" si="339"/>
        <v>354850_2019_12_</v>
      </c>
      <c r="K4198" s="1052"/>
      <c r="L4198" s="109" t="str">
        <f>IF(K4198&gt;0,VLOOKUP(J4198,$J$1801:$L$1987,3,FALSE),"")</f>
        <v/>
      </c>
      <c r="M4198" s="3066" t="str">
        <f>IF(K4198&gt;0,VLOOKUP(J4198,$J$3297:$K$3483,2,FALSE),"")</f>
        <v/>
      </c>
      <c r="N4198" s="1135"/>
      <c r="O4198" s="228"/>
      <c r="P4198" s="844"/>
      <c r="Q4198" s="845"/>
      <c r="R4198" s="844"/>
      <c r="S4198" s="832"/>
      <c r="T4198" s="3082"/>
      <c r="U4198" s="123"/>
      <c r="V4198" s="4031"/>
      <c r="W4198" s="3307"/>
      <c r="X4198" s="535"/>
      <c r="Y4198" s="535"/>
      <c r="Z4198" s="532"/>
      <c r="AA4198" s="532"/>
      <c r="AB4198" s="535"/>
      <c r="AC4198" s="1052"/>
      <c r="AD4198" s="793"/>
      <c r="AE4198" s="793"/>
      <c r="AF4198" s="793"/>
      <c r="AG4198" s="793"/>
      <c r="AH4198" s="1942"/>
      <c r="AI4198" s="1942"/>
      <c r="AJ4198" s="1942"/>
      <c r="AK4198" s="1942"/>
      <c r="AL4198" s="1942"/>
      <c r="AM4198" s="1942"/>
      <c r="AN4198" s="1942"/>
      <c r="AO4198" s="1942"/>
      <c r="AP4198" s="1942"/>
      <c r="AQ4198" s="1942"/>
      <c r="AR4198" s="1942"/>
      <c r="AS4198" s="1942"/>
      <c r="AT4198" s="1942"/>
      <c r="AU4198" s="1942"/>
      <c r="AV4198" s="1942"/>
      <c r="AW4198" s="1942"/>
      <c r="AX4198" s="1942"/>
      <c r="AY4198" s="1942"/>
      <c r="AZ4198" s="1942"/>
      <c r="BA4198" s="1942"/>
      <c r="BB4198" s="575"/>
      <c r="BC4198" s="576"/>
      <c r="BD4198" s="678"/>
      <c r="BE4198" s="585"/>
    </row>
    <row r="4199" spans="1:57" s="1942" customFormat="1" ht="14.45" hidden="1" customHeight="1" outlineLevel="1" x14ac:dyDescent="0.25">
      <c r="A4199" s="2060"/>
      <c r="B4199" s="576"/>
      <c r="C4199" s="328"/>
      <c r="D4199" s="4023"/>
      <c r="E4199" s="4020"/>
      <c r="F4199" s="3016" t="str">
        <f t="shared" si="337"/>
        <v>ASHP-SEER21-Replace_CAC_ElectricHeat_ROF_MF_CompE</v>
      </c>
      <c r="G4199" s="2673"/>
      <c r="H4199" s="2673"/>
      <c r="I4199" s="2673"/>
      <c r="J4199" s="3302" t="str">
        <f t="shared" si="339"/>
        <v>354851_2019_12_</v>
      </c>
      <c r="K4199" s="3294">
        <f>$R$1811*K$3303</f>
        <v>1689.9245999999991</v>
      </c>
      <c r="L4199" s="112">
        <f>VLOOKUP(J4199,$J$1801:$L$1987,3,FALSE)*M4199</f>
        <v>1.8199999999999998</v>
      </c>
      <c r="M4199" s="3286">
        <f>VLOOKUP(J4199,$J$3297:$K$3483,2,FALSE)</f>
        <v>0.65</v>
      </c>
      <c r="N4199" s="1135"/>
      <c r="O4199" s="228"/>
      <c r="P4199" s="844"/>
      <c r="Q4199" s="845"/>
      <c r="R4199" s="844"/>
      <c r="S4199" s="832"/>
      <c r="T4199" s="3082"/>
      <c r="U4199" s="123"/>
      <c r="V4199" s="4031"/>
      <c r="W4199" s="3307"/>
      <c r="X4199" s="535"/>
      <c r="Y4199" s="535"/>
      <c r="Z4199" s="532"/>
      <c r="AA4199" s="532"/>
      <c r="AB4199" s="535"/>
      <c r="AC4199" s="3294">
        <v>1689.9245999999991</v>
      </c>
      <c r="AD4199" s="793"/>
      <c r="AE4199" s="793"/>
      <c r="AF4199" s="793"/>
      <c r="AG4199" s="793"/>
      <c r="BB4199" s="575"/>
      <c r="BC4199" s="576"/>
      <c r="BD4199" s="678"/>
      <c r="BE4199" s="585"/>
    </row>
    <row r="4200" spans="1:57" s="1942" customFormat="1" ht="14.45" hidden="1" customHeight="1" outlineLevel="1" x14ac:dyDescent="0.25">
      <c r="A4200" s="2060"/>
      <c r="B4200" s="576"/>
      <c r="C4200" s="328"/>
      <c r="D4200" s="4023"/>
      <c r="E4200" s="4020"/>
      <c r="F4200" s="3016" t="str">
        <f t="shared" si="337"/>
        <v>ASHP-SEER21-Replace_CAC_ElectricHeat_ROF_MF_CompE</v>
      </c>
      <c r="G4200" s="2673"/>
      <c r="H4200" s="2673"/>
      <c r="I4200" s="2673"/>
      <c r="J4200" s="3302" t="str">
        <f t="shared" si="339"/>
        <v>354851_2019_12_</v>
      </c>
      <c r="K4200" s="1052"/>
      <c r="L4200" s="109"/>
      <c r="M4200" s="3066"/>
      <c r="N4200" s="1135"/>
      <c r="O4200" s="228"/>
      <c r="P4200" s="844"/>
      <c r="Q4200" s="845"/>
      <c r="R4200" s="844"/>
      <c r="S4200" s="832"/>
      <c r="T4200" s="3082"/>
      <c r="U4200" s="123"/>
      <c r="V4200" s="4031"/>
      <c r="W4200" s="3307"/>
      <c r="X4200" s="535"/>
      <c r="Y4200" s="535"/>
      <c r="Z4200" s="532"/>
      <c r="AA4200" s="532"/>
      <c r="AB4200" s="535"/>
      <c r="AC4200" s="1052"/>
      <c r="AD4200" s="793"/>
      <c r="AE4200" s="793"/>
      <c r="AF4200" s="793"/>
      <c r="AG4200" s="793"/>
      <c r="BB4200" s="575"/>
      <c r="BC4200" s="576"/>
      <c r="BD4200" s="678"/>
      <c r="BE4200" s="585"/>
    </row>
    <row r="4201" spans="1:57" s="1942" customFormat="1" ht="14.45" hidden="1" customHeight="1" outlineLevel="1" x14ac:dyDescent="0.25">
      <c r="A4201" s="2060"/>
      <c r="B4201" s="576"/>
      <c r="C4201" s="328"/>
      <c r="D4201" s="4023"/>
      <c r="E4201" s="4020"/>
      <c r="F4201" s="3016" t="str">
        <f t="shared" si="337"/>
        <v>ASHP-SEER21-Replace_CAC_NonElectricHeat_ROF_MF</v>
      </c>
      <c r="G4201" s="2673"/>
      <c r="H4201" s="2673"/>
      <c r="I4201" s="2673"/>
      <c r="J4201" s="3301" t="str">
        <f t="shared" si="339"/>
        <v>354860_2021_12_</v>
      </c>
      <c r="K4201" s="3294">
        <f>$R$1811*K$3303</f>
        <v>1689.9245999999991</v>
      </c>
      <c r="L4201" s="112">
        <f>VLOOKUP(J4201,$J$1801:$L$1987,3,FALSE)*M4201</f>
        <v>1.8199999999999998</v>
      </c>
      <c r="M4201" s="3286">
        <f>VLOOKUP(J4201,$J$3297:$K$3483,2,FALSE)</f>
        <v>0.65</v>
      </c>
      <c r="N4201" s="1135"/>
      <c r="O4201" s="228"/>
      <c r="P4201" s="844"/>
      <c r="Q4201" s="845"/>
      <c r="R4201" s="844"/>
      <c r="S4201" s="832"/>
      <c r="T4201" s="3082"/>
      <c r="U4201" s="123"/>
      <c r="V4201" s="4031"/>
      <c r="W4201" s="3307"/>
      <c r="X4201" s="535"/>
      <c r="Y4201" s="535"/>
      <c r="Z4201" s="532"/>
      <c r="AA4201" s="532"/>
      <c r="AB4201" s="535"/>
      <c r="AC4201" s="3294">
        <v>1689.9245999999991</v>
      </c>
      <c r="AD4201" s="793"/>
      <c r="AE4201" s="793"/>
      <c r="AF4201" s="793"/>
      <c r="AG4201" s="793"/>
      <c r="BB4201" s="575"/>
      <c r="BC4201" s="576"/>
      <c r="BD4201" s="678"/>
      <c r="BE4201" s="585"/>
    </row>
    <row r="4202" spans="1:57" s="1942" customFormat="1" ht="14.45" hidden="1" customHeight="1" outlineLevel="1" x14ac:dyDescent="0.25">
      <c r="A4202" s="2060"/>
      <c r="B4202" s="576"/>
      <c r="C4202" s="328"/>
      <c r="D4202" s="4023"/>
      <c r="E4202" s="4020"/>
      <c r="F4202" s="3016" t="str">
        <f t="shared" si="337"/>
        <v>ASHP-SEER21-Replace_CAC_NonElectricHeat_ROF_MF</v>
      </c>
      <c r="G4202" s="2673"/>
      <c r="H4202" s="2673"/>
      <c r="I4202" s="2673"/>
      <c r="J4202" s="3301" t="str">
        <f t="shared" si="339"/>
        <v>354860_2021_12_</v>
      </c>
      <c r="K4202" s="1052"/>
      <c r="L4202" s="109"/>
      <c r="M4202" s="3066"/>
      <c r="N4202" s="1135"/>
      <c r="O4202" s="228"/>
      <c r="P4202" s="844"/>
      <c r="Q4202" s="845"/>
      <c r="R4202" s="844"/>
      <c r="S4202" s="832"/>
      <c r="T4202" s="3082"/>
      <c r="U4202" s="123"/>
      <c r="V4202" s="4031"/>
      <c r="W4202" s="3307"/>
      <c r="X4202" s="535"/>
      <c r="Y4202" s="535"/>
      <c r="Z4202" s="532"/>
      <c r="AA4202" s="532"/>
      <c r="AB4202" s="535"/>
      <c r="AC4202" s="1052"/>
      <c r="AD4202" s="793"/>
      <c r="AE4202" s="793"/>
      <c r="AF4202" s="793"/>
      <c r="AG4202" s="793"/>
      <c r="BB4202" s="575"/>
      <c r="BC4202" s="576"/>
      <c r="BD4202" s="678"/>
      <c r="BE4202" s="585"/>
    </row>
    <row r="4203" spans="1:57" s="1942" customFormat="1" ht="14.45" hidden="1" customHeight="1" outlineLevel="1" x14ac:dyDescent="0.25">
      <c r="A4203" s="2060"/>
      <c r="B4203" s="576"/>
      <c r="C4203" s="328"/>
      <c r="D4203" s="4023"/>
      <c r="E4203" s="4020"/>
      <c r="F4203" s="3016" t="str">
        <f t="shared" si="337"/>
        <v>ASHP-SEER21-Replace_CAC_NonElectricHeat_ROF_MF_CompE</v>
      </c>
      <c r="G4203" s="2673"/>
      <c r="H4203" s="2673"/>
      <c r="I4203" s="2673"/>
      <c r="J4203" s="3301" t="str">
        <f t="shared" si="339"/>
        <v>354861_2021_12_</v>
      </c>
      <c r="K4203" s="3294">
        <f>$R$1811*K$3303</f>
        <v>1689.9245999999991</v>
      </c>
      <c r="L4203" s="112">
        <f>VLOOKUP(J4203,$J$1801:$L$1987,3,FALSE)*M4203</f>
        <v>1.8199999999999998</v>
      </c>
      <c r="M4203" s="3286">
        <f>VLOOKUP(J4203,$J$3297:$K$3483,2,FALSE)</f>
        <v>0.65</v>
      </c>
      <c r="N4203" s="1135"/>
      <c r="O4203" s="228"/>
      <c r="P4203" s="844"/>
      <c r="Q4203" s="845"/>
      <c r="R4203" s="844"/>
      <c r="S4203" s="832"/>
      <c r="T4203" s="3082"/>
      <c r="U4203" s="123"/>
      <c r="V4203" s="4031"/>
      <c r="W4203" s="3307"/>
      <c r="X4203" s="535"/>
      <c r="Y4203" s="535"/>
      <c r="Z4203" s="532"/>
      <c r="AA4203" s="532"/>
      <c r="AB4203" s="535"/>
      <c r="AC4203" s="3294">
        <v>1689.9245999999991</v>
      </c>
      <c r="AD4203" s="793"/>
      <c r="AE4203" s="793"/>
      <c r="AF4203" s="793"/>
      <c r="AG4203" s="793"/>
      <c r="BB4203" s="575"/>
      <c r="BC4203" s="576"/>
      <c r="BD4203" s="678"/>
      <c r="BE4203" s="585"/>
    </row>
    <row r="4204" spans="1:57" s="1942" customFormat="1" ht="14.45" hidden="1" customHeight="1" outlineLevel="1" x14ac:dyDescent="0.25">
      <c r="A4204" s="2060"/>
      <c r="B4204" s="576"/>
      <c r="C4204" s="328"/>
      <c r="D4204" s="4023"/>
      <c r="E4204" s="4020"/>
      <c r="F4204" s="3016" t="str">
        <f t="shared" si="337"/>
        <v>ASHP-SEER21-Replace_CAC_NonElectricHeat_ROF_MF_CompE</v>
      </c>
      <c r="G4204" s="2673"/>
      <c r="H4204" s="2673"/>
      <c r="I4204" s="2673"/>
      <c r="J4204" s="3301" t="str">
        <f t="shared" si="339"/>
        <v>354861_2021_12_</v>
      </c>
      <c r="K4204" s="1052"/>
      <c r="L4204" s="109"/>
      <c r="M4204" s="3066"/>
      <c r="N4204" s="1135"/>
      <c r="O4204" s="228"/>
      <c r="P4204" s="844"/>
      <c r="Q4204" s="845"/>
      <c r="R4204" s="844"/>
      <c r="S4204" s="832"/>
      <c r="T4204" s="3082"/>
      <c r="U4204" s="123"/>
      <c r="V4204" s="4031"/>
      <c r="W4204" s="3307"/>
      <c r="X4204" s="535"/>
      <c r="Y4204" s="535"/>
      <c r="Z4204" s="532"/>
      <c r="AA4204" s="532"/>
      <c r="AB4204" s="535"/>
      <c r="AC4204" s="1052"/>
      <c r="AD4204" s="793"/>
      <c r="AE4204" s="793"/>
      <c r="AF4204" s="793"/>
      <c r="AG4204" s="793"/>
      <c r="BB4204" s="575"/>
      <c r="BC4204" s="576"/>
      <c r="BD4204" s="678"/>
      <c r="BE4204" s="585"/>
    </row>
    <row r="4205" spans="1:57" s="51" customFormat="1" ht="14.45" hidden="1" customHeight="1" outlineLevel="1" x14ac:dyDescent="0.25">
      <c r="A4205" s="2060"/>
      <c r="B4205" s="576"/>
      <c r="C4205" s="328"/>
      <c r="D4205" s="4023"/>
      <c r="E4205" s="4020"/>
      <c r="F4205" s="3016" t="str">
        <f t="shared" si="337"/>
        <v>ASHP-SEER21_ER1_MF</v>
      </c>
      <c r="G4205" s="2673"/>
      <c r="H4205" s="2673"/>
      <c r="I4205" s="2673"/>
      <c r="J4205" s="3302" t="str">
        <f>C1753</f>
        <v>354900_2019_12_</v>
      </c>
      <c r="K4205" s="1052">
        <f>(($R$1820*L4205)+$R$1811)-(($Q$1820*L4205)/((1+$R$1822)^($R$1823-1)))</f>
        <v>2202.4463238752733</v>
      </c>
      <c r="L4205" s="109">
        <f>VLOOKUP(J4205,$J$1801:$L$1987,3,FALSE)*M4205</f>
        <v>2.145</v>
      </c>
      <c r="M4205" s="3066">
        <f>VLOOKUP(J4205,$J$3297:$K$3483,2,FALSE)</f>
        <v>0.65</v>
      </c>
      <c r="N4205" s="1135"/>
      <c r="O4205" s="228"/>
      <c r="P4205" s="844"/>
      <c r="Q4205" s="845"/>
      <c r="R4205" s="844"/>
      <c r="S4205" s="832"/>
      <c r="T4205" s="3082"/>
      <c r="U4205" s="123"/>
      <c r="V4205" s="4031"/>
      <c r="W4205" s="3307">
        <v>15995.882309621684</v>
      </c>
      <c r="X4205" s="535">
        <f>(X$1974/12000)*$Q$1811*X$3470</f>
        <v>5162.453438625821</v>
      </c>
      <c r="Y4205" s="535">
        <v>1763.8516619658126</v>
      </c>
      <c r="Z4205" s="532">
        <v>1763.8516619658126</v>
      </c>
      <c r="AA4205" s="532">
        <v>1763.8516619658126</v>
      </c>
      <c r="AB4205" s="535">
        <v>2202.4463238752733</v>
      </c>
      <c r="AC4205" s="1052">
        <v>2202.4463238752733</v>
      </c>
      <c r="AD4205" s="793"/>
      <c r="AE4205" s="793"/>
      <c r="AF4205" s="793"/>
      <c r="AG4205" s="793"/>
      <c r="AH4205" s="1942"/>
      <c r="AI4205" s="1942"/>
      <c r="AJ4205" s="1942"/>
      <c r="AK4205" s="1942"/>
      <c r="AL4205" s="1942"/>
      <c r="AM4205" s="1942"/>
      <c r="AN4205" s="1942"/>
      <c r="AO4205" s="1942"/>
      <c r="AP4205" s="1942"/>
      <c r="AQ4205" s="1942"/>
      <c r="AR4205" s="1942"/>
      <c r="AS4205" s="1942"/>
      <c r="AT4205" s="1942"/>
      <c r="AU4205" s="1942"/>
      <c r="AV4205" s="1942"/>
      <c r="AW4205" s="1942"/>
      <c r="AX4205" s="1942"/>
      <c r="AY4205" s="1942"/>
      <c r="AZ4205" s="1942"/>
      <c r="BA4205" s="1942"/>
      <c r="BB4205" s="575"/>
      <c r="BC4205" s="576"/>
      <c r="BD4205" s="678"/>
      <c r="BE4205" s="585"/>
    </row>
    <row r="4206" spans="1:57" s="51" customFormat="1" ht="14.45" hidden="1" customHeight="1" outlineLevel="1" x14ac:dyDescent="0.25">
      <c r="A4206" s="2060"/>
      <c r="B4206" s="576"/>
      <c r="C4206" s="328"/>
      <c r="D4206" s="4023"/>
      <c r="E4206" s="4020"/>
      <c r="F4206" s="3016" t="str">
        <f t="shared" si="337"/>
        <v>ASHP-SEER21_ER1_MF</v>
      </c>
      <c r="G4206" s="2673"/>
      <c r="H4206" s="2673"/>
      <c r="I4206" s="2673"/>
      <c r="J4206" s="3302" t="str">
        <f>C1754</f>
        <v>354900_2019_12_</v>
      </c>
      <c r="K4206" s="1052"/>
      <c r="L4206" s="109" t="str">
        <f>IF(K4206&gt;0,VLOOKUP(J4206,$J$1801:$L$1987,3,FALSE),"")</f>
        <v/>
      </c>
      <c r="M4206" s="3066" t="str">
        <f>IF(K4206&gt;0,VLOOKUP(J4206,$J$3297:$K$3483,2,FALSE),"")</f>
        <v/>
      </c>
      <c r="N4206" s="1135"/>
      <c r="O4206" s="228"/>
      <c r="P4206" s="844"/>
      <c r="Q4206" s="845"/>
      <c r="R4206" s="844"/>
      <c r="S4206" s="832"/>
      <c r="T4206" s="3082"/>
      <c r="U4206" s="123"/>
      <c r="V4206" s="4031"/>
      <c r="W4206" s="3307"/>
      <c r="X4206" s="535"/>
      <c r="Y4206" s="535"/>
      <c r="Z4206" s="532"/>
      <c r="AA4206" s="532"/>
      <c r="AB4206" s="535"/>
      <c r="AC4206" s="1052"/>
      <c r="AD4206" s="793"/>
      <c r="AE4206" s="793"/>
      <c r="AF4206" s="793"/>
      <c r="AG4206" s="793"/>
      <c r="AH4206" s="1942"/>
      <c r="AI4206" s="1942"/>
      <c r="AJ4206" s="1942"/>
      <c r="AK4206" s="1942"/>
      <c r="AL4206" s="1942"/>
      <c r="AM4206" s="1942"/>
      <c r="AN4206" s="1942"/>
      <c r="AO4206" s="1942"/>
      <c r="AP4206" s="1942"/>
      <c r="AQ4206" s="1942"/>
      <c r="AR4206" s="1942"/>
      <c r="AS4206" s="1942"/>
      <c r="AT4206" s="1942"/>
      <c r="AU4206" s="1942"/>
      <c r="AV4206" s="1942"/>
      <c r="AW4206" s="1942"/>
      <c r="AX4206" s="1942"/>
      <c r="AY4206" s="1942"/>
      <c r="AZ4206" s="1942"/>
      <c r="BA4206" s="1942"/>
      <c r="BB4206" s="575"/>
      <c r="BC4206" s="576"/>
      <c r="BD4206" s="678"/>
      <c r="BE4206" s="585"/>
    </row>
    <row r="4207" spans="1:57" s="51" customFormat="1" ht="14.45" hidden="1" customHeight="1" outlineLevel="1" x14ac:dyDescent="0.25">
      <c r="A4207" s="2060"/>
      <c r="B4207" s="576"/>
      <c r="C4207" s="328"/>
      <c r="D4207" s="4023"/>
      <c r="E4207" s="4020"/>
      <c r="F4207" s="3016" t="str">
        <f t="shared" si="337"/>
        <v>ASHP-SEER21_ER2_MF</v>
      </c>
      <c r="G4207" s="2673"/>
      <c r="H4207" s="2673"/>
      <c r="I4207" s="2673"/>
      <c r="J4207" s="3302" t="str">
        <f>C1755</f>
        <v>354900_2019_12_</v>
      </c>
      <c r="K4207" s="1052"/>
      <c r="L4207" s="109" t="str">
        <f>IF(K4207&gt;0,VLOOKUP(J4207,$J$1801:$L$1987,3,FALSE),"")</f>
        <v/>
      </c>
      <c r="M4207" s="3066" t="str">
        <f>IF(K4207&gt;0,VLOOKUP(J4207,$J$3297:$K$3483,2,FALSE),"")</f>
        <v/>
      </c>
      <c r="N4207" s="1135"/>
      <c r="O4207" s="228"/>
      <c r="P4207" s="844"/>
      <c r="Q4207" s="845"/>
      <c r="R4207" s="844"/>
      <c r="S4207" s="832"/>
      <c r="T4207" s="3082"/>
      <c r="U4207" s="123"/>
      <c r="V4207" s="4031"/>
      <c r="W4207" s="3307"/>
      <c r="X4207" s="535"/>
      <c r="Y4207" s="535"/>
      <c r="Z4207" s="532"/>
      <c r="AA4207" s="532"/>
      <c r="AB4207" s="535"/>
      <c r="AC4207" s="1052"/>
      <c r="AD4207" s="793"/>
      <c r="AE4207" s="793"/>
      <c r="AF4207" s="793"/>
      <c r="AG4207" s="793"/>
      <c r="AH4207" s="1942"/>
      <c r="AI4207" s="1942"/>
      <c r="AJ4207" s="1942"/>
      <c r="AK4207" s="1942"/>
      <c r="AL4207" s="1942"/>
      <c r="AM4207" s="1942"/>
      <c r="AN4207" s="1942"/>
      <c r="AO4207" s="1942"/>
      <c r="AP4207" s="1942"/>
      <c r="AQ4207" s="1942"/>
      <c r="AR4207" s="1942"/>
      <c r="AS4207" s="1942"/>
      <c r="AT4207" s="1942"/>
      <c r="AU4207" s="1942"/>
      <c r="AV4207" s="1942"/>
      <c r="AW4207" s="1942"/>
      <c r="AX4207" s="1942"/>
      <c r="AY4207" s="1942"/>
      <c r="AZ4207" s="1942"/>
      <c r="BA4207" s="1942"/>
      <c r="BB4207" s="575"/>
      <c r="BC4207" s="576"/>
      <c r="BD4207" s="678"/>
      <c r="BE4207" s="585"/>
    </row>
    <row r="4208" spans="1:57" s="51" customFormat="1" ht="14.45" hidden="1" customHeight="1" outlineLevel="1" x14ac:dyDescent="0.25">
      <c r="A4208" s="2060"/>
      <c r="B4208" s="576"/>
      <c r="C4208" s="328"/>
      <c r="D4208" s="4023"/>
      <c r="E4208" s="4020"/>
      <c r="F4208" s="3016" t="str">
        <f t="shared" si="337"/>
        <v>ASHP-SEER21_ER2_MF</v>
      </c>
      <c r="G4208" s="2673"/>
      <c r="H4208" s="2673"/>
      <c r="I4208" s="2673"/>
      <c r="J4208" s="3302" t="str">
        <f>C1756</f>
        <v>354900_2019_12_</v>
      </c>
      <c r="K4208" s="1052"/>
      <c r="L4208" s="109" t="str">
        <f>IF(K4208&gt;0,VLOOKUP(J4208,$J$1801:$L$1987,3,FALSE),"")</f>
        <v/>
      </c>
      <c r="M4208" s="3066" t="str">
        <f>IF(K4208&gt;0,VLOOKUP(J4208,$J$3297:$K$3483,2,FALSE),"")</f>
        <v/>
      </c>
      <c r="N4208" s="1135"/>
      <c r="O4208" s="228"/>
      <c r="P4208" s="844"/>
      <c r="Q4208" s="845"/>
      <c r="R4208" s="844"/>
      <c r="S4208" s="832"/>
      <c r="T4208" s="3082"/>
      <c r="U4208" s="123"/>
      <c r="V4208" s="4031"/>
      <c r="W4208" s="3307"/>
      <c r="X4208" s="535"/>
      <c r="Y4208" s="535"/>
      <c r="Z4208" s="532"/>
      <c r="AA4208" s="532"/>
      <c r="AB4208" s="535"/>
      <c r="AC4208" s="1052"/>
      <c r="AD4208" s="793"/>
      <c r="AE4208" s="793"/>
      <c r="AF4208" s="793"/>
      <c r="AG4208" s="793"/>
      <c r="AH4208" s="1942"/>
      <c r="AI4208" s="1942"/>
      <c r="AJ4208" s="1942"/>
      <c r="AK4208" s="1942"/>
      <c r="AL4208" s="1942"/>
      <c r="AM4208" s="1942"/>
      <c r="AN4208" s="1942"/>
      <c r="AO4208" s="1942"/>
      <c r="AP4208" s="1942"/>
      <c r="AQ4208" s="1942"/>
      <c r="AR4208" s="1942"/>
      <c r="AS4208" s="1942"/>
      <c r="AT4208" s="1942"/>
      <c r="AU4208" s="1942"/>
      <c r="AV4208" s="1942"/>
      <c r="AW4208" s="1942"/>
      <c r="AX4208" s="1942"/>
      <c r="AY4208" s="1942"/>
      <c r="AZ4208" s="1942"/>
      <c r="BA4208" s="1942"/>
      <c r="BB4208" s="575"/>
      <c r="BC4208" s="576"/>
      <c r="BD4208" s="678"/>
      <c r="BE4208" s="585"/>
    </row>
    <row r="4209" spans="1:57" s="1942" customFormat="1" ht="14.45" hidden="1" customHeight="1" outlineLevel="1" x14ac:dyDescent="0.25">
      <c r="A4209" s="2060"/>
      <c r="B4209" s="576"/>
      <c r="C4209" s="328"/>
      <c r="D4209" s="4023"/>
      <c r="E4209" s="4020"/>
      <c r="F4209" s="3016" t="str">
        <f t="shared" si="337"/>
        <v>ASHP-SEER21_ER1_MF_CompE</v>
      </c>
      <c r="G4209" s="2673"/>
      <c r="H4209" s="2673"/>
      <c r="I4209" s="2673"/>
      <c r="J4209" s="3302" t="str">
        <f t="shared" ref="J4209:J4212" si="340">C1757</f>
        <v>354901_2019_12_</v>
      </c>
      <c r="K4209" s="3294">
        <f>(($R$1820*L4209)+$R$1811)-(($Q$1820*L4209)/((1+$R$1822)^($R$1823-1)))</f>
        <v>2202.4463238752733</v>
      </c>
      <c r="L4209" s="112">
        <f>VLOOKUP(J4209,$J$1801:$L$1987,3,FALSE)*M4209</f>
        <v>2.145</v>
      </c>
      <c r="M4209" s="3286">
        <f>VLOOKUP(J4209,$J$3297:$K$3483,2,FALSE)</f>
        <v>0.65</v>
      </c>
      <c r="N4209" s="1135"/>
      <c r="O4209" s="228"/>
      <c r="P4209" s="844"/>
      <c r="Q4209" s="845"/>
      <c r="R4209" s="844"/>
      <c r="S4209" s="832"/>
      <c r="T4209" s="3082"/>
      <c r="U4209" s="123"/>
      <c r="V4209" s="4031"/>
      <c r="W4209" s="3307"/>
      <c r="X4209" s="535"/>
      <c r="Y4209" s="535"/>
      <c r="Z4209" s="532"/>
      <c r="AA4209" s="532"/>
      <c r="AB4209" s="535"/>
      <c r="AC4209" s="3294">
        <v>2202.4463238752733</v>
      </c>
      <c r="AD4209" s="793"/>
      <c r="AE4209" s="793"/>
      <c r="AF4209" s="793"/>
      <c r="AG4209" s="793"/>
      <c r="BB4209" s="575"/>
      <c r="BC4209" s="576"/>
      <c r="BD4209" s="678"/>
      <c r="BE4209" s="585"/>
    </row>
    <row r="4210" spans="1:57" s="1942" customFormat="1" ht="14.45" hidden="1" customHeight="1" outlineLevel="1" x14ac:dyDescent="0.25">
      <c r="A4210" s="2060"/>
      <c r="B4210" s="576"/>
      <c r="C4210" s="328"/>
      <c r="D4210" s="4023"/>
      <c r="E4210" s="4020"/>
      <c r="F4210" s="3016" t="str">
        <f t="shared" si="337"/>
        <v>ASHP-SEER21_ER1_MF_CompE</v>
      </c>
      <c r="G4210" s="2673"/>
      <c r="H4210" s="2673"/>
      <c r="I4210" s="2673"/>
      <c r="J4210" s="3302" t="str">
        <f t="shared" si="340"/>
        <v>354901_2019_12_</v>
      </c>
      <c r="K4210" s="1052"/>
      <c r="L4210" s="109"/>
      <c r="M4210" s="3066"/>
      <c r="N4210" s="1135"/>
      <c r="O4210" s="228"/>
      <c r="P4210" s="844"/>
      <c r="Q4210" s="845"/>
      <c r="R4210" s="844"/>
      <c r="S4210" s="832"/>
      <c r="T4210" s="3082"/>
      <c r="U4210" s="123"/>
      <c r="V4210" s="4031"/>
      <c r="W4210" s="3307"/>
      <c r="X4210" s="535"/>
      <c r="Y4210" s="535"/>
      <c r="Z4210" s="532"/>
      <c r="AA4210" s="532"/>
      <c r="AB4210" s="535"/>
      <c r="AC4210" s="1052"/>
      <c r="AD4210" s="793"/>
      <c r="AE4210" s="793"/>
      <c r="AF4210" s="793"/>
      <c r="AG4210" s="793"/>
      <c r="BB4210" s="575"/>
      <c r="BC4210" s="576"/>
      <c r="BD4210" s="678"/>
      <c r="BE4210" s="585"/>
    </row>
    <row r="4211" spans="1:57" s="1942" customFormat="1" ht="14.45" hidden="1" customHeight="1" outlineLevel="1" x14ac:dyDescent="0.25">
      <c r="A4211" s="2060"/>
      <c r="B4211" s="576"/>
      <c r="C4211" s="328"/>
      <c r="D4211" s="4023"/>
      <c r="E4211" s="4020"/>
      <c r="F4211" s="3016" t="str">
        <f t="shared" si="337"/>
        <v>ASHP-SEER21_ER2_MF_CompE</v>
      </c>
      <c r="G4211" s="2673"/>
      <c r="H4211" s="2673"/>
      <c r="I4211" s="2673"/>
      <c r="J4211" s="3302" t="str">
        <f t="shared" si="340"/>
        <v>354901_2019_12_</v>
      </c>
      <c r="K4211" s="1052"/>
      <c r="L4211" s="109"/>
      <c r="M4211" s="3066"/>
      <c r="N4211" s="1135"/>
      <c r="O4211" s="228"/>
      <c r="P4211" s="844"/>
      <c r="Q4211" s="845"/>
      <c r="R4211" s="844"/>
      <c r="S4211" s="832"/>
      <c r="T4211" s="3082"/>
      <c r="U4211" s="123"/>
      <c r="V4211" s="4031"/>
      <c r="W4211" s="3307"/>
      <c r="X4211" s="535"/>
      <c r="Y4211" s="535"/>
      <c r="Z4211" s="532"/>
      <c r="AA4211" s="532"/>
      <c r="AB4211" s="535"/>
      <c r="AC4211" s="1052"/>
      <c r="AD4211" s="793"/>
      <c r="AE4211" s="793"/>
      <c r="AF4211" s="793"/>
      <c r="AG4211" s="793"/>
      <c r="BB4211" s="575"/>
      <c r="BC4211" s="576"/>
      <c r="BD4211" s="678"/>
      <c r="BE4211" s="585"/>
    </row>
    <row r="4212" spans="1:57" s="1942" customFormat="1" ht="14.45" hidden="1" customHeight="1" outlineLevel="1" x14ac:dyDescent="0.25">
      <c r="A4212" s="2060"/>
      <c r="B4212" s="576"/>
      <c r="C4212" s="328"/>
      <c r="D4212" s="4023"/>
      <c r="E4212" s="4020"/>
      <c r="F4212" s="3016" t="str">
        <f t="shared" si="337"/>
        <v>ASHP-SEER21_ER2_MF_CompE</v>
      </c>
      <c r="G4212" s="2673"/>
      <c r="H4212" s="2673"/>
      <c r="I4212" s="2673"/>
      <c r="J4212" s="3302" t="str">
        <f t="shared" si="340"/>
        <v>354901_2019_12_</v>
      </c>
      <c r="K4212" s="1052"/>
      <c r="L4212" s="109"/>
      <c r="M4212" s="3066"/>
      <c r="N4212" s="1135"/>
      <c r="O4212" s="228"/>
      <c r="P4212" s="844"/>
      <c r="Q4212" s="845"/>
      <c r="R4212" s="844"/>
      <c r="S4212" s="832"/>
      <c r="T4212" s="3082"/>
      <c r="U4212" s="123"/>
      <c r="V4212" s="4031"/>
      <c r="W4212" s="3307"/>
      <c r="X4212" s="535"/>
      <c r="Y4212" s="535"/>
      <c r="Z4212" s="532"/>
      <c r="AA4212" s="532"/>
      <c r="AB4212" s="535"/>
      <c r="AC4212" s="1052"/>
      <c r="AD4212" s="793"/>
      <c r="AE4212" s="793"/>
      <c r="AF4212" s="793"/>
      <c r="AG4212" s="793"/>
      <c r="BB4212" s="575"/>
      <c r="BC4212" s="576"/>
      <c r="BD4212" s="678"/>
      <c r="BE4212" s="585"/>
    </row>
    <row r="4213" spans="1:57" s="51" customFormat="1" ht="14.45" hidden="1" customHeight="1" outlineLevel="1" x14ac:dyDescent="0.25">
      <c r="A4213" s="2060"/>
      <c r="B4213" s="576"/>
      <c r="C4213" s="328"/>
      <c r="D4213" s="4023"/>
      <c r="E4213" s="4020"/>
      <c r="F4213" s="3016" t="str">
        <f t="shared" si="337"/>
        <v>ASHP-SEER17_ROF_MF</v>
      </c>
      <c r="G4213" s="2673"/>
      <c r="H4213" s="2673"/>
      <c r="I4213" s="2673"/>
      <c r="J4213" s="3302" t="str">
        <f>C1761</f>
        <v>354950_2019_12_</v>
      </c>
      <c r="K4213" s="1052">
        <f>$R$1807*K$3303</f>
        <v>724</v>
      </c>
      <c r="L4213" s="109">
        <f>VLOOKUP(J4213,$J$1801:$L$1987,3,FALSE)*M4213</f>
        <v>2.145</v>
      </c>
      <c r="M4213" s="3066">
        <f>VLOOKUP(J4213,$J$3297:$K$3483,2,FALSE)</f>
        <v>0.65</v>
      </c>
      <c r="N4213" s="1135"/>
      <c r="O4213" s="228"/>
      <c r="P4213" s="844"/>
      <c r="Q4213" s="845"/>
      <c r="R4213" s="844"/>
      <c r="S4213" s="832"/>
      <c r="T4213" s="3082"/>
      <c r="U4213" s="123"/>
      <c r="V4213" s="4031"/>
      <c r="W4213" s="3307">
        <v>1914</v>
      </c>
      <c r="X4213" s="535">
        <f>$R$1807*(X$1978/12000)*X$3474</f>
        <v>1552.98</v>
      </c>
      <c r="Y4213" s="535">
        <v>580</v>
      </c>
      <c r="Z4213" s="532">
        <v>580</v>
      </c>
      <c r="AA4213" s="532">
        <v>580</v>
      </c>
      <c r="AB4213" s="535">
        <v>724</v>
      </c>
      <c r="AC4213" s="1052">
        <v>724</v>
      </c>
      <c r="AD4213" s="793"/>
      <c r="AE4213" s="793"/>
      <c r="AF4213" s="793"/>
      <c r="AG4213" s="793"/>
      <c r="AH4213" s="1942"/>
      <c r="AI4213" s="1942"/>
      <c r="AJ4213" s="1942"/>
      <c r="AK4213" s="1942"/>
      <c r="AL4213" s="1942"/>
      <c r="AM4213" s="1942"/>
      <c r="AN4213" s="1942"/>
      <c r="AO4213" s="1942"/>
      <c r="AP4213" s="1942"/>
      <c r="AQ4213" s="1942"/>
      <c r="AR4213" s="1942"/>
      <c r="AS4213" s="1942"/>
      <c r="AT4213" s="1942"/>
      <c r="AU4213" s="1942"/>
      <c r="AV4213" s="1942"/>
      <c r="AW4213" s="1942"/>
      <c r="AX4213" s="1942"/>
      <c r="AY4213" s="1942"/>
      <c r="AZ4213" s="1942"/>
      <c r="BA4213" s="1942"/>
      <c r="BB4213" s="575"/>
      <c r="BC4213" s="576"/>
      <c r="BD4213" s="678"/>
      <c r="BE4213" s="585"/>
    </row>
    <row r="4214" spans="1:57" s="51" customFormat="1" ht="14.45" hidden="1" customHeight="1" outlineLevel="1" x14ac:dyDescent="0.25">
      <c r="A4214" s="2060"/>
      <c r="B4214" s="576"/>
      <c r="C4214" s="328"/>
      <c r="D4214" s="4023"/>
      <c r="E4214" s="4020"/>
      <c r="F4214" s="3016" t="str">
        <f t="shared" si="337"/>
        <v>ASHP-SEER17_ROF_MF</v>
      </c>
      <c r="G4214" s="2673"/>
      <c r="H4214" s="2673"/>
      <c r="I4214" s="2673"/>
      <c r="J4214" s="3302" t="str">
        <f>C1762</f>
        <v>354950_2019_12_</v>
      </c>
      <c r="K4214" s="1052"/>
      <c r="L4214" s="109" t="str">
        <f>IF(K4214&gt;0,VLOOKUP(J4214,$J$1801:$L$1987,3,FALSE),"")</f>
        <v/>
      </c>
      <c r="M4214" s="3066" t="str">
        <f>IF(K4214&gt;0,VLOOKUP(J4214,$J$3297:$K$3483,2,FALSE),"")</f>
        <v/>
      </c>
      <c r="N4214" s="1135"/>
      <c r="O4214" s="228"/>
      <c r="P4214" s="844"/>
      <c r="Q4214" s="845"/>
      <c r="R4214" s="844"/>
      <c r="S4214" s="832"/>
      <c r="T4214" s="3082"/>
      <c r="U4214" s="123"/>
      <c r="V4214" s="4031"/>
      <c r="W4214" s="3307"/>
      <c r="X4214" s="535"/>
      <c r="Y4214" s="535"/>
      <c r="Z4214" s="532"/>
      <c r="AA4214" s="532"/>
      <c r="AB4214" s="535"/>
      <c r="AC4214" s="1052"/>
      <c r="AD4214" s="793"/>
      <c r="AE4214" s="793"/>
      <c r="AF4214" s="793"/>
      <c r="AG4214" s="793"/>
      <c r="AH4214" s="1942"/>
      <c r="AI4214" s="1942"/>
      <c r="AJ4214" s="1942"/>
      <c r="AK4214" s="1942"/>
      <c r="AL4214" s="1942"/>
      <c r="AM4214" s="1942"/>
      <c r="AN4214" s="1942"/>
      <c r="AO4214" s="1942"/>
      <c r="AP4214" s="1942"/>
      <c r="AQ4214" s="1942"/>
      <c r="AR4214" s="1942"/>
      <c r="AS4214" s="1942"/>
      <c r="AT4214" s="1942"/>
      <c r="AU4214" s="1942"/>
      <c r="AV4214" s="1942"/>
      <c r="AW4214" s="1942"/>
      <c r="AX4214" s="1942"/>
      <c r="AY4214" s="1942"/>
      <c r="AZ4214" s="1942"/>
      <c r="BA4214" s="1942"/>
      <c r="BB4214" s="575"/>
      <c r="BC4214" s="576"/>
      <c r="BD4214" s="678"/>
      <c r="BE4214" s="585"/>
    </row>
    <row r="4215" spans="1:57" s="1942" customFormat="1" ht="14.45" hidden="1" customHeight="1" outlineLevel="1" x14ac:dyDescent="0.25">
      <c r="A4215" s="2060"/>
      <c r="B4215" s="576"/>
      <c r="C4215" s="328"/>
      <c r="D4215" s="4023"/>
      <c r="E4215" s="4020"/>
      <c r="F4215" s="3016" t="str">
        <f t="shared" si="337"/>
        <v>ASHP-SEER17_ROF_MF_CompE</v>
      </c>
      <c r="G4215" s="2673"/>
      <c r="H4215" s="2673"/>
      <c r="I4215" s="2673"/>
      <c r="J4215" s="3302" t="str">
        <f t="shared" ref="J4215:J4216" si="341">C1763</f>
        <v>354951_2019_12_</v>
      </c>
      <c r="K4215" s="3294">
        <f>$R$1807*K$3303</f>
        <v>724</v>
      </c>
      <c r="L4215" s="112">
        <f>VLOOKUP(J4215,$J$1801:$L$1987,3,FALSE)*M4215</f>
        <v>2.145</v>
      </c>
      <c r="M4215" s="3286">
        <f>VLOOKUP(J4215,$J$3297:$K$3483,2,FALSE)</f>
        <v>0.65</v>
      </c>
      <c r="N4215" s="1135"/>
      <c r="O4215" s="228"/>
      <c r="P4215" s="844"/>
      <c r="Q4215" s="845"/>
      <c r="R4215" s="844"/>
      <c r="S4215" s="832"/>
      <c r="T4215" s="3082"/>
      <c r="U4215" s="123"/>
      <c r="V4215" s="4031"/>
      <c r="W4215" s="3307"/>
      <c r="X4215" s="535"/>
      <c r="Y4215" s="535"/>
      <c r="Z4215" s="532"/>
      <c r="AA4215" s="532"/>
      <c r="AB4215" s="535"/>
      <c r="AC4215" s="3294">
        <v>724</v>
      </c>
      <c r="AD4215" s="793"/>
      <c r="AE4215" s="793"/>
      <c r="AF4215" s="793"/>
      <c r="AG4215" s="793"/>
      <c r="BB4215" s="575"/>
      <c r="BC4215" s="576"/>
      <c r="BD4215" s="678"/>
      <c r="BE4215" s="585"/>
    </row>
    <row r="4216" spans="1:57" s="1942" customFormat="1" ht="14.45" hidden="1" customHeight="1" outlineLevel="1" x14ac:dyDescent="0.25">
      <c r="A4216" s="2060"/>
      <c r="B4216" s="576"/>
      <c r="C4216" s="328"/>
      <c r="D4216" s="4023"/>
      <c r="E4216" s="4020"/>
      <c r="F4216" s="3016" t="str">
        <f t="shared" si="337"/>
        <v>ASHP-SEER17_ROF_MF_CompE</v>
      </c>
      <c r="G4216" s="2673"/>
      <c r="H4216" s="2673"/>
      <c r="I4216" s="2673"/>
      <c r="J4216" s="3302" t="str">
        <f t="shared" si="341"/>
        <v>354951_2019_12_</v>
      </c>
      <c r="K4216" s="1052"/>
      <c r="L4216" s="109"/>
      <c r="M4216" s="3066"/>
      <c r="N4216" s="1135"/>
      <c r="O4216" s="228"/>
      <c r="P4216" s="844"/>
      <c r="Q4216" s="845"/>
      <c r="R4216" s="844"/>
      <c r="S4216" s="832"/>
      <c r="T4216" s="3082"/>
      <c r="U4216" s="123"/>
      <c r="V4216" s="4031"/>
      <c r="W4216" s="3307"/>
      <c r="X4216" s="535"/>
      <c r="Y4216" s="535"/>
      <c r="Z4216" s="532"/>
      <c r="AA4216" s="532"/>
      <c r="AB4216" s="535"/>
      <c r="AC4216" s="1052"/>
      <c r="AD4216" s="793"/>
      <c r="AE4216" s="793"/>
      <c r="AF4216" s="793"/>
      <c r="AG4216" s="793"/>
      <c r="BB4216" s="575"/>
      <c r="BC4216" s="576"/>
      <c r="BD4216" s="678"/>
      <c r="BE4216" s="585"/>
    </row>
    <row r="4217" spans="1:57" s="51" customFormat="1" ht="14.45" hidden="1" customHeight="1" outlineLevel="1" x14ac:dyDescent="0.25">
      <c r="A4217" s="2060"/>
      <c r="B4217" s="576"/>
      <c r="C4217" s="328"/>
      <c r="D4217" s="4023"/>
      <c r="E4217" s="4020"/>
      <c r="F4217" s="3016" t="str">
        <f t="shared" si="337"/>
        <v>ASHP-SEER18_ROF_MF</v>
      </c>
      <c r="G4217" s="2673"/>
      <c r="H4217" s="2673"/>
      <c r="I4217" s="2673"/>
      <c r="J4217" s="3302" t="str">
        <f>C1765</f>
        <v>355000_2019_12_</v>
      </c>
      <c r="K4217" s="1052">
        <f>$R$1808*K$3303</f>
        <v>962.92000000000007</v>
      </c>
      <c r="L4217" s="109">
        <f>VLOOKUP(J4217,$J$1801:$L$1987,3,FALSE)*M4217</f>
        <v>2.145</v>
      </c>
      <c r="M4217" s="3066">
        <f>VLOOKUP(J4217,$J$3297:$K$3483,2,FALSE)</f>
        <v>0.65</v>
      </c>
      <c r="N4217" s="1135"/>
      <c r="O4217" s="228"/>
      <c r="P4217" s="844"/>
      <c r="Q4217" s="845"/>
      <c r="R4217" s="844"/>
      <c r="S4217" s="832"/>
      <c r="T4217" s="3082"/>
      <c r="U4217" s="123"/>
      <c r="V4217" s="4031"/>
      <c r="W4217" s="3307">
        <v>2354</v>
      </c>
      <c r="X4217" s="535">
        <f>$R$1808*(X$1980/12000)*X$3476</f>
        <v>2065.4634000000001</v>
      </c>
      <c r="Y4217" s="535">
        <v>713.33333333333337</v>
      </c>
      <c r="Z4217" s="532">
        <v>713.33333333333337</v>
      </c>
      <c r="AA4217" s="532">
        <v>713.33333333333337</v>
      </c>
      <c r="AB4217" s="535">
        <v>962.92000000000007</v>
      </c>
      <c r="AC4217" s="1052">
        <v>962.92000000000007</v>
      </c>
      <c r="AD4217" s="793"/>
      <c r="AE4217" s="793"/>
      <c r="AF4217" s="793"/>
      <c r="AG4217" s="793"/>
      <c r="AH4217" s="1942"/>
      <c r="AI4217" s="1942"/>
      <c r="AJ4217" s="1942"/>
      <c r="AK4217" s="1942"/>
      <c r="AL4217" s="1942"/>
      <c r="AM4217" s="1942"/>
      <c r="AN4217" s="1942"/>
      <c r="AO4217" s="1942"/>
      <c r="AP4217" s="1942"/>
      <c r="AQ4217" s="1942"/>
      <c r="AR4217" s="1942"/>
      <c r="AS4217" s="1942"/>
      <c r="AT4217" s="1942"/>
      <c r="AU4217" s="1942"/>
      <c r="AV4217" s="1942"/>
      <c r="AW4217" s="1942"/>
      <c r="AX4217" s="1942"/>
      <c r="AY4217" s="1942"/>
      <c r="AZ4217" s="1942"/>
      <c r="BA4217" s="1942"/>
      <c r="BB4217" s="575"/>
      <c r="BC4217" s="576"/>
      <c r="BD4217" s="678"/>
      <c r="BE4217" s="585"/>
    </row>
    <row r="4218" spans="1:57" s="51" customFormat="1" ht="14.45" hidden="1" customHeight="1" outlineLevel="1" x14ac:dyDescent="0.25">
      <c r="A4218" s="2060"/>
      <c r="B4218" s="576"/>
      <c r="C4218" s="328"/>
      <c r="D4218" s="4023"/>
      <c r="E4218" s="4020"/>
      <c r="F4218" s="3016" t="str">
        <f t="shared" si="337"/>
        <v>ASHP-SEER18_ROF_MF</v>
      </c>
      <c r="G4218" s="2673"/>
      <c r="H4218" s="2673"/>
      <c r="I4218" s="2673"/>
      <c r="J4218" s="3302" t="str">
        <f>C1766</f>
        <v>355000_2019_12_</v>
      </c>
      <c r="K4218" s="1052"/>
      <c r="L4218" s="109" t="str">
        <f>IF(K4218&gt;0,VLOOKUP(J4218,$J$1801:$L$1987,3,FALSE),"")</f>
        <v/>
      </c>
      <c r="M4218" s="3066" t="str">
        <f>IF(K4218&gt;0,VLOOKUP(J4218,$J$3297:$K$3483,2,FALSE),"")</f>
        <v/>
      </c>
      <c r="N4218" s="1135"/>
      <c r="O4218" s="228"/>
      <c r="P4218" s="844"/>
      <c r="Q4218" s="845"/>
      <c r="R4218" s="844"/>
      <c r="S4218" s="832"/>
      <c r="T4218" s="3082"/>
      <c r="U4218" s="123"/>
      <c r="V4218" s="4031"/>
      <c r="W4218" s="3307"/>
      <c r="X4218" s="535"/>
      <c r="Y4218" s="535"/>
      <c r="Z4218" s="532"/>
      <c r="AA4218" s="532"/>
      <c r="AB4218" s="535"/>
      <c r="AC4218" s="1052"/>
      <c r="AD4218" s="793"/>
      <c r="AE4218" s="793"/>
      <c r="AF4218" s="793"/>
      <c r="AG4218" s="793"/>
      <c r="AH4218" s="1942"/>
      <c r="AI4218" s="1942"/>
      <c r="AJ4218" s="1942"/>
      <c r="AK4218" s="1942"/>
      <c r="AL4218" s="1942"/>
      <c r="AM4218" s="1942"/>
      <c r="AN4218" s="1942"/>
      <c r="AO4218" s="1942"/>
      <c r="AP4218" s="1942"/>
      <c r="AQ4218" s="1942"/>
      <c r="AR4218" s="1942"/>
      <c r="AS4218" s="1942"/>
      <c r="AT4218" s="1942"/>
      <c r="AU4218" s="1942"/>
      <c r="AV4218" s="1942"/>
      <c r="AW4218" s="1942"/>
      <c r="AX4218" s="1942"/>
      <c r="AY4218" s="1942"/>
      <c r="AZ4218" s="1942"/>
      <c r="BA4218" s="1942"/>
      <c r="BB4218" s="575"/>
      <c r="BC4218" s="576"/>
      <c r="BD4218" s="678"/>
      <c r="BE4218" s="585"/>
    </row>
    <row r="4219" spans="1:57" s="1942" customFormat="1" ht="14.45" hidden="1" customHeight="1" outlineLevel="1" x14ac:dyDescent="0.25">
      <c r="A4219" s="2060"/>
      <c r="B4219" s="576"/>
      <c r="C4219" s="328"/>
      <c r="D4219" s="4023"/>
      <c r="E4219" s="4020"/>
      <c r="F4219" s="3016" t="str">
        <f t="shared" si="337"/>
        <v>ASHP-SEER18_ROF_MF_CompE</v>
      </c>
      <c r="G4219" s="2673"/>
      <c r="H4219" s="2673"/>
      <c r="I4219" s="2673"/>
      <c r="J4219" s="3302" t="str">
        <f t="shared" ref="J4219:J4220" si="342">C1767</f>
        <v>355001_2021_12_</v>
      </c>
      <c r="K4219" s="3294">
        <f>$R$1808*K$3303</f>
        <v>962.92000000000007</v>
      </c>
      <c r="L4219" s="112">
        <f>VLOOKUP(J4219,$J$1801:$L$1987,3,FALSE)*M4219</f>
        <v>2.145</v>
      </c>
      <c r="M4219" s="3286">
        <f>VLOOKUP(J4219,$J$3297:$K$3483,2,FALSE)</f>
        <v>0.65</v>
      </c>
      <c r="N4219" s="1135"/>
      <c r="O4219" s="228"/>
      <c r="P4219" s="844"/>
      <c r="Q4219" s="845"/>
      <c r="R4219" s="844"/>
      <c r="S4219" s="832"/>
      <c r="T4219" s="3082"/>
      <c r="U4219" s="123"/>
      <c r="V4219" s="4031"/>
      <c r="W4219" s="3307"/>
      <c r="X4219" s="535"/>
      <c r="Y4219" s="535"/>
      <c r="Z4219" s="532"/>
      <c r="AA4219" s="532"/>
      <c r="AB4219" s="535"/>
      <c r="AC4219" s="3294">
        <v>962.92000000000007</v>
      </c>
      <c r="AD4219" s="793"/>
      <c r="AE4219" s="793"/>
      <c r="AF4219" s="793"/>
      <c r="AG4219" s="793"/>
      <c r="BB4219" s="575"/>
      <c r="BC4219" s="576"/>
      <c r="BD4219" s="678"/>
      <c r="BE4219" s="585"/>
    </row>
    <row r="4220" spans="1:57" s="1942" customFormat="1" ht="14.45" hidden="1" customHeight="1" outlineLevel="1" x14ac:dyDescent="0.25">
      <c r="A4220" s="2060"/>
      <c r="B4220" s="576"/>
      <c r="C4220" s="328"/>
      <c r="D4220" s="4023"/>
      <c r="E4220" s="4020"/>
      <c r="F4220" s="3016" t="str">
        <f t="shared" si="337"/>
        <v>ASHP-SEER18_ROF_MF_CompE</v>
      </c>
      <c r="G4220" s="2673"/>
      <c r="H4220" s="2673"/>
      <c r="I4220" s="2673"/>
      <c r="J4220" s="3302" t="str">
        <f t="shared" si="342"/>
        <v>355001_2021_12_</v>
      </c>
      <c r="K4220" s="1052"/>
      <c r="L4220" s="109"/>
      <c r="M4220" s="3066"/>
      <c r="N4220" s="1135"/>
      <c r="O4220" s="228"/>
      <c r="P4220" s="844"/>
      <c r="Q4220" s="845"/>
      <c r="R4220" s="844"/>
      <c r="S4220" s="832"/>
      <c r="T4220" s="3082"/>
      <c r="U4220" s="123"/>
      <c r="V4220" s="4031"/>
      <c r="W4220" s="3307"/>
      <c r="X4220" s="535"/>
      <c r="Y4220" s="535"/>
      <c r="Z4220" s="532"/>
      <c r="AA4220" s="532"/>
      <c r="AB4220" s="535"/>
      <c r="AC4220" s="1052"/>
      <c r="AD4220" s="793"/>
      <c r="AE4220" s="793"/>
      <c r="AF4220" s="793"/>
      <c r="AG4220" s="793"/>
      <c r="BB4220" s="575"/>
      <c r="BC4220" s="576"/>
      <c r="BD4220" s="678"/>
      <c r="BE4220" s="585"/>
    </row>
    <row r="4221" spans="1:57" s="51" customFormat="1" ht="14.45" hidden="1" customHeight="1" outlineLevel="1" x14ac:dyDescent="0.25">
      <c r="A4221" s="2060"/>
      <c r="B4221" s="576"/>
      <c r="C4221" s="328"/>
      <c r="D4221" s="4023"/>
      <c r="E4221" s="4020"/>
      <c r="F4221" s="3016" t="str">
        <f t="shared" si="337"/>
        <v>ASHP-SEER19_ROF_MF</v>
      </c>
      <c r="G4221" s="2673"/>
      <c r="H4221" s="2673"/>
      <c r="I4221" s="2673"/>
      <c r="J4221" s="3302" t="str">
        <f>C1769</f>
        <v>355050_2019_12_</v>
      </c>
      <c r="K4221" s="1052">
        <f>$R$1809*K$3303</f>
        <v>1203.6500000000003</v>
      </c>
      <c r="L4221" s="109">
        <f>VLOOKUP(J4221,$J$1801:$L$1987,3,FALSE)*M4221</f>
        <v>2.145</v>
      </c>
      <c r="M4221" s="3066">
        <f>VLOOKUP(J4221,$J$3297:$K$3483,2,FALSE)</f>
        <v>0.65</v>
      </c>
      <c r="N4221" s="1135"/>
      <c r="O4221" s="228"/>
      <c r="P4221" s="844"/>
      <c r="Q4221" s="845"/>
      <c r="R4221" s="844"/>
      <c r="S4221" s="832"/>
      <c r="T4221" s="3082"/>
      <c r="U4221" s="123"/>
      <c r="V4221" s="4031"/>
      <c r="W4221" s="3307">
        <v>2684</v>
      </c>
      <c r="X4221" s="535">
        <f>$R$1809*(X$1982/12000)*X$3478</f>
        <v>2581.8292500000007</v>
      </c>
      <c r="Y4221" s="535">
        <v>813.33333333333337</v>
      </c>
      <c r="Z4221" s="532">
        <v>813.33333333333337</v>
      </c>
      <c r="AA4221" s="532">
        <v>813.33333333333337</v>
      </c>
      <c r="AB4221" s="535">
        <v>1203.6500000000003</v>
      </c>
      <c r="AC4221" s="1052">
        <v>1203.6500000000003</v>
      </c>
      <c r="AD4221" s="793"/>
      <c r="AE4221" s="793"/>
      <c r="AF4221" s="793"/>
      <c r="AG4221" s="793"/>
      <c r="AH4221" s="1942"/>
      <c r="AI4221" s="1942"/>
      <c r="AJ4221" s="1942"/>
      <c r="AK4221" s="1942"/>
      <c r="AL4221" s="1942"/>
      <c r="AM4221" s="1942"/>
      <c r="AN4221" s="1942"/>
      <c r="AO4221" s="1942"/>
      <c r="AP4221" s="1942"/>
      <c r="AQ4221" s="1942"/>
      <c r="AR4221" s="1942"/>
      <c r="AS4221" s="1942"/>
      <c r="AT4221" s="1942"/>
      <c r="AU4221" s="1942"/>
      <c r="AV4221" s="1942"/>
      <c r="AW4221" s="1942"/>
      <c r="AX4221" s="1942"/>
      <c r="AY4221" s="1942"/>
      <c r="AZ4221" s="1942"/>
      <c r="BA4221" s="1942"/>
      <c r="BB4221" s="575"/>
      <c r="BC4221" s="576"/>
      <c r="BD4221" s="678"/>
      <c r="BE4221" s="585"/>
    </row>
    <row r="4222" spans="1:57" s="51" customFormat="1" ht="15" hidden="1" customHeight="1" outlineLevel="1" x14ac:dyDescent="0.25">
      <c r="A4222" s="2060"/>
      <c r="B4222" s="576"/>
      <c r="C4222" s="328"/>
      <c r="D4222" s="4023"/>
      <c r="E4222" s="4020"/>
      <c r="F4222" s="3016" t="str">
        <f t="shared" si="337"/>
        <v>ASHP-SEER19_ROF_MF</v>
      </c>
      <c r="G4222" s="2673"/>
      <c r="H4222" s="2673"/>
      <c r="I4222" s="2673"/>
      <c r="J4222" s="3302" t="str">
        <f>C1770</f>
        <v>355050_2019_12_</v>
      </c>
      <c r="K4222" s="1052"/>
      <c r="L4222" s="109" t="str">
        <f>IF(K4222&gt;0,VLOOKUP(J4222,$J$1801:$L$1987,3,FALSE),"")</f>
        <v/>
      </c>
      <c r="M4222" s="3066" t="str">
        <f>IF(K4222&gt;0,VLOOKUP(J4222,$J$3297:$K$3483,2,FALSE),"")</f>
        <v/>
      </c>
      <c r="N4222" s="1135"/>
      <c r="O4222" s="228"/>
      <c r="P4222" s="844"/>
      <c r="Q4222" s="845"/>
      <c r="R4222" s="844"/>
      <c r="S4222" s="832"/>
      <c r="T4222" s="3082"/>
      <c r="U4222" s="123"/>
      <c r="V4222" s="4031"/>
      <c r="W4222" s="3307"/>
      <c r="X4222" s="535"/>
      <c r="Y4222" s="535"/>
      <c r="Z4222" s="532"/>
      <c r="AA4222" s="532"/>
      <c r="AB4222" s="535"/>
      <c r="AC4222" s="1052"/>
      <c r="AD4222" s="793"/>
      <c r="AE4222" s="793"/>
      <c r="AF4222" s="793"/>
      <c r="AG4222" s="793"/>
      <c r="AH4222" s="1942"/>
      <c r="AI4222" s="1942"/>
      <c r="AJ4222" s="1942"/>
      <c r="AK4222" s="1942"/>
      <c r="AL4222" s="1942"/>
      <c r="AM4222" s="1942"/>
      <c r="AN4222" s="1942"/>
      <c r="AO4222" s="1942"/>
      <c r="AP4222" s="1942"/>
      <c r="AQ4222" s="1942"/>
      <c r="AR4222" s="1942"/>
      <c r="AS4222" s="1942"/>
      <c r="AT4222" s="1942"/>
      <c r="AU4222" s="1942"/>
      <c r="AV4222" s="1942"/>
      <c r="AW4222" s="1942"/>
      <c r="AX4222" s="1942"/>
      <c r="AY4222" s="1942"/>
      <c r="AZ4222" s="1942"/>
      <c r="BA4222" s="1942"/>
      <c r="BB4222" s="575"/>
      <c r="BC4222" s="576"/>
      <c r="BD4222" s="678"/>
      <c r="BE4222" s="585"/>
    </row>
    <row r="4223" spans="1:57" s="1942" customFormat="1" ht="15" hidden="1" customHeight="1" outlineLevel="1" x14ac:dyDescent="0.25">
      <c r="A4223" s="2060"/>
      <c r="B4223" s="576"/>
      <c r="C4223" s="328"/>
      <c r="D4223" s="4023"/>
      <c r="E4223" s="4020"/>
      <c r="F4223" s="3016" t="str">
        <f t="shared" si="337"/>
        <v>ASHP-SEER19_ROF_MF_CompE</v>
      </c>
      <c r="G4223" s="2673"/>
      <c r="H4223" s="2673"/>
      <c r="I4223" s="2673"/>
      <c r="J4223" s="3302" t="str">
        <f t="shared" ref="J4223:J4224" si="343">C1771</f>
        <v>355051_2019_12_</v>
      </c>
      <c r="K4223" s="3294">
        <f>$R$1809*K$3303</f>
        <v>1203.6500000000003</v>
      </c>
      <c r="L4223" s="112">
        <f>VLOOKUP(J4223,$J$1801:$L$1987,3,FALSE)*M4223</f>
        <v>2.145</v>
      </c>
      <c r="M4223" s="3286">
        <f>VLOOKUP(J4223,$J$3297:$K$3483,2,FALSE)</f>
        <v>0.65</v>
      </c>
      <c r="N4223" s="1135"/>
      <c r="O4223" s="228"/>
      <c r="P4223" s="844"/>
      <c r="Q4223" s="845"/>
      <c r="R4223" s="844"/>
      <c r="S4223" s="832"/>
      <c r="T4223" s="3082"/>
      <c r="U4223" s="123"/>
      <c r="V4223" s="4031"/>
      <c r="W4223" s="3307"/>
      <c r="X4223" s="535"/>
      <c r="Y4223" s="535"/>
      <c r="Z4223" s="532"/>
      <c r="AA4223" s="532"/>
      <c r="AB4223" s="535"/>
      <c r="AC4223" s="3294">
        <v>1203.6500000000003</v>
      </c>
      <c r="AD4223" s="793"/>
      <c r="AE4223" s="793"/>
      <c r="AF4223" s="793"/>
      <c r="AG4223" s="793"/>
      <c r="BB4223" s="575"/>
      <c r="BC4223" s="576"/>
      <c r="BD4223" s="678"/>
      <c r="BE4223" s="585"/>
    </row>
    <row r="4224" spans="1:57" s="1942" customFormat="1" ht="15" hidden="1" customHeight="1" outlineLevel="1" x14ac:dyDescent="0.25">
      <c r="A4224" s="2060"/>
      <c r="B4224" s="576"/>
      <c r="C4224" s="328"/>
      <c r="D4224" s="4023"/>
      <c r="E4224" s="4020"/>
      <c r="F4224" s="3016" t="str">
        <f t="shared" si="337"/>
        <v>ASHP-SEER19_ROF_MF_CompE</v>
      </c>
      <c r="G4224" s="2673"/>
      <c r="H4224" s="2673"/>
      <c r="I4224" s="2673"/>
      <c r="J4224" s="3302" t="str">
        <f t="shared" si="343"/>
        <v>355051_2019_12_</v>
      </c>
      <c r="K4224" s="1052"/>
      <c r="L4224" s="109"/>
      <c r="M4224" s="3066"/>
      <c r="N4224" s="1135"/>
      <c r="O4224" s="228"/>
      <c r="P4224" s="844"/>
      <c r="Q4224" s="845"/>
      <c r="R4224" s="844"/>
      <c r="S4224" s="832"/>
      <c r="T4224" s="3082"/>
      <c r="U4224" s="123"/>
      <c r="V4224" s="4031"/>
      <c r="W4224" s="3307"/>
      <c r="X4224" s="535"/>
      <c r="Y4224" s="535"/>
      <c r="Z4224" s="532"/>
      <c r="AA4224" s="532"/>
      <c r="AB4224" s="535"/>
      <c r="AC4224" s="1052"/>
      <c r="AD4224" s="793"/>
      <c r="AE4224" s="793"/>
      <c r="AF4224" s="793"/>
      <c r="AG4224" s="793"/>
      <c r="BB4224" s="575"/>
      <c r="BC4224" s="576"/>
      <c r="BD4224" s="678"/>
      <c r="BE4224" s="585"/>
    </row>
    <row r="4225" spans="1:57" s="51" customFormat="1" ht="15" hidden="1" customHeight="1" outlineLevel="1" x14ac:dyDescent="0.25">
      <c r="A4225" s="2060"/>
      <c r="B4225" s="576"/>
      <c r="C4225" s="328"/>
      <c r="D4225" s="4023"/>
      <c r="E4225" s="4020"/>
      <c r="F4225" s="3016" t="str">
        <f t="shared" si="337"/>
        <v>ASHP-SEER20_ROF_MF</v>
      </c>
      <c r="G4225" s="2673"/>
      <c r="H4225" s="2673"/>
      <c r="I4225" s="2673"/>
      <c r="J4225" s="3302" t="str">
        <f>C1773</f>
        <v>355100_2019_12_</v>
      </c>
      <c r="K4225" s="1052">
        <f>$R$1810*K$3303</f>
        <v>1444.3799999999994</v>
      </c>
      <c r="L4225" s="109">
        <f>VLOOKUP(J4225,$J$1801:$L$1987,3,FALSE)*M4225</f>
        <v>2.145</v>
      </c>
      <c r="M4225" s="3066">
        <f>VLOOKUP(J4225,$J$3297:$K$3483,2,FALSE)</f>
        <v>0.65</v>
      </c>
      <c r="N4225" s="1135"/>
      <c r="O4225" s="228"/>
      <c r="P4225" s="844"/>
      <c r="Q4225" s="845"/>
      <c r="R4225" s="844"/>
      <c r="S4225" s="832"/>
      <c r="T4225" s="3082"/>
      <c r="U4225" s="123"/>
      <c r="V4225" s="4031"/>
      <c r="W4225" s="3307">
        <v>3828</v>
      </c>
      <c r="X4225" s="535">
        <f>$R$1810*(X$1984/12000)*X$3480</f>
        <v>3098.1950999999985</v>
      </c>
      <c r="Y4225" s="535">
        <v>1160</v>
      </c>
      <c r="Z4225" s="532">
        <v>1160</v>
      </c>
      <c r="AA4225" s="532">
        <v>1160</v>
      </c>
      <c r="AB4225" s="535">
        <v>1444.3799999999994</v>
      </c>
      <c r="AC4225" s="1052">
        <v>1444.3799999999994</v>
      </c>
      <c r="AD4225" s="793"/>
      <c r="AE4225" s="793"/>
      <c r="AF4225" s="793"/>
      <c r="AG4225" s="793"/>
      <c r="AH4225" s="1942"/>
      <c r="AI4225" s="1942"/>
      <c r="AJ4225" s="1942"/>
      <c r="AK4225" s="1942"/>
      <c r="AL4225" s="1942"/>
      <c r="AM4225" s="1942"/>
      <c r="AN4225" s="1942"/>
      <c r="AO4225" s="1942"/>
      <c r="AP4225" s="1942"/>
      <c r="AQ4225" s="1942"/>
      <c r="AR4225" s="1942"/>
      <c r="AS4225" s="1942"/>
      <c r="AT4225" s="1942"/>
      <c r="AU4225" s="1942"/>
      <c r="AV4225" s="1942"/>
      <c r="AW4225" s="1942"/>
      <c r="AX4225" s="1942"/>
      <c r="AY4225" s="1942"/>
      <c r="AZ4225" s="1942"/>
      <c r="BA4225" s="1942"/>
      <c r="BB4225" s="575"/>
      <c r="BC4225" s="576"/>
      <c r="BD4225" s="678"/>
      <c r="BE4225" s="585"/>
    </row>
    <row r="4226" spans="1:57" s="51" customFormat="1" ht="15" hidden="1" customHeight="1" outlineLevel="1" x14ac:dyDescent="0.25">
      <c r="A4226" s="2060"/>
      <c r="B4226" s="576"/>
      <c r="C4226" s="328"/>
      <c r="D4226" s="4023"/>
      <c r="E4226" s="4020"/>
      <c r="F4226" s="3016" t="str">
        <f t="shared" si="337"/>
        <v>ASHP-SEER20_ROF_MF</v>
      </c>
      <c r="G4226" s="2673"/>
      <c r="H4226" s="2673"/>
      <c r="I4226" s="2673"/>
      <c r="J4226" s="3302" t="str">
        <f>C1774</f>
        <v>355100_2019_12_</v>
      </c>
      <c r="K4226" s="1052"/>
      <c r="L4226" s="109" t="str">
        <f>IF(K4226&gt;0,VLOOKUP(J4226,$J$1801:$L$1987,3,FALSE),"")</f>
        <v/>
      </c>
      <c r="M4226" s="3066" t="str">
        <f>IF(K4226&gt;0,VLOOKUP(J4226,$J$3297:$K$3483,2,FALSE),"")</f>
        <v/>
      </c>
      <c r="N4226" s="1135"/>
      <c r="O4226" s="228"/>
      <c r="P4226" s="844"/>
      <c r="Q4226" s="845"/>
      <c r="R4226" s="844"/>
      <c r="S4226" s="832"/>
      <c r="T4226" s="3082"/>
      <c r="U4226" s="123"/>
      <c r="V4226" s="4031"/>
      <c r="W4226" s="3307"/>
      <c r="X4226" s="535"/>
      <c r="Y4226" s="535"/>
      <c r="Z4226" s="532"/>
      <c r="AA4226" s="532"/>
      <c r="AB4226" s="535"/>
      <c r="AC4226" s="1052"/>
      <c r="AD4226" s="793"/>
      <c r="AE4226" s="793"/>
      <c r="AF4226" s="793"/>
      <c r="AG4226" s="793"/>
      <c r="AH4226" s="1942"/>
      <c r="AI4226" s="1942"/>
      <c r="AJ4226" s="1942"/>
      <c r="AK4226" s="1942"/>
      <c r="AL4226" s="1942"/>
      <c r="AM4226" s="1942"/>
      <c r="AN4226" s="1942"/>
      <c r="AO4226" s="1942"/>
      <c r="AP4226" s="1942"/>
      <c r="AQ4226" s="1942"/>
      <c r="AR4226" s="1942"/>
      <c r="AS4226" s="1942"/>
      <c r="AT4226" s="1942"/>
      <c r="AU4226" s="1942"/>
      <c r="AV4226" s="1942"/>
      <c r="AW4226" s="1942"/>
      <c r="AX4226" s="1942"/>
      <c r="AY4226" s="1942"/>
      <c r="AZ4226" s="1942"/>
      <c r="BA4226" s="1942"/>
      <c r="BB4226" s="575"/>
      <c r="BC4226" s="576"/>
      <c r="BD4226" s="678"/>
      <c r="BE4226" s="585"/>
    </row>
    <row r="4227" spans="1:57" s="1942" customFormat="1" ht="15" hidden="1" customHeight="1" outlineLevel="1" x14ac:dyDescent="0.25">
      <c r="A4227" s="2060"/>
      <c r="B4227" s="576"/>
      <c r="C4227" s="328"/>
      <c r="D4227" s="4023"/>
      <c r="E4227" s="4020"/>
      <c r="F4227" s="3016" t="str">
        <f t="shared" si="337"/>
        <v>ASHP-SEER20_ROF_MF_CompE</v>
      </c>
      <c r="G4227" s="2673"/>
      <c r="H4227" s="2673"/>
      <c r="I4227" s="2673"/>
      <c r="J4227" s="3302" t="str">
        <f t="shared" ref="J4227:J4228" si="344">C1775</f>
        <v>355101_2019_12_</v>
      </c>
      <c r="K4227" s="3294">
        <f>$R$1810*K$3303</f>
        <v>1444.3799999999994</v>
      </c>
      <c r="L4227" s="112">
        <f>VLOOKUP(J4227,$J$1801:$L$1987,3,FALSE)*M4227</f>
        <v>2.145</v>
      </c>
      <c r="M4227" s="3286">
        <f>VLOOKUP(J4227,$J$3297:$K$3483,2,FALSE)</f>
        <v>0.65</v>
      </c>
      <c r="N4227" s="1135"/>
      <c r="O4227" s="228"/>
      <c r="P4227" s="844"/>
      <c r="Q4227" s="845"/>
      <c r="R4227" s="844"/>
      <c r="S4227" s="832"/>
      <c r="T4227" s="3082"/>
      <c r="U4227" s="123"/>
      <c r="V4227" s="4031"/>
      <c r="W4227" s="3307"/>
      <c r="X4227" s="535"/>
      <c r="Y4227" s="535"/>
      <c r="Z4227" s="532"/>
      <c r="AA4227" s="532"/>
      <c r="AB4227" s="535"/>
      <c r="AC4227" s="3294">
        <v>1444.3799999999994</v>
      </c>
      <c r="AD4227" s="793"/>
      <c r="AE4227" s="793"/>
      <c r="AF4227" s="793"/>
      <c r="AG4227" s="793"/>
      <c r="BB4227" s="575"/>
      <c r="BC4227" s="576"/>
      <c r="BD4227" s="678"/>
      <c r="BE4227" s="585"/>
    </row>
    <row r="4228" spans="1:57" s="1942" customFormat="1" ht="15" hidden="1" customHeight="1" outlineLevel="1" x14ac:dyDescent="0.25">
      <c r="A4228" s="2060"/>
      <c r="B4228" s="576"/>
      <c r="C4228" s="328"/>
      <c r="D4228" s="4023"/>
      <c r="E4228" s="4020"/>
      <c r="F4228" s="3016" t="str">
        <f t="shared" si="337"/>
        <v>ASHP-SEER20_ROF_MF_CompE</v>
      </c>
      <c r="G4228" s="2673"/>
      <c r="H4228" s="2673"/>
      <c r="I4228" s="2673"/>
      <c r="J4228" s="3302" t="str">
        <f t="shared" si="344"/>
        <v>355101_2019_12_</v>
      </c>
      <c r="K4228" s="1052"/>
      <c r="L4228" s="109"/>
      <c r="M4228" s="3066"/>
      <c r="N4228" s="1135"/>
      <c r="O4228" s="228"/>
      <c r="P4228" s="844"/>
      <c r="Q4228" s="845"/>
      <c r="R4228" s="844"/>
      <c r="S4228" s="832"/>
      <c r="T4228" s="3082"/>
      <c r="U4228" s="123"/>
      <c r="V4228" s="4031"/>
      <c r="W4228" s="3307"/>
      <c r="X4228" s="535"/>
      <c r="Y4228" s="535"/>
      <c r="Z4228" s="532"/>
      <c r="AA4228" s="532"/>
      <c r="AB4228" s="535"/>
      <c r="AC4228" s="1052"/>
      <c r="AD4228" s="793"/>
      <c r="AE4228" s="793"/>
      <c r="AF4228" s="793"/>
      <c r="AG4228" s="793"/>
      <c r="BB4228" s="575"/>
      <c r="BC4228" s="576"/>
      <c r="BD4228" s="678"/>
      <c r="BE4228" s="585"/>
    </row>
    <row r="4229" spans="1:57" s="51" customFormat="1" ht="15" hidden="1" customHeight="1" outlineLevel="1" x14ac:dyDescent="0.25">
      <c r="A4229" s="2060"/>
      <c r="B4229" s="576"/>
      <c r="C4229" s="328"/>
      <c r="D4229" s="4023"/>
      <c r="E4229" s="4020"/>
      <c r="F4229" s="3016" t="str">
        <f t="shared" si="337"/>
        <v>ASHP-SEER21_ROF_MF</v>
      </c>
      <c r="G4229" s="2673"/>
      <c r="H4229" s="2673"/>
      <c r="I4229" s="2673"/>
      <c r="J4229" s="3302" t="str">
        <f>C1777</f>
        <v>355150_2019_12_</v>
      </c>
      <c r="K4229" s="1052">
        <f>$R$1811*K$3303</f>
        <v>1689.9245999999991</v>
      </c>
      <c r="L4229" s="109">
        <f>VLOOKUP(J4229,$J$1801:$L$1987,3,FALSE)*M4229</f>
        <v>2.145</v>
      </c>
      <c r="M4229" s="3066">
        <f>VLOOKUP(J4229,$J$3297:$K$3483,2,FALSE)</f>
        <v>0.65</v>
      </c>
      <c r="N4229" s="1135"/>
      <c r="O4229" s="228"/>
      <c r="P4229" s="844"/>
      <c r="Q4229" s="845"/>
      <c r="R4229" s="844"/>
      <c r="S4229" s="832"/>
      <c r="T4229" s="3082"/>
      <c r="U4229" s="123"/>
      <c r="V4229" s="4031"/>
      <c r="W4229" s="3308">
        <v>3828</v>
      </c>
      <c r="X4229" s="3309">
        <f>$R$1811*(X$1986/12000)*X$3482</f>
        <v>3624.888266999998</v>
      </c>
      <c r="Y4229" s="3309">
        <v>1160</v>
      </c>
      <c r="Z4229" s="3310">
        <v>1160</v>
      </c>
      <c r="AA4229" s="3310">
        <v>1160</v>
      </c>
      <c r="AB4229" s="3309">
        <v>1689.9245999999991</v>
      </c>
      <c r="AC4229" s="3287">
        <v>1689.9245999999991</v>
      </c>
      <c r="AD4229" s="863"/>
      <c r="AE4229" s="863"/>
      <c r="AF4229" s="863"/>
      <c r="AG4229" s="863"/>
      <c r="AH4229" s="1942"/>
      <c r="AI4229" s="1942"/>
      <c r="AJ4229" s="1942"/>
      <c r="AK4229" s="1942"/>
      <c r="AL4229" s="1942"/>
      <c r="AM4229" s="1942"/>
      <c r="AN4229" s="1942"/>
      <c r="AO4229" s="1942"/>
      <c r="AP4229" s="1942"/>
      <c r="AQ4229" s="1942"/>
      <c r="AR4229" s="1942"/>
      <c r="AS4229" s="1942"/>
      <c r="AT4229" s="1942"/>
      <c r="AU4229" s="1942"/>
      <c r="AV4229" s="1942"/>
      <c r="AW4229" s="1942"/>
      <c r="AX4229" s="1942"/>
      <c r="AY4229" s="1942"/>
      <c r="AZ4229" s="1942"/>
      <c r="BA4229" s="1942"/>
      <c r="BB4229" s="575"/>
      <c r="BC4229" s="576"/>
      <c r="BD4229" s="678"/>
      <c r="BE4229" s="585"/>
    </row>
    <row r="4230" spans="1:57" s="51" customFormat="1" ht="15.75" hidden="1" customHeight="1" outlineLevel="1" x14ac:dyDescent="0.25">
      <c r="A4230" s="2060"/>
      <c r="B4230" s="576"/>
      <c r="C4230" s="328"/>
      <c r="D4230" s="4023"/>
      <c r="E4230" s="4020"/>
      <c r="F4230" s="3016" t="str">
        <f t="shared" si="337"/>
        <v>ASHP-SEER21_ROF_MF</v>
      </c>
      <c r="G4230" s="3064"/>
      <c r="H4230" s="3064"/>
      <c r="I4230" s="3064"/>
      <c r="J4230" s="3304" t="str">
        <f>C1778</f>
        <v>355150_2019_12_</v>
      </c>
      <c r="K4230" s="3287"/>
      <c r="L4230" s="2736" t="str">
        <f>IF(K4230&gt;0,VLOOKUP(J4230,$J$1801:$L$1987,3,FALSE),"")</f>
        <v/>
      </c>
      <c r="M4230" s="3067" t="str">
        <f>IF(K4230&gt;0,VLOOKUP(J4230,$J$3297:$K$3483,2,FALSE),"")</f>
        <v/>
      </c>
      <c r="N4230" s="123"/>
      <c r="O4230" s="228"/>
      <c r="P4230" s="844"/>
      <c r="Q4230" s="845"/>
      <c r="R4230" s="844"/>
      <c r="S4230" s="832"/>
      <c r="T4230" s="3082"/>
      <c r="U4230" s="123"/>
      <c r="V4230" s="4033"/>
      <c r="W4230" s="532"/>
      <c r="X4230" s="823"/>
      <c r="Y4230" s="535"/>
      <c r="Z4230" s="532"/>
      <c r="AA4230" s="532"/>
      <c r="AB4230" s="535"/>
      <c r="AC4230" s="1052"/>
      <c r="AD4230" s="793"/>
      <c r="AE4230" s="793"/>
      <c r="AF4230" s="793"/>
      <c r="AG4230" s="793"/>
      <c r="AH4230" s="1942"/>
      <c r="AI4230" s="1942"/>
      <c r="AJ4230" s="1942"/>
      <c r="AK4230" s="1942"/>
      <c r="AL4230" s="1942"/>
      <c r="AM4230" s="1942"/>
      <c r="AN4230" s="1942"/>
      <c r="AO4230" s="1942"/>
      <c r="AP4230" s="1942"/>
      <c r="AQ4230" s="1942"/>
      <c r="AR4230" s="1942"/>
      <c r="AS4230" s="1942"/>
      <c r="AT4230" s="1942"/>
      <c r="AU4230" s="1942"/>
      <c r="AV4230" s="1942"/>
      <c r="AW4230" s="1942"/>
      <c r="AX4230" s="1942"/>
      <c r="AY4230" s="1942"/>
      <c r="AZ4230" s="1942"/>
      <c r="BA4230" s="1942"/>
      <c r="BB4230" s="575"/>
      <c r="BC4230" s="576"/>
      <c r="BD4230" s="678"/>
      <c r="BE4230" s="585"/>
    </row>
    <row r="4231" spans="1:57" s="1942" customFormat="1" ht="15.75" hidden="1" customHeight="1" outlineLevel="1" x14ac:dyDescent="0.25">
      <c r="A4231" s="2060"/>
      <c r="B4231" s="576"/>
      <c r="C4231" s="328"/>
      <c r="D4231" s="4023"/>
      <c r="E4231" s="4020"/>
      <c r="F4231" s="3016" t="str">
        <f t="shared" si="337"/>
        <v>ASHP-SEER21_ROF_MF_CompE</v>
      </c>
      <c r="G4231" s="2673"/>
      <c r="H4231" s="2673"/>
      <c r="I4231" s="2673"/>
      <c r="J4231" s="3302" t="str">
        <f t="shared" ref="J4231:J4232" si="345">C1779</f>
        <v>355151_2019_12_</v>
      </c>
      <c r="K4231" s="3294">
        <f>$R$1811*K$3303</f>
        <v>1689.9245999999991</v>
      </c>
      <c r="L4231" s="112">
        <f>VLOOKUP(J4231,$J$1801:$L$1987,3,FALSE)*M4231</f>
        <v>2.145</v>
      </c>
      <c r="M4231" s="3286">
        <f>VLOOKUP(J4231,$J$3297:$K$3483,2,FALSE)</f>
        <v>0.65</v>
      </c>
      <c r="N4231" s="123"/>
      <c r="O4231" s="228"/>
      <c r="P4231" s="844"/>
      <c r="Q4231" s="845"/>
      <c r="R4231" s="844"/>
      <c r="S4231" s="832"/>
      <c r="T4231" s="3082"/>
      <c r="U4231" s="123"/>
      <c r="V4231" s="4033"/>
      <c r="W4231" s="532"/>
      <c r="X4231" s="823"/>
      <c r="Y4231" s="535"/>
      <c r="Z4231" s="532"/>
      <c r="AA4231" s="532"/>
      <c r="AB4231" s="535"/>
      <c r="AC4231" s="3294">
        <v>1689.9245999999991</v>
      </c>
      <c r="AD4231" s="793"/>
      <c r="AE4231" s="793"/>
      <c r="AF4231" s="793"/>
      <c r="AG4231" s="793"/>
      <c r="BB4231" s="575"/>
      <c r="BC4231" s="576"/>
      <c r="BD4231" s="678"/>
      <c r="BE4231" s="585"/>
    </row>
    <row r="4232" spans="1:57" s="1942" customFormat="1" ht="15.75" hidden="1" customHeight="1" outlineLevel="1" thickBot="1" x14ac:dyDescent="0.3">
      <c r="A4232" s="2060"/>
      <c r="B4232" s="576"/>
      <c r="C4232" s="328"/>
      <c r="D4232" s="4024"/>
      <c r="E4232" s="4021"/>
      <c r="F4232" s="3017" t="str">
        <f t="shared" si="337"/>
        <v>ASHP-SEER21_ROF_MF_CompE</v>
      </c>
      <c r="G4232" s="2674"/>
      <c r="H4232" s="2674"/>
      <c r="I4232" s="2674"/>
      <c r="J4232" s="3305" t="str">
        <f t="shared" si="345"/>
        <v>355151_2019_12_</v>
      </c>
      <c r="K4232" s="3288"/>
      <c r="L4232" s="3289"/>
      <c r="M4232" s="3068"/>
      <c r="N4232" s="123"/>
      <c r="O4232" s="228"/>
      <c r="P4232" s="844"/>
      <c r="Q4232" s="845"/>
      <c r="R4232" s="844"/>
      <c r="S4232" s="832"/>
      <c r="T4232" s="3082"/>
      <c r="U4232" s="123"/>
      <c r="V4232" s="4034"/>
      <c r="W4232" s="869"/>
      <c r="X4232" s="870"/>
      <c r="Y4232" s="868"/>
      <c r="Z4232" s="869"/>
      <c r="AA4232" s="869"/>
      <c r="AB4232" s="868"/>
      <c r="AC4232" s="3288"/>
      <c r="AD4232" s="871"/>
      <c r="AE4232" s="871"/>
      <c r="AF4232" s="871"/>
      <c r="AG4232" s="871"/>
      <c r="BB4232" s="575"/>
      <c r="BC4232" s="576"/>
      <c r="BD4232" s="678"/>
      <c r="BE4232" s="585"/>
    </row>
    <row r="4233" spans="1:57" ht="15" customHeight="1" collapsed="1" x14ac:dyDescent="0.25">
      <c r="W4233" s="1930"/>
      <c r="X4233" s="1930"/>
      <c r="Y4233" s="1930"/>
      <c r="Z4233" s="1930"/>
      <c r="AA4233" s="1930"/>
      <c r="AB4233" s="1930"/>
      <c r="AC4233" s="1930"/>
      <c r="AD4233" s="1930"/>
      <c r="AE4233" s="1930"/>
      <c r="AF4233" s="1930"/>
      <c r="AG4233" s="1930"/>
      <c r="AH4233" s="1930"/>
      <c r="AI4233" s="1930"/>
      <c r="AJ4233" s="1930"/>
      <c r="AK4233" s="1942"/>
      <c r="AL4233" s="1942"/>
      <c r="AM4233" s="1942"/>
      <c r="AN4233" s="1942"/>
      <c r="AO4233" s="1930"/>
      <c r="AP4233" s="1930"/>
      <c r="AQ4233" s="1930"/>
      <c r="AR4233" s="1930"/>
      <c r="AS4233" s="1930"/>
      <c r="AT4233" s="1930"/>
      <c r="AU4233" s="1930"/>
      <c r="AV4233" s="1930"/>
      <c r="AW4233" s="1930"/>
      <c r="AX4233" s="1930"/>
      <c r="AY4233" s="1930"/>
      <c r="AZ4233" s="1930"/>
      <c r="BA4233" s="1930"/>
      <c r="BE4233" s="1930"/>
    </row>
  </sheetData>
  <mergeCells count="513">
    <mergeCell ref="V275:V346"/>
    <mergeCell ref="V203:V274"/>
    <mergeCell ref="V347:V418"/>
    <mergeCell ref="V419:V490"/>
    <mergeCell ref="V491:V562"/>
    <mergeCell ref="V563:V634"/>
    <mergeCell ref="V636:V707"/>
    <mergeCell ref="V708:V779"/>
    <mergeCell ref="A1:O1"/>
    <mergeCell ref="P1:R1"/>
    <mergeCell ref="D2:J2"/>
    <mergeCell ref="B4:Q4"/>
    <mergeCell ref="V4:AH4"/>
    <mergeCell ref="F40:H40"/>
    <mergeCell ref="F54:H54"/>
    <mergeCell ref="F55:H55"/>
    <mergeCell ref="D56:D67"/>
    <mergeCell ref="E56:E67"/>
    <mergeCell ref="F56:H56"/>
    <mergeCell ref="V56:V67"/>
    <mergeCell ref="F57:H57"/>
    <mergeCell ref="F58:H58"/>
    <mergeCell ref="F59:H59"/>
    <mergeCell ref="F60:H60"/>
    <mergeCell ref="F48:H48"/>
    <mergeCell ref="F49:H49"/>
    <mergeCell ref="F50:H50"/>
    <mergeCell ref="F51:H51"/>
    <mergeCell ref="F52:H52"/>
    <mergeCell ref="F53:H53"/>
    <mergeCell ref="D41:D52"/>
    <mergeCell ref="E41:E52"/>
    <mergeCell ref="V115:AH115"/>
    <mergeCell ref="F41:H41"/>
    <mergeCell ref="V41:V52"/>
    <mergeCell ref="F42:H42"/>
    <mergeCell ref="F43:H43"/>
    <mergeCell ref="F44:H44"/>
    <mergeCell ref="F45:H45"/>
    <mergeCell ref="F46:H46"/>
    <mergeCell ref="F47:H47"/>
    <mergeCell ref="D73:D74"/>
    <mergeCell ref="E73:E74"/>
    <mergeCell ref="F73:H73"/>
    <mergeCell ref="V73:V74"/>
    <mergeCell ref="F74:H74"/>
    <mergeCell ref="F75:H75"/>
    <mergeCell ref="F67:H67"/>
    <mergeCell ref="F68:H68"/>
    <mergeCell ref="F69:H69"/>
    <mergeCell ref="F70:H70"/>
    <mergeCell ref="F71:H71"/>
    <mergeCell ref="J71:J72"/>
    <mergeCell ref="F72:H72"/>
    <mergeCell ref="F61:H61"/>
    <mergeCell ref="F62:H62"/>
    <mergeCell ref="F63:H63"/>
    <mergeCell ref="F64:H64"/>
    <mergeCell ref="F65:H65"/>
    <mergeCell ref="F66:H66"/>
    <mergeCell ref="D89:D100"/>
    <mergeCell ref="E89:E100"/>
    <mergeCell ref="F89:H89"/>
    <mergeCell ref="D76:D87"/>
    <mergeCell ref="E76:E87"/>
    <mergeCell ref="F76:H76"/>
    <mergeCell ref="V76:V87"/>
    <mergeCell ref="F77:H77"/>
    <mergeCell ref="F78:H78"/>
    <mergeCell ref="F79:H79"/>
    <mergeCell ref="F80:H80"/>
    <mergeCell ref="F81:H81"/>
    <mergeCell ref="F82:H82"/>
    <mergeCell ref="O97:P97"/>
    <mergeCell ref="F98:H98"/>
    <mergeCell ref="O98:P98"/>
    <mergeCell ref="F99:H99"/>
    <mergeCell ref="F100:H100"/>
    <mergeCell ref="V89:V100"/>
    <mergeCell ref="F90:H90"/>
    <mergeCell ref="F91:H91"/>
    <mergeCell ref="F92:H92"/>
    <mergeCell ref="F93:H93"/>
    <mergeCell ref="F94:H94"/>
    <mergeCell ref="F95:H95"/>
    <mergeCell ref="O95:R95"/>
    <mergeCell ref="F96:H96"/>
    <mergeCell ref="F97:H97"/>
    <mergeCell ref="F88:H88"/>
    <mergeCell ref="P201:R201"/>
    <mergeCell ref="F83:H83"/>
    <mergeCell ref="F84:H84"/>
    <mergeCell ref="F85:H85"/>
    <mergeCell ref="F86:H86"/>
    <mergeCell ref="F87:H87"/>
    <mergeCell ref="T202:T205"/>
    <mergeCell ref="F203:H203"/>
    <mergeCell ref="F204:H204"/>
    <mergeCell ref="F108:H108"/>
    <mergeCell ref="F109:H109"/>
    <mergeCell ref="F110:H110"/>
    <mergeCell ref="F111:H111"/>
    <mergeCell ref="F112:H112"/>
    <mergeCell ref="B115:Q115"/>
    <mergeCell ref="D203:D274"/>
    <mergeCell ref="E203:E274"/>
    <mergeCell ref="F267:H267"/>
    <mergeCell ref="F268:H268"/>
    <mergeCell ref="F240:H240"/>
    <mergeCell ref="F216:H216"/>
    <mergeCell ref="F217:H217"/>
    <mergeCell ref="F218:H218"/>
    <mergeCell ref="F219:H219"/>
    <mergeCell ref="F220:H220"/>
    <mergeCell ref="F221:H221"/>
    <mergeCell ref="F211:H211"/>
    <mergeCell ref="F212:H212"/>
    <mergeCell ref="D101:D112"/>
    <mergeCell ref="F272:H272"/>
    <mergeCell ref="V101:V112"/>
    <mergeCell ref="F102:H102"/>
    <mergeCell ref="O102:P102"/>
    <mergeCell ref="F103:H103"/>
    <mergeCell ref="O103:P103"/>
    <mergeCell ref="F104:H104"/>
    <mergeCell ref="O104:P104"/>
    <mergeCell ref="F105:H105"/>
    <mergeCell ref="O105:P105"/>
    <mergeCell ref="F106:H106"/>
    <mergeCell ref="O101:Q101"/>
    <mergeCell ref="F107:H107"/>
    <mergeCell ref="E101:E112"/>
    <mergeCell ref="F101:H101"/>
    <mergeCell ref="F251:H251"/>
    <mergeCell ref="F252:H252"/>
    <mergeCell ref="F253:H253"/>
    <mergeCell ref="F254:H254"/>
    <mergeCell ref="F255:H255"/>
    <mergeCell ref="F256:H256"/>
    <mergeCell ref="F257:H257"/>
    <mergeCell ref="F234:H234"/>
    <mergeCell ref="F235:H235"/>
    <mergeCell ref="F236:H236"/>
    <mergeCell ref="F237:H237"/>
    <mergeCell ref="F238:H238"/>
    <mergeCell ref="F241:H241"/>
    <mergeCell ref="F242:H242"/>
    <mergeCell ref="F243:H243"/>
    <mergeCell ref="F244:H244"/>
    <mergeCell ref="F245:H245"/>
    <mergeCell ref="F246:H246"/>
    <mergeCell ref="F247:H247"/>
    <mergeCell ref="F202:H202"/>
    <mergeCell ref="F233:H233"/>
    <mergeCell ref="F222:H222"/>
    <mergeCell ref="F271:H271"/>
    <mergeCell ref="F206:H206"/>
    <mergeCell ref="F208:H208"/>
    <mergeCell ref="F209:H209"/>
    <mergeCell ref="F210:H210"/>
    <mergeCell ref="F228:H228"/>
    <mergeCell ref="F229:H229"/>
    <mergeCell ref="F230:H230"/>
    <mergeCell ref="F231:H231"/>
    <mergeCell ref="F232:H232"/>
    <mergeCell ref="F265:H265"/>
    <mergeCell ref="F266:H266"/>
    <mergeCell ref="F248:H248"/>
    <mergeCell ref="F249:H249"/>
    <mergeCell ref="F250:H250"/>
    <mergeCell ref="F213:H213"/>
    <mergeCell ref="P214:R214"/>
    <mergeCell ref="F214:H214"/>
    <mergeCell ref="F215:H215"/>
    <mergeCell ref="P250:R250"/>
    <mergeCell ref="L203:L274"/>
    <mergeCell ref="F258:H258"/>
    <mergeCell ref="F259:H259"/>
    <mergeCell ref="F260:H260"/>
    <mergeCell ref="F261:H261"/>
    <mergeCell ref="F262:H262"/>
    <mergeCell ref="F263:H263"/>
    <mergeCell ref="F264:H264"/>
    <mergeCell ref="F205:H205"/>
    <mergeCell ref="F273:H273"/>
    <mergeCell ref="F274:H274"/>
    <mergeCell ref="F239:H239"/>
    <mergeCell ref="F269:H269"/>
    <mergeCell ref="F207:H207"/>
    <mergeCell ref="F223:H223"/>
    <mergeCell ref="F224:H224"/>
    <mergeCell ref="F225:H225"/>
    <mergeCell ref="F226:H226"/>
    <mergeCell ref="F227:H227"/>
    <mergeCell ref="F270:H270"/>
    <mergeCell ref="V940:V960"/>
    <mergeCell ref="D982:D1002"/>
    <mergeCell ref="E982:E1002"/>
    <mergeCell ref="V961:V981"/>
    <mergeCell ref="L982:L1002"/>
    <mergeCell ref="F855:H855"/>
    <mergeCell ref="V856:V876"/>
    <mergeCell ref="V782:AH782"/>
    <mergeCell ref="D877:D897"/>
    <mergeCell ref="E877:E897"/>
    <mergeCell ref="D856:D876"/>
    <mergeCell ref="E856:E876"/>
    <mergeCell ref="V919:V939"/>
    <mergeCell ref="V877:V897"/>
    <mergeCell ref="V898:V918"/>
    <mergeCell ref="L900:L904"/>
    <mergeCell ref="L877:L897"/>
    <mergeCell ref="D919:D939"/>
    <mergeCell ref="E919:E939"/>
    <mergeCell ref="D898:D918"/>
    <mergeCell ref="E898:E918"/>
    <mergeCell ref="N858:Q858"/>
    <mergeCell ref="N867:Q867"/>
    <mergeCell ref="N872:Q872"/>
    <mergeCell ref="V982:V1002"/>
    <mergeCell ref="L1003:L1009"/>
    <mergeCell ref="V1003:V1023"/>
    <mergeCell ref="D1003:D1023"/>
    <mergeCell ref="E1003:E1023"/>
    <mergeCell ref="V1024:V1044"/>
    <mergeCell ref="V1045:V1065"/>
    <mergeCell ref="D961:D981"/>
    <mergeCell ref="E961:E981"/>
    <mergeCell ref="L1066:L1082"/>
    <mergeCell ref="L1083:L1116"/>
    <mergeCell ref="D1045:D1065"/>
    <mergeCell ref="E1045:E1065"/>
    <mergeCell ref="V1118:V1151"/>
    <mergeCell ref="D1118:D1151"/>
    <mergeCell ref="E1118:E1151"/>
    <mergeCell ref="D1066:D1116"/>
    <mergeCell ref="E1066:E1116"/>
    <mergeCell ref="V1066:V1116"/>
    <mergeCell ref="V1152:V1185"/>
    <mergeCell ref="V1249:V1254"/>
    <mergeCell ref="F1250:H1250"/>
    <mergeCell ref="F1251:H1251"/>
    <mergeCell ref="F1252:H1252"/>
    <mergeCell ref="F1253:H1253"/>
    <mergeCell ref="F1254:H1254"/>
    <mergeCell ref="F1243:H1243"/>
    <mergeCell ref="V1243:V1248"/>
    <mergeCell ref="F1244:H1244"/>
    <mergeCell ref="F1245:H1245"/>
    <mergeCell ref="F1246:H1246"/>
    <mergeCell ref="F1247:H1247"/>
    <mergeCell ref="F1248:H1248"/>
    <mergeCell ref="F1237:H1237"/>
    <mergeCell ref="V1237:V1242"/>
    <mergeCell ref="F1238:H1238"/>
    <mergeCell ref="F1239:H1239"/>
    <mergeCell ref="V1231:V1236"/>
    <mergeCell ref="F1232:H1232"/>
    <mergeCell ref="F1233:H1233"/>
    <mergeCell ref="F1234:H1234"/>
    <mergeCell ref="F1235:H1235"/>
    <mergeCell ref="F1236:H1236"/>
    <mergeCell ref="V1188:AH1188"/>
    <mergeCell ref="F1223:H1223"/>
    <mergeCell ref="F1225:H1225"/>
    <mergeCell ref="V1225:V1230"/>
    <mergeCell ref="F1226:H1226"/>
    <mergeCell ref="F1227:H1227"/>
    <mergeCell ref="V1267:V1272"/>
    <mergeCell ref="F1268:H1268"/>
    <mergeCell ref="F1269:H1269"/>
    <mergeCell ref="F1270:H1270"/>
    <mergeCell ref="F1271:H1271"/>
    <mergeCell ref="F1272:H1272"/>
    <mergeCell ref="F1261:H1261"/>
    <mergeCell ref="V1261:V1266"/>
    <mergeCell ref="F1262:H1262"/>
    <mergeCell ref="F1263:H1263"/>
    <mergeCell ref="F1264:H1264"/>
    <mergeCell ref="F1265:H1265"/>
    <mergeCell ref="F1266:H1266"/>
    <mergeCell ref="F1255:H1255"/>
    <mergeCell ref="V1255:V1260"/>
    <mergeCell ref="F1256:H1256"/>
    <mergeCell ref="F1257:H1257"/>
    <mergeCell ref="F1258:H1258"/>
    <mergeCell ref="F1259:H1259"/>
    <mergeCell ref="F1260:H1260"/>
    <mergeCell ref="F1267:H1267"/>
    <mergeCell ref="V1285:V1290"/>
    <mergeCell ref="F1286:H1286"/>
    <mergeCell ref="F1287:H1287"/>
    <mergeCell ref="F1288:H1288"/>
    <mergeCell ref="F1289:H1289"/>
    <mergeCell ref="F1290:H1290"/>
    <mergeCell ref="F1279:H1279"/>
    <mergeCell ref="V1279:V1284"/>
    <mergeCell ref="F1280:H1280"/>
    <mergeCell ref="F1281:H1281"/>
    <mergeCell ref="F1282:H1282"/>
    <mergeCell ref="F1283:H1283"/>
    <mergeCell ref="F1284:H1284"/>
    <mergeCell ref="F1273:H1273"/>
    <mergeCell ref="V1273:V1278"/>
    <mergeCell ref="F1274:H1274"/>
    <mergeCell ref="F1275:H1275"/>
    <mergeCell ref="F1276:H1276"/>
    <mergeCell ref="F1277:H1277"/>
    <mergeCell ref="F1278:H1278"/>
    <mergeCell ref="F1285:H1285"/>
    <mergeCell ref="V1334:V1339"/>
    <mergeCell ref="F1336:H1336"/>
    <mergeCell ref="F1334:H1334"/>
    <mergeCell ref="F1338:H1338"/>
    <mergeCell ref="F1339:H1339"/>
    <mergeCell ref="V1293:AH1293"/>
    <mergeCell ref="F1327:H1327"/>
    <mergeCell ref="L1334:L1339"/>
    <mergeCell ref="F1329:H1329"/>
    <mergeCell ref="L1328:L1333"/>
    <mergeCell ref="V1328:V1333"/>
    <mergeCell ref="F1330:H1330"/>
    <mergeCell ref="F1328:H1328"/>
    <mergeCell ref="F1332:H1332"/>
    <mergeCell ref="P1328:R1328"/>
    <mergeCell ref="T1329:T1333"/>
    <mergeCell ref="F1333:H1333"/>
    <mergeCell ref="F1335:H1335"/>
    <mergeCell ref="F1337:H1337"/>
    <mergeCell ref="V1352:V1357"/>
    <mergeCell ref="F1353:H1353"/>
    <mergeCell ref="F1354:H1354"/>
    <mergeCell ref="F1355:H1355"/>
    <mergeCell ref="F1357:H1357"/>
    <mergeCell ref="D1346:D1351"/>
    <mergeCell ref="E1346:E1351"/>
    <mergeCell ref="F1347:H1347"/>
    <mergeCell ref="L1346:L1351"/>
    <mergeCell ref="V1346:V1351"/>
    <mergeCell ref="F1348:H1348"/>
    <mergeCell ref="F1346:H1346"/>
    <mergeCell ref="F1350:H1350"/>
    <mergeCell ref="F1351:H1351"/>
    <mergeCell ref="L1352:L1357"/>
    <mergeCell ref="D1352:D1357"/>
    <mergeCell ref="E1352:E1357"/>
    <mergeCell ref="F1352:H1352"/>
    <mergeCell ref="D1340:D1345"/>
    <mergeCell ref="E1340:E1345"/>
    <mergeCell ref="F1341:H1341"/>
    <mergeCell ref="L1340:L1343"/>
    <mergeCell ref="V1340:V1345"/>
    <mergeCell ref="F1342:H1342"/>
    <mergeCell ref="F1340:H1340"/>
    <mergeCell ref="F1344:H1344"/>
    <mergeCell ref="L1344:L1345"/>
    <mergeCell ref="F1345:H1345"/>
    <mergeCell ref="P1343:R1343"/>
    <mergeCell ref="F1343:H1343"/>
    <mergeCell ref="F1358:H1358"/>
    <mergeCell ref="V1358:V1363"/>
    <mergeCell ref="F1359:H1359"/>
    <mergeCell ref="F1360:H1360"/>
    <mergeCell ref="F1361:H1361"/>
    <mergeCell ref="F1363:H1363"/>
    <mergeCell ref="L1358:L1363"/>
    <mergeCell ref="V1370:V1375"/>
    <mergeCell ref="F1371:H1371"/>
    <mergeCell ref="F1372:H1372"/>
    <mergeCell ref="F1373:H1373"/>
    <mergeCell ref="F1375:H1375"/>
    <mergeCell ref="F1364:H1364"/>
    <mergeCell ref="V1364:V1369"/>
    <mergeCell ref="F1365:H1365"/>
    <mergeCell ref="F1366:H1366"/>
    <mergeCell ref="F1367:H1367"/>
    <mergeCell ref="F1369:H1369"/>
    <mergeCell ref="L1370:L1375"/>
    <mergeCell ref="F1370:H1370"/>
    <mergeCell ref="F1384:H1384"/>
    <mergeCell ref="F1385:H1385"/>
    <mergeCell ref="F1386:H1386"/>
    <mergeCell ref="F1387:H1387"/>
    <mergeCell ref="F1388:H1388"/>
    <mergeCell ref="D1389:D1400"/>
    <mergeCell ref="E1389:E1400"/>
    <mergeCell ref="F1389:H1389"/>
    <mergeCell ref="F1399:H1399"/>
    <mergeCell ref="F1400:H1400"/>
    <mergeCell ref="D1377:D1388"/>
    <mergeCell ref="E1377:E1388"/>
    <mergeCell ref="F1377:H1377"/>
    <mergeCell ref="F1395:H1395"/>
    <mergeCell ref="F1396:H1396"/>
    <mergeCell ref="F1397:H1397"/>
    <mergeCell ref="F1398:H1398"/>
    <mergeCell ref="V1377:V1388"/>
    <mergeCell ref="F1378:H1378"/>
    <mergeCell ref="F1379:H1379"/>
    <mergeCell ref="F1380:H1380"/>
    <mergeCell ref="F1381:H1381"/>
    <mergeCell ref="F1382:H1382"/>
    <mergeCell ref="F1383:H1383"/>
    <mergeCell ref="V2362:V2547"/>
    <mergeCell ref="D2175:D2361"/>
    <mergeCell ref="E2175:E2361"/>
    <mergeCell ref="V2175:V2361"/>
    <mergeCell ref="V1988:V2174"/>
    <mergeCell ref="D1988:D2174"/>
    <mergeCell ref="E1988:E2174"/>
    <mergeCell ref="D1801:D1987"/>
    <mergeCell ref="E1801:E1987"/>
    <mergeCell ref="P1801:R1801"/>
    <mergeCell ref="V1801:V1987"/>
    <mergeCell ref="V1389:V1400"/>
    <mergeCell ref="F1390:H1390"/>
    <mergeCell ref="F1391:H1391"/>
    <mergeCell ref="F1392:H1392"/>
    <mergeCell ref="F1393:H1393"/>
    <mergeCell ref="F1394:H1394"/>
    <mergeCell ref="V3485:V3858"/>
    <mergeCell ref="V3859:V4232"/>
    <mergeCell ref="D2549:D2735"/>
    <mergeCell ref="E2549:E2735"/>
    <mergeCell ref="V2549:V2735"/>
    <mergeCell ref="P1818:R1818"/>
    <mergeCell ref="D3297:D3483"/>
    <mergeCell ref="E3297:E3483"/>
    <mergeCell ref="V3297:V3483"/>
    <mergeCell ref="D3110:D3296"/>
    <mergeCell ref="E3110:E3296"/>
    <mergeCell ref="V3110:V3296"/>
    <mergeCell ref="D2923:D3109"/>
    <mergeCell ref="E2923:E3109"/>
    <mergeCell ref="V2923:V3109"/>
    <mergeCell ref="D2736:D2922"/>
    <mergeCell ref="E2736:E2922"/>
    <mergeCell ref="V2736:V2922"/>
    <mergeCell ref="D2362:D2548"/>
    <mergeCell ref="E2362:E2548"/>
    <mergeCell ref="D275:D346"/>
    <mergeCell ref="D347:D418"/>
    <mergeCell ref="E275:E346"/>
    <mergeCell ref="E636:E707"/>
    <mergeCell ref="E491:E562"/>
    <mergeCell ref="E563:E634"/>
    <mergeCell ref="D563:D634"/>
    <mergeCell ref="E3859:E4232"/>
    <mergeCell ref="D3859:D4232"/>
    <mergeCell ref="D3485:D3858"/>
    <mergeCell ref="E3485:E3858"/>
    <mergeCell ref="D1358:D1363"/>
    <mergeCell ref="E1358:E1363"/>
    <mergeCell ref="D1364:D1369"/>
    <mergeCell ref="E1364:E1369"/>
    <mergeCell ref="D1334:D1339"/>
    <mergeCell ref="E1334:E1339"/>
    <mergeCell ref="D1328:D1333"/>
    <mergeCell ref="E1328:E1333"/>
    <mergeCell ref="D1024:D1044"/>
    <mergeCell ref="E1024:E1044"/>
    <mergeCell ref="D940:D960"/>
    <mergeCell ref="E940:E960"/>
    <mergeCell ref="E1255:E1260"/>
    <mergeCell ref="D1255:D1260"/>
    <mergeCell ref="E1249:E1254"/>
    <mergeCell ref="D1249:D1254"/>
    <mergeCell ref="E1243:E1248"/>
    <mergeCell ref="D1243:D1248"/>
    <mergeCell ref="D491:D562"/>
    <mergeCell ref="E347:E418"/>
    <mergeCell ref="E419:E490"/>
    <mergeCell ref="D419:D490"/>
    <mergeCell ref="E1152:E1185"/>
    <mergeCell ref="D708:D779"/>
    <mergeCell ref="E708:E779"/>
    <mergeCell ref="D636:D707"/>
    <mergeCell ref="D1152:D1185"/>
    <mergeCell ref="F1249:H1249"/>
    <mergeCell ref="F1228:H1228"/>
    <mergeCell ref="E1237:E1242"/>
    <mergeCell ref="D1237:D1242"/>
    <mergeCell ref="E1231:E1236"/>
    <mergeCell ref="D1231:D1236"/>
    <mergeCell ref="E1225:E1230"/>
    <mergeCell ref="D1225:D1230"/>
    <mergeCell ref="F1240:H1240"/>
    <mergeCell ref="F1241:H1241"/>
    <mergeCell ref="F1242:H1242"/>
    <mergeCell ref="V1403:AH1403"/>
    <mergeCell ref="C19:L20"/>
    <mergeCell ref="F1376:H1376"/>
    <mergeCell ref="E1279:E1284"/>
    <mergeCell ref="D1279:D1284"/>
    <mergeCell ref="E1273:E1278"/>
    <mergeCell ref="D1273:D1278"/>
    <mergeCell ref="E1267:E1272"/>
    <mergeCell ref="D1267:D1272"/>
    <mergeCell ref="E1261:E1266"/>
    <mergeCell ref="D1261:D1266"/>
    <mergeCell ref="E1285:E1290"/>
    <mergeCell ref="D1285:D1290"/>
    <mergeCell ref="F1331:H1331"/>
    <mergeCell ref="F1349:H1349"/>
    <mergeCell ref="F1356:H1356"/>
    <mergeCell ref="F1362:H1362"/>
    <mergeCell ref="F1368:H1368"/>
    <mergeCell ref="F1374:H1374"/>
    <mergeCell ref="D1370:D1375"/>
    <mergeCell ref="E1370:E1375"/>
    <mergeCell ref="F1229:H1229"/>
    <mergeCell ref="F1230:H1230"/>
    <mergeCell ref="F1231:H1231"/>
  </mergeCells>
  <conditionalFormatting sqref="AH7:AH18 AH805:AI806 AH808:AI808 AH811:AI812 AH815:AI816 AH821:AI824 AH833:AI836 AH827:AI828 AH1407:AH1778">
    <cfRule type="cellIs" dxfId="327" priority="45" operator="lessThan">
      <formula>-0.1</formula>
    </cfRule>
    <cfRule type="cellIs" dxfId="326" priority="46" operator="greaterThan">
      <formula>0.1</formula>
    </cfRule>
  </conditionalFormatting>
  <conditionalFormatting sqref="AH119:AH153">
    <cfRule type="cellIs" dxfId="325" priority="43" operator="lessThan">
      <formula>-0.1</formula>
    </cfRule>
    <cfRule type="cellIs" dxfId="324" priority="44" operator="greaterThan">
      <formula>0.1</formula>
    </cfRule>
  </conditionalFormatting>
  <conditionalFormatting sqref="AH786:AI804 AH807:AI807 AH809:AI810 AH813:AI814 AH817:AI820 AH825:AI826 AH829:AI832">
    <cfRule type="cellIs" dxfId="323" priority="41" operator="lessThan">
      <formula>-0.1</formula>
    </cfRule>
    <cfRule type="cellIs" dxfId="322" priority="42" operator="greaterThan">
      <formula>0.1</formula>
    </cfRule>
  </conditionalFormatting>
  <conditionalFormatting sqref="AH1296:AI1307">
    <cfRule type="cellIs" dxfId="321" priority="39" operator="lessThan">
      <formula>-0.1</formula>
    </cfRule>
    <cfRule type="cellIs" dxfId="320" priority="40" operator="greaterThan">
      <formula>0.1</formula>
    </cfRule>
  </conditionalFormatting>
  <conditionalFormatting sqref="AH154">
    <cfRule type="cellIs" dxfId="319" priority="37" operator="lessThan">
      <formula>-0.1</formula>
    </cfRule>
    <cfRule type="cellIs" dxfId="318" priority="38" operator="greaterThan">
      <formula>0.1</formula>
    </cfRule>
  </conditionalFormatting>
  <conditionalFormatting sqref="B275:B310 B347:B382 B419:B454 B491:B526 B563:B598 B636:B671 B708:B743 B191:B238 B780:B782 B1780:B3483 B3485:B1048576 B1:B17 B22:B153 B784:B1778">
    <cfRule type="cellIs" dxfId="317" priority="36" operator="equal">
      <formula>"x"</formula>
    </cfRule>
  </conditionalFormatting>
  <conditionalFormatting sqref="AH1779:AH1780">
    <cfRule type="cellIs" dxfId="316" priority="34" operator="lessThan">
      <formula>-0.1</formula>
    </cfRule>
    <cfRule type="cellIs" dxfId="315" priority="35" operator="greaterThan">
      <formula>0.1</formula>
    </cfRule>
  </conditionalFormatting>
  <conditionalFormatting sqref="Y2175:Y2361">
    <cfRule type="cellIs" dxfId="314" priority="32" operator="equal">
      <formula>5.44</formula>
    </cfRule>
  </conditionalFormatting>
  <conditionalFormatting sqref="B239:B274">
    <cfRule type="cellIs" dxfId="313" priority="18" operator="equal">
      <formula>"x"</formula>
    </cfRule>
  </conditionalFormatting>
  <conditionalFormatting sqref="B311:B346">
    <cfRule type="cellIs" dxfId="312" priority="17" operator="equal">
      <formula>"x"</formula>
    </cfRule>
  </conditionalFormatting>
  <conditionalFormatting sqref="B383:B418">
    <cfRule type="cellIs" dxfId="311" priority="16" operator="equal">
      <formula>"x"</formula>
    </cfRule>
  </conditionalFormatting>
  <conditionalFormatting sqref="B455:B490">
    <cfRule type="cellIs" dxfId="310" priority="15" operator="equal">
      <formula>"x"</formula>
    </cfRule>
  </conditionalFormatting>
  <conditionalFormatting sqref="B527:B562">
    <cfRule type="cellIs" dxfId="309" priority="14" operator="equal">
      <formula>"x"</formula>
    </cfRule>
  </conditionalFormatting>
  <conditionalFormatting sqref="B599:B635">
    <cfRule type="cellIs" dxfId="308" priority="13" operator="equal">
      <formula>"x"</formula>
    </cfRule>
  </conditionalFormatting>
  <conditionalFormatting sqref="B672:B707">
    <cfRule type="cellIs" dxfId="307" priority="12" operator="equal">
      <formula>"x"</formula>
    </cfRule>
  </conditionalFormatting>
  <conditionalFormatting sqref="B744:B779">
    <cfRule type="cellIs" dxfId="306" priority="11" operator="equal">
      <formula>"x"</formula>
    </cfRule>
  </conditionalFormatting>
  <conditionalFormatting sqref="AH155:AH189">
    <cfRule type="cellIs" dxfId="305" priority="9" operator="lessThan">
      <formula>-0.1</formula>
    </cfRule>
    <cfRule type="cellIs" dxfId="304" priority="10" operator="greaterThan">
      <formula>0.1</formula>
    </cfRule>
  </conditionalFormatting>
  <conditionalFormatting sqref="AH190">
    <cfRule type="cellIs" dxfId="303" priority="7" operator="lessThan">
      <formula>-0.1</formula>
    </cfRule>
    <cfRule type="cellIs" dxfId="302" priority="8" operator="greaterThan">
      <formula>0.1</formula>
    </cfRule>
  </conditionalFormatting>
  <conditionalFormatting sqref="B160:B190">
    <cfRule type="cellIs" dxfId="301" priority="6" operator="equal">
      <formula>"x"</formula>
    </cfRule>
  </conditionalFormatting>
  <conditionalFormatting sqref="Z2175:AA2361">
    <cfRule type="cellIs" dxfId="300" priority="5" operator="equal">
      <formula>5.44</formula>
    </cfRule>
  </conditionalFormatting>
  <conditionalFormatting sqref="AA1376">
    <cfRule type="cellIs" dxfId="299" priority="4" operator="notEqual">
      <formula>Z1376</formula>
    </cfRule>
  </conditionalFormatting>
  <conditionalFormatting sqref="B3484">
    <cfRule type="cellIs" dxfId="298" priority="3" operator="equal">
      <formula>"x"</formula>
    </cfRule>
  </conditionalFormatting>
  <conditionalFormatting sqref="B154:B159">
    <cfRule type="cellIs" dxfId="297" priority="2" operator="equal">
      <formula>"x"</formula>
    </cfRule>
  </conditionalFormatting>
  <conditionalFormatting sqref="B783">
    <cfRule type="cellIs" dxfId="296" priority="1" operator="equal">
      <formula>"x"</formula>
    </cfRule>
  </conditionalFormatting>
  <hyperlinks>
    <hyperlink ref="R103" r:id="rId1"/>
  </hyperlinks>
  <pageMargins left="0.7" right="0.7" top="0.75" bottom="0.75" header="0.3" footer="0.3"/>
  <pageSetup scale="14" fitToHeight="0" orientation="landscape" r:id="rId2"/>
  <rowBreaks count="3" manualBreakCount="3">
    <brk id="781" max="36" man="1"/>
    <brk id="1402" max="36" man="1"/>
    <brk id="4233" max="36" man="1"/>
  </rowBreaks>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1424"/>
  <sheetViews>
    <sheetView zoomScale="70" zoomScaleNormal="70" workbookViewId="0">
      <selection sqref="A1:O1"/>
    </sheetView>
  </sheetViews>
  <sheetFormatPr defaultColWidth="9.140625" defaultRowHeight="15" outlineLevelRow="1" x14ac:dyDescent="0.25"/>
  <cols>
    <col min="1" max="1" width="4.28515625" style="249" customWidth="1"/>
    <col min="2" max="2" width="9.140625" style="249"/>
    <col min="3" max="3" width="20.5703125" style="905" customWidth="1"/>
    <col min="4" max="4" width="18" style="247" customWidth="1"/>
    <col min="5" max="5" width="81.5703125" style="247" customWidth="1"/>
    <col min="6" max="6" width="16.7109375" style="249" customWidth="1"/>
    <col min="7" max="7" width="20.28515625" style="249" customWidth="1"/>
    <col min="8" max="8" width="19" style="249" customWidth="1"/>
    <col min="9" max="9" width="17.28515625" style="249" customWidth="1"/>
    <col min="10" max="10" width="16.28515625" style="249" customWidth="1"/>
    <col min="11" max="11" width="12.28515625" style="249" customWidth="1"/>
    <col min="12" max="12" width="15.42578125" style="249" customWidth="1"/>
    <col min="13" max="13" width="14.42578125" style="249" customWidth="1"/>
    <col min="14" max="14" width="13.7109375" style="249" customWidth="1"/>
    <col min="15" max="15" width="11" style="249" customWidth="1"/>
    <col min="16" max="16" width="13.7109375" style="249" customWidth="1"/>
    <col min="17" max="17" width="9.42578125" style="249" customWidth="1"/>
    <col min="18" max="18" width="17.42578125" style="249" customWidth="1"/>
    <col min="19" max="19" width="9.28515625" style="249" customWidth="1"/>
    <col min="20" max="20" width="9.140625" style="249" customWidth="1"/>
    <col min="21" max="21" width="22.85546875" style="249" customWidth="1"/>
    <col min="22" max="22" width="32.140625" style="224" customWidth="1"/>
    <col min="23" max="23" width="13.5703125" style="224" customWidth="1"/>
    <col min="24" max="24" width="17" style="224" customWidth="1"/>
    <col min="25" max="25" width="19.5703125" style="618" customWidth="1"/>
    <col min="26" max="26" width="15.85546875" style="224" bestFit="1" customWidth="1"/>
    <col min="27" max="27" width="13.42578125" style="224" customWidth="1"/>
    <col min="28" max="28" width="18" style="224" bestFit="1" customWidth="1"/>
    <col min="29" max="29" width="17.140625" style="224" bestFit="1" customWidth="1"/>
    <col min="30" max="33" width="13.42578125" style="224" customWidth="1"/>
    <col min="34" max="34" width="9.140625" style="224" customWidth="1"/>
    <col min="35" max="35" width="13.5703125" style="224" customWidth="1"/>
    <col min="36" max="36" width="19.42578125" style="224" customWidth="1"/>
    <col min="37" max="41" width="17.7109375" style="224" bestFit="1" customWidth="1"/>
    <col min="42" max="45" width="13.5703125" style="224" customWidth="1"/>
    <col min="46" max="46" width="9.140625" style="224" customWidth="1"/>
    <col min="47" max="47" width="16.140625" style="224" bestFit="1" customWidth="1"/>
    <col min="48" max="48" width="16.7109375" style="224" bestFit="1" customWidth="1"/>
    <col min="49" max="53" width="9.140625" style="224" customWidth="1"/>
    <col min="54" max="54" width="15" style="876" customWidth="1"/>
    <col min="55" max="55" width="30.28515625" style="224" customWidth="1"/>
    <col min="56" max="56" width="16.5703125" style="224" customWidth="1"/>
    <col min="57" max="57" width="16.5703125" style="224" bestFit="1" customWidth="1"/>
    <col min="58" max="58" width="9.140625" style="224"/>
    <col min="59" max="59" width="14.42578125" style="224" bestFit="1" customWidth="1"/>
    <col min="60" max="61" width="16.7109375" style="224" bestFit="1" customWidth="1"/>
    <col min="62" max="62" width="15.42578125" style="224" bestFit="1" customWidth="1"/>
    <col min="63" max="63" width="14.42578125" style="224" bestFit="1" customWidth="1"/>
    <col min="64" max="64" width="16.85546875" style="224" bestFit="1" customWidth="1"/>
    <col min="65" max="69" width="14.42578125" style="224" bestFit="1" customWidth="1"/>
    <col min="70" max="16384" width="9.140625" style="224"/>
  </cols>
  <sheetData>
    <row r="1" spans="1:69" s="23" customFormat="1" ht="18.75" x14ac:dyDescent="0.3">
      <c r="A1" s="3756" t="s">
        <v>1568</v>
      </c>
      <c r="B1" s="3951"/>
      <c r="C1" s="3951"/>
      <c r="D1" s="3951"/>
      <c r="E1" s="3951"/>
      <c r="F1" s="3951"/>
      <c r="G1" s="3951"/>
      <c r="H1" s="3951"/>
      <c r="I1" s="3951"/>
      <c r="J1" s="3951"/>
      <c r="K1" s="3951"/>
      <c r="L1" s="3951"/>
      <c r="M1" s="3951"/>
      <c r="N1" s="3951"/>
      <c r="O1" s="3951"/>
      <c r="P1" s="3758"/>
      <c r="Q1" s="4149"/>
      <c r="R1" s="4149"/>
      <c r="S1" s="3083"/>
      <c r="T1" s="1965"/>
      <c r="U1" s="1965"/>
      <c r="V1" s="30"/>
      <c r="W1" s="31"/>
      <c r="X1" s="31"/>
      <c r="Y1" s="872"/>
      <c r="Z1" s="32"/>
      <c r="AA1" s="32"/>
      <c r="AB1" s="32"/>
      <c r="AC1" s="32"/>
      <c r="AD1" s="32"/>
      <c r="AE1" s="32"/>
      <c r="AF1" s="32"/>
      <c r="AG1" s="32"/>
      <c r="AH1" s="32"/>
      <c r="AI1" s="1931"/>
      <c r="AJ1" s="1931"/>
      <c r="AK1" s="1931"/>
      <c r="AL1" s="1931"/>
      <c r="AM1" s="1931"/>
      <c r="AN1" s="1931"/>
      <c r="AO1" s="1931"/>
      <c r="AP1" s="1931"/>
      <c r="AQ1" s="1931"/>
      <c r="AR1" s="1931"/>
      <c r="AS1" s="1931"/>
      <c r="AT1" s="1931"/>
      <c r="AU1" s="1931"/>
      <c r="AV1" s="1931"/>
      <c r="AW1" s="1931"/>
      <c r="AX1" s="1931"/>
      <c r="AY1" s="1931"/>
      <c r="AZ1" s="1931"/>
      <c r="BA1" s="1931"/>
      <c r="BB1" s="1932"/>
      <c r="BC1" s="1931"/>
      <c r="BD1" s="1931"/>
      <c r="BE1" s="1931"/>
      <c r="BF1" s="1931"/>
      <c r="BG1" s="1931"/>
      <c r="BH1" s="1931"/>
      <c r="BI1" s="1931"/>
      <c r="BJ1" s="1931"/>
      <c r="BK1" s="1931"/>
      <c r="BL1" s="1931"/>
      <c r="BM1" s="1931"/>
      <c r="BN1" s="1931"/>
      <c r="BO1" s="1931"/>
      <c r="BP1" s="1931"/>
      <c r="BQ1" s="1931"/>
    </row>
    <row r="2" spans="1:69" s="23" customFormat="1" ht="30" hidden="1" customHeight="1" outlineLevel="1" x14ac:dyDescent="0.35">
      <c r="A2" s="1965"/>
      <c r="B2" s="1280"/>
      <c r="C2" s="143"/>
      <c r="D2" s="3760" t="s">
        <v>25</v>
      </c>
      <c r="E2" s="3761"/>
      <c r="F2" s="3762"/>
      <c r="G2" s="3762"/>
      <c r="H2" s="3762"/>
      <c r="I2" s="3762"/>
      <c r="J2" s="3762"/>
      <c r="K2" s="873"/>
      <c r="L2" s="873"/>
      <c r="M2" s="1965"/>
      <c r="N2" s="1965"/>
      <c r="O2" s="1965"/>
      <c r="P2" s="1965"/>
      <c r="Q2" s="1965"/>
      <c r="R2" s="1965"/>
      <c r="S2" s="1965"/>
      <c r="T2" s="1965"/>
      <c r="U2" s="1965"/>
      <c r="V2" s="1931"/>
      <c r="W2" s="1931"/>
      <c r="X2" s="1931"/>
      <c r="Y2" s="67"/>
      <c r="Z2" s="1931"/>
      <c r="AA2" s="1931"/>
      <c r="AB2" s="1931"/>
      <c r="AC2" s="1931"/>
      <c r="AD2" s="1931"/>
      <c r="AE2" s="1931"/>
      <c r="AF2" s="1931"/>
      <c r="AG2" s="1931"/>
      <c r="AH2" s="1931"/>
      <c r="AI2" s="1931"/>
      <c r="AJ2" s="1931"/>
      <c r="AK2" s="1931"/>
      <c r="AL2" s="1931"/>
      <c r="AM2" s="1931"/>
      <c r="AN2" s="1931"/>
      <c r="AO2" s="1931"/>
      <c r="AP2" s="1931"/>
      <c r="AQ2" s="1931"/>
      <c r="AR2" s="1931"/>
      <c r="AS2" s="1931"/>
      <c r="AT2" s="1931"/>
      <c r="AU2" s="1931"/>
      <c r="AV2" s="1931"/>
      <c r="AW2" s="1931"/>
      <c r="AX2" s="1931"/>
      <c r="AY2" s="1931"/>
      <c r="AZ2" s="1931"/>
      <c r="BA2" s="1931"/>
      <c r="BB2" s="1932"/>
      <c r="BC2" s="1931"/>
      <c r="BD2" s="1931"/>
      <c r="BE2" s="1931"/>
      <c r="BF2" s="1931"/>
      <c r="BG2" s="1931"/>
      <c r="BH2" s="1931"/>
      <c r="BI2" s="1931"/>
      <c r="BJ2" s="1931"/>
      <c r="BK2" s="1931"/>
      <c r="BL2" s="1931"/>
      <c r="BM2" s="1931"/>
      <c r="BN2" s="1931"/>
      <c r="BO2" s="1931"/>
      <c r="BP2" s="1931"/>
      <c r="BQ2" s="1931"/>
    </row>
    <row r="3" spans="1:69" s="26" customFormat="1" ht="33.75" customHeight="1" collapsed="1" x14ac:dyDescent="0.25">
      <c r="A3" s="874"/>
      <c r="B3" s="874"/>
      <c r="C3" s="144"/>
      <c r="D3" s="145"/>
      <c r="E3" s="145"/>
      <c r="F3" s="144"/>
      <c r="G3" s="144"/>
      <c r="H3" s="144"/>
      <c r="I3" s="144"/>
      <c r="J3" s="144"/>
      <c r="K3" s="874"/>
      <c r="L3" s="874"/>
      <c r="M3" s="874"/>
      <c r="N3" s="874"/>
      <c r="O3" s="874"/>
      <c r="P3" s="874"/>
      <c r="Q3" s="874"/>
      <c r="R3" s="874"/>
      <c r="S3" s="874"/>
      <c r="T3" s="874"/>
      <c r="U3" s="874"/>
      <c r="V3" s="1933"/>
      <c r="W3" s="1933"/>
      <c r="X3" s="1933"/>
      <c r="Y3" s="875"/>
      <c r="Z3" s="1933"/>
      <c r="AA3" s="1933"/>
      <c r="AB3" s="1933"/>
      <c r="AC3" s="1933"/>
      <c r="AD3" s="1933"/>
      <c r="AE3" s="1933"/>
      <c r="AF3" s="1933"/>
      <c r="AG3" s="1933"/>
      <c r="AH3" s="1933"/>
      <c r="AI3" s="1933"/>
      <c r="AJ3" s="1933"/>
      <c r="AK3" s="1933"/>
      <c r="AL3" s="1933"/>
      <c r="AM3" s="1933"/>
      <c r="AN3" s="1933"/>
      <c r="AO3" s="1933"/>
      <c r="AP3" s="1933"/>
      <c r="AQ3" s="1933"/>
      <c r="AR3" s="1933"/>
      <c r="AS3" s="1933"/>
      <c r="AT3" s="1933"/>
      <c r="AU3" s="1933"/>
      <c r="AV3" s="1933"/>
      <c r="AW3" s="1933"/>
      <c r="AX3" s="1933"/>
      <c r="AY3" s="1933"/>
      <c r="AZ3" s="1933"/>
      <c r="BA3" s="1933"/>
      <c r="BB3" s="27"/>
      <c r="BC3" s="1933"/>
      <c r="BD3" s="1933"/>
      <c r="BE3" s="1933"/>
      <c r="BF3" s="1933"/>
      <c r="BG3" s="1933"/>
      <c r="BH3" s="1933"/>
      <c r="BI3" s="1933"/>
      <c r="BJ3" s="1933"/>
      <c r="BK3" s="1933"/>
      <c r="BL3" s="1933"/>
      <c r="BM3" s="1933"/>
      <c r="BN3" s="1933"/>
      <c r="BO3" s="1933"/>
      <c r="BP3" s="1933"/>
      <c r="BQ3" s="1933"/>
    </row>
    <row r="4" spans="1:69" x14ac:dyDescent="0.25">
      <c r="B4" s="4360" t="s">
        <v>1569</v>
      </c>
      <c r="C4" s="4360"/>
      <c r="D4" s="4360"/>
      <c r="E4" s="4360"/>
      <c r="F4" s="4360"/>
      <c r="G4" s="4360"/>
      <c r="H4" s="4360"/>
      <c r="I4" s="4360"/>
      <c r="J4" s="4360"/>
      <c r="K4" s="4360"/>
      <c r="L4" s="4360"/>
      <c r="M4" s="4360"/>
      <c r="N4" s="3774"/>
      <c r="O4" s="3774"/>
      <c r="P4" s="3774"/>
      <c r="Q4" s="3774"/>
      <c r="R4" s="3774"/>
      <c r="V4" s="3750" t="str">
        <f>B4</f>
        <v>AC Tune-up</v>
      </c>
      <c r="W4" s="3751"/>
      <c r="X4" s="3751"/>
      <c r="Y4" s="3751"/>
      <c r="Z4" s="3751"/>
      <c r="AA4" s="3751"/>
      <c r="AB4" s="3751"/>
      <c r="AC4" s="3752"/>
      <c r="AD4" s="3752"/>
      <c r="AE4" s="3752"/>
      <c r="AF4" s="3752"/>
      <c r="AG4" s="3752"/>
      <c r="AH4" s="3752"/>
      <c r="AI4" s="3753"/>
    </row>
    <row r="5" spans="1:69" x14ac:dyDescent="0.25">
      <c r="B5" s="1233"/>
      <c r="C5" s="225"/>
      <c r="D5" s="329" t="s">
        <v>1570</v>
      </c>
      <c r="E5" s="419"/>
      <c r="F5" s="226"/>
      <c r="G5" s="226"/>
      <c r="H5" s="226"/>
      <c r="I5" s="226"/>
      <c r="J5" s="226"/>
      <c r="K5" s="226"/>
      <c r="L5" s="1438"/>
    </row>
    <row r="6" spans="1:69" ht="30" x14ac:dyDescent="0.25">
      <c r="B6" s="1233"/>
      <c r="C6" s="3086" t="s">
        <v>28</v>
      </c>
      <c r="D6" s="3086" t="s">
        <v>175</v>
      </c>
      <c r="E6" s="3086" t="s">
        <v>30</v>
      </c>
      <c r="F6" s="3086" t="s">
        <v>31</v>
      </c>
      <c r="G6" s="3086" t="s">
        <v>176</v>
      </c>
      <c r="H6" s="3086" t="s">
        <v>177</v>
      </c>
      <c r="I6" s="3086" t="s">
        <v>32</v>
      </c>
      <c r="J6" s="3140" t="s">
        <v>181</v>
      </c>
      <c r="K6" s="3086" t="s">
        <v>170</v>
      </c>
      <c r="L6" s="3086" t="s">
        <v>44</v>
      </c>
      <c r="V6" s="1936" t="s">
        <v>45</v>
      </c>
      <c r="W6" s="1937">
        <v>43252</v>
      </c>
      <c r="X6" s="1937">
        <v>43465</v>
      </c>
      <c r="Y6" s="360">
        <v>43800</v>
      </c>
      <c r="Z6" s="1937">
        <v>43862</v>
      </c>
      <c r="AA6" s="1937">
        <v>44013</v>
      </c>
      <c r="AB6" s="1937">
        <v>44166</v>
      </c>
      <c r="AC6" s="1937">
        <v>44531</v>
      </c>
      <c r="AD6" s="1937" t="s">
        <v>46</v>
      </c>
      <c r="AE6" s="1937" t="s">
        <v>46</v>
      </c>
      <c r="AF6" s="1937" t="s">
        <v>46</v>
      </c>
      <c r="AG6" s="1937" t="s">
        <v>46</v>
      </c>
      <c r="BB6" s="1938" t="s">
        <v>47</v>
      </c>
      <c r="BC6" s="49" t="s">
        <v>48</v>
      </c>
      <c r="BD6" s="578" t="s">
        <v>49</v>
      </c>
      <c r="BE6" s="50" t="s">
        <v>50</v>
      </c>
    </row>
    <row r="7" spans="1:69" s="877" customFormat="1" x14ac:dyDescent="0.25">
      <c r="A7" s="249"/>
      <c r="B7" s="1233"/>
      <c r="C7" s="1205" t="s">
        <v>1574</v>
      </c>
      <c r="D7" s="2695" t="s">
        <v>1571</v>
      </c>
      <c r="E7" s="204" t="s">
        <v>1575</v>
      </c>
      <c r="F7" s="1601">
        <f>ROUND(($G$28*$G$30*(1/$G$32-1/$G$37)/$G$42),2)</f>
        <v>140.66999999999999</v>
      </c>
      <c r="G7" s="1553" t="s">
        <v>258</v>
      </c>
      <c r="H7" s="155">
        <f>VLOOKUP(G7,'CP FACTORS'!$A$3:$B$38, 2, FALSE)</f>
        <v>9.4741810000000004E-4</v>
      </c>
      <c r="I7" s="1531">
        <f>ROUND(F7*H7,6)</f>
        <v>0.133273</v>
      </c>
      <c r="J7" s="879">
        <f t="shared" ref="J7:J18" si="0">$G$43</f>
        <v>2</v>
      </c>
      <c r="K7" s="880">
        <f>G44</f>
        <v>70</v>
      </c>
      <c r="L7" s="2666" t="s">
        <v>185</v>
      </c>
      <c r="M7" s="249"/>
      <c r="N7" s="249"/>
      <c r="O7" s="249"/>
      <c r="P7" s="229"/>
      <c r="Q7" s="229"/>
      <c r="R7" s="1431"/>
      <c r="S7" s="249"/>
      <c r="T7" s="249"/>
      <c r="U7" s="249"/>
      <c r="V7" s="160" t="s">
        <v>31</v>
      </c>
      <c r="W7" s="161">
        <v>142.50980392156862</v>
      </c>
      <c r="X7" s="881">
        <v>142.50980392156862</v>
      </c>
      <c r="Y7" s="882">
        <v>142.51</v>
      </c>
      <c r="Z7" s="882">
        <v>142.51</v>
      </c>
      <c r="AA7" s="882">
        <v>142.51</v>
      </c>
      <c r="AB7" s="882">
        <v>142.51</v>
      </c>
      <c r="AC7" s="882">
        <f>F7</f>
        <v>140.66999999999999</v>
      </c>
      <c r="AD7" s="160"/>
      <c r="AE7" s="160"/>
      <c r="AF7" s="160"/>
      <c r="AG7" s="160"/>
      <c r="AK7" s="883"/>
      <c r="BB7" s="1945">
        <f>(BD7)/(BE7)</f>
        <v>0.36434048955583126</v>
      </c>
      <c r="BC7" s="3449" t="str">
        <f t="shared" ref="BC7:BC18" si="1">CONCATENATE(G7," ",J7," Year EUL")</f>
        <v>Cooling RES 2 Year EUL</v>
      </c>
      <c r="BD7" s="111">
        <f>(INDEX('Avoided Cost Benefits'!$C$4:$C$857,MATCH(BC7,'Avoided Cost Benefits'!$A$4:$A$857,0)))*F7</f>
        <v>24.071575525161101</v>
      </c>
      <c r="BE7" s="1946">
        <f>K7/(1.0595^(2020-2019))</f>
        <v>66.068900424728639</v>
      </c>
    </row>
    <row r="8" spans="1:69" s="877" customFormat="1" x14ac:dyDescent="0.25">
      <c r="A8" s="249"/>
      <c r="B8" s="1233"/>
      <c r="C8" s="1205" t="s">
        <v>1576</v>
      </c>
      <c r="D8" s="2695" t="s">
        <v>1577</v>
      </c>
      <c r="E8" s="204" t="s">
        <v>1578</v>
      </c>
      <c r="F8" s="1601">
        <f>ROUND(($G$28*$G$31*(1/$G$32-1/$G$37)/$G$42),2)</f>
        <v>91.43</v>
      </c>
      <c r="G8" s="1553" t="s">
        <v>258</v>
      </c>
      <c r="H8" s="155">
        <f>VLOOKUP(G8,'CP FACTORS'!$A$3:$B$38, 2, FALSE)</f>
        <v>9.4741810000000004E-4</v>
      </c>
      <c r="I8" s="1531">
        <f t="shared" ref="I8:I18" si="2">ROUND(F8*H8,6)</f>
        <v>8.6622000000000005E-2</v>
      </c>
      <c r="J8" s="879">
        <f t="shared" si="0"/>
        <v>2</v>
      </c>
      <c r="K8" s="880">
        <f>G45</f>
        <v>70</v>
      </c>
      <c r="L8" s="2666" t="s">
        <v>185</v>
      </c>
      <c r="M8" s="249"/>
      <c r="N8" s="249"/>
      <c r="O8" s="249"/>
      <c r="P8" s="249"/>
      <c r="Q8" s="249"/>
      <c r="R8" s="1431"/>
      <c r="S8" s="249"/>
      <c r="T8" s="249"/>
      <c r="U8" s="249"/>
      <c r="V8" s="160" t="s">
        <v>31</v>
      </c>
      <c r="W8" s="161">
        <v>92.631372549019588</v>
      </c>
      <c r="X8" s="881">
        <v>92.631372549019588</v>
      </c>
      <c r="Y8" s="882">
        <v>92.63</v>
      </c>
      <c r="Z8" s="882">
        <v>92.63</v>
      </c>
      <c r="AA8" s="882">
        <v>92.63</v>
      </c>
      <c r="AB8" s="882">
        <v>92.63</v>
      </c>
      <c r="AC8" s="882">
        <f t="shared" ref="AC8:AC21" si="3">F8</f>
        <v>91.43</v>
      </c>
      <c r="AD8" s="160"/>
      <c r="AE8" s="160"/>
      <c r="AF8" s="160"/>
      <c r="AG8" s="160"/>
      <c r="AK8" s="883"/>
      <c r="BB8" s="52">
        <f t="shared" ref="BB8:BB18" si="4">(BD8)/(BE8)</f>
        <v>0.23680707300838599</v>
      </c>
      <c r="BC8" s="1948" t="str">
        <f t="shared" si="1"/>
        <v>Cooling RES 2 Year EUL</v>
      </c>
      <c r="BD8" s="114">
        <f>(INDEX('Avoided Cost Benefits'!$C$4:$C$857,MATCH(BC8,'Avoided Cost Benefits'!$A$4:$A$857,0)))*F8</f>
        <v>15.645582926462499</v>
      </c>
      <c r="BE8" s="1949">
        <f t="shared" ref="BE8:BE18" si="5">K8/(1.0595^(2020-2019))</f>
        <v>66.068900424728639</v>
      </c>
    </row>
    <row r="9" spans="1:69" s="877" customFormat="1" x14ac:dyDescent="0.25">
      <c r="A9" s="249"/>
      <c r="B9" s="1233"/>
      <c r="C9" s="1205" t="s">
        <v>1579</v>
      </c>
      <c r="D9" s="2695" t="s">
        <v>1573</v>
      </c>
      <c r="E9" s="3121" t="str">
        <f>CONCATENATE(E8,"_CompE")</f>
        <v>AC General Tune-Up (no charge or coil clean) MF_CompE</v>
      </c>
      <c r="F9" s="1601">
        <f>ROUND(($G$29*$G$31*(1/$G$32-1/$G$37)/$G$42),2)</f>
        <v>66.5</v>
      </c>
      <c r="G9" s="1553" t="s">
        <v>258</v>
      </c>
      <c r="H9" s="155">
        <f>VLOOKUP(G9,'CP FACTORS'!$A$3:$B$38, 2, FALSE)</f>
        <v>9.4741810000000004E-4</v>
      </c>
      <c r="I9" s="1531">
        <f t="shared" si="2"/>
        <v>6.3003000000000003E-2</v>
      </c>
      <c r="J9" s="879">
        <f t="shared" si="0"/>
        <v>2</v>
      </c>
      <c r="K9" s="880">
        <f>K8</f>
        <v>70</v>
      </c>
      <c r="L9" s="2666" t="s">
        <v>185</v>
      </c>
      <c r="M9" s="249"/>
      <c r="N9" s="249"/>
      <c r="O9" s="249"/>
      <c r="P9" s="249"/>
      <c r="Q9" s="249"/>
      <c r="R9" s="1431"/>
      <c r="S9" s="249"/>
      <c r="T9" s="249"/>
      <c r="U9" s="249"/>
      <c r="V9" s="160" t="s">
        <v>31</v>
      </c>
      <c r="W9" s="161"/>
      <c r="X9" s="881"/>
      <c r="Y9" s="885">
        <v>67.37</v>
      </c>
      <c r="Z9" s="882">
        <v>67.37</v>
      </c>
      <c r="AA9" s="882">
        <v>67.37</v>
      </c>
      <c r="AB9" s="882">
        <v>67.37</v>
      </c>
      <c r="AC9" s="882">
        <f t="shared" si="3"/>
        <v>66.5</v>
      </c>
      <c r="AD9" s="160"/>
      <c r="AE9" s="160"/>
      <c r="AF9" s="160"/>
      <c r="AG9" s="160"/>
      <c r="AK9" s="883"/>
      <c r="BB9" s="52">
        <f t="shared" si="4"/>
        <v>0.17223745329823545</v>
      </c>
      <c r="BC9" s="1948" t="str">
        <f t="shared" si="1"/>
        <v>Cooling RES 2 Year EUL</v>
      </c>
      <c r="BD9" s="114">
        <f>(INDEX('Avoided Cost Benefits'!$C$4:$C$857,MATCH(BC9,'Avoided Cost Benefits'!$A$4:$A$857,0)))*F9</f>
        <v>11.379539151369967</v>
      </c>
      <c r="BE9" s="1949">
        <f t="shared" si="5"/>
        <v>66.068900424728639</v>
      </c>
    </row>
    <row r="10" spans="1:69" s="877" customFormat="1" x14ac:dyDescent="0.25">
      <c r="A10" s="249"/>
      <c r="B10" s="1233"/>
      <c r="C10" s="1205" t="s">
        <v>1580</v>
      </c>
      <c r="D10" s="2695" t="s">
        <v>1571</v>
      </c>
      <c r="E10" s="204" t="s">
        <v>1581</v>
      </c>
      <c r="F10" s="1601">
        <f>ROUND(($G$28*$G$30*(1/$G$33-1/$G$38)/$G$42),2)</f>
        <v>586.71</v>
      </c>
      <c r="G10" s="1553" t="s">
        <v>258</v>
      </c>
      <c r="H10" s="155">
        <f>VLOOKUP(G10,'CP FACTORS'!$A$3:$B$38, 2, FALSE)</f>
        <v>9.4741810000000004E-4</v>
      </c>
      <c r="I10" s="1531">
        <f t="shared" si="2"/>
        <v>0.55586000000000002</v>
      </c>
      <c r="J10" s="879">
        <f t="shared" si="0"/>
        <v>2</v>
      </c>
      <c r="K10" s="880">
        <f>G46</f>
        <v>81</v>
      </c>
      <c r="L10" s="2666" t="s">
        <v>185</v>
      </c>
      <c r="M10" s="249"/>
      <c r="N10" s="249"/>
      <c r="O10" s="249"/>
      <c r="P10" s="249"/>
      <c r="Q10" s="249"/>
      <c r="R10" s="1431"/>
      <c r="S10" s="249"/>
      <c r="T10" s="249"/>
      <c r="U10" s="249"/>
      <c r="V10" s="160" t="s">
        <v>31</v>
      </c>
      <c r="W10" s="161">
        <v>594.39336108275074</v>
      </c>
      <c r="X10" s="881">
        <v>594.39336108275074</v>
      </c>
      <c r="Y10" s="882">
        <v>594.39</v>
      </c>
      <c r="Z10" s="882">
        <v>594.39</v>
      </c>
      <c r="AA10" s="882">
        <v>594.39</v>
      </c>
      <c r="AB10" s="882">
        <v>594.39</v>
      </c>
      <c r="AC10" s="882">
        <f t="shared" si="3"/>
        <v>586.71</v>
      </c>
      <c r="AD10" s="160"/>
      <c r="AE10" s="160"/>
      <c r="AF10" s="160"/>
      <c r="AG10" s="160"/>
      <c r="AK10" s="883"/>
      <c r="BB10" s="52">
        <f t="shared" si="4"/>
        <v>1.3132350386563707</v>
      </c>
      <c r="BC10" s="1948" t="str">
        <f t="shared" si="1"/>
        <v>Cooling RES 2 Year EUL</v>
      </c>
      <c r="BD10" s="114">
        <f>(INDEX('Avoided Cost Benefits'!$C$4:$C$857,MATCH(BC10,'Avoided Cost Benefits'!$A$4:$A$857,0)))*F10</f>
        <v>100.39833707519209</v>
      </c>
      <c r="BE10" s="1949">
        <f t="shared" si="5"/>
        <v>76.451156205757428</v>
      </c>
    </row>
    <row r="11" spans="1:69" s="877" customFormat="1" x14ac:dyDescent="0.25">
      <c r="A11" s="249"/>
      <c r="B11" s="1233"/>
      <c r="C11" s="1205" t="s">
        <v>1582</v>
      </c>
      <c r="D11" s="2695" t="s">
        <v>1577</v>
      </c>
      <c r="E11" s="204" t="s">
        <v>1583</v>
      </c>
      <c r="F11" s="1601">
        <f>ROUND(($G$28*$G$31*(1/$G$33-1/$G$38)/$G$42),2)</f>
        <v>381.36</v>
      </c>
      <c r="G11" s="1553" t="s">
        <v>258</v>
      </c>
      <c r="H11" s="155">
        <f>VLOOKUP(G11,'CP FACTORS'!$A$3:$B$38, 2, FALSE)</f>
        <v>9.4741810000000004E-4</v>
      </c>
      <c r="I11" s="1531">
        <f t="shared" si="2"/>
        <v>0.36130699999999999</v>
      </c>
      <c r="J11" s="879">
        <f t="shared" si="0"/>
        <v>2</v>
      </c>
      <c r="K11" s="880">
        <f>G47</f>
        <v>81</v>
      </c>
      <c r="L11" s="2666" t="s">
        <v>185</v>
      </c>
      <c r="M11" s="249"/>
      <c r="N11" s="249"/>
      <c r="O11" s="249"/>
      <c r="P11" s="249"/>
      <c r="Q11" s="249"/>
      <c r="R11" s="1431"/>
      <c r="S11" s="249"/>
      <c r="T11" s="249"/>
      <c r="U11" s="249"/>
      <c r="V11" s="160" t="s">
        <v>31</v>
      </c>
      <c r="W11" s="161">
        <v>386.35568470378792</v>
      </c>
      <c r="X11" s="881">
        <v>386.35568470378792</v>
      </c>
      <c r="Y11" s="882">
        <v>386.36</v>
      </c>
      <c r="Z11" s="882">
        <v>386.36</v>
      </c>
      <c r="AA11" s="882">
        <v>386.36</v>
      </c>
      <c r="AB11" s="882">
        <v>386.36</v>
      </c>
      <c r="AC11" s="882">
        <f t="shared" si="3"/>
        <v>381.36</v>
      </c>
      <c r="AD11" s="160"/>
      <c r="AE11" s="160"/>
      <c r="AF11" s="160"/>
      <c r="AG11" s="160"/>
      <c r="AK11" s="883"/>
      <c r="BB11" s="52">
        <f t="shared" si="4"/>
        <v>0.85359941767141101</v>
      </c>
      <c r="BC11" s="1948" t="str">
        <f t="shared" si="1"/>
        <v>Cooling RES 2 Year EUL</v>
      </c>
      <c r="BD11" s="114">
        <f>(INDEX('Avoided Cost Benefits'!$C$4:$C$857,MATCH(BC11,'Avoided Cost Benefits'!$A$4:$A$857,0)))*F11</f>
        <v>65.25866241754062</v>
      </c>
      <c r="BE11" s="1949">
        <f t="shared" si="5"/>
        <v>76.451156205757428</v>
      </c>
    </row>
    <row r="12" spans="1:69" s="877" customFormat="1" x14ac:dyDescent="0.25">
      <c r="A12" s="249"/>
      <c r="B12" s="1233"/>
      <c r="C12" s="1205" t="s">
        <v>1584</v>
      </c>
      <c r="D12" s="2667" t="s">
        <v>1585</v>
      </c>
      <c r="E12" s="3121" t="str">
        <f>CONCATENATE(E11,"_CompE")</f>
        <v>AC Tune-up / Refrigerant charge MF_CompE</v>
      </c>
      <c r="F12" s="1601">
        <f>ROUND(($G$29*$G$31*(1/$G$33-1/$G$38)/$G$42),2)</f>
        <v>277.35000000000002</v>
      </c>
      <c r="G12" s="1553" t="s">
        <v>258</v>
      </c>
      <c r="H12" s="155">
        <f>VLOOKUP(G12,'CP FACTORS'!$A$3:$B$38, 2, FALSE)</f>
        <v>9.4741810000000004E-4</v>
      </c>
      <c r="I12" s="1531">
        <f t="shared" si="2"/>
        <v>0.262766</v>
      </c>
      <c r="J12" s="879">
        <f t="shared" si="0"/>
        <v>2</v>
      </c>
      <c r="K12" s="880">
        <f>K11</f>
        <v>81</v>
      </c>
      <c r="L12" s="2666" t="s">
        <v>185</v>
      </c>
      <c r="M12" s="249"/>
      <c r="N12" s="249"/>
      <c r="O12" s="249"/>
      <c r="P12" s="249"/>
      <c r="Q12" s="249"/>
      <c r="R12" s="1431"/>
      <c r="S12" s="249"/>
      <c r="T12" s="249"/>
      <c r="U12" s="249"/>
      <c r="V12" s="160" t="s">
        <v>31</v>
      </c>
      <c r="W12" s="161"/>
      <c r="X12" s="881"/>
      <c r="Y12" s="885">
        <v>280.99</v>
      </c>
      <c r="Z12" s="882">
        <v>280.99</v>
      </c>
      <c r="AA12" s="882">
        <v>280.99</v>
      </c>
      <c r="AB12" s="882">
        <v>280.99</v>
      </c>
      <c r="AC12" s="882">
        <f t="shared" si="3"/>
        <v>277.35000000000002</v>
      </c>
      <c r="AD12" s="160"/>
      <c r="AE12" s="160"/>
      <c r="AF12" s="160"/>
      <c r="AG12" s="160"/>
      <c r="AK12" s="883"/>
      <c r="BB12" s="52">
        <f t="shared" si="4"/>
        <v>0.6207934720242444</v>
      </c>
      <c r="BC12" s="1948" t="str">
        <f t="shared" si="1"/>
        <v>Cooling RES 2 Year EUL</v>
      </c>
      <c r="BD12" s="114">
        <f>(INDEX('Avoided Cost Benefits'!$C$4:$C$857,MATCH(BC12,'Avoided Cost Benefits'!$A$4:$A$857,0)))*F12</f>
        <v>47.46037870124001</v>
      </c>
      <c r="BE12" s="1949">
        <f t="shared" si="5"/>
        <v>76.451156205757428</v>
      </c>
    </row>
    <row r="13" spans="1:69" s="877" customFormat="1" x14ac:dyDescent="0.25">
      <c r="A13" s="249"/>
      <c r="B13" s="1233"/>
      <c r="C13" s="1205" t="s">
        <v>1586</v>
      </c>
      <c r="D13" s="2695" t="s">
        <v>1571</v>
      </c>
      <c r="E13" s="204" t="s">
        <v>1587</v>
      </c>
      <c r="F13" s="1601">
        <f>ROUND(($G$28*$G$30*(1/$G$34-1/$G$39)/$G$42),2)</f>
        <v>97.11</v>
      </c>
      <c r="G13" s="1553" t="s">
        <v>258</v>
      </c>
      <c r="H13" s="155">
        <f>VLOOKUP(G13,'CP FACTORS'!$A$3:$B$38, 2, FALSE)</f>
        <v>9.4741810000000004E-4</v>
      </c>
      <c r="I13" s="1531">
        <f t="shared" si="2"/>
        <v>9.2004000000000002E-2</v>
      </c>
      <c r="J13" s="879">
        <f t="shared" si="0"/>
        <v>2</v>
      </c>
      <c r="K13" s="880">
        <f>G48</f>
        <v>63</v>
      </c>
      <c r="L13" s="2666" t="s">
        <v>185</v>
      </c>
      <c r="M13" s="249"/>
      <c r="N13" s="249"/>
      <c r="O13" s="249"/>
      <c r="P13" s="249"/>
      <c r="Q13" s="249"/>
      <c r="R13" s="1431"/>
      <c r="S13" s="249"/>
      <c r="T13" s="249"/>
      <c r="U13" s="249"/>
      <c r="V13" s="160" t="s">
        <v>31</v>
      </c>
      <c r="W13" s="161">
        <v>98.380013276987171</v>
      </c>
      <c r="X13" s="881">
        <v>98.380013276987171</v>
      </c>
      <c r="Y13" s="882">
        <v>98.38</v>
      </c>
      <c r="Z13" s="882">
        <v>98.38</v>
      </c>
      <c r="AA13" s="882">
        <v>98.38</v>
      </c>
      <c r="AB13" s="882">
        <v>98.38</v>
      </c>
      <c r="AC13" s="882">
        <f t="shared" si="3"/>
        <v>97.11</v>
      </c>
      <c r="AD13" s="160"/>
      <c r="AE13" s="160"/>
      <c r="AF13" s="160"/>
      <c r="AG13" s="160"/>
      <c r="AK13" s="883"/>
      <c r="BB13" s="52">
        <f t="shared" si="4"/>
        <v>0.27946498061473085</v>
      </c>
      <c r="BC13" s="1948" t="str">
        <f t="shared" si="1"/>
        <v>Cooling RES 2 Year EUL</v>
      </c>
      <c r="BD13" s="114">
        <f>(INDEX('Avoided Cost Benefits'!$C$4:$C$857,MATCH(BC13,'Avoided Cost Benefits'!$A$4:$A$857,0)))*F13</f>
        <v>16.617549578790037</v>
      </c>
      <c r="BE13" s="1949">
        <f t="shared" si="5"/>
        <v>59.462010382255777</v>
      </c>
    </row>
    <row r="14" spans="1:69" s="877" customFormat="1" x14ac:dyDescent="0.25">
      <c r="A14" s="249"/>
      <c r="B14" s="1233"/>
      <c r="C14" s="1205" t="s">
        <v>1588</v>
      </c>
      <c r="D14" s="2695" t="s">
        <v>1577</v>
      </c>
      <c r="E14" s="204" t="s">
        <v>1589</v>
      </c>
      <c r="F14" s="1601">
        <f>ROUND(($G$28*$G$31*(1/$G$34-1/$G$39)/$G$42),2)</f>
        <v>63.12</v>
      </c>
      <c r="G14" s="1553" t="s">
        <v>258</v>
      </c>
      <c r="H14" s="155">
        <f>VLOOKUP(G14,'CP FACTORS'!$A$3:$B$38, 2, FALSE)</f>
        <v>9.4741810000000004E-4</v>
      </c>
      <c r="I14" s="1531">
        <f t="shared" si="2"/>
        <v>5.9801E-2</v>
      </c>
      <c r="J14" s="879">
        <f t="shared" si="0"/>
        <v>2</v>
      </c>
      <c r="K14" s="880">
        <f>G49</f>
        <v>63</v>
      </c>
      <c r="L14" s="2666" t="s">
        <v>185</v>
      </c>
      <c r="M14" s="249"/>
      <c r="N14" s="249"/>
      <c r="O14" s="249"/>
      <c r="P14" s="249"/>
      <c r="Q14" s="249"/>
      <c r="R14" s="1431"/>
      <c r="S14" s="249"/>
      <c r="T14" s="249"/>
      <c r="U14" s="249"/>
      <c r="V14" s="160" t="s">
        <v>31</v>
      </c>
      <c r="W14" s="161">
        <v>63.947008630041665</v>
      </c>
      <c r="X14" s="881">
        <v>63.947008630041665</v>
      </c>
      <c r="Y14" s="882">
        <v>63.95</v>
      </c>
      <c r="Z14" s="882">
        <v>63.95</v>
      </c>
      <c r="AA14" s="882">
        <v>63.95</v>
      </c>
      <c r="AB14" s="882">
        <v>63.95</v>
      </c>
      <c r="AC14" s="882">
        <f t="shared" si="3"/>
        <v>63.12</v>
      </c>
      <c r="AD14" s="160"/>
      <c r="AE14" s="160"/>
      <c r="AF14" s="160"/>
      <c r="AG14" s="160"/>
      <c r="AK14" s="883"/>
      <c r="BB14" s="52">
        <f t="shared" si="4"/>
        <v>0.18164792067142224</v>
      </c>
      <c r="BC14" s="1948" t="str">
        <f t="shared" si="1"/>
        <v>Cooling RES 2 Year EUL</v>
      </c>
      <c r="BD14" s="114">
        <f>(INDEX('Avoided Cost Benefits'!$C$4:$C$857,MATCH(BC14,'Avoided Cost Benefits'!$A$4:$A$857,0)))*F14</f>
        <v>10.801150544879283</v>
      </c>
      <c r="BE14" s="1949">
        <f t="shared" si="5"/>
        <v>59.462010382255777</v>
      </c>
    </row>
    <row r="15" spans="1:69" s="877" customFormat="1" x14ac:dyDescent="0.25">
      <c r="A15" s="249"/>
      <c r="B15" s="1233"/>
      <c r="C15" s="1205" t="s">
        <v>1590</v>
      </c>
      <c r="D15" s="2667" t="s">
        <v>1585</v>
      </c>
      <c r="E15" s="3121" t="str">
        <f>CONCATENATE(E14,"_CompE")</f>
        <v>AC Tune-up /Indoor Coil (Evaporator) Cleaning MF_CompE</v>
      </c>
      <c r="F15" s="1601">
        <f>ROUND(($G$29*$G$31*(1/$G$34-1/$G$39)/$G$42),2)</f>
        <v>45.91</v>
      </c>
      <c r="G15" s="1553" t="s">
        <v>258</v>
      </c>
      <c r="H15" s="155">
        <f>VLOOKUP(G15,'CP FACTORS'!$A$3:$B$38, 2, FALSE)</f>
        <v>9.4741810000000004E-4</v>
      </c>
      <c r="I15" s="1531">
        <f t="shared" si="2"/>
        <v>4.3496E-2</v>
      </c>
      <c r="J15" s="879">
        <f t="shared" si="0"/>
        <v>2</v>
      </c>
      <c r="K15" s="880">
        <v>63</v>
      </c>
      <c r="L15" s="2666" t="s">
        <v>185</v>
      </c>
      <c r="M15" s="249"/>
      <c r="N15" s="249"/>
      <c r="O15" s="249"/>
      <c r="P15" s="249"/>
      <c r="Q15" s="249"/>
      <c r="R15" s="1431"/>
      <c r="S15" s="249"/>
      <c r="T15" s="249"/>
      <c r="U15" s="249"/>
      <c r="V15" s="160" t="s">
        <v>31</v>
      </c>
      <c r="W15" s="161"/>
      <c r="X15" s="881"/>
      <c r="Y15" s="885">
        <v>46.51</v>
      </c>
      <c r="Z15" s="882">
        <v>46.51</v>
      </c>
      <c r="AA15" s="882">
        <v>46.51</v>
      </c>
      <c r="AB15" s="882">
        <v>46.51</v>
      </c>
      <c r="AC15" s="882">
        <f t="shared" si="3"/>
        <v>45.91</v>
      </c>
      <c r="AD15" s="160"/>
      <c r="AE15" s="160"/>
      <c r="AF15" s="160"/>
      <c r="AG15" s="160"/>
      <c r="AK15" s="883"/>
      <c r="BB15" s="52">
        <f t="shared" si="4"/>
        <v>0.1321206596645278</v>
      </c>
      <c r="BC15" s="1948" t="str">
        <f t="shared" si="1"/>
        <v>Cooling RES 2 Year EUL</v>
      </c>
      <c r="BD15" s="114">
        <f>(INDEX('Avoided Cost Benefits'!$C$4:$C$857,MATCH(BC15,'Avoided Cost Benefits'!$A$4:$A$857,0)))*F15</f>
        <v>7.8561600366826339</v>
      </c>
      <c r="BE15" s="1949">
        <f t="shared" si="5"/>
        <v>59.462010382255777</v>
      </c>
    </row>
    <row r="16" spans="1:69" s="877" customFormat="1" x14ac:dyDescent="0.25">
      <c r="A16" s="249"/>
      <c r="B16" s="1233"/>
      <c r="C16" s="1205" t="s">
        <v>1591</v>
      </c>
      <c r="D16" s="2695" t="s">
        <v>1571</v>
      </c>
      <c r="E16" s="204" t="s">
        <v>1592</v>
      </c>
      <c r="F16" s="1601">
        <f>ROUND(($G$28*$G$30*(1/$G$35-1/$G$40)/$G$42),2)</f>
        <v>194.21</v>
      </c>
      <c r="G16" s="1553" t="s">
        <v>258</v>
      </c>
      <c r="H16" s="155">
        <f>VLOOKUP(G16,'CP FACTORS'!$A$3:$B$38, 2, FALSE)</f>
        <v>9.4741810000000004E-4</v>
      </c>
      <c r="I16" s="1531">
        <f t="shared" si="2"/>
        <v>0.18399799999999999</v>
      </c>
      <c r="J16" s="879">
        <f t="shared" si="0"/>
        <v>2</v>
      </c>
      <c r="K16" s="880">
        <f>G50</f>
        <v>31</v>
      </c>
      <c r="L16" s="2666" t="s">
        <v>185</v>
      </c>
      <c r="M16" s="249"/>
      <c r="N16" s="249"/>
      <c r="O16" s="249"/>
      <c r="P16" s="249"/>
      <c r="Q16" s="249"/>
      <c r="R16" s="1431"/>
      <c r="S16" s="249"/>
      <c r="T16" s="249"/>
      <c r="U16" s="249"/>
      <c r="V16" s="160" t="s">
        <v>31</v>
      </c>
      <c r="W16" s="161">
        <v>196.75522776302316</v>
      </c>
      <c r="X16" s="881">
        <v>196.75522776302316</v>
      </c>
      <c r="Y16" s="882">
        <v>196.76</v>
      </c>
      <c r="Z16" s="882">
        <v>196.76</v>
      </c>
      <c r="AA16" s="882">
        <v>196.76</v>
      </c>
      <c r="AB16" s="882">
        <v>196.76</v>
      </c>
      <c r="AC16" s="882">
        <f t="shared" si="3"/>
        <v>194.21</v>
      </c>
      <c r="AD16" s="160"/>
      <c r="AE16" s="160"/>
      <c r="AF16" s="160"/>
      <c r="AG16" s="160"/>
      <c r="AK16" s="883"/>
      <c r="BB16" s="52">
        <f t="shared" si="4"/>
        <v>1.135831436504255</v>
      </c>
      <c r="BC16" s="1948" t="str">
        <f t="shared" si="1"/>
        <v>Cooling RES 2 Year EUL</v>
      </c>
      <c r="BD16" s="114">
        <f>(INDEX('Avoided Cost Benefits'!$C$4:$C$857,MATCH(BC16,'Avoided Cost Benefits'!$A$4:$A$857,0)))*F16</f>
        <v>33.233387948685134</v>
      </c>
      <c r="BE16" s="1949">
        <f t="shared" si="5"/>
        <v>29.259084473808397</v>
      </c>
    </row>
    <row r="17" spans="1:57" s="877" customFormat="1" x14ac:dyDescent="0.25">
      <c r="A17" s="249"/>
      <c r="B17" s="1233"/>
      <c r="C17" s="1205" t="s">
        <v>1593</v>
      </c>
      <c r="D17" s="2695" t="s">
        <v>1577</v>
      </c>
      <c r="E17" s="204" t="s">
        <v>1594</v>
      </c>
      <c r="F17" s="1601">
        <f>ROUND(($G$28*$G$31*(1/$G$35-1/$G$40)/$G$42),2)</f>
        <v>126.24</v>
      </c>
      <c r="G17" s="1553" t="s">
        <v>258</v>
      </c>
      <c r="H17" s="155">
        <f>VLOOKUP(G17,'CP FACTORS'!$A$3:$B$38, 2, FALSE)</f>
        <v>9.4741810000000004E-4</v>
      </c>
      <c r="I17" s="1531">
        <f t="shared" si="2"/>
        <v>0.119602</v>
      </c>
      <c r="J17" s="879">
        <f t="shared" si="0"/>
        <v>2</v>
      </c>
      <c r="K17" s="880">
        <f>G51</f>
        <v>31</v>
      </c>
      <c r="L17" s="2666" t="s">
        <v>185</v>
      </c>
      <c r="M17" s="249"/>
      <c r="N17" s="249"/>
      <c r="O17" s="249"/>
      <c r="P17" s="249"/>
      <c r="Q17" s="249"/>
      <c r="R17" s="1431"/>
      <c r="S17" s="249"/>
      <c r="T17" s="249"/>
      <c r="U17" s="249"/>
      <c r="V17" s="160" t="s">
        <v>31</v>
      </c>
      <c r="W17" s="161">
        <v>127.89089804596506</v>
      </c>
      <c r="X17" s="881">
        <v>127.89089804596506</v>
      </c>
      <c r="Y17" s="882">
        <v>127.89</v>
      </c>
      <c r="Z17" s="882">
        <v>127.89</v>
      </c>
      <c r="AA17" s="882">
        <v>127.89</v>
      </c>
      <c r="AB17" s="882">
        <v>127.89</v>
      </c>
      <c r="AC17" s="882">
        <f t="shared" si="3"/>
        <v>126.24</v>
      </c>
      <c r="AD17" s="160"/>
      <c r="AE17" s="160"/>
      <c r="AF17" s="160"/>
      <c r="AG17" s="160"/>
      <c r="AK17" s="883"/>
      <c r="BB17" s="52">
        <f t="shared" si="4"/>
        <v>0.73831090337416783</v>
      </c>
      <c r="BC17" s="1948" t="str">
        <f t="shared" si="1"/>
        <v>Cooling RES 2 Year EUL</v>
      </c>
      <c r="BD17" s="114">
        <f>(INDEX('Avoided Cost Benefits'!$C$4:$C$857,MATCH(BC17,'Avoided Cost Benefits'!$A$4:$A$857,0)))*F17</f>
        <v>21.602301089758566</v>
      </c>
      <c r="BE17" s="1949">
        <f t="shared" si="5"/>
        <v>29.259084473808397</v>
      </c>
    </row>
    <row r="18" spans="1:57" s="877" customFormat="1" x14ac:dyDescent="0.25">
      <c r="A18" s="249"/>
      <c r="B18" s="1233"/>
      <c r="C18" s="1205" t="s">
        <v>1595</v>
      </c>
      <c r="D18" s="2667" t="s">
        <v>1585</v>
      </c>
      <c r="E18" s="3121" t="str">
        <f>CONCATENATE(E17,"_CompE")</f>
        <v>AC Tune-up /Outdoor Coil (Condenser) Cleaning MF_CompE</v>
      </c>
      <c r="F18" s="1601">
        <f>ROUND(($G$29*$G$31*(1/$G$35-1/$G$40)/$G$42),2)</f>
        <v>91.81</v>
      </c>
      <c r="G18" s="1553" t="s">
        <v>258</v>
      </c>
      <c r="H18" s="155">
        <f>VLOOKUP(G18,'CP FACTORS'!$A$3:$B$38, 2, FALSE)</f>
        <v>9.4741810000000004E-4</v>
      </c>
      <c r="I18" s="1531">
        <f t="shared" si="2"/>
        <v>8.6982000000000004E-2</v>
      </c>
      <c r="J18" s="879">
        <f t="shared" si="0"/>
        <v>2</v>
      </c>
      <c r="K18" s="880">
        <f>K17</f>
        <v>31</v>
      </c>
      <c r="L18" s="2666" t="s">
        <v>185</v>
      </c>
      <c r="M18" s="249"/>
      <c r="N18" s="249"/>
      <c r="O18" s="249"/>
      <c r="P18" s="249"/>
      <c r="Q18" s="249"/>
      <c r="R18" s="1431"/>
      <c r="S18" s="249"/>
      <c r="T18" s="249"/>
      <c r="U18" s="249"/>
      <c r="V18" s="160" t="s">
        <v>31</v>
      </c>
      <c r="W18" s="161"/>
      <c r="X18" s="881"/>
      <c r="Y18" s="885">
        <v>93.01</v>
      </c>
      <c r="Z18" s="882">
        <v>93.01</v>
      </c>
      <c r="AA18" s="882">
        <v>93.01</v>
      </c>
      <c r="AB18" s="882">
        <v>93.01</v>
      </c>
      <c r="AC18" s="882">
        <f t="shared" si="3"/>
        <v>91.81</v>
      </c>
      <c r="AD18" s="160"/>
      <c r="AE18" s="160"/>
      <c r="AF18" s="160"/>
      <c r="AG18" s="160"/>
      <c r="AK18" s="883"/>
      <c r="BB18" s="52">
        <f t="shared" si="4"/>
        <v>0.53694806748084878</v>
      </c>
      <c r="BC18" s="1948" t="str">
        <f t="shared" si="1"/>
        <v>Cooling RES 2 Year EUL</v>
      </c>
      <c r="BD18" s="114">
        <f>(INDEX('Avoided Cost Benefits'!$C$4:$C$857,MATCH(BC18,'Avoided Cost Benefits'!$A$4:$A$857,0)))*F18</f>
        <v>15.710608864470327</v>
      </c>
      <c r="BE18" s="1949">
        <f t="shared" si="5"/>
        <v>29.259084473808397</v>
      </c>
    </row>
    <row r="19" spans="1:57" s="2317" customFormat="1" x14ac:dyDescent="0.25">
      <c r="B19" s="2713"/>
      <c r="C19" s="538" t="s">
        <v>4388</v>
      </c>
      <c r="D19" s="538" t="s">
        <v>1571</v>
      </c>
      <c r="E19" s="2719" t="s">
        <v>4349</v>
      </c>
      <c r="F19" s="538">
        <f>ROUND(G28*G30*(1/G$36-1/G$41)/G42,2)</f>
        <v>365.21</v>
      </c>
      <c r="G19" s="538" t="s">
        <v>258</v>
      </c>
      <c r="H19" s="3489">
        <f>VLOOKUP(G19,'CP FACTORS'!$A$3:$B$38, 2, FALSE)</f>
        <v>9.4741810000000004E-4</v>
      </c>
      <c r="I19" s="538">
        <f t="shared" ref="I19:I21" si="6">ROUND(F19*H19,6)</f>
        <v>0.34600700000000001</v>
      </c>
      <c r="J19" s="3490">
        <f t="shared" ref="J19:J21" si="7">$G$43</f>
        <v>2</v>
      </c>
      <c r="K19" s="3491">
        <f>G52</f>
        <v>185</v>
      </c>
      <c r="L19" s="538" t="s">
        <v>185</v>
      </c>
      <c r="V19" s="1958" t="s">
        <v>31</v>
      </c>
      <c r="W19" s="3459"/>
      <c r="X19" s="3460"/>
      <c r="Y19" s="3461"/>
      <c r="Z19" s="3461"/>
      <c r="AA19" s="3461"/>
      <c r="AB19" s="3461"/>
      <c r="AC19" s="882">
        <f t="shared" si="3"/>
        <v>365.21</v>
      </c>
      <c r="AD19" s="160"/>
      <c r="AE19" s="160"/>
      <c r="AF19" s="160"/>
      <c r="AG19" s="160"/>
      <c r="BB19" s="52">
        <f t="shared" ref="BB19:BB21" si="8">(BD19)/(BE19)</f>
        <v>0.35791089797467179</v>
      </c>
      <c r="BC19" s="1948" t="str">
        <f t="shared" ref="BC19:BC21" si="9">CONCATENATE(G19," ",J19," Year EUL")</f>
        <v>Cooling RES 2 Year EUL</v>
      </c>
      <c r="BD19" s="114">
        <f>(INDEX('Avoided Cost Benefits'!$C$4:$C$857,MATCH(BC19,'Avoided Cost Benefits'!$A$4:$A$857,0)))*F19</f>
        <v>62.495060052207904</v>
      </c>
      <c r="BE19" s="1949">
        <f t="shared" ref="BE19:BE21" si="10">K19/(1.0595^(2020-2019))</f>
        <v>174.61066540821139</v>
      </c>
    </row>
    <row r="20" spans="1:57" s="2317" customFormat="1" x14ac:dyDescent="0.25">
      <c r="B20" s="2713"/>
      <c r="C20" s="538" t="s">
        <v>4389</v>
      </c>
      <c r="D20" s="538" t="s">
        <v>1572</v>
      </c>
      <c r="E20" s="2719" t="s">
        <v>4350</v>
      </c>
      <c r="F20" s="538">
        <f>ROUND(G28*G31*(1/G$36-1/G$41)/G42,2)</f>
        <v>237.39</v>
      </c>
      <c r="G20" s="538" t="s">
        <v>258</v>
      </c>
      <c r="H20" s="3489">
        <f>VLOOKUP(G20,'CP FACTORS'!$A$3:$B$38, 2, FALSE)</f>
        <v>9.4741810000000004E-4</v>
      </c>
      <c r="I20" s="538">
        <f t="shared" si="6"/>
        <v>0.224908</v>
      </c>
      <c r="J20" s="3490">
        <f t="shared" si="7"/>
        <v>2</v>
      </c>
      <c r="K20" s="3491">
        <f>G53</f>
        <v>185</v>
      </c>
      <c r="L20" s="538" t="s">
        <v>185</v>
      </c>
      <c r="V20" s="1958" t="s">
        <v>31</v>
      </c>
      <c r="W20" s="3459"/>
      <c r="X20" s="3460"/>
      <c r="Y20" s="3461"/>
      <c r="Z20" s="3461"/>
      <c r="AA20" s="3461"/>
      <c r="AB20" s="3461"/>
      <c r="AC20" s="882">
        <f t="shared" si="3"/>
        <v>237.39</v>
      </c>
      <c r="AD20" s="160"/>
      <c r="AE20" s="160"/>
      <c r="AF20" s="160"/>
      <c r="AG20" s="160"/>
      <c r="BB20" s="52">
        <f t="shared" si="8"/>
        <v>0.23264551373239326</v>
      </c>
      <c r="BC20" s="1948" t="str">
        <f t="shared" si="9"/>
        <v>Cooling RES 2 Year EUL</v>
      </c>
      <c r="BD20" s="114">
        <f>(INDEX('Avoided Cost Benefits'!$C$4:$C$857,MATCH(BC20,'Avoided Cost Benefits'!$A$4:$A$857,0)))*F20</f>
        <v>40.622387957048367</v>
      </c>
      <c r="BE20" s="1949">
        <f t="shared" si="10"/>
        <v>174.61066540821139</v>
      </c>
    </row>
    <row r="21" spans="1:57" s="2317" customFormat="1" x14ac:dyDescent="0.25">
      <c r="B21" s="2713"/>
      <c r="C21" s="538" t="s">
        <v>4390</v>
      </c>
      <c r="D21" s="538" t="s">
        <v>1573</v>
      </c>
      <c r="E21" s="2719" t="s">
        <v>4407</v>
      </c>
      <c r="F21" s="538">
        <f>ROUND(G29*G31*(1/G$36-1/G$41)/G42,2)</f>
        <v>172.64</v>
      </c>
      <c r="G21" s="538" t="s">
        <v>258</v>
      </c>
      <c r="H21" s="3489">
        <f>VLOOKUP(G21,'CP FACTORS'!$A$3:$B$38, 2, FALSE)</f>
        <v>9.4741810000000004E-4</v>
      </c>
      <c r="I21" s="538">
        <f t="shared" si="6"/>
        <v>0.16356200000000001</v>
      </c>
      <c r="J21" s="3490">
        <f t="shared" si="7"/>
        <v>2</v>
      </c>
      <c r="K21" s="3491">
        <f>G53</f>
        <v>185</v>
      </c>
      <c r="L21" s="538" t="s">
        <v>185</v>
      </c>
      <c r="V21" s="1958" t="s">
        <v>31</v>
      </c>
      <c r="W21" s="3459"/>
      <c r="X21" s="3460"/>
      <c r="Y21" s="3461"/>
      <c r="Z21" s="3461"/>
      <c r="AA21" s="3461"/>
      <c r="AB21" s="3461"/>
      <c r="AC21" s="882">
        <f t="shared" si="3"/>
        <v>172.64</v>
      </c>
      <c r="AD21" s="160"/>
      <c r="AE21" s="160"/>
      <c r="AF21" s="160"/>
      <c r="AG21" s="160"/>
      <c r="BB21" s="53">
        <f t="shared" si="8"/>
        <v>0.16918960988567494</v>
      </c>
      <c r="BC21" s="1948" t="str">
        <f t="shared" si="9"/>
        <v>Cooling RES 2 Year EUL</v>
      </c>
      <c r="BD21" s="119">
        <f>(INDEX('Avoided Cost Benefits'!$C$4:$C$857,MATCH(BC21,'Avoided Cost Benefits'!$A$4:$A$857,0)))*F21</f>
        <v>29.542310362293399</v>
      </c>
      <c r="BE21" s="1950">
        <f t="shared" si="10"/>
        <v>174.61066540821139</v>
      </c>
    </row>
    <row r="22" spans="1:57" hidden="1" outlineLevel="1" x14ac:dyDescent="0.25">
      <c r="B22" s="1233"/>
      <c r="C22" s="149"/>
      <c r="D22" s="150"/>
      <c r="E22" s="150"/>
      <c r="F22" s="1602"/>
      <c r="G22" s="151"/>
      <c r="H22" s="151"/>
      <c r="I22" s="151"/>
      <c r="J22" s="151"/>
      <c r="V22" s="1930"/>
      <c r="W22" s="1930"/>
      <c r="X22" s="1930"/>
      <c r="Y22" s="103"/>
      <c r="Z22" s="1930"/>
      <c r="AA22" s="1930"/>
      <c r="AB22" s="1930"/>
      <c r="AC22" s="1930"/>
      <c r="AD22" s="1930"/>
      <c r="AE22" s="1930"/>
      <c r="AF22" s="1930"/>
      <c r="AG22" s="1930"/>
      <c r="AK22" s="883"/>
    </row>
    <row r="23" spans="1:57" hidden="1" outlineLevel="1" x14ac:dyDescent="0.25">
      <c r="B23" s="1233"/>
      <c r="C23" s="149"/>
      <c r="D23" s="167" t="s">
        <v>1596</v>
      </c>
      <c r="E23" s="314"/>
      <c r="F23" s="1603"/>
      <c r="G23" s="151"/>
      <c r="H23" s="151"/>
      <c r="I23" s="151"/>
      <c r="J23" s="151"/>
      <c r="V23" s="1930"/>
      <c r="W23" s="1930"/>
      <c r="X23" s="1930"/>
      <c r="Y23" s="103"/>
      <c r="Z23" s="1930"/>
      <c r="AA23" s="1930"/>
      <c r="AB23" s="1930"/>
      <c r="AC23" s="1930"/>
      <c r="AD23" s="1930"/>
      <c r="AE23" s="1930"/>
      <c r="AF23" s="1930"/>
      <c r="AG23" s="1930"/>
      <c r="AK23" s="883"/>
    </row>
    <row r="24" spans="1:57" hidden="1" outlineLevel="1" x14ac:dyDescent="0.25">
      <c r="B24" s="1233"/>
      <c r="C24" s="149"/>
      <c r="D24" s="1194"/>
      <c r="E24" s="1604"/>
      <c r="F24" s="1603"/>
      <c r="G24" s="151"/>
      <c r="H24" s="151"/>
      <c r="I24" s="151"/>
      <c r="J24" s="151"/>
      <c r="K24" s="151"/>
      <c r="L24" s="151"/>
      <c r="V24" s="1930"/>
      <c r="W24" s="1930"/>
      <c r="X24" s="1930"/>
      <c r="Y24" s="103"/>
      <c r="Z24" s="1930"/>
      <c r="AA24" s="1930"/>
      <c r="AB24" s="1930"/>
      <c r="AC24" s="1930"/>
      <c r="AD24" s="1930"/>
      <c r="AE24" s="1930"/>
      <c r="AF24" s="1930"/>
      <c r="AG24" s="1930"/>
      <c r="AK24" s="883"/>
    </row>
    <row r="25" spans="1:57" ht="15" hidden="1" customHeight="1" outlineLevel="1" x14ac:dyDescent="0.25">
      <c r="B25" s="1233"/>
      <c r="C25" s="149"/>
      <c r="D25" s="1194"/>
      <c r="E25" s="314"/>
      <c r="F25" s="1603"/>
      <c r="G25" s="151"/>
      <c r="H25" s="151"/>
      <c r="I25" s="151"/>
      <c r="J25" s="151"/>
      <c r="K25" s="151"/>
      <c r="L25" s="151"/>
      <c r="AK25" s="883"/>
    </row>
    <row r="26" spans="1:57" ht="15" hidden="1" customHeight="1" outlineLevel="1" x14ac:dyDescent="0.25">
      <c r="B26" s="1233"/>
      <c r="C26" s="149"/>
      <c r="D26" s="150"/>
      <c r="E26" s="150"/>
      <c r="F26" s="151"/>
      <c r="G26" s="151"/>
      <c r="H26" s="151"/>
      <c r="I26" s="151"/>
      <c r="J26" s="151"/>
      <c r="K26" s="151"/>
      <c r="L26" s="151"/>
      <c r="AK26" s="883"/>
    </row>
    <row r="27" spans="1:57" ht="15" hidden="1" customHeight="1" outlineLevel="1" x14ac:dyDescent="0.25">
      <c r="B27" s="1233"/>
      <c r="C27" s="149"/>
      <c r="D27" s="3236" t="s">
        <v>109</v>
      </c>
      <c r="E27" s="3236" t="s">
        <v>110</v>
      </c>
      <c r="F27" s="3236" t="s">
        <v>186</v>
      </c>
      <c r="G27" s="3136" t="s">
        <v>112</v>
      </c>
      <c r="H27" s="3773" t="s">
        <v>187</v>
      </c>
      <c r="I27" s="3773"/>
      <c r="J27" s="3923"/>
      <c r="K27" s="3773" t="s">
        <v>113</v>
      </c>
      <c r="L27" s="3773"/>
      <c r="M27" s="3773"/>
      <c r="N27" s="3773"/>
      <c r="V27" s="1936" t="s">
        <v>45</v>
      </c>
      <c r="W27" s="1937">
        <f>W$6</f>
        <v>43252</v>
      </c>
      <c r="X27" s="1937">
        <f t="shared" ref="X27:AG27" si="11">X$6</f>
        <v>43465</v>
      </c>
      <c r="Y27" s="360">
        <f t="shared" si="11"/>
        <v>43800</v>
      </c>
      <c r="Z27" s="1937">
        <f t="shared" si="11"/>
        <v>43862</v>
      </c>
      <c r="AA27" s="1937">
        <f t="shared" si="11"/>
        <v>44013</v>
      </c>
      <c r="AB27" s="1937">
        <f t="shared" si="11"/>
        <v>44166</v>
      </c>
      <c r="AC27" s="1937">
        <f t="shared" si="11"/>
        <v>44531</v>
      </c>
      <c r="AD27" s="1937" t="str">
        <f t="shared" si="11"/>
        <v>-</v>
      </c>
      <c r="AE27" s="1937" t="str">
        <f t="shared" si="11"/>
        <v>-</v>
      </c>
      <c r="AF27" s="1937" t="str">
        <f t="shared" si="11"/>
        <v>-</v>
      </c>
      <c r="AG27" s="1937" t="str">
        <f t="shared" si="11"/>
        <v>-</v>
      </c>
      <c r="AK27" s="883"/>
    </row>
    <row r="28" spans="1:57" ht="18" hidden="1" customHeight="1" outlineLevel="1" x14ac:dyDescent="0.25">
      <c r="B28" s="1233"/>
      <c r="C28" s="181"/>
      <c r="D28" s="4285" t="s">
        <v>1597</v>
      </c>
      <c r="E28" s="4285" t="s">
        <v>1162</v>
      </c>
      <c r="F28" s="1004" t="s">
        <v>315</v>
      </c>
      <c r="G28" s="1000">
        <v>869</v>
      </c>
      <c r="H28" s="4300" t="s">
        <v>528</v>
      </c>
      <c r="I28" s="4361"/>
      <c r="J28" s="4362"/>
      <c r="K28" s="4282"/>
      <c r="L28" s="4282"/>
      <c r="M28" s="4282"/>
      <c r="N28" s="4282"/>
      <c r="V28" s="4354" t="str">
        <f>D28</f>
        <v>EFLHcool</v>
      </c>
      <c r="W28" s="886">
        <v>869</v>
      </c>
      <c r="X28" s="886">
        <v>869</v>
      </c>
      <c r="Y28" s="886">
        <v>869</v>
      </c>
      <c r="Z28" s="1000">
        <v>869</v>
      </c>
      <c r="AA28" s="1000">
        <v>869</v>
      </c>
      <c r="AB28" s="1000">
        <v>869</v>
      </c>
      <c r="AC28" s="3492">
        <v>869</v>
      </c>
      <c r="AD28" s="203"/>
      <c r="AE28" s="203"/>
      <c r="AF28" s="203"/>
      <c r="AG28" s="203"/>
      <c r="AK28" s="883"/>
    </row>
    <row r="29" spans="1:57" ht="18" hidden="1" customHeight="1" outlineLevel="1" x14ac:dyDescent="0.25">
      <c r="B29" s="1233"/>
      <c r="C29" s="181"/>
      <c r="D29" s="3891"/>
      <c r="E29" s="3891"/>
      <c r="F29" s="2051" t="s">
        <v>527</v>
      </c>
      <c r="G29" s="1000">
        <v>632</v>
      </c>
      <c r="H29" s="4363"/>
      <c r="I29" s="4364"/>
      <c r="J29" s="4194"/>
      <c r="K29" s="4282"/>
      <c r="L29" s="4282"/>
      <c r="M29" s="4282"/>
      <c r="N29" s="4282"/>
      <c r="V29" s="4160"/>
      <c r="W29" s="886"/>
      <c r="X29" s="886"/>
      <c r="Y29" s="887">
        <v>632</v>
      </c>
      <c r="Z29" s="1000">
        <v>632</v>
      </c>
      <c r="AA29" s="1000">
        <v>632</v>
      </c>
      <c r="AB29" s="1000">
        <v>632</v>
      </c>
      <c r="AC29" s="3492">
        <v>632</v>
      </c>
      <c r="AD29" s="203"/>
      <c r="AE29" s="203"/>
      <c r="AF29" s="203"/>
      <c r="AG29" s="203"/>
      <c r="AK29" s="883"/>
    </row>
    <row r="30" spans="1:57" ht="15" hidden="1" customHeight="1" outlineLevel="1" x14ac:dyDescent="0.25">
      <c r="B30" s="1233"/>
      <c r="C30" s="181"/>
      <c r="D30" s="4285" t="s">
        <v>1598</v>
      </c>
      <c r="E30" s="4285" t="s">
        <v>1562</v>
      </c>
      <c r="F30" s="1004" t="s">
        <v>320</v>
      </c>
      <c r="G30" s="887">
        <v>36324</v>
      </c>
      <c r="H30" s="4293" t="s">
        <v>4362</v>
      </c>
      <c r="I30" s="4297"/>
      <c r="J30" s="4294"/>
      <c r="K30" s="4282"/>
      <c r="L30" s="4282"/>
      <c r="M30" s="4282"/>
      <c r="N30" s="4282"/>
      <c r="V30" s="4354" t="str">
        <f>D30</f>
        <v>Capacitycool</v>
      </c>
      <c r="W30" s="886">
        <v>36800</v>
      </c>
      <c r="X30" s="886">
        <v>36800</v>
      </c>
      <c r="Y30" s="886">
        <v>36800</v>
      </c>
      <c r="Z30" s="1000">
        <v>36800</v>
      </c>
      <c r="AA30" s="1000">
        <v>36800</v>
      </c>
      <c r="AB30" s="1000">
        <v>36800</v>
      </c>
      <c r="AC30" s="3492">
        <f>G30</f>
        <v>36324</v>
      </c>
      <c r="AD30" s="203"/>
      <c r="AE30" s="203"/>
      <c r="AF30" s="203"/>
      <c r="AG30" s="203"/>
      <c r="AK30" s="883"/>
    </row>
    <row r="31" spans="1:57" ht="15" hidden="1" customHeight="1" outlineLevel="1" x14ac:dyDescent="0.25">
      <c r="B31" s="1233"/>
      <c r="C31" s="181"/>
      <c r="D31" s="3822"/>
      <c r="E31" s="3822"/>
      <c r="F31" s="1004" t="s">
        <v>322</v>
      </c>
      <c r="G31" s="887">
        <f>G30*0.65</f>
        <v>23610.600000000002</v>
      </c>
      <c r="H31" s="4293" t="s">
        <v>4361</v>
      </c>
      <c r="I31" s="4297"/>
      <c r="J31" s="4294"/>
      <c r="K31" s="4282"/>
      <c r="L31" s="4282"/>
      <c r="M31" s="4282"/>
      <c r="N31" s="4282"/>
      <c r="V31" s="4356"/>
      <c r="W31" s="886">
        <v>23920</v>
      </c>
      <c r="X31" s="886">
        <v>23920</v>
      </c>
      <c r="Y31" s="886">
        <v>23920</v>
      </c>
      <c r="Z31" s="1000">
        <v>23920</v>
      </c>
      <c r="AA31" s="1000">
        <v>23920</v>
      </c>
      <c r="AB31" s="1000">
        <v>23920</v>
      </c>
      <c r="AC31" s="3492">
        <f>G31</f>
        <v>23610.600000000002</v>
      </c>
      <c r="AD31" s="203"/>
      <c r="AE31" s="203"/>
      <c r="AF31" s="203"/>
      <c r="AG31" s="203"/>
      <c r="AK31" s="883"/>
    </row>
    <row r="32" spans="1:57" hidden="1" outlineLevel="1" x14ac:dyDescent="0.25">
      <c r="B32" s="1233"/>
      <c r="C32" s="181"/>
      <c r="D32" s="4285" t="s">
        <v>1600</v>
      </c>
      <c r="E32" s="4285" t="s">
        <v>1601</v>
      </c>
      <c r="F32" s="1004" t="s">
        <v>1602</v>
      </c>
      <c r="G32" s="3135">
        <v>11.9</v>
      </c>
      <c r="H32" s="4282" t="s">
        <v>1011</v>
      </c>
      <c r="I32" s="4282"/>
      <c r="J32" s="3919"/>
      <c r="K32" s="3823"/>
      <c r="L32" s="3823"/>
      <c r="M32" s="3823"/>
      <c r="N32" s="3823"/>
      <c r="V32" s="4357" t="str">
        <f>D32</f>
        <v>SEERtest-in</v>
      </c>
      <c r="W32" s="888">
        <v>11.9</v>
      </c>
      <c r="X32" s="888">
        <v>11.9</v>
      </c>
      <c r="Y32" s="888">
        <v>11.9</v>
      </c>
      <c r="Z32" s="3135">
        <v>11.9</v>
      </c>
      <c r="AA32" s="3135">
        <v>11.9</v>
      </c>
      <c r="AB32" s="3135">
        <v>11.9</v>
      </c>
      <c r="AC32" s="3492">
        <v>11.9</v>
      </c>
      <c r="AD32" s="198"/>
      <c r="AE32" s="198"/>
      <c r="AF32" s="198"/>
      <c r="AG32" s="198"/>
      <c r="AK32" s="883"/>
    </row>
    <row r="33" spans="2:37" ht="15" hidden="1" customHeight="1" outlineLevel="1" x14ac:dyDescent="0.25">
      <c r="B33" s="1233"/>
      <c r="C33" s="181"/>
      <c r="D33" s="4286"/>
      <c r="E33" s="4286"/>
      <c r="F33" s="1004" t="s">
        <v>1603</v>
      </c>
      <c r="G33" s="3135">
        <v>11.9</v>
      </c>
      <c r="H33" s="4282"/>
      <c r="I33" s="4282"/>
      <c r="J33" s="3919"/>
      <c r="K33" s="3823"/>
      <c r="L33" s="3823"/>
      <c r="M33" s="3823"/>
      <c r="N33" s="3823"/>
      <c r="V33" s="4358"/>
      <c r="W33" s="888">
        <v>11.9</v>
      </c>
      <c r="X33" s="888">
        <v>11.9</v>
      </c>
      <c r="Y33" s="888">
        <v>11.9</v>
      </c>
      <c r="Z33" s="3135">
        <v>11.9</v>
      </c>
      <c r="AA33" s="3135">
        <v>11.9</v>
      </c>
      <c r="AB33" s="3135">
        <v>11.9</v>
      </c>
      <c r="AC33" s="3492">
        <v>11.9</v>
      </c>
      <c r="AD33" s="198"/>
      <c r="AE33" s="198"/>
      <c r="AF33" s="198"/>
      <c r="AG33" s="198"/>
      <c r="AK33" s="883"/>
    </row>
    <row r="34" spans="2:37" hidden="1" outlineLevel="1" x14ac:dyDescent="0.25">
      <c r="B34" s="1038"/>
      <c r="C34" s="181"/>
      <c r="D34" s="4286"/>
      <c r="E34" s="4286"/>
      <c r="F34" s="1004" t="s">
        <v>1604</v>
      </c>
      <c r="G34" s="3135">
        <v>11.9</v>
      </c>
      <c r="H34" s="4282" t="s">
        <v>1011</v>
      </c>
      <c r="I34" s="4282"/>
      <c r="J34" s="3919"/>
      <c r="K34" s="3823" t="s">
        <v>1605</v>
      </c>
      <c r="L34" s="3823"/>
      <c r="M34" s="3823"/>
      <c r="N34" s="3823"/>
      <c r="V34" s="4358"/>
      <c r="W34" s="888">
        <v>11.9</v>
      </c>
      <c r="X34" s="888">
        <v>11.9</v>
      </c>
      <c r="Y34" s="888">
        <v>11.9</v>
      </c>
      <c r="Z34" s="3135">
        <v>11.9</v>
      </c>
      <c r="AA34" s="3135">
        <v>11.9</v>
      </c>
      <c r="AB34" s="3135">
        <v>11.9</v>
      </c>
      <c r="AC34" s="3135">
        <v>11.9</v>
      </c>
      <c r="AD34" s="198"/>
      <c r="AE34" s="198"/>
      <c r="AF34" s="198"/>
      <c r="AG34" s="198"/>
      <c r="AK34" s="883"/>
    </row>
    <row r="35" spans="2:37" ht="15" hidden="1" customHeight="1" outlineLevel="1" x14ac:dyDescent="0.25">
      <c r="B35" s="1038"/>
      <c r="C35" s="181"/>
      <c r="D35" s="4286"/>
      <c r="E35" s="4286"/>
      <c r="F35" s="1004" t="s">
        <v>1606</v>
      </c>
      <c r="G35" s="3135">
        <v>11.9</v>
      </c>
      <c r="H35" s="4282"/>
      <c r="I35" s="4282"/>
      <c r="J35" s="3919"/>
      <c r="K35" s="3823"/>
      <c r="L35" s="3823"/>
      <c r="M35" s="3823"/>
      <c r="N35" s="3823"/>
      <c r="V35" s="4358"/>
      <c r="W35" s="888">
        <v>11.9</v>
      </c>
      <c r="X35" s="888">
        <v>11.9</v>
      </c>
      <c r="Y35" s="888">
        <v>11.9</v>
      </c>
      <c r="Z35" s="3135">
        <v>11.9</v>
      </c>
      <c r="AA35" s="3135">
        <v>11.9</v>
      </c>
      <c r="AB35" s="3135">
        <v>11.9</v>
      </c>
      <c r="AC35" s="3135">
        <v>11.9</v>
      </c>
      <c r="AD35" s="198"/>
      <c r="AE35" s="198"/>
      <c r="AF35" s="198"/>
      <c r="AG35" s="198"/>
      <c r="AK35" s="883"/>
    </row>
    <row r="36" spans="2:37" ht="15" hidden="1" customHeight="1" outlineLevel="1" x14ac:dyDescent="0.25">
      <c r="B36" s="1038"/>
      <c r="C36" s="181"/>
      <c r="D36" s="3822"/>
      <c r="E36" s="3822"/>
      <c r="F36" s="3457" t="s">
        <v>4348</v>
      </c>
      <c r="G36" s="2362">
        <f>G35</f>
        <v>11.9</v>
      </c>
      <c r="H36" s="4282"/>
      <c r="I36" s="4282"/>
      <c r="J36" s="3919"/>
      <c r="K36" s="3823"/>
      <c r="L36" s="3823"/>
      <c r="M36" s="3823"/>
      <c r="N36" s="3823"/>
      <c r="V36" s="4359"/>
      <c r="W36" s="3459"/>
      <c r="X36" s="3460"/>
      <c r="Y36" s="3461"/>
      <c r="Z36" s="3461"/>
      <c r="AA36" s="3461"/>
      <c r="AB36" s="3461"/>
      <c r="AC36" s="2362">
        <f>G36</f>
        <v>11.9</v>
      </c>
      <c r="AD36" s="198"/>
      <c r="AE36" s="198"/>
      <c r="AF36" s="198"/>
      <c r="AG36" s="198"/>
      <c r="AK36" s="883"/>
    </row>
    <row r="37" spans="2:37" ht="15" hidden="1" customHeight="1" outlineLevel="1" x14ac:dyDescent="0.25">
      <c r="B37" s="1233"/>
      <c r="C37" s="181"/>
      <c r="D37" s="4285" t="s">
        <v>1607</v>
      </c>
      <c r="E37" s="4285" t="s">
        <v>1608</v>
      </c>
      <c r="F37" s="1004" t="s">
        <v>1602</v>
      </c>
      <c r="G37" s="3135">
        <f>G32*(1+0.056)</f>
        <v>12.566400000000002</v>
      </c>
      <c r="H37" s="4282" t="s">
        <v>1011</v>
      </c>
      <c r="I37" s="4282"/>
      <c r="J37" s="3919"/>
      <c r="K37" s="3823"/>
      <c r="L37" s="3823"/>
      <c r="M37" s="3823"/>
      <c r="N37" s="3823"/>
      <c r="V37" s="4354" t="str">
        <f>D37</f>
        <v>SEERtest-out</v>
      </c>
      <c r="W37" s="888">
        <v>12.566400000000002</v>
      </c>
      <c r="X37" s="888">
        <f>X32*(1+0.056)</f>
        <v>12.566400000000002</v>
      </c>
      <c r="Y37" s="888">
        <f>Y32*(1+0.056)</f>
        <v>12.566400000000002</v>
      </c>
      <c r="Z37" s="3135">
        <f t="shared" ref="Z37:AA37" si="12">Z32*(1+0.056)</f>
        <v>12.566400000000002</v>
      </c>
      <c r="AA37" s="3135">
        <f t="shared" si="12"/>
        <v>12.566400000000002</v>
      </c>
      <c r="AB37" s="3135">
        <v>12.566400000000002</v>
      </c>
      <c r="AC37" s="3135">
        <v>12.566400000000002</v>
      </c>
      <c r="AD37" s="198"/>
      <c r="AE37" s="198"/>
      <c r="AF37" s="198"/>
      <c r="AG37" s="198"/>
      <c r="AK37" s="883"/>
    </row>
    <row r="38" spans="2:37" ht="15" hidden="1" customHeight="1" outlineLevel="1" x14ac:dyDescent="0.25">
      <c r="B38" s="1233"/>
      <c r="C38" s="181"/>
      <c r="D38" s="4286"/>
      <c r="E38" s="4286"/>
      <c r="F38" s="1004" t="s">
        <v>1603</v>
      </c>
      <c r="G38" s="3135">
        <f>G33*(1+0.284)</f>
        <v>15.2796</v>
      </c>
      <c r="H38" s="4282"/>
      <c r="I38" s="4282"/>
      <c r="J38" s="3919"/>
      <c r="K38" s="3823" t="s">
        <v>1605</v>
      </c>
      <c r="L38" s="3823"/>
      <c r="M38" s="3823"/>
      <c r="N38" s="3823"/>
      <c r="V38" s="4355"/>
      <c r="W38" s="888">
        <v>15.2796</v>
      </c>
      <c r="X38" s="888">
        <f>X33*(1+0.284)</f>
        <v>15.2796</v>
      </c>
      <c r="Y38" s="888">
        <f>Y33*(1+0.284)</f>
        <v>15.2796</v>
      </c>
      <c r="Z38" s="3135">
        <f t="shared" ref="Z38:AA38" si="13">Z33*(1+0.284)</f>
        <v>15.2796</v>
      </c>
      <c r="AA38" s="3135">
        <f t="shared" si="13"/>
        <v>15.2796</v>
      </c>
      <c r="AB38" s="3135">
        <v>15.2796</v>
      </c>
      <c r="AC38" s="3135">
        <v>15.2796</v>
      </c>
      <c r="AD38" s="198"/>
      <c r="AE38" s="198"/>
      <c r="AF38" s="198"/>
      <c r="AG38" s="198"/>
      <c r="AK38" s="883"/>
    </row>
    <row r="39" spans="2:37" hidden="1" outlineLevel="1" x14ac:dyDescent="0.25">
      <c r="B39" s="1038"/>
      <c r="C39" s="181"/>
      <c r="D39" s="4286"/>
      <c r="E39" s="4286"/>
      <c r="F39" s="1004" t="s">
        <v>1604</v>
      </c>
      <c r="G39" s="3135">
        <f>G34*(1+0.038)</f>
        <v>12.352200000000002</v>
      </c>
      <c r="H39" s="4282" t="s">
        <v>1011</v>
      </c>
      <c r="I39" s="4282"/>
      <c r="J39" s="3919"/>
      <c r="K39" s="3823" t="s">
        <v>1605</v>
      </c>
      <c r="L39" s="3823"/>
      <c r="M39" s="3823"/>
      <c r="N39" s="3823"/>
      <c r="V39" s="4355"/>
      <c r="W39" s="888">
        <v>12.352200000000002</v>
      </c>
      <c r="X39" s="888">
        <f>X34*(1+0.038)</f>
        <v>12.352200000000002</v>
      </c>
      <c r="Y39" s="888">
        <f>Y34*(1+0.038)</f>
        <v>12.352200000000002</v>
      </c>
      <c r="Z39" s="3135">
        <f t="shared" ref="Z39:AA39" si="14">Z34*(1+0.038)</f>
        <v>12.352200000000002</v>
      </c>
      <c r="AA39" s="3135">
        <f t="shared" si="14"/>
        <v>12.352200000000002</v>
      </c>
      <c r="AB39" s="3135">
        <v>12.352200000000002</v>
      </c>
      <c r="AC39" s="3135">
        <v>12.352200000000002</v>
      </c>
      <c r="AD39" s="198"/>
      <c r="AE39" s="198"/>
      <c r="AF39" s="198"/>
      <c r="AG39" s="198"/>
      <c r="AK39" s="883"/>
    </row>
    <row r="40" spans="2:37" ht="15" hidden="1" customHeight="1" outlineLevel="1" x14ac:dyDescent="0.25">
      <c r="B40" s="1038"/>
      <c r="C40" s="181"/>
      <c r="D40" s="4286"/>
      <c r="E40" s="4286"/>
      <c r="F40" s="1004" t="s">
        <v>1606</v>
      </c>
      <c r="G40" s="3216">
        <f>G35*(1+0.079)</f>
        <v>12.8401</v>
      </c>
      <c r="H40" s="4282"/>
      <c r="I40" s="4282"/>
      <c r="J40" s="3919"/>
      <c r="K40" s="3823" t="s">
        <v>1605</v>
      </c>
      <c r="L40" s="3823"/>
      <c r="M40" s="3823"/>
      <c r="N40" s="3823"/>
      <c r="V40" s="4355"/>
      <c r="W40" s="198">
        <v>12.8401</v>
      </c>
      <c r="X40" s="198">
        <f>X35*(1+0.079)</f>
        <v>12.8401</v>
      </c>
      <c r="Y40" s="198">
        <f>Y35*(1+0.079)</f>
        <v>12.8401</v>
      </c>
      <c r="Z40" s="3216">
        <f t="shared" ref="Z40:AA40" si="15">Z35*(1+0.079)</f>
        <v>12.8401</v>
      </c>
      <c r="AA40" s="3216">
        <f t="shared" si="15"/>
        <v>12.8401</v>
      </c>
      <c r="AB40" s="3216">
        <v>12.8401</v>
      </c>
      <c r="AC40" s="3216">
        <v>12.8401</v>
      </c>
      <c r="AD40" s="198"/>
      <c r="AE40" s="198"/>
      <c r="AF40" s="198"/>
      <c r="AG40" s="198"/>
      <c r="AK40" s="883"/>
    </row>
    <row r="41" spans="2:37" hidden="1" outlineLevel="1" x14ac:dyDescent="0.25">
      <c r="B41" s="1038"/>
      <c r="C41" s="181"/>
      <c r="D41" s="3822"/>
      <c r="E41" s="3822"/>
      <c r="F41" s="3457" t="s">
        <v>4348</v>
      </c>
      <c r="G41" s="2362">
        <v>13.8</v>
      </c>
      <c r="H41" s="4283" t="s">
        <v>4363</v>
      </c>
      <c r="I41" s="4283"/>
      <c r="J41" s="4293"/>
      <c r="K41" s="4282"/>
      <c r="L41" s="4282"/>
      <c r="M41" s="4282"/>
      <c r="N41" s="4282"/>
      <c r="V41" s="4356"/>
      <c r="W41" s="3459"/>
      <c r="X41" s="3460"/>
      <c r="Y41" s="3461"/>
      <c r="Z41" s="3461"/>
      <c r="AA41" s="3461"/>
      <c r="AB41" s="3461"/>
      <c r="AC41" s="2362">
        <f>G41</f>
        <v>13.8</v>
      </c>
      <c r="AD41" s="198"/>
      <c r="AE41" s="198"/>
      <c r="AF41" s="198"/>
      <c r="AG41" s="198"/>
      <c r="AK41" s="883"/>
    </row>
    <row r="42" spans="2:37" ht="15" hidden="1" customHeight="1" outlineLevel="1" x14ac:dyDescent="0.25">
      <c r="B42" s="1038"/>
      <c r="C42" s="181"/>
      <c r="D42" s="1007">
        <v>1000</v>
      </c>
      <c r="E42" s="1008" t="s">
        <v>1609</v>
      </c>
      <c r="F42" s="1004" t="s">
        <v>4351</v>
      </c>
      <c r="G42" s="1000">
        <v>1000</v>
      </c>
      <c r="H42" s="4353" t="s">
        <v>1610</v>
      </c>
      <c r="I42" s="4353"/>
      <c r="J42" s="3978"/>
      <c r="K42" s="4282"/>
      <c r="L42" s="4282"/>
      <c r="M42" s="4282"/>
      <c r="N42" s="4282"/>
      <c r="V42" s="889">
        <f>D42</f>
        <v>1000</v>
      </c>
      <c r="W42" s="886">
        <v>1000</v>
      </c>
      <c r="X42" s="886">
        <v>1000</v>
      </c>
      <c r="Y42" s="886">
        <v>1000</v>
      </c>
      <c r="Z42" s="1000">
        <v>1000</v>
      </c>
      <c r="AA42" s="1000">
        <v>1000</v>
      </c>
      <c r="AB42" s="1000">
        <v>1000</v>
      </c>
      <c r="AC42" s="1000">
        <v>1000</v>
      </c>
      <c r="AD42" s="203"/>
      <c r="AE42" s="203"/>
      <c r="AF42" s="203"/>
      <c r="AG42" s="203"/>
      <c r="AK42" s="883"/>
    </row>
    <row r="43" spans="2:37" hidden="1" outlineLevel="1" x14ac:dyDescent="0.25">
      <c r="B43" s="1038"/>
      <c r="C43" s="181"/>
      <c r="D43" s="3099" t="str">
        <f>J6</f>
        <v>EUL</v>
      </c>
      <c r="E43" s="3099" t="s">
        <v>167</v>
      </c>
      <c r="F43" s="1605" t="s">
        <v>135</v>
      </c>
      <c r="G43" s="1000">
        <v>2</v>
      </c>
      <c r="H43" s="4353"/>
      <c r="I43" s="4353"/>
      <c r="J43" s="3978"/>
      <c r="K43" s="4282"/>
      <c r="L43" s="4282"/>
      <c r="M43" s="4282"/>
      <c r="N43" s="4282"/>
      <c r="V43" s="3099" t="str">
        <f>D43</f>
        <v>EUL</v>
      </c>
      <c r="W43" s="886">
        <v>2</v>
      </c>
      <c r="X43" s="886">
        <v>2</v>
      </c>
      <c r="Y43" s="886">
        <v>2</v>
      </c>
      <c r="Z43" s="1000">
        <v>2</v>
      </c>
      <c r="AA43" s="1000">
        <v>2</v>
      </c>
      <c r="AB43" s="1000">
        <v>2</v>
      </c>
      <c r="AC43" s="1000">
        <v>2</v>
      </c>
      <c r="AD43" s="203"/>
      <c r="AE43" s="203"/>
      <c r="AF43" s="203"/>
      <c r="AG43" s="203"/>
      <c r="AK43" s="883"/>
    </row>
    <row r="44" spans="2:37" hidden="1" outlineLevel="1" x14ac:dyDescent="0.25">
      <c r="B44" s="1038"/>
      <c r="C44" s="181"/>
      <c r="D44" s="3823" t="str">
        <f>K6</f>
        <v>Inc. Cost</v>
      </c>
      <c r="E44" s="3823" t="s">
        <v>171</v>
      </c>
      <c r="F44" s="1605" t="str">
        <f>E7</f>
        <v>AC General Tune-Up (no charge or coil clean) SF</v>
      </c>
      <c r="G44" s="345">
        <v>70</v>
      </c>
      <c r="H44" s="4347"/>
      <c r="I44" s="4347"/>
      <c r="J44" s="4347"/>
      <c r="K44" s="4282"/>
      <c r="L44" s="4282"/>
      <c r="M44" s="4282"/>
      <c r="N44" s="4282"/>
      <c r="V44" s="4352" t="s">
        <v>170</v>
      </c>
      <c r="W44" s="890">
        <v>70</v>
      </c>
      <c r="X44" s="890">
        <v>70</v>
      </c>
      <c r="Y44" s="890">
        <v>70</v>
      </c>
      <c r="Z44" s="345">
        <v>70</v>
      </c>
      <c r="AA44" s="345">
        <v>70</v>
      </c>
      <c r="AB44" s="345">
        <v>70</v>
      </c>
      <c r="AC44" s="345">
        <v>70</v>
      </c>
      <c r="AD44" s="203"/>
      <c r="AE44" s="203"/>
      <c r="AF44" s="203"/>
      <c r="AG44" s="203"/>
      <c r="AK44" s="883"/>
    </row>
    <row r="45" spans="2:37" hidden="1" outlineLevel="1" x14ac:dyDescent="0.25">
      <c r="B45" s="1038"/>
      <c r="C45" s="181"/>
      <c r="D45" s="3823"/>
      <c r="E45" s="3823"/>
      <c r="F45" s="1605" t="str">
        <f>E8</f>
        <v>AC General Tune-Up (no charge or coil clean) MF</v>
      </c>
      <c r="G45" s="345">
        <v>70</v>
      </c>
      <c r="H45" s="4347"/>
      <c r="I45" s="4347"/>
      <c r="J45" s="4347"/>
      <c r="K45" s="4282"/>
      <c r="L45" s="4282"/>
      <c r="M45" s="4282"/>
      <c r="N45" s="4282"/>
      <c r="V45" s="4352"/>
      <c r="W45" s="890">
        <v>70</v>
      </c>
      <c r="X45" s="890">
        <v>70</v>
      </c>
      <c r="Y45" s="890">
        <v>70</v>
      </c>
      <c r="Z45" s="345">
        <v>70</v>
      </c>
      <c r="AA45" s="345">
        <v>70</v>
      </c>
      <c r="AB45" s="345">
        <v>70</v>
      </c>
      <c r="AC45" s="345">
        <v>70</v>
      </c>
      <c r="AD45" s="203"/>
      <c r="AE45" s="203"/>
      <c r="AF45" s="203"/>
      <c r="AG45" s="203"/>
      <c r="AK45" s="883"/>
    </row>
    <row r="46" spans="2:37" hidden="1" outlineLevel="1" x14ac:dyDescent="0.25">
      <c r="B46" s="1038"/>
      <c r="C46" s="181"/>
      <c r="D46" s="3823"/>
      <c r="E46" s="3823"/>
      <c r="F46" s="1605" t="str">
        <f>E10</f>
        <v>AC Tune-up / Refrigerant charge SF</v>
      </c>
      <c r="G46" s="345">
        <v>81</v>
      </c>
      <c r="H46" s="4347"/>
      <c r="I46" s="4347"/>
      <c r="J46" s="4347"/>
      <c r="K46" s="4282"/>
      <c r="L46" s="4282"/>
      <c r="M46" s="4282"/>
      <c r="N46" s="4282"/>
      <c r="V46" s="4352"/>
      <c r="W46" s="890">
        <v>81</v>
      </c>
      <c r="X46" s="890">
        <v>81</v>
      </c>
      <c r="Y46" s="890">
        <v>81</v>
      </c>
      <c r="Z46" s="345">
        <v>81</v>
      </c>
      <c r="AA46" s="345">
        <v>81</v>
      </c>
      <c r="AB46" s="345">
        <v>81</v>
      </c>
      <c r="AC46" s="345">
        <v>81</v>
      </c>
      <c r="AD46" s="203"/>
      <c r="AE46" s="203"/>
      <c r="AF46" s="203"/>
      <c r="AG46" s="203"/>
      <c r="AK46" s="883"/>
    </row>
    <row r="47" spans="2:37" hidden="1" outlineLevel="1" x14ac:dyDescent="0.25">
      <c r="B47" s="1038"/>
      <c r="C47" s="181"/>
      <c r="D47" s="3823"/>
      <c r="E47" s="3823"/>
      <c r="F47" s="1605" t="str">
        <f>E11</f>
        <v>AC Tune-up / Refrigerant charge MF</v>
      </c>
      <c r="G47" s="345">
        <v>81</v>
      </c>
      <c r="H47" s="4347"/>
      <c r="I47" s="4347"/>
      <c r="J47" s="4347"/>
      <c r="K47" s="4282"/>
      <c r="L47" s="4282"/>
      <c r="M47" s="4282"/>
      <c r="N47" s="4282"/>
      <c r="V47" s="4352"/>
      <c r="W47" s="890">
        <v>81</v>
      </c>
      <c r="X47" s="890">
        <v>81</v>
      </c>
      <c r="Y47" s="890">
        <v>81</v>
      </c>
      <c r="Z47" s="345">
        <v>81</v>
      </c>
      <c r="AA47" s="345">
        <v>81</v>
      </c>
      <c r="AB47" s="345">
        <v>81</v>
      </c>
      <c r="AC47" s="345">
        <v>81</v>
      </c>
      <c r="AD47" s="203"/>
      <c r="AE47" s="203"/>
      <c r="AF47" s="203"/>
      <c r="AG47" s="203"/>
      <c r="AK47" s="883"/>
    </row>
    <row r="48" spans="2:37" hidden="1" outlineLevel="1" x14ac:dyDescent="0.25">
      <c r="B48" s="1038"/>
      <c r="C48" s="181"/>
      <c r="D48" s="3823"/>
      <c r="E48" s="3823"/>
      <c r="F48" s="1605" t="str">
        <f>E13</f>
        <v>AC Tune-up / Indoor Coil (Evaporator) Cleaning SF</v>
      </c>
      <c r="G48" s="345">
        <v>63</v>
      </c>
      <c r="H48" s="4347"/>
      <c r="I48" s="4347"/>
      <c r="J48" s="4347"/>
      <c r="K48" s="4282"/>
      <c r="L48" s="4282"/>
      <c r="M48" s="4282"/>
      <c r="N48" s="4282"/>
      <c r="V48" s="4352"/>
      <c r="W48" s="890">
        <v>63</v>
      </c>
      <c r="X48" s="890">
        <v>63</v>
      </c>
      <c r="Y48" s="890">
        <v>63</v>
      </c>
      <c r="Z48" s="345">
        <v>63</v>
      </c>
      <c r="AA48" s="345">
        <v>63</v>
      </c>
      <c r="AB48" s="345">
        <v>63</v>
      </c>
      <c r="AC48" s="345">
        <v>63</v>
      </c>
      <c r="AD48" s="203"/>
      <c r="AE48" s="203"/>
      <c r="AF48" s="203"/>
      <c r="AG48" s="203"/>
      <c r="AK48" s="883"/>
    </row>
    <row r="49" spans="1:69" hidden="1" outlineLevel="1" x14ac:dyDescent="0.25">
      <c r="B49" s="1038"/>
      <c r="C49" s="181"/>
      <c r="D49" s="3823"/>
      <c r="E49" s="3823"/>
      <c r="F49" s="1605" t="str">
        <f>E14</f>
        <v>AC Tune-up /Indoor Coil (Evaporator) Cleaning MF</v>
      </c>
      <c r="G49" s="345">
        <v>63</v>
      </c>
      <c r="H49" s="4347"/>
      <c r="I49" s="4347"/>
      <c r="J49" s="4347"/>
      <c r="K49" s="4282"/>
      <c r="L49" s="4282"/>
      <c r="M49" s="4282"/>
      <c r="N49" s="4282"/>
      <c r="V49" s="4352"/>
      <c r="W49" s="890">
        <v>63</v>
      </c>
      <c r="X49" s="890">
        <v>63</v>
      </c>
      <c r="Y49" s="890">
        <v>63</v>
      </c>
      <c r="Z49" s="345">
        <v>63</v>
      </c>
      <c r="AA49" s="345">
        <v>63</v>
      </c>
      <c r="AB49" s="345">
        <v>63</v>
      </c>
      <c r="AC49" s="345">
        <v>63</v>
      </c>
      <c r="AD49" s="203"/>
      <c r="AE49" s="203"/>
      <c r="AF49" s="203"/>
      <c r="AG49" s="203"/>
      <c r="AK49" s="883"/>
    </row>
    <row r="50" spans="1:69" hidden="1" outlineLevel="1" x14ac:dyDescent="0.25">
      <c r="B50" s="1038"/>
      <c r="C50" s="181"/>
      <c r="D50" s="3823"/>
      <c r="E50" s="3823"/>
      <c r="F50" s="1605" t="str">
        <f>E16</f>
        <v>AC Tune-up /Outdoor Coil (Condenser) Cleaning SF</v>
      </c>
      <c r="G50" s="345">
        <v>31</v>
      </c>
      <c r="H50" s="4347"/>
      <c r="I50" s="4347"/>
      <c r="J50" s="4347"/>
      <c r="K50" s="4282"/>
      <c r="L50" s="4282"/>
      <c r="M50" s="4282"/>
      <c r="N50" s="4282"/>
      <c r="V50" s="4352"/>
      <c r="W50" s="890">
        <v>31</v>
      </c>
      <c r="X50" s="890">
        <v>31</v>
      </c>
      <c r="Y50" s="890">
        <v>31</v>
      </c>
      <c r="Z50" s="345">
        <v>31</v>
      </c>
      <c r="AA50" s="345">
        <v>31</v>
      </c>
      <c r="AB50" s="345">
        <v>31</v>
      </c>
      <c r="AC50" s="345">
        <v>31</v>
      </c>
      <c r="AD50" s="203"/>
      <c r="AE50" s="203"/>
      <c r="AF50" s="203"/>
      <c r="AG50" s="203"/>
      <c r="AK50" s="883"/>
    </row>
    <row r="51" spans="1:69" hidden="1" outlineLevel="1" x14ac:dyDescent="0.25">
      <c r="B51" s="1038"/>
      <c r="C51" s="181"/>
      <c r="D51" s="3823"/>
      <c r="E51" s="3823"/>
      <c r="F51" s="1605" t="str">
        <f>E17</f>
        <v>AC Tune-up /Outdoor Coil (Condenser) Cleaning MF</v>
      </c>
      <c r="G51" s="345">
        <v>31</v>
      </c>
      <c r="H51" s="4347"/>
      <c r="I51" s="4347"/>
      <c r="J51" s="4347"/>
      <c r="K51" s="4282"/>
      <c r="L51" s="4282"/>
      <c r="M51" s="4282"/>
      <c r="N51" s="4282"/>
      <c r="V51" s="4352"/>
      <c r="W51" s="890">
        <v>31</v>
      </c>
      <c r="X51" s="890">
        <v>31</v>
      </c>
      <c r="Y51" s="890">
        <v>31</v>
      </c>
      <c r="Z51" s="345">
        <v>31</v>
      </c>
      <c r="AA51" s="345">
        <v>31</v>
      </c>
      <c r="AB51" s="345">
        <v>31</v>
      </c>
      <c r="AC51" s="345">
        <v>31</v>
      </c>
      <c r="AD51" s="203"/>
      <c r="AE51" s="203"/>
      <c r="AF51" s="203"/>
      <c r="AG51" s="203"/>
      <c r="AK51" s="883"/>
    </row>
    <row r="52" spans="1:69" ht="30" hidden="1" outlineLevel="1" x14ac:dyDescent="0.25">
      <c r="B52" s="1038"/>
      <c r="C52" s="181"/>
      <c r="D52" s="3823"/>
      <c r="E52" s="3823"/>
      <c r="F52" s="2719" t="s">
        <v>4349</v>
      </c>
      <c r="G52" s="3458">
        <v>185</v>
      </c>
      <c r="H52" s="4350" t="s">
        <v>4385</v>
      </c>
      <c r="I52" s="4350"/>
      <c r="J52" s="4350"/>
      <c r="K52" s="4351"/>
      <c r="L52" s="4351"/>
      <c r="M52" s="4351"/>
      <c r="N52" s="4351"/>
      <c r="V52" s="4352"/>
      <c r="W52" s="3459"/>
      <c r="X52" s="3460"/>
      <c r="Y52" s="3461"/>
      <c r="Z52" s="3461"/>
      <c r="AA52" s="3461"/>
      <c r="AB52" s="3461"/>
      <c r="AC52" s="3458">
        <f>G52</f>
        <v>185</v>
      </c>
      <c r="AD52" s="203"/>
      <c r="AE52" s="203"/>
      <c r="AF52" s="203"/>
      <c r="AG52" s="203"/>
      <c r="AK52" s="883"/>
    </row>
    <row r="53" spans="1:69" ht="15" hidden="1" customHeight="1" outlineLevel="1" x14ac:dyDescent="0.25">
      <c r="B53" s="1038"/>
      <c r="C53" s="181"/>
      <c r="D53" s="3823"/>
      <c r="E53" s="3823"/>
      <c r="F53" s="2719" t="s">
        <v>4350</v>
      </c>
      <c r="G53" s="3458">
        <v>185</v>
      </c>
      <c r="H53" s="4350" t="s">
        <v>4385</v>
      </c>
      <c r="I53" s="4350"/>
      <c r="J53" s="4350"/>
      <c r="K53" s="4351"/>
      <c r="L53" s="4351"/>
      <c r="M53" s="4351"/>
      <c r="N53" s="4351"/>
      <c r="V53" s="4352"/>
      <c r="W53" s="3459"/>
      <c r="X53" s="3460"/>
      <c r="Y53" s="3461"/>
      <c r="Z53" s="3461"/>
      <c r="AA53" s="3461"/>
      <c r="AB53" s="3461"/>
      <c r="AC53" s="3458">
        <f>G53</f>
        <v>185</v>
      </c>
      <c r="AD53" s="203"/>
      <c r="AE53" s="203"/>
      <c r="AF53" s="203"/>
      <c r="AG53" s="203"/>
      <c r="AK53" s="883"/>
    </row>
    <row r="54" spans="1:69" s="51" customFormat="1" collapsed="1" x14ac:dyDescent="0.25">
      <c r="A54" s="576"/>
      <c r="B54" s="123"/>
      <c r="C54" s="328"/>
      <c r="D54" s="329"/>
      <c r="E54" s="329"/>
      <c r="F54" s="123"/>
      <c r="G54" s="123"/>
      <c r="H54" s="328"/>
      <c r="I54" s="328"/>
      <c r="J54" s="328"/>
      <c r="K54" s="328"/>
      <c r="L54" s="328"/>
      <c r="M54" s="328"/>
      <c r="N54" s="123"/>
      <c r="O54" s="123"/>
      <c r="P54" s="123"/>
      <c r="Q54" s="123"/>
      <c r="R54" s="123"/>
      <c r="S54" s="123"/>
      <c r="T54" s="123"/>
      <c r="U54" s="123"/>
      <c r="V54" s="1942"/>
      <c r="W54" s="1942"/>
      <c r="X54" s="1942"/>
      <c r="Y54" s="1942"/>
      <c r="Z54" s="1942"/>
      <c r="AA54" s="1942"/>
      <c r="AB54" s="1942"/>
      <c r="AC54" s="1942"/>
      <c r="AD54" s="1942"/>
      <c r="AE54" s="1942"/>
      <c r="AF54" s="1942"/>
      <c r="AG54" s="1942"/>
      <c r="AH54" s="1942"/>
      <c r="AI54" s="1942"/>
      <c r="AJ54" s="1942"/>
      <c r="AK54" s="883"/>
      <c r="AL54" s="1942"/>
      <c r="AM54" s="1942"/>
      <c r="AN54" s="1942"/>
      <c r="AO54" s="1942"/>
      <c r="AP54" s="1942"/>
      <c r="AQ54" s="1942"/>
      <c r="AR54" s="1942"/>
      <c r="AS54" s="1942"/>
      <c r="AT54" s="1942"/>
      <c r="AU54" s="1942"/>
      <c r="AV54" s="1942"/>
      <c r="AW54" s="1942"/>
      <c r="AX54" s="1942"/>
      <c r="AY54" s="1942"/>
      <c r="AZ54" s="1942"/>
      <c r="BA54" s="1942"/>
      <c r="BB54" s="891"/>
      <c r="BC54" s="1942"/>
      <c r="BD54" s="1942"/>
      <c r="BE54" s="1942"/>
      <c r="BF54" s="1942"/>
      <c r="BG54" s="1942"/>
      <c r="BH54" s="1942"/>
      <c r="BI54" s="1942"/>
      <c r="BJ54" s="1942"/>
      <c r="BK54" s="1942"/>
      <c r="BL54" s="1942"/>
      <c r="BM54" s="1942"/>
      <c r="BN54" s="1942"/>
      <c r="BO54" s="1942"/>
      <c r="BP54" s="1942"/>
      <c r="BQ54" s="1942"/>
    </row>
    <row r="55" spans="1:69" s="51" customFormat="1" x14ac:dyDescent="0.25">
      <c r="A55" s="576"/>
      <c r="B55" s="123"/>
      <c r="C55" s="328"/>
      <c r="D55" s="2695"/>
      <c r="E55" s="329"/>
      <c r="F55" s="123"/>
      <c r="G55" s="123"/>
      <c r="H55" s="328"/>
      <c r="I55" s="328"/>
      <c r="J55" s="328"/>
      <c r="K55" s="328"/>
      <c r="L55" s="328"/>
      <c r="M55" s="328"/>
      <c r="N55" s="123"/>
      <c r="O55" s="123"/>
      <c r="P55" s="123"/>
      <c r="Q55" s="123"/>
      <c r="R55" s="123"/>
      <c r="S55" s="123"/>
      <c r="T55" s="123"/>
      <c r="U55" s="123"/>
      <c r="V55" s="1942"/>
      <c r="W55" s="1942"/>
      <c r="X55" s="1942"/>
      <c r="Y55" s="1942"/>
      <c r="Z55" s="1942"/>
      <c r="AA55" s="1942"/>
      <c r="AB55" s="1942"/>
      <c r="AC55" s="1942"/>
      <c r="AD55" s="1942"/>
      <c r="AE55" s="1942"/>
      <c r="AF55" s="1942"/>
      <c r="AG55" s="1942"/>
      <c r="AH55" s="1942"/>
      <c r="AI55" s="1942"/>
      <c r="AJ55" s="1942"/>
      <c r="AK55" s="883"/>
      <c r="AL55" s="1942"/>
      <c r="AM55" s="1942"/>
      <c r="AN55" s="1942"/>
      <c r="AO55" s="1942"/>
      <c r="AP55" s="1942"/>
      <c r="AQ55" s="1942"/>
      <c r="AR55" s="1942"/>
      <c r="AS55" s="1942"/>
      <c r="AT55" s="1942"/>
      <c r="AU55" s="1942"/>
      <c r="AV55" s="1942"/>
      <c r="AW55" s="1942"/>
      <c r="AX55" s="1942"/>
      <c r="AY55" s="1942"/>
      <c r="AZ55" s="1942"/>
      <c r="BA55" s="1942"/>
      <c r="BB55" s="891"/>
      <c r="BC55" s="1942"/>
      <c r="BD55" s="1942"/>
      <c r="BE55" s="1942"/>
      <c r="BF55" s="1942"/>
      <c r="BG55" s="1942"/>
      <c r="BH55" s="1942"/>
      <c r="BI55" s="1942"/>
      <c r="BJ55" s="1942"/>
      <c r="BK55" s="1942"/>
      <c r="BL55" s="1942"/>
      <c r="BM55" s="1942"/>
      <c r="BN55" s="1942"/>
      <c r="BO55" s="1942"/>
      <c r="BP55" s="1942"/>
      <c r="BQ55" s="1942"/>
    </row>
    <row r="56" spans="1:69" x14ac:dyDescent="0.25">
      <c r="B56" s="3750" t="s">
        <v>1611</v>
      </c>
      <c r="C56" s="3751"/>
      <c r="D56" s="3751"/>
      <c r="E56" s="3751"/>
      <c r="F56" s="3751"/>
      <c r="G56" s="3751"/>
      <c r="H56" s="3751"/>
      <c r="I56" s="3744"/>
      <c r="J56" s="3744"/>
      <c r="K56" s="3744"/>
      <c r="L56" s="3744"/>
      <c r="M56" s="3744"/>
      <c r="N56" s="3744"/>
      <c r="O56" s="3744"/>
      <c r="P56" s="3744"/>
      <c r="Q56" s="3744"/>
      <c r="R56" s="3745"/>
      <c r="V56" s="3750" t="str">
        <f>B56</f>
        <v>Air Sealing</v>
      </c>
      <c r="W56" s="3751"/>
      <c r="X56" s="3751"/>
      <c r="Y56" s="3751"/>
      <c r="Z56" s="3751"/>
      <c r="AA56" s="3751"/>
      <c r="AB56" s="3751"/>
      <c r="AC56" s="3752"/>
      <c r="AD56" s="3752"/>
      <c r="AE56" s="3752"/>
      <c r="AF56" s="3752"/>
      <c r="AG56" s="3752"/>
      <c r="AH56" s="3752"/>
      <c r="AI56" s="3753"/>
      <c r="AK56" s="883"/>
    </row>
    <row r="57" spans="1:69" x14ac:dyDescent="0.25">
      <c r="B57" s="1233"/>
      <c r="C57" s="225"/>
      <c r="D57" s="419"/>
      <c r="E57" s="419"/>
      <c r="F57" s="226"/>
      <c r="G57" s="226"/>
      <c r="H57" s="226"/>
      <c r="I57" s="226"/>
      <c r="J57" s="226"/>
      <c r="K57" s="226"/>
      <c r="L57" s="1438"/>
      <c r="AK57" s="883"/>
    </row>
    <row r="58" spans="1:69" s="892" customFormat="1" ht="30" x14ac:dyDescent="0.25">
      <c r="A58" s="910"/>
      <c r="B58" s="1606"/>
      <c r="C58" s="3086" t="s">
        <v>28</v>
      </c>
      <c r="D58" s="3086" t="s">
        <v>175</v>
      </c>
      <c r="E58" s="3086" t="s">
        <v>30</v>
      </c>
      <c r="F58" s="3086" t="s">
        <v>31</v>
      </c>
      <c r="G58" s="3086" t="s">
        <v>176</v>
      </c>
      <c r="H58" s="3086" t="s">
        <v>177</v>
      </c>
      <c r="I58" s="3086" t="s">
        <v>506</v>
      </c>
      <c r="J58" s="3086" t="s">
        <v>507</v>
      </c>
      <c r="K58" s="3086" t="s">
        <v>32</v>
      </c>
      <c r="L58" s="3140" t="s">
        <v>181</v>
      </c>
      <c r="M58" s="3086" t="s">
        <v>170</v>
      </c>
      <c r="N58" s="3086" t="s">
        <v>1612</v>
      </c>
      <c r="O58" s="910"/>
      <c r="P58" s="910"/>
      <c r="Q58" s="910"/>
      <c r="R58" s="910"/>
      <c r="S58" s="910"/>
      <c r="T58" s="910"/>
      <c r="U58" s="910"/>
      <c r="V58" s="1936" t="s">
        <v>45</v>
      </c>
      <c r="W58" s="1937">
        <f>W$6</f>
        <v>43252</v>
      </c>
      <c r="X58" s="1937">
        <f t="shared" ref="X58:AG58" si="16">X$6</f>
        <v>43465</v>
      </c>
      <c r="Y58" s="360">
        <f t="shared" si="16"/>
        <v>43800</v>
      </c>
      <c r="Z58" s="1937">
        <f t="shared" si="16"/>
        <v>43862</v>
      </c>
      <c r="AA58" s="1937">
        <f t="shared" si="16"/>
        <v>44013</v>
      </c>
      <c r="AB58" s="1937">
        <f t="shared" si="16"/>
        <v>44166</v>
      </c>
      <c r="AC58" s="1937">
        <f t="shared" si="16"/>
        <v>44531</v>
      </c>
      <c r="AD58" s="1937" t="str">
        <f t="shared" si="16"/>
        <v>-</v>
      </c>
      <c r="AE58" s="1937" t="str">
        <f t="shared" si="16"/>
        <v>-</v>
      </c>
      <c r="AF58" s="1937" t="str">
        <f t="shared" si="16"/>
        <v>-</v>
      </c>
      <c r="AG58" s="1937" t="str">
        <f t="shared" si="16"/>
        <v>-</v>
      </c>
      <c r="AH58" s="224"/>
      <c r="AI58" s="224"/>
      <c r="AK58" s="883"/>
      <c r="BB58" s="1938" t="str">
        <f>$BB$6</f>
        <v>TRC (2020)</v>
      </c>
      <c r="BC58" s="1953" t="str">
        <f>$BC$6</f>
        <v>Benefit Lookup</v>
      </c>
      <c r="BD58" s="665" t="str">
        <f>$BD$6</f>
        <v>Benefits (2019 $)</v>
      </c>
      <c r="BE58" s="230" t="str">
        <f>$BE$6</f>
        <v>Incremental Cost (2019 $)</v>
      </c>
    </row>
    <row r="59" spans="1:69" s="892" customFormat="1" x14ac:dyDescent="0.25">
      <c r="A59" s="910"/>
      <c r="B59" s="1606"/>
      <c r="C59" s="1205" t="s">
        <v>1613</v>
      </c>
      <c r="D59" s="2695" t="s">
        <v>1577</v>
      </c>
      <c r="E59" s="420" t="s">
        <v>1614</v>
      </c>
      <c r="F59" s="579">
        <f>ROUND(I59+J59,2)</f>
        <v>0.33</v>
      </c>
      <c r="G59" s="2667" t="s">
        <v>1615</v>
      </c>
      <c r="H59" s="155">
        <f>VLOOKUP(G59,'CP FACTORS'!$A$3:$B$38, 2, FALSE)</f>
        <v>4.6608050000000002E-4</v>
      </c>
      <c r="I59" s="954">
        <f>F75*F83+F83*F99*F$107*F$108</f>
        <v>0.28499999999999998</v>
      </c>
      <c r="J59" s="1460">
        <f t="shared" ref="J59:J66" si="17">F91*F83</f>
        <v>4.2999999999999997E-2</v>
      </c>
      <c r="K59" s="893">
        <f>ROUND(H59*F59,6)</f>
        <v>1.54E-4</v>
      </c>
      <c r="L59" s="2298">
        <f t="shared" ref="L59:L66" si="18">$F$109</f>
        <v>15</v>
      </c>
      <c r="M59" s="2297">
        <f t="shared" ref="M59:M66" si="19">120*F83/1000</f>
        <v>0.12</v>
      </c>
      <c r="N59" s="979">
        <f>F83</f>
        <v>1</v>
      </c>
      <c r="O59" s="910"/>
      <c r="P59" s="910"/>
      <c r="Q59" s="910"/>
      <c r="R59" s="1431"/>
      <c r="S59" s="910"/>
      <c r="T59" s="910"/>
      <c r="U59" s="910"/>
      <c r="V59" s="160" t="str">
        <f>$F$58</f>
        <v>kWh Annual Savings</v>
      </c>
      <c r="W59" s="161">
        <v>295.70839999999998</v>
      </c>
      <c r="X59" s="881">
        <v>295.70839999999998</v>
      </c>
      <c r="Y59" s="885">
        <v>0.33</v>
      </c>
      <c r="Z59" s="882">
        <v>0.33</v>
      </c>
      <c r="AA59" s="882">
        <v>0.33</v>
      </c>
      <c r="AB59" s="882">
        <v>0.33</v>
      </c>
      <c r="AC59" s="579">
        <v>0.33</v>
      </c>
      <c r="AD59" s="160"/>
      <c r="AE59" s="160"/>
      <c r="AF59" s="160"/>
      <c r="AG59" s="160"/>
      <c r="AH59" s="877"/>
      <c r="AI59" s="877"/>
      <c r="AK59" s="883"/>
      <c r="BB59" s="1945">
        <f t="shared" ref="BB59:BB64" si="20">(BD59)/(BE59)</f>
        <v>2.7496621881200949</v>
      </c>
      <c r="BC59" s="3166" t="str">
        <f t="shared" ref="BC59:BC64" si="21">CONCATENATE(G59," ",L59," Year EUL")</f>
        <v>Building Shell RES 15 Year EUL</v>
      </c>
      <c r="BD59" s="111">
        <f>(INDEX('Avoided Cost Benefits'!$C$4:$C$857,MATCH(BC59,'Avoided Cost Benefits'!$A$4:$A$857,0)))*F59</f>
        <v>0.31142941252893941</v>
      </c>
      <c r="BE59" s="1946">
        <f t="shared" ref="BE59:BE64" si="22">M59/(1.0595^(2020-2019))</f>
        <v>0.11326097215667766</v>
      </c>
    </row>
    <row r="60" spans="1:69" s="892" customFormat="1" x14ac:dyDescent="0.25">
      <c r="A60" s="910"/>
      <c r="B60" s="1606"/>
      <c r="C60" s="1205" t="s">
        <v>1616</v>
      </c>
      <c r="D60" s="2695" t="s">
        <v>1577</v>
      </c>
      <c r="E60" s="420" t="s">
        <v>1617</v>
      </c>
      <c r="F60" s="579">
        <f t="shared" ref="F60:F66" si="23">ROUND(I60+J60,2)</f>
        <v>0.25</v>
      </c>
      <c r="G60" s="2667" t="s">
        <v>1615</v>
      </c>
      <c r="H60" s="155">
        <f>VLOOKUP(G60,'CP FACTORS'!$A$3:$B$38, 2, FALSE)</f>
        <v>4.6608050000000002E-4</v>
      </c>
      <c r="I60" s="954">
        <f t="shared" ref="I60:I66" si="24">F76*F84+F84*F100*F$107*F$108</f>
        <v>0.20799999999999999</v>
      </c>
      <c r="J60" s="1460">
        <f t="shared" si="17"/>
        <v>4.2999999999999997E-2</v>
      </c>
      <c r="K60" s="893">
        <f t="shared" ref="K60:K66" si="25">ROUND(H60*F60,6)</f>
        <v>1.17E-4</v>
      </c>
      <c r="L60" s="2298">
        <f t="shared" si="18"/>
        <v>15</v>
      </c>
      <c r="M60" s="2297">
        <f t="shared" si="19"/>
        <v>0.12</v>
      </c>
      <c r="N60" s="979">
        <f t="shared" ref="N60:N66" si="26">F84</f>
        <v>1</v>
      </c>
      <c r="O60" s="910"/>
      <c r="P60" s="910"/>
      <c r="Q60" s="910"/>
      <c r="R60" s="1431"/>
      <c r="S60" s="910"/>
      <c r="T60" s="910"/>
      <c r="U60" s="910"/>
      <c r="V60" s="160" t="str">
        <f t="shared" ref="V60:V66" si="27">$F$58</f>
        <v>kWh Annual Savings</v>
      </c>
      <c r="W60" s="161">
        <v>226.28905</v>
      </c>
      <c r="X60" s="881">
        <v>226.28905</v>
      </c>
      <c r="Y60" s="885">
        <v>0.25</v>
      </c>
      <c r="Z60" s="882">
        <v>0.25</v>
      </c>
      <c r="AA60" s="882">
        <v>0.25</v>
      </c>
      <c r="AB60" s="882">
        <v>0.25</v>
      </c>
      <c r="AC60" s="579">
        <v>0.25</v>
      </c>
      <c r="AD60" s="160"/>
      <c r="AE60" s="160"/>
      <c r="AF60" s="160"/>
      <c r="AG60" s="160"/>
      <c r="AH60" s="877"/>
      <c r="AI60" s="877"/>
      <c r="AK60" s="883"/>
      <c r="BB60" s="52">
        <f t="shared" si="20"/>
        <v>2.0830774152424958</v>
      </c>
      <c r="BC60" s="1948" t="str">
        <f t="shared" si="21"/>
        <v>Building Shell RES 15 Year EUL</v>
      </c>
      <c r="BD60" s="114">
        <f>(INDEX('Avoided Cost Benefits'!$C$4:$C$857,MATCH(BC60,'Avoided Cost Benefits'!$A$4:$A$857,0)))*F60</f>
        <v>0.23593137312798437</v>
      </c>
      <c r="BE60" s="1949">
        <f t="shared" si="22"/>
        <v>0.11326097215667766</v>
      </c>
    </row>
    <row r="61" spans="1:69" s="892" customFormat="1" x14ac:dyDescent="0.25">
      <c r="A61" s="910"/>
      <c r="B61" s="1606"/>
      <c r="C61" s="1205" t="s">
        <v>1618</v>
      </c>
      <c r="D61" s="2695" t="s">
        <v>1571</v>
      </c>
      <c r="E61" s="3246" t="s">
        <v>1619</v>
      </c>
      <c r="F61" s="579">
        <f t="shared" si="23"/>
        <v>0.36</v>
      </c>
      <c r="G61" s="2667" t="s">
        <v>1615</v>
      </c>
      <c r="H61" s="155">
        <f>VLOOKUP(G61,'CP FACTORS'!$A$3:$B$38, 2, FALSE)</f>
        <v>4.6608050000000002E-4</v>
      </c>
      <c r="I61" s="954">
        <f t="shared" si="24"/>
        <v>0.308</v>
      </c>
      <c r="J61" s="1460">
        <f t="shared" si="17"/>
        <v>0.05</v>
      </c>
      <c r="K61" s="893">
        <f t="shared" si="25"/>
        <v>1.6799999999999999E-4</v>
      </c>
      <c r="L61" s="2298">
        <f t="shared" si="18"/>
        <v>15</v>
      </c>
      <c r="M61" s="2297">
        <f t="shared" si="19"/>
        <v>0.12</v>
      </c>
      <c r="N61" s="979">
        <f t="shared" si="26"/>
        <v>1</v>
      </c>
      <c r="O61" s="910"/>
      <c r="P61" s="910"/>
      <c r="Q61" s="910"/>
      <c r="R61" s="1431"/>
      <c r="S61" s="910"/>
      <c r="T61" s="910"/>
      <c r="U61" s="910"/>
      <c r="V61" s="160" t="str">
        <f t="shared" si="27"/>
        <v>kWh Annual Savings</v>
      </c>
      <c r="W61" s="161">
        <v>496.54599999999999</v>
      </c>
      <c r="X61" s="881">
        <v>496.54599999999999</v>
      </c>
      <c r="Y61" s="885">
        <v>0.36</v>
      </c>
      <c r="Z61" s="882">
        <v>0.36</v>
      </c>
      <c r="AA61" s="882">
        <v>0.36</v>
      </c>
      <c r="AB61" s="882">
        <v>0.36</v>
      </c>
      <c r="AC61" s="579">
        <v>0.36</v>
      </c>
      <c r="AD61" s="160"/>
      <c r="AE61" s="160"/>
      <c r="AF61" s="160"/>
      <c r="AG61" s="160"/>
      <c r="AK61" s="883"/>
      <c r="BB61" s="52">
        <f t="shared" si="20"/>
        <v>2.9996314779491935</v>
      </c>
      <c r="BC61" s="1948" t="str">
        <f t="shared" si="21"/>
        <v>Building Shell RES 15 Year EUL</v>
      </c>
      <c r="BD61" s="114">
        <f>(INDEX('Avoided Cost Benefits'!$C$4:$C$857,MATCH(BC61,'Avoided Cost Benefits'!$A$4:$A$857,0)))*F61</f>
        <v>0.33974117730429748</v>
      </c>
      <c r="BE61" s="1949">
        <f t="shared" si="22"/>
        <v>0.11326097215667766</v>
      </c>
    </row>
    <row r="62" spans="1:69" s="892" customFormat="1" x14ac:dyDescent="0.25">
      <c r="A62" s="910"/>
      <c r="B62" s="1606"/>
      <c r="C62" s="1205" t="s">
        <v>1620</v>
      </c>
      <c r="D62" s="2695" t="s">
        <v>1571</v>
      </c>
      <c r="E62" s="3246" t="s">
        <v>1621</v>
      </c>
      <c r="F62" s="579">
        <f t="shared" si="23"/>
        <v>0.06</v>
      </c>
      <c r="G62" s="2667" t="s">
        <v>1615</v>
      </c>
      <c r="H62" s="155">
        <f>VLOOKUP(G62,'CP FACTORS'!$A$3:$B$38, 2, FALSE)</f>
        <v>4.6608050000000002E-4</v>
      </c>
      <c r="I62" s="954">
        <f t="shared" si="24"/>
        <v>1.1960259999999999E-2</v>
      </c>
      <c r="J62" s="1460">
        <f t="shared" si="17"/>
        <v>0.05</v>
      </c>
      <c r="K62" s="893">
        <f t="shared" si="25"/>
        <v>2.8E-5</v>
      </c>
      <c r="L62" s="2298">
        <f t="shared" si="18"/>
        <v>15</v>
      </c>
      <c r="M62" s="2297">
        <f t="shared" si="19"/>
        <v>0.12</v>
      </c>
      <c r="N62" s="979">
        <f t="shared" si="26"/>
        <v>1</v>
      </c>
      <c r="O62" s="910"/>
      <c r="P62" s="910"/>
      <c r="Q62" s="910"/>
      <c r="R62" s="1431"/>
      <c r="S62" s="910"/>
      <c r="T62" s="910"/>
      <c r="U62" s="910"/>
      <c r="V62" s="160" t="str">
        <f t="shared" si="27"/>
        <v>kWh Annual Savings</v>
      </c>
      <c r="W62" s="161"/>
      <c r="X62" s="881"/>
      <c r="Y62" s="885">
        <v>0.06</v>
      </c>
      <c r="Z62" s="882">
        <v>0.06</v>
      </c>
      <c r="AA62" s="882">
        <v>0.06</v>
      </c>
      <c r="AB62" s="882">
        <v>0.06</v>
      </c>
      <c r="AC62" s="579">
        <v>0.06</v>
      </c>
      <c r="AD62" s="160"/>
      <c r="AE62" s="160"/>
      <c r="AF62" s="160"/>
      <c r="AG62" s="160"/>
      <c r="AK62" s="883"/>
      <c r="BB62" s="52">
        <f>(BD62)/(BE62)</f>
        <v>0.49993857965819899</v>
      </c>
      <c r="BC62" s="1948" t="str">
        <f t="shared" si="21"/>
        <v>Building Shell RES 15 Year EUL</v>
      </c>
      <c r="BD62" s="114">
        <f>(INDEX('Avoided Cost Benefits'!$C$4:$C$857,MATCH(BC62,'Avoided Cost Benefits'!$A$4:$A$857,0)))*F62</f>
        <v>5.6623529550716249E-2</v>
      </c>
      <c r="BE62" s="1949">
        <f t="shared" si="22"/>
        <v>0.11326097215667766</v>
      </c>
    </row>
    <row r="63" spans="1:69" s="892" customFormat="1" x14ac:dyDescent="0.25">
      <c r="A63" s="910"/>
      <c r="B63" s="1606"/>
      <c r="C63" s="1205" t="s">
        <v>1622</v>
      </c>
      <c r="D63" s="2695" t="s">
        <v>1571</v>
      </c>
      <c r="E63" s="3246" t="s">
        <v>1623</v>
      </c>
      <c r="F63" s="579">
        <f t="shared" si="23"/>
        <v>0.31</v>
      </c>
      <c r="G63" s="2667" t="s">
        <v>1615</v>
      </c>
      <c r="H63" s="155">
        <f>VLOOKUP(G63,'CP FACTORS'!$A$3:$B$38, 2, FALSE)</f>
        <v>4.6608050000000002E-4</v>
      </c>
      <c r="I63" s="954">
        <f t="shared" si="24"/>
        <v>0.25700000000000001</v>
      </c>
      <c r="J63" s="1460">
        <f t="shared" si="17"/>
        <v>0.05</v>
      </c>
      <c r="K63" s="893">
        <f t="shared" si="25"/>
        <v>1.44E-4</v>
      </c>
      <c r="L63" s="2298">
        <f t="shared" si="18"/>
        <v>15</v>
      </c>
      <c r="M63" s="2297">
        <f t="shared" si="19"/>
        <v>0.12</v>
      </c>
      <c r="N63" s="979">
        <f t="shared" si="26"/>
        <v>1</v>
      </c>
      <c r="O63" s="910"/>
      <c r="P63" s="910"/>
      <c r="Q63" s="910"/>
      <c r="R63" s="1431"/>
      <c r="S63" s="910"/>
      <c r="T63" s="910"/>
      <c r="U63" s="910"/>
      <c r="V63" s="160" t="str">
        <f t="shared" si="27"/>
        <v>kWh Annual Savings</v>
      </c>
      <c r="W63" s="161">
        <v>425.80900000000003</v>
      </c>
      <c r="X63" s="881">
        <v>425.80900000000003</v>
      </c>
      <c r="Y63" s="885">
        <v>0.31</v>
      </c>
      <c r="Z63" s="882">
        <v>0.31</v>
      </c>
      <c r="AA63" s="882">
        <v>0.31</v>
      </c>
      <c r="AB63" s="882">
        <v>0.31</v>
      </c>
      <c r="AC63" s="579">
        <v>0.31</v>
      </c>
      <c r="AD63" s="160"/>
      <c r="AE63" s="160"/>
      <c r="AF63" s="160"/>
      <c r="AG63" s="160"/>
      <c r="AK63" s="883"/>
      <c r="BB63" s="52">
        <f t="shared" si="20"/>
        <v>2.5830159949006943</v>
      </c>
      <c r="BC63" s="1948" t="str">
        <f t="shared" si="21"/>
        <v>Building Shell RES 15 Year EUL</v>
      </c>
      <c r="BD63" s="114">
        <f>(INDEX('Avoided Cost Benefits'!$C$4:$C$857,MATCH(BC63,'Avoided Cost Benefits'!$A$4:$A$857,0)))*F63</f>
        <v>0.2925549026787006</v>
      </c>
      <c r="BE63" s="1949">
        <f t="shared" si="22"/>
        <v>0.11326097215667766</v>
      </c>
    </row>
    <row r="64" spans="1:69" s="892" customFormat="1" x14ac:dyDescent="0.25">
      <c r="A64" s="910"/>
      <c r="B64" s="1606"/>
      <c r="C64" s="1205" t="s">
        <v>1624</v>
      </c>
      <c r="D64" s="2695" t="s">
        <v>1571</v>
      </c>
      <c r="E64" s="1607" t="s">
        <v>1625</v>
      </c>
      <c r="F64" s="579">
        <f t="shared" si="23"/>
        <v>0.48</v>
      </c>
      <c r="G64" s="2667" t="s">
        <v>1615</v>
      </c>
      <c r="H64" s="155">
        <f>VLOOKUP(G64,'CP FACTORS'!$A$3:$B$38, 2, FALSE)</f>
        <v>4.6608050000000002E-4</v>
      </c>
      <c r="I64" s="954">
        <f t="shared" si="24"/>
        <v>0.41299999999999998</v>
      </c>
      <c r="J64" s="1460">
        <f t="shared" si="17"/>
        <v>6.2E-2</v>
      </c>
      <c r="K64" s="893">
        <f t="shared" si="25"/>
        <v>2.24E-4</v>
      </c>
      <c r="L64" s="2298">
        <f t="shared" si="18"/>
        <v>15</v>
      </c>
      <c r="M64" s="2297">
        <f t="shared" si="19"/>
        <v>0.12</v>
      </c>
      <c r="N64" s="979">
        <f t="shared" si="26"/>
        <v>1</v>
      </c>
      <c r="O64" s="910"/>
      <c r="P64" s="910"/>
      <c r="Q64" s="910"/>
      <c r="R64" s="1431"/>
      <c r="S64" s="910"/>
      <c r="T64" s="910"/>
      <c r="U64" s="910"/>
      <c r="V64" s="160" t="str">
        <f t="shared" si="27"/>
        <v>kWh Annual Savings</v>
      </c>
      <c r="W64" s="161">
        <v>513</v>
      </c>
      <c r="X64" s="881">
        <v>513</v>
      </c>
      <c r="Y64" s="885">
        <v>0.48</v>
      </c>
      <c r="Z64" s="882">
        <v>0.48</v>
      </c>
      <c r="AA64" s="882">
        <v>0.48</v>
      </c>
      <c r="AB64" s="882">
        <v>0.48</v>
      </c>
      <c r="AC64" s="579">
        <v>0.48</v>
      </c>
      <c r="AD64" s="160"/>
      <c r="AE64" s="160"/>
      <c r="AF64" s="160"/>
      <c r="AG64" s="160"/>
      <c r="AK64" s="883"/>
      <c r="BB64" s="52">
        <f t="shared" si="20"/>
        <v>3.9995086372655919</v>
      </c>
      <c r="BC64" s="1948" t="str">
        <f t="shared" si="21"/>
        <v>Building Shell RES 15 Year EUL</v>
      </c>
      <c r="BD64" s="114">
        <f>(INDEX('Avoided Cost Benefits'!$C$4:$C$857,MATCH(BC64,'Avoided Cost Benefits'!$A$4:$A$857,0)))*F64</f>
        <v>0.45298823640572999</v>
      </c>
      <c r="BE64" s="1949">
        <f t="shared" si="22"/>
        <v>0.11326097215667766</v>
      </c>
    </row>
    <row r="65" spans="1:57" s="892" customFormat="1" x14ac:dyDescent="0.25">
      <c r="A65" s="910"/>
      <c r="B65" s="1606"/>
      <c r="C65" s="1205" t="s">
        <v>1626</v>
      </c>
      <c r="D65" s="2695" t="s">
        <v>1571</v>
      </c>
      <c r="E65" s="3246" t="s">
        <v>1627</v>
      </c>
      <c r="F65" s="579">
        <f t="shared" si="23"/>
        <v>0.45</v>
      </c>
      <c r="G65" s="2667" t="s">
        <v>1615</v>
      </c>
      <c r="H65" s="155">
        <f>VLOOKUP(G65,'CP FACTORS'!$A$3:$B$38, 2, FALSE)</f>
        <v>4.6608050000000002E-4</v>
      </c>
      <c r="I65" s="954">
        <f t="shared" si="24"/>
        <v>0.39100000000000001</v>
      </c>
      <c r="J65" s="1460">
        <f t="shared" si="17"/>
        <v>6.2E-2</v>
      </c>
      <c r="K65" s="893">
        <f t="shared" si="25"/>
        <v>2.1000000000000001E-4</v>
      </c>
      <c r="L65" s="2298">
        <f t="shared" si="18"/>
        <v>15</v>
      </c>
      <c r="M65" s="2297">
        <f t="shared" si="19"/>
        <v>0.12</v>
      </c>
      <c r="N65" s="979">
        <f t="shared" si="26"/>
        <v>1</v>
      </c>
      <c r="O65" s="910"/>
      <c r="P65" s="910"/>
      <c r="Q65" s="910"/>
      <c r="R65" s="1431"/>
      <c r="S65" s="910"/>
      <c r="T65" s="910"/>
      <c r="U65" s="910"/>
      <c r="V65" s="160" t="str">
        <f t="shared" si="27"/>
        <v>kWh Annual Savings</v>
      </c>
      <c r="W65" s="161"/>
      <c r="X65" s="881"/>
      <c r="Y65" s="885">
        <v>0.45</v>
      </c>
      <c r="Z65" s="882">
        <v>0.45</v>
      </c>
      <c r="AA65" s="882">
        <v>0.45</v>
      </c>
      <c r="AB65" s="882">
        <v>0.45</v>
      </c>
      <c r="AC65" s="579">
        <v>0.45</v>
      </c>
      <c r="AD65" s="160"/>
      <c r="AE65" s="160"/>
      <c r="AF65" s="160"/>
      <c r="AG65" s="160"/>
      <c r="AK65" s="883"/>
      <c r="BB65" s="52">
        <f t="shared" ref="BB65:BB66" si="28">(BD65)/(BE65)</f>
        <v>3.7495393474364924</v>
      </c>
      <c r="BC65" s="1948" t="str">
        <f t="shared" ref="BC65:BC66" si="29">CONCATENATE(G65," ",L65," Year EUL")</f>
        <v>Building Shell RES 15 Year EUL</v>
      </c>
      <c r="BD65" s="114">
        <f>(INDEX('Avoided Cost Benefits'!$C$4:$C$857,MATCH(BC65,'Avoided Cost Benefits'!$A$4:$A$857,0)))*F65</f>
        <v>0.42467647163037187</v>
      </c>
      <c r="BE65" s="1949">
        <f t="shared" ref="BE65:BE66" si="30">M65/(1.0595^(2020-2019))</f>
        <v>0.11326097215667766</v>
      </c>
    </row>
    <row r="66" spans="1:57" s="892" customFormat="1" x14ac:dyDescent="0.25">
      <c r="A66" s="910"/>
      <c r="B66" s="1606"/>
      <c r="C66" s="1205" t="s">
        <v>1628</v>
      </c>
      <c r="D66" s="2695" t="s">
        <v>1571</v>
      </c>
      <c r="E66" s="1607" t="s">
        <v>1629</v>
      </c>
      <c r="F66" s="579">
        <f t="shared" si="23"/>
        <v>0.08</v>
      </c>
      <c r="G66" s="2667" t="s">
        <v>1615</v>
      </c>
      <c r="H66" s="155">
        <f>VLOOKUP(G66,'CP FACTORS'!$A$3:$B$38, 2, FALSE)</f>
        <v>4.6608050000000002E-4</v>
      </c>
      <c r="I66" s="954">
        <f t="shared" si="24"/>
        <v>1.5640339999999999E-2</v>
      </c>
      <c r="J66" s="1460">
        <f t="shared" si="17"/>
        <v>6.2E-2</v>
      </c>
      <c r="K66" s="893">
        <f t="shared" si="25"/>
        <v>3.6999999999999998E-5</v>
      </c>
      <c r="L66" s="2298">
        <f t="shared" si="18"/>
        <v>15</v>
      </c>
      <c r="M66" s="2297">
        <f t="shared" si="19"/>
        <v>0.12</v>
      </c>
      <c r="N66" s="979">
        <f t="shared" si="26"/>
        <v>1</v>
      </c>
      <c r="O66" s="910"/>
      <c r="P66" s="910"/>
      <c r="Q66" s="910"/>
      <c r="R66" s="1431"/>
      <c r="S66" s="910"/>
      <c r="T66" s="910"/>
      <c r="U66" s="910"/>
      <c r="V66" s="160" t="str">
        <f t="shared" si="27"/>
        <v>kWh Annual Savings</v>
      </c>
      <c r="W66" s="161"/>
      <c r="X66" s="881"/>
      <c r="Y66" s="885">
        <v>0.08</v>
      </c>
      <c r="Z66" s="882">
        <v>0.08</v>
      </c>
      <c r="AA66" s="882">
        <v>0.08</v>
      </c>
      <c r="AB66" s="882">
        <v>0.08</v>
      </c>
      <c r="AC66" s="579">
        <v>0.08</v>
      </c>
      <c r="AD66" s="160"/>
      <c r="AE66" s="160"/>
      <c r="AF66" s="160"/>
      <c r="AG66" s="160"/>
      <c r="AK66" s="883"/>
      <c r="BB66" s="53">
        <f t="shared" si="28"/>
        <v>0.66658477287759854</v>
      </c>
      <c r="BC66" s="1948" t="str">
        <f t="shared" si="29"/>
        <v>Building Shell RES 15 Year EUL</v>
      </c>
      <c r="BD66" s="119">
        <f>(INDEX('Avoided Cost Benefits'!$C$4:$C$857,MATCH(BC66,'Avoided Cost Benefits'!$A$4:$A$857,0)))*F66</f>
        <v>7.5498039400954994E-2</v>
      </c>
      <c r="BE66" s="1950">
        <f t="shared" si="30"/>
        <v>0.11326097215667766</v>
      </c>
    </row>
    <row r="67" spans="1:57" hidden="1" outlineLevel="1" x14ac:dyDescent="0.25">
      <c r="B67" s="1233"/>
      <c r="C67" s="225"/>
      <c r="F67" s="248"/>
      <c r="AK67" s="883"/>
    </row>
    <row r="68" spans="1:57" hidden="1" outlineLevel="1" x14ac:dyDescent="0.25">
      <c r="B68" s="1233"/>
      <c r="C68" s="225"/>
      <c r="D68" s="247" t="s">
        <v>108</v>
      </c>
      <c r="E68" s="247" t="s">
        <v>1630</v>
      </c>
      <c r="F68" s="248"/>
      <c r="AK68" s="883"/>
    </row>
    <row r="69" spans="1:57" hidden="1" outlineLevel="1" x14ac:dyDescent="0.25">
      <c r="B69" s="1233"/>
      <c r="C69" s="253"/>
      <c r="D69" s="1608"/>
      <c r="E69" s="1609"/>
      <c r="F69" s="1610"/>
      <c r="G69" s="1610"/>
      <c r="H69" s="1610"/>
      <c r="I69" s="1610"/>
      <c r="J69" s="895"/>
      <c r="K69" s="895"/>
      <c r="L69" s="895"/>
      <c r="AK69" s="883"/>
    </row>
    <row r="70" spans="1:57" hidden="1" outlineLevel="1" x14ac:dyDescent="0.25">
      <c r="B70" s="1233"/>
      <c r="C70" s="267"/>
      <c r="D70" s="1611"/>
      <c r="E70" s="1612"/>
      <c r="F70" s="1613"/>
      <c r="G70" s="1613"/>
      <c r="H70" s="1613"/>
      <c r="I70" s="1613"/>
      <c r="J70" s="896"/>
      <c r="K70" s="896"/>
      <c r="L70" s="896"/>
      <c r="AK70" s="883"/>
    </row>
    <row r="71" spans="1:57" hidden="1" outlineLevel="1" x14ac:dyDescent="0.25">
      <c r="B71" s="1233"/>
      <c r="C71" s="267"/>
      <c r="D71" s="1611"/>
      <c r="E71" s="1612"/>
      <c r="F71" s="1613"/>
      <c r="G71" s="1613"/>
      <c r="H71" s="1613"/>
      <c r="I71" s="1613"/>
      <c r="J71" s="896"/>
      <c r="K71" s="896"/>
      <c r="L71" s="896"/>
      <c r="AK71" s="883"/>
    </row>
    <row r="72" spans="1:57" ht="39.75" hidden="1" customHeight="1" outlineLevel="1" x14ac:dyDescent="0.25">
      <c r="B72" s="1233"/>
      <c r="C72" s="268"/>
      <c r="D72" s="1614"/>
      <c r="E72" s="4348"/>
      <c r="F72" s="4349"/>
      <c r="G72" s="4349"/>
      <c r="H72" s="4349"/>
      <c r="I72" s="4349"/>
      <c r="J72" s="4349"/>
      <c r="K72" s="4349"/>
      <c r="L72" s="4349"/>
      <c r="AK72" s="883"/>
    </row>
    <row r="73" spans="1:57" hidden="1" outlineLevel="1" x14ac:dyDescent="0.25">
      <c r="B73" s="1233"/>
      <c r="C73" s="225"/>
      <c r="AK73" s="883"/>
    </row>
    <row r="74" spans="1:57" hidden="1" outlineLevel="1" x14ac:dyDescent="0.25">
      <c r="B74" s="1233"/>
      <c r="C74" s="225"/>
      <c r="D74" s="3236" t="s">
        <v>109</v>
      </c>
      <c r="E74" s="3236" t="s">
        <v>110</v>
      </c>
      <c r="F74" s="3086" t="s">
        <v>112</v>
      </c>
      <c r="G74" s="3086" t="s">
        <v>187</v>
      </c>
      <c r="H74" s="3086" t="s">
        <v>283</v>
      </c>
      <c r="V74" s="1936" t="s">
        <v>45</v>
      </c>
      <c r="W74" s="1937">
        <f>W$6</f>
        <v>43252</v>
      </c>
      <c r="X74" s="1937">
        <f t="shared" ref="X74:AG74" si="31">X$6</f>
        <v>43465</v>
      </c>
      <c r="Y74" s="360">
        <f t="shared" si="31"/>
        <v>43800</v>
      </c>
      <c r="Z74" s="1937">
        <f t="shared" si="31"/>
        <v>43862</v>
      </c>
      <c r="AA74" s="1937">
        <f t="shared" si="31"/>
        <v>44013</v>
      </c>
      <c r="AB74" s="1937">
        <f t="shared" si="31"/>
        <v>44166</v>
      </c>
      <c r="AC74" s="1937">
        <f t="shared" si="31"/>
        <v>44531</v>
      </c>
      <c r="AD74" s="1937" t="str">
        <f t="shared" si="31"/>
        <v>-</v>
      </c>
      <c r="AE74" s="1937" t="str">
        <f t="shared" si="31"/>
        <v>-</v>
      </c>
      <c r="AF74" s="1937" t="str">
        <f t="shared" si="31"/>
        <v>-</v>
      </c>
      <c r="AG74" s="1937" t="str">
        <f t="shared" si="31"/>
        <v>-</v>
      </c>
      <c r="AK74" s="883"/>
    </row>
    <row r="75" spans="1:57" ht="15" hidden="1" customHeight="1" outlineLevel="1" x14ac:dyDescent="0.25">
      <c r="B75" s="1233"/>
      <c r="C75" s="225"/>
      <c r="D75" s="4327" t="s">
        <v>1631</v>
      </c>
      <c r="E75" s="420" t="str">
        <f>E59</f>
        <v>Air Sealing (Infiltration reduction) - 30% MF IE DI electric furnace base</v>
      </c>
      <c r="F75" s="1615">
        <v>0.28499999999999998</v>
      </c>
      <c r="G75" s="3201" t="s">
        <v>285</v>
      </c>
      <c r="H75" s="1204"/>
      <c r="V75" s="4247" t="str">
        <f>D75</f>
        <v>Defaultheat</v>
      </c>
      <c r="W75" s="897">
        <v>0.28499999999999998</v>
      </c>
      <c r="X75" s="897">
        <v>0.28499999999999998</v>
      </c>
      <c r="Y75" s="897">
        <v>0.28499999999999998</v>
      </c>
      <c r="Z75" s="1615">
        <v>0.28499999999999998</v>
      </c>
      <c r="AA75" s="1615">
        <v>0.28499999999999998</v>
      </c>
      <c r="AB75" s="1615">
        <v>0.28499999999999998</v>
      </c>
      <c r="AC75" s="1615">
        <v>0.28499999999999998</v>
      </c>
      <c r="AD75" s="203"/>
      <c r="AE75" s="203"/>
      <c r="AF75" s="203"/>
      <c r="AG75" s="203"/>
      <c r="AK75" s="883"/>
    </row>
    <row r="76" spans="1:57" ht="15" hidden="1" customHeight="1" outlineLevel="1" x14ac:dyDescent="0.25">
      <c r="B76" s="1233"/>
      <c r="C76" s="225"/>
      <c r="D76" s="4328"/>
      <c r="E76" s="420" t="str">
        <f t="shared" ref="E76:E82" si="32">E60</f>
        <v>Air Sealing (Infiltration reduction) - 30% MF IE DI heat pump base</v>
      </c>
      <c r="F76" s="1615">
        <v>0.20799999999999999</v>
      </c>
      <c r="G76" s="3201" t="s">
        <v>285</v>
      </c>
      <c r="H76" s="1204"/>
      <c r="V76" s="4248"/>
      <c r="W76" s="897">
        <v>0.20799999999999999</v>
      </c>
      <c r="X76" s="897">
        <v>0.20799999999999999</v>
      </c>
      <c r="Y76" s="897">
        <v>0.20799999999999999</v>
      </c>
      <c r="Z76" s="1615">
        <v>0.20799999999999999</v>
      </c>
      <c r="AA76" s="1615">
        <v>0.20799999999999999</v>
      </c>
      <c r="AB76" s="1615">
        <v>0.20799999999999999</v>
      </c>
      <c r="AC76" s="1615">
        <v>0.20799999999999999</v>
      </c>
      <c r="AD76" s="203"/>
      <c r="AE76" s="203"/>
      <c r="AF76" s="203"/>
      <c r="AG76" s="203"/>
      <c r="AK76" s="883"/>
    </row>
    <row r="77" spans="1:57" hidden="1" outlineLevel="1" x14ac:dyDescent="0.25">
      <c r="B77" s="1233"/>
      <c r="C77" s="225"/>
      <c r="D77" s="4328"/>
      <c r="E77" s="420" t="str">
        <f t="shared" si="32"/>
        <v>Air Sealing (Infiltration reduction) - 30% SF IE DI electric furnace base</v>
      </c>
      <c r="F77" s="1615">
        <v>0.308</v>
      </c>
      <c r="G77" s="3201" t="s">
        <v>285</v>
      </c>
      <c r="H77" s="1204"/>
      <c r="V77" s="4248"/>
      <c r="W77" s="897">
        <v>0.308</v>
      </c>
      <c r="X77" s="897">
        <v>0.308</v>
      </c>
      <c r="Y77" s="897">
        <v>0.308</v>
      </c>
      <c r="Z77" s="1615">
        <v>0.308</v>
      </c>
      <c r="AA77" s="1615">
        <v>0.308</v>
      </c>
      <c r="AB77" s="1615">
        <v>0.308</v>
      </c>
      <c r="AC77" s="1615">
        <v>0.308</v>
      </c>
      <c r="AD77" s="203"/>
      <c r="AE77" s="203"/>
      <c r="AF77" s="203"/>
      <c r="AG77" s="203"/>
      <c r="AK77" s="883"/>
    </row>
    <row r="78" spans="1:57" hidden="1" outlineLevel="1" x14ac:dyDescent="0.25">
      <c r="B78" s="1233"/>
      <c r="C78" s="225"/>
      <c r="D78" s="4328"/>
      <c r="E78" s="420" t="str">
        <f t="shared" si="32"/>
        <v>Air Sealing (Infiltration reduction) - 30% SF IE DI Gas furnace base</v>
      </c>
      <c r="F78" s="1615">
        <v>0</v>
      </c>
      <c r="G78" s="3201" t="s">
        <v>285</v>
      </c>
      <c r="H78" s="1204"/>
      <c r="V78" s="4248"/>
      <c r="W78" s="897"/>
      <c r="X78" s="897"/>
      <c r="Y78" s="898">
        <v>0</v>
      </c>
      <c r="Z78" s="1615">
        <v>0</v>
      </c>
      <c r="AA78" s="1615">
        <v>0</v>
      </c>
      <c r="AB78" s="1615">
        <v>0</v>
      </c>
      <c r="AC78" s="1615">
        <v>0</v>
      </c>
      <c r="AD78" s="203"/>
      <c r="AE78" s="203"/>
      <c r="AF78" s="203"/>
      <c r="AG78" s="203"/>
      <c r="AK78" s="883"/>
    </row>
    <row r="79" spans="1:57" hidden="1" outlineLevel="1" x14ac:dyDescent="0.25">
      <c r="B79" s="1233"/>
      <c r="C79" s="225"/>
      <c r="D79" s="4328"/>
      <c r="E79" s="420" t="str">
        <f t="shared" si="32"/>
        <v>Air Sealing (Infiltration reduction) - 30% SF IE DI heat pump base</v>
      </c>
      <c r="F79" s="1615">
        <v>0.25700000000000001</v>
      </c>
      <c r="G79" s="3201" t="s">
        <v>285</v>
      </c>
      <c r="H79" s="1204"/>
      <c r="V79" s="4248"/>
      <c r="W79" s="897">
        <v>0.25700000000000001</v>
      </c>
      <c r="X79" s="897">
        <v>0.25700000000000001</v>
      </c>
      <c r="Y79" s="897">
        <v>0.25700000000000001</v>
      </c>
      <c r="Z79" s="1615">
        <v>0.25700000000000001</v>
      </c>
      <c r="AA79" s="1615">
        <v>0.25700000000000001</v>
      </c>
      <c r="AB79" s="1615">
        <v>0.25700000000000001</v>
      </c>
      <c r="AC79" s="1615">
        <v>0.25700000000000001</v>
      </c>
      <c r="AD79" s="899"/>
      <c r="AE79" s="899"/>
      <c r="AF79" s="899"/>
      <c r="AG79" s="899"/>
      <c r="AK79" s="883"/>
    </row>
    <row r="80" spans="1:57" hidden="1" outlineLevel="1" x14ac:dyDescent="0.25">
      <c r="B80" s="1233"/>
      <c r="C80" s="225"/>
      <c r="D80" s="4328"/>
      <c r="E80" s="420" t="str">
        <f t="shared" si="32"/>
        <v>MH Adjusted Air Sealing (Infiltration reduction) - 30% SF IE DI electric furnace base</v>
      </c>
      <c r="F80" s="1615">
        <v>0.41299999999999998</v>
      </c>
      <c r="G80" s="3201" t="s">
        <v>285</v>
      </c>
      <c r="H80" s="1204"/>
      <c r="V80" s="4248"/>
      <c r="W80" s="897">
        <v>0.41299999999999998</v>
      </c>
      <c r="X80" s="897">
        <v>0.41299999999999998</v>
      </c>
      <c r="Y80" s="897">
        <v>0.41299999999999998</v>
      </c>
      <c r="Z80" s="1615">
        <v>0.41299999999999998</v>
      </c>
      <c r="AA80" s="1615">
        <v>0.41299999999999998</v>
      </c>
      <c r="AB80" s="1615">
        <v>0.41299999999999998</v>
      </c>
      <c r="AC80" s="1615">
        <v>0.41299999999999998</v>
      </c>
      <c r="AD80" s="899"/>
      <c r="AE80" s="899"/>
      <c r="AF80" s="899"/>
      <c r="AG80" s="899"/>
      <c r="AK80" s="883"/>
    </row>
    <row r="81" spans="2:37" hidden="1" outlineLevel="1" x14ac:dyDescent="0.25">
      <c r="B81" s="1233"/>
      <c r="C81" s="225"/>
      <c r="D81" s="3705"/>
      <c r="E81" s="420" t="str">
        <f t="shared" si="32"/>
        <v>MH Adjusted Air Sealing (Infiltration reduction) - 30% SF IE DI heat pump base</v>
      </c>
      <c r="F81" s="1615">
        <v>0.39100000000000001</v>
      </c>
      <c r="G81" s="3201" t="s">
        <v>285</v>
      </c>
      <c r="H81" s="1204"/>
      <c r="V81" s="3815"/>
      <c r="W81" s="897"/>
      <c r="X81" s="897"/>
      <c r="Y81" s="898">
        <v>0.39100000000000001</v>
      </c>
      <c r="Z81" s="1615">
        <v>0.39100000000000001</v>
      </c>
      <c r="AA81" s="1615">
        <v>0.39100000000000001</v>
      </c>
      <c r="AB81" s="1615">
        <v>0.39100000000000001</v>
      </c>
      <c r="AC81" s="1615">
        <v>0.39100000000000001</v>
      </c>
      <c r="AD81" s="899"/>
      <c r="AE81" s="899"/>
      <c r="AF81" s="899"/>
      <c r="AG81" s="899"/>
      <c r="AK81" s="883"/>
    </row>
    <row r="82" spans="2:37" hidden="1" outlineLevel="1" x14ac:dyDescent="0.25">
      <c r="B82" s="1233"/>
      <c r="C82" s="225"/>
      <c r="D82" s="3804"/>
      <c r="E82" s="420" t="str">
        <f t="shared" si="32"/>
        <v>MH Adjusted Air Sealing (Infiltration reduction) - 30% SF IE DI gas furnace base</v>
      </c>
      <c r="F82" s="1615">
        <v>0</v>
      </c>
      <c r="G82" s="3201" t="s">
        <v>285</v>
      </c>
      <c r="H82" s="1204"/>
      <c r="V82" s="3807"/>
      <c r="W82" s="897"/>
      <c r="X82" s="897"/>
      <c r="Y82" s="898">
        <v>0</v>
      </c>
      <c r="Z82" s="1615">
        <v>0</v>
      </c>
      <c r="AA82" s="1615">
        <v>0</v>
      </c>
      <c r="AB82" s="1615">
        <v>0</v>
      </c>
      <c r="AC82" s="1615">
        <v>0</v>
      </c>
      <c r="AD82" s="899"/>
      <c r="AE82" s="899"/>
      <c r="AF82" s="899"/>
      <c r="AG82" s="899"/>
      <c r="AK82" s="883"/>
    </row>
    <row r="83" spans="2:37" hidden="1" outlineLevel="1" x14ac:dyDescent="0.25">
      <c r="B83" s="1233"/>
      <c r="C83" s="225"/>
      <c r="D83" s="4327" t="s">
        <v>1632</v>
      </c>
      <c r="E83" s="420" t="str">
        <f>E75</f>
        <v>Air Sealing (Infiltration reduction) - 30% MF IE DI electric furnace base</v>
      </c>
      <c r="F83" s="983">
        <v>1</v>
      </c>
      <c r="G83" s="3182" t="s">
        <v>1633</v>
      </c>
      <c r="H83" s="982" t="s">
        <v>1634</v>
      </c>
      <c r="V83" s="4247" t="str">
        <f>D83</f>
        <v>Sq. Ft.</v>
      </c>
      <c r="W83" s="901">
        <f>1387*0.65</f>
        <v>901.55000000000007</v>
      </c>
      <c r="X83" s="901">
        <v>901.55000000000007</v>
      </c>
      <c r="Y83" s="900">
        <v>1</v>
      </c>
      <c r="Z83" s="983">
        <v>1</v>
      </c>
      <c r="AA83" s="983">
        <v>1</v>
      </c>
      <c r="AB83" s="983">
        <v>1</v>
      </c>
      <c r="AC83" s="983">
        <v>1</v>
      </c>
      <c r="AD83" s="899"/>
      <c r="AE83" s="899"/>
      <c r="AF83" s="899"/>
      <c r="AG83" s="899"/>
      <c r="AK83" s="883"/>
    </row>
    <row r="84" spans="2:37" hidden="1" outlineLevel="1" x14ac:dyDescent="0.25">
      <c r="B84" s="1233"/>
      <c r="C84" s="225"/>
      <c r="D84" s="4328"/>
      <c r="E84" s="420" t="str">
        <f t="shared" ref="E84:E106" si="33">E76</f>
        <v>Air Sealing (Infiltration reduction) - 30% MF IE DI heat pump base</v>
      </c>
      <c r="F84" s="983">
        <v>1</v>
      </c>
      <c r="G84" s="3182" t="s">
        <v>1633</v>
      </c>
      <c r="H84" s="982" t="s">
        <v>1634</v>
      </c>
      <c r="V84" s="4248"/>
      <c r="W84" s="901">
        <f>1387*0.65</f>
        <v>901.55000000000007</v>
      </c>
      <c r="X84" s="901">
        <v>901.55000000000007</v>
      </c>
      <c r="Y84" s="900">
        <v>1</v>
      </c>
      <c r="Z84" s="983">
        <v>1</v>
      </c>
      <c r="AA84" s="983">
        <v>1</v>
      </c>
      <c r="AB84" s="983">
        <v>1</v>
      </c>
      <c r="AC84" s="983">
        <v>1</v>
      </c>
      <c r="AD84" s="899"/>
      <c r="AE84" s="899"/>
      <c r="AF84" s="899"/>
      <c r="AG84" s="899"/>
      <c r="AK84" s="883"/>
    </row>
    <row r="85" spans="2:37" hidden="1" outlineLevel="1" x14ac:dyDescent="0.25">
      <c r="B85" s="1233"/>
      <c r="C85" s="225"/>
      <c r="D85" s="4328"/>
      <c r="E85" s="420" t="str">
        <f t="shared" si="33"/>
        <v>Air Sealing (Infiltration reduction) - 30% SF IE DI electric furnace base</v>
      </c>
      <c r="F85" s="983">
        <v>1</v>
      </c>
      <c r="G85" s="3182" t="s">
        <v>1635</v>
      </c>
      <c r="H85" s="982"/>
      <c r="V85" s="4248"/>
      <c r="W85" s="901">
        <v>1387</v>
      </c>
      <c r="X85" s="901">
        <v>1387</v>
      </c>
      <c r="Y85" s="900">
        <v>1</v>
      </c>
      <c r="Z85" s="983">
        <v>1</v>
      </c>
      <c r="AA85" s="983">
        <v>1</v>
      </c>
      <c r="AB85" s="983">
        <v>1</v>
      </c>
      <c r="AC85" s="983">
        <v>1</v>
      </c>
      <c r="AD85" s="899"/>
      <c r="AE85" s="899"/>
      <c r="AF85" s="899"/>
      <c r="AG85" s="899"/>
      <c r="AK85" s="883"/>
    </row>
    <row r="86" spans="2:37" hidden="1" outlineLevel="1" x14ac:dyDescent="0.25">
      <c r="B86" s="1233"/>
      <c r="C86" s="225"/>
      <c r="D86" s="4328"/>
      <c r="E86" s="420" t="str">
        <f t="shared" si="33"/>
        <v>Air Sealing (Infiltration reduction) - 30% SF IE DI Gas furnace base</v>
      </c>
      <c r="F86" s="983">
        <v>1</v>
      </c>
      <c r="G86" s="3182" t="s">
        <v>1635</v>
      </c>
      <c r="H86" s="982"/>
      <c r="V86" s="4248"/>
      <c r="W86" s="901"/>
      <c r="X86" s="901"/>
      <c r="Y86" s="900">
        <v>1</v>
      </c>
      <c r="Z86" s="983">
        <v>1</v>
      </c>
      <c r="AA86" s="983">
        <v>1</v>
      </c>
      <c r="AB86" s="983">
        <v>1</v>
      </c>
      <c r="AC86" s="983">
        <v>1</v>
      </c>
      <c r="AD86" s="899"/>
      <c r="AE86" s="899"/>
      <c r="AF86" s="899"/>
      <c r="AG86" s="899"/>
      <c r="AK86" s="883"/>
    </row>
    <row r="87" spans="2:37" hidden="1" outlineLevel="1" x14ac:dyDescent="0.25">
      <c r="B87" s="1233"/>
      <c r="C87" s="225"/>
      <c r="D87" s="4328"/>
      <c r="E87" s="420" t="str">
        <f t="shared" si="33"/>
        <v>Air Sealing (Infiltration reduction) - 30% SF IE DI heat pump base</v>
      </c>
      <c r="F87" s="983">
        <v>1</v>
      </c>
      <c r="G87" s="3182" t="s">
        <v>1636</v>
      </c>
      <c r="H87" s="982"/>
      <c r="V87" s="4248"/>
      <c r="W87" s="901">
        <v>1387</v>
      </c>
      <c r="X87" s="901">
        <v>1387</v>
      </c>
      <c r="Y87" s="900">
        <v>1</v>
      </c>
      <c r="Z87" s="983">
        <v>1</v>
      </c>
      <c r="AA87" s="983">
        <v>1</v>
      </c>
      <c r="AB87" s="983">
        <v>1</v>
      </c>
      <c r="AC87" s="983">
        <v>1</v>
      </c>
      <c r="AD87" s="899"/>
      <c r="AE87" s="899"/>
      <c r="AF87" s="899"/>
      <c r="AG87" s="899"/>
      <c r="AK87" s="883"/>
    </row>
    <row r="88" spans="2:37" hidden="1" outlineLevel="1" x14ac:dyDescent="0.25">
      <c r="B88" s="1233"/>
      <c r="C88" s="225"/>
      <c r="D88" s="4328"/>
      <c r="E88" s="420" t="str">
        <f t="shared" si="33"/>
        <v>MH Adjusted Air Sealing (Infiltration reduction) - 30% SF IE DI electric furnace base</v>
      </c>
      <c r="F88" s="983">
        <v>1</v>
      </c>
      <c r="G88" s="3182" t="s">
        <v>1637</v>
      </c>
      <c r="H88" s="982"/>
      <c r="V88" s="4248"/>
      <c r="W88" s="901">
        <f>15*72</f>
        <v>1080</v>
      </c>
      <c r="X88" s="901">
        <v>1080</v>
      </c>
      <c r="Y88" s="900">
        <v>1</v>
      </c>
      <c r="Z88" s="983">
        <v>1</v>
      </c>
      <c r="AA88" s="983">
        <v>1</v>
      </c>
      <c r="AB88" s="983">
        <v>1</v>
      </c>
      <c r="AC88" s="983">
        <v>1</v>
      </c>
      <c r="AD88" s="899"/>
      <c r="AE88" s="899"/>
      <c r="AF88" s="899"/>
      <c r="AG88" s="899"/>
      <c r="AK88" s="883"/>
    </row>
    <row r="89" spans="2:37" hidden="1" outlineLevel="1" x14ac:dyDescent="0.25">
      <c r="B89" s="1233"/>
      <c r="C89" s="225"/>
      <c r="D89" s="3705"/>
      <c r="E89" s="420" t="str">
        <f t="shared" si="33"/>
        <v>MH Adjusted Air Sealing (Infiltration reduction) - 30% SF IE DI heat pump base</v>
      </c>
      <c r="F89" s="983">
        <v>1</v>
      </c>
      <c r="G89" s="3182" t="s">
        <v>1637</v>
      </c>
      <c r="H89" s="982"/>
      <c r="V89" s="3815"/>
      <c r="W89" s="901"/>
      <c r="X89" s="901"/>
      <c r="Y89" s="900">
        <v>1</v>
      </c>
      <c r="Z89" s="983">
        <v>1</v>
      </c>
      <c r="AA89" s="983">
        <v>1</v>
      </c>
      <c r="AB89" s="983">
        <v>1</v>
      </c>
      <c r="AC89" s="983">
        <v>1</v>
      </c>
      <c r="AD89" s="899"/>
      <c r="AE89" s="899"/>
      <c r="AF89" s="899"/>
      <c r="AG89" s="899"/>
      <c r="AK89" s="883"/>
    </row>
    <row r="90" spans="2:37" hidden="1" outlineLevel="1" x14ac:dyDescent="0.25">
      <c r="B90" s="1233"/>
      <c r="C90" s="225"/>
      <c r="D90" s="3804"/>
      <c r="E90" s="420" t="str">
        <f t="shared" si="33"/>
        <v>MH Adjusted Air Sealing (Infiltration reduction) - 30% SF IE DI gas furnace base</v>
      </c>
      <c r="F90" s="983">
        <v>1</v>
      </c>
      <c r="G90" s="3182" t="s">
        <v>1637</v>
      </c>
      <c r="H90" s="982"/>
      <c r="V90" s="3807"/>
      <c r="W90" s="901"/>
      <c r="X90" s="901"/>
      <c r="Y90" s="900">
        <v>1</v>
      </c>
      <c r="Z90" s="983">
        <v>1</v>
      </c>
      <c r="AA90" s="983">
        <v>1</v>
      </c>
      <c r="AB90" s="983">
        <v>1</v>
      </c>
      <c r="AC90" s="983">
        <v>1</v>
      </c>
      <c r="AD90" s="899"/>
      <c r="AE90" s="899"/>
      <c r="AF90" s="899"/>
      <c r="AG90" s="899"/>
      <c r="AK90" s="883"/>
    </row>
    <row r="91" spans="2:37" ht="15" hidden="1" customHeight="1" outlineLevel="1" x14ac:dyDescent="0.25">
      <c r="B91" s="1233"/>
      <c r="C91" s="225"/>
      <c r="D91" s="4327" t="s">
        <v>1638</v>
      </c>
      <c r="E91" s="420" t="str">
        <f>E83</f>
        <v>Air Sealing (Infiltration reduction) - 30% MF IE DI electric furnace base</v>
      </c>
      <c r="F91" s="1616">
        <v>4.2999999999999997E-2</v>
      </c>
      <c r="G91" s="3182" t="s">
        <v>285</v>
      </c>
      <c r="H91" s="982"/>
      <c r="V91" s="4247" t="str">
        <f>D91</f>
        <v>Defaultcool</v>
      </c>
      <c r="W91" s="897">
        <v>4.2999999999999997E-2</v>
      </c>
      <c r="X91" s="897">
        <v>4.2999999999999997E-2</v>
      </c>
      <c r="Y91" s="902">
        <v>4.2999999999999997E-2</v>
      </c>
      <c r="Z91" s="1616">
        <v>4.2999999999999997E-2</v>
      </c>
      <c r="AA91" s="1616">
        <v>4.2999999999999997E-2</v>
      </c>
      <c r="AB91" s="1616">
        <v>4.2999999999999997E-2</v>
      </c>
      <c r="AC91" s="1616">
        <v>4.2999999999999997E-2</v>
      </c>
      <c r="AD91" s="899"/>
      <c r="AE91" s="899"/>
      <c r="AF91" s="899"/>
      <c r="AG91" s="899"/>
      <c r="AK91" s="883"/>
    </row>
    <row r="92" spans="2:37" hidden="1" outlineLevel="1" x14ac:dyDescent="0.25">
      <c r="B92" s="1233"/>
      <c r="C92" s="225"/>
      <c r="D92" s="4328"/>
      <c r="E92" s="420" t="str">
        <f t="shared" si="33"/>
        <v>Air Sealing (Infiltration reduction) - 30% MF IE DI heat pump base</v>
      </c>
      <c r="F92" s="1616">
        <v>4.2999999999999997E-2</v>
      </c>
      <c r="G92" s="3182" t="s">
        <v>285</v>
      </c>
      <c r="H92" s="982"/>
      <c r="V92" s="4248"/>
      <c r="W92" s="897">
        <v>4.2999999999999997E-2</v>
      </c>
      <c r="X92" s="897">
        <v>4.2999999999999997E-2</v>
      </c>
      <c r="Y92" s="902">
        <v>4.2999999999999997E-2</v>
      </c>
      <c r="Z92" s="1616">
        <v>4.2999999999999997E-2</v>
      </c>
      <c r="AA92" s="1616">
        <v>4.2999999999999997E-2</v>
      </c>
      <c r="AB92" s="1616">
        <v>4.2999999999999997E-2</v>
      </c>
      <c r="AC92" s="1616">
        <v>4.2999999999999997E-2</v>
      </c>
      <c r="AD92" s="899"/>
      <c r="AE92" s="899"/>
      <c r="AF92" s="899"/>
      <c r="AG92" s="899"/>
      <c r="AK92" s="883"/>
    </row>
    <row r="93" spans="2:37" hidden="1" outlineLevel="1" x14ac:dyDescent="0.25">
      <c r="B93" s="1233"/>
      <c r="C93" s="225"/>
      <c r="D93" s="4328"/>
      <c r="E93" s="420" t="str">
        <f t="shared" si="33"/>
        <v>Air Sealing (Infiltration reduction) - 30% SF IE DI electric furnace base</v>
      </c>
      <c r="F93" s="1616">
        <v>0.05</v>
      </c>
      <c r="G93" s="3182" t="s">
        <v>285</v>
      </c>
      <c r="H93" s="982"/>
      <c r="V93" s="4248"/>
      <c r="W93" s="897">
        <v>0.05</v>
      </c>
      <c r="X93" s="897">
        <v>0.05</v>
      </c>
      <c r="Y93" s="902">
        <v>0.05</v>
      </c>
      <c r="Z93" s="1616">
        <v>0.05</v>
      </c>
      <c r="AA93" s="1616">
        <v>0.05</v>
      </c>
      <c r="AB93" s="1616">
        <v>0.05</v>
      </c>
      <c r="AC93" s="1616">
        <v>0.05</v>
      </c>
      <c r="AD93" s="899"/>
      <c r="AE93" s="899"/>
      <c r="AF93" s="899"/>
      <c r="AG93" s="899"/>
      <c r="AK93" s="883"/>
    </row>
    <row r="94" spans="2:37" hidden="1" outlineLevel="1" x14ac:dyDescent="0.25">
      <c r="B94" s="1233"/>
      <c r="C94" s="225"/>
      <c r="D94" s="4328"/>
      <c r="E94" s="420" t="str">
        <f t="shared" si="33"/>
        <v>Air Sealing (Infiltration reduction) - 30% SF IE DI Gas furnace base</v>
      </c>
      <c r="F94" s="1616">
        <f>F93</f>
        <v>0.05</v>
      </c>
      <c r="G94" s="3182" t="s">
        <v>285</v>
      </c>
      <c r="H94" s="982"/>
      <c r="V94" s="4248"/>
      <c r="W94" s="897"/>
      <c r="X94" s="897"/>
      <c r="Y94" s="903">
        <v>0.05</v>
      </c>
      <c r="Z94" s="1616">
        <v>0.05</v>
      </c>
      <c r="AA94" s="1616">
        <v>0.05</v>
      </c>
      <c r="AB94" s="1616">
        <v>0.05</v>
      </c>
      <c r="AC94" s="1616">
        <v>0.05</v>
      </c>
      <c r="AD94" s="899"/>
      <c r="AE94" s="899"/>
      <c r="AF94" s="899"/>
      <c r="AG94" s="899"/>
      <c r="AK94" s="883"/>
    </row>
    <row r="95" spans="2:37" hidden="1" outlineLevel="1" x14ac:dyDescent="0.25">
      <c r="B95" s="1233"/>
      <c r="C95" s="225"/>
      <c r="D95" s="4328"/>
      <c r="E95" s="420" t="str">
        <f t="shared" si="33"/>
        <v>Air Sealing (Infiltration reduction) - 30% SF IE DI heat pump base</v>
      </c>
      <c r="F95" s="1616">
        <v>0.05</v>
      </c>
      <c r="G95" s="3182" t="s">
        <v>285</v>
      </c>
      <c r="H95" s="982"/>
      <c r="V95" s="4248"/>
      <c r="W95" s="897">
        <v>0.05</v>
      </c>
      <c r="X95" s="897">
        <v>0.05</v>
      </c>
      <c r="Y95" s="902">
        <v>0.05</v>
      </c>
      <c r="Z95" s="1616">
        <v>0.05</v>
      </c>
      <c r="AA95" s="1616">
        <v>0.05</v>
      </c>
      <c r="AB95" s="1616">
        <v>0.05</v>
      </c>
      <c r="AC95" s="1616">
        <v>0.05</v>
      </c>
      <c r="AD95" s="899"/>
      <c r="AE95" s="899"/>
      <c r="AF95" s="899"/>
      <c r="AG95" s="899"/>
      <c r="AK95" s="883"/>
    </row>
    <row r="96" spans="2:37" hidden="1" outlineLevel="1" x14ac:dyDescent="0.25">
      <c r="B96" s="1233"/>
      <c r="C96" s="225"/>
      <c r="D96" s="4328"/>
      <c r="E96" s="420" t="str">
        <f t="shared" si="33"/>
        <v>MH Adjusted Air Sealing (Infiltration reduction) - 30% SF IE DI electric furnace base</v>
      </c>
      <c r="F96" s="1616">
        <v>6.2E-2</v>
      </c>
      <c r="G96" s="3182" t="s">
        <v>285</v>
      </c>
      <c r="H96" s="982"/>
      <c r="V96" s="4248"/>
      <c r="W96" s="897">
        <v>6.2E-2</v>
      </c>
      <c r="X96" s="897">
        <v>6.2E-2</v>
      </c>
      <c r="Y96" s="902">
        <v>6.2E-2</v>
      </c>
      <c r="Z96" s="1616">
        <v>6.2E-2</v>
      </c>
      <c r="AA96" s="1616">
        <v>6.2E-2</v>
      </c>
      <c r="AB96" s="1616">
        <v>6.2E-2</v>
      </c>
      <c r="AC96" s="1616">
        <v>6.2E-2</v>
      </c>
      <c r="AD96" s="899"/>
      <c r="AE96" s="899"/>
      <c r="AF96" s="899"/>
      <c r="AG96" s="899"/>
      <c r="AK96" s="883"/>
    </row>
    <row r="97" spans="2:37" hidden="1" outlineLevel="1" x14ac:dyDescent="0.25">
      <c r="B97" s="1233"/>
      <c r="C97" s="225"/>
      <c r="D97" s="3705"/>
      <c r="E97" s="420" t="str">
        <f t="shared" si="33"/>
        <v>MH Adjusted Air Sealing (Infiltration reduction) - 30% SF IE DI heat pump base</v>
      </c>
      <c r="F97" s="1616">
        <f>F96</f>
        <v>6.2E-2</v>
      </c>
      <c r="G97" s="3182" t="s">
        <v>285</v>
      </c>
      <c r="H97" s="982"/>
      <c r="V97" s="3815"/>
      <c r="W97" s="897"/>
      <c r="X97" s="897"/>
      <c r="Y97" s="903">
        <v>6.2E-2</v>
      </c>
      <c r="Z97" s="1616">
        <v>6.2E-2</v>
      </c>
      <c r="AA97" s="1616">
        <v>6.2E-2</v>
      </c>
      <c r="AB97" s="1616">
        <v>6.2E-2</v>
      </c>
      <c r="AC97" s="1616">
        <v>6.2E-2</v>
      </c>
      <c r="AD97" s="899"/>
      <c r="AE97" s="899"/>
      <c r="AF97" s="899"/>
      <c r="AG97" s="899"/>
      <c r="AK97" s="883"/>
    </row>
    <row r="98" spans="2:37" hidden="1" outlineLevel="1" x14ac:dyDescent="0.25">
      <c r="B98" s="1233"/>
      <c r="C98" s="225"/>
      <c r="D98" s="3804"/>
      <c r="E98" s="420" t="str">
        <f t="shared" si="33"/>
        <v>MH Adjusted Air Sealing (Infiltration reduction) - 30% SF IE DI gas furnace base</v>
      </c>
      <c r="F98" s="1616">
        <f>F97</f>
        <v>6.2E-2</v>
      </c>
      <c r="G98" s="3182" t="s">
        <v>285</v>
      </c>
      <c r="H98" s="982"/>
      <c r="V98" s="3807"/>
      <c r="W98" s="897"/>
      <c r="X98" s="897"/>
      <c r="Y98" s="903">
        <v>6.2E-2</v>
      </c>
      <c r="Z98" s="1616">
        <v>6.2E-2</v>
      </c>
      <c r="AA98" s="1616">
        <v>6.2E-2</v>
      </c>
      <c r="AB98" s="1616">
        <v>6.2E-2</v>
      </c>
      <c r="AC98" s="1616">
        <v>6.2E-2</v>
      </c>
      <c r="AD98" s="899"/>
      <c r="AE98" s="899"/>
      <c r="AF98" s="899"/>
      <c r="AG98" s="899"/>
      <c r="AK98" s="883"/>
    </row>
    <row r="99" spans="2:37" hidden="1" outlineLevel="1" x14ac:dyDescent="0.25">
      <c r="B99" s="1233"/>
      <c r="C99" s="225"/>
      <c r="D99" s="4327" t="s">
        <v>1639</v>
      </c>
      <c r="E99" s="420" t="str">
        <f>E91</f>
        <v>Air Sealing (Infiltration reduction) - 30% MF IE DI electric furnace base</v>
      </c>
      <c r="F99" s="1617">
        <v>0</v>
      </c>
      <c r="G99" s="3182" t="s">
        <v>285</v>
      </c>
      <c r="H99" s="640" t="s">
        <v>1640</v>
      </c>
      <c r="V99" s="4327" t="s">
        <v>1639</v>
      </c>
      <c r="W99" s="897"/>
      <c r="X99" s="897"/>
      <c r="Y99" s="904">
        <v>0</v>
      </c>
      <c r="Z99" s="1617">
        <v>0</v>
      </c>
      <c r="AA99" s="1617">
        <v>0</v>
      </c>
      <c r="AB99" s="1617">
        <v>0</v>
      </c>
      <c r="AC99" s="1617">
        <v>0</v>
      </c>
      <c r="AD99" s="899"/>
      <c r="AE99" s="899"/>
      <c r="AF99" s="899"/>
      <c r="AG99" s="899"/>
      <c r="AK99" s="883"/>
    </row>
    <row r="100" spans="2:37" hidden="1" outlineLevel="1" x14ac:dyDescent="0.25">
      <c r="B100" s="1233"/>
      <c r="C100" s="225"/>
      <c r="D100" s="4328"/>
      <c r="E100" s="420" t="str">
        <f t="shared" si="33"/>
        <v>Air Sealing (Infiltration reduction) - 30% MF IE DI heat pump base</v>
      </c>
      <c r="F100" s="1617">
        <v>0</v>
      </c>
      <c r="G100" s="3182" t="s">
        <v>285</v>
      </c>
      <c r="H100" s="640" t="s">
        <v>1640</v>
      </c>
      <c r="V100" s="4328"/>
      <c r="W100" s="897"/>
      <c r="X100" s="897"/>
      <c r="Y100" s="904">
        <v>0</v>
      </c>
      <c r="Z100" s="1617">
        <v>0</v>
      </c>
      <c r="AA100" s="1617">
        <v>0</v>
      </c>
      <c r="AB100" s="1617">
        <v>0</v>
      </c>
      <c r="AC100" s="1617">
        <v>0</v>
      </c>
      <c r="AD100" s="899"/>
      <c r="AE100" s="899"/>
      <c r="AF100" s="899"/>
      <c r="AG100" s="899"/>
      <c r="AK100" s="883"/>
    </row>
    <row r="101" spans="2:37" hidden="1" outlineLevel="1" x14ac:dyDescent="0.25">
      <c r="B101" s="1233"/>
      <c r="C101" s="225"/>
      <c r="D101" s="4328"/>
      <c r="E101" s="420" t="str">
        <f t="shared" si="33"/>
        <v>Air Sealing (Infiltration reduction) - 30% SF IE DI electric furnace base</v>
      </c>
      <c r="F101" s="1617">
        <v>0</v>
      </c>
      <c r="G101" s="3182" t="s">
        <v>285</v>
      </c>
      <c r="H101" s="640" t="s">
        <v>1640</v>
      </c>
      <c r="V101" s="4328"/>
      <c r="W101" s="897"/>
      <c r="X101" s="897"/>
      <c r="Y101" s="904">
        <v>0</v>
      </c>
      <c r="Z101" s="1617">
        <v>0</v>
      </c>
      <c r="AA101" s="1617">
        <v>0</v>
      </c>
      <c r="AB101" s="1617">
        <v>0</v>
      </c>
      <c r="AC101" s="1617">
        <v>0</v>
      </c>
      <c r="AD101" s="899"/>
      <c r="AE101" s="899"/>
      <c r="AF101" s="899"/>
      <c r="AG101" s="899"/>
      <c r="AK101" s="883"/>
    </row>
    <row r="102" spans="2:37" hidden="1" outlineLevel="1" x14ac:dyDescent="0.25">
      <c r="B102" s="1233"/>
      <c r="C102" s="225"/>
      <c r="D102" s="4328"/>
      <c r="E102" s="420" t="str">
        <f t="shared" si="33"/>
        <v>Air Sealing (Infiltration reduction) - 30% SF IE DI Gas furnace base</v>
      </c>
      <c r="F102" s="1617">
        <v>1.2999999999999999E-2</v>
      </c>
      <c r="G102" s="3182" t="s">
        <v>285</v>
      </c>
      <c r="H102" s="640" t="s">
        <v>1640</v>
      </c>
      <c r="V102" s="4328"/>
      <c r="W102" s="897"/>
      <c r="X102" s="897"/>
      <c r="Y102" s="904">
        <v>1.2999999999999999E-2</v>
      </c>
      <c r="Z102" s="1617">
        <v>1.2999999999999999E-2</v>
      </c>
      <c r="AA102" s="1617">
        <v>1.2999999999999999E-2</v>
      </c>
      <c r="AB102" s="1617">
        <v>1.2999999999999999E-2</v>
      </c>
      <c r="AC102" s="1617">
        <v>1.2999999999999999E-2</v>
      </c>
      <c r="AD102" s="899"/>
      <c r="AE102" s="899"/>
      <c r="AF102" s="899"/>
      <c r="AG102" s="899"/>
      <c r="AK102" s="883"/>
    </row>
    <row r="103" spans="2:37" hidden="1" outlineLevel="1" x14ac:dyDescent="0.25">
      <c r="B103" s="1233"/>
      <c r="C103" s="225"/>
      <c r="D103" s="4328"/>
      <c r="E103" s="420" t="str">
        <f t="shared" si="33"/>
        <v>Air Sealing (Infiltration reduction) - 30% SF IE DI heat pump base</v>
      </c>
      <c r="F103" s="1617">
        <v>0</v>
      </c>
      <c r="G103" s="3182" t="s">
        <v>285</v>
      </c>
      <c r="H103" s="640" t="s">
        <v>1640</v>
      </c>
      <c r="V103" s="4328"/>
      <c r="W103" s="897"/>
      <c r="X103" s="897"/>
      <c r="Y103" s="904">
        <v>0</v>
      </c>
      <c r="Z103" s="1617">
        <v>0</v>
      </c>
      <c r="AA103" s="1617">
        <v>0</v>
      </c>
      <c r="AB103" s="1617">
        <v>0</v>
      </c>
      <c r="AC103" s="1617">
        <v>0</v>
      </c>
      <c r="AD103" s="899"/>
      <c r="AE103" s="899"/>
      <c r="AF103" s="899"/>
      <c r="AG103" s="899"/>
      <c r="AK103" s="883"/>
    </row>
    <row r="104" spans="2:37" hidden="1" outlineLevel="1" x14ac:dyDescent="0.25">
      <c r="B104" s="1233"/>
      <c r="C104" s="225"/>
      <c r="D104" s="4328"/>
      <c r="E104" s="420" t="str">
        <f t="shared" si="33"/>
        <v>MH Adjusted Air Sealing (Infiltration reduction) - 30% SF IE DI electric furnace base</v>
      </c>
      <c r="F104" s="1617">
        <v>0</v>
      </c>
      <c r="G104" s="3182" t="s">
        <v>285</v>
      </c>
      <c r="H104" s="640" t="s">
        <v>1640</v>
      </c>
      <c r="V104" s="4328"/>
      <c r="W104" s="897"/>
      <c r="X104" s="897"/>
      <c r="Y104" s="904">
        <v>0</v>
      </c>
      <c r="Z104" s="1617">
        <v>0</v>
      </c>
      <c r="AA104" s="1617">
        <v>0</v>
      </c>
      <c r="AB104" s="1617">
        <v>0</v>
      </c>
      <c r="AC104" s="1617">
        <v>0</v>
      </c>
      <c r="AD104" s="899"/>
      <c r="AE104" s="899"/>
      <c r="AF104" s="899"/>
      <c r="AG104" s="899"/>
      <c r="AK104" s="883"/>
    </row>
    <row r="105" spans="2:37" hidden="1" outlineLevel="1" x14ac:dyDescent="0.25">
      <c r="B105" s="1233"/>
      <c r="C105" s="225"/>
      <c r="D105" s="3705"/>
      <c r="E105" s="420" t="str">
        <f t="shared" si="33"/>
        <v>MH Adjusted Air Sealing (Infiltration reduction) - 30% SF IE DI heat pump base</v>
      </c>
      <c r="F105" s="1617">
        <v>0</v>
      </c>
      <c r="G105" s="3182" t="s">
        <v>285</v>
      </c>
      <c r="H105" s="640" t="s">
        <v>1640</v>
      </c>
      <c r="V105" s="3705"/>
      <c r="W105" s="897"/>
      <c r="X105" s="897"/>
      <c r="Y105" s="904">
        <v>0</v>
      </c>
      <c r="Z105" s="1617">
        <v>0</v>
      </c>
      <c r="AA105" s="1617">
        <v>0</v>
      </c>
      <c r="AB105" s="1617">
        <v>0</v>
      </c>
      <c r="AC105" s="1617">
        <v>0</v>
      </c>
      <c r="AD105" s="899"/>
      <c r="AE105" s="899"/>
      <c r="AF105" s="899"/>
      <c r="AG105" s="899"/>
      <c r="AK105" s="883"/>
    </row>
    <row r="106" spans="2:37" hidden="1" outlineLevel="1" x14ac:dyDescent="0.25">
      <c r="B106" s="1233"/>
      <c r="C106" s="225"/>
      <c r="D106" s="3804"/>
      <c r="E106" s="420" t="str">
        <f t="shared" si="33"/>
        <v>MH Adjusted Air Sealing (Infiltration reduction) - 30% SF IE DI gas furnace base</v>
      </c>
      <c r="F106" s="1617">
        <v>1.7000000000000001E-2</v>
      </c>
      <c r="G106" s="3182" t="s">
        <v>285</v>
      </c>
      <c r="H106" s="640" t="s">
        <v>1640</v>
      </c>
      <c r="V106" s="3804"/>
      <c r="W106" s="897"/>
      <c r="X106" s="897"/>
      <c r="Y106" s="904">
        <v>1.7000000000000001E-2</v>
      </c>
      <c r="Z106" s="1617">
        <v>1.7000000000000001E-2</v>
      </c>
      <c r="AA106" s="1617">
        <v>1.7000000000000001E-2</v>
      </c>
      <c r="AB106" s="1617">
        <v>1.7000000000000001E-2</v>
      </c>
      <c r="AC106" s="1617">
        <v>1.7000000000000001E-2</v>
      </c>
      <c r="AD106" s="899"/>
      <c r="AE106" s="899"/>
      <c r="AF106" s="899"/>
      <c r="AG106" s="899"/>
      <c r="AK106" s="883"/>
    </row>
    <row r="107" spans="2:37" hidden="1" outlineLevel="1" x14ac:dyDescent="0.25">
      <c r="B107" s="1233"/>
      <c r="C107" s="225"/>
      <c r="D107" s="3095" t="s">
        <v>311</v>
      </c>
      <c r="E107" s="420" t="s">
        <v>135</v>
      </c>
      <c r="F107" s="1617">
        <v>3.1399999999999997E-2</v>
      </c>
      <c r="G107" s="3182" t="s">
        <v>285</v>
      </c>
      <c r="H107" s="640"/>
      <c r="V107" s="3095" t="str">
        <f>D107</f>
        <v>Fe</v>
      </c>
      <c r="W107" s="897"/>
      <c r="X107" s="897"/>
      <c r="Y107" s="904">
        <v>3.1399999999999997E-2</v>
      </c>
      <c r="Z107" s="1617">
        <v>3.1399999999999997E-2</v>
      </c>
      <c r="AA107" s="1617">
        <v>3.1399999999999997E-2</v>
      </c>
      <c r="AB107" s="1617">
        <v>3.1399999999999997E-2</v>
      </c>
      <c r="AC107" s="1617">
        <v>3.1399999999999997E-2</v>
      </c>
      <c r="AD107" s="899"/>
      <c r="AE107" s="899"/>
      <c r="AF107" s="899"/>
      <c r="AG107" s="899"/>
      <c r="AK107" s="883"/>
    </row>
    <row r="108" spans="2:37" hidden="1" outlineLevel="1" x14ac:dyDescent="0.25">
      <c r="B108" s="1233"/>
      <c r="C108" s="225"/>
      <c r="D108" s="3095">
        <v>29.3</v>
      </c>
      <c r="E108" s="420" t="s">
        <v>135</v>
      </c>
      <c r="F108" s="1617">
        <v>29.3</v>
      </c>
      <c r="G108" s="3182" t="s">
        <v>285</v>
      </c>
      <c r="H108" s="640"/>
      <c r="V108" s="3095">
        <f>D108</f>
        <v>29.3</v>
      </c>
      <c r="W108" s="897"/>
      <c r="X108" s="897"/>
      <c r="Y108" s="904">
        <v>29.3</v>
      </c>
      <c r="Z108" s="1617">
        <v>29.3</v>
      </c>
      <c r="AA108" s="1617">
        <v>29.3</v>
      </c>
      <c r="AB108" s="1617">
        <v>29.3</v>
      </c>
      <c r="AC108" s="1617">
        <v>29.3</v>
      </c>
      <c r="AD108" s="899"/>
      <c r="AE108" s="899"/>
      <c r="AF108" s="899"/>
      <c r="AG108" s="899"/>
      <c r="AK108" s="883"/>
    </row>
    <row r="109" spans="2:37" hidden="1" outlineLevel="1" x14ac:dyDescent="0.25">
      <c r="B109" s="1233"/>
      <c r="C109" s="225"/>
      <c r="D109" s="3099" t="str">
        <f>L58</f>
        <v>EUL</v>
      </c>
      <c r="E109" s="3099" t="s">
        <v>135</v>
      </c>
      <c r="F109" s="1616">
        <v>15</v>
      </c>
      <c r="G109" s="3182"/>
      <c r="H109" s="982"/>
      <c r="V109" s="3095" t="str">
        <f>D109</f>
        <v>EUL</v>
      </c>
      <c r="W109" s="897">
        <v>15</v>
      </c>
      <c r="X109" s="897">
        <v>15</v>
      </c>
      <c r="Y109" s="903">
        <v>15</v>
      </c>
      <c r="Z109" s="1616">
        <v>15</v>
      </c>
      <c r="AA109" s="1616">
        <v>15</v>
      </c>
      <c r="AB109" s="1616">
        <v>15</v>
      </c>
      <c r="AC109" s="1616">
        <v>15</v>
      </c>
      <c r="AD109" s="899"/>
      <c r="AE109" s="899"/>
      <c r="AF109" s="899"/>
      <c r="AG109" s="899"/>
      <c r="AK109" s="883"/>
    </row>
    <row r="110" spans="2:37" ht="15" hidden="1" customHeight="1" outlineLevel="1" x14ac:dyDescent="0.25">
      <c r="B110" s="1233"/>
      <c r="C110" s="225"/>
      <c r="D110" s="4327" t="str">
        <f>M58</f>
        <v>Inc. Cost</v>
      </c>
      <c r="E110" s="420" t="str">
        <f>E91</f>
        <v>Air Sealing (Infiltration reduction) - 30% MF IE DI electric furnace base</v>
      </c>
      <c r="F110" s="1616">
        <f>108.186/902</f>
        <v>0.11994013303769402</v>
      </c>
      <c r="G110" s="3182" t="s">
        <v>1633</v>
      </c>
      <c r="H110" s="4340" t="s">
        <v>1641</v>
      </c>
      <c r="V110" s="4247" t="str">
        <f>D110</f>
        <v>Inc. Cost</v>
      </c>
      <c r="W110" s="897">
        <v>4.2999999999999997E-2</v>
      </c>
      <c r="X110" s="897">
        <v>4.2999999999999997E-2</v>
      </c>
      <c r="Y110" s="903">
        <v>0.11994013303769402</v>
      </c>
      <c r="Z110" s="1616">
        <v>0.11994013303769402</v>
      </c>
      <c r="AA110" s="1616">
        <v>0.11994013303769402</v>
      </c>
      <c r="AB110" s="1616">
        <v>0.11994013303769402</v>
      </c>
      <c r="AC110" s="1616">
        <v>0.11994013303769402</v>
      </c>
      <c r="AD110" s="899"/>
      <c r="AE110" s="899"/>
      <c r="AF110" s="899"/>
      <c r="AG110" s="899"/>
      <c r="AK110" s="883"/>
    </row>
    <row r="111" spans="2:37" hidden="1" outlineLevel="1" x14ac:dyDescent="0.25">
      <c r="B111" s="1233"/>
      <c r="C111" s="225"/>
      <c r="D111" s="4328"/>
      <c r="E111" s="420" t="str">
        <f t="shared" ref="E111:E117" si="34">E92</f>
        <v>Air Sealing (Infiltration reduction) - 30% MF IE DI heat pump base</v>
      </c>
      <c r="F111" s="1616">
        <f>108.186/902</f>
        <v>0.11994013303769402</v>
      </c>
      <c r="G111" s="3182" t="s">
        <v>1633</v>
      </c>
      <c r="H111" s="3837"/>
      <c r="V111" s="4248"/>
      <c r="W111" s="897">
        <v>4.2999999999999997E-2</v>
      </c>
      <c r="X111" s="897">
        <v>4.2999999999999997E-2</v>
      </c>
      <c r="Y111" s="903">
        <v>0.11994013303769402</v>
      </c>
      <c r="Z111" s="1616">
        <v>0.11994013303769402</v>
      </c>
      <c r="AA111" s="1616">
        <v>0.11994013303769402</v>
      </c>
      <c r="AB111" s="1616">
        <v>0.11994013303769402</v>
      </c>
      <c r="AC111" s="1616">
        <v>0.11994013303769402</v>
      </c>
      <c r="AD111" s="899"/>
      <c r="AE111" s="899"/>
      <c r="AF111" s="899"/>
      <c r="AG111" s="899"/>
      <c r="AK111" s="883"/>
    </row>
    <row r="112" spans="2:37" hidden="1" outlineLevel="1" x14ac:dyDescent="0.25">
      <c r="B112" s="1233"/>
      <c r="C112" s="225"/>
      <c r="D112" s="4328"/>
      <c r="E112" s="420" t="str">
        <f t="shared" si="34"/>
        <v>Air Sealing (Infiltration reduction) - 30% SF IE DI electric furnace base</v>
      </c>
      <c r="F112" s="1616">
        <f>166.44/1387</f>
        <v>0.12</v>
      </c>
      <c r="G112" s="3182" t="s">
        <v>1635</v>
      </c>
      <c r="H112" s="3837"/>
      <c r="V112" s="4248"/>
      <c r="W112" s="897">
        <v>0.05</v>
      </c>
      <c r="X112" s="897">
        <v>0.05</v>
      </c>
      <c r="Y112" s="903">
        <v>0.12</v>
      </c>
      <c r="Z112" s="1616">
        <v>0.12</v>
      </c>
      <c r="AA112" s="1616">
        <v>0.12</v>
      </c>
      <c r="AB112" s="1616">
        <v>0.12</v>
      </c>
      <c r="AC112" s="1616">
        <v>0.12</v>
      </c>
      <c r="AD112" s="899"/>
      <c r="AE112" s="899"/>
      <c r="AF112" s="899"/>
      <c r="AG112" s="899"/>
      <c r="AK112" s="883"/>
    </row>
    <row r="113" spans="1:57" hidden="1" outlineLevel="1" x14ac:dyDescent="0.25">
      <c r="B113" s="1233"/>
      <c r="C113" s="225"/>
      <c r="D113" s="4328"/>
      <c r="E113" s="420" t="str">
        <f t="shared" si="34"/>
        <v>Air Sealing (Infiltration reduction) - 30% SF IE DI Gas furnace base</v>
      </c>
      <c r="F113" s="1616">
        <f>166.44/1387</f>
        <v>0.12</v>
      </c>
      <c r="G113" s="3182" t="s">
        <v>1635</v>
      </c>
      <c r="H113" s="3837"/>
      <c r="V113" s="4248"/>
      <c r="W113" s="897"/>
      <c r="X113" s="897"/>
      <c r="Y113" s="903">
        <v>0.12</v>
      </c>
      <c r="Z113" s="1616">
        <v>0.12</v>
      </c>
      <c r="AA113" s="1616">
        <v>0.12</v>
      </c>
      <c r="AB113" s="1616">
        <v>0.12</v>
      </c>
      <c r="AC113" s="1616">
        <v>0.12</v>
      </c>
      <c r="AD113" s="899"/>
      <c r="AE113" s="899"/>
      <c r="AF113" s="899"/>
      <c r="AG113" s="899"/>
      <c r="AK113" s="883"/>
    </row>
    <row r="114" spans="1:57" hidden="1" outlineLevel="1" x14ac:dyDescent="0.25">
      <c r="B114" s="1233"/>
      <c r="C114" s="225"/>
      <c r="D114" s="4328"/>
      <c r="E114" s="420" t="str">
        <f t="shared" si="34"/>
        <v>Air Sealing (Infiltration reduction) - 30% SF IE DI heat pump base</v>
      </c>
      <c r="F114" s="1616">
        <f>166.44/1387</f>
        <v>0.12</v>
      </c>
      <c r="G114" s="3182" t="s">
        <v>1636</v>
      </c>
      <c r="H114" s="3837"/>
      <c r="V114" s="4248"/>
      <c r="W114" s="897">
        <v>0.05</v>
      </c>
      <c r="X114" s="897">
        <v>0.05</v>
      </c>
      <c r="Y114" s="903">
        <v>0.12</v>
      </c>
      <c r="Z114" s="1616">
        <v>0.12</v>
      </c>
      <c r="AA114" s="1616">
        <v>0.12</v>
      </c>
      <c r="AB114" s="1616">
        <v>0.12</v>
      </c>
      <c r="AC114" s="1616">
        <v>0.12</v>
      </c>
      <c r="AD114" s="899"/>
      <c r="AE114" s="899"/>
      <c r="AF114" s="899"/>
      <c r="AG114" s="899"/>
      <c r="AK114" s="883"/>
    </row>
    <row r="115" spans="1:57" hidden="1" outlineLevel="1" x14ac:dyDescent="0.25">
      <c r="B115" s="1233"/>
      <c r="C115" s="225"/>
      <c r="D115" s="4328"/>
      <c r="E115" s="420" t="str">
        <f t="shared" si="34"/>
        <v>MH Adjusted Air Sealing (Infiltration reduction) - 30% SF IE DI electric furnace base</v>
      </c>
      <c r="F115" s="1616">
        <f>129.6/1080</f>
        <v>0.12</v>
      </c>
      <c r="G115" s="3182" t="s">
        <v>1637</v>
      </c>
      <c r="H115" s="3837"/>
      <c r="V115" s="4248"/>
      <c r="W115" s="897">
        <v>6.2E-2</v>
      </c>
      <c r="X115" s="897">
        <v>6.2E-2</v>
      </c>
      <c r="Y115" s="903">
        <v>0.12</v>
      </c>
      <c r="Z115" s="1616">
        <v>0.12</v>
      </c>
      <c r="AA115" s="1616">
        <v>0.12</v>
      </c>
      <c r="AB115" s="1616">
        <v>0.12</v>
      </c>
      <c r="AC115" s="1616">
        <v>0.12</v>
      </c>
      <c r="AD115" s="899"/>
      <c r="AE115" s="899"/>
      <c r="AF115" s="899"/>
      <c r="AG115" s="899"/>
      <c r="AK115" s="883"/>
    </row>
    <row r="116" spans="1:57" hidden="1" outlineLevel="1" x14ac:dyDescent="0.25">
      <c r="B116" s="1233"/>
      <c r="C116" s="225"/>
      <c r="D116" s="3705"/>
      <c r="E116" s="420" t="str">
        <f t="shared" si="34"/>
        <v>MH Adjusted Air Sealing (Infiltration reduction) - 30% SF IE DI heat pump base</v>
      </c>
      <c r="F116" s="1616">
        <f>129.6/1080</f>
        <v>0.12</v>
      </c>
      <c r="G116" s="3182" t="s">
        <v>1637</v>
      </c>
      <c r="H116" s="3837"/>
      <c r="V116" s="3815"/>
      <c r="W116" s="897"/>
      <c r="X116" s="897"/>
      <c r="Y116" s="903">
        <v>0.12</v>
      </c>
      <c r="Z116" s="1616">
        <v>0.12</v>
      </c>
      <c r="AA116" s="1616">
        <v>0.12</v>
      </c>
      <c r="AB116" s="1616">
        <v>0.12</v>
      </c>
      <c r="AC116" s="1616">
        <v>0.12</v>
      </c>
      <c r="AD116" s="899"/>
      <c r="AE116" s="899"/>
      <c r="AF116" s="899"/>
      <c r="AG116" s="899"/>
      <c r="AK116" s="883"/>
    </row>
    <row r="117" spans="1:57" hidden="1" outlineLevel="1" x14ac:dyDescent="0.25">
      <c r="B117" s="1233"/>
      <c r="C117" s="225"/>
      <c r="D117" s="3804"/>
      <c r="E117" s="420" t="str">
        <f t="shared" si="34"/>
        <v>MH Adjusted Air Sealing (Infiltration reduction) - 30% SF IE DI gas furnace base</v>
      </c>
      <c r="F117" s="1616">
        <f>129.6/1080</f>
        <v>0.12</v>
      </c>
      <c r="G117" s="3182" t="s">
        <v>1637</v>
      </c>
      <c r="H117" s="3838"/>
      <c r="V117" s="3807"/>
      <c r="W117" s="897"/>
      <c r="X117" s="897"/>
      <c r="Y117" s="903">
        <v>0.12</v>
      </c>
      <c r="Z117" s="1616">
        <v>0.12</v>
      </c>
      <c r="AA117" s="1616">
        <v>0.12</v>
      </c>
      <c r="AB117" s="1616">
        <v>0.12</v>
      </c>
      <c r="AC117" s="1616">
        <v>0.12</v>
      </c>
      <c r="AD117" s="899"/>
      <c r="AE117" s="899"/>
      <c r="AF117" s="899"/>
      <c r="AG117" s="899"/>
      <c r="AK117" s="883"/>
    </row>
    <row r="118" spans="1:57" collapsed="1" x14ac:dyDescent="0.25">
      <c r="B118" s="1233"/>
      <c r="C118" s="225"/>
      <c r="E118" s="3149"/>
      <c r="Y118" s="1500" t="s">
        <v>1642</v>
      </c>
      <c r="AK118" s="883"/>
    </row>
    <row r="119" spans="1:57" x14ac:dyDescent="0.25">
      <c r="AK119" s="883"/>
    </row>
    <row r="120" spans="1:57" s="892" customFormat="1" x14ac:dyDescent="0.25">
      <c r="A120" s="910"/>
      <c r="B120" s="3750" t="s">
        <v>1643</v>
      </c>
      <c r="C120" s="3751"/>
      <c r="D120" s="3751"/>
      <c r="E120" s="3751"/>
      <c r="F120" s="3751"/>
      <c r="G120" s="3751"/>
      <c r="H120" s="3751"/>
      <c r="I120" s="3744"/>
      <c r="J120" s="3744"/>
      <c r="K120" s="3744"/>
      <c r="L120" s="3744"/>
      <c r="M120" s="3744"/>
      <c r="N120" s="3744"/>
      <c r="O120" s="3744"/>
      <c r="P120" s="3744"/>
      <c r="Q120" s="3744"/>
      <c r="R120" s="3745"/>
      <c r="S120" s="910"/>
      <c r="T120" s="910"/>
      <c r="U120" s="910"/>
      <c r="V120" s="3750" t="str">
        <f>B120</f>
        <v>Ceiling Insulation</v>
      </c>
      <c r="W120" s="3751"/>
      <c r="X120" s="3751"/>
      <c r="Y120" s="3751"/>
      <c r="Z120" s="3751"/>
      <c r="AA120" s="3751"/>
      <c r="AB120" s="3751"/>
      <c r="AC120" s="3752"/>
      <c r="AD120" s="3752"/>
      <c r="AE120" s="3752"/>
      <c r="AF120" s="3752"/>
      <c r="AG120" s="3752"/>
      <c r="AH120" s="3752"/>
      <c r="AI120" s="3753"/>
      <c r="AK120" s="883"/>
      <c r="BB120" s="906"/>
    </row>
    <row r="121" spans="1:57" s="892" customFormat="1" x14ac:dyDescent="0.25">
      <c r="A121" s="910"/>
      <c r="B121" s="1606"/>
      <c r="C121" s="907"/>
      <c r="D121" s="1618"/>
      <c r="E121" s="1618"/>
      <c r="F121" s="908"/>
      <c r="G121" s="908"/>
      <c r="H121" s="908"/>
      <c r="I121" s="908"/>
      <c r="J121" s="908"/>
      <c r="K121" s="908"/>
      <c r="L121" s="1619"/>
      <c r="M121" s="910"/>
      <c r="N121" s="910"/>
      <c r="O121" s="910"/>
      <c r="P121" s="910"/>
      <c r="Q121" s="910"/>
      <c r="R121" s="910"/>
      <c r="S121" s="910"/>
      <c r="T121" s="910"/>
      <c r="U121" s="910"/>
      <c r="V121" s="224"/>
      <c r="W121" s="224"/>
      <c r="X121" s="224"/>
      <c r="Y121" s="618"/>
      <c r="Z121" s="224"/>
      <c r="AA121" s="224"/>
      <c r="AB121" s="224"/>
      <c r="AC121" s="224"/>
      <c r="AD121" s="224"/>
      <c r="AE121" s="224"/>
      <c r="AF121" s="224"/>
      <c r="AG121" s="224"/>
      <c r="AH121" s="224"/>
      <c r="AI121" s="224"/>
      <c r="AK121" s="883"/>
      <c r="BB121" s="906"/>
    </row>
    <row r="122" spans="1:57" s="892" customFormat="1" ht="45" x14ac:dyDescent="0.25">
      <c r="A122" s="910"/>
      <c r="B122" s="1606"/>
      <c r="C122" s="3086" t="s">
        <v>28</v>
      </c>
      <c r="D122" s="3086" t="s">
        <v>175</v>
      </c>
      <c r="E122" s="3086" t="s">
        <v>30</v>
      </c>
      <c r="F122" s="3086" t="s">
        <v>31</v>
      </c>
      <c r="G122" s="3086" t="s">
        <v>176</v>
      </c>
      <c r="H122" s="3086" t="s">
        <v>177</v>
      </c>
      <c r="I122" s="3086" t="s">
        <v>506</v>
      </c>
      <c r="J122" s="3086" t="s">
        <v>507</v>
      </c>
      <c r="K122" s="3086" t="s">
        <v>32</v>
      </c>
      <c r="L122" s="3140" t="s">
        <v>181</v>
      </c>
      <c r="M122" s="3086" t="s">
        <v>170</v>
      </c>
      <c r="N122" s="3086" t="s">
        <v>1644</v>
      </c>
      <c r="O122" s="910"/>
      <c r="P122" s="910"/>
      <c r="Q122" s="910"/>
      <c r="R122" s="910"/>
      <c r="S122" s="910"/>
      <c r="T122" s="910"/>
      <c r="U122" s="910"/>
      <c r="V122" s="1936" t="s">
        <v>45</v>
      </c>
      <c r="W122" s="1937">
        <f>W$6</f>
        <v>43252</v>
      </c>
      <c r="X122" s="1937">
        <f t="shared" ref="X122:AG122" si="35">X$6</f>
        <v>43465</v>
      </c>
      <c r="Y122" s="360">
        <f t="shared" si="35"/>
        <v>43800</v>
      </c>
      <c r="Z122" s="1937">
        <f t="shared" si="35"/>
        <v>43862</v>
      </c>
      <c r="AA122" s="1937">
        <f t="shared" si="35"/>
        <v>44013</v>
      </c>
      <c r="AB122" s="1937">
        <f t="shared" si="35"/>
        <v>44166</v>
      </c>
      <c r="AC122" s="1937">
        <f t="shared" si="35"/>
        <v>44531</v>
      </c>
      <c r="AD122" s="1937" t="str">
        <f t="shared" si="35"/>
        <v>-</v>
      </c>
      <c r="AE122" s="1937" t="str">
        <f t="shared" si="35"/>
        <v>-</v>
      </c>
      <c r="AF122" s="1937" t="str">
        <f t="shared" si="35"/>
        <v>-</v>
      </c>
      <c r="AG122" s="1937" t="str">
        <f t="shared" si="35"/>
        <v>-</v>
      </c>
      <c r="AH122" s="224"/>
      <c r="AI122" s="224"/>
      <c r="AK122" s="883"/>
      <c r="BB122" s="1938" t="str">
        <f>$BB$6</f>
        <v>TRC (2020)</v>
      </c>
      <c r="BC122" s="1953" t="str">
        <f>$BC$6</f>
        <v>Benefit Lookup</v>
      </c>
      <c r="BD122" s="665" t="str">
        <f>$BD$6</f>
        <v>Benefits (2019 $)</v>
      </c>
      <c r="BE122" s="230" t="str">
        <f>$BE$6</f>
        <v>Incremental Cost (2019 $)</v>
      </c>
    </row>
    <row r="123" spans="1:57" s="892" customFormat="1" x14ac:dyDescent="0.25">
      <c r="A123" s="910"/>
      <c r="B123" s="1606"/>
      <c r="C123" s="1205" t="s">
        <v>1645</v>
      </c>
      <c r="D123" s="2695" t="s">
        <v>1577</v>
      </c>
      <c r="E123" s="420" t="s">
        <v>1646</v>
      </c>
      <c r="F123" s="579">
        <f t="shared" ref="F123:F152" si="36">ROUND(I123+J123,2)</f>
        <v>1.06</v>
      </c>
      <c r="G123" s="2667" t="s">
        <v>1615</v>
      </c>
      <c r="H123" s="155">
        <f>VLOOKUP(G123,'CP FACTORS'!$A$3:$B$38, 2, FALSE)</f>
        <v>4.6608050000000002E-4</v>
      </c>
      <c r="I123" s="979">
        <f>F164*(1/(F194+5)-1/(F224+5))*F254*(1-F$284)*F$285*24*F$286/(F287*3412)+(F317*F$347*29.3)</f>
        <v>0.95509376709652194</v>
      </c>
      <c r="J123" s="1460">
        <f t="shared" ref="J123:J152" si="37">F350*(1/(F194+5)-1/(F224+5))*F254*(1-F$284)*F$348*24*F$349/(F380*1000)</f>
        <v>0.10025449318181817</v>
      </c>
      <c r="K123" s="893">
        <f>ROUND(H123*F123,6)</f>
        <v>4.9399999999999997E-4</v>
      </c>
      <c r="L123" s="2298">
        <f>$F$410</f>
        <v>25</v>
      </c>
      <c r="M123" s="2297">
        <f>F411</f>
        <v>2.1249043458397576</v>
      </c>
      <c r="N123" s="979">
        <f>F254</f>
        <v>1</v>
      </c>
      <c r="O123" s="910"/>
      <c r="P123" s="910"/>
      <c r="Q123" s="910"/>
      <c r="R123" s="910"/>
      <c r="S123" s="910"/>
      <c r="T123" s="910"/>
      <c r="U123" s="910"/>
      <c r="V123" s="160" t="str">
        <f>$F$58</f>
        <v>kWh Annual Savings</v>
      </c>
      <c r="W123" s="236">
        <v>924.01016928670083</v>
      </c>
      <c r="X123" s="424">
        <v>924.01016928670083</v>
      </c>
      <c r="Y123" s="885">
        <v>1.06</v>
      </c>
      <c r="Z123" s="882">
        <v>1.06</v>
      </c>
      <c r="AA123" s="882">
        <v>1.06</v>
      </c>
      <c r="AB123" s="882">
        <v>1.06</v>
      </c>
      <c r="AC123" s="882">
        <v>1.06</v>
      </c>
      <c r="AD123" s="160"/>
      <c r="AE123" s="160"/>
      <c r="AF123" s="160"/>
      <c r="AG123" s="160"/>
      <c r="AH123" s="877"/>
      <c r="AI123" s="877"/>
      <c r="AK123" s="883"/>
      <c r="BB123" s="1945">
        <f t="shared" ref="BB123:BB152" si="38">(BD123)/(BE123)</f>
        <v>0.73564454661671608</v>
      </c>
      <c r="BC123" s="3166" t="str">
        <f>CONCATENATE(G123," ",L123," Year EUL")</f>
        <v>Building Shell RES 25 Year EUL</v>
      </c>
      <c r="BD123" s="111">
        <f>(INDEX('Avoided Cost Benefits'!$C$4:$C$857,MATCH(BC123,'Avoided Cost Benefits'!$A$4:$A$857,0)))*F123</f>
        <v>1.4753886683333441</v>
      </c>
      <c r="BE123" s="1946">
        <f>M123/(1.0595^(2020-2019))</f>
        <v>2.0055727662480014</v>
      </c>
    </row>
    <row r="124" spans="1:57" s="892" customFormat="1" x14ac:dyDescent="0.25">
      <c r="A124" s="910"/>
      <c r="B124" s="1606"/>
      <c r="C124" s="1205" t="s">
        <v>1647</v>
      </c>
      <c r="D124" s="2695" t="s">
        <v>1577</v>
      </c>
      <c r="E124" s="420" t="s">
        <v>1648</v>
      </c>
      <c r="F124" s="579">
        <f t="shared" si="36"/>
        <v>0.66</v>
      </c>
      <c r="G124" s="2667" t="s">
        <v>1615</v>
      </c>
      <c r="H124" s="155">
        <f>VLOOKUP(G124,'CP FACTORS'!$A$3:$B$38, 2, FALSE)</f>
        <v>4.6608050000000002E-4</v>
      </c>
      <c r="I124" s="979">
        <f t="shared" ref="I124:I152" si="39">F165*(1/(F195+5)-1/(F225+5))*F255*(1-F$284)*F$285*24*F$286/(F288*3412)+(F318*F$347*29.3)</f>
        <v>0.54769410644257699</v>
      </c>
      <c r="J124" s="1460">
        <f t="shared" si="37"/>
        <v>0.11016977272727271</v>
      </c>
      <c r="K124" s="893">
        <f t="shared" ref="K124:K152" si="40">ROUND(H124*F124,6)</f>
        <v>3.0800000000000001E-4</v>
      </c>
      <c r="L124" s="2298">
        <f t="shared" ref="L124:L152" si="41">$F$410</f>
        <v>25</v>
      </c>
      <c r="M124" s="2297">
        <f t="shared" ref="M124:M152" si="42">F412</f>
        <v>2.1249043458397576</v>
      </c>
      <c r="N124" s="979">
        <f t="shared" ref="N124:N152" si="43">F255</f>
        <v>1</v>
      </c>
      <c r="O124" s="910"/>
      <c r="P124" s="910"/>
      <c r="Q124" s="910"/>
      <c r="R124" s="910"/>
      <c r="S124" s="910"/>
      <c r="T124" s="910"/>
      <c r="U124" s="910"/>
      <c r="V124" s="160" t="str">
        <f t="shared" ref="V124:V152" si="44">$F$58</f>
        <v>kWh Annual Savings</v>
      </c>
      <c r="W124" s="236">
        <v>575.99271940716187</v>
      </c>
      <c r="X124" s="424">
        <v>575.99271940716187</v>
      </c>
      <c r="Y124" s="885">
        <v>0.66</v>
      </c>
      <c r="Z124" s="882">
        <v>0.66</v>
      </c>
      <c r="AA124" s="882">
        <v>0.66</v>
      </c>
      <c r="AB124" s="882">
        <v>0.66</v>
      </c>
      <c r="AC124" s="882">
        <v>0.66</v>
      </c>
      <c r="AD124" s="160"/>
      <c r="AE124" s="160"/>
      <c r="AF124" s="160"/>
      <c r="AG124" s="160"/>
      <c r="AH124" s="877"/>
      <c r="AI124" s="877"/>
      <c r="AK124" s="883"/>
      <c r="BB124" s="52">
        <f t="shared" si="38"/>
        <v>0.45804283091229497</v>
      </c>
      <c r="BC124" s="1948" t="str">
        <f t="shared" ref="BC124:BC152" si="45">CONCATENATE(G124," ",L124," Year EUL")</f>
        <v>Building Shell RES 25 Year EUL</v>
      </c>
      <c r="BD124" s="114">
        <f>(INDEX('Avoided Cost Benefits'!$C$4:$C$857,MATCH(BC124,'Avoided Cost Benefits'!$A$4:$A$857,0)))*F124</f>
        <v>0.91863822745283696</v>
      </c>
      <c r="BE124" s="1949">
        <f t="shared" ref="BE124:BE152" si="46">M124/(1.0595^(2020-2019))</f>
        <v>2.0055727662480014</v>
      </c>
    </row>
    <row r="125" spans="1:57" s="892" customFormat="1" x14ac:dyDescent="0.25">
      <c r="A125" s="910"/>
      <c r="B125" s="1606"/>
      <c r="C125" s="1205" t="s">
        <v>1649</v>
      </c>
      <c r="D125" s="2695" t="s">
        <v>1577</v>
      </c>
      <c r="E125" s="420" t="s">
        <v>1650</v>
      </c>
      <c r="F125" s="579">
        <f t="shared" si="36"/>
        <v>0.14000000000000001</v>
      </c>
      <c r="G125" s="2667" t="s">
        <v>1615</v>
      </c>
      <c r="H125" s="155">
        <f>VLOOKUP(G125,'CP FACTORS'!$A$3:$B$38, 2, FALSE)</f>
        <v>4.6608050000000002E-4</v>
      </c>
      <c r="I125" s="979">
        <f t="shared" si="39"/>
        <v>4.2227362172751165E-2</v>
      </c>
      <c r="J125" s="1460">
        <f t="shared" si="37"/>
        <v>0.10025449318181817</v>
      </c>
      <c r="K125" s="893">
        <f t="shared" si="40"/>
        <v>6.4999999999999994E-5</v>
      </c>
      <c r="L125" s="2298">
        <f t="shared" si="41"/>
        <v>25</v>
      </c>
      <c r="M125" s="2297">
        <f t="shared" si="42"/>
        <v>2.1249043458397576</v>
      </c>
      <c r="N125" s="979">
        <f t="shared" si="43"/>
        <v>1</v>
      </c>
      <c r="O125" s="910"/>
      <c r="P125" s="910"/>
      <c r="Q125" s="910"/>
      <c r="R125" s="910"/>
      <c r="S125" s="910"/>
      <c r="T125" s="910"/>
      <c r="U125" s="910"/>
      <c r="V125" s="160" t="str">
        <f t="shared" si="44"/>
        <v>kWh Annual Savings</v>
      </c>
      <c r="W125" s="236">
        <v>124.7499884556932</v>
      </c>
      <c r="X125" s="424">
        <v>124.7499884556932</v>
      </c>
      <c r="Y125" s="885">
        <v>0.14000000000000001</v>
      </c>
      <c r="Z125" s="882">
        <v>0.14000000000000001</v>
      </c>
      <c r="AA125" s="882">
        <v>0.14000000000000001</v>
      </c>
      <c r="AB125" s="882">
        <v>0.14000000000000001</v>
      </c>
      <c r="AC125" s="882">
        <v>0.14000000000000001</v>
      </c>
      <c r="AD125" s="160"/>
      <c r="AE125" s="160"/>
      <c r="AF125" s="160"/>
      <c r="AG125" s="160"/>
      <c r="AK125" s="883"/>
      <c r="BB125" s="52">
        <f t="shared" si="38"/>
        <v>9.7160600496547414E-2</v>
      </c>
      <c r="BC125" s="1948" t="str">
        <f t="shared" si="45"/>
        <v>Building Shell RES 25 Year EUL</v>
      </c>
      <c r="BD125" s="114">
        <f>(INDEX('Avoided Cost Benefits'!$C$4:$C$857,MATCH(BC125,'Avoided Cost Benefits'!$A$4:$A$857,0)))*F125</f>
        <v>0.19486265430817754</v>
      </c>
      <c r="BE125" s="1949">
        <f t="shared" si="46"/>
        <v>2.0055727662480014</v>
      </c>
    </row>
    <row r="126" spans="1:57" s="892" customFormat="1" x14ac:dyDescent="0.25">
      <c r="A126" s="910"/>
      <c r="B126" s="1606"/>
      <c r="C126" s="1205" t="s">
        <v>1651</v>
      </c>
      <c r="D126" s="2695" t="s">
        <v>1571</v>
      </c>
      <c r="E126" s="420" t="s">
        <v>1652</v>
      </c>
      <c r="F126" s="579">
        <f t="shared" si="36"/>
        <v>1.06</v>
      </c>
      <c r="G126" s="2667" t="s">
        <v>1615</v>
      </c>
      <c r="H126" s="155">
        <f>VLOOKUP(G126,'CP FACTORS'!$A$3:$B$38, 2, FALSE)</f>
        <v>4.6608050000000002E-4</v>
      </c>
      <c r="I126" s="979">
        <f t="shared" si="39"/>
        <v>0.95509376709652194</v>
      </c>
      <c r="J126" s="1460">
        <f t="shared" si="37"/>
        <v>0.10025449318181817</v>
      </c>
      <c r="K126" s="893">
        <f t="shared" si="40"/>
        <v>4.9399999999999997E-4</v>
      </c>
      <c r="L126" s="2298">
        <f t="shared" si="41"/>
        <v>25</v>
      </c>
      <c r="M126" s="2297">
        <f t="shared" si="42"/>
        <v>2.1249072011878249</v>
      </c>
      <c r="N126" s="979">
        <f t="shared" si="43"/>
        <v>1</v>
      </c>
      <c r="O126" s="910"/>
      <c r="P126" s="910"/>
      <c r="Q126" s="910"/>
      <c r="R126" s="910"/>
      <c r="S126" s="910"/>
      <c r="T126" s="910"/>
      <c r="U126" s="910"/>
      <c r="V126" s="160" t="str">
        <f t="shared" si="44"/>
        <v>kWh Annual Savings</v>
      </c>
      <c r="W126" s="236">
        <v>1421.5541065949242</v>
      </c>
      <c r="X126" s="424">
        <v>1421.5541065949242</v>
      </c>
      <c r="Y126" s="885">
        <v>1.06</v>
      </c>
      <c r="Z126" s="882">
        <v>1.06</v>
      </c>
      <c r="AA126" s="882">
        <v>1.06</v>
      </c>
      <c r="AB126" s="882">
        <v>1.06</v>
      </c>
      <c r="AC126" s="882">
        <v>1.06</v>
      </c>
      <c r="AD126" s="160"/>
      <c r="AE126" s="160"/>
      <c r="AF126" s="160"/>
      <c r="AG126" s="160"/>
      <c r="AK126" s="883"/>
      <c r="BB126" s="52">
        <f t="shared" si="38"/>
        <v>0.73564355809296633</v>
      </c>
      <c r="BC126" s="1948" t="str">
        <f t="shared" si="45"/>
        <v>Building Shell RES 25 Year EUL</v>
      </c>
      <c r="BD126" s="114">
        <f>(INDEX('Avoided Cost Benefits'!$C$4:$C$857,MATCH(BC126,'Avoided Cost Benefits'!$A$4:$A$857,0)))*F126</f>
        <v>1.4753886683333441</v>
      </c>
      <c r="BE126" s="1949">
        <f t="shared" si="46"/>
        <v>2.0055754612438177</v>
      </c>
    </row>
    <row r="127" spans="1:57" s="892" customFormat="1" x14ac:dyDescent="0.25">
      <c r="A127" s="910"/>
      <c r="B127" s="1606"/>
      <c r="C127" s="1205" t="s">
        <v>1653</v>
      </c>
      <c r="D127" s="2695" t="s">
        <v>1571</v>
      </c>
      <c r="E127" s="420" t="s">
        <v>1654</v>
      </c>
      <c r="F127" s="579">
        <f t="shared" si="36"/>
        <v>0.66</v>
      </c>
      <c r="G127" s="2667" t="s">
        <v>1615</v>
      </c>
      <c r="H127" s="155">
        <f>VLOOKUP(G127,'CP FACTORS'!$A$3:$B$38, 2, FALSE)</f>
        <v>4.6608050000000002E-4</v>
      </c>
      <c r="I127" s="979">
        <f t="shared" si="39"/>
        <v>0.54769410644257699</v>
      </c>
      <c r="J127" s="1460">
        <f t="shared" si="37"/>
        <v>0.11016977272727271</v>
      </c>
      <c r="K127" s="893">
        <f t="shared" si="40"/>
        <v>3.0800000000000001E-4</v>
      </c>
      <c r="L127" s="2298">
        <f t="shared" si="41"/>
        <v>25</v>
      </c>
      <c r="M127" s="2297">
        <f t="shared" si="42"/>
        <v>2.1249072011878249</v>
      </c>
      <c r="N127" s="979">
        <f t="shared" si="43"/>
        <v>1</v>
      </c>
      <c r="O127" s="910"/>
      <c r="P127" s="910"/>
      <c r="Q127" s="910"/>
      <c r="R127" s="910"/>
      <c r="S127" s="910"/>
      <c r="T127" s="910"/>
      <c r="U127" s="910"/>
      <c r="V127" s="160" t="str">
        <f t="shared" si="44"/>
        <v>kWh Annual Savings</v>
      </c>
      <c r="W127" s="236">
        <v>886.14264524178759</v>
      </c>
      <c r="X127" s="424">
        <v>886.14264524178759</v>
      </c>
      <c r="Y127" s="885">
        <v>0.66</v>
      </c>
      <c r="Z127" s="882">
        <v>0.66</v>
      </c>
      <c r="AA127" s="882">
        <v>0.66</v>
      </c>
      <c r="AB127" s="882">
        <v>0.66</v>
      </c>
      <c r="AC127" s="882">
        <v>0.66</v>
      </c>
      <c r="AD127" s="160"/>
      <c r="AE127" s="160"/>
      <c r="AF127" s="160"/>
      <c r="AG127" s="160"/>
      <c r="AK127" s="883"/>
      <c r="BB127" s="52">
        <f t="shared" si="38"/>
        <v>0.4580422154163753</v>
      </c>
      <c r="BC127" s="1948" t="str">
        <f t="shared" si="45"/>
        <v>Building Shell RES 25 Year EUL</v>
      </c>
      <c r="BD127" s="114">
        <f>(INDEX('Avoided Cost Benefits'!$C$4:$C$857,MATCH(BC127,'Avoided Cost Benefits'!$A$4:$A$857,0)))*F127</f>
        <v>0.91863822745283696</v>
      </c>
      <c r="BE127" s="1949">
        <f t="shared" si="46"/>
        <v>2.0055754612438177</v>
      </c>
    </row>
    <row r="128" spans="1:57" s="892" customFormat="1" x14ac:dyDescent="0.25">
      <c r="A128" s="910"/>
      <c r="B128" s="1606"/>
      <c r="C128" s="1205" t="s">
        <v>1655</v>
      </c>
      <c r="D128" s="2695" t="s">
        <v>1571</v>
      </c>
      <c r="E128" s="420" t="s">
        <v>1656</v>
      </c>
      <c r="F128" s="579">
        <f t="shared" si="36"/>
        <v>0.14000000000000001</v>
      </c>
      <c r="G128" s="2667" t="s">
        <v>1615</v>
      </c>
      <c r="H128" s="155">
        <f>VLOOKUP(G128,'CP FACTORS'!$A$3:$B$38, 2, FALSE)</f>
        <v>4.6608050000000002E-4</v>
      </c>
      <c r="I128" s="979">
        <f t="shared" si="39"/>
        <v>4.2227362172751165E-2</v>
      </c>
      <c r="J128" s="1460">
        <f t="shared" si="37"/>
        <v>0.10025449318181817</v>
      </c>
      <c r="K128" s="893">
        <f t="shared" si="40"/>
        <v>6.4999999999999994E-5</v>
      </c>
      <c r="L128" s="2298">
        <f t="shared" si="41"/>
        <v>25</v>
      </c>
      <c r="M128" s="2297">
        <f t="shared" si="42"/>
        <v>2.1249072011878249</v>
      </c>
      <c r="N128" s="979">
        <f t="shared" si="43"/>
        <v>1</v>
      </c>
      <c r="O128" s="910"/>
      <c r="P128" s="910"/>
      <c r="Q128" s="910"/>
      <c r="R128" s="910"/>
      <c r="S128" s="910"/>
      <c r="T128" s="910"/>
      <c r="U128" s="910"/>
      <c r="V128" s="160" t="str">
        <f t="shared" si="44"/>
        <v>kWh Annual Savings</v>
      </c>
      <c r="W128" s="236">
        <v>191.92305916260491</v>
      </c>
      <c r="X128" s="424">
        <v>191.92305916260491</v>
      </c>
      <c r="Y128" s="885">
        <v>0.14000000000000001</v>
      </c>
      <c r="Z128" s="882">
        <v>0.14000000000000001</v>
      </c>
      <c r="AA128" s="882">
        <v>0.14000000000000001</v>
      </c>
      <c r="AB128" s="882">
        <v>0.14000000000000001</v>
      </c>
      <c r="AC128" s="882">
        <v>0.14000000000000001</v>
      </c>
      <c r="AD128" s="160"/>
      <c r="AE128" s="160"/>
      <c r="AF128" s="160"/>
      <c r="AG128" s="160"/>
      <c r="AK128" s="883"/>
      <c r="BB128" s="52">
        <f t="shared" si="38"/>
        <v>9.7160469936806881E-2</v>
      </c>
      <c r="BC128" s="1948" t="str">
        <f t="shared" si="45"/>
        <v>Building Shell RES 25 Year EUL</v>
      </c>
      <c r="BD128" s="114">
        <f>(INDEX('Avoided Cost Benefits'!$C$4:$C$857,MATCH(BC128,'Avoided Cost Benefits'!$A$4:$A$857,0)))*F128</f>
        <v>0.19486265430817754</v>
      </c>
      <c r="BE128" s="1949">
        <f t="shared" si="46"/>
        <v>2.0055754612438177</v>
      </c>
    </row>
    <row r="129" spans="1:57" s="892" customFormat="1" x14ac:dyDescent="0.25">
      <c r="A129" s="910"/>
      <c r="B129" s="1606"/>
      <c r="C129" s="1205" t="s">
        <v>1657</v>
      </c>
      <c r="D129" s="2695" t="s">
        <v>1577</v>
      </c>
      <c r="E129" s="420" t="s">
        <v>1658</v>
      </c>
      <c r="F129" s="579">
        <f t="shared" si="36"/>
        <v>1.71</v>
      </c>
      <c r="G129" s="2667" t="s">
        <v>1615</v>
      </c>
      <c r="H129" s="155">
        <f>VLOOKUP(G129,'CP FACTORS'!$A$3:$B$38, 2, FALSE)</f>
        <v>4.6608050000000002E-4</v>
      </c>
      <c r="I129" s="979">
        <f t="shared" si="39"/>
        <v>1.5511297270139006</v>
      </c>
      <c r="J129" s="1460">
        <f t="shared" si="37"/>
        <v>0.1628193272727273</v>
      </c>
      <c r="K129" s="893">
        <f t="shared" si="40"/>
        <v>7.9699999999999997E-4</v>
      </c>
      <c r="L129" s="2298">
        <f t="shared" si="41"/>
        <v>25</v>
      </c>
      <c r="M129" s="2297">
        <f t="shared" si="42"/>
        <v>1.1631103074141049</v>
      </c>
      <c r="N129" s="979">
        <f t="shared" si="43"/>
        <v>1</v>
      </c>
      <c r="O129" s="910"/>
      <c r="P129" s="910"/>
      <c r="Q129" s="910"/>
      <c r="R129" s="910"/>
      <c r="S129" s="910"/>
      <c r="T129" s="910"/>
      <c r="U129" s="910"/>
      <c r="V129" s="160" t="str">
        <f t="shared" si="44"/>
        <v>kWh Annual Savings</v>
      </c>
      <c r="W129" s="236">
        <v>1232.157975126657</v>
      </c>
      <c r="X129" s="424">
        <v>1232.157975126657</v>
      </c>
      <c r="Y129" s="885">
        <v>1.71</v>
      </c>
      <c r="Z129" s="882">
        <v>1.71</v>
      </c>
      <c r="AA129" s="882">
        <v>1.71</v>
      </c>
      <c r="AB129" s="882">
        <v>1.71</v>
      </c>
      <c r="AC129" s="882">
        <v>1.71</v>
      </c>
      <c r="AD129" s="160"/>
      <c r="AE129" s="160"/>
      <c r="AF129" s="160"/>
      <c r="AG129" s="160"/>
      <c r="AK129" s="883"/>
      <c r="BB129" s="52">
        <f t="shared" si="38"/>
        <v>2.1680871992176587</v>
      </c>
      <c r="BC129" s="1948" t="str">
        <f t="shared" si="45"/>
        <v>Building Shell RES 25 Year EUL</v>
      </c>
      <c r="BD129" s="114">
        <f>(INDEX('Avoided Cost Benefits'!$C$4:$C$857,MATCH(BC129,'Avoided Cost Benefits'!$A$4:$A$857,0)))*F129</f>
        <v>2.3801081347641682</v>
      </c>
      <c r="BE129" s="1949">
        <f t="shared" si="46"/>
        <v>1.0977917011931144</v>
      </c>
    </row>
    <row r="130" spans="1:57" s="892" customFormat="1" x14ac:dyDescent="0.25">
      <c r="A130" s="910"/>
      <c r="B130" s="1606"/>
      <c r="C130" s="1205" t="s">
        <v>1659</v>
      </c>
      <c r="D130" s="2695" t="s">
        <v>1577</v>
      </c>
      <c r="E130" s="420" t="s">
        <v>1660</v>
      </c>
      <c r="F130" s="579">
        <f t="shared" si="36"/>
        <v>1.07</v>
      </c>
      <c r="G130" s="2667" t="s">
        <v>1615</v>
      </c>
      <c r="H130" s="155">
        <f>VLOOKUP(G130,'CP FACTORS'!$A$3:$B$38, 2, FALSE)</f>
        <v>4.6608050000000002E-4</v>
      </c>
      <c r="I130" s="979">
        <f t="shared" si="39"/>
        <v>0.88948817286914772</v>
      </c>
      <c r="J130" s="1460">
        <f t="shared" si="37"/>
        <v>0.17892233766233767</v>
      </c>
      <c r="K130" s="893">
        <f t="shared" si="40"/>
        <v>4.9899999999999999E-4</v>
      </c>
      <c r="L130" s="2298">
        <f t="shared" si="41"/>
        <v>25</v>
      </c>
      <c r="M130" s="2297">
        <f t="shared" si="42"/>
        <v>1.1631103074141049</v>
      </c>
      <c r="N130" s="979">
        <f t="shared" si="43"/>
        <v>1</v>
      </c>
      <c r="O130" s="910"/>
      <c r="P130" s="910"/>
      <c r="Q130" s="910"/>
      <c r="R130" s="910"/>
      <c r="S130" s="910"/>
      <c r="T130" s="910"/>
      <c r="U130" s="910"/>
      <c r="V130" s="160" t="str">
        <f t="shared" si="44"/>
        <v>kWh Annual Savings</v>
      </c>
      <c r="W130" s="236">
        <v>768.08031602108485</v>
      </c>
      <c r="X130" s="424">
        <v>768.08031602108485</v>
      </c>
      <c r="Y130" s="885">
        <v>1.07</v>
      </c>
      <c r="Z130" s="882">
        <v>1.07</v>
      </c>
      <c r="AA130" s="882">
        <v>1.07</v>
      </c>
      <c r="AB130" s="882">
        <v>1.07</v>
      </c>
      <c r="AC130" s="882">
        <v>1.07</v>
      </c>
      <c r="AD130" s="160"/>
      <c r="AE130" s="160"/>
      <c r="AF130" s="160"/>
      <c r="AG130" s="160"/>
      <c r="AK130" s="883"/>
      <c r="BB130" s="52">
        <f t="shared" si="38"/>
        <v>1.3566393585747922</v>
      </c>
      <c r="BC130" s="1948" t="str">
        <f t="shared" si="45"/>
        <v>Building Shell RES 25 Year EUL</v>
      </c>
      <c r="BD130" s="114">
        <f>(INDEX('Avoided Cost Benefits'!$C$4:$C$857,MATCH(BC130,'Avoided Cost Benefits'!$A$4:$A$857,0)))*F130</f>
        <v>1.4893074293553568</v>
      </c>
      <c r="BE130" s="1949">
        <f t="shared" si="46"/>
        <v>1.0977917011931144</v>
      </c>
    </row>
    <row r="131" spans="1:57" s="892" customFormat="1" x14ac:dyDescent="0.25">
      <c r="A131" s="910"/>
      <c r="B131" s="1606"/>
      <c r="C131" s="1205" t="s">
        <v>1661</v>
      </c>
      <c r="D131" s="2695" t="s">
        <v>1577</v>
      </c>
      <c r="E131" s="426" t="s">
        <v>1662</v>
      </c>
      <c r="F131" s="579">
        <f t="shared" si="36"/>
        <v>0.23</v>
      </c>
      <c r="G131" s="2667" t="s">
        <v>1615</v>
      </c>
      <c r="H131" s="155">
        <f>VLOOKUP(G131,'CP FACTORS'!$A$3:$B$38, 2, FALSE)</f>
        <v>4.6608050000000002E-4</v>
      </c>
      <c r="I131" s="979">
        <f t="shared" si="39"/>
        <v>6.8579776160257552E-2</v>
      </c>
      <c r="J131" s="1460">
        <f t="shared" si="37"/>
        <v>0.1628193272727273</v>
      </c>
      <c r="K131" s="893">
        <f t="shared" si="40"/>
        <v>1.07E-4</v>
      </c>
      <c r="L131" s="2298">
        <f t="shared" si="41"/>
        <v>25</v>
      </c>
      <c r="M131" s="2297">
        <f t="shared" si="42"/>
        <v>1.1631103074141049</v>
      </c>
      <c r="N131" s="979">
        <f t="shared" si="43"/>
        <v>1</v>
      </c>
      <c r="O131" s="910"/>
      <c r="P131" s="910"/>
      <c r="Q131" s="910"/>
      <c r="R131" s="910"/>
      <c r="S131" s="910"/>
      <c r="T131" s="910"/>
      <c r="U131" s="910"/>
      <c r="V131" s="160" t="str">
        <f t="shared" si="44"/>
        <v>kWh Annual Savings</v>
      </c>
      <c r="W131" s="236">
        <v>166.35281545797278</v>
      </c>
      <c r="X131" s="424">
        <v>166.35281545797278</v>
      </c>
      <c r="Y131" s="885">
        <v>0.23</v>
      </c>
      <c r="Z131" s="882">
        <v>0.23</v>
      </c>
      <c r="AA131" s="882">
        <v>0.23</v>
      </c>
      <c r="AB131" s="882">
        <v>0.23</v>
      </c>
      <c r="AC131" s="882">
        <v>0.23</v>
      </c>
      <c r="AD131" s="160"/>
      <c r="AE131" s="160"/>
      <c r="AF131" s="160"/>
      <c r="AG131" s="160"/>
      <c r="AK131" s="883"/>
      <c r="BB131" s="52">
        <f t="shared" si="38"/>
        <v>0.29161406773103016</v>
      </c>
      <c r="BC131" s="1948" t="str">
        <f t="shared" si="45"/>
        <v>Building Shell RES 25 Year EUL</v>
      </c>
      <c r="BD131" s="114">
        <f>(INDEX('Avoided Cost Benefits'!$C$4:$C$857,MATCH(BC131,'Avoided Cost Benefits'!$A$4:$A$857,0)))*F131</f>
        <v>0.32013150350629166</v>
      </c>
      <c r="BE131" s="1949">
        <f t="shared" si="46"/>
        <v>1.0977917011931144</v>
      </c>
    </row>
    <row r="132" spans="1:57" s="892" customFormat="1" x14ac:dyDescent="0.25">
      <c r="A132" s="910"/>
      <c r="B132" s="1606"/>
      <c r="C132" s="1205" t="s">
        <v>1663</v>
      </c>
      <c r="D132" s="2695" t="s">
        <v>1571</v>
      </c>
      <c r="E132" s="420" t="s">
        <v>1664</v>
      </c>
      <c r="F132" s="579">
        <f t="shared" si="36"/>
        <v>1.71</v>
      </c>
      <c r="G132" s="2667" t="s">
        <v>1615</v>
      </c>
      <c r="H132" s="155">
        <f>VLOOKUP(G132,'CP FACTORS'!$A$3:$B$38, 2, FALSE)</f>
        <v>4.6608050000000002E-4</v>
      </c>
      <c r="I132" s="979">
        <f t="shared" si="39"/>
        <v>1.5511297270139006</v>
      </c>
      <c r="J132" s="1460">
        <f t="shared" si="37"/>
        <v>0.1628193272727273</v>
      </c>
      <c r="K132" s="893">
        <f t="shared" si="40"/>
        <v>7.9699999999999997E-4</v>
      </c>
      <c r="L132" s="2298">
        <f t="shared" si="41"/>
        <v>25</v>
      </c>
      <c r="M132" s="2297">
        <f t="shared" si="42"/>
        <v>1.1631012658227848</v>
      </c>
      <c r="N132" s="979">
        <f t="shared" si="43"/>
        <v>1</v>
      </c>
      <c r="O132" s="910"/>
      <c r="P132" s="910"/>
      <c r="Q132" s="910"/>
      <c r="R132" s="910"/>
      <c r="S132" s="910"/>
      <c r="T132" s="910"/>
      <c r="U132" s="910"/>
      <c r="V132" s="160" t="str">
        <f t="shared" si="44"/>
        <v>kWh Annual Savings</v>
      </c>
      <c r="W132" s="236">
        <v>1895.6276540410106</v>
      </c>
      <c r="X132" s="424">
        <v>1895.6276540410106</v>
      </c>
      <c r="Y132" s="885">
        <v>1.71</v>
      </c>
      <c r="Z132" s="882">
        <v>1.71</v>
      </c>
      <c r="AA132" s="882">
        <v>1.71</v>
      </c>
      <c r="AB132" s="882">
        <v>1.71</v>
      </c>
      <c r="AC132" s="882">
        <v>1.71</v>
      </c>
      <c r="AD132" s="160"/>
      <c r="AE132" s="160"/>
      <c r="AF132" s="160"/>
      <c r="AG132" s="160"/>
      <c r="AK132" s="883"/>
      <c r="BB132" s="52">
        <f t="shared" si="38"/>
        <v>2.168104053260361</v>
      </c>
      <c r="BC132" s="1948" t="str">
        <f t="shared" si="45"/>
        <v>Building Shell RES 25 Year EUL</v>
      </c>
      <c r="BD132" s="114">
        <f>(INDEX('Avoided Cost Benefits'!$C$4:$C$857,MATCH(BC132,'Avoided Cost Benefits'!$A$4:$A$857,0)))*F132</f>
        <v>2.3801081347641682</v>
      </c>
      <c r="BE132" s="1949">
        <f t="shared" si="46"/>
        <v>1.0977831673645915</v>
      </c>
    </row>
    <row r="133" spans="1:57" s="892" customFormat="1" x14ac:dyDescent="0.25">
      <c r="A133" s="910"/>
      <c r="B133" s="1606"/>
      <c r="C133" s="1205" t="s">
        <v>1665</v>
      </c>
      <c r="D133" s="2695" t="s">
        <v>1571</v>
      </c>
      <c r="E133" s="420" t="s">
        <v>1666</v>
      </c>
      <c r="F133" s="579">
        <f t="shared" si="36"/>
        <v>1.07</v>
      </c>
      <c r="G133" s="2667" t="s">
        <v>1615</v>
      </c>
      <c r="H133" s="155">
        <f>VLOOKUP(G133,'CP FACTORS'!$A$3:$B$38, 2, FALSE)</f>
        <v>4.6608050000000002E-4</v>
      </c>
      <c r="I133" s="979">
        <f t="shared" si="39"/>
        <v>0.88948817286914772</v>
      </c>
      <c r="J133" s="1460">
        <f t="shared" si="37"/>
        <v>0.17892233766233767</v>
      </c>
      <c r="K133" s="893">
        <f t="shared" si="40"/>
        <v>4.9899999999999999E-4</v>
      </c>
      <c r="L133" s="2298">
        <f t="shared" si="41"/>
        <v>25</v>
      </c>
      <c r="M133" s="2297">
        <f t="shared" si="42"/>
        <v>1.1631012658227848</v>
      </c>
      <c r="N133" s="979">
        <f t="shared" si="43"/>
        <v>1</v>
      </c>
      <c r="O133" s="910"/>
      <c r="P133" s="910"/>
      <c r="Q133" s="910"/>
      <c r="R133" s="910"/>
      <c r="S133" s="910"/>
      <c r="T133" s="910"/>
      <c r="U133" s="910"/>
      <c r="V133" s="160" t="str">
        <f t="shared" si="44"/>
        <v>kWh Annual Savings</v>
      </c>
      <c r="W133" s="236">
        <v>1181.6620246478228</v>
      </c>
      <c r="X133" s="424">
        <v>1181.6620246478228</v>
      </c>
      <c r="Y133" s="885">
        <v>1.07</v>
      </c>
      <c r="Z133" s="882">
        <v>1.07</v>
      </c>
      <c r="AA133" s="882">
        <v>1.07</v>
      </c>
      <c r="AB133" s="882">
        <v>1.07</v>
      </c>
      <c r="AC133" s="882">
        <v>1.07</v>
      </c>
      <c r="AD133" s="160"/>
      <c r="AE133" s="160"/>
      <c r="AF133" s="160"/>
      <c r="AG133" s="160"/>
      <c r="AK133" s="883"/>
      <c r="BB133" s="52">
        <f t="shared" si="38"/>
        <v>1.356649904671688</v>
      </c>
      <c r="BC133" s="1948" t="str">
        <f t="shared" si="45"/>
        <v>Building Shell RES 25 Year EUL</v>
      </c>
      <c r="BD133" s="114">
        <f>(INDEX('Avoided Cost Benefits'!$C$4:$C$857,MATCH(BC133,'Avoided Cost Benefits'!$A$4:$A$857,0)))*F133</f>
        <v>1.4893074293553568</v>
      </c>
      <c r="BE133" s="1949">
        <f t="shared" si="46"/>
        <v>1.0977831673645915</v>
      </c>
    </row>
    <row r="134" spans="1:57" s="892" customFormat="1" x14ac:dyDescent="0.25">
      <c r="A134" s="910"/>
      <c r="B134" s="1606"/>
      <c r="C134" s="1205" t="s">
        <v>1667</v>
      </c>
      <c r="D134" s="2695" t="s">
        <v>1571</v>
      </c>
      <c r="E134" s="1620" t="s">
        <v>1668</v>
      </c>
      <c r="F134" s="579">
        <f t="shared" si="36"/>
        <v>0.23</v>
      </c>
      <c r="G134" s="2667" t="s">
        <v>1615</v>
      </c>
      <c r="H134" s="155">
        <f>VLOOKUP(G134,'CP FACTORS'!$A$3:$B$38, 2, FALSE)</f>
        <v>4.6608050000000002E-4</v>
      </c>
      <c r="I134" s="979">
        <f t="shared" si="39"/>
        <v>6.8579776160257552E-2</v>
      </c>
      <c r="J134" s="1460">
        <f t="shared" si="37"/>
        <v>0.1628193272727273</v>
      </c>
      <c r="K134" s="893">
        <f t="shared" si="40"/>
        <v>1.07E-4</v>
      </c>
      <c r="L134" s="2298">
        <f t="shared" si="41"/>
        <v>25</v>
      </c>
      <c r="M134" s="2297">
        <f t="shared" si="42"/>
        <v>1.1631012658227848</v>
      </c>
      <c r="N134" s="979">
        <f t="shared" si="43"/>
        <v>1</v>
      </c>
      <c r="O134" s="910"/>
      <c r="P134" s="910"/>
      <c r="Q134" s="910"/>
      <c r="R134" s="910"/>
      <c r="S134" s="910"/>
      <c r="T134" s="910"/>
      <c r="U134" s="910"/>
      <c r="V134" s="160" t="str">
        <f t="shared" si="44"/>
        <v>kWh Annual Savings</v>
      </c>
      <c r="W134" s="236">
        <v>255.92740839688122</v>
      </c>
      <c r="X134" s="424">
        <v>255.92740839688122</v>
      </c>
      <c r="Y134" s="885">
        <v>0.23</v>
      </c>
      <c r="Z134" s="882">
        <v>0.23</v>
      </c>
      <c r="AA134" s="882">
        <v>0.23</v>
      </c>
      <c r="AB134" s="882">
        <v>0.23</v>
      </c>
      <c r="AC134" s="882">
        <v>0.23</v>
      </c>
      <c r="AD134" s="160"/>
      <c r="AE134" s="160"/>
      <c r="AF134" s="160"/>
      <c r="AG134" s="160"/>
      <c r="AK134" s="883"/>
      <c r="BB134" s="52">
        <f t="shared" si="38"/>
        <v>0.29161633464905445</v>
      </c>
      <c r="BC134" s="1948" t="str">
        <f t="shared" si="45"/>
        <v>Building Shell RES 25 Year EUL</v>
      </c>
      <c r="BD134" s="114">
        <f>(INDEX('Avoided Cost Benefits'!$C$4:$C$857,MATCH(BC134,'Avoided Cost Benefits'!$A$4:$A$857,0)))*F134</f>
        <v>0.32013150350629166</v>
      </c>
      <c r="BE134" s="1949">
        <f t="shared" si="46"/>
        <v>1.0977831673645915</v>
      </c>
    </row>
    <row r="135" spans="1:57" s="892" customFormat="1" x14ac:dyDescent="0.25">
      <c r="A135" s="910"/>
      <c r="B135" s="1606"/>
      <c r="C135" s="1205" t="s">
        <v>1669</v>
      </c>
      <c r="D135" s="2695" t="s">
        <v>1577</v>
      </c>
      <c r="E135" s="420" t="s">
        <v>1670</v>
      </c>
      <c r="F135" s="579">
        <f t="shared" si="36"/>
        <v>1.84</v>
      </c>
      <c r="G135" s="2667" t="s">
        <v>1615</v>
      </c>
      <c r="H135" s="155">
        <f>VLOOKUP(G135,'CP FACTORS'!$A$3:$B$38, 2, FALSE)</f>
        <v>4.6608050000000002E-4</v>
      </c>
      <c r="I135" s="979">
        <f t="shared" si="39"/>
        <v>1.6665626369312141</v>
      </c>
      <c r="J135" s="1460">
        <f t="shared" si="37"/>
        <v>0.17493611441860468</v>
      </c>
      <c r="K135" s="893">
        <f t="shared" si="40"/>
        <v>8.5800000000000004E-4</v>
      </c>
      <c r="L135" s="2298">
        <f t="shared" si="41"/>
        <v>25</v>
      </c>
      <c r="M135" s="2297">
        <f t="shared" si="42"/>
        <v>1.6810404785088331</v>
      </c>
      <c r="N135" s="979">
        <f t="shared" si="43"/>
        <v>1</v>
      </c>
      <c r="O135" s="910"/>
      <c r="P135" s="910"/>
      <c r="Q135" s="910"/>
      <c r="R135" s="910"/>
      <c r="S135" s="910"/>
      <c r="T135" s="910"/>
      <c r="U135" s="910"/>
      <c r="V135" s="160" t="str">
        <f t="shared" si="44"/>
        <v>kWh Annual Savings</v>
      </c>
      <c r="W135" s="236">
        <v>1323.8534523453845</v>
      </c>
      <c r="X135" s="424">
        <v>1323.8534523453845</v>
      </c>
      <c r="Y135" s="885">
        <v>1.84</v>
      </c>
      <c r="Z135" s="882">
        <v>1.84</v>
      </c>
      <c r="AA135" s="882">
        <v>1.84</v>
      </c>
      <c r="AB135" s="882">
        <v>1.84</v>
      </c>
      <c r="AC135" s="882">
        <v>1.84</v>
      </c>
      <c r="AD135" s="160"/>
      <c r="AE135" s="160"/>
      <c r="AF135" s="160"/>
      <c r="AG135" s="160"/>
      <c r="AK135" s="883"/>
      <c r="BB135" s="52">
        <f t="shared" si="38"/>
        <v>1.6141399677218247</v>
      </c>
      <c r="BC135" s="1948" t="str">
        <f t="shared" si="45"/>
        <v>Building Shell RES 25 Year EUL</v>
      </c>
      <c r="BD135" s="114">
        <f>(INDEX('Avoided Cost Benefits'!$C$4:$C$857,MATCH(BC135,'Avoided Cost Benefits'!$A$4:$A$857,0)))*F135</f>
        <v>2.5610520280503333</v>
      </c>
      <c r="BE135" s="1949">
        <f t="shared" si="46"/>
        <v>1.5866356569219753</v>
      </c>
    </row>
    <row r="136" spans="1:57" s="892" customFormat="1" x14ac:dyDescent="0.25">
      <c r="A136" s="910"/>
      <c r="B136" s="1606"/>
      <c r="C136" s="1205" t="s">
        <v>1671</v>
      </c>
      <c r="D136" s="2695" t="s">
        <v>1577</v>
      </c>
      <c r="E136" s="420" t="s">
        <v>1672</v>
      </c>
      <c r="F136" s="579">
        <f t="shared" si="36"/>
        <v>1.1499999999999999</v>
      </c>
      <c r="G136" s="2667" t="s">
        <v>1615</v>
      </c>
      <c r="H136" s="155">
        <f>VLOOKUP(G136,'CP FACTORS'!$A$3:$B$38, 2, FALSE)</f>
        <v>4.6608050000000002E-4</v>
      </c>
      <c r="I136" s="979">
        <f t="shared" si="39"/>
        <v>0.95568264154778193</v>
      </c>
      <c r="J136" s="1460">
        <f t="shared" si="37"/>
        <v>0.19223748837209306</v>
      </c>
      <c r="K136" s="893">
        <f t="shared" si="40"/>
        <v>5.3600000000000002E-4</v>
      </c>
      <c r="L136" s="2298">
        <f t="shared" si="41"/>
        <v>25</v>
      </c>
      <c r="M136" s="2297">
        <f t="shared" si="42"/>
        <v>1.6810404785088331</v>
      </c>
      <c r="N136" s="979">
        <f t="shared" si="43"/>
        <v>1</v>
      </c>
      <c r="O136" s="910"/>
      <c r="P136" s="910"/>
      <c r="Q136" s="910"/>
      <c r="R136" s="910"/>
      <c r="S136" s="910"/>
      <c r="T136" s="910"/>
      <c r="U136" s="910"/>
      <c r="V136" s="160" t="str">
        <f t="shared" si="44"/>
        <v>kWh Annual Savings</v>
      </c>
      <c r="W136" s="236">
        <v>825.239781399398</v>
      </c>
      <c r="X136" s="424">
        <v>825.239781399398</v>
      </c>
      <c r="Y136" s="885">
        <v>1.1499999999999999</v>
      </c>
      <c r="Z136" s="882">
        <v>1.1499999999999999</v>
      </c>
      <c r="AA136" s="882">
        <v>1.1499999999999999</v>
      </c>
      <c r="AB136" s="882">
        <v>1.1499999999999999</v>
      </c>
      <c r="AC136" s="882">
        <v>1.1499999999999999</v>
      </c>
      <c r="AD136" s="160"/>
      <c r="AE136" s="160"/>
      <c r="AF136" s="160"/>
      <c r="AG136" s="160"/>
      <c r="AK136" s="883"/>
      <c r="BB136" s="52">
        <f t="shared" si="38"/>
        <v>1.0088374798261404</v>
      </c>
      <c r="BC136" s="1948" t="str">
        <f t="shared" si="45"/>
        <v>Building Shell RES 25 Year EUL</v>
      </c>
      <c r="BD136" s="114">
        <f>(INDEX('Avoided Cost Benefits'!$C$4:$C$857,MATCH(BC136,'Avoided Cost Benefits'!$A$4:$A$857,0)))*F136</f>
        <v>1.6006575175314581</v>
      </c>
      <c r="BE136" s="1949">
        <f t="shared" si="46"/>
        <v>1.5866356569219753</v>
      </c>
    </row>
    <row r="137" spans="1:57" s="892" customFormat="1" x14ac:dyDescent="0.25">
      <c r="A137" s="910"/>
      <c r="B137" s="1606"/>
      <c r="C137" s="1205" t="s">
        <v>1673</v>
      </c>
      <c r="D137" s="2695" t="s">
        <v>1577</v>
      </c>
      <c r="E137" s="426" t="s">
        <v>1674</v>
      </c>
      <c r="F137" s="579">
        <f t="shared" si="36"/>
        <v>0.25</v>
      </c>
      <c r="G137" s="1621" t="s">
        <v>1615</v>
      </c>
      <c r="H137" s="155">
        <f>VLOOKUP(G137,'CP FACTORS'!$A$3:$B$38, 2, FALSE)</f>
        <v>4.6608050000000002E-4</v>
      </c>
      <c r="I137" s="979">
        <f t="shared" si="39"/>
        <v>7.3683387409392995E-2</v>
      </c>
      <c r="J137" s="1460">
        <f t="shared" si="37"/>
        <v>0.17493611441860468</v>
      </c>
      <c r="K137" s="893">
        <f t="shared" si="40"/>
        <v>1.17E-4</v>
      </c>
      <c r="L137" s="2298">
        <f t="shared" si="41"/>
        <v>25</v>
      </c>
      <c r="M137" s="2297">
        <f t="shared" si="42"/>
        <v>1.6810404785088331</v>
      </c>
      <c r="N137" s="979">
        <f t="shared" si="43"/>
        <v>1</v>
      </c>
      <c r="O137" s="910"/>
      <c r="P137" s="910"/>
      <c r="Q137" s="910"/>
      <c r="R137" s="910"/>
      <c r="S137" s="910"/>
      <c r="T137" s="910"/>
      <c r="U137" s="910"/>
      <c r="V137" s="160" t="str">
        <f t="shared" si="44"/>
        <v>kWh Annual Savings</v>
      </c>
      <c r="W137" s="236">
        <v>178.7325598641475</v>
      </c>
      <c r="X137" s="424">
        <v>178.7325598641475</v>
      </c>
      <c r="Y137" s="885">
        <v>0.25</v>
      </c>
      <c r="Z137" s="882">
        <v>0.25</v>
      </c>
      <c r="AA137" s="882">
        <v>0.25</v>
      </c>
      <c r="AB137" s="882">
        <v>0.25</v>
      </c>
      <c r="AC137" s="882">
        <v>0.25</v>
      </c>
      <c r="AD137" s="160"/>
      <c r="AE137" s="160"/>
      <c r="AF137" s="160"/>
      <c r="AG137" s="160"/>
      <c r="AK137" s="883"/>
      <c r="BB137" s="52">
        <f t="shared" si="38"/>
        <v>0.21931249561437835</v>
      </c>
      <c r="BC137" s="1948" t="str">
        <f t="shared" si="45"/>
        <v>Building Shell RES 25 Year EUL</v>
      </c>
      <c r="BD137" s="114">
        <f>(INDEX('Avoided Cost Benefits'!$C$4:$C$857,MATCH(BC137,'Avoided Cost Benefits'!$A$4:$A$857,0)))*F137</f>
        <v>0.347969025550317</v>
      </c>
      <c r="BE137" s="1949">
        <f t="shared" si="46"/>
        <v>1.5866356569219753</v>
      </c>
    </row>
    <row r="138" spans="1:57" s="892" customFormat="1" x14ac:dyDescent="0.25">
      <c r="A138" s="910"/>
      <c r="B138" s="1606"/>
      <c r="C138" s="1205" t="s">
        <v>1675</v>
      </c>
      <c r="D138" s="2695" t="s">
        <v>1571</v>
      </c>
      <c r="E138" s="420" t="s">
        <v>1676</v>
      </c>
      <c r="F138" s="579">
        <f t="shared" si="36"/>
        <v>1.84</v>
      </c>
      <c r="G138" s="2667" t="s">
        <v>1615</v>
      </c>
      <c r="H138" s="155">
        <f>VLOOKUP(G138,'CP FACTORS'!$A$3:$B$38, 2, FALSE)</f>
        <v>4.6608050000000002E-4</v>
      </c>
      <c r="I138" s="979">
        <f t="shared" si="39"/>
        <v>1.6665626369312141</v>
      </c>
      <c r="J138" s="1460">
        <f t="shared" si="37"/>
        <v>0.17493611441860468</v>
      </c>
      <c r="K138" s="893">
        <f t="shared" si="40"/>
        <v>8.5800000000000004E-4</v>
      </c>
      <c r="L138" s="2298">
        <f t="shared" si="41"/>
        <v>25</v>
      </c>
      <c r="M138" s="2297">
        <f t="shared" si="42"/>
        <v>1.6810397830018082</v>
      </c>
      <c r="N138" s="979">
        <f t="shared" si="43"/>
        <v>1</v>
      </c>
      <c r="O138" s="910"/>
      <c r="P138" s="910"/>
      <c r="Q138" s="910"/>
      <c r="R138" s="910"/>
      <c r="S138" s="910"/>
      <c r="T138" s="910"/>
      <c r="U138" s="910"/>
      <c r="V138" s="160" t="str">
        <f t="shared" si="44"/>
        <v>kWh Annual Savings</v>
      </c>
      <c r="W138" s="236">
        <v>2036.6976189928996</v>
      </c>
      <c r="X138" s="424">
        <v>2036.6976189928996</v>
      </c>
      <c r="Y138" s="885">
        <v>1.84</v>
      </c>
      <c r="Z138" s="882">
        <v>1.84</v>
      </c>
      <c r="AA138" s="882">
        <v>1.84</v>
      </c>
      <c r="AB138" s="882">
        <v>1.84</v>
      </c>
      <c r="AC138" s="882">
        <v>1.84</v>
      </c>
      <c r="AD138" s="160"/>
      <c r="AE138" s="160"/>
      <c r="AF138" s="160"/>
      <c r="AG138" s="160"/>
      <c r="AK138" s="883"/>
      <c r="BB138" s="52">
        <f t="shared" si="38"/>
        <v>1.6141406355499737</v>
      </c>
      <c r="BC138" s="1948" t="str">
        <f t="shared" si="45"/>
        <v>Building Shell RES 25 Year EUL</v>
      </c>
      <c r="BD138" s="114">
        <f>(INDEX('Avoided Cost Benefits'!$C$4:$C$857,MATCH(BC138,'Avoided Cost Benefits'!$A$4:$A$857,0)))*F138</f>
        <v>2.5610520280503333</v>
      </c>
      <c r="BE138" s="1949">
        <f t="shared" si="46"/>
        <v>1.5866350004736272</v>
      </c>
    </row>
    <row r="139" spans="1:57" s="892" customFormat="1" x14ac:dyDescent="0.25">
      <c r="A139" s="910"/>
      <c r="B139" s="1606"/>
      <c r="C139" s="1205" t="s">
        <v>1677</v>
      </c>
      <c r="D139" s="2695" t="s">
        <v>1571</v>
      </c>
      <c r="E139" s="426" t="s">
        <v>1678</v>
      </c>
      <c r="F139" s="579">
        <f t="shared" si="36"/>
        <v>1.1499999999999999</v>
      </c>
      <c r="G139" s="1621" t="s">
        <v>1615</v>
      </c>
      <c r="H139" s="155">
        <f>VLOOKUP(G139,'CP FACTORS'!$A$3:$B$38, 2, FALSE)</f>
        <v>4.6608050000000002E-4</v>
      </c>
      <c r="I139" s="1622">
        <f t="shared" si="39"/>
        <v>0.95568264154778193</v>
      </c>
      <c r="J139" s="1623">
        <f t="shared" si="37"/>
        <v>0.19223748837209306</v>
      </c>
      <c r="K139" s="893">
        <f t="shared" si="40"/>
        <v>5.3600000000000002E-4</v>
      </c>
      <c r="L139" s="2298">
        <f t="shared" si="41"/>
        <v>25</v>
      </c>
      <c r="M139" s="2297">
        <f t="shared" si="42"/>
        <v>1.6810397830018082</v>
      </c>
      <c r="N139" s="979">
        <f t="shared" si="43"/>
        <v>1</v>
      </c>
      <c r="O139" s="910"/>
      <c r="P139" s="910"/>
      <c r="Q139" s="910"/>
      <c r="R139" s="910"/>
      <c r="S139" s="910"/>
      <c r="T139" s="910"/>
      <c r="U139" s="910"/>
      <c r="V139" s="160" t="str">
        <f t="shared" si="44"/>
        <v>kWh Annual Savings</v>
      </c>
      <c r="W139" s="236">
        <v>1269.5996636913817</v>
      </c>
      <c r="X139" s="424">
        <v>1269.5996636913817</v>
      </c>
      <c r="Y139" s="885">
        <v>1.1499999999999999</v>
      </c>
      <c r="Z139" s="882">
        <v>1.1499999999999999</v>
      </c>
      <c r="AA139" s="882">
        <v>1.1499999999999999</v>
      </c>
      <c r="AB139" s="882">
        <v>1.1499999999999999</v>
      </c>
      <c r="AC139" s="882">
        <v>1.1499999999999999</v>
      </c>
      <c r="AD139" s="160"/>
      <c r="AE139" s="160"/>
      <c r="AF139" s="160"/>
      <c r="AG139" s="160"/>
      <c r="AK139" s="883"/>
      <c r="BB139" s="52">
        <f t="shared" si="38"/>
        <v>1.0088378972187335</v>
      </c>
      <c r="BC139" s="1948" t="str">
        <f t="shared" si="45"/>
        <v>Building Shell RES 25 Year EUL</v>
      </c>
      <c r="BD139" s="114">
        <f>(INDEX('Avoided Cost Benefits'!$C$4:$C$857,MATCH(BC139,'Avoided Cost Benefits'!$A$4:$A$857,0)))*F139</f>
        <v>1.6006575175314581</v>
      </c>
      <c r="BE139" s="1949">
        <f t="shared" si="46"/>
        <v>1.5866350004736272</v>
      </c>
    </row>
    <row r="140" spans="1:57" s="892" customFormat="1" x14ac:dyDescent="0.25">
      <c r="A140" s="910"/>
      <c r="B140" s="1606"/>
      <c r="C140" s="1205" t="s">
        <v>1679</v>
      </c>
      <c r="D140" s="2695" t="s">
        <v>1571</v>
      </c>
      <c r="E140" s="420" t="s">
        <v>1680</v>
      </c>
      <c r="F140" s="579">
        <f t="shared" si="36"/>
        <v>0.25</v>
      </c>
      <c r="G140" s="2667" t="s">
        <v>1615</v>
      </c>
      <c r="H140" s="155">
        <f>VLOOKUP(G140,'CP FACTORS'!$A$3:$B$38, 2, FALSE)</f>
        <v>4.6608050000000002E-4</v>
      </c>
      <c r="I140" s="979">
        <f t="shared" si="39"/>
        <v>7.3683387409392995E-2</v>
      </c>
      <c r="J140" s="1460">
        <f t="shared" si="37"/>
        <v>0.17493611441860468</v>
      </c>
      <c r="K140" s="893">
        <f t="shared" si="40"/>
        <v>1.17E-4</v>
      </c>
      <c r="L140" s="2298">
        <f t="shared" si="41"/>
        <v>25</v>
      </c>
      <c r="M140" s="2297">
        <f t="shared" si="42"/>
        <v>1.6810397830018082</v>
      </c>
      <c r="N140" s="979">
        <f t="shared" si="43"/>
        <v>1</v>
      </c>
      <c r="O140" s="910"/>
      <c r="P140" s="910"/>
      <c r="Q140" s="910"/>
      <c r="R140" s="910"/>
      <c r="S140" s="910"/>
      <c r="T140" s="910"/>
      <c r="U140" s="910"/>
      <c r="V140" s="160" t="str">
        <f t="shared" si="44"/>
        <v>kWh Annual Savings</v>
      </c>
      <c r="W140" s="236">
        <v>274.97316902176544</v>
      </c>
      <c r="X140" s="424">
        <v>274.97316902176544</v>
      </c>
      <c r="Y140" s="885">
        <v>0.25</v>
      </c>
      <c r="Z140" s="882">
        <v>0.25</v>
      </c>
      <c r="AA140" s="882">
        <v>0.25</v>
      </c>
      <c r="AB140" s="882">
        <v>0.25</v>
      </c>
      <c r="AC140" s="882">
        <v>0.25</v>
      </c>
      <c r="AD140" s="160"/>
      <c r="AE140" s="160"/>
      <c r="AF140" s="160"/>
      <c r="AG140" s="160"/>
      <c r="AK140" s="883"/>
      <c r="BB140" s="52">
        <f t="shared" si="38"/>
        <v>0.21931258635189857</v>
      </c>
      <c r="BC140" s="1948" t="str">
        <f t="shared" si="45"/>
        <v>Building Shell RES 25 Year EUL</v>
      </c>
      <c r="BD140" s="114">
        <f>(INDEX('Avoided Cost Benefits'!$C$4:$C$857,MATCH(BC140,'Avoided Cost Benefits'!$A$4:$A$857,0)))*F140</f>
        <v>0.347969025550317</v>
      </c>
      <c r="BE140" s="1949">
        <f t="shared" si="46"/>
        <v>1.5866350004736272</v>
      </c>
    </row>
    <row r="141" spans="1:57" s="892" customFormat="1" x14ac:dyDescent="0.25">
      <c r="A141" s="910"/>
      <c r="B141" s="1606"/>
      <c r="C141" s="1205" t="s">
        <v>1681</v>
      </c>
      <c r="D141" s="2695" t="s">
        <v>1577</v>
      </c>
      <c r="E141" s="420" t="s">
        <v>1682</v>
      </c>
      <c r="F141" s="579">
        <f t="shared" si="36"/>
        <v>1.96</v>
      </c>
      <c r="G141" s="2667" t="s">
        <v>1615</v>
      </c>
      <c r="H141" s="155">
        <f>VLOOKUP(G141,'CP FACTORS'!$A$3:$B$38, 2, FALSE)</f>
        <v>4.6608050000000002E-4</v>
      </c>
      <c r="I141" s="979">
        <f t="shared" si="39"/>
        <v>1.76943687377882</v>
      </c>
      <c r="J141" s="1460">
        <f t="shared" si="37"/>
        <v>0.18573464000000001</v>
      </c>
      <c r="K141" s="893">
        <f t="shared" si="40"/>
        <v>9.1399999999999999E-4</v>
      </c>
      <c r="L141" s="2298">
        <f t="shared" si="41"/>
        <v>25</v>
      </c>
      <c r="M141" s="2297">
        <f t="shared" si="42"/>
        <v>2.568757824454027</v>
      </c>
      <c r="N141" s="979">
        <f t="shared" si="43"/>
        <v>1</v>
      </c>
      <c r="O141" s="910"/>
      <c r="P141" s="910"/>
      <c r="Q141" s="910"/>
      <c r="R141" s="910"/>
      <c r="S141" s="910"/>
      <c r="T141" s="910"/>
      <c r="U141" s="910"/>
      <c r="V141" s="160" t="str">
        <f t="shared" si="44"/>
        <v>kWh Annual Savings</v>
      </c>
      <c r="W141" s="236">
        <v>1405.5728012555933</v>
      </c>
      <c r="X141" s="424">
        <v>1405.5728012555933</v>
      </c>
      <c r="Y141" s="885">
        <v>1.96</v>
      </c>
      <c r="Z141" s="882">
        <v>1.96</v>
      </c>
      <c r="AA141" s="882">
        <v>1.96</v>
      </c>
      <c r="AB141" s="882">
        <v>1.96</v>
      </c>
      <c r="AC141" s="882">
        <v>1.96</v>
      </c>
      <c r="AD141" s="160"/>
      <c r="AE141" s="160"/>
      <c r="AF141" s="160"/>
      <c r="AG141" s="160"/>
      <c r="AK141" s="883"/>
      <c r="BB141" s="52">
        <f t="shared" si="38"/>
        <v>1.1252122422118687</v>
      </c>
      <c r="BC141" s="1948" t="str">
        <f t="shared" si="45"/>
        <v>Building Shell RES 25 Year EUL</v>
      </c>
      <c r="BD141" s="114">
        <f>(INDEX('Avoided Cost Benefits'!$C$4:$C$857,MATCH(BC141,'Avoided Cost Benefits'!$A$4:$A$857,0)))*F141</f>
        <v>2.7280771603144851</v>
      </c>
      <c r="BE141" s="1949">
        <f t="shared" si="46"/>
        <v>2.4245000702727952</v>
      </c>
    </row>
    <row r="142" spans="1:57" s="892" customFormat="1" x14ac:dyDescent="0.25">
      <c r="A142" s="910"/>
      <c r="B142" s="1606"/>
      <c r="C142" s="1205" t="s">
        <v>1683</v>
      </c>
      <c r="D142" s="2695" t="s">
        <v>1577</v>
      </c>
      <c r="E142" s="420" t="s">
        <v>1684</v>
      </c>
      <c r="F142" s="579">
        <f t="shared" si="36"/>
        <v>1.22</v>
      </c>
      <c r="G142" s="2667" t="s">
        <v>1615</v>
      </c>
      <c r="H142" s="155">
        <f>VLOOKUP(G142,'CP FACTORS'!$A$3:$B$38, 2, FALSE)</f>
        <v>4.6608050000000002E-4</v>
      </c>
      <c r="I142" s="979">
        <f t="shared" si="39"/>
        <v>1.0146753971988796</v>
      </c>
      <c r="J142" s="1460">
        <f t="shared" si="37"/>
        <v>0.20410400000000001</v>
      </c>
      <c r="K142" s="893">
        <f t="shared" si="40"/>
        <v>5.6899999999999995E-4</v>
      </c>
      <c r="L142" s="2298">
        <f t="shared" si="41"/>
        <v>25</v>
      </c>
      <c r="M142" s="2297">
        <f t="shared" si="42"/>
        <v>2.568757824454027</v>
      </c>
      <c r="N142" s="979">
        <f t="shared" si="43"/>
        <v>1</v>
      </c>
      <c r="O142" s="910"/>
      <c r="P142" s="910"/>
      <c r="Q142" s="910"/>
      <c r="R142" s="910"/>
      <c r="S142" s="910"/>
      <c r="T142" s="910"/>
      <c r="U142" s="910"/>
      <c r="V142" s="160" t="str">
        <f t="shared" si="44"/>
        <v>kWh Annual Savings</v>
      </c>
      <c r="W142" s="236">
        <v>876.18050864627435</v>
      </c>
      <c r="X142" s="424">
        <v>876.18050864627435</v>
      </c>
      <c r="Y142" s="885">
        <v>1.22</v>
      </c>
      <c r="Z142" s="882">
        <v>1.22</v>
      </c>
      <c r="AA142" s="882">
        <v>1.22</v>
      </c>
      <c r="AB142" s="882">
        <v>1.22</v>
      </c>
      <c r="AC142" s="882">
        <v>1.22</v>
      </c>
      <c r="AD142" s="160"/>
      <c r="AE142" s="160"/>
      <c r="AF142" s="160"/>
      <c r="AG142" s="160"/>
      <c r="AK142" s="883"/>
      <c r="BB142" s="52">
        <f t="shared" si="38"/>
        <v>0.70038721198902032</v>
      </c>
      <c r="BC142" s="1948" t="str">
        <f t="shared" si="45"/>
        <v>Building Shell RES 25 Year EUL</v>
      </c>
      <c r="BD142" s="114">
        <f>(INDEX('Avoided Cost Benefits'!$C$4:$C$857,MATCH(BC142,'Avoided Cost Benefits'!$A$4:$A$857,0)))*F142</f>
        <v>1.6980888446855469</v>
      </c>
      <c r="BE142" s="1949">
        <f t="shared" si="46"/>
        <v>2.4245000702727952</v>
      </c>
    </row>
    <row r="143" spans="1:57" s="892" customFormat="1" x14ac:dyDescent="0.25">
      <c r="A143" s="910"/>
      <c r="B143" s="1606"/>
      <c r="C143" s="1205" t="s">
        <v>1685</v>
      </c>
      <c r="D143" s="2695" t="s">
        <v>1577</v>
      </c>
      <c r="E143" s="426" t="s">
        <v>1686</v>
      </c>
      <c r="F143" s="579">
        <f t="shared" si="36"/>
        <v>0.26</v>
      </c>
      <c r="G143" s="2667" t="s">
        <v>1615</v>
      </c>
      <c r="H143" s="155">
        <f>VLOOKUP(G143,'CP FACTORS'!$A$3:$B$38, 2, FALSE)</f>
        <v>4.6608050000000002E-4</v>
      </c>
      <c r="I143" s="979">
        <f t="shared" si="39"/>
        <v>7.8231744656886398E-2</v>
      </c>
      <c r="J143" s="1460">
        <f t="shared" si="37"/>
        <v>0.18573464000000001</v>
      </c>
      <c r="K143" s="893">
        <f>ROUND(H143*F143,6)</f>
        <v>1.21E-4</v>
      </c>
      <c r="L143" s="2298">
        <f t="shared" si="41"/>
        <v>25</v>
      </c>
      <c r="M143" s="2297">
        <f t="shared" si="42"/>
        <v>2.568757824454027</v>
      </c>
      <c r="N143" s="979">
        <f t="shared" si="43"/>
        <v>1</v>
      </c>
      <c r="O143" s="910"/>
      <c r="P143" s="910"/>
      <c r="Q143" s="910"/>
      <c r="R143" s="910"/>
      <c r="S143" s="910"/>
      <c r="T143" s="910"/>
      <c r="U143" s="910"/>
      <c r="V143" s="160" t="str">
        <f t="shared" si="44"/>
        <v>kWh Annual Savings</v>
      </c>
      <c r="W143" s="236">
        <v>189.76543392983561</v>
      </c>
      <c r="X143" s="424">
        <v>189.76543392983561</v>
      </c>
      <c r="Y143" s="885">
        <v>0.26</v>
      </c>
      <c r="Z143" s="882">
        <v>0.26</v>
      </c>
      <c r="AA143" s="882">
        <v>0.26</v>
      </c>
      <c r="AB143" s="882">
        <v>0.26</v>
      </c>
      <c r="AC143" s="882">
        <v>0.26</v>
      </c>
      <c r="AD143" s="160"/>
      <c r="AE143" s="160"/>
      <c r="AF143" s="160"/>
      <c r="AG143" s="160"/>
      <c r="AK143" s="883"/>
      <c r="BB143" s="52">
        <f t="shared" si="38"/>
        <v>0.14926284845667645</v>
      </c>
      <c r="BC143" s="1948" t="str">
        <f t="shared" si="45"/>
        <v>Building Shell RES 25 Year EUL</v>
      </c>
      <c r="BD143" s="114">
        <f>(INDEX('Avoided Cost Benefits'!$C$4:$C$857,MATCH(BC143,'Avoided Cost Benefits'!$A$4:$A$857,0)))*F143</f>
        <v>0.36188778657232967</v>
      </c>
      <c r="BE143" s="1949">
        <f t="shared" si="46"/>
        <v>2.4245000702727952</v>
      </c>
    </row>
    <row r="144" spans="1:57" s="892" customFormat="1" x14ac:dyDescent="0.25">
      <c r="A144" s="910"/>
      <c r="B144" s="1606"/>
      <c r="C144" s="1205" t="s">
        <v>1687</v>
      </c>
      <c r="D144" s="2695" t="s">
        <v>1571</v>
      </c>
      <c r="E144" s="420" t="s">
        <v>1688</v>
      </c>
      <c r="F144" s="579">
        <f t="shared" si="36"/>
        <v>1.96</v>
      </c>
      <c r="G144" s="2667" t="s">
        <v>1615</v>
      </c>
      <c r="H144" s="155">
        <f>VLOOKUP(G144,'CP FACTORS'!$A$3:$B$38, 2, FALSE)</f>
        <v>4.6608050000000002E-4</v>
      </c>
      <c r="I144" s="979">
        <f t="shared" si="39"/>
        <v>1.76943687377882</v>
      </c>
      <c r="J144" s="1460">
        <f t="shared" si="37"/>
        <v>0.18573464000000001</v>
      </c>
      <c r="K144" s="893">
        <f t="shared" si="40"/>
        <v>9.1399999999999999E-4</v>
      </c>
      <c r="L144" s="2298">
        <f t="shared" si="41"/>
        <v>25</v>
      </c>
      <c r="M144" s="2297">
        <f t="shared" si="42"/>
        <v>2.5687522603978299</v>
      </c>
      <c r="N144" s="979">
        <f t="shared" si="43"/>
        <v>1</v>
      </c>
      <c r="O144" s="910"/>
      <c r="P144" s="910"/>
      <c r="Q144" s="910"/>
      <c r="R144" s="910"/>
      <c r="S144" s="910"/>
      <c r="T144" s="910"/>
      <c r="U144" s="910"/>
      <c r="V144" s="160" t="str">
        <f t="shared" si="44"/>
        <v>kWh Annual Savings</v>
      </c>
      <c r="W144" s="236">
        <v>2162.4196942393751</v>
      </c>
      <c r="X144" s="424">
        <v>2162.4196942393751</v>
      </c>
      <c r="Y144" s="885">
        <v>1.96</v>
      </c>
      <c r="Z144" s="882">
        <v>1.96</v>
      </c>
      <c r="AA144" s="882">
        <v>1.96</v>
      </c>
      <c r="AB144" s="882">
        <v>1.96</v>
      </c>
      <c r="AC144" s="882">
        <v>1.96</v>
      </c>
      <c r="AD144" s="160"/>
      <c r="AE144" s="160"/>
      <c r="AF144" s="160"/>
      <c r="AG144" s="160"/>
      <c r="AK144" s="883"/>
      <c r="BB144" s="52">
        <f t="shared" si="38"/>
        <v>1.1252146794823854</v>
      </c>
      <c r="BC144" s="1948" t="str">
        <f t="shared" si="45"/>
        <v>Building Shell RES 25 Year EUL</v>
      </c>
      <c r="BD144" s="114">
        <f>(INDEX('Avoided Cost Benefits'!$C$4:$C$857,MATCH(BC144,'Avoided Cost Benefits'!$A$4:$A$857,0)))*F144</f>
        <v>2.7280771603144851</v>
      </c>
      <c r="BE144" s="1949">
        <f t="shared" si="46"/>
        <v>2.424494818686012</v>
      </c>
    </row>
    <row r="145" spans="1:57" s="892" customFormat="1" x14ac:dyDescent="0.25">
      <c r="A145" s="910"/>
      <c r="B145" s="1606"/>
      <c r="C145" s="1205" t="s">
        <v>1689</v>
      </c>
      <c r="D145" s="2695" t="s">
        <v>1571</v>
      </c>
      <c r="E145" s="426" t="s">
        <v>1690</v>
      </c>
      <c r="F145" s="579">
        <f t="shared" si="36"/>
        <v>1.22</v>
      </c>
      <c r="G145" s="2667" t="s">
        <v>1615</v>
      </c>
      <c r="H145" s="155">
        <f>VLOOKUP(G145,'CP FACTORS'!$A$3:$B$38, 2, FALSE)</f>
        <v>4.6608050000000002E-4</v>
      </c>
      <c r="I145" s="979">
        <f t="shared" si="39"/>
        <v>1.0146753971988796</v>
      </c>
      <c r="J145" s="1460">
        <f t="shared" si="37"/>
        <v>0.20410400000000001</v>
      </c>
      <c r="K145" s="893">
        <f t="shared" si="40"/>
        <v>5.6899999999999995E-4</v>
      </c>
      <c r="L145" s="2298">
        <f t="shared" si="41"/>
        <v>25</v>
      </c>
      <c r="M145" s="2297">
        <f t="shared" si="42"/>
        <v>2.5687522603978299</v>
      </c>
      <c r="N145" s="979">
        <f t="shared" si="43"/>
        <v>1</v>
      </c>
      <c r="O145" s="910"/>
      <c r="P145" s="910"/>
      <c r="Q145" s="910"/>
      <c r="R145" s="910"/>
      <c r="S145" s="910"/>
      <c r="T145" s="910"/>
      <c r="U145" s="910"/>
      <c r="V145" s="160" t="str">
        <f t="shared" si="44"/>
        <v>kWh Annual Savings</v>
      </c>
      <c r="W145" s="236">
        <v>1347.9700133019608</v>
      </c>
      <c r="X145" s="424">
        <v>1347.9700133019608</v>
      </c>
      <c r="Y145" s="885">
        <v>1.22</v>
      </c>
      <c r="Z145" s="882">
        <v>1.22</v>
      </c>
      <c r="AA145" s="882">
        <v>1.22</v>
      </c>
      <c r="AB145" s="882">
        <v>1.22</v>
      </c>
      <c r="AC145" s="882">
        <v>1.22</v>
      </c>
      <c r="AD145" s="160"/>
      <c r="AE145" s="160"/>
      <c r="AF145" s="160"/>
      <c r="AG145" s="160"/>
      <c r="AK145" s="883"/>
      <c r="BB145" s="52">
        <f t="shared" si="38"/>
        <v>0.70038872906556648</v>
      </c>
      <c r="BC145" s="1948" t="str">
        <f t="shared" si="45"/>
        <v>Building Shell RES 25 Year EUL</v>
      </c>
      <c r="BD145" s="114">
        <f>(INDEX('Avoided Cost Benefits'!$C$4:$C$857,MATCH(BC145,'Avoided Cost Benefits'!$A$4:$A$857,0)))*F145</f>
        <v>1.6980888446855469</v>
      </c>
      <c r="BE145" s="1949">
        <f t="shared" si="46"/>
        <v>2.424494818686012</v>
      </c>
    </row>
    <row r="146" spans="1:57" s="892" customFormat="1" x14ac:dyDescent="0.25">
      <c r="A146" s="910"/>
      <c r="B146" s="1606"/>
      <c r="C146" s="1205" t="s">
        <v>1691</v>
      </c>
      <c r="D146" s="2695" t="s">
        <v>1571</v>
      </c>
      <c r="E146" s="420" t="s">
        <v>1692</v>
      </c>
      <c r="F146" s="579">
        <f t="shared" si="36"/>
        <v>0.26</v>
      </c>
      <c r="G146" s="2667" t="s">
        <v>1615</v>
      </c>
      <c r="H146" s="155">
        <f>VLOOKUP(G146,'CP FACTORS'!$A$3:$B$38, 2, FALSE)</f>
        <v>4.6608050000000002E-4</v>
      </c>
      <c r="I146" s="979">
        <f t="shared" si="39"/>
        <v>7.8231744656886398E-2</v>
      </c>
      <c r="J146" s="1460">
        <f t="shared" si="37"/>
        <v>0.18573464000000001</v>
      </c>
      <c r="K146" s="893">
        <f t="shared" si="40"/>
        <v>1.21E-4</v>
      </c>
      <c r="L146" s="2298">
        <f t="shared" si="41"/>
        <v>25</v>
      </c>
      <c r="M146" s="2297">
        <f t="shared" si="42"/>
        <v>2.5687522603978299</v>
      </c>
      <c r="N146" s="979">
        <f t="shared" si="43"/>
        <v>1</v>
      </c>
      <c r="O146" s="910"/>
      <c r="P146" s="910"/>
      <c r="Q146" s="910"/>
      <c r="R146" s="910"/>
      <c r="S146" s="910"/>
      <c r="T146" s="910"/>
      <c r="U146" s="910"/>
      <c r="V146" s="160" t="str">
        <f t="shared" si="44"/>
        <v>kWh Annual Savings</v>
      </c>
      <c r="W146" s="236">
        <v>291.94682143051637</v>
      </c>
      <c r="X146" s="424">
        <v>291.94682143051637</v>
      </c>
      <c r="Y146" s="885">
        <v>0.26</v>
      </c>
      <c r="Z146" s="882">
        <v>0.26</v>
      </c>
      <c r="AA146" s="882">
        <v>0.26</v>
      </c>
      <c r="AB146" s="882">
        <v>0.26</v>
      </c>
      <c r="AC146" s="882">
        <v>0.26</v>
      </c>
      <c r="AD146" s="160"/>
      <c r="AE146" s="160"/>
      <c r="AF146" s="160"/>
      <c r="AG146" s="160"/>
      <c r="AK146" s="883"/>
      <c r="BB146" s="52">
        <f t="shared" si="38"/>
        <v>0.14926317176807155</v>
      </c>
      <c r="BC146" s="1948" t="str">
        <f t="shared" si="45"/>
        <v>Building Shell RES 25 Year EUL</v>
      </c>
      <c r="BD146" s="114">
        <f>(INDEX('Avoided Cost Benefits'!$C$4:$C$857,MATCH(BC146,'Avoided Cost Benefits'!$A$4:$A$857,0)))*F146</f>
        <v>0.36188778657232967</v>
      </c>
      <c r="BE146" s="1949">
        <f t="shared" si="46"/>
        <v>2.424494818686012</v>
      </c>
    </row>
    <row r="147" spans="1:57" s="892" customFormat="1" x14ac:dyDescent="0.25">
      <c r="A147" s="910"/>
      <c r="B147" s="1606"/>
      <c r="C147" s="1205" t="s">
        <v>1693</v>
      </c>
      <c r="D147" s="2695" t="s">
        <v>1577</v>
      </c>
      <c r="E147" s="420" t="s">
        <v>1694</v>
      </c>
      <c r="F147" s="579">
        <f t="shared" si="36"/>
        <v>2.0299999999999998</v>
      </c>
      <c r="G147" s="2667" t="s">
        <v>1615</v>
      </c>
      <c r="H147" s="155">
        <f>VLOOKUP(G147,'CP FACTORS'!$A$3:$B$38, 2, FALSE)</f>
        <v>4.6608050000000002E-4</v>
      </c>
      <c r="I147" s="979">
        <f t="shared" si="39"/>
        <v>1.8374921381549281</v>
      </c>
      <c r="J147" s="1460">
        <f t="shared" si="37"/>
        <v>0.19287827999999999</v>
      </c>
      <c r="K147" s="893">
        <f t="shared" si="40"/>
        <v>9.4600000000000001E-4</v>
      </c>
      <c r="L147" s="2298">
        <f t="shared" si="41"/>
        <v>25</v>
      </c>
      <c r="M147" s="2297">
        <f t="shared" si="42"/>
        <v>3.424301015440256</v>
      </c>
      <c r="N147" s="979">
        <f t="shared" si="43"/>
        <v>1</v>
      </c>
      <c r="O147" s="910"/>
      <c r="P147" s="910"/>
      <c r="Q147" s="910"/>
      <c r="R147" s="910"/>
      <c r="S147" s="910"/>
      <c r="T147" s="910"/>
      <c r="U147" s="910"/>
      <c r="V147" s="160" t="str">
        <f t="shared" si="44"/>
        <v>kWh Annual Savings</v>
      </c>
      <c r="W147" s="236">
        <v>1459.6332936115778</v>
      </c>
      <c r="X147" s="424">
        <v>1459.6332936115778</v>
      </c>
      <c r="Y147" s="885">
        <v>2.0299999999999998</v>
      </c>
      <c r="Z147" s="882">
        <v>2.0299999999999998</v>
      </c>
      <c r="AA147" s="882">
        <v>2.0299999999999998</v>
      </c>
      <c r="AB147" s="882">
        <v>2.0299999999999998</v>
      </c>
      <c r="AC147" s="882">
        <v>2.0299999999999998</v>
      </c>
      <c r="AD147" s="160"/>
      <c r="AE147" s="160"/>
      <c r="AF147" s="160"/>
      <c r="AG147" s="160"/>
      <c r="AK147" s="883"/>
      <c r="BB147" s="52">
        <f t="shared" si="38"/>
        <v>0.87422987318422674</v>
      </c>
      <c r="BC147" s="1948" t="str">
        <f t="shared" si="45"/>
        <v>Building Shell RES 25 Year EUL</v>
      </c>
      <c r="BD147" s="114">
        <f>(INDEX('Avoided Cost Benefits'!$C$4:$C$857,MATCH(BC147,'Avoided Cost Benefits'!$A$4:$A$857,0)))*F147</f>
        <v>2.8255084874685736</v>
      </c>
      <c r="BE147" s="1949">
        <f t="shared" si="46"/>
        <v>3.2319971830488492</v>
      </c>
    </row>
    <row r="148" spans="1:57" s="892" customFormat="1" x14ac:dyDescent="0.25">
      <c r="A148" s="910"/>
      <c r="B148" s="1606"/>
      <c r="C148" s="1205" t="s">
        <v>1695</v>
      </c>
      <c r="D148" s="2695" t="s">
        <v>1577</v>
      </c>
      <c r="E148" s="420" t="s">
        <v>1696</v>
      </c>
      <c r="F148" s="579">
        <f t="shared" si="36"/>
        <v>1.27</v>
      </c>
      <c r="G148" s="2667" t="s">
        <v>1615</v>
      </c>
      <c r="H148" s="155">
        <f>VLOOKUP(G148,'CP FACTORS'!$A$3:$B$38, 2, FALSE)</f>
        <v>4.6608050000000002E-4</v>
      </c>
      <c r="I148" s="979">
        <f t="shared" si="39"/>
        <v>1.0537013740142209</v>
      </c>
      <c r="J148" s="1460">
        <f t="shared" si="37"/>
        <v>0.21195415384615382</v>
      </c>
      <c r="K148" s="893">
        <f t="shared" si="40"/>
        <v>5.9199999999999997E-4</v>
      </c>
      <c r="L148" s="2298">
        <f t="shared" si="41"/>
        <v>25</v>
      </c>
      <c r="M148" s="2297">
        <f t="shared" si="42"/>
        <v>3.424301015440256</v>
      </c>
      <c r="N148" s="979">
        <f t="shared" si="43"/>
        <v>1</v>
      </c>
      <c r="O148" s="910"/>
      <c r="P148" s="910"/>
      <c r="Q148" s="910"/>
      <c r="R148" s="910"/>
      <c r="S148" s="910"/>
      <c r="T148" s="910"/>
      <c r="U148" s="910"/>
      <c r="V148" s="160" t="str">
        <f t="shared" si="44"/>
        <v>kWh Annual Savings</v>
      </c>
      <c r="W148" s="236">
        <v>909.87975897882347</v>
      </c>
      <c r="X148" s="424">
        <v>909.87975897882347</v>
      </c>
      <c r="Y148" s="885">
        <v>1.27</v>
      </c>
      <c r="Z148" s="882">
        <v>1.27</v>
      </c>
      <c r="AA148" s="882">
        <v>1.27</v>
      </c>
      <c r="AB148" s="882">
        <v>1.27</v>
      </c>
      <c r="AC148" s="882">
        <v>1.27</v>
      </c>
      <c r="AD148" s="160"/>
      <c r="AE148" s="160"/>
      <c r="AF148" s="160"/>
      <c r="AG148" s="160"/>
      <c r="AK148" s="883"/>
      <c r="BB148" s="52">
        <f t="shared" si="38"/>
        <v>0.5469319896275705</v>
      </c>
      <c r="BC148" s="1948" t="str">
        <f t="shared" si="45"/>
        <v>Building Shell RES 25 Year EUL</v>
      </c>
      <c r="BD148" s="114">
        <f>(INDEX('Avoided Cost Benefits'!$C$4:$C$857,MATCH(BC148,'Avoided Cost Benefits'!$A$4:$A$857,0)))*F148</f>
        <v>1.7676826497956104</v>
      </c>
      <c r="BE148" s="1949">
        <f t="shared" si="46"/>
        <v>3.2319971830488492</v>
      </c>
    </row>
    <row r="149" spans="1:57" s="892" customFormat="1" x14ac:dyDescent="0.25">
      <c r="A149" s="910"/>
      <c r="B149" s="1606"/>
      <c r="C149" s="1205" t="s">
        <v>1697</v>
      </c>
      <c r="D149" s="2695" t="s">
        <v>1577</v>
      </c>
      <c r="E149" s="426" t="s">
        <v>1698</v>
      </c>
      <c r="F149" s="579">
        <f t="shared" si="36"/>
        <v>0.27</v>
      </c>
      <c r="G149" s="2667" t="s">
        <v>1615</v>
      </c>
      <c r="H149" s="155">
        <f>VLOOKUP(G149,'CP FACTORS'!$A$3:$B$38, 2, FALSE)</f>
        <v>4.6608050000000002E-4</v>
      </c>
      <c r="I149" s="979">
        <f t="shared" si="39"/>
        <v>8.1240657912920455E-2</v>
      </c>
      <c r="J149" s="1460">
        <f t="shared" si="37"/>
        <v>0.19287827999999999</v>
      </c>
      <c r="K149" s="893">
        <f t="shared" si="40"/>
        <v>1.26E-4</v>
      </c>
      <c r="L149" s="2298">
        <f t="shared" si="41"/>
        <v>25</v>
      </c>
      <c r="M149" s="2297">
        <f t="shared" si="42"/>
        <v>3.424301015440256</v>
      </c>
      <c r="N149" s="979">
        <f t="shared" si="43"/>
        <v>1</v>
      </c>
      <c r="O149" s="910"/>
      <c r="P149" s="910"/>
      <c r="Q149" s="910"/>
      <c r="R149" s="910"/>
      <c r="S149" s="910"/>
      <c r="T149" s="910"/>
      <c r="U149" s="910"/>
      <c r="V149" s="160" t="str">
        <f t="shared" si="44"/>
        <v>kWh Annual Savings</v>
      </c>
      <c r="W149" s="236">
        <v>197.06410446559852</v>
      </c>
      <c r="X149" s="424">
        <v>197.06410446559852</v>
      </c>
      <c r="Y149" s="885">
        <v>0.27</v>
      </c>
      <c r="Z149" s="882">
        <v>0.27</v>
      </c>
      <c r="AA149" s="882">
        <v>0.27</v>
      </c>
      <c r="AB149" s="882">
        <v>0.27</v>
      </c>
      <c r="AC149" s="882">
        <v>0.27</v>
      </c>
      <c r="AD149" s="160"/>
      <c r="AE149" s="160"/>
      <c r="AF149" s="160"/>
      <c r="AG149" s="160"/>
      <c r="AK149" s="883"/>
      <c r="BB149" s="52">
        <f t="shared" si="38"/>
        <v>0.11627687968460163</v>
      </c>
      <c r="BC149" s="1948" t="str">
        <f t="shared" si="45"/>
        <v>Building Shell RES 25 Year EUL</v>
      </c>
      <c r="BD149" s="114">
        <f>(INDEX('Avoided Cost Benefits'!$C$4:$C$857,MATCH(BC149,'Avoided Cost Benefits'!$A$4:$A$857,0)))*F149</f>
        <v>0.3758065475943424</v>
      </c>
      <c r="BE149" s="1949">
        <f t="shared" si="46"/>
        <v>3.2319971830488492</v>
      </c>
    </row>
    <row r="150" spans="1:57" s="892" customFormat="1" x14ac:dyDescent="0.25">
      <c r="A150" s="910"/>
      <c r="B150" s="1606"/>
      <c r="C150" s="1205" t="s">
        <v>1699</v>
      </c>
      <c r="D150" s="2695" t="s">
        <v>1571</v>
      </c>
      <c r="E150" s="420" t="s">
        <v>1700</v>
      </c>
      <c r="F150" s="579">
        <f t="shared" si="36"/>
        <v>2.0299999999999998</v>
      </c>
      <c r="G150" s="2667" t="s">
        <v>1615</v>
      </c>
      <c r="H150" s="155">
        <f>VLOOKUP(G150,'CP FACTORS'!$A$3:$B$38, 2, FALSE)</f>
        <v>4.6608050000000002E-4</v>
      </c>
      <c r="I150" s="979">
        <f t="shared" si="39"/>
        <v>1.8374921381549281</v>
      </c>
      <c r="J150" s="1460">
        <f t="shared" si="37"/>
        <v>0.19287827999999999</v>
      </c>
      <c r="K150" s="893">
        <f t="shared" si="40"/>
        <v>9.4600000000000001E-4</v>
      </c>
      <c r="L150" s="2298">
        <f t="shared" si="41"/>
        <v>25</v>
      </c>
      <c r="M150" s="2297">
        <f t="shared" si="42"/>
        <v>3.4243037974683546</v>
      </c>
      <c r="N150" s="979">
        <f t="shared" si="43"/>
        <v>1</v>
      </c>
      <c r="O150" s="910"/>
      <c r="P150" s="910"/>
      <c r="Q150" s="910"/>
      <c r="R150" s="910"/>
      <c r="S150" s="910"/>
      <c r="T150" s="910"/>
      <c r="U150" s="910"/>
      <c r="V150" s="160" t="str">
        <f t="shared" si="44"/>
        <v>kWh Annual Savings</v>
      </c>
      <c r="W150" s="236">
        <v>2245.5896824793513</v>
      </c>
      <c r="X150" s="424">
        <v>2245.5896824793513</v>
      </c>
      <c r="Y150" s="885">
        <v>2.0299999999999998</v>
      </c>
      <c r="Z150" s="882">
        <v>2.0299999999999998</v>
      </c>
      <c r="AA150" s="882">
        <v>2.0299999999999998</v>
      </c>
      <c r="AB150" s="882">
        <v>2.0299999999999998</v>
      </c>
      <c r="AC150" s="882">
        <v>2.0299999999999998</v>
      </c>
      <c r="AD150" s="160"/>
      <c r="AE150" s="160"/>
      <c r="AF150" s="160"/>
      <c r="AG150" s="160"/>
      <c r="AK150" s="883"/>
      <c r="BB150" s="52">
        <f t="shared" si="38"/>
        <v>0.87422916292829866</v>
      </c>
      <c r="BC150" s="1948" t="str">
        <f t="shared" si="45"/>
        <v>Building Shell RES 25 Year EUL</v>
      </c>
      <c r="BD150" s="114">
        <f>(INDEX('Avoided Cost Benefits'!$C$4:$C$857,MATCH(BC150,'Avoided Cost Benefits'!$A$4:$A$857,0)))*F150</f>
        <v>2.8255084874685736</v>
      </c>
      <c r="BE150" s="1949">
        <f t="shared" si="46"/>
        <v>3.2319998088422408</v>
      </c>
    </row>
    <row r="151" spans="1:57" s="892" customFormat="1" x14ac:dyDescent="0.25">
      <c r="A151" s="910"/>
      <c r="B151" s="1606"/>
      <c r="C151" s="1205" t="s">
        <v>1701</v>
      </c>
      <c r="D151" s="2695" t="s">
        <v>1571</v>
      </c>
      <c r="E151" s="426" t="s">
        <v>1702</v>
      </c>
      <c r="F151" s="579">
        <f t="shared" si="36"/>
        <v>1.27</v>
      </c>
      <c r="G151" s="2667" t="s">
        <v>1615</v>
      </c>
      <c r="H151" s="155">
        <f>VLOOKUP(G151,'CP FACTORS'!$A$3:$B$38, 2, FALSE)</f>
        <v>4.6608050000000002E-4</v>
      </c>
      <c r="I151" s="979">
        <f t="shared" si="39"/>
        <v>1.0537013740142209</v>
      </c>
      <c r="J151" s="1460">
        <f t="shared" si="37"/>
        <v>0.21195415384615382</v>
      </c>
      <c r="K151" s="893">
        <f t="shared" si="40"/>
        <v>5.9199999999999997E-4</v>
      </c>
      <c r="L151" s="2298">
        <f t="shared" si="41"/>
        <v>25</v>
      </c>
      <c r="M151" s="2297">
        <f t="shared" si="42"/>
        <v>3.4243037974683546</v>
      </c>
      <c r="N151" s="979">
        <f t="shared" si="43"/>
        <v>1</v>
      </c>
      <c r="O151" s="910"/>
      <c r="P151" s="910"/>
      <c r="Q151" s="910"/>
      <c r="R151" s="910"/>
      <c r="S151" s="910"/>
      <c r="T151" s="910"/>
      <c r="U151" s="910"/>
      <c r="V151" s="160" t="str">
        <f t="shared" si="44"/>
        <v>kWh Annual Savings</v>
      </c>
      <c r="W151" s="236">
        <v>1399.815013813575</v>
      </c>
      <c r="X151" s="424">
        <v>1399.815013813575</v>
      </c>
      <c r="Y151" s="885">
        <v>1.27</v>
      </c>
      <c r="Z151" s="882">
        <v>1.27</v>
      </c>
      <c r="AA151" s="882">
        <v>1.27</v>
      </c>
      <c r="AB151" s="882">
        <v>1.27</v>
      </c>
      <c r="AC151" s="882">
        <v>1.27</v>
      </c>
      <c r="AD151" s="160"/>
      <c r="AE151" s="160"/>
      <c r="AF151" s="160"/>
      <c r="AG151" s="160"/>
      <c r="AK151" s="883"/>
      <c r="BB151" s="52">
        <f t="shared" si="38"/>
        <v>0.54693154528026577</v>
      </c>
      <c r="BC151" s="1948" t="str">
        <f t="shared" si="45"/>
        <v>Building Shell RES 25 Year EUL</v>
      </c>
      <c r="BD151" s="114">
        <f>(INDEX('Avoided Cost Benefits'!$C$4:$C$857,MATCH(BC151,'Avoided Cost Benefits'!$A$4:$A$857,0)))*F151</f>
        <v>1.7676826497956104</v>
      </c>
      <c r="BE151" s="1949">
        <f t="shared" si="46"/>
        <v>3.2319998088422408</v>
      </c>
    </row>
    <row r="152" spans="1:57" s="892" customFormat="1" x14ac:dyDescent="0.25">
      <c r="A152" s="910"/>
      <c r="B152" s="1606"/>
      <c r="C152" s="1205" t="s">
        <v>1703</v>
      </c>
      <c r="D152" s="2695" t="s">
        <v>1571</v>
      </c>
      <c r="E152" s="420" t="s">
        <v>1704</v>
      </c>
      <c r="F152" s="579">
        <f t="shared" si="36"/>
        <v>0.27</v>
      </c>
      <c r="G152" s="2667" t="s">
        <v>1615</v>
      </c>
      <c r="H152" s="155">
        <f>VLOOKUP(G152,'CP FACTORS'!$A$3:$B$38, 2, FALSE)</f>
        <v>4.6608050000000002E-4</v>
      </c>
      <c r="I152" s="979">
        <f t="shared" si="39"/>
        <v>8.1240657912920455E-2</v>
      </c>
      <c r="J152" s="1460">
        <f t="shared" si="37"/>
        <v>0.19287827999999999</v>
      </c>
      <c r="K152" s="893">
        <f t="shared" si="40"/>
        <v>1.26E-4</v>
      </c>
      <c r="L152" s="2298">
        <f t="shared" si="41"/>
        <v>25</v>
      </c>
      <c r="M152" s="2297">
        <f t="shared" si="42"/>
        <v>3.4243037974683546</v>
      </c>
      <c r="N152" s="979">
        <f t="shared" si="43"/>
        <v>1</v>
      </c>
      <c r="O152" s="910"/>
      <c r="P152" s="910"/>
      <c r="Q152" s="910"/>
      <c r="R152" s="910"/>
      <c r="S152" s="910"/>
      <c r="T152" s="910"/>
      <c r="U152" s="910"/>
      <c r="V152" s="160" t="str">
        <f t="shared" si="44"/>
        <v>kWh Annual Savings</v>
      </c>
      <c r="W152" s="236">
        <v>303.1755453316901</v>
      </c>
      <c r="X152" s="424">
        <v>303.1755453316901</v>
      </c>
      <c r="Y152" s="885">
        <v>0.27</v>
      </c>
      <c r="Z152" s="882">
        <v>0.27</v>
      </c>
      <c r="AA152" s="882">
        <v>0.27</v>
      </c>
      <c r="AB152" s="882">
        <v>0.27</v>
      </c>
      <c r="AC152" s="882">
        <v>0.27</v>
      </c>
      <c r="AD152" s="160"/>
      <c r="AE152" s="160"/>
      <c r="AF152" s="160"/>
      <c r="AG152" s="160"/>
      <c r="AK152" s="883"/>
      <c r="BB152" s="53">
        <f t="shared" si="38"/>
        <v>0.11627678521706439</v>
      </c>
      <c r="BC152" s="1948" t="str">
        <f t="shared" si="45"/>
        <v>Building Shell RES 25 Year EUL</v>
      </c>
      <c r="BD152" s="119">
        <f>(INDEX('Avoided Cost Benefits'!$C$4:$C$857,MATCH(BC152,'Avoided Cost Benefits'!$A$4:$A$857,0)))*F152</f>
        <v>0.3758065475943424</v>
      </c>
      <c r="BE152" s="1950">
        <f t="shared" si="46"/>
        <v>3.2319998088422408</v>
      </c>
    </row>
    <row r="153" spans="1:57" s="892" customFormat="1" x14ac:dyDescent="0.25">
      <c r="A153" s="910"/>
      <c r="B153" s="1624"/>
      <c r="C153" s="1271"/>
      <c r="D153" s="1625"/>
      <c r="E153" s="1625"/>
      <c r="F153" s="1626"/>
      <c r="G153" s="1271"/>
      <c r="H153" s="1627"/>
      <c r="I153" s="1628"/>
      <c r="J153" s="1629"/>
      <c r="K153" s="1272"/>
      <c r="L153" s="1630"/>
      <c r="M153" s="1631"/>
      <c r="N153" s="1632"/>
      <c r="O153" s="918"/>
      <c r="P153" s="918"/>
      <c r="Q153" s="918"/>
      <c r="R153" s="918"/>
      <c r="S153" s="918"/>
      <c r="T153" s="918"/>
      <c r="U153" s="918"/>
      <c r="V153" s="1273"/>
      <c r="W153" s="1274"/>
      <c r="X153" s="1275"/>
      <c r="Y153" s="1276"/>
      <c r="Z153" s="1273"/>
      <c r="AA153" s="1273"/>
      <c r="AB153" s="1273"/>
      <c r="AC153" s="1273"/>
      <c r="AD153" s="1273"/>
      <c r="AE153" s="1273"/>
      <c r="AF153" s="1273"/>
      <c r="AG153" s="1273"/>
      <c r="AK153" s="883"/>
      <c r="BB153" s="906"/>
    </row>
    <row r="154" spans="1:57" s="892" customFormat="1" hidden="1" outlineLevel="1" x14ac:dyDescent="0.25">
      <c r="A154" s="910"/>
      <c r="B154" s="1633"/>
      <c r="C154" s="907"/>
      <c r="D154" s="429"/>
      <c r="E154" s="429"/>
      <c r="F154" s="1470"/>
      <c r="G154" s="910"/>
      <c r="H154" s="910"/>
      <c r="I154" s="910"/>
      <c r="J154" s="910"/>
      <c r="K154" s="910"/>
      <c r="L154" s="910"/>
      <c r="M154" s="910"/>
      <c r="N154" s="910"/>
      <c r="O154" s="910"/>
      <c r="P154" s="910"/>
      <c r="Q154" s="910"/>
      <c r="R154" s="910"/>
      <c r="S154" s="910"/>
      <c r="T154" s="910"/>
      <c r="U154" s="910"/>
      <c r="Y154" s="1500" t="s">
        <v>1642</v>
      </c>
      <c r="AK154" s="883"/>
      <c r="BB154" s="906"/>
    </row>
    <row r="155" spans="1:57" s="892" customFormat="1" hidden="1" outlineLevel="1" x14ac:dyDescent="0.25">
      <c r="A155" s="910"/>
      <c r="B155" s="1606"/>
      <c r="C155" s="907"/>
      <c r="D155" s="429" t="s">
        <v>108</v>
      </c>
      <c r="E155" s="429"/>
      <c r="F155" s="1470"/>
      <c r="G155" s="910"/>
      <c r="H155" s="910"/>
      <c r="I155" s="910"/>
      <c r="J155" s="910"/>
      <c r="K155" s="910"/>
      <c r="L155" s="910"/>
      <c r="M155" s="910"/>
      <c r="N155" s="910"/>
      <c r="O155" s="910"/>
      <c r="P155" s="910"/>
      <c r="Q155" s="910"/>
      <c r="R155" s="910"/>
      <c r="S155" s="910"/>
      <c r="T155" s="910"/>
      <c r="U155" s="910"/>
      <c r="Y155" s="911"/>
      <c r="AK155" s="883"/>
      <c r="BB155" s="906"/>
    </row>
    <row r="156" spans="1:57" s="892" customFormat="1" hidden="1" outlineLevel="1" x14ac:dyDescent="0.25">
      <c r="A156" s="910"/>
      <c r="B156" s="1606"/>
      <c r="C156" s="907"/>
      <c r="D156" s="429"/>
      <c r="E156" s="429"/>
      <c r="F156" s="1470"/>
      <c r="G156" s="910"/>
      <c r="H156" s="910"/>
      <c r="I156" s="910"/>
      <c r="J156" s="910"/>
      <c r="K156" s="910"/>
      <c r="L156" s="910"/>
      <c r="M156" s="910"/>
      <c r="N156" s="910"/>
      <c r="O156" s="910"/>
      <c r="P156" s="910"/>
      <c r="Q156" s="910"/>
      <c r="R156" s="910"/>
      <c r="S156" s="910"/>
      <c r="T156" s="910"/>
      <c r="U156" s="910"/>
      <c r="Y156" s="911"/>
      <c r="AK156" s="883"/>
      <c r="BB156" s="906"/>
    </row>
    <row r="157" spans="1:57" s="892" customFormat="1" hidden="1" outlineLevel="1" x14ac:dyDescent="0.25">
      <c r="A157" s="910"/>
      <c r="B157" s="1606"/>
      <c r="C157" s="907"/>
      <c r="D157" s="429"/>
      <c r="E157" s="429"/>
      <c r="F157" s="1470"/>
      <c r="G157" s="910"/>
      <c r="H157" s="910"/>
      <c r="I157" s="910"/>
      <c r="J157" s="910"/>
      <c r="K157" s="910"/>
      <c r="L157" s="910"/>
      <c r="M157" s="910"/>
      <c r="N157" s="910"/>
      <c r="O157" s="910"/>
      <c r="P157" s="910"/>
      <c r="Q157" s="910"/>
      <c r="R157" s="910"/>
      <c r="S157" s="910"/>
      <c r="T157" s="910"/>
      <c r="U157" s="910"/>
      <c r="Y157" s="911"/>
      <c r="AK157" s="883"/>
      <c r="BB157" s="906"/>
    </row>
    <row r="158" spans="1:57" s="892" customFormat="1" ht="18.600000000000001" hidden="1" customHeight="1" outlineLevel="1" x14ac:dyDescent="0.25">
      <c r="A158" s="910"/>
      <c r="B158" s="1606"/>
      <c r="C158" s="912"/>
      <c r="D158" s="4346"/>
      <c r="E158" s="4346"/>
      <c r="F158" s="4346"/>
      <c r="G158" s="4346"/>
      <c r="H158" s="4346"/>
      <c r="I158" s="4346"/>
      <c r="J158" s="4346"/>
      <c r="K158" s="4346"/>
      <c r="L158" s="4346"/>
      <c r="M158" s="910"/>
      <c r="N158" s="910"/>
      <c r="O158" s="910"/>
      <c r="P158" s="910"/>
      <c r="Q158" s="910"/>
      <c r="R158" s="910"/>
      <c r="S158" s="910"/>
      <c r="T158" s="910"/>
      <c r="U158" s="910"/>
      <c r="Y158" s="911"/>
      <c r="AK158" s="883"/>
      <c r="BB158" s="906"/>
    </row>
    <row r="159" spans="1:57" s="892" customFormat="1" ht="39" hidden="1" customHeight="1" outlineLevel="1" x14ac:dyDescent="0.25">
      <c r="A159" s="910"/>
      <c r="B159" s="1606"/>
      <c r="C159" s="913"/>
      <c r="D159" s="4346"/>
      <c r="E159" s="4346"/>
      <c r="F159" s="4346"/>
      <c r="G159" s="4346"/>
      <c r="H159" s="4346"/>
      <c r="I159" s="4346"/>
      <c r="J159" s="4346"/>
      <c r="K159" s="4346"/>
      <c r="L159" s="4346"/>
      <c r="M159" s="910"/>
      <c r="N159" s="910"/>
      <c r="O159" s="910"/>
      <c r="P159" s="910"/>
      <c r="Q159" s="910"/>
      <c r="R159" s="910"/>
      <c r="S159" s="910"/>
      <c r="T159" s="910"/>
      <c r="U159" s="910"/>
      <c r="Y159" s="911"/>
      <c r="AK159" s="883"/>
      <c r="BB159" s="906"/>
    </row>
    <row r="160" spans="1:57" s="892" customFormat="1" hidden="1" outlineLevel="1" x14ac:dyDescent="0.25">
      <c r="A160" s="910"/>
      <c r="B160" s="1606"/>
      <c r="C160" s="913"/>
      <c r="D160" s="4346"/>
      <c r="E160" s="4346"/>
      <c r="F160" s="4346"/>
      <c r="G160" s="4346"/>
      <c r="H160" s="4346"/>
      <c r="I160" s="4346"/>
      <c r="J160" s="4346"/>
      <c r="K160" s="4346"/>
      <c r="L160" s="4346"/>
      <c r="M160" s="910"/>
      <c r="N160" s="910"/>
      <c r="O160" s="910"/>
      <c r="P160" s="910"/>
      <c r="Q160" s="910"/>
      <c r="R160" s="910"/>
      <c r="S160" s="910"/>
      <c r="T160" s="910"/>
      <c r="U160" s="910"/>
      <c r="Y160" s="911"/>
      <c r="AK160" s="883"/>
      <c r="BB160" s="906"/>
    </row>
    <row r="161" spans="1:54" s="892" customFormat="1" ht="15" hidden="1" customHeight="1" outlineLevel="1" x14ac:dyDescent="0.25">
      <c r="A161" s="910"/>
      <c r="B161" s="1606"/>
      <c r="C161" s="914"/>
      <c r="D161" s="4346"/>
      <c r="E161" s="4346"/>
      <c r="F161" s="4346"/>
      <c r="G161" s="4346"/>
      <c r="H161" s="4346"/>
      <c r="I161" s="4346"/>
      <c r="J161" s="4346"/>
      <c r="K161" s="4346"/>
      <c r="L161" s="4346"/>
      <c r="M161" s="910"/>
      <c r="N161" s="910"/>
      <c r="O161" s="910"/>
      <c r="P161" s="910"/>
      <c r="Q161" s="910"/>
      <c r="R161" s="910"/>
      <c r="S161" s="910"/>
      <c r="T161" s="910"/>
      <c r="U161" s="910"/>
      <c r="Y161" s="911"/>
      <c r="AK161" s="883"/>
      <c r="BB161" s="906"/>
    </row>
    <row r="162" spans="1:54" s="892" customFormat="1" hidden="1" outlineLevel="1" x14ac:dyDescent="0.25">
      <c r="A162" s="910"/>
      <c r="B162" s="1606"/>
      <c r="C162" s="907"/>
      <c r="D162" s="429"/>
      <c r="E162" s="429"/>
      <c r="F162" s="910"/>
      <c r="G162" s="910"/>
      <c r="H162" s="910"/>
      <c r="I162" s="910"/>
      <c r="J162" s="910"/>
      <c r="K162" s="910"/>
      <c r="L162" s="910"/>
      <c r="M162" s="910"/>
      <c r="N162" s="910"/>
      <c r="O162" s="910"/>
      <c r="P162" s="910"/>
      <c r="Q162" s="910"/>
      <c r="R162" s="910"/>
      <c r="S162" s="910"/>
      <c r="T162" s="910"/>
      <c r="U162" s="910"/>
      <c r="Y162" s="911"/>
      <c r="AK162" s="883"/>
      <c r="BB162" s="906"/>
    </row>
    <row r="163" spans="1:54" s="892" customFormat="1" hidden="1" outlineLevel="1" x14ac:dyDescent="0.25">
      <c r="A163" s="910"/>
      <c r="B163" s="1606"/>
      <c r="C163" s="907"/>
      <c r="D163" s="3236" t="s">
        <v>109</v>
      </c>
      <c r="E163" s="3236" t="s">
        <v>110</v>
      </c>
      <c r="F163" s="3086" t="s">
        <v>112</v>
      </c>
      <c r="G163" s="3086" t="s">
        <v>187</v>
      </c>
      <c r="H163" s="3086" t="s">
        <v>283</v>
      </c>
      <c r="I163" s="910"/>
      <c r="J163" s="910"/>
      <c r="K163" s="910"/>
      <c r="L163" s="910"/>
      <c r="M163" s="910"/>
      <c r="N163" s="910"/>
      <c r="O163" s="910"/>
      <c r="P163" s="910"/>
      <c r="Q163" s="910"/>
      <c r="R163" s="910"/>
      <c r="S163" s="910"/>
      <c r="T163" s="910"/>
      <c r="U163" s="910"/>
      <c r="V163" s="1936" t="s">
        <v>45</v>
      </c>
      <c r="W163" s="1937">
        <f>W$6</f>
        <v>43252</v>
      </c>
      <c r="X163" s="1937">
        <f t="shared" ref="X163:AG163" si="47">X$6</f>
        <v>43465</v>
      </c>
      <c r="Y163" s="360">
        <f t="shared" si="47"/>
        <v>43800</v>
      </c>
      <c r="Z163" s="1937">
        <f t="shared" si="47"/>
        <v>43862</v>
      </c>
      <c r="AA163" s="1937">
        <f t="shared" si="47"/>
        <v>44013</v>
      </c>
      <c r="AB163" s="1937">
        <f t="shared" si="47"/>
        <v>44166</v>
      </c>
      <c r="AC163" s="1937">
        <f t="shared" si="47"/>
        <v>44531</v>
      </c>
      <c r="AD163" s="1937" t="str">
        <f t="shared" si="47"/>
        <v>-</v>
      </c>
      <c r="AE163" s="1937" t="str">
        <f t="shared" si="47"/>
        <v>-</v>
      </c>
      <c r="AF163" s="1937" t="str">
        <f t="shared" si="47"/>
        <v>-</v>
      </c>
      <c r="AG163" s="1937" t="str">
        <f t="shared" si="47"/>
        <v>-</v>
      </c>
      <c r="AK163" s="883"/>
      <c r="BB163" s="906"/>
    </row>
    <row r="164" spans="1:54" s="892" customFormat="1" hidden="1" outlineLevel="1" x14ac:dyDescent="0.25">
      <c r="A164" s="910"/>
      <c r="B164" s="1606"/>
      <c r="C164" s="907"/>
      <c r="D164" s="4327" t="s">
        <v>284</v>
      </c>
      <c r="E164" s="420" t="s">
        <v>1646</v>
      </c>
      <c r="F164" s="944">
        <v>1</v>
      </c>
      <c r="G164" s="3201"/>
      <c r="H164" s="1204"/>
      <c r="I164" s="910"/>
      <c r="J164" s="910"/>
      <c r="K164" s="910"/>
      <c r="L164" s="910"/>
      <c r="M164" s="910"/>
      <c r="N164" s="910"/>
      <c r="O164" s="910"/>
      <c r="P164" s="910"/>
      <c r="Q164" s="910"/>
      <c r="R164" s="910"/>
      <c r="S164" s="910"/>
      <c r="T164" s="910"/>
      <c r="U164" s="910"/>
      <c r="V164" s="4247" t="str">
        <f>D164</f>
        <v>%ElectricHeat</v>
      </c>
      <c r="W164" s="915">
        <v>1</v>
      </c>
      <c r="X164" s="915">
        <v>1</v>
      </c>
      <c r="Y164" s="915">
        <v>1</v>
      </c>
      <c r="Z164" s="944">
        <v>1</v>
      </c>
      <c r="AA164" s="944">
        <v>1</v>
      </c>
      <c r="AB164" s="944">
        <v>1</v>
      </c>
      <c r="AC164" s="944">
        <v>1</v>
      </c>
      <c r="AD164" s="915"/>
      <c r="AE164" s="915"/>
      <c r="AF164" s="915"/>
      <c r="AG164" s="915"/>
      <c r="AK164" s="883"/>
      <c r="BB164" s="906"/>
    </row>
    <row r="165" spans="1:54" s="892" customFormat="1" hidden="1" outlineLevel="1" x14ac:dyDescent="0.25">
      <c r="A165" s="910"/>
      <c r="B165" s="1606"/>
      <c r="C165" s="907"/>
      <c r="D165" s="4328"/>
      <c r="E165" s="420" t="s">
        <v>1648</v>
      </c>
      <c r="F165" s="944">
        <v>1</v>
      </c>
      <c r="G165" s="3201"/>
      <c r="H165" s="1204"/>
      <c r="I165" s="910"/>
      <c r="J165" s="910"/>
      <c r="K165" s="910"/>
      <c r="L165" s="910"/>
      <c r="M165" s="910"/>
      <c r="N165" s="910"/>
      <c r="O165" s="910"/>
      <c r="P165" s="910"/>
      <c r="Q165" s="910"/>
      <c r="R165" s="910"/>
      <c r="S165" s="910"/>
      <c r="T165" s="910"/>
      <c r="U165" s="910"/>
      <c r="V165" s="4248"/>
      <c r="W165" s="915">
        <v>1</v>
      </c>
      <c r="X165" s="915">
        <v>1</v>
      </c>
      <c r="Y165" s="915">
        <v>1</v>
      </c>
      <c r="Z165" s="944">
        <v>1</v>
      </c>
      <c r="AA165" s="944">
        <v>1</v>
      </c>
      <c r="AB165" s="944">
        <v>1</v>
      </c>
      <c r="AC165" s="944">
        <v>1</v>
      </c>
      <c r="AD165" s="915"/>
      <c r="AE165" s="915"/>
      <c r="AF165" s="915"/>
      <c r="AG165" s="915"/>
      <c r="AK165" s="883"/>
      <c r="BB165" s="906"/>
    </row>
    <row r="166" spans="1:54" s="892" customFormat="1" hidden="1" outlineLevel="1" x14ac:dyDescent="0.25">
      <c r="A166" s="910"/>
      <c r="B166" s="1606"/>
      <c r="C166" s="907"/>
      <c r="D166" s="4328"/>
      <c r="E166" s="420" t="s">
        <v>1650</v>
      </c>
      <c r="F166" s="944">
        <v>0</v>
      </c>
      <c r="G166" s="3201"/>
      <c r="H166" s="1204"/>
      <c r="I166" s="910"/>
      <c r="J166" s="910"/>
      <c r="K166" s="910"/>
      <c r="L166" s="910"/>
      <c r="M166" s="910"/>
      <c r="N166" s="910"/>
      <c r="O166" s="910"/>
      <c r="P166" s="910"/>
      <c r="Q166" s="910"/>
      <c r="R166" s="910"/>
      <c r="S166" s="910"/>
      <c r="T166" s="910"/>
      <c r="U166" s="910"/>
      <c r="V166" s="4248"/>
      <c r="W166" s="915">
        <v>0</v>
      </c>
      <c r="X166" s="915">
        <v>0</v>
      </c>
      <c r="Y166" s="915">
        <v>0</v>
      </c>
      <c r="Z166" s="944">
        <v>0</v>
      </c>
      <c r="AA166" s="944">
        <v>0</v>
      </c>
      <c r="AB166" s="944">
        <v>0</v>
      </c>
      <c r="AC166" s="944">
        <v>0</v>
      </c>
      <c r="AD166" s="915"/>
      <c r="AE166" s="915"/>
      <c r="AF166" s="915"/>
      <c r="AG166" s="915"/>
      <c r="AK166" s="883"/>
      <c r="BB166" s="906"/>
    </row>
    <row r="167" spans="1:54" s="892" customFormat="1" hidden="1" outlineLevel="1" x14ac:dyDescent="0.25">
      <c r="A167" s="910"/>
      <c r="B167" s="1606"/>
      <c r="C167" s="907"/>
      <c r="D167" s="4328"/>
      <c r="E167" s="420" t="s">
        <v>1652</v>
      </c>
      <c r="F167" s="944">
        <v>1</v>
      </c>
      <c r="G167" s="3201"/>
      <c r="H167" s="1204"/>
      <c r="I167" s="910"/>
      <c r="J167" s="910"/>
      <c r="K167" s="910"/>
      <c r="L167" s="910"/>
      <c r="M167" s="910"/>
      <c r="N167" s="910"/>
      <c r="O167" s="910"/>
      <c r="P167" s="910"/>
      <c r="Q167" s="910"/>
      <c r="R167" s="910"/>
      <c r="S167" s="910"/>
      <c r="T167" s="910"/>
      <c r="U167" s="910"/>
      <c r="V167" s="4248"/>
      <c r="W167" s="915">
        <v>1</v>
      </c>
      <c r="X167" s="915">
        <v>1</v>
      </c>
      <c r="Y167" s="915">
        <v>1</v>
      </c>
      <c r="Z167" s="944">
        <v>1</v>
      </c>
      <c r="AA167" s="944">
        <v>1</v>
      </c>
      <c r="AB167" s="944">
        <v>1</v>
      </c>
      <c r="AC167" s="944">
        <v>1</v>
      </c>
      <c r="AD167" s="915"/>
      <c r="AE167" s="915"/>
      <c r="AF167" s="915"/>
      <c r="AG167" s="915"/>
      <c r="AK167" s="883"/>
      <c r="BB167" s="906"/>
    </row>
    <row r="168" spans="1:54" s="892" customFormat="1" hidden="1" outlineLevel="1" x14ac:dyDescent="0.25">
      <c r="A168" s="910"/>
      <c r="B168" s="1606"/>
      <c r="C168" s="907"/>
      <c r="D168" s="4328"/>
      <c r="E168" s="420" t="s">
        <v>1654</v>
      </c>
      <c r="F168" s="944">
        <v>1</v>
      </c>
      <c r="G168" s="3201"/>
      <c r="H168" s="1204"/>
      <c r="I168" s="910"/>
      <c r="J168" s="910"/>
      <c r="K168" s="910"/>
      <c r="L168" s="910"/>
      <c r="M168" s="910"/>
      <c r="N168" s="910"/>
      <c r="O168" s="910"/>
      <c r="P168" s="910"/>
      <c r="Q168" s="910"/>
      <c r="R168" s="910"/>
      <c r="S168" s="910"/>
      <c r="T168" s="910"/>
      <c r="U168" s="910"/>
      <c r="V168" s="4248"/>
      <c r="W168" s="915">
        <v>1</v>
      </c>
      <c r="X168" s="915">
        <v>1</v>
      </c>
      <c r="Y168" s="915">
        <v>1</v>
      </c>
      <c r="Z168" s="944">
        <v>1</v>
      </c>
      <c r="AA168" s="944">
        <v>1</v>
      </c>
      <c r="AB168" s="944">
        <v>1</v>
      </c>
      <c r="AC168" s="944">
        <v>1</v>
      </c>
      <c r="AD168" s="915"/>
      <c r="AE168" s="915"/>
      <c r="AF168" s="915"/>
      <c r="AG168" s="915"/>
      <c r="AK168" s="883"/>
      <c r="BB168" s="906"/>
    </row>
    <row r="169" spans="1:54" s="892" customFormat="1" hidden="1" outlineLevel="1" x14ac:dyDescent="0.25">
      <c r="A169" s="910"/>
      <c r="B169" s="1624"/>
      <c r="C169" s="907"/>
      <c r="D169" s="4328"/>
      <c r="E169" s="420" t="s">
        <v>1656</v>
      </c>
      <c r="F169" s="944">
        <v>0</v>
      </c>
      <c r="G169" s="3201"/>
      <c r="H169" s="1204"/>
      <c r="I169" s="910"/>
      <c r="J169" s="910"/>
      <c r="K169" s="910"/>
      <c r="L169" s="910"/>
      <c r="M169" s="910"/>
      <c r="N169" s="910"/>
      <c r="O169" s="910"/>
      <c r="P169" s="910"/>
      <c r="Q169" s="910"/>
      <c r="R169" s="910"/>
      <c r="S169" s="910"/>
      <c r="T169" s="910"/>
      <c r="U169" s="910"/>
      <c r="V169" s="4248"/>
      <c r="W169" s="915">
        <v>0</v>
      </c>
      <c r="X169" s="915">
        <v>0</v>
      </c>
      <c r="Y169" s="915">
        <v>0</v>
      </c>
      <c r="Z169" s="944">
        <v>0</v>
      </c>
      <c r="AA169" s="944">
        <v>0</v>
      </c>
      <c r="AB169" s="944">
        <v>0</v>
      </c>
      <c r="AC169" s="944">
        <v>0</v>
      </c>
      <c r="AD169" s="915"/>
      <c r="AE169" s="915"/>
      <c r="AF169" s="915"/>
      <c r="AG169" s="915"/>
      <c r="AK169" s="883"/>
      <c r="BB169" s="906"/>
    </row>
    <row r="170" spans="1:54" s="892" customFormat="1" hidden="1" outlineLevel="1" x14ac:dyDescent="0.25">
      <c r="A170" s="910"/>
      <c r="B170" s="1624"/>
      <c r="C170" s="907"/>
      <c r="D170" s="4328"/>
      <c r="E170" s="420" t="s">
        <v>1658</v>
      </c>
      <c r="F170" s="944">
        <v>1</v>
      </c>
      <c r="G170" s="3201"/>
      <c r="H170" s="1204"/>
      <c r="I170" s="910"/>
      <c r="J170" s="910"/>
      <c r="K170" s="910"/>
      <c r="L170" s="910"/>
      <c r="M170" s="910"/>
      <c r="N170" s="910"/>
      <c r="O170" s="910"/>
      <c r="P170" s="910"/>
      <c r="Q170" s="910"/>
      <c r="R170" s="910"/>
      <c r="S170" s="910"/>
      <c r="T170" s="910"/>
      <c r="U170" s="910"/>
      <c r="V170" s="4248"/>
      <c r="W170" s="915">
        <v>1</v>
      </c>
      <c r="X170" s="915">
        <v>1</v>
      </c>
      <c r="Y170" s="915">
        <v>1</v>
      </c>
      <c r="Z170" s="944">
        <v>1</v>
      </c>
      <c r="AA170" s="944">
        <v>1</v>
      </c>
      <c r="AB170" s="944">
        <v>1</v>
      </c>
      <c r="AC170" s="944">
        <v>1</v>
      </c>
      <c r="AD170" s="915"/>
      <c r="AE170" s="915"/>
      <c r="AF170" s="915"/>
      <c r="AG170" s="915"/>
      <c r="AK170" s="883"/>
      <c r="BB170" s="906"/>
    </row>
    <row r="171" spans="1:54" s="892" customFormat="1" hidden="1" outlineLevel="1" x14ac:dyDescent="0.25">
      <c r="A171" s="910"/>
      <c r="B171" s="1624"/>
      <c r="C171" s="907"/>
      <c r="D171" s="4328"/>
      <c r="E171" s="420" t="s">
        <v>1660</v>
      </c>
      <c r="F171" s="944">
        <v>1</v>
      </c>
      <c r="G171" s="3201"/>
      <c r="H171" s="1204"/>
      <c r="I171" s="910"/>
      <c r="J171" s="910"/>
      <c r="K171" s="910"/>
      <c r="L171" s="910"/>
      <c r="M171" s="910"/>
      <c r="N171" s="910"/>
      <c r="O171" s="910"/>
      <c r="P171" s="910"/>
      <c r="Q171" s="910"/>
      <c r="R171" s="910"/>
      <c r="S171" s="910"/>
      <c r="T171" s="910"/>
      <c r="U171" s="910"/>
      <c r="V171" s="4248"/>
      <c r="W171" s="915">
        <v>1</v>
      </c>
      <c r="X171" s="915">
        <v>1</v>
      </c>
      <c r="Y171" s="915">
        <v>1</v>
      </c>
      <c r="Z171" s="944">
        <v>1</v>
      </c>
      <c r="AA171" s="944">
        <v>1</v>
      </c>
      <c r="AB171" s="944">
        <v>1</v>
      </c>
      <c r="AC171" s="944">
        <v>1</v>
      </c>
      <c r="AD171" s="915"/>
      <c r="AE171" s="915"/>
      <c r="AF171" s="915"/>
      <c r="AG171" s="915"/>
      <c r="AK171" s="883"/>
      <c r="BB171" s="906"/>
    </row>
    <row r="172" spans="1:54" s="892" customFormat="1" hidden="1" outlineLevel="1" x14ac:dyDescent="0.25">
      <c r="A172" s="910"/>
      <c r="B172" s="1624"/>
      <c r="C172" s="907"/>
      <c r="D172" s="4328"/>
      <c r="E172" s="426" t="s">
        <v>1662</v>
      </c>
      <c r="F172" s="944">
        <v>0</v>
      </c>
      <c r="G172" s="3201"/>
      <c r="H172" s="1204"/>
      <c r="I172" s="910"/>
      <c r="J172" s="910"/>
      <c r="K172" s="910"/>
      <c r="L172" s="910"/>
      <c r="M172" s="910"/>
      <c r="N172" s="910"/>
      <c r="O172" s="910"/>
      <c r="P172" s="910"/>
      <c r="Q172" s="910"/>
      <c r="R172" s="910"/>
      <c r="S172" s="910"/>
      <c r="T172" s="910"/>
      <c r="U172" s="910"/>
      <c r="V172" s="4248"/>
      <c r="W172" s="915">
        <v>0</v>
      </c>
      <c r="X172" s="915">
        <v>0</v>
      </c>
      <c r="Y172" s="915">
        <v>0</v>
      </c>
      <c r="Z172" s="944">
        <v>0</v>
      </c>
      <c r="AA172" s="944">
        <v>0</v>
      </c>
      <c r="AB172" s="944">
        <v>0</v>
      </c>
      <c r="AC172" s="944">
        <v>0</v>
      </c>
      <c r="AD172" s="915"/>
      <c r="AE172" s="915"/>
      <c r="AF172" s="915"/>
      <c r="AG172" s="915"/>
      <c r="AK172" s="883"/>
      <c r="BB172" s="906"/>
    </row>
    <row r="173" spans="1:54" s="892" customFormat="1" hidden="1" outlineLevel="1" x14ac:dyDescent="0.25">
      <c r="A173" s="910"/>
      <c r="B173" s="1624"/>
      <c r="C173" s="907"/>
      <c r="D173" s="4328"/>
      <c r="E173" s="420" t="s">
        <v>1664</v>
      </c>
      <c r="F173" s="944">
        <v>1</v>
      </c>
      <c r="G173" s="3201"/>
      <c r="H173" s="1204"/>
      <c r="I173" s="910"/>
      <c r="J173" s="910"/>
      <c r="K173" s="910"/>
      <c r="L173" s="910"/>
      <c r="M173" s="910"/>
      <c r="N173" s="910"/>
      <c r="O173" s="910"/>
      <c r="P173" s="910"/>
      <c r="Q173" s="910"/>
      <c r="R173" s="910"/>
      <c r="S173" s="910"/>
      <c r="T173" s="910"/>
      <c r="U173" s="910"/>
      <c r="V173" s="4248"/>
      <c r="W173" s="915">
        <v>1</v>
      </c>
      <c r="X173" s="915">
        <v>1</v>
      </c>
      <c r="Y173" s="915">
        <v>1</v>
      </c>
      <c r="Z173" s="944">
        <v>1</v>
      </c>
      <c r="AA173" s="944">
        <v>1</v>
      </c>
      <c r="AB173" s="944">
        <v>1</v>
      </c>
      <c r="AC173" s="944">
        <v>1</v>
      </c>
      <c r="AD173" s="915"/>
      <c r="AE173" s="915"/>
      <c r="AF173" s="915"/>
      <c r="AG173" s="915"/>
      <c r="AK173" s="883"/>
      <c r="BB173" s="906"/>
    </row>
    <row r="174" spans="1:54" s="892" customFormat="1" hidden="1" outlineLevel="1" x14ac:dyDescent="0.25">
      <c r="A174" s="910"/>
      <c r="B174" s="1624"/>
      <c r="C174" s="907"/>
      <c r="D174" s="4328"/>
      <c r="E174" s="420" t="s">
        <v>1666</v>
      </c>
      <c r="F174" s="944">
        <v>1</v>
      </c>
      <c r="G174" s="3201"/>
      <c r="H174" s="1204"/>
      <c r="I174" s="910"/>
      <c r="J174" s="910"/>
      <c r="K174" s="910"/>
      <c r="L174" s="910"/>
      <c r="M174" s="910"/>
      <c r="N174" s="910"/>
      <c r="O174" s="910"/>
      <c r="P174" s="910"/>
      <c r="Q174" s="910"/>
      <c r="R174" s="910"/>
      <c r="S174" s="910"/>
      <c r="T174" s="910"/>
      <c r="U174" s="910"/>
      <c r="V174" s="4248"/>
      <c r="W174" s="915">
        <v>1</v>
      </c>
      <c r="X174" s="915">
        <v>1</v>
      </c>
      <c r="Y174" s="915">
        <v>1</v>
      </c>
      <c r="Z174" s="944">
        <v>1</v>
      </c>
      <c r="AA174" s="944">
        <v>1</v>
      </c>
      <c r="AB174" s="944">
        <v>1</v>
      </c>
      <c r="AC174" s="944">
        <v>1</v>
      </c>
      <c r="AD174" s="915"/>
      <c r="AE174" s="915"/>
      <c r="AF174" s="915"/>
      <c r="AG174" s="915"/>
      <c r="AK174" s="883"/>
      <c r="BB174" s="906"/>
    </row>
    <row r="175" spans="1:54" s="892" customFormat="1" hidden="1" outlineLevel="1" x14ac:dyDescent="0.25">
      <c r="A175" s="910"/>
      <c r="B175" s="1624"/>
      <c r="C175" s="907"/>
      <c r="D175" s="4328"/>
      <c r="E175" s="1620" t="s">
        <v>1668</v>
      </c>
      <c r="F175" s="944">
        <v>0</v>
      </c>
      <c r="G175" s="3201"/>
      <c r="H175" s="1204"/>
      <c r="I175" s="910"/>
      <c r="J175" s="910"/>
      <c r="K175" s="910"/>
      <c r="L175" s="910"/>
      <c r="M175" s="910"/>
      <c r="N175" s="910"/>
      <c r="O175" s="910"/>
      <c r="P175" s="910"/>
      <c r="Q175" s="910"/>
      <c r="R175" s="910"/>
      <c r="S175" s="910"/>
      <c r="T175" s="910"/>
      <c r="U175" s="910"/>
      <c r="V175" s="4248"/>
      <c r="W175" s="915">
        <v>0</v>
      </c>
      <c r="X175" s="915">
        <v>0</v>
      </c>
      <c r="Y175" s="915">
        <v>0</v>
      </c>
      <c r="Z175" s="944">
        <v>0</v>
      </c>
      <c r="AA175" s="944">
        <v>0</v>
      </c>
      <c r="AB175" s="944">
        <v>0</v>
      </c>
      <c r="AC175" s="944">
        <v>0</v>
      </c>
      <c r="AD175" s="915"/>
      <c r="AE175" s="915"/>
      <c r="AF175" s="915"/>
      <c r="AG175" s="915"/>
      <c r="AK175" s="883"/>
      <c r="BB175" s="906"/>
    </row>
    <row r="176" spans="1:54" s="892" customFormat="1" hidden="1" outlineLevel="1" x14ac:dyDescent="0.25">
      <c r="A176" s="910"/>
      <c r="B176" s="1624"/>
      <c r="C176" s="907"/>
      <c r="D176" s="4328"/>
      <c r="E176" s="420" t="s">
        <v>1670</v>
      </c>
      <c r="F176" s="944">
        <v>1</v>
      </c>
      <c r="G176" s="3201"/>
      <c r="H176" s="1204"/>
      <c r="I176" s="910"/>
      <c r="J176" s="910"/>
      <c r="K176" s="910"/>
      <c r="L176" s="910"/>
      <c r="M176" s="910"/>
      <c r="N176" s="910"/>
      <c r="O176" s="910"/>
      <c r="P176" s="910"/>
      <c r="Q176" s="910"/>
      <c r="R176" s="910"/>
      <c r="S176" s="910"/>
      <c r="T176" s="910"/>
      <c r="U176" s="910"/>
      <c r="V176" s="4248"/>
      <c r="W176" s="915">
        <v>1</v>
      </c>
      <c r="X176" s="915">
        <v>1</v>
      </c>
      <c r="Y176" s="915">
        <v>1</v>
      </c>
      <c r="Z176" s="944">
        <v>1</v>
      </c>
      <c r="AA176" s="944">
        <v>1</v>
      </c>
      <c r="AB176" s="944">
        <v>1</v>
      </c>
      <c r="AC176" s="944">
        <v>1</v>
      </c>
      <c r="AD176" s="915"/>
      <c r="AE176" s="915"/>
      <c r="AF176" s="915"/>
      <c r="AG176" s="915"/>
      <c r="AK176" s="883"/>
      <c r="BB176" s="906"/>
    </row>
    <row r="177" spans="1:54" s="892" customFormat="1" hidden="1" outlineLevel="1" x14ac:dyDescent="0.25">
      <c r="A177" s="910"/>
      <c r="B177" s="1606"/>
      <c r="C177" s="907"/>
      <c r="D177" s="4328"/>
      <c r="E177" s="420" t="s">
        <v>1672</v>
      </c>
      <c r="F177" s="944">
        <v>1</v>
      </c>
      <c r="G177" s="3201"/>
      <c r="H177" s="1204"/>
      <c r="I177" s="910"/>
      <c r="J177" s="910"/>
      <c r="K177" s="910"/>
      <c r="L177" s="910"/>
      <c r="M177" s="910"/>
      <c r="N177" s="910"/>
      <c r="O177" s="910"/>
      <c r="P177" s="910"/>
      <c r="Q177" s="910"/>
      <c r="R177" s="910"/>
      <c r="S177" s="910"/>
      <c r="T177" s="910"/>
      <c r="U177" s="910"/>
      <c r="V177" s="4248"/>
      <c r="W177" s="915">
        <v>1</v>
      </c>
      <c r="X177" s="915">
        <v>1</v>
      </c>
      <c r="Y177" s="915">
        <v>1</v>
      </c>
      <c r="Z177" s="944">
        <v>1</v>
      </c>
      <c r="AA177" s="944">
        <v>1</v>
      </c>
      <c r="AB177" s="944">
        <v>1</v>
      </c>
      <c r="AC177" s="944">
        <v>1</v>
      </c>
      <c r="AD177" s="915"/>
      <c r="AE177" s="915"/>
      <c r="AF177" s="915"/>
      <c r="AG177" s="915"/>
      <c r="AK177" s="883"/>
      <c r="BB177" s="906"/>
    </row>
    <row r="178" spans="1:54" s="892" customFormat="1" hidden="1" outlineLevel="1" x14ac:dyDescent="0.25">
      <c r="A178" s="910"/>
      <c r="B178" s="1606"/>
      <c r="C178" s="907"/>
      <c r="D178" s="4328"/>
      <c r="E178" s="426" t="s">
        <v>1674</v>
      </c>
      <c r="F178" s="944">
        <v>0</v>
      </c>
      <c r="G178" s="3201"/>
      <c r="H178" s="1204"/>
      <c r="I178" s="910"/>
      <c r="J178" s="910"/>
      <c r="K178" s="910"/>
      <c r="L178" s="910"/>
      <c r="M178" s="910"/>
      <c r="N178" s="910"/>
      <c r="O178" s="910"/>
      <c r="P178" s="910"/>
      <c r="Q178" s="910"/>
      <c r="R178" s="910"/>
      <c r="S178" s="910"/>
      <c r="T178" s="910"/>
      <c r="U178" s="910"/>
      <c r="V178" s="4248"/>
      <c r="W178" s="915">
        <v>0</v>
      </c>
      <c r="X178" s="915">
        <v>0</v>
      </c>
      <c r="Y178" s="915">
        <v>0</v>
      </c>
      <c r="Z178" s="944">
        <v>0</v>
      </c>
      <c r="AA178" s="944">
        <v>0</v>
      </c>
      <c r="AB178" s="944">
        <v>0</v>
      </c>
      <c r="AC178" s="944">
        <v>0</v>
      </c>
      <c r="AD178" s="915"/>
      <c r="AE178" s="915"/>
      <c r="AF178" s="915"/>
      <c r="AG178" s="915"/>
      <c r="AK178" s="883"/>
      <c r="BB178" s="906"/>
    </row>
    <row r="179" spans="1:54" s="892" customFormat="1" hidden="1" outlineLevel="1" x14ac:dyDescent="0.25">
      <c r="A179" s="910"/>
      <c r="B179" s="1606"/>
      <c r="C179" s="907"/>
      <c r="D179" s="4328"/>
      <c r="E179" s="420" t="s">
        <v>1676</v>
      </c>
      <c r="F179" s="944">
        <v>1</v>
      </c>
      <c r="G179" s="3201"/>
      <c r="H179" s="1204"/>
      <c r="I179" s="910"/>
      <c r="J179" s="910"/>
      <c r="K179" s="910"/>
      <c r="L179" s="910"/>
      <c r="M179" s="910"/>
      <c r="N179" s="910"/>
      <c r="O179" s="910"/>
      <c r="P179" s="910"/>
      <c r="Q179" s="910"/>
      <c r="R179" s="910"/>
      <c r="S179" s="910"/>
      <c r="T179" s="910"/>
      <c r="U179" s="910"/>
      <c r="V179" s="4248"/>
      <c r="W179" s="915">
        <v>1</v>
      </c>
      <c r="X179" s="915">
        <v>1</v>
      </c>
      <c r="Y179" s="915">
        <v>1</v>
      </c>
      <c r="Z179" s="944">
        <v>1</v>
      </c>
      <c r="AA179" s="944">
        <v>1</v>
      </c>
      <c r="AB179" s="944">
        <v>1</v>
      </c>
      <c r="AC179" s="944">
        <v>1</v>
      </c>
      <c r="AD179" s="915"/>
      <c r="AE179" s="915"/>
      <c r="AF179" s="915"/>
      <c r="AG179" s="915"/>
      <c r="AK179" s="883"/>
      <c r="BB179" s="906"/>
    </row>
    <row r="180" spans="1:54" s="892" customFormat="1" hidden="1" outlineLevel="1" x14ac:dyDescent="0.25">
      <c r="A180" s="910"/>
      <c r="B180" s="1624"/>
      <c r="C180" s="907"/>
      <c r="D180" s="4328"/>
      <c r="E180" s="426" t="s">
        <v>1678</v>
      </c>
      <c r="F180" s="944">
        <v>1</v>
      </c>
      <c r="G180" s="3201"/>
      <c r="H180" s="1204"/>
      <c r="I180" s="910"/>
      <c r="J180" s="910"/>
      <c r="K180" s="910"/>
      <c r="L180" s="910"/>
      <c r="M180" s="910"/>
      <c r="N180" s="910"/>
      <c r="O180" s="910"/>
      <c r="P180" s="910"/>
      <c r="Q180" s="910"/>
      <c r="R180" s="910"/>
      <c r="S180" s="910"/>
      <c r="T180" s="910"/>
      <c r="U180" s="910"/>
      <c r="V180" s="4248"/>
      <c r="W180" s="915">
        <v>1</v>
      </c>
      <c r="X180" s="915">
        <v>1</v>
      </c>
      <c r="Y180" s="915">
        <v>1</v>
      </c>
      <c r="Z180" s="944">
        <v>1</v>
      </c>
      <c r="AA180" s="944">
        <v>1</v>
      </c>
      <c r="AB180" s="944">
        <v>1</v>
      </c>
      <c r="AC180" s="944">
        <v>1</v>
      </c>
      <c r="AD180" s="915"/>
      <c r="AE180" s="915"/>
      <c r="AF180" s="915"/>
      <c r="AG180" s="915"/>
      <c r="AK180" s="883"/>
      <c r="BB180" s="906"/>
    </row>
    <row r="181" spans="1:54" s="892" customFormat="1" hidden="1" outlineLevel="1" x14ac:dyDescent="0.25">
      <c r="A181" s="910"/>
      <c r="B181" s="1624"/>
      <c r="C181" s="907"/>
      <c r="D181" s="4328"/>
      <c r="E181" s="420" t="s">
        <v>1680</v>
      </c>
      <c r="F181" s="944">
        <v>0</v>
      </c>
      <c r="G181" s="3201"/>
      <c r="H181" s="1204"/>
      <c r="I181" s="910"/>
      <c r="J181" s="910"/>
      <c r="K181" s="910"/>
      <c r="L181" s="910"/>
      <c r="M181" s="910"/>
      <c r="N181" s="910"/>
      <c r="O181" s="910"/>
      <c r="P181" s="910"/>
      <c r="Q181" s="910"/>
      <c r="R181" s="910"/>
      <c r="S181" s="910"/>
      <c r="T181" s="910"/>
      <c r="U181" s="910"/>
      <c r="V181" s="4248"/>
      <c r="W181" s="915">
        <v>0</v>
      </c>
      <c r="X181" s="915">
        <v>0</v>
      </c>
      <c r="Y181" s="915">
        <v>0</v>
      </c>
      <c r="Z181" s="944">
        <v>0</v>
      </c>
      <c r="AA181" s="944">
        <v>0</v>
      </c>
      <c r="AB181" s="944">
        <v>0</v>
      </c>
      <c r="AC181" s="944">
        <v>0</v>
      </c>
      <c r="AD181" s="915"/>
      <c r="AE181" s="915"/>
      <c r="AF181" s="915"/>
      <c r="AG181" s="915"/>
      <c r="AK181" s="883"/>
      <c r="BB181" s="906"/>
    </row>
    <row r="182" spans="1:54" s="892" customFormat="1" hidden="1" outlineLevel="1" x14ac:dyDescent="0.25">
      <c r="A182" s="910"/>
      <c r="B182" s="1624"/>
      <c r="C182" s="907"/>
      <c r="D182" s="4328"/>
      <c r="E182" s="420" t="s">
        <v>1682</v>
      </c>
      <c r="F182" s="944">
        <v>1</v>
      </c>
      <c r="G182" s="3201"/>
      <c r="H182" s="1204"/>
      <c r="I182" s="910"/>
      <c r="J182" s="910"/>
      <c r="K182" s="910"/>
      <c r="L182" s="910"/>
      <c r="M182" s="910"/>
      <c r="N182" s="910"/>
      <c r="O182" s="910"/>
      <c r="P182" s="910"/>
      <c r="Q182" s="910"/>
      <c r="R182" s="910"/>
      <c r="S182" s="910"/>
      <c r="T182" s="910"/>
      <c r="U182" s="910"/>
      <c r="V182" s="4248"/>
      <c r="W182" s="915">
        <v>1</v>
      </c>
      <c r="X182" s="915">
        <v>1</v>
      </c>
      <c r="Y182" s="915">
        <v>1</v>
      </c>
      <c r="Z182" s="944">
        <v>1</v>
      </c>
      <c r="AA182" s="944">
        <v>1</v>
      </c>
      <c r="AB182" s="944">
        <v>1</v>
      </c>
      <c r="AC182" s="944">
        <v>1</v>
      </c>
      <c r="AD182" s="915"/>
      <c r="AE182" s="915"/>
      <c r="AF182" s="915"/>
      <c r="AG182" s="915"/>
      <c r="AK182" s="883"/>
      <c r="BB182" s="906"/>
    </row>
    <row r="183" spans="1:54" s="892" customFormat="1" hidden="1" outlineLevel="1" x14ac:dyDescent="0.25">
      <c r="A183" s="910"/>
      <c r="B183" s="1624"/>
      <c r="C183" s="907"/>
      <c r="D183" s="4328"/>
      <c r="E183" s="420" t="s">
        <v>1684</v>
      </c>
      <c r="F183" s="944">
        <v>1</v>
      </c>
      <c r="G183" s="3201"/>
      <c r="H183" s="1204"/>
      <c r="I183" s="910"/>
      <c r="J183" s="910"/>
      <c r="K183" s="910"/>
      <c r="L183" s="910"/>
      <c r="M183" s="910"/>
      <c r="N183" s="910"/>
      <c r="O183" s="910"/>
      <c r="P183" s="910"/>
      <c r="Q183" s="910"/>
      <c r="R183" s="910"/>
      <c r="S183" s="910"/>
      <c r="T183" s="910"/>
      <c r="U183" s="910"/>
      <c r="V183" s="4248"/>
      <c r="W183" s="915">
        <v>1</v>
      </c>
      <c r="X183" s="915">
        <v>1</v>
      </c>
      <c r="Y183" s="915">
        <v>1</v>
      </c>
      <c r="Z183" s="944">
        <v>1</v>
      </c>
      <c r="AA183" s="944">
        <v>1</v>
      </c>
      <c r="AB183" s="944">
        <v>1</v>
      </c>
      <c r="AC183" s="944">
        <v>1</v>
      </c>
      <c r="AD183" s="915"/>
      <c r="AE183" s="915"/>
      <c r="AF183" s="915"/>
      <c r="AG183" s="915"/>
      <c r="AK183" s="883"/>
      <c r="BB183" s="906"/>
    </row>
    <row r="184" spans="1:54" s="892" customFormat="1" hidden="1" outlineLevel="1" x14ac:dyDescent="0.25">
      <c r="A184" s="910"/>
      <c r="B184" s="1624"/>
      <c r="C184" s="907"/>
      <c r="D184" s="4328"/>
      <c r="E184" s="426" t="s">
        <v>1686</v>
      </c>
      <c r="F184" s="944">
        <v>0</v>
      </c>
      <c r="G184" s="3201"/>
      <c r="H184" s="1204"/>
      <c r="I184" s="910"/>
      <c r="J184" s="910"/>
      <c r="K184" s="910"/>
      <c r="L184" s="910"/>
      <c r="M184" s="910"/>
      <c r="N184" s="910"/>
      <c r="O184" s="910"/>
      <c r="P184" s="910"/>
      <c r="Q184" s="910"/>
      <c r="R184" s="910"/>
      <c r="S184" s="910"/>
      <c r="T184" s="910"/>
      <c r="U184" s="910"/>
      <c r="V184" s="4248"/>
      <c r="W184" s="915">
        <v>0</v>
      </c>
      <c r="X184" s="915">
        <v>0</v>
      </c>
      <c r="Y184" s="915">
        <v>0</v>
      </c>
      <c r="Z184" s="944">
        <v>0</v>
      </c>
      <c r="AA184" s="944">
        <v>0</v>
      </c>
      <c r="AB184" s="944">
        <v>0</v>
      </c>
      <c r="AC184" s="944">
        <v>0</v>
      </c>
      <c r="AD184" s="915"/>
      <c r="AE184" s="915"/>
      <c r="AF184" s="915"/>
      <c r="AG184" s="915"/>
      <c r="AK184" s="883"/>
      <c r="BB184" s="906"/>
    </row>
    <row r="185" spans="1:54" s="892" customFormat="1" hidden="1" outlineLevel="1" x14ac:dyDescent="0.25">
      <c r="A185" s="910"/>
      <c r="B185" s="1624"/>
      <c r="C185" s="907"/>
      <c r="D185" s="4328"/>
      <c r="E185" s="420" t="s">
        <v>1688</v>
      </c>
      <c r="F185" s="944">
        <v>1</v>
      </c>
      <c r="G185" s="3201"/>
      <c r="H185" s="1204"/>
      <c r="I185" s="910"/>
      <c r="J185" s="910"/>
      <c r="K185" s="910"/>
      <c r="L185" s="910"/>
      <c r="M185" s="910"/>
      <c r="N185" s="910"/>
      <c r="O185" s="910"/>
      <c r="P185" s="910"/>
      <c r="Q185" s="910"/>
      <c r="R185" s="910"/>
      <c r="S185" s="910"/>
      <c r="T185" s="910"/>
      <c r="U185" s="910"/>
      <c r="V185" s="4248"/>
      <c r="W185" s="915">
        <v>1</v>
      </c>
      <c r="X185" s="915">
        <v>1</v>
      </c>
      <c r="Y185" s="915">
        <v>1</v>
      </c>
      <c r="Z185" s="944">
        <v>1</v>
      </c>
      <c r="AA185" s="944">
        <v>1</v>
      </c>
      <c r="AB185" s="944">
        <v>1</v>
      </c>
      <c r="AC185" s="944">
        <v>1</v>
      </c>
      <c r="AD185" s="915"/>
      <c r="AE185" s="915"/>
      <c r="AF185" s="915"/>
      <c r="AG185" s="915"/>
      <c r="AK185" s="883"/>
      <c r="BB185" s="906"/>
    </row>
    <row r="186" spans="1:54" s="892" customFormat="1" hidden="1" outlineLevel="1" x14ac:dyDescent="0.25">
      <c r="A186" s="910"/>
      <c r="B186" s="1624"/>
      <c r="C186" s="907"/>
      <c r="D186" s="4328"/>
      <c r="E186" s="426" t="s">
        <v>1690</v>
      </c>
      <c r="F186" s="944">
        <v>1</v>
      </c>
      <c r="G186" s="3201"/>
      <c r="H186" s="1204"/>
      <c r="I186" s="910"/>
      <c r="J186" s="910"/>
      <c r="K186" s="910"/>
      <c r="L186" s="910"/>
      <c r="M186" s="910"/>
      <c r="N186" s="910"/>
      <c r="O186" s="910"/>
      <c r="P186" s="910"/>
      <c r="Q186" s="910"/>
      <c r="R186" s="910"/>
      <c r="S186" s="910"/>
      <c r="T186" s="910"/>
      <c r="U186" s="910"/>
      <c r="V186" s="4248"/>
      <c r="W186" s="915">
        <v>1</v>
      </c>
      <c r="X186" s="915">
        <v>1</v>
      </c>
      <c r="Y186" s="915">
        <v>1</v>
      </c>
      <c r="Z186" s="944">
        <v>1</v>
      </c>
      <c r="AA186" s="944">
        <v>1</v>
      </c>
      <c r="AB186" s="944">
        <v>1</v>
      </c>
      <c r="AC186" s="944">
        <v>1</v>
      </c>
      <c r="AD186" s="915"/>
      <c r="AE186" s="915"/>
      <c r="AF186" s="915"/>
      <c r="AG186" s="915"/>
      <c r="AK186" s="883"/>
      <c r="BB186" s="906"/>
    </row>
    <row r="187" spans="1:54" s="892" customFormat="1" hidden="1" outlineLevel="1" x14ac:dyDescent="0.25">
      <c r="A187" s="910"/>
      <c r="B187" s="1624"/>
      <c r="C187" s="907"/>
      <c r="D187" s="4328"/>
      <c r="E187" s="420" t="s">
        <v>1692</v>
      </c>
      <c r="F187" s="944">
        <v>0</v>
      </c>
      <c r="G187" s="3201"/>
      <c r="H187" s="1204"/>
      <c r="I187" s="910"/>
      <c r="J187" s="910"/>
      <c r="K187" s="910"/>
      <c r="L187" s="910"/>
      <c r="M187" s="910"/>
      <c r="N187" s="910"/>
      <c r="O187" s="910"/>
      <c r="P187" s="910"/>
      <c r="Q187" s="910"/>
      <c r="R187" s="910"/>
      <c r="S187" s="910"/>
      <c r="T187" s="910"/>
      <c r="U187" s="910"/>
      <c r="V187" s="4248"/>
      <c r="W187" s="915">
        <v>0</v>
      </c>
      <c r="X187" s="915">
        <v>0</v>
      </c>
      <c r="Y187" s="915">
        <v>0</v>
      </c>
      <c r="Z187" s="944">
        <v>0</v>
      </c>
      <c r="AA187" s="944">
        <v>0</v>
      </c>
      <c r="AB187" s="944">
        <v>0</v>
      </c>
      <c r="AC187" s="944">
        <v>0</v>
      </c>
      <c r="AD187" s="915"/>
      <c r="AE187" s="915"/>
      <c r="AF187" s="915"/>
      <c r="AG187" s="915"/>
      <c r="AK187" s="883"/>
      <c r="BB187" s="906"/>
    </row>
    <row r="188" spans="1:54" s="892" customFormat="1" hidden="1" outlineLevel="1" x14ac:dyDescent="0.25">
      <c r="A188" s="910"/>
      <c r="B188" s="1624"/>
      <c r="C188" s="907"/>
      <c r="D188" s="4328"/>
      <c r="E188" s="420" t="s">
        <v>1694</v>
      </c>
      <c r="F188" s="944">
        <v>1</v>
      </c>
      <c r="G188" s="3201"/>
      <c r="H188" s="1204"/>
      <c r="I188" s="910"/>
      <c r="J188" s="910"/>
      <c r="K188" s="910"/>
      <c r="L188" s="910"/>
      <c r="M188" s="910"/>
      <c r="N188" s="910"/>
      <c r="O188" s="910"/>
      <c r="P188" s="910"/>
      <c r="Q188" s="910"/>
      <c r="R188" s="910"/>
      <c r="S188" s="910"/>
      <c r="T188" s="910"/>
      <c r="U188" s="910"/>
      <c r="V188" s="4248"/>
      <c r="W188" s="915">
        <v>1</v>
      </c>
      <c r="X188" s="915">
        <v>1</v>
      </c>
      <c r="Y188" s="915">
        <v>1</v>
      </c>
      <c r="Z188" s="944">
        <v>1</v>
      </c>
      <c r="AA188" s="944">
        <v>1</v>
      </c>
      <c r="AB188" s="944">
        <v>1</v>
      </c>
      <c r="AC188" s="944">
        <v>1</v>
      </c>
      <c r="AD188" s="915"/>
      <c r="AE188" s="915"/>
      <c r="AF188" s="915"/>
      <c r="AG188" s="915"/>
      <c r="AK188" s="883"/>
      <c r="BB188" s="906"/>
    </row>
    <row r="189" spans="1:54" s="892" customFormat="1" hidden="1" outlineLevel="1" x14ac:dyDescent="0.25">
      <c r="A189" s="910"/>
      <c r="B189" s="1624"/>
      <c r="C189" s="907"/>
      <c r="D189" s="4328"/>
      <c r="E189" s="420" t="s">
        <v>1696</v>
      </c>
      <c r="F189" s="944">
        <v>1</v>
      </c>
      <c r="G189" s="3201"/>
      <c r="H189" s="1204"/>
      <c r="I189" s="910"/>
      <c r="J189" s="910"/>
      <c r="K189" s="910"/>
      <c r="L189" s="910"/>
      <c r="M189" s="910"/>
      <c r="N189" s="910"/>
      <c r="O189" s="910"/>
      <c r="P189" s="910"/>
      <c r="Q189" s="910"/>
      <c r="R189" s="910"/>
      <c r="S189" s="910"/>
      <c r="T189" s="910"/>
      <c r="U189" s="910"/>
      <c r="V189" s="4248"/>
      <c r="W189" s="915">
        <v>1</v>
      </c>
      <c r="X189" s="915">
        <v>1</v>
      </c>
      <c r="Y189" s="915">
        <v>1</v>
      </c>
      <c r="Z189" s="944">
        <v>1</v>
      </c>
      <c r="AA189" s="944">
        <v>1</v>
      </c>
      <c r="AB189" s="944">
        <v>1</v>
      </c>
      <c r="AC189" s="944">
        <v>1</v>
      </c>
      <c r="AD189" s="915"/>
      <c r="AE189" s="915"/>
      <c r="AF189" s="915"/>
      <c r="AG189" s="915"/>
      <c r="AK189" s="883"/>
      <c r="BB189" s="906"/>
    </row>
    <row r="190" spans="1:54" s="892" customFormat="1" hidden="1" outlineLevel="1" x14ac:dyDescent="0.25">
      <c r="A190" s="910"/>
      <c r="B190" s="1624"/>
      <c r="C190" s="907"/>
      <c r="D190" s="4328"/>
      <c r="E190" s="426" t="s">
        <v>1698</v>
      </c>
      <c r="F190" s="944">
        <v>0</v>
      </c>
      <c r="G190" s="3201"/>
      <c r="H190" s="1204"/>
      <c r="I190" s="910"/>
      <c r="J190" s="910"/>
      <c r="K190" s="910"/>
      <c r="L190" s="910"/>
      <c r="M190" s="910"/>
      <c r="N190" s="910"/>
      <c r="O190" s="910"/>
      <c r="P190" s="910"/>
      <c r="Q190" s="910"/>
      <c r="R190" s="910"/>
      <c r="S190" s="910"/>
      <c r="T190" s="910"/>
      <c r="U190" s="910"/>
      <c r="V190" s="4248"/>
      <c r="W190" s="915">
        <v>0</v>
      </c>
      <c r="X190" s="915">
        <v>0</v>
      </c>
      <c r="Y190" s="915">
        <v>0</v>
      </c>
      <c r="Z190" s="944">
        <v>0</v>
      </c>
      <c r="AA190" s="944">
        <v>0</v>
      </c>
      <c r="AB190" s="944">
        <v>0</v>
      </c>
      <c r="AC190" s="944">
        <v>0</v>
      </c>
      <c r="AD190" s="915"/>
      <c r="AE190" s="915"/>
      <c r="AF190" s="915"/>
      <c r="AG190" s="915"/>
      <c r="AK190" s="883"/>
      <c r="BB190" s="906"/>
    </row>
    <row r="191" spans="1:54" s="892" customFormat="1" hidden="1" outlineLevel="1" x14ac:dyDescent="0.25">
      <c r="A191" s="910"/>
      <c r="B191" s="1624"/>
      <c r="C191" s="907"/>
      <c r="D191" s="4328"/>
      <c r="E191" s="420" t="s">
        <v>1700</v>
      </c>
      <c r="F191" s="944">
        <v>1</v>
      </c>
      <c r="G191" s="3201"/>
      <c r="H191" s="1204"/>
      <c r="I191" s="910"/>
      <c r="J191" s="910"/>
      <c r="K191" s="910"/>
      <c r="L191" s="910"/>
      <c r="M191" s="910"/>
      <c r="N191" s="910"/>
      <c r="O191" s="910"/>
      <c r="P191" s="910"/>
      <c r="Q191" s="910"/>
      <c r="R191" s="910"/>
      <c r="S191" s="910"/>
      <c r="T191" s="910"/>
      <c r="U191" s="910"/>
      <c r="V191" s="4248"/>
      <c r="W191" s="915">
        <v>1</v>
      </c>
      <c r="X191" s="915">
        <v>1</v>
      </c>
      <c r="Y191" s="915">
        <v>1</v>
      </c>
      <c r="Z191" s="944">
        <v>1</v>
      </c>
      <c r="AA191" s="944">
        <v>1</v>
      </c>
      <c r="AB191" s="944">
        <v>1</v>
      </c>
      <c r="AC191" s="944">
        <v>1</v>
      </c>
      <c r="AD191" s="915"/>
      <c r="AE191" s="915"/>
      <c r="AF191" s="915"/>
      <c r="AG191" s="915"/>
      <c r="AK191" s="883"/>
      <c r="BB191" s="906"/>
    </row>
    <row r="192" spans="1:54" s="892" customFormat="1" hidden="1" outlineLevel="1" x14ac:dyDescent="0.25">
      <c r="A192" s="910"/>
      <c r="B192" s="1624"/>
      <c r="C192" s="907"/>
      <c r="D192" s="4328"/>
      <c r="E192" s="426" t="s">
        <v>1702</v>
      </c>
      <c r="F192" s="944">
        <v>1</v>
      </c>
      <c r="G192" s="3201"/>
      <c r="H192" s="1204"/>
      <c r="I192" s="910"/>
      <c r="J192" s="910"/>
      <c r="K192" s="910"/>
      <c r="L192" s="910"/>
      <c r="M192" s="910"/>
      <c r="N192" s="910"/>
      <c r="O192" s="910"/>
      <c r="P192" s="910"/>
      <c r="Q192" s="910"/>
      <c r="R192" s="910"/>
      <c r="S192" s="910"/>
      <c r="T192" s="910"/>
      <c r="U192" s="910"/>
      <c r="V192" s="4248"/>
      <c r="W192" s="915">
        <v>1</v>
      </c>
      <c r="X192" s="915">
        <v>1</v>
      </c>
      <c r="Y192" s="915">
        <v>1</v>
      </c>
      <c r="Z192" s="944">
        <v>1</v>
      </c>
      <c r="AA192" s="944">
        <v>1</v>
      </c>
      <c r="AB192" s="944">
        <v>1</v>
      </c>
      <c r="AC192" s="944">
        <v>1</v>
      </c>
      <c r="AD192" s="915"/>
      <c r="AE192" s="915"/>
      <c r="AF192" s="915"/>
      <c r="AG192" s="915"/>
      <c r="AK192" s="883"/>
      <c r="BB192" s="906"/>
    </row>
    <row r="193" spans="1:54" s="892" customFormat="1" hidden="1" outlineLevel="1" x14ac:dyDescent="0.25">
      <c r="A193" s="910"/>
      <c r="B193" s="1624"/>
      <c r="C193" s="907"/>
      <c r="D193" s="4328"/>
      <c r="E193" s="420" t="s">
        <v>1704</v>
      </c>
      <c r="F193" s="944">
        <v>0</v>
      </c>
      <c r="G193" s="3201"/>
      <c r="H193" s="1204"/>
      <c r="I193" s="910"/>
      <c r="J193" s="910"/>
      <c r="K193" s="910"/>
      <c r="L193" s="910"/>
      <c r="M193" s="910"/>
      <c r="N193" s="910"/>
      <c r="O193" s="910"/>
      <c r="P193" s="910"/>
      <c r="Q193" s="910"/>
      <c r="R193" s="910"/>
      <c r="S193" s="910"/>
      <c r="T193" s="910"/>
      <c r="U193" s="910"/>
      <c r="V193" s="4249"/>
      <c r="W193" s="915">
        <v>0</v>
      </c>
      <c r="X193" s="915">
        <v>0</v>
      </c>
      <c r="Y193" s="915">
        <v>0</v>
      </c>
      <c r="Z193" s="944">
        <v>0</v>
      </c>
      <c r="AA193" s="944">
        <v>0</v>
      </c>
      <c r="AB193" s="944">
        <v>0</v>
      </c>
      <c r="AC193" s="944">
        <v>0</v>
      </c>
      <c r="AD193" s="915"/>
      <c r="AE193" s="915"/>
      <c r="AF193" s="915"/>
      <c r="AG193" s="915"/>
      <c r="AK193" s="883"/>
      <c r="BB193" s="906"/>
    </row>
    <row r="194" spans="1:54" s="892" customFormat="1" ht="17.25" hidden="1" customHeight="1" outlineLevel="1" x14ac:dyDescent="0.25">
      <c r="A194" s="910"/>
      <c r="B194" s="1606"/>
      <c r="C194" s="907"/>
      <c r="D194" s="4327" t="s">
        <v>1705</v>
      </c>
      <c r="E194" s="420" t="s">
        <v>1646</v>
      </c>
      <c r="F194" s="1203">
        <v>11</v>
      </c>
      <c r="G194" s="3201"/>
      <c r="H194" s="1204" t="s">
        <v>1706</v>
      </c>
      <c r="I194" s="910"/>
      <c r="J194" s="910"/>
      <c r="K194" s="910"/>
      <c r="L194" s="910"/>
      <c r="M194" s="910"/>
      <c r="N194" s="910"/>
      <c r="O194" s="910"/>
      <c r="P194" s="910"/>
      <c r="Q194" s="910"/>
      <c r="R194" s="910"/>
      <c r="S194" s="910"/>
      <c r="T194" s="910"/>
      <c r="U194" s="910"/>
      <c r="V194" s="4247" t="str">
        <f>D194</f>
        <v>Rold</v>
      </c>
      <c r="W194" s="901">
        <v>11</v>
      </c>
      <c r="X194" s="901">
        <v>11</v>
      </c>
      <c r="Y194" s="901">
        <v>11</v>
      </c>
      <c r="Z194" s="1203">
        <v>11</v>
      </c>
      <c r="AA194" s="1203">
        <v>11</v>
      </c>
      <c r="AB194" s="1203">
        <v>11</v>
      </c>
      <c r="AC194" s="1203">
        <v>11</v>
      </c>
      <c r="AD194" s="901"/>
      <c r="AE194" s="901"/>
      <c r="AF194" s="901"/>
      <c r="AG194" s="901"/>
      <c r="AK194" s="883"/>
      <c r="BB194" s="906"/>
    </row>
    <row r="195" spans="1:54" s="892" customFormat="1" hidden="1" outlineLevel="1" x14ac:dyDescent="0.25">
      <c r="A195" s="910"/>
      <c r="B195" s="1606"/>
      <c r="C195" s="907"/>
      <c r="D195" s="4328"/>
      <c r="E195" s="420" t="s">
        <v>1648</v>
      </c>
      <c r="F195" s="1203">
        <v>11</v>
      </c>
      <c r="G195" s="3201"/>
      <c r="H195" s="1204" t="s">
        <v>1706</v>
      </c>
      <c r="I195" s="910"/>
      <c r="J195" s="910"/>
      <c r="K195" s="910"/>
      <c r="L195" s="910"/>
      <c r="M195" s="910"/>
      <c r="N195" s="910"/>
      <c r="O195" s="910"/>
      <c r="P195" s="910"/>
      <c r="Q195" s="910"/>
      <c r="R195" s="910"/>
      <c r="S195" s="910"/>
      <c r="T195" s="910"/>
      <c r="U195" s="910"/>
      <c r="V195" s="4248"/>
      <c r="W195" s="901">
        <v>11</v>
      </c>
      <c r="X195" s="901">
        <v>11</v>
      </c>
      <c r="Y195" s="901">
        <v>11</v>
      </c>
      <c r="Z195" s="1203">
        <v>11</v>
      </c>
      <c r="AA195" s="1203">
        <v>11</v>
      </c>
      <c r="AB195" s="1203">
        <v>11</v>
      </c>
      <c r="AC195" s="1203">
        <v>11</v>
      </c>
      <c r="AD195" s="901"/>
      <c r="AE195" s="901"/>
      <c r="AF195" s="901"/>
      <c r="AG195" s="901"/>
      <c r="AK195" s="883"/>
      <c r="BB195" s="906"/>
    </row>
    <row r="196" spans="1:54" s="892" customFormat="1" hidden="1" outlineLevel="1" x14ac:dyDescent="0.25">
      <c r="A196" s="910"/>
      <c r="B196" s="1606"/>
      <c r="C196" s="907"/>
      <c r="D196" s="4328"/>
      <c r="E196" s="420" t="s">
        <v>1650</v>
      </c>
      <c r="F196" s="1203">
        <v>11</v>
      </c>
      <c r="G196" s="3201"/>
      <c r="H196" s="1204" t="s">
        <v>1706</v>
      </c>
      <c r="I196" s="910"/>
      <c r="J196" s="910"/>
      <c r="K196" s="910"/>
      <c r="L196" s="910"/>
      <c r="M196" s="910"/>
      <c r="N196" s="910"/>
      <c r="O196" s="910"/>
      <c r="P196" s="910"/>
      <c r="Q196" s="910"/>
      <c r="R196" s="910"/>
      <c r="S196" s="910"/>
      <c r="T196" s="910"/>
      <c r="U196" s="910"/>
      <c r="V196" s="4248"/>
      <c r="W196" s="901">
        <v>11</v>
      </c>
      <c r="X196" s="901">
        <v>11</v>
      </c>
      <c r="Y196" s="901">
        <v>11</v>
      </c>
      <c r="Z196" s="1203">
        <v>11</v>
      </c>
      <c r="AA196" s="1203">
        <v>11</v>
      </c>
      <c r="AB196" s="1203">
        <v>11</v>
      </c>
      <c r="AC196" s="1203">
        <v>11</v>
      </c>
      <c r="AD196" s="901"/>
      <c r="AE196" s="901"/>
      <c r="AF196" s="901"/>
      <c r="AG196" s="901"/>
      <c r="AK196" s="883"/>
      <c r="BB196" s="906"/>
    </row>
    <row r="197" spans="1:54" s="892" customFormat="1" hidden="1" outlineLevel="1" x14ac:dyDescent="0.25">
      <c r="A197" s="910"/>
      <c r="B197" s="1606"/>
      <c r="C197" s="907"/>
      <c r="D197" s="4328"/>
      <c r="E197" s="420" t="s">
        <v>1652</v>
      </c>
      <c r="F197" s="1203">
        <v>11</v>
      </c>
      <c r="G197" s="3201"/>
      <c r="H197" s="1204" t="s">
        <v>1706</v>
      </c>
      <c r="I197" s="910"/>
      <c r="J197" s="910"/>
      <c r="K197" s="910"/>
      <c r="L197" s="910"/>
      <c r="M197" s="910"/>
      <c r="N197" s="910"/>
      <c r="O197" s="910"/>
      <c r="P197" s="910"/>
      <c r="Q197" s="910"/>
      <c r="R197" s="910"/>
      <c r="S197" s="910"/>
      <c r="T197" s="910"/>
      <c r="U197" s="910"/>
      <c r="V197" s="4248"/>
      <c r="W197" s="901">
        <v>11</v>
      </c>
      <c r="X197" s="901">
        <v>11</v>
      </c>
      <c r="Y197" s="901">
        <v>11</v>
      </c>
      <c r="Z197" s="1203">
        <v>11</v>
      </c>
      <c r="AA197" s="1203">
        <v>11</v>
      </c>
      <c r="AB197" s="1203">
        <v>11</v>
      </c>
      <c r="AC197" s="1203">
        <v>11</v>
      </c>
      <c r="AD197" s="901"/>
      <c r="AE197" s="901"/>
      <c r="AF197" s="901"/>
      <c r="AG197" s="901"/>
      <c r="AK197" s="883"/>
      <c r="BB197" s="906"/>
    </row>
    <row r="198" spans="1:54" s="892" customFormat="1" hidden="1" outlineLevel="1" x14ac:dyDescent="0.25">
      <c r="A198" s="910"/>
      <c r="B198" s="1606"/>
      <c r="C198" s="907"/>
      <c r="D198" s="4328"/>
      <c r="E198" s="420" t="s">
        <v>1654</v>
      </c>
      <c r="F198" s="1203">
        <v>11</v>
      </c>
      <c r="G198" s="3201"/>
      <c r="H198" s="1204" t="s">
        <v>1706</v>
      </c>
      <c r="I198" s="910"/>
      <c r="J198" s="910"/>
      <c r="K198" s="910"/>
      <c r="L198" s="910"/>
      <c r="M198" s="910"/>
      <c r="N198" s="910"/>
      <c r="O198" s="910"/>
      <c r="P198" s="910"/>
      <c r="Q198" s="910"/>
      <c r="R198" s="910"/>
      <c r="S198" s="910"/>
      <c r="T198" s="910"/>
      <c r="U198" s="910"/>
      <c r="V198" s="4248"/>
      <c r="W198" s="901">
        <v>11</v>
      </c>
      <c r="X198" s="901">
        <v>11</v>
      </c>
      <c r="Y198" s="901">
        <v>11</v>
      </c>
      <c r="Z198" s="1203">
        <v>11</v>
      </c>
      <c r="AA198" s="1203">
        <v>11</v>
      </c>
      <c r="AB198" s="1203">
        <v>11</v>
      </c>
      <c r="AC198" s="1203">
        <v>11</v>
      </c>
      <c r="AD198" s="901"/>
      <c r="AE198" s="901"/>
      <c r="AF198" s="901"/>
      <c r="AG198" s="901"/>
      <c r="AK198" s="883"/>
      <c r="BB198" s="906"/>
    </row>
    <row r="199" spans="1:54" s="892" customFormat="1" hidden="1" outlineLevel="1" x14ac:dyDescent="0.25">
      <c r="A199" s="910"/>
      <c r="B199" s="1624"/>
      <c r="C199" s="907"/>
      <c r="D199" s="4328"/>
      <c r="E199" s="420" t="s">
        <v>1656</v>
      </c>
      <c r="F199" s="1203">
        <v>11</v>
      </c>
      <c r="G199" s="3201"/>
      <c r="H199" s="1204" t="s">
        <v>1706</v>
      </c>
      <c r="I199" s="910"/>
      <c r="J199" s="910"/>
      <c r="K199" s="910"/>
      <c r="L199" s="910"/>
      <c r="M199" s="910"/>
      <c r="N199" s="910"/>
      <c r="O199" s="910"/>
      <c r="P199" s="910"/>
      <c r="Q199" s="910"/>
      <c r="R199" s="910"/>
      <c r="S199" s="910"/>
      <c r="T199" s="910"/>
      <c r="U199" s="910"/>
      <c r="V199" s="4248"/>
      <c r="W199" s="901">
        <v>11</v>
      </c>
      <c r="X199" s="901">
        <v>11</v>
      </c>
      <c r="Y199" s="901">
        <v>11</v>
      </c>
      <c r="Z199" s="1203">
        <v>11</v>
      </c>
      <c r="AA199" s="1203">
        <v>11</v>
      </c>
      <c r="AB199" s="1203">
        <v>11</v>
      </c>
      <c r="AC199" s="1203">
        <v>11</v>
      </c>
      <c r="AD199" s="901"/>
      <c r="AE199" s="901"/>
      <c r="AF199" s="901"/>
      <c r="AG199" s="901"/>
      <c r="AK199" s="883"/>
      <c r="BB199" s="906"/>
    </row>
    <row r="200" spans="1:54" s="892" customFormat="1" hidden="1" outlineLevel="1" x14ac:dyDescent="0.25">
      <c r="A200" s="910"/>
      <c r="B200" s="1624"/>
      <c r="C200" s="907"/>
      <c r="D200" s="4328"/>
      <c r="E200" s="420" t="s">
        <v>1658</v>
      </c>
      <c r="F200" s="1203">
        <v>5</v>
      </c>
      <c r="G200" s="3201"/>
      <c r="H200" s="1204" t="s">
        <v>1706</v>
      </c>
      <c r="I200" s="910"/>
      <c r="J200" s="910"/>
      <c r="K200" s="910"/>
      <c r="L200" s="910"/>
      <c r="M200" s="910"/>
      <c r="N200" s="910"/>
      <c r="O200" s="910"/>
      <c r="P200" s="910"/>
      <c r="Q200" s="910"/>
      <c r="R200" s="910"/>
      <c r="S200" s="910"/>
      <c r="T200" s="910"/>
      <c r="U200" s="910"/>
      <c r="V200" s="4248"/>
      <c r="W200" s="901">
        <v>5</v>
      </c>
      <c r="X200" s="901">
        <v>5</v>
      </c>
      <c r="Y200" s="901">
        <v>5</v>
      </c>
      <c r="Z200" s="1203">
        <v>5</v>
      </c>
      <c r="AA200" s="1203">
        <v>5</v>
      </c>
      <c r="AB200" s="1203">
        <v>5</v>
      </c>
      <c r="AC200" s="1203">
        <v>5</v>
      </c>
      <c r="AD200" s="901"/>
      <c r="AE200" s="901"/>
      <c r="AF200" s="901"/>
      <c r="AG200" s="901"/>
      <c r="AK200" s="883"/>
      <c r="BB200" s="906"/>
    </row>
    <row r="201" spans="1:54" s="892" customFormat="1" hidden="1" outlineLevel="1" x14ac:dyDescent="0.25">
      <c r="A201" s="910"/>
      <c r="B201" s="1624"/>
      <c r="C201" s="907"/>
      <c r="D201" s="4328"/>
      <c r="E201" s="420" t="s">
        <v>1660</v>
      </c>
      <c r="F201" s="1203">
        <v>5</v>
      </c>
      <c r="G201" s="3201"/>
      <c r="H201" s="1204" t="s">
        <v>1706</v>
      </c>
      <c r="I201" s="910"/>
      <c r="J201" s="910"/>
      <c r="K201" s="910"/>
      <c r="L201" s="910"/>
      <c r="M201" s="910"/>
      <c r="N201" s="910"/>
      <c r="O201" s="910"/>
      <c r="P201" s="910"/>
      <c r="Q201" s="910"/>
      <c r="R201" s="910"/>
      <c r="S201" s="910"/>
      <c r="T201" s="910"/>
      <c r="U201" s="910"/>
      <c r="V201" s="4248"/>
      <c r="W201" s="901">
        <v>5</v>
      </c>
      <c r="X201" s="901">
        <v>5</v>
      </c>
      <c r="Y201" s="901">
        <v>5</v>
      </c>
      <c r="Z201" s="1203">
        <v>5</v>
      </c>
      <c r="AA201" s="1203">
        <v>5</v>
      </c>
      <c r="AB201" s="1203">
        <v>5</v>
      </c>
      <c r="AC201" s="1203">
        <v>5</v>
      </c>
      <c r="AD201" s="901"/>
      <c r="AE201" s="901"/>
      <c r="AF201" s="901"/>
      <c r="AG201" s="901"/>
      <c r="AK201" s="883"/>
      <c r="BB201" s="906"/>
    </row>
    <row r="202" spans="1:54" s="892" customFormat="1" hidden="1" outlineLevel="1" x14ac:dyDescent="0.25">
      <c r="A202" s="910"/>
      <c r="B202" s="1624"/>
      <c r="C202" s="907"/>
      <c r="D202" s="4328"/>
      <c r="E202" s="426" t="s">
        <v>1662</v>
      </c>
      <c r="F202" s="1203">
        <v>5</v>
      </c>
      <c r="G202" s="3201"/>
      <c r="H202" s="1204" t="s">
        <v>1706</v>
      </c>
      <c r="I202" s="910"/>
      <c r="J202" s="910"/>
      <c r="K202" s="910"/>
      <c r="L202" s="910"/>
      <c r="M202" s="910"/>
      <c r="N202" s="910"/>
      <c r="O202" s="910"/>
      <c r="P202" s="910"/>
      <c r="Q202" s="910"/>
      <c r="R202" s="910"/>
      <c r="S202" s="910"/>
      <c r="T202" s="910"/>
      <c r="U202" s="910"/>
      <c r="V202" s="4248"/>
      <c r="W202" s="901">
        <v>5</v>
      </c>
      <c r="X202" s="901">
        <v>5</v>
      </c>
      <c r="Y202" s="901">
        <v>5</v>
      </c>
      <c r="Z202" s="1203">
        <v>5</v>
      </c>
      <c r="AA202" s="1203">
        <v>5</v>
      </c>
      <c r="AB202" s="1203">
        <v>5</v>
      </c>
      <c r="AC202" s="1203">
        <v>5</v>
      </c>
      <c r="AD202" s="901"/>
      <c r="AE202" s="901"/>
      <c r="AF202" s="901"/>
      <c r="AG202" s="901"/>
      <c r="AK202" s="883"/>
      <c r="BB202" s="906"/>
    </row>
    <row r="203" spans="1:54" s="892" customFormat="1" hidden="1" outlineLevel="1" x14ac:dyDescent="0.25">
      <c r="A203" s="910"/>
      <c r="B203" s="1624"/>
      <c r="C203" s="907"/>
      <c r="D203" s="4328"/>
      <c r="E203" s="420" t="s">
        <v>1664</v>
      </c>
      <c r="F203" s="1203">
        <v>5</v>
      </c>
      <c r="G203" s="3201"/>
      <c r="H203" s="1204" t="s">
        <v>1706</v>
      </c>
      <c r="I203" s="910"/>
      <c r="J203" s="910"/>
      <c r="K203" s="910"/>
      <c r="L203" s="910"/>
      <c r="M203" s="910"/>
      <c r="N203" s="910"/>
      <c r="O203" s="910"/>
      <c r="P203" s="910"/>
      <c r="Q203" s="910"/>
      <c r="R203" s="910"/>
      <c r="S203" s="910"/>
      <c r="T203" s="910"/>
      <c r="U203" s="910"/>
      <c r="V203" s="4248"/>
      <c r="W203" s="901">
        <v>5</v>
      </c>
      <c r="X203" s="901">
        <v>5</v>
      </c>
      <c r="Y203" s="901">
        <v>5</v>
      </c>
      <c r="Z203" s="1203">
        <v>5</v>
      </c>
      <c r="AA203" s="1203">
        <v>5</v>
      </c>
      <c r="AB203" s="1203">
        <v>5</v>
      </c>
      <c r="AC203" s="1203">
        <v>5</v>
      </c>
      <c r="AD203" s="901"/>
      <c r="AE203" s="901"/>
      <c r="AF203" s="901"/>
      <c r="AG203" s="901"/>
      <c r="AK203" s="883"/>
      <c r="BB203" s="906"/>
    </row>
    <row r="204" spans="1:54" s="892" customFormat="1" hidden="1" outlineLevel="1" x14ac:dyDescent="0.25">
      <c r="A204" s="910"/>
      <c r="B204" s="1624"/>
      <c r="C204" s="907"/>
      <c r="D204" s="4328"/>
      <c r="E204" s="420" t="s">
        <v>1666</v>
      </c>
      <c r="F204" s="1203">
        <v>5</v>
      </c>
      <c r="G204" s="3201"/>
      <c r="H204" s="1204" t="s">
        <v>1706</v>
      </c>
      <c r="I204" s="910"/>
      <c r="J204" s="910"/>
      <c r="K204" s="910"/>
      <c r="L204" s="910"/>
      <c r="M204" s="910"/>
      <c r="N204" s="910"/>
      <c r="O204" s="910"/>
      <c r="P204" s="910"/>
      <c r="Q204" s="910"/>
      <c r="R204" s="910"/>
      <c r="S204" s="910"/>
      <c r="T204" s="910"/>
      <c r="U204" s="910"/>
      <c r="V204" s="4248"/>
      <c r="W204" s="901">
        <v>5</v>
      </c>
      <c r="X204" s="901">
        <v>5</v>
      </c>
      <c r="Y204" s="901">
        <v>5</v>
      </c>
      <c r="Z204" s="1203">
        <v>5</v>
      </c>
      <c r="AA204" s="1203">
        <v>5</v>
      </c>
      <c r="AB204" s="1203">
        <v>5</v>
      </c>
      <c r="AC204" s="1203">
        <v>5</v>
      </c>
      <c r="AD204" s="901"/>
      <c r="AE204" s="901"/>
      <c r="AF204" s="901"/>
      <c r="AG204" s="901"/>
      <c r="AK204" s="883"/>
      <c r="BB204" s="906"/>
    </row>
    <row r="205" spans="1:54" s="892" customFormat="1" hidden="1" outlineLevel="1" x14ac:dyDescent="0.25">
      <c r="A205" s="910"/>
      <c r="B205" s="1624"/>
      <c r="C205" s="907"/>
      <c r="D205" s="4328"/>
      <c r="E205" s="1620" t="s">
        <v>1668</v>
      </c>
      <c r="F205" s="1203">
        <v>5</v>
      </c>
      <c r="G205" s="3201"/>
      <c r="H205" s="1204" t="s">
        <v>1706</v>
      </c>
      <c r="I205" s="910"/>
      <c r="J205" s="910"/>
      <c r="K205" s="910"/>
      <c r="L205" s="910"/>
      <c r="M205" s="910"/>
      <c r="N205" s="910"/>
      <c r="O205" s="910"/>
      <c r="P205" s="910"/>
      <c r="Q205" s="910"/>
      <c r="R205" s="910"/>
      <c r="S205" s="910"/>
      <c r="T205" s="910"/>
      <c r="U205" s="910"/>
      <c r="V205" s="4248"/>
      <c r="W205" s="901">
        <v>5</v>
      </c>
      <c r="X205" s="901">
        <v>5</v>
      </c>
      <c r="Y205" s="901">
        <v>5</v>
      </c>
      <c r="Z205" s="1203">
        <v>5</v>
      </c>
      <c r="AA205" s="1203">
        <v>5</v>
      </c>
      <c r="AB205" s="1203">
        <v>5</v>
      </c>
      <c r="AC205" s="1203">
        <v>5</v>
      </c>
      <c r="AD205" s="901"/>
      <c r="AE205" s="901"/>
      <c r="AF205" s="901"/>
      <c r="AG205" s="901"/>
      <c r="AK205" s="883"/>
      <c r="BB205" s="906"/>
    </row>
    <row r="206" spans="1:54" s="892" customFormat="1" hidden="1" outlineLevel="1" x14ac:dyDescent="0.25">
      <c r="A206" s="910"/>
      <c r="B206" s="1624"/>
      <c r="C206" s="907"/>
      <c r="D206" s="4328"/>
      <c r="E206" s="420" t="s">
        <v>1670</v>
      </c>
      <c r="F206" s="1203">
        <v>5</v>
      </c>
      <c r="G206" s="3201"/>
      <c r="H206" s="1204" t="s">
        <v>1706</v>
      </c>
      <c r="I206" s="910"/>
      <c r="J206" s="910"/>
      <c r="K206" s="910"/>
      <c r="L206" s="910"/>
      <c r="M206" s="910"/>
      <c r="N206" s="910"/>
      <c r="O206" s="910"/>
      <c r="P206" s="910"/>
      <c r="Q206" s="910"/>
      <c r="R206" s="910"/>
      <c r="S206" s="910"/>
      <c r="T206" s="910"/>
      <c r="U206" s="910"/>
      <c r="V206" s="4248"/>
      <c r="W206" s="901">
        <v>5</v>
      </c>
      <c r="X206" s="901">
        <v>5</v>
      </c>
      <c r="Y206" s="901">
        <v>5</v>
      </c>
      <c r="Z206" s="1203">
        <v>5</v>
      </c>
      <c r="AA206" s="1203">
        <v>5</v>
      </c>
      <c r="AB206" s="1203">
        <v>5</v>
      </c>
      <c r="AC206" s="1203">
        <v>5</v>
      </c>
      <c r="AD206" s="901"/>
      <c r="AE206" s="901"/>
      <c r="AF206" s="901"/>
      <c r="AG206" s="901"/>
      <c r="AK206" s="883"/>
      <c r="BB206" s="906"/>
    </row>
    <row r="207" spans="1:54" s="892" customFormat="1" hidden="1" outlineLevel="1" x14ac:dyDescent="0.25">
      <c r="A207" s="910"/>
      <c r="B207" s="1606"/>
      <c r="C207" s="907"/>
      <c r="D207" s="4328"/>
      <c r="E207" s="420" t="s">
        <v>1672</v>
      </c>
      <c r="F207" s="1203">
        <v>5</v>
      </c>
      <c r="G207" s="3201"/>
      <c r="H207" s="1204" t="s">
        <v>1706</v>
      </c>
      <c r="I207" s="910"/>
      <c r="J207" s="910"/>
      <c r="K207" s="910"/>
      <c r="L207" s="910"/>
      <c r="M207" s="910"/>
      <c r="N207" s="910"/>
      <c r="O207" s="910"/>
      <c r="P207" s="910"/>
      <c r="Q207" s="910"/>
      <c r="R207" s="910"/>
      <c r="S207" s="910"/>
      <c r="T207" s="910"/>
      <c r="U207" s="910"/>
      <c r="V207" s="4248"/>
      <c r="W207" s="901">
        <v>5</v>
      </c>
      <c r="X207" s="901">
        <v>5</v>
      </c>
      <c r="Y207" s="901">
        <v>5</v>
      </c>
      <c r="Z207" s="1203">
        <v>5</v>
      </c>
      <c r="AA207" s="1203">
        <v>5</v>
      </c>
      <c r="AB207" s="1203">
        <v>5</v>
      </c>
      <c r="AC207" s="1203">
        <v>5</v>
      </c>
      <c r="AD207" s="901"/>
      <c r="AE207" s="901"/>
      <c r="AF207" s="901"/>
      <c r="AG207" s="901"/>
      <c r="AK207" s="883"/>
      <c r="BB207" s="906"/>
    </row>
    <row r="208" spans="1:54" s="892" customFormat="1" hidden="1" outlineLevel="1" x14ac:dyDescent="0.25">
      <c r="A208" s="910"/>
      <c r="B208" s="1606"/>
      <c r="C208" s="907"/>
      <c r="D208" s="4328"/>
      <c r="E208" s="426" t="s">
        <v>1674</v>
      </c>
      <c r="F208" s="1203">
        <v>5</v>
      </c>
      <c r="G208" s="3201"/>
      <c r="H208" s="1204" t="s">
        <v>1706</v>
      </c>
      <c r="I208" s="910"/>
      <c r="J208" s="910"/>
      <c r="K208" s="910"/>
      <c r="L208" s="910"/>
      <c r="M208" s="910"/>
      <c r="N208" s="910"/>
      <c r="O208" s="910"/>
      <c r="P208" s="910"/>
      <c r="Q208" s="910"/>
      <c r="R208" s="910"/>
      <c r="S208" s="910"/>
      <c r="T208" s="910"/>
      <c r="U208" s="910"/>
      <c r="V208" s="4248"/>
      <c r="W208" s="901">
        <v>5</v>
      </c>
      <c r="X208" s="901">
        <v>5</v>
      </c>
      <c r="Y208" s="901">
        <v>5</v>
      </c>
      <c r="Z208" s="1203">
        <v>5</v>
      </c>
      <c r="AA208" s="1203">
        <v>5</v>
      </c>
      <c r="AB208" s="1203">
        <v>5</v>
      </c>
      <c r="AC208" s="1203">
        <v>5</v>
      </c>
      <c r="AD208" s="901"/>
      <c r="AE208" s="901"/>
      <c r="AF208" s="901"/>
      <c r="AG208" s="901"/>
      <c r="AK208" s="883"/>
      <c r="BB208" s="906"/>
    </row>
    <row r="209" spans="1:54" s="892" customFormat="1" hidden="1" outlineLevel="1" x14ac:dyDescent="0.25">
      <c r="A209" s="910"/>
      <c r="B209" s="1606"/>
      <c r="C209" s="907"/>
      <c r="D209" s="4328"/>
      <c r="E209" s="420" t="s">
        <v>1676</v>
      </c>
      <c r="F209" s="1203">
        <v>5</v>
      </c>
      <c r="G209" s="3201"/>
      <c r="H209" s="1204" t="s">
        <v>1706</v>
      </c>
      <c r="I209" s="910"/>
      <c r="J209" s="910"/>
      <c r="K209" s="910"/>
      <c r="L209" s="910"/>
      <c r="M209" s="910"/>
      <c r="N209" s="910"/>
      <c r="O209" s="910"/>
      <c r="P209" s="910"/>
      <c r="Q209" s="910"/>
      <c r="R209" s="910"/>
      <c r="S209" s="910"/>
      <c r="T209" s="910"/>
      <c r="U209" s="910"/>
      <c r="V209" s="4248"/>
      <c r="W209" s="901">
        <v>5</v>
      </c>
      <c r="X209" s="901">
        <v>5</v>
      </c>
      <c r="Y209" s="901">
        <v>5</v>
      </c>
      <c r="Z209" s="1203">
        <v>5</v>
      </c>
      <c r="AA209" s="1203">
        <v>5</v>
      </c>
      <c r="AB209" s="1203">
        <v>5</v>
      </c>
      <c r="AC209" s="1203">
        <v>5</v>
      </c>
      <c r="AD209" s="901"/>
      <c r="AE209" s="901"/>
      <c r="AF209" s="901"/>
      <c r="AG209" s="901"/>
      <c r="AK209" s="883"/>
      <c r="BB209" s="906"/>
    </row>
    <row r="210" spans="1:54" s="892" customFormat="1" hidden="1" outlineLevel="1" x14ac:dyDescent="0.25">
      <c r="A210" s="910"/>
      <c r="B210" s="1624"/>
      <c r="C210" s="907"/>
      <c r="D210" s="4328"/>
      <c r="E210" s="426" t="s">
        <v>1678</v>
      </c>
      <c r="F210" s="1203">
        <v>5</v>
      </c>
      <c r="G210" s="3201"/>
      <c r="H210" s="1204" t="s">
        <v>1706</v>
      </c>
      <c r="I210" s="910"/>
      <c r="J210" s="910"/>
      <c r="K210" s="910"/>
      <c r="L210" s="910"/>
      <c r="M210" s="910"/>
      <c r="N210" s="910"/>
      <c r="O210" s="910"/>
      <c r="P210" s="910"/>
      <c r="Q210" s="910"/>
      <c r="R210" s="910"/>
      <c r="S210" s="910"/>
      <c r="T210" s="910"/>
      <c r="U210" s="910"/>
      <c r="V210" s="4248"/>
      <c r="W210" s="901">
        <v>5</v>
      </c>
      <c r="X210" s="901">
        <v>5</v>
      </c>
      <c r="Y210" s="901">
        <v>5</v>
      </c>
      <c r="Z210" s="1203">
        <v>5</v>
      </c>
      <c r="AA210" s="1203">
        <v>5</v>
      </c>
      <c r="AB210" s="1203">
        <v>5</v>
      </c>
      <c r="AC210" s="1203">
        <v>5</v>
      </c>
      <c r="AD210" s="901"/>
      <c r="AE210" s="901"/>
      <c r="AF210" s="901"/>
      <c r="AG210" s="901"/>
      <c r="AK210" s="883"/>
      <c r="BB210" s="906"/>
    </row>
    <row r="211" spans="1:54" s="892" customFormat="1" hidden="1" outlineLevel="1" x14ac:dyDescent="0.25">
      <c r="A211" s="910"/>
      <c r="B211" s="1624"/>
      <c r="C211" s="907"/>
      <c r="D211" s="4328"/>
      <c r="E211" s="420" t="s">
        <v>1680</v>
      </c>
      <c r="F211" s="1203">
        <v>5</v>
      </c>
      <c r="G211" s="3201"/>
      <c r="H211" s="1204" t="s">
        <v>1706</v>
      </c>
      <c r="I211" s="910"/>
      <c r="J211" s="910"/>
      <c r="K211" s="910"/>
      <c r="L211" s="910"/>
      <c r="M211" s="910"/>
      <c r="N211" s="910"/>
      <c r="O211" s="910"/>
      <c r="P211" s="910"/>
      <c r="Q211" s="910"/>
      <c r="R211" s="910"/>
      <c r="S211" s="910"/>
      <c r="T211" s="910"/>
      <c r="U211" s="910"/>
      <c r="V211" s="4248"/>
      <c r="W211" s="901">
        <v>5</v>
      </c>
      <c r="X211" s="901">
        <v>5</v>
      </c>
      <c r="Y211" s="901">
        <v>5</v>
      </c>
      <c r="Z211" s="1203">
        <v>5</v>
      </c>
      <c r="AA211" s="1203">
        <v>5</v>
      </c>
      <c r="AB211" s="1203">
        <v>5</v>
      </c>
      <c r="AC211" s="1203">
        <v>5</v>
      </c>
      <c r="AD211" s="901"/>
      <c r="AE211" s="901"/>
      <c r="AF211" s="901"/>
      <c r="AG211" s="901"/>
      <c r="AK211" s="883"/>
      <c r="BB211" s="906"/>
    </row>
    <row r="212" spans="1:54" s="892" customFormat="1" hidden="1" outlineLevel="1" x14ac:dyDescent="0.25">
      <c r="A212" s="910"/>
      <c r="B212" s="1624"/>
      <c r="C212" s="907"/>
      <c r="D212" s="4328"/>
      <c r="E212" s="420" t="s">
        <v>1682</v>
      </c>
      <c r="F212" s="1203">
        <v>5</v>
      </c>
      <c r="G212" s="3201"/>
      <c r="H212" s="1204" t="s">
        <v>1706</v>
      </c>
      <c r="I212" s="910"/>
      <c r="J212" s="910"/>
      <c r="K212" s="910"/>
      <c r="L212" s="910"/>
      <c r="M212" s="910"/>
      <c r="N212" s="910"/>
      <c r="O212" s="910"/>
      <c r="P212" s="910"/>
      <c r="Q212" s="910"/>
      <c r="R212" s="910"/>
      <c r="S212" s="910"/>
      <c r="T212" s="910"/>
      <c r="U212" s="910"/>
      <c r="V212" s="4248"/>
      <c r="W212" s="901">
        <v>5</v>
      </c>
      <c r="X212" s="901">
        <v>5</v>
      </c>
      <c r="Y212" s="901">
        <v>5</v>
      </c>
      <c r="Z212" s="1203">
        <v>5</v>
      </c>
      <c r="AA212" s="1203">
        <v>5</v>
      </c>
      <c r="AB212" s="1203">
        <v>5</v>
      </c>
      <c r="AC212" s="1203">
        <v>5</v>
      </c>
      <c r="AD212" s="901"/>
      <c r="AE212" s="901"/>
      <c r="AF212" s="901"/>
      <c r="AG212" s="901"/>
      <c r="AK212" s="883"/>
      <c r="BB212" s="906"/>
    </row>
    <row r="213" spans="1:54" s="892" customFormat="1" hidden="1" outlineLevel="1" x14ac:dyDescent="0.25">
      <c r="A213" s="910"/>
      <c r="B213" s="1624"/>
      <c r="C213" s="907"/>
      <c r="D213" s="4328"/>
      <c r="E213" s="420" t="s">
        <v>1684</v>
      </c>
      <c r="F213" s="1203">
        <v>5</v>
      </c>
      <c r="G213" s="3201"/>
      <c r="H213" s="1204" t="s">
        <v>1706</v>
      </c>
      <c r="I213" s="910"/>
      <c r="J213" s="910"/>
      <c r="K213" s="910"/>
      <c r="L213" s="910"/>
      <c r="M213" s="910"/>
      <c r="N213" s="910"/>
      <c r="O213" s="910"/>
      <c r="P213" s="910"/>
      <c r="Q213" s="910"/>
      <c r="R213" s="910"/>
      <c r="S213" s="910"/>
      <c r="T213" s="910"/>
      <c r="U213" s="910"/>
      <c r="V213" s="4248"/>
      <c r="W213" s="901">
        <v>5</v>
      </c>
      <c r="X213" s="901">
        <v>5</v>
      </c>
      <c r="Y213" s="901">
        <v>5</v>
      </c>
      <c r="Z213" s="1203">
        <v>5</v>
      </c>
      <c r="AA213" s="1203">
        <v>5</v>
      </c>
      <c r="AB213" s="1203">
        <v>5</v>
      </c>
      <c r="AC213" s="1203">
        <v>5</v>
      </c>
      <c r="AD213" s="901"/>
      <c r="AE213" s="901"/>
      <c r="AF213" s="901"/>
      <c r="AG213" s="901"/>
      <c r="AK213" s="883"/>
      <c r="BB213" s="906"/>
    </row>
    <row r="214" spans="1:54" s="892" customFormat="1" hidden="1" outlineLevel="1" x14ac:dyDescent="0.25">
      <c r="A214" s="910"/>
      <c r="B214" s="1624"/>
      <c r="C214" s="907"/>
      <c r="D214" s="4328"/>
      <c r="E214" s="426" t="s">
        <v>1686</v>
      </c>
      <c r="F214" s="1203">
        <v>5</v>
      </c>
      <c r="G214" s="3201"/>
      <c r="H214" s="1204" t="s">
        <v>1706</v>
      </c>
      <c r="I214" s="910"/>
      <c r="J214" s="910"/>
      <c r="K214" s="910"/>
      <c r="L214" s="910"/>
      <c r="M214" s="910"/>
      <c r="N214" s="910"/>
      <c r="O214" s="910"/>
      <c r="P214" s="910"/>
      <c r="Q214" s="910"/>
      <c r="R214" s="910"/>
      <c r="S214" s="910"/>
      <c r="T214" s="910"/>
      <c r="U214" s="910"/>
      <c r="V214" s="4248"/>
      <c r="W214" s="901">
        <v>5</v>
      </c>
      <c r="X214" s="901">
        <v>5</v>
      </c>
      <c r="Y214" s="901">
        <v>5</v>
      </c>
      <c r="Z214" s="1203">
        <v>5</v>
      </c>
      <c r="AA214" s="1203">
        <v>5</v>
      </c>
      <c r="AB214" s="1203">
        <v>5</v>
      </c>
      <c r="AC214" s="1203">
        <v>5</v>
      </c>
      <c r="AD214" s="901"/>
      <c r="AE214" s="901"/>
      <c r="AF214" s="901"/>
      <c r="AG214" s="901"/>
      <c r="AK214" s="883"/>
      <c r="BB214" s="906"/>
    </row>
    <row r="215" spans="1:54" s="892" customFormat="1" hidden="1" outlineLevel="1" x14ac:dyDescent="0.25">
      <c r="A215" s="910"/>
      <c r="B215" s="1624"/>
      <c r="C215" s="907"/>
      <c r="D215" s="4328"/>
      <c r="E215" s="420" t="s">
        <v>1688</v>
      </c>
      <c r="F215" s="1203">
        <v>5</v>
      </c>
      <c r="G215" s="3201"/>
      <c r="H215" s="1204" t="s">
        <v>1706</v>
      </c>
      <c r="I215" s="910"/>
      <c r="J215" s="910"/>
      <c r="K215" s="910"/>
      <c r="L215" s="910"/>
      <c r="M215" s="910"/>
      <c r="N215" s="910"/>
      <c r="O215" s="910"/>
      <c r="P215" s="910"/>
      <c r="Q215" s="910"/>
      <c r="R215" s="910"/>
      <c r="S215" s="910"/>
      <c r="T215" s="910"/>
      <c r="U215" s="910"/>
      <c r="V215" s="4248"/>
      <c r="W215" s="901">
        <v>5</v>
      </c>
      <c r="X215" s="901">
        <v>5</v>
      </c>
      <c r="Y215" s="901">
        <v>5</v>
      </c>
      <c r="Z215" s="1203">
        <v>5</v>
      </c>
      <c r="AA215" s="1203">
        <v>5</v>
      </c>
      <c r="AB215" s="1203">
        <v>5</v>
      </c>
      <c r="AC215" s="1203">
        <v>5</v>
      </c>
      <c r="AD215" s="901"/>
      <c r="AE215" s="901"/>
      <c r="AF215" s="901"/>
      <c r="AG215" s="901"/>
      <c r="AK215" s="883"/>
      <c r="BB215" s="906"/>
    </row>
    <row r="216" spans="1:54" s="892" customFormat="1" hidden="1" outlineLevel="1" x14ac:dyDescent="0.25">
      <c r="A216" s="910"/>
      <c r="B216" s="1624"/>
      <c r="C216" s="907"/>
      <c r="D216" s="4328"/>
      <c r="E216" s="426" t="s">
        <v>1690</v>
      </c>
      <c r="F216" s="1203">
        <v>5</v>
      </c>
      <c r="G216" s="3201"/>
      <c r="H216" s="1204" t="s">
        <v>1706</v>
      </c>
      <c r="I216" s="910"/>
      <c r="J216" s="910"/>
      <c r="K216" s="910"/>
      <c r="L216" s="910"/>
      <c r="M216" s="910"/>
      <c r="N216" s="910"/>
      <c r="O216" s="910"/>
      <c r="P216" s="910"/>
      <c r="Q216" s="910"/>
      <c r="R216" s="910"/>
      <c r="S216" s="910"/>
      <c r="T216" s="910"/>
      <c r="U216" s="910"/>
      <c r="V216" s="4248"/>
      <c r="W216" s="901">
        <v>5</v>
      </c>
      <c r="X216" s="901">
        <v>5</v>
      </c>
      <c r="Y216" s="901">
        <v>5</v>
      </c>
      <c r="Z216" s="1203">
        <v>5</v>
      </c>
      <c r="AA216" s="1203">
        <v>5</v>
      </c>
      <c r="AB216" s="1203">
        <v>5</v>
      </c>
      <c r="AC216" s="1203">
        <v>5</v>
      </c>
      <c r="AD216" s="901"/>
      <c r="AE216" s="901"/>
      <c r="AF216" s="901"/>
      <c r="AG216" s="901"/>
      <c r="AK216" s="883"/>
      <c r="BB216" s="906"/>
    </row>
    <row r="217" spans="1:54" s="892" customFormat="1" hidden="1" outlineLevel="1" x14ac:dyDescent="0.25">
      <c r="A217" s="910"/>
      <c r="B217" s="1624"/>
      <c r="C217" s="907"/>
      <c r="D217" s="4328"/>
      <c r="E217" s="420" t="s">
        <v>1692</v>
      </c>
      <c r="F217" s="1203">
        <v>5</v>
      </c>
      <c r="G217" s="3201"/>
      <c r="H217" s="1204" t="s">
        <v>1706</v>
      </c>
      <c r="I217" s="910"/>
      <c r="J217" s="910"/>
      <c r="K217" s="910"/>
      <c r="L217" s="910"/>
      <c r="M217" s="910"/>
      <c r="N217" s="910"/>
      <c r="O217" s="910"/>
      <c r="P217" s="910"/>
      <c r="Q217" s="910"/>
      <c r="R217" s="910"/>
      <c r="S217" s="910"/>
      <c r="T217" s="910"/>
      <c r="U217" s="910"/>
      <c r="V217" s="4248"/>
      <c r="W217" s="901">
        <v>5</v>
      </c>
      <c r="X217" s="901">
        <v>5</v>
      </c>
      <c r="Y217" s="901">
        <v>5</v>
      </c>
      <c r="Z217" s="1203">
        <v>5</v>
      </c>
      <c r="AA217" s="1203">
        <v>5</v>
      </c>
      <c r="AB217" s="1203">
        <v>5</v>
      </c>
      <c r="AC217" s="1203">
        <v>5</v>
      </c>
      <c r="AD217" s="901"/>
      <c r="AE217" s="901"/>
      <c r="AF217" s="901"/>
      <c r="AG217" s="901"/>
      <c r="AK217" s="883"/>
      <c r="BB217" s="906"/>
    </row>
    <row r="218" spans="1:54" s="892" customFormat="1" hidden="1" outlineLevel="1" x14ac:dyDescent="0.25">
      <c r="A218" s="910"/>
      <c r="B218" s="1624"/>
      <c r="C218" s="907"/>
      <c r="D218" s="4328"/>
      <c r="E218" s="420" t="s">
        <v>1694</v>
      </c>
      <c r="F218" s="1203">
        <v>5</v>
      </c>
      <c r="G218" s="3201"/>
      <c r="H218" s="1204" t="s">
        <v>1706</v>
      </c>
      <c r="I218" s="910"/>
      <c r="J218" s="910"/>
      <c r="K218" s="910"/>
      <c r="L218" s="910"/>
      <c r="M218" s="910"/>
      <c r="N218" s="910"/>
      <c r="O218" s="910"/>
      <c r="P218" s="910"/>
      <c r="Q218" s="910"/>
      <c r="R218" s="910"/>
      <c r="S218" s="910"/>
      <c r="T218" s="910"/>
      <c r="U218" s="910"/>
      <c r="V218" s="4248"/>
      <c r="W218" s="901">
        <v>5</v>
      </c>
      <c r="X218" s="901">
        <v>5</v>
      </c>
      <c r="Y218" s="901">
        <v>5</v>
      </c>
      <c r="Z218" s="1203">
        <v>5</v>
      </c>
      <c r="AA218" s="1203">
        <v>5</v>
      </c>
      <c r="AB218" s="1203">
        <v>5</v>
      </c>
      <c r="AC218" s="1203">
        <v>5</v>
      </c>
      <c r="AD218" s="901"/>
      <c r="AE218" s="901"/>
      <c r="AF218" s="901"/>
      <c r="AG218" s="901"/>
      <c r="AK218" s="883"/>
      <c r="BB218" s="906"/>
    </row>
    <row r="219" spans="1:54" s="892" customFormat="1" hidden="1" outlineLevel="1" x14ac:dyDescent="0.25">
      <c r="A219" s="910"/>
      <c r="B219" s="1624"/>
      <c r="C219" s="907"/>
      <c r="D219" s="4328"/>
      <c r="E219" s="420" t="s">
        <v>1696</v>
      </c>
      <c r="F219" s="1203">
        <v>5</v>
      </c>
      <c r="G219" s="3201"/>
      <c r="H219" s="1204" t="s">
        <v>1706</v>
      </c>
      <c r="I219" s="910"/>
      <c r="J219" s="910"/>
      <c r="K219" s="910"/>
      <c r="L219" s="910"/>
      <c r="M219" s="910"/>
      <c r="N219" s="910"/>
      <c r="O219" s="910"/>
      <c r="P219" s="910"/>
      <c r="Q219" s="910"/>
      <c r="R219" s="910"/>
      <c r="S219" s="910"/>
      <c r="T219" s="910"/>
      <c r="U219" s="910"/>
      <c r="V219" s="4248"/>
      <c r="W219" s="901">
        <v>5</v>
      </c>
      <c r="X219" s="901">
        <v>5</v>
      </c>
      <c r="Y219" s="901">
        <v>5</v>
      </c>
      <c r="Z219" s="1203">
        <v>5</v>
      </c>
      <c r="AA219" s="1203">
        <v>5</v>
      </c>
      <c r="AB219" s="1203">
        <v>5</v>
      </c>
      <c r="AC219" s="1203">
        <v>5</v>
      </c>
      <c r="AD219" s="901"/>
      <c r="AE219" s="901"/>
      <c r="AF219" s="901"/>
      <c r="AG219" s="901"/>
      <c r="AK219" s="883"/>
      <c r="BB219" s="906"/>
    </row>
    <row r="220" spans="1:54" s="892" customFormat="1" hidden="1" outlineLevel="1" x14ac:dyDescent="0.25">
      <c r="A220" s="910"/>
      <c r="B220" s="1624"/>
      <c r="C220" s="907"/>
      <c r="D220" s="4328"/>
      <c r="E220" s="426" t="s">
        <v>1698</v>
      </c>
      <c r="F220" s="1203">
        <v>5</v>
      </c>
      <c r="G220" s="3201"/>
      <c r="H220" s="1204" t="s">
        <v>1706</v>
      </c>
      <c r="I220" s="910"/>
      <c r="J220" s="910"/>
      <c r="K220" s="910"/>
      <c r="L220" s="910"/>
      <c r="M220" s="910"/>
      <c r="N220" s="910"/>
      <c r="O220" s="910"/>
      <c r="P220" s="910"/>
      <c r="Q220" s="910"/>
      <c r="R220" s="910"/>
      <c r="S220" s="910"/>
      <c r="T220" s="910"/>
      <c r="U220" s="910"/>
      <c r="V220" s="4248"/>
      <c r="W220" s="901">
        <v>5</v>
      </c>
      <c r="X220" s="901">
        <v>5</v>
      </c>
      <c r="Y220" s="901">
        <v>5</v>
      </c>
      <c r="Z220" s="1203">
        <v>5</v>
      </c>
      <c r="AA220" s="1203">
        <v>5</v>
      </c>
      <c r="AB220" s="1203">
        <v>5</v>
      </c>
      <c r="AC220" s="1203">
        <v>5</v>
      </c>
      <c r="AD220" s="901"/>
      <c r="AE220" s="901"/>
      <c r="AF220" s="901"/>
      <c r="AG220" s="901"/>
      <c r="AK220" s="883"/>
      <c r="BB220" s="906"/>
    </row>
    <row r="221" spans="1:54" s="892" customFormat="1" hidden="1" outlineLevel="1" x14ac:dyDescent="0.25">
      <c r="A221" s="910"/>
      <c r="B221" s="1624"/>
      <c r="C221" s="907"/>
      <c r="D221" s="4328"/>
      <c r="E221" s="420" t="s">
        <v>1700</v>
      </c>
      <c r="F221" s="1203">
        <v>5</v>
      </c>
      <c r="G221" s="3201"/>
      <c r="H221" s="1204" t="s">
        <v>1706</v>
      </c>
      <c r="I221" s="910"/>
      <c r="J221" s="910"/>
      <c r="K221" s="910"/>
      <c r="L221" s="910"/>
      <c r="M221" s="910"/>
      <c r="N221" s="910"/>
      <c r="O221" s="910"/>
      <c r="P221" s="910"/>
      <c r="Q221" s="910"/>
      <c r="R221" s="910"/>
      <c r="S221" s="910"/>
      <c r="T221" s="910"/>
      <c r="U221" s="910"/>
      <c r="V221" s="4248"/>
      <c r="W221" s="901">
        <v>5</v>
      </c>
      <c r="X221" s="901">
        <v>5</v>
      </c>
      <c r="Y221" s="901">
        <v>5</v>
      </c>
      <c r="Z221" s="1203">
        <v>5</v>
      </c>
      <c r="AA221" s="1203">
        <v>5</v>
      </c>
      <c r="AB221" s="1203">
        <v>5</v>
      </c>
      <c r="AC221" s="1203">
        <v>5</v>
      </c>
      <c r="AD221" s="901"/>
      <c r="AE221" s="901"/>
      <c r="AF221" s="901"/>
      <c r="AG221" s="901"/>
      <c r="AK221" s="883"/>
      <c r="BB221" s="906"/>
    </row>
    <row r="222" spans="1:54" s="892" customFormat="1" hidden="1" outlineLevel="1" x14ac:dyDescent="0.25">
      <c r="A222" s="910"/>
      <c r="B222" s="1624"/>
      <c r="C222" s="907"/>
      <c r="D222" s="4328"/>
      <c r="E222" s="426" t="s">
        <v>1702</v>
      </c>
      <c r="F222" s="1203">
        <v>5</v>
      </c>
      <c r="G222" s="3201"/>
      <c r="H222" s="1204" t="s">
        <v>1706</v>
      </c>
      <c r="I222" s="910"/>
      <c r="J222" s="910"/>
      <c r="K222" s="910"/>
      <c r="L222" s="910"/>
      <c r="M222" s="910"/>
      <c r="N222" s="910"/>
      <c r="O222" s="910"/>
      <c r="P222" s="910"/>
      <c r="Q222" s="910"/>
      <c r="R222" s="910"/>
      <c r="S222" s="910"/>
      <c r="T222" s="910"/>
      <c r="U222" s="910"/>
      <c r="V222" s="4248"/>
      <c r="W222" s="901">
        <v>5</v>
      </c>
      <c r="X222" s="901">
        <v>5</v>
      </c>
      <c r="Y222" s="901">
        <v>5</v>
      </c>
      <c r="Z222" s="1203">
        <v>5</v>
      </c>
      <c r="AA222" s="1203">
        <v>5</v>
      </c>
      <c r="AB222" s="1203">
        <v>5</v>
      </c>
      <c r="AC222" s="1203">
        <v>5</v>
      </c>
      <c r="AD222" s="901"/>
      <c r="AE222" s="901"/>
      <c r="AF222" s="901"/>
      <c r="AG222" s="901"/>
      <c r="AK222" s="883"/>
      <c r="BB222" s="906"/>
    </row>
    <row r="223" spans="1:54" s="892" customFormat="1" hidden="1" outlineLevel="1" x14ac:dyDescent="0.25">
      <c r="A223" s="910"/>
      <c r="B223" s="1624"/>
      <c r="C223" s="907"/>
      <c r="D223" s="4328"/>
      <c r="E223" s="420" t="s">
        <v>1704</v>
      </c>
      <c r="F223" s="1203">
        <v>5</v>
      </c>
      <c r="G223" s="3201"/>
      <c r="H223" s="1204" t="s">
        <v>1706</v>
      </c>
      <c r="I223" s="910"/>
      <c r="J223" s="910"/>
      <c r="K223" s="910"/>
      <c r="L223" s="910"/>
      <c r="M223" s="910"/>
      <c r="N223" s="910"/>
      <c r="O223" s="910"/>
      <c r="P223" s="910"/>
      <c r="Q223" s="910"/>
      <c r="R223" s="910"/>
      <c r="S223" s="910"/>
      <c r="T223" s="910"/>
      <c r="U223" s="910"/>
      <c r="V223" s="4249"/>
      <c r="W223" s="901">
        <v>5</v>
      </c>
      <c r="X223" s="901">
        <v>5</v>
      </c>
      <c r="Y223" s="901">
        <v>5</v>
      </c>
      <c r="Z223" s="1203">
        <v>5</v>
      </c>
      <c r="AA223" s="1203">
        <v>5</v>
      </c>
      <c r="AB223" s="1203">
        <v>5</v>
      </c>
      <c r="AC223" s="1203">
        <v>5</v>
      </c>
      <c r="AD223" s="901"/>
      <c r="AE223" s="901"/>
      <c r="AF223" s="901"/>
      <c r="AG223" s="901"/>
      <c r="AK223" s="883"/>
      <c r="BB223" s="906"/>
    </row>
    <row r="224" spans="1:54" s="892" customFormat="1" ht="17.25" hidden="1" customHeight="1" outlineLevel="1" x14ac:dyDescent="0.25">
      <c r="A224" s="910"/>
      <c r="B224" s="1606"/>
      <c r="C224" s="907"/>
      <c r="D224" s="4327" t="s">
        <v>1707</v>
      </c>
      <c r="E224" s="420" t="s">
        <v>1646</v>
      </c>
      <c r="F224" s="1203">
        <v>49</v>
      </c>
      <c r="G224" s="3201"/>
      <c r="H224" s="1204" t="s">
        <v>1706</v>
      </c>
      <c r="I224" s="910"/>
      <c r="J224" s="910"/>
      <c r="K224" s="910"/>
      <c r="L224" s="910"/>
      <c r="M224" s="910"/>
      <c r="N224" s="910"/>
      <c r="O224" s="910"/>
      <c r="P224" s="910"/>
      <c r="Q224" s="910"/>
      <c r="R224" s="910"/>
      <c r="S224" s="910"/>
      <c r="T224" s="910"/>
      <c r="U224" s="910"/>
      <c r="V224" s="4247" t="str">
        <f>D224</f>
        <v>RAttic</v>
      </c>
      <c r="W224" s="901">
        <v>49</v>
      </c>
      <c r="X224" s="901">
        <v>49</v>
      </c>
      <c r="Y224" s="901">
        <v>49</v>
      </c>
      <c r="Z224" s="1203">
        <v>49</v>
      </c>
      <c r="AA224" s="1203">
        <v>49</v>
      </c>
      <c r="AB224" s="1203">
        <v>49</v>
      </c>
      <c r="AC224" s="1203">
        <v>49</v>
      </c>
      <c r="AD224" s="901"/>
      <c r="AE224" s="901"/>
      <c r="AF224" s="901"/>
      <c r="AG224" s="901"/>
      <c r="AK224" s="883"/>
      <c r="BB224" s="906"/>
    </row>
    <row r="225" spans="1:54" s="892" customFormat="1" hidden="1" outlineLevel="1" x14ac:dyDescent="0.25">
      <c r="A225" s="910"/>
      <c r="B225" s="1606"/>
      <c r="C225" s="907"/>
      <c r="D225" s="4328"/>
      <c r="E225" s="420" t="s">
        <v>1648</v>
      </c>
      <c r="F225" s="1203">
        <v>49</v>
      </c>
      <c r="G225" s="3201"/>
      <c r="H225" s="1204" t="s">
        <v>1706</v>
      </c>
      <c r="I225" s="910"/>
      <c r="J225" s="910"/>
      <c r="K225" s="910"/>
      <c r="L225" s="910"/>
      <c r="M225" s="910"/>
      <c r="N225" s="910"/>
      <c r="O225" s="910"/>
      <c r="P225" s="910"/>
      <c r="Q225" s="910"/>
      <c r="R225" s="910"/>
      <c r="S225" s="910"/>
      <c r="T225" s="910"/>
      <c r="U225" s="910"/>
      <c r="V225" s="4248"/>
      <c r="W225" s="901">
        <v>49</v>
      </c>
      <c r="X225" s="901">
        <v>49</v>
      </c>
      <c r="Y225" s="901">
        <v>49</v>
      </c>
      <c r="Z225" s="1203">
        <v>49</v>
      </c>
      <c r="AA225" s="1203">
        <v>49</v>
      </c>
      <c r="AB225" s="1203">
        <v>49</v>
      </c>
      <c r="AC225" s="1203">
        <v>49</v>
      </c>
      <c r="AD225" s="901"/>
      <c r="AE225" s="901"/>
      <c r="AF225" s="901"/>
      <c r="AG225" s="901"/>
      <c r="AK225" s="883"/>
      <c r="BB225" s="906"/>
    </row>
    <row r="226" spans="1:54" s="892" customFormat="1" hidden="1" outlineLevel="1" x14ac:dyDescent="0.25">
      <c r="A226" s="910"/>
      <c r="B226" s="1606"/>
      <c r="C226" s="907"/>
      <c r="D226" s="4328"/>
      <c r="E226" s="420" t="s">
        <v>1650</v>
      </c>
      <c r="F226" s="1203">
        <v>49</v>
      </c>
      <c r="G226" s="3201"/>
      <c r="H226" s="1204" t="s">
        <v>1706</v>
      </c>
      <c r="I226" s="910"/>
      <c r="J226" s="910"/>
      <c r="K226" s="910"/>
      <c r="L226" s="910"/>
      <c r="M226" s="910"/>
      <c r="N226" s="910"/>
      <c r="O226" s="910"/>
      <c r="P226" s="910"/>
      <c r="Q226" s="910"/>
      <c r="R226" s="910"/>
      <c r="S226" s="910"/>
      <c r="T226" s="910"/>
      <c r="U226" s="910"/>
      <c r="V226" s="4248"/>
      <c r="W226" s="901">
        <v>49</v>
      </c>
      <c r="X226" s="901">
        <v>49</v>
      </c>
      <c r="Y226" s="901">
        <v>49</v>
      </c>
      <c r="Z226" s="1203">
        <v>49</v>
      </c>
      <c r="AA226" s="1203">
        <v>49</v>
      </c>
      <c r="AB226" s="1203">
        <v>49</v>
      </c>
      <c r="AC226" s="1203">
        <v>49</v>
      </c>
      <c r="AD226" s="901"/>
      <c r="AE226" s="901"/>
      <c r="AF226" s="901"/>
      <c r="AG226" s="901"/>
      <c r="AK226" s="883"/>
      <c r="BB226" s="906"/>
    </row>
    <row r="227" spans="1:54" s="892" customFormat="1" hidden="1" outlineLevel="1" x14ac:dyDescent="0.25">
      <c r="A227" s="910"/>
      <c r="B227" s="1606"/>
      <c r="C227" s="907"/>
      <c r="D227" s="4328"/>
      <c r="E227" s="420" t="s">
        <v>1652</v>
      </c>
      <c r="F227" s="1203">
        <v>49</v>
      </c>
      <c r="G227" s="3201"/>
      <c r="H227" s="1204" t="s">
        <v>1706</v>
      </c>
      <c r="I227" s="910"/>
      <c r="J227" s="910"/>
      <c r="K227" s="910"/>
      <c r="L227" s="910"/>
      <c r="M227" s="910"/>
      <c r="N227" s="910"/>
      <c r="O227" s="910"/>
      <c r="P227" s="910"/>
      <c r="Q227" s="910"/>
      <c r="R227" s="910"/>
      <c r="S227" s="910"/>
      <c r="T227" s="910"/>
      <c r="U227" s="910"/>
      <c r="V227" s="4248"/>
      <c r="W227" s="901">
        <v>49</v>
      </c>
      <c r="X227" s="901">
        <v>49</v>
      </c>
      <c r="Y227" s="901">
        <v>49</v>
      </c>
      <c r="Z227" s="1203">
        <v>49</v>
      </c>
      <c r="AA227" s="1203">
        <v>49</v>
      </c>
      <c r="AB227" s="1203">
        <v>49</v>
      </c>
      <c r="AC227" s="1203">
        <v>49</v>
      </c>
      <c r="AD227" s="901"/>
      <c r="AE227" s="901"/>
      <c r="AF227" s="901"/>
      <c r="AG227" s="901"/>
      <c r="AK227" s="883"/>
      <c r="BB227" s="906"/>
    </row>
    <row r="228" spans="1:54" s="892" customFormat="1" hidden="1" outlineLevel="1" x14ac:dyDescent="0.25">
      <c r="A228" s="910"/>
      <c r="B228" s="1606"/>
      <c r="C228" s="907"/>
      <c r="D228" s="4328"/>
      <c r="E228" s="420" t="s">
        <v>1654</v>
      </c>
      <c r="F228" s="1203">
        <v>49</v>
      </c>
      <c r="G228" s="3201"/>
      <c r="H228" s="1204" t="s">
        <v>1706</v>
      </c>
      <c r="I228" s="910"/>
      <c r="J228" s="910"/>
      <c r="K228" s="910"/>
      <c r="L228" s="910"/>
      <c r="M228" s="910"/>
      <c r="N228" s="910"/>
      <c r="O228" s="910"/>
      <c r="P228" s="910"/>
      <c r="Q228" s="910"/>
      <c r="R228" s="910"/>
      <c r="S228" s="910"/>
      <c r="T228" s="910"/>
      <c r="U228" s="910"/>
      <c r="V228" s="4248"/>
      <c r="W228" s="901">
        <v>49</v>
      </c>
      <c r="X228" s="901">
        <v>49</v>
      </c>
      <c r="Y228" s="901">
        <v>49</v>
      </c>
      <c r="Z228" s="1203">
        <v>49</v>
      </c>
      <c r="AA228" s="1203">
        <v>49</v>
      </c>
      <c r="AB228" s="1203">
        <v>49</v>
      </c>
      <c r="AC228" s="1203">
        <v>49</v>
      </c>
      <c r="AD228" s="901"/>
      <c r="AE228" s="901"/>
      <c r="AF228" s="901"/>
      <c r="AG228" s="901"/>
      <c r="AK228" s="883"/>
      <c r="BB228" s="906"/>
    </row>
    <row r="229" spans="1:54" s="892" customFormat="1" hidden="1" outlineLevel="1" x14ac:dyDescent="0.25">
      <c r="A229" s="910"/>
      <c r="B229" s="1624"/>
      <c r="C229" s="907"/>
      <c r="D229" s="4328"/>
      <c r="E229" s="420" t="s">
        <v>1656</v>
      </c>
      <c r="F229" s="1203">
        <v>49</v>
      </c>
      <c r="G229" s="3201"/>
      <c r="H229" s="1204" t="s">
        <v>1706</v>
      </c>
      <c r="I229" s="910"/>
      <c r="J229" s="910"/>
      <c r="K229" s="910"/>
      <c r="L229" s="910"/>
      <c r="M229" s="910"/>
      <c r="N229" s="910"/>
      <c r="O229" s="910"/>
      <c r="P229" s="910"/>
      <c r="Q229" s="910"/>
      <c r="R229" s="910"/>
      <c r="S229" s="910"/>
      <c r="T229" s="910"/>
      <c r="U229" s="910"/>
      <c r="V229" s="4248"/>
      <c r="W229" s="901">
        <v>49</v>
      </c>
      <c r="X229" s="901">
        <v>49</v>
      </c>
      <c r="Y229" s="901">
        <v>49</v>
      </c>
      <c r="Z229" s="1203">
        <v>49</v>
      </c>
      <c r="AA229" s="1203">
        <v>49</v>
      </c>
      <c r="AB229" s="1203">
        <v>49</v>
      </c>
      <c r="AC229" s="1203">
        <v>49</v>
      </c>
      <c r="AD229" s="901"/>
      <c r="AE229" s="901"/>
      <c r="AF229" s="901"/>
      <c r="AG229" s="901"/>
      <c r="AK229" s="883"/>
      <c r="BB229" s="906"/>
    </row>
    <row r="230" spans="1:54" s="892" customFormat="1" hidden="1" outlineLevel="1" x14ac:dyDescent="0.25">
      <c r="A230" s="910"/>
      <c r="B230" s="1624"/>
      <c r="C230" s="907"/>
      <c r="D230" s="4328"/>
      <c r="E230" s="420" t="s">
        <v>1658</v>
      </c>
      <c r="F230" s="1203">
        <v>30</v>
      </c>
      <c r="G230" s="3201"/>
      <c r="H230" s="1204" t="s">
        <v>1706</v>
      </c>
      <c r="I230" s="910"/>
      <c r="J230" s="910"/>
      <c r="K230" s="910"/>
      <c r="L230" s="910"/>
      <c r="M230" s="910"/>
      <c r="N230" s="910"/>
      <c r="O230" s="910"/>
      <c r="P230" s="910"/>
      <c r="Q230" s="910"/>
      <c r="R230" s="910"/>
      <c r="S230" s="910"/>
      <c r="T230" s="910"/>
      <c r="U230" s="910"/>
      <c r="V230" s="4248"/>
      <c r="W230" s="901">
        <v>30</v>
      </c>
      <c r="X230" s="901">
        <v>30</v>
      </c>
      <c r="Y230" s="901">
        <v>30</v>
      </c>
      <c r="Z230" s="1203">
        <v>30</v>
      </c>
      <c r="AA230" s="1203">
        <v>30</v>
      </c>
      <c r="AB230" s="1203">
        <v>30</v>
      </c>
      <c r="AC230" s="1203">
        <v>30</v>
      </c>
      <c r="AD230" s="901"/>
      <c r="AE230" s="901"/>
      <c r="AF230" s="901"/>
      <c r="AG230" s="901"/>
      <c r="AK230" s="883"/>
      <c r="BB230" s="906"/>
    </row>
    <row r="231" spans="1:54" s="892" customFormat="1" hidden="1" outlineLevel="1" x14ac:dyDescent="0.25">
      <c r="A231" s="910"/>
      <c r="B231" s="1624"/>
      <c r="C231" s="907"/>
      <c r="D231" s="4328"/>
      <c r="E231" s="420" t="s">
        <v>1660</v>
      </c>
      <c r="F231" s="1203">
        <v>30</v>
      </c>
      <c r="G231" s="3201"/>
      <c r="H231" s="1204" t="s">
        <v>1706</v>
      </c>
      <c r="I231" s="910"/>
      <c r="J231" s="910"/>
      <c r="K231" s="910"/>
      <c r="L231" s="910"/>
      <c r="M231" s="910"/>
      <c r="N231" s="910"/>
      <c r="O231" s="910"/>
      <c r="P231" s="910"/>
      <c r="Q231" s="910"/>
      <c r="R231" s="910"/>
      <c r="S231" s="910"/>
      <c r="T231" s="910"/>
      <c r="U231" s="910"/>
      <c r="V231" s="4248"/>
      <c r="W231" s="901">
        <v>30</v>
      </c>
      <c r="X231" s="901">
        <v>30</v>
      </c>
      <c r="Y231" s="901">
        <v>30</v>
      </c>
      <c r="Z231" s="1203">
        <v>30</v>
      </c>
      <c r="AA231" s="1203">
        <v>30</v>
      </c>
      <c r="AB231" s="1203">
        <v>30</v>
      </c>
      <c r="AC231" s="1203">
        <v>30</v>
      </c>
      <c r="AD231" s="901"/>
      <c r="AE231" s="901"/>
      <c r="AF231" s="901"/>
      <c r="AG231" s="901"/>
      <c r="AK231" s="883"/>
      <c r="BB231" s="906"/>
    </row>
    <row r="232" spans="1:54" s="892" customFormat="1" hidden="1" outlineLevel="1" x14ac:dyDescent="0.25">
      <c r="A232" s="910"/>
      <c r="B232" s="1624"/>
      <c r="C232" s="907"/>
      <c r="D232" s="4328"/>
      <c r="E232" s="426" t="s">
        <v>1662</v>
      </c>
      <c r="F232" s="1203">
        <v>30</v>
      </c>
      <c r="G232" s="3201"/>
      <c r="H232" s="1204" t="s">
        <v>1706</v>
      </c>
      <c r="I232" s="910"/>
      <c r="J232" s="910"/>
      <c r="K232" s="910"/>
      <c r="L232" s="910"/>
      <c r="M232" s="910"/>
      <c r="N232" s="910"/>
      <c r="O232" s="910"/>
      <c r="P232" s="910"/>
      <c r="Q232" s="910"/>
      <c r="R232" s="910"/>
      <c r="S232" s="910"/>
      <c r="T232" s="910"/>
      <c r="U232" s="910"/>
      <c r="V232" s="4248"/>
      <c r="W232" s="901">
        <v>30</v>
      </c>
      <c r="X232" s="901">
        <v>30</v>
      </c>
      <c r="Y232" s="901">
        <v>30</v>
      </c>
      <c r="Z232" s="1203">
        <v>30</v>
      </c>
      <c r="AA232" s="1203">
        <v>30</v>
      </c>
      <c r="AB232" s="1203">
        <v>30</v>
      </c>
      <c r="AC232" s="1203">
        <v>30</v>
      </c>
      <c r="AD232" s="901"/>
      <c r="AE232" s="901"/>
      <c r="AF232" s="901"/>
      <c r="AG232" s="901"/>
      <c r="AK232" s="883"/>
      <c r="BB232" s="906"/>
    </row>
    <row r="233" spans="1:54" s="892" customFormat="1" hidden="1" outlineLevel="1" x14ac:dyDescent="0.25">
      <c r="A233" s="910"/>
      <c r="B233" s="1624"/>
      <c r="C233" s="907"/>
      <c r="D233" s="4328"/>
      <c r="E233" s="420" t="s">
        <v>1664</v>
      </c>
      <c r="F233" s="1203">
        <v>30</v>
      </c>
      <c r="G233" s="3201"/>
      <c r="H233" s="1204" t="s">
        <v>1706</v>
      </c>
      <c r="I233" s="910"/>
      <c r="J233" s="910"/>
      <c r="K233" s="910"/>
      <c r="L233" s="910"/>
      <c r="M233" s="910"/>
      <c r="N233" s="910"/>
      <c r="O233" s="910"/>
      <c r="P233" s="910"/>
      <c r="Q233" s="910"/>
      <c r="R233" s="910"/>
      <c r="S233" s="910"/>
      <c r="T233" s="910"/>
      <c r="U233" s="910"/>
      <c r="V233" s="4248"/>
      <c r="W233" s="901">
        <v>30</v>
      </c>
      <c r="X233" s="901">
        <v>30</v>
      </c>
      <c r="Y233" s="901">
        <v>30</v>
      </c>
      <c r="Z233" s="1203">
        <v>30</v>
      </c>
      <c r="AA233" s="1203">
        <v>30</v>
      </c>
      <c r="AB233" s="1203">
        <v>30</v>
      </c>
      <c r="AC233" s="1203">
        <v>30</v>
      </c>
      <c r="AD233" s="901"/>
      <c r="AE233" s="901"/>
      <c r="AF233" s="901"/>
      <c r="AG233" s="901"/>
      <c r="AK233" s="883"/>
      <c r="BB233" s="906"/>
    </row>
    <row r="234" spans="1:54" s="892" customFormat="1" hidden="1" outlineLevel="1" x14ac:dyDescent="0.25">
      <c r="A234" s="910"/>
      <c r="B234" s="1624"/>
      <c r="C234" s="907"/>
      <c r="D234" s="4328"/>
      <c r="E234" s="420" t="s">
        <v>1666</v>
      </c>
      <c r="F234" s="1203">
        <v>30</v>
      </c>
      <c r="G234" s="3201"/>
      <c r="H234" s="1204" t="s">
        <v>1706</v>
      </c>
      <c r="I234" s="910"/>
      <c r="J234" s="910"/>
      <c r="K234" s="910"/>
      <c r="L234" s="910"/>
      <c r="M234" s="910"/>
      <c r="N234" s="910"/>
      <c r="O234" s="910"/>
      <c r="P234" s="910"/>
      <c r="Q234" s="910"/>
      <c r="R234" s="910"/>
      <c r="S234" s="910"/>
      <c r="T234" s="910"/>
      <c r="U234" s="910"/>
      <c r="V234" s="4248"/>
      <c r="W234" s="901">
        <v>30</v>
      </c>
      <c r="X234" s="901">
        <v>30</v>
      </c>
      <c r="Y234" s="901">
        <v>30</v>
      </c>
      <c r="Z234" s="1203">
        <v>30</v>
      </c>
      <c r="AA234" s="1203">
        <v>30</v>
      </c>
      <c r="AB234" s="1203">
        <v>30</v>
      </c>
      <c r="AC234" s="1203">
        <v>30</v>
      </c>
      <c r="AD234" s="901"/>
      <c r="AE234" s="901"/>
      <c r="AF234" s="901"/>
      <c r="AG234" s="901"/>
      <c r="AK234" s="883"/>
      <c r="BB234" s="906"/>
    </row>
    <row r="235" spans="1:54" s="892" customFormat="1" hidden="1" outlineLevel="1" x14ac:dyDescent="0.25">
      <c r="A235" s="910"/>
      <c r="B235" s="1624"/>
      <c r="C235" s="907"/>
      <c r="D235" s="4328"/>
      <c r="E235" s="1620" t="s">
        <v>1668</v>
      </c>
      <c r="F235" s="1203">
        <v>30</v>
      </c>
      <c r="G235" s="3201"/>
      <c r="H235" s="1204" t="s">
        <v>1706</v>
      </c>
      <c r="I235" s="910"/>
      <c r="J235" s="910"/>
      <c r="K235" s="910"/>
      <c r="L235" s="910"/>
      <c r="M235" s="910"/>
      <c r="N235" s="910"/>
      <c r="O235" s="910"/>
      <c r="P235" s="910"/>
      <c r="Q235" s="910"/>
      <c r="R235" s="910"/>
      <c r="S235" s="910"/>
      <c r="T235" s="910"/>
      <c r="U235" s="910"/>
      <c r="V235" s="4248"/>
      <c r="W235" s="901">
        <v>30</v>
      </c>
      <c r="X235" s="901">
        <v>30</v>
      </c>
      <c r="Y235" s="901">
        <v>30</v>
      </c>
      <c r="Z235" s="1203">
        <v>30</v>
      </c>
      <c r="AA235" s="1203">
        <v>30</v>
      </c>
      <c r="AB235" s="1203">
        <v>30</v>
      </c>
      <c r="AC235" s="1203">
        <v>30</v>
      </c>
      <c r="AD235" s="901"/>
      <c r="AE235" s="901"/>
      <c r="AF235" s="901"/>
      <c r="AG235" s="901"/>
      <c r="AK235" s="883"/>
      <c r="BB235" s="906"/>
    </row>
    <row r="236" spans="1:54" s="892" customFormat="1" hidden="1" outlineLevel="1" x14ac:dyDescent="0.25">
      <c r="A236" s="910"/>
      <c r="B236" s="1624"/>
      <c r="C236" s="907"/>
      <c r="D236" s="4328"/>
      <c r="E236" s="420" t="s">
        <v>1670</v>
      </c>
      <c r="F236" s="1203">
        <v>38</v>
      </c>
      <c r="G236" s="3201"/>
      <c r="H236" s="1204" t="s">
        <v>1706</v>
      </c>
      <c r="I236" s="910"/>
      <c r="J236" s="910"/>
      <c r="K236" s="910"/>
      <c r="L236" s="910"/>
      <c r="M236" s="910"/>
      <c r="N236" s="910"/>
      <c r="O236" s="910"/>
      <c r="P236" s="910"/>
      <c r="Q236" s="910"/>
      <c r="R236" s="910"/>
      <c r="S236" s="910"/>
      <c r="T236" s="910"/>
      <c r="U236" s="910"/>
      <c r="V236" s="4248"/>
      <c r="W236" s="901">
        <v>38</v>
      </c>
      <c r="X236" s="901">
        <v>38</v>
      </c>
      <c r="Y236" s="901">
        <v>38</v>
      </c>
      <c r="Z236" s="1203">
        <v>38</v>
      </c>
      <c r="AA236" s="1203">
        <v>38</v>
      </c>
      <c r="AB236" s="1203">
        <v>38</v>
      </c>
      <c r="AC236" s="1203">
        <v>38</v>
      </c>
      <c r="AD236" s="901"/>
      <c r="AE236" s="901"/>
      <c r="AF236" s="901"/>
      <c r="AG236" s="901"/>
      <c r="AK236" s="883"/>
      <c r="BB236" s="906"/>
    </row>
    <row r="237" spans="1:54" s="892" customFormat="1" hidden="1" outlineLevel="1" x14ac:dyDescent="0.25">
      <c r="A237" s="910"/>
      <c r="B237" s="1606"/>
      <c r="C237" s="907"/>
      <c r="D237" s="4328"/>
      <c r="E237" s="420" t="s">
        <v>1672</v>
      </c>
      <c r="F237" s="1203">
        <v>38</v>
      </c>
      <c r="G237" s="3201"/>
      <c r="H237" s="1204" t="s">
        <v>1706</v>
      </c>
      <c r="I237" s="910"/>
      <c r="J237" s="910"/>
      <c r="K237" s="910"/>
      <c r="L237" s="910"/>
      <c r="M237" s="910"/>
      <c r="N237" s="910"/>
      <c r="O237" s="910"/>
      <c r="P237" s="910"/>
      <c r="Q237" s="910"/>
      <c r="R237" s="910"/>
      <c r="S237" s="910"/>
      <c r="T237" s="910"/>
      <c r="U237" s="910"/>
      <c r="V237" s="4248"/>
      <c r="W237" s="901">
        <v>38</v>
      </c>
      <c r="X237" s="901">
        <v>38</v>
      </c>
      <c r="Y237" s="901">
        <v>38</v>
      </c>
      <c r="Z237" s="1203">
        <v>38</v>
      </c>
      <c r="AA237" s="1203">
        <v>38</v>
      </c>
      <c r="AB237" s="1203">
        <v>38</v>
      </c>
      <c r="AC237" s="1203">
        <v>38</v>
      </c>
      <c r="AD237" s="901"/>
      <c r="AE237" s="901"/>
      <c r="AF237" s="901"/>
      <c r="AG237" s="901"/>
      <c r="AK237" s="883"/>
      <c r="BB237" s="906"/>
    </row>
    <row r="238" spans="1:54" s="892" customFormat="1" hidden="1" outlineLevel="1" x14ac:dyDescent="0.25">
      <c r="A238" s="910"/>
      <c r="B238" s="1606"/>
      <c r="C238" s="907"/>
      <c r="D238" s="4328"/>
      <c r="E238" s="426" t="s">
        <v>1674</v>
      </c>
      <c r="F238" s="1203">
        <v>38</v>
      </c>
      <c r="G238" s="3201"/>
      <c r="H238" s="1204" t="s">
        <v>1706</v>
      </c>
      <c r="I238" s="910"/>
      <c r="J238" s="910"/>
      <c r="K238" s="910"/>
      <c r="L238" s="910"/>
      <c r="M238" s="910"/>
      <c r="N238" s="910"/>
      <c r="O238" s="910"/>
      <c r="P238" s="910"/>
      <c r="Q238" s="910"/>
      <c r="R238" s="910"/>
      <c r="S238" s="910"/>
      <c r="T238" s="910"/>
      <c r="U238" s="910"/>
      <c r="V238" s="4248"/>
      <c r="W238" s="901">
        <v>38</v>
      </c>
      <c r="X238" s="901">
        <v>38</v>
      </c>
      <c r="Y238" s="901">
        <v>38</v>
      </c>
      <c r="Z238" s="1203">
        <v>38</v>
      </c>
      <c r="AA238" s="1203">
        <v>38</v>
      </c>
      <c r="AB238" s="1203">
        <v>38</v>
      </c>
      <c r="AC238" s="1203">
        <v>38</v>
      </c>
      <c r="AD238" s="901"/>
      <c r="AE238" s="901"/>
      <c r="AF238" s="901"/>
      <c r="AG238" s="901"/>
      <c r="AK238" s="883"/>
      <c r="BB238" s="906"/>
    </row>
    <row r="239" spans="1:54" s="892" customFormat="1" hidden="1" outlineLevel="1" x14ac:dyDescent="0.25">
      <c r="A239" s="910"/>
      <c r="B239" s="1606"/>
      <c r="C239" s="907"/>
      <c r="D239" s="4328"/>
      <c r="E239" s="420" t="s">
        <v>1676</v>
      </c>
      <c r="F239" s="1203">
        <v>38</v>
      </c>
      <c r="G239" s="3201"/>
      <c r="H239" s="1204" t="s">
        <v>1706</v>
      </c>
      <c r="I239" s="910"/>
      <c r="J239" s="910"/>
      <c r="K239" s="910"/>
      <c r="L239" s="910"/>
      <c r="M239" s="910"/>
      <c r="N239" s="910"/>
      <c r="O239" s="910"/>
      <c r="P239" s="910"/>
      <c r="Q239" s="910"/>
      <c r="R239" s="910"/>
      <c r="S239" s="910"/>
      <c r="T239" s="910"/>
      <c r="U239" s="910"/>
      <c r="V239" s="4248"/>
      <c r="W239" s="901">
        <v>38</v>
      </c>
      <c r="X239" s="901">
        <v>38</v>
      </c>
      <c r="Y239" s="901">
        <v>38</v>
      </c>
      <c r="Z239" s="1203">
        <v>38</v>
      </c>
      <c r="AA239" s="1203">
        <v>38</v>
      </c>
      <c r="AB239" s="1203">
        <v>38</v>
      </c>
      <c r="AC239" s="1203">
        <v>38</v>
      </c>
      <c r="AD239" s="901"/>
      <c r="AE239" s="901"/>
      <c r="AF239" s="901"/>
      <c r="AG239" s="901"/>
      <c r="AK239" s="883"/>
      <c r="BB239" s="906"/>
    </row>
    <row r="240" spans="1:54" s="892" customFormat="1" hidden="1" outlineLevel="1" x14ac:dyDescent="0.25">
      <c r="A240" s="910"/>
      <c r="B240" s="1624"/>
      <c r="C240" s="907"/>
      <c r="D240" s="4328"/>
      <c r="E240" s="426" t="s">
        <v>1678</v>
      </c>
      <c r="F240" s="1203">
        <v>38</v>
      </c>
      <c r="G240" s="3201"/>
      <c r="H240" s="1204" t="s">
        <v>1706</v>
      </c>
      <c r="I240" s="910"/>
      <c r="J240" s="910"/>
      <c r="K240" s="910"/>
      <c r="L240" s="910"/>
      <c r="M240" s="910"/>
      <c r="N240" s="910"/>
      <c r="O240" s="910"/>
      <c r="P240" s="910"/>
      <c r="Q240" s="910"/>
      <c r="R240" s="910"/>
      <c r="S240" s="910"/>
      <c r="T240" s="910"/>
      <c r="U240" s="910"/>
      <c r="V240" s="4248"/>
      <c r="W240" s="901">
        <v>38</v>
      </c>
      <c r="X240" s="901">
        <v>38</v>
      </c>
      <c r="Y240" s="901">
        <v>38</v>
      </c>
      <c r="Z240" s="1203">
        <v>38</v>
      </c>
      <c r="AA240" s="1203">
        <v>38</v>
      </c>
      <c r="AB240" s="1203">
        <v>38</v>
      </c>
      <c r="AC240" s="1203">
        <v>38</v>
      </c>
      <c r="AD240" s="901"/>
      <c r="AE240" s="901"/>
      <c r="AF240" s="901"/>
      <c r="AG240" s="901"/>
      <c r="AK240" s="883"/>
      <c r="BB240" s="906"/>
    </row>
    <row r="241" spans="1:54" s="892" customFormat="1" hidden="1" outlineLevel="1" x14ac:dyDescent="0.25">
      <c r="A241" s="910"/>
      <c r="B241" s="1624"/>
      <c r="C241" s="907"/>
      <c r="D241" s="4328"/>
      <c r="E241" s="420" t="s">
        <v>1680</v>
      </c>
      <c r="F241" s="1203">
        <v>38</v>
      </c>
      <c r="G241" s="3201"/>
      <c r="H241" s="1204" t="s">
        <v>1706</v>
      </c>
      <c r="I241" s="910"/>
      <c r="J241" s="910"/>
      <c r="K241" s="910"/>
      <c r="L241" s="910"/>
      <c r="M241" s="910"/>
      <c r="N241" s="910"/>
      <c r="O241" s="910"/>
      <c r="P241" s="910"/>
      <c r="Q241" s="910"/>
      <c r="R241" s="910"/>
      <c r="S241" s="910"/>
      <c r="T241" s="910"/>
      <c r="U241" s="910"/>
      <c r="V241" s="4248"/>
      <c r="W241" s="901">
        <v>38</v>
      </c>
      <c r="X241" s="901">
        <v>38</v>
      </c>
      <c r="Y241" s="901">
        <v>38</v>
      </c>
      <c r="Z241" s="1203">
        <v>38</v>
      </c>
      <c r="AA241" s="1203">
        <v>38</v>
      </c>
      <c r="AB241" s="1203">
        <v>38</v>
      </c>
      <c r="AC241" s="1203">
        <v>38</v>
      </c>
      <c r="AD241" s="901"/>
      <c r="AE241" s="901"/>
      <c r="AF241" s="901"/>
      <c r="AG241" s="901"/>
      <c r="AK241" s="883"/>
      <c r="BB241" s="906"/>
    </row>
    <row r="242" spans="1:54" s="892" customFormat="1" hidden="1" outlineLevel="1" x14ac:dyDescent="0.25">
      <c r="A242" s="910"/>
      <c r="B242" s="1624"/>
      <c r="C242" s="907"/>
      <c r="D242" s="4328"/>
      <c r="E242" s="420" t="s">
        <v>1682</v>
      </c>
      <c r="F242" s="1203">
        <v>49</v>
      </c>
      <c r="G242" s="3201"/>
      <c r="H242" s="1204" t="s">
        <v>1706</v>
      </c>
      <c r="I242" s="910"/>
      <c r="J242" s="910"/>
      <c r="K242" s="910"/>
      <c r="L242" s="910"/>
      <c r="M242" s="910"/>
      <c r="N242" s="910"/>
      <c r="O242" s="910"/>
      <c r="P242" s="910"/>
      <c r="Q242" s="910"/>
      <c r="R242" s="910"/>
      <c r="S242" s="910"/>
      <c r="T242" s="910"/>
      <c r="U242" s="910"/>
      <c r="V242" s="4248"/>
      <c r="W242" s="901">
        <v>49</v>
      </c>
      <c r="X242" s="901">
        <v>49</v>
      </c>
      <c r="Y242" s="901">
        <v>49</v>
      </c>
      <c r="Z242" s="1203">
        <v>49</v>
      </c>
      <c r="AA242" s="1203">
        <v>49</v>
      </c>
      <c r="AB242" s="1203">
        <v>49</v>
      </c>
      <c r="AC242" s="1203">
        <v>49</v>
      </c>
      <c r="AD242" s="901"/>
      <c r="AE242" s="901"/>
      <c r="AF242" s="901"/>
      <c r="AG242" s="901"/>
      <c r="AK242" s="883"/>
      <c r="BB242" s="906"/>
    </row>
    <row r="243" spans="1:54" s="892" customFormat="1" hidden="1" outlineLevel="1" x14ac:dyDescent="0.25">
      <c r="A243" s="910"/>
      <c r="B243" s="1624"/>
      <c r="C243" s="907"/>
      <c r="D243" s="4328"/>
      <c r="E243" s="420" t="s">
        <v>1684</v>
      </c>
      <c r="F243" s="1203">
        <v>49</v>
      </c>
      <c r="G243" s="3201"/>
      <c r="H243" s="1204" t="s">
        <v>1706</v>
      </c>
      <c r="I243" s="910"/>
      <c r="J243" s="910"/>
      <c r="K243" s="910"/>
      <c r="L243" s="910"/>
      <c r="M243" s="910"/>
      <c r="N243" s="910"/>
      <c r="O243" s="910"/>
      <c r="P243" s="910"/>
      <c r="Q243" s="910"/>
      <c r="R243" s="910"/>
      <c r="S243" s="910"/>
      <c r="T243" s="910"/>
      <c r="U243" s="910"/>
      <c r="V243" s="4248"/>
      <c r="W243" s="901">
        <v>49</v>
      </c>
      <c r="X243" s="901">
        <v>49</v>
      </c>
      <c r="Y243" s="901">
        <v>49</v>
      </c>
      <c r="Z243" s="1203">
        <v>49</v>
      </c>
      <c r="AA243" s="1203">
        <v>49</v>
      </c>
      <c r="AB243" s="1203">
        <v>49</v>
      </c>
      <c r="AC243" s="1203">
        <v>49</v>
      </c>
      <c r="AD243" s="901"/>
      <c r="AE243" s="901"/>
      <c r="AF243" s="901"/>
      <c r="AG243" s="901"/>
      <c r="AK243" s="883"/>
      <c r="BB243" s="906"/>
    </row>
    <row r="244" spans="1:54" s="892" customFormat="1" hidden="1" outlineLevel="1" x14ac:dyDescent="0.25">
      <c r="A244" s="910"/>
      <c r="B244" s="1624"/>
      <c r="C244" s="907"/>
      <c r="D244" s="4328"/>
      <c r="E244" s="426" t="s">
        <v>1686</v>
      </c>
      <c r="F244" s="1203">
        <v>49</v>
      </c>
      <c r="G244" s="3201"/>
      <c r="H244" s="1204" t="s">
        <v>1706</v>
      </c>
      <c r="I244" s="910"/>
      <c r="J244" s="910"/>
      <c r="K244" s="910"/>
      <c r="L244" s="910"/>
      <c r="M244" s="910"/>
      <c r="N244" s="910"/>
      <c r="O244" s="910"/>
      <c r="P244" s="910"/>
      <c r="Q244" s="910"/>
      <c r="R244" s="910"/>
      <c r="S244" s="910"/>
      <c r="T244" s="910"/>
      <c r="U244" s="910"/>
      <c r="V244" s="4248"/>
      <c r="W244" s="901">
        <v>49</v>
      </c>
      <c r="X244" s="901">
        <v>49</v>
      </c>
      <c r="Y244" s="901">
        <v>49</v>
      </c>
      <c r="Z244" s="1203">
        <v>49</v>
      </c>
      <c r="AA244" s="1203">
        <v>49</v>
      </c>
      <c r="AB244" s="1203">
        <v>49</v>
      </c>
      <c r="AC244" s="1203">
        <v>49</v>
      </c>
      <c r="AD244" s="901"/>
      <c r="AE244" s="901"/>
      <c r="AF244" s="901"/>
      <c r="AG244" s="901"/>
      <c r="AK244" s="883"/>
      <c r="BB244" s="906"/>
    </row>
    <row r="245" spans="1:54" s="892" customFormat="1" hidden="1" outlineLevel="1" x14ac:dyDescent="0.25">
      <c r="A245" s="910"/>
      <c r="B245" s="1624"/>
      <c r="C245" s="907"/>
      <c r="D245" s="4328"/>
      <c r="E245" s="420" t="s">
        <v>1688</v>
      </c>
      <c r="F245" s="1203">
        <v>49</v>
      </c>
      <c r="G245" s="3201"/>
      <c r="H245" s="1204" t="s">
        <v>1706</v>
      </c>
      <c r="I245" s="910"/>
      <c r="J245" s="910"/>
      <c r="K245" s="910"/>
      <c r="L245" s="910"/>
      <c r="M245" s="910"/>
      <c r="N245" s="910"/>
      <c r="O245" s="910"/>
      <c r="P245" s="910"/>
      <c r="Q245" s="910"/>
      <c r="R245" s="910"/>
      <c r="S245" s="910"/>
      <c r="T245" s="910"/>
      <c r="U245" s="910"/>
      <c r="V245" s="4248"/>
      <c r="W245" s="901">
        <v>49</v>
      </c>
      <c r="X245" s="901">
        <v>49</v>
      </c>
      <c r="Y245" s="901">
        <v>49</v>
      </c>
      <c r="Z245" s="1203">
        <v>49</v>
      </c>
      <c r="AA245" s="1203">
        <v>49</v>
      </c>
      <c r="AB245" s="1203">
        <v>49</v>
      </c>
      <c r="AC245" s="1203">
        <v>49</v>
      </c>
      <c r="AD245" s="901"/>
      <c r="AE245" s="901"/>
      <c r="AF245" s="901"/>
      <c r="AG245" s="901"/>
      <c r="AK245" s="883"/>
      <c r="BB245" s="906"/>
    </row>
    <row r="246" spans="1:54" s="892" customFormat="1" hidden="1" outlineLevel="1" x14ac:dyDescent="0.25">
      <c r="A246" s="910"/>
      <c r="B246" s="1624"/>
      <c r="C246" s="907"/>
      <c r="D246" s="4328"/>
      <c r="E246" s="426" t="s">
        <v>1690</v>
      </c>
      <c r="F246" s="1203">
        <v>49</v>
      </c>
      <c r="G246" s="3201"/>
      <c r="H246" s="1204" t="s">
        <v>1706</v>
      </c>
      <c r="I246" s="910"/>
      <c r="J246" s="910"/>
      <c r="K246" s="910"/>
      <c r="L246" s="910"/>
      <c r="M246" s="910"/>
      <c r="N246" s="910"/>
      <c r="O246" s="910"/>
      <c r="P246" s="910"/>
      <c r="Q246" s="910"/>
      <c r="R246" s="910"/>
      <c r="S246" s="910"/>
      <c r="T246" s="910"/>
      <c r="U246" s="910"/>
      <c r="V246" s="4248"/>
      <c r="W246" s="901">
        <v>49</v>
      </c>
      <c r="X246" s="901">
        <v>49</v>
      </c>
      <c r="Y246" s="901">
        <v>49</v>
      </c>
      <c r="Z246" s="1203">
        <v>49</v>
      </c>
      <c r="AA246" s="1203">
        <v>49</v>
      </c>
      <c r="AB246" s="1203">
        <v>49</v>
      </c>
      <c r="AC246" s="1203">
        <v>49</v>
      </c>
      <c r="AD246" s="901"/>
      <c r="AE246" s="901"/>
      <c r="AF246" s="901"/>
      <c r="AG246" s="901"/>
      <c r="AK246" s="883"/>
      <c r="BB246" s="906"/>
    </row>
    <row r="247" spans="1:54" s="892" customFormat="1" hidden="1" outlineLevel="1" x14ac:dyDescent="0.25">
      <c r="A247" s="910"/>
      <c r="B247" s="1624"/>
      <c r="C247" s="907"/>
      <c r="D247" s="4328"/>
      <c r="E247" s="420" t="s">
        <v>1692</v>
      </c>
      <c r="F247" s="1203">
        <v>49</v>
      </c>
      <c r="G247" s="3201"/>
      <c r="H247" s="1204" t="s">
        <v>1706</v>
      </c>
      <c r="I247" s="910"/>
      <c r="J247" s="910"/>
      <c r="K247" s="910"/>
      <c r="L247" s="910"/>
      <c r="M247" s="910"/>
      <c r="N247" s="910"/>
      <c r="O247" s="910"/>
      <c r="P247" s="910"/>
      <c r="Q247" s="910"/>
      <c r="R247" s="910"/>
      <c r="S247" s="910"/>
      <c r="T247" s="910"/>
      <c r="U247" s="910"/>
      <c r="V247" s="4248"/>
      <c r="W247" s="901">
        <v>49</v>
      </c>
      <c r="X247" s="901">
        <v>49</v>
      </c>
      <c r="Y247" s="901">
        <v>49</v>
      </c>
      <c r="Z247" s="1203">
        <v>49</v>
      </c>
      <c r="AA247" s="1203">
        <v>49</v>
      </c>
      <c r="AB247" s="1203">
        <v>49</v>
      </c>
      <c r="AC247" s="1203">
        <v>49</v>
      </c>
      <c r="AD247" s="901"/>
      <c r="AE247" s="901"/>
      <c r="AF247" s="901"/>
      <c r="AG247" s="901"/>
      <c r="AK247" s="883"/>
      <c r="BB247" s="906"/>
    </row>
    <row r="248" spans="1:54" s="892" customFormat="1" hidden="1" outlineLevel="1" x14ac:dyDescent="0.25">
      <c r="A248" s="910"/>
      <c r="B248" s="1624"/>
      <c r="C248" s="907"/>
      <c r="D248" s="4328"/>
      <c r="E248" s="420" t="s">
        <v>1694</v>
      </c>
      <c r="F248" s="1203">
        <v>60</v>
      </c>
      <c r="G248" s="3201"/>
      <c r="H248" s="1204" t="s">
        <v>1706</v>
      </c>
      <c r="I248" s="910"/>
      <c r="J248" s="910"/>
      <c r="K248" s="910"/>
      <c r="L248" s="910"/>
      <c r="M248" s="910"/>
      <c r="N248" s="910"/>
      <c r="O248" s="910"/>
      <c r="P248" s="910"/>
      <c r="Q248" s="910"/>
      <c r="R248" s="910"/>
      <c r="S248" s="910"/>
      <c r="T248" s="910"/>
      <c r="U248" s="910"/>
      <c r="V248" s="4248"/>
      <c r="W248" s="901">
        <v>60</v>
      </c>
      <c r="X248" s="901">
        <v>60</v>
      </c>
      <c r="Y248" s="901">
        <v>60</v>
      </c>
      <c r="Z248" s="1203">
        <v>60</v>
      </c>
      <c r="AA248" s="1203">
        <v>60</v>
      </c>
      <c r="AB248" s="1203">
        <v>60</v>
      </c>
      <c r="AC248" s="1203">
        <v>60</v>
      </c>
      <c r="AD248" s="901"/>
      <c r="AE248" s="901"/>
      <c r="AF248" s="901"/>
      <c r="AG248" s="901"/>
      <c r="AK248" s="883"/>
      <c r="BB248" s="906"/>
    </row>
    <row r="249" spans="1:54" s="892" customFormat="1" hidden="1" outlineLevel="1" x14ac:dyDescent="0.25">
      <c r="A249" s="910"/>
      <c r="B249" s="1624"/>
      <c r="C249" s="907"/>
      <c r="D249" s="4328"/>
      <c r="E249" s="420" t="s">
        <v>1696</v>
      </c>
      <c r="F249" s="1203">
        <v>60</v>
      </c>
      <c r="G249" s="3201"/>
      <c r="H249" s="1204" t="s">
        <v>1706</v>
      </c>
      <c r="I249" s="910"/>
      <c r="J249" s="910"/>
      <c r="K249" s="910"/>
      <c r="L249" s="910"/>
      <c r="M249" s="910"/>
      <c r="N249" s="910"/>
      <c r="O249" s="910"/>
      <c r="P249" s="910"/>
      <c r="Q249" s="910"/>
      <c r="R249" s="910"/>
      <c r="S249" s="910"/>
      <c r="T249" s="910"/>
      <c r="U249" s="910"/>
      <c r="V249" s="4248"/>
      <c r="W249" s="901">
        <v>60</v>
      </c>
      <c r="X249" s="901">
        <v>60</v>
      </c>
      <c r="Y249" s="901">
        <v>60</v>
      </c>
      <c r="Z249" s="1203">
        <v>60</v>
      </c>
      <c r="AA249" s="1203">
        <v>60</v>
      </c>
      <c r="AB249" s="1203">
        <v>60</v>
      </c>
      <c r="AC249" s="1203">
        <v>60</v>
      </c>
      <c r="AD249" s="901"/>
      <c r="AE249" s="901"/>
      <c r="AF249" s="901"/>
      <c r="AG249" s="901"/>
      <c r="AK249" s="883"/>
      <c r="BB249" s="906"/>
    </row>
    <row r="250" spans="1:54" s="892" customFormat="1" hidden="1" outlineLevel="1" x14ac:dyDescent="0.25">
      <c r="A250" s="910"/>
      <c r="B250" s="1624"/>
      <c r="C250" s="907"/>
      <c r="D250" s="4328"/>
      <c r="E250" s="426" t="s">
        <v>1698</v>
      </c>
      <c r="F250" s="1203">
        <v>60</v>
      </c>
      <c r="G250" s="3201"/>
      <c r="H250" s="1204" t="s">
        <v>1706</v>
      </c>
      <c r="I250" s="910"/>
      <c r="J250" s="910"/>
      <c r="K250" s="910"/>
      <c r="L250" s="910"/>
      <c r="M250" s="910"/>
      <c r="N250" s="910"/>
      <c r="O250" s="910"/>
      <c r="P250" s="910"/>
      <c r="Q250" s="910"/>
      <c r="R250" s="910"/>
      <c r="S250" s="910"/>
      <c r="T250" s="910"/>
      <c r="U250" s="910"/>
      <c r="V250" s="4248"/>
      <c r="W250" s="901">
        <v>60</v>
      </c>
      <c r="X250" s="901">
        <v>60</v>
      </c>
      <c r="Y250" s="901">
        <v>60</v>
      </c>
      <c r="Z250" s="1203">
        <v>60</v>
      </c>
      <c r="AA250" s="1203">
        <v>60</v>
      </c>
      <c r="AB250" s="1203">
        <v>60</v>
      </c>
      <c r="AC250" s="1203">
        <v>60</v>
      </c>
      <c r="AD250" s="901"/>
      <c r="AE250" s="901"/>
      <c r="AF250" s="901"/>
      <c r="AG250" s="901"/>
      <c r="AK250" s="883"/>
      <c r="BB250" s="906"/>
    </row>
    <row r="251" spans="1:54" s="892" customFormat="1" hidden="1" outlineLevel="1" x14ac:dyDescent="0.25">
      <c r="A251" s="910"/>
      <c r="B251" s="1624"/>
      <c r="C251" s="907"/>
      <c r="D251" s="4328"/>
      <c r="E251" s="420" t="s">
        <v>1700</v>
      </c>
      <c r="F251" s="1203">
        <v>60</v>
      </c>
      <c r="G251" s="3201"/>
      <c r="H251" s="1204" t="s">
        <v>1706</v>
      </c>
      <c r="I251" s="910"/>
      <c r="J251" s="910"/>
      <c r="K251" s="910"/>
      <c r="L251" s="910"/>
      <c r="M251" s="910"/>
      <c r="N251" s="910"/>
      <c r="O251" s="910"/>
      <c r="P251" s="910"/>
      <c r="Q251" s="910"/>
      <c r="R251" s="910"/>
      <c r="S251" s="910"/>
      <c r="T251" s="910"/>
      <c r="U251" s="910"/>
      <c r="V251" s="4248"/>
      <c r="W251" s="901">
        <v>60</v>
      </c>
      <c r="X251" s="901">
        <v>60</v>
      </c>
      <c r="Y251" s="901">
        <v>60</v>
      </c>
      <c r="Z251" s="1203">
        <v>60</v>
      </c>
      <c r="AA251" s="1203">
        <v>60</v>
      </c>
      <c r="AB251" s="1203">
        <v>60</v>
      </c>
      <c r="AC251" s="1203">
        <v>60</v>
      </c>
      <c r="AD251" s="901"/>
      <c r="AE251" s="901"/>
      <c r="AF251" s="901"/>
      <c r="AG251" s="901"/>
      <c r="AK251" s="883"/>
      <c r="BB251" s="906"/>
    </row>
    <row r="252" spans="1:54" s="892" customFormat="1" hidden="1" outlineLevel="1" x14ac:dyDescent="0.25">
      <c r="A252" s="910"/>
      <c r="B252" s="1624"/>
      <c r="C252" s="907"/>
      <c r="D252" s="4328"/>
      <c r="E252" s="426" t="s">
        <v>1702</v>
      </c>
      <c r="F252" s="1203">
        <v>60</v>
      </c>
      <c r="G252" s="3201"/>
      <c r="H252" s="1204" t="s">
        <v>1706</v>
      </c>
      <c r="I252" s="910"/>
      <c r="J252" s="910"/>
      <c r="K252" s="910"/>
      <c r="L252" s="910"/>
      <c r="M252" s="910"/>
      <c r="N252" s="910"/>
      <c r="O252" s="910"/>
      <c r="P252" s="910"/>
      <c r="Q252" s="910"/>
      <c r="R252" s="910"/>
      <c r="S252" s="910"/>
      <c r="T252" s="910"/>
      <c r="U252" s="910"/>
      <c r="V252" s="4248"/>
      <c r="W252" s="901">
        <v>60</v>
      </c>
      <c r="X252" s="901">
        <v>60</v>
      </c>
      <c r="Y252" s="901">
        <v>60</v>
      </c>
      <c r="Z252" s="1203">
        <v>60</v>
      </c>
      <c r="AA252" s="1203">
        <v>60</v>
      </c>
      <c r="AB252" s="1203">
        <v>60</v>
      </c>
      <c r="AC252" s="1203">
        <v>60</v>
      </c>
      <c r="AD252" s="901"/>
      <c r="AE252" s="901"/>
      <c r="AF252" s="901"/>
      <c r="AG252" s="901"/>
      <c r="AK252" s="883"/>
      <c r="BB252" s="906"/>
    </row>
    <row r="253" spans="1:54" s="892" customFormat="1" hidden="1" outlineLevel="1" x14ac:dyDescent="0.25">
      <c r="A253" s="910"/>
      <c r="B253" s="1624"/>
      <c r="C253" s="907"/>
      <c r="D253" s="4328"/>
      <c r="E253" s="420" t="s">
        <v>1704</v>
      </c>
      <c r="F253" s="1203">
        <v>60</v>
      </c>
      <c r="G253" s="3201"/>
      <c r="H253" s="1204" t="s">
        <v>1706</v>
      </c>
      <c r="I253" s="910"/>
      <c r="J253" s="910"/>
      <c r="K253" s="910"/>
      <c r="L253" s="910"/>
      <c r="M253" s="910"/>
      <c r="N253" s="910"/>
      <c r="O253" s="910"/>
      <c r="P253" s="910"/>
      <c r="Q253" s="910"/>
      <c r="R253" s="910"/>
      <c r="S253" s="910"/>
      <c r="T253" s="910"/>
      <c r="U253" s="910"/>
      <c r="V253" s="4249"/>
      <c r="W253" s="901">
        <v>60</v>
      </c>
      <c r="X253" s="901">
        <v>60</v>
      </c>
      <c r="Y253" s="901">
        <v>60</v>
      </c>
      <c r="Z253" s="1203">
        <v>60</v>
      </c>
      <c r="AA253" s="1203">
        <v>60</v>
      </c>
      <c r="AB253" s="1203">
        <v>60</v>
      </c>
      <c r="AC253" s="1203">
        <v>60</v>
      </c>
      <c r="AD253" s="901"/>
      <c r="AE253" s="901"/>
      <c r="AF253" s="901"/>
      <c r="AG253" s="901"/>
      <c r="AK253" s="883"/>
      <c r="BB253" s="906"/>
    </row>
    <row r="254" spans="1:54" s="892" customFormat="1" ht="17.25" hidden="1" customHeight="1" outlineLevel="1" x14ac:dyDescent="0.25">
      <c r="A254" s="910"/>
      <c r="B254" s="1606"/>
      <c r="C254" s="907"/>
      <c r="D254" s="4327" t="s">
        <v>1708</v>
      </c>
      <c r="E254" s="420" t="s">
        <v>1646</v>
      </c>
      <c r="F254" s="940">
        <v>1</v>
      </c>
      <c r="G254" s="3201" t="s">
        <v>1709</v>
      </c>
      <c r="H254" s="1204" t="s">
        <v>1710</v>
      </c>
      <c r="I254" s="910"/>
      <c r="J254" s="910"/>
      <c r="K254" s="910"/>
      <c r="L254" s="910"/>
      <c r="M254" s="910"/>
      <c r="N254" s="910"/>
      <c r="O254" s="910"/>
      <c r="P254" s="910"/>
      <c r="Q254" s="910"/>
      <c r="R254" s="910"/>
      <c r="S254" s="910"/>
      <c r="T254" s="910"/>
      <c r="U254" s="910"/>
      <c r="V254" s="4247" t="str">
        <f>D254</f>
        <v>AAttic</v>
      </c>
      <c r="W254" s="901">
        <f>0.65*1347</f>
        <v>875.55000000000007</v>
      </c>
      <c r="X254" s="901">
        <v>875.55000000000007</v>
      </c>
      <c r="Y254" s="627">
        <v>1</v>
      </c>
      <c r="Z254" s="629">
        <v>1</v>
      </c>
      <c r="AA254" s="629">
        <v>1</v>
      </c>
      <c r="AB254" s="629">
        <v>1</v>
      </c>
      <c r="AC254" s="940">
        <v>1</v>
      </c>
      <c r="AD254" s="901"/>
      <c r="AE254" s="901"/>
      <c r="AF254" s="901"/>
      <c r="AG254" s="901"/>
      <c r="AK254" s="883"/>
      <c r="BB254" s="906"/>
    </row>
    <row r="255" spans="1:54" s="892" customFormat="1" hidden="1" outlineLevel="1" x14ac:dyDescent="0.25">
      <c r="A255" s="910"/>
      <c r="B255" s="918"/>
      <c r="C255" s="907"/>
      <c r="D255" s="4328"/>
      <c r="E255" s="420" t="s">
        <v>1648</v>
      </c>
      <c r="F255" s="940">
        <v>1</v>
      </c>
      <c r="G255" s="3201" t="s">
        <v>1709</v>
      </c>
      <c r="H255" s="1204" t="s">
        <v>1710</v>
      </c>
      <c r="I255" s="910"/>
      <c r="J255" s="910"/>
      <c r="K255" s="910"/>
      <c r="L255" s="910"/>
      <c r="M255" s="910"/>
      <c r="N255" s="910"/>
      <c r="O255" s="910"/>
      <c r="P255" s="910"/>
      <c r="Q255" s="910"/>
      <c r="R255" s="910"/>
      <c r="S255" s="910"/>
      <c r="T255" s="910"/>
      <c r="U255" s="910"/>
      <c r="V255" s="4248"/>
      <c r="W255" s="901">
        <f>0.65*1347</f>
        <v>875.55000000000007</v>
      </c>
      <c r="X255" s="901">
        <v>875.55000000000007</v>
      </c>
      <c r="Y255" s="627">
        <v>1</v>
      </c>
      <c r="Z255" s="629">
        <v>1</v>
      </c>
      <c r="AA255" s="629">
        <v>1</v>
      </c>
      <c r="AB255" s="629">
        <v>1</v>
      </c>
      <c r="AC255" s="940">
        <v>1</v>
      </c>
      <c r="AD255" s="901"/>
      <c r="AE255" s="901"/>
      <c r="AF255" s="901"/>
      <c r="AG255" s="901"/>
      <c r="AK255" s="883"/>
      <c r="BB255" s="906"/>
    </row>
    <row r="256" spans="1:54" s="892" customFormat="1" hidden="1" outlineLevel="1" x14ac:dyDescent="0.25">
      <c r="A256" s="910"/>
      <c r="B256" s="918"/>
      <c r="C256" s="907"/>
      <c r="D256" s="4328"/>
      <c r="E256" s="420" t="s">
        <v>1650</v>
      </c>
      <c r="F256" s="940">
        <v>1</v>
      </c>
      <c r="G256" s="3201" t="s">
        <v>1709</v>
      </c>
      <c r="H256" s="1204" t="s">
        <v>1710</v>
      </c>
      <c r="I256" s="910"/>
      <c r="J256" s="910"/>
      <c r="K256" s="910"/>
      <c r="L256" s="910"/>
      <c r="M256" s="910"/>
      <c r="N256" s="910"/>
      <c r="O256" s="910"/>
      <c r="P256" s="910"/>
      <c r="Q256" s="910"/>
      <c r="R256" s="910"/>
      <c r="S256" s="910"/>
      <c r="T256" s="910"/>
      <c r="U256" s="910"/>
      <c r="V256" s="4248"/>
      <c r="W256" s="901">
        <f>0.65*1347</f>
        <v>875.55000000000007</v>
      </c>
      <c r="X256" s="901">
        <v>875.55000000000007</v>
      </c>
      <c r="Y256" s="627">
        <v>1</v>
      </c>
      <c r="Z256" s="629">
        <v>1</v>
      </c>
      <c r="AA256" s="629">
        <v>1</v>
      </c>
      <c r="AB256" s="629">
        <v>1</v>
      </c>
      <c r="AC256" s="940">
        <v>1</v>
      </c>
      <c r="AD256" s="901"/>
      <c r="AE256" s="901"/>
      <c r="AF256" s="901"/>
      <c r="AG256" s="901"/>
      <c r="AK256" s="883"/>
      <c r="BB256" s="906"/>
    </row>
    <row r="257" spans="1:54" s="892" customFormat="1" hidden="1" outlineLevel="1" x14ac:dyDescent="0.25">
      <c r="A257" s="910"/>
      <c r="B257" s="918"/>
      <c r="C257" s="907"/>
      <c r="D257" s="4328"/>
      <c r="E257" s="420" t="s">
        <v>1652</v>
      </c>
      <c r="F257" s="940">
        <v>1</v>
      </c>
      <c r="G257" s="3201" t="s">
        <v>1709</v>
      </c>
      <c r="H257" s="1204" t="s">
        <v>1711</v>
      </c>
      <c r="I257" s="910"/>
      <c r="J257" s="910"/>
      <c r="K257" s="910"/>
      <c r="L257" s="910"/>
      <c r="M257" s="910"/>
      <c r="N257" s="910"/>
      <c r="O257" s="910"/>
      <c r="P257" s="910"/>
      <c r="Q257" s="910"/>
      <c r="R257" s="910"/>
      <c r="S257" s="910"/>
      <c r="T257" s="910"/>
      <c r="U257" s="910"/>
      <c r="V257" s="4248"/>
      <c r="W257" s="901">
        <v>1347</v>
      </c>
      <c r="X257" s="901">
        <v>1347</v>
      </c>
      <c r="Y257" s="627">
        <v>1</v>
      </c>
      <c r="Z257" s="629">
        <v>1</v>
      </c>
      <c r="AA257" s="629">
        <v>1</v>
      </c>
      <c r="AB257" s="629">
        <v>1</v>
      </c>
      <c r="AC257" s="940">
        <v>1</v>
      </c>
      <c r="AD257" s="901"/>
      <c r="AE257" s="901"/>
      <c r="AF257" s="901"/>
      <c r="AG257" s="901"/>
      <c r="AK257" s="883"/>
      <c r="BB257" s="906"/>
    </row>
    <row r="258" spans="1:54" s="892" customFormat="1" hidden="1" outlineLevel="1" x14ac:dyDescent="0.25">
      <c r="A258" s="910"/>
      <c r="B258" s="918"/>
      <c r="C258" s="907"/>
      <c r="D258" s="4328"/>
      <c r="E258" s="420" t="s">
        <v>1654</v>
      </c>
      <c r="F258" s="940">
        <v>1</v>
      </c>
      <c r="G258" s="3201" t="s">
        <v>1709</v>
      </c>
      <c r="H258" s="1204" t="s">
        <v>1711</v>
      </c>
      <c r="I258" s="910"/>
      <c r="J258" s="910"/>
      <c r="K258" s="910"/>
      <c r="L258" s="910"/>
      <c r="M258" s="910"/>
      <c r="N258" s="910"/>
      <c r="O258" s="910"/>
      <c r="P258" s="910"/>
      <c r="Q258" s="910"/>
      <c r="R258" s="910"/>
      <c r="S258" s="910"/>
      <c r="T258" s="910"/>
      <c r="U258" s="910"/>
      <c r="V258" s="4248"/>
      <c r="W258" s="901">
        <v>1347</v>
      </c>
      <c r="X258" s="901">
        <v>1347</v>
      </c>
      <c r="Y258" s="627">
        <v>1</v>
      </c>
      <c r="Z258" s="629">
        <v>1</v>
      </c>
      <c r="AA258" s="629">
        <v>1</v>
      </c>
      <c r="AB258" s="629">
        <v>1</v>
      </c>
      <c r="AC258" s="940">
        <v>1</v>
      </c>
      <c r="AD258" s="901"/>
      <c r="AE258" s="901"/>
      <c r="AF258" s="901"/>
      <c r="AG258" s="901"/>
      <c r="AK258" s="883"/>
      <c r="BB258" s="906"/>
    </row>
    <row r="259" spans="1:54" s="892" customFormat="1" hidden="1" outlineLevel="1" x14ac:dyDescent="0.25">
      <c r="A259" s="910"/>
      <c r="B259" s="918"/>
      <c r="C259" s="907"/>
      <c r="D259" s="4328"/>
      <c r="E259" s="420" t="s">
        <v>1656</v>
      </c>
      <c r="F259" s="940">
        <v>1</v>
      </c>
      <c r="G259" s="3201" t="s">
        <v>1709</v>
      </c>
      <c r="H259" s="1204" t="s">
        <v>1711</v>
      </c>
      <c r="I259" s="910"/>
      <c r="J259" s="910"/>
      <c r="K259" s="910"/>
      <c r="L259" s="910"/>
      <c r="M259" s="910"/>
      <c r="N259" s="910"/>
      <c r="O259" s="910"/>
      <c r="P259" s="910"/>
      <c r="Q259" s="910"/>
      <c r="R259" s="910"/>
      <c r="S259" s="910"/>
      <c r="T259" s="910"/>
      <c r="U259" s="910"/>
      <c r="V259" s="4248"/>
      <c r="W259" s="901">
        <v>1347</v>
      </c>
      <c r="X259" s="901">
        <v>1347</v>
      </c>
      <c r="Y259" s="627">
        <v>1</v>
      </c>
      <c r="Z259" s="629">
        <v>1</v>
      </c>
      <c r="AA259" s="629">
        <v>1</v>
      </c>
      <c r="AB259" s="629">
        <v>1</v>
      </c>
      <c r="AC259" s="940">
        <v>1</v>
      </c>
      <c r="AD259" s="901"/>
      <c r="AE259" s="901"/>
      <c r="AF259" s="901"/>
      <c r="AG259" s="901"/>
      <c r="AK259" s="883"/>
      <c r="BB259" s="906"/>
    </row>
    <row r="260" spans="1:54" s="892" customFormat="1" hidden="1" outlineLevel="1" x14ac:dyDescent="0.25">
      <c r="A260" s="910"/>
      <c r="B260" s="918"/>
      <c r="C260" s="907"/>
      <c r="D260" s="4328"/>
      <c r="E260" s="420" t="s">
        <v>1658</v>
      </c>
      <c r="F260" s="940">
        <v>1</v>
      </c>
      <c r="G260" s="3201" t="s">
        <v>1709</v>
      </c>
      <c r="H260" s="1204" t="s">
        <v>1712</v>
      </c>
      <c r="I260" s="910"/>
      <c r="J260" s="910"/>
      <c r="K260" s="910"/>
      <c r="L260" s="910"/>
      <c r="M260" s="910"/>
      <c r="N260" s="910"/>
      <c r="O260" s="910"/>
      <c r="P260" s="910"/>
      <c r="Q260" s="910"/>
      <c r="R260" s="910"/>
      <c r="S260" s="910"/>
      <c r="T260" s="910"/>
      <c r="U260" s="910"/>
      <c r="V260" s="4248"/>
      <c r="W260" s="901">
        <f>0.65*1106</f>
        <v>718.9</v>
      </c>
      <c r="X260" s="901">
        <v>718.9</v>
      </c>
      <c r="Y260" s="627">
        <v>1</v>
      </c>
      <c r="Z260" s="629">
        <v>1</v>
      </c>
      <c r="AA260" s="629">
        <v>1</v>
      </c>
      <c r="AB260" s="629">
        <v>1</v>
      </c>
      <c r="AC260" s="940">
        <v>1</v>
      </c>
      <c r="AD260" s="901"/>
      <c r="AE260" s="901"/>
      <c r="AF260" s="901"/>
      <c r="AG260" s="901"/>
      <c r="AK260" s="883"/>
      <c r="BB260" s="906"/>
    </row>
    <row r="261" spans="1:54" s="892" customFormat="1" hidden="1" outlineLevel="1" x14ac:dyDescent="0.25">
      <c r="A261" s="910"/>
      <c r="B261" s="918"/>
      <c r="C261" s="907"/>
      <c r="D261" s="4328"/>
      <c r="E261" s="420" t="s">
        <v>1660</v>
      </c>
      <c r="F261" s="940">
        <v>1</v>
      </c>
      <c r="G261" s="3201" t="s">
        <v>1709</v>
      </c>
      <c r="H261" s="1204" t="s">
        <v>1712</v>
      </c>
      <c r="I261" s="910"/>
      <c r="J261" s="910"/>
      <c r="K261" s="910"/>
      <c r="L261" s="910"/>
      <c r="M261" s="910"/>
      <c r="N261" s="910"/>
      <c r="O261" s="910"/>
      <c r="P261" s="910"/>
      <c r="Q261" s="910"/>
      <c r="R261" s="910"/>
      <c r="S261" s="910"/>
      <c r="T261" s="910"/>
      <c r="U261" s="910"/>
      <c r="V261" s="4248"/>
      <c r="W261" s="901">
        <f>0.65*1106</f>
        <v>718.9</v>
      </c>
      <c r="X261" s="901">
        <v>718.9</v>
      </c>
      <c r="Y261" s="627">
        <v>1</v>
      </c>
      <c r="Z261" s="629">
        <v>1</v>
      </c>
      <c r="AA261" s="629">
        <v>1</v>
      </c>
      <c r="AB261" s="629">
        <v>1</v>
      </c>
      <c r="AC261" s="940">
        <v>1</v>
      </c>
      <c r="AD261" s="901"/>
      <c r="AE261" s="901"/>
      <c r="AF261" s="901"/>
      <c r="AG261" s="901"/>
      <c r="AK261" s="883"/>
      <c r="BB261" s="906"/>
    </row>
    <row r="262" spans="1:54" s="892" customFormat="1" hidden="1" outlineLevel="1" x14ac:dyDescent="0.25">
      <c r="A262" s="910"/>
      <c r="B262" s="918"/>
      <c r="C262" s="907"/>
      <c r="D262" s="4328"/>
      <c r="E262" s="426" t="s">
        <v>1662</v>
      </c>
      <c r="F262" s="940">
        <v>1</v>
      </c>
      <c r="G262" s="3201" t="s">
        <v>1709</v>
      </c>
      <c r="H262" s="1204" t="s">
        <v>1712</v>
      </c>
      <c r="I262" s="910"/>
      <c r="J262" s="910"/>
      <c r="K262" s="910"/>
      <c r="L262" s="910"/>
      <c r="M262" s="910"/>
      <c r="N262" s="910"/>
      <c r="O262" s="910"/>
      <c r="P262" s="910"/>
      <c r="Q262" s="910"/>
      <c r="R262" s="910"/>
      <c r="S262" s="910"/>
      <c r="T262" s="910"/>
      <c r="U262" s="910"/>
      <c r="V262" s="4248"/>
      <c r="W262" s="901">
        <f>0.65*1106</f>
        <v>718.9</v>
      </c>
      <c r="X262" s="901">
        <v>718.9</v>
      </c>
      <c r="Y262" s="627">
        <v>1</v>
      </c>
      <c r="Z262" s="629">
        <v>1</v>
      </c>
      <c r="AA262" s="629">
        <v>1</v>
      </c>
      <c r="AB262" s="629">
        <v>1</v>
      </c>
      <c r="AC262" s="940">
        <v>1</v>
      </c>
      <c r="AD262" s="901"/>
      <c r="AE262" s="901"/>
      <c r="AF262" s="901"/>
      <c r="AG262" s="901"/>
      <c r="AK262" s="883"/>
      <c r="BB262" s="906"/>
    </row>
    <row r="263" spans="1:54" s="892" customFormat="1" hidden="1" outlineLevel="1" x14ac:dyDescent="0.25">
      <c r="A263" s="910"/>
      <c r="B263" s="918"/>
      <c r="C263" s="907"/>
      <c r="D263" s="4328"/>
      <c r="E263" s="420" t="s">
        <v>1664</v>
      </c>
      <c r="F263" s="940">
        <v>1</v>
      </c>
      <c r="G263" s="3201" t="s">
        <v>1709</v>
      </c>
      <c r="H263" s="1204" t="s">
        <v>1713</v>
      </c>
      <c r="I263" s="910"/>
      <c r="J263" s="910"/>
      <c r="K263" s="910"/>
      <c r="L263" s="910"/>
      <c r="M263" s="910"/>
      <c r="N263" s="910"/>
      <c r="O263" s="910"/>
      <c r="P263" s="910"/>
      <c r="Q263" s="910"/>
      <c r="R263" s="910"/>
      <c r="S263" s="910"/>
      <c r="T263" s="910"/>
      <c r="U263" s="910"/>
      <c r="V263" s="4248"/>
      <c r="W263" s="901">
        <v>1106</v>
      </c>
      <c r="X263" s="901">
        <v>1106</v>
      </c>
      <c r="Y263" s="627">
        <v>1</v>
      </c>
      <c r="Z263" s="629">
        <v>1</v>
      </c>
      <c r="AA263" s="629">
        <v>1</v>
      </c>
      <c r="AB263" s="629">
        <v>1</v>
      </c>
      <c r="AC263" s="940">
        <v>1</v>
      </c>
      <c r="AD263" s="901"/>
      <c r="AE263" s="901"/>
      <c r="AF263" s="901"/>
      <c r="AG263" s="901"/>
      <c r="AK263" s="883"/>
      <c r="BB263" s="906"/>
    </row>
    <row r="264" spans="1:54" s="892" customFormat="1" hidden="1" outlineLevel="1" x14ac:dyDescent="0.25">
      <c r="A264" s="910"/>
      <c r="B264" s="918"/>
      <c r="C264" s="907"/>
      <c r="D264" s="4328"/>
      <c r="E264" s="420" t="s">
        <v>1666</v>
      </c>
      <c r="F264" s="940">
        <v>1</v>
      </c>
      <c r="G264" s="3201" t="s">
        <v>1709</v>
      </c>
      <c r="H264" s="1204" t="s">
        <v>1713</v>
      </c>
      <c r="I264" s="910"/>
      <c r="J264" s="910"/>
      <c r="K264" s="910"/>
      <c r="L264" s="910"/>
      <c r="M264" s="910"/>
      <c r="N264" s="910"/>
      <c r="O264" s="910"/>
      <c r="P264" s="910"/>
      <c r="Q264" s="910"/>
      <c r="R264" s="910"/>
      <c r="S264" s="910"/>
      <c r="T264" s="910"/>
      <c r="U264" s="910"/>
      <c r="V264" s="4248"/>
      <c r="W264" s="901">
        <v>1106</v>
      </c>
      <c r="X264" s="901">
        <v>1106</v>
      </c>
      <c r="Y264" s="627">
        <v>1</v>
      </c>
      <c r="Z264" s="629">
        <v>1</v>
      </c>
      <c r="AA264" s="629">
        <v>1</v>
      </c>
      <c r="AB264" s="629">
        <v>1</v>
      </c>
      <c r="AC264" s="940">
        <v>1</v>
      </c>
      <c r="AD264" s="901"/>
      <c r="AE264" s="901"/>
      <c r="AF264" s="901"/>
      <c r="AG264" s="901"/>
      <c r="AK264" s="883"/>
      <c r="BB264" s="906"/>
    </row>
    <row r="265" spans="1:54" s="892" customFormat="1" hidden="1" outlineLevel="1" x14ac:dyDescent="0.25">
      <c r="A265" s="910"/>
      <c r="B265" s="918"/>
      <c r="C265" s="907"/>
      <c r="D265" s="4328"/>
      <c r="E265" s="1620" t="s">
        <v>1668</v>
      </c>
      <c r="F265" s="940">
        <v>1</v>
      </c>
      <c r="G265" s="3201" t="s">
        <v>1709</v>
      </c>
      <c r="H265" s="1204" t="s">
        <v>1713</v>
      </c>
      <c r="I265" s="910"/>
      <c r="J265" s="910"/>
      <c r="K265" s="910"/>
      <c r="L265" s="910"/>
      <c r="M265" s="910"/>
      <c r="N265" s="910"/>
      <c r="O265" s="910"/>
      <c r="P265" s="910"/>
      <c r="Q265" s="910"/>
      <c r="R265" s="910"/>
      <c r="S265" s="910"/>
      <c r="T265" s="910"/>
      <c r="U265" s="910"/>
      <c r="V265" s="4248"/>
      <c r="W265" s="901">
        <v>1106</v>
      </c>
      <c r="X265" s="901">
        <v>1106</v>
      </c>
      <c r="Y265" s="627">
        <v>1</v>
      </c>
      <c r="Z265" s="629">
        <v>1</v>
      </c>
      <c r="AA265" s="629">
        <v>1</v>
      </c>
      <c r="AB265" s="629">
        <v>1</v>
      </c>
      <c r="AC265" s="940">
        <v>1</v>
      </c>
      <c r="AD265" s="901"/>
      <c r="AE265" s="901"/>
      <c r="AF265" s="901"/>
      <c r="AG265" s="901"/>
      <c r="AK265" s="883"/>
      <c r="BB265" s="906"/>
    </row>
    <row r="266" spans="1:54" s="892" customFormat="1" hidden="1" outlineLevel="1" x14ac:dyDescent="0.25">
      <c r="A266" s="910"/>
      <c r="B266" s="918"/>
      <c r="C266" s="907"/>
      <c r="D266" s="4328"/>
      <c r="E266" s="420" t="s">
        <v>1670</v>
      </c>
      <c r="F266" s="940">
        <v>1</v>
      </c>
      <c r="G266" s="3201" t="s">
        <v>1714</v>
      </c>
      <c r="H266" s="1204" t="s">
        <v>1712</v>
      </c>
      <c r="I266" s="910"/>
      <c r="J266" s="910"/>
      <c r="K266" s="910"/>
      <c r="L266" s="910"/>
      <c r="M266" s="910"/>
      <c r="N266" s="910"/>
      <c r="O266" s="910"/>
      <c r="P266" s="910"/>
      <c r="Q266" s="910"/>
      <c r="R266" s="910"/>
      <c r="S266" s="910"/>
      <c r="T266" s="910"/>
      <c r="U266" s="910"/>
      <c r="V266" s="4248"/>
      <c r="W266" s="901">
        <f>0.65*1106</f>
        <v>718.9</v>
      </c>
      <c r="X266" s="901">
        <v>718.9</v>
      </c>
      <c r="Y266" s="627">
        <v>1</v>
      </c>
      <c r="Z266" s="629">
        <v>1</v>
      </c>
      <c r="AA266" s="629">
        <v>1</v>
      </c>
      <c r="AB266" s="629">
        <v>1</v>
      </c>
      <c r="AC266" s="940">
        <v>1</v>
      </c>
      <c r="AD266" s="901"/>
      <c r="AE266" s="901"/>
      <c r="AF266" s="901"/>
      <c r="AG266" s="901"/>
      <c r="AK266" s="883"/>
      <c r="BB266" s="906"/>
    </row>
    <row r="267" spans="1:54" s="892" customFormat="1" hidden="1" outlineLevel="1" x14ac:dyDescent="0.25">
      <c r="A267" s="910"/>
      <c r="B267" s="918"/>
      <c r="C267" s="907"/>
      <c r="D267" s="4328"/>
      <c r="E267" s="420" t="s">
        <v>1672</v>
      </c>
      <c r="F267" s="940">
        <v>1</v>
      </c>
      <c r="G267" s="3201" t="s">
        <v>1714</v>
      </c>
      <c r="H267" s="1204" t="s">
        <v>1712</v>
      </c>
      <c r="I267" s="910"/>
      <c r="J267" s="910"/>
      <c r="K267" s="910"/>
      <c r="L267" s="910"/>
      <c r="M267" s="910"/>
      <c r="N267" s="910"/>
      <c r="O267" s="910"/>
      <c r="P267" s="910"/>
      <c r="Q267" s="910"/>
      <c r="R267" s="910"/>
      <c r="S267" s="910"/>
      <c r="T267" s="910"/>
      <c r="U267" s="910"/>
      <c r="V267" s="4248"/>
      <c r="W267" s="901">
        <f>0.65*1106</f>
        <v>718.9</v>
      </c>
      <c r="X267" s="901">
        <v>718.9</v>
      </c>
      <c r="Y267" s="627">
        <v>1</v>
      </c>
      <c r="Z267" s="629">
        <v>1</v>
      </c>
      <c r="AA267" s="629">
        <v>1</v>
      </c>
      <c r="AB267" s="629">
        <v>1</v>
      </c>
      <c r="AC267" s="940">
        <v>1</v>
      </c>
      <c r="AD267" s="901"/>
      <c r="AE267" s="901"/>
      <c r="AF267" s="901"/>
      <c r="AG267" s="901"/>
      <c r="AK267" s="883"/>
      <c r="BB267" s="906"/>
    </row>
    <row r="268" spans="1:54" s="892" customFormat="1" hidden="1" outlineLevel="1" x14ac:dyDescent="0.25">
      <c r="A268" s="910"/>
      <c r="B268" s="918"/>
      <c r="C268" s="907"/>
      <c r="D268" s="4328"/>
      <c r="E268" s="426" t="s">
        <v>1674</v>
      </c>
      <c r="F268" s="940">
        <v>1</v>
      </c>
      <c r="G268" s="3201" t="s">
        <v>1714</v>
      </c>
      <c r="H268" s="1204" t="s">
        <v>1712</v>
      </c>
      <c r="I268" s="910"/>
      <c r="J268" s="910"/>
      <c r="K268" s="910"/>
      <c r="L268" s="910"/>
      <c r="M268" s="910"/>
      <c r="N268" s="910"/>
      <c r="O268" s="910"/>
      <c r="P268" s="910"/>
      <c r="Q268" s="910"/>
      <c r="R268" s="910"/>
      <c r="S268" s="910"/>
      <c r="T268" s="910"/>
      <c r="U268" s="910"/>
      <c r="V268" s="4248"/>
      <c r="W268" s="901">
        <f>0.65*1106</f>
        <v>718.9</v>
      </c>
      <c r="X268" s="901">
        <v>718.9</v>
      </c>
      <c r="Y268" s="627">
        <v>1</v>
      </c>
      <c r="Z268" s="629">
        <v>1</v>
      </c>
      <c r="AA268" s="629">
        <v>1</v>
      </c>
      <c r="AB268" s="629">
        <v>1</v>
      </c>
      <c r="AC268" s="940">
        <v>1</v>
      </c>
      <c r="AD268" s="901"/>
      <c r="AE268" s="901"/>
      <c r="AF268" s="901"/>
      <c r="AG268" s="901"/>
      <c r="AK268" s="883"/>
      <c r="BB268" s="906"/>
    </row>
    <row r="269" spans="1:54" s="892" customFormat="1" hidden="1" outlineLevel="1" x14ac:dyDescent="0.25">
      <c r="A269" s="910"/>
      <c r="B269" s="918"/>
      <c r="C269" s="907"/>
      <c r="D269" s="4328"/>
      <c r="E269" s="420" t="s">
        <v>1676</v>
      </c>
      <c r="F269" s="940">
        <v>1</v>
      </c>
      <c r="G269" s="3201" t="s">
        <v>1714</v>
      </c>
      <c r="H269" s="1204" t="s">
        <v>1713</v>
      </c>
      <c r="I269" s="910"/>
      <c r="J269" s="910"/>
      <c r="K269" s="910"/>
      <c r="L269" s="910"/>
      <c r="M269" s="910"/>
      <c r="N269" s="910"/>
      <c r="O269" s="910"/>
      <c r="P269" s="910"/>
      <c r="Q269" s="910"/>
      <c r="R269" s="910"/>
      <c r="S269" s="910"/>
      <c r="T269" s="910"/>
      <c r="U269" s="910"/>
      <c r="V269" s="4248"/>
      <c r="W269" s="901">
        <v>1106</v>
      </c>
      <c r="X269" s="901">
        <v>1106</v>
      </c>
      <c r="Y269" s="627">
        <v>1</v>
      </c>
      <c r="Z269" s="629">
        <v>1</v>
      </c>
      <c r="AA269" s="629">
        <v>1</v>
      </c>
      <c r="AB269" s="629">
        <v>1</v>
      </c>
      <c r="AC269" s="940">
        <v>1</v>
      </c>
      <c r="AD269" s="901"/>
      <c r="AE269" s="901"/>
      <c r="AF269" s="901"/>
      <c r="AG269" s="901"/>
      <c r="AK269" s="883"/>
      <c r="BB269" s="906"/>
    </row>
    <row r="270" spans="1:54" s="892" customFormat="1" hidden="1" outlineLevel="1" x14ac:dyDescent="0.25">
      <c r="A270" s="910"/>
      <c r="B270" s="918"/>
      <c r="C270" s="907"/>
      <c r="D270" s="4328"/>
      <c r="E270" s="426" t="s">
        <v>1678</v>
      </c>
      <c r="F270" s="940">
        <v>1</v>
      </c>
      <c r="G270" s="3201" t="s">
        <v>1714</v>
      </c>
      <c r="H270" s="1204" t="s">
        <v>1713</v>
      </c>
      <c r="I270" s="910"/>
      <c r="J270" s="910"/>
      <c r="K270" s="910"/>
      <c r="L270" s="910"/>
      <c r="M270" s="910"/>
      <c r="N270" s="910"/>
      <c r="O270" s="910"/>
      <c r="P270" s="910"/>
      <c r="Q270" s="910"/>
      <c r="R270" s="910"/>
      <c r="S270" s="910"/>
      <c r="T270" s="910"/>
      <c r="U270" s="910"/>
      <c r="V270" s="4248"/>
      <c r="W270" s="901">
        <v>1106</v>
      </c>
      <c r="X270" s="901">
        <v>1106</v>
      </c>
      <c r="Y270" s="627">
        <v>1</v>
      </c>
      <c r="Z270" s="629">
        <v>1</v>
      </c>
      <c r="AA270" s="629">
        <v>1</v>
      </c>
      <c r="AB270" s="629">
        <v>1</v>
      </c>
      <c r="AC270" s="940">
        <v>1</v>
      </c>
      <c r="AD270" s="901"/>
      <c r="AE270" s="901"/>
      <c r="AF270" s="901"/>
      <c r="AG270" s="901"/>
      <c r="AK270" s="883"/>
      <c r="BB270" s="906"/>
    </row>
    <row r="271" spans="1:54" s="892" customFormat="1" hidden="1" outlineLevel="1" x14ac:dyDescent="0.25">
      <c r="A271" s="910"/>
      <c r="B271" s="918"/>
      <c r="C271" s="907"/>
      <c r="D271" s="4328"/>
      <c r="E271" s="420" t="s">
        <v>1680</v>
      </c>
      <c r="F271" s="940">
        <v>1</v>
      </c>
      <c r="G271" s="3201" t="s">
        <v>1714</v>
      </c>
      <c r="H271" s="1204" t="s">
        <v>1713</v>
      </c>
      <c r="I271" s="910"/>
      <c r="J271" s="910"/>
      <c r="K271" s="910"/>
      <c r="L271" s="910"/>
      <c r="M271" s="910"/>
      <c r="N271" s="910"/>
      <c r="O271" s="910"/>
      <c r="P271" s="910"/>
      <c r="Q271" s="910"/>
      <c r="R271" s="910"/>
      <c r="S271" s="910"/>
      <c r="T271" s="910"/>
      <c r="U271" s="910"/>
      <c r="V271" s="4248"/>
      <c r="W271" s="901">
        <v>1106</v>
      </c>
      <c r="X271" s="901">
        <v>1106</v>
      </c>
      <c r="Y271" s="627">
        <v>1</v>
      </c>
      <c r="Z271" s="629">
        <v>1</v>
      </c>
      <c r="AA271" s="629">
        <v>1</v>
      </c>
      <c r="AB271" s="629">
        <v>1</v>
      </c>
      <c r="AC271" s="940">
        <v>1</v>
      </c>
      <c r="AD271" s="901"/>
      <c r="AE271" s="901"/>
      <c r="AF271" s="901"/>
      <c r="AG271" s="901"/>
      <c r="AK271" s="883"/>
      <c r="BB271" s="906"/>
    </row>
    <row r="272" spans="1:54" s="892" customFormat="1" hidden="1" outlineLevel="1" x14ac:dyDescent="0.25">
      <c r="A272" s="910"/>
      <c r="B272" s="918"/>
      <c r="C272" s="907"/>
      <c r="D272" s="4328"/>
      <c r="E272" s="420" t="s">
        <v>1682</v>
      </c>
      <c r="F272" s="940">
        <v>1</v>
      </c>
      <c r="G272" s="3201" t="s">
        <v>1714</v>
      </c>
      <c r="H272" s="1204" t="s">
        <v>1712</v>
      </c>
      <c r="I272" s="910"/>
      <c r="J272" s="910"/>
      <c r="K272" s="910"/>
      <c r="L272" s="910"/>
      <c r="M272" s="910"/>
      <c r="N272" s="910"/>
      <c r="O272" s="910"/>
      <c r="P272" s="910"/>
      <c r="Q272" s="910"/>
      <c r="R272" s="910"/>
      <c r="S272" s="910"/>
      <c r="T272" s="910"/>
      <c r="U272" s="910"/>
      <c r="V272" s="4248"/>
      <c r="W272" s="901">
        <f>0.65*1106</f>
        <v>718.9</v>
      </c>
      <c r="X272" s="901">
        <v>718.9</v>
      </c>
      <c r="Y272" s="627">
        <v>1</v>
      </c>
      <c r="Z272" s="629">
        <v>1</v>
      </c>
      <c r="AA272" s="629">
        <v>1</v>
      </c>
      <c r="AB272" s="629">
        <v>1</v>
      </c>
      <c r="AC272" s="940">
        <v>1</v>
      </c>
      <c r="AD272" s="901"/>
      <c r="AE272" s="901"/>
      <c r="AF272" s="901"/>
      <c r="AG272" s="901"/>
      <c r="AK272" s="883"/>
      <c r="BB272" s="906"/>
    </row>
    <row r="273" spans="1:54" s="892" customFormat="1" hidden="1" outlineLevel="1" x14ac:dyDescent="0.25">
      <c r="A273" s="910"/>
      <c r="B273" s="918"/>
      <c r="C273" s="907"/>
      <c r="D273" s="4328"/>
      <c r="E273" s="420" t="s">
        <v>1684</v>
      </c>
      <c r="F273" s="940">
        <v>1</v>
      </c>
      <c r="G273" s="3201" t="s">
        <v>1714</v>
      </c>
      <c r="H273" s="1204" t="s">
        <v>1712</v>
      </c>
      <c r="I273" s="910"/>
      <c r="J273" s="910"/>
      <c r="K273" s="910"/>
      <c r="L273" s="910"/>
      <c r="M273" s="910"/>
      <c r="N273" s="910"/>
      <c r="O273" s="910"/>
      <c r="P273" s="910"/>
      <c r="Q273" s="910"/>
      <c r="R273" s="910"/>
      <c r="S273" s="910"/>
      <c r="T273" s="910"/>
      <c r="U273" s="910"/>
      <c r="V273" s="4248"/>
      <c r="W273" s="901">
        <f>0.65*1106</f>
        <v>718.9</v>
      </c>
      <c r="X273" s="901">
        <v>718.9</v>
      </c>
      <c r="Y273" s="627">
        <v>1</v>
      </c>
      <c r="Z273" s="629">
        <v>1</v>
      </c>
      <c r="AA273" s="629">
        <v>1</v>
      </c>
      <c r="AB273" s="629">
        <v>1</v>
      </c>
      <c r="AC273" s="940">
        <v>1</v>
      </c>
      <c r="AD273" s="901"/>
      <c r="AE273" s="901"/>
      <c r="AF273" s="901"/>
      <c r="AG273" s="901"/>
      <c r="AK273" s="883"/>
      <c r="BB273" s="906"/>
    </row>
    <row r="274" spans="1:54" s="892" customFormat="1" hidden="1" outlineLevel="1" x14ac:dyDescent="0.25">
      <c r="A274" s="910"/>
      <c r="B274" s="918"/>
      <c r="C274" s="907"/>
      <c r="D274" s="4328"/>
      <c r="E274" s="426" t="s">
        <v>1686</v>
      </c>
      <c r="F274" s="940">
        <v>1</v>
      </c>
      <c r="G274" s="3201" t="s">
        <v>1714</v>
      </c>
      <c r="H274" s="1204" t="s">
        <v>1712</v>
      </c>
      <c r="I274" s="910"/>
      <c r="J274" s="910"/>
      <c r="K274" s="910"/>
      <c r="L274" s="910"/>
      <c r="M274" s="910"/>
      <c r="N274" s="910"/>
      <c r="O274" s="910"/>
      <c r="P274" s="910"/>
      <c r="Q274" s="910"/>
      <c r="R274" s="910"/>
      <c r="S274" s="910"/>
      <c r="T274" s="910"/>
      <c r="U274" s="910"/>
      <c r="V274" s="4248"/>
      <c r="W274" s="901">
        <f>0.65*1106</f>
        <v>718.9</v>
      </c>
      <c r="X274" s="901">
        <v>718.9</v>
      </c>
      <c r="Y274" s="627">
        <v>1</v>
      </c>
      <c r="Z274" s="629">
        <v>1</v>
      </c>
      <c r="AA274" s="629">
        <v>1</v>
      </c>
      <c r="AB274" s="629">
        <v>1</v>
      </c>
      <c r="AC274" s="940">
        <v>1</v>
      </c>
      <c r="AD274" s="901"/>
      <c r="AE274" s="901"/>
      <c r="AF274" s="901"/>
      <c r="AG274" s="901"/>
      <c r="AK274" s="883"/>
      <c r="BB274" s="906"/>
    </row>
    <row r="275" spans="1:54" s="892" customFormat="1" hidden="1" outlineLevel="1" x14ac:dyDescent="0.25">
      <c r="A275" s="910"/>
      <c r="B275" s="918"/>
      <c r="C275" s="907"/>
      <c r="D275" s="4328"/>
      <c r="E275" s="420" t="s">
        <v>1688</v>
      </c>
      <c r="F275" s="940">
        <v>1</v>
      </c>
      <c r="G275" s="3201" t="s">
        <v>1714</v>
      </c>
      <c r="H275" s="1204" t="s">
        <v>1713</v>
      </c>
      <c r="I275" s="910"/>
      <c r="J275" s="910"/>
      <c r="K275" s="910"/>
      <c r="L275" s="910"/>
      <c r="M275" s="910"/>
      <c r="N275" s="910"/>
      <c r="O275" s="910"/>
      <c r="P275" s="910"/>
      <c r="Q275" s="910"/>
      <c r="R275" s="910"/>
      <c r="S275" s="910"/>
      <c r="T275" s="910"/>
      <c r="U275" s="910"/>
      <c r="V275" s="4248"/>
      <c r="W275" s="901">
        <v>1106</v>
      </c>
      <c r="X275" s="901">
        <v>1106</v>
      </c>
      <c r="Y275" s="627">
        <v>1</v>
      </c>
      <c r="Z275" s="629">
        <v>1</v>
      </c>
      <c r="AA275" s="629">
        <v>1</v>
      </c>
      <c r="AB275" s="629">
        <v>1</v>
      </c>
      <c r="AC275" s="940">
        <v>1</v>
      </c>
      <c r="AD275" s="901"/>
      <c r="AE275" s="901"/>
      <c r="AF275" s="901"/>
      <c r="AG275" s="901"/>
      <c r="AK275" s="883"/>
      <c r="BB275" s="906"/>
    </row>
    <row r="276" spans="1:54" s="892" customFormat="1" hidden="1" outlineLevel="1" x14ac:dyDescent="0.25">
      <c r="A276" s="910"/>
      <c r="B276" s="918"/>
      <c r="C276" s="907"/>
      <c r="D276" s="4328"/>
      <c r="E276" s="426" t="s">
        <v>1690</v>
      </c>
      <c r="F276" s="940">
        <v>1</v>
      </c>
      <c r="G276" s="3201" t="s">
        <v>1714</v>
      </c>
      <c r="H276" s="1204" t="s">
        <v>1713</v>
      </c>
      <c r="I276" s="910"/>
      <c r="J276" s="910"/>
      <c r="K276" s="910"/>
      <c r="L276" s="910"/>
      <c r="M276" s="910"/>
      <c r="N276" s="910"/>
      <c r="O276" s="910"/>
      <c r="P276" s="910"/>
      <c r="Q276" s="910"/>
      <c r="R276" s="910"/>
      <c r="S276" s="910"/>
      <c r="T276" s="910"/>
      <c r="U276" s="910"/>
      <c r="V276" s="4248"/>
      <c r="W276" s="901">
        <v>1106</v>
      </c>
      <c r="X276" s="901">
        <v>1106</v>
      </c>
      <c r="Y276" s="627">
        <v>1</v>
      </c>
      <c r="Z276" s="629">
        <v>1</v>
      </c>
      <c r="AA276" s="629">
        <v>1</v>
      </c>
      <c r="AB276" s="629">
        <v>1</v>
      </c>
      <c r="AC276" s="940">
        <v>1</v>
      </c>
      <c r="AD276" s="901"/>
      <c r="AE276" s="901"/>
      <c r="AF276" s="901"/>
      <c r="AG276" s="901"/>
      <c r="AK276" s="883"/>
      <c r="BB276" s="906"/>
    </row>
    <row r="277" spans="1:54" s="892" customFormat="1" hidden="1" outlineLevel="1" x14ac:dyDescent="0.25">
      <c r="A277" s="910"/>
      <c r="B277" s="918"/>
      <c r="C277" s="907"/>
      <c r="D277" s="4328"/>
      <c r="E277" s="420" t="s">
        <v>1692</v>
      </c>
      <c r="F277" s="940">
        <v>1</v>
      </c>
      <c r="G277" s="3201" t="s">
        <v>1714</v>
      </c>
      <c r="H277" s="1204" t="s">
        <v>1713</v>
      </c>
      <c r="I277" s="910"/>
      <c r="J277" s="910"/>
      <c r="K277" s="910"/>
      <c r="L277" s="910"/>
      <c r="M277" s="910"/>
      <c r="N277" s="910"/>
      <c r="O277" s="910"/>
      <c r="P277" s="910"/>
      <c r="Q277" s="910"/>
      <c r="R277" s="910"/>
      <c r="S277" s="910"/>
      <c r="T277" s="910"/>
      <c r="U277" s="910"/>
      <c r="V277" s="4248"/>
      <c r="W277" s="901">
        <v>1106</v>
      </c>
      <c r="X277" s="901">
        <v>1106</v>
      </c>
      <c r="Y277" s="627">
        <v>1</v>
      </c>
      <c r="Z277" s="629">
        <v>1</v>
      </c>
      <c r="AA277" s="629">
        <v>1</v>
      </c>
      <c r="AB277" s="629">
        <v>1</v>
      </c>
      <c r="AC277" s="940">
        <v>1</v>
      </c>
      <c r="AD277" s="901"/>
      <c r="AE277" s="901"/>
      <c r="AF277" s="901"/>
      <c r="AG277" s="901"/>
      <c r="AK277" s="883"/>
      <c r="BB277" s="906"/>
    </row>
    <row r="278" spans="1:54" s="892" customFormat="1" hidden="1" outlineLevel="1" x14ac:dyDescent="0.25">
      <c r="A278" s="910"/>
      <c r="B278" s="918"/>
      <c r="C278" s="907"/>
      <c r="D278" s="4328"/>
      <c r="E278" s="420" t="s">
        <v>1694</v>
      </c>
      <c r="F278" s="940">
        <v>1</v>
      </c>
      <c r="G278" s="3201" t="s">
        <v>1714</v>
      </c>
      <c r="H278" s="1204" t="s">
        <v>1712</v>
      </c>
      <c r="I278" s="910"/>
      <c r="J278" s="910"/>
      <c r="K278" s="910"/>
      <c r="L278" s="910"/>
      <c r="M278" s="910"/>
      <c r="N278" s="910"/>
      <c r="O278" s="910"/>
      <c r="P278" s="910"/>
      <c r="Q278" s="910"/>
      <c r="R278" s="910"/>
      <c r="S278" s="910"/>
      <c r="T278" s="910"/>
      <c r="U278" s="910"/>
      <c r="V278" s="4248"/>
      <c r="W278" s="901">
        <f>0.65*1106</f>
        <v>718.9</v>
      </c>
      <c r="X278" s="901">
        <v>718.9</v>
      </c>
      <c r="Y278" s="627">
        <v>1</v>
      </c>
      <c r="Z278" s="629">
        <v>1</v>
      </c>
      <c r="AA278" s="629">
        <v>1</v>
      </c>
      <c r="AB278" s="629">
        <v>1</v>
      </c>
      <c r="AC278" s="940">
        <v>1</v>
      </c>
      <c r="AD278" s="901"/>
      <c r="AE278" s="901"/>
      <c r="AF278" s="901"/>
      <c r="AG278" s="901"/>
      <c r="AK278" s="883"/>
      <c r="BB278" s="906"/>
    </row>
    <row r="279" spans="1:54" s="892" customFormat="1" hidden="1" outlineLevel="1" x14ac:dyDescent="0.25">
      <c r="A279" s="910"/>
      <c r="B279" s="918"/>
      <c r="C279" s="907"/>
      <c r="D279" s="4328"/>
      <c r="E279" s="420" t="s">
        <v>1696</v>
      </c>
      <c r="F279" s="940">
        <v>1</v>
      </c>
      <c r="G279" s="3201" t="s">
        <v>1714</v>
      </c>
      <c r="H279" s="1204" t="s">
        <v>1712</v>
      </c>
      <c r="I279" s="910"/>
      <c r="J279" s="910"/>
      <c r="K279" s="910"/>
      <c r="L279" s="910"/>
      <c r="M279" s="910"/>
      <c r="N279" s="910"/>
      <c r="O279" s="910"/>
      <c r="P279" s="910"/>
      <c r="Q279" s="910"/>
      <c r="R279" s="910"/>
      <c r="S279" s="910"/>
      <c r="T279" s="910"/>
      <c r="U279" s="910"/>
      <c r="V279" s="4248"/>
      <c r="W279" s="901">
        <f>0.65*1106</f>
        <v>718.9</v>
      </c>
      <c r="X279" s="901">
        <v>718.9</v>
      </c>
      <c r="Y279" s="627">
        <v>1</v>
      </c>
      <c r="Z279" s="629">
        <v>1</v>
      </c>
      <c r="AA279" s="629">
        <v>1</v>
      </c>
      <c r="AB279" s="629">
        <v>1</v>
      </c>
      <c r="AC279" s="940">
        <v>1</v>
      </c>
      <c r="AD279" s="901"/>
      <c r="AE279" s="901"/>
      <c r="AF279" s="901"/>
      <c r="AG279" s="901"/>
      <c r="AK279" s="883"/>
      <c r="BB279" s="906"/>
    </row>
    <row r="280" spans="1:54" s="892" customFormat="1" hidden="1" outlineLevel="1" x14ac:dyDescent="0.25">
      <c r="A280" s="910"/>
      <c r="B280" s="918"/>
      <c r="C280" s="907"/>
      <c r="D280" s="4328"/>
      <c r="E280" s="426" t="s">
        <v>1698</v>
      </c>
      <c r="F280" s="940">
        <v>1</v>
      </c>
      <c r="G280" s="3201" t="s">
        <v>1714</v>
      </c>
      <c r="H280" s="1204" t="s">
        <v>1712</v>
      </c>
      <c r="I280" s="910"/>
      <c r="J280" s="910"/>
      <c r="K280" s="910"/>
      <c r="L280" s="910"/>
      <c r="M280" s="910"/>
      <c r="N280" s="910"/>
      <c r="O280" s="910"/>
      <c r="P280" s="910"/>
      <c r="Q280" s="910"/>
      <c r="R280" s="910"/>
      <c r="S280" s="910"/>
      <c r="T280" s="910"/>
      <c r="U280" s="910"/>
      <c r="V280" s="4248"/>
      <c r="W280" s="901">
        <f>0.65*1106</f>
        <v>718.9</v>
      </c>
      <c r="X280" s="901">
        <v>718.9</v>
      </c>
      <c r="Y280" s="627">
        <v>1</v>
      </c>
      <c r="Z280" s="629">
        <v>1</v>
      </c>
      <c r="AA280" s="629">
        <v>1</v>
      </c>
      <c r="AB280" s="629">
        <v>1</v>
      </c>
      <c r="AC280" s="940">
        <v>1</v>
      </c>
      <c r="AD280" s="901"/>
      <c r="AE280" s="901"/>
      <c r="AF280" s="901"/>
      <c r="AG280" s="901"/>
      <c r="AK280" s="883"/>
      <c r="BB280" s="906"/>
    </row>
    <row r="281" spans="1:54" s="892" customFormat="1" hidden="1" outlineLevel="1" x14ac:dyDescent="0.25">
      <c r="A281" s="910"/>
      <c r="B281" s="918"/>
      <c r="C281" s="907"/>
      <c r="D281" s="4328"/>
      <c r="E281" s="420" t="s">
        <v>1700</v>
      </c>
      <c r="F281" s="940">
        <v>1</v>
      </c>
      <c r="G281" s="3201" t="s">
        <v>1714</v>
      </c>
      <c r="H281" s="1204" t="s">
        <v>1713</v>
      </c>
      <c r="I281" s="910"/>
      <c r="J281" s="910"/>
      <c r="K281" s="910"/>
      <c r="L281" s="910"/>
      <c r="M281" s="910"/>
      <c r="N281" s="910"/>
      <c r="O281" s="910"/>
      <c r="P281" s="910"/>
      <c r="Q281" s="910"/>
      <c r="R281" s="910"/>
      <c r="S281" s="910"/>
      <c r="T281" s="910"/>
      <c r="U281" s="910"/>
      <c r="V281" s="4248"/>
      <c r="W281" s="901">
        <v>1106</v>
      </c>
      <c r="X281" s="901">
        <v>1106</v>
      </c>
      <c r="Y281" s="627">
        <v>1</v>
      </c>
      <c r="Z281" s="629">
        <v>1</v>
      </c>
      <c r="AA281" s="629">
        <v>1</v>
      </c>
      <c r="AB281" s="629">
        <v>1</v>
      </c>
      <c r="AC281" s="940">
        <v>1</v>
      </c>
      <c r="AD281" s="901"/>
      <c r="AE281" s="901"/>
      <c r="AF281" s="901"/>
      <c r="AG281" s="901"/>
      <c r="AK281" s="883"/>
      <c r="BB281" s="906"/>
    </row>
    <row r="282" spans="1:54" s="892" customFormat="1" hidden="1" outlineLevel="1" x14ac:dyDescent="0.25">
      <c r="A282" s="910"/>
      <c r="B282" s="918"/>
      <c r="C282" s="907"/>
      <c r="D282" s="4328"/>
      <c r="E282" s="426" t="s">
        <v>1702</v>
      </c>
      <c r="F282" s="940">
        <v>1</v>
      </c>
      <c r="G282" s="3201" t="s">
        <v>1714</v>
      </c>
      <c r="H282" s="1204" t="s">
        <v>1713</v>
      </c>
      <c r="I282" s="910"/>
      <c r="J282" s="910"/>
      <c r="K282" s="910"/>
      <c r="L282" s="910"/>
      <c r="M282" s="910"/>
      <c r="N282" s="910"/>
      <c r="O282" s="910"/>
      <c r="P282" s="910"/>
      <c r="Q282" s="910"/>
      <c r="R282" s="910"/>
      <c r="S282" s="910"/>
      <c r="T282" s="910"/>
      <c r="U282" s="910"/>
      <c r="V282" s="4248"/>
      <c r="W282" s="901">
        <v>1106</v>
      </c>
      <c r="X282" s="901">
        <v>1106</v>
      </c>
      <c r="Y282" s="627">
        <v>1</v>
      </c>
      <c r="Z282" s="629">
        <v>1</v>
      </c>
      <c r="AA282" s="629">
        <v>1</v>
      </c>
      <c r="AB282" s="629">
        <v>1</v>
      </c>
      <c r="AC282" s="940">
        <v>1</v>
      </c>
      <c r="AD282" s="901"/>
      <c r="AE282" s="901"/>
      <c r="AF282" s="901"/>
      <c r="AG282" s="901"/>
      <c r="AK282" s="883"/>
      <c r="BB282" s="906"/>
    </row>
    <row r="283" spans="1:54" s="892" customFormat="1" hidden="1" outlineLevel="1" x14ac:dyDescent="0.25">
      <c r="A283" s="910"/>
      <c r="B283" s="918"/>
      <c r="C283" s="907"/>
      <c r="D283" s="4328"/>
      <c r="E283" s="420" t="s">
        <v>1704</v>
      </c>
      <c r="F283" s="940">
        <v>1</v>
      </c>
      <c r="G283" s="3201" t="s">
        <v>1714</v>
      </c>
      <c r="H283" s="1204" t="s">
        <v>1713</v>
      </c>
      <c r="I283" s="910"/>
      <c r="J283" s="910"/>
      <c r="K283" s="910"/>
      <c r="L283" s="910"/>
      <c r="M283" s="910"/>
      <c r="N283" s="910"/>
      <c r="O283" s="910"/>
      <c r="P283" s="910"/>
      <c r="Q283" s="910"/>
      <c r="R283" s="910"/>
      <c r="S283" s="910"/>
      <c r="T283" s="910"/>
      <c r="U283" s="910"/>
      <c r="V283" s="4249"/>
      <c r="W283" s="901">
        <v>1106</v>
      </c>
      <c r="X283" s="901">
        <v>1106</v>
      </c>
      <c r="Y283" s="627">
        <v>1</v>
      </c>
      <c r="Z283" s="629">
        <v>1</v>
      </c>
      <c r="AA283" s="629">
        <v>1</v>
      </c>
      <c r="AB283" s="629">
        <v>1</v>
      </c>
      <c r="AC283" s="940">
        <v>1</v>
      </c>
      <c r="AD283" s="901"/>
      <c r="AE283" s="901"/>
      <c r="AF283" s="901"/>
      <c r="AG283" s="901"/>
      <c r="AK283" s="883"/>
      <c r="BB283" s="906"/>
    </row>
    <row r="284" spans="1:54" s="892" customFormat="1" ht="18" hidden="1" outlineLevel="1" x14ac:dyDescent="0.25">
      <c r="A284" s="910"/>
      <c r="B284" s="918"/>
      <c r="C284" s="907"/>
      <c r="D284" s="3245" t="s">
        <v>1715</v>
      </c>
      <c r="E284" s="420" t="s">
        <v>135</v>
      </c>
      <c r="F284" s="944">
        <v>7.0000000000000007E-2</v>
      </c>
      <c r="G284" s="3201" t="s">
        <v>1716</v>
      </c>
      <c r="H284" s="1204"/>
      <c r="I284" s="918"/>
      <c r="J284" s="918"/>
      <c r="K284" s="918"/>
      <c r="L284" s="918"/>
      <c r="M284" s="918"/>
      <c r="N284" s="918"/>
      <c r="O284" s="918"/>
      <c r="P284" s="918"/>
      <c r="Q284" s="918"/>
      <c r="R284" s="918"/>
      <c r="S284" s="910"/>
      <c r="T284" s="910"/>
      <c r="U284" s="910"/>
      <c r="V284" s="917" t="str">
        <f>D284</f>
        <v>Framing FactorAttic</v>
      </c>
      <c r="W284" s="915">
        <v>7.0000000000000007E-2</v>
      </c>
      <c r="X284" s="915">
        <v>7.0000000000000007E-2</v>
      </c>
      <c r="Y284" s="915">
        <v>7.0000000000000007E-2</v>
      </c>
      <c r="Z284" s="944">
        <v>7.0000000000000007E-2</v>
      </c>
      <c r="AA284" s="944">
        <v>7.0000000000000007E-2</v>
      </c>
      <c r="AB284" s="944">
        <v>7.0000000000000007E-2</v>
      </c>
      <c r="AC284" s="944">
        <v>7.0000000000000007E-2</v>
      </c>
      <c r="AD284" s="915"/>
      <c r="AE284" s="915"/>
      <c r="AF284" s="915"/>
      <c r="AG284" s="915"/>
      <c r="AK284" s="883"/>
      <c r="BB284" s="906"/>
    </row>
    <row r="285" spans="1:54" s="892" customFormat="1" hidden="1" outlineLevel="1" x14ac:dyDescent="0.25">
      <c r="A285" s="910"/>
      <c r="B285" s="918"/>
      <c r="C285" s="907"/>
      <c r="D285" s="3245" t="s">
        <v>1717</v>
      </c>
      <c r="E285" s="420" t="s">
        <v>135</v>
      </c>
      <c r="F285" s="1203">
        <v>4486</v>
      </c>
      <c r="G285" s="3201" t="s">
        <v>316</v>
      </c>
      <c r="H285" s="1204" t="s">
        <v>1718</v>
      </c>
      <c r="I285" s="918"/>
      <c r="J285" s="918"/>
      <c r="K285" s="918"/>
      <c r="L285" s="918"/>
      <c r="M285" s="918"/>
      <c r="N285" s="918"/>
      <c r="O285" s="918"/>
      <c r="P285" s="918"/>
      <c r="Q285" s="918"/>
      <c r="R285" s="918"/>
      <c r="S285" s="910"/>
      <c r="T285" s="910"/>
      <c r="U285" s="910"/>
      <c r="V285" s="917" t="str">
        <f>D285</f>
        <v>HDD</v>
      </c>
      <c r="W285" s="901">
        <v>4486</v>
      </c>
      <c r="X285" s="901">
        <v>4486</v>
      </c>
      <c r="Y285" s="901">
        <v>4486</v>
      </c>
      <c r="Z285" s="1203">
        <v>4486</v>
      </c>
      <c r="AA285" s="1203">
        <v>4486</v>
      </c>
      <c r="AB285" s="1203">
        <v>4486</v>
      </c>
      <c r="AC285" s="1203">
        <v>4486</v>
      </c>
      <c r="AD285" s="901"/>
      <c r="AE285" s="901"/>
      <c r="AF285" s="901"/>
      <c r="AG285" s="901"/>
      <c r="AK285" s="883"/>
      <c r="BB285" s="906"/>
    </row>
    <row r="286" spans="1:54" s="892" customFormat="1" ht="18" hidden="1" outlineLevel="1" x14ac:dyDescent="0.25">
      <c r="A286" s="910"/>
      <c r="B286" s="918"/>
      <c r="C286" s="907"/>
      <c r="D286" s="3245" t="s">
        <v>1719</v>
      </c>
      <c r="E286" s="420" t="s">
        <v>135</v>
      </c>
      <c r="F286" s="944">
        <v>0.74</v>
      </c>
      <c r="G286" s="3201" t="s">
        <v>285</v>
      </c>
      <c r="H286" s="1204"/>
      <c r="I286" s="918"/>
      <c r="J286" s="918"/>
      <c r="K286" s="918"/>
      <c r="L286" s="918"/>
      <c r="M286" s="918"/>
      <c r="N286" s="918"/>
      <c r="O286" s="918"/>
      <c r="P286" s="918"/>
      <c r="Q286" s="918"/>
      <c r="R286" s="918"/>
      <c r="S286" s="910"/>
      <c r="T286" s="910"/>
      <c r="U286" s="910"/>
      <c r="V286" s="917" t="str">
        <f>D286</f>
        <v>AdjAttic</v>
      </c>
      <c r="W286" s="915">
        <v>0.74</v>
      </c>
      <c r="X286" s="915">
        <v>0.74</v>
      </c>
      <c r="Y286" s="915">
        <v>0.74</v>
      </c>
      <c r="Z286" s="944">
        <v>0.74</v>
      </c>
      <c r="AA286" s="944">
        <v>0.74</v>
      </c>
      <c r="AB286" s="944">
        <v>0.74</v>
      </c>
      <c r="AC286" s="944">
        <v>0.74</v>
      </c>
      <c r="AD286" s="915"/>
      <c r="AE286" s="915"/>
      <c r="AF286" s="915"/>
      <c r="AG286" s="915"/>
      <c r="AK286" s="883"/>
      <c r="BB286" s="906"/>
    </row>
    <row r="287" spans="1:54" s="892" customFormat="1" hidden="1" outlineLevel="1" x14ac:dyDescent="0.25">
      <c r="A287" s="910"/>
      <c r="B287" s="918"/>
      <c r="C287" s="907"/>
      <c r="D287" s="4327" t="s">
        <v>1720</v>
      </c>
      <c r="E287" s="420" t="s">
        <v>1646</v>
      </c>
      <c r="F287" s="940">
        <v>1</v>
      </c>
      <c r="G287" s="3201" t="s">
        <v>285</v>
      </c>
      <c r="H287" s="4337" t="s">
        <v>289</v>
      </c>
      <c r="I287" s="918"/>
      <c r="J287" s="918"/>
      <c r="K287" s="918"/>
      <c r="L287" s="918"/>
      <c r="M287" s="918"/>
      <c r="N287" s="918"/>
      <c r="O287" s="918"/>
      <c r="P287" s="918"/>
      <c r="Q287" s="918"/>
      <c r="R287" s="918"/>
      <c r="S287" s="910"/>
      <c r="T287" s="910"/>
      <c r="U287" s="910"/>
      <c r="V287" s="4247" t="str">
        <f>D287</f>
        <v>ƞheat</v>
      </c>
      <c r="W287" s="919">
        <v>1</v>
      </c>
      <c r="X287" s="919">
        <v>1</v>
      </c>
      <c r="Y287" s="919">
        <v>1</v>
      </c>
      <c r="Z287" s="940">
        <v>1</v>
      </c>
      <c r="AA287" s="940">
        <v>1</v>
      </c>
      <c r="AB287" s="940">
        <v>1</v>
      </c>
      <c r="AC287" s="940">
        <v>1</v>
      </c>
      <c r="AD287" s="919"/>
      <c r="AE287" s="919"/>
      <c r="AF287" s="919"/>
      <c r="AG287" s="919"/>
      <c r="AK287" s="883"/>
      <c r="BB287" s="906"/>
    </row>
    <row r="288" spans="1:54" s="892" customFormat="1" hidden="1" outlineLevel="1" x14ac:dyDescent="0.25">
      <c r="A288" s="910"/>
      <c r="B288" s="918"/>
      <c r="C288" s="907"/>
      <c r="D288" s="4328"/>
      <c r="E288" s="420" t="s">
        <v>1648</v>
      </c>
      <c r="F288" s="940">
        <f>7/3.412*0.85</f>
        <v>1.7438452520515826</v>
      </c>
      <c r="G288" s="3201" t="s">
        <v>285</v>
      </c>
      <c r="H288" s="3890"/>
      <c r="I288" s="918"/>
      <c r="J288" s="918"/>
      <c r="K288" s="918"/>
      <c r="L288" s="918"/>
      <c r="M288" s="918"/>
      <c r="N288" s="918"/>
      <c r="O288" s="918"/>
      <c r="P288" s="918"/>
      <c r="Q288" s="918"/>
      <c r="R288" s="918"/>
      <c r="S288" s="910"/>
      <c r="T288" s="910"/>
      <c r="U288" s="910"/>
      <c r="V288" s="4248"/>
      <c r="W288" s="919">
        <f>7/3.412*0.85</f>
        <v>1.7438452520515826</v>
      </c>
      <c r="X288" s="919">
        <v>1.7438452520515826</v>
      </c>
      <c r="Y288" s="919">
        <v>1.7438452520515826</v>
      </c>
      <c r="Z288" s="940">
        <v>1.7438452520515826</v>
      </c>
      <c r="AA288" s="940">
        <v>1.7438452520515826</v>
      </c>
      <c r="AB288" s="940">
        <v>1.7438452520515826</v>
      </c>
      <c r="AC288" s="940">
        <v>1.7438452520515826</v>
      </c>
      <c r="AD288" s="919"/>
      <c r="AE288" s="919"/>
      <c r="AF288" s="919"/>
      <c r="AG288" s="919"/>
      <c r="AK288" s="883"/>
      <c r="BB288" s="906"/>
    </row>
    <row r="289" spans="1:54" s="892" customFormat="1" hidden="1" outlineLevel="1" x14ac:dyDescent="0.25">
      <c r="A289" s="910"/>
      <c r="B289" s="918"/>
      <c r="C289" s="907"/>
      <c r="D289" s="4328"/>
      <c r="E289" s="420" t="s">
        <v>1650</v>
      </c>
      <c r="F289" s="943">
        <v>0.71</v>
      </c>
      <c r="G289" s="3201" t="s">
        <v>285</v>
      </c>
      <c r="H289" s="3890"/>
      <c r="I289" s="918"/>
      <c r="J289" s="918"/>
      <c r="K289" s="918"/>
      <c r="L289" s="918"/>
      <c r="M289" s="918"/>
      <c r="N289" s="918"/>
      <c r="O289" s="918"/>
      <c r="P289" s="918"/>
      <c r="Q289" s="918"/>
      <c r="R289" s="918"/>
      <c r="S289" s="910"/>
      <c r="T289" s="910"/>
      <c r="U289" s="910"/>
      <c r="V289" s="4248"/>
      <c r="W289" s="920">
        <v>0.71</v>
      </c>
      <c r="X289" s="920">
        <v>0.71</v>
      </c>
      <c r="Y289" s="920">
        <v>0.71</v>
      </c>
      <c r="Z289" s="943">
        <v>0.71</v>
      </c>
      <c r="AA289" s="943">
        <v>0.71</v>
      </c>
      <c r="AB289" s="943">
        <v>0.71</v>
      </c>
      <c r="AC289" s="943">
        <v>0.71</v>
      </c>
      <c r="AD289" s="920"/>
      <c r="AE289" s="920"/>
      <c r="AF289" s="920"/>
      <c r="AG289" s="920"/>
      <c r="AK289" s="883"/>
      <c r="BB289" s="906"/>
    </row>
    <row r="290" spans="1:54" s="892" customFormat="1" hidden="1" outlineLevel="1" x14ac:dyDescent="0.25">
      <c r="A290" s="910"/>
      <c r="B290" s="918"/>
      <c r="C290" s="907"/>
      <c r="D290" s="4328"/>
      <c r="E290" s="420" t="s">
        <v>1652</v>
      </c>
      <c r="F290" s="940">
        <v>1</v>
      </c>
      <c r="G290" s="3201" t="s">
        <v>285</v>
      </c>
      <c r="H290" s="3890"/>
      <c r="I290" s="918"/>
      <c r="J290" s="918"/>
      <c r="K290" s="918"/>
      <c r="L290" s="918"/>
      <c r="M290" s="918"/>
      <c r="N290" s="918"/>
      <c r="O290" s="918"/>
      <c r="P290" s="918"/>
      <c r="Q290" s="918"/>
      <c r="R290" s="918"/>
      <c r="S290" s="910"/>
      <c r="T290" s="910"/>
      <c r="U290" s="910"/>
      <c r="V290" s="4248"/>
      <c r="W290" s="919">
        <v>1</v>
      </c>
      <c r="X290" s="919">
        <v>1</v>
      </c>
      <c r="Y290" s="919">
        <v>1</v>
      </c>
      <c r="Z290" s="940">
        <v>1</v>
      </c>
      <c r="AA290" s="940">
        <v>1</v>
      </c>
      <c r="AB290" s="940">
        <v>1</v>
      </c>
      <c r="AC290" s="940">
        <v>1</v>
      </c>
      <c r="AD290" s="919"/>
      <c r="AE290" s="919"/>
      <c r="AF290" s="919"/>
      <c r="AG290" s="919"/>
      <c r="AK290" s="883"/>
      <c r="BB290" s="906"/>
    </row>
    <row r="291" spans="1:54" s="892" customFormat="1" hidden="1" outlineLevel="1" x14ac:dyDescent="0.25">
      <c r="A291" s="910"/>
      <c r="B291" s="918"/>
      <c r="C291" s="907"/>
      <c r="D291" s="4328"/>
      <c r="E291" s="420" t="s">
        <v>1654</v>
      </c>
      <c r="F291" s="940">
        <f>7/3.412*0.85</f>
        <v>1.7438452520515826</v>
      </c>
      <c r="G291" s="3201" t="s">
        <v>285</v>
      </c>
      <c r="H291" s="3890"/>
      <c r="I291" s="918"/>
      <c r="J291" s="918"/>
      <c r="K291" s="918"/>
      <c r="L291" s="918"/>
      <c r="M291" s="918"/>
      <c r="N291" s="918"/>
      <c r="O291" s="918"/>
      <c r="P291" s="918"/>
      <c r="Q291" s="918"/>
      <c r="R291" s="918"/>
      <c r="S291" s="910"/>
      <c r="T291" s="910"/>
      <c r="U291" s="910"/>
      <c r="V291" s="4248"/>
      <c r="W291" s="919">
        <f>7/3.412*0.85</f>
        <v>1.7438452520515826</v>
      </c>
      <c r="X291" s="919">
        <v>1.7438452520515826</v>
      </c>
      <c r="Y291" s="919">
        <v>1.7438452520515826</v>
      </c>
      <c r="Z291" s="940">
        <v>1.7438452520515826</v>
      </c>
      <c r="AA291" s="940">
        <v>1.7438452520515826</v>
      </c>
      <c r="AB291" s="940">
        <v>1.7438452520515826</v>
      </c>
      <c r="AC291" s="940">
        <v>1.7438452520515826</v>
      </c>
      <c r="AD291" s="919"/>
      <c r="AE291" s="919"/>
      <c r="AF291" s="919"/>
      <c r="AG291" s="919"/>
      <c r="AK291" s="883"/>
      <c r="BB291" s="906"/>
    </row>
    <row r="292" spans="1:54" s="892" customFormat="1" hidden="1" outlineLevel="1" x14ac:dyDescent="0.25">
      <c r="A292" s="910"/>
      <c r="B292" s="918"/>
      <c r="C292" s="907"/>
      <c r="D292" s="4328"/>
      <c r="E292" s="420" t="s">
        <v>1656</v>
      </c>
      <c r="F292" s="943">
        <v>0.71</v>
      </c>
      <c r="G292" s="3201" t="s">
        <v>285</v>
      </c>
      <c r="H292" s="3890"/>
      <c r="I292" s="918"/>
      <c r="J292" s="918"/>
      <c r="K292" s="918"/>
      <c r="L292" s="918"/>
      <c r="M292" s="918"/>
      <c r="N292" s="918"/>
      <c r="O292" s="918"/>
      <c r="P292" s="918"/>
      <c r="Q292" s="918"/>
      <c r="R292" s="918"/>
      <c r="S292" s="910"/>
      <c r="T292" s="910"/>
      <c r="U292" s="910"/>
      <c r="V292" s="4248"/>
      <c r="W292" s="920">
        <v>0.71</v>
      </c>
      <c r="X292" s="920">
        <v>0.71</v>
      </c>
      <c r="Y292" s="920">
        <v>0.71</v>
      </c>
      <c r="Z292" s="943">
        <v>0.71</v>
      </c>
      <c r="AA292" s="943">
        <v>0.71</v>
      </c>
      <c r="AB292" s="943">
        <v>0.71</v>
      </c>
      <c r="AC292" s="943">
        <v>0.71</v>
      </c>
      <c r="AD292" s="920"/>
      <c r="AE292" s="920"/>
      <c r="AF292" s="920"/>
      <c r="AG292" s="920"/>
      <c r="AK292" s="883"/>
      <c r="BB292" s="906"/>
    </row>
    <row r="293" spans="1:54" s="892" customFormat="1" hidden="1" outlineLevel="1" x14ac:dyDescent="0.25">
      <c r="A293" s="910"/>
      <c r="B293" s="918"/>
      <c r="C293" s="907"/>
      <c r="D293" s="4328"/>
      <c r="E293" s="420" t="s">
        <v>1658</v>
      </c>
      <c r="F293" s="940">
        <v>1</v>
      </c>
      <c r="G293" s="3201" t="s">
        <v>285</v>
      </c>
      <c r="H293" s="3890"/>
      <c r="I293" s="918"/>
      <c r="J293" s="918"/>
      <c r="K293" s="918"/>
      <c r="L293" s="918"/>
      <c r="M293" s="918"/>
      <c r="N293" s="918"/>
      <c r="O293" s="918"/>
      <c r="P293" s="918"/>
      <c r="Q293" s="918"/>
      <c r="R293" s="918"/>
      <c r="S293" s="910"/>
      <c r="T293" s="910"/>
      <c r="U293" s="910"/>
      <c r="V293" s="4248"/>
      <c r="W293" s="919">
        <v>1</v>
      </c>
      <c r="X293" s="919">
        <v>1</v>
      </c>
      <c r="Y293" s="919">
        <v>1</v>
      </c>
      <c r="Z293" s="940">
        <v>1</v>
      </c>
      <c r="AA293" s="940">
        <v>1</v>
      </c>
      <c r="AB293" s="940">
        <v>1</v>
      </c>
      <c r="AC293" s="940">
        <v>1</v>
      </c>
      <c r="AD293" s="919"/>
      <c r="AE293" s="919"/>
      <c r="AF293" s="919"/>
      <c r="AG293" s="919"/>
      <c r="AK293" s="883"/>
      <c r="BB293" s="906"/>
    </row>
    <row r="294" spans="1:54" s="892" customFormat="1" hidden="1" outlineLevel="1" x14ac:dyDescent="0.25">
      <c r="A294" s="910"/>
      <c r="B294" s="918"/>
      <c r="C294" s="907"/>
      <c r="D294" s="4328"/>
      <c r="E294" s="420" t="s">
        <v>1660</v>
      </c>
      <c r="F294" s="940">
        <f>7/3.412*0.85</f>
        <v>1.7438452520515826</v>
      </c>
      <c r="G294" s="3201" t="s">
        <v>285</v>
      </c>
      <c r="H294" s="3890"/>
      <c r="I294" s="918"/>
      <c r="J294" s="918"/>
      <c r="K294" s="918"/>
      <c r="L294" s="918"/>
      <c r="M294" s="918"/>
      <c r="N294" s="918"/>
      <c r="O294" s="918"/>
      <c r="P294" s="918"/>
      <c r="Q294" s="918"/>
      <c r="R294" s="918"/>
      <c r="S294" s="910"/>
      <c r="T294" s="910"/>
      <c r="U294" s="910"/>
      <c r="V294" s="4248"/>
      <c r="W294" s="919">
        <f>7/3.412*0.85</f>
        <v>1.7438452520515826</v>
      </c>
      <c r="X294" s="919">
        <v>1.7438452520515826</v>
      </c>
      <c r="Y294" s="919">
        <v>1.7438452520515826</v>
      </c>
      <c r="Z294" s="940">
        <v>1.7438452520515826</v>
      </c>
      <c r="AA294" s="940">
        <v>1.7438452520515826</v>
      </c>
      <c r="AB294" s="940">
        <v>1.7438452520515826</v>
      </c>
      <c r="AC294" s="940">
        <v>1.7438452520515826</v>
      </c>
      <c r="AD294" s="919"/>
      <c r="AE294" s="919"/>
      <c r="AF294" s="919"/>
      <c r="AG294" s="919"/>
      <c r="AK294" s="883"/>
      <c r="BB294" s="906"/>
    </row>
    <row r="295" spans="1:54" s="892" customFormat="1" hidden="1" outlineLevel="1" x14ac:dyDescent="0.25">
      <c r="A295" s="910"/>
      <c r="B295" s="918"/>
      <c r="C295" s="907"/>
      <c r="D295" s="4328"/>
      <c r="E295" s="426" t="s">
        <v>1662</v>
      </c>
      <c r="F295" s="943">
        <v>0.71</v>
      </c>
      <c r="G295" s="3201" t="s">
        <v>285</v>
      </c>
      <c r="H295" s="3890"/>
      <c r="I295" s="918"/>
      <c r="J295" s="918"/>
      <c r="K295" s="918"/>
      <c r="L295" s="918"/>
      <c r="M295" s="918"/>
      <c r="N295" s="918"/>
      <c r="O295" s="918"/>
      <c r="P295" s="918"/>
      <c r="Q295" s="918"/>
      <c r="R295" s="918"/>
      <c r="S295" s="910"/>
      <c r="T295" s="910"/>
      <c r="U295" s="910"/>
      <c r="V295" s="4248"/>
      <c r="W295" s="920">
        <v>0.71</v>
      </c>
      <c r="X295" s="920">
        <v>0.71</v>
      </c>
      <c r="Y295" s="920">
        <v>0.71</v>
      </c>
      <c r="Z295" s="943">
        <v>0.71</v>
      </c>
      <c r="AA295" s="943">
        <v>0.71</v>
      </c>
      <c r="AB295" s="943">
        <v>0.71</v>
      </c>
      <c r="AC295" s="943">
        <v>0.71</v>
      </c>
      <c r="AD295" s="920"/>
      <c r="AE295" s="920"/>
      <c r="AF295" s="920"/>
      <c r="AG295" s="920"/>
      <c r="AK295" s="883"/>
      <c r="BB295" s="906"/>
    </row>
    <row r="296" spans="1:54" s="892" customFormat="1" hidden="1" outlineLevel="1" x14ac:dyDescent="0.25">
      <c r="A296" s="910"/>
      <c r="B296" s="918"/>
      <c r="C296" s="907"/>
      <c r="D296" s="4328"/>
      <c r="E296" s="420" t="s">
        <v>1664</v>
      </c>
      <c r="F296" s="940">
        <v>1</v>
      </c>
      <c r="G296" s="3201" t="s">
        <v>285</v>
      </c>
      <c r="H296" s="3890"/>
      <c r="I296" s="918"/>
      <c r="J296" s="918"/>
      <c r="K296" s="918"/>
      <c r="L296" s="918"/>
      <c r="M296" s="918"/>
      <c r="N296" s="918"/>
      <c r="O296" s="918"/>
      <c r="P296" s="918"/>
      <c r="Q296" s="918"/>
      <c r="R296" s="918"/>
      <c r="S296" s="910"/>
      <c r="T296" s="910"/>
      <c r="U296" s="910"/>
      <c r="V296" s="4248"/>
      <c r="W296" s="919">
        <v>1</v>
      </c>
      <c r="X296" s="919">
        <v>1</v>
      </c>
      <c r="Y296" s="919">
        <v>1</v>
      </c>
      <c r="Z296" s="940">
        <v>1</v>
      </c>
      <c r="AA296" s="940">
        <v>1</v>
      </c>
      <c r="AB296" s="940">
        <v>1</v>
      </c>
      <c r="AC296" s="940">
        <v>1</v>
      </c>
      <c r="AD296" s="919"/>
      <c r="AE296" s="919"/>
      <c r="AF296" s="919"/>
      <c r="AG296" s="919"/>
      <c r="AK296" s="883"/>
      <c r="BB296" s="906"/>
    </row>
    <row r="297" spans="1:54" s="892" customFormat="1" hidden="1" outlineLevel="1" x14ac:dyDescent="0.25">
      <c r="A297" s="910"/>
      <c r="B297" s="918"/>
      <c r="C297" s="907"/>
      <c r="D297" s="4328"/>
      <c r="E297" s="420" t="s">
        <v>1666</v>
      </c>
      <c r="F297" s="940">
        <f>7/3.412*0.85</f>
        <v>1.7438452520515826</v>
      </c>
      <c r="G297" s="3201" t="s">
        <v>285</v>
      </c>
      <c r="H297" s="3890"/>
      <c r="I297" s="918"/>
      <c r="J297" s="918"/>
      <c r="K297" s="918"/>
      <c r="L297" s="918"/>
      <c r="M297" s="918"/>
      <c r="N297" s="918"/>
      <c r="O297" s="918"/>
      <c r="P297" s="918"/>
      <c r="Q297" s="918"/>
      <c r="R297" s="918"/>
      <c r="S297" s="910"/>
      <c r="T297" s="910"/>
      <c r="U297" s="910"/>
      <c r="V297" s="4248"/>
      <c r="W297" s="919">
        <f>7/3.412*0.85</f>
        <v>1.7438452520515826</v>
      </c>
      <c r="X297" s="919">
        <v>1.7438452520515826</v>
      </c>
      <c r="Y297" s="919">
        <v>1.7438452520515826</v>
      </c>
      <c r="Z297" s="940">
        <v>1.7438452520515826</v>
      </c>
      <c r="AA297" s="940">
        <v>1.7438452520515826</v>
      </c>
      <c r="AB297" s="940">
        <v>1.7438452520515826</v>
      </c>
      <c r="AC297" s="940">
        <v>1.7438452520515826</v>
      </c>
      <c r="AD297" s="919"/>
      <c r="AE297" s="919"/>
      <c r="AF297" s="919"/>
      <c r="AG297" s="919"/>
      <c r="AK297" s="883"/>
      <c r="BB297" s="906"/>
    </row>
    <row r="298" spans="1:54" s="892" customFormat="1" hidden="1" outlineLevel="1" x14ac:dyDescent="0.25">
      <c r="A298" s="910"/>
      <c r="B298" s="918"/>
      <c r="C298" s="907"/>
      <c r="D298" s="4328"/>
      <c r="E298" s="1620" t="s">
        <v>1668</v>
      </c>
      <c r="F298" s="943">
        <v>0.71</v>
      </c>
      <c r="G298" s="3201" t="s">
        <v>285</v>
      </c>
      <c r="H298" s="3890"/>
      <c r="I298" s="918"/>
      <c r="J298" s="918"/>
      <c r="K298" s="918"/>
      <c r="L298" s="918"/>
      <c r="M298" s="918"/>
      <c r="N298" s="918"/>
      <c r="O298" s="918"/>
      <c r="P298" s="918"/>
      <c r="Q298" s="918"/>
      <c r="R298" s="918"/>
      <c r="S298" s="910"/>
      <c r="T298" s="910"/>
      <c r="U298" s="910"/>
      <c r="V298" s="4248"/>
      <c r="W298" s="920">
        <v>0.71</v>
      </c>
      <c r="X298" s="920">
        <v>0.71</v>
      </c>
      <c r="Y298" s="920">
        <v>0.71</v>
      </c>
      <c r="Z298" s="943">
        <v>0.71</v>
      </c>
      <c r="AA298" s="943">
        <v>0.71</v>
      </c>
      <c r="AB298" s="943">
        <v>0.71</v>
      </c>
      <c r="AC298" s="943">
        <v>0.71</v>
      </c>
      <c r="AD298" s="920"/>
      <c r="AE298" s="920"/>
      <c r="AF298" s="920"/>
      <c r="AG298" s="920"/>
      <c r="AK298" s="883"/>
      <c r="BB298" s="906"/>
    </row>
    <row r="299" spans="1:54" s="892" customFormat="1" hidden="1" outlineLevel="1" x14ac:dyDescent="0.25">
      <c r="A299" s="910"/>
      <c r="B299" s="918"/>
      <c r="C299" s="907"/>
      <c r="D299" s="4328"/>
      <c r="E299" s="420" t="s">
        <v>1670</v>
      </c>
      <c r="F299" s="940">
        <v>1</v>
      </c>
      <c r="G299" s="3201" t="s">
        <v>285</v>
      </c>
      <c r="H299" s="3890"/>
      <c r="I299" s="918"/>
      <c r="J299" s="918"/>
      <c r="K299" s="918"/>
      <c r="L299" s="918"/>
      <c r="M299" s="918"/>
      <c r="N299" s="918"/>
      <c r="O299" s="918"/>
      <c r="P299" s="918"/>
      <c r="Q299" s="918"/>
      <c r="R299" s="918"/>
      <c r="S299" s="910"/>
      <c r="T299" s="910"/>
      <c r="U299" s="910"/>
      <c r="V299" s="4248"/>
      <c r="W299" s="919">
        <v>1</v>
      </c>
      <c r="X299" s="919">
        <v>1</v>
      </c>
      <c r="Y299" s="919">
        <v>1</v>
      </c>
      <c r="Z299" s="940">
        <v>1</v>
      </c>
      <c r="AA299" s="940">
        <v>1</v>
      </c>
      <c r="AB299" s="940">
        <v>1</v>
      </c>
      <c r="AC299" s="940">
        <v>1</v>
      </c>
      <c r="AD299" s="919"/>
      <c r="AE299" s="919"/>
      <c r="AF299" s="919"/>
      <c r="AG299" s="919"/>
      <c r="AK299" s="883"/>
      <c r="BB299" s="906"/>
    </row>
    <row r="300" spans="1:54" s="892" customFormat="1" hidden="1" outlineLevel="1" x14ac:dyDescent="0.25">
      <c r="A300" s="910"/>
      <c r="B300" s="918"/>
      <c r="C300" s="907"/>
      <c r="D300" s="4328"/>
      <c r="E300" s="420" t="s">
        <v>1672</v>
      </c>
      <c r="F300" s="940">
        <f>7/3.412*0.85</f>
        <v>1.7438452520515826</v>
      </c>
      <c r="G300" s="3201" t="s">
        <v>285</v>
      </c>
      <c r="H300" s="3890"/>
      <c r="I300" s="918"/>
      <c r="J300" s="918"/>
      <c r="K300" s="918"/>
      <c r="L300" s="918"/>
      <c r="M300" s="918"/>
      <c r="N300" s="918"/>
      <c r="O300" s="918"/>
      <c r="P300" s="918"/>
      <c r="Q300" s="918"/>
      <c r="R300" s="918"/>
      <c r="S300" s="910"/>
      <c r="T300" s="910"/>
      <c r="U300" s="910"/>
      <c r="V300" s="4248"/>
      <c r="W300" s="919">
        <f>7/3.412*0.85</f>
        <v>1.7438452520515826</v>
      </c>
      <c r="X300" s="919">
        <v>1.7438452520515826</v>
      </c>
      <c r="Y300" s="919">
        <v>1.7438452520515826</v>
      </c>
      <c r="Z300" s="940">
        <v>1.7438452520515826</v>
      </c>
      <c r="AA300" s="940">
        <v>1.7438452520515826</v>
      </c>
      <c r="AB300" s="940">
        <v>1.7438452520515826</v>
      </c>
      <c r="AC300" s="940">
        <v>1.7438452520515826</v>
      </c>
      <c r="AD300" s="919"/>
      <c r="AE300" s="919"/>
      <c r="AF300" s="919"/>
      <c r="AG300" s="919"/>
      <c r="AK300" s="883"/>
      <c r="BB300" s="906"/>
    </row>
    <row r="301" spans="1:54" s="892" customFormat="1" hidden="1" outlineLevel="1" x14ac:dyDescent="0.25">
      <c r="A301" s="910"/>
      <c r="B301" s="918"/>
      <c r="C301" s="907"/>
      <c r="D301" s="4328"/>
      <c r="E301" s="426" t="s">
        <v>1674</v>
      </c>
      <c r="F301" s="943">
        <v>0.71</v>
      </c>
      <c r="G301" s="3201" t="s">
        <v>285</v>
      </c>
      <c r="H301" s="3890"/>
      <c r="I301" s="918"/>
      <c r="J301" s="918"/>
      <c r="K301" s="918"/>
      <c r="L301" s="918"/>
      <c r="M301" s="918"/>
      <c r="N301" s="918"/>
      <c r="O301" s="918"/>
      <c r="P301" s="918"/>
      <c r="Q301" s="918"/>
      <c r="R301" s="918"/>
      <c r="S301" s="910"/>
      <c r="T301" s="910"/>
      <c r="U301" s="910"/>
      <c r="V301" s="4248"/>
      <c r="W301" s="920">
        <v>0.71</v>
      </c>
      <c r="X301" s="920">
        <v>0.71</v>
      </c>
      <c r="Y301" s="920">
        <v>0.71</v>
      </c>
      <c r="Z301" s="943">
        <v>0.71</v>
      </c>
      <c r="AA301" s="943">
        <v>0.71</v>
      </c>
      <c r="AB301" s="943">
        <v>0.71</v>
      </c>
      <c r="AC301" s="943">
        <v>0.71</v>
      </c>
      <c r="AD301" s="920"/>
      <c r="AE301" s="920"/>
      <c r="AF301" s="920"/>
      <c r="AG301" s="920"/>
      <c r="AK301" s="883"/>
      <c r="BB301" s="906"/>
    </row>
    <row r="302" spans="1:54" s="892" customFormat="1" hidden="1" outlineLevel="1" x14ac:dyDescent="0.25">
      <c r="A302" s="910"/>
      <c r="B302" s="918"/>
      <c r="C302" s="907"/>
      <c r="D302" s="4328"/>
      <c r="E302" s="420" t="s">
        <v>1676</v>
      </c>
      <c r="F302" s="940">
        <v>1</v>
      </c>
      <c r="G302" s="3201" t="s">
        <v>285</v>
      </c>
      <c r="H302" s="3890"/>
      <c r="I302" s="918"/>
      <c r="J302" s="918"/>
      <c r="K302" s="918"/>
      <c r="L302" s="918"/>
      <c r="M302" s="918"/>
      <c r="N302" s="918"/>
      <c r="O302" s="918"/>
      <c r="P302" s="918"/>
      <c r="Q302" s="918"/>
      <c r="R302" s="918"/>
      <c r="S302" s="910"/>
      <c r="T302" s="910"/>
      <c r="U302" s="910"/>
      <c r="V302" s="4248"/>
      <c r="W302" s="919">
        <v>1</v>
      </c>
      <c r="X302" s="919">
        <v>1</v>
      </c>
      <c r="Y302" s="919">
        <v>1</v>
      </c>
      <c r="Z302" s="940">
        <v>1</v>
      </c>
      <c r="AA302" s="940">
        <v>1</v>
      </c>
      <c r="AB302" s="940">
        <v>1</v>
      </c>
      <c r="AC302" s="940">
        <v>1</v>
      </c>
      <c r="AD302" s="919"/>
      <c r="AE302" s="919"/>
      <c r="AF302" s="919"/>
      <c r="AG302" s="919"/>
      <c r="AK302" s="883"/>
      <c r="BB302" s="906"/>
    </row>
    <row r="303" spans="1:54" s="892" customFormat="1" hidden="1" outlineLevel="1" x14ac:dyDescent="0.25">
      <c r="A303" s="910"/>
      <c r="B303" s="918"/>
      <c r="C303" s="907"/>
      <c r="D303" s="4328"/>
      <c r="E303" s="426" t="s">
        <v>1678</v>
      </c>
      <c r="F303" s="940">
        <f>7/3.412*0.85</f>
        <v>1.7438452520515826</v>
      </c>
      <c r="G303" s="3201" t="s">
        <v>285</v>
      </c>
      <c r="H303" s="3890"/>
      <c r="I303" s="918"/>
      <c r="J303" s="918"/>
      <c r="K303" s="918"/>
      <c r="L303" s="918"/>
      <c r="M303" s="918"/>
      <c r="N303" s="918"/>
      <c r="O303" s="918"/>
      <c r="P303" s="918"/>
      <c r="Q303" s="918"/>
      <c r="R303" s="918"/>
      <c r="S303" s="910"/>
      <c r="T303" s="910"/>
      <c r="U303" s="910"/>
      <c r="V303" s="4248"/>
      <c r="W303" s="919">
        <f>7/3.412*0.85</f>
        <v>1.7438452520515826</v>
      </c>
      <c r="X303" s="919">
        <v>1.7438452520515826</v>
      </c>
      <c r="Y303" s="919">
        <v>1.7438452520515826</v>
      </c>
      <c r="Z303" s="940">
        <v>1.7438452520515826</v>
      </c>
      <c r="AA303" s="940">
        <v>1.7438452520515826</v>
      </c>
      <c r="AB303" s="940">
        <v>1.7438452520515826</v>
      </c>
      <c r="AC303" s="940">
        <v>1.7438452520515826</v>
      </c>
      <c r="AD303" s="919"/>
      <c r="AE303" s="919"/>
      <c r="AF303" s="919"/>
      <c r="AG303" s="919"/>
      <c r="AK303" s="883"/>
      <c r="BB303" s="906"/>
    </row>
    <row r="304" spans="1:54" s="892" customFormat="1" hidden="1" outlineLevel="1" x14ac:dyDescent="0.25">
      <c r="A304" s="910"/>
      <c r="B304" s="918"/>
      <c r="C304" s="907"/>
      <c r="D304" s="4328"/>
      <c r="E304" s="420" t="s">
        <v>1680</v>
      </c>
      <c r="F304" s="943">
        <v>0.71</v>
      </c>
      <c r="G304" s="3201" t="s">
        <v>285</v>
      </c>
      <c r="H304" s="3890"/>
      <c r="I304" s="918"/>
      <c r="J304" s="918"/>
      <c r="K304" s="918"/>
      <c r="L304" s="918"/>
      <c r="M304" s="918"/>
      <c r="N304" s="918"/>
      <c r="O304" s="918"/>
      <c r="P304" s="918"/>
      <c r="Q304" s="918"/>
      <c r="R304" s="918"/>
      <c r="S304" s="910"/>
      <c r="T304" s="910"/>
      <c r="U304" s="910"/>
      <c r="V304" s="4248"/>
      <c r="W304" s="920">
        <v>0.71</v>
      </c>
      <c r="X304" s="920">
        <v>0.71</v>
      </c>
      <c r="Y304" s="920">
        <v>0.71</v>
      </c>
      <c r="Z304" s="943">
        <v>0.71</v>
      </c>
      <c r="AA304" s="943">
        <v>0.71</v>
      </c>
      <c r="AB304" s="943">
        <v>0.71</v>
      </c>
      <c r="AC304" s="943">
        <v>0.71</v>
      </c>
      <c r="AD304" s="920"/>
      <c r="AE304" s="920"/>
      <c r="AF304" s="920"/>
      <c r="AG304" s="920"/>
      <c r="AK304" s="883"/>
      <c r="BB304" s="906"/>
    </row>
    <row r="305" spans="1:54" s="892" customFormat="1" hidden="1" outlineLevel="1" x14ac:dyDescent="0.25">
      <c r="A305" s="910"/>
      <c r="B305" s="918"/>
      <c r="C305" s="907"/>
      <c r="D305" s="4328"/>
      <c r="E305" s="420" t="s">
        <v>1682</v>
      </c>
      <c r="F305" s="940">
        <v>1</v>
      </c>
      <c r="G305" s="3201" t="s">
        <v>285</v>
      </c>
      <c r="H305" s="3890"/>
      <c r="I305" s="918"/>
      <c r="J305" s="918"/>
      <c r="K305" s="918"/>
      <c r="L305" s="918"/>
      <c r="M305" s="918"/>
      <c r="N305" s="918"/>
      <c r="O305" s="918"/>
      <c r="P305" s="918"/>
      <c r="Q305" s="918"/>
      <c r="R305" s="918"/>
      <c r="S305" s="910"/>
      <c r="T305" s="910"/>
      <c r="U305" s="910"/>
      <c r="V305" s="4248"/>
      <c r="W305" s="919">
        <v>1</v>
      </c>
      <c r="X305" s="919">
        <v>1</v>
      </c>
      <c r="Y305" s="919">
        <v>1</v>
      </c>
      <c r="Z305" s="940">
        <v>1</v>
      </c>
      <c r="AA305" s="940">
        <v>1</v>
      </c>
      <c r="AB305" s="940">
        <v>1</v>
      </c>
      <c r="AC305" s="940">
        <v>1</v>
      </c>
      <c r="AD305" s="919"/>
      <c r="AE305" s="919"/>
      <c r="AF305" s="919"/>
      <c r="AG305" s="919"/>
      <c r="AK305" s="883"/>
      <c r="BB305" s="906"/>
    </row>
    <row r="306" spans="1:54" s="892" customFormat="1" hidden="1" outlineLevel="1" x14ac:dyDescent="0.25">
      <c r="A306" s="910"/>
      <c r="B306" s="918"/>
      <c r="C306" s="907"/>
      <c r="D306" s="4328"/>
      <c r="E306" s="420" t="s">
        <v>1684</v>
      </c>
      <c r="F306" s="940">
        <f>7/3.412*0.85</f>
        <v>1.7438452520515826</v>
      </c>
      <c r="G306" s="3201" t="s">
        <v>285</v>
      </c>
      <c r="H306" s="3890"/>
      <c r="I306" s="918"/>
      <c r="J306" s="918"/>
      <c r="K306" s="918"/>
      <c r="L306" s="918"/>
      <c r="M306" s="918"/>
      <c r="N306" s="918"/>
      <c r="O306" s="918"/>
      <c r="P306" s="918"/>
      <c r="Q306" s="918"/>
      <c r="R306" s="918"/>
      <c r="S306" s="910"/>
      <c r="T306" s="910"/>
      <c r="U306" s="910"/>
      <c r="V306" s="4248"/>
      <c r="W306" s="919">
        <f>7/3.412*0.85</f>
        <v>1.7438452520515826</v>
      </c>
      <c r="X306" s="919">
        <v>1.7438452520515826</v>
      </c>
      <c r="Y306" s="919">
        <v>1.7438452520515826</v>
      </c>
      <c r="Z306" s="940">
        <v>1.7438452520515826</v>
      </c>
      <c r="AA306" s="940">
        <v>1.7438452520515826</v>
      </c>
      <c r="AB306" s="940">
        <v>1.7438452520515826</v>
      </c>
      <c r="AC306" s="940">
        <v>1.7438452520515826</v>
      </c>
      <c r="AD306" s="919"/>
      <c r="AE306" s="919"/>
      <c r="AF306" s="919"/>
      <c r="AG306" s="919"/>
      <c r="AK306" s="883"/>
      <c r="BB306" s="906"/>
    </row>
    <row r="307" spans="1:54" s="892" customFormat="1" hidden="1" outlineLevel="1" x14ac:dyDescent="0.25">
      <c r="A307" s="910"/>
      <c r="B307" s="918"/>
      <c r="C307" s="907"/>
      <c r="D307" s="4328"/>
      <c r="E307" s="426" t="s">
        <v>1686</v>
      </c>
      <c r="F307" s="943">
        <v>0.71</v>
      </c>
      <c r="G307" s="3201" t="s">
        <v>285</v>
      </c>
      <c r="H307" s="3890"/>
      <c r="I307" s="918"/>
      <c r="J307" s="918"/>
      <c r="K307" s="918"/>
      <c r="L307" s="918"/>
      <c r="M307" s="918"/>
      <c r="N307" s="918"/>
      <c r="O307" s="918"/>
      <c r="P307" s="918"/>
      <c r="Q307" s="918"/>
      <c r="R307" s="918"/>
      <c r="S307" s="910"/>
      <c r="T307" s="910"/>
      <c r="U307" s="910"/>
      <c r="V307" s="4248"/>
      <c r="W307" s="920">
        <v>0.71</v>
      </c>
      <c r="X307" s="920">
        <v>0.71</v>
      </c>
      <c r="Y307" s="920">
        <v>0.71</v>
      </c>
      <c r="Z307" s="943">
        <v>0.71</v>
      </c>
      <c r="AA307" s="943">
        <v>0.71</v>
      </c>
      <c r="AB307" s="943">
        <v>0.71</v>
      </c>
      <c r="AC307" s="943">
        <v>0.71</v>
      </c>
      <c r="AD307" s="920"/>
      <c r="AE307" s="920"/>
      <c r="AF307" s="920"/>
      <c r="AG307" s="920"/>
      <c r="AK307" s="883"/>
      <c r="BB307" s="906"/>
    </row>
    <row r="308" spans="1:54" s="892" customFormat="1" hidden="1" outlineLevel="1" x14ac:dyDescent="0.25">
      <c r="A308" s="910"/>
      <c r="B308" s="918"/>
      <c r="C308" s="907"/>
      <c r="D308" s="4328"/>
      <c r="E308" s="420" t="s">
        <v>1688</v>
      </c>
      <c r="F308" s="940">
        <v>1</v>
      </c>
      <c r="G308" s="3201" t="s">
        <v>285</v>
      </c>
      <c r="H308" s="3890"/>
      <c r="I308" s="918"/>
      <c r="J308" s="918"/>
      <c r="K308" s="918"/>
      <c r="L308" s="918"/>
      <c r="M308" s="918"/>
      <c r="N308" s="918"/>
      <c r="O308" s="918"/>
      <c r="P308" s="918"/>
      <c r="Q308" s="918"/>
      <c r="R308" s="918"/>
      <c r="S308" s="910"/>
      <c r="T308" s="910"/>
      <c r="U308" s="910"/>
      <c r="V308" s="4248"/>
      <c r="W308" s="919">
        <v>1</v>
      </c>
      <c r="X308" s="919">
        <v>1</v>
      </c>
      <c r="Y308" s="919">
        <v>1</v>
      </c>
      <c r="Z308" s="940">
        <v>1</v>
      </c>
      <c r="AA308" s="940">
        <v>1</v>
      </c>
      <c r="AB308" s="940">
        <v>1</v>
      </c>
      <c r="AC308" s="940">
        <v>1</v>
      </c>
      <c r="AD308" s="919"/>
      <c r="AE308" s="919"/>
      <c r="AF308" s="919"/>
      <c r="AG308" s="919"/>
      <c r="AK308" s="883"/>
      <c r="BB308" s="906"/>
    </row>
    <row r="309" spans="1:54" s="892" customFormat="1" hidden="1" outlineLevel="1" x14ac:dyDescent="0.25">
      <c r="A309" s="910"/>
      <c r="B309" s="918"/>
      <c r="C309" s="907"/>
      <c r="D309" s="4328"/>
      <c r="E309" s="426" t="s">
        <v>1690</v>
      </c>
      <c r="F309" s="940">
        <f>7/3.412*0.85</f>
        <v>1.7438452520515826</v>
      </c>
      <c r="G309" s="3201" t="s">
        <v>285</v>
      </c>
      <c r="H309" s="3890"/>
      <c r="I309" s="918"/>
      <c r="J309" s="918"/>
      <c r="K309" s="918"/>
      <c r="L309" s="918"/>
      <c r="M309" s="918"/>
      <c r="N309" s="918"/>
      <c r="O309" s="918"/>
      <c r="P309" s="918"/>
      <c r="Q309" s="918"/>
      <c r="R309" s="918"/>
      <c r="S309" s="910"/>
      <c r="T309" s="910"/>
      <c r="U309" s="910"/>
      <c r="V309" s="4248"/>
      <c r="W309" s="919">
        <f>7/3.412*0.85</f>
        <v>1.7438452520515826</v>
      </c>
      <c r="X309" s="919">
        <v>1.7438452520515826</v>
      </c>
      <c r="Y309" s="919">
        <v>1.7438452520515826</v>
      </c>
      <c r="Z309" s="940">
        <v>1.7438452520515826</v>
      </c>
      <c r="AA309" s="940">
        <v>1.7438452520515826</v>
      </c>
      <c r="AB309" s="940">
        <v>1.7438452520515826</v>
      </c>
      <c r="AC309" s="940">
        <v>1.7438452520515826</v>
      </c>
      <c r="AD309" s="919"/>
      <c r="AE309" s="919"/>
      <c r="AF309" s="919"/>
      <c r="AG309" s="919"/>
      <c r="AK309" s="883"/>
      <c r="BB309" s="906"/>
    </row>
    <row r="310" spans="1:54" s="892" customFormat="1" hidden="1" outlineLevel="1" x14ac:dyDescent="0.25">
      <c r="A310" s="910"/>
      <c r="B310" s="918"/>
      <c r="C310" s="907"/>
      <c r="D310" s="4328"/>
      <c r="E310" s="420" t="s">
        <v>1692</v>
      </c>
      <c r="F310" s="943">
        <v>0.71</v>
      </c>
      <c r="G310" s="3201" t="s">
        <v>285</v>
      </c>
      <c r="H310" s="3890"/>
      <c r="I310" s="918"/>
      <c r="J310" s="918"/>
      <c r="K310" s="918"/>
      <c r="L310" s="918"/>
      <c r="M310" s="918"/>
      <c r="N310" s="918"/>
      <c r="O310" s="918"/>
      <c r="P310" s="918"/>
      <c r="Q310" s="918"/>
      <c r="R310" s="918"/>
      <c r="S310" s="910"/>
      <c r="T310" s="910"/>
      <c r="U310" s="910"/>
      <c r="V310" s="4248"/>
      <c r="W310" s="920">
        <v>0.71</v>
      </c>
      <c r="X310" s="920">
        <v>0.71</v>
      </c>
      <c r="Y310" s="920">
        <v>0.71</v>
      </c>
      <c r="Z310" s="943">
        <v>0.71</v>
      </c>
      <c r="AA310" s="943">
        <v>0.71</v>
      </c>
      <c r="AB310" s="943">
        <v>0.71</v>
      </c>
      <c r="AC310" s="943">
        <v>0.71</v>
      </c>
      <c r="AD310" s="920"/>
      <c r="AE310" s="920"/>
      <c r="AF310" s="920"/>
      <c r="AG310" s="920"/>
      <c r="AK310" s="883"/>
      <c r="BB310" s="906"/>
    </row>
    <row r="311" spans="1:54" s="892" customFormat="1" hidden="1" outlineLevel="1" x14ac:dyDescent="0.25">
      <c r="A311" s="910"/>
      <c r="B311" s="918"/>
      <c r="C311" s="907"/>
      <c r="D311" s="4328"/>
      <c r="E311" s="420" t="s">
        <v>1694</v>
      </c>
      <c r="F311" s="940">
        <v>1</v>
      </c>
      <c r="G311" s="3201" t="s">
        <v>285</v>
      </c>
      <c r="H311" s="3890"/>
      <c r="I311" s="918"/>
      <c r="J311" s="918"/>
      <c r="K311" s="918"/>
      <c r="L311" s="918"/>
      <c r="M311" s="918"/>
      <c r="N311" s="918"/>
      <c r="O311" s="918"/>
      <c r="P311" s="918"/>
      <c r="Q311" s="918"/>
      <c r="R311" s="918"/>
      <c r="S311" s="910"/>
      <c r="T311" s="910"/>
      <c r="U311" s="910"/>
      <c r="V311" s="4248"/>
      <c r="W311" s="919">
        <v>1</v>
      </c>
      <c r="X311" s="919">
        <v>1</v>
      </c>
      <c r="Y311" s="919">
        <v>1</v>
      </c>
      <c r="Z311" s="940">
        <v>1</v>
      </c>
      <c r="AA311" s="940">
        <v>1</v>
      </c>
      <c r="AB311" s="940">
        <v>1</v>
      </c>
      <c r="AC311" s="940">
        <v>1</v>
      </c>
      <c r="AD311" s="919"/>
      <c r="AE311" s="919"/>
      <c r="AF311" s="919"/>
      <c r="AG311" s="919"/>
      <c r="AK311" s="883"/>
      <c r="BB311" s="906"/>
    </row>
    <row r="312" spans="1:54" s="892" customFormat="1" hidden="1" outlineLevel="1" x14ac:dyDescent="0.25">
      <c r="A312" s="910"/>
      <c r="B312" s="918"/>
      <c r="C312" s="907"/>
      <c r="D312" s="4328"/>
      <c r="E312" s="420" t="s">
        <v>1696</v>
      </c>
      <c r="F312" s="940">
        <f>7/3.412*0.85</f>
        <v>1.7438452520515826</v>
      </c>
      <c r="G312" s="3201" t="s">
        <v>285</v>
      </c>
      <c r="H312" s="3890"/>
      <c r="I312" s="918"/>
      <c r="J312" s="918"/>
      <c r="K312" s="918"/>
      <c r="L312" s="918"/>
      <c r="M312" s="918"/>
      <c r="N312" s="918"/>
      <c r="O312" s="918"/>
      <c r="P312" s="918"/>
      <c r="Q312" s="918"/>
      <c r="R312" s="918"/>
      <c r="S312" s="910"/>
      <c r="T312" s="910"/>
      <c r="U312" s="910"/>
      <c r="V312" s="4248"/>
      <c r="W312" s="919">
        <f>7/3.412*0.85</f>
        <v>1.7438452520515826</v>
      </c>
      <c r="X312" s="919">
        <v>1.7438452520515826</v>
      </c>
      <c r="Y312" s="919">
        <v>1.7438452520515826</v>
      </c>
      <c r="Z312" s="940">
        <v>1.7438452520515826</v>
      </c>
      <c r="AA312" s="940">
        <v>1.7438452520515826</v>
      </c>
      <c r="AB312" s="940">
        <v>1.7438452520515826</v>
      </c>
      <c r="AC312" s="940">
        <v>1.7438452520515826</v>
      </c>
      <c r="AD312" s="919"/>
      <c r="AE312" s="919"/>
      <c r="AF312" s="919"/>
      <c r="AG312" s="919"/>
      <c r="AK312" s="883"/>
      <c r="BB312" s="906"/>
    </row>
    <row r="313" spans="1:54" s="892" customFormat="1" hidden="1" outlineLevel="1" x14ac:dyDescent="0.25">
      <c r="A313" s="910"/>
      <c r="B313" s="918"/>
      <c r="C313" s="907"/>
      <c r="D313" s="4328"/>
      <c r="E313" s="426" t="s">
        <v>1698</v>
      </c>
      <c r="F313" s="943">
        <v>0.71</v>
      </c>
      <c r="G313" s="3201" t="s">
        <v>285</v>
      </c>
      <c r="H313" s="3890"/>
      <c r="I313" s="918"/>
      <c r="J313" s="918"/>
      <c r="K313" s="918"/>
      <c r="L313" s="918"/>
      <c r="M313" s="918"/>
      <c r="N313" s="918"/>
      <c r="O313" s="918"/>
      <c r="P313" s="918"/>
      <c r="Q313" s="918"/>
      <c r="R313" s="918"/>
      <c r="S313" s="910"/>
      <c r="T313" s="910"/>
      <c r="U313" s="910"/>
      <c r="V313" s="4248"/>
      <c r="W313" s="920">
        <v>0.71</v>
      </c>
      <c r="X313" s="920">
        <v>0.71</v>
      </c>
      <c r="Y313" s="920">
        <v>0.71</v>
      </c>
      <c r="Z313" s="943">
        <v>0.71</v>
      </c>
      <c r="AA313" s="943">
        <v>0.71</v>
      </c>
      <c r="AB313" s="943">
        <v>0.71</v>
      </c>
      <c r="AC313" s="943">
        <v>0.71</v>
      </c>
      <c r="AD313" s="920"/>
      <c r="AE313" s="920"/>
      <c r="AF313" s="920"/>
      <c r="AG313" s="920"/>
      <c r="AK313" s="883"/>
      <c r="BB313" s="906"/>
    </row>
    <row r="314" spans="1:54" s="892" customFormat="1" hidden="1" outlineLevel="1" x14ac:dyDescent="0.25">
      <c r="A314" s="910"/>
      <c r="B314" s="918"/>
      <c r="C314" s="907"/>
      <c r="D314" s="4328"/>
      <c r="E314" s="420" t="s">
        <v>1700</v>
      </c>
      <c r="F314" s="940">
        <v>1</v>
      </c>
      <c r="G314" s="3201" t="s">
        <v>285</v>
      </c>
      <c r="H314" s="3890"/>
      <c r="I314" s="918"/>
      <c r="J314" s="918"/>
      <c r="K314" s="918"/>
      <c r="L314" s="918"/>
      <c r="M314" s="918"/>
      <c r="N314" s="918"/>
      <c r="O314" s="918"/>
      <c r="P314" s="918"/>
      <c r="Q314" s="918"/>
      <c r="R314" s="918"/>
      <c r="S314" s="910"/>
      <c r="T314" s="910"/>
      <c r="U314" s="910"/>
      <c r="V314" s="4248"/>
      <c r="W314" s="919">
        <v>1</v>
      </c>
      <c r="X314" s="919">
        <v>1</v>
      </c>
      <c r="Y314" s="919">
        <v>1</v>
      </c>
      <c r="Z314" s="940">
        <v>1</v>
      </c>
      <c r="AA314" s="940">
        <v>1</v>
      </c>
      <c r="AB314" s="940">
        <v>1</v>
      </c>
      <c r="AC314" s="940">
        <v>1</v>
      </c>
      <c r="AD314" s="919"/>
      <c r="AE314" s="919"/>
      <c r="AF314" s="919"/>
      <c r="AG314" s="919"/>
      <c r="AK314" s="883"/>
      <c r="BB314" s="906"/>
    </row>
    <row r="315" spans="1:54" s="892" customFormat="1" hidden="1" outlineLevel="1" x14ac:dyDescent="0.25">
      <c r="A315" s="910"/>
      <c r="B315" s="918"/>
      <c r="C315" s="907"/>
      <c r="D315" s="4328"/>
      <c r="E315" s="426" t="s">
        <v>1702</v>
      </c>
      <c r="F315" s="940">
        <f>7/3.412*0.85</f>
        <v>1.7438452520515826</v>
      </c>
      <c r="G315" s="3201" t="s">
        <v>285</v>
      </c>
      <c r="H315" s="3890"/>
      <c r="I315" s="918"/>
      <c r="J315" s="918"/>
      <c r="K315" s="918"/>
      <c r="L315" s="918"/>
      <c r="M315" s="918"/>
      <c r="N315" s="918"/>
      <c r="O315" s="918"/>
      <c r="P315" s="918"/>
      <c r="Q315" s="918"/>
      <c r="R315" s="918"/>
      <c r="S315" s="910"/>
      <c r="T315" s="910"/>
      <c r="U315" s="910"/>
      <c r="V315" s="4248"/>
      <c r="W315" s="919">
        <f>7/3.412*0.85</f>
        <v>1.7438452520515826</v>
      </c>
      <c r="X315" s="919">
        <v>1.7438452520515826</v>
      </c>
      <c r="Y315" s="919">
        <v>1.7438452520515826</v>
      </c>
      <c r="Z315" s="940">
        <v>1.7438452520515826</v>
      </c>
      <c r="AA315" s="940">
        <v>1.7438452520515826</v>
      </c>
      <c r="AB315" s="940">
        <v>1.7438452520515826</v>
      </c>
      <c r="AC315" s="940">
        <v>1.7438452520515826</v>
      </c>
      <c r="AD315" s="919"/>
      <c r="AE315" s="919"/>
      <c r="AF315" s="919"/>
      <c r="AG315" s="919"/>
      <c r="AK315" s="883"/>
      <c r="BB315" s="906"/>
    </row>
    <row r="316" spans="1:54" s="892" customFormat="1" hidden="1" outlineLevel="1" x14ac:dyDescent="0.25">
      <c r="A316" s="910"/>
      <c r="B316" s="918"/>
      <c r="C316" s="907"/>
      <c r="D316" s="4328"/>
      <c r="E316" s="420" t="s">
        <v>1704</v>
      </c>
      <c r="F316" s="943">
        <v>0.71</v>
      </c>
      <c r="G316" s="3201" t="s">
        <v>285</v>
      </c>
      <c r="H316" s="4334"/>
      <c r="I316" s="918"/>
      <c r="J316" s="918"/>
      <c r="K316" s="918"/>
      <c r="L316" s="918"/>
      <c r="M316" s="918"/>
      <c r="N316" s="918"/>
      <c r="O316" s="918"/>
      <c r="P316" s="918"/>
      <c r="Q316" s="918"/>
      <c r="R316" s="918"/>
      <c r="S316" s="910"/>
      <c r="T316" s="910"/>
      <c r="U316" s="910"/>
      <c r="V316" s="4249"/>
      <c r="W316" s="920">
        <v>0.71</v>
      </c>
      <c r="X316" s="920">
        <v>0.71</v>
      </c>
      <c r="Y316" s="920">
        <v>0.71</v>
      </c>
      <c r="Z316" s="943">
        <v>0.71</v>
      </c>
      <c r="AA316" s="943">
        <v>0.71</v>
      </c>
      <c r="AB316" s="943">
        <v>0.71</v>
      </c>
      <c r="AC316" s="943">
        <v>0.71</v>
      </c>
      <c r="AD316" s="920"/>
      <c r="AE316" s="920"/>
      <c r="AF316" s="920"/>
      <c r="AG316" s="920"/>
      <c r="AK316" s="883"/>
      <c r="BB316" s="906"/>
    </row>
    <row r="317" spans="1:54" s="892" customFormat="1" hidden="1" outlineLevel="1" x14ac:dyDescent="0.25">
      <c r="A317" s="910"/>
      <c r="B317" s="918"/>
      <c r="C317" s="907"/>
      <c r="D317" s="4344" t="s">
        <v>309</v>
      </c>
      <c r="E317" s="420" t="s">
        <v>1646</v>
      </c>
      <c r="F317" s="940">
        <f t="shared" ref="F317:F346" si="48">(1-F164)*(1/(F194+5)-1/(F224+5))*F254*(1-F$284)*F$285*24*F$286/(100000*F287)</f>
        <v>0</v>
      </c>
      <c r="G317" s="3201" t="s">
        <v>310</v>
      </c>
      <c r="H317" s="1204"/>
      <c r="I317" s="918"/>
      <c r="J317" s="918"/>
      <c r="K317" s="918"/>
      <c r="L317" s="918"/>
      <c r="M317" s="918"/>
      <c r="N317" s="918"/>
      <c r="O317" s="918"/>
      <c r="P317" s="918"/>
      <c r="Q317" s="918"/>
      <c r="R317" s="918"/>
      <c r="S317" s="910"/>
      <c r="T317" s="910"/>
      <c r="U317" s="910"/>
      <c r="V317" s="4247" t="str">
        <f>D317</f>
        <v>∆Therms</v>
      </c>
      <c r="W317" s="919">
        <f t="shared" ref="W317:W346" si="49">(1-W164)*(1/(W194+5)-1/(W224+5))*W254*(1-W$284)*W$285*24*W$286/(100000*W287)</f>
        <v>0</v>
      </c>
      <c r="X317" s="919">
        <v>0</v>
      </c>
      <c r="Y317" s="919">
        <v>0</v>
      </c>
      <c r="Z317" s="940">
        <v>0</v>
      </c>
      <c r="AA317" s="940">
        <v>0</v>
      </c>
      <c r="AB317" s="940">
        <v>0</v>
      </c>
      <c r="AC317" s="940">
        <v>0</v>
      </c>
      <c r="AD317" s="919"/>
      <c r="AE317" s="919"/>
      <c r="AF317" s="919"/>
      <c r="AG317" s="919"/>
      <c r="AK317" s="883"/>
      <c r="BB317" s="906"/>
    </row>
    <row r="318" spans="1:54" s="892" customFormat="1" hidden="1" outlineLevel="1" x14ac:dyDescent="0.25">
      <c r="A318" s="910"/>
      <c r="B318" s="918"/>
      <c r="C318" s="907"/>
      <c r="D318" s="4345"/>
      <c r="E318" s="420" t="s">
        <v>1648</v>
      </c>
      <c r="F318" s="940">
        <f t="shared" si="48"/>
        <v>0</v>
      </c>
      <c r="G318" s="3201" t="s">
        <v>310</v>
      </c>
      <c r="H318" s="1204"/>
      <c r="I318" s="918"/>
      <c r="J318" s="918"/>
      <c r="K318" s="918"/>
      <c r="L318" s="918"/>
      <c r="M318" s="918"/>
      <c r="N318" s="918"/>
      <c r="O318" s="918"/>
      <c r="P318" s="918"/>
      <c r="Q318" s="918"/>
      <c r="R318" s="918"/>
      <c r="S318" s="910"/>
      <c r="T318" s="910"/>
      <c r="U318" s="910"/>
      <c r="V318" s="4248"/>
      <c r="W318" s="919">
        <f t="shared" si="49"/>
        <v>0</v>
      </c>
      <c r="X318" s="919">
        <v>0</v>
      </c>
      <c r="Y318" s="919">
        <v>0</v>
      </c>
      <c r="Z318" s="940">
        <v>0</v>
      </c>
      <c r="AA318" s="940">
        <v>0</v>
      </c>
      <c r="AB318" s="940">
        <v>0</v>
      </c>
      <c r="AC318" s="940">
        <v>0</v>
      </c>
      <c r="AD318" s="919"/>
      <c r="AE318" s="919"/>
      <c r="AF318" s="919"/>
      <c r="AG318" s="919"/>
      <c r="AK318" s="883"/>
      <c r="BB318" s="906"/>
    </row>
    <row r="319" spans="1:54" s="892" customFormat="1" hidden="1" outlineLevel="1" x14ac:dyDescent="0.25">
      <c r="A319" s="910"/>
      <c r="B319" s="918"/>
      <c r="C319" s="907"/>
      <c r="D319" s="4345"/>
      <c r="E319" s="420" t="s">
        <v>1650</v>
      </c>
      <c r="F319" s="940">
        <f t="shared" si="48"/>
        <v>4.5898308920187786E-2</v>
      </c>
      <c r="G319" s="3201" t="s">
        <v>310</v>
      </c>
      <c r="H319" s="1204"/>
      <c r="I319" s="918"/>
      <c r="J319" s="918"/>
      <c r="K319" s="918"/>
      <c r="L319" s="918"/>
      <c r="M319" s="918"/>
      <c r="N319" s="918"/>
      <c r="O319" s="918"/>
      <c r="P319" s="918"/>
      <c r="Q319" s="918"/>
      <c r="R319" s="918"/>
      <c r="S319" s="910"/>
      <c r="T319" s="910"/>
      <c r="U319" s="910"/>
      <c r="V319" s="4248"/>
      <c r="W319" s="919">
        <f t="shared" si="49"/>
        <v>40.186264375070415</v>
      </c>
      <c r="X319" s="919">
        <v>40.186264375070415</v>
      </c>
      <c r="Y319" s="919">
        <v>4.5898308920187786E-2</v>
      </c>
      <c r="Z319" s="940">
        <v>4.5898308920187786E-2</v>
      </c>
      <c r="AA319" s="940">
        <v>4.5898308920187786E-2</v>
      </c>
      <c r="AB319" s="940">
        <v>4.5898308920187786E-2</v>
      </c>
      <c r="AC319" s="940">
        <v>4.5898308920187786E-2</v>
      </c>
      <c r="AD319" s="919"/>
      <c r="AE319" s="919"/>
      <c r="AF319" s="919"/>
      <c r="AG319" s="919"/>
      <c r="AK319" s="883"/>
      <c r="BB319" s="906"/>
    </row>
    <row r="320" spans="1:54" s="892" customFormat="1" hidden="1" outlineLevel="1" x14ac:dyDescent="0.25">
      <c r="A320" s="910"/>
      <c r="B320" s="918"/>
      <c r="C320" s="907"/>
      <c r="D320" s="4345"/>
      <c r="E320" s="420" t="s">
        <v>1652</v>
      </c>
      <c r="F320" s="940">
        <f t="shared" si="48"/>
        <v>0</v>
      </c>
      <c r="G320" s="3201" t="s">
        <v>310</v>
      </c>
      <c r="H320" s="1204"/>
      <c r="I320" s="918"/>
      <c r="J320" s="918"/>
      <c r="K320" s="918"/>
      <c r="L320" s="918"/>
      <c r="M320" s="918"/>
      <c r="N320" s="918"/>
      <c r="O320" s="918"/>
      <c r="P320" s="918"/>
      <c r="Q320" s="918"/>
      <c r="R320" s="918"/>
      <c r="S320" s="910"/>
      <c r="T320" s="910"/>
      <c r="U320" s="910"/>
      <c r="V320" s="4248"/>
      <c r="W320" s="919">
        <f t="shared" si="49"/>
        <v>0</v>
      </c>
      <c r="X320" s="919">
        <v>0</v>
      </c>
      <c r="Y320" s="919">
        <v>0</v>
      </c>
      <c r="Z320" s="940">
        <v>0</v>
      </c>
      <c r="AA320" s="940">
        <v>0</v>
      </c>
      <c r="AB320" s="940">
        <v>0</v>
      </c>
      <c r="AC320" s="940">
        <v>0</v>
      </c>
      <c r="AD320" s="919"/>
      <c r="AE320" s="919"/>
      <c r="AF320" s="919"/>
      <c r="AG320" s="919"/>
      <c r="AK320" s="883"/>
      <c r="BB320" s="906"/>
    </row>
    <row r="321" spans="1:54" s="892" customFormat="1" hidden="1" outlineLevel="1" x14ac:dyDescent="0.25">
      <c r="A321" s="910"/>
      <c r="B321" s="918"/>
      <c r="C321" s="907"/>
      <c r="D321" s="4345"/>
      <c r="E321" s="420" t="s">
        <v>1654</v>
      </c>
      <c r="F321" s="940">
        <f t="shared" si="48"/>
        <v>0</v>
      </c>
      <c r="G321" s="3201" t="s">
        <v>310</v>
      </c>
      <c r="H321" s="1204"/>
      <c r="I321" s="918"/>
      <c r="J321" s="918"/>
      <c r="K321" s="918"/>
      <c r="L321" s="918"/>
      <c r="M321" s="918"/>
      <c r="N321" s="918"/>
      <c r="O321" s="918"/>
      <c r="P321" s="918"/>
      <c r="Q321" s="918"/>
      <c r="R321" s="918"/>
      <c r="S321" s="910"/>
      <c r="T321" s="910"/>
      <c r="U321" s="910"/>
      <c r="V321" s="4248"/>
      <c r="W321" s="919">
        <f t="shared" si="49"/>
        <v>0</v>
      </c>
      <c r="X321" s="919">
        <v>0</v>
      </c>
      <c r="Y321" s="919">
        <v>0</v>
      </c>
      <c r="Z321" s="940">
        <v>0</v>
      </c>
      <c r="AA321" s="940">
        <v>0</v>
      </c>
      <c r="AB321" s="940">
        <v>0</v>
      </c>
      <c r="AC321" s="940">
        <v>0</v>
      </c>
      <c r="AD321" s="919"/>
      <c r="AE321" s="919"/>
      <c r="AF321" s="919"/>
      <c r="AG321" s="919"/>
      <c r="AK321" s="883"/>
      <c r="BB321" s="906"/>
    </row>
    <row r="322" spans="1:54" s="892" customFormat="1" hidden="1" outlineLevel="1" x14ac:dyDescent="0.25">
      <c r="A322" s="910"/>
      <c r="B322" s="918"/>
      <c r="C322" s="907"/>
      <c r="D322" s="4345"/>
      <c r="E322" s="420" t="s">
        <v>1656</v>
      </c>
      <c r="F322" s="940">
        <f t="shared" si="48"/>
        <v>4.5898308920187786E-2</v>
      </c>
      <c r="G322" s="3201" t="s">
        <v>310</v>
      </c>
      <c r="H322" s="1204"/>
      <c r="I322" s="918"/>
      <c r="J322" s="918"/>
      <c r="K322" s="918"/>
      <c r="L322" s="918"/>
      <c r="M322" s="918"/>
      <c r="N322" s="918"/>
      <c r="O322" s="918"/>
      <c r="P322" s="918"/>
      <c r="Q322" s="918"/>
      <c r="R322" s="918"/>
      <c r="S322" s="910"/>
      <c r="T322" s="910"/>
      <c r="U322" s="910"/>
      <c r="V322" s="4248"/>
      <c r="W322" s="919">
        <f t="shared" si="49"/>
        <v>61.825022115492956</v>
      </c>
      <c r="X322" s="919">
        <v>61.825022115492956</v>
      </c>
      <c r="Y322" s="919">
        <v>4.5898308920187786E-2</v>
      </c>
      <c r="Z322" s="940">
        <v>4.5898308920187786E-2</v>
      </c>
      <c r="AA322" s="940">
        <v>4.5898308920187786E-2</v>
      </c>
      <c r="AB322" s="940">
        <v>4.5898308920187786E-2</v>
      </c>
      <c r="AC322" s="940">
        <v>4.5898308920187786E-2</v>
      </c>
      <c r="AD322" s="919"/>
      <c r="AE322" s="919"/>
      <c r="AF322" s="919"/>
      <c r="AG322" s="919"/>
      <c r="AK322" s="883"/>
      <c r="BB322" s="906"/>
    </row>
    <row r="323" spans="1:54" s="892" customFormat="1" hidden="1" outlineLevel="1" x14ac:dyDescent="0.25">
      <c r="A323" s="910"/>
      <c r="B323" s="918"/>
      <c r="C323" s="907"/>
      <c r="D323" s="4345"/>
      <c r="E323" s="420" t="s">
        <v>1658</v>
      </c>
      <c r="F323" s="940">
        <f t="shared" si="48"/>
        <v>0</v>
      </c>
      <c r="G323" s="3201" t="s">
        <v>310</v>
      </c>
      <c r="H323" s="1204"/>
      <c r="I323" s="918"/>
      <c r="J323" s="918"/>
      <c r="K323" s="918"/>
      <c r="L323" s="918"/>
      <c r="M323" s="918"/>
      <c r="N323" s="918"/>
      <c r="O323" s="918"/>
      <c r="P323" s="918"/>
      <c r="Q323" s="918"/>
      <c r="R323" s="918"/>
      <c r="S323" s="910"/>
      <c r="T323" s="910"/>
      <c r="U323" s="910"/>
      <c r="V323" s="4248"/>
      <c r="W323" s="919">
        <f t="shared" si="49"/>
        <v>0</v>
      </c>
      <c r="X323" s="919">
        <v>0</v>
      </c>
      <c r="Y323" s="919">
        <v>0</v>
      </c>
      <c r="Z323" s="940">
        <v>0</v>
      </c>
      <c r="AA323" s="940">
        <v>0</v>
      </c>
      <c r="AB323" s="940">
        <v>0</v>
      </c>
      <c r="AC323" s="940">
        <v>0</v>
      </c>
      <c r="AD323" s="919"/>
      <c r="AE323" s="919"/>
      <c r="AF323" s="919"/>
      <c r="AG323" s="919"/>
      <c r="AK323" s="883"/>
      <c r="BB323" s="906"/>
    </row>
    <row r="324" spans="1:54" s="892" customFormat="1" hidden="1" outlineLevel="1" x14ac:dyDescent="0.25">
      <c r="A324" s="910"/>
      <c r="B324" s="918"/>
      <c r="C324" s="907"/>
      <c r="D324" s="4345"/>
      <c r="E324" s="420" t="s">
        <v>1660</v>
      </c>
      <c r="F324" s="940">
        <f t="shared" si="48"/>
        <v>0</v>
      </c>
      <c r="G324" s="3201" t="s">
        <v>310</v>
      </c>
      <c r="H324" s="1204"/>
      <c r="I324" s="918"/>
      <c r="J324" s="918"/>
      <c r="K324" s="918"/>
      <c r="L324" s="918"/>
      <c r="M324" s="918"/>
      <c r="N324" s="918"/>
      <c r="O324" s="918"/>
      <c r="P324" s="918"/>
      <c r="Q324" s="918"/>
      <c r="R324" s="918"/>
      <c r="S324" s="910"/>
      <c r="T324" s="910"/>
      <c r="U324" s="910"/>
      <c r="V324" s="4248"/>
      <c r="W324" s="919">
        <f t="shared" si="49"/>
        <v>0</v>
      </c>
      <c r="X324" s="919">
        <v>0</v>
      </c>
      <c r="Y324" s="919">
        <v>0</v>
      </c>
      <c r="Z324" s="940">
        <v>0</v>
      </c>
      <c r="AA324" s="940">
        <v>0</v>
      </c>
      <c r="AB324" s="940">
        <v>0</v>
      </c>
      <c r="AC324" s="940">
        <v>0</v>
      </c>
      <c r="AD324" s="919"/>
      <c r="AE324" s="919"/>
      <c r="AF324" s="919"/>
      <c r="AG324" s="919"/>
      <c r="AK324" s="883"/>
      <c r="BB324" s="906"/>
    </row>
    <row r="325" spans="1:54" s="892" customFormat="1" hidden="1" outlineLevel="1" x14ac:dyDescent="0.25">
      <c r="A325" s="910"/>
      <c r="B325" s="918"/>
      <c r="C325" s="907"/>
      <c r="D325" s="4345"/>
      <c r="E325" s="426" t="s">
        <v>1662</v>
      </c>
      <c r="F325" s="940">
        <f t="shared" si="48"/>
        <v>7.4541614486921537E-2</v>
      </c>
      <c r="G325" s="3201" t="s">
        <v>310</v>
      </c>
      <c r="H325" s="1204"/>
      <c r="I325" s="918"/>
      <c r="J325" s="918"/>
      <c r="K325" s="918"/>
      <c r="L325" s="918"/>
      <c r="M325" s="918"/>
      <c r="N325" s="918"/>
      <c r="O325" s="918"/>
      <c r="P325" s="918"/>
      <c r="Q325" s="918"/>
      <c r="R325" s="918"/>
      <c r="S325" s="910"/>
      <c r="T325" s="910"/>
      <c r="U325" s="910"/>
      <c r="V325" s="4248"/>
      <c r="W325" s="919">
        <f t="shared" si="49"/>
        <v>53.587966654647893</v>
      </c>
      <c r="X325" s="919">
        <v>53.587966654647893</v>
      </c>
      <c r="Y325" s="919">
        <v>7.4541614486921537E-2</v>
      </c>
      <c r="Z325" s="940">
        <v>7.4541614486921537E-2</v>
      </c>
      <c r="AA325" s="940">
        <v>7.4541614486921537E-2</v>
      </c>
      <c r="AB325" s="940">
        <v>7.4541614486921537E-2</v>
      </c>
      <c r="AC325" s="940">
        <v>7.4541614486921537E-2</v>
      </c>
      <c r="AD325" s="919"/>
      <c r="AE325" s="919"/>
      <c r="AF325" s="919"/>
      <c r="AG325" s="919"/>
      <c r="AK325" s="883"/>
      <c r="BB325" s="906"/>
    </row>
    <row r="326" spans="1:54" s="892" customFormat="1" hidden="1" outlineLevel="1" x14ac:dyDescent="0.25">
      <c r="A326" s="910"/>
      <c r="B326" s="918"/>
      <c r="C326" s="907"/>
      <c r="D326" s="4345"/>
      <c r="E326" s="420" t="s">
        <v>1664</v>
      </c>
      <c r="F326" s="940">
        <f t="shared" si="48"/>
        <v>0</v>
      </c>
      <c r="G326" s="3201" t="s">
        <v>310</v>
      </c>
      <c r="H326" s="1204"/>
      <c r="I326" s="918"/>
      <c r="J326" s="918"/>
      <c r="K326" s="918"/>
      <c r="L326" s="918"/>
      <c r="M326" s="918"/>
      <c r="N326" s="918"/>
      <c r="O326" s="918"/>
      <c r="P326" s="918"/>
      <c r="Q326" s="918"/>
      <c r="R326" s="918"/>
      <c r="S326" s="910"/>
      <c r="T326" s="910"/>
      <c r="U326" s="910"/>
      <c r="V326" s="4248"/>
      <c r="W326" s="919">
        <f t="shared" si="49"/>
        <v>0</v>
      </c>
      <c r="X326" s="919">
        <v>0</v>
      </c>
      <c r="Y326" s="919">
        <v>0</v>
      </c>
      <c r="Z326" s="940">
        <v>0</v>
      </c>
      <c r="AA326" s="940">
        <v>0</v>
      </c>
      <c r="AB326" s="940">
        <v>0</v>
      </c>
      <c r="AC326" s="940">
        <v>0</v>
      </c>
      <c r="AD326" s="919"/>
      <c r="AE326" s="919"/>
      <c r="AF326" s="919"/>
      <c r="AG326" s="919"/>
      <c r="AK326" s="883"/>
      <c r="BB326" s="906"/>
    </row>
    <row r="327" spans="1:54" s="892" customFormat="1" hidden="1" outlineLevel="1" x14ac:dyDescent="0.25">
      <c r="A327" s="910"/>
      <c r="B327" s="918"/>
      <c r="C327" s="907"/>
      <c r="D327" s="4345"/>
      <c r="E327" s="420" t="s">
        <v>1666</v>
      </c>
      <c r="F327" s="940">
        <f t="shared" si="48"/>
        <v>0</v>
      </c>
      <c r="G327" s="3201" t="s">
        <v>310</v>
      </c>
      <c r="H327" s="1204"/>
      <c r="I327" s="918"/>
      <c r="J327" s="918"/>
      <c r="K327" s="918"/>
      <c r="L327" s="918"/>
      <c r="M327" s="918"/>
      <c r="N327" s="918"/>
      <c r="O327" s="918"/>
      <c r="P327" s="918"/>
      <c r="Q327" s="918"/>
      <c r="R327" s="918"/>
      <c r="S327" s="910"/>
      <c r="T327" s="910"/>
      <c r="U327" s="910"/>
      <c r="V327" s="4248"/>
      <c r="W327" s="919">
        <f t="shared" si="49"/>
        <v>0</v>
      </c>
      <c r="X327" s="919">
        <v>0</v>
      </c>
      <c r="Y327" s="919">
        <v>0</v>
      </c>
      <c r="Z327" s="940">
        <v>0</v>
      </c>
      <c r="AA327" s="940">
        <v>0</v>
      </c>
      <c r="AB327" s="940">
        <v>0</v>
      </c>
      <c r="AC327" s="940">
        <v>0</v>
      </c>
      <c r="AD327" s="919"/>
      <c r="AE327" s="919"/>
      <c r="AF327" s="919"/>
      <c r="AG327" s="919"/>
      <c r="AK327" s="883"/>
      <c r="BB327" s="906"/>
    </row>
    <row r="328" spans="1:54" s="892" customFormat="1" hidden="1" outlineLevel="1" x14ac:dyDescent="0.25">
      <c r="A328" s="910"/>
      <c r="B328" s="918"/>
      <c r="C328" s="907"/>
      <c r="D328" s="4345"/>
      <c r="E328" s="1620" t="s">
        <v>1668</v>
      </c>
      <c r="F328" s="940">
        <f t="shared" si="48"/>
        <v>7.4541614486921537E-2</v>
      </c>
      <c r="G328" s="3201" t="s">
        <v>310</v>
      </c>
      <c r="H328" s="1204"/>
      <c r="I328" s="918"/>
      <c r="J328" s="918"/>
      <c r="K328" s="918"/>
      <c r="L328" s="918"/>
      <c r="M328" s="918"/>
      <c r="N328" s="918"/>
      <c r="O328" s="918"/>
      <c r="P328" s="918"/>
      <c r="Q328" s="918"/>
      <c r="R328" s="918"/>
      <c r="S328" s="910"/>
      <c r="T328" s="910"/>
      <c r="U328" s="910"/>
      <c r="V328" s="4248"/>
      <c r="W328" s="919">
        <f t="shared" si="49"/>
        <v>82.443025622535217</v>
      </c>
      <c r="X328" s="919">
        <v>82.443025622535217</v>
      </c>
      <c r="Y328" s="919">
        <v>7.4541614486921537E-2</v>
      </c>
      <c r="Z328" s="940">
        <v>7.4541614486921537E-2</v>
      </c>
      <c r="AA328" s="940">
        <v>7.4541614486921537E-2</v>
      </c>
      <c r="AB328" s="940">
        <v>7.4541614486921537E-2</v>
      </c>
      <c r="AC328" s="940">
        <v>7.4541614486921537E-2</v>
      </c>
      <c r="AD328" s="919"/>
      <c r="AE328" s="919"/>
      <c r="AF328" s="919"/>
      <c r="AG328" s="919"/>
      <c r="AK328" s="883"/>
      <c r="BB328" s="906"/>
    </row>
    <row r="329" spans="1:54" s="892" customFormat="1" hidden="1" outlineLevel="1" x14ac:dyDescent="0.25">
      <c r="A329" s="910"/>
      <c r="B329" s="918"/>
      <c r="C329" s="907"/>
      <c r="D329" s="4345"/>
      <c r="E329" s="420" t="s">
        <v>1670</v>
      </c>
      <c r="F329" s="940">
        <f t="shared" si="48"/>
        <v>0</v>
      </c>
      <c r="G329" s="3201" t="s">
        <v>310</v>
      </c>
      <c r="H329" s="1204"/>
      <c r="I329" s="918"/>
      <c r="J329" s="918"/>
      <c r="K329" s="918"/>
      <c r="L329" s="918"/>
      <c r="M329" s="918"/>
      <c r="N329" s="918"/>
      <c r="O329" s="918"/>
      <c r="P329" s="918"/>
      <c r="Q329" s="918"/>
      <c r="R329" s="918"/>
      <c r="S329" s="910"/>
      <c r="T329" s="910"/>
      <c r="U329" s="910"/>
      <c r="V329" s="4248"/>
      <c r="W329" s="919">
        <f t="shared" si="49"/>
        <v>0</v>
      </c>
      <c r="X329" s="919">
        <v>0</v>
      </c>
      <c r="Y329" s="919">
        <v>0</v>
      </c>
      <c r="Z329" s="940">
        <v>0</v>
      </c>
      <c r="AA329" s="940">
        <v>0</v>
      </c>
      <c r="AB329" s="940">
        <v>0</v>
      </c>
      <c r="AC329" s="940">
        <v>0</v>
      </c>
      <c r="AD329" s="919"/>
      <c r="AE329" s="919"/>
      <c r="AF329" s="919"/>
      <c r="AG329" s="919"/>
      <c r="AK329" s="883"/>
      <c r="BB329" s="906"/>
    </row>
    <row r="330" spans="1:54" s="892" customFormat="1" hidden="1" outlineLevel="1" x14ac:dyDescent="0.25">
      <c r="A330" s="910"/>
      <c r="B330" s="918"/>
      <c r="C330" s="907"/>
      <c r="D330" s="4345"/>
      <c r="E330" s="420" t="s">
        <v>1672</v>
      </c>
      <c r="F330" s="940">
        <f t="shared" si="48"/>
        <v>0</v>
      </c>
      <c r="G330" s="3201" t="s">
        <v>310</v>
      </c>
      <c r="H330" s="1204"/>
      <c r="I330" s="918"/>
      <c r="J330" s="918"/>
      <c r="K330" s="918"/>
      <c r="L330" s="918"/>
      <c r="M330" s="918"/>
      <c r="N330" s="918"/>
      <c r="O330" s="918"/>
      <c r="P330" s="918"/>
      <c r="Q330" s="918"/>
      <c r="R330" s="918"/>
      <c r="S330" s="910"/>
      <c r="T330" s="910"/>
      <c r="U330" s="910"/>
      <c r="V330" s="4248"/>
      <c r="W330" s="919">
        <f t="shared" si="49"/>
        <v>0</v>
      </c>
      <c r="X330" s="919">
        <v>0</v>
      </c>
      <c r="Y330" s="919">
        <v>0</v>
      </c>
      <c r="Z330" s="940">
        <v>0</v>
      </c>
      <c r="AA330" s="940">
        <v>0</v>
      </c>
      <c r="AB330" s="940">
        <v>0</v>
      </c>
      <c r="AC330" s="940">
        <v>0</v>
      </c>
      <c r="AD330" s="919"/>
      <c r="AE330" s="919"/>
      <c r="AF330" s="919"/>
      <c r="AG330" s="919"/>
      <c r="AK330" s="883"/>
      <c r="BB330" s="906"/>
    </row>
    <row r="331" spans="1:54" s="892" customFormat="1" hidden="1" outlineLevel="1" x14ac:dyDescent="0.25">
      <c r="A331" s="910"/>
      <c r="B331" s="918"/>
      <c r="C331" s="907"/>
      <c r="D331" s="4345"/>
      <c r="E331" s="426" t="s">
        <v>1674</v>
      </c>
      <c r="F331" s="940">
        <f t="shared" si="48"/>
        <v>8.0088897425483141E-2</v>
      </c>
      <c r="G331" s="3201" t="s">
        <v>310</v>
      </c>
      <c r="H331" s="1204"/>
      <c r="I331" s="918"/>
      <c r="J331" s="918"/>
      <c r="K331" s="918"/>
      <c r="L331" s="918"/>
      <c r="M331" s="918"/>
      <c r="N331" s="918"/>
      <c r="O331" s="918"/>
      <c r="P331" s="918"/>
      <c r="Q331" s="918"/>
      <c r="R331" s="918"/>
      <c r="S331" s="910"/>
      <c r="T331" s="910"/>
      <c r="U331" s="910"/>
      <c r="V331" s="4248"/>
      <c r="W331" s="919">
        <f t="shared" si="49"/>
        <v>57.57590835917982</v>
      </c>
      <c r="X331" s="919">
        <v>57.57590835917982</v>
      </c>
      <c r="Y331" s="919">
        <v>8.0088897425483141E-2</v>
      </c>
      <c r="Z331" s="940">
        <v>8.0088897425483141E-2</v>
      </c>
      <c r="AA331" s="940">
        <v>8.0088897425483141E-2</v>
      </c>
      <c r="AB331" s="940">
        <v>8.0088897425483141E-2</v>
      </c>
      <c r="AC331" s="940">
        <v>8.0088897425483141E-2</v>
      </c>
      <c r="AD331" s="919"/>
      <c r="AE331" s="919"/>
      <c r="AF331" s="919"/>
      <c r="AG331" s="919"/>
      <c r="AK331" s="883"/>
      <c r="BB331" s="906"/>
    </row>
    <row r="332" spans="1:54" s="892" customFormat="1" hidden="1" outlineLevel="1" x14ac:dyDescent="0.25">
      <c r="A332" s="910"/>
      <c r="B332" s="918"/>
      <c r="C332" s="907"/>
      <c r="D332" s="4345"/>
      <c r="E332" s="420" t="s">
        <v>1676</v>
      </c>
      <c r="F332" s="940">
        <f t="shared" si="48"/>
        <v>0</v>
      </c>
      <c r="G332" s="3201" t="s">
        <v>310</v>
      </c>
      <c r="H332" s="1204"/>
      <c r="I332" s="918"/>
      <c r="J332" s="918"/>
      <c r="K332" s="918"/>
      <c r="L332" s="918"/>
      <c r="M332" s="918"/>
      <c r="N332" s="918"/>
      <c r="O332" s="918"/>
      <c r="P332" s="918"/>
      <c r="Q332" s="918"/>
      <c r="R332" s="918"/>
      <c r="S332" s="910"/>
      <c r="T332" s="910"/>
      <c r="U332" s="910"/>
      <c r="V332" s="4248"/>
      <c r="W332" s="919">
        <f t="shared" si="49"/>
        <v>0</v>
      </c>
      <c r="X332" s="919">
        <v>0</v>
      </c>
      <c r="Y332" s="919">
        <v>0</v>
      </c>
      <c r="Z332" s="940">
        <v>0</v>
      </c>
      <c r="AA332" s="940">
        <v>0</v>
      </c>
      <c r="AB332" s="940">
        <v>0</v>
      </c>
      <c r="AC332" s="940">
        <v>0</v>
      </c>
      <c r="AD332" s="919"/>
      <c r="AE332" s="919"/>
      <c r="AF332" s="919"/>
      <c r="AG332" s="919"/>
      <c r="AK332" s="883"/>
      <c r="BB332" s="906"/>
    </row>
    <row r="333" spans="1:54" s="892" customFormat="1" hidden="1" outlineLevel="1" x14ac:dyDescent="0.25">
      <c r="A333" s="910"/>
      <c r="B333" s="918"/>
      <c r="C333" s="907"/>
      <c r="D333" s="4345"/>
      <c r="E333" s="426" t="s">
        <v>1678</v>
      </c>
      <c r="F333" s="940">
        <f t="shared" si="48"/>
        <v>0</v>
      </c>
      <c r="G333" s="3201" t="s">
        <v>310</v>
      </c>
      <c r="H333" s="1204"/>
      <c r="I333" s="918"/>
      <c r="J333" s="918"/>
      <c r="K333" s="918"/>
      <c r="L333" s="918"/>
      <c r="M333" s="918"/>
      <c r="N333" s="918"/>
      <c r="O333" s="918"/>
      <c r="P333" s="918"/>
      <c r="Q333" s="918"/>
      <c r="R333" s="918"/>
      <c r="S333" s="910"/>
      <c r="T333" s="910"/>
      <c r="U333" s="910"/>
      <c r="V333" s="4248"/>
      <c r="W333" s="919">
        <f t="shared" si="49"/>
        <v>0</v>
      </c>
      <c r="X333" s="919">
        <v>0</v>
      </c>
      <c r="Y333" s="919">
        <v>0</v>
      </c>
      <c r="Z333" s="940">
        <v>0</v>
      </c>
      <c r="AA333" s="940">
        <v>0</v>
      </c>
      <c r="AB333" s="940">
        <v>0</v>
      </c>
      <c r="AC333" s="940">
        <v>0</v>
      </c>
      <c r="AD333" s="919"/>
      <c r="AE333" s="919"/>
      <c r="AF333" s="919"/>
      <c r="AG333" s="919"/>
      <c r="AK333" s="883"/>
      <c r="BB333" s="906"/>
    </row>
    <row r="334" spans="1:54" s="892" customFormat="1" hidden="1" outlineLevel="1" x14ac:dyDescent="0.25">
      <c r="A334" s="910"/>
      <c r="B334" s="918"/>
      <c r="C334" s="907"/>
      <c r="D334" s="4345"/>
      <c r="E334" s="420" t="s">
        <v>1680</v>
      </c>
      <c r="F334" s="940">
        <f t="shared" si="48"/>
        <v>8.0088897425483141E-2</v>
      </c>
      <c r="G334" s="3201" t="s">
        <v>310</v>
      </c>
      <c r="H334" s="1204"/>
      <c r="I334" s="918"/>
      <c r="J334" s="918"/>
      <c r="K334" s="918"/>
      <c r="L334" s="918"/>
      <c r="M334" s="918"/>
      <c r="N334" s="918"/>
      <c r="O334" s="918"/>
      <c r="P334" s="918"/>
      <c r="Q334" s="918"/>
      <c r="R334" s="918"/>
      <c r="S334" s="910"/>
      <c r="T334" s="910"/>
      <c r="U334" s="910"/>
      <c r="V334" s="4248"/>
      <c r="W334" s="919">
        <f t="shared" si="49"/>
        <v>88.578320552584344</v>
      </c>
      <c r="X334" s="919">
        <v>88.578320552584344</v>
      </c>
      <c r="Y334" s="919">
        <v>8.0088897425483141E-2</v>
      </c>
      <c r="Z334" s="940">
        <v>8.0088897425483141E-2</v>
      </c>
      <c r="AA334" s="940">
        <v>8.0088897425483141E-2</v>
      </c>
      <c r="AB334" s="940">
        <v>8.0088897425483141E-2</v>
      </c>
      <c r="AC334" s="940">
        <v>8.0088897425483141E-2</v>
      </c>
      <c r="AD334" s="919"/>
      <c r="AE334" s="919"/>
      <c r="AF334" s="919"/>
      <c r="AG334" s="919"/>
      <c r="AK334" s="883"/>
      <c r="BB334" s="906"/>
    </row>
    <row r="335" spans="1:54" s="892" customFormat="1" hidden="1" outlineLevel="1" x14ac:dyDescent="0.25">
      <c r="A335" s="910"/>
      <c r="B335" s="918"/>
      <c r="C335" s="907"/>
      <c r="D335" s="4345"/>
      <c r="E335" s="420" t="s">
        <v>1682</v>
      </c>
      <c r="F335" s="940">
        <f t="shared" si="48"/>
        <v>0</v>
      </c>
      <c r="G335" s="3201" t="s">
        <v>310</v>
      </c>
      <c r="H335" s="1204"/>
      <c r="I335" s="918"/>
      <c r="J335" s="918"/>
      <c r="K335" s="918"/>
      <c r="L335" s="918"/>
      <c r="M335" s="918"/>
      <c r="N335" s="918"/>
      <c r="O335" s="918"/>
      <c r="P335" s="918"/>
      <c r="Q335" s="918"/>
      <c r="R335" s="918"/>
      <c r="S335" s="910"/>
      <c r="T335" s="910"/>
      <c r="U335" s="910"/>
      <c r="V335" s="4248"/>
      <c r="W335" s="919">
        <f t="shared" si="49"/>
        <v>0</v>
      </c>
      <c r="X335" s="919">
        <v>0</v>
      </c>
      <c r="Y335" s="919">
        <v>0</v>
      </c>
      <c r="Z335" s="940">
        <v>0</v>
      </c>
      <c r="AA335" s="940">
        <v>0</v>
      </c>
      <c r="AB335" s="940">
        <v>0</v>
      </c>
      <c r="AC335" s="940">
        <v>0</v>
      </c>
      <c r="AD335" s="919"/>
      <c r="AE335" s="919"/>
      <c r="AF335" s="919"/>
      <c r="AG335" s="919"/>
      <c r="AK335" s="883"/>
      <c r="BB335" s="906"/>
    </row>
    <row r="336" spans="1:54" s="892" customFormat="1" hidden="1" outlineLevel="1" x14ac:dyDescent="0.25">
      <c r="A336" s="910"/>
      <c r="B336" s="918"/>
      <c r="C336" s="907"/>
      <c r="D336" s="4345"/>
      <c r="E336" s="420" t="s">
        <v>1684</v>
      </c>
      <c r="F336" s="940">
        <f t="shared" si="48"/>
        <v>0</v>
      </c>
      <c r="G336" s="3201" t="s">
        <v>310</v>
      </c>
      <c r="H336" s="1204"/>
      <c r="I336" s="918"/>
      <c r="J336" s="918"/>
      <c r="K336" s="918"/>
      <c r="L336" s="918"/>
      <c r="M336" s="918"/>
      <c r="N336" s="918"/>
      <c r="O336" s="918"/>
      <c r="P336" s="918"/>
      <c r="Q336" s="918"/>
      <c r="R336" s="918"/>
      <c r="S336" s="910"/>
      <c r="T336" s="910"/>
      <c r="U336" s="910"/>
      <c r="V336" s="4248"/>
      <c r="W336" s="919">
        <f t="shared" si="49"/>
        <v>0</v>
      </c>
      <c r="X336" s="919">
        <v>0</v>
      </c>
      <c r="Y336" s="919">
        <v>0</v>
      </c>
      <c r="Z336" s="940">
        <v>0</v>
      </c>
      <c r="AA336" s="940">
        <v>0</v>
      </c>
      <c r="AB336" s="940">
        <v>0</v>
      </c>
      <c r="AC336" s="940">
        <v>0</v>
      </c>
      <c r="AD336" s="919"/>
      <c r="AE336" s="919"/>
      <c r="AF336" s="919"/>
      <c r="AG336" s="919"/>
      <c r="AK336" s="883"/>
      <c r="BB336" s="906"/>
    </row>
    <row r="337" spans="1:54" s="892" customFormat="1" hidden="1" outlineLevel="1" x14ac:dyDescent="0.25">
      <c r="A337" s="910"/>
      <c r="B337" s="918"/>
      <c r="C337" s="907"/>
      <c r="D337" s="4345"/>
      <c r="E337" s="426" t="s">
        <v>1686</v>
      </c>
      <c r="F337" s="940">
        <f t="shared" si="48"/>
        <v>8.5032656525821607E-2</v>
      </c>
      <c r="G337" s="3201" t="s">
        <v>310</v>
      </c>
      <c r="H337" s="1204"/>
      <c r="I337" s="918"/>
      <c r="J337" s="918"/>
      <c r="K337" s="918"/>
      <c r="L337" s="918"/>
      <c r="M337" s="918"/>
      <c r="N337" s="918"/>
      <c r="O337" s="918"/>
      <c r="P337" s="918"/>
      <c r="Q337" s="918"/>
      <c r="R337" s="918"/>
      <c r="S337" s="910"/>
      <c r="T337" s="910"/>
      <c r="U337" s="910"/>
      <c r="V337" s="4248"/>
      <c r="W337" s="919">
        <f t="shared" si="49"/>
        <v>61.129976776413137</v>
      </c>
      <c r="X337" s="919">
        <v>61.129976776413137</v>
      </c>
      <c r="Y337" s="919">
        <v>8.5032656525821607E-2</v>
      </c>
      <c r="Z337" s="940">
        <v>8.5032656525821607E-2</v>
      </c>
      <c r="AA337" s="940">
        <v>8.5032656525821607E-2</v>
      </c>
      <c r="AB337" s="940">
        <v>8.5032656525821607E-2</v>
      </c>
      <c r="AC337" s="940">
        <v>8.5032656525821607E-2</v>
      </c>
      <c r="AD337" s="919"/>
      <c r="AE337" s="919"/>
      <c r="AF337" s="919"/>
      <c r="AG337" s="919"/>
      <c r="AK337" s="883"/>
      <c r="BB337" s="906"/>
    </row>
    <row r="338" spans="1:54" s="892" customFormat="1" hidden="1" outlineLevel="1" x14ac:dyDescent="0.25">
      <c r="A338" s="910"/>
      <c r="B338" s="918"/>
      <c r="C338" s="907"/>
      <c r="D338" s="4345"/>
      <c r="E338" s="420" t="s">
        <v>1688</v>
      </c>
      <c r="F338" s="940">
        <f t="shared" si="48"/>
        <v>0</v>
      </c>
      <c r="G338" s="3201" t="s">
        <v>310</v>
      </c>
      <c r="H338" s="1204"/>
      <c r="I338" s="918"/>
      <c r="J338" s="918"/>
      <c r="K338" s="918"/>
      <c r="L338" s="918"/>
      <c r="M338" s="918"/>
      <c r="N338" s="918"/>
      <c r="O338" s="918"/>
      <c r="P338" s="918"/>
      <c r="Q338" s="918"/>
      <c r="R338" s="918"/>
      <c r="S338" s="910"/>
      <c r="T338" s="910"/>
      <c r="U338" s="910"/>
      <c r="V338" s="4248"/>
      <c r="W338" s="919">
        <f t="shared" si="49"/>
        <v>0</v>
      </c>
      <c r="X338" s="919">
        <v>0</v>
      </c>
      <c r="Y338" s="919">
        <v>0</v>
      </c>
      <c r="Z338" s="940">
        <v>0</v>
      </c>
      <c r="AA338" s="940">
        <v>0</v>
      </c>
      <c r="AB338" s="940">
        <v>0</v>
      </c>
      <c r="AC338" s="940">
        <v>0</v>
      </c>
      <c r="AD338" s="919"/>
      <c r="AE338" s="919"/>
      <c r="AF338" s="919"/>
      <c r="AG338" s="919"/>
      <c r="AK338" s="883"/>
      <c r="BB338" s="906"/>
    </row>
    <row r="339" spans="1:54" s="892" customFormat="1" hidden="1" outlineLevel="1" x14ac:dyDescent="0.25">
      <c r="A339" s="910"/>
      <c r="B339" s="918"/>
      <c r="C339" s="907"/>
      <c r="D339" s="4345"/>
      <c r="E339" s="426" t="s">
        <v>1690</v>
      </c>
      <c r="F339" s="940">
        <f t="shared" si="48"/>
        <v>0</v>
      </c>
      <c r="G339" s="3201" t="s">
        <v>310</v>
      </c>
      <c r="H339" s="1204"/>
      <c r="I339" s="918"/>
      <c r="J339" s="918"/>
      <c r="K339" s="918"/>
      <c r="L339" s="918"/>
      <c r="M339" s="918"/>
      <c r="N339" s="918"/>
      <c r="O339" s="918"/>
      <c r="P339" s="918"/>
      <c r="Q339" s="918"/>
      <c r="R339" s="918"/>
      <c r="S339" s="910"/>
      <c r="T339" s="910"/>
      <c r="U339" s="910"/>
      <c r="V339" s="4248"/>
      <c r="W339" s="919">
        <f t="shared" si="49"/>
        <v>0</v>
      </c>
      <c r="X339" s="919">
        <v>0</v>
      </c>
      <c r="Y339" s="919">
        <v>0</v>
      </c>
      <c r="Z339" s="940">
        <v>0</v>
      </c>
      <c r="AA339" s="940">
        <v>0</v>
      </c>
      <c r="AB339" s="940">
        <v>0</v>
      </c>
      <c r="AC339" s="940">
        <v>0</v>
      </c>
      <c r="AD339" s="919"/>
      <c r="AE339" s="919"/>
      <c r="AF339" s="919"/>
      <c r="AG339" s="919"/>
      <c r="AK339" s="883"/>
      <c r="BB339" s="906"/>
    </row>
    <row r="340" spans="1:54" s="892" customFormat="1" hidden="1" outlineLevel="1" x14ac:dyDescent="0.25">
      <c r="A340" s="910"/>
      <c r="B340" s="918"/>
      <c r="C340" s="907"/>
      <c r="D340" s="4345"/>
      <c r="E340" s="420" t="s">
        <v>1692</v>
      </c>
      <c r="F340" s="940">
        <f t="shared" si="48"/>
        <v>8.5032656525821607E-2</v>
      </c>
      <c r="G340" s="3201" t="s">
        <v>310</v>
      </c>
      <c r="H340" s="1204"/>
      <c r="I340" s="918"/>
      <c r="J340" s="918"/>
      <c r="K340" s="918"/>
      <c r="L340" s="918"/>
      <c r="M340" s="918"/>
      <c r="N340" s="918"/>
      <c r="O340" s="918"/>
      <c r="P340" s="918"/>
      <c r="Q340" s="918"/>
      <c r="R340" s="918"/>
      <c r="S340" s="910"/>
      <c r="T340" s="910"/>
      <c r="U340" s="910"/>
      <c r="V340" s="4248"/>
      <c r="W340" s="919">
        <f t="shared" si="49"/>
        <v>94.046118117558692</v>
      </c>
      <c r="X340" s="919">
        <v>94.046118117558692</v>
      </c>
      <c r="Y340" s="919">
        <v>8.5032656525821607E-2</v>
      </c>
      <c r="Z340" s="940">
        <v>8.5032656525821607E-2</v>
      </c>
      <c r="AA340" s="940">
        <v>8.5032656525821607E-2</v>
      </c>
      <c r="AB340" s="940">
        <v>8.5032656525821607E-2</v>
      </c>
      <c r="AC340" s="940">
        <v>8.5032656525821607E-2</v>
      </c>
      <c r="AD340" s="919"/>
      <c r="AE340" s="919"/>
      <c r="AF340" s="919"/>
      <c r="AG340" s="919"/>
      <c r="AK340" s="883"/>
      <c r="BB340" s="906"/>
    </row>
    <row r="341" spans="1:54" s="892" customFormat="1" hidden="1" outlineLevel="1" x14ac:dyDescent="0.25">
      <c r="A341" s="910"/>
      <c r="B341" s="918"/>
      <c r="C341" s="907"/>
      <c r="D341" s="4345"/>
      <c r="E341" s="420" t="s">
        <v>1694</v>
      </c>
      <c r="F341" s="940">
        <f t="shared" si="48"/>
        <v>0</v>
      </c>
      <c r="G341" s="3201" t="s">
        <v>310</v>
      </c>
      <c r="H341" s="1204"/>
      <c r="I341" s="918"/>
      <c r="J341" s="918"/>
      <c r="K341" s="918"/>
      <c r="L341" s="918"/>
      <c r="M341" s="918"/>
      <c r="N341" s="918"/>
      <c r="O341" s="918"/>
      <c r="P341" s="918"/>
      <c r="Q341" s="918"/>
      <c r="R341" s="918"/>
      <c r="S341" s="910"/>
      <c r="T341" s="910"/>
      <c r="U341" s="910"/>
      <c r="V341" s="4248"/>
      <c r="W341" s="919">
        <f t="shared" si="49"/>
        <v>0</v>
      </c>
      <c r="X341" s="919">
        <v>0</v>
      </c>
      <c r="Y341" s="919">
        <v>0</v>
      </c>
      <c r="Z341" s="940">
        <v>0</v>
      </c>
      <c r="AA341" s="940">
        <v>0</v>
      </c>
      <c r="AB341" s="940">
        <v>0</v>
      </c>
      <c r="AC341" s="940">
        <v>0</v>
      </c>
      <c r="AD341" s="919"/>
      <c r="AE341" s="919"/>
      <c r="AF341" s="919"/>
      <c r="AG341" s="919"/>
      <c r="AK341" s="883"/>
      <c r="BB341" s="906"/>
    </row>
    <row r="342" spans="1:54" s="892" customFormat="1" hidden="1" outlineLevel="1" x14ac:dyDescent="0.25">
      <c r="A342" s="910"/>
      <c r="B342" s="918"/>
      <c r="C342" s="907"/>
      <c r="D342" s="4345"/>
      <c r="E342" s="420" t="s">
        <v>1696</v>
      </c>
      <c r="F342" s="940">
        <f t="shared" si="48"/>
        <v>0</v>
      </c>
      <c r="G342" s="3201" t="s">
        <v>310</v>
      </c>
      <c r="H342" s="1204"/>
      <c r="I342" s="918"/>
      <c r="J342" s="918"/>
      <c r="K342" s="918"/>
      <c r="L342" s="918"/>
      <c r="M342" s="918"/>
      <c r="N342" s="918"/>
      <c r="O342" s="918"/>
      <c r="P342" s="918"/>
      <c r="Q342" s="918"/>
      <c r="R342" s="918"/>
      <c r="S342" s="910"/>
      <c r="T342" s="910"/>
      <c r="U342" s="910"/>
      <c r="V342" s="4248"/>
      <c r="W342" s="919">
        <f t="shared" si="49"/>
        <v>0</v>
      </c>
      <c r="X342" s="919">
        <v>0</v>
      </c>
      <c r="Y342" s="919">
        <v>0</v>
      </c>
      <c r="Z342" s="940">
        <v>0</v>
      </c>
      <c r="AA342" s="940">
        <v>0</v>
      </c>
      <c r="AB342" s="940">
        <v>0</v>
      </c>
      <c r="AC342" s="940">
        <v>0</v>
      </c>
      <c r="AD342" s="919"/>
      <c r="AE342" s="919"/>
      <c r="AF342" s="919"/>
      <c r="AG342" s="919"/>
      <c r="AK342" s="883"/>
      <c r="BB342" s="906"/>
    </row>
    <row r="343" spans="1:54" s="892" customFormat="1" hidden="1" outlineLevel="1" x14ac:dyDescent="0.25">
      <c r="A343" s="910"/>
      <c r="B343" s="918"/>
      <c r="C343" s="907"/>
      <c r="D343" s="4345"/>
      <c r="E343" s="426" t="s">
        <v>1698</v>
      </c>
      <c r="F343" s="940">
        <f t="shared" si="48"/>
        <v>8.8303143315276264E-2</v>
      </c>
      <c r="G343" s="3201" t="s">
        <v>310</v>
      </c>
      <c r="H343" s="1204"/>
      <c r="I343" s="918"/>
      <c r="J343" s="918"/>
      <c r="K343" s="918"/>
      <c r="L343" s="918"/>
      <c r="M343" s="918"/>
      <c r="N343" s="918"/>
      <c r="O343" s="918"/>
      <c r="P343" s="918"/>
      <c r="Q343" s="918"/>
      <c r="R343" s="918"/>
      <c r="S343" s="910"/>
      <c r="T343" s="910"/>
      <c r="U343" s="910"/>
      <c r="V343" s="4248"/>
      <c r="W343" s="919">
        <f t="shared" si="49"/>
        <v>63.481129729352105</v>
      </c>
      <c r="X343" s="919">
        <v>63.481129729352105</v>
      </c>
      <c r="Y343" s="919">
        <v>8.8303143315276264E-2</v>
      </c>
      <c r="Z343" s="940">
        <v>8.8303143315276264E-2</v>
      </c>
      <c r="AA343" s="940">
        <v>8.8303143315276264E-2</v>
      </c>
      <c r="AB343" s="940">
        <v>8.8303143315276264E-2</v>
      </c>
      <c r="AC343" s="940">
        <v>8.8303143315276264E-2</v>
      </c>
      <c r="AD343" s="919"/>
      <c r="AE343" s="919"/>
      <c r="AF343" s="919"/>
      <c r="AG343" s="919"/>
      <c r="AK343" s="883"/>
      <c r="BB343" s="906"/>
    </row>
    <row r="344" spans="1:54" s="892" customFormat="1" hidden="1" outlineLevel="1" x14ac:dyDescent="0.25">
      <c r="A344" s="910"/>
      <c r="B344" s="918"/>
      <c r="C344" s="907"/>
      <c r="D344" s="4345"/>
      <c r="E344" s="420" t="s">
        <v>1700</v>
      </c>
      <c r="F344" s="940">
        <f t="shared" si="48"/>
        <v>0</v>
      </c>
      <c r="G344" s="3201" t="s">
        <v>310</v>
      </c>
      <c r="H344" s="1204"/>
      <c r="I344" s="918"/>
      <c r="J344" s="918"/>
      <c r="K344" s="918"/>
      <c r="L344" s="918"/>
      <c r="M344" s="918"/>
      <c r="N344" s="918"/>
      <c r="O344" s="918"/>
      <c r="P344" s="918"/>
      <c r="Q344" s="918"/>
      <c r="R344" s="918"/>
      <c r="S344" s="910"/>
      <c r="T344" s="910"/>
      <c r="U344" s="910"/>
      <c r="V344" s="4248"/>
      <c r="W344" s="919">
        <f t="shared" si="49"/>
        <v>0</v>
      </c>
      <c r="X344" s="919">
        <v>0</v>
      </c>
      <c r="Y344" s="919">
        <v>0</v>
      </c>
      <c r="Z344" s="940">
        <v>0</v>
      </c>
      <c r="AA344" s="940">
        <v>0</v>
      </c>
      <c r="AB344" s="940">
        <v>0</v>
      </c>
      <c r="AC344" s="940">
        <v>0</v>
      </c>
      <c r="AD344" s="919"/>
      <c r="AE344" s="919"/>
      <c r="AF344" s="919"/>
      <c r="AG344" s="919"/>
      <c r="AK344" s="883"/>
      <c r="BB344" s="906"/>
    </row>
    <row r="345" spans="1:54" s="892" customFormat="1" hidden="1" outlineLevel="1" x14ac:dyDescent="0.25">
      <c r="A345" s="910"/>
      <c r="B345" s="918"/>
      <c r="C345" s="907"/>
      <c r="D345" s="4345"/>
      <c r="E345" s="426" t="s">
        <v>1702</v>
      </c>
      <c r="F345" s="940">
        <f t="shared" si="48"/>
        <v>0</v>
      </c>
      <c r="G345" s="3201" t="s">
        <v>310</v>
      </c>
      <c r="H345" s="1204"/>
      <c r="I345" s="918"/>
      <c r="J345" s="918"/>
      <c r="K345" s="918"/>
      <c r="L345" s="918"/>
      <c r="M345" s="918"/>
      <c r="N345" s="918"/>
      <c r="O345" s="918"/>
      <c r="P345" s="918"/>
      <c r="Q345" s="918"/>
      <c r="R345" s="918"/>
      <c r="S345" s="910"/>
      <c r="T345" s="910"/>
      <c r="U345" s="910"/>
      <c r="V345" s="4248"/>
      <c r="W345" s="919">
        <f t="shared" si="49"/>
        <v>0</v>
      </c>
      <c r="X345" s="919">
        <v>0</v>
      </c>
      <c r="Y345" s="919">
        <v>0</v>
      </c>
      <c r="Z345" s="940">
        <v>0</v>
      </c>
      <c r="AA345" s="940">
        <v>0</v>
      </c>
      <c r="AB345" s="940">
        <v>0</v>
      </c>
      <c r="AC345" s="940">
        <v>0</v>
      </c>
      <c r="AD345" s="919"/>
      <c r="AE345" s="919"/>
      <c r="AF345" s="919"/>
      <c r="AG345" s="919"/>
      <c r="AK345" s="883"/>
      <c r="BB345" s="906"/>
    </row>
    <row r="346" spans="1:54" s="892" customFormat="1" hidden="1" outlineLevel="1" x14ac:dyDescent="0.25">
      <c r="A346" s="910"/>
      <c r="B346" s="918"/>
      <c r="C346" s="907"/>
      <c r="D346" s="4345"/>
      <c r="E346" s="420" t="s">
        <v>1704</v>
      </c>
      <c r="F346" s="940">
        <f t="shared" si="48"/>
        <v>8.8303143315276264E-2</v>
      </c>
      <c r="G346" s="3201" t="s">
        <v>310</v>
      </c>
      <c r="H346" s="1204"/>
      <c r="I346" s="918"/>
      <c r="J346" s="918"/>
      <c r="K346" s="918"/>
      <c r="L346" s="918"/>
      <c r="M346" s="918"/>
      <c r="N346" s="918"/>
      <c r="O346" s="918"/>
      <c r="P346" s="918"/>
      <c r="Q346" s="918"/>
      <c r="R346" s="918"/>
      <c r="S346" s="910"/>
      <c r="T346" s="910"/>
      <c r="U346" s="910"/>
      <c r="V346" s="4249"/>
      <c r="W346" s="919">
        <f t="shared" si="49"/>
        <v>97.663276506695567</v>
      </c>
      <c r="X346" s="919">
        <v>97.663276506695567</v>
      </c>
      <c r="Y346" s="919">
        <v>8.8303143315276264E-2</v>
      </c>
      <c r="Z346" s="940">
        <v>8.8303143315276264E-2</v>
      </c>
      <c r="AA346" s="940">
        <v>8.8303143315276264E-2</v>
      </c>
      <c r="AB346" s="940">
        <v>8.8303143315276264E-2</v>
      </c>
      <c r="AC346" s="940">
        <v>8.8303143315276264E-2</v>
      </c>
      <c r="AD346" s="919"/>
      <c r="AE346" s="919"/>
      <c r="AF346" s="919"/>
      <c r="AG346" s="919"/>
      <c r="AK346" s="883"/>
      <c r="BB346" s="906"/>
    </row>
    <row r="347" spans="1:54" s="892" customFormat="1" hidden="1" outlineLevel="1" x14ac:dyDescent="0.25">
      <c r="A347" s="910"/>
      <c r="B347" s="918"/>
      <c r="C347" s="907"/>
      <c r="D347" s="3245" t="s">
        <v>311</v>
      </c>
      <c r="E347" s="420" t="s">
        <v>135</v>
      </c>
      <c r="F347" s="943">
        <v>3.1399999999999997E-2</v>
      </c>
      <c r="G347" s="3201" t="s">
        <v>285</v>
      </c>
      <c r="H347" s="1204"/>
      <c r="I347" s="918"/>
      <c r="J347" s="918"/>
      <c r="K347" s="918"/>
      <c r="L347" s="918"/>
      <c r="M347" s="918"/>
      <c r="N347" s="918"/>
      <c r="O347" s="918"/>
      <c r="P347" s="918"/>
      <c r="Q347" s="918"/>
      <c r="R347" s="918"/>
      <c r="S347" s="910"/>
      <c r="T347" s="910"/>
      <c r="U347" s="910"/>
      <c r="V347" s="917" t="str">
        <f>D347</f>
        <v>Fe</v>
      </c>
      <c r="W347" s="920">
        <v>3.1399999999999997E-2</v>
      </c>
      <c r="X347" s="920">
        <v>3.1399999999999997E-2</v>
      </c>
      <c r="Y347" s="920">
        <v>3.1399999999999997E-2</v>
      </c>
      <c r="Z347" s="943">
        <v>3.1399999999999997E-2</v>
      </c>
      <c r="AA347" s="943">
        <v>3.1399999999999997E-2</v>
      </c>
      <c r="AB347" s="943">
        <v>3.1399999999999997E-2</v>
      </c>
      <c r="AC347" s="943">
        <v>3.1399999999999997E-2</v>
      </c>
      <c r="AD347" s="920"/>
      <c r="AE347" s="920"/>
      <c r="AF347" s="920"/>
      <c r="AG347" s="920"/>
      <c r="AK347" s="883"/>
      <c r="BB347" s="906"/>
    </row>
    <row r="348" spans="1:54" s="892" customFormat="1" hidden="1" outlineLevel="1" x14ac:dyDescent="0.25">
      <c r="A348" s="910"/>
      <c r="B348" s="918"/>
      <c r="C348" s="907"/>
      <c r="D348" s="3245" t="s">
        <v>1721</v>
      </c>
      <c r="E348" s="420" t="s">
        <v>135</v>
      </c>
      <c r="F348" s="1203">
        <v>1646</v>
      </c>
      <c r="G348" s="3201" t="s">
        <v>316</v>
      </c>
      <c r="H348" s="1204" t="s">
        <v>1722</v>
      </c>
      <c r="I348" s="918"/>
      <c r="J348" s="918"/>
      <c r="K348" s="918"/>
      <c r="L348" s="918"/>
      <c r="M348" s="918"/>
      <c r="N348" s="918"/>
      <c r="O348" s="918"/>
      <c r="P348" s="918"/>
      <c r="Q348" s="918"/>
      <c r="R348" s="918"/>
      <c r="S348" s="910"/>
      <c r="T348" s="910"/>
      <c r="U348" s="910"/>
      <c r="V348" s="917" t="str">
        <f>D348</f>
        <v>CDD</v>
      </c>
      <c r="W348" s="901">
        <v>1646</v>
      </c>
      <c r="X348" s="901">
        <v>1646</v>
      </c>
      <c r="Y348" s="901">
        <v>1646</v>
      </c>
      <c r="Z348" s="1203">
        <v>1646</v>
      </c>
      <c r="AA348" s="1203">
        <v>1646</v>
      </c>
      <c r="AB348" s="1203">
        <v>1646</v>
      </c>
      <c r="AC348" s="1203">
        <v>1646</v>
      </c>
      <c r="AD348" s="901"/>
      <c r="AE348" s="901"/>
      <c r="AF348" s="901"/>
      <c r="AG348" s="901"/>
      <c r="AK348" s="883"/>
      <c r="BB348" s="906"/>
    </row>
    <row r="349" spans="1:54" s="892" customFormat="1" hidden="1" outlineLevel="1" x14ac:dyDescent="0.25">
      <c r="A349" s="910"/>
      <c r="B349" s="918"/>
      <c r="C349" s="907"/>
      <c r="D349" s="3245" t="s">
        <v>1723</v>
      </c>
      <c r="E349" s="420" t="s">
        <v>135</v>
      </c>
      <c r="F349" s="944">
        <v>0.75</v>
      </c>
      <c r="G349" s="3201" t="s">
        <v>285</v>
      </c>
      <c r="H349" s="1204"/>
      <c r="I349" s="918"/>
      <c r="J349" s="918"/>
      <c r="K349" s="918"/>
      <c r="L349" s="918"/>
      <c r="M349" s="918"/>
      <c r="N349" s="918"/>
      <c r="O349" s="918"/>
      <c r="P349" s="918"/>
      <c r="Q349" s="918"/>
      <c r="R349" s="918"/>
      <c r="S349" s="910"/>
      <c r="T349" s="910"/>
      <c r="U349" s="910"/>
      <c r="V349" s="917" t="str">
        <f>D349</f>
        <v>DUA</v>
      </c>
      <c r="W349" s="915">
        <v>0.75</v>
      </c>
      <c r="X349" s="915">
        <v>0.75</v>
      </c>
      <c r="Y349" s="915">
        <v>0.75</v>
      </c>
      <c r="Z349" s="944">
        <v>0.75</v>
      </c>
      <c r="AA349" s="944">
        <v>0.75</v>
      </c>
      <c r="AB349" s="944">
        <v>0.75</v>
      </c>
      <c r="AC349" s="944">
        <v>0.75</v>
      </c>
      <c r="AD349" s="915"/>
      <c r="AE349" s="915"/>
      <c r="AF349" s="915"/>
      <c r="AG349" s="915"/>
      <c r="AK349" s="883"/>
      <c r="BB349" s="906"/>
    </row>
    <row r="350" spans="1:54" s="892" customFormat="1" hidden="1" outlineLevel="1" x14ac:dyDescent="0.25">
      <c r="A350" s="910"/>
      <c r="B350" s="918"/>
      <c r="C350" s="907"/>
      <c r="D350" s="4327" t="s">
        <v>1724</v>
      </c>
      <c r="E350" s="420" t="s">
        <v>1646</v>
      </c>
      <c r="F350" s="944">
        <v>0.91</v>
      </c>
      <c r="G350" s="3201" t="s">
        <v>285</v>
      </c>
      <c r="H350" s="1204" t="s">
        <v>1725</v>
      </c>
      <c r="I350" s="918"/>
      <c r="J350" s="918"/>
      <c r="K350" s="918"/>
      <c r="L350" s="918"/>
      <c r="M350" s="918"/>
      <c r="N350" s="918"/>
      <c r="O350" s="918"/>
      <c r="P350" s="918"/>
      <c r="Q350" s="918"/>
      <c r="R350" s="918"/>
      <c r="S350" s="910"/>
      <c r="T350" s="910"/>
      <c r="U350" s="910"/>
      <c r="V350" s="4247" t="str">
        <f>D350</f>
        <v>%cool</v>
      </c>
      <c r="W350" s="915">
        <v>0.91</v>
      </c>
      <c r="X350" s="915">
        <v>0.91</v>
      </c>
      <c r="Y350" s="915">
        <v>0.91</v>
      </c>
      <c r="Z350" s="944">
        <v>0.91</v>
      </c>
      <c r="AA350" s="944">
        <v>0.91</v>
      </c>
      <c r="AB350" s="944">
        <v>0.91</v>
      </c>
      <c r="AC350" s="944">
        <v>0.91</v>
      </c>
      <c r="AD350" s="915"/>
      <c r="AE350" s="915"/>
      <c r="AF350" s="915"/>
      <c r="AG350" s="915"/>
      <c r="AK350" s="883"/>
      <c r="BB350" s="906"/>
    </row>
    <row r="351" spans="1:54" s="892" customFormat="1" hidden="1" outlineLevel="1" x14ac:dyDescent="0.25">
      <c r="A351" s="910"/>
      <c r="B351" s="918"/>
      <c r="C351" s="907"/>
      <c r="D351" s="4328"/>
      <c r="E351" s="420" t="s">
        <v>1648</v>
      </c>
      <c r="F351" s="944">
        <v>1</v>
      </c>
      <c r="G351" s="3201" t="s">
        <v>285</v>
      </c>
      <c r="H351" s="1204" t="s">
        <v>1726</v>
      </c>
      <c r="I351" s="918"/>
      <c r="J351" s="918"/>
      <c r="K351" s="918"/>
      <c r="L351" s="918"/>
      <c r="M351" s="918"/>
      <c r="N351" s="918"/>
      <c r="O351" s="918"/>
      <c r="P351" s="918"/>
      <c r="Q351" s="918"/>
      <c r="R351" s="918"/>
      <c r="S351" s="910"/>
      <c r="T351" s="910"/>
      <c r="U351" s="910"/>
      <c r="V351" s="4248"/>
      <c r="W351" s="915">
        <v>1</v>
      </c>
      <c r="X351" s="915">
        <v>1</v>
      </c>
      <c r="Y351" s="915">
        <v>1</v>
      </c>
      <c r="Z351" s="944">
        <v>1</v>
      </c>
      <c r="AA351" s="944">
        <v>1</v>
      </c>
      <c r="AB351" s="944">
        <v>1</v>
      </c>
      <c r="AC351" s="944">
        <v>1</v>
      </c>
      <c r="AD351" s="915"/>
      <c r="AE351" s="915"/>
      <c r="AF351" s="915"/>
      <c r="AG351" s="915"/>
      <c r="AK351" s="883"/>
      <c r="BB351" s="906"/>
    </row>
    <row r="352" spans="1:54" s="892" customFormat="1" hidden="1" outlineLevel="1" x14ac:dyDescent="0.25">
      <c r="A352" s="910"/>
      <c r="B352" s="918"/>
      <c r="C352" s="907"/>
      <c r="D352" s="4328"/>
      <c r="E352" s="420" t="s">
        <v>1650</v>
      </c>
      <c r="F352" s="944">
        <v>0.91</v>
      </c>
      <c r="G352" s="3201" t="s">
        <v>285</v>
      </c>
      <c r="H352" s="1204" t="s">
        <v>1725</v>
      </c>
      <c r="I352" s="918"/>
      <c r="J352" s="918"/>
      <c r="K352" s="918"/>
      <c r="L352" s="918"/>
      <c r="M352" s="918"/>
      <c r="N352" s="918"/>
      <c r="O352" s="918"/>
      <c r="P352" s="918"/>
      <c r="Q352" s="918"/>
      <c r="R352" s="918"/>
      <c r="S352" s="910"/>
      <c r="T352" s="910"/>
      <c r="U352" s="910"/>
      <c r="V352" s="4248"/>
      <c r="W352" s="915">
        <v>0.91</v>
      </c>
      <c r="X352" s="915">
        <v>0.91</v>
      </c>
      <c r="Y352" s="915">
        <v>0.91</v>
      </c>
      <c r="Z352" s="944">
        <v>0.91</v>
      </c>
      <c r="AA352" s="944">
        <v>0.91</v>
      </c>
      <c r="AB352" s="944">
        <v>0.91</v>
      </c>
      <c r="AC352" s="944">
        <v>0.91</v>
      </c>
      <c r="AD352" s="915"/>
      <c r="AE352" s="915"/>
      <c r="AF352" s="915"/>
      <c r="AG352" s="915"/>
      <c r="AK352" s="883"/>
      <c r="BB352" s="906"/>
    </row>
    <row r="353" spans="1:54" s="892" customFormat="1" hidden="1" outlineLevel="1" x14ac:dyDescent="0.25">
      <c r="A353" s="910"/>
      <c r="B353" s="918"/>
      <c r="C353" s="907"/>
      <c r="D353" s="4328"/>
      <c r="E353" s="420" t="s">
        <v>1652</v>
      </c>
      <c r="F353" s="944">
        <v>0.91</v>
      </c>
      <c r="G353" s="3201" t="s">
        <v>285</v>
      </c>
      <c r="H353" s="1204" t="s">
        <v>1725</v>
      </c>
      <c r="I353" s="918"/>
      <c r="J353" s="918"/>
      <c r="K353" s="918"/>
      <c r="L353" s="918"/>
      <c r="M353" s="918"/>
      <c r="N353" s="918"/>
      <c r="O353" s="918"/>
      <c r="P353" s="918"/>
      <c r="Q353" s="918"/>
      <c r="R353" s="918"/>
      <c r="S353" s="910"/>
      <c r="T353" s="910"/>
      <c r="U353" s="910"/>
      <c r="V353" s="4248"/>
      <c r="W353" s="915">
        <v>0.91</v>
      </c>
      <c r="X353" s="915">
        <v>0.91</v>
      </c>
      <c r="Y353" s="915">
        <v>0.91</v>
      </c>
      <c r="Z353" s="944">
        <v>0.91</v>
      </c>
      <c r="AA353" s="944">
        <v>0.91</v>
      </c>
      <c r="AB353" s="944">
        <v>0.91</v>
      </c>
      <c r="AC353" s="944">
        <v>0.91</v>
      </c>
      <c r="AD353" s="915"/>
      <c r="AE353" s="915"/>
      <c r="AF353" s="915"/>
      <c r="AG353" s="915"/>
      <c r="AK353" s="883"/>
      <c r="BB353" s="906"/>
    </row>
    <row r="354" spans="1:54" s="892" customFormat="1" hidden="1" outlineLevel="1" x14ac:dyDescent="0.25">
      <c r="A354" s="910"/>
      <c r="B354" s="918"/>
      <c r="C354" s="907"/>
      <c r="D354" s="4328"/>
      <c r="E354" s="420" t="s">
        <v>1654</v>
      </c>
      <c r="F354" s="944">
        <v>1</v>
      </c>
      <c r="G354" s="3201" t="s">
        <v>285</v>
      </c>
      <c r="H354" s="1204" t="s">
        <v>1726</v>
      </c>
      <c r="I354" s="918"/>
      <c r="J354" s="918"/>
      <c r="K354" s="918"/>
      <c r="L354" s="918"/>
      <c r="M354" s="918"/>
      <c r="N354" s="918"/>
      <c r="O354" s="918"/>
      <c r="P354" s="918"/>
      <c r="Q354" s="918"/>
      <c r="R354" s="918"/>
      <c r="S354" s="910"/>
      <c r="T354" s="910"/>
      <c r="U354" s="910"/>
      <c r="V354" s="4248"/>
      <c r="W354" s="915">
        <v>1</v>
      </c>
      <c r="X354" s="915">
        <v>1</v>
      </c>
      <c r="Y354" s="915">
        <v>1</v>
      </c>
      <c r="Z354" s="944">
        <v>1</v>
      </c>
      <c r="AA354" s="944">
        <v>1</v>
      </c>
      <c r="AB354" s="944">
        <v>1</v>
      </c>
      <c r="AC354" s="944">
        <v>1</v>
      </c>
      <c r="AD354" s="915"/>
      <c r="AE354" s="915"/>
      <c r="AF354" s="915"/>
      <c r="AG354" s="915"/>
      <c r="AK354" s="883"/>
      <c r="BB354" s="906"/>
    </row>
    <row r="355" spans="1:54" s="892" customFormat="1" hidden="1" outlineLevel="1" x14ac:dyDescent="0.25">
      <c r="A355" s="910"/>
      <c r="B355" s="918"/>
      <c r="C355" s="907"/>
      <c r="D355" s="4328"/>
      <c r="E355" s="420" t="s">
        <v>1656</v>
      </c>
      <c r="F355" s="944">
        <v>0.91</v>
      </c>
      <c r="G355" s="3201" t="s">
        <v>285</v>
      </c>
      <c r="H355" s="1204" t="s">
        <v>1725</v>
      </c>
      <c r="I355" s="918"/>
      <c r="J355" s="918"/>
      <c r="K355" s="918"/>
      <c r="L355" s="918"/>
      <c r="M355" s="918"/>
      <c r="N355" s="918"/>
      <c r="O355" s="918"/>
      <c r="P355" s="918"/>
      <c r="Q355" s="918"/>
      <c r="R355" s="918"/>
      <c r="S355" s="910"/>
      <c r="T355" s="910"/>
      <c r="U355" s="910"/>
      <c r="V355" s="4248"/>
      <c r="W355" s="915">
        <v>0.91</v>
      </c>
      <c r="X355" s="915">
        <v>0.91</v>
      </c>
      <c r="Y355" s="915">
        <v>0.91</v>
      </c>
      <c r="Z355" s="944">
        <v>0.91</v>
      </c>
      <c r="AA355" s="944">
        <v>0.91</v>
      </c>
      <c r="AB355" s="944">
        <v>0.91</v>
      </c>
      <c r="AC355" s="944">
        <v>0.91</v>
      </c>
      <c r="AD355" s="915"/>
      <c r="AE355" s="915"/>
      <c r="AF355" s="915"/>
      <c r="AG355" s="915"/>
      <c r="AK355" s="883"/>
      <c r="BB355" s="906"/>
    </row>
    <row r="356" spans="1:54" s="892" customFormat="1" hidden="1" outlineLevel="1" x14ac:dyDescent="0.25">
      <c r="A356" s="910"/>
      <c r="B356" s="918"/>
      <c r="C356" s="907"/>
      <c r="D356" s="4328"/>
      <c r="E356" s="420" t="s">
        <v>1658</v>
      </c>
      <c r="F356" s="944">
        <v>0.91</v>
      </c>
      <c r="G356" s="3201" t="s">
        <v>285</v>
      </c>
      <c r="H356" s="1204" t="s">
        <v>1725</v>
      </c>
      <c r="I356" s="918"/>
      <c r="J356" s="918"/>
      <c r="K356" s="918"/>
      <c r="L356" s="918"/>
      <c r="M356" s="918"/>
      <c r="N356" s="918"/>
      <c r="O356" s="918"/>
      <c r="P356" s="918"/>
      <c r="Q356" s="918"/>
      <c r="R356" s="918"/>
      <c r="S356" s="910"/>
      <c r="T356" s="910"/>
      <c r="U356" s="910"/>
      <c r="V356" s="4248"/>
      <c r="W356" s="915">
        <v>0.91</v>
      </c>
      <c r="X356" s="915">
        <v>0.91</v>
      </c>
      <c r="Y356" s="915">
        <v>0.91</v>
      </c>
      <c r="Z356" s="944">
        <v>0.91</v>
      </c>
      <c r="AA356" s="944">
        <v>0.91</v>
      </c>
      <c r="AB356" s="944">
        <v>0.91</v>
      </c>
      <c r="AC356" s="944">
        <v>0.91</v>
      </c>
      <c r="AD356" s="915"/>
      <c r="AE356" s="915"/>
      <c r="AF356" s="915"/>
      <c r="AG356" s="915"/>
      <c r="AK356" s="883"/>
      <c r="BB356" s="906"/>
    </row>
    <row r="357" spans="1:54" s="892" customFormat="1" hidden="1" outlineLevel="1" x14ac:dyDescent="0.25">
      <c r="A357" s="910"/>
      <c r="B357" s="918"/>
      <c r="C357" s="907"/>
      <c r="D357" s="4328"/>
      <c r="E357" s="420" t="s">
        <v>1660</v>
      </c>
      <c r="F357" s="944">
        <v>1</v>
      </c>
      <c r="G357" s="3201" t="s">
        <v>285</v>
      </c>
      <c r="H357" s="1204" t="s">
        <v>1726</v>
      </c>
      <c r="I357" s="918"/>
      <c r="J357" s="918"/>
      <c r="K357" s="918"/>
      <c r="L357" s="918"/>
      <c r="M357" s="918"/>
      <c r="N357" s="918"/>
      <c r="O357" s="918"/>
      <c r="P357" s="918"/>
      <c r="Q357" s="918"/>
      <c r="R357" s="918"/>
      <c r="S357" s="910"/>
      <c r="T357" s="910"/>
      <c r="U357" s="910"/>
      <c r="V357" s="4248"/>
      <c r="W357" s="915">
        <v>1</v>
      </c>
      <c r="X357" s="915">
        <v>1</v>
      </c>
      <c r="Y357" s="915">
        <v>1</v>
      </c>
      <c r="Z357" s="944">
        <v>1</v>
      </c>
      <c r="AA357" s="944">
        <v>1</v>
      </c>
      <c r="AB357" s="944">
        <v>1</v>
      </c>
      <c r="AC357" s="944">
        <v>1</v>
      </c>
      <c r="AD357" s="915"/>
      <c r="AE357" s="915"/>
      <c r="AF357" s="915"/>
      <c r="AG357" s="915"/>
      <c r="AK357" s="883"/>
      <c r="BB357" s="906"/>
    </row>
    <row r="358" spans="1:54" s="892" customFormat="1" hidden="1" outlineLevel="1" x14ac:dyDescent="0.25">
      <c r="A358" s="910"/>
      <c r="B358" s="918"/>
      <c r="C358" s="907"/>
      <c r="D358" s="4328"/>
      <c r="E358" s="426" t="s">
        <v>1662</v>
      </c>
      <c r="F358" s="944">
        <v>0.91</v>
      </c>
      <c r="G358" s="3201" t="s">
        <v>285</v>
      </c>
      <c r="H358" s="1204" t="s">
        <v>1725</v>
      </c>
      <c r="I358" s="918"/>
      <c r="J358" s="918"/>
      <c r="K358" s="918"/>
      <c r="L358" s="918"/>
      <c r="M358" s="918"/>
      <c r="N358" s="918"/>
      <c r="O358" s="918"/>
      <c r="P358" s="918"/>
      <c r="Q358" s="918"/>
      <c r="R358" s="918"/>
      <c r="S358" s="910"/>
      <c r="T358" s="910"/>
      <c r="U358" s="910"/>
      <c r="V358" s="4248"/>
      <c r="W358" s="915">
        <v>0.91</v>
      </c>
      <c r="X358" s="915">
        <v>0.91</v>
      </c>
      <c r="Y358" s="915">
        <v>0.91</v>
      </c>
      <c r="Z358" s="944">
        <v>0.91</v>
      </c>
      <c r="AA358" s="944">
        <v>0.91</v>
      </c>
      <c r="AB358" s="944">
        <v>0.91</v>
      </c>
      <c r="AC358" s="944">
        <v>0.91</v>
      </c>
      <c r="AD358" s="915"/>
      <c r="AE358" s="915"/>
      <c r="AF358" s="915"/>
      <c r="AG358" s="915"/>
      <c r="AK358" s="883"/>
      <c r="BB358" s="906"/>
    </row>
    <row r="359" spans="1:54" s="892" customFormat="1" hidden="1" outlineLevel="1" x14ac:dyDescent="0.25">
      <c r="A359" s="910"/>
      <c r="B359" s="918"/>
      <c r="C359" s="907"/>
      <c r="D359" s="4328"/>
      <c r="E359" s="420" t="s">
        <v>1664</v>
      </c>
      <c r="F359" s="944">
        <v>0.91</v>
      </c>
      <c r="G359" s="3201" t="s">
        <v>285</v>
      </c>
      <c r="H359" s="1204" t="s">
        <v>1725</v>
      </c>
      <c r="I359" s="918"/>
      <c r="J359" s="918"/>
      <c r="K359" s="918"/>
      <c r="L359" s="918"/>
      <c r="M359" s="918"/>
      <c r="N359" s="918"/>
      <c r="O359" s="918"/>
      <c r="P359" s="918"/>
      <c r="Q359" s="918"/>
      <c r="R359" s="918"/>
      <c r="S359" s="910"/>
      <c r="T359" s="910"/>
      <c r="U359" s="910"/>
      <c r="V359" s="4248"/>
      <c r="W359" s="915">
        <v>0.91</v>
      </c>
      <c r="X359" s="915">
        <v>0.91</v>
      </c>
      <c r="Y359" s="915">
        <v>0.91</v>
      </c>
      <c r="Z359" s="944">
        <v>0.91</v>
      </c>
      <c r="AA359" s="944">
        <v>0.91</v>
      </c>
      <c r="AB359" s="944">
        <v>0.91</v>
      </c>
      <c r="AC359" s="944">
        <v>0.91</v>
      </c>
      <c r="AD359" s="915"/>
      <c r="AE359" s="915"/>
      <c r="AF359" s="915"/>
      <c r="AG359" s="915"/>
      <c r="AK359" s="883"/>
      <c r="BB359" s="906"/>
    </row>
    <row r="360" spans="1:54" s="892" customFormat="1" hidden="1" outlineLevel="1" x14ac:dyDescent="0.25">
      <c r="A360" s="910"/>
      <c r="B360" s="918"/>
      <c r="C360" s="907"/>
      <c r="D360" s="4328"/>
      <c r="E360" s="420" t="s">
        <v>1666</v>
      </c>
      <c r="F360" s="944">
        <v>1</v>
      </c>
      <c r="G360" s="3201" t="s">
        <v>285</v>
      </c>
      <c r="H360" s="1204" t="s">
        <v>1726</v>
      </c>
      <c r="I360" s="918"/>
      <c r="J360" s="918"/>
      <c r="K360" s="918"/>
      <c r="L360" s="918"/>
      <c r="M360" s="918"/>
      <c r="N360" s="918"/>
      <c r="O360" s="918"/>
      <c r="P360" s="918"/>
      <c r="Q360" s="918"/>
      <c r="R360" s="918"/>
      <c r="S360" s="910"/>
      <c r="T360" s="910"/>
      <c r="U360" s="910"/>
      <c r="V360" s="4248"/>
      <c r="W360" s="915">
        <v>1</v>
      </c>
      <c r="X360" s="915">
        <v>1</v>
      </c>
      <c r="Y360" s="915">
        <v>1</v>
      </c>
      <c r="Z360" s="944">
        <v>1</v>
      </c>
      <c r="AA360" s="944">
        <v>1</v>
      </c>
      <c r="AB360" s="944">
        <v>1</v>
      </c>
      <c r="AC360" s="944">
        <v>1</v>
      </c>
      <c r="AD360" s="915"/>
      <c r="AE360" s="915"/>
      <c r="AF360" s="915"/>
      <c r="AG360" s="915"/>
      <c r="AK360" s="883"/>
      <c r="BB360" s="906"/>
    </row>
    <row r="361" spans="1:54" s="892" customFormat="1" hidden="1" outlineLevel="1" x14ac:dyDescent="0.25">
      <c r="A361" s="910"/>
      <c r="B361" s="918"/>
      <c r="C361" s="907"/>
      <c r="D361" s="4328"/>
      <c r="E361" s="1620" t="s">
        <v>1668</v>
      </c>
      <c r="F361" s="944">
        <v>0.91</v>
      </c>
      <c r="G361" s="3201" t="s">
        <v>285</v>
      </c>
      <c r="H361" s="1204" t="s">
        <v>1725</v>
      </c>
      <c r="I361" s="918"/>
      <c r="J361" s="918"/>
      <c r="K361" s="918"/>
      <c r="L361" s="918"/>
      <c r="M361" s="918"/>
      <c r="N361" s="918"/>
      <c r="O361" s="918"/>
      <c r="P361" s="918"/>
      <c r="Q361" s="918"/>
      <c r="R361" s="918"/>
      <c r="S361" s="910"/>
      <c r="T361" s="910"/>
      <c r="U361" s="910"/>
      <c r="V361" s="4248"/>
      <c r="W361" s="915">
        <v>0.91</v>
      </c>
      <c r="X361" s="915">
        <v>0.91</v>
      </c>
      <c r="Y361" s="915">
        <v>0.91</v>
      </c>
      <c r="Z361" s="944">
        <v>0.91</v>
      </c>
      <c r="AA361" s="944">
        <v>0.91</v>
      </c>
      <c r="AB361" s="944">
        <v>0.91</v>
      </c>
      <c r="AC361" s="944">
        <v>0.91</v>
      </c>
      <c r="AD361" s="915"/>
      <c r="AE361" s="915"/>
      <c r="AF361" s="915"/>
      <c r="AG361" s="915"/>
      <c r="AK361" s="883"/>
      <c r="BB361" s="906"/>
    </row>
    <row r="362" spans="1:54" s="892" customFormat="1" hidden="1" outlineLevel="1" x14ac:dyDescent="0.25">
      <c r="A362" s="910"/>
      <c r="B362" s="918"/>
      <c r="C362" s="907"/>
      <c r="D362" s="4328"/>
      <c r="E362" s="420" t="s">
        <v>1670</v>
      </c>
      <c r="F362" s="944">
        <v>0.91</v>
      </c>
      <c r="G362" s="3201" t="s">
        <v>285</v>
      </c>
      <c r="H362" s="1204" t="s">
        <v>1725</v>
      </c>
      <c r="I362" s="918"/>
      <c r="J362" s="918"/>
      <c r="K362" s="918"/>
      <c r="L362" s="918"/>
      <c r="M362" s="918"/>
      <c r="N362" s="918"/>
      <c r="O362" s="918"/>
      <c r="P362" s="918"/>
      <c r="Q362" s="918"/>
      <c r="R362" s="918"/>
      <c r="S362" s="910"/>
      <c r="T362" s="910"/>
      <c r="U362" s="910"/>
      <c r="V362" s="4248"/>
      <c r="W362" s="915">
        <v>0.91</v>
      </c>
      <c r="X362" s="915">
        <v>0.91</v>
      </c>
      <c r="Y362" s="915">
        <v>0.91</v>
      </c>
      <c r="Z362" s="944">
        <v>0.91</v>
      </c>
      <c r="AA362" s="944">
        <v>0.91</v>
      </c>
      <c r="AB362" s="944">
        <v>0.91</v>
      </c>
      <c r="AC362" s="944">
        <v>0.91</v>
      </c>
      <c r="AD362" s="915"/>
      <c r="AE362" s="915"/>
      <c r="AF362" s="915"/>
      <c r="AG362" s="915"/>
      <c r="AK362" s="883"/>
      <c r="BB362" s="906"/>
    </row>
    <row r="363" spans="1:54" s="892" customFormat="1" hidden="1" outlineLevel="1" x14ac:dyDescent="0.25">
      <c r="A363" s="910"/>
      <c r="B363" s="918"/>
      <c r="C363" s="907"/>
      <c r="D363" s="4328"/>
      <c r="E363" s="420" t="s">
        <v>1672</v>
      </c>
      <c r="F363" s="944">
        <v>1</v>
      </c>
      <c r="G363" s="3201" t="s">
        <v>285</v>
      </c>
      <c r="H363" s="1204" t="s">
        <v>1726</v>
      </c>
      <c r="I363" s="918"/>
      <c r="J363" s="918"/>
      <c r="K363" s="918"/>
      <c r="L363" s="918"/>
      <c r="M363" s="918"/>
      <c r="N363" s="918"/>
      <c r="O363" s="918"/>
      <c r="P363" s="918"/>
      <c r="Q363" s="918"/>
      <c r="R363" s="918"/>
      <c r="S363" s="910"/>
      <c r="T363" s="910"/>
      <c r="U363" s="910"/>
      <c r="V363" s="4248"/>
      <c r="W363" s="915">
        <v>1</v>
      </c>
      <c r="X363" s="915">
        <v>1</v>
      </c>
      <c r="Y363" s="915">
        <v>1</v>
      </c>
      <c r="Z363" s="944">
        <v>1</v>
      </c>
      <c r="AA363" s="944">
        <v>1</v>
      </c>
      <c r="AB363" s="944">
        <v>1</v>
      </c>
      <c r="AC363" s="944">
        <v>1</v>
      </c>
      <c r="AD363" s="915"/>
      <c r="AE363" s="915"/>
      <c r="AF363" s="915"/>
      <c r="AG363" s="915"/>
      <c r="AK363" s="883"/>
      <c r="BB363" s="906"/>
    </row>
    <row r="364" spans="1:54" s="892" customFormat="1" hidden="1" outlineLevel="1" x14ac:dyDescent="0.25">
      <c r="A364" s="910"/>
      <c r="B364" s="918"/>
      <c r="C364" s="907"/>
      <c r="D364" s="4328"/>
      <c r="E364" s="426" t="s">
        <v>1674</v>
      </c>
      <c r="F364" s="944">
        <v>0.91</v>
      </c>
      <c r="G364" s="3201" t="s">
        <v>285</v>
      </c>
      <c r="H364" s="1204" t="s">
        <v>1725</v>
      </c>
      <c r="I364" s="918"/>
      <c r="J364" s="918"/>
      <c r="K364" s="918"/>
      <c r="L364" s="918"/>
      <c r="M364" s="918"/>
      <c r="N364" s="918"/>
      <c r="O364" s="918"/>
      <c r="P364" s="918"/>
      <c r="Q364" s="918"/>
      <c r="R364" s="918"/>
      <c r="S364" s="910"/>
      <c r="T364" s="910"/>
      <c r="U364" s="910"/>
      <c r="V364" s="4248"/>
      <c r="W364" s="915">
        <v>0.91</v>
      </c>
      <c r="X364" s="915">
        <v>0.91</v>
      </c>
      <c r="Y364" s="915">
        <v>0.91</v>
      </c>
      <c r="Z364" s="944">
        <v>0.91</v>
      </c>
      <c r="AA364" s="944">
        <v>0.91</v>
      </c>
      <c r="AB364" s="944">
        <v>0.91</v>
      </c>
      <c r="AC364" s="944">
        <v>0.91</v>
      </c>
      <c r="AD364" s="915"/>
      <c r="AE364" s="915"/>
      <c r="AF364" s="915"/>
      <c r="AG364" s="915"/>
      <c r="AK364" s="883"/>
      <c r="BB364" s="906"/>
    </row>
    <row r="365" spans="1:54" s="892" customFormat="1" hidden="1" outlineLevel="1" x14ac:dyDescent="0.25">
      <c r="A365" s="910"/>
      <c r="B365" s="918"/>
      <c r="C365" s="907"/>
      <c r="D365" s="4328"/>
      <c r="E365" s="420" t="s">
        <v>1676</v>
      </c>
      <c r="F365" s="944">
        <v>0.91</v>
      </c>
      <c r="G365" s="3201" t="s">
        <v>285</v>
      </c>
      <c r="H365" s="1204" t="s">
        <v>1725</v>
      </c>
      <c r="I365" s="918"/>
      <c r="J365" s="918"/>
      <c r="K365" s="918"/>
      <c r="L365" s="918"/>
      <c r="M365" s="918"/>
      <c r="N365" s="918"/>
      <c r="O365" s="918"/>
      <c r="P365" s="918"/>
      <c r="Q365" s="918"/>
      <c r="R365" s="918"/>
      <c r="S365" s="910"/>
      <c r="T365" s="910"/>
      <c r="U365" s="910"/>
      <c r="V365" s="4248"/>
      <c r="W365" s="915">
        <v>0.91</v>
      </c>
      <c r="X365" s="915">
        <v>0.91</v>
      </c>
      <c r="Y365" s="915">
        <v>0.91</v>
      </c>
      <c r="Z365" s="944">
        <v>0.91</v>
      </c>
      <c r="AA365" s="944">
        <v>0.91</v>
      </c>
      <c r="AB365" s="944">
        <v>0.91</v>
      </c>
      <c r="AC365" s="944">
        <v>0.91</v>
      </c>
      <c r="AD365" s="915"/>
      <c r="AE365" s="915"/>
      <c r="AF365" s="915"/>
      <c r="AG365" s="915"/>
      <c r="AK365" s="883"/>
      <c r="BB365" s="906"/>
    </row>
    <row r="366" spans="1:54" s="892" customFormat="1" hidden="1" outlineLevel="1" x14ac:dyDescent="0.25">
      <c r="A366" s="910"/>
      <c r="B366" s="918"/>
      <c r="C366" s="907"/>
      <c r="D366" s="4328"/>
      <c r="E366" s="426" t="s">
        <v>1678</v>
      </c>
      <c r="F366" s="944">
        <v>1</v>
      </c>
      <c r="G366" s="3201" t="s">
        <v>285</v>
      </c>
      <c r="H366" s="1204" t="s">
        <v>1726</v>
      </c>
      <c r="I366" s="918"/>
      <c r="J366" s="918"/>
      <c r="K366" s="918"/>
      <c r="L366" s="918"/>
      <c r="M366" s="918"/>
      <c r="N366" s="918"/>
      <c r="O366" s="918"/>
      <c r="P366" s="918"/>
      <c r="Q366" s="918"/>
      <c r="R366" s="918"/>
      <c r="S366" s="910"/>
      <c r="T366" s="910"/>
      <c r="U366" s="910"/>
      <c r="V366" s="4248"/>
      <c r="W366" s="915">
        <v>1</v>
      </c>
      <c r="X366" s="915">
        <v>1</v>
      </c>
      <c r="Y366" s="915">
        <v>1</v>
      </c>
      <c r="Z366" s="944">
        <v>1</v>
      </c>
      <c r="AA366" s="944">
        <v>1</v>
      </c>
      <c r="AB366" s="944">
        <v>1</v>
      </c>
      <c r="AC366" s="944">
        <v>1</v>
      </c>
      <c r="AD366" s="915"/>
      <c r="AE366" s="915"/>
      <c r="AF366" s="915"/>
      <c r="AG366" s="915"/>
      <c r="AK366" s="883"/>
      <c r="BB366" s="906"/>
    </row>
    <row r="367" spans="1:54" s="892" customFormat="1" hidden="1" outlineLevel="1" x14ac:dyDescent="0.25">
      <c r="A367" s="910"/>
      <c r="B367" s="918"/>
      <c r="C367" s="907"/>
      <c r="D367" s="4328"/>
      <c r="E367" s="420" t="s">
        <v>1680</v>
      </c>
      <c r="F367" s="944">
        <v>0.91</v>
      </c>
      <c r="G367" s="3201" t="s">
        <v>285</v>
      </c>
      <c r="H367" s="1204" t="s">
        <v>1725</v>
      </c>
      <c r="I367" s="918"/>
      <c r="J367" s="918"/>
      <c r="K367" s="918"/>
      <c r="L367" s="918"/>
      <c r="M367" s="918"/>
      <c r="N367" s="918"/>
      <c r="O367" s="918"/>
      <c r="P367" s="918"/>
      <c r="Q367" s="918"/>
      <c r="R367" s="918"/>
      <c r="S367" s="910"/>
      <c r="T367" s="910"/>
      <c r="U367" s="910"/>
      <c r="V367" s="4248"/>
      <c r="W367" s="915">
        <v>0.91</v>
      </c>
      <c r="X367" s="915">
        <v>0.91</v>
      </c>
      <c r="Y367" s="915">
        <v>0.91</v>
      </c>
      <c r="Z367" s="944">
        <v>0.91</v>
      </c>
      <c r="AA367" s="944">
        <v>0.91</v>
      </c>
      <c r="AB367" s="944">
        <v>0.91</v>
      </c>
      <c r="AC367" s="944">
        <v>0.91</v>
      </c>
      <c r="AD367" s="915"/>
      <c r="AE367" s="915"/>
      <c r="AF367" s="915"/>
      <c r="AG367" s="915"/>
      <c r="AK367" s="883"/>
      <c r="BB367" s="906"/>
    </row>
    <row r="368" spans="1:54" s="892" customFormat="1" hidden="1" outlineLevel="1" x14ac:dyDescent="0.25">
      <c r="A368" s="910"/>
      <c r="B368" s="918"/>
      <c r="C368" s="907"/>
      <c r="D368" s="4328"/>
      <c r="E368" s="420" t="s">
        <v>1682</v>
      </c>
      <c r="F368" s="944">
        <v>0.91</v>
      </c>
      <c r="G368" s="3201" t="s">
        <v>285</v>
      </c>
      <c r="H368" s="1204" t="s">
        <v>1725</v>
      </c>
      <c r="I368" s="918"/>
      <c r="J368" s="918"/>
      <c r="K368" s="918"/>
      <c r="L368" s="918"/>
      <c r="M368" s="918"/>
      <c r="N368" s="918"/>
      <c r="O368" s="918"/>
      <c r="P368" s="918"/>
      <c r="Q368" s="918"/>
      <c r="R368" s="918"/>
      <c r="S368" s="910"/>
      <c r="T368" s="910"/>
      <c r="U368" s="910"/>
      <c r="V368" s="4248"/>
      <c r="W368" s="915">
        <v>0.91</v>
      </c>
      <c r="X368" s="915">
        <v>0.91</v>
      </c>
      <c r="Y368" s="915">
        <v>0.91</v>
      </c>
      <c r="Z368" s="944">
        <v>0.91</v>
      </c>
      <c r="AA368" s="944">
        <v>0.91</v>
      </c>
      <c r="AB368" s="944">
        <v>0.91</v>
      </c>
      <c r="AC368" s="944">
        <v>0.91</v>
      </c>
      <c r="AD368" s="915"/>
      <c r="AE368" s="915"/>
      <c r="AF368" s="915"/>
      <c r="AG368" s="915"/>
      <c r="AK368" s="883"/>
      <c r="BB368" s="906"/>
    </row>
    <row r="369" spans="1:54" s="892" customFormat="1" hidden="1" outlineLevel="1" x14ac:dyDescent="0.25">
      <c r="A369" s="910"/>
      <c r="B369" s="918"/>
      <c r="C369" s="907"/>
      <c r="D369" s="4328"/>
      <c r="E369" s="420" t="s">
        <v>1684</v>
      </c>
      <c r="F369" s="944">
        <v>1</v>
      </c>
      <c r="G369" s="3201" t="s">
        <v>285</v>
      </c>
      <c r="H369" s="1204" t="s">
        <v>1726</v>
      </c>
      <c r="I369" s="918"/>
      <c r="J369" s="918"/>
      <c r="K369" s="918"/>
      <c r="L369" s="918"/>
      <c r="M369" s="918"/>
      <c r="N369" s="918"/>
      <c r="O369" s="918"/>
      <c r="P369" s="918"/>
      <c r="Q369" s="918"/>
      <c r="R369" s="918"/>
      <c r="S369" s="910"/>
      <c r="T369" s="910"/>
      <c r="U369" s="910"/>
      <c r="V369" s="4248"/>
      <c r="W369" s="915">
        <v>1</v>
      </c>
      <c r="X369" s="915">
        <v>1</v>
      </c>
      <c r="Y369" s="915">
        <v>1</v>
      </c>
      <c r="Z369" s="944">
        <v>1</v>
      </c>
      <c r="AA369" s="944">
        <v>1</v>
      </c>
      <c r="AB369" s="944">
        <v>1</v>
      </c>
      <c r="AC369" s="944">
        <v>1</v>
      </c>
      <c r="AD369" s="915"/>
      <c r="AE369" s="915"/>
      <c r="AF369" s="915"/>
      <c r="AG369" s="915"/>
      <c r="AK369" s="883"/>
      <c r="BB369" s="906"/>
    </row>
    <row r="370" spans="1:54" s="892" customFormat="1" hidden="1" outlineLevel="1" x14ac:dyDescent="0.25">
      <c r="A370" s="910"/>
      <c r="B370" s="918"/>
      <c r="C370" s="907"/>
      <c r="D370" s="4328"/>
      <c r="E370" s="426" t="s">
        <v>1686</v>
      </c>
      <c r="F370" s="944">
        <v>0.91</v>
      </c>
      <c r="G370" s="3201" t="s">
        <v>285</v>
      </c>
      <c r="H370" s="1204" t="s">
        <v>1725</v>
      </c>
      <c r="I370" s="918"/>
      <c r="J370" s="918"/>
      <c r="K370" s="918"/>
      <c r="L370" s="918"/>
      <c r="M370" s="918"/>
      <c r="N370" s="918"/>
      <c r="O370" s="918"/>
      <c r="P370" s="918"/>
      <c r="Q370" s="918"/>
      <c r="R370" s="918"/>
      <c r="S370" s="910"/>
      <c r="T370" s="910"/>
      <c r="U370" s="910"/>
      <c r="V370" s="4248"/>
      <c r="W370" s="915">
        <v>0.91</v>
      </c>
      <c r="X370" s="915">
        <v>0.91</v>
      </c>
      <c r="Y370" s="915">
        <v>0.91</v>
      </c>
      <c r="Z370" s="944">
        <v>0.91</v>
      </c>
      <c r="AA370" s="944">
        <v>0.91</v>
      </c>
      <c r="AB370" s="944">
        <v>0.91</v>
      </c>
      <c r="AC370" s="944">
        <v>0.91</v>
      </c>
      <c r="AD370" s="915"/>
      <c r="AE370" s="915"/>
      <c r="AF370" s="915"/>
      <c r="AG370" s="915"/>
      <c r="AK370" s="883"/>
      <c r="BB370" s="906"/>
    </row>
    <row r="371" spans="1:54" s="892" customFormat="1" hidden="1" outlineLevel="1" x14ac:dyDescent="0.25">
      <c r="A371" s="910"/>
      <c r="B371" s="918"/>
      <c r="C371" s="907"/>
      <c r="D371" s="4328"/>
      <c r="E371" s="420" t="s">
        <v>1688</v>
      </c>
      <c r="F371" s="944">
        <v>0.91</v>
      </c>
      <c r="G371" s="3201" t="s">
        <v>285</v>
      </c>
      <c r="H371" s="1204" t="s">
        <v>1725</v>
      </c>
      <c r="I371" s="918"/>
      <c r="J371" s="918"/>
      <c r="K371" s="918"/>
      <c r="L371" s="918"/>
      <c r="M371" s="918"/>
      <c r="N371" s="918"/>
      <c r="O371" s="918"/>
      <c r="P371" s="918"/>
      <c r="Q371" s="918"/>
      <c r="R371" s="918"/>
      <c r="S371" s="910"/>
      <c r="T371" s="910"/>
      <c r="U371" s="910"/>
      <c r="V371" s="4248"/>
      <c r="W371" s="915">
        <v>0.91</v>
      </c>
      <c r="X371" s="915">
        <v>0.91</v>
      </c>
      <c r="Y371" s="915">
        <v>0.91</v>
      </c>
      <c r="Z371" s="944">
        <v>0.91</v>
      </c>
      <c r="AA371" s="944">
        <v>0.91</v>
      </c>
      <c r="AB371" s="944">
        <v>0.91</v>
      </c>
      <c r="AC371" s="944">
        <v>0.91</v>
      </c>
      <c r="AD371" s="915"/>
      <c r="AE371" s="915"/>
      <c r="AF371" s="915"/>
      <c r="AG371" s="915"/>
      <c r="AK371" s="883"/>
      <c r="BB371" s="906"/>
    </row>
    <row r="372" spans="1:54" s="892" customFormat="1" hidden="1" outlineLevel="1" x14ac:dyDescent="0.25">
      <c r="A372" s="910"/>
      <c r="B372" s="918"/>
      <c r="C372" s="907"/>
      <c r="D372" s="4328"/>
      <c r="E372" s="426" t="s">
        <v>1690</v>
      </c>
      <c r="F372" s="944">
        <v>1</v>
      </c>
      <c r="G372" s="3201" t="s">
        <v>285</v>
      </c>
      <c r="H372" s="1204" t="s">
        <v>1726</v>
      </c>
      <c r="I372" s="918"/>
      <c r="J372" s="918"/>
      <c r="K372" s="918"/>
      <c r="L372" s="918"/>
      <c r="M372" s="918"/>
      <c r="N372" s="918"/>
      <c r="O372" s="918"/>
      <c r="P372" s="918"/>
      <c r="Q372" s="918"/>
      <c r="R372" s="918"/>
      <c r="S372" s="910"/>
      <c r="T372" s="910"/>
      <c r="U372" s="910"/>
      <c r="V372" s="4248"/>
      <c r="W372" s="915">
        <v>1</v>
      </c>
      <c r="X372" s="915">
        <v>1</v>
      </c>
      <c r="Y372" s="915">
        <v>1</v>
      </c>
      <c r="Z372" s="944">
        <v>1</v>
      </c>
      <c r="AA372" s="944">
        <v>1</v>
      </c>
      <c r="AB372" s="944">
        <v>1</v>
      </c>
      <c r="AC372" s="944">
        <v>1</v>
      </c>
      <c r="AD372" s="915"/>
      <c r="AE372" s="915"/>
      <c r="AF372" s="915"/>
      <c r="AG372" s="915"/>
      <c r="AK372" s="883"/>
      <c r="BB372" s="906"/>
    </row>
    <row r="373" spans="1:54" s="892" customFormat="1" hidden="1" outlineLevel="1" x14ac:dyDescent="0.25">
      <c r="A373" s="910"/>
      <c r="B373" s="918"/>
      <c r="C373" s="907"/>
      <c r="D373" s="4328"/>
      <c r="E373" s="420" t="s">
        <v>1692</v>
      </c>
      <c r="F373" s="944">
        <v>0.91</v>
      </c>
      <c r="G373" s="3201" t="s">
        <v>285</v>
      </c>
      <c r="H373" s="1204" t="s">
        <v>1725</v>
      </c>
      <c r="I373" s="918"/>
      <c r="J373" s="918"/>
      <c r="K373" s="918"/>
      <c r="L373" s="918"/>
      <c r="M373" s="918"/>
      <c r="N373" s="918"/>
      <c r="O373" s="918"/>
      <c r="P373" s="918"/>
      <c r="Q373" s="918"/>
      <c r="R373" s="918"/>
      <c r="S373" s="910"/>
      <c r="T373" s="910"/>
      <c r="U373" s="910"/>
      <c r="V373" s="4248"/>
      <c r="W373" s="915">
        <v>0.91</v>
      </c>
      <c r="X373" s="915">
        <v>0.91</v>
      </c>
      <c r="Y373" s="915">
        <v>0.91</v>
      </c>
      <c r="Z373" s="944">
        <v>0.91</v>
      </c>
      <c r="AA373" s="944">
        <v>0.91</v>
      </c>
      <c r="AB373" s="944">
        <v>0.91</v>
      </c>
      <c r="AC373" s="944">
        <v>0.91</v>
      </c>
      <c r="AD373" s="915"/>
      <c r="AE373" s="915"/>
      <c r="AF373" s="915"/>
      <c r="AG373" s="915"/>
      <c r="AK373" s="883"/>
      <c r="BB373" s="906"/>
    </row>
    <row r="374" spans="1:54" s="892" customFormat="1" hidden="1" outlineLevel="1" x14ac:dyDescent="0.25">
      <c r="A374" s="910"/>
      <c r="B374" s="918"/>
      <c r="C374" s="907"/>
      <c r="D374" s="4328"/>
      <c r="E374" s="420" t="s">
        <v>1694</v>
      </c>
      <c r="F374" s="944">
        <v>0.91</v>
      </c>
      <c r="G374" s="3201" t="s">
        <v>285</v>
      </c>
      <c r="H374" s="1204" t="s">
        <v>1725</v>
      </c>
      <c r="I374" s="918"/>
      <c r="J374" s="918"/>
      <c r="K374" s="918"/>
      <c r="L374" s="918"/>
      <c r="M374" s="918"/>
      <c r="N374" s="918"/>
      <c r="O374" s="918"/>
      <c r="P374" s="918"/>
      <c r="Q374" s="918"/>
      <c r="R374" s="918"/>
      <c r="S374" s="910"/>
      <c r="T374" s="910"/>
      <c r="U374" s="910"/>
      <c r="V374" s="4248"/>
      <c r="W374" s="915">
        <v>0.91</v>
      </c>
      <c r="X374" s="915">
        <v>0.91</v>
      </c>
      <c r="Y374" s="915">
        <v>0.91</v>
      </c>
      <c r="Z374" s="944">
        <v>0.91</v>
      </c>
      <c r="AA374" s="944">
        <v>0.91</v>
      </c>
      <c r="AB374" s="944">
        <v>0.91</v>
      </c>
      <c r="AC374" s="944">
        <v>0.91</v>
      </c>
      <c r="AD374" s="915"/>
      <c r="AE374" s="915"/>
      <c r="AF374" s="915"/>
      <c r="AG374" s="915"/>
      <c r="AK374" s="883"/>
      <c r="BB374" s="906"/>
    </row>
    <row r="375" spans="1:54" s="892" customFormat="1" hidden="1" outlineLevel="1" x14ac:dyDescent="0.25">
      <c r="A375" s="910"/>
      <c r="B375" s="918"/>
      <c r="C375" s="907"/>
      <c r="D375" s="4328"/>
      <c r="E375" s="420" t="s">
        <v>1696</v>
      </c>
      <c r="F375" s="944">
        <v>1</v>
      </c>
      <c r="G375" s="3201" t="s">
        <v>285</v>
      </c>
      <c r="H375" s="1204" t="s">
        <v>1726</v>
      </c>
      <c r="I375" s="918"/>
      <c r="J375" s="918"/>
      <c r="K375" s="918"/>
      <c r="L375" s="918"/>
      <c r="M375" s="918"/>
      <c r="N375" s="918"/>
      <c r="O375" s="918"/>
      <c r="P375" s="918"/>
      <c r="Q375" s="918"/>
      <c r="R375" s="918"/>
      <c r="S375" s="910"/>
      <c r="T375" s="910"/>
      <c r="U375" s="910"/>
      <c r="V375" s="4248"/>
      <c r="W375" s="915">
        <v>1</v>
      </c>
      <c r="X375" s="915">
        <v>1</v>
      </c>
      <c r="Y375" s="915">
        <v>1</v>
      </c>
      <c r="Z375" s="944">
        <v>1</v>
      </c>
      <c r="AA375" s="944">
        <v>1</v>
      </c>
      <c r="AB375" s="944">
        <v>1</v>
      </c>
      <c r="AC375" s="944">
        <v>1</v>
      </c>
      <c r="AD375" s="915"/>
      <c r="AE375" s="915"/>
      <c r="AF375" s="915"/>
      <c r="AG375" s="915"/>
      <c r="AK375" s="883"/>
      <c r="BB375" s="906"/>
    </row>
    <row r="376" spans="1:54" s="892" customFormat="1" hidden="1" outlineLevel="1" x14ac:dyDescent="0.25">
      <c r="A376" s="910"/>
      <c r="B376" s="918"/>
      <c r="C376" s="907"/>
      <c r="D376" s="4328"/>
      <c r="E376" s="426" t="s">
        <v>1698</v>
      </c>
      <c r="F376" s="944">
        <v>0.91</v>
      </c>
      <c r="G376" s="3201" t="s">
        <v>285</v>
      </c>
      <c r="H376" s="1204" t="s">
        <v>1725</v>
      </c>
      <c r="I376" s="918"/>
      <c r="J376" s="918"/>
      <c r="K376" s="918"/>
      <c r="L376" s="918"/>
      <c r="M376" s="918"/>
      <c r="N376" s="918"/>
      <c r="O376" s="918"/>
      <c r="P376" s="918"/>
      <c r="Q376" s="918"/>
      <c r="R376" s="918"/>
      <c r="S376" s="910"/>
      <c r="T376" s="910"/>
      <c r="U376" s="910"/>
      <c r="V376" s="4248"/>
      <c r="W376" s="915">
        <v>0.91</v>
      </c>
      <c r="X376" s="915">
        <v>0.91</v>
      </c>
      <c r="Y376" s="915">
        <v>0.91</v>
      </c>
      <c r="Z376" s="944">
        <v>0.91</v>
      </c>
      <c r="AA376" s="944">
        <v>0.91</v>
      </c>
      <c r="AB376" s="944">
        <v>0.91</v>
      </c>
      <c r="AC376" s="944">
        <v>0.91</v>
      </c>
      <c r="AD376" s="915"/>
      <c r="AE376" s="915"/>
      <c r="AF376" s="915"/>
      <c r="AG376" s="915"/>
      <c r="AK376" s="883"/>
      <c r="BB376" s="906"/>
    </row>
    <row r="377" spans="1:54" s="892" customFormat="1" hidden="1" outlineLevel="1" x14ac:dyDescent="0.25">
      <c r="A377" s="910"/>
      <c r="B377" s="918"/>
      <c r="C377" s="907"/>
      <c r="D377" s="4328"/>
      <c r="E377" s="420" t="s">
        <v>1700</v>
      </c>
      <c r="F377" s="944">
        <v>0.91</v>
      </c>
      <c r="G377" s="3201" t="s">
        <v>285</v>
      </c>
      <c r="H377" s="1204" t="s">
        <v>1725</v>
      </c>
      <c r="I377" s="918"/>
      <c r="J377" s="918"/>
      <c r="K377" s="918"/>
      <c r="L377" s="918"/>
      <c r="M377" s="918"/>
      <c r="N377" s="918"/>
      <c r="O377" s="918"/>
      <c r="P377" s="918"/>
      <c r="Q377" s="918"/>
      <c r="R377" s="918"/>
      <c r="S377" s="910"/>
      <c r="T377" s="910"/>
      <c r="U377" s="910"/>
      <c r="V377" s="4248"/>
      <c r="W377" s="915">
        <v>0.91</v>
      </c>
      <c r="X377" s="915">
        <v>0.91</v>
      </c>
      <c r="Y377" s="915">
        <v>0.91</v>
      </c>
      <c r="Z377" s="944">
        <v>0.91</v>
      </c>
      <c r="AA377" s="944">
        <v>0.91</v>
      </c>
      <c r="AB377" s="944">
        <v>0.91</v>
      </c>
      <c r="AC377" s="944">
        <v>0.91</v>
      </c>
      <c r="AD377" s="915"/>
      <c r="AE377" s="915"/>
      <c r="AF377" s="915"/>
      <c r="AG377" s="915"/>
      <c r="AK377" s="883"/>
      <c r="BB377" s="906"/>
    </row>
    <row r="378" spans="1:54" s="892" customFormat="1" hidden="1" outlineLevel="1" x14ac:dyDescent="0.25">
      <c r="A378" s="910"/>
      <c r="B378" s="918"/>
      <c r="C378" s="907"/>
      <c r="D378" s="4328"/>
      <c r="E378" s="426" t="s">
        <v>1702</v>
      </c>
      <c r="F378" s="944">
        <v>1</v>
      </c>
      <c r="G378" s="3201" t="s">
        <v>285</v>
      </c>
      <c r="H378" s="1204" t="s">
        <v>1726</v>
      </c>
      <c r="I378" s="918"/>
      <c r="J378" s="918"/>
      <c r="K378" s="918"/>
      <c r="L378" s="918"/>
      <c r="M378" s="918"/>
      <c r="N378" s="918"/>
      <c r="O378" s="918"/>
      <c r="P378" s="918"/>
      <c r="Q378" s="918"/>
      <c r="R378" s="918"/>
      <c r="S378" s="910"/>
      <c r="T378" s="910"/>
      <c r="U378" s="910"/>
      <c r="V378" s="4248"/>
      <c r="W378" s="915">
        <v>1</v>
      </c>
      <c r="X378" s="915">
        <v>1</v>
      </c>
      <c r="Y378" s="915">
        <v>1</v>
      </c>
      <c r="Z378" s="944">
        <v>1</v>
      </c>
      <c r="AA378" s="944">
        <v>1</v>
      </c>
      <c r="AB378" s="944">
        <v>1</v>
      </c>
      <c r="AC378" s="944">
        <v>1</v>
      </c>
      <c r="AD378" s="915"/>
      <c r="AE378" s="915"/>
      <c r="AF378" s="915"/>
      <c r="AG378" s="915"/>
      <c r="AK378" s="883"/>
      <c r="BB378" s="906"/>
    </row>
    <row r="379" spans="1:54" s="892" customFormat="1" hidden="1" outlineLevel="1" x14ac:dyDescent="0.25">
      <c r="A379" s="910"/>
      <c r="B379" s="918"/>
      <c r="C379" s="907"/>
      <c r="D379" s="4328"/>
      <c r="E379" s="420" t="s">
        <v>1704</v>
      </c>
      <c r="F379" s="944">
        <v>0.91</v>
      </c>
      <c r="G379" s="3201" t="s">
        <v>285</v>
      </c>
      <c r="H379" s="1204" t="s">
        <v>1725</v>
      </c>
      <c r="I379" s="918"/>
      <c r="J379" s="918"/>
      <c r="K379" s="918"/>
      <c r="L379" s="918"/>
      <c r="M379" s="918"/>
      <c r="N379" s="918"/>
      <c r="O379" s="918"/>
      <c r="P379" s="918"/>
      <c r="Q379" s="918"/>
      <c r="R379" s="918"/>
      <c r="S379" s="910"/>
      <c r="T379" s="910"/>
      <c r="U379" s="910"/>
      <c r="V379" s="4249"/>
      <c r="W379" s="915">
        <v>0.91</v>
      </c>
      <c r="X379" s="915">
        <v>0.91</v>
      </c>
      <c r="Y379" s="915">
        <v>0.91</v>
      </c>
      <c r="Z379" s="944">
        <v>0.91</v>
      </c>
      <c r="AA379" s="944">
        <v>0.91</v>
      </c>
      <c r="AB379" s="944">
        <v>0.91</v>
      </c>
      <c r="AC379" s="944">
        <v>0.91</v>
      </c>
      <c r="AD379" s="915"/>
      <c r="AE379" s="915"/>
      <c r="AF379" s="915"/>
      <c r="AG379" s="915"/>
      <c r="AK379" s="883"/>
      <c r="BB379" s="906"/>
    </row>
    <row r="380" spans="1:54" s="892" customFormat="1" hidden="1" outlineLevel="1" x14ac:dyDescent="0.25">
      <c r="A380" s="910"/>
      <c r="B380" s="918"/>
      <c r="C380" s="907"/>
      <c r="D380" s="4327" t="s">
        <v>1727</v>
      </c>
      <c r="E380" s="420" t="s">
        <v>1646</v>
      </c>
      <c r="F380" s="1203">
        <v>11</v>
      </c>
      <c r="G380" s="1204" t="s">
        <v>1728</v>
      </c>
      <c r="H380" s="1204"/>
      <c r="I380" s="918"/>
      <c r="J380" s="918"/>
      <c r="K380" s="918"/>
      <c r="L380" s="918"/>
      <c r="M380" s="918"/>
      <c r="N380" s="918"/>
      <c r="O380" s="918"/>
      <c r="P380" s="918"/>
      <c r="Q380" s="918"/>
      <c r="R380" s="918"/>
      <c r="S380" s="910"/>
      <c r="T380" s="910"/>
      <c r="U380" s="910"/>
      <c r="V380" s="4247" t="str">
        <f>D380</f>
        <v>ƞcool</v>
      </c>
      <c r="W380" s="901">
        <v>11</v>
      </c>
      <c r="X380" s="901">
        <v>11</v>
      </c>
      <c r="Y380" s="901">
        <v>11</v>
      </c>
      <c r="Z380" s="1203">
        <v>11</v>
      </c>
      <c r="AA380" s="1203">
        <v>11</v>
      </c>
      <c r="AB380" s="1203">
        <v>11</v>
      </c>
      <c r="AC380" s="1203">
        <v>11</v>
      </c>
      <c r="AD380" s="901"/>
      <c r="AE380" s="901"/>
      <c r="AF380" s="901"/>
      <c r="AG380" s="901"/>
      <c r="AK380" s="883"/>
      <c r="BB380" s="906"/>
    </row>
    <row r="381" spans="1:54" s="892" customFormat="1" hidden="1" outlineLevel="1" x14ac:dyDescent="0.25">
      <c r="A381" s="910"/>
      <c r="B381" s="918"/>
      <c r="C381" s="907"/>
      <c r="D381" s="4328"/>
      <c r="E381" s="420" t="s">
        <v>1648</v>
      </c>
      <c r="F381" s="1203">
        <v>11</v>
      </c>
      <c r="G381" s="1204" t="s">
        <v>1709</v>
      </c>
      <c r="H381" s="4337" t="s">
        <v>289</v>
      </c>
      <c r="I381" s="918"/>
      <c r="J381" s="918"/>
      <c r="K381" s="918"/>
      <c r="L381" s="918"/>
      <c r="M381" s="918"/>
      <c r="N381" s="918"/>
      <c r="O381" s="918"/>
      <c r="P381" s="918"/>
      <c r="Q381" s="918"/>
      <c r="R381" s="918"/>
      <c r="S381" s="910"/>
      <c r="T381" s="910"/>
      <c r="U381" s="910"/>
      <c r="V381" s="4248"/>
      <c r="W381" s="901">
        <v>11</v>
      </c>
      <c r="X381" s="901">
        <v>11</v>
      </c>
      <c r="Y381" s="901">
        <v>11</v>
      </c>
      <c r="Z381" s="1203">
        <v>11</v>
      </c>
      <c r="AA381" s="1203">
        <v>11</v>
      </c>
      <c r="AB381" s="1203">
        <v>11</v>
      </c>
      <c r="AC381" s="1203">
        <v>11</v>
      </c>
      <c r="AD381" s="901"/>
      <c r="AE381" s="901"/>
      <c r="AF381" s="901"/>
      <c r="AG381" s="901"/>
      <c r="AK381" s="883"/>
      <c r="BB381" s="906"/>
    </row>
    <row r="382" spans="1:54" s="892" customFormat="1" hidden="1" outlineLevel="1" x14ac:dyDescent="0.25">
      <c r="A382" s="910"/>
      <c r="B382" s="918"/>
      <c r="C382" s="907"/>
      <c r="D382" s="4328"/>
      <c r="E382" s="420" t="s">
        <v>1650</v>
      </c>
      <c r="F382" s="1203">
        <v>11</v>
      </c>
      <c r="G382" s="1204" t="s">
        <v>1709</v>
      </c>
      <c r="H382" s="3890"/>
      <c r="I382" s="918"/>
      <c r="J382" s="918"/>
      <c r="K382" s="918"/>
      <c r="L382" s="918"/>
      <c r="M382" s="918"/>
      <c r="N382" s="918"/>
      <c r="O382" s="918"/>
      <c r="P382" s="918"/>
      <c r="Q382" s="918"/>
      <c r="R382" s="918"/>
      <c r="S382" s="910"/>
      <c r="T382" s="910"/>
      <c r="U382" s="910"/>
      <c r="V382" s="4248"/>
      <c r="W382" s="901">
        <v>11</v>
      </c>
      <c r="X382" s="901">
        <v>11</v>
      </c>
      <c r="Y382" s="901">
        <v>11</v>
      </c>
      <c r="Z382" s="1203">
        <v>11</v>
      </c>
      <c r="AA382" s="1203">
        <v>11</v>
      </c>
      <c r="AB382" s="1203">
        <v>11</v>
      </c>
      <c r="AC382" s="1203">
        <v>11</v>
      </c>
      <c r="AD382" s="901"/>
      <c r="AE382" s="901"/>
      <c r="AF382" s="901"/>
      <c r="AG382" s="901"/>
      <c r="AK382" s="883"/>
      <c r="BB382" s="906"/>
    </row>
    <row r="383" spans="1:54" s="892" customFormat="1" hidden="1" outlineLevel="1" x14ac:dyDescent="0.25">
      <c r="A383" s="910"/>
      <c r="B383" s="918"/>
      <c r="C383" s="907"/>
      <c r="D383" s="4328"/>
      <c r="E383" s="420" t="s">
        <v>1652</v>
      </c>
      <c r="F383" s="1203">
        <v>11</v>
      </c>
      <c r="G383" s="1204" t="s">
        <v>1709</v>
      </c>
      <c r="H383" s="3890"/>
      <c r="I383" s="918"/>
      <c r="J383" s="918"/>
      <c r="K383" s="918"/>
      <c r="L383" s="918"/>
      <c r="M383" s="918"/>
      <c r="N383" s="918"/>
      <c r="O383" s="918"/>
      <c r="P383" s="918"/>
      <c r="Q383" s="918"/>
      <c r="R383" s="918"/>
      <c r="S383" s="910"/>
      <c r="T383" s="910"/>
      <c r="U383" s="910"/>
      <c r="V383" s="4248"/>
      <c r="W383" s="901">
        <v>11</v>
      </c>
      <c r="X383" s="901">
        <v>11</v>
      </c>
      <c r="Y383" s="901">
        <v>11</v>
      </c>
      <c r="Z383" s="1203">
        <v>11</v>
      </c>
      <c r="AA383" s="1203">
        <v>11</v>
      </c>
      <c r="AB383" s="1203">
        <v>11</v>
      </c>
      <c r="AC383" s="1203">
        <v>11</v>
      </c>
      <c r="AD383" s="901"/>
      <c r="AE383" s="901"/>
      <c r="AF383" s="901"/>
      <c r="AG383" s="901"/>
      <c r="AK383" s="883"/>
      <c r="BB383" s="906"/>
    </row>
    <row r="384" spans="1:54" s="892" customFormat="1" hidden="1" outlineLevel="1" x14ac:dyDescent="0.25">
      <c r="A384" s="910"/>
      <c r="B384" s="918"/>
      <c r="C384" s="907"/>
      <c r="D384" s="4328"/>
      <c r="E384" s="420" t="s">
        <v>1654</v>
      </c>
      <c r="F384" s="1203">
        <v>11</v>
      </c>
      <c r="G384" s="1204" t="s">
        <v>1709</v>
      </c>
      <c r="H384" s="3890"/>
      <c r="I384" s="918"/>
      <c r="J384" s="918"/>
      <c r="K384" s="918"/>
      <c r="L384" s="918"/>
      <c r="M384" s="918"/>
      <c r="N384" s="918"/>
      <c r="O384" s="918"/>
      <c r="P384" s="918"/>
      <c r="Q384" s="918"/>
      <c r="R384" s="918"/>
      <c r="S384" s="910"/>
      <c r="T384" s="910"/>
      <c r="U384" s="910"/>
      <c r="V384" s="4248"/>
      <c r="W384" s="901">
        <v>11</v>
      </c>
      <c r="X384" s="901">
        <v>11</v>
      </c>
      <c r="Y384" s="901">
        <v>11</v>
      </c>
      <c r="Z384" s="1203">
        <v>11</v>
      </c>
      <c r="AA384" s="1203">
        <v>11</v>
      </c>
      <c r="AB384" s="1203">
        <v>11</v>
      </c>
      <c r="AC384" s="1203">
        <v>11</v>
      </c>
      <c r="AD384" s="901"/>
      <c r="AE384" s="901"/>
      <c r="AF384" s="901"/>
      <c r="AG384" s="901"/>
      <c r="AK384" s="883"/>
      <c r="BB384" s="906"/>
    </row>
    <row r="385" spans="1:54" s="892" customFormat="1" hidden="1" outlineLevel="1" x14ac:dyDescent="0.25">
      <c r="A385" s="910"/>
      <c r="B385" s="918"/>
      <c r="C385" s="907"/>
      <c r="D385" s="4328"/>
      <c r="E385" s="420" t="s">
        <v>1656</v>
      </c>
      <c r="F385" s="1203">
        <v>11</v>
      </c>
      <c r="G385" s="1204" t="s">
        <v>1709</v>
      </c>
      <c r="H385" s="3890"/>
      <c r="I385" s="918"/>
      <c r="J385" s="918"/>
      <c r="K385" s="918"/>
      <c r="L385" s="918"/>
      <c r="M385" s="918"/>
      <c r="N385" s="918"/>
      <c r="O385" s="918"/>
      <c r="P385" s="918"/>
      <c r="Q385" s="918"/>
      <c r="R385" s="918"/>
      <c r="S385" s="910"/>
      <c r="T385" s="910"/>
      <c r="U385" s="910"/>
      <c r="V385" s="4248"/>
      <c r="W385" s="901">
        <v>11</v>
      </c>
      <c r="X385" s="901">
        <v>11</v>
      </c>
      <c r="Y385" s="901">
        <v>11</v>
      </c>
      <c r="Z385" s="1203">
        <v>11</v>
      </c>
      <c r="AA385" s="1203">
        <v>11</v>
      </c>
      <c r="AB385" s="1203">
        <v>11</v>
      </c>
      <c r="AC385" s="1203">
        <v>11</v>
      </c>
      <c r="AD385" s="901"/>
      <c r="AE385" s="901"/>
      <c r="AF385" s="901"/>
      <c r="AG385" s="901"/>
      <c r="AK385" s="883"/>
      <c r="BB385" s="906"/>
    </row>
    <row r="386" spans="1:54" s="892" customFormat="1" hidden="1" outlineLevel="1" x14ac:dyDescent="0.25">
      <c r="A386" s="910"/>
      <c r="B386" s="918"/>
      <c r="C386" s="907"/>
      <c r="D386" s="4328"/>
      <c r="E386" s="420" t="s">
        <v>1658</v>
      </c>
      <c r="F386" s="1203">
        <v>11</v>
      </c>
      <c r="G386" s="1204" t="s">
        <v>1709</v>
      </c>
      <c r="H386" s="3890"/>
      <c r="I386" s="918"/>
      <c r="J386" s="918"/>
      <c r="K386" s="918"/>
      <c r="L386" s="918"/>
      <c r="M386" s="918"/>
      <c r="N386" s="918"/>
      <c r="O386" s="918"/>
      <c r="P386" s="918"/>
      <c r="Q386" s="918"/>
      <c r="R386" s="918"/>
      <c r="S386" s="910"/>
      <c r="T386" s="910"/>
      <c r="U386" s="910"/>
      <c r="V386" s="4248"/>
      <c r="W386" s="901">
        <v>11</v>
      </c>
      <c r="X386" s="901">
        <v>11</v>
      </c>
      <c r="Y386" s="901">
        <v>11</v>
      </c>
      <c r="Z386" s="1203">
        <v>11</v>
      </c>
      <c r="AA386" s="1203">
        <v>11</v>
      </c>
      <c r="AB386" s="1203">
        <v>11</v>
      </c>
      <c r="AC386" s="1203">
        <v>11</v>
      </c>
      <c r="AD386" s="901"/>
      <c r="AE386" s="901"/>
      <c r="AF386" s="901"/>
      <c r="AG386" s="901"/>
      <c r="AK386" s="883"/>
      <c r="BB386" s="906"/>
    </row>
    <row r="387" spans="1:54" s="892" customFormat="1" hidden="1" outlineLevel="1" x14ac:dyDescent="0.25">
      <c r="A387" s="910"/>
      <c r="B387" s="918"/>
      <c r="C387" s="907"/>
      <c r="D387" s="4328"/>
      <c r="E387" s="420" t="s">
        <v>1660</v>
      </c>
      <c r="F387" s="1203">
        <v>11</v>
      </c>
      <c r="G387" s="1204" t="s">
        <v>1709</v>
      </c>
      <c r="H387" s="3890"/>
      <c r="I387" s="918"/>
      <c r="J387" s="918"/>
      <c r="K387" s="918"/>
      <c r="L387" s="918"/>
      <c r="M387" s="918"/>
      <c r="N387" s="918"/>
      <c r="O387" s="918"/>
      <c r="P387" s="918"/>
      <c r="Q387" s="918"/>
      <c r="R387" s="918"/>
      <c r="S387" s="910"/>
      <c r="T387" s="910"/>
      <c r="U387" s="910"/>
      <c r="V387" s="4248"/>
      <c r="W387" s="901">
        <v>11</v>
      </c>
      <c r="X387" s="901">
        <v>11</v>
      </c>
      <c r="Y387" s="901">
        <v>11</v>
      </c>
      <c r="Z387" s="1203">
        <v>11</v>
      </c>
      <c r="AA387" s="1203">
        <v>11</v>
      </c>
      <c r="AB387" s="1203">
        <v>11</v>
      </c>
      <c r="AC387" s="1203">
        <v>11</v>
      </c>
      <c r="AD387" s="901"/>
      <c r="AE387" s="901"/>
      <c r="AF387" s="901"/>
      <c r="AG387" s="901"/>
      <c r="AK387" s="883"/>
      <c r="BB387" s="906"/>
    </row>
    <row r="388" spans="1:54" s="892" customFormat="1" hidden="1" outlineLevel="1" x14ac:dyDescent="0.25">
      <c r="A388" s="910"/>
      <c r="B388" s="918"/>
      <c r="C388" s="907"/>
      <c r="D388" s="4328"/>
      <c r="E388" s="426" t="s">
        <v>1662</v>
      </c>
      <c r="F388" s="1203">
        <v>11</v>
      </c>
      <c r="G388" s="1204" t="s">
        <v>1709</v>
      </c>
      <c r="H388" s="3890"/>
      <c r="I388" s="918"/>
      <c r="J388" s="918"/>
      <c r="K388" s="918"/>
      <c r="L388" s="918"/>
      <c r="M388" s="918"/>
      <c r="N388" s="918"/>
      <c r="O388" s="918"/>
      <c r="P388" s="918"/>
      <c r="Q388" s="918"/>
      <c r="R388" s="918"/>
      <c r="S388" s="910"/>
      <c r="T388" s="910"/>
      <c r="U388" s="910"/>
      <c r="V388" s="4248"/>
      <c r="W388" s="901">
        <v>11</v>
      </c>
      <c r="X388" s="901">
        <v>11</v>
      </c>
      <c r="Y388" s="901">
        <v>11</v>
      </c>
      <c r="Z388" s="1203">
        <v>11</v>
      </c>
      <c r="AA388" s="1203">
        <v>11</v>
      </c>
      <c r="AB388" s="1203">
        <v>11</v>
      </c>
      <c r="AC388" s="1203">
        <v>11</v>
      </c>
      <c r="AD388" s="901"/>
      <c r="AE388" s="901"/>
      <c r="AF388" s="901"/>
      <c r="AG388" s="901"/>
      <c r="AK388" s="883"/>
      <c r="BB388" s="906"/>
    </row>
    <row r="389" spans="1:54" s="892" customFormat="1" hidden="1" outlineLevel="1" x14ac:dyDescent="0.25">
      <c r="A389" s="910"/>
      <c r="B389" s="918"/>
      <c r="C389" s="907"/>
      <c r="D389" s="4328"/>
      <c r="E389" s="420" t="s">
        <v>1664</v>
      </c>
      <c r="F389" s="1203">
        <v>11</v>
      </c>
      <c r="G389" s="1204" t="s">
        <v>1709</v>
      </c>
      <c r="H389" s="3890"/>
      <c r="I389" s="918"/>
      <c r="J389" s="918"/>
      <c r="K389" s="918"/>
      <c r="L389" s="918"/>
      <c r="M389" s="918"/>
      <c r="N389" s="918"/>
      <c r="O389" s="918"/>
      <c r="P389" s="918"/>
      <c r="Q389" s="918"/>
      <c r="R389" s="918"/>
      <c r="S389" s="910"/>
      <c r="T389" s="910"/>
      <c r="U389" s="910"/>
      <c r="V389" s="4248"/>
      <c r="W389" s="901">
        <v>11</v>
      </c>
      <c r="X389" s="901">
        <v>11</v>
      </c>
      <c r="Y389" s="901">
        <v>11</v>
      </c>
      <c r="Z389" s="1203">
        <v>11</v>
      </c>
      <c r="AA389" s="1203">
        <v>11</v>
      </c>
      <c r="AB389" s="1203">
        <v>11</v>
      </c>
      <c r="AC389" s="1203">
        <v>11</v>
      </c>
      <c r="AD389" s="901"/>
      <c r="AE389" s="901"/>
      <c r="AF389" s="901"/>
      <c r="AG389" s="901"/>
      <c r="AK389" s="883"/>
      <c r="BB389" s="906"/>
    </row>
    <row r="390" spans="1:54" s="892" customFormat="1" hidden="1" outlineLevel="1" x14ac:dyDescent="0.25">
      <c r="A390" s="910"/>
      <c r="B390" s="918"/>
      <c r="C390" s="907"/>
      <c r="D390" s="4328"/>
      <c r="E390" s="420" t="s">
        <v>1666</v>
      </c>
      <c r="F390" s="1203">
        <v>11</v>
      </c>
      <c r="G390" s="1204" t="s">
        <v>1709</v>
      </c>
      <c r="H390" s="3890"/>
      <c r="I390" s="918"/>
      <c r="J390" s="918"/>
      <c r="K390" s="918"/>
      <c r="L390" s="918"/>
      <c r="M390" s="918"/>
      <c r="N390" s="918"/>
      <c r="O390" s="918"/>
      <c r="P390" s="918"/>
      <c r="Q390" s="918"/>
      <c r="R390" s="918"/>
      <c r="S390" s="910"/>
      <c r="T390" s="910"/>
      <c r="U390" s="910"/>
      <c r="V390" s="4248"/>
      <c r="W390" s="901">
        <v>11</v>
      </c>
      <c r="X390" s="901">
        <v>11</v>
      </c>
      <c r="Y390" s="901">
        <v>11</v>
      </c>
      <c r="Z390" s="1203">
        <v>11</v>
      </c>
      <c r="AA390" s="1203">
        <v>11</v>
      </c>
      <c r="AB390" s="1203">
        <v>11</v>
      </c>
      <c r="AC390" s="1203">
        <v>11</v>
      </c>
      <c r="AD390" s="901"/>
      <c r="AE390" s="901"/>
      <c r="AF390" s="901"/>
      <c r="AG390" s="901"/>
      <c r="AK390" s="883"/>
      <c r="BB390" s="906"/>
    </row>
    <row r="391" spans="1:54" s="892" customFormat="1" hidden="1" outlineLevel="1" x14ac:dyDescent="0.25">
      <c r="A391" s="910"/>
      <c r="B391" s="918"/>
      <c r="C391" s="907"/>
      <c r="D391" s="4328"/>
      <c r="E391" s="1620" t="s">
        <v>1668</v>
      </c>
      <c r="F391" s="1203">
        <v>11</v>
      </c>
      <c r="G391" s="1204" t="s">
        <v>1709</v>
      </c>
      <c r="H391" s="3890"/>
      <c r="I391" s="918"/>
      <c r="J391" s="918"/>
      <c r="K391" s="918"/>
      <c r="L391" s="918"/>
      <c r="M391" s="918"/>
      <c r="N391" s="918"/>
      <c r="O391" s="918"/>
      <c r="P391" s="918"/>
      <c r="Q391" s="918"/>
      <c r="R391" s="918"/>
      <c r="S391" s="910"/>
      <c r="T391" s="910"/>
      <c r="U391" s="910"/>
      <c r="V391" s="4248"/>
      <c r="W391" s="901">
        <v>11</v>
      </c>
      <c r="X391" s="901">
        <v>11</v>
      </c>
      <c r="Y391" s="901">
        <v>11</v>
      </c>
      <c r="Z391" s="1203">
        <v>11</v>
      </c>
      <c r="AA391" s="1203">
        <v>11</v>
      </c>
      <c r="AB391" s="1203">
        <v>11</v>
      </c>
      <c r="AC391" s="1203">
        <v>11</v>
      </c>
      <c r="AD391" s="901"/>
      <c r="AE391" s="901"/>
      <c r="AF391" s="901"/>
      <c r="AG391" s="901"/>
      <c r="AK391" s="883"/>
      <c r="BB391" s="906"/>
    </row>
    <row r="392" spans="1:54" s="892" customFormat="1" hidden="1" outlineLevel="1" x14ac:dyDescent="0.25">
      <c r="A392" s="910"/>
      <c r="B392" s="918"/>
      <c r="C392" s="907"/>
      <c r="D392" s="4328"/>
      <c r="E392" s="420" t="s">
        <v>1670</v>
      </c>
      <c r="F392" s="1203">
        <v>11</v>
      </c>
      <c r="G392" s="1204" t="s">
        <v>1709</v>
      </c>
      <c r="H392" s="3890"/>
      <c r="I392" s="918"/>
      <c r="J392" s="918"/>
      <c r="K392" s="918"/>
      <c r="L392" s="918"/>
      <c r="M392" s="918"/>
      <c r="N392" s="918"/>
      <c r="O392" s="918"/>
      <c r="P392" s="918"/>
      <c r="Q392" s="918"/>
      <c r="R392" s="918"/>
      <c r="S392" s="910"/>
      <c r="T392" s="910"/>
      <c r="U392" s="910"/>
      <c r="V392" s="4248"/>
      <c r="W392" s="901">
        <v>11</v>
      </c>
      <c r="X392" s="901">
        <v>11</v>
      </c>
      <c r="Y392" s="901">
        <v>11</v>
      </c>
      <c r="Z392" s="1203">
        <v>11</v>
      </c>
      <c r="AA392" s="1203">
        <v>11</v>
      </c>
      <c r="AB392" s="1203">
        <v>11</v>
      </c>
      <c r="AC392" s="1203">
        <v>11</v>
      </c>
      <c r="AD392" s="901"/>
      <c r="AE392" s="901"/>
      <c r="AF392" s="901"/>
      <c r="AG392" s="901"/>
      <c r="AK392" s="883"/>
      <c r="BB392" s="906"/>
    </row>
    <row r="393" spans="1:54" s="892" customFormat="1" hidden="1" outlineLevel="1" x14ac:dyDescent="0.25">
      <c r="A393" s="910"/>
      <c r="B393" s="918"/>
      <c r="C393" s="907"/>
      <c r="D393" s="4328"/>
      <c r="E393" s="420" t="s">
        <v>1672</v>
      </c>
      <c r="F393" s="1203">
        <v>11</v>
      </c>
      <c r="G393" s="1204" t="s">
        <v>1709</v>
      </c>
      <c r="H393" s="3890"/>
      <c r="I393" s="918"/>
      <c r="J393" s="918"/>
      <c r="K393" s="918"/>
      <c r="L393" s="918"/>
      <c r="M393" s="918"/>
      <c r="N393" s="918"/>
      <c r="O393" s="918"/>
      <c r="P393" s="918"/>
      <c r="Q393" s="918"/>
      <c r="R393" s="918"/>
      <c r="S393" s="910"/>
      <c r="T393" s="910"/>
      <c r="U393" s="910"/>
      <c r="V393" s="4248"/>
      <c r="W393" s="901">
        <v>11</v>
      </c>
      <c r="X393" s="901">
        <v>11</v>
      </c>
      <c r="Y393" s="901">
        <v>11</v>
      </c>
      <c r="Z393" s="1203">
        <v>11</v>
      </c>
      <c r="AA393" s="1203">
        <v>11</v>
      </c>
      <c r="AB393" s="1203">
        <v>11</v>
      </c>
      <c r="AC393" s="1203">
        <v>11</v>
      </c>
      <c r="AD393" s="901"/>
      <c r="AE393" s="901"/>
      <c r="AF393" s="901"/>
      <c r="AG393" s="901"/>
      <c r="AK393" s="883"/>
      <c r="BB393" s="906"/>
    </row>
    <row r="394" spans="1:54" s="892" customFormat="1" hidden="1" outlineLevel="1" x14ac:dyDescent="0.25">
      <c r="A394" s="910"/>
      <c r="B394" s="918"/>
      <c r="C394" s="907"/>
      <c r="D394" s="4328"/>
      <c r="E394" s="426" t="s">
        <v>1674</v>
      </c>
      <c r="F394" s="1203">
        <v>11</v>
      </c>
      <c r="G394" s="1204" t="s">
        <v>1709</v>
      </c>
      <c r="H394" s="3890"/>
      <c r="I394" s="918"/>
      <c r="J394" s="918"/>
      <c r="K394" s="918"/>
      <c r="L394" s="918"/>
      <c r="M394" s="918"/>
      <c r="N394" s="918"/>
      <c r="O394" s="918"/>
      <c r="P394" s="918"/>
      <c r="Q394" s="918"/>
      <c r="R394" s="918"/>
      <c r="S394" s="910"/>
      <c r="T394" s="910"/>
      <c r="U394" s="910"/>
      <c r="V394" s="4248"/>
      <c r="W394" s="901">
        <v>11</v>
      </c>
      <c r="X394" s="901">
        <v>11</v>
      </c>
      <c r="Y394" s="901">
        <v>11</v>
      </c>
      <c r="Z394" s="1203">
        <v>11</v>
      </c>
      <c r="AA394" s="1203">
        <v>11</v>
      </c>
      <c r="AB394" s="1203">
        <v>11</v>
      </c>
      <c r="AC394" s="1203">
        <v>11</v>
      </c>
      <c r="AD394" s="901"/>
      <c r="AE394" s="901"/>
      <c r="AF394" s="901"/>
      <c r="AG394" s="901"/>
      <c r="AK394" s="883"/>
      <c r="BB394" s="906"/>
    </row>
    <row r="395" spans="1:54" s="892" customFormat="1" hidden="1" outlineLevel="1" x14ac:dyDescent="0.25">
      <c r="A395" s="910"/>
      <c r="B395" s="918"/>
      <c r="C395" s="907"/>
      <c r="D395" s="4328"/>
      <c r="E395" s="420" t="s">
        <v>1676</v>
      </c>
      <c r="F395" s="1203">
        <v>11</v>
      </c>
      <c r="G395" s="1204" t="s">
        <v>1709</v>
      </c>
      <c r="H395" s="3890"/>
      <c r="I395" s="918"/>
      <c r="J395" s="918"/>
      <c r="K395" s="918"/>
      <c r="L395" s="918"/>
      <c r="M395" s="918"/>
      <c r="N395" s="918"/>
      <c r="O395" s="918"/>
      <c r="P395" s="918"/>
      <c r="Q395" s="918"/>
      <c r="R395" s="918"/>
      <c r="S395" s="910"/>
      <c r="T395" s="910"/>
      <c r="U395" s="910"/>
      <c r="V395" s="4248"/>
      <c r="W395" s="901">
        <v>11</v>
      </c>
      <c r="X395" s="901">
        <v>11</v>
      </c>
      <c r="Y395" s="901">
        <v>11</v>
      </c>
      <c r="Z395" s="1203">
        <v>11</v>
      </c>
      <c r="AA395" s="1203">
        <v>11</v>
      </c>
      <c r="AB395" s="1203">
        <v>11</v>
      </c>
      <c r="AC395" s="1203">
        <v>11</v>
      </c>
      <c r="AD395" s="901"/>
      <c r="AE395" s="901"/>
      <c r="AF395" s="901"/>
      <c r="AG395" s="901"/>
      <c r="AK395" s="883"/>
      <c r="BB395" s="906"/>
    </row>
    <row r="396" spans="1:54" s="892" customFormat="1" hidden="1" outlineLevel="1" x14ac:dyDescent="0.25">
      <c r="A396" s="910"/>
      <c r="B396" s="918"/>
      <c r="C396" s="907"/>
      <c r="D396" s="4336"/>
      <c r="E396" s="426" t="s">
        <v>1678</v>
      </c>
      <c r="F396" s="1634">
        <v>11</v>
      </c>
      <c r="G396" s="1204" t="s">
        <v>1709</v>
      </c>
      <c r="H396" s="3890"/>
      <c r="I396" s="918"/>
      <c r="J396" s="918"/>
      <c r="K396" s="918"/>
      <c r="L396" s="918"/>
      <c r="M396" s="918"/>
      <c r="N396" s="918"/>
      <c r="O396" s="918"/>
      <c r="P396" s="918"/>
      <c r="Q396" s="918"/>
      <c r="R396" s="918"/>
      <c r="S396" s="910"/>
      <c r="T396" s="910"/>
      <c r="U396" s="910"/>
      <c r="V396" s="4248"/>
      <c r="W396" s="921">
        <v>11</v>
      </c>
      <c r="X396" s="921">
        <v>11</v>
      </c>
      <c r="Y396" s="921">
        <v>11</v>
      </c>
      <c r="Z396" s="1634">
        <v>11</v>
      </c>
      <c r="AA396" s="1634">
        <v>11</v>
      </c>
      <c r="AB396" s="1634">
        <v>11</v>
      </c>
      <c r="AC396" s="1634">
        <v>11</v>
      </c>
      <c r="AD396" s="921"/>
      <c r="AE396" s="921"/>
      <c r="AF396" s="921"/>
      <c r="AG396" s="921"/>
      <c r="AK396" s="883"/>
      <c r="BB396" s="906"/>
    </row>
    <row r="397" spans="1:54" s="892" customFormat="1" hidden="1" outlineLevel="1" x14ac:dyDescent="0.25">
      <c r="A397" s="910"/>
      <c r="B397" s="918"/>
      <c r="C397" s="907"/>
      <c r="D397" s="4328"/>
      <c r="E397" s="420" t="s">
        <v>1680</v>
      </c>
      <c r="F397" s="1635">
        <v>11</v>
      </c>
      <c r="G397" s="1204" t="s">
        <v>1709</v>
      </c>
      <c r="H397" s="3890"/>
      <c r="I397" s="918"/>
      <c r="J397" s="918"/>
      <c r="K397" s="918"/>
      <c r="L397" s="918"/>
      <c r="M397" s="918"/>
      <c r="N397" s="918"/>
      <c r="O397" s="918"/>
      <c r="P397" s="918"/>
      <c r="Q397" s="918"/>
      <c r="R397" s="918"/>
      <c r="S397" s="910"/>
      <c r="T397" s="910"/>
      <c r="U397" s="910"/>
      <c r="V397" s="4248"/>
      <c r="W397" s="922">
        <v>11</v>
      </c>
      <c r="X397" s="922">
        <v>11</v>
      </c>
      <c r="Y397" s="922">
        <v>11</v>
      </c>
      <c r="Z397" s="1635">
        <v>11</v>
      </c>
      <c r="AA397" s="1635">
        <v>11</v>
      </c>
      <c r="AB397" s="1635">
        <v>11</v>
      </c>
      <c r="AC397" s="1635">
        <v>11</v>
      </c>
      <c r="AD397" s="922"/>
      <c r="AE397" s="922"/>
      <c r="AF397" s="922"/>
      <c r="AG397" s="922"/>
      <c r="AK397" s="883"/>
      <c r="BB397" s="906"/>
    </row>
    <row r="398" spans="1:54" s="892" customFormat="1" hidden="1" outlineLevel="1" x14ac:dyDescent="0.25">
      <c r="A398" s="910"/>
      <c r="B398" s="918"/>
      <c r="C398" s="907"/>
      <c r="D398" s="4328"/>
      <c r="E398" s="420" t="s">
        <v>1682</v>
      </c>
      <c r="F398" s="1635">
        <v>11</v>
      </c>
      <c r="G398" s="1204" t="s">
        <v>1709</v>
      </c>
      <c r="H398" s="3890"/>
      <c r="I398" s="918"/>
      <c r="J398" s="918"/>
      <c r="K398" s="918"/>
      <c r="L398" s="918"/>
      <c r="M398" s="918"/>
      <c r="N398" s="918"/>
      <c r="O398" s="918"/>
      <c r="P398" s="918"/>
      <c r="Q398" s="918"/>
      <c r="R398" s="918"/>
      <c r="S398" s="910"/>
      <c r="T398" s="910"/>
      <c r="U398" s="910"/>
      <c r="V398" s="4248"/>
      <c r="W398" s="922">
        <v>11</v>
      </c>
      <c r="X398" s="922">
        <v>11</v>
      </c>
      <c r="Y398" s="922">
        <v>11</v>
      </c>
      <c r="Z398" s="1635">
        <v>11</v>
      </c>
      <c r="AA398" s="1635">
        <v>11</v>
      </c>
      <c r="AB398" s="1635">
        <v>11</v>
      </c>
      <c r="AC398" s="1635">
        <v>11</v>
      </c>
      <c r="AD398" s="922"/>
      <c r="AE398" s="922"/>
      <c r="AF398" s="922"/>
      <c r="AG398" s="922"/>
      <c r="AK398" s="883"/>
      <c r="BB398" s="906"/>
    </row>
    <row r="399" spans="1:54" s="892" customFormat="1" hidden="1" outlineLevel="1" x14ac:dyDescent="0.25">
      <c r="A399" s="910"/>
      <c r="B399" s="918"/>
      <c r="C399" s="907"/>
      <c r="D399" s="4328"/>
      <c r="E399" s="420" t="s">
        <v>1684</v>
      </c>
      <c r="F399" s="1635">
        <v>11</v>
      </c>
      <c r="G399" s="1204" t="s">
        <v>1709</v>
      </c>
      <c r="H399" s="3890"/>
      <c r="I399" s="918"/>
      <c r="J399" s="918"/>
      <c r="K399" s="918"/>
      <c r="L399" s="918"/>
      <c r="M399" s="918"/>
      <c r="N399" s="918"/>
      <c r="O399" s="918"/>
      <c r="P399" s="918"/>
      <c r="Q399" s="918"/>
      <c r="R399" s="918"/>
      <c r="S399" s="910"/>
      <c r="T399" s="910"/>
      <c r="U399" s="910"/>
      <c r="V399" s="4248"/>
      <c r="W399" s="922">
        <v>11</v>
      </c>
      <c r="X399" s="922">
        <v>11</v>
      </c>
      <c r="Y399" s="922">
        <v>11</v>
      </c>
      <c r="Z399" s="1635">
        <v>11</v>
      </c>
      <c r="AA399" s="1635">
        <v>11</v>
      </c>
      <c r="AB399" s="1635">
        <v>11</v>
      </c>
      <c r="AC399" s="1635">
        <v>11</v>
      </c>
      <c r="AD399" s="922"/>
      <c r="AE399" s="922"/>
      <c r="AF399" s="922"/>
      <c r="AG399" s="922"/>
      <c r="AK399" s="883"/>
      <c r="BB399" s="906"/>
    </row>
    <row r="400" spans="1:54" s="892" customFormat="1" hidden="1" outlineLevel="1" x14ac:dyDescent="0.25">
      <c r="A400" s="910"/>
      <c r="B400" s="918"/>
      <c r="C400" s="907"/>
      <c r="D400" s="4328"/>
      <c r="E400" s="426" t="s">
        <v>1686</v>
      </c>
      <c r="F400" s="1635">
        <v>11</v>
      </c>
      <c r="G400" s="1204" t="s">
        <v>1709</v>
      </c>
      <c r="H400" s="3890"/>
      <c r="I400" s="918"/>
      <c r="J400" s="918"/>
      <c r="K400" s="918"/>
      <c r="L400" s="918"/>
      <c r="M400" s="918"/>
      <c r="N400" s="918"/>
      <c r="O400" s="918"/>
      <c r="P400" s="918"/>
      <c r="Q400" s="918"/>
      <c r="R400" s="918"/>
      <c r="S400" s="910"/>
      <c r="T400" s="910"/>
      <c r="U400" s="910"/>
      <c r="V400" s="4248"/>
      <c r="W400" s="922">
        <v>11</v>
      </c>
      <c r="X400" s="922">
        <v>11</v>
      </c>
      <c r="Y400" s="922">
        <v>11</v>
      </c>
      <c r="Z400" s="1635">
        <v>11</v>
      </c>
      <c r="AA400" s="1635">
        <v>11</v>
      </c>
      <c r="AB400" s="1635">
        <v>11</v>
      </c>
      <c r="AC400" s="1635">
        <v>11</v>
      </c>
      <c r="AD400" s="922"/>
      <c r="AE400" s="922"/>
      <c r="AF400" s="922"/>
      <c r="AG400" s="922"/>
      <c r="AK400" s="883"/>
      <c r="BB400" s="906"/>
    </row>
    <row r="401" spans="1:54" s="892" customFormat="1" hidden="1" outlineLevel="1" x14ac:dyDescent="0.25">
      <c r="A401" s="910"/>
      <c r="B401" s="918"/>
      <c r="C401" s="907"/>
      <c r="D401" s="4328"/>
      <c r="E401" s="420" t="s">
        <v>1688</v>
      </c>
      <c r="F401" s="1635">
        <v>11</v>
      </c>
      <c r="G401" s="1204" t="s">
        <v>1709</v>
      </c>
      <c r="H401" s="3890"/>
      <c r="I401" s="918"/>
      <c r="J401" s="918"/>
      <c r="K401" s="918"/>
      <c r="L401" s="918"/>
      <c r="M401" s="918"/>
      <c r="N401" s="918"/>
      <c r="O401" s="918"/>
      <c r="P401" s="918"/>
      <c r="Q401" s="918"/>
      <c r="R401" s="918"/>
      <c r="S401" s="910"/>
      <c r="T401" s="910"/>
      <c r="U401" s="910"/>
      <c r="V401" s="4248"/>
      <c r="W401" s="922">
        <v>11</v>
      </c>
      <c r="X401" s="922">
        <v>11</v>
      </c>
      <c r="Y401" s="922">
        <v>11</v>
      </c>
      <c r="Z401" s="1635">
        <v>11</v>
      </c>
      <c r="AA401" s="1635">
        <v>11</v>
      </c>
      <c r="AB401" s="1635">
        <v>11</v>
      </c>
      <c r="AC401" s="1635">
        <v>11</v>
      </c>
      <c r="AD401" s="922"/>
      <c r="AE401" s="922"/>
      <c r="AF401" s="922"/>
      <c r="AG401" s="922"/>
      <c r="AK401" s="883"/>
      <c r="BB401" s="906"/>
    </row>
    <row r="402" spans="1:54" s="892" customFormat="1" hidden="1" outlineLevel="1" x14ac:dyDescent="0.25">
      <c r="A402" s="910"/>
      <c r="B402" s="918"/>
      <c r="C402" s="907"/>
      <c r="D402" s="4328"/>
      <c r="E402" s="426" t="s">
        <v>1690</v>
      </c>
      <c r="F402" s="1635">
        <v>11</v>
      </c>
      <c r="G402" s="1204" t="s">
        <v>1709</v>
      </c>
      <c r="H402" s="3890"/>
      <c r="I402" s="918"/>
      <c r="J402" s="918"/>
      <c r="K402" s="918"/>
      <c r="L402" s="918"/>
      <c r="M402" s="918"/>
      <c r="N402" s="918"/>
      <c r="O402" s="918"/>
      <c r="P402" s="918"/>
      <c r="Q402" s="918"/>
      <c r="R402" s="918"/>
      <c r="S402" s="910"/>
      <c r="T402" s="910"/>
      <c r="U402" s="910"/>
      <c r="V402" s="4248"/>
      <c r="W402" s="922">
        <v>11</v>
      </c>
      <c r="X402" s="922">
        <v>11</v>
      </c>
      <c r="Y402" s="922">
        <v>11</v>
      </c>
      <c r="Z402" s="1635">
        <v>11</v>
      </c>
      <c r="AA402" s="1635">
        <v>11</v>
      </c>
      <c r="AB402" s="1635">
        <v>11</v>
      </c>
      <c r="AC402" s="1635">
        <v>11</v>
      </c>
      <c r="AD402" s="922"/>
      <c r="AE402" s="922"/>
      <c r="AF402" s="922"/>
      <c r="AG402" s="922"/>
      <c r="AK402" s="883"/>
      <c r="BB402" s="906"/>
    </row>
    <row r="403" spans="1:54" s="892" customFormat="1" hidden="1" outlineLevel="1" x14ac:dyDescent="0.25">
      <c r="A403" s="910"/>
      <c r="B403" s="918"/>
      <c r="C403" s="907"/>
      <c r="D403" s="4328"/>
      <c r="E403" s="420" t="s">
        <v>1692</v>
      </c>
      <c r="F403" s="1635">
        <v>11</v>
      </c>
      <c r="G403" s="1204" t="s">
        <v>1709</v>
      </c>
      <c r="H403" s="3890"/>
      <c r="I403" s="918"/>
      <c r="J403" s="918"/>
      <c r="K403" s="918"/>
      <c r="L403" s="918"/>
      <c r="M403" s="918"/>
      <c r="N403" s="918"/>
      <c r="O403" s="918"/>
      <c r="P403" s="918"/>
      <c r="Q403" s="918"/>
      <c r="R403" s="918"/>
      <c r="S403" s="910"/>
      <c r="T403" s="910"/>
      <c r="U403" s="910"/>
      <c r="V403" s="4248"/>
      <c r="W403" s="922">
        <v>11</v>
      </c>
      <c r="X403" s="922">
        <v>11</v>
      </c>
      <c r="Y403" s="922">
        <v>11</v>
      </c>
      <c r="Z403" s="1635">
        <v>11</v>
      </c>
      <c r="AA403" s="1635">
        <v>11</v>
      </c>
      <c r="AB403" s="1635">
        <v>11</v>
      </c>
      <c r="AC403" s="1635">
        <v>11</v>
      </c>
      <c r="AD403" s="922"/>
      <c r="AE403" s="922"/>
      <c r="AF403" s="922"/>
      <c r="AG403" s="922"/>
      <c r="AK403" s="883"/>
      <c r="BB403" s="906"/>
    </row>
    <row r="404" spans="1:54" s="892" customFormat="1" hidden="1" outlineLevel="1" x14ac:dyDescent="0.25">
      <c r="A404" s="910"/>
      <c r="B404" s="918"/>
      <c r="C404" s="907"/>
      <c r="D404" s="4328"/>
      <c r="E404" s="420" t="s">
        <v>1694</v>
      </c>
      <c r="F404" s="1635">
        <v>11</v>
      </c>
      <c r="G404" s="1204" t="s">
        <v>1709</v>
      </c>
      <c r="H404" s="3890"/>
      <c r="I404" s="918"/>
      <c r="J404" s="918"/>
      <c r="K404" s="918"/>
      <c r="L404" s="918"/>
      <c r="M404" s="918"/>
      <c r="N404" s="918"/>
      <c r="O404" s="918"/>
      <c r="P404" s="918"/>
      <c r="Q404" s="918"/>
      <c r="R404" s="918"/>
      <c r="S404" s="910"/>
      <c r="T404" s="910"/>
      <c r="U404" s="910"/>
      <c r="V404" s="4248"/>
      <c r="W404" s="922">
        <v>11</v>
      </c>
      <c r="X404" s="922">
        <v>11</v>
      </c>
      <c r="Y404" s="922">
        <v>11</v>
      </c>
      <c r="Z404" s="1635">
        <v>11</v>
      </c>
      <c r="AA404" s="1635">
        <v>11</v>
      </c>
      <c r="AB404" s="1635">
        <v>11</v>
      </c>
      <c r="AC404" s="1635">
        <v>11</v>
      </c>
      <c r="AD404" s="922"/>
      <c r="AE404" s="922"/>
      <c r="AF404" s="922"/>
      <c r="AG404" s="922"/>
      <c r="AK404" s="883"/>
      <c r="BB404" s="906"/>
    </row>
    <row r="405" spans="1:54" s="892" customFormat="1" hidden="1" outlineLevel="1" x14ac:dyDescent="0.25">
      <c r="A405" s="910"/>
      <c r="B405" s="918"/>
      <c r="C405" s="907"/>
      <c r="D405" s="4328"/>
      <c r="E405" s="420" t="s">
        <v>1696</v>
      </c>
      <c r="F405" s="1635">
        <v>11</v>
      </c>
      <c r="G405" s="1204" t="s">
        <v>1709</v>
      </c>
      <c r="H405" s="3890"/>
      <c r="I405" s="918"/>
      <c r="J405" s="918"/>
      <c r="K405" s="918"/>
      <c r="L405" s="918"/>
      <c r="M405" s="918"/>
      <c r="N405" s="918"/>
      <c r="O405" s="918"/>
      <c r="P405" s="918"/>
      <c r="Q405" s="918"/>
      <c r="R405" s="918"/>
      <c r="S405" s="910"/>
      <c r="T405" s="910"/>
      <c r="U405" s="910"/>
      <c r="V405" s="4248"/>
      <c r="W405" s="922">
        <v>11</v>
      </c>
      <c r="X405" s="922">
        <v>11</v>
      </c>
      <c r="Y405" s="922">
        <v>11</v>
      </c>
      <c r="Z405" s="1635">
        <v>11</v>
      </c>
      <c r="AA405" s="1635">
        <v>11</v>
      </c>
      <c r="AB405" s="1635">
        <v>11</v>
      </c>
      <c r="AC405" s="1635">
        <v>11</v>
      </c>
      <c r="AD405" s="922"/>
      <c r="AE405" s="922"/>
      <c r="AF405" s="922"/>
      <c r="AG405" s="922"/>
      <c r="AK405" s="883"/>
      <c r="BB405" s="906"/>
    </row>
    <row r="406" spans="1:54" s="892" customFormat="1" hidden="1" outlineLevel="1" x14ac:dyDescent="0.25">
      <c r="A406" s="910"/>
      <c r="B406" s="918"/>
      <c r="C406" s="907"/>
      <c r="D406" s="4328"/>
      <c r="E406" s="426" t="s">
        <v>1698</v>
      </c>
      <c r="F406" s="1635">
        <v>11</v>
      </c>
      <c r="G406" s="1204" t="s">
        <v>1709</v>
      </c>
      <c r="H406" s="3890"/>
      <c r="I406" s="918"/>
      <c r="J406" s="918"/>
      <c r="K406" s="918"/>
      <c r="L406" s="918"/>
      <c r="M406" s="918"/>
      <c r="N406" s="918"/>
      <c r="O406" s="918"/>
      <c r="P406" s="918"/>
      <c r="Q406" s="918"/>
      <c r="R406" s="918"/>
      <c r="S406" s="910"/>
      <c r="T406" s="910"/>
      <c r="U406" s="910"/>
      <c r="V406" s="4248"/>
      <c r="W406" s="922">
        <v>11</v>
      </c>
      <c r="X406" s="922">
        <v>11</v>
      </c>
      <c r="Y406" s="922">
        <v>11</v>
      </c>
      <c r="Z406" s="1635">
        <v>11</v>
      </c>
      <c r="AA406" s="1635">
        <v>11</v>
      </c>
      <c r="AB406" s="1635">
        <v>11</v>
      </c>
      <c r="AC406" s="1635">
        <v>11</v>
      </c>
      <c r="AD406" s="922"/>
      <c r="AE406" s="922"/>
      <c r="AF406" s="922"/>
      <c r="AG406" s="922"/>
      <c r="AK406" s="883"/>
      <c r="BB406" s="906"/>
    </row>
    <row r="407" spans="1:54" s="892" customFormat="1" hidden="1" outlineLevel="1" x14ac:dyDescent="0.25">
      <c r="A407" s="910"/>
      <c r="B407" s="918"/>
      <c r="C407" s="907"/>
      <c r="D407" s="4328"/>
      <c r="E407" s="420" t="s">
        <v>1700</v>
      </c>
      <c r="F407" s="1635">
        <v>11</v>
      </c>
      <c r="G407" s="1204" t="s">
        <v>1709</v>
      </c>
      <c r="H407" s="3890"/>
      <c r="I407" s="918"/>
      <c r="J407" s="918"/>
      <c r="K407" s="918"/>
      <c r="L407" s="918"/>
      <c r="M407" s="918"/>
      <c r="N407" s="918"/>
      <c r="O407" s="918"/>
      <c r="P407" s="918"/>
      <c r="Q407" s="918"/>
      <c r="R407" s="918"/>
      <c r="S407" s="910"/>
      <c r="T407" s="910"/>
      <c r="U407" s="910"/>
      <c r="V407" s="4248"/>
      <c r="W407" s="922">
        <v>11</v>
      </c>
      <c r="X407" s="922">
        <v>11</v>
      </c>
      <c r="Y407" s="922">
        <v>11</v>
      </c>
      <c r="Z407" s="1635">
        <v>11</v>
      </c>
      <c r="AA407" s="1635">
        <v>11</v>
      </c>
      <c r="AB407" s="1635">
        <v>11</v>
      </c>
      <c r="AC407" s="1635">
        <v>11</v>
      </c>
      <c r="AD407" s="922"/>
      <c r="AE407" s="922"/>
      <c r="AF407" s="922"/>
      <c r="AG407" s="922"/>
      <c r="AK407" s="883"/>
      <c r="BB407" s="906"/>
    </row>
    <row r="408" spans="1:54" s="892" customFormat="1" hidden="1" outlineLevel="1" x14ac:dyDescent="0.25">
      <c r="A408" s="910"/>
      <c r="B408" s="918"/>
      <c r="C408" s="907"/>
      <c r="D408" s="4328"/>
      <c r="E408" s="426" t="s">
        <v>1702</v>
      </c>
      <c r="F408" s="1635">
        <v>11</v>
      </c>
      <c r="G408" s="1204" t="s">
        <v>1709</v>
      </c>
      <c r="H408" s="3890"/>
      <c r="I408" s="918"/>
      <c r="J408" s="918"/>
      <c r="K408" s="918"/>
      <c r="L408" s="918"/>
      <c r="M408" s="918"/>
      <c r="N408" s="918"/>
      <c r="O408" s="918"/>
      <c r="P408" s="918"/>
      <c r="Q408" s="918"/>
      <c r="R408" s="918"/>
      <c r="S408" s="910"/>
      <c r="T408" s="910"/>
      <c r="U408" s="910"/>
      <c r="V408" s="4248"/>
      <c r="W408" s="922">
        <v>11</v>
      </c>
      <c r="X408" s="922">
        <v>11</v>
      </c>
      <c r="Y408" s="922">
        <v>11</v>
      </c>
      <c r="Z408" s="1635">
        <v>11</v>
      </c>
      <c r="AA408" s="1635">
        <v>11</v>
      </c>
      <c r="AB408" s="1635">
        <v>11</v>
      </c>
      <c r="AC408" s="1635">
        <v>11</v>
      </c>
      <c r="AD408" s="922"/>
      <c r="AE408" s="922"/>
      <c r="AF408" s="922"/>
      <c r="AG408" s="922"/>
      <c r="AK408" s="883"/>
      <c r="BB408" s="906"/>
    </row>
    <row r="409" spans="1:54" s="892" customFormat="1" hidden="1" outlineLevel="1" x14ac:dyDescent="0.25">
      <c r="A409" s="910"/>
      <c r="B409" s="918"/>
      <c r="C409" s="907"/>
      <c r="D409" s="4329"/>
      <c r="E409" s="420" t="s">
        <v>1704</v>
      </c>
      <c r="F409" s="1203">
        <v>11</v>
      </c>
      <c r="G409" s="1204" t="s">
        <v>1709</v>
      </c>
      <c r="H409" s="3891"/>
      <c r="I409" s="918"/>
      <c r="J409" s="918"/>
      <c r="K409" s="918"/>
      <c r="L409" s="918"/>
      <c r="M409" s="918"/>
      <c r="N409" s="918"/>
      <c r="O409" s="918"/>
      <c r="P409" s="918"/>
      <c r="Q409" s="918"/>
      <c r="R409" s="918"/>
      <c r="S409" s="910"/>
      <c r="T409" s="910"/>
      <c r="U409" s="910"/>
      <c r="V409" s="4249"/>
      <c r="W409" s="901">
        <v>11</v>
      </c>
      <c r="X409" s="901">
        <v>11</v>
      </c>
      <c r="Y409" s="901">
        <v>11</v>
      </c>
      <c r="Z409" s="1203">
        <v>11</v>
      </c>
      <c r="AA409" s="1203">
        <v>11</v>
      </c>
      <c r="AB409" s="1203">
        <v>11</v>
      </c>
      <c r="AC409" s="1203">
        <v>11</v>
      </c>
      <c r="AD409" s="901"/>
      <c r="AE409" s="901"/>
      <c r="AF409" s="901"/>
      <c r="AG409" s="901"/>
      <c r="AK409" s="883"/>
      <c r="BB409" s="906"/>
    </row>
    <row r="410" spans="1:54" s="892" customFormat="1" hidden="1" outlineLevel="1" x14ac:dyDescent="0.25">
      <c r="A410" s="910"/>
      <c r="B410" s="918"/>
      <c r="C410" s="907"/>
      <c r="D410" s="1636" t="str">
        <f>D43</f>
        <v>EUL</v>
      </c>
      <c r="E410" s="981" t="s">
        <v>135</v>
      </c>
      <c r="F410" s="985">
        <v>25</v>
      </c>
      <c r="G410" s="3182"/>
      <c r="H410" s="982"/>
      <c r="I410" s="427"/>
      <c r="J410" s="918"/>
      <c r="K410" s="918"/>
      <c r="L410" s="918"/>
      <c r="M410" s="918"/>
      <c r="N410" s="918"/>
      <c r="O410" s="918"/>
      <c r="P410" s="918"/>
      <c r="Q410" s="918"/>
      <c r="R410" s="918"/>
      <c r="S410" s="910"/>
      <c r="T410" s="910"/>
      <c r="U410" s="910"/>
      <c r="V410" s="924" t="str">
        <f>D410</f>
        <v>EUL</v>
      </c>
      <c r="W410" s="925">
        <v>25</v>
      </c>
      <c r="X410" s="925">
        <v>25</v>
      </c>
      <c r="Y410" s="925">
        <v>25</v>
      </c>
      <c r="Z410" s="952">
        <v>25</v>
      </c>
      <c r="AA410" s="952">
        <v>25</v>
      </c>
      <c r="AB410" s="952">
        <v>25</v>
      </c>
      <c r="AC410" s="985">
        <v>25</v>
      </c>
      <c r="AD410" s="925"/>
      <c r="AE410" s="925"/>
      <c r="AF410" s="925"/>
      <c r="AG410" s="925"/>
      <c r="AK410" s="883"/>
      <c r="BB410" s="906"/>
    </row>
    <row r="411" spans="1:54" s="892" customFormat="1" hidden="1" outlineLevel="1" x14ac:dyDescent="0.25">
      <c r="A411" s="910"/>
      <c r="B411" s="918"/>
      <c r="C411" s="907"/>
      <c r="D411" s="3932" t="str">
        <f>D110</f>
        <v>Inc. Cost</v>
      </c>
      <c r="E411" s="420" t="s">
        <v>1646</v>
      </c>
      <c r="F411" s="442">
        <f>1860.46/(1347*0.65)</f>
        <v>2.1249043458397576</v>
      </c>
      <c r="G411" s="4340" t="s">
        <v>1641</v>
      </c>
      <c r="H411" s="1204" t="s">
        <v>1710</v>
      </c>
      <c r="I411" s="427">
        <f>0.65*1347</f>
        <v>875.55000000000007</v>
      </c>
      <c r="J411" s="918"/>
      <c r="K411" s="918"/>
      <c r="L411" s="918"/>
      <c r="M411" s="918"/>
      <c r="N411" s="918"/>
      <c r="O411" s="918"/>
      <c r="P411" s="918"/>
      <c r="Q411" s="918"/>
      <c r="R411" s="918"/>
      <c r="S411" s="910"/>
      <c r="T411" s="910"/>
      <c r="U411" s="910"/>
      <c r="V411" s="4341" t="str">
        <f>D411</f>
        <v>Inc. Cost</v>
      </c>
      <c r="W411" s="927">
        <v>1860.46</v>
      </c>
      <c r="X411" s="927">
        <v>1860.46</v>
      </c>
      <c r="Y411" s="682">
        <v>2.1249043458397576</v>
      </c>
      <c r="Z411" s="442">
        <v>2.1249043458397576</v>
      </c>
      <c r="AA411" s="442">
        <v>2.1249043458397576</v>
      </c>
      <c r="AB411" s="442">
        <v>2.1249043458397576</v>
      </c>
      <c r="AC411" s="442">
        <v>2.1249043458397576</v>
      </c>
      <c r="AD411" s="927"/>
      <c r="AE411" s="927"/>
      <c r="AF411" s="927"/>
      <c r="AG411" s="927"/>
      <c r="AK411" s="883"/>
      <c r="BB411" s="906"/>
    </row>
    <row r="412" spans="1:54" s="892" customFormat="1" hidden="1" outlineLevel="1" x14ac:dyDescent="0.25">
      <c r="A412" s="910"/>
      <c r="B412" s="918"/>
      <c r="C412" s="907"/>
      <c r="D412" s="3935"/>
      <c r="E412" s="420" t="s">
        <v>1648</v>
      </c>
      <c r="F412" s="442">
        <f>1860.46/(1347*0.65)</f>
        <v>2.1249043458397576</v>
      </c>
      <c r="G412" s="3837"/>
      <c r="H412" s="1204" t="s">
        <v>1710</v>
      </c>
      <c r="I412" s="427">
        <f>0.65*1347</f>
        <v>875.55000000000007</v>
      </c>
      <c r="J412" s="918"/>
      <c r="K412" s="918"/>
      <c r="L412" s="918"/>
      <c r="M412" s="918"/>
      <c r="N412" s="918"/>
      <c r="O412" s="918"/>
      <c r="P412" s="918"/>
      <c r="Q412" s="918"/>
      <c r="R412" s="918"/>
      <c r="S412" s="910"/>
      <c r="T412" s="910"/>
      <c r="U412" s="910"/>
      <c r="V412" s="4342"/>
      <c r="W412" s="927">
        <v>1860.46</v>
      </c>
      <c r="X412" s="927">
        <v>1860.46</v>
      </c>
      <c r="Y412" s="682">
        <v>2.1249043458397576</v>
      </c>
      <c r="Z412" s="442">
        <v>2.1249043458397576</v>
      </c>
      <c r="AA412" s="442">
        <v>2.1249043458397576</v>
      </c>
      <c r="AB412" s="442">
        <v>2.1249043458397576</v>
      </c>
      <c r="AC412" s="442">
        <v>2.1249043458397576</v>
      </c>
      <c r="AD412" s="927"/>
      <c r="AE412" s="927"/>
      <c r="AF412" s="927"/>
      <c r="AG412" s="927"/>
      <c r="AK412" s="883"/>
      <c r="BB412" s="906"/>
    </row>
    <row r="413" spans="1:54" s="892" customFormat="1" hidden="1" outlineLevel="1" x14ac:dyDescent="0.25">
      <c r="A413" s="910"/>
      <c r="B413" s="918"/>
      <c r="C413" s="907"/>
      <c r="D413" s="3935"/>
      <c r="E413" s="420" t="s">
        <v>1650</v>
      </c>
      <c r="F413" s="442">
        <f>1860.46/(1347*0.65)</f>
        <v>2.1249043458397576</v>
      </c>
      <c r="G413" s="3837"/>
      <c r="H413" s="1204" t="s">
        <v>1710</v>
      </c>
      <c r="I413" s="427">
        <f>0.65*1347</f>
        <v>875.55000000000007</v>
      </c>
      <c r="J413" s="918"/>
      <c r="K413" s="918"/>
      <c r="L413" s="918"/>
      <c r="M413" s="918"/>
      <c r="N413" s="918"/>
      <c r="O413" s="918"/>
      <c r="P413" s="918"/>
      <c r="Q413" s="918"/>
      <c r="R413" s="918"/>
      <c r="S413" s="910"/>
      <c r="T413" s="910"/>
      <c r="U413" s="910"/>
      <c r="V413" s="4342"/>
      <c r="W413" s="927">
        <v>1860.46</v>
      </c>
      <c r="X413" s="927">
        <v>1860.46</v>
      </c>
      <c r="Y413" s="682">
        <v>2.1249043458397576</v>
      </c>
      <c r="Z413" s="442">
        <v>2.1249043458397576</v>
      </c>
      <c r="AA413" s="442">
        <v>2.1249043458397576</v>
      </c>
      <c r="AB413" s="442">
        <v>2.1249043458397576</v>
      </c>
      <c r="AC413" s="442">
        <v>2.1249043458397576</v>
      </c>
      <c r="AD413" s="927"/>
      <c r="AE413" s="927"/>
      <c r="AF413" s="927"/>
      <c r="AG413" s="927"/>
      <c r="AK413" s="883"/>
      <c r="BB413" s="906"/>
    </row>
    <row r="414" spans="1:54" s="892" customFormat="1" hidden="1" outlineLevel="1" x14ac:dyDescent="0.25">
      <c r="A414" s="910"/>
      <c r="B414" s="918"/>
      <c r="C414" s="907"/>
      <c r="D414" s="3935"/>
      <c r="E414" s="420" t="s">
        <v>1652</v>
      </c>
      <c r="F414" s="442">
        <f>2862.25/1347</f>
        <v>2.1249072011878249</v>
      </c>
      <c r="G414" s="3837"/>
      <c r="H414" s="1204" t="s">
        <v>1711</v>
      </c>
      <c r="I414" s="427">
        <v>1347</v>
      </c>
      <c r="J414" s="918"/>
      <c r="K414" s="918"/>
      <c r="L414" s="918"/>
      <c r="M414" s="918"/>
      <c r="N414" s="918"/>
      <c r="O414" s="918"/>
      <c r="P414" s="918"/>
      <c r="Q414" s="918"/>
      <c r="R414" s="918"/>
      <c r="S414" s="910"/>
      <c r="T414" s="910"/>
      <c r="U414" s="910"/>
      <c r="V414" s="4342"/>
      <c r="W414" s="927">
        <v>2862.25</v>
      </c>
      <c r="X414" s="927">
        <v>2862.25</v>
      </c>
      <c r="Y414" s="682">
        <v>2.1249072011878249</v>
      </c>
      <c r="Z414" s="442">
        <v>2.1249072011878249</v>
      </c>
      <c r="AA414" s="442">
        <v>2.1249072011878249</v>
      </c>
      <c r="AB414" s="442">
        <v>2.1249072011878249</v>
      </c>
      <c r="AC414" s="442">
        <v>2.1249072011878249</v>
      </c>
      <c r="AD414" s="927"/>
      <c r="AE414" s="927"/>
      <c r="AF414" s="927"/>
      <c r="AG414" s="927"/>
      <c r="AK414" s="883"/>
      <c r="BB414" s="906"/>
    </row>
    <row r="415" spans="1:54" s="892" customFormat="1" hidden="1" outlineLevel="1" x14ac:dyDescent="0.25">
      <c r="A415" s="910"/>
      <c r="B415" s="918"/>
      <c r="C415" s="907"/>
      <c r="D415" s="3935"/>
      <c r="E415" s="420" t="s">
        <v>1654</v>
      </c>
      <c r="F415" s="442">
        <f>2862.25/1347</f>
        <v>2.1249072011878249</v>
      </c>
      <c r="G415" s="3837"/>
      <c r="H415" s="1204" t="s">
        <v>1711</v>
      </c>
      <c r="I415" s="427">
        <v>1347</v>
      </c>
      <c r="J415" s="918"/>
      <c r="K415" s="918"/>
      <c r="L415" s="918"/>
      <c r="M415" s="918"/>
      <c r="N415" s="918"/>
      <c r="O415" s="918"/>
      <c r="P415" s="918"/>
      <c r="Q415" s="918"/>
      <c r="R415" s="918"/>
      <c r="S415" s="910"/>
      <c r="T415" s="910"/>
      <c r="U415" s="910"/>
      <c r="V415" s="4342"/>
      <c r="W415" s="927">
        <v>2862.25</v>
      </c>
      <c r="X415" s="927">
        <v>2862.25</v>
      </c>
      <c r="Y415" s="682">
        <v>2.1249072011878249</v>
      </c>
      <c r="Z415" s="442">
        <v>2.1249072011878249</v>
      </c>
      <c r="AA415" s="442">
        <v>2.1249072011878249</v>
      </c>
      <c r="AB415" s="442">
        <v>2.1249072011878249</v>
      </c>
      <c r="AC415" s="442">
        <v>2.1249072011878249</v>
      </c>
      <c r="AD415" s="927"/>
      <c r="AE415" s="927"/>
      <c r="AF415" s="927"/>
      <c r="AG415" s="927"/>
      <c r="AK415" s="883"/>
      <c r="BB415" s="906"/>
    </row>
    <row r="416" spans="1:54" s="892" customFormat="1" hidden="1" outlineLevel="1" x14ac:dyDescent="0.25">
      <c r="A416" s="910"/>
      <c r="B416" s="918"/>
      <c r="C416" s="907"/>
      <c r="D416" s="3935"/>
      <c r="E416" s="420" t="s">
        <v>1656</v>
      </c>
      <c r="F416" s="442">
        <f>2862.25/1347</f>
        <v>2.1249072011878249</v>
      </c>
      <c r="G416" s="3837"/>
      <c r="H416" s="1204" t="s">
        <v>1711</v>
      </c>
      <c r="I416" s="427">
        <v>1347</v>
      </c>
      <c r="J416" s="918"/>
      <c r="K416" s="918"/>
      <c r="L416" s="918"/>
      <c r="M416" s="918"/>
      <c r="N416" s="918"/>
      <c r="O416" s="918"/>
      <c r="P416" s="918"/>
      <c r="Q416" s="918"/>
      <c r="R416" s="918"/>
      <c r="S416" s="910"/>
      <c r="T416" s="910"/>
      <c r="U416" s="910"/>
      <c r="V416" s="4342"/>
      <c r="W416" s="927">
        <v>2862.25</v>
      </c>
      <c r="X416" s="927">
        <v>2862.25</v>
      </c>
      <c r="Y416" s="682">
        <v>2.1249072011878249</v>
      </c>
      <c r="Z416" s="442">
        <v>2.1249072011878249</v>
      </c>
      <c r="AA416" s="442">
        <v>2.1249072011878249</v>
      </c>
      <c r="AB416" s="442">
        <v>2.1249072011878249</v>
      </c>
      <c r="AC416" s="442">
        <v>2.1249072011878249</v>
      </c>
      <c r="AD416" s="927"/>
      <c r="AE416" s="927"/>
      <c r="AF416" s="927"/>
      <c r="AG416" s="927"/>
      <c r="AK416" s="883"/>
      <c r="BB416" s="906"/>
    </row>
    <row r="417" spans="1:54" s="892" customFormat="1" hidden="1" outlineLevel="1" x14ac:dyDescent="0.25">
      <c r="A417" s="910"/>
      <c r="B417" s="918"/>
      <c r="C417" s="907"/>
      <c r="D417" s="3935"/>
      <c r="E417" s="420" t="s">
        <v>1658</v>
      </c>
      <c r="F417" s="442">
        <f>836.16/(1106*0.65)</f>
        <v>1.1631103074141049</v>
      </c>
      <c r="G417" s="3837"/>
      <c r="H417" s="1204" t="s">
        <v>1712</v>
      </c>
      <c r="I417" s="427">
        <f>0.65*1106</f>
        <v>718.9</v>
      </c>
      <c r="J417" s="918"/>
      <c r="K417" s="918"/>
      <c r="L417" s="918"/>
      <c r="M417" s="918"/>
      <c r="N417" s="918"/>
      <c r="O417" s="918"/>
      <c r="P417" s="918"/>
      <c r="Q417" s="918"/>
      <c r="R417" s="918"/>
      <c r="S417" s="910"/>
      <c r="T417" s="910"/>
      <c r="U417" s="910"/>
      <c r="V417" s="4342"/>
      <c r="W417" s="927">
        <v>836.16</v>
      </c>
      <c r="X417" s="927">
        <v>836.16</v>
      </c>
      <c r="Y417" s="682">
        <v>1.1631103074141049</v>
      </c>
      <c r="Z417" s="442">
        <v>1.1631103074141049</v>
      </c>
      <c r="AA417" s="442">
        <v>1.1631103074141049</v>
      </c>
      <c r="AB417" s="442">
        <v>1.1631103074141049</v>
      </c>
      <c r="AC417" s="442">
        <v>1.1631103074141049</v>
      </c>
      <c r="AD417" s="927"/>
      <c r="AE417" s="927"/>
      <c r="AF417" s="927"/>
      <c r="AG417" s="927"/>
      <c r="AK417" s="883"/>
      <c r="BB417" s="906"/>
    </row>
    <row r="418" spans="1:54" s="892" customFormat="1" hidden="1" outlineLevel="1" x14ac:dyDescent="0.25">
      <c r="A418" s="910"/>
      <c r="B418" s="918"/>
      <c r="C418" s="907"/>
      <c r="D418" s="3935"/>
      <c r="E418" s="420" t="s">
        <v>1660</v>
      </c>
      <c r="F418" s="442">
        <f>836.16/(1106*0.65)</f>
        <v>1.1631103074141049</v>
      </c>
      <c r="G418" s="3837"/>
      <c r="H418" s="1204" t="s">
        <v>1712</v>
      </c>
      <c r="I418" s="427">
        <f>0.65*1106</f>
        <v>718.9</v>
      </c>
      <c r="J418" s="918"/>
      <c r="K418" s="918"/>
      <c r="L418" s="918"/>
      <c r="M418" s="918"/>
      <c r="N418" s="918"/>
      <c r="O418" s="918"/>
      <c r="P418" s="918"/>
      <c r="Q418" s="918"/>
      <c r="R418" s="918"/>
      <c r="S418" s="910"/>
      <c r="T418" s="910"/>
      <c r="U418" s="910"/>
      <c r="V418" s="4342"/>
      <c r="W418" s="927">
        <v>836.16</v>
      </c>
      <c r="X418" s="927">
        <v>836.16</v>
      </c>
      <c r="Y418" s="682">
        <v>1.1631103074141049</v>
      </c>
      <c r="Z418" s="442">
        <v>1.1631103074141049</v>
      </c>
      <c r="AA418" s="442">
        <v>1.1631103074141049</v>
      </c>
      <c r="AB418" s="442">
        <v>1.1631103074141049</v>
      </c>
      <c r="AC418" s="442">
        <v>1.1631103074141049</v>
      </c>
      <c r="AD418" s="927"/>
      <c r="AE418" s="927"/>
      <c r="AF418" s="927"/>
      <c r="AG418" s="927"/>
      <c r="AK418" s="883"/>
      <c r="BB418" s="906"/>
    </row>
    <row r="419" spans="1:54" s="892" customFormat="1" hidden="1" outlineLevel="1" x14ac:dyDescent="0.25">
      <c r="A419" s="910"/>
      <c r="B419" s="918"/>
      <c r="C419" s="907"/>
      <c r="D419" s="3935"/>
      <c r="E419" s="426" t="s">
        <v>1662</v>
      </c>
      <c r="F419" s="442">
        <f>836.16/(1106*0.65)</f>
        <v>1.1631103074141049</v>
      </c>
      <c r="G419" s="4333"/>
      <c r="H419" s="1204" t="s">
        <v>1712</v>
      </c>
      <c r="I419" s="427">
        <f>0.65*1106</f>
        <v>718.9</v>
      </c>
      <c r="J419" s="918"/>
      <c r="K419" s="918"/>
      <c r="L419" s="918"/>
      <c r="M419" s="918"/>
      <c r="N419" s="918"/>
      <c r="O419" s="918"/>
      <c r="P419" s="918"/>
      <c r="Q419" s="918"/>
      <c r="R419" s="918"/>
      <c r="S419" s="910"/>
      <c r="T419" s="910"/>
      <c r="U419" s="910"/>
      <c r="V419" s="4342"/>
      <c r="W419" s="927">
        <v>836.16</v>
      </c>
      <c r="X419" s="927">
        <v>836.16</v>
      </c>
      <c r="Y419" s="682">
        <v>1.1631103074141049</v>
      </c>
      <c r="Z419" s="442">
        <v>1.1631103074141049</v>
      </c>
      <c r="AA419" s="442">
        <v>1.1631103074141049</v>
      </c>
      <c r="AB419" s="442">
        <v>1.1631103074141049</v>
      </c>
      <c r="AC419" s="442">
        <v>1.1631103074141049</v>
      </c>
      <c r="AD419" s="927"/>
      <c r="AE419" s="927"/>
      <c r="AF419" s="927"/>
      <c r="AG419" s="927"/>
      <c r="AK419" s="883"/>
      <c r="BB419" s="906"/>
    </row>
    <row r="420" spans="1:54" s="892" customFormat="1" hidden="1" outlineLevel="1" x14ac:dyDescent="0.25">
      <c r="A420" s="910"/>
      <c r="B420" s="918"/>
      <c r="C420" s="907"/>
      <c r="D420" s="3935"/>
      <c r="E420" s="420" t="s">
        <v>1664</v>
      </c>
      <c r="F420" s="442">
        <f>1286.39/1106</f>
        <v>1.1631012658227848</v>
      </c>
      <c r="G420" s="4333"/>
      <c r="H420" s="1204" t="s">
        <v>1713</v>
      </c>
      <c r="I420" s="427">
        <v>1106</v>
      </c>
      <c r="J420" s="918"/>
      <c r="K420" s="918"/>
      <c r="L420" s="918"/>
      <c r="M420" s="918"/>
      <c r="N420" s="918"/>
      <c r="O420" s="918"/>
      <c r="P420" s="918"/>
      <c r="Q420" s="918"/>
      <c r="R420" s="918"/>
      <c r="S420" s="910"/>
      <c r="T420" s="910"/>
      <c r="U420" s="910"/>
      <c r="V420" s="4342"/>
      <c r="W420" s="927">
        <v>1286.3900000000001</v>
      </c>
      <c r="X420" s="927">
        <v>1286.3900000000001</v>
      </c>
      <c r="Y420" s="682">
        <v>1.1631012658227848</v>
      </c>
      <c r="Z420" s="442">
        <v>1.1631012658227848</v>
      </c>
      <c r="AA420" s="442">
        <v>1.1631012658227848</v>
      </c>
      <c r="AB420" s="442">
        <v>1.1631012658227848</v>
      </c>
      <c r="AC420" s="442">
        <v>1.1631012658227848</v>
      </c>
      <c r="AD420" s="927"/>
      <c r="AE420" s="927"/>
      <c r="AF420" s="927"/>
      <c r="AG420" s="927"/>
      <c r="AK420" s="883"/>
      <c r="BB420" s="906"/>
    </row>
    <row r="421" spans="1:54" s="892" customFormat="1" hidden="1" outlineLevel="1" x14ac:dyDescent="0.25">
      <c r="A421" s="910"/>
      <c r="B421" s="918"/>
      <c r="C421" s="907"/>
      <c r="D421" s="3935"/>
      <c r="E421" s="420" t="s">
        <v>1666</v>
      </c>
      <c r="F421" s="442">
        <f>1286.39/1106</f>
        <v>1.1631012658227848</v>
      </c>
      <c r="G421" s="4333"/>
      <c r="H421" s="1204" t="s">
        <v>1713</v>
      </c>
      <c r="I421" s="427">
        <v>1106</v>
      </c>
      <c r="J421" s="918"/>
      <c r="K421" s="918"/>
      <c r="L421" s="918"/>
      <c r="M421" s="918"/>
      <c r="N421" s="918"/>
      <c r="O421" s="918"/>
      <c r="P421" s="918"/>
      <c r="Q421" s="918"/>
      <c r="R421" s="918"/>
      <c r="S421" s="910"/>
      <c r="T421" s="910"/>
      <c r="U421" s="910"/>
      <c r="V421" s="4342"/>
      <c r="W421" s="927">
        <v>1286.3900000000001</v>
      </c>
      <c r="X421" s="927">
        <v>1286.3900000000001</v>
      </c>
      <c r="Y421" s="682">
        <v>1.1631012658227848</v>
      </c>
      <c r="Z421" s="442">
        <v>1.1631012658227848</v>
      </c>
      <c r="AA421" s="442">
        <v>1.1631012658227848</v>
      </c>
      <c r="AB421" s="442">
        <v>1.1631012658227848</v>
      </c>
      <c r="AC421" s="442">
        <v>1.1631012658227848</v>
      </c>
      <c r="AD421" s="927"/>
      <c r="AE421" s="927"/>
      <c r="AF421" s="927"/>
      <c r="AG421" s="927"/>
      <c r="AK421" s="883"/>
      <c r="BB421" s="906"/>
    </row>
    <row r="422" spans="1:54" s="892" customFormat="1" hidden="1" outlineLevel="1" x14ac:dyDescent="0.25">
      <c r="A422" s="910"/>
      <c r="B422" s="918"/>
      <c r="C422" s="907"/>
      <c r="D422" s="3935"/>
      <c r="E422" s="1620" t="s">
        <v>1668</v>
      </c>
      <c r="F422" s="442">
        <f>1286.39/1106</f>
        <v>1.1631012658227848</v>
      </c>
      <c r="G422" s="4333"/>
      <c r="H422" s="1204" t="s">
        <v>1713</v>
      </c>
      <c r="I422" s="427">
        <v>1106</v>
      </c>
      <c r="J422" s="918"/>
      <c r="K422" s="918"/>
      <c r="L422" s="918"/>
      <c r="M422" s="918"/>
      <c r="N422" s="918"/>
      <c r="O422" s="918"/>
      <c r="P422" s="918"/>
      <c r="Q422" s="918"/>
      <c r="R422" s="918"/>
      <c r="S422" s="910"/>
      <c r="T422" s="910"/>
      <c r="U422" s="910"/>
      <c r="V422" s="4342"/>
      <c r="W422" s="927">
        <v>1286.3900000000001</v>
      </c>
      <c r="X422" s="927">
        <v>1286.3900000000001</v>
      </c>
      <c r="Y422" s="682">
        <v>1.1631012658227848</v>
      </c>
      <c r="Z422" s="442">
        <v>1.1631012658227848</v>
      </c>
      <c r="AA422" s="442">
        <v>1.1631012658227848</v>
      </c>
      <c r="AB422" s="442">
        <v>1.1631012658227848</v>
      </c>
      <c r="AC422" s="442">
        <v>1.1631012658227848</v>
      </c>
      <c r="AD422" s="927"/>
      <c r="AE422" s="927"/>
      <c r="AF422" s="927"/>
      <c r="AG422" s="927"/>
      <c r="AK422" s="883"/>
      <c r="BB422" s="906"/>
    </row>
    <row r="423" spans="1:54" s="892" customFormat="1" hidden="1" outlineLevel="1" x14ac:dyDescent="0.25">
      <c r="A423" s="910"/>
      <c r="B423" s="918"/>
      <c r="C423" s="907"/>
      <c r="D423" s="3935"/>
      <c r="E423" s="420" t="s">
        <v>1670</v>
      </c>
      <c r="F423" s="442">
        <f>1208.5/(1106*0.65)</f>
        <v>1.6810404785088331</v>
      </c>
      <c r="G423" s="4333"/>
      <c r="H423" s="1204" t="s">
        <v>1712</v>
      </c>
      <c r="I423" s="427">
        <f>0.65*1106</f>
        <v>718.9</v>
      </c>
      <c r="J423" s="918"/>
      <c r="K423" s="918"/>
      <c r="L423" s="918"/>
      <c r="M423" s="918"/>
      <c r="N423" s="918"/>
      <c r="O423" s="918"/>
      <c r="P423" s="918"/>
      <c r="Q423" s="918"/>
      <c r="R423" s="918"/>
      <c r="S423" s="910"/>
      <c r="T423" s="910"/>
      <c r="U423" s="910"/>
      <c r="V423" s="4342"/>
      <c r="W423" s="927">
        <v>1208.5</v>
      </c>
      <c r="X423" s="927">
        <v>1208.5</v>
      </c>
      <c r="Y423" s="682">
        <v>1.6810404785088331</v>
      </c>
      <c r="Z423" s="442">
        <v>1.6810404785088331</v>
      </c>
      <c r="AA423" s="442">
        <v>1.6810404785088331</v>
      </c>
      <c r="AB423" s="442">
        <v>1.6810404785088331</v>
      </c>
      <c r="AC423" s="442">
        <v>1.6810404785088331</v>
      </c>
      <c r="AD423" s="927"/>
      <c r="AE423" s="927"/>
      <c r="AF423" s="927"/>
      <c r="AG423" s="927"/>
      <c r="AK423" s="883"/>
      <c r="BB423" s="906"/>
    </row>
    <row r="424" spans="1:54" s="892" customFormat="1" hidden="1" outlineLevel="1" x14ac:dyDescent="0.25">
      <c r="A424" s="910"/>
      <c r="B424" s="918"/>
      <c r="C424" s="907"/>
      <c r="D424" s="3935"/>
      <c r="E424" s="420" t="s">
        <v>1672</v>
      </c>
      <c r="F424" s="442">
        <f>1208.5/(1106*0.65)</f>
        <v>1.6810404785088331</v>
      </c>
      <c r="G424" s="4333"/>
      <c r="H424" s="1204" t="s">
        <v>1712</v>
      </c>
      <c r="I424" s="427">
        <f>0.65*1106</f>
        <v>718.9</v>
      </c>
      <c r="J424" s="918"/>
      <c r="K424" s="918"/>
      <c r="L424" s="918"/>
      <c r="M424" s="918"/>
      <c r="N424" s="918"/>
      <c r="O424" s="918"/>
      <c r="P424" s="918"/>
      <c r="Q424" s="918"/>
      <c r="R424" s="918"/>
      <c r="S424" s="910"/>
      <c r="T424" s="910"/>
      <c r="U424" s="910"/>
      <c r="V424" s="4342"/>
      <c r="W424" s="927">
        <v>1208.5</v>
      </c>
      <c r="X424" s="927">
        <v>1208.5</v>
      </c>
      <c r="Y424" s="682">
        <v>1.6810404785088331</v>
      </c>
      <c r="Z424" s="442">
        <v>1.6810404785088331</v>
      </c>
      <c r="AA424" s="442">
        <v>1.6810404785088331</v>
      </c>
      <c r="AB424" s="442">
        <v>1.6810404785088331</v>
      </c>
      <c r="AC424" s="442">
        <v>1.6810404785088331</v>
      </c>
      <c r="AD424" s="927"/>
      <c r="AE424" s="927"/>
      <c r="AF424" s="927"/>
      <c r="AG424" s="927"/>
      <c r="AK424" s="883"/>
      <c r="BB424" s="906"/>
    </row>
    <row r="425" spans="1:54" s="892" customFormat="1" hidden="1" outlineLevel="1" x14ac:dyDescent="0.25">
      <c r="A425" s="910"/>
      <c r="B425" s="918"/>
      <c r="C425" s="907"/>
      <c r="D425" s="3935"/>
      <c r="E425" s="426" t="s">
        <v>1674</v>
      </c>
      <c r="F425" s="442">
        <f>1208.5/(1106*0.65)</f>
        <v>1.6810404785088331</v>
      </c>
      <c r="G425" s="4333"/>
      <c r="H425" s="1204" t="s">
        <v>1712</v>
      </c>
      <c r="I425" s="427">
        <f>0.65*1106</f>
        <v>718.9</v>
      </c>
      <c r="J425" s="918"/>
      <c r="K425" s="918"/>
      <c r="L425" s="918"/>
      <c r="M425" s="918"/>
      <c r="N425" s="918"/>
      <c r="O425" s="918"/>
      <c r="P425" s="918"/>
      <c r="Q425" s="918"/>
      <c r="R425" s="918"/>
      <c r="S425" s="910"/>
      <c r="T425" s="910"/>
      <c r="U425" s="910"/>
      <c r="V425" s="4342"/>
      <c r="W425" s="927">
        <v>1208.5</v>
      </c>
      <c r="X425" s="927">
        <v>1208.5</v>
      </c>
      <c r="Y425" s="682">
        <v>1.6810404785088331</v>
      </c>
      <c r="Z425" s="442">
        <v>1.6810404785088331</v>
      </c>
      <c r="AA425" s="442">
        <v>1.6810404785088331</v>
      </c>
      <c r="AB425" s="442">
        <v>1.6810404785088331</v>
      </c>
      <c r="AC425" s="442">
        <v>1.6810404785088331</v>
      </c>
      <c r="AD425" s="927"/>
      <c r="AE425" s="927"/>
      <c r="AF425" s="927"/>
      <c r="AG425" s="927"/>
      <c r="AK425" s="883"/>
      <c r="BB425" s="906"/>
    </row>
    <row r="426" spans="1:54" s="892" customFormat="1" hidden="1" outlineLevel="1" x14ac:dyDescent="0.25">
      <c r="A426" s="910"/>
      <c r="B426" s="918"/>
      <c r="C426" s="907"/>
      <c r="D426" s="3935"/>
      <c r="E426" s="420" t="s">
        <v>1676</v>
      </c>
      <c r="F426" s="442">
        <f>1859.23/1106</f>
        <v>1.6810397830018082</v>
      </c>
      <c r="G426" s="4333"/>
      <c r="H426" s="1204" t="s">
        <v>1713</v>
      </c>
      <c r="I426" s="427">
        <v>1106</v>
      </c>
      <c r="J426" s="918"/>
      <c r="K426" s="918"/>
      <c r="L426" s="918"/>
      <c r="M426" s="918"/>
      <c r="N426" s="918"/>
      <c r="O426" s="918"/>
      <c r="P426" s="918"/>
      <c r="Q426" s="918"/>
      <c r="R426" s="918"/>
      <c r="S426" s="910"/>
      <c r="T426" s="910"/>
      <c r="U426" s="910"/>
      <c r="V426" s="4342"/>
      <c r="W426" s="927">
        <v>1859.23</v>
      </c>
      <c r="X426" s="927">
        <v>1859.23</v>
      </c>
      <c r="Y426" s="682">
        <v>1.6810397830018082</v>
      </c>
      <c r="Z426" s="442">
        <v>1.6810397830018082</v>
      </c>
      <c r="AA426" s="442">
        <v>1.6810397830018082</v>
      </c>
      <c r="AB426" s="442">
        <v>1.6810397830018082</v>
      </c>
      <c r="AC426" s="442">
        <v>1.6810397830018082</v>
      </c>
      <c r="AD426" s="927"/>
      <c r="AE426" s="927"/>
      <c r="AF426" s="927"/>
      <c r="AG426" s="927"/>
      <c r="AK426" s="883"/>
      <c r="BB426" s="906"/>
    </row>
    <row r="427" spans="1:54" s="892" customFormat="1" hidden="1" outlineLevel="1" x14ac:dyDescent="0.25">
      <c r="A427" s="910"/>
      <c r="B427" s="918"/>
      <c r="C427" s="907"/>
      <c r="D427" s="4338"/>
      <c r="E427" s="426" t="s">
        <v>1678</v>
      </c>
      <c r="F427" s="442">
        <f>1859.23/1106</f>
        <v>1.6810397830018082</v>
      </c>
      <c r="G427" s="4333"/>
      <c r="H427" s="1204" t="s">
        <v>1713</v>
      </c>
      <c r="I427" s="427">
        <v>1106</v>
      </c>
      <c r="J427" s="918"/>
      <c r="K427" s="918"/>
      <c r="L427" s="918"/>
      <c r="M427" s="918"/>
      <c r="N427" s="918"/>
      <c r="O427" s="918"/>
      <c r="P427" s="918"/>
      <c r="Q427" s="918"/>
      <c r="R427" s="918"/>
      <c r="S427" s="910"/>
      <c r="T427" s="910"/>
      <c r="U427" s="910"/>
      <c r="V427" s="4342"/>
      <c r="W427" s="927">
        <v>1859.23</v>
      </c>
      <c r="X427" s="927">
        <v>1859.23</v>
      </c>
      <c r="Y427" s="682">
        <v>1.6810397830018082</v>
      </c>
      <c r="Z427" s="442">
        <v>1.6810397830018082</v>
      </c>
      <c r="AA427" s="442">
        <v>1.6810397830018082</v>
      </c>
      <c r="AB427" s="442">
        <v>1.6810397830018082</v>
      </c>
      <c r="AC427" s="442">
        <v>1.6810397830018082</v>
      </c>
      <c r="AD427" s="927"/>
      <c r="AE427" s="927"/>
      <c r="AF427" s="927"/>
      <c r="AG427" s="927"/>
      <c r="AK427" s="883"/>
      <c r="BB427" s="906"/>
    </row>
    <row r="428" spans="1:54" s="892" customFormat="1" hidden="1" outlineLevel="1" x14ac:dyDescent="0.25">
      <c r="A428" s="910"/>
      <c r="B428" s="918"/>
      <c r="C428" s="907"/>
      <c r="D428" s="3935"/>
      <c r="E428" s="420" t="s">
        <v>1680</v>
      </c>
      <c r="F428" s="442">
        <f>1859.23/1106</f>
        <v>1.6810397830018082</v>
      </c>
      <c r="G428" s="4333"/>
      <c r="H428" s="1204" t="s">
        <v>1713</v>
      </c>
      <c r="I428" s="427">
        <v>1106</v>
      </c>
      <c r="J428" s="918"/>
      <c r="K428" s="918"/>
      <c r="L428" s="918"/>
      <c r="M428" s="918"/>
      <c r="N428" s="918"/>
      <c r="O428" s="918"/>
      <c r="P428" s="918"/>
      <c r="Q428" s="918"/>
      <c r="R428" s="918"/>
      <c r="S428" s="910"/>
      <c r="T428" s="910"/>
      <c r="U428" s="910"/>
      <c r="V428" s="4342"/>
      <c r="W428" s="927">
        <v>1859.23</v>
      </c>
      <c r="X428" s="927">
        <v>1859.23</v>
      </c>
      <c r="Y428" s="682">
        <v>1.6810397830018082</v>
      </c>
      <c r="Z428" s="442">
        <v>1.6810397830018082</v>
      </c>
      <c r="AA428" s="442">
        <v>1.6810397830018082</v>
      </c>
      <c r="AB428" s="442">
        <v>1.6810397830018082</v>
      </c>
      <c r="AC428" s="442">
        <v>1.6810397830018082</v>
      </c>
      <c r="AD428" s="927"/>
      <c r="AE428" s="927"/>
      <c r="AF428" s="927"/>
      <c r="AG428" s="927"/>
      <c r="AK428" s="883"/>
      <c r="BB428" s="906"/>
    </row>
    <row r="429" spans="1:54" s="892" customFormat="1" hidden="1" outlineLevel="1" x14ac:dyDescent="0.25">
      <c r="A429" s="910"/>
      <c r="B429" s="918"/>
      <c r="C429" s="907"/>
      <c r="D429" s="3935"/>
      <c r="E429" s="420" t="s">
        <v>1682</v>
      </c>
      <c r="F429" s="442">
        <f>1846.68/(1106*0.65)</f>
        <v>2.568757824454027</v>
      </c>
      <c r="G429" s="4333"/>
      <c r="H429" s="1204" t="s">
        <v>1712</v>
      </c>
      <c r="I429" s="427">
        <f>0.65*1106</f>
        <v>718.9</v>
      </c>
      <c r="J429" s="918"/>
      <c r="K429" s="918"/>
      <c r="L429" s="918"/>
      <c r="M429" s="918"/>
      <c r="N429" s="918"/>
      <c r="O429" s="918"/>
      <c r="P429" s="918"/>
      <c r="Q429" s="918"/>
      <c r="R429" s="918"/>
      <c r="S429" s="910"/>
      <c r="T429" s="910"/>
      <c r="U429" s="910"/>
      <c r="V429" s="4342"/>
      <c r="W429" s="927">
        <v>1846.68</v>
      </c>
      <c r="X429" s="927">
        <v>1846.68</v>
      </c>
      <c r="Y429" s="682">
        <v>2.568757824454027</v>
      </c>
      <c r="Z429" s="442">
        <v>2.568757824454027</v>
      </c>
      <c r="AA429" s="442">
        <v>2.568757824454027</v>
      </c>
      <c r="AB429" s="442">
        <v>2.568757824454027</v>
      </c>
      <c r="AC429" s="442">
        <v>2.568757824454027</v>
      </c>
      <c r="AD429" s="927"/>
      <c r="AE429" s="927"/>
      <c r="AF429" s="927"/>
      <c r="AG429" s="927"/>
      <c r="AK429" s="883"/>
      <c r="BB429" s="906"/>
    </row>
    <row r="430" spans="1:54" s="892" customFormat="1" hidden="1" outlineLevel="1" x14ac:dyDescent="0.25">
      <c r="A430" s="910"/>
      <c r="B430" s="918"/>
      <c r="C430" s="907"/>
      <c r="D430" s="3935"/>
      <c r="E430" s="420" t="s">
        <v>1684</v>
      </c>
      <c r="F430" s="442">
        <f>1846.68/(1106*0.65)</f>
        <v>2.568757824454027</v>
      </c>
      <c r="G430" s="4333"/>
      <c r="H430" s="1204" t="s">
        <v>1712</v>
      </c>
      <c r="I430" s="427">
        <f>0.65*1106</f>
        <v>718.9</v>
      </c>
      <c r="J430" s="918"/>
      <c r="K430" s="918"/>
      <c r="L430" s="918"/>
      <c r="M430" s="918"/>
      <c r="N430" s="918"/>
      <c r="O430" s="918"/>
      <c r="P430" s="918"/>
      <c r="Q430" s="918"/>
      <c r="R430" s="918"/>
      <c r="S430" s="910"/>
      <c r="T430" s="910"/>
      <c r="U430" s="910"/>
      <c r="V430" s="4342"/>
      <c r="W430" s="927">
        <v>1846.68</v>
      </c>
      <c r="X430" s="927">
        <v>1846.68</v>
      </c>
      <c r="Y430" s="682">
        <v>2.568757824454027</v>
      </c>
      <c r="Z430" s="442">
        <v>2.568757824454027</v>
      </c>
      <c r="AA430" s="442">
        <v>2.568757824454027</v>
      </c>
      <c r="AB430" s="442">
        <v>2.568757824454027</v>
      </c>
      <c r="AC430" s="442">
        <v>2.568757824454027</v>
      </c>
      <c r="AD430" s="927"/>
      <c r="AE430" s="927"/>
      <c r="AF430" s="927"/>
      <c r="AG430" s="927"/>
      <c r="AK430" s="883"/>
      <c r="BB430" s="906"/>
    </row>
    <row r="431" spans="1:54" s="892" customFormat="1" hidden="1" outlineLevel="1" x14ac:dyDescent="0.25">
      <c r="A431" s="910"/>
      <c r="B431" s="918"/>
      <c r="C431" s="907"/>
      <c r="D431" s="3935"/>
      <c r="E431" s="426" t="s">
        <v>1686</v>
      </c>
      <c r="F431" s="442">
        <f>1846.68/(1106*0.65)</f>
        <v>2.568757824454027</v>
      </c>
      <c r="G431" s="4333"/>
      <c r="H431" s="1204" t="s">
        <v>1712</v>
      </c>
      <c r="I431" s="427">
        <f>0.65*1106</f>
        <v>718.9</v>
      </c>
      <c r="J431" s="918"/>
      <c r="K431" s="918"/>
      <c r="L431" s="918"/>
      <c r="M431" s="918"/>
      <c r="N431" s="918"/>
      <c r="O431" s="918"/>
      <c r="P431" s="918"/>
      <c r="Q431" s="918"/>
      <c r="R431" s="918"/>
      <c r="S431" s="910"/>
      <c r="T431" s="910"/>
      <c r="U431" s="910"/>
      <c r="V431" s="4342"/>
      <c r="W431" s="927">
        <v>1846.68</v>
      </c>
      <c r="X431" s="927">
        <v>1846.68</v>
      </c>
      <c r="Y431" s="682">
        <v>2.568757824454027</v>
      </c>
      <c r="Z431" s="442">
        <v>2.568757824454027</v>
      </c>
      <c r="AA431" s="442">
        <v>2.568757824454027</v>
      </c>
      <c r="AB431" s="442">
        <v>2.568757824454027</v>
      </c>
      <c r="AC431" s="442">
        <v>2.568757824454027</v>
      </c>
      <c r="AD431" s="927"/>
      <c r="AE431" s="927"/>
      <c r="AF431" s="927"/>
      <c r="AG431" s="927"/>
      <c r="AK431" s="883"/>
      <c r="BB431" s="906"/>
    </row>
    <row r="432" spans="1:54" s="892" customFormat="1" hidden="1" outlineLevel="1" x14ac:dyDescent="0.25">
      <c r="A432" s="910"/>
      <c r="B432" s="918"/>
      <c r="C432" s="907"/>
      <c r="D432" s="3935"/>
      <c r="E432" s="420" t="s">
        <v>1688</v>
      </c>
      <c r="F432" s="442">
        <f>2841.04/1106</f>
        <v>2.5687522603978299</v>
      </c>
      <c r="G432" s="4333"/>
      <c r="H432" s="1204" t="s">
        <v>1713</v>
      </c>
      <c r="I432" s="427">
        <v>1106</v>
      </c>
      <c r="J432" s="918"/>
      <c r="K432" s="918"/>
      <c r="L432" s="918"/>
      <c r="M432" s="918"/>
      <c r="N432" s="918"/>
      <c r="O432" s="918"/>
      <c r="P432" s="918"/>
      <c r="Q432" s="918"/>
      <c r="R432" s="918"/>
      <c r="S432" s="910"/>
      <c r="T432" s="910"/>
      <c r="U432" s="910"/>
      <c r="V432" s="4342"/>
      <c r="W432" s="927">
        <v>2841.04</v>
      </c>
      <c r="X432" s="927">
        <v>2841.04</v>
      </c>
      <c r="Y432" s="682">
        <v>2.5687522603978299</v>
      </c>
      <c r="Z432" s="442">
        <v>2.5687522603978299</v>
      </c>
      <c r="AA432" s="442">
        <v>2.5687522603978299</v>
      </c>
      <c r="AB432" s="442">
        <v>2.5687522603978299</v>
      </c>
      <c r="AC432" s="442">
        <v>2.5687522603978299</v>
      </c>
      <c r="AD432" s="927"/>
      <c r="AE432" s="927"/>
      <c r="AF432" s="927"/>
      <c r="AG432" s="927"/>
      <c r="AK432" s="883"/>
      <c r="BB432" s="906"/>
    </row>
    <row r="433" spans="1:57" s="892" customFormat="1" hidden="1" outlineLevel="1" x14ac:dyDescent="0.25">
      <c r="A433" s="910"/>
      <c r="B433" s="918"/>
      <c r="C433" s="907"/>
      <c r="D433" s="3935"/>
      <c r="E433" s="426" t="s">
        <v>1690</v>
      </c>
      <c r="F433" s="442">
        <f>2841.04/1106</f>
        <v>2.5687522603978299</v>
      </c>
      <c r="G433" s="4333"/>
      <c r="H433" s="1204" t="s">
        <v>1713</v>
      </c>
      <c r="I433" s="427">
        <v>1106</v>
      </c>
      <c r="J433" s="918"/>
      <c r="K433" s="918"/>
      <c r="L433" s="918"/>
      <c r="M433" s="918"/>
      <c r="N433" s="918"/>
      <c r="O433" s="918"/>
      <c r="P433" s="918"/>
      <c r="Q433" s="918"/>
      <c r="R433" s="918"/>
      <c r="S433" s="910"/>
      <c r="T433" s="910"/>
      <c r="U433" s="910"/>
      <c r="V433" s="4342"/>
      <c r="W433" s="927">
        <v>2841.04</v>
      </c>
      <c r="X433" s="927">
        <v>2841.04</v>
      </c>
      <c r="Y433" s="682">
        <v>2.5687522603978299</v>
      </c>
      <c r="Z433" s="442">
        <v>2.5687522603978299</v>
      </c>
      <c r="AA433" s="442">
        <v>2.5687522603978299</v>
      </c>
      <c r="AB433" s="442">
        <v>2.5687522603978299</v>
      </c>
      <c r="AC433" s="442">
        <v>2.5687522603978299</v>
      </c>
      <c r="AD433" s="927"/>
      <c r="AE433" s="927"/>
      <c r="AF433" s="927"/>
      <c r="AG433" s="927"/>
      <c r="AK433" s="883"/>
      <c r="BB433" s="906"/>
    </row>
    <row r="434" spans="1:57" s="892" customFormat="1" hidden="1" outlineLevel="1" x14ac:dyDescent="0.25">
      <c r="A434" s="910"/>
      <c r="B434" s="918"/>
      <c r="C434" s="907"/>
      <c r="D434" s="3935"/>
      <c r="E434" s="420" t="s">
        <v>1692</v>
      </c>
      <c r="F434" s="442">
        <f>2841.04/1106</f>
        <v>2.5687522603978299</v>
      </c>
      <c r="G434" s="4333"/>
      <c r="H434" s="1204" t="s">
        <v>1713</v>
      </c>
      <c r="I434" s="427">
        <v>1106</v>
      </c>
      <c r="J434" s="918"/>
      <c r="K434" s="918"/>
      <c r="L434" s="918"/>
      <c r="M434" s="918"/>
      <c r="N434" s="918"/>
      <c r="O434" s="918"/>
      <c r="P434" s="918"/>
      <c r="Q434" s="918"/>
      <c r="R434" s="918"/>
      <c r="S434" s="910"/>
      <c r="T434" s="910"/>
      <c r="U434" s="910"/>
      <c r="V434" s="4342"/>
      <c r="W434" s="927">
        <v>2841.04</v>
      </c>
      <c r="X434" s="927">
        <v>2841.04</v>
      </c>
      <c r="Y434" s="682">
        <v>2.5687522603978299</v>
      </c>
      <c r="Z434" s="442">
        <v>2.5687522603978299</v>
      </c>
      <c r="AA434" s="442">
        <v>2.5687522603978299</v>
      </c>
      <c r="AB434" s="442">
        <v>2.5687522603978299</v>
      </c>
      <c r="AC434" s="442">
        <v>2.5687522603978299</v>
      </c>
      <c r="AD434" s="927"/>
      <c r="AE434" s="927"/>
      <c r="AF434" s="927"/>
      <c r="AG434" s="927"/>
      <c r="AK434" s="883"/>
      <c r="BB434" s="906"/>
    </row>
    <row r="435" spans="1:57" s="892" customFormat="1" hidden="1" outlineLevel="1" x14ac:dyDescent="0.25">
      <c r="A435" s="910"/>
      <c r="B435" s="918"/>
      <c r="C435" s="907"/>
      <c r="D435" s="3935"/>
      <c r="E435" s="420" t="s">
        <v>1694</v>
      </c>
      <c r="F435" s="442">
        <f>2461.73/(1106*0.65)</f>
        <v>3.424301015440256</v>
      </c>
      <c r="G435" s="4333"/>
      <c r="H435" s="1204" t="s">
        <v>1712</v>
      </c>
      <c r="I435" s="427">
        <f>0.65*1106</f>
        <v>718.9</v>
      </c>
      <c r="J435" s="918"/>
      <c r="K435" s="918"/>
      <c r="L435" s="918"/>
      <c r="M435" s="918"/>
      <c r="N435" s="918"/>
      <c r="O435" s="918"/>
      <c r="P435" s="918"/>
      <c r="Q435" s="918"/>
      <c r="R435" s="918"/>
      <c r="S435" s="910"/>
      <c r="T435" s="910"/>
      <c r="U435" s="910"/>
      <c r="V435" s="4342"/>
      <c r="W435" s="927">
        <v>2461.73</v>
      </c>
      <c r="X435" s="927">
        <v>2461.73</v>
      </c>
      <c r="Y435" s="682">
        <v>3.424301015440256</v>
      </c>
      <c r="Z435" s="442">
        <v>3.424301015440256</v>
      </c>
      <c r="AA435" s="442">
        <v>3.424301015440256</v>
      </c>
      <c r="AB435" s="442">
        <v>3.424301015440256</v>
      </c>
      <c r="AC435" s="442">
        <v>3.424301015440256</v>
      </c>
      <c r="AD435" s="927"/>
      <c r="AE435" s="927"/>
      <c r="AF435" s="927"/>
      <c r="AG435" s="927"/>
      <c r="AK435" s="883"/>
      <c r="BB435" s="906"/>
    </row>
    <row r="436" spans="1:57" s="892" customFormat="1" hidden="1" outlineLevel="1" x14ac:dyDescent="0.25">
      <c r="A436" s="910"/>
      <c r="B436" s="918"/>
      <c r="C436" s="907"/>
      <c r="D436" s="3935"/>
      <c r="E436" s="420" t="s">
        <v>1696</v>
      </c>
      <c r="F436" s="442">
        <f>2461.73/(1106*0.65)</f>
        <v>3.424301015440256</v>
      </c>
      <c r="G436" s="4333"/>
      <c r="H436" s="1204" t="s">
        <v>1712</v>
      </c>
      <c r="I436" s="427">
        <f>0.65*1106</f>
        <v>718.9</v>
      </c>
      <c r="J436" s="918"/>
      <c r="K436" s="918"/>
      <c r="L436" s="918"/>
      <c r="M436" s="918"/>
      <c r="N436" s="918"/>
      <c r="O436" s="918"/>
      <c r="P436" s="918"/>
      <c r="Q436" s="918"/>
      <c r="R436" s="918"/>
      <c r="S436" s="910"/>
      <c r="T436" s="910"/>
      <c r="U436" s="910"/>
      <c r="V436" s="4342"/>
      <c r="W436" s="927">
        <v>2461.73</v>
      </c>
      <c r="X436" s="927">
        <v>2461.73</v>
      </c>
      <c r="Y436" s="682">
        <v>3.424301015440256</v>
      </c>
      <c r="Z436" s="442">
        <v>3.424301015440256</v>
      </c>
      <c r="AA436" s="442">
        <v>3.424301015440256</v>
      </c>
      <c r="AB436" s="442">
        <v>3.424301015440256</v>
      </c>
      <c r="AC436" s="442">
        <v>3.424301015440256</v>
      </c>
      <c r="AD436" s="927"/>
      <c r="AE436" s="927"/>
      <c r="AF436" s="927"/>
      <c r="AG436" s="927"/>
      <c r="AK436" s="883"/>
      <c r="BB436" s="906"/>
    </row>
    <row r="437" spans="1:57" s="892" customFormat="1" hidden="1" outlineLevel="1" x14ac:dyDescent="0.25">
      <c r="A437" s="910"/>
      <c r="B437" s="918"/>
      <c r="C437" s="907"/>
      <c r="D437" s="3935"/>
      <c r="E437" s="426" t="s">
        <v>1698</v>
      </c>
      <c r="F437" s="442">
        <f>2461.73/(1106*0.65)</f>
        <v>3.424301015440256</v>
      </c>
      <c r="G437" s="4333"/>
      <c r="H437" s="1204" t="s">
        <v>1712</v>
      </c>
      <c r="I437" s="427">
        <f>0.65*1106</f>
        <v>718.9</v>
      </c>
      <c r="J437" s="918"/>
      <c r="K437" s="918"/>
      <c r="L437" s="918"/>
      <c r="M437" s="918"/>
      <c r="N437" s="918"/>
      <c r="O437" s="918"/>
      <c r="P437" s="918"/>
      <c r="Q437" s="918"/>
      <c r="R437" s="918"/>
      <c r="S437" s="910"/>
      <c r="T437" s="910"/>
      <c r="U437" s="910"/>
      <c r="V437" s="4342"/>
      <c r="W437" s="927">
        <v>2461.73</v>
      </c>
      <c r="X437" s="927">
        <v>2461.73</v>
      </c>
      <c r="Y437" s="682">
        <v>3.424301015440256</v>
      </c>
      <c r="Z437" s="442">
        <v>3.424301015440256</v>
      </c>
      <c r="AA437" s="442">
        <v>3.424301015440256</v>
      </c>
      <c r="AB437" s="442">
        <v>3.424301015440256</v>
      </c>
      <c r="AC437" s="442">
        <v>3.424301015440256</v>
      </c>
      <c r="AD437" s="927"/>
      <c r="AE437" s="927"/>
      <c r="AF437" s="927"/>
      <c r="AG437" s="927"/>
      <c r="AK437" s="883"/>
      <c r="BB437" s="906"/>
    </row>
    <row r="438" spans="1:57" s="892" customFormat="1" hidden="1" outlineLevel="1" x14ac:dyDescent="0.25">
      <c r="A438" s="910"/>
      <c r="B438" s="918"/>
      <c r="C438" s="907"/>
      <c r="D438" s="3935"/>
      <c r="E438" s="420" t="s">
        <v>1700</v>
      </c>
      <c r="F438" s="442">
        <f>3787.28/1106</f>
        <v>3.4243037974683546</v>
      </c>
      <c r="G438" s="4333"/>
      <c r="H438" s="1204" t="s">
        <v>1713</v>
      </c>
      <c r="I438" s="427">
        <v>1106</v>
      </c>
      <c r="J438" s="918"/>
      <c r="K438" s="918"/>
      <c r="L438" s="918"/>
      <c r="M438" s="918"/>
      <c r="N438" s="918"/>
      <c r="O438" s="918"/>
      <c r="P438" s="918"/>
      <c r="Q438" s="918"/>
      <c r="R438" s="918"/>
      <c r="S438" s="910"/>
      <c r="T438" s="910"/>
      <c r="U438" s="910"/>
      <c r="V438" s="4342"/>
      <c r="W438" s="927">
        <v>3787.28</v>
      </c>
      <c r="X438" s="927">
        <v>3787.28</v>
      </c>
      <c r="Y438" s="682">
        <v>3.4243037974683546</v>
      </c>
      <c r="Z438" s="442">
        <v>3.4243037974683546</v>
      </c>
      <c r="AA438" s="442">
        <v>3.4243037974683546</v>
      </c>
      <c r="AB438" s="442">
        <v>3.4243037974683546</v>
      </c>
      <c r="AC438" s="442">
        <v>3.4243037974683546</v>
      </c>
      <c r="AD438" s="927"/>
      <c r="AE438" s="927"/>
      <c r="AF438" s="927"/>
      <c r="AG438" s="927"/>
      <c r="AK438" s="883"/>
      <c r="BB438" s="906"/>
    </row>
    <row r="439" spans="1:57" s="892" customFormat="1" hidden="1" outlineLevel="1" x14ac:dyDescent="0.25">
      <c r="A439" s="910"/>
      <c r="B439" s="918"/>
      <c r="C439" s="907"/>
      <c r="D439" s="3935"/>
      <c r="E439" s="426" t="s">
        <v>1702</v>
      </c>
      <c r="F439" s="442">
        <f>3787.28/1106</f>
        <v>3.4243037974683546</v>
      </c>
      <c r="G439" s="4333"/>
      <c r="H439" s="1204" t="s">
        <v>1713</v>
      </c>
      <c r="I439" s="427">
        <v>1106</v>
      </c>
      <c r="J439" s="918"/>
      <c r="K439" s="918"/>
      <c r="L439" s="918"/>
      <c r="M439" s="918"/>
      <c r="N439" s="918"/>
      <c r="O439" s="918"/>
      <c r="P439" s="918"/>
      <c r="Q439" s="918"/>
      <c r="R439" s="918"/>
      <c r="S439" s="910"/>
      <c r="T439" s="910"/>
      <c r="U439" s="910"/>
      <c r="V439" s="4342"/>
      <c r="W439" s="927">
        <v>3787.28</v>
      </c>
      <c r="X439" s="927">
        <v>3787.28</v>
      </c>
      <c r="Y439" s="682">
        <v>3.4243037974683546</v>
      </c>
      <c r="Z439" s="442">
        <v>3.4243037974683546</v>
      </c>
      <c r="AA439" s="442">
        <v>3.4243037974683546</v>
      </c>
      <c r="AB439" s="442">
        <v>3.4243037974683546</v>
      </c>
      <c r="AC439" s="442">
        <v>3.4243037974683546</v>
      </c>
      <c r="AD439" s="927"/>
      <c r="AE439" s="927"/>
      <c r="AF439" s="927"/>
      <c r="AG439" s="927"/>
      <c r="AK439" s="883"/>
      <c r="BB439" s="906"/>
    </row>
    <row r="440" spans="1:57" s="892" customFormat="1" hidden="1" outlineLevel="1" x14ac:dyDescent="0.25">
      <c r="A440" s="910"/>
      <c r="B440" s="918"/>
      <c r="C440" s="907"/>
      <c r="D440" s="4339"/>
      <c r="E440" s="420" t="s">
        <v>1704</v>
      </c>
      <c r="F440" s="442">
        <f>3787.28/1106</f>
        <v>3.4243037974683546</v>
      </c>
      <c r="G440" s="4334"/>
      <c r="H440" s="1204" t="s">
        <v>1713</v>
      </c>
      <c r="I440" s="427">
        <v>1106</v>
      </c>
      <c r="J440" s="918"/>
      <c r="K440" s="918"/>
      <c r="L440" s="918"/>
      <c r="M440" s="918"/>
      <c r="N440" s="918"/>
      <c r="O440" s="918"/>
      <c r="P440" s="918"/>
      <c r="Q440" s="918"/>
      <c r="R440" s="918"/>
      <c r="S440" s="910"/>
      <c r="T440" s="910"/>
      <c r="U440" s="910"/>
      <c r="V440" s="4343"/>
      <c r="W440" s="927">
        <v>3787.28</v>
      </c>
      <c r="X440" s="927">
        <v>3787.28</v>
      </c>
      <c r="Y440" s="682">
        <v>3.4243037974683546</v>
      </c>
      <c r="Z440" s="442">
        <v>3.4243037974683546</v>
      </c>
      <c r="AA440" s="442">
        <v>3.4243037974683546</v>
      </c>
      <c r="AB440" s="442">
        <v>3.4243037974683546</v>
      </c>
      <c r="AC440" s="442">
        <v>3.4243037974683546</v>
      </c>
      <c r="AD440" s="927"/>
      <c r="AE440" s="927"/>
      <c r="AF440" s="927"/>
      <c r="AG440" s="927"/>
      <c r="AK440" s="883"/>
      <c r="BB440" s="906"/>
    </row>
    <row r="441" spans="1:57" hidden="1" outlineLevel="1" x14ac:dyDescent="0.25">
      <c r="B441" s="1233"/>
      <c r="C441" s="225"/>
      <c r="Y441" s="1500" t="s">
        <v>1642</v>
      </c>
      <c r="AK441" s="883"/>
    </row>
    <row r="442" spans="1:57" collapsed="1" x14ac:dyDescent="0.25">
      <c r="B442" s="1233"/>
      <c r="C442" s="225"/>
      <c r="AK442" s="883"/>
    </row>
    <row r="443" spans="1:57" x14ac:dyDescent="0.25">
      <c r="B443" s="3750" t="s">
        <v>1729</v>
      </c>
      <c r="C443" s="3751"/>
      <c r="D443" s="3751"/>
      <c r="E443" s="3751"/>
      <c r="F443" s="3751"/>
      <c r="G443" s="3751"/>
      <c r="H443" s="3751"/>
      <c r="I443" s="3744"/>
      <c r="J443" s="3744"/>
      <c r="K443" s="3744"/>
      <c r="L443" s="3744"/>
      <c r="M443" s="3744"/>
      <c r="N443" s="3744"/>
      <c r="O443" s="3744"/>
      <c r="P443" s="3744"/>
      <c r="Q443" s="3744"/>
      <c r="R443" s="3745"/>
      <c r="V443" s="3750" t="str">
        <f>B443</f>
        <v>Floor Insulation</v>
      </c>
      <c r="W443" s="3751"/>
      <c r="X443" s="3751"/>
      <c r="Y443" s="3751"/>
      <c r="Z443" s="3751"/>
      <c r="AA443" s="3751"/>
      <c r="AB443" s="3751"/>
      <c r="AC443" s="3752"/>
      <c r="AD443" s="3752"/>
      <c r="AE443" s="3752"/>
      <c r="AF443" s="3752"/>
      <c r="AG443" s="3752"/>
      <c r="AH443" s="3752"/>
      <c r="AI443" s="3753"/>
      <c r="AK443" s="883"/>
    </row>
    <row r="444" spans="1:57" x14ac:dyDescent="0.25">
      <c r="B444" s="1606"/>
      <c r="C444" s="907"/>
      <c r="D444" s="1618"/>
      <c r="E444" s="1618" t="s">
        <v>1730</v>
      </c>
      <c r="F444" s="908"/>
      <c r="G444" s="908"/>
      <c r="H444" s="908"/>
      <c r="I444" s="908"/>
      <c r="J444" s="908"/>
      <c r="K444" s="908"/>
      <c r="L444" s="1619"/>
      <c r="M444" s="910"/>
      <c r="N444" s="910"/>
      <c r="O444" s="910"/>
      <c r="AK444" s="883"/>
    </row>
    <row r="445" spans="1:57" ht="30" x14ac:dyDescent="0.25">
      <c r="B445" s="1606"/>
      <c r="C445" s="3086" t="s">
        <v>28</v>
      </c>
      <c r="D445" s="3086" t="s">
        <v>175</v>
      </c>
      <c r="E445" s="3086" t="s">
        <v>30</v>
      </c>
      <c r="F445" s="3086" t="s">
        <v>31</v>
      </c>
      <c r="G445" s="3086" t="s">
        <v>176</v>
      </c>
      <c r="H445" s="3086" t="s">
        <v>177</v>
      </c>
      <c r="I445" s="3086" t="s">
        <v>506</v>
      </c>
      <c r="J445" s="3086" t="s">
        <v>507</v>
      </c>
      <c r="K445" s="3086" t="s">
        <v>32</v>
      </c>
      <c r="L445" s="3140" t="s">
        <v>181</v>
      </c>
      <c r="M445" s="3086" t="s">
        <v>170</v>
      </c>
      <c r="N445" s="3086" t="s">
        <v>1731</v>
      </c>
      <c r="O445" s="910"/>
      <c r="P445" s="910"/>
      <c r="Q445" s="910"/>
      <c r="R445" s="910"/>
      <c r="V445" s="1936" t="s">
        <v>45</v>
      </c>
      <c r="W445" s="1937">
        <f>W$6</f>
        <v>43252</v>
      </c>
      <c r="X445" s="1937">
        <f t="shared" ref="X445:AG445" si="50">X$6</f>
        <v>43465</v>
      </c>
      <c r="Y445" s="360">
        <f t="shared" si="50"/>
        <v>43800</v>
      </c>
      <c r="Z445" s="1937">
        <f t="shared" si="50"/>
        <v>43862</v>
      </c>
      <c r="AA445" s="1937">
        <f t="shared" si="50"/>
        <v>44013</v>
      </c>
      <c r="AB445" s="1937">
        <f t="shared" si="50"/>
        <v>44166</v>
      </c>
      <c r="AC445" s="1937">
        <f t="shared" si="50"/>
        <v>44531</v>
      </c>
      <c r="AD445" s="1937" t="str">
        <f t="shared" si="50"/>
        <v>-</v>
      </c>
      <c r="AE445" s="1937" t="str">
        <f t="shared" si="50"/>
        <v>-</v>
      </c>
      <c r="AF445" s="1937" t="str">
        <f t="shared" si="50"/>
        <v>-</v>
      </c>
      <c r="AG445" s="1937" t="str">
        <f t="shared" si="50"/>
        <v>-</v>
      </c>
      <c r="AK445" s="883"/>
      <c r="BB445" s="1938" t="str">
        <f>$BB$6</f>
        <v>TRC (2020)</v>
      </c>
      <c r="BC445" s="1953" t="str">
        <f>$BC$6</f>
        <v>Benefit Lookup</v>
      </c>
      <c r="BD445" s="665" t="str">
        <f>$BD$6</f>
        <v>Benefits (2019 $)</v>
      </c>
      <c r="BE445" s="230" t="str">
        <f>$BE$6</f>
        <v>Incremental Cost (2019 $)</v>
      </c>
    </row>
    <row r="446" spans="1:57" x14ac:dyDescent="0.25">
      <c r="B446" s="1606"/>
      <c r="C446" s="1205" t="s">
        <v>1732</v>
      </c>
      <c r="D446" s="2695" t="s">
        <v>1571</v>
      </c>
      <c r="E446" s="420" t="s">
        <v>1733</v>
      </c>
      <c r="F446" s="579">
        <f t="shared" ref="F446:F451" si="51">ROUND(I446+J446,2)</f>
        <v>2.4500000000000002</v>
      </c>
      <c r="G446" s="2667" t="s">
        <v>1615</v>
      </c>
      <c r="H446" s="155">
        <f>VLOOKUP(G446,'CP FACTORS'!$A$3:$B$38, 2, FALSE)</f>
        <v>4.6608050000000002E-4</v>
      </c>
      <c r="I446" s="1460">
        <f>(1/F$463-1/F$465)*F$466*(1-F$467)*F468*24*F$471/(F472*3412)</f>
        <v>2.2122733692848771</v>
      </c>
      <c r="J446" s="1460">
        <f>(1/$F$463-1/$F$465)*$F$466*(1-$F$467)*F475*24*$F$478/($F$479*1000)</f>
        <v>0.23319970909090906</v>
      </c>
      <c r="K446" s="893">
        <f t="shared" ref="K446:K451" si="52">ROUND(H446*F446,6)</f>
        <v>1.142E-3</v>
      </c>
      <c r="L446" s="2298">
        <f t="shared" ref="L446:L451" si="53">$F$480</f>
        <v>25</v>
      </c>
      <c r="M446" s="2297">
        <f t="shared" ref="M446:M451" si="54">$F$481</f>
        <v>0.67966666666666664</v>
      </c>
      <c r="N446" s="979">
        <f t="shared" ref="N446:N451" si="55">$F$466</f>
        <v>1</v>
      </c>
      <c r="O446" s="910"/>
      <c r="P446" s="910"/>
      <c r="Q446" s="910"/>
      <c r="R446" s="910"/>
      <c r="V446" s="160" t="str">
        <f t="shared" ref="V446:V451" si="56">$F$58</f>
        <v>kWh Annual Savings</v>
      </c>
      <c r="W446" s="236">
        <v>2641.1109246458486</v>
      </c>
      <c r="X446" s="424">
        <v>2641.1109246458486</v>
      </c>
      <c r="Y446" s="885">
        <v>2.4500000000000002</v>
      </c>
      <c r="Z446" s="882">
        <v>2.4500000000000002</v>
      </c>
      <c r="AA446" s="882">
        <v>2.4500000000000002</v>
      </c>
      <c r="AB446" s="882">
        <v>2.4500000000000002</v>
      </c>
      <c r="AC446" s="882">
        <v>2.4500000000000002</v>
      </c>
      <c r="AD446" s="160"/>
      <c r="AE446" s="160"/>
      <c r="AF446" s="160"/>
      <c r="AG446" s="160"/>
      <c r="AH446" s="877"/>
      <c r="AI446" s="877"/>
      <c r="AK446" s="883"/>
      <c r="BB446" s="1954">
        <f t="shared" ref="BB446:BB451" si="57">(BD446)/(BE446)</f>
        <v>5.3158369630085787</v>
      </c>
      <c r="BC446" s="3166" t="str">
        <f t="shared" ref="BC446:BC451" si="58">CONCATENATE(G446," ",L446," Year EUL")</f>
        <v>Building Shell RES 25 Year EUL</v>
      </c>
      <c r="BD446" s="166">
        <f>(INDEX('Avoided Cost Benefits'!$C$4:$C$857,MATCH(BC446,'Avoided Cost Benefits'!$A$4:$A$857,0)))*F446</f>
        <v>3.410096450393107</v>
      </c>
      <c r="BE446" s="1956">
        <f t="shared" ref="BE446:BE451" si="59">M446/(1.0595^(2020-2019))</f>
        <v>0.64149756174296046</v>
      </c>
    </row>
    <row r="447" spans="1:57" x14ac:dyDescent="0.25">
      <c r="B447" s="1606"/>
      <c r="C447" s="1205" t="s">
        <v>1734</v>
      </c>
      <c r="D447" s="2695" t="s">
        <v>1571</v>
      </c>
      <c r="E447" s="420" t="s">
        <v>1735</v>
      </c>
      <c r="F447" s="579">
        <f t="shared" si="51"/>
        <v>1.42</v>
      </c>
      <c r="G447" s="2667" t="s">
        <v>1615</v>
      </c>
      <c r="H447" s="155">
        <f>VLOOKUP(G447,'CP FACTORS'!$A$3:$B$38, 2, FALSE)</f>
        <v>4.6608050000000002E-4</v>
      </c>
      <c r="I447" s="1460">
        <f>(1/F$463-1/F$465)*F$466*(1-F$467)*F469*24*F$471/(F473*3412)</f>
        <v>1.1851464478311842</v>
      </c>
      <c r="J447" s="1460">
        <f>(1/$F$463-1/$F$465)*$F$466*(1-$F$467)*F476*24*$F$478/($F$479*1000)</f>
        <v>0.23319970909090906</v>
      </c>
      <c r="K447" s="893">
        <f t="shared" si="52"/>
        <v>6.6200000000000005E-4</v>
      </c>
      <c r="L447" s="2298">
        <f t="shared" si="53"/>
        <v>25</v>
      </c>
      <c r="M447" s="2297">
        <f t="shared" si="54"/>
        <v>0.67966666666666664</v>
      </c>
      <c r="N447" s="979">
        <f t="shared" si="55"/>
        <v>1</v>
      </c>
      <c r="O447" s="910"/>
      <c r="P447" s="910"/>
      <c r="Q447" s="910"/>
      <c r="R447" s="910"/>
      <c r="V447" s="160" t="str">
        <f t="shared" si="56"/>
        <v>kWh Annual Savings</v>
      </c>
      <c r="W447" s="236"/>
      <c r="X447" s="424"/>
      <c r="Y447" s="885">
        <v>1.42</v>
      </c>
      <c r="Z447" s="882">
        <v>1.42</v>
      </c>
      <c r="AA447" s="882">
        <v>1.42</v>
      </c>
      <c r="AB447" s="882">
        <v>1.42</v>
      </c>
      <c r="AC447" s="882">
        <v>1.42</v>
      </c>
      <c r="AD447" s="160"/>
      <c r="AE447" s="160"/>
      <c r="AF447" s="160"/>
      <c r="AG447" s="160"/>
      <c r="AH447" s="877"/>
      <c r="AI447" s="877"/>
      <c r="AK447" s="883"/>
      <c r="BB447" s="1914">
        <f t="shared" si="57"/>
        <v>3.0810157091723185</v>
      </c>
      <c r="BC447" s="3166" t="str">
        <f t="shared" si="58"/>
        <v>Building Shell RES 25 Year EUL</v>
      </c>
      <c r="BD447" s="1852">
        <f>(INDEX('Avoided Cost Benefits'!$C$4:$C$857,MATCH(BC447,'Avoided Cost Benefits'!$A$4:$A$857,0)))*F447</f>
        <v>1.9764640651258005</v>
      </c>
      <c r="BE447" s="1853">
        <f t="shared" si="59"/>
        <v>0.64149756174296046</v>
      </c>
    </row>
    <row r="448" spans="1:57" x14ac:dyDescent="0.25">
      <c r="B448" s="1606"/>
      <c r="C448" s="1205" t="s">
        <v>1736</v>
      </c>
      <c r="D448" s="2695" t="s">
        <v>1571</v>
      </c>
      <c r="E448" s="420" t="s">
        <v>1737</v>
      </c>
      <c r="F448" s="579">
        <f t="shared" si="51"/>
        <v>0.23</v>
      </c>
      <c r="G448" s="2667" t="s">
        <v>1615</v>
      </c>
      <c r="H448" s="155">
        <f>VLOOKUP(G448,'CP FACTORS'!$A$3:$B$38, 2, FALSE)</f>
        <v>4.6608050000000002E-4</v>
      </c>
      <c r="I448" s="954">
        <f>(1/F$463-1/F$465)*F$466*(1-F$467)*F470*24*F$471/(F474*3412)</f>
        <v>0</v>
      </c>
      <c r="J448" s="1460">
        <f>(1/$F$463-1/$F$465)*$F$466*(1-$F$467)*F477*24*$F$478/($F$479*1000)</f>
        <v>0.23319970909090906</v>
      </c>
      <c r="K448" s="893">
        <f t="shared" si="52"/>
        <v>1.07E-4</v>
      </c>
      <c r="L448" s="2298">
        <f t="shared" si="53"/>
        <v>25</v>
      </c>
      <c r="M448" s="2297">
        <f t="shared" si="54"/>
        <v>0.67966666666666664</v>
      </c>
      <c r="N448" s="979">
        <f t="shared" si="55"/>
        <v>1</v>
      </c>
      <c r="O448" s="910"/>
      <c r="P448" s="910"/>
      <c r="Q448" s="910"/>
      <c r="R448" s="910"/>
      <c r="V448" s="160" t="str">
        <f t="shared" si="56"/>
        <v>kWh Annual Savings</v>
      </c>
      <c r="W448" s="236"/>
      <c r="X448" s="424"/>
      <c r="Y448" s="885">
        <v>0.23</v>
      </c>
      <c r="Z448" s="882">
        <v>0.23</v>
      </c>
      <c r="AA448" s="882">
        <v>0.23</v>
      </c>
      <c r="AB448" s="882">
        <v>0.23</v>
      </c>
      <c r="AC448" s="882">
        <v>0.23</v>
      </c>
      <c r="AD448" s="160"/>
      <c r="AE448" s="160"/>
      <c r="AF448" s="160"/>
      <c r="AG448" s="160"/>
      <c r="AH448" s="877"/>
      <c r="AI448" s="877"/>
      <c r="AK448" s="883"/>
      <c r="BB448" s="1914">
        <f t="shared" si="57"/>
        <v>0.49903775571100939</v>
      </c>
      <c r="BC448" s="3166" t="str">
        <f t="shared" si="58"/>
        <v>Building Shell RES 25 Year EUL</v>
      </c>
      <c r="BD448" s="1852">
        <f>(INDEX('Avoided Cost Benefits'!$C$4:$C$857,MATCH(BC448,'Avoided Cost Benefits'!$A$4:$A$857,0)))*F448</f>
        <v>0.32013150350629166</v>
      </c>
      <c r="BE448" s="1853">
        <f t="shared" si="59"/>
        <v>0.64149756174296046</v>
      </c>
    </row>
    <row r="449" spans="2:57" x14ac:dyDescent="0.25">
      <c r="B449" s="1606"/>
      <c r="C449" s="1205" t="s">
        <v>1738</v>
      </c>
      <c r="D449" s="2695" t="s">
        <v>1571</v>
      </c>
      <c r="E449" s="420" t="s">
        <v>1739</v>
      </c>
      <c r="F449" s="579">
        <f t="shared" si="51"/>
        <v>0.22</v>
      </c>
      <c r="G449" s="2667" t="s">
        <v>1615</v>
      </c>
      <c r="H449" s="155">
        <f>VLOOKUP(G449,'CP FACTORS'!$A$3:$B$38, 2, FALSE)</f>
        <v>4.6608050000000002E-4</v>
      </c>
      <c r="I449" s="1460">
        <f>(1/F$464-1/F$465)*F$466*(1-F$467)*F468*24*F$471/(F472*3412)</f>
        <v>0.1973869528633678</v>
      </c>
      <c r="J449" s="1460">
        <f>(1/$F$464-1/$F$465)*$F$466*(1-$F$467)*F475*24*$F$478/($F$479*1000)</f>
        <v>2.080691320754716E-2</v>
      </c>
      <c r="K449" s="893">
        <f t="shared" si="52"/>
        <v>1.03E-4</v>
      </c>
      <c r="L449" s="2298">
        <f t="shared" si="53"/>
        <v>25</v>
      </c>
      <c r="M449" s="2297">
        <f t="shared" si="54"/>
        <v>0.67966666666666664</v>
      </c>
      <c r="N449" s="979">
        <f t="shared" si="55"/>
        <v>1</v>
      </c>
      <c r="O449" s="910"/>
      <c r="P449" s="910"/>
      <c r="Q449" s="910"/>
      <c r="R449" s="910"/>
      <c r="V449" s="160" t="str">
        <f t="shared" si="56"/>
        <v>kWh Annual Savings</v>
      </c>
      <c r="W449" s="236"/>
      <c r="X449" s="424"/>
      <c r="Y449" s="885"/>
      <c r="Z449" s="1975">
        <v>0.22</v>
      </c>
      <c r="AA449" s="63">
        <v>0.22</v>
      </c>
      <c r="AB449" s="63">
        <v>0.22</v>
      </c>
      <c r="AC449" s="63">
        <v>0.22</v>
      </c>
      <c r="AD449" s="160"/>
      <c r="AE449" s="160"/>
      <c r="AF449" s="160"/>
      <c r="AG449" s="160"/>
      <c r="AH449" s="877"/>
      <c r="AI449" s="877"/>
      <c r="AK449" s="883"/>
      <c r="BB449" s="1954">
        <f t="shared" si="57"/>
        <v>0.47734046198444374</v>
      </c>
      <c r="BC449" s="3166" t="str">
        <f t="shared" si="58"/>
        <v>Building Shell RES 25 Year EUL</v>
      </c>
      <c r="BD449" s="166">
        <f>(INDEX('Avoided Cost Benefits'!$C$4:$C$857,MATCH(BC449,'Avoided Cost Benefits'!$A$4:$A$857,0)))*F449</f>
        <v>0.30621274248427899</v>
      </c>
      <c r="BE449" s="1956">
        <f t="shared" si="59"/>
        <v>0.64149756174296046</v>
      </c>
    </row>
    <row r="450" spans="2:57" x14ac:dyDescent="0.25">
      <c r="B450" s="1606"/>
      <c r="C450" s="1205" t="s">
        <v>1740</v>
      </c>
      <c r="D450" s="2695" t="s">
        <v>1571</v>
      </c>
      <c r="E450" s="420" t="s">
        <v>1741</v>
      </c>
      <c r="F450" s="579">
        <f t="shared" si="51"/>
        <v>0.13</v>
      </c>
      <c r="G450" s="2667" t="s">
        <v>1615</v>
      </c>
      <c r="H450" s="155">
        <f>VLOOKUP(G450,'CP FACTORS'!$A$3:$B$38, 2, FALSE)</f>
        <v>4.6608050000000002E-4</v>
      </c>
      <c r="I450" s="1460">
        <f>(1/F$464-1/F$465)*F$466*(1-F$467)*F469*24*F$471/(F473*3412)</f>
        <v>0.10574301046251848</v>
      </c>
      <c r="J450" s="1460">
        <f>(1/$F$464-1/$F$465)*$F$466*(1-$F$467)*F476*24*$F$478/($F$479*1000)</f>
        <v>2.080691320754716E-2</v>
      </c>
      <c r="K450" s="893">
        <f t="shared" si="52"/>
        <v>6.0999999999999999E-5</v>
      </c>
      <c r="L450" s="2298">
        <f t="shared" si="53"/>
        <v>25</v>
      </c>
      <c r="M450" s="2297">
        <f t="shared" si="54"/>
        <v>0.67966666666666664</v>
      </c>
      <c r="N450" s="979">
        <f t="shared" si="55"/>
        <v>1</v>
      </c>
      <c r="O450" s="910"/>
      <c r="P450" s="910"/>
      <c r="Q450" s="910"/>
      <c r="R450" s="910"/>
      <c r="V450" s="160" t="str">
        <f t="shared" si="56"/>
        <v>kWh Annual Savings</v>
      </c>
      <c r="W450" s="236"/>
      <c r="X450" s="424"/>
      <c r="Y450" s="885"/>
      <c r="Z450" s="1975">
        <v>0.13</v>
      </c>
      <c r="AA450" s="63">
        <v>0.13</v>
      </c>
      <c r="AB450" s="63">
        <v>0.13</v>
      </c>
      <c r="AC450" s="63">
        <v>0.13</v>
      </c>
      <c r="AD450" s="160"/>
      <c r="AE450" s="160"/>
      <c r="AF450" s="160"/>
      <c r="AG450" s="160"/>
      <c r="AH450" s="877"/>
      <c r="AI450" s="877"/>
      <c r="AK450" s="883"/>
      <c r="BB450" s="1851">
        <f t="shared" si="57"/>
        <v>0.28206481844535308</v>
      </c>
      <c r="BC450" s="3166" t="str">
        <f t="shared" si="58"/>
        <v>Building Shell RES 25 Year EUL</v>
      </c>
      <c r="BD450" s="1852">
        <f>(INDEX('Avoided Cost Benefits'!$C$4:$C$857,MATCH(BC450,'Avoided Cost Benefits'!$A$4:$A$857,0)))*F450</f>
        <v>0.18094389328616484</v>
      </c>
      <c r="BE450" s="1853">
        <f t="shared" si="59"/>
        <v>0.64149756174296046</v>
      </c>
    </row>
    <row r="451" spans="2:57" x14ac:dyDescent="0.25">
      <c r="B451" s="1606"/>
      <c r="C451" s="1205" t="s">
        <v>1742</v>
      </c>
      <c r="D451" s="2695" t="s">
        <v>1571</v>
      </c>
      <c r="E451" s="420" t="s">
        <v>1743</v>
      </c>
      <c r="F451" s="579">
        <f t="shared" si="51"/>
        <v>0.02</v>
      </c>
      <c r="G451" s="2667" t="s">
        <v>1615</v>
      </c>
      <c r="H451" s="155">
        <f>VLOOKUP(G451,'CP FACTORS'!$A$3:$B$38, 2, FALSE)</f>
        <v>4.6608050000000002E-4</v>
      </c>
      <c r="I451" s="1460">
        <f>(1/F$464-1/F$465)*F$466*(1-F$467)*F470*24*F$471/(F474*3412)</f>
        <v>0</v>
      </c>
      <c r="J451" s="1460">
        <f>(1/$F$464-1/$F$465)*$F$466*(1-$F$467)*F477*24*$F$478/($F$479*1000)</f>
        <v>2.080691320754716E-2</v>
      </c>
      <c r="K451" s="893">
        <f t="shared" si="52"/>
        <v>9.0000000000000002E-6</v>
      </c>
      <c r="L451" s="2298">
        <f t="shared" si="53"/>
        <v>25</v>
      </c>
      <c r="M451" s="2297">
        <f t="shared" si="54"/>
        <v>0.67966666666666664</v>
      </c>
      <c r="N451" s="979">
        <f t="shared" si="55"/>
        <v>1</v>
      </c>
      <c r="O451" s="910"/>
      <c r="P451" s="910"/>
      <c r="Q451" s="910"/>
      <c r="R451" s="910"/>
      <c r="V451" s="160" t="str">
        <f t="shared" si="56"/>
        <v>kWh Annual Savings</v>
      </c>
      <c r="W451" s="236"/>
      <c r="X451" s="424"/>
      <c r="Y451" s="885"/>
      <c r="Z451" s="1975">
        <v>0.02</v>
      </c>
      <c r="AA451" s="63">
        <v>0.02</v>
      </c>
      <c r="AB451" s="63">
        <v>0.02</v>
      </c>
      <c r="AC451" s="63">
        <v>0.02</v>
      </c>
      <c r="AD451" s="160"/>
      <c r="AE451" s="160"/>
      <c r="AF451" s="160"/>
      <c r="AG451" s="160"/>
      <c r="AH451" s="877"/>
      <c r="AI451" s="877"/>
      <c r="AK451" s="883"/>
      <c r="BB451" s="1851">
        <f t="shared" si="57"/>
        <v>4.3394587453131246E-2</v>
      </c>
      <c r="BC451" s="3166" t="str">
        <f t="shared" si="58"/>
        <v>Building Shell RES 25 Year EUL</v>
      </c>
      <c r="BD451" s="1852">
        <f>(INDEX('Avoided Cost Benefits'!$C$4:$C$857,MATCH(BC451,'Avoided Cost Benefits'!$A$4:$A$857,0)))*F451</f>
        <v>2.783752204402536E-2</v>
      </c>
      <c r="BE451" s="1853">
        <f t="shared" si="59"/>
        <v>0.64149756174296046</v>
      </c>
    </row>
    <row r="452" spans="2:57" hidden="1" outlineLevel="1" x14ac:dyDescent="0.25">
      <c r="B452" s="1606"/>
      <c r="C452" s="907"/>
      <c r="D452" s="429"/>
      <c r="E452" s="429"/>
      <c r="F452" s="1470"/>
      <c r="G452" s="910"/>
      <c r="H452" s="910"/>
      <c r="I452" s="910"/>
      <c r="J452" s="910"/>
      <c r="K452" s="910"/>
      <c r="L452" s="910"/>
      <c r="M452" s="910"/>
      <c r="N452" s="910"/>
      <c r="O452" s="910"/>
      <c r="P452" s="910"/>
      <c r="Q452" s="910"/>
      <c r="R452" s="910"/>
      <c r="AK452" s="883"/>
    </row>
    <row r="453" spans="2:57" hidden="1" outlineLevel="1" x14ac:dyDescent="0.25">
      <c r="B453" s="1606"/>
      <c r="C453" s="907"/>
      <c r="D453" s="174" t="s">
        <v>108</v>
      </c>
      <c r="E453" s="429"/>
      <c r="F453" s="1470"/>
      <c r="G453" s="910"/>
      <c r="H453" s="910"/>
      <c r="I453" s="910"/>
      <c r="J453" s="910"/>
      <c r="K453" s="910"/>
      <c r="L453" s="910"/>
      <c r="M453" s="910"/>
      <c r="N453" s="910"/>
      <c r="O453" s="910"/>
      <c r="AK453" s="883"/>
    </row>
    <row r="454" spans="2:57" hidden="1" outlineLevel="1" x14ac:dyDescent="0.25">
      <c r="B454" s="1606"/>
      <c r="C454" s="907"/>
      <c r="D454" s="174"/>
      <c r="E454" s="429"/>
      <c r="F454" s="1470"/>
      <c r="G454" s="910"/>
      <c r="H454" s="910"/>
      <c r="I454" s="910"/>
      <c r="J454" s="910"/>
      <c r="K454" s="910"/>
      <c r="L454" s="910"/>
      <c r="M454" s="910"/>
      <c r="N454" s="910"/>
      <c r="O454" s="910"/>
      <c r="AK454" s="883"/>
    </row>
    <row r="455" spans="2:57" hidden="1" outlineLevel="1" x14ac:dyDescent="0.25">
      <c r="B455" s="1606"/>
      <c r="C455" s="907"/>
      <c r="D455" s="174"/>
      <c r="E455" s="429"/>
      <c r="F455" s="1470"/>
      <c r="G455" s="910"/>
      <c r="H455" s="910"/>
      <c r="I455" s="910"/>
      <c r="J455" s="910"/>
      <c r="K455" s="910"/>
      <c r="L455" s="910"/>
      <c r="M455" s="910"/>
      <c r="N455" s="910"/>
      <c r="O455" s="910"/>
      <c r="AK455" s="883"/>
    </row>
    <row r="456" spans="2:57" hidden="1" outlineLevel="1" x14ac:dyDescent="0.25">
      <c r="B456" s="1606"/>
      <c r="C456" s="907"/>
      <c r="D456" s="174"/>
      <c r="E456" s="429"/>
      <c r="F456" s="1470"/>
      <c r="G456" s="910"/>
      <c r="H456" s="910"/>
      <c r="I456" s="910"/>
      <c r="J456" s="910"/>
      <c r="K456" s="910"/>
      <c r="L456" s="910"/>
      <c r="M456" s="910"/>
      <c r="N456" s="910"/>
      <c r="O456" s="910"/>
      <c r="AK456" s="883"/>
    </row>
    <row r="457" spans="2:57" ht="18" hidden="1" customHeight="1" outlineLevel="1" x14ac:dyDescent="0.25">
      <c r="B457" s="1606"/>
      <c r="C457" s="912"/>
      <c r="D457" s="4335"/>
      <c r="E457" s="4335"/>
      <c r="F457" s="4335"/>
      <c r="G457" s="4335"/>
      <c r="H457" s="928"/>
      <c r="I457" s="928"/>
      <c r="J457" s="928"/>
      <c r="K457" s="928"/>
      <c r="L457" s="928"/>
      <c r="M457" s="910"/>
      <c r="N457" s="910"/>
      <c r="O457" s="910"/>
      <c r="AK457" s="883"/>
    </row>
    <row r="458" spans="2:57" hidden="1" outlineLevel="1" x14ac:dyDescent="0.25">
      <c r="B458" s="1606"/>
      <c r="C458" s="913"/>
      <c r="D458" s="4335"/>
      <c r="E458" s="4335"/>
      <c r="F458" s="4335"/>
      <c r="G458" s="4335"/>
      <c r="H458" s="928"/>
      <c r="I458" s="928"/>
      <c r="J458" s="928"/>
      <c r="K458" s="928"/>
      <c r="L458" s="928"/>
      <c r="M458" s="910"/>
      <c r="N458" s="910"/>
      <c r="O458" s="910"/>
      <c r="AK458" s="883"/>
    </row>
    <row r="459" spans="2:57" hidden="1" outlineLevel="1" x14ac:dyDescent="0.25">
      <c r="B459" s="1606"/>
      <c r="C459" s="913"/>
      <c r="D459" s="4335"/>
      <c r="E459" s="4335"/>
      <c r="F459" s="4335"/>
      <c r="G459" s="4335"/>
      <c r="H459" s="928"/>
      <c r="I459" s="928"/>
      <c r="J459" s="928"/>
      <c r="K459" s="928"/>
      <c r="L459" s="928"/>
      <c r="M459" s="910"/>
      <c r="N459" s="910"/>
      <c r="O459" s="910"/>
      <c r="AK459" s="883"/>
    </row>
    <row r="460" spans="2:57" ht="15" hidden="1" customHeight="1" outlineLevel="1" x14ac:dyDescent="0.25">
      <c r="B460" s="1606"/>
      <c r="C460" s="914"/>
      <c r="D460" s="4335"/>
      <c r="E460" s="4335"/>
      <c r="F460" s="4335"/>
      <c r="G460" s="4335"/>
      <c r="H460" s="928"/>
      <c r="I460" s="928"/>
      <c r="J460" s="928"/>
      <c r="K460" s="928"/>
      <c r="L460" s="928"/>
      <c r="M460" s="910"/>
      <c r="N460" s="910"/>
      <c r="O460" s="910"/>
      <c r="AK460" s="883"/>
    </row>
    <row r="461" spans="2:57" hidden="1" outlineLevel="1" x14ac:dyDescent="0.25">
      <c r="B461" s="1606"/>
      <c r="C461" s="907"/>
      <c r="D461" s="429"/>
      <c r="E461" s="429"/>
      <c r="F461" s="910"/>
      <c r="G461" s="910"/>
      <c r="H461" s="910"/>
      <c r="I461" s="910"/>
      <c r="J461" s="910"/>
      <c r="K461" s="910"/>
      <c r="L461" s="910"/>
      <c r="M461" s="910"/>
      <c r="N461" s="910"/>
      <c r="O461" s="910"/>
      <c r="AK461" s="883"/>
    </row>
    <row r="462" spans="2:57" hidden="1" outlineLevel="1" x14ac:dyDescent="0.25">
      <c r="B462" s="1606"/>
      <c r="C462" s="907"/>
      <c r="D462" s="3236" t="s">
        <v>109</v>
      </c>
      <c r="E462" s="3236" t="s">
        <v>110</v>
      </c>
      <c r="F462" s="3086" t="s">
        <v>112</v>
      </c>
      <c r="G462" s="3086" t="s">
        <v>187</v>
      </c>
      <c r="H462" s="3086" t="s">
        <v>283</v>
      </c>
      <c r="I462" s="910"/>
      <c r="J462" s="910"/>
      <c r="K462" s="910"/>
      <c r="L462" s="910"/>
      <c r="M462" s="910"/>
      <c r="N462" s="910"/>
      <c r="O462" s="910"/>
      <c r="V462" s="1936" t="s">
        <v>45</v>
      </c>
      <c r="W462" s="1937">
        <f>W$6</f>
        <v>43252</v>
      </c>
      <c r="X462" s="1937">
        <f t="shared" ref="X462:AG462" si="60">X$6</f>
        <v>43465</v>
      </c>
      <c r="Y462" s="360">
        <f t="shared" si="60"/>
        <v>43800</v>
      </c>
      <c r="Z462" s="1937">
        <f t="shared" si="60"/>
        <v>43862</v>
      </c>
      <c r="AA462" s="1937">
        <f t="shared" si="60"/>
        <v>44013</v>
      </c>
      <c r="AB462" s="1937">
        <f t="shared" si="60"/>
        <v>44166</v>
      </c>
      <c r="AC462" s="1937">
        <f t="shared" si="60"/>
        <v>44531</v>
      </c>
      <c r="AD462" s="1937" t="str">
        <f t="shared" si="60"/>
        <v>-</v>
      </c>
      <c r="AE462" s="1937" t="str">
        <f t="shared" si="60"/>
        <v>-</v>
      </c>
      <c r="AF462" s="1937" t="str">
        <f t="shared" si="60"/>
        <v>-</v>
      </c>
      <c r="AG462" s="1937" t="str">
        <f t="shared" si="60"/>
        <v>-</v>
      </c>
      <c r="AK462" s="883"/>
    </row>
    <row r="463" spans="2:57" hidden="1" outlineLevel="1" x14ac:dyDescent="0.25">
      <c r="B463" s="1606"/>
      <c r="C463" s="907"/>
      <c r="D463" s="4327" t="s">
        <v>1705</v>
      </c>
      <c r="E463" s="420" t="s">
        <v>1744</v>
      </c>
      <c r="F463" s="940">
        <v>3.96</v>
      </c>
      <c r="G463" s="3201" t="s">
        <v>1745</v>
      </c>
      <c r="H463" s="1204"/>
      <c r="I463" s="910"/>
      <c r="J463" s="910"/>
      <c r="K463" s="910"/>
      <c r="L463" s="910"/>
      <c r="M463" s="910"/>
      <c r="N463" s="910"/>
      <c r="O463" s="910"/>
      <c r="V463" s="4247" t="str">
        <f>D463</f>
        <v>Rold</v>
      </c>
      <c r="W463" s="919">
        <v>3.96</v>
      </c>
      <c r="X463" s="919">
        <v>3.96</v>
      </c>
      <c r="Y463" s="919">
        <v>3.96</v>
      </c>
      <c r="Z463" s="919">
        <v>3.96</v>
      </c>
      <c r="AA463" s="940">
        <v>3.96</v>
      </c>
      <c r="AB463" s="940">
        <v>3.96</v>
      </c>
      <c r="AC463" s="940">
        <v>3.96</v>
      </c>
      <c r="AD463" s="919"/>
      <c r="AE463" s="919"/>
      <c r="AF463" s="919"/>
      <c r="AG463" s="919"/>
      <c r="AK463" s="883"/>
    </row>
    <row r="464" spans="2:57" hidden="1" outlineLevel="1" x14ac:dyDescent="0.25">
      <c r="B464" s="1606"/>
      <c r="C464" s="907"/>
      <c r="D464" s="3807"/>
      <c r="E464" s="420" t="s">
        <v>1746</v>
      </c>
      <c r="F464" s="940">
        <f>F463+13</f>
        <v>16.96</v>
      </c>
      <c r="G464" s="3201" t="s">
        <v>1747</v>
      </c>
      <c r="H464" s="1204"/>
      <c r="I464" s="910"/>
      <c r="J464" s="910"/>
      <c r="K464" s="910"/>
      <c r="L464" s="910"/>
      <c r="M464" s="910"/>
      <c r="N464" s="910"/>
      <c r="O464" s="910"/>
      <c r="V464" s="3807"/>
      <c r="W464" s="919"/>
      <c r="X464" s="919"/>
      <c r="Y464" s="916"/>
      <c r="Z464" s="916">
        <v>16.96</v>
      </c>
      <c r="AA464" s="940">
        <v>16.96</v>
      </c>
      <c r="AB464" s="940">
        <v>16.96</v>
      </c>
      <c r="AC464" s="940">
        <f>AC463+13</f>
        <v>16.96</v>
      </c>
      <c r="AD464" s="919"/>
      <c r="AE464" s="919"/>
      <c r="AF464" s="919"/>
      <c r="AG464" s="919"/>
      <c r="AK464" s="883"/>
    </row>
    <row r="465" spans="2:37" ht="18" hidden="1" outlineLevel="1" x14ac:dyDescent="0.25">
      <c r="B465" s="1606"/>
      <c r="C465" s="907"/>
      <c r="D465" s="3223" t="s">
        <v>1748</v>
      </c>
      <c r="E465" s="420" t="s">
        <v>1749</v>
      </c>
      <c r="F465" s="1203">
        <v>25</v>
      </c>
      <c r="G465" s="3201"/>
      <c r="H465" s="1204"/>
      <c r="I465" s="910"/>
      <c r="J465" s="910"/>
      <c r="K465" s="910"/>
      <c r="L465" s="910"/>
      <c r="M465" s="910"/>
      <c r="N465" s="910"/>
      <c r="O465" s="910"/>
      <c r="V465" s="3207" t="str">
        <f t="shared" ref="V465:V479" si="61">D465</f>
        <v>Radded</v>
      </c>
      <c r="W465" s="901">
        <v>25</v>
      </c>
      <c r="X465" s="901">
        <v>25</v>
      </c>
      <c r="Y465" s="901">
        <v>25</v>
      </c>
      <c r="Z465" s="901">
        <v>25</v>
      </c>
      <c r="AA465" s="1203">
        <v>25</v>
      </c>
      <c r="AB465" s="1203">
        <v>25</v>
      </c>
      <c r="AC465" s="1203">
        <v>25</v>
      </c>
      <c r="AD465" s="901"/>
      <c r="AE465" s="901"/>
      <c r="AF465" s="901"/>
      <c r="AG465" s="901"/>
      <c r="AK465" s="883"/>
    </row>
    <row r="466" spans="2:37" ht="45" hidden="1" outlineLevel="1" x14ac:dyDescent="0.25">
      <c r="B466" s="918"/>
      <c r="C466" s="907"/>
      <c r="D466" s="3245" t="s">
        <v>1750</v>
      </c>
      <c r="E466" s="420" t="s">
        <v>1749</v>
      </c>
      <c r="F466" s="1203">
        <v>1</v>
      </c>
      <c r="G466" s="3201"/>
      <c r="H466" s="3201" t="s">
        <v>1751</v>
      </c>
      <c r="I466" s="918"/>
      <c r="J466" s="918"/>
      <c r="K466" s="918"/>
      <c r="L466" s="918"/>
      <c r="M466" s="918"/>
      <c r="N466" s="918"/>
      <c r="O466" s="918"/>
      <c r="P466" s="1038"/>
      <c r="Q466" s="1038"/>
      <c r="R466" s="1038"/>
      <c r="V466" s="917" t="str">
        <f t="shared" si="61"/>
        <v>AFloor</v>
      </c>
      <c r="W466" s="901">
        <f>72*15</f>
        <v>1080</v>
      </c>
      <c r="X466" s="901">
        <v>1080</v>
      </c>
      <c r="Y466" s="627">
        <v>1</v>
      </c>
      <c r="Z466" s="901">
        <v>1</v>
      </c>
      <c r="AA466" s="1203">
        <v>1</v>
      </c>
      <c r="AB466" s="1203">
        <v>1</v>
      </c>
      <c r="AC466" s="1203">
        <v>1</v>
      </c>
      <c r="AD466" s="901"/>
      <c r="AE466" s="901"/>
      <c r="AF466" s="901"/>
      <c r="AG466" s="901"/>
      <c r="AK466" s="883"/>
    </row>
    <row r="467" spans="2:37" ht="18" hidden="1" outlineLevel="1" x14ac:dyDescent="0.25">
      <c r="B467" s="918"/>
      <c r="C467" s="907"/>
      <c r="D467" s="3245" t="s">
        <v>1752</v>
      </c>
      <c r="E467" s="420" t="s">
        <v>1749</v>
      </c>
      <c r="F467" s="944">
        <v>0.12</v>
      </c>
      <c r="G467" s="3201"/>
      <c r="H467" s="1204"/>
      <c r="I467" s="918"/>
      <c r="J467" s="1637"/>
      <c r="K467" s="918"/>
      <c r="L467" s="918"/>
      <c r="M467" s="918"/>
      <c r="N467" s="918"/>
      <c r="O467" s="918"/>
      <c r="P467" s="1038"/>
      <c r="Q467" s="1038"/>
      <c r="R467" s="1038"/>
      <c r="V467" s="917" t="str">
        <f t="shared" si="61"/>
        <v>Framing FactorFloor</v>
      </c>
      <c r="W467" s="915">
        <v>0.12</v>
      </c>
      <c r="X467" s="915">
        <v>0.12</v>
      </c>
      <c r="Y467" s="915">
        <v>0.12</v>
      </c>
      <c r="Z467" s="915">
        <v>0.12</v>
      </c>
      <c r="AA467" s="944">
        <v>0.12</v>
      </c>
      <c r="AB467" s="944">
        <v>0.12</v>
      </c>
      <c r="AC467" s="944">
        <v>0.12</v>
      </c>
      <c r="AD467" s="915"/>
      <c r="AE467" s="915"/>
      <c r="AF467" s="915"/>
      <c r="AG467" s="915"/>
      <c r="AK467" s="883"/>
    </row>
    <row r="468" spans="2:37" hidden="1" outlineLevel="1" x14ac:dyDescent="0.25">
      <c r="B468" s="918"/>
      <c r="C468" s="907"/>
      <c r="D468" s="4327" t="s">
        <v>1717</v>
      </c>
      <c r="E468" s="420" t="str">
        <f>E446</f>
        <v>Floor Insulation R25 (R-3.96 base) MH electric furnace/baseboard and electric cooling</v>
      </c>
      <c r="F468" s="1203">
        <v>1911</v>
      </c>
      <c r="G468" s="4330" t="s">
        <v>316</v>
      </c>
      <c r="H468" s="4332" t="s">
        <v>1753</v>
      </c>
      <c r="I468" s="918"/>
      <c r="J468" s="918"/>
      <c r="K468" s="918"/>
      <c r="L468" s="918"/>
      <c r="M468" s="918"/>
      <c r="N468" s="918"/>
      <c r="O468" s="918"/>
      <c r="P468" s="1038"/>
      <c r="Q468" s="1038"/>
      <c r="R468" s="1038"/>
      <c r="V468" s="4247" t="str">
        <f t="shared" si="61"/>
        <v>HDD</v>
      </c>
      <c r="W468" s="901">
        <v>1911</v>
      </c>
      <c r="X468" s="901">
        <v>1911</v>
      </c>
      <c r="Y468" s="901">
        <v>1911</v>
      </c>
      <c r="Z468" s="930">
        <v>1911</v>
      </c>
      <c r="AA468" s="946">
        <v>1911</v>
      </c>
      <c r="AB468" s="946">
        <v>1911</v>
      </c>
      <c r="AC468" s="1203">
        <v>1911</v>
      </c>
      <c r="AD468" s="901"/>
      <c r="AE468" s="901"/>
      <c r="AF468" s="901"/>
      <c r="AG468" s="901"/>
      <c r="AK468" s="883"/>
    </row>
    <row r="469" spans="2:37" hidden="1" outlineLevel="1" x14ac:dyDescent="0.25">
      <c r="B469" s="918"/>
      <c r="C469" s="907"/>
      <c r="D469" s="4328"/>
      <c r="E469" s="420" t="str">
        <f>E447</f>
        <v>Floor Insulation R25 (R-3.96 base) MH heat pump and electric cooling</v>
      </c>
      <c r="F469" s="1203">
        <f>F468</f>
        <v>1911</v>
      </c>
      <c r="G469" s="4137"/>
      <c r="H469" s="4334"/>
      <c r="I469" s="918"/>
      <c r="J469" s="918"/>
      <c r="K469" s="918"/>
      <c r="L469" s="918"/>
      <c r="M469" s="918"/>
      <c r="N469" s="918"/>
      <c r="O469" s="918"/>
      <c r="P469" s="1038"/>
      <c r="Q469" s="1038"/>
      <c r="R469" s="1038"/>
      <c r="V469" s="4248"/>
      <c r="W469" s="901"/>
      <c r="X469" s="901"/>
      <c r="Y469" s="929">
        <v>1911</v>
      </c>
      <c r="Z469" s="930">
        <v>1911</v>
      </c>
      <c r="AA469" s="946">
        <v>1911</v>
      </c>
      <c r="AB469" s="946">
        <v>1911</v>
      </c>
      <c r="AC469" s="1203">
        <f>AC468</f>
        <v>1911</v>
      </c>
      <c r="AD469" s="901"/>
      <c r="AE469" s="901"/>
      <c r="AF469" s="901"/>
      <c r="AG469" s="901"/>
      <c r="AK469" s="883"/>
    </row>
    <row r="470" spans="2:37" hidden="1" outlineLevel="1" x14ac:dyDescent="0.25">
      <c r="B470" s="918"/>
      <c r="C470" s="907"/>
      <c r="D470" s="4329"/>
      <c r="E470" s="420" t="str">
        <f>E448</f>
        <v>Floor Insulation R25 (R-3.96 base) MH gas furnace/baseboard and electric cooling</v>
      </c>
      <c r="F470" s="1203">
        <v>0</v>
      </c>
      <c r="G470" s="3201"/>
      <c r="H470" s="1204"/>
      <c r="I470" s="918"/>
      <c r="J470" s="918"/>
      <c r="K470" s="918"/>
      <c r="L470" s="918"/>
      <c r="M470" s="918"/>
      <c r="N470" s="918"/>
      <c r="O470" s="918"/>
      <c r="P470" s="1038"/>
      <c r="Q470" s="1038"/>
      <c r="R470" s="1038"/>
      <c r="V470" s="4249"/>
      <c r="W470" s="901"/>
      <c r="X470" s="901"/>
      <c r="Y470" s="929">
        <v>0</v>
      </c>
      <c r="Z470" s="930">
        <v>0</v>
      </c>
      <c r="AA470" s="946">
        <v>0</v>
      </c>
      <c r="AB470" s="946">
        <v>0</v>
      </c>
      <c r="AC470" s="1203">
        <v>0</v>
      </c>
      <c r="AD470" s="901"/>
      <c r="AE470" s="901"/>
      <c r="AF470" s="901"/>
      <c r="AG470" s="901"/>
      <c r="AK470" s="883"/>
    </row>
    <row r="471" spans="2:37" ht="18" hidden="1" outlineLevel="1" x14ac:dyDescent="0.25">
      <c r="B471" s="918"/>
      <c r="C471" s="907"/>
      <c r="D471" s="3245" t="s">
        <v>1754</v>
      </c>
      <c r="E471" s="420" t="s">
        <v>1749</v>
      </c>
      <c r="F471" s="944">
        <v>0.88</v>
      </c>
      <c r="G471" s="3201" t="s">
        <v>285</v>
      </c>
      <c r="H471" s="1204"/>
      <c r="I471" s="1638"/>
      <c r="J471" s="918"/>
      <c r="K471" s="918"/>
      <c r="L471" s="918"/>
      <c r="M471" s="918"/>
      <c r="N471" s="918"/>
      <c r="O471" s="918"/>
      <c r="P471" s="1038"/>
      <c r="Q471" s="1038"/>
      <c r="R471" s="1038"/>
      <c r="V471" s="917" t="str">
        <f t="shared" si="61"/>
        <v>AdjFloor</v>
      </c>
      <c r="W471" s="915">
        <v>0.88</v>
      </c>
      <c r="X471" s="915">
        <v>0.88</v>
      </c>
      <c r="Y471" s="915">
        <v>0.88</v>
      </c>
      <c r="Z471" s="931">
        <v>0.88</v>
      </c>
      <c r="AA471" s="599">
        <v>0.88</v>
      </c>
      <c r="AB471" s="599">
        <v>0.88</v>
      </c>
      <c r="AC471" s="944">
        <v>0.88</v>
      </c>
      <c r="AD471" s="915"/>
      <c r="AE471" s="915"/>
      <c r="AF471" s="915"/>
      <c r="AG471" s="915"/>
      <c r="AK471" s="883"/>
    </row>
    <row r="472" spans="2:37" hidden="1" outlineLevel="1" x14ac:dyDescent="0.25">
      <c r="B472" s="918"/>
      <c r="C472" s="907"/>
      <c r="D472" s="4327" t="s">
        <v>1720</v>
      </c>
      <c r="E472" s="420" t="str">
        <f>E446</f>
        <v>Floor Insulation R25 (R-3.96 base) MH electric furnace/baseboard and electric cooling</v>
      </c>
      <c r="F472" s="940">
        <v>1</v>
      </c>
      <c r="G472" s="3201" t="s">
        <v>285</v>
      </c>
      <c r="H472" s="4330" t="s">
        <v>289</v>
      </c>
      <c r="I472" s="918"/>
      <c r="J472" s="918"/>
      <c r="K472" s="918"/>
      <c r="L472" s="918"/>
      <c r="M472" s="918"/>
      <c r="N472" s="918"/>
      <c r="O472" s="918"/>
      <c r="P472" s="1038"/>
      <c r="Q472" s="1038"/>
      <c r="R472" s="1038"/>
      <c r="V472" s="4247" t="str">
        <f t="shared" si="61"/>
        <v>ƞheat</v>
      </c>
      <c r="W472" s="919">
        <v>1</v>
      </c>
      <c r="X472" s="919">
        <v>1</v>
      </c>
      <c r="Y472" s="919">
        <v>1</v>
      </c>
      <c r="Z472" s="932">
        <v>1</v>
      </c>
      <c r="AA472" s="1073">
        <v>1</v>
      </c>
      <c r="AB472" s="1073">
        <v>1</v>
      </c>
      <c r="AC472" s="940">
        <v>1</v>
      </c>
      <c r="AD472" s="919"/>
      <c r="AE472" s="919"/>
      <c r="AF472" s="919"/>
      <c r="AG472" s="919"/>
      <c r="AK472" s="883"/>
    </row>
    <row r="473" spans="2:37" hidden="1" outlineLevel="1" x14ac:dyDescent="0.25">
      <c r="B473" s="918"/>
      <c r="C473" s="907"/>
      <c r="D473" s="4328"/>
      <c r="E473" s="420" t="str">
        <f>E447</f>
        <v>Floor Insulation R25 (R-3.96 base) MH heat pump and electric cooling</v>
      </c>
      <c r="F473" s="1073">
        <f>AVERAGE(1.7,1.9,2)</f>
        <v>1.8666666666666665</v>
      </c>
      <c r="G473" s="640" t="s">
        <v>1755</v>
      </c>
      <c r="H473" s="4331"/>
      <c r="I473" s="918"/>
      <c r="J473" s="918"/>
      <c r="K473" s="918"/>
      <c r="L473" s="918"/>
      <c r="M473" s="918"/>
      <c r="N473" s="918"/>
      <c r="O473" s="918"/>
      <c r="P473" s="1038"/>
      <c r="Q473" s="1038"/>
      <c r="R473" s="1038"/>
      <c r="V473" s="4248"/>
      <c r="W473" s="919"/>
      <c r="X473" s="919"/>
      <c r="Y473" s="933">
        <v>1.8666666666666665</v>
      </c>
      <c r="Z473" s="932">
        <v>1.8666666666666665</v>
      </c>
      <c r="AA473" s="1073">
        <v>1.8666666666666665</v>
      </c>
      <c r="AB473" s="1073">
        <v>1.8666666666666665</v>
      </c>
      <c r="AC473" s="1073">
        <f>AVERAGE(1.7,1.9,2)</f>
        <v>1.8666666666666665</v>
      </c>
      <c r="AD473" s="919"/>
      <c r="AE473" s="919"/>
      <c r="AF473" s="919"/>
      <c r="AG473" s="919"/>
      <c r="AK473" s="883"/>
    </row>
    <row r="474" spans="2:37" hidden="1" outlineLevel="1" x14ac:dyDescent="0.25">
      <c r="B474" s="918"/>
      <c r="C474" s="907"/>
      <c r="D474" s="4329"/>
      <c r="E474" s="420" t="str">
        <f>E448</f>
        <v>Floor Insulation R25 (R-3.96 base) MH gas furnace/baseboard and electric cooling</v>
      </c>
      <c r="F474" s="940">
        <v>1.0000000000000001E-17</v>
      </c>
      <c r="G474" s="3201"/>
      <c r="H474" s="4137"/>
      <c r="I474" s="918"/>
      <c r="J474" s="918"/>
      <c r="K474" s="918"/>
      <c r="L474" s="918"/>
      <c r="M474" s="918"/>
      <c r="N474" s="918"/>
      <c r="O474" s="918"/>
      <c r="P474" s="1038"/>
      <c r="Q474" s="1038"/>
      <c r="R474" s="1038"/>
      <c r="V474" s="4249"/>
      <c r="W474" s="919"/>
      <c r="X474" s="919"/>
      <c r="Y474" s="916">
        <v>1.0000000000000001E-17</v>
      </c>
      <c r="Z474" s="932">
        <v>1.0000000000000001E-17</v>
      </c>
      <c r="AA474" s="1073">
        <v>1.0000000000000001E-17</v>
      </c>
      <c r="AB474" s="1073">
        <v>1.0000000000000001E-17</v>
      </c>
      <c r="AC474" s="940">
        <v>1.0000000000000001E-17</v>
      </c>
      <c r="AD474" s="919"/>
      <c r="AE474" s="919"/>
      <c r="AF474" s="919"/>
      <c r="AG474" s="919"/>
      <c r="AK474" s="883"/>
    </row>
    <row r="475" spans="2:37" hidden="1" outlineLevel="1" x14ac:dyDescent="0.25">
      <c r="B475" s="918"/>
      <c r="C475" s="907"/>
      <c r="D475" s="4327" t="s">
        <v>1721</v>
      </c>
      <c r="E475" s="420" t="str">
        <f>E446</f>
        <v>Floor Insulation R25 (R-3.96 base) MH electric furnace/baseboard and electric cooling</v>
      </c>
      <c r="F475" s="1203">
        <v>762</v>
      </c>
      <c r="G475" s="4332" t="s">
        <v>316</v>
      </c>
      <c r="H475" s="4332" t="s">
        <v>1756</v>
      </c>
      <c r="I475" s="918"/>
      <c r="J475" s="918"/>
      <c r="K475" s="918"/>
      <c r="L475" s="918"/>
      <c r="M475" s="918"/>
      <c r="N475" s="918"/>
      <c r="O475" s="918"/>
      <c r="P475" s="1038"/>
      <c r="Q475" s="1038"/>
      <c r="R475" s="1038"/>
      <c r="V475" s="4247" t="str">
        <f t="shared" si="61"/>
        <v>CDD</v>
      </c>
      <c r="W475" s="901">
        <v>762</v>
      </c>
      <c r="X475" s="901">
        <v>762</v>
      </c>
      <c r="Y475" s="901">
        <v>762</v>
      </c>
      <c r="Z475" s="930">
        <v>762</v>
      </c>
      <c r="AA475" s="946">
        <v>762</v>
      </c>
      <c r="AB475" s="946">
        <v>762</v>
      </c>
      <c r="AC475" s="1203">
        <v>762</v>
      </c>
      <c r="AD475" s="901"/>
      <c r="AE475" s="901"/>
      <c r="AF475" s="901"/>
      <c r="AG475" s="901"/>
      <c r="AK475" s="883"/>
    </row>
    <row r="476" spans="2:37" hidden="1" outlineLevel="1" x14ac:dyDescent="0.25">
      <c r="B476" s="918"/>
      <c r="C476" s="907"/>
      <c r="D476" s="4328"/>
      <c r="E476" s="420" t="str">
        <f>E447</f>
        <v>Floor Insulation R25 (R-3.96 base) MH heat pump and electric cooling</v>
      </c>
      <c r="F476" s="1203">
        <v>762</v>
      </c>
      <c r="G476" s="4333"/>
      <c r="H476" s="4333"/>
      <c r="I476" s="918"/>
      <c r="J476" s="918"/>
      <c r="K476" s="918"/>
      <c r="L476" s="918"/>
      <c r="M476" s="918"/>
      <c r="N476" s="918"/>
      <c r="O476" s="918"/>
      <c r="P476" s="1038"/>
      <c r="Q476" s="1038"/>
      <c r="R476" s="1038"/>
      <c r="V476" s="4248"/>
      <c r="W476" s="901"/>
      <c r="X476" s="901"/>
      <c r="Y476" s="929">
        <v>762</v>
      </c>
      <c r="Z476" s="930">
        <v>762</v>
      </c>
      <c r="AA476" s="946">
        <v>762</v>
      </c>
      <c r="AB476" s="946">
        <v>762</v>
      </c>
      <c r="AC476" s="1203">
        <v>762</v>
      </c>
      <c r="AD476" s="901"/>
      <c r="AE476" s="901"/>
      <c r="AF476" s="901"/>
      <c r="AG476" s="901"/>
      <c r="AK476" s="883"/>
    </row>
    <row r="477" spans="2:37" hidden="1" outlineLevel="1" x14ac:dyDescent="0.25">
      <c r="B477" s="918"/>
      <c r="C477" s="907"/>
      <c r="D477" s="4329"/>
      <c r="E477" s="420" t="str">
        <f>E448</f>
        <v>Floor Insulation R25 (R-3.96 base) MH gas furnace/baseboard and electric cooling</v>
      </c>
      <c r="F477" s="1203">
        <v>762</v>
      </c>
      <c r="G477" s="4334"/>
      <c r="H477" s="4334"/>
      <c r="I477" s="918"/>
      <c r="J477" s="918"/>
      <c r="K477" s="918"/>
      <c r="L477" s="918"/>
      <c r="M477" s="918"/>
      <c r="N477" s="918"/>
      <c r="O477" s="918"/>
      <c r="P477" s="1038"/>
      <c r="Q477" s="1038"/>
      <c r="R477" s="1038"/>
      <c r="V477" s="4249"/>
      <c r="W477" s="901"/>
      <c r="X477" s="901"/>
      <c r="Y477" s="929">
        <v>762</v>
      </c>
      <c r="Z477" s="930">
        <v>762</v>
      </c>
      <c r="AA477" s="946">
        <v>762</v>
      </c>
      <c r="AB477" s="946">
        <v>762</v>
      </c>
      <c r="AC477" s="1203">
        <v>762</v>
      </c>
      <c r="AD477" s="901"/>
      <c r="AE477" s="901"/>
      <c r="AF477" s="901"/>
      <c r="AG477" s="901"/>
      <c r="AK477" s="883"/>
    </row>
    <row r="478" spans="2:37" hidden="1" outlineLevel="1" x14ac:dyDescent="0.25">
      <c r="B478" s="918"/>
      <c r="C478" s="907"/>
      <c r="D478" s="3142" t="s">
        <v>1723</v>
      </c>
      <c r="E478" s="981" t="s">
        <v>1749</v>
      </c>
      <c r="F478" s="473">
        <v>0.75</v>
      </c>
      <c r="G478" s="3182" t="s">
        <v>285</v>
      </c>
      <c r="H478" s="982"/>
      <c r="I478" s="918"/>
      <c r="J478" s="918"/>
      <c r="K478" s="918"/>
      <c r="L478" s="918"/>
      <c r="M478" s="918"/>
      <c r="N478" s="918"/>
      <c r="O478" s="918"/>
      <c r="P478" s="1038"/>
      <c r="Q478" s="1038"/>
      <c r="R478" s="1038"/>
      <c r="V478" s="934" t="str">
        <f t="shared" si="61"/>
        <v>DUA</v>
      </c>
      <c r="W478" s="915">
        <v>0.75</v>
      </c>
      <c r="X478" s="915">
        <v>0.75</v>
      </c>
      <c r="Y478" s="935">
        <v>0.75</v>
      </c>
      <c r="Z478" s="915">
        <v>0.75</v>
      </c>
      <c r="AA478" s="944">
        <v>0.75</v>
      </c>
      <c r="AB478" s="944">
        <v>0.75</v>
      </c>
      <c r="AC478" s="473">
        <v>0.75</v>
      </c>
      <c r="AD478" s="915"/>
      <c r="AE478" s="915"/>
      <c r="AF478" s="915"/>
      <c r="AG478" s="915"/>
      <c r="AK478" s="883"/>
    </row>
    <row r="479" spans="2:37" ht="60" hidden="1" outlineLevel="1" x14ac:dyDescent="0.25">
      <c r="B479" s="918"/>
      <c r="C479" s="907"/>
      <c r="D479" s="3142" t="s">
        <v>1727</v>
      </c>
      <c r="E479" s="981" t="s">
        <v>1749</v>
      </c>
      <c r="F479" s="983">
        <v>11</v>
      </c>
      <c r="G479" s="982" t="s">
        <v>1757</v>
      </c>
      <c r="H479" s="3201" t="s">
        <v>289</v>
      </c>
      <c r="I479" s="918"/>
      <c r="J479" s="918"/>
      <c r="K479" s="918"/>
      <c r="L479" s="918"/>
      <c r="M479" s="918"/>
      <c r="N479" s="918"/>
      <c r="O479" s="918"/>
      <c r="P479" s="1038"/>
      <c r="Q479" s="1038"/>
      <c r="R479" s="1038"/>
      <c r="V479" s="934" t="str">
        <f t="shared" si="61"/>
        <v>ƞcool</v>
      </c>
      <c r="W479" s="901">
        <v>11</v>
      </c>
      <c r="X479" s="901">
        <v>11</v>
      </c>
      <c r="Y479" s="936">
        <v>11</v>
      </c>
      <c r="Z479" s="901">
        <v>11</v>
      </c>
      <c r="AA479" s="1203">
        <v>11</v>
      </c>
      <c r="AB479" s="1203">
        <v>11</v>
      </c>
      <c r="AC479" s="983">
        <v>11</v>
      </c>
      <c r="AD479" s="901"/>
      <c r="AE479" s="901"/>
      <c r="AF479" s="901"/>
      <c r="AG479" s="901"/>
      <c r="AK479" s="883"/>
    </row>
    <row r="480" spans="2:37" hidden="1" outlineLevel="1" x14ac:dyDescent="0.25">
      <c r="B480" s="918"/>
      <c r="C480" s="907"/>
      <c r="D480" s="1798" t="str">
        <f>L445</f>
        <v>EUL</v>
      </c>
      <c r="E480" s="3132" t="str">
        <f>E43</f>
        <v>Effective Useful Life</v>
      </c>
      <c r="F480" s="985">
        <v>25</v>
      </c>
      <c r="G480" s="3182"/>
      <c r="H480" s="982"/>
      <c r="I480" s="918"/>
      <c r="J480" s="918"/>
      <c r="K480" s="918"/>
      <c r="L480" s="918"/>
      <c r="M480" s="918"/>
      <c r="N480" s="918"/>
      <c r="O480" s="918"/>
      <c r="P480" s="1038"/>
      <c r="Q480" s="1038"/>
      <c r="R480" s="1038"/>
      <c r="V480" s="937" t="str">
        <f>D480</f>
        <v>EUL</v>
      </c>
      <c r="W480" s="925">
        <v>25</v>
      </c>
      <c r="X480" s="925">
        <v>25</v>
      </c>
      <c r="Y480" s="923">
        <v>25</v>
      </c>
      <c r="Z480" s="901">
        <v>25</v>
      </c>
      <c r="AA480" s="1203">
        <v>25</v>
      </c>
      <c r="AB480" s="1203">
        <v>25</v>
      </c>
      <c r="AC480" s="985">
        <v>25</v>
      </c>
      <c r="AD480" s="901"/>
      <c r="AE480" s="901"/>
      <c r="AF480" s="901"/>
      <c r="AG480" s="901"/>
      <c r="AK480" s="883"/>
    </row>
    <row r="481" spans="2:57" ht="45" hidden="1" outlineLevel="1" x14ac:dyDescent="0.25">
      <c r="B481" s="918"/>
      <c r="C481" s="907"/>
      <c r="D481" s="1798" t="str">
        <f>M445</f>
        <v>Inc. Cost</v>
      </c>
      <c r="E481" s="3132" t="str">
        <f>E44</f>
        <v>Incremental Cost</v>
      </c>
      <c r="F481" s="2297">
        <f>734.04/1080</f>
        <v>0.67966666666666664</v>
      </c>
      <c r="G481" s="3182"/>
      <c r="H481" s="3201" t="s">
        <v>1751</v>
      </c>
      <c r="I481" s="918"/>
      <c r="J481" s="918"/>
      <c r="K481" s="918"/>
      <c r="L481" s="918"/>
      <c r="M481" s="918"/>
      <c r="N481" s="918"/>
      <c r="O481" s="918"/>
      <c r="P481" s="1038"/>
      <c r="Q481" s="1038"/>
      <c r="R481" s="1038"/>
      <c r="V481" s="937" t="str">
        <f>D481</f>
        <v>Inc. Cost</v>
      </c>
      <c r="W481" s="927">
        <v>734.04</v>
      </c>
      <c r="X481" s="927">
        <v>734.04</v>
      </c>
      <c r="Y481" s="546">
        <v>0.67966666666666664</v>
      </c>
      <c r="Z481" s="901">
        <v>0.67966666666666664</v>
      </c>
      <c r="AA481" s="1203">
        <v>0.67966666666666664</v>
      </c>
      <c r="AB481" s="1203">
        <v>0.67966666666666664</v>
      </c>
      <c r="AC481" s="2297">
        <f>734.04/1080</f>
        <v>0.67966666666666664</v>
      </c>
      <c r="AD481" s="901"/>
      <c r="AE481" s="901"/>
      <c r="AF481" s="901"/>
      <c r="AG481" s="901"/>
      <c r="AK481" s="883"/>
    </row>
    <row r="482" spans="2:57" collapsed="1" x14ac:dyDescent="0.25">
      <c r="B482" s="1606"/>
      <c r="C482" s="907"/>
      <c r="D482" s="429"/>
      <c r="E482" s="429"/>
      <c r="F482" s="910"/>
      <c r="G482" s="910"/>
      <c r="H482" s="910"/>
      <c r="I482" s="910"/>
      <c r="J482" s="910"/>
      <c r="K482" s="910"/>
      <c r="L482" s="910"/>
      <c r="M482" s="910"/>
      <c r="N482" s="910"/>
      <c r="O482" s="910"/>
      <c r="Y482" s="1500" t="s">
        <v>1642</v>
      </c>
      <c r="AK482" s="883"/>
    </row>
    <row r="483" spans="2:57" x14ac:dyDescent="0.25">
      <c r="B483" s="910"/>
      <c r="C483" s="938"/>
      <c r="D483" s="429"/>
      <c r="E483" s="429"/>
      <c r="F483" s="910"/>
      <c r="G483" s="910"/>
      <c r="H483" s="910"/>
      <c r="I483" s="910"/>
      <c r="J483" s="910"/>
      <c r="K483" s="910"/>
      <c r="L483" s="910"/>
      <c r="M483" s="910"/>
      <c r="N483" s="910"/>
      <c r="O483" s="910"/>
      <c r="AK483" s="883"/>
    </row>
    <row r="484" spans="2:57" x14ac:dyDescent="0.25">
      <c r="B484" s="3750" t="s">
        <v>505</v>
      </c>
      <c r="C484" s="3751"/>
      <c r="D484" s="3751"/>
      <c r="E484" s="3751"/>
      <c r="F484" s="3751"/>
      <c r="G484" s="3751"/>
      <c r="H484" s="3751"/>
      <c r="I484" s="3744"/>
      <c r="J484" s="3744"/>
      <c r="K484" s="3744"/>
      <c r="L484" s="3744"/>
      <c r="M484" s="3744"/>
      <c r="N484" s="3744"/>
      <c r="O484" s="3744"/>
      <c r="P484" s="3744"/>
      <c r="Q484" s="3744"/>
      <c r="R484" s="3745"/>
      <c r="V484" s="3750" t="str">
        <f>B484</f>
        <v>Dirty Filter Alarm</v>
      </c>
      <c r="W484" s="3751"/>
      <c r="X484" s="3751"/>
      <c r="Y484" s="3751"/>
      <c r="Z484" s="3751"/>
      <c r="AA484" s="3751"/>
      <c r="AB484" s="3751"/>
      <c r="AC484" s="3752"/>
      <c r="AD484" s="3752"/>
      <c r="AE484" s="3752"/>
      <c r="AF484" s="3752"/>
      <c r="AG484" s="3752"/>
      <c r="AH484" s="3752"/>
      <c r="AI484" s="3753"/>
      <c r="AK484" s="883"/>
    </row>
    <row r="485" spans="2:57" x14ac:dyDescent="0.25">
      <c r="B485" s="1233"/>
      <c r="C485" s="225"/>
      <c r="D485" s="329" t="s">
        <v>1570</v>
      </c>
      <c r="E485" s="419"/>
      <c r="F485" s="226"/>
      <c r="G485" s="226"/>
      <c r="H485" s="226"/>
      <c r="I485" s="226"/>
      <c r="J485" s="226"/>
      <c r="K485" s="226"/>
      <c r="L485" s="1438"/>
      <c r="AK485" s="883"/>
    </row>
    <row r="486" spans="2:57" ht="30" x14ac:dyDescent="0.25">
      <c r="B486" s="1233"/>
      <c r="C486" s="3086" t="s">
        <v>28</v>
      </c>
      <c r="D486" s="3086" t="s">
        <v>175</v>
      </c>
      <c r="E486" s="3086" t="s">
        <v>30</v>
      </c>
      <c r="F486" s="3086" t="s">
        <v>31</v>
      </c>
      <c r="G486" s="3086" t="s">
        <v>176</v>
      </c>
      <c r="H486" s="3086" t="s">
        <v>177</v>
      </c>
      <c r="I486" s="3086" t="s">
        <v>506</v>
      </c>
      <c r="J486" s="3086" t="s">
        <v>507</v>
      </c>
      <c r="K486" s="3086" t="s">
        <v>32</v>
      </c>
      <c r="L486" s="3140" t="s">
        <v>181</v>
      </c>
      <c r="M486" s="3086" t="s">
        <v>170</v>
      </c>
      <c r="N486" s="3086" t="s">
        <v>44</v>
      </c>
      <c r="V486" s="1936" t="s">
        <v>45</v>
      </c>
      <c r="W486" s="1937">
        <f>W$6</f>
        <v>43252</v>
      </c>
      <c r="X486" s="1937">
        <f t="shared" ref="X486:AG486" si="62">X$6</f>
        <v>43465</v>
      </c>
      <c r="Y486" s="360">
        <f t="shared" si="62"/>
        <v>43800</v>
      </c>
      <c r="Z486" s="1937">
        <f t="shared" si="62"/>
        <v>43862</v>
      </c>
      <c r="AA486" s="1937">
        <v>44013</v>
      </c>
      <c r="AB486" s="1937">
        <f t="shared" si="62"/>
        <v>44166</v>
      </c>
      <c r="AC486" s="1937">
        <f t="shared" si="62"/>
        <v>44531</v>
      </c>
      <c r="AD486" s="1937" t="str">
        <f t="shared" si="62"/>
        <v>-</v>
      </c>
      <c r="AE486" s="1937" t="str">
        <f t="shared" si="62"/>
        <v>-</v>
      </c>
      <c r="AF486" s="1937" t="str">
        <f t="shared" si="62"/>
        <v>-</v>
      </c>
      <c r="AG486" s="1937" t="str">
        <f t="shared" si="62"/>
        <v>-</v>
      </c>
      <c r="AK486" s="883"/>
      <c r="BB486" s="1938" t="str">
        <f>$BB$6</f>
        <v>TRC (2020)</v>
      </c>
      <c r="BC486" s="1953" t="str">
        <f>$BC$6</f>
        <v>Benefit Lookup</v>
      </c>
      <c r="BD486" s="665" t="str">
        <f>$BD$6</f>
        <v>Benefits (2019 $)</v>
      </c>
      <c r="BE486" s="230" t="str">
        <f>$BE$6</f>
        <v>Incremental Cost (2019 $)</v>
      </c>
    </row>
    <row r="487" spans="2:57" x14ac:dyDescent="0.25">
      <c r="B487" s="1233"/>
      <c r="C487" s="2667" t="s">
        <v>1758</v>
      </c>
      <c r="D487" s="2695" t="s">
        <v>1572</v>
      </c>
      <c r="E487" s="420" t="s">
        <v>1759</v>
      </c>
      <c r="F487" s="579">
        <f>ROUND(I487+J487,2)</f>
        <v>102.68</v>
      </c>
      <c r="G487" s="2667" t="s">
        <v>438</v>
      </c>
      <c r="H487" s="155">
        <f>VLOOKUP(G487,'CP FACTORS'!$A$3:$B$38, 2, FALSE)</f>
        <v>4.6608050000000002E-4</v>
      </c>
      <c r="I487" s="979">
        <f>F$499*F$500*F$501*F$503*F504*F505</f>
        <v>64.952579999999998</v>
      </c>
      <c r="J487" s="979">
        <f>F$506*F$500*F$507*F$503*F504*F505</f>
        <v>37.7298075</v>
      </c>
      <c r="K487" s="893">
        <f>ROUND(H487*F487,6)</f>
        <v>4.7856999999999997E-2</v>
      </c>
      <c r="L487" s="2298">
        <f>F510</f>
        <v>14</v>
      </c>
      <c r="M487" s="2297">
        <f>F511</f>
        <v>5</v>
      </c>
      <c r="N487" s="2667" t="s">
        <v>185</v>
      </c>
      <c r="P487" s="229"/>
      <c r="Q487" s="229"/>
      <c r="R487" s="1431"/>
      <c r="V487" s="160" t="str">
        <f>F486</f>
        <v>kWh Annual Savings</v>
      </c>
      <c r="W487" s="161">
        <v>168.50624999999999</v>
      </c>
      <c r="X487" s="882">
        <v>141.0499999999999</v>
      </c>
      <c r="Y487" s="675">
        <v>102.68</v>
      </c>
      <c r="Z487" s="579">
        <v>102.68</v>
      </c>
      <c r="AA487" s="579">
        <v>102.68</v>
      </c>
      <c r="AB487" s="579">
        <v>102.68</v>
      </c>
      <c r="AC487" s="579">
        <v>102.68</v>
      </c>
      <c r="AD487" s="160"/>
      <c r="AE487" s="160"/>
      <c r="AF487" s="160"/>
      <c r="AG487" s="160"/>
      <c r="AH487" s="163"/>
      <c r="AK487" s="883"/>
      <c r="BB487" s="1945">
        <f>(BD487)/(BE487)</f>
        <v>19.319216314838293</v>
      </c>
      <c r="BC487" s="3166" t="str">
        <f>CONCATENATE(G487," ",L487," Year EUL")</f>
        <v>HVAC RES 14 Year EUL</v>
      </c>
      <c r="BD487" s="111">
        <f>(INDEX('Avoided Cost Benefits'!$C$4:$C$857,MATCH(BC487,'Avoided Cost Benefits'!$A$4:$A$857,0)))*F487</f>
        <v>91.171384213488864</v>
      </c>
      <c r="BE487" s="1946">
        <f>M487/(1.0595^(2020-2019))</f>
        <v>4.7192071731949028</v>
      </c>
    </row>
    <row r="488" spans="2:57" x14ac:dyDescent="0.25">
      <c r="B488" s="1233"/>
      <c r="C488" s="2667" t="s">
        <v>1760</v>
      </c>
      <c r="D488" s="2667" t="s">
        <v>1585</v>
      </c>
      <c r="E488" s="3121" t="str">
        <f>CONCATENATE(E487,"_CompE")</f>
        <v>Dirty Filter Alarm_MFIE_CompE</v>
      </c>
      <c r="F488" s="579">
        <f>ROUND(I488+J488,2)</f>
        <v>49.58</v>
      </c>
      <c r="G488" s="2667" t="s">
        <v>438</v>
      </c>
      <c r="H488" s="155">
        <f>VLOOKUP(G488,'CP FACTORS'!$A$3:$B$38, 2, FALSE)</f>
        <v>4.6608050000000002E-4</v>
      </c>
      <c r="I488" s="979">
        <f>F$499*F$500*F$502*F$503*F505*F506</f>
        <v>22.142924999999998</v>
      </c>
      <c r="J488" s="979">
        <f>F$506*F$500*F$508*F$503*F505*F506</f>
        <v>27.439859999999999</v>
      </c>
      <c r="K488" s="893">
        <f>ROUND(H488*F488,6)</f>
        <v>2.3108E-2</v>
      </c>
      <c r="L488" s="2298">
        <f>F510</f>
        <v>14</v>
      </c>
      <c r="M488" s="2297">
        <f>M487</f>
        <v>5</v>
      </c>
      <c r="N488" s="2667" t="s">
        <v>185</v>
      </c>
      <c r="P488" s="229"/>
      <c r="Q488" s="229"/>
      <c r="R488" s="1431"/>
      <c r="V488" s="160" t="str">
        <f>V487</f>
        <v>kWh Annual Savings</v>
      </c>
      <c r="W488" s="161"/>
      <c r="X488" s="882"/>
      <c r="Y488" s="675">
        <v>49.58</v>
      </c>
      <c r="Z488" s="579">
        <v>49.58</v>
      </c>
      <c r="AA488" s="579">
        <v>49.58</v>
      </c>
      <c r="AB488" s="579">
        <v>49.58</v>
      </c>
      <c r="AC488" s="579">
        <v>49.58</v>
      </c>
      <c r="AD488" s="160"/>
      <c r="AE488" s="160"/>
      <c r="AF488" s="160"/>
      <c r="AG488" s="160"/>
      <c r="AH488" s="163"/>
      <c r="AK488" s="883"/>
      <c r="BB488" s="53">
        <f>(BD488)/(BE488)</f>
        <v>9.3284645976790266</v>
      </c>
      <c r="BC488" s="1948" t="str">
        <f>CONCATENATE(G488," ",L488," Year EUL")</f>
        <v>HVAC RES 14 Year EUL</v>
      </c>
      <c r="BD488" s="119">
        <f>(INDEX('Avoided Cost Benefits'!$C$4:$C$857,MATCH(BC488,'Avoided Cost Benefits'!$A$4:$A$857,0)))*F488</f>
        <v>44.022957044261567</v>
      </c>
      <c r="BE488" s="1950">
        <f>M488/(1.0595^(2020-2019))</f>
        <v>4.7192071731949028</v>
      </c>
    </row>
    <row r="489" spans="2:57" x14ac:dyDescent="0.25">
      <c r="B489" s="1233"/>
      <c r="C489" s="225"/>
      <c r="F489" s="248"/>
      <c r="V489" s="1930"/>
      <c r="W489" s="1930"/>
      <c r="X489" s="1930"/>
      <c r="Y489" s="103"/>
      <c r="Z489" s="1930"/>
      <c r="AA489" s="1930"/>
      <c r="AB489" s="1930"/>
      <c r="AC489" s="1930"/>
      <c r="AD489" s="1930"/>
      <c r="AE489" s="1930"/>
      <c r="AF489" s="1930"/>
      <c r="AG489" s="1930"/>
      <c r="AK489" s="883"/>
    </row>
    <row r="490" spans="2:57" hidden="1" outlineLevel="1" x14ac:dyDescent="0.25">
      <c r="B490" s="1233"/>
      <c r="C490" s="225"/>
      <c r="D490" s="174" t="s">
        <v>108</v>
      </c>
      <c r="F490" s="248"/>
      <c r="V490" s="1930"/>
      <c r="W490" s="1930"/>
      <c r="X490" s="1930"/>
      <c r="Y490" s="103"/>
      <c r="Z490" s="1930"/>
      <c r="AA490" s="1930"/>
      <c r="AB490" s="1930"/>
      <c r="AC490" s="1930"/>
      <c r="AD490" s="1930"/>
      <c r="AE490" s="1930"/>
      <c r="AF490" s="1930"/>
      <c r="AG490" s="1930"/>
      <c r="AK490" s="883"/>
    </row>
    <row r="491" spans="2:57" hidden="1" outlineLevel="1" x14ac:dyDescent="0.25">
      <c r="B491" s="1233"/>
      <c r="C491" s="225"/>
      <c r="F491" s="248"/>
      <c r="V491" s="1930"/>
      <c r="W491" s="1930"/>
      <c r="X491" s="1930"/>
      <c r="Y491" s="103"/>
      <c r="Z491" s="1930"/>
      <c r="AA491" s="1930"/>
      <c r="AB491" s="1930"/>
      <c r="AC491" s="1930"/>
      <c r="AD491" s="1930"/>
      <c r="AE491" s="1930"/>
      <c r="AF491" s="1930"/>
      <c r="AG491" s="1930"/>
      <c r="AK491" s="883"/>
    </row>
    <row r="492" spans="2:57" hidden="1" outlineLevel="1" x14ac:dyDescent="0.25">
      <c r="B492" s="1233"/>
      <c r="C492" s="225"/>
      <c r="F492" s="248"/>
      <c r="V492" s="1930"/>
      <c r="W492" s="1930"/>
      <c r="X492" s="1930"/>
      <c r="Y492" s="103"/>
      <c r="Z492" s="1930"/>
      <c r="AA492" s="1930"/>
      <c r="AB492" s="1930"/>
      <c r="AC492" s="1930"/>
      <c r="AD492" s="1930"/>
      <c r="AE492" s="1930"/>
      <c r="AF492" s="1930"/>
      <c r="AG492" s="1930"/>
      <c r="AK492" s="883"/>
    </row>
    <row r="493" spans="2:57" hidden="1" outlineLevel="1" x14ac:dyDescent="0.25">
      <c r="B493" s="1233"/>
      <c r="C493" s="225"/>
      <c r="F493" s="248"/>
      <c r="V493" s="1930"/>
      <c r="W493" s="1930"/>
      <c r="X493" s="1930"/>
      <c r="Y493" s="103"/>
      <c r="Z493" s="1930"/>
      <c r="AA493" s="1930"/>
      <c r="AB493" s="1930"/>
      <c r="AC493" s="1930"/>
      <c r="AD493" s="1930"/>
      <c r="AE493" s="1930"/>
      <c r="AF493" s="1930"/>
      <c r="AG493" s="1930"/>
      <c r="AK493" s="883"/>
    </row>
    <row r="494" spans="2:57" hidden="1" outlineLevel="1" x14ac:dyDescent="0.25">
      <c r="B494" s="1233"/>
      <c r="C494" s="225"/>
      <c r="F494" s="248"/>
      <c r="V494" s="1930"/>
      <c r="W494" s="1930"/>
      <c r="X494" s="1930"/>
      <c r="Y494" s="103"/>
      <c r="Z494" s="1930"/>
      <c r="AA494" s="1930"/>
      <c r="AB494" s="1930"/>
      <c r="AC494" s="1930"/>
      <c r="AD494" s="1930"/>
      <c r="AE494" s="1930"/>
      <c r="AF494" s="1930"/>
      <c r="AG494" s="1930"/>
      <c r="AK494" s="883"/>
    </row>
    <row r="495" spans="2:57" hidden="1" outlineLevel="1" x14ac:dyDescent="0.25">
      <c r="B495" s="1233"/>
      <c r="C495" s="225"/>
      <c r="F495" s="248"/>
      <c r="V495" s="1930"/>
      <c r="W495" s="1930"/>
      <c r="X495" s="1930"/>
      <c r="Y495" s="103"/>
      <c r="Z495" s="1930"/>
      <c r="AA495" s="1930"/>
      <c r="AB495" s="1930"/>
      <c r="AC495" s="1930"/>
      <c r="AD495" s="1930"/>
      <c r="AE495" s="1930"/>
      <c r="AF495" s="1930"/>
      <c r="AG495" s="1930"/>
      <c r="AK495" s="883"/>
    </row>
    <row r="496" spans="2:57" hidden="1" outlineLevel="1" x14ac:dyDescent="0.25">
      <c r="B496" s="1233"/>
      <c r="C496" s="225"/>
      <c r="F496" s="248"/>
      <c r="V496" s="1930"/>
      <c r="W496" s="1930"/>
      <c r="X496" s="1930"/>
      <c r="Y496" s="103"/>
      <c r="Z496" s="1930"/>
      <c r="AA496" s="1930"/>
      <c r="AB496" s="1930"/>
      <c r="AC496" s="1930"/>
      <c r="AD496" s="1930"/>
      <c r="AE496" s="1930"/>
      <c r="AF496" s="1930"/>
      <c r="AG496" s="1930"/>
      <c r="AK496" s="883"/>
    </row>
    <row r="497" spans="1:69" hidden="1" outlineLevel="1" x14ac:dyDescent="0.25">
      <c r="B497" s="1233"/>
      <c r="C497" s="225"/>
      <c r="V497" s="1930"/>
      <c r="W497" s="1930"/>
      <c r="X497" s="1930"/>
      <c r="Y497" s="103"/>
      <c r="Z497" s="1930"/>
      <c r="AA497" s="1930"/>
      <c r="AB497" s="1930"/>
      <c r="AC497" s="1930"/>
      <c r="AD497" s="1930"/>
      <c r="AE497" s="1930"/>
      <c r="AF497" s="1930"/>
      <c r="AG497" s="1930"/>
      <c r="AK497" s="883"/>
    </row>
    <row r="498" spans="1:69" hidden="1" outlineLevel="1" x14ac:dyDescent="0.25">
      <c r="B498" s="1233"/>
      <c r="C498" s="225"/>
      <c r="D498" s="3236" t="s">
        <v>109</v>
      </c>
      <c r="E498" s="3236" t="s">
        <v>110</v>
      </c>
      <c r="F498" s="3086" t="s">
        <v>112</v>
      </c>
      <c r="G498" s="3086" t="s">
        <v>187</v>
      </c>
      <c r="H498" s="3086" t="s">
        <v>283</v>
      </c>
      <c r="V498" s="1936" t="s">
        <v>45</v>
      </c>
      <c r="W498" s="1937">
        <f>W$6</f>
        <v>43252</v>
      </c>
      <c r="X498" s="1937">
        <f t="shared" ref="X498:AG498" si="63">X$6</f>
        <v>43465</v>
      </c>
      <c r="Y498" s="360">
        <f t="shared" si="63"/>
        <v>43800</v>
      </c>
      <c r="Z498" s="1937">
        <f t="shared" si="63"/>
        <v>43862</v>
      </c>
      <c r="AA498" s="1937">
        <f t="shared" si="63"/>
        <v>44013</v>
      </c>
      <c r="AB498" s="1937">
        <f t="shared" si="63"/>
        <v>44166</v>
      </c>
      <c r="AC498" s="1937">
        <f t="shared" si="63"/>
        <v>44531</v>
      </c>
      <c r="AD498" s="1937" t="str">
        <f t="shared" si="63"/>
        <v>-</v>
      </c>
      <c r="AE498" s="1937" t="str">
        <f t="shared" si="63"/>
        <v>-</v>
      </c>
      <c r="AF498" s="1937" t="str">
        <f t="shared" si="63"/>
        <v>-</v>
      </c>
      <c r="AG498" s="1937" t="str">
        <f t="shared" si="63"/>
        <v>-</v>
      </c>
      <c r="AK498" s="883"/>
    </row>
    <row r="499" spans="1:69" ht="30" hidden="1" outlineLevel="1" x14ac:dyDescent="0.25">
      <c r="B499" s="1233"/>
      <c r="C499" s="225"/>
      <c r="D499" s="939" t="s">
        <v>520</v>
      </c>
      <c r="E499" s="3166" t="s">
        <v>1759</v>
      </c>
      <c r="F499" s="599">
        <v>1</v>
      </c>
      <c r="G499" s="3199" t="s">
        <v>536</v>
      </c>
      <c r="H499" s="640"/>
      <c r="P499" s="229"/>
      <c r="Q499" s="229"/>
      <c r="R499" s="229"/>
      <c r="S499" s="229"/>
      <c r="T499" s="229"/>
      <c r="U499" s="229"/>
      <c r="V499" s="934" t="s">
        <v>520</v>
      </c>
      <c r="W499" s="935">
        <v>0.95</v>
      </c>
      <c r="X499" s="598">
        <v>1</v>
      </c>
      <c r="Y499" s="598">
        <v>1</v>
      </c>
      <c r="Z499" s="599">
        <v>1</v>
      </c>
      <c r="AA499" s="599">
        <v>1</v>
      </c>
      <c r="AB499" s="599">
        <v>1</v>
      </c>
      <c r="AC499" s="599">
        <v>1</v>
      </c>
      <c r="AD499" s="915"/>
      <c r="AE499" s="915"/>
      <c r="AF499" s="915"/>
      <c r="AG499" s="915"/>
      <c r="AK499" s="883"/>
    </row>
    <row r="500" spans="1:69" ht="30" hidden="1" outlineLevel="1" x14ac:dyDescent="0.25">
      <c r="B500" s="1233"/>
      <c r="C500" s="225"/>
      <c r="D500" s="939" t="s">
        <v>32</v>
      </c>
      <c r="E500" s="3166" t="s">
        <v>1759</v>
      </c>
      <c r="F500" s="940">
        <v>0.5</v>
      </c>
      <c r="G500" s="3199" t="s">
        <v>536</v>
      </c>
      <c r="H500" s="640"/>
      <c r="P500" s="229"/>
      <c r="Q500" s="229"/>
      <c r="R500" s="229"/>
      <c r="S500" s="229"/>
      <c r="T500" s="229"/>
      <c r="U500" s="229"/>
      <c r="V500" s="934" t="s">
        <v>32</v>
      </c>
      <c r="W500" s="941">
        <v>0.5</v>
      </c>
      <c r="X500" s="941">
        <v>0.5</v>
      </c>
      <c r="Y500" s="919">
        <v>0.5</v>
      </c>
      <c r="Z500" s="940">
        <v>0.5</v>
      </c>
      <c r="AA500" s="940">
        <v>0.5</v>
      </c>
      <c r="AB500" s="940">
        <v>0.5</v>
      </c>
      <c r="AC500" s="940">
        <v>0.5</v>
      </c>
      <c r="AD500" s="919"/>
      <c r="AE500" s="919"/>
      <c r="AF500" s="919"/>
      <c r="AG500" s="919"/>
      <c r="AK500" s="883"/>
    </row>
    <row r="501" spans="1:69" ht="30" hidden="1" outlineLevel="1" x14ac:dyDescent="0.25">
      <c r="B501" s="1233"/>
      <c r="C501" s="225"/>
      <c r="D501" s="4325" t="s">
        <v>525</v>
      </c>
      <c r="E501" s="3166" t="s">
        <v>1759</v>
      </c>
      <c r="F501" s="946">
        <v>1496</v>
      </c>
      <c r="G501" s="1639" t="s">
        <v>528</v>
      </c>
      <c r="H501" s="640"/>
      <c r="P501" s="229"/>
      <c r="Q501" s="229"/>
      <c r="R501" s="229"/>
      <c r="S501" s="229"/>
      <c r="T501" s="229"/>
      <c r="U501" s="229"/>
      <c r="V501" s="4326" t="s">
        <v>1761</v>
      </c>
      <c r="W501" s="936">
        <v>1496</v>
      </c>
      <c r="X501" s="929">
        <v>2009</v>
      </c>
      <c r="Y501" s="929">
        <v>1496</v>
      </c>
      <c r="Z501" s="1203">
        <v>1496</v>
      </c>
      <c r="AA501" s="1203">
        <v>1496</v>
      </c>
      <c r="AB501" s="1203">
        <v>1496</v>
      </c>
      <c r="AC501" s="946">
        <v>1496</v>
      </c>
      <c r="AD501" s="901"/>
      <c r="AE501" s="901"/>
      <c r="AF501" s="901"/>
      <c r="AG501" s="901"/>
      <c r="AK501" s="883"/>
    </row>
    <row r="502" spans="1:69" ht="30" hidden="1" outlineLevel="1" x14ac:dyDescent="0.25">
      <c r="B502" s="1233"/>
      <c r="C502" s="225"/>
      <c r="D502" s="3804"/>
      <c r="E502" s="3166" t="str">
        <f>E488</f>
        <v>Dirty Filter Alarm_MFIE_CompE</v>
      </c>
      <c r="F502" s="946">
        <v>510</v>
      </c>
      <c r="G502" s="1639" t="s">
        <v>528</v>
      </c>
      <c r="H502" s="640"/>
      <c r="P502" s="229"/>
      <c r="Q502" s="229"/>
      <c r="R502" s="229"/>
      <c r="S502" s="229"/>
      <c r="T502" s="229"/>
      <c r="U502" s="229"/>
      <c r="V502" s="3807"/>
      <c r="W502" s="936"/>
      <c r="X502" s="929"/>
      <c r="Y502" s="929">
        <v>510</v>
      </c>
      <c r="Z502" s="1203">
        <v>510</v>
      </c>
      <c r="AA502" s="1203">
        <v>510</v>
      </c>
      <c r="AB502" s="1203">
        <v>510</v>
      </c>
      <c r="AC502" s="946">
        <v>510</v>
      </c>
      <c r="AD502" s="901"/>
      <c r="AE502" s="901"/>
      <c r="AF502" s="901"/>
      <c r="AG502" s="901"/>
      <c r="AK502" s="883"/>
    </row>
    <row r="503" spans="1:69" hidden="1" outlineLevel="1" x14ac:dyDescent="0.25">
      <c r="B503" s="1233"/>
      <c r="C503" s="225"/>
      <c r="D503" s="3166" t="s">
        <v>529</v>
      </c>
      <c r="E503" s="3166" t="s">
        <v>1759</v>
      </c>
      <c r="F503" s="943">
        <v>0.15</v>
      </c>
      <c r="G503" s="3199" t="s">
        <v>285</v>
      </c>
      <c r="H503" s="640"/>
      <c r="P503" s="229"/>
      <c r="Q503" s="229"/>
      <c r="R503" s="229"/>
      <c r="S503" s="229"/>
      <c r="T503" s="229"/>
      <c r="U503" s="229"/>
      <c r="V503" s="926" t="s">
        <v>529</v>
      </c>
      <c r="W503" s="935">
        <v>0.15</v>
      </c>
      <c r="X503" s="915">
        <v>0.15</v>
      </c>
      <c r="Y503" s="920">
        <v>0.15</v>
      </c>
      <c r="Z503" s="943">
        <v>0.15</v>
      </c>
      <c r="AA503" s="943">
        <v>0.15</v>
      </c>
      <c r="AB503" s="943">
        <v>0.15</v>
      </c>
      <c r="AC503" s="943">
        <v>0.15</v>
      </c>
      <c r="AD503" s="915"/>
      <c r="AE503" s="915"/>
      <c r="AF503" s="915"/>
      <c r="AG503" s="915"/>
      <c r="AK503" s="883"/>
    </row>
    <row r="504" spans="1:69" hidden="1" outlineLevel="1" x14ac:dyDescent="0.25">
      <c r="B504" s="1233"/>
      <c r="C504" s="225"/>
      <c r="D504" s="3221" t="s">
        <v>531</v>
      </c>
      <c r="E504" s="3166" t="s">
        <v>1759</v>
      </c>
      <c r="F504" s="944">
        <v>1</v>
      </c>
      <c r="G504" s="3199" t="s">
        <v>285</v>
      </c>
      <c r="H504" s="640"/>
      <c r="P504" s="229"/>
      <c r="Q504" s="229"/>
      <c r="R504" s="229"/>
      <c r="S504" s="229"/>
      <c r="T504" s="229"/>
      <c r="U504" s="229"/>
      <c r="V504" s="3222" t="s">
        <v>531</v>
      </c>
      <c r="W504" s="935">
        <v>1</v>
      </c>
      <c r="X504" s="915">
        <v>1</v>
      </c>
      <c r="Y504" s="915">
        <v>1</v>
      </c>
      <c r="Z504" s="944">
        <v>1</v>
      </c>
      <c r="AA504" s="944">
        <v>1</v>
      </c>
      <c r="AB504" s="944">
        <v>1</v>
      </c>
      <c r="AC504" s="944">
        <v>1</v>
      </c>
      <c r="AD504" s="915"/>
      <c r="AE504" s="915"/>
      <c r="AF504" s="915"/>
      <c r="AG504" s="915"/>
      <c r="AK504" s="883"/>
    </row>
    <row r="505" spans="1:69" ht="30" hidden="1" outlineLevel="1" x14ac:dyDescent="0.25">
      <c r="B505" s="1233"/>
      <c r="C505" s="225"/>
      <c r="D505" s="3221" t="s">
        <v>133</v>
      </c>
      <c r="E505" s="3166" t="s">
        <v>1759</v>
      </c>
      <c r="F505" s="943">
        <v>0.57889999999999997</v>
      </c>
      <c r="G505" s="3199" t="s">
        <v>536</v>
      </c>
      <c r="H505" s="640" t="s">
        <v>1762</v>
      </c>
      <c r="P505" s="229"/>
      <c r="Q505" s="229"/>
      <c r="R505" s="229"/>
      <c r="S505" s="229"/>
      <c r="T505" s="229"/>
      <c r="U505" s="229"/>
      <c r="V505" s="3222" t="s">
        <v>133</v>
      </c>
      <c r="W505" s="935">
        <v>1</v>
      </c>
      <c r="X505" s="945">
        <v>0.58333333333333304</v>
      </c>
      <c r="Y505" s="945">
        <v>0.57889999999999997</v>
      </c>
      <c r="Z505" s="943">
        <v>0.57889999999999997</v>
      </c>
      <c r="AA505" s="943">
        <v>0.57889999999999997</v>
      </c>
      <c r="AB505" s="943">
        <v>0.57889999999999997</v>
      </c>
      <c r="AC505" s="943">
        <v>0.57889999999999997</v>
      </c>
      <c r="AD505" s="915"/>
      <c r="AE505" s="915"/>
      <c r="AF505" s="915"/>
      <c r="AG505" s="915"/>
      <c r="AK505" s="883"/>
    </row>
    <row r="506" spans="1:69" ht="30" hidden="1" outlineLevel="1" x14ac:dyDescent="0.25">
      <c r="B506" s="1233"/>
      <c r="C506" s="225"/>
      <c r="D506" s="939" t="s">
        <v>313</v>
      </c>
      <c r="E506" s="3166" t="s">
        <v>1759</v>
      </c>
      <c r="F506" s="599">
        <v>1</v>
      </c>
      <c r="G506" s="3199" t="s">
        <v>536</v>
      </c>
      <c r="H506" s="640"/>
      <c r="P506" s="229"/>
      <c r="Q506" s="229"/>
      <c r="R506" s="229"/>
      <c r="S506" s="229"/>
      <c r="T506" s="229"/>
      <c r="U506" s="229"/>
      <c r="V506" s="934" t="s">
        <v>313</v>
      </c>
      <c r="W506" s="935">
        <v>0.95</v>
      </c>
      <c r="X506" s="598">
        <v>1</v>
      </c>
      <c r="Y506" s="598">
        <v>1</v>
      </c>
      <c r="Z506" s="599">
        <v>1</v>
      </c>
      <c r="AA506" s="599">
        <v>1</v>
      </c>
      <c r="AB506" s="599">
        <v>1</v>
      </c>
      <c r="AC506" s="599">
        <v>1</v>
      </c>
      <c r="AD506" s="915"/>
      <c r="AE506" s="915"/>
      <c r="AF506" s="915"/>
      <c r="AG506" s="915"/>
      <c r="AK506" s="883"/>
    </row>
    <row r="507" spans="1:69" ht="30" hidden="1" outlineLevel="1" x14ac:dyDescent="0.25">
      <c r="B507" s="1233"/>
      <c r="C507" s="225"/>
      <c r="D507" s="4325" t="s">
        <v>540</v>
      </c>
      <c r="E507" s="3166" t="s">
        <v>1759</v>
      </c>
      <c r="F507" s="946">
        <v>869</v>
      </c>
      <c r="G507" s="3199" t="s">
        <v>536</v>
      </c>
      <c r="H507" s="640"/>
      <c r="V507" s="4247" t="s">
        <v>1763</v>
      </c>
      <c r="W507" s="901">
        <v>869</v>
      </c>
      <c r="X507" s="942">
        <v>1215</v>
      </c>
      <c r="Y507" s="942">
        <v>869</v>
      </c>
      <c r="Z507" s="946">
        <v>869</v>
      </c>
      <c r="AA507" s="946">
        <v>869</v>
      </c>
      <c r="AB507" s="946">
        <v>869</v>
      </c>
      <c r="AC507" s="946">
        <v>869</v>
      </c>
      <c r="AD507" s="901"/>
      <c r="AE507" s="901"/>
      <c r="AF507" s="901"/>
      <c r="AG507" s="901"/>
      <c r="AK507" s="883"/>
    </row>
    <row r="508" spans="1:69" ht="30" hidden="1" outlineLevel="1" x14ac:dyDescent="0.25">
      <c r="B508" s="1233"/>
      <c r="C508" s="225"/>
      <c r="D508" s="3804"/>
      <c r="E508" s="3166" t="str">
        <f>E488</f>
        <v>Dirty Filter Alarm_MFIE_CompE</v>
      </c>
      <c r="F508" s="946">
        <v>632</v>
      </c>
      <c r="G508" s="3199" t="s">
        <v>528</v>
      </c>
      <c r="H508" s="640"/>
      <c r="V508" s="3807"/>
      <c r="W508" s="901"/>
      <c r="X508" s="942"/>
      <c r="Y508" s="942">
        <v>632</v>
      </c>
      <c r="Z508" s="946">
        <v>632</v>
      </c>
      <c r="AA508" s="946">
        <v>632</v>
      </c>
      <c r="AB508" s="946">
        <v>632</v>
      </c>
      <c r="AC508" s="946">
        <v>632</v>
      </c>
      <c r="AD508" s="901"/>
      <c r="AE508" s="901"/>
      <c r="AF508" s="901"/>
      <c r="AG508" s="901"/>
      <c r="AK508" s="883"/>
    </row>
    <row r="509" spans="1:69" customFormat="1" ht="30" hidden="1" outlineLevel="1" x14ac:dyDescent="0.25">
      <c r="A509" s="123"/>
      <c r="B509" s="1233"/>
      <c r="C509" s="947"/>
      <c r="D509" s="3242" t="s">
        <v>544</v>
      </c>
      <c r="E509" s="3240" t="s">
        <v>545</v>
      </c>
      <c r="F509" s="441" t="s">
        <v>546</v>
      </c>
      <c r="G509" s="3199" t="s">
        <v>536</v>
      </c>
      <c r="H509" s="948"/>
      <c r="I509" s="249"/>
      <c r="J509" s="249"/>
      <c r="K509" s="249"/>
      <c r="L509" s="249"/>
      <c r="M509" s="1159"/>
      <c r="N509" s="249"/>
      <c r="O509" s="249"/>
      <c r="P509" s="249"/>
      <c r="Q509" s="249"/>
      <c r="R509" s="123"/>
      <c r="S509" s="123"/>
      <c r="T509" s="123"/>
      <c r="U509" s="123"/>
      <c r="V509" s="949" t="str">
        <f>D509</f>
        <v>P</v>
      </c>
      <c r="W509" s="441" t="s">
        <v>546</v>
      </c>
      <c r="X509" s="441" t="s">
        <v>546</v>
      </c>
      <c r="Y509" s="441" t="s">
        <v>546</v>
      </c>
      <c r="Z509" s="441" t="s">
        <v>546</v>
      </c>
      <c r="AA509" s="441" t="s">
        <v>546</v>
      </c>
      <c r="AB509" s="441" t="s">
        <v>546</v>
      </c>
      <c r="AC509" s="441" t="s">
        <v>546</v>
      </c>
      <c r="AD509" s="441"/>
      <c r="AE509" s="441"/>
      <c r="AF509" s="441"/>
      <c r="AG509" s="441"/>
      <c r="AH509" s="1930"/>
      <c r="AI509" s="1930"/>
      <c r="AJ509" s="1930"/>
      <c r="AK509" s="1930"/>
      <c r="AL509" s="1930"/>
      <c r="AM509" s="1930"/>
      <c r="AN509" s="1930"/>
      <c r="AO509" s="1930"/>
      <c r="AP509" s="1930"/>
      <c r="AQ509" s="1930"/>
      <c r="AR509" s="1930"/>
      <c r="AS509" s="1930"/>
      <c r="AT509" s="1930"/>
      <c r="AU509" s="1930"/>
      <c r="AV509" s="1930"/>
      <c r="AW509" s="1930"/>
      <c r="AX509" s="1930"/>
      <c r="AY509" s="1930"/>
      <c r="AZ509" s="1930"/>
      <c r="BA509" s="1930"/>
      <c r="BB509" s="950"/>
      <c r="BC509" s="1930"/>
      <c r="BD509" s="1930"/>
      <c r="BE509" s="1930"/>
      <c r="BF509" s="1930"/>
      <c r="BG509" s="1930"/>
      <c r="BH509" s="1930"/>
      <c r="BI509" s="1930"/>
      <c r="BJ509" s="1930"/>
      <c r="BK509" s="1930"/>
      <c r="BL509" s="1930"/>
      <c r="BM509" s="1930"/>
      <c r="BN509" s="1930"/>
      <c r="BO509" s="1930"/>
      <c r="BP509" s="1930"/>
      <c r="BQ509" s="1930"/>
    </row>
    <row r="510" spans="1:69" hidden="1" outlineLevel="1" x14ac:dyDescent="0.25">
      <c r="B510" s="918"/>
      <c r="C510" s="907"/>
      <c r="D510" s="951" t="str">
        <f>D480</f>
        <v>EUL</v>
      </c>
      <c r="E510" s="951" t="str">
        <f>E480</f>
        <v>Effective Useful Life</v>
      </c>
      <c r="F510" s="952">
        <v>14</v>
      </c>
      <c r="G510" s="3199"/>
      <c r="H510" s="640"/>
      <c r="I510" s="918"/>
      <c r="J510" s="918"/>
      <c r="K510" s="918"/>
      <c r="L510" s="918"/>
      <c r="M510" s="918"/>
      <c r="N510" s="918"/>
      <c r="O510" s="918"/>
      <c r="P510" s="1038"/>
      <c r="Q510" s="1038"/>
      <c r="R510" s="1038"/>
      <c r="V510" s="917" t="str">
        <f>D510</f>
        <v>EUL</v>
      </c>
      <c r="W510" s="925">
        <v>14</v>
      </c>
      <c r="X510" s="925">
        <v>14</v>
      </c>
      <c r="Y510" s="925">
        <v>14</v>
      </c>
      <c r="Z510" s="952">
        <v>14</v>
      </c>
      <c r="AA510" s="952">
        <v>14</v>
      </c>
      <c r="AB510" s="952">
        <v>14</v>
      </c>
      <c r="AC510" s="952">
        <v>14</v>
      </c>
      <c r="AD510" s="901"/>
      <c r="AE510" s="901"/>
      <c r="AF510" s="901"/>
      <c r="AG510" s="901"/>
      <c r="AK510" s="883"/>
    </row>
    <row r="511" spans="1:69" hidden="1" outlineLevel="1" x14ac:dyDescent="0.25">
      <c r="B511" s="918"/>
      <c r="C511" s="907"/>
      <c r="D511" s="951" t="str">
        <f>D481</f>
        <v>Inc. Cost</v>
      </c>
      <c r="E511" s="951" t="str">
        <f>E481</f>
        <v>Incremental Cost</v>
      </c>
      <c r="F511" s="442">
        <v>5</v>
      </c>
      <c r="G511" s="3199"/>
      <c r="H511" s="640"/>
      <c r="I511" s="918"/>
      <c r="J511" s="918"/>
      <c r="K511" s="918"/>
      <c r="L511" s="918"/>
      <c r="M511" s="918"/>
      <c r="N511" s="918"/>
      <c r="O511" s="918"/>
      <c r="P511" s="1038"/>
      <c r="Q511" s="1038"/>
      <c r="R511" s="1038"/>
      <c r="V511" s="917" t="str">
        <f>D511</f>
        <v>Inc. Cost</v>
      </c>
      <c r="W511" s="927">
        <v>5</v>
      </c>
      <c r="X511" s="927">
        <v>5</v>
      </c>
      <c r="Y511" s="927">
        <v>5</v>
      </c>
      <c r="Z511" s="442">
        <v>5</v>
      </c>
      <c r="AA511" s="442">
        <v>5</v>
      </c>
      <c r="AB511" s="442">
        <v>5</v>
      </c>
      <c r="AC511" s="442">
        <v>5</v>
      </c>
      <c r="AD511" s="901"/>
      <c r="AE511" s="901"/>
      <c r="AF511" s="901"/>
      <c r="AG511" s="901"/>
      <c r="AK511" s="883"/>
    </row>
    <row r="512" spans="1:69" hidden="1" outlineLevel="1" x14ac:dyDescent="0.25">
      <c r="B512" s="918"/>
      <c r="C512" s="907"/>
      <c r="D512" s="3666"/>
      <c r="E512" s="3666"/>
      <c r="F512" s="3667"/>
      <c r="G512" s="3668"/>
      <c r="H512" s="959"/>
      <c r="I512" s="918"/>
      <c r="J512" s="918"/>
      <c r="K512" s="918"/>
      <c r="L512" s="918"/>
      <c r="M512" s="918"/>
      <c r="N512" s="918"/>
      <c r="O512" s="918"/>
      <c r="P512" s="1038"/>
      <c r="Q512" s="1038"/>
      <c r="R512" s="1038"/>
      <c r="V512" s="3669"/>
      <c r="W512" s="3670"/>
      <c r="X512" s="3670"/>
      <c r="Y512" s="3670"/>
      <c r="Z512" s="3667"/>
      <c r="AA512" s="3667"/>
      <c r="AB512" s="3667"/>
      <c r="AC512" s="3667"/>
      <c r="AD512" s="3671"/>
      <c r="AE512" s="3671"/>
      <c r="AF512" s="3671"/>
      <c r="AG512" s="3671"/>
      <c r="AK512" s="883"/>
    </row>
    <row r="513" spans="1:57" collapsed="1" x14ac:dyDescent="0.25">
      <c r="AK513" s="883"/>
    </row>
    <row r="514" spans="1:57" s="892" customFormat="1" x14ac:dyDescent="0.25">
      <c r="A514" s="910"/>
      <c r="B514" s="3750" t="s">
        <v>1764</v>
      </c>
      <c r="C514" s="3751"/>
      <c r="D514" s="3751"/>
      <c r="E514" s="3751"/>
      <c r="F514" s="3751"/>
      <c r="G514" s="3751"/>
      <c r="H514" s="3751"/>
      <c r="I514" s="3744"/>
      <c r="J514" s="3744"/>
      <c r="K514" s="3744"/>
      <c r="L514" s="3744"/>
      <c r="M514" s="3744"/>
      <c r="N514" s="3744"/>
      <c r="O514" s="3744"/>
      <c r="P514" s="3744"/>
      <c r="Q514" s="3744"/>
      <c r="R514" s="3745"/>
      <c r="S514" s="910"/>
      <c r="T514" s="910"/>
      <c r="U514" s="910"/>
      <c r="V514" s="3750" t="str">
        <f>B514</f>
        <v>Duct Insulation</v>
      </c>
      <c r="W514" s="3751"/>
      <c r="X514" s="3751"/>
      <c r="Y514" s="3751"/>
      <c r="Z514" s="3751"/>
      <c r="AA514" s="3751"/>
      <c r="AB514" s="3751"/>
      <c r="AC514" s="3752"/>
      <c r="AD514" s="3752"/>
      <c r="AE514" s="3752"/>
      <c r="AF514" s="3752"/>
      <c r="AG514" s="3752"/>
      <c r="AH514" s="3752"/>
      <c r="AI514" s="3753"/>
      <c r="AK514" s="883"/>
      <c r="BB514" s="906"/>
    </row>
    <row r="515" spans="1:57" s="892" customFormat="1" ht="15" customHeight="1" x14ac:dyDescent="0.25">
      <c r="A515" s="910"/>
      <c r="B515" s="910"/>
      <c r="C515" s="938"/>
      <c r="D515" s="429"/>
      <c r="E515" s="429"/>
      <c r="F515" s="910"/>
      <c r="G515" s="910"/>
      <c r="H515" s="910"/>
      <c r="I515" s="910"/>
      <c r="J515" s="910"/>
      <c r="K515" s="910"/>
      <c r="L515" s="910"/>
      <c r="M515" s="910"/>
      <c r="N515" s="910"/>
      <c r="O515" s="910"/>
      <c r="P515" s="910"/>
      <c r="Q515" s="910"/>
      <c r="R515" s="910"/>
      <c r="S515" s="910"/>
      <c r="T515" s="910"/>
      <c r="U515" s="910"/>
      <c r="V515" s="224"/>
      <c r="W515" s="224"/>
      <c r="X515" s="224"/>
      <c r="Y515" s="618"/>
      <c r="Z515" s="224"/>
      <c r="AA515" s="224"/>
      <c r="AB515" s="224"/>
      <c r="AC515" s="224"/>
      <c r="AD515" s="224"/>
      <c r="AE515" s="224"/>
      <c r="AF515" s="224"/>
      <c r="AG515" s="224"/>
      <c r="AH515" s="224"/>
      <c r="AI515" s="224"/>
      <c r="AK515" s="883"/>
      <c r="BB515" s="906"/>
    </row>
    <row r="516" spans="1:57" s="892" customFormat="1" ht="45" x14ac:dyDescent="0.25">
      <c r="A516" s="910"/>
      <c r="B516" s="918"/>
      <c r="C516" s="3086" t="s">
        <v>28</v>
      </c>
      <c r="D516" s="3086" t="s">
        <v>175</v>
      </c>
      <c r="E516" s="3236" t="s">
        <v>30</v>
      </c>
      <c r="F516" s="3086" t="s">
        <v>1765</v>
      </c>
      <c r="G516" s="3086" t="s">
        <v>176</v>
      </c>
      <c r="H516" s="3086" t="s">
        <v>177</v>
      </c>
      <c r="I516" s="3086" t="s">
        <v>1766</v>
      </c>
      <c r="J516" s="3086" t="s">
        <v>1767</v>
      </c>
      <c r="K516" s="3086" t="s">
        <v>1768</v>
      </c>
      <c r="L516" s="3086" t="s">
        <v>32</v>
      </c>
      <c r="M516" s="3086" t="s">
        <v>181</v>
      </c>
      <c r="N516" s="3086" t="s">
        <v>43</v>
      </c>
      <c r="O516" s="3086" t="s">
        <v>1769</v>
      </c>
      <c r="P516" s="910"/>
      <c r="Q516" s="910"/>
      <c r="R516" s="910"/>
      <c r="S516" s="910"/>
      <c r="T516" s="910"/>
      <c r="U516" s="910"/>
      <c r="V516" s="1936" t="s">
        <v>45</v>
      </c>
      <c r="W516" s="1937">
        <f>W$6</f>
        <v>43252</v>
      </c>
      <c r="X516" s="1937">
        <f t="shared" ref="X516:AG516" si="64">X$6</f>
        <v>43465</v>
      </c>
      <c r="Y516" s="360">
        <f t="shared" si="64"/>
        <v>43800</v>
      </c>
      <c r="Z516" s="1937">
        <f t="shared" si="64"/>
        <v>43862</v>
      </c>
      <c r="AA516" s="1937">
        <f t="shared" si="64"/>
        <v>44013</v>
      </c>
      <c r="AB516" s="1937">
        <f t="shared" si="64"/>
        <v>44166</v>
      </c>
      <c r="AC516" s="1937">
        <f t="shared" si="64"/>
        <v>44531</v>
      </c>
      <c r="AD516" s="1937" t="str">
        <f t="shared" si="64"/>
        <v>-</v>
      </c>
      <c r="AE516" s="1937" t="str">
        <f t="shared" si="64"/>
        <v>-</v>
      </c>
      <c r="AF516" s="1937" t="str">
        <f t="shared" si="64"/>
        <v>-</v>
      </c>
      <c r="AG516" s="1937" t="str">
        <f t="shared" si="64"/>
        <v>-</v>
      </c>
      <c r="AH516" s="224"/>
      <c r="AI516" s="224"/>
      <c r="AK516" s="883"/>
      <c r="BB516" s="1938" t="str">
        <f>$BB$6</f>
        <v>TRC (2020)</v>
      </c>
      <c r="BC516" s="1953" t="str">
        <f>$BC$6</f>
        <v>Benefit Lookup</v>
      </c>
      <c r="BD516" s="665" t="str">
        <f>$BD$6</f>
        <v>Benefits (2019 $)</v>
      </c>
      <c r="BE516" s="230" t="str">
        <f>$BE$6</f>
        <v>Incremental Cost (2019 $)</v>
      </c>
    </row>
    <row r="517" spans="1:57" s="892" customFormat="1" ht="15" customHeight="1" x14ac:dyDescent="0.25">
      <c r="A517" s="910"/>
      <c r="B517" s="918"/>
      <c r="C517" s="3176" t="s">
        <v>1770</v>
      </c>
      <c r="D517" s="2695" t="s">
        <v>1571</v>
      </c>
      <c r="E517" s="3166" t="s">
        <v>1771</v>
      </c>
      <c r="F517" s="954">
        <f>ROUND((I517+J517)*G548*G549*G550,2)</f>
        <v>29.13</v>
      </c>
      <c r="G517" s="3176" t="s">
        <v>438</v>
      </c>
      <c r="H517" s="155">
        <f>VLOOKUP(G517,'CP FACTORS'!$A$3:$B$38, 2, FALSE)</f>
        <v>4.6608050000000002E-4</v>
      </c>
      <c r="I517" s="441">
        <f>(1/G532-1/G533)*G534*G536*G537/(G538*G539)</f>
        <v>1.5815800000000002</v>
      </c>
      <c r="J517" s="441">
        <f>(1/G532-1/G533)*G534*G540*G541/(G542*G543)</f>
        <v>27.545779601406799</v>
      </c>
      <c r="K517" s="954">
        <v>0</v>
      </c>
      <c r="L517" s="1640">
        <f>ROUND(H517*F517,6)</f>
        <v>1.3577000000000001E-2</v>
      </c>
      <c r="M517" s="441">
        <f>$G$551</f>
        <v>20</v>
      </c>
      <c r="N517" s="442">
        <f>$G$552</f>
        <v>4.2205065958870298</v>
      </c>
      <c r="O517" s="441">
        <v>1</v>
      </c>
      <c r="P517" s="910"/>
      <c r="Q517" s="910"/>
      <c r="R517" s="910"/>
      <c r="S517" s="910"/>
      <c r="T517" s="910"/>
      <c r="U517" s="910"/>
      <c r="V517" s="160" t="str">
        <f>$F$516</f>
        <v>kWh
Annual Savings</v>
      </c>
      <c r="W517" s="236">
        <v>1436.5606215435027</v>
      </c>
      <c r="X517" s="955">
        <v>1436.5606215435027</v>
      </c>
      <c r="Y517" s="956">
        <v>29.13</v>
      </c>
      <c r="Z517" s="2300">
        <v>29.13</v>
      </c>
      <c r="AA517" s="2300">
        <v>29.13</v>
      </c>
      <c r="AB517" s="2300">
        <v>29.13</v>
      </c>
      <c r="AC517" s="2300">
        <v>29.13</v>
      </c>
      <c r="AD517" s="160"/>
      <c r="AE517" s="160"/>
      <c r="AF517" s="160"/>
      <c r="AG517" s="160"/>
      <c r="AH517" s="224"/>
      <c r="AI517" s="224"/>
      <c r="AK517" s="883"/>
      <c r="BB517" s="1945">
        <f>(BD517)/(BE517)</f>
        <v>8.704896824384484</v>
      </c>
      <c r="BC517" s="3166" t="str">
        <f>CONCATENATE(G517," ",M517," Year EUL")</f>
        <v>HVAC RES 20 Year EUL</v>
      </c>
      <c r="BD517" s="111">
        <f>(INDEX('Avoided Cost Benefits'!$C$4:$C$857,MATCH(BC517,'Avoided Cost Benefits'!$A$4:$A$857,0)))*F517</f>
        <v>34.675860749250376</v>
      </c>
      <c r="BE517" s="1946">
        <f>N517/(1.0595^(2020-2019))</f>
        <v>3.9834890003652945</v>
      </c>
    </row>
    <row r="518" spans="1:57" s="892" customFormat="1" ht="15" customHeight="1" x14ac:dyDescent="0.25">
      <c r="A518" s="910"/>
      <c r="B518" s="918"/>
      <c r="C518" s="3176" t="s">
        <v>1772</v>
      </c>
      <c r="D518" s="2695" t="s">
        <v>1571</v>
      </c>
      <c r="E518" s="3166" t="s">
        <v>1773</v>
      </c>
      <c r="F518" s="954">
        <f>ROUND((I518+J518)*G548*G549*G550,2)</f>
        <v>29.13</v>
      </c>
      <c r="G518" s="3176" t="s">
        <v>438</v>
      </c>
      <c r="H518" s="155">
        <f>VLOOKUP(G518,'CP FACTORS'!$A$3:$B$38, 2, FALSE)</f>
        <v>4.6608050000000002E-4</v>
      </c>
      <c r="I518" s="441">
        <f>(1/G532-1/G533)*G535*G536*G537/(G538*G539)</f>
        <v>1.5815800000000002</v>
      </c>
      <c r="J518" s="441">
        <f>(1/G532-1/G533)*G535*G540*G541/(G542*G543)</f>
        <v>27.545779601406799</v>
      </c>
      <c r="K518" s="954">
        <v>0</v>
      </c>
      <c r="L518" s="1640">
        <f>ROUND(H518*F518,6)</f>
        <v>1.3577000000000001E-2</v>
      </c>
      <c r="M518" s="441">
        <f>$G$551</f>
        <v>20</v>
      </c>
      <c r="N518" s="442">
        <f>$G$552</f>
        <v>4.2205065958870298</v>
      </c>
      <c r="O518" s="441">
        <v>1</v>
      </c>
      <c r="P518" s="910"/>
      <c r="Q518" s="910"/>
      <c r="R518" s="910"/>
      <c r="S518" s="910"/>
      <c r="T518" s="910"/>
      <c r="U518" s="910"/>
      <c r="V518" s="160" t="str">
        <f>$F$516</f>
        <v>kWh
Annual Savings</v>
      </c>
      <c r="W518" s="236">
        <v>1267.6448744421125</v>
      </c>
      <c r="X518" s="955">
        <v>1267.6448744421125</v>
      </c>
      <c r="Y518" s="956">
        <v>29.13</v>
      </c>
      <c r="Z518" s="2300">
        <v>29.13</v>
      </c>
      <c r="AA518" s="2300">
        <v>29.13</v>
      </c>
      <c r="AB518" s="2300">
        <v>29.13</v>
      </c>
      <c r="AC518" s="2300">
        <v>29.13</v>
      </c>
      <c r="AD518" s="160"/>
      <c r="AE518" s="160"/>
      <c r="AF518" s="160"/>
      <c r="AG518" s="160"/>
      <c r="AK518" s="883"/>
      <c r="BB518" s="52">
        <f>(BD518)/(BE518)</f>
        <v>8.704896824384484</v>
      </c>
      <c r="BC518" s="1948" t="str">
        <f>CONCATENATE(G518," ",M518," Year EUL")</f>
        <v>HVAC RES 20 Year EUL</v>
      </c>
      <c r="BD518" s="114">
        <f>(INDEX('Avoided Cost Benefits'!$C$4:$C$857,MATCH(BC518,'Avoided Cost Benefits'!$A$4:$A$857,0)))*F518</f>
        <v>34.675860749250376</v>
      </c>
      <c r="BE518" s="1949">
        <f>N518/(1.0595^(2020-2019))</f>
        <v>3.9834890003652945</v>
      </c>
    </row>
    <row r="519" spans="1:57" s="892" customFormat="1" x14ac:dyDescent="0.25">
      <c r="A519" s="910"/>
      <c r="B519" s="918"/>
      <c r="C519" s="3176" t="s">
        <v>1774</v>
      </c>
      <c r="D519" s="2695" t="s">
        <v>1571</v>
      </c>
      <c r="E519" s="3166" t="s">
        <v>1775</v>
      </c>
      <c r="F519" s="954">
        <f>ROUND((I519+J519)*G548*G549*G550,2)</f>
        <v>2.69</v>
      </c>
      <c r="G519" s="3176" t="s">
        <v>438</v>
      </c>
      <c r="H519" s="155">
        <f>VLOOKUP(G519,'CP FACTORS'!$A$3:$B$38, 2, FALSE)</f>
        <v>4.6608050000000002E-4</v>
      </c>
      <c r="I519" s="441">
        <f>(1/G532-1/G533)*G534*G536*G537/(G538*G539)</f>
        <v>1.5815800000000002</v>
      </c>
      <c r="J519" s="441">
        <f>K519*G544*G545</f>
        <v>1.1085792785128203</v>
      </c>
      <c r="K519" s="954">
        <f>(1/G532-1/G533)*G534*G540*G541/(100000*G547)</f>
        <v>1.204951282051282</v>
      </c>
      <c r="L519" s="1640">
        <f>ROUND(H519*F519,6)</f>
        <v>1.2539999999999999E-3</v>
      </c>
      <c r="M519" s="441">
        <f>$G$551</f>
        <v>20</v>
      </c>
      <c r="N519" s="442">
        <f>$G$552</f>
        <v>4.2205065958870298</v>
      </c>
      <c r="O519" s="441">
        <v>1</v>
      </c>
      <c r="P519" s="910"/>
      <c r="Q519" s="910"/>
      <c r="R519" s="910"/>
      <c r="S519" s="910"/>
      <c r="T519" s="910"/>
      <c r="U519" s="910"/>
      <c r="V519" s="160" t="str">
        <f>$F$516</f>
        <v>kWh
Annual Savings</v>
      </c>
      <c r="W519" s="236">
        <v>114.3457559964678</v>
      </c>
      <c r="X519" s="955">
        <v>114.3457559964678</v>
      </c>
      <c r="Y519" s="956">
        <v>2.69</v>
      </c>
      <c r="Z519" s="2300">
        <v>2.69</v>
      </c>
      <c r="AA519" s="2300">
        <v>2.69</v>
      </c>
      <c r="AB519" s="2300">
        <v>2.69</v>
      </c>
      <c r="AC519" s="2300">
        <v>2.69</v>
      </c>
      <c r="AD519" s="160"/>
      <c r="AE519" s="160"/>
      <c r="AF519" s="160"/>
      <c r="AG519" s="160"/>
      <c r="AK519" s="883"/>
      <c r="BB519" s="53">
        <f>(BD519)/(BE519)</f>
        <v>0.80385075377941162</v>
      </c>
      <c r="BC519" s="1948" t="str">
        <f>CONCATENATE(G519," ",M519," Year EUL")</f>
        <v>HVAC RES 20 Year EUL</v>
      </c>
      <c r="BD519" s="119">
        <f>(INDEX('Avoided Cost Benefits'!$C$4:$C$857,MATCH(BC519,'Avoided Cost Benefits'!$A$4:$A$857,0)))*F519</f>
        <v>3.2021306356156369</v>
      </c>
      <c r="BE519" s="1950">
        <f>N519/(1.0595^(2020-2019))</f>
        <v>3.9834890003652945</v>
      </c>
    </row>
    <row r="520" spans="1:57" s="892" customFormat="1" ht="15" hidden="1" customHeight="1" outlineLevel="1" x14ac:dyDescent="0.25">
      <c r="A520" s="910"/>
      <c r="B520" s="918"/>
      <c r="C520" s="907"/>
      <c r="D520" s="1641"/>
      <c r="E520" s="1641"/>
      <c r="F520" s="958"/>
      <c r="G520" s="958"/>
      <c r="H520" s="958"/>
      <c r="I520" s="958" t="s">
        <v>1776</v>
      </c>
      <c r="J520" s="958"/>
      <c r="K520" s="958"/>
      <c r="L520" s="958"/>
      <c r="M520" s="910"/>
      <c r="N520" s="910"/>
      <c r="O520" s="910"/>
      <c r="P520" s="910"/>
      <c r="Q520" s="910"/>
      <c r="R520" s="910"/>
      <c r="S520" s="910"/>
      <c r="T520" s="910"/>
      <c r="U520" s="910"/>
      <c r="Y520" s="1500" t="s">
        <v>1642</v>
      </c>
      <c r="AK520" s="883"/>
      <c r="BB520" s="906"/>
    </row>
    <row r="521" spans="1:57" s="892" customFormat="1" ht="15" hidden="1" customHeight="1" outlineLevel="1" x14ac:dyDescent="0.25">
      <c r="A521" s="910"/>
      <c r="B521" s="918"/>
      <c r="C521" s="907"/>
      <c r="D521" s="174" t="s">
        <v>108</v>
      </c>
      <c r="E521" s="1642"/>
      <c r="F521" s="959"/>
      <c r="G521" s="959"/>
      <c r="H521" s="959"/>
      <c r="I521" s="959"/>
      <c r="J521" s="959"/>
      <c r="K521" s="959"/>
      <c r="L521" s="958"/>
      <c r="M521" s="910"/>
      <c r="N521" s="910"/>
      <c r="O521" s="910"/>
      <c r="P521" s="910"/>
      <c r="Q521" s="910"/>
      <c r="R521" s="910"/>
      <c r="S521" s="910"/>
      <c r="T521" s="910"/>
      <c r="U521" s="910"/>
      <c r="Y521" s="911"/>
      <c r="AK521" s="883"/>
      <c r="BB521" s="906"/>
    </row>
    <row r="522" spans="1:57" s="892" customFormat="1" ht="15" hidden="1" customHeight="1" outlineLevel="1" x14ac:dyDescent="0.25">
      <c r="A522" s="910"/>
      <c r="B522" s="918"/>
      <c r="C522" s="907"/>
      <c r="D522" s="1642"/>
      <c r="E522" s="1642"/>
      <c r="F522" s="959"/>
      <c r="G522" s="959"/>
      <c r="H522" s="959"/>
      <c r="I522" s="959"/>
      <c r="J522" s="959"/>
      <c r="K522" s="959"/>
      <c r="L522" s="958"/>
      <c r="M522" s="910"/>
      <c r="N522" s="910"/>
      <c r="O522" s="910"/>
      <c r="P522" s="910"/>
      <c r="Q522" s="910"/>
      <c r="R522" s="910"/>
      <c r="S522" s="910"/>
      <c r="T522" s="910"/>
      <c r="U522" s="910"/>
      <c r="Y522" s="911"/>
      <c r="AK522" s="883"/>
      <c r="BB522" s="906"/>
    </row>
    <row r="523" spans="1:57" s="892" customFormat="1" ht="27.75" hidden="1" customHeight="1" outlineLevel="1" x14ac:dyDescent="0.25">
      <c r="A523" s="910"/>
      <c r="B523" s="918"/>
      <c r="C523" s="907"/>
      <c r="D523" s="1642"/>
      <c r="E523" s="1642"/>
      <c r="F523" s="959"/>
      <c r="G523" s="959"/>
      <c r="H523" s="959"/>
      <c r="I523" s="959"/>
      <c r="J523" s="959"/>
      <c r="K523" s="959"/>
      <c r="L523" s="958"/>
      <c r="M523" s="910"/>
      <c r="N523" s="910"/>
      <c r="O523" s="910"/>
      <c r="P523" s="910"/>
      <c r="Q523" s="910"/>
      <c r="R523" s="910"/>
      <c r="S523" s="910"/>
      <c r="T523" s="910"/>
      <c r="U523" s="910"/>
      <c r="Y523" s="911"/>
      <c r="AK523" s="883"/>
      <c r="BB523" s="906"/>
    </row>
    <row r="524" spans="1:57" s="892" customFormat="1" ht="15" hidden="1" customHeight="1" outlineLevel="1" x14ac:dyDescent="0.25">
      <c r="A524" s="910"/>
      <c r="B524" s="918"/>
      <c r="C524" s="907"/>
      <c r="D524" s="1642"/>
      <c r="E524" s="1642"/>
      <c r="F524" s="959"/>
      <c r="G524" s="959"/>
      <c r="H524" s="959"/>
      <c r="I524" s="959"/>
      <c r="J524" s="959"/>
      <c r="K524" s="959"/>
      <c r="L524" s="958"/>
      <c r="M524" s="910"/>
      <c r="N524" s="910"/>
      <c r="O524" s="910"/>
      <c r="P524" s="910"/>
      <c r="Q524" s="910"/>
      <c r="R524" s="910"/>
      <c r="S524" s="910"/>
      <c r="T524" s="910"/>
      <c r="U524" s="910"/>
      <c r="Y524" s="911"/>
      <c r="AK524" s="883"/>
      <c r="BB524" s="906"/>
    </row>
    <row r="525" spans="1:57" s="892" customFormat="1" ht="15" hidden="1" customHeight="1" outlineLevel="1" x14ac:dyDescent="0.25">
      <c r="A525" s="910"/>
      <c r="B525" s="918"/>
      <c r="C525" s="907"/>
      <c r="D525" s="1642"/>
      <c r="E525" s="1642"/>
      <c r="F525" s="959"/>
      <c r="G525" s="959"/>
      <c r="H525" s="959"/>
      <c r="I525" s="959"/>
      <c r="J525" s="959"/>
      <c r="K525" s="959"/>
      <c r="L525" s="958"/>
      <c r="M525" s="910"/>
      <c r="N525" s="910"/>
      <c r="O525" s="910"/>
      <c r="P525" s="910"/>
      <c r="Q525" s="910"/>
      <c r="R525" s="910"/>
      <c r="S525" s="910"/>
      <c r="T525" s="910"/>
      <c r="U525" s="910"/>
      <c r="Y525" s="911"/>
      <c r="AK525" s="883"/>
      <c r="BB525" s="906"/>
    </row>
    <row r="526" spans="1:57" s="892" customFormat="1" ht="15" hidden="1" customHeight="1" outlineLevel="1" x14ac:dyDescent="0.25">
      <c r="A526" s="910"/>
      <c r="B526" s="918"/>
      <c r="C526" s="907"/>
      <c r="D526" s="1642"/>
      <c r="E526" s="1641"/>
      <c r="F526" s="959"/>
      <c r="G526" s="1643" t="s">
        <v>1777</v>
      </c>
      <c r="H526" s="959"/>
      <c r="I526" s="959"/>
      <c r="J526" s="959"/>
      <c r="K526" s="959"/>
      <c r="L526" s="958"/>
      <c r="M526" s="910"/>
      <c r="N526" s="910"/>
      <c r="O526" s="910"/>
      <c r="P526" s="910"/>
      <c r="Q526" s="910"/>
      <c r="R526" s="910"/>
      <c r="S526" s="910"/>
      <c r="T526" s="910"/>
      <c r="U526" s="910"/>
      <c r="Y526" s="911"/>
      <c r="AK526" s="883"/>
      <c r="BB526" s="906"/>
    </row>
    <row r="527" spans="1:57" s="892" customFormat="1" ht="15" hidden="1" customHeight="1" outlineLevel="1" x14ac:dyDescent="0.25">
      <c r="A527" s="910"/>
      <c r="B527" s="918"/>
      <c r="C527" s="907"/>
      <c r="D527" s="1642" t="s">
        <v>1778</v>
      </c>
      <c r="E527" s="1642"/>
      <c r="F527" s="959"/>
      <c r="G527" s="959"/>
      <c r="H527" s="576"/>
      <c r="I527" s="959"/>
      <c r="J527" s="959"/>
      <c r="K527" s="959"/>
      <c r="L527" s="958"/>
      <c r="M527" s="910"/>
      <c r="N527" s="910"/>
      <c r="O527" s="910"/>
      <c r="P527" s="910"/>
      <c r="Q527" s="910"/>
      <c r="R527" s="910"/>
      <c r="S527" s="910"/>
      <c r="T527" s="910"/>
      <c r="U527" s="910"/>
      <c r="Y527" s="911"/>
      <c r="AK527" s="883"/>
      <c r="BB527" s="906"/>
    </row>
    <row r="528" spans="1:57" s="892" customFormat="1" ht="15" hidden="1" customHeight="1" outlineLevel="1" x14ac:dyDescent="0.25">
      <c r="A528" s="910"/>
      <c r="B528" s="918"/>
      <c r="C528" s="907"/>
      <c r="D528" s="1642"/>
      <c r="E528" s="828"/>
      <c r="F528" s="959"/>
      <c r="G528" s="959"/>
      <c r="H528" s="959"/>
      <c r="I528" s="959"/>
      <c r="J528" s="959"/>
      <c r="K528" s="959"/>
      <c r="L528" s="958"/>
      <c r="M528" s="910"/>
      <c r="N528" s="910"/>
      <c r="O528" s="910"/>
      <c r="P528" s="910"/>
      <c r="Q528" s="910"/>
      <c r="R528" s="910"/>
      <c r="S528" s="910"/>
      <c r="T528" s="910"/>
      <c r="U528" s="910"/>
      <c r="Y528" s="911"/>
      <c r="AK528" s="883"/>
      <c r="BB528" s="906"/>
    </row>
    <row r="529" spans="1:54" s="892" customFormat="1" ht="15" hidden="1" customHeight="1" outlineLevel="1" x14ac:dyDescent="0.25">
      <c r="A529" s="910"/>
      <c r="B529" s="918"/>
      <c r="C529" s="907"/>
      <c r="D529" s="1642"/>
      <c r="E529" s="1642"/>
      <c r="F529" s="959"/>
      <c r="G529" s="959"/>
      <c r="H529" s="959"/>
      <c r="I529" s="959"/>
      <c r="J529" s="959"/>
      <c r="K529" s="959"/>
      <c r="L529" s="958"/>
      <c r="M529" s="910"/>
      <c r="N529" s="910"/>
      <c r="O529" s="910"/>
      <c r="P529" s="910"/>
      <c r="Q529" s="910"/>
      <c r="R529" s="910"/>
      <c r="S529" s="910"/>
      <c r="T529" s="910"/>
      <c r="U529" s="910"/>
      <c r="Y529" s="911"/>
      <c r="AK529" s="883"/>
      <c r="BB529" s="906"/>
    </row>
    <row r="530" spans="1:54" s="892" customFormat="1" ht="15" hidden="1" customHeight="1" outlineLevel="1" x14ac:dyDescent="0.25">
      <c r="A530" s="910"/>
      <c r="B530" s="918"/>
      <c r="C530" s="907"/>
      <c r="D530" s="1641"/>
      <c r="E530" s="1641"/>
      <c r="F530" s="958"/>
      <c r="G530" s="958"/>
      <c r="H530" s="958"/>
      <c r="I530" s="958"/>
      <c r="J530" s="958"/>
      <c r="K530" s="958"/>
      <c r="L530" s="958"/>
      <c r="M530" s="910"/>
      <c r="N530" s="910"/>
      <c r="O530" s="910"/>
      <c r="P530" s="910"/>
      <c r="Q530" s="910"/>
      <c r="R530" s="910"/>
      <c r="S530" s="910"/>
      <c r="T530" s="910"/>
      <c r="U530" s="910"/>
      <c r="Y530" s="911"/>
      <c r="AK530" s="883"/>
      <c r="BB530" s="906"/>
    </row>
    <row r="531" spans="1:54" s="892" customFormat="1" ht="15" hidden="1" customHeight="1" outlineLevel="1" x14ac:dyDescent="0.25">
      <c r="A531" s="910"/>
      <c r="B531" s="918"/>
      <c r="C531" s="907"/>
      <c r="D531" s="3236" t="s">
        <v>109</v>
      </c>
      <c r="E531" s="3236" t="s">
        <v>110</v>
      </c>
      <c r="F531" s="3086" t="s">
        <v>186</v>
      </c>
      <c r="G531" s="3086" t="s">
        <v>112</v>
      </c>
      <c r="H531" s="3773" t="s">
        <v>187</v>
      </c>
      <c r="I531" s="3923"/>
      <c r="J531" s="3773" t="s">
        <v>113</v>
      </c>
      <c r="K531" s="3773"/>
      <c r="L531" s="3773"/>
      <c r="M531" s="910"/>
      <c r="N531" s="910"/>
      <c r="O531" s="910"/>
      <c r="P531" s="910"/>
      <c r="Q531" s="910"/>
      <c r="R531" s="910"/>
      <c r="S531" s="910"/>
      <c r="T531" s="910"/>
      <c r="U531" s="910"/>
      <c r="V531" s="1936" t="s">
        <v>45</v>
      </c>
      <c r="W531" s="1937">
        <f>W$6</f>
        <v>43252</v>
      </c>
      <c r="X531" s="1937">
        <f t="shared" ref="X531:AG531" si="65">X$6</f>
        <v>43465</v>
      </c>
      <c r="Y531" s="360">
        <f t="shared" si="65"/>
        <v>43800</v>
      </c>
      <c r="Z531" s="1937">
        <f t="shared" si="65"/>
        <v>43862</v>
      </c>
      <c r="AA531" s="1937">
        <f t="shared" si="65"/>
        <v>44013</v>
      </c>
      <c r="AB531" s="1937">
        <f t="shared" si="65"/>
        <v>44166</v>
      </c>
      <c r="AC531" s="1937">
        <f t="shared" si="65"/>
        <v>44531</v>
      </c>
      <c r="AD531" s="1937" t="str">
        <f t="shared" si="65"/>
        <v>-</v>
      </c>
      <c r="AE531" s="1937" t="str">
        <f t="shared" si="65"/>
        <v>-</v>
      </c>
      <c r="AF531" s="1937" t="str">
        <f t="shared" si="65"/>
        <v>-</v>
      </c>
      <c r="AG531" s="1937" t="str">
        <f t="shared" si="65"/>
        <v>-</v>
      </c>
      <c r="AK531" s="883"/>
      <c r="BB531" s="906"/>
    </row>
    <row r="532" spans="1:54" s="892" customFormat="1" hidden="1" outlineLevel="1" x14ac:dyDescent="0.25">
      <c r="A532" s="910"/>
      <c r="B532" s="918"/>
      <c r="C532" s="907"/>
      <c r="D532" s="3204" t="s">
        <v>1779</v>
      </c>
      <c r="E532" s="3215" t="s">
        <v>1780</v>
      </c>
      <c r="F532" s="1644"/>
      <c r="G532" s="1645">
        <v>4</v>
      </c>
      <c r="H532" s="4151" t="s">
        <v>1781</v>
      </c>
      <c r="I532" s="4251"/>
      <c r="J532" s="4151"/>
      <c r="K532" s="4151"/>
      <c r="L532" s="4151"/>
      <c r="M532" s="910"/>
      <c r="N532" s="910"/>
      <c r="O532" s="910"/>
      <c r="P532" s="910"/>
      <c r="Q532" s="910"/>
      <c r="R532" s="910"/>
      <c r="S532" s="910"/>
      <c r="T532" s="910"/>
      <c r="U532" s="910"/>
      <c r="V532" s="924" t="str">
        <f>D532</f>
        <v>Rexisting</v>
      </c>
      <c r="W532" s="960">
        <v>4</v>
      </c>
      <c r="X532" s="960">
        <v>4</v>
      </c>
      <c r="Y532" s="960">
        <v>4</v>
      </c>
      <c r="Z532" s="1645">
        <v>4</v>
      </c>
      <c r="AA532" s="1645">
        <v>4</v>
      </c>
      <c r="AB532" s="1645">
        <v>4</v>
      </c>
      <c r="AC532" s="1645">
        <v>4</v>
      </c>
      <c r="AD532" s="960"/>
      <c r="AE532" s="960"/>
      <c r="AF532" s="960"/>
      <c r="AG532" s="960"/>
      <c r="AK532" s="883"/>
      <c r="BB532" s="906"/>
    </row>
    <row r="533" spans="1:54" s="892" customFormat="1" hidden="1" outlineLevel="1" x14ac:dyDescent="0.25">
      <c r="A533" s="910"/>
      <c r="B533" s="918"/>
      <c r="C533" s="907"/>
      <c r="D533" s="3204" t="s">
        <v>1782</v>
      </c>
      <c r="E533" s="3215" t="s">
        <v>1783</v>
      </c>
      <c r="F533" s="1644"/>
      <c r="G533" s="1645">
        <v>8</v>
      </c>
      <c r="H533" s="4151" t="s">
        <v>1784</v>
      </c>
      <c r="I533" s="4251"/>
      <c r="J533" s="4151"/>
      <c r="K533" s="4151"/>
      <c r="L533" s="4151"/>
      <c r="M533" s="910"/>
      <c r="N533" s="910"/>
      <c r="O533" s="910"/>
      <c r="P533" s="910"/>
      <c r="Q533" s="910"/>
      <c r="R533" s="910"/>
      <c r="S533" s="910"/>
      <c r="T533" s="910"/>
      <c r="U533" s="910"/>
      <c r="V533" s="924" t="str">
        <f t="shared" ref="V533:V550" si="66">D533</f>
        <v>Rnew</v>
      </c>
      <c r="W533" s="960">
        <v>8</v>
      </c>
      <c r="X533" s="960">
        <v>8</v>
      </c>
      <c r="Y533" s="960">
        <v>8</v>
      </c>
      <c r="Z533" s="1645">
        <v>8</v>
      </c>
      <c r="AA533" s="1645">
        <v>8</v>
      </c>
      <c r="AB533" s="1645">
        <v>8</v>
      </c>
      <c r="AC533" s="1645">
        <v>8</v>
      </c>
      <c r="AD533" s="960"/>
      <c r="AE533" s="960"/>
      <c r="AF533" s="960"/>
      <c r="AG533" s="960"/>
      <c r="AK533" s="883"/>
      <c r="BB533" s="906"/>
    </row>
    <row r="534" spans="1:54" s="892" customFormat="1" hidden="1" outlineLevel="1" x14ac:dyDescent="0.25">
      <c r="A534" s="910"/>
      <c r="B534" s="910"/>
      <c r="C534" s="907"/>
      <c r="D534" s="4237" t="s">
        <v>1785</v>
      </c>
      <c r="E534" s="4285" t="s">
        <v>1786</v>
      </c>
      <c r="F534" s="3099" t="s">
        <v>1787</v>
      </c>
      <c r="G534" s="1646">
        <f>SQRT(F$85)*((12+30+12+30)/12)</f>
        <v>7</v>
      </c>
      <c r="H534" s="4311" t="s">
        <v>1788</v>
      </c>
      <c r="I534" s="4312"/>
      <c r="J534" s="4151"/>
      <c r="K534" s="4151"/>
      <c r="L534" s="4151"/>
      <c r="M534" s="910"/>
      <c r="N534" s="910"/>
      <c r="O534" s="910"/>
      <c r="P534" s="910"/>
      <c r="Q534" s="910"/>
      <c r="R534" s="910"/>
      <c r="S534" s="910"/>
      <c r="T534" s="910"/>
      <c r="U534" s="910"/>
      <c r="V534" s="951" t="str">
        <f>F534</f>
        <v xml:space="preserve">Area - Single Family </v>
      </c>
      <c r="W534" s="961">
        <f>SQRT(W$85)*((12+30+12+30)/12)</f>
        <v>260.69714229350501</v>
      </c>
      <c r="X534" s="961">
        <f>SQRT(X$85)*((12+30+12+30)/12)</f>
        <v>260.69714229350501</v>
      </c>
      <c r="Y534" s="961">
        <f>SQRT(Y$85)*((12+30+12+30)/12)</f>
        <v>7</v>
      </c>
      <c r="Z534" s="1646">
        <f t="shared" ref="Z534:AA534" si="67">SQRT(Z$85)*((12+30+12+30)/12)</f>
        <v>7</v>
      </c>
      <c r="AA534" s="1646">
        <f t="shared" si="67"/>
        <v>7</v>
      </c>
      <c r="AB534" s="1646">
        <v>7</v>
      </c>
      <c r="AC534" s="1646">
        <v>7</v>
      </c>
      <c r="AD534" s="961"/>
      <c r="AE534" s="961"/>
      <c r="AF534" s="961"/>
      <c r="AG534" s="961"/>
      <c r="AK534" s="883"/>
      <c r="BB534" s="906"/>
    </row>
    <row r="535" spans="1:54" s="892" customFormat="1" hidden="1" outlineLevel="1" x14ac:dyDescent="0.25">
      <c r="A535" s="910"/>
      <c r="B535" s="910"/>
      <c r="C535" s="907"/>
      <c r="D535" s="4238"/>
      <c r="E535" s="3822"/>
      <c r="F535" s="3099" t="s">
        <v>1789</v>
      </c>
      <c r="G535" s="1647">
        <f>SQRT(F$88)*((12+30+12+30)/12)</f>
        <v>7</v>
      </c>
      <c r="H535" s="4151" t="s">
        <v>1788</v>
      </c>
      <c r="I535" s="4151"/>
      <c r="J535" s="4150"/>
      <c r="K535" s="4151"/>
      <c r="L535" s="4151"/>
      <c r="M535" s="910"/>
      <c r="N535" s="910"/>
      <c r="O535" s="910"/>
      <c r="P535" s="910"/>
      <c r="Q535" s="910"/>
      <c r="R535" s="910"/>
      <c r="S535" s="910"/>
      <c r="T535" s="910"/>
      <c r="U535" s="910"/>
      <c r="V535" s="951" t="str">
        <f>F535</f>
        <v>Area - Mobile Home</v>
      </c>
      <c r="W535" s="962">
        <f>SQRT(W$88)*((12+30+12+30)/12)</f>
        <v>230.04347415216975</v>
      </c>
      <c r="X535" s="962">
        <f>SQRT(X$88)*((12+30+12+30)/12)</f>
        <v>230.04347415216975</v>
      </c>
      <c r="Y535" s="962">
        <f>SQRT(Y$88)*((12+30+12+30)/12)</f>
        <v>7</v>
      </c>
      <c r="Z535" s="1647">
        <f t="shared" ref="Z535:AA535" si="68">SQRT(Z$88)*((12+30+12+30)/12)</f>
        <v>7</v>
      </c>
      <c r="AA535" s="1647">
        <f t="shared" si="68"/>
        <v>7</v>
      </c>
      <c r="AB535" s="1647">
        <v>7</v>
      </c>
      <c r="AC535" s="1647">
        <v>7</v>
      </c>
      <c r="AD535" s="962"/>
      <c r="AE535" s="962"/>
      <c r="AF535" s="962"/>
      <c r="AG535" s="961"/>
      <c r="AK535" s="883"/>
      <c r="BB535" s="906"/>
    </row>
    <row r="536" spans="1:54" s="892" customFormat="1" hidden="1" outlineLevel="1" x14ac:dyDescent="0.25">
      <c r="A536" s="910"/>
      <c r="B536" s="910"/>
      <c r="C536" s="907"/>
      <c r="D536" s="1648" t="s">
        <v>1119</v>
      </c>
      <c r="E536" s="3099" t="s">
        <v>1790</v>
      </c>
      <c r="F536" s="3099"/>
      <c r="G536" s="1649">
        <v>869</v>
      </c>
      <c r="H536" s="4322" t="s">
        <v>1791</v>
      </c>
      <c r="I536" s="4323"/>
      <c r="J536" s="4324" t="s">
        <v>1792</v>
      </c>
      <c r="K536" s="4324"/>
      <c r="L536" s="4324"/>
      <c r="M536" s="1650"/>
      <c r="N536" s="910"/>
      <c r="O536" s="910"/>
      <c r="P536" s="910"/>
      <c r="Q536" s="910"/>
      <c r="R536" s="910"/>
      <c r="S536" s="910"/>
      <c r="T536" s="910"/>
      <c r="U536" s="910"/>
      <c r="V536" s="924" t="str">
        <f t="shared" si="66"/>
        <v>EFLHcool</v>
      </c>
      <c r="W536" s="203">
        <v>869</v>
      </c>
      <c r="X536" s="203">
        <v>869</v>
      </c>
      <c r="Y536" s="203">
        <v>869</v>
      </c>
      <c r="Z536" s="1649">
        <v>869</v>
      </c>
      <c r="AA536" s="1649">
        <v>869</v>
      </c>
      <c r="AB536" s="1649">
        <v>869</v>
      </c>
      <c r="AC536" s="1649">
        <v>869</v>
      </c>
      <c r="AD536" s="203"/>
      <c r="AE536" s="203"/>
      <c r="AF536" s="203"/>
      <c r="AG536" s="203"/>
      <c r="AK536" s="883"/>
      <c r="BB536" s="906"/>
    </row>
    <row r="537" spans="1:54" s="892" customFormat="1" ht="45" hidden="1" outlineLevel="1" x14ac:dyDescent="0.25">
      <c r="A537" s="910"/>
      <c r="B537" s="910"/>
      <c r="C537" s="907"/>
      <c r="D537" s="1648" t="s">
        <v>1793</v>
      </c>
      <c r="E537" s="3099" t="s">
        <v>1794</v>
      </c>
      <c r="F537" s="3099"/>
      <c r="G537" s="1649">
        <v>20.8</v>
      </c>
      <c r="H537" s="4232" t="s">
        <v>1795</v>
      </c>
      <c r="I537" s="4258"/>
      <c r="J537" s="4236" t="s">
        <v>1792</v>
      </c>
      <c r="K537" s="4236"/>
      <c r="L537" s="4236"/>
      <c r="M537" s="1650"/>
      <c r="N537" s="910"/>
      <c r="O537" s="910"/>
      <c r="P537" s="910"/>
      <c r="Q537" s="910"/>
      <c r="R537" s="910"/>
      <c r="S537" s="910"/>
      <c r="T537" s="910"/>
      <c r="U537" s="910"/>
      <c r="V537" s="924" t="str">
        <f t="shared" si="66"/>
        <v>ΔTAVG, cooling</v>
      </c>
      <c r="W537" s="203">
        <v>20.8</v>
      </c>
      <c r="X537" s="203">
        <v>20.8</v>
      </c>
      <c r="Y537" s="203">
        <v>20.8</v>
      </c>
      <c r="Z537" s="1649">
        <v>20.8</v>
      </c>
      <c r="AA537" s="1649">
        <v>20.8</v>
      </c>
      <c r="AB537" s="1649">
        <v>20.8</v>
      </c>
      <c r="AC537" s="1649">
        <v>20.8</v>
      </c>
      <c r="AD537" s="203"/>
      <c r="AE537" s="203"/>
      <c r="AF537" s="203"/>
      <c r="AG537" s="203"/>
      <c r="AK537" s="883"/>
      <c r="BB537" s="906"/>
    </row>
    <row r="538" spans="1:54" s="892" customFormat="1" hidden="1" outlineLevel="1" x14ac:dyDescent="0.25">
      <c r="A538" s="910"/>
      <c r="B538" s="910"/>
      <c r="C538" s="907"/>
      <c r="D538" s="1648">
        <v>1000</v>
      </c>
      <c r="E538" s="3099" t="s">
        <v>1609</v>
      </c>
      <c r="F538" s="3099"/>
      <c r="G538" s="1649">
        <v>1000</v>
      </c>
      <c r="H538" s="3776" t="s">
        <v>1610</v>
      </c>
      <c r="I538" s="3904"/>
      <c r="J538" s="4236" t="s">
        <v>1792</v>
      </c>
      <c r="K538" s="4236"/>
      <c r="L538" s="4236"/>
      <c r="M538" s="1650"/>
      <c r="N538" s="910"/>
      <c r="O538" s="910"/>
      <c r="P538" s="910"/>
      <c r="Q538" s="910"/>
      <c r="R538" s="910"/>
      <c r="S538" s="910"/>
      <c r="T538" s="910"/>
      <c r="U538" s="910"/>
      <c r="V538" s="924">
        <f t="shared" si="66"/>
        <v>1000</v>
      </c>
      <c r="W538" s="203">
        <v>1000</v>
      </c>
      <c r="X538" s="203">
        <v>1000</v>
      </c>
      <c r="Y538" s="203">
        <v>1000</v>
      </c>
      <c r="Z538" s="1649">
        <v>1000</v>
      </c>
      <c r="AA538" s="1649">
        <v>1000</v>
      </c>
      <c r="AB538" s="1649">
        <v>1000</v>
      </c>
      <c r="AC538" s="1649">
        <v>1000</v>
      </c>
      <c r="AD538" s="203"/>
      <c r="AE538" s="203"/>
      <c r="AF538" s="203"/>
      <c r="AG538" s="203"/>
      <c r="AK538" s="883"/>
      <c r="BB538" s="906"/>
    </row>
    <row r="539" spans="1:54" s="892" customFormat="1" hidden="1" outlineLevel="1" x14ac:dyDescent="0.25">
      <c r="A539" s="910"/>
      <c r="B539" s="910"/>
      <c r="C539" s="907"/>
      <c r="D539" s="1648" t="s">
        <v>324</v>
      </c>
      <c r="E539" s="3099" t="s">
        <v>1796</v>
      </c>
      <c r="F539" s="3099"/>
      <c r="G539" s="1649">
        <v>10</v>
      </c>
      <c r="H539" s="4232" t="s">
        <v>1797</v>
      </c>
      <c r="I539" s="4258"/>
      <c r="J539" s="4236" t="s">
        <v>1798</v>
      </c>
      <c r="K539" s="4236"/>
      <c r="L539" s="4236"/>
      <c r="M539" s="1650"/>
      <c r="N539" s="910"/>
      <c r="O539" s="910"/>
      <c r="P539" s="910"/>
      <c r="Q539" s="910"/>
      <c r="R539" s="910"/>
      <c r="S539" s="910"/>
      <c r="T539" s="910"/>
      <c r="U539" s="910"/>
      <c r="V539" s="924" t="str">
        <f t="shared" si="66"/>
        <v>SEER</v>
      </c>
      <c r="W539" s="203">
        <v>10</v>
      </c>
      <c r="X539" s="203">
        <v>10</v>
      </c>
      <c r="Y539" s="203">
        <v>10</v>
      </c>
      <c r="Z539" s="1649">
        <v>10</v>
      </c>
      <c r="AA539" s="1649">
        <v>10</v>
      </c>
      <c r="AB539" s="1649">
        <v>10</v>
      </c>
      <c r="AC539" s="1649">
        <v>10</v>
      </c>
      <c r="AD539" s="203"/>
      <c r="AE539" s="203"/>
      <c r="AF539" s="203"/>
      <c r="AG539" s="203"/>
      <c r="AK539" s="883"/>
      <c r="BB539" s="906"/>
    </row>
    <row r="540" spans="1:54" s="892" customFormat="1" hidden="1" outlineLevel="1" x14ac:dyDescent="0.25">
      <c r="A540" s="910"/>
      <c r="B540" s="910"/>
      <c r="C540" s="907"/>
      <c r="D540" s="1648" t="s">
        <v>1104</v>
      </c>
      <c r="E540" s="3099" t="s">
        <v>1151</v>
      </c>
      <c r="F540" s="3099"/>
      <c r="G540" s="1649">
        <v>1496</v>
      </c>
      <c r="H540" s="4322" t="s">
        <v>1791</v>
      </c>
      <c r="I540" s="4323"/>
      <c r="J540" s="4324" t="s">
        <v>1792</v>
      </c>
      <c r="K540" s="4324"/>
      <c r="L540" s="4324"/>
      <c r="M540" s="1650"/>
      <c r="N540" s="910"/>
      <c r="O540" s="910"/>
      <c r="P540" s="910"/>
      <c r="Q540" s="910"/>
      <c r="R540" s="910"/>
      <c r="S540" s="910"/>
      <c r="T540" s="910"/>
      <c r="U540" s="910"/>
      <c r="V540" s="924" t="str">
        <f t="shared" si="66"/>
        <v>EFLHheat</v>
      </c>
      <c r="W540" s="203">
        <v>2009</v>
      </c>
      <c r="X540" s="203">
        <v>2009</v>
      </c>
      <c r="Y540" s="963">
        <v>1496</v>
      </c>
      <c r="Z540" s="1649">
        <v>1496</v>
      </c>
      <c r="AA540" s="1649">
        <v>1496</v>
      </c>
      <c r="AB540" s="1649">
        <v>1496</v>
      </c>
      <c r="AC540" s="1649">
        <v>1496</v>
      </c>
      <c r="AD540" s="203"/>
      <c r="AE540" s="203"/>
      <c r="AF540" s="203"/>
      <c r="AG540" s="203"/>
      <c r="AK540" s="883"/>
      <c r="BB540" s="906"/>
    </row>
    <row r="541" spans="1:54" s="892" customFormat="1" ht="30" hidden="1" outlineLevel="1" x14ac:dyDescent="0.25">
      <c r="A541" s="910"/>
      <c r="B541" s="910"/>
      <c r="C541" s="907"/>
      <c r="D541" s="1648" t="s">
        <v>1799</v>
      </c>
      <c r="E541" s="3099" t="s">
        <v>1800</v>
      </c>
      <c r="F541" s="3099"/>
      <c r="G541" s="1649">
        <v>71.8</v>
      </c>
      <c r="H541" s="4232" t="s">
        <v>1795</v>
      </c>
      <c r="I541" s="4258"/>
      <c r="J541" s="4236" t="s">
        <v>1792</v>
      </c>
      <c r="K541" s="4236"/>
      <c r="L541" s="4236"/>
      <c r="M541" s="1650"/>
      <c r="N541" s="910"/>
      <c r="O541" s="910"/>
      <c r="P541" s="910"/>
      <c r="Q541" s="910"/>
      <c r="R541" s="910"/>
      <c r="S541" s="910"/>
      <c r="T541" s="910"/>
      <c r="U541" s="910"/>
      <c r="V541" s="924" t="str">
        <f t="shared" si="66"/>
        <v>ΔTAVG, heating</v>
      </c>
      <c r="W541" s="203">
        <v>71.8</v>
      </c>
      <c r="X541" s="203">
        <v>71.8</v>
      </c>
      <c r="Y541" s="203">
        <v>71.8</v>
      </c>
      <c r="Z541" s="1649">
        <v>71.8</v>
      </c>
      <c r="AA541" s="1649">
        <v>71.8</v>
      </c>
      <c r="AB541" s="1649">
        <v>71.8</v>
      </c>
      <c r="AC541" s="1649">
        <v>71.8</v>
      </c>
      <c r="AD541" s="203"/>
      <c r="AE541" s="203"/>
      <c r="AF541" s="203"/>
      <c r="AG541" s="203"/>
      <c r="AK541" s="883"/>
      <c r="BB541" s="906"/>
    </row>
    <row r="542" spans="1:54" s="892" customFormat="1" hidden="1" outlineLevel="1" x14ac:dyDescent="0.25">
      <c r="A542" s="910"/>
      <c r="B542" s="910"/>
      <c r="C542" s="907"/>
      <c r="D542" s="1648">
        <v>3412</v>
      </c>
      <c r="E542" s="3099" t="s">
        <v>749</v>
      </c>
      <c r="F542" s="3099"/>
      <c r="G542" s="1649">
        <v>3412</v>
      </c>
      <c r="H542" s="3910" t="s">
        <v>730</v>
      </c>
      <c r="I542" s="3942"/>
      <c r="J542" s="3902" t="s">
        <v>1801</v>
      </c>
      <c r="K542" s="3902"/>
      <c r="L542" s="3902"/>
      <c r="M542" s="1650"/>
      <c r="N542" s="910"/>
      <c r="O542" s="910"/>
      <c r="P542" s="910"/>
      <c r="Q542" s="910"/>
      <c r="R542" s="910"/>
      <c r="S542" s="910"/>
      <c r="T542" s="910"/>
      <c r="U542" s="910"/>
      <c r="V542" s="924">
        <f t="shared" si="66"/>
        <v>3412</v>
      </c>
      <c r="W542" s="203">
        <v>3412</v>
      </c>
      <c r="X542" s="203">
        <v>3412</v>
      </c>
      <c r="Y542" s="203">
        <v>3412</v>
      </c>
      <c r="Z542" s="1649">
        <v>3412</v>
      </c>
      <c r="AA542" s="1649">
        <v>3412</v>
      </c>
      <c r="AB542" s="1649">
        <v>3412</v>
      </c>
      <c r="AC542" s="1649">
        <v>3412</v>
      </c>
      <c r="AD542" s="203"/>
      <c r="AE542" s="203"/>
      <c r="AF542" s="203"/>
      <c r="AG542" s="203"/>
      <c r="AK542" s="883"/>
      <c r="BB542" s="906"/>
    </row>
    <row r="543" spans="1:54" s="892" customFormat="1" hidden="1" outlineLevel="1" x14ac:dyDescent="0.25">
      <c r="A543" s="910"/>
      <c r="B543" s="910"/>
      <c r="C543" s="907"/>
      <c r="D543" s="1648" t="s">
        <v>1802</v>
      </c>
      <c r="E543" s="3099" t="s">
        <v>1803</v>
      </c>
      <c r="F543" s="3099"/>
      <c r="G543" s="194">
        <v>1</v>
      </c>
      <c r="H543" s="4232" t="s">
        <v>1804</v>
      </c>
      <c r="I543" s="4258"/>
      <c r="J543" s="4236" t="s">
        <v>1792</v>
      </c>
      <c r="K543" s="4236"/>
      <c r="L543" s="4236"/>
      <c r="M543" s="1650"/>
      <c r="N543" s="910"/>
      <c r="O543" s="910"/>
      <c r="P543" s="910"/>
      <c r="Q543" s="910"/>
      <c r="R543" s="910"/>
      <c r="S543" s="910"/>
      <c r="T543" s="910"/>
      <c r="U543" s="910"/>
      <c r="V543" s="924" t="str">
        <f t="shared" si="66"/>
        <v>COP</v>
      </c>
      <c r="W543" s="193">
        <v>1</v>
      </c>
      <c r="X543" s="193">
        <v>1</v>
      </c>
      <c r="Y543" s="193">
        <v>1</v>
      </c>
      <c r="Z543" s="194">
        <v>1</v>
      </c>
      <c r="AA543" s="194">
        <v>1</v>
      </c>
      <c r="AB543" s="194">
        <v>1</v>
      </c>
      <c r="AC543" s="194">
        <v>1</v>
      </c>
      <c r="AD543" s="193"/>
      <c r="AE543" s="193"/>
      <c r="AF543" s="193"/>
      <c r="AG543" s="193"/>
      <c r="AK543" s="883"/>
      <c r="BB543" s="906"/>
    </row>
    <row r="544" spans="1:54" s="892" customFormat="1" ht="30" hidden="1" outlineLevel="1" x14ac:dyDescent="0.25">
      <c r="A544" s="910"/>
      <c r="B544" s="910"/>
      <c r="C544" s="907"/>
      <c r="D544" s="1648" t="s">
        <v>1805</v>
      </c>
      <c r="E544" s="3099" t="s">
        <v>1806</v>
      </c>
      <c r="F544" s="3099"/>
      <c r="G544" s="1651">
        <v>3.1399999999999997E-2</v>
      </c>
      <c r="H544" s="4232" t="s">
        <v>1807</v>
      </c>
      <c r="I544" s="4258"/>
      <c r="J544" s="4236" t="s">
        <v>1792</v>
      </c>
      <c r="K544" s="4236"/>
      <c r="L544" s="4236"/>
      <c r="M544" s="1650"/>
      <c r="N544" s="910"/>
      <c r="O544" s="910"/>
      <c r="P544" s="910"/>
      <c r="Q544" s="910"/>
      <c r="R544" s="910"/>
      <c r="S544" s="910"/>
      <c r="T544" s="910"/>
      <c r="U544" s="910"/>
      <c r="V544" s="924" t="str">
        <f t="shared" si="66"/>
        <v>Fe</v>
      </c>
      <c r="W544" s="964">
        <v>3.1399999999999997E-2</v>
      </c>
      <c r="X544" s="964">
        <v>3.1399999999999997E-2</v>
      </c>
      <c r="Y544" s="964">
        <v>3.1399999999999997E-2</v>
      </c>
      <c r="Z544" s="1651">
        <v>3.1399999999999997E-2</v>
      </c>
      <c r="AA544" s="1651">
        <v>3.1399999999999997E-2</v>
      </c>
      <c r="AB544" s="1651">
        <v>3.1399999999999997E-2</v>
      </c>
      <c r="AC544" s="1651">
        <v>3.1399999999999997E-2</v>
      </c>
      <c r="AD544" s="964"/>
      <c r="AE544" s="964"/>
      <c r="AF544" s="964"/>
      <c r="AG544" s="964"/>
      <c r="AK544" s="883"/>
      <c r="BB544" s="906"/>
    </row>
    <row r="545" spans="1:57" s="892" customFormat="1" hidden="1" outlineLevel="1" x14ac:dyDescent="0.25">
      <c r="A545" s="910"/>
      <c r="B545" s="910"/>
      <c r="C545" s="907"/>
      <c r="D545" s="1648">
        <v>29.3</v>
      </c>
      <c r="E545" s="3099" t="s">
        <v>1808</v>
      </c>
      <c r="F545" s="3099"/>
      <c r="G545" s="3216">
        <v>29.3</v>
      </c>
      <c r="H545" s="4232" t="s">
        <v>1809</v>
      </c>
      <c r="I545" s="4258"/>
      <c r="J545" s="4236" t="s">
        <v>1792</v>
      </c>
      <c r="K545" s="4236"/>
      <c r="L545" s="4236"/>
      <c r="M545" s="1650"/>
      <c r="N545" s="910"/>
      <c r="O545" s="910"/>
      <c r="P545" s="910"/>
      <c r="Q545" s="910"/>
      <c r="R545" s="910"/>
      <c r="S545" s="910"/>
      <c r="T545" s="910"/>
      <c r="U545" s="910"/>
      <c r="V545" s="924">
        <f t="shared" si="66"/>
        <v>29.3</v>
      </c>
      <c r="W545" s="198">
        <v>29.3</v>
      </c>
      <c r="X545" s="198">
        <v>29.3</v>
      </c>
      <c r="Y545" s="198">
        <v>29.3</v>
      </c>
      <c r="Z545" s="3216">
        <v>29.3</v>
      </c>
      <c r="AA545" s="3216">
        <v>29.3</v>
      </c>
      <c r="AB545" s="3216">
        <v>29.3</v>
      </c>
      <c r="AC545" s="3216">
        <v>29.3</v>
      </c>
      <c r="AD545" s="198"/>
      <c r="AE545" s="198"/>
      <c r="AF545" s="198"/>
      <c r="AG545" s="198"/>
      <c r="AK545" s="883"/>
      <c r="BB545" s="906"/>
    </row>
    <row r="546" spans="1:57" s="892" customFormat="1" hidden="1" outlineLevel="1" x14ac:dyDescent="0.25">
      <c r="A546" s="910"/>
      <c r="B546" s="910"/>
      <c r="C546" s="907"/>
      <c r="D546" s="1652">
        <v>100000</v>
      </c>
      <c r="E546" s="3099" t="s">
        <v>1810</v>
      </c>
      <c r="F546" s="3099"/>
      <c r="G546" s="1649">
        <v>100000</v>
      </c>
      <c r="H546" s="4232" t="s">
        <v>1811</v>
      </c>
      <c r="I546" s="4258"/>
      <c r="J546" s="3902" t="s">
        <v>1812</v>
      </c>
      <c r="K546" s="3902"/>
      <c r="L546" s="3902"/>
      <c r="M546" s="1650"/>
      <c r="N546" s="910"/>
      <c r="O546" s="910"/>
      <c r="P546" s="910"/>
      <c r="Q546" s="910"/>
      <c r="R546" s="910"/>
      <c r="S546" s="910"/>
      <c r="T546" s="910"/>
      <c r="U546" s="910"/>
      <c r="V546" s="924">
        <f t="shared" si="66"/>
        <v>100000</v>
      </c>
      <c r="W546" s="203">
        <v>100000</v>
      </c>
      <c r="X546" s="203">
        <v>100000</v>
      </c>
      <c r="Y546" s="203">
        <v>100000</v>
      </c>
      <c r="Z546" s="1649">
        <v>100000</v>
      </c>
      <c r="AA546" s="1649">
        <v>100000</v>
      </c>
      <c r="AB546" s="1649">
        <v>100000</v>
      </c>
      <c r="AC546" s="1649">
        <v>100000</v>
      </c>
      <c r="AD546" s="203"/>
      <c r="AE546" s="203"/>
      <c r="AF546" s="203"/>
      <c r="AG546" s="203"/>
      <c r="AK546" s="883"/>
      <c r="BB546" s="906"/>
    </row>
    <row r="547" spans="1:57" s="892" customFormat="1" ht="18" hidden="1" outlineLevel="1" x14ac:dyDescent="0.25">
      <c r="A547" s="910"/>
      <c r="B547" s="910"/>
      <c r="C547" s="907"/>
      <c r="D547" s="1653" t="s">
        <v>1813</v>
      </c>
      <c r="E547" s="3099" t="s">
        <v>1814</v>
      </c>
      <c r="F547" s="3099"/>
      <c r="G547" s="1654">
        <v>0.78</v>
      </c>
      <c r="H547" s="4151"/>
      <c r="I547" s="4251"/>
      <c r="J547" s="3902" t="s">
        <v>1812</v>
      </c>
      <c r="K547" s="3902"/>
      <c r="L547" s="3902"/>
      <c r="M547" s="1650"/>
      <c r="N547" s="910"/>
      <c r="O547" s="910"/>
      <c r="P547" s="910"/>
      <c r="Q547" s="910"/>
      <c r="R547" s="910"/>
      <c r="S547" s="910"/>
      <c r="T547" s="910"/>
      <c r="U547" s="910"/>
      <c r="V547" s="924" t="str">
        <f t="shared" si="66"/>
        <v>Effheat</v>
      </c>
      <c r="W547" s="965">
        <v>0.78</v>
      </c>
      <c r="X547" s="965">
        <v>0.78</v>
      </c>
      <c r="Y547" s="965">
        <v>0.78</v>
      </c>
      <c r="Z547" s="1654">
        <v>0.78</v>
      </c>
      <c r="AA547" s="1654">
        <v>0.78</v>
      </c>
      <c r="AB547" s="1654">
        <v>0.78</v>
      </c>
      <c r="AC547" s="1654">
        <v>0.78</v>
      </c>
      <c r="AD547" s="965"/>
      <c r="AE547" s="965"/>
      <c r="AF547" s="965"/>
      <c r="AG547" s="965"/>
      <c r="AK547" s="883"/>
      <c r="BB547" s="906"/>
    </row>
    <row r="548" spans="1:57" s="892" customFormat="1" hidden="1" outlineLevel="1" x14ac:dyDescent="0.25">
      <c r="A548" s="910"/>
      <c r="B548" s="910"/>
      <c r="C548" s="907"/>
      <c r="D548" s="3089" t="s">
        <v>592</v>
      </c>
      <c r="E548" s="3089" t="s">
        <v>1815</v>
      </c>
      <c r="F548" s="3089"/>
      <c r="G548" s="1040">
        <v>1</v>
      </c>
      <c r="H548" s="3867" t="s">
        <v>600</v>
      </c>
      <c r="I548" s="3927"/>
      <c r="J548" s="4236" t="s">
        <v>1816</v>
      </c>
      <c r="K548" s="4236"/>
      <c r="L548" s="4236"/>
      <c r="M548" s="1650"/>
      <c r="N548" s="910"/>
      <c r="O548" s="910"/>
      <c r="P548" s="910"/>
      <c r="Q548" s="910"/>
      <c r="R548" s="910"/>
      <c r="S548" s="910"/>
      <c r="T548" s="910"/>
      <c r="U548" s="910"/>
      <c r="V548" s="924" t="str">
        <f t="shared" si="66"/>
        <v>Electric Saturation</v>
      </c>
      <c r="W548" s="966">
        <v>1</v>
      </c>
      <c r="X548" s="966">
        <v>1</v>
      </c>
      <c r="Y548" s="966">
        <v>1</v>
      </c>
      <c r="Z548" s="1040">
        <v>1</v>
      </c>
      <c r="AA548" s="1040">
        <v>1</v>
      </c>
      <c r="AB548" s="1040">
        <v>1</v>
      </c>
      <c r="AC548" s="1040">
        <v>1</v>
      </c>
      <c r="AD548" s="966"/>
      <c r="AE548" s="966"/>
      <c r="AF548" s="966"/>
      <c r="AG548" s="966"/>
      <c r="AK548" s="883"/>
      <c r="BB548" s="906"/>
    </row>
    <row r="549" spans="1:57" s="892" customFormat="1" hidden="1" outlineLevel="1" x14ac:dyDescent="0.25">
      <c r="A549" s="910"/>
      <c r="B549" s="910"/>
      <c r="C549" s="907"/>
      <c r="D549" s="3089" t="s">
        <v>531</v>
      </c>
      <c r="E549" s="3089" t="s">
        <v>595</v>
      </c>
      <c r="F549" s="3089"/>
      <c r="G549" s="1040">
        <v>1</v>
      </c>
      <c r="H549" s="3867" t="s">
        <v>600</v>
      </c>
      <c r="I549" s="3927"/>
      <c r="J549" s="4236" t="s">
        <v>1816</v>
      </c>
      <c r="K549" s="4236"/>
      <c r="L549" s="4236"/>
      <c r="M549" s="1650"/>
      <c r="N549" s="910"/>
      <c r="O549" s="910"/>
      <c r="P549" s="910"/>
      <c r="Q549" s="910"/>
      <c r="R549" s="910"/>
      <c r="S549" s="910"/>
      <c r="T549" s="910"/>
      <c r="U549" s="910"/>
      <c r="V549" s="924" t="str">
        <f t="shared" si="66"/>
        <v>Utility Adjustment</v>
      </c>
      <c r="W549" s="966">
        <v>1</v>
      </c>
      <c r="X549" s="966">
        <v>1</v>
      </c>
      <c r="Y549" s="966">
        <v>1</v>
      </c>
      <c r="Z549" s="1040">
        <v>1</v>
      </c>
      <c r="AA549" s="1040">
        <v>1</v>
      </c>
      <c r="AB549" s="1040">
        <v>1</v>
      </c>
      <c r="AC549" s="1040">
        <v>1</v>
      </c>
      <c r="AD549" s="966"/>
      <c r="AE549" s="966"/>
      <c r="AF549" s="966"/>
      <c r="AG549" s="966"/>
      <c r="AK549" s="883"/>
      <c r="BB549" s="906"/>
    </row>
    <row r="550" spans="1:57" s="892" customFormat="1" hidden="1" outlineLevel="1" x14ac:dyDescent="0.25">
      <c r="A550" s="910"/>
      <c r="B550" s="910"/>
      <c r="C550" s="907"/>
      <c r="D550" s="3184" t="s">
        <v>133</v>
      </c>
      <c r="E550" s="3184" t="s">
        <v>1817</v>
      </c>
      <c r="F550" s="1655"/>
      <c r="G550" s="1070">
        <v>1</v>
      </c>
      <c r="H550" s="4151" t="s">
        <v>1818</v>
      </c>
      <c r="I550" s="4251"/>
      <c r="J550" s="3902" t="s">
        <v>1801</v>
      </c>
      <c r="K550" s="3902"/>
      <c r="L550" s="3902"/>
      <c r="M550" s="1650"/>
      <c r="N550" s="910"/>
      <c r="O550" s="910"/>
      <c r="P550" s="910"/>
      <c r="Q550" s="910"/>
      <c r="R550" s="910"/>
      <c r="S550" s="910"/>
      <c r="T550" s="910"/>
      <c r="U550" s="910"/>
      <c r="V550" s="924" t="str">
        <f t="shared" si="66"/>
        <v>ISR</v>
      </c>
      <c r="W550" s="968">
        <v>1</v>
      </c>
      <c r="X550" s="968">
        <v>1</v>
      </c>
      <c r="Y550" s="968">
        <v>1</v>
      </c>
      <c r="Z550" s="1032">
        <v>1</v>
      </c>
      <c r="AA550" s="1032">
        <v>1</v>
      </c>
      <c r="AB550" s="1032">
        <v>1</v>
      </c>
      <c r="AC550" s="1070">
        <v>1</v>
      </c>
      <c r="AD550" s="968"/>
      <c r="AE550" s="968"/>
      <c r="AF550" s="968"/>
      <c r="AG550" s="968"/>
      <c r="AK550" s="883"/>
      <c r="BB550" s="906"/>
    </row>
    <row r="551" spans="1:57" s="892" customFormat="1" hidden="1" outlineLevel="1" x14ac:dyDescent="0.25">
      <c r="A551" s="910"/>
      <c r="B551" s="910"/>
      <c r="C551" s="907"/>
      <c r="D551" s="1798" t="str">
        <f>D510</f>
        <v>EUL</v>
      </c>
      <c r="E551" s="1798" t="str">
        <f>E510</f>
        <v>Effective Useful Life</v>
      </c>
      <c r="F551" s="985" t="s">
        <v>135</v>
      </c>
      <c r="G551" s="1088">
        <v>20</v>
      </c>
      <c r="H551" s="3867"/>
      <c r="I551" s="3927"/>
      <c r="J551" s="4236"/>
      <c r="K551" s="4236"/>
      <c r="L551" s="4236"/>
      <c r="M551" s="1650"/>
      <c r="N551" s="910"/>
      <c r="O551" s="910"/>
      <c r="P551" s="910"/>
      <c r="Q551" s="910"/>
      <c r="R551" s="910"/>
      <c r="S551" s="910"/>
      <c r="T551" s="910"/>
      <c r="U551" s="910"/>
      <c r="V551" s="924" t="str">
        <f>D551</f>
        <v>EUL</v>
      </c>
      <c r="W551" s="969">
        <v>20</v>
      </c>
      <c r="X551" s="969">
        <v>20</v>
      </c>
      <c r="Y551" s="969">
        <v>20</v>
      </c>
      <c r="Z551" s="827">
        <v>20</v>
      </c>
      <c r="AA551" s="827">
        <v>20</v>
      </c>
      <c r="AB551" s="827">
        <v>20</v>
      </c>
      <c r="AC551" s="1088">
        <v>20</v>
      </c>
      <c r="AD551" s="969"/>
      <c r="AE551" s="969"/>
      <c r="AF551" s="969"/>
      <c r="AG551" s="969"/>
      <c r="AK551" s="883"/>
      <c r="BB551" s="906"/>
    </row>
    <row r="552" spans="1:57" s="892" customFormat="1" hidden="1" outlineLevel="1" x14ac:dyDescent="0.25">
      <c r="A552" s="910"/>
      <c r="B552" s="910"/>
      <c r="C552" s="907"/>
      <c r="D552" s="1798" t="str">
        <f>D511</f>
        <v>Inc. Cost</v>
      </c>
      <c r="E552" s="1798" t="str">
        <f>E511</f>
        <v>Incremental Cost</v>
      </c>
      <c r="F552" s="2297" t="s">
        <v>135</v>
      </c>
      <c r="G552" s="442">
        <f>138.7/SQRT(1080)</f>
        <v>4.2205065958870298</v>
      </c>
      <c r="H552" s="4151"/>
      <c r="I552" s="4251"/>
      <c r="J552" s="3902" t="s">
        <v>1819</v>
      </c>
      <c r="K552" s="3902"/>
      <c r="L552" s="3902"/>
      <c r="M552" s="1650"/>
      <c r="N552" s="910"/>
      <c r="O552" s="910"/>
      <c r="P552" s="910"/>
      <c r="Q552" s="910"/>
      <c r="R552" s="910"/>
      <c r="S552" s="910"/>
      <c r="T552" s="910"/>
      <c r="U552" s="910"/>
      <c r="V552" s="924" t="str">
        <f>D552</f>
        <v>Inc. Cost</v>
      </c>
      <c r="W552" s="927">
        <v>138.69999999999999</v>
      </c>
      <c r="X552" s="927">
        <v>138.69999999999999</v>
      </c>
      <c r="Y552" s="682">
        <f>138.7/SQRT(1080)</f>
        <v>4.2205065958870298</v>
      </c>
      <c r="Z552" s="442">
        <f t="shared" ref="Z552:AA552" si="69">138.7/SQRT(1080)</f>
        <v>4.2205065958870298</v>
      </c>
      <c r="AA552" s="442">
        <f t="shared" si="69"/>
        <v>4.2205065958870298</v>
      </c>
      <c r="AB552" s="442">
        <v>4.2205065958870298</v>
      </c>
      <c r="AC552" s="442">
        <v>4.2205065958870298</v>
      </c>
      <c r="AD552" s="927"/>
      <c r="AE552" s="927"/>
      <c r="AF552" s="927"/>
      <c r="AG552" s="927"/>
      <c r="AK552" s="883"/>
      <c r="BB552" s="906"/>
    </row>
    <row r="553" spans="1:57" s="892" customFormat="1" collapsed="1" x14ac:dyDescent="0.25">
      <c r="A553" s="910"/>
      <c r="B553" s="910"/>
      <c r="C553" s="907"/>
      <c r="D553" s="1656"/>
      <c r="E553" s="1656"/>
      <c r="F553" s="1657"/>
      <c r="G553" s="1657"/>
      <c r="H553" s="1657"/>
      <c r="I553" s="910"/>
      <c r="J553" s="910"/>
      <c r="K553" s="910"/>
      <c r="L553" s="910"/>
      <c r="M553" s="910"/>
      <c r="N553" s="910"/>
      <c r="O553" s="910"/>
      <c r="P553" s="910"/>
      <c r="Q553" s="910"/>
      <c r="R553" s="910"/>
      <c r="S553" s="910"/>
      <c r="T553" s="910"/>
      <c r="U553" s="910"/>
      <c r="Y553" s="1500" t="s">
        <v>1642</v>
      </c>
      <c r="AK553" s="883"/>
      <c r="BB553" s="906"/>
    </row>
    <row r="554" spans="1:57" s="892" customFormat="1" x14ac:dyDescent="0.25">
      <c r="A554" s="910"/>
      <c r="B554" s="910"/>
      <c r="C554" s="907"/>
      <c r="D554" s="1656"/>
      <c r="E554" s="1656"/>
      <c r="F554" s="1657"/>
      <c r="G554" s="1657"/>
      <c r="H554" s="1657"/>
      <c r="I554" s="910"/>
      <c r="J554" s="910"/>
      <c r="K554" s="910"/>
      <c r="L554" s="910"/>
      <c r="M554" s="910"/>
      <c r="N554" s="910"/>
      <c r="O554" s="910"/>
      <c r="P554" s="910"/>
      <c r="Q554" s="910"/>
      <c r="R554" s="910"/>
      <c r="S554" s="910"/>
      <c r="T554" s="910"/>
      <c r="U554" s="910"/>
      <c r="Y554" s="911"/>
      <c r="AK554" s="883"/>
      <c r="BB554" s="906"/>
    </row>
    <row r="555" spans="1:57" s="892" customFormat="1" x14ac:dyDescent="0.25">
      <c r="A555" s="910"/>
      <c r="B555" s="3750" t="s">
        <v>1820</v>
      </c>
      <c r="C555" s="3751"/>
      <c r="D555" s="3751"/>
      <c r="E555" s="3751"/>
      <c r="F555" s="3751"/>
      <c r="G555" s="3751"/>
      <c r="H555" s="3751"/>
      <c r="I555" s="3744"/>
      <c r="J555" s="3744"/>
      <c r="K555" s="3744"/>
      <c r="L555" s="3744"/>
      <c r="M555" s="3744"/>
      <c r="N555" s="3744"/>
      <c r="O555" s="3744"/>
      <c r="P555" s="3744"/>
      <c r="Q555" s="3744"/>
      <c r="R555" s="3745"/>
      <c r="S555" s="910"/>
      <c r="T555" s="910"/>
      <c r="U555" s="910"/>
      <c r="V555" s="3750" t="str">
        <f>B555</f>
        <v>Duct Repair (Duct Sealing and Repair - Methodology 3)</v>
      </c>
      <c r="W555" s="3751"/>
      <c r="X555" s="3751"/>
      <c r="Y555" s="3751"/>
      <c r="Z555" s="3751"/>
      <c r="AA555" s="3751"/>
      <c r="AB555" s="3751"/>
      <c r="AC555" s="3752"/>
      <c r="AD555" s="3752"/>
      <c r="AE555" s="3752"/>
      <c r="AF555" s="3752"/>
      <c r="AG555" s="3752"/>
      <c r="AH555" s="3752"/>
      <c r="AI555" s="3753"/>
      <c r="AK555" s="883"/>
      <c r="BB555" s="906"/>
    </row>
    <row r="556" spans="1:57" s="892" customFormat="1" ht="15" customHeight="1" x14ac:dyDescent="0.25">
      <c r="A556" s="910"/>
      <c r="B556" s="1061"/>
      <c r="C556" s="938"/>
      <c r="D556" s="429"/>
      <c r="E556" s="429"/>
      <c r="F556" s="910"/>
      <c r="G556" s="910"/>
      <c r="H556" s="910"/>
      <c r="I556" s="910"/>
      <c r="J556" s="910"/>
      <c r="K556" s="910"/>
      <c r="L556" s="910"/>
      <c r="M556" s="910"/>
      <c r="N556" s="910"/>
      <c r="O556" s="910"/>
      <c r="P556" s="910"/>
      <c r="Q556" s="910"/>
      <c r="R556" s="910"/>
      <c r="S556" s="910"/>
      <c r="T556" s="910"/>
      <c r="U556" s="910"/>
      <c r="V556" s="224"/>
      <c r="W556" s="224"/>
      <c r="X556" s="224"/>
      <c r="Y556" s="618"/>
      <c r="Z556" s="224"/>
      <c r="AA556" s="224"/>
      <c r="AB556" s="224"/>
      <c r="AC556" s="224"/>
      <c r="AD556" s="224"/>
      <c r="AE556" s="224"/>
      <c r="AF556" s="224"/>
      <c r="AG556" s="224"/>
      <c r="AH556" s="224"/>
      <c r="AI556" s="224"/>
      <c r="AK556" s="883"/>
      <c r="BB556" s="906"/>
    </row>
    <row r="557" spans="1:57" s="892" customFormat="1" ht="45" x14ac:dyDescent="0.25">
      <c r="A557" s="910"/>
      <c r="B557" s="1061"/>
      <c r="C557" s="3086" t="s">
        <v>28</v>
      </c>
      <c r="D557" s="3086" t="s">
        <v>175</v>
      </c>
      <c r="E557" s="3086" t="s">
        <v>30</v>
      </c>
      <c r="F557" s="3086" t="s">
        <v>1765</v>
      </c>
      <c r="G557" s="3086" t="s">
        <v>176</v>
      </c>
      <c r="H557" s="3086" t="s">
        <v>177</v>
      </c>
      <c r="I557" s="3086" t="s">
        <v>1766</v>
      </c>
      <c r="J557" s="3086" t="s">
        <v>1767</v>
      </c>
      <c r="K557" s="3086" t="s">
        <v>32</v>
      </c>
      <c r="L557" s="3086" t="s">
        <v>181</v>
      </c>
      <c r="M557" s="3086" t="s">
        <v>43</v>
      </c>
      <c r="N557" s="3086" t="s">
        <v>1769</v>
      </c>
      <c r="O557" s="910"/>
      <c r="P557" s="910"/>
      <c r="Q557" s="910"/>
      <c r="R557" s="910"/>
      <c r="S557" s="910"/>
      <c r="T557" s="910"/>
      <c r="U557" s="910"/>
      <c r="V557" s="1936" t="s">
        <v>45</v>
      </c>
      <c r="W557" s="1937">
        <f>W$6</f>
        <v>43252</v>
      </c>
      <c r="X557" s="1937">
        <f t="shared" ref="X557:AG557" si="70">X$6</f>
        <v>43465</v>
      </c>
      <c r="Y557" s="360">
        <f t="shared" si="70"/>
        <v>43800</v>
      </c>
      <c r="Z557" s="1937">
        <f t="shared" si="70"/>
        <v>43862</v>
      </c>
      <c r="AA557" s="1937">
        <f t="shared" si="70"/>
        <v>44013</v>
      </c>
      <c r="AB557" s="1937">
        <f t="shared" si="70"/>
        <v>44166</v>
      </c>
      <c r="AC557" s="1937">
        <f t="shared" si="70"/>
        <v>44531</v>
      </c>
      <c r="AD557" s="1937" t="str">
        <f t="shared" si="70"/>
        <v>-</v>
      </c>
      <c r="AE557" s="1937" t="str">
        <f t="shared" si="70"/>
        <v>-</v>
      </c>
      <c r="AF557" s="1937" t="str">
        <f t="shared" si="70"/>
        <v>-</v>
      </c>
      <c r="AG557" s="1937" t="str">
        <f t="shared" si="70"/>
        <v>-</v>
      </c>
      <c r="AH557" s="224"/>
      <c r="AI557" s="224"/>
      <c r="AK557" s="883"/>
      <c r="BB557" s="1938" t="str">
        <f>$BB$6</f>
        <v>TRC (2020)</v>
      </c>
      <c r="BC557" s="1953" t="str">
        <f>$BC$6</f>
        <v>Benefit Lookup</v>
      </c>
      <c r="BD557" s="665" t="str">
        <f>$BD$6</f>
        <v>Benefits (2019 $)</v>
      </c>
      <c r="BE557" s="230" t="str">
        <f>$BE$6</f>
        <v>Incremental Cost (2019 $)</v>
      </c>
    </row>
    <row r="558" spans="1:57" s="892" customFormat="1" ht="15" customHeight="1" x14ac:dyDescent="0.25">
      <c r="A558" s="910"/>
      <c r="B558" s="1061"/>
      <c r="C558" s="2667" t="s">
        <v>1821</v>
      </c>
      <c r="D558" s="2695" t="s">
        <v>1571</v>
      </c>
      <c r="E558" s="420" t="s">
        <v>1822</v>
      </c>
      <c r="F558" s="579">
        <f>ROUND(I558+J558,2)</f>
        <v>4.92</v>
      </c>
      <c r="G558" s="2667" t="s">
        <v>438</v>
      </c>
      <c r="H558" s="155">
        <f>VLOOKUP(G558,'CP FACTORS'!$A$3:$B$38, 2, FALSE)</f>
        <v>4.6608050000000002E-4</v>
      </c>
      <c r="I558" s="979">
        <f>$G$575*$G$578</f>
        <v>0.81</v>
      </c>
      <c r="J558" s="979">
        <f>$G$579*$G$578</f>
        <v>4.1100000000000003</v>
      </c>
      <c r="K558" s="893">
        <f>ROUND(H558*F558,6)</f>
        <v>2.2929999999999999E-3</v>
      </c>
      <c r="L558" s="979">
        <f>$G$590</f>
        <v>20</v>
      </c>
      <c r="M558" s="683">
        <f>$G$591</f>
        <v>8.0376653213977498</v>
      </c>
      <c r="N558" s="979">
        <f>$G$578</f>
        <v>1</v>
      </c>
      <c r="O558" s="910"/>
      <c r="P558" s="910"/>
      <c r="Q558" s="910"/>
      <c r="R558" s="910"/>
      <c r="S558" s="910"/>
      <c r="T558" s="910"/>
      <c r="U558" s="910"/>
      <c r="V558" s="160" t="str">
        <f>$F$516</f>
        <v>kWh
Annual Savings</v>
      </c>
      <c r="W558" s="970">
        <v>183.23284858343499</v>
      </c>
      <c r="X558" s="881">
        <v>183.23284858343499</v>
      </c>
      <c r="Y558" s="885">
        <v>4.92</v>
      </c>
      <c r="Z558" s="882">
        <v>4.92</v>
      </c>
      <c r="AA558" s="882">
        <v>4.92</v>
      </c>
      <c r="AB558" s="565">
        <v>4.92</v>
      </c>
      <c r="AC558" s="579">
        <v>4.92</v>
      </c>
      <c r="AD558" s="160"/>
      <c r="AE558" s="160"/>
      <c r="AF558" s="160"/>
      <c r="AG558" s="160"/>
      <c r="AH558" s="224"/>
      <c r="AI558" s="224"/>
      <c r="AK558" s="883"/>
      <c r="BB558" s="1945">
        <f>(BD558)/(BE558)</f>
        <v>0.77200997302022389</v>
      </c>
      <c r="BC558" s="3166" t="str">
        <f>CONCATENATE(G558," ",L558," Year EUL")</f>
        <v>HVAC RES 20 Year EUL</v>
      </c>
      <c r="BD558" s="111">
        <f>(INDEX('Avoided Cost Benefits'!$C$4:$C$857,MATCH(BC558,'Avoided Cost Benefits'!$A$4:$A$857,0)))*F558</f>
        <v>5.8566850287096415</v>
      </c>
      <c r="BE558" s="1946">
        <f>M558/(1.0595^(2020-2019))</f>
        <v>7.5862815680960347</v>
      </c>
    </row>
    <row r="559" spans="1:57" s="892" customFormat="1" ht="15" customHeight="1" x14ac:dyDescent="0.25">
      <c r="A559" s="910"/>
      <c r="B559" s="1061"/>
      <c r="C559" s="2734" t="s">
        <v>1823</v>
      </c>
      <c r="D559" s="2695" t="s">
        <v>1571</v>
      </c>
      <c r="E559" s="420" t="s">
        <v>1824</v>
      </c>
      <c r="F559" s="675">
        <f>ROUND(I559+J559,2)</f>
        <v>1</v>
      </c>
      <c r="G559" s="2667" t="s">
        <v>438</v>
      </c>
      <c r="H559" s="155">
        <f>VLOOKUP(G559,'CP FACTORS'!$A$3:$B$38, 2, FALSE)</f>
        <v>4.6608050000000002E-4</v>
      </c>
      <c r="I559" s="979">
        <f>$G$575*$G$578</f>
        <v>0.81</v>
      </c>
      <c r="J559" s="2732">
        <f>$G$582*$G$578*$G$585*$G$586</f>
        <v>0.19320419999999999</v>
      </c>
      <c r="K559" s="893">
        <f>ROUND(H559*F559,6)</f>
        <v>4.66E-4</v>
      </c>
      <c r="L559" s="979">
        <f>$G$590</f>
        <v>20</v>
      </c>
      <c r="M559" s="683">
        <f>$G$591</f>
        <v>8.0376653213977498</v>
      </c>
      <c r="N559" s="979">
        <f t="shared" ref="N559:N563" si="71">$G$578</f>
        <v>1</v>
      </c>
      <c r="O559" s="910"/>
      <c r="P559" s="910"/>
      <c r="Q559" s="910"/>
      <c r="R559" s="910"/>
      <c r="S559" s="910"/>
      <c r="T559" s="910"/>
      <c r="U559" s="910"/>
      <c r="V559" s="160" t="str">
        <f>$F$516</f>
        <v>kWh
Annual Savings</v>
      </c>
      <c r="W559" s="970"/>
      <c r="X559" s="881"/>
      <c r="Y559" s="885">
        <v>1.02</v>
      </c>
      <c r="Z559" s="882">
        <v>1.02</v>
      </c>
      <c r="AA559" s="882">
        <v>1.02</v>
      </c>
      <c r="AB559" s="565">
        <v>1.02</v>
      </c>
      <c r="AC559" s="675">
        <v>1</v>
      </c>
      <c r="AD559" s="160"/>
      <c r="AE559" s="160"/>
      <c r="AF559" s="160"/>
      <c r="AG559" s="160"/>
      <c r="AH559" s="224"/>
      <c r="AI559" s="224"/>
      <c r="AK559" s="883"/>
      <c r="BB559" s="52">
        <f>(BD559)/(BE559)</f>
        <v>0.15691259614232192</v>
      </c>
      <c r="BC559" s="1948" t="str">
        <f>CONCATENATE(G559," ",L559," Year EUL")</f>
        <v>HVAC RES 20 Year EUL</v>
      </c>
      <c r="BD559" s="114">
        <f>(INDEX('Avoided Cost Benefits'!$C$4:$C$857,MATCH(BC559,'Avoided Cost Benefits'!$A$4:$A$857,0)))*F559</f>
        <v>1.1903831359165937</v>
      </c>
      <c r="BE559" s="1949">
        <f>M559/(1.0595^(2020-2019))</f>
        <v>7.5862815680960347</v>
      </c>
    </row>
    <row r="560" spans="1:57" s="892" customFormat="1" ht="15" customHeight="1" x14ac:dyDescent="0.25">
      <c r="A560" s="910"/>
      <c r="B560" s="1061"/>
      <c r="C560" s="2667" t="s">
        <v>1825</v>
      </c>
      <c r="D560" s="2695" t="s">
        <v>1577</v>
      </c>
      <c r="E560" s="420" t="s">
        <v>1826</v>
      </c>
      <c r="F560" s="579">
        <f t="shared" ref="F560:F561" si="72">ROUND(I560+J560,2)</f>
        <v>4.1100000000000003</v>
      </c>
      <c r="G560" s="2667" t="s">
        <v>438</v>
      </c>
      <c r="H560" s="155">
        <f>VLOOKUP(G560,'CP FACTORS'!$A$3:$B$38, 2, FALSE)</f>
        <v>4.6608050000000002E-4</v>
      </c>
      <c r="I560" s="2612">
        <f>$G$576*$G$578</f>
        <v>0.7</v>
      </c>
      <c r="J560" s="2612">
        <f>$G$580*$G$578</f>
        <v>3.41</v>
      </c>
      <c r="K560" s="2613">
        <f t="shared" ref="K560:K561" si="73">ROUND(H560*F560,6)</f>
        <v>1.916E-3</v>
      </c>
      <c r="L560" s="2298">
        <f t="shared" ref="L560:L561" si="74">$G$590</f>
        <v>20</v>
      </c>
      <c r="M560" s="2297">
        <f t="shared" ref="M560:M561" si="75">$G$591</f>
        <v>8.0376653213977498</v>
      </c>
      <c r="N560" s="979">
        <f t="shared" si="71"/>
        <v>1</v>
      </c>
      <c r="O560" s="910"/>
      <c r="P560" s="910"/>
      <c r="Q560" s="910"/>
      <c r="R560" s="910"/>
      <c r="S560" s="910"/>
      <c r="T560" s="910"/>
      <c r="U560" s="910"/>
      <c r="V560" s="1962" t="str">
        <f t="shared" ref="V560:V561" si="76">$F$516</f>
        <v>kWh
Annual Savings</v>
      </c>
      <c r="W560" s="2305"/>
      <c r="X560" s="2306"/>
      <c r="Y560" s="885"/>
      <c r="Z560" s="885"/>
      <c r="AA560" s="885"/>
      <c r="AB560" s="1951">
        <v>4.1100000000000003</v>
      </c>
      <c r="AC560" s="579">
        <v>4.1100000000000003</v>
      </c>
      <c r="AD560" s="160"/>
      <c r="AE560" s="160"/>
      <c r="AF560" s="160"/>
      <c r="AG560" s="160"/>
      <c r="AH560" s="224"/>
      <c r="AI560" s="224"/>
      <c r="AK560" s="883"/>
      <c r="BB560" s="52">
        <f t="shared" ref="BB560:BB561" si="77">(BD560)/(BE560)</f>
        <v>0.64491077014494314</v>
      </c>
      <c r="BC560" s="1948" t="str">
        <f t="shared" ref="BC560:BC561" si="78">CONCATENATE(G560," ",L560," Year EUL")</f>
        <v>HVAC RES 20 Year EUL</v>
      </c>
      <c r="BD560" s="114">
        <f>(INDEX('Avoided Cost Benefits'!$C$4:$C$857,MATCH(BC560,'Avoided Cost Benefits'!$A$4:$A$857,0)))*F560</f>
        <v>4.8924746886172006</v>
      </c>
      <c r="BE560" s="1949">
        <f t="shared" ref="BE560:BE561" si="79">M560/(1.0595^(2020-2019))</f>
        <v>7.5862815680960347</v>
      </c>
    </row>
    <row r="561" spans="1:57" s="892" customFormat="1" ht="15" customHeight="1" x14ac:dyDescent="0.25">
      <c r="A561" s="910"/>
      <c r="B561" s="1061"/>
      <c r="C561" s="2734" t="s">
        <v>1827</v>
      </c>
      <c r="D561" s="2695" t="s">
        <v>1577</v>
      </c>
      <c r="E561" s="420" t="s">
        <v>1828</v>
      </c>
      <c r="F561" s="675">
        <f t="shared" si="72"/>
        <v>0.87</v>
      </c>
      <c r="G561" s="2667" t="s">
        <v>438</v>
      </c>
      <c r="H561" s="155">
        <f>VLOOKUP(G561,'CP FACTORS'!$A$3:$B$38, 2, FALSE)</f>
        <v>4.6608050000000002E-4</v>
      </c>
      <c r="I561" s="2612">
        <f>$G$576*$G$578</f>
        <v>0.7</v>
      </c>
      <c r="J561" s="2733">
        <f>$G$583*$G$578*$G$585*$G$586</f>
        <v>0.17480380000000001</v>
      </c>
      <c r="K561" s="2613">
        <f t="shared" si="73"/>
        <v>4.0499999999999998E-4</v>
      </c>
      <c r="L561" s="2298">
        <f t="shared" si="74"/>
        <v>20</v>
      </c>
      <c r="M561" s="2297">
        <f t="shared" si="75"/>
        <v>8.0376653213977498</v>
      </c>
      <c r="N561" s="979">
        <f t="shared" si="71"/>
        <v>1</v>
      </c>
      <c r="O561" s="910"/>
      <c r="P561" s="910"/>
      <c r="Q561" s="910"/>
      <c r="R561" s="910"/>
      <c r="S561" s="910"/>
      <c r="T561" s="910"/>
      <c r="U561" s="910"/>
      <c r="V561" s="1962" t="str">
        <f t="shared" si="76"/>
        <v>kWh
Annual Savings</v>
      </c>
      <c r="W561" s="2305"/>
      <c r="X561" s="2306"/>
      <c r="Y561" s="885"/>
      <c r="Z561" s="885"/>
      <c r="AA561" s="885"/>
      <c r="AB561" s="1951">
        <v>0.89</v>
      </c>
      <c r="AC561" s="675">
        <v>0.87</v>
      </c>
      <c r="AD561" s="160"/>
      <c r="AE561" s="160"/>
      <c r="AF561" s="160"/>
      <c r="AG561" s="160"/>
      <c r="AH561" s="224"/>
      <c r="AI561" s="224"/>
      <c r="AK561" s="883"/>
      <c r="BB561" s="52">
        <f t="shared" si="77"/>
        <v>0.13651395864382007</v>
      </c>
      <c r="BC561" s="1948" t="str">
        <f t="shared" si="78"/>
        <v>HVAC RES 20 Year EUL</v>
      </c>
      <c r="BD561" s="114">
        <f>(INDEX('Avoided Cost Benefits'!$C$4:$C$857,MATCH(BC561,'Avoided Cost Benefits'!$A$4:$A$857,0)))*F561</f>
        <v>1.0356333282474366</v>
      </c>
      <c r="BE561" s="1949">
        <f t="shared" si="79"/>
        <v>7.5862815680960347</v>
      </c>
    </row>
    <row r="562" spans="1:57" s="892" customFormat="1" ht="15" customHeight="1" x14ac:dyDescent="0.25">
      <c r="A562" s="910"/>
      <c r="B562" s="1061"/>
      <c r="C562" s="2667" t="s">
        <v>1829</v>
      </c>
      <c r="D562" s="2695" t="s">
        <v>1571</v>
      </c>
      <c r="E562" s="420" t="s">
        <v>1830</v>
      </c>
      <c r="F562" s="579">
        <f>ROUND(I562+J562,2)</f>
        <v>6.01</v>
      </c>
      <c r="G562" s="2667" t="s">
        <v>438</v>
      </c>
      <c r="H562" s="155">
        <f>VLOOKUP(G562,'CP FACTORS'!$A$3:$B$38, 2, FALSE)</f>
        <v>4.6608050000000002E-4</v>
      </c>
      <c r="I562" s="979">
        <f>G577*G578</f>
        <v>0.95</v>
      </c>
      <c r="J562" s="979">
        <f>$G$581*$G$578</f>
        <v>5.0599999999999996</v>
      </c>
      <c r="K562" s="893">
        <f>ROUND(H562*F562,6)</f>
        <v>2.8010000000000001E-3</v>
      </c>
      <c r="L562" s="979">
        <f>$G$590</f>
        <v>20</v>
      </c>
      <c r="M562" s="683">
        <f>$G$591</f>
        <v>8.0376653213977498</v>
      </c>
      <c r="N562" s="979">
        <f t="shared" si="71"/>
        <v>1</v>
      </c>
      <c r="O562" s="910"/>
      <c r="P562" s="910"/>
      <c r="Q562" s="910"/>
      <c r="R562" s="910"/>
      <c r="S562" s="910"/>
      <c r="T562" s="910"/>
      <c r="U562" s="910"/>
      <c r="V562" s="1962" t="str">
        <f>$F$516</f>
        <v>kWh
Annual Savings</v>
      </c>
      <c r="W562" s="970">
        <v>218.61317503755345</v>
      </c>
      <c r="X562" s="881">
        <v>218.61317503755345</v>
      </c>
      <c r="Y562" s="885">
        <v>6.01</v>
      </c>
      <c r="Z562" s="882">
        <v>6.01</v>
      </c>
      <c r="AA562" s="882">
        <v>6.01</v>
      </c>
      <c r="AB562" s="565">
        <v>6.01</v>
      </c>
      <c r="AC562" s="579">
        <v>6.01</v>
      </c>
      <c r="AD562" s="160"/>
      <c r="AE562" s="160"/>
      <c r="AF562" s="160"/>
      <c r="AG562" s="160"/>
      <c r="AK562" s="883"/>
      <c r="BB562" s="52">
        <f>(BD562)/(BE562)</f>
        <v>0.94304470281535469</v>
      </c>
      <c r="BC562" s="1948" t="str">
        <f>CONCATENATE(G562," ",L562," Year EUL")</f>
        <v>HVAC RES 20 Year EUL</v>
      </c>
      <c r="BD562" s="114">
        <f>(INDEX('Avoided Cost Benefits'!$C$4:$C$857,MATCH(BC562,'Avoided Cost Benefits'!$A$4:$A$857,0)))*F562</f>
        <v>7.1542026468587281</v>
      </c>
      <c r="BE562" s="1949">
        <f>M562/(1.0595^(2020-2019))</f>
        <v>7.5862815680960347</v>
      </c>
    </row>
    <row r="563" spans="1:57" s="892" customFormat="1" ht="15" customHeight="1" x14ac:dyDescent="0.25">
      <c r="A563" s="910"/>
      <c r="B563" s="1061"/>
      <c r="C563" s="2734" t="s">
        <v>1831</v>
      </c>
      <c r="D563" s="2695" t="s">
        <v>1571</v>
      </c>
      <c r="E563" s="420" t="s">
        <v>1832</v>
      </c>
      <c r="F563" s="675">
        <f>ROUND(I563+J563,2)</f>
        <v>1.19</v>
      </c>
      <c r="G563" s="2667" t="s">
        <v>438</v>
      </c>
      <c r="H563" s="155">
        <f>VLOOKUP(G563,'CP FACTORS'!$A$3:$B$38, 2, FALSE)</f>
        <v>4.6608050000000002E-4</v>
      </c>
      <c r="I563" s="979">
        <f>$G$577*$G$578</f>
        <v>0.95</v>
      </c>
      <c r="J563" s="2732">
        <f>$G$584*$G$578*$G$585*$G$586</f>
        <v>0.23920519999999998</v>
      </c>
      <c r="K563" s="893">
        <f>ROUND(H563*F563,6)</f>
        <v>5.5500000000000005E-4</v>
      </c>
      <c r="L563" s="979">
        <f>$G$590</f>
        <v>20</v>
      </c>
      <c r="M563" s="683">
        <f>$G$591</f>
        <v>8.0376653213977498</v>
      </c>
      <c r="N563" s="979">
        <f t="shared" si="71"/>
        <v>1</v>
      </c>
      <c r="O563" s="910"/>
      <c r="P563" s="910"/>
      <c r="Q563" s="910"/>
      <c r="R563" s="910"/>
      <c r="S563" s="910"/>
      <c r="T563" s="910"/>
      <c r="U563" s="910"/>
      <c r="V563" s="160" t="str">
        <f>$F$516</f>
        <v>kWh
Annual Savings</v>
      </c>
      <c r="W563" s="970"/>
      <c r="X563" s="881"/>
      <c r="Y563" s="885">
        <v>1.21</v>
      </c>
      <c r="Z563" s="882">
        <v>1.21</v>
      </c>
      <c r="AA563" s="882">
        <v>1.21</v>
      </c>
      <c r="AB563" s="565">
        <v>1.21</v>
      </c>
      <c r="AC563" s="675">
        <v>1.19</v>
      </c>
      <c r="AD563" s="160"/>
      <c r="AE563" s="160"/>
      <c r="AF563" s="160"/>
      <c r="AG563" s="160"/>
      <c r="AK563" s="883"/>
      <c r="BB563" s="53">
        <f>(BD563)/(BE563)</f>
        <v>0.18672598940936308</v>
      </c>
      <c r="BC563" s="1948" t="str">
        <f>CONCATENATE(G563," ",L563," Year EUL")</f>
        <v>HVAC RES 20 Year EUL</v>
      </c>
      <c r="BD563" s="119">
        <f>(INDEX('Avoided Cost Benefits'!$C$4:$C$857,MATCH(BC563,'Avoided Cost Benefits'!$A$4:$A$857,0)))*F563</f>
        <v>1.4165559317407466</v>
      </c>
      <c r="BE563" s="1950">
        <f>M563/(1.0595^(2020-2019))</f>
        <v>7.5862815680960347</v>
      </c>
    </row>
    <row r="564" spans="1:57" s="892" customFormat="1" ht="15" hidden="1" customHeight="1" outlineLevel="1" x14ac:dyDescent="0.25">
      <c r="A564" s="910"/>
      <c r="B564" s="1061"/>
      <c r="C564" s="907"/>
      <c r="D564" s="429"/>
      <c r="E564" s="429"/>
      <c r="F564" s="910"/>
      <c r="G564" s="910"/>
      <c r="H564" s="910"/>
      <c r="I564" s="958" t="s">
        <v>1776</v>
      </c>
      <c r="J564" s="910"/>
      <c r="K564" s="910"/>
      <c r="L564" s="910"/>
      <c r="M564" s="910"/>
      <c r="N564" s="910"/>
      <c r="O564" s="910"/>
      <c r="P564" s="910"/>
      <c r="Q564" s="910"/>
      <c r="R564" s="910"/>
      <c r="S564" s="910"/>
      <c r="T564" s="910"/>
      <c r="U564" s="910"/>
      <c r="Y564" s="1500" t="s">
        <v>1642</v>
      </c>
      <c r="AK564" s="883"/>
      <c r="BB564" s="906"/>
      <c r="BE564" s="585"/>
    </row>
    <row r="565" spans="1:57" s="892" customFormat="1" ht="15" hidden="1" customHeight="1" outlineLevel="1" x14ac:dyDescent="0.25">
      <c r="A565" s="910"/>
      <c r="B565" s="1061"/>
      <c r="C565" s="907"/>
      <c r="D565" s="174" t="s">
        <v>108</v>
      </c>
      <c r="E565" s="427"/>
      <c r="F565" s="907"/>
      <c r="G565" s="907"/>
      <c r="H565" s="918"/>
      <c r="I565" s="918"/>
      <c r="J565" s="918"/>
      <c r="K565" s="918"/>
      <c r="L565" s="910"/>
      <c r="M565" s="910"/>
      <c r="N565" s="910"/>
      <c r="O565" s="910"/>
      <c r="P565" s="910"/>
      <c r="Q565" s="910"/>
      <c r="R565" s="910"/>
      <c r="S565" s="910"/>
      <c r="T565" s="910"/>
      <c r="U565" s="910"/>
      <c r="Y565" s="911"/>
      <c r="AK565" s="883"/>
      <c r="BB565" s="906"/>
      <c r="BE565" s="585"/>
    </row>
    <row r="566" spans="1:57" s="892" customFormat="1" ht="15" hidden="1" customHeight="1" outlineLevel="1" x14ac:dyDescent="0.25">
      <c r="A566" s="910"/>
      <c r="B566" s="1061"/>
      <c r="C566" s="907"/>
      <c r="D566" s="427" t="s">
        <v>1833</v>
      </c>
      <c r="E566" s="427"/>
      <c r="F566" s="907"/>
      <c r="G566" s="907"/>
      <c r="H566" s="918"/>
      <c r="I566" s="918"/>
      <c r="J566" s="918"/>
      <c r="K566" s="918"/>
      <c r="L566" s="910"/>
      <c r="M566" s="910"/>
      <c r="N566" s="910"/>
      <c r="O566" s="910"/>
      <c r="P566" s="910"/>
      <c r="Q566" s="910"/>
      <c r="R566" s="910"/>
      <c r="S566" s="910"/>
      <c r="T566" s="910"/>
      <c r="U566" s="910"/>
      <c r="Y566" s="911"/>
      <c r="AK566" s="883"/>
      <c r="BB566" s="906"/>
      <c r="BE566" s="585"/>
    </row>
    <row r="567" spans="1:57" s="892" customFormat="1" hidden="1" outlineLevel="1" x14ac:dyDescent="0.25">
      <c r="A567" s="910"/>
      <c r="B567" s="1061"/>
      <c r="C567" s="907"/>
      <c r="D567" s="427"/>
      <c r="E567" s="427"/>
      <c r="F567" s="907"/>
      <c r="G567" s="907"/>
      <c r="H567" s="918"/>
      <c r="I567" s="918"/>
      <c r="J567" s="918"/>
      <c r="K567" s="918"/>
      <c r="L567" s="910"/>
      <c r="M567" s="910"/>
      <c r="N567" s="910"/>
      <c r="O567" s="910"/>
      <c r="P567" s="910"/>
      <c r="Q567" s="910"/>
      <c r="R567" s="910"/>
      <c r="S567" s="910"/>
      <c r="T567" s="910"/>
      <c r="U567" s="910"/>
      <c r="Y567" s="911"/>
      <c r="AK567" s="883"/>
      <c r="BB567" s="906"/>
      <c r="BE567" s="585"/>
    </row>
    <row r="568" spans="1:57" s="892" customFormat="1" ht="15" hidden="1" customHeight="1" outlineLevel="1" x14ac:dyDescent="0.25">
      <c r="A568" s="910"/>
      <c r="B568" s="1061"/>
      <c r="C568" s="907"/>
      <c r="D568" s="427"/>
      <c r="E568" s="427"/>
      <c r="F568" s="907"/>
      <c r="G568" s="907"/>
      <c r="H568" s="918"/>
      <c r="I568" s="918"/>
      <c r="J568" s="918"/>
      <c r="K568" s="918"/>
      <c r="L568" s="910"/>
      <c r="M568" s="910"/>
      <c r="N568" s="910"/>
      <c r="O568" s="910"/>
      <c r="P568" s="910"/>
      <c r="Q568" s="910"/>
      <c r="R568" s="910"/>
      <c r="S568" s="910"/>
      <c r="T568" s="910"/>
      <c r="U568" s="910"/>
      <c r="Y568" s="911"/>
      <c r="AK568" s="883"/>
      <c r="BB568" s="906"/>
      <c r="BE568" s="585"/>
    </row>
    <row r="569" spans="1:57" s="892" customFormat="1" ht="15" hidden="1" customHeight="1" outlineLevel="1" x14ac:dyDescent="0.25">
      <c r="A569" s="910"/>
      <c r="B569" s="1061"/>
      <c r="C569" s="907"/>
      <c r="D569" s="427"/>
      <c r="E569" s="427"/>
      <c r="F569" s="907"/>
      <c r="G569" s="907"/>
      <c r="H569" s="918"/>
      <c r="I569" s="918"/>
      <c r="J569" s="918"/>
      <c r="K569" s="918"/>
      <c r="L569" s="910"/>
      <c r="M569" s="910"/>
      <c r="N569" s="910"/>
      <c r="O569" s="910"/>
      <c r="P569" s="910"/>
      <c r="Q569" s="910"/>
      <c r="R569" s="910"/>
      <c r="S569" s="910"/>
      <c r="T569" s="910"/>
      <c r="U569" s="910"/>
      <c r="Y569" s="911"/>
      <c r="AK569" s="883"/>
      <c r="BB569" s="906"/>
      <c r="BE569" s="585"/>
    </row>
    <row r="570" spans="1:57" s="892" customFormat="1" ht="15" hidden="1" customHeight="1" outlineLevel="1" x14ac:dyDescent="0.25">
      <c r="A570" s="910"/>
      <c r="B570" s="1061"/>
      <c r="C570" s="907"/>
      <c r="D570" s="427" t="s">
        <v>1778</v>
      </c>
      <c r="E570" s="427"/>
      <c r="F570" s="918"/>
      <c r="G570" s="907" t="s">
        <v>1777</v>
      </c>
      <c r="H570" s="123"/>
      <c r="I570" s="918"/>
      <c r="J570" s="918"/>
      <c r="K570" s="918"/>
      <c r="L570" s="910"/>
      <c r="M570" s="910"/>
      <c r="N570" s="910"/>
      <c r="O570" s="910"/>
      <c r="P570" s="910"/>
      <c r="Q570" s="910"/>
      <c r="R570" s="910"/>
      <c r="S570" s="910"/>
      <c r="T570" s="910"/>
      <c r="U570" s="910"/>
      <c r="Y570" s="911"/>
      <c r="AK570" s="883"/>
      <c r="BB570" s="906"/>
      <c r="BE570" s="585"/>
    </row>
    <row r="571" spans="1:57" s="892" customFormat="1" ht="15" hidden="1" customHeight="1" outlineLevel="1" x14ac:dyDescent="0.25">
      <c r="A571" s="910"/>
      <c r="B571" s="1061"/>
      <c r="C571" s="907"/>
      <c r="D571" s="427"/>
      <c r="E571" s="329"/>
      <c r="F571" s="918"/>
      <c r="G571" s="918"/>
      <c r="H571" s="918"/>
      <c r="I571" s="918"/>
      <c r="J571" s="918"/>
      <c r="K571" s="918"/>
      <c r="L571" s="910"/>
      <c r="M571" s="910"/>
      <c r="N571" s="910"/>
      <c r="O571" s="910"/>
      <c r="P571" s="910"/>
      <c r="Q571" s="910"/>
      <c r="R571" s="910"/>
      <c r="S571" s="910"/>
      <c r="T571" s="910"/>
      <c r="U571" s="910"/>
      <c r="Y571" s="911"/>
      <c r="AK571" s="883"/>
      <c r="BB571" s="906"/>
      <c r="BE571" s="585"/>
    </row>
    <row r="572" spans="1:57" s="892" customFormat="1" ht="15" hidden="1" customHeight="1" outlineLevel="1" x14ac:dyDescent="0.25">
      <c r="A572" s="910"/>
      <c r="B572" s="1061"/>
      <c r="C572" s="907"/>
      <c r="D572" s="427"/>
      <c r="E572" s="427"/>
      <c r="F572" s="918"/>
      <c r="G572" s="918"/>
      <c r="H572" s="918"/>
      <c r="I572" s="918"/>
      <c r="J572" s="918"/>
      <c r="K572" s="918"/>
      <c r="L572" s="910"/>
      <c r="M572" s="910"/>
      <c r="N572" s="910"/>
      <c r="O572" s="910"/>
      <c r="P572" s="910"/>
      <c r="Q572" s="910"/>
      <c r="R572" s="910"/>
      <c r="S572" s="910"/>
      <c r="T572" s="910"/>
      <c r="U572" s="910"/>
      <c r="Y572" s="911"/>
      <c r="AK572" s="883"/>
      <c r="BB572" s="906"/>
      <c r="BE572" s="585"/>
    </row>
    <row r="573" spans="1:57" s="892" customFormat="1" ht="15" hidden="1" customHeight="1" outlineLevel="1" x14ac:dyDescent="0.25">
      <c r="A573" s="910"/>
      <c r="B573" s="1061"/>
      <c r="C573" s="907"/>
      <c r="D573" s="429"/>
      <c r="E573" s="429"/>
      <c r="F573" s="910"/>
      <c r="G573" s="910"/>
      <c r="H573" s="910"/>
      <c r="I573" s="910"/>
      <c r="J573" s="910"/>
      <c r="K573" s="910"/>
      <c r="L573" s="910"/>
      <c r="M573" s="910"/>
      <c r="N573" s="910"/>
      <c r="O573" s="910"/>
      <c r="P573" s="910"/>
      <c r="Q573" s="910"/>
      <c r="R573" s="910"/>
      <c r="S573" s="910"/>
      <c r="T573" s="910"/>
      <c r="U573" s="910"/>
      <c r="Y573" s="911"/>
      <c r="AK573" s="883"/>
      <c r="BB573" s="906"/>
      <c r="BE573" s="585"/>
    </row>
    <row r="574" spans="1:57" s="892" customFormat="1" ht="15" hidden="1" customHeight="1" outlineLevel="1" x14ac:dyDescent="0.25">
      <c r="A574" s="910"/>
      <c r="B574" s="1061"/>
      <c r="C574" s="907"/>
      <c r="D574" s="3236" t="s">
        <v>109</v>
      </c>
      <c r="E574" s="3236" t="s">
        <v>110</v>
      </c>
      <c r="F574" s="3086" t="s">
        <v>186</v>
      </c>
      <c r="G574" s="3086" t="s">
        <v>112</v>
      </c>
      <c r="H574" s="3773" t="s">
        <v>187</v>
      </c>
      <c r="I574" s="3773"/>
      <c r="J574" s="3773" t="s">
        <v>113</v>
      </c>
      <c r="K574" s="3773"/>
      <c r="L574" s="3773"/>
      <c r="M574" s="910"/>
      <c r="N574" s="910"/>
      <c r="O574" s="910"/>
      <c r="P574" s="910"/>
      <c r="Q574" s="910"/>
      <c r="R574" s="910"/>
      <c r="S574" s="910"/>
      <c r="T574" s="910"/>
      <c r="U574" s="910"/>
      <c r="V574" s="1936" t="s">
        <v>45</v>
      </c>
      <c r="W574" s="1937">
        <f>W$6</f>
        <v>43252</v>
      </c>
      <c r="X574" s="1937">
        <f t="shared" ref="X574:AG574" si="80">X$6</f>
        <v>43465</v>
      </c>
      <c r="Y574" s="360">
        <f t="shared" si="80"/>
        <v>43800</v>
      </c>
      <c r="Z574" s="1937">
        <f t="shared" si="80"/>
        <v>43862</v>
      </c>
      <c r="AA574" s="1937">
        <f t="shared" si="80"/>
        <v>44013</v>
      </c>
      <c r="AB574" s="1937">
        <f t="shared" si="80"/>
        <v>44166</v>
      </c>
      <c r="AC574" s="1937">
        <f t="shared" si="80"/>
        <v>44531</v>
      </c>
      <c r="AD574" s="1937" t="str">
        <f t="shared" si="80"/>
        <v>-</v>
      </c>
      <c r="AE574" s="1937" t="str">
        <f t="shared" si="80"/>
        <v>-</v>
      </c>
      <c r="AF574" s="1937" t="str">
        <f t="shared" si="80"/>
        <v>-</v>
      </c>
      <c r="AG574" s="1937" t="str">
        <f t="shared" si="80"/>
        <v>-</v>
      </c>
      <c r="AK574" s="883"/>
      <c r="BB574" s="906"/>
      <c r="BE574" s="585"/>
    </row>
    <row r="575" spans="1:57" s="892" customFormat="1" hidden="1" outlineLevel="1" x14ac:dyDescent="0.25">
      <c r="A575" s="910"/>
      <c r="B575" s="1061"/>
      <c r="C575" s="907"/>
      <c r="D575" s="4237" t="s">
        <v>1834</v>
      </c>
      <c r="E575" s="4285" t="s">
        <v>1835</v>
      </c>
      <c r="F575" s="982" t="s">
        <v>320</v>
      </c>
      <c r="G575" s="973">
        <v>0.81</v>
      </c>
      <c r="H575" s="4151" t="s">
        <v>1011</v>
      </c>
      <c r="I575" s="4151"/>
      <c r="J575" s="4311" t="s">
        <v>1836</v>
      </c>
      <c r="K575" s="4312"/>
      <c r="L575" s="4313"/>
      <c r="M575" s="910"/>
      <c r="N575" s="910"/>
      <c r="O575" s="910"/>
      <c r="P575" s="910"/>
      <c r="Q575" s="910"/>
      <c r="R575" s="910"/>
      <c r="S575" s="910"/>
      <c r="T575" s="910"/>
      <c r="U575" s="910"/>
      <c r="V575" s="4308" t="str">
        <f>D575</f>
        <v>CoolSavingsPerUnit</v>
      </c>
      <c r="W575" s="971">
        <v>0.81</v>
      </c>
      <c r="X575" s="971">
        <v>0.81</v>
      </c>
      <c r="Y575" s="971">
        <v>0.81</v>
      </c>
      <c r="Z575" s="973">
        <v>0.81</v>
      </c>
      <c r="AA575" s="973">
        <v>0.81</v>
      </c>
      <c r="AB575" s="973">
        <v>0.81</v>
      </c>
      <c r="AC575" s="973">
        <v>0.81</v>
      </c>
      <c r="AD575" s="960"/>
      <c r="AE575" s="960"/>
      <c r="AF575" s="960"/>
      <c r="AG575" s="960"/>
      <c r="AK575" s="883"/>
      <c r="BB575" s="906"/>
      <c r="BE575" s="585"/>
    </row>
    <row r="576" spans="1:57" s="892" customFormat="1" hidden="1" outlineLevel="1" x14ac:dyDescent="0.25">
      <c r="A576" s="910"/>
      <c r="B576" s="1061"/>
      <c r="C576" s="907"/>
      <c r="D576" s="4321"/>
      <c r="E576" s="4286"/>
      <c r="F576" s="3182" t="s">
        <v>322</v>
      </c>
      <c r="G576" s="1658">
        <v>0.7</v>
      </c>
      <c r="H576" s="4151" t="s">
        <v>1011</v>
      </c>
      <c r="I576" s="4151"/>
      <c r="J576" s="4314"/>
      <c r="K576" s="4315"/>
      <c r="L576" s="4316"/>
      <c r="M576" s="910"/>
      <c r="N576" s="910"/>
      <c r="O576" s="910"/>
      <c r="P576" s="910"/>
      <c r="Q576" s="910"/>
      <c r="R576" s="910"/>
      <c r="S576" s="910"/>
      <c r="T576" s="910"/>
      <c r="U576" s="910"/>
      <c r="V576" s="4309"/>
      <c r="W576" s="972">
        <v>0.7</v>
      </c>
      <c r="X576" s="972">
        <v>0.7</v>
      </c>
      <c r="Y576" s="972">
        <v>0.7</v>
      </c>
      <c r="Z576" s="1658">
        <v>0.7</v>
      </c>
      <c r="AA576" s="1658">
        <v>0.7</v>
      </c>
      <c r="AB576" s="1658">
        <v>0.7</v>
      </c>
      <c r="AC576" s="1658">
        <v>0.7</v>
      </c>
      <c r="AD576" s="960"/>
      <c r="AE576" s="960"/>
      <c r="AF576" s="960"/>
      <c r="AG576" s="960"/>
      <c r="AK576" s="883"/>
      <c r="BB576" s="906"/>
      <c r="BE576" s="585"/>
    </row>
    <row r="577" spans="1:57" s="892" customFormat="1" hidden="1" outlineLevel="1" x14ac:dyDescent="0.25">
      <c r="A577" s="910"/>
      <c r="B577" s="1061"/>
      <c r="C577" s="907"/>
      <c r="D577" s="4238"/>
      <c r="E577" s="3822"/>
      <c r="F577" s="3182" t="s">
        <v>1837</v>
      </c>
      <c r="G577" s="1658">
        <v>0.95</v>
      </c>
      <c r="H577" s="4151" t="s">
        <v>1838</v>
      </c>
      <c r="I577" s="4151"/>
      <c r="J577" s="4317"/>
      <c r="K577" s="4318"/>
      <c r="L577" s="4319"/>
      <c r="M577" s="910"/>
      <c r="N577" s="910"/>
      <c r="O577" s="910"/>
      <c r="P577" s="910"/>
      <c r="Q577" s="910"/>
      <c r="R577" s="910"/>
      <c r="S577" s="910"/>
      <c r="T577" s="910"/>
      <c r="U577" s="910"/>
      <c r="V577" s="4310"/>
      <c r="W577" s="972"/>
      <c r="X577" s="972"/>
      <c r="Y577" s="972"/>
      <c r="Z577" s="1658"/>
      <c r="AA577" s="2303">
        <v>0.95</v>
      </c>
      <c r="AB577" s="1658">
        <v>0.95</v>
      </c>
      <c r="AC577" s="1658">
        <v>0.95</v>
      </c>
      <c r="AD577" s="960"/>
      <c r="AE577" s="960"/>
      <c r="AF577" s="960"/>
      <c r="AG577" s="960"/>
      <c r="AK577" s="883"/>
      <c r="BB577" s="906"/>
      <c r="BE577" s="585"/>
    </row>
    <row r="578" spans="1:57" s="892" customFormat="1" ht="18" hidden="1" outlineLevel="1" x14ac:dyDescent="0.25">
      <c r="A578" s="910"/>
      <c r="B578" s="1061"/>
      <c r="C578" s="907"/>
      <c r="D578" s="3204" t="s">
        <v>1839</v>
      </c>
      <c r="E578" s="3215" t="s">
        <v>1840</v>
      </c>
      <c r="F578" s="982"/>
      <c r="G578" s="1645">
        <v>1</v>
      </c>
      <c r="H578" s="4320"/>
      <c r="I578" s="4320"/>
      <c r="J578" s="3902" t="s">
        <v>1819</v>
      </c>
      <c r="K578" s="3902"/>
      <c r="L578" s="3902"/>
      <c r="M578" s="910"/>
      <c r="N578" s="910"/>
      <c r="O578" s="910"/>
      <c r="P578" s="910"/>
      <c r="Q578" s="910"/>
      <c r="R578" s="910"/>
      <c r="S578" s="910"/>
      <c r="T578" s="910"/>
      <c r="U578" s="910"/>
      <c r="V578" s="3219" t="str">
        <f>D578</f>
        <v>DuctLength</v>
      </c>
      <c r="W578" s="960">
        <f>SQRT($F$85)</f>
        <v>1</v>
      </c>
      <c r="X578" s="960">
        <v>37.242448899072144</v>
      </c>
      <c r="Y578" s="960">
        <v>1</v>
      </c>
      <c r="Z578" s="1645">
        <v>1</v>
      </c>
      <c r="AA578" s="1645">
        <v>1</v>
      </c>
      <c r="AB578" s="1645">
        <v>1</v>
      </c>
      <c r="AC578" s="1645">
        <v>1</v>
      </c>
      <c r="AD578" s="960"/>
      <c r="AE578" s="960"/>
      <c r="AF578" s="960"/>
      <c r="AG578" s="960"/>
      <c r="AK578" s="883"/>
      <c r="BB578" s="906"/>
      <c r="BE578" s="585"/>
    </row>
    <row r="579" spans="1:57" s="892" customFormat="1" hidden="1" outlineLevel="1" x14ac:dyDescent="0.25">
      <c r="A579" s="910"/>
      <c r="B579" s="1061"/>
      <c r="C579" s="907"/>
      <c r="D579" s="4237" t="s">
        <v>1841</v>
      </c>
      <c r="E579" s="4285" t="s">
        <v>1842</v>
      </c>
      <c r="F579" s="982" t="s">
        <v>1843</v>
      </c>
      <c r="G579" s="973">
        <v>4.1100000000000003</v>
      </c>
      <c r="H579" s="4151" t="s">
        <v>1011</v>
      </c>
      <c r="I579" s="4151"/>
      <c r="J579" s="4311" t="s">
        <v>1844</v>
      </c>
      <c r="K579" s="4312"/>
      <c r="L579" s="4313"/>
      <c r="M579" s="910"/>
      <c r="N579" s="910"/>
      <c r="O579" s="910"/>
      <c r="P579" s="910"/>
      <c r="Q579" s="910"/>
      <c r="R579" s="910"/>
      <c r="S579" s="910"/>
      <c r="T579" s="910"/>
      <c r="U579" s="910"/>
      <c r="V579" s="4308" t="str">
        <f>D579</f>
        <v>HeatSavingsPerUnit</v>
      </c>
      <c r="W579" s="971">
        <v>4.1100000000000003</v>
      </c>
      <c r="X579" s="971">
        <v>4.1100000000000003</v>
      </c>
      <c r="Y579" s="971">
        <v>4.1100000000000003</v>
      </c>
      <c r="Z579" s="973">
        <v>4.1100000000000003</v>
      </c>
      <c r="AA579" s="973">
        <v>4.1100000000000003</v>
      </c>
      <c r="AB579" s="973">
        <v>4.1100000000000003</v>
      </c>
      <c r="AC579" s="973">
        <v>4.1100000000000003</v>
      </c>
      <c r="AD579" s="960"/>
      <c r="AE579" s="960"/>
      <c r="AF579" s="960"/>
      <c r="AG579" s="960"/>
      <c r="AK579" s="883"/>
      <c r="BB579" s="906"/>
      <c r="BE579" s="585"/>
    </row>
    <row r="580" spans="1:57" s="892" customFormat="1" hidden="1" outlineLevel="1" x14ac:dyDescent="0.25">
      <c r="A580" s="910"/>
      <c r="B580" s="1061"/>
      <c r="C580" s="907"/>
      <c r="D580" s="4321"/>
      <c r="E580" s="4286"/>
      <c r="F580" s="982" t="s">
        <v>1845</v>
      </c>
      <c r="G580" s="973">
        <v>3.41</v>
      </c>
      <c r="H580" s="4151" t="s">
        <v>1011</v>
      </c>
      <c r="I580" s="4151"/>
      <c r="J580" s="4314"/>
      <c r="K580" s="4315"/>
      <c r="L580" s="4316"/>
      <c r="M580" s="910"/>
      <c r="N580" s="910"/>
      <c r="O580" s="910"/>
      <c r="P580" s="910"/>
      <c r="Q580" s="910"/>
      <c r="R580" s="910"/>
      <c r="S580" s="910"/>
      <c r="T580" s="910"/>
      <c r="U580" s="910"/>
      <c r="V580" s="4309"/>
      <c r="W580" s="971">
        <v>3.41</v>
      </c>
      <c r="X580" s="971">
        <v>3.41</v>
      </c>
      <c r="Y580" s="971">
        <v>3.41</v>
      </c>
      <c r="Z580" s="973">
        <v>3.41</v>
      </c>
      <c r="AA580" s="973">
        <v>3.41</v>
      </c>
      <c r="AB580" s="973">
        <v>3.41</v>
      </c>
      <c r="AC580" s="973">
        <v>3.41</v>
      </c>
      <c r="AD580" s="960"/>
      <c r="AE580" s="960"/>
      <c r="AF580" s="960"/>
      <c r="AG580" s="960"/>
      <c r="AK580" s="883"/>
      <c r="BB580" s="906"/>
      <c r="BE580" s="585"/>
    </row>
    <row r="581" spans="1:57" s="892" customFormat="1" hidden="1" outlineLevel="1" x14ac:dyDescent="0.25">
      <c r="A581" s="910"/>
      <c r="B581" s="1061"/>
      <c r="C581" s="907"/>
      <c r="D581" s="4321"/>
      <c r="E581" s="4286"/>
      <c r="F581" s="982" t="s">
        <v>1846</v>
      </c>
      <c r="G581" s="973">
        <v>5.0599999999999996</v>
      </c>
      <c r="H581" s="4151" t="s">
        <v>1011</v>
      </c>
      <c r="I581" s="4151"/>
      <c r="J581" s="4314"/>
      <c r="K581" s="4315"/>
      <c r="L581" s="4316"/>
      <c r="M581" s="910"/>
      <c r="N581" s="910"/>
      <c r="O581" s="910"/>
      <c r="P581" s="910"/>
      <c r="Q581" s="910"/>
      <c r="R581" s="910"/>
      <c r="S581" s="910"/>
      <c r="T581" s="910"/>
      <c r="U581" s="910"/>
      <c r="V581" s="4309"/>
      <c r="W581" s="971">
        <v>5.0599999999999996</v>
      </c>
      <c r="X581" s="971">
        <v>5.0599999999999996</v>
      </c>
      <c r="Y581" s="971">
        <v>5.0599999999999996</v>
      </c>
      <c r="Z581" s="973">
        <v>5.0599999999999996</v>
      </c>
      <c r="AA581" s="973">
        <v>5.0599999999999996</v>
      </c>
      <c r="AB581" s="973">
        <v>5.0599999999999996</v>
      </c>
      <c r="AC581" s="973">
        <v>5.0599999999999996</v>
      </c>
      <c r="AD581" s="960"/>
      <c r="AE581" s="960"/>
      <c r="AF581" s="960"/>
      <c r="AG581" s="960"/>
      <c r="AK581" s="883"/>
      <c r="BB581" s="906"/>
      <c r="BE581" s="585"/>
    </row>
    <row r="582" spans="1:57" s="892" customFormat="1" hidden="1" outlineLevel="1" x14ac:dyDescent="0.25">
      <c r="A582" s="910"/>
      <c r="B582" s="1061"/>
      <c r="C582" s="907"/>
      <c r="D582" s="4321"/>
      <c r="E582" s="4286"/>
      <c r="F582" s="982" t="s">
        <v>1847</v>
      </c>
      <c r="G582" s="973">
        <v>0.21</v>
      </c>
      <c r="H582" s="4151" t="s">
        <v>1011</v>
      </c>
      <c r="I582" s="4151"/>
      <c r="J582" s="4314"/>
      <c r="K582" s="4315"/>
      <c r="L582" s="4316"/>
      <c r="M582" s="910"/>
      <c r="N582" s="910"/>
      <c r="O582" s="910"/>
      <c r="P582" s="910"/>
      <c r="Q582" s="910"/>
      <c r="R582" s="910"/>
      <c r="S582" s="910"/>
      <c r="T582" s="910"/>
      <c r="U582" s="910"/>
      <c r="V582" s="4309"/>
      <c r="W582" s="971">
        <v>0.21</v>
      </c>
      <c r="X582" s="971">
        <v>0.21</v>
      </c>
      <c r="Y582" s="971">
        <v>0.21</v>
      </c>
      <c r="Z582" s="973">
        <v>0.21</v>
      </c>
      <c r="AA582" s="973">
        <v>0.21</v>
      </c>
      <c r="AB582" s="973">
        <v>0.21</v>
      </c>
      <c r="AC582" s="973">
        <v>0.21</v>
      </c>
      <c r="AD582" s="960"/>
      <c r="AE582" s="960"/>
      <c r="AF582" s="960"/>
      <c r="AG582" s="960"/>
      <c r="AK582" s="883"/>
      <c r="BB582" s="906"/>
      <c r="BE582" s="585"/>
    </row>
    <row r="583" spans="1:57" s="892" customFormat="1" hidden="1" outlineLevel="1" x14ac:dyDescent="0.25">
      <c r="A583" s="910"/>
      <c r="B583" s="1061"/>
      <c r="C583" s="907"/>
      <c r="D583" s="4321"/>
      <c r="E583" s="4286"/>
      <c r="F583" s="3182" t="s">
        <v>1848</v>
      </c>
      <c r="G583" s="973">
        <v>0.19</v>
      </c>
      <c r="H583" s="4151" t="s">
        <v>1011</v>
      </c>
      <c r="I583" s="4151"/>
      <c r="J583" s="4314"/>
      <c r="K583" s="4315"/>
      <c r="L583" s="4316"/>
      <c r="M583" s="910"/>
      <c r="N583" s="910"/>
      <c r="O583" s="910"/>
      <c r="P583" s="910"/>
      <c r="Q583" s="910"/>
      <c r="R583" s="910"/>
      <c r="S583" s="910"/>
      <c r="T583" s="910"/>
      <c r="U583" s="910"/>
      <c r="V583" s="4309"/>
      <c r="W583" s="971">
        <v>0.19</v>
      </c>
      <c r="X583" s="971">
        <v>0.19</v>
      </c>
      <c r="Y583" s="971">
        <v>0.19</v>
      </c>
      <c r="Z583" s="973">
        <v>0.19</v>
      </c>
      <c r="AA583" s="973">
        <v>0.19</v>
      </c>
      <c r="AB583" s="973">
        <v>0.19</v>
      </c>
      <c r="AC583" s="973">
        <v>0.19</v>
      </c>
      <c r="AD583" s="960"/>
      <c r="AE583" s="960"/>
      <c r="AF583" s="960"/>
      <c r="AG583" s="960"/>
      <c r="AK583" s="883"/>
      <c r="BB583" s="906"/>
      <c r="BE583" s="585"/>
    </row>
    <row r="584" spans="1:57" s="892" customFormat="1" hidden="1" outlineLevel="1" x14ac:dyDescent="0.25">
      <c r="A584" s="910"/>
      <c r="B584" s="1061"/>
      <c r="C584" s="907"/>
      <c r="D584" s="3891"/>
      <c r="E584" s="3891"/>
      <c r="F584" s="3182" t="s">
        <v>1849</v>
      </c>
      <c r="G584" s="973">
        <v>0.26</v>
      </c>
      <c r="H584" s="4251" t="s">
        <v>1838</v>
      </c>
      <c r="I584" s="4150"/>
      <c r="J584" s="4317"/>
      <c r="K584" s="4318"/>
      <c r="L584" s="4319"/>
      <c r="M584" s="910"/>
      <c r="N584" s="910"/>
      <c r="O584" s="910"/>
      <c r="P584" s="910"/>
      <c r="Q584" s="910"/>
      <c r="R584" s="910"/>
      <c r="S584" s="910"/>
      <c r="T584" s="910"/>
      <c r="U584" s="910"/>
      <c r="V584" s="4310"/>
      <c r="W584" s="971"/>
      <c r="X584" s="971"/>
      <c r="Y584" s="971"/>
      <c r="Z584" s="973"/>
      <c r="AA584" s="2304">
        <v>0.26</v>
      </c>
      <c r="AB584" s="973">
        <v>0.26</v>
      </c>
      <c r="AC584" s="973">
        <v>0.26</v>
      </c>
      <c r="AD584" s="960"/>
      <c r="AE584" s="960"/>
      <c r="AF584" s="960"/>
      <c r="AG584" s="960"/>
      <c r="AK584" s="883"/>
      <c r="BB584" s="906"/>
      <c r="BE584" s="585"/>
    </row>
    <row r="585" spans="1:57" s="892" customFormat="1" ht="32.25" hidden="1" customHeight="1" outlineLevel="1" x14ac:dyDescent="0.25">
      <c r="A585" s="910"/>
      <c r="B585" s="1061"/>
      <c r="C585" s="907"/>
      <c r="D585" s="1648" t="s">
        <v>1805</v>
      </c>
      <c r="E585" s="3099" t="s">
        <v>1806</v>
      </c>
      <c r="F585" s="3182"/>
      <c r="G585" s="1651">
        <v>3.1399999999999997E-2</v>
      </c>
      <c r="H585" s="4232" t="s">
        <v>1011</v>
      </c>
      <c r="I585" s="4232"/>
      <c r="J585" s="4236"/>
      <c r="K585" s="4236"/>
      <c r="L585" s="4236"/>
      <c r="M585" s="910"/>
      <c r="N585" s="910"/>
      <c r="O585" s="910"/>
      <c r="P585" s="910"/>
      <c r="Q585" s="910"/>
      <c r="R585" s="910"/>
      <c r="S585" s="910"/>
      <c r="T585" s="910"/>
      <c r="U585" s="910"/>
      <c r="V585" s="924" t="str">
        <f t="shared" ref="V585:V591" si="81">D585</f>
        <v>Fe</v>
      </c>
      <c r="W585" s="964">
        <v>3.1399999999999997E-2</v>
      </c>
      <c r="X585" s="964">
        <v>3.1399999999999997E-2</v>
      </c>
      <c r="Y585" s="964">
        <v>3.1399999999999997E-2</v>
      </c>
      <c r="Z585" s="1651">
        <v>3.1399999999999997E-2</v>
      </c>
      <c r="AA585" s="1651">
        <v>3.1399999999999997E-2</v>
      </c>
      <c r="AB585" s="1651">
        <v>3.1399999999999997E-2</v>
      </c>
      <c r="AC585" s="1651">
        <v>3.1399999999999997E-2</v>
      </c>
      <c r="AD585" s="960"/>
      <c r="AE585" s="960"/>
      <c r="AF585" s="960"/>
      <c r="AG585" s="960"/>
      <c r="AK585" s="883"/>
      <c r="BB585" s="906"/>
      <c r="BE585" s="585"/>
    </row>
    <row r="586" spans="1:57" s="892" customFormat="1" ht="15" hidden="1" customHeight="1" outlineLevel="1" x14ac:dyDescent="0.25">
      <c r="A586" s="910"/>
      <c r="B586" s="1061"/>
      <c r="C586" s="907"/>
      <c r="D586" s="3184">
        <v>29.3</v>
      </c>
      <c r="E586" s="3099" t="s">
        <v>1808</v>
      </c>
      <c r="F586" s="3182"/>
      <c r="G586" s="3216">
        <v>29.3</v>
      </c>
      <c r="H586" s="4151" t="s">
        <v>1809</v>
      </c>
      <c r="I586" s="4151"/>
      <c r="J586" s="4236"/>
      <c r="K586" s="4236"/>
      <c r="L586" s="4236"/>
      <c r="M586" s="910"/>
      <c r="N586" s="910"/>
      <c r="O586" s="910"/>
      <c r="P586" s="910"/>
      <c r="Q586" s="910"/>
      <c r="R586" s="910"/>
      <c r="S586" s="910"/>
      <c r="T586" s="910"/>
      <c r="U586" s="910"/>
      <c r="V586" s="924">
        <f t="shared" si="81"/>
        <v>29.3</v>
      </c>
      <c r="W586" s="198">
        <v>29.3</v>
      </c>
      <c r="X586" s="198">
        <v>29.3</v>
      </c>
      <c r="Y586" s="198">
        <v>29.3</v>
      </c>
      <c r="Z586" s="3216">
        <v>29.3</v>
      </c>
      <c r="AA586" s="3216">
        <v>29.3</v>
      </c>
      <c r="AB586" s="3216">
        <v>29.3</v>
      </c>
      <c r="AC586" s="3216">
        <v>29.3</v>
      </c>
      <c r="AD586" s="960"/>
      <c r="AE586" s="960"/>
      <c r="AF586" s="960"/>
      <c r="AG586" s="960"/>
      <c r="AK586" s="883"/>
      <c r="BB586" s="906"/>
      <c r="BE586" s="585"/>
    </row>
    <row r="587" spans="1:57" s="892" customFormat="1" ht="15" hidden="1" customHeight="1" outlineLevel="1" x14ac:dyDescent="0.25">
      <c r="A587" s="910"/>
      <c r="B587" s="1061"/>
      <c r="C587" s="907"/>
      <c r="D587" s="3089" t="s">
        <v>592</v>
      </c>
      <c r="E587" s="3089" t="s">
        <v>1815</v>
      </c>
      <c r="F587" s="3182"/>
      <c r="G587" s="1040">
        <v>1</v>
      </c>
      <c r="H587" s="3867" t="s">
        <v>600</v>
      </c>
      <c r="I587" s="3867"/>
      <c r="J587" s="4236"/>
      <c r="K587" s="4236"/>
      <c r="L587" s="4236"/>
      <c r="M587" s="910"/>
      <c r="N587" s="910"/>
      <c r="O587" s="910"/>
      <c r="P587" s="910"/>
      <c r="Q587" s="910"/>
      <c r="R587" s="910"/>
      <c r="S587" s="910"/>
      <c r="T587" s="910"/>
      <c r="U587" s="910"/>
      <c r="V587" s="924" t="str">
        <f t="shared" si="81"/>
        <v>Electric Saturation</v>
      </c>
      <c r="W587" s="966">
        <v>1</v>
      </c>
      <c r="X587" s="966">
        <v>1</v>
      </c>
      <c r="Y587" s="966">
        <v>1</v>
      </c>
      <c r="Z587" s="1040">
        <v>1</v>
      </c>
      <c r="AA587" s="1040">
        <v>1</v>
      </c>
      <c r="AB587" s="1040">
        <v>1</v>
      </c>
      <c r="AC587" s="1040">
        <v>1</v>
      </c>
      <c r="AD587" s="960"/>
      <c r="AE587" s="960"/>
      <c r="AF587" s="960"/>
      <c r="AG587" s="960"/>
      <c r="AK587" s="883"/>
      <c r="BB587" s="906"/>
      <c r="BE587" s="585"/>
    </row>
    <row r="588" spans="1:57" s="892" customFormat="1" ht="15" hidden="1" customHeight="1" outlineLevel="1" x14ac:dyDescent="0.25">
      <c r="A588" s="910"/>
      <c r="B588" s="1061"/>
      <c r="C588" s="907"/>
      <c r="D588" s="3089" t="s">
        <v>531</v>
      </c>
      <c r="E588" s="3089" t="s">
        <v>595</v>
      </c>
      <c r="F588" s="3182"/>
      <c r="G588" s="1040">
        <v>1</v>
      </c>
      <c r="H588" s="3867" t="s">
        <v>600</v>
      </c>
      <c r="I588" s="3867"/>
      <c r="J588" s="4236"/>
      <c r="K588" s="4236"/>
      <c r="L588" s="4236"/>
      <c r="M588" s="910"/>
      <c r="N588" s="910"/>
      <c r="O588" s="910"/>
      <c r="P588" s="910"/>
      <c r="Q588" s="910"/>
      <c r="R588" s="910"/>
      <c r="S588" s="910"/>
      <c r="T588" s="910"/>
      <c r="U588" s="910"/>
      <c r="V588" s="924" t="str">
        <f t="shared" si="81"/>
        <v>Utility Adjustment</v>
      </c>
      <c r="W588" s="966">
        <v>1</v>
      </c>
      <c r="X588" s="966">
        <v>1</v>
      </c>
      <c r="Y588" s="966">
        <v>1</v>
      </c>
      <c r="Z588" s="1040">
        <v>1</v>
      </c>
      <c r="AA588" s="1040">
        <v>1</v>
      </c>
      <c r="AB588" s="1040">
        <v>1</v>
      </c>
      <c r="AC588" s="1040">
        <v>1</v>
      </c>
      <c r="AD588" s="960"/>
      <c r="AE588" s="960"/>
      <c r="AF588" s="960"/>
      <c r="AG588" s="960"/>
      <c r="AK588" s="883"/>
      <c r="BB588" s="906"/>
      <c r="BE588" s="585"/>
    </row>
    <row r="589" spans="1:57" s="892" customFormat="1" ht="15" hidden="1" customHeight="1" outlineLevel="1" x14ac:dyDescent="0.25">
      <c r="A589" s="910"/>
      <c r="B589" s="1061"/>
      <c r="C589" s="907"/>
      <c r="D589" s="3184" t="s">
        <v>133</v>
      </c>
      <c r="E589" s="3184" t="s">
        <v>1817</v>
      </c>
      <c r="F589" s="3182"/>
      <c r="G589" s="2697">
        <v>1</v>
      </c>
      <c r="H589" s="4151" t="s">
        <v>1818</v>
      </c>
      <c r="I589" s="4151"/>
      <c r="J589" s="3902" t="s">
        <v>1801</v>
      </c>
      <c r="K589" s="3902"/>
      <c r="L589" s="3902"/>
      <c r="M589" s="910"/>
      <c r="N589" s="910"/>
      <c r="O589" s="910"/>
      <c r="P589" s="910"/>
      <c r="Q589" s="910"/>
      <c r="R589" s="910"/>
      <c r="S589" s="910"/>
      <c r="T589" s="910"/>
      <c r="U589" s="910"/>
      <c r="V589" s="924" t="str">
        <f t="shared" si="81"/>
        <v>ISR</v>
      </c>
      <c r="W589" s="968">
        <v>1</v>
      </c>
      <c r="X589" s="968">
        <v>1</v>
      </c>
      <c r="Y589" s="968">
        <v>1</v>
      </c>
      <c r="Z589" s="1032">
        <v>1</v>
      </c>
      <c r="AA589" s="1032">
        <v>1</v>
      </c>
      <c r="AB589" s="1032">
        <v>1</v>
      </c>
      <c r="AC589" s="2697">
        <v>1</v>
      </c>
      <c r="AD589" s="960"/>
      <c r="AE589" s="960"/>
      <c r="AF589" s="960"/>
      <c r="AG589" s="960"/>
      <c r="AK589" s="883"/>
      <c r="BB589" s="906"/>
      <c r="BE589" s="585"/>
    </row>
    <row r="590" spans="1:57" s="892" customFormat="1" ht="15" hidden="1" customHeight="1" outlineLevel="1" x14ac:dyDescent="0.25">
      <c r="A590" s="910"/>
      <c r="B590" s="910"/>
      <c r="C590" s="907"/>
      <c r="D590" s="1798" t="str">
        <f>D551</f>
        <v>EUL</v>
      </c>
      <c r="E590" s="1798" t="str">
        <f>E551</f>
        <v>Effective Useful Life</v>
      </c>
      <c r="F590" s="985" t="s">
        <v>135</v>
      </c>
      <c r="G590" s="1088">
        <v>20</v>
      </c>
      <c r="H590" s="3867"/>
      <c r="I590" s="3927"/>
      <c r="J590" s="4236"/>
      <c r="K590" s="4236"/>
      <c r="L590" s="4236"/>
      <c r="M590" s="1650"/>
      <c r="N590" s="910"/>
      <c r="O590" s="910"/>
      <c r="P590" s="910"/>
      <c r="Q590" s="910"/>
      <c r="R590" s="910"/>
      <c r="S590" s="910"/>
      <c r="T590" s="910"/>
      <c r="U590" s="910"/>
      <c r="V590" s="924" t="str">
        <f t="shared" si="81"/>
        <v>EUL</v>
      </c>
      <c r="W590" s="969">
        <v>20</v>
      </c>
      <c r="X590" s="969">
        <v>20</v>
      </c>
      <c r="Y590" s="969">
        <v>20</v>
      </c>
      <c r="Z590" s="827">
        <v>20</v>
      </c>
      <c r="AA590" s="827">
        <v>20</v>
      </c>
      <c r="AB590" s="827">
        <v>20</v>
      </c>
      <c r="AC590" s="1088">
        <v>20</v>
      </c>
      <c r="AD590" s="969"/>
      <c r="AE590" s="969"/>
      <c r="AF590" s="969"/>
      <c r="AG590" s="969"/>
      <c r="AK590" s="883"/>
      <c r="BB590" s="906"/>
      <c r="BE590" s="585"/>
    </row>
    <row r="591" spans="1:57" s="892" customFormat="1" ht="15" hidden="1" customHeight="1" outlineLevel="1" x14ac:dyDescent="0.25">
      <c r="A591" s="910"/>
      <c r="B591" s="910"/>
      <c r="C591" s="907"/>
      <c r="D591" s="1798" t="str">
        <f>D552</f>
        <v>Inc. Cost</v>
      </c>
      <c r="E591" s="1798" t="str">
        <f>E552</f>
        <v>Incremental Cost</v>
      </c>
      <c r="F591" s="2297" t="s">
        <v>135</v>
      </c>
      <c r="G591" s="442">
        <f>299.34234/SQRT(1387)</f>
        <v>8.0376653213977498</v>
      </c>
      <c r="H591" s="4151" t="s">
        <v>1850</v>
      </c>
      <c r="I591" s="4251"/>
      <c r="J591" s="3902" t="s">
        <v>1819</v>
      </c>
      <c r="K591" s="3902"/>
      <c r="L591" s="3902"/>
      <c r="M591" s="1650"/>
      <c r="N591" s="910"/>
      <c r="O591" s="910"/>
      <c r="P591" s="910"/>
      <c r="Q591" s="910"/>
      <c r="R591" s="910"/>
      <c r="S591" s="910"/>
      <c r="T591" s="910"/>
      <c r="U591" s="910"/>
      <c r="V591" s="924" t="str">
        <f t="shared" si="81"/>
        <v>Inc. Cost</v>
      </c>
      <c r="W591" s="927">
        <v>299.34233999999998</v>
      </c>
      <c r="X591" s="927">
        <v>299.34233999999998</v>
      </c>
      <c r="Y591" s="682">
        <v>8.0376653213977498</v>
      </c>
      <c r="Z591" s="442">
        <v>8.0376653213977498</v>
      </c>
      <c r="AA591" s="442">
        <v>8.0376653213977498</v>
      </c>
      <c r="AB591" s="442">
        <v>8.0376653213977498</v>
      </c>
      <c r="AC591" s="442">
        <v>8.0376653213977498</v>
      </c>
      <c r="AD591" s="927"/>
      <c r="AE591" s="927"/>
      <c r="AF591" s="927"/>
      <c r="AG591" s="927"/>
      <c r="AK591" s="883"/>
      <c r="BB591" s="906"/>
      <c r="BE591" s="585"/>
    </row>
    <row r="592" spans="1:57" s="892" customFormat="1" collapsed="1" x14ac:dyDescent="0.25">
      <c r="A592" s="910"/>
      <c r="B592" s="1061"/>
      <c r="C592" s="907"/>
      <c r="D592" s="1656"/>
      <c r="E592" s="1656"/>
      <c r="F592" s="910"/>
      <c r="G592" s="1657"/>
      <c r="H592" s="1657"/>
      <c r="I592" s="1657"/>
      <c r="J592" s="910"/>
      <c r="K592" s="910"/>
      <c r="L592" s="910"/>
      <c r="M592" s="910"/>
      <c r="N592" s="910"/>
      <c r="O592" s="910"/>
      <c r="P592" s="910"/>
      <c r="Q592" s="910"/>
      <c r="R592" s="910"/>
      <c r="S592" s="910"/>
      <c r="T592" s="910"/>
      <c r="U592" s="910"/>
      <c r="Y592" s="1500" t="s">
        <v>1642</v>
      </c>
      <c r="AK592" s="883"/>
      <c r="BB592" s="906"/>
    </row>
    <row r="593" spans="1:57" s="892" customFormat="1" x14ac:dyDescent="0.25">
      <c r="A593" s="910"/>
      <c r="B593" s="910"/>
      <c r="C593" s="907"/>
      <c r="D593" s="1656"/>
      <c r="E593" s="1656"/>
      <c r="F593" s="1657"/>
      <c r="G593" s="1657"/>
      <c r="H593" s="1657"/>
      <c r="I593" s="910"/>
      <c r="J593" s="910"/>
      <c r="K593" s="910"/>
      <c r="L593" s="910"/>
      <c r="M593" s="910"/>
      <c r="N593" s="910"/>
      <c r="O593" s="910"/>
      <c r="P593" s="910"/>
      <c r="Q593" s="910"/>
      <c r="R593" s="910"/>
      <c r="S593" s="910"/>
      <c r="T593" s="910"/>
      <c r="U593" s="910"/>
      <c r="Y593" s="911"/>
      <c r="AK593" s="883"/>
      <c r="BB593" s="906"/>
    </row>
    <row r="594" spans="1:57" x14ac:dyDescent="0.25">
      <c r="A594" s="1027"/>
      <c r="B594" s="3750" t="str">
        <f>'HVAC Deemed Table'!B4:L4</f>
        <v>ECM/ Blower Motor</v>
      </c>
      <c r="C594" s="3751"/>
      <c r="D594" s="3751"/>
      <c r="E594" s="3751"/>
      <c r="F594" s="3751"/>
      <c r="G594" s="3751"/>
      <c r="H594" s="3751"/>
      <c r="I594" s="3744"/>
      <c r="J594" s="3744"/>
      <c r="K594" s="3744"/>
      <c r="L594" s="3744"/>
      <c r="M594" s="3744"/>
      <c r="N594" s="3744"/>
      <c r="O594" s="3744"/>
      <c r="P594" s="3744"/>
      <c r="Q594" s="3744"/>
      <c r="R594" s="3745"/>
      <c r="V594" s="3750" t="str">
        <f>B594</f>
        <v>ECM/ Blower Motor</v>
      </c>
      <c r="W594" s="3751"/>
      <c r="X594" s="3751"/>
      <c r="Y594" s="3751"/>
      <c r="Z594" s="3751"/>
      <c r="AA594" s="3751"/>
      <c r="AB594" s="3751"/>
      <c r="AC594" s="3752"/>
      <c r="AD594" s="3752"/>
      <c r="AE594" s="3752"/>
      <c r="AF594" s="3752"/>
      <c r="AG594" s="3752"/>
      <c r="AH594" s="3752"/>
      <c r="AI594" s="3753"/>
      <c r="AJ594" s="892"/>
      <c r="AK594" s="883"/>
    </row>
    <row r="595" spans="1:57" x14ac:dyDescent="0.25">
      <c r="B595" s="1233"/>
      <c r="C595" s="225"/>
      <c r="D595" s="419"/>
      <c r="E595" s="419"/>
      <c r="F595" s="226"/>
      <c r="G595" s="226"/>
      <c r="H595" s="226"/>
      <c r="I595" s="226"/>
      <c r="J595" s="226"/>
      <c r="K595" s="226"/>
      <c r="L595" s="1438"/>
      <c r="AJ595" s="892"/>
      <c r="AK595" s="883"/>
    </row>
    <row r="596" spans="1:57" ht="30" x14ac:dyDescent="0.25">
      <c r="B596" s="1233"/>
      <c r="C596" s="3086" t="s">
        <v>28</v>
      </c>
      <c r="D596" s="3086" t="s">
        <v>175</v>
      </c>
      <c r="E596" s="3086" t="s">
        <v>30</v>
      </c>
      <c r="F596" s="3086" t="s">
        <v>31</v>
      </c>
      <c r="G596" s="3086" t="s">
        <v>176</v>
      </c>
      <c r="H596" s="3086" t="s">
        <v>177</v>
      </c>
      <c r="I596" s="3086" t="s">
        <v>506</v>
      </c>
      <c r="J596" s="3086" t="s">
        <v>507</v>
      </c>
      <c r="K596" s="3086" t="s">
        <v>805</v>
      </c>
      <c r="L596" s="3086" t="s">
        <v>806</v>
      </c>
      <c r="M596" s="3086" t="s">
        <v>32</v>
      </c>
      <c r="N596" s="3140" t="s">
        <v>181</v>
      </c>
      <c r="O596" s="3086" t="s">
        <v>170</v>
      </c>
      <c r="P596" s="3086" t="s">
        <v>44</v>
      </c>
      <c r="V596" s="1936" t="s">
        <v>45</v>
      </c>
      <c r="W596" s="1937">
        <f>W$6</f>
        <v>43252</v>
      </c>
      <c r="X596" s="1937">
        <f t="shared" ref="X596:AG596" si="82">X$6</f>
        <v>43465</v>
      </c>
      <c r="Y596" s="360">
        <f t="shared" si="82"/>
        <v>43800</v>
      </c>
      <c r="Z596" s="1937">
        <f t="shared" si="82"/>
        <v>43862</v>
      </c>
      <c r="AA596" s="1937">
        <f t="shared" si="82"/>
        <v>44013</v>
      </c>
      <c r="AB596" s="1937">
        <f t="shared" si="82"/>
        <v>44166</v>
      </c>
      <c r="AC596" s="1937">
        <f t="shared" si="82"/>
        <v>44531</v>
      </c>
      <c r="AD596" s="1937" t="str">
        <f t="shared" si="82"/>
        <v>-</v>
      </c>
      <c r="AE596" s="1937" t="str">
        <f t="shared" si="82"/>
        <v>-</v>
      </c>
      <c r="AF596" s="1937" t="str">
        <f t="shared" si="82"/>
        <v>-</v>
      </c>
      <c r="AG596" s="1937" t="str">
        <f t="shared" si="82"/>
        <v>-</v>
      </c>
      <c r="AJ596" s="892"/>
      <c r="AK596" s="883"/>
      <c r="BB596" s="1938" t="str">
        <f>$BB$6</f>
        <v>TRC (2020)</v>
      </c>
      <c r="BC596" s="1953" t="str">
        <f>$BC$6</f>
        <v>Benefit Lookup</v>
      </c>
      <c r="BD596" s="665" t="str">
        <f>$BD$6</f>
        <v>Benefits (2019 $)</v>
      </c>
      <c r="BE596" s="230" t="str">
        <f>$BE$6</f>
        <v>Incremental Cost (2019 $)</v>
      </c>
    </row>
    <row r="597" spans="1:57" x14ac:dyDescent="0.25">
      <c r="B597" s="1233"/>
      <c r="C597" s="2734" t="s">
        <v>1851</v>
      </c>
      <c r="D597" s="2695" t="s">
        <v>1571</v>
      </c>
      <c r="E597" s="3166" t="s">
        <v>1852</v>
      </c>
      <c r="F597" s="975">
        <f>ROUND(I597+J597+K597+L597,2)</f>
        <v>0</v>
      </c>
      <c r="G597" s="2667" t="s">
        <v>438</v>
      </c>
      <c r="H597" s="155">
        <f>VLOOKUP(G597,'CP FACTORS'!$A$3:$B$38, 2, FALSE)</f>
        <v>4.6608050000000002E-4</v>
      </c>
      <c r="I597" s="2732">
        <f>0</f>
        <v>0</v>
      </c>
      <c r="J597" s="2732">
        <f>0</f>
        <v>0</v>
      </c>
      <c r="K597" s="2732">
        <f>0</f>
        <v>0</v>
      </c>
      <c r="L597" s="979">
        <v>0</v>
      </c>
      <c r="M597" s="893">
        <f>ROUND(H597*F597,6)</f>
        <v>0</v>
      </c>
      <c r="N597" s="1660">
        <f>G659</f>
        <v>20</v>
      </c>
      <c r="O597" s="2297">
        <f>G665</f>
        <v>74.327224020150311</v>
      </c>
      <c r="P597" s="1661" t="s">
        <v>185</v>
      </c>
      <c r="R597" s="1027"/>
      <c r="V597" s="160" t="str">
        <f>$F$516</f>
        <v>kWh
Annual Savings</v>
      </c>
      <c r="W597" s="974">
        <v>591.90332067911811</v>
      </c>
      <c r="X597" s="424">
        <v>591.90332067911811</v>
      </c>
      <c r="Y597" s="975">
        <v>582</v>
      </c>
      <c r="Z597" s="2301">
        <v>582</v>
      </c>
      <c r="AA597" s="2301">
        <v>582</v>
      </c>
      <c r="AB597" s="2301">
        <v>582</v>
      </c>
      <c r="AC597" s="975">
        <v>0</v>
      </c>
      <c r="AD597" s="160"/>
      <c r="AE597" s="160"/>
      <c r="AF597" s="160"/>
      <c r="AG597" s="160"/>
      <c r="AJ597" s="892"/>
      <c r="AK597" s="883"/>
      <c r="BB597" s="1945">
        <f>(BD597)/(BE597)</f>
        <v>0</v>
      </c>
      <c r="BC597" s="953" t="str">
        <f>CONCATENATE(G597," ",N597," Year EUL")</f>
        <v>HVAC RES 20 Year EUL</v>
      </c>
      <c r="BD597" s="111">
        <f>(INDEX('Avoided Cost Benefits'!$C$4:$C$857,MATCH(BC597,'Avoided Cost Benefits'!$A$4:$A$857,0)))*F597</f>
        <v>0</v>
      </c>
      <c r="BE597" s="1946">
        <f>O597/(1.0595^(2020-2019))</f>
        <v>70.153113751911562</v>
      </c>
    </row>
    <row r="598" spans="1:57" x14ac:dyDescent="0.25">
      <c r="B598" s="1233"/>
      <c r="C598" s="2734" t="s">
        <v>1853</v>
      </c>
      <c r="D598" s="2695" t="s">
        <v>1571</v>
      </c>
      <c r="E598" s="583" t="s">
        <v>1854</v>
      </c>
      <c r="F598" s="1659">
        <f t="shared" ref="F598:F608" si="83">ROUND(I598+J598+K598+L598,2)</f>
        <v>582</v>
      </c>
      <c r="G598" s="2667" t="s">
        <v>438</v>
      </c>
      <c r="H598" s="155">
        <f>VLOOKUP(G598,'CP FACTORS'!$A$3:$B$38, 2, FALSE)</f>
        <v>4.6608050000000002E-4</v>
      </c>
      <c r="I598" s="979">
        <f>(1-G630)*$G$635*G$636/G$637*G653*$G$658</f>
        <v>264.14545423487061</v>
      </c>
      <c r="J598" s="979">
        <f>(1-G639)*$G$644*G$645/G$646*G653*$G$658</f>
        <v>31.133309957924254</v>
      </c>
      <c r="K598" s="979">
        <f>(25*G$645/G$646+2960*$G$649-$G$651)*G653*$G$658</f>
        <v>286.72123580720518</v>
      </c>
      <c r="L598" s="979">
        <v>0</v>
      </c>
      <c r="M598" s="893">
        <f t="shared" ref="M598:M608" si="84">ROUND(H598*F598,6)</f>
        <v>0.27125899999999997</v>
      </c>
      <c r="N598" s="1660">
        <f>G660</f>
        <v>6</v>
      </c>
      <c r="O598" s="2297">
        <f>G666</f>
        <v>475</v>
      </c>
      <c r="P598" s="233" t="s">
        <v>185</v>
      </c>
      <c r="R598" s="1027"/>
      <c r="V598" s="160" t="str">
        <f t="shared" ref="V598:V608" si="85">$F$516</f>
        <v>kWh
Annual Savings</v>
      </c>
      <c r="W598" s="974">
        <v>794.49034774724942</v>
      </c>
      <c r="X598" s="424">
        <v>794.49034774724942</v>
      </c>
      <c r="Y598" s="975">
        <v>582</v>
      </c>
      <c r="Z598" s="2301">
        <v>582</v>
      </c>
      <c r="AA598" s="2301">
        <v>582</v>
      </c>
      <c r="AB598" s="2301">
        <v>582</v>
      </c>
      <c r="AC598" s="1659">
        <v>582</v>
      </c>
      <c r="AD598" s="160"/>
      <c r="AE598" s="160"/>
      <c r="AF598" s="160"/>
      <c r="AG598" s="160"/>
      <c r="AH598" s="892"/>
      <c r="AI598" s="892"/>
      <c r="AJ598" s="892"/>
      <c r="AK598" s="883"/>
      <c r="BB598" s="52">
        <f>(BD598+BD599)/(BE598+BE599)</f>
        <v>0.47881848252210413</v>
      </c>
      <c r="BC598" s="976" t="str">
        <f t="shared" ref="BC598:BC608" si="86">CONCATENATE(G598," ",N598," Year EUL")</f>
        <v>HVAC RES 6 Year EUL</v>
      </c>
      <c r="BD598" s="114">
        <f>(INDEX('Avoided Cost Benefits'!$C$4:$C$857,MATCH(BC598,'Avoided Cost Benefits'!$A$4:$A$857,0)))*F598</f>
        <v>214.66614365077814</v>
      </c>
      <c r="BE598" s="1949">
        <f>O598/(1.0595^(2020-2019))</f>
        <v>448.32468145351578</v>
      </c>
    </row>
    <row r="599" spans="1:57" x14ac:dyDescent="0.25">
      <c r="B599" s="1233"/>
      <c r="C599" s="2734" t="s">
        <v>1853</v>
      </c>
      <c r="D599" s="2695" t="s">
        <v>1571</v>
      </c>
      <c r="E599" s="1948" t="s">
        <v>1855</v>
      </c>
      <c r="F599" s="975">
        <f t="shared" si="83"/>
        <v>0</v>
      </c>
      <c r="G599" s="3176" t="str">
        <f>'CP FACTORS'!$A$17</f>
        <v>HVAC RES ER2</v>
      </c>
      <c r="H599" s="155">
        <f>VLOOKUP(G599,'CP FACTORS'!$A$3:$B$38, 2, FALSE)</f>
        <v>4.6608050000000002E-4</v>
      </c>
      <c r="I599" s="2732">
        <f>0</f>
        <v>0</v>
      </c>
      <c r="J599" s="2732">
        <f>0</f>
        <v>0</v>
      </c>
      <c r="K599" s="2732">
        <f>0</f>
        <v>0</v>
      </c>
      <c r="L599" s="979">
        <v>0</v>
      </c>
      <c r="M599" s="893">
        <f t="shared" si="84"/>
        <v>0</v>
      </c>
      <c r="N599" s="3665">
        <f>G661</f>
        <v>0</v>
      </c>
      <c r="O599" s="2297">
        <f>G667</f>
        <v>0</v>
      </c>
      <c r="P599" s="233" t="s">
        <v>185</v>
      </c>
      <c r="R599" s="1027"/>
      <c r="V599" s="160" t="str">
        <f t="shared" si="85"/>
        <v>kWh
Annual Savings</v>
      </c>
      <c r="W599" s="974">
        <v>591.90332067911811</v>
      </c>
      <c r="X599" s="424">
        <v>591.90332067911811</v>
      </c>
      <c r="Y599" s="975">
        <v>582</v>
      </c>
      <c r="Z599" s="2301">
        <v>582</v>
      </c>
      <c r="AA599" s="2301">
        <v>582</v>
      </c>
      <c r="AB599" s="2301">
        <v>582</v>
      </c>
      <c r="AC599" s="975">
        <v>0</v>
      </c>
      <c r="AD599" s="160"/>
      <c r="AE599" s="160"/>
      <c r="AF599" s="160"/>
      <c r="AG599" s="160"/>
      <c r="AK599" s="883"/>
      <c r="BB599" s="978"/>
      <c r="BC599" s="977" t="str">
        <f t="shared" si="86"/>
        <v>HVAC RES ER2 0 Year EUL</v>
      </c>
      <c r="BD599" s="3674">
        <v>0</v>
      </c>
      <c r="BE599" s="1949">
        <f t="shared" ref="BE599:BE608" si="87">O599/(1.0595^(2020-2019))</f>
        <v>0</v>
      </c>
    </row>
    <row r="600" spans="1:57" x14ac:dyDescent="0.25">
      <c r="B600" s="1233"/>
      <c r="C600" s="2734" t="s">
        <v>1856</v>
      </c>
      <c r="D600" s="2695" t="s">
        <v>1571</v>
      </c>
      <c r="E600" s="3166" t="s">
        <v>1857</v>
      </c>
      <c r="F600" s="975">
        <f t="shared" si="83"/>
        <v>0</v>
      </c>
      <c r="G600" s="3176" t="s">
        <v>438</v>
      </c>
      <c r="H600" s="155">
        <f>VLOOKUP(G600,'CP FACTORS'!$A$3:$B$38, 2, FALSE)</f>
        <v>4.6608050000000002E-4</v>
      </c>
      <c r="I600" s="2732">
        <f>0</f>
        <v>0</v>
      </c>
      <c r="J600" s="2732">
        <f>0</f>
        <v>0</v>
      </c>
      <c r="K600" s="979">
        <v>0</v>
      </c>
      <c r="L600" s="2732">
        <f>0</f>
        <v>0</v>
      </c>
      <c r="M600" s="893">
        <f t="shared" si="84"/>
        <v>0</v>
      </c>
      <c r="N600" s="1660">
        <f t="shared" ref="N600:N605" si="88">G659</f>
        <v>20</v>
      </c>
      <c r="O600" s="2297">
        <f t="shared" ref="O600:O605" si="89">G665</f>
        <v>74.327224020150311</v>
      </c>
      <c r="P600" s="233" t="s">
        <v>185</v>
      </c>
      <c r="R600" s="1027"/>
      <c r="V600" s="160" t="str">
        <f t="shared" si="85"/>
        <v>kWh
Annual Savings</v>
      </c>
      <c r="W600" s="974">
        <v>3255.9033206791182</v>
      </c>
      <c r="X600" s="424">
        <v>3255.9033206791182</v>
      </c>
      <c r="Y600" s="975">
        <v>582</v>
      </c>
      <c r="Z600" s="2301">
        <v>582</v>
      </c>
      <c r="AA600" s="2301">
        <v>582</v>
      </c>
      <c r="AB600" s="2301">
        <v>582</v>
      </c>
      <c r="AC600" s="975">
        <v>0</v>
      </c>
      <c r="AD600" s="160"/>
      <c r="AE600" s="160"/>
      <c r="AF600" s="160"/>
      <c r="AG600" s="160"/>
      <c r="AK600" s="883"/>
      <c r="BB600" s="52">
        <f t="shared" ref="BB600:BB606" si="90">(BD600)/(BE600)</f>
        <v>0</v>
      </c>
      <c r="BC600" s="953" t="str">
        <f t="shared" si="86"/>
        <v>HVAC RES 20 Year EUL</v>
      </c>
      <c r="BD600" s="114">
        <f>(INDEX('Avoided Cost Benefits'!$C$4:$C$857,MATCH(BC600,'Avoided Cost Benefits'!$A$4:$A$857,0)))*F600</f>
        <v>0</v>
      </c>
      <c r="BE600" s="1949">
        <f t="shared" si="87"/>
        <v>70.153113751911562</v>
      </c>
    </row>
    <row r="601" spans="1:57" x14ac:dyDescent="0.25">
      <c r="B601" s="1233"/>
      <c r="C601" s="2734" t="s">
        <v>1858</v>
      </c>
      <c r="D601" s="2695" t="s">
        <v>1571</v>
      </c>
      <c r="E601" s="583" t="s">
        <v>1859</v>
      </c>
      <c r="F601" s="1659">
        <f t="shared" si="83"/>
        <v>582</v>
      </c>
      <c r="G601" s="3176" t="s">
        <v>438</v>
      </c>
      <c r="H601" s="155">
        <f>VLOOKUP(G601,'CP FACTORS'!$A$3:$B$38, 2, FALSE)</f>
        <v>4.6608050000000002E-4</v>
      </c>
      <c r="I601" s="979">
        <f t="shared" ref="I601:I604" si="91">(1-G630)*$G$635*G$636/G$637*G653*$G$658</f>
        <v>264.14545423487061</v>
      </c>
      <c r="J601" s="979">
        <f t="shared" ref="J601:J604" si="92">(1-G639)*$G$644*G$645/G$646*G653*$G$658</f>
        <v>31.133309957924254</v>
      </c>
      <c r="K601" s="979">
        <v>0</v>
      </c>
      <c r="L601" s="979">
        <f>(25*G$645/G$646+2960*$G$649-$G$651)*G654*$G$658</f>
        <v>286.72123580720518</v>
      </c>
      <c r="M601" s="893">
        <f t="shared" si="84"/>
        <v>0.27125899999999997</v>
      </c>
      <c r="N601" s="1660">
        <f t="shared" si="88"/>
        <v>6</v>
      </c>
      <c r="O601" s="2297">
        <f t="shared" si="89"/>
        <v>475</v>
      </c>
      <c r="P601" s="233" t="s">
        <v>185</v>
      </c>
      <c r="R601" s="1027"/>
      <c r="V601" s="160" t="str">
        <f t="shared" si="85"/>
        <v>kWh
Annual Savings</v>
      </c>
      <c r="W601" s="974">
        <v>3458.4903477472494</v>
      </c>
      <c r="X601" s="424">
        <v>3458.4903477472494</v>
      </c>
      <c r="Y601" s="975">
        <v>582</v>
      </c>
      <c r="Z601" s="2301">
        <v>582</v>
      </c>
      <c r="AA601" s="2301">
        <v>582</v>
      </c>
      <c r="AB601" s="2301">
        <v>582</v>
      </c>
      <c r="AC601" s="1659">
        <v>582</v>
      </c>
      <c r="AD601" s="160"/>
      <c r="AE601" s="160"/>
      <c r="AF601" s="160"/>
      <c r="AG601" s="160"/>
      <c r="AK601" s="883"/>
      <c r="BB601" s="52">
        <f>(BD601+BD602)/(BE601+BE602)</f>
        <v>0.47881848252210413</v>
      </c>
      <c r="BC601" s="976" t="str">
        <f t="shared" si="86"/>
        <v>HVAC RES 6 Year EUL</v>
      </c>
      <c r="BD601" s="114">
        <f>(INDEX('Avoided Cost Benefits'!$C$4:$C$857,MATCH(BC601,'Avoided Cost Benefits'!$A$4:$A$857,0)))*F601</f>
        <v>214.66614365077814</v>
      </c>
      <c r="BE601" s="1949">
        <f t="shared" si="87"/>
        <v>448.32468145351578</v>
      </c>
    </row>
    <row r="602" spans="1:57" x14ac:dyDescent="0.25">
      <c r="B602" s="1233"/>
      <c r="C602" s="2734" t="s">
        <v>1858</v>
      </c>
      <c r="D602" s="2695" t="s">
        <v>1571</v>
      </c>
      <c r="E602" s="1948" t="s">
        <v>1860</v>
      </c>
      <c r="F602" s="975">
        <f t="shared" si="83"/>
        <v>0</v>
      </c>
      <c r="G602" s="3176" t="str">
        <f>'CP FACTORS'!$A$17</f>
        <v>HVAC RES ER2</v>
      </c>
      <c r="H602" s="155">
        <f>VLOOKUP(G602,'CP FACTORS'!$A$3:$B$38, 2, FALSE)</f>
        <v>4.6608050000000002E-4</v>
      </c>
      <c r="I602" s="2732">
        <f>0</f>
        <v>0</v>
      </c>
      <c r="J602" s="2732">
        <f>0</f>
        <v>0</v>
      </c>
      <c r="K602" s="979">
        <v>0</v>
      </c>
      <c r="L602" s="2732">
        <f>0</f>
        <v>0</v>
      </c>
      <c r="M602" s="893">
        <f t="shared" si="84"/>
        <v>0</v>
      </c>
      <c r="N602" s="3665">
        <f t="shared" si="88"/>
        <v>0</v>
      </c>
      <c r="O602" s="2297">
        <f t="shared" si="89"/>
        <v>0</v>
      </c>
      <c r="P602" s="233" t="s">
        <v>185</v>
      </c>
      <c r="R602" s="1027"/>
      <c r="V602" s="160" t="str">
        <f t="shared" si="85"/>
        <v>kWh
Annual Savings</v>
      </c>
      <c r="W602" s="974">
        <v>3255.9033206791182</v>
      </c>
      <c r="X602" s="424">
        <v>3255.9033206791182</v>
      </c>
      <c r="Y602" s="975">
        <v>582</v>
      </c>
      <c r="Z602" s="2301">
        <v>582</v>
      </c>
      <c r="AA602" s="2301">
        <v>582</v>
      </c>
      <c r="AB602" s="2301">
        <v>582</v>
      </c>
      <c r="AC602" s="975">
        <v>0</v>
      </c>
      <c r="AD602" s="160"/>
      <c r="AE602" s="160"/>
      <c r="AF602" s="160"/>
      <c r="AG602" s="160"/>
      <c r="AK602" s="883"/>
      <c r="BB602" s="978"/>
      <c r="BC602" s="977" t="str">
        <f t="shared" si="86"/>
        <v>HVAC RES ER2 0 Year EUL</v>
      </c>
      <c r="BD602" s="3674">
        <v>0</v>
      </c>
      <c r="BE602" s="1949">
        <f t="shared" si="87"/>
        <v>0</v>
      </c>
    </row>
    <row r="603" spans="1:57" x14ac:dyDescent="0.25">
      <c r="B603" s="1233"/>
      <c r="C603" s="2734" t="s">
        <v>1861</v>
      </c>
      <c r="D603" s="2695" t="s">
        <v>1577</v>
      </c>
      <c r="E603" s="3166" t="s">
        <v>1862</v>
      </c>
      <c r="F603" s="975">
        <f t="shared" si="83"/>
        <v>0</v>
      </c>
      <c r="G603" s="3176" t="s">
        <v>438</v>
      </c>
      <c r="H603" s="155">
        <f>VLOOKUP(G603,'CP FACTORS'!$A$3:$B$38, 2, FALSE)</f>
        <v>4.6608050000000002E-4</v>
      </c>
      <c r="I603" s="2732">
        <f>0</f>
        <v>0</v>
      </c>
      <c r="J603" s="2732">
        <f>0</f>
        <v>0</v>
      </c>
      <c r="K603" s="2732">
        <f>0</f>
        <v>0</v>
      </c>
      <c r="L603" s="441">
        <v>0</v>
      </c>
      <c r="M603" s="893">
        <f t="shared" si="84"/>
        <v>0</v>
      </c>
      <c r="N603" s="1660">
        <f t="shared" si="88"/>
        <v>20</v>
      </c>
      <c r="O603" s="2297">
        <f t="shared" si="89"/>
        <v>74.327224020150311</v>
      </c>
      <c r="P603" s="233" t="s">
        <v>185</v>
      </c>
      <c r="R603" s="1027"/>
      <c r="V603" s="160" t="str">
        <f t="shared" si="85"/>
        <v>kWh
Annual Savings</v>
      </c>
      <c r="W603" s="974">
        <v>591.90332067911811</v>
      </c>
      <c r="X603" s="424">
        <v>591.90332067911811</v>
      </c>
      <c r="Y603" s="975">
        <v>582</v>
      </c>
      <c r="Z603" s="2301">
        <v>582</v>
      </c>
      <c r="AA603" s="2301">
        <v>582</v>
      </c>
      <c r="AB603" s="2301">
        <v>582</v>
      </c>
      <c r="AC603" s="975">
        <v>0</v>
      </c>
      <c r="AD603" s="160"/>
      <c r="AE603" s="160"/>
      <c r="AF603" s="160"/>
      <c r="AG603" s="160"/>
      <c r="AK603" s="883"/>
      <c r="BB603" s="52">
        <f t="shared" si="90"/>
        <v>0</v>
      </c>
      <c r="BC603" s="953" t="str">
        <f t="shared" si="86"/>
        <v>HVAC RES 20 Year EUL</v>
      </c>
      <c r="BD603" s="114">
        <f>(INDEX('Avoided Cost Benefits'!$C$4:$C$857,MATCH(BC603,'Avoided Cost Benefits'!$A$4:$A$857,0)))*F603</f>
        <v>0</v>
      </c>
      <c r="BE603" s="1949">
        <f t="shared" si="87"/>
        <v>70.153113751911562</v>
      </c>
    </row>
    <row r="604" spans="1:57" x14ac:dyDescent="0.25">
      <c r="B604" s="1233"/>
      <c r="C604" s="2734" t="s">
        <v>1863</v>
      </c>
      <c r="D604" s="2695" t="s">
        <v>1577</v>
      </c>
      <c r="E604" s="583" t="s">
        <v>1864</v>
      </c>
      <c r="F604" s="1659">
        <f t="shared" si="83"/>
        <v>582</v>
      </c>
      <c r="G604" s="3176" t="s">
        <v>438</v>
      </c>
      <c r="H604" s="155">
        <f>VLOOKUP(G604,'CP FACTORS'!$A$3:$B$38, 2, FALSE)</f>
        <v>4.6608050000000002E-4</v>
      </c>
      <c r="I604" s="979">
        <f t="shared" si="91"/>
        <v>264.14545423487061</v>
      </c>
      <c r="J604" s="979">
        <f t="shared" si="92"/>
        <v>31.133309957924254</v>
      </c>
      <c r="K604" s="979">
        <f>(25*G$645/G$646+2960*$G$649-$G$651)*G656*$G$658</f>
        <v>286.72123580720518</v>
      </c>
      <c r="L604" s="441">
        <v>0</v>
      </c>
      <c r="M604" s="893">
        <f t="shared" si="84"/>
        <v>0.27125899999999997</v>
      </c>
      <c r="N604" s="1660">
        <f t="shared" si="88"/>
        <v>6</v>
      </c>
      <c r="O604" s="2297">
        <f t="shared" si="89"/>
        <v>475</v>
      </c>
      <c r="P604" s="233" t="s">
        <v>185</v>
      </c>
      <c r="R604" s="1027"/>
      <c r="V604" s="160" t="str">
        <f t="shared" si="85"/>
        <v>kWh
Annual Savings</v>
      </c>
      <c r="W604" s="974">
        <v>794.49034774724942</v>
      </c>
      <c r="X604" s="424">
        <v>794.49034774724942</v>
      </c>
      <c r="Y604" s="975">
        <v>582</v>
      </c>
      <c r="Z604" s="2301">
        <v>582</v>
      </c>
      <c r="AA604" s="2301">
        <v>582</v>
      </c>
      <c r="AB604" s="2301">
        <v>582</v>
      </c>
      <c r="AC604" s="1659">
        <v>582</v>
      </c>
      <c r="AD604" s="160"/>
      <c r="AE604" s="160"/>
      <c r="AF604" s="160"/>
      <c r="AG604" s="160"/>
      <c r="AK604" s="883"/>
      <c r="BB604" s="52">
        <f>(BD604+BD605)/(BE604+BE605)</f>
        <v>0.47881848252210413</v>
      </c>
      <c r="BC604" s="976" t="str">
        <f t="shared" si="86"/>
        <v>HVAC RES 6 Year EUL</v>
      </c>
      <c r="BD604" s="114">
        <f>(INDEX('Avoided Cost Benefits'!$C$4:$C$857,MATCH(BC604,'Avoided Cost Benefits'!$A$4:$A$857,0)))*F604</f>
        <v>214.66614365077814</v>
      </c>
      <c r="BE604" s="1949">
        <f t="shared" si="87"/>
        <v>448.32468145351578</v>
      </c>
    </row>
    <row r="605" spans="1:57" x14ac:dyDescent="0.25">
      <c r="B605" s="1233"/>
      <c r="C605" s="2734" t="s">
        <v>1863</v>
      </c>
      <c r="D605" s="2695" t="s">
        <v>1577</v>
      </c>
      <c r="E605" s="1948" t="s">
        <v>1865</v>
      </c>
      <c r="F605" s="975">
        <f t="shared" si="83"/>
        <v>0</v>
      </c>
      <c r="G605" s="3176" t="str">
        <f>'CP FACTORS'!$A$17</f>
        <v>HVAC RES ER2</v>
      </c>
      <c r="H605" s="155">
        <f>VLOOKUP(G605,'CP FACTORS'!$A$3:$B$38, 2, FALSE)</f>
        <v>4.6608050000000002E-4</v>
      </c>
      <c r="I605" s="2732">
        <f>0</f>
        <v>0</v>
      </c>
      <c r="J605" s="2732">
        <f>0</f>
        <v>0</v>
      </c>
      <c r="K605" s="2732">
        <f>0</f>
        <v>0</v>
      </c>
      <c r="L605" s="441">
        <v>0</v>
      </c>
      <c r="M605" s="893">
        <f t="shared" si="84"/>
        <v>0</v>
      </c>
      <c r="N605" s="3665">
        <f t="shared" si="88"/>
        <v>0</v>
      </c>
      <c r="O605" s="2297">
        <f t="shared" si="89"/>
        <v>0</v>
      </c>
      <c r="P605" s="233" t="s">
        <v>185</v>
      </c>
      <c r="R605" s="1027"/>
      <c r="V605" s="160" t="str">
        <f t="shared" si="85"/>
        <v>kWh
Annual Savings</v>
      </c>
      <c r="W605" s="974">
        <v>591.90332067911811</v>
      </c>
      <c r="X605" s="424">
        <v>591.90332067911811</v>
      </c>
      <c r="Y605" s="975">
        <v>582</v>
      </c>
      <c r="Z605" s="2301">
        <v>582</v>
      </c>
      <c r="AA605" s="2301">
        <v>582</v>
      </c>
      <c r="AB605" s="2301">
        <v>582</v>
      </c>
      <c r="AC605" s="975">
        <v>0</v>
      </c>
      <c r="AD605" s="160"/>
      <c r="AE605" s="160"/>
      <c r="AF605" s="160"/>
      <c r="AG605" s="160"/>
      <c r="AK605" s="883"/>
      <c r="BB605" s="978"/>
      <c r="BC605" s="977" t="str">
        <f t="shared" si="86"/>
        <v>HVAC RES ER2 0 Year EUL</v>
      </c>
      <c r="BD605" s="3674">
        <v>0</v>
      </c>
      <c r="BE605" s="1949">
        <f t="shared" si="87"/>
        <v>0</v>
      </c>
    </row>
    <row r="606" spans="1:57" x14ac:dyDescent="0.25">
      <c r="B606" s="1233"/>
      <c r="C606" s="2734" t="s">
        <v>1866</v>
      </c>
      <c r="D606" s="2695" t="s">
        <v>1577</v>
      </c>
      <c r="E606" s="3166" t="s">
        <v>1867</v>
      </c>
      <c r="F606" s="975">
        <f t="shared" si="83"/>
        <v>0</v>
      </c>
      <c r="G606" s="3176" t="s">
        <v>438</v>
      </c>
      <c r="H606" s="155">
        <f>VLOOKUP(G606,'CP FACTORS'!$A$3:$B$38, 2, FALSE)</f>
        <v>4.6608050000000002E-4</v>
      </c>
      <c r="I606" s="2732">
        <f>0</f>
        <v>0</v>
      </c>
      <c r="J606" s="2732">
        <f>0</f>
        <v>0</v>
      </c>
      <c r="K606" s="979">
        <v>0</v>
      </c>
      <c r="L606" s="2732">
        <f>0</f>
        <v>0</v>
      </c>
      <c r="M606" s="893">
        <f t="shared" si="84"/>
        <v>0</v>
      </c>
      <c r="N606" s="1660">
        <f>G662</f>
        <v>20</v>
      </c>
      <c r="O606" s="2297">
        <f>G668</f>
        <v>74.327224020150311</v>
      </c>
      <c r="P606" s="233" t="s">
        <v>185</v>
      </c>
      <c r="R606" s="1027"/>
      <c r="V606" s="160" t="str">
        <f t="shared" si="85"/>
        <v>kWh
Annual Savings</v>
      </c>
      <c r="W606" s="974">
        <v>3255.9033206791182</v>
      </c>
      <c r="X606" s="424">
        <v>3255.9033206791182</v>
      </c>
      <c r="Y606" s="975">
        <v>582</v>
      </c>
      <c r="Z606" s="2301">
        <v>582</v>
      </c>
      <c r="AA606" s="2301">
        <v>582</v>
      </c>
      <c r="AB606" s="2301">
        <v>582</v>
      </c>
      <c r="AC606" s="975">
        <v>0</v>
      </c>
      <c r="AD606" s="160"/>
      <c r="AE606" s="160"/>
      <c r="AF606" s="160"/>
      <c r="AG606" s="160"/>
      <c r="AK606" s="883"/>
      <c r="BB606" s="52">
        <f t="shared" si="90"/>
        <v>0</v>
      </c>
      <c r="BC606" s="953" t="str">
        <f t="shared" si="86"/>
        <v>HVAC RES 20 Year EUL</v>
      </c>
      <c r="BD606" s="114">
        <f>(INDEX('Avoided Cost Benefits'!$C$4:$C$857,MATCH(BC606,'Avoided Cost Benefits'!$A$4:$A$857,0)))*F606</f>
        <v>0</v>
      </c>
      <c r="BE606" s="1949">
        <f t="shared" si="87"/>
        <v>70.153113751911562</v>
      </c>
    </row>
    <row r="607" spans="1:57" x14ac:dyDescent="0.25">
      <c r="B607" s="1233"/>
      <c r="C607" s="2734" t="s">
        <v>1868</v>
      </c>
      <c r="D607" s="2695" t="s">
        <v>1577</v>
      </c>
      <c r="E607" s="583" t="s">
        <v>1869</v>
      </c>
      <c r="F607" s="1659">
        <f t="shared" si="83"/>
        <v>582</v>
      </c>
      <c r="G607" s="3176" t="s">
        <v>438</v>
      </c>
      <c r="H607" s="155">
        <f>VLOOKUP(G607,'CP FACTORS'!$A$3:$B$38, 2, FALSE)</f>
        <v>4.6608050000000002E-4</v>
      </c>
      <c r="I607" s="979">
        <f>(1-G633)*$G$635*G$636/G$637*G656*$G$658</f>
        <v>264.14545423487061</v>
      </c>
      <c r="J607" s="979">
        <f>(1-G642)*$G$644*G$645/G$646*G656*$G$658</f>
        <v>31.133309957924254</v>
      </c>
      <c r="K607" s="979">
        <v>0</v>
      </c>
      <c r="L607" s="979">
        <f>(25*G$645/G$646+2960*$G$650-$G$651)*G656*$G$658</f>
        <v>286.72123580720518</v>
      </c>
      <c r="M607" s="893">
        <f t="shared" si="84"/>
        <v>0.27125899999999997</v>
      </c>
      <c r="N607" s="1660">
        <f>G663</f>
        <v>6</v>
      </c>
      <c r="O607" s="2297">
        <f>G669</f>
        <v>475</v>
      </c>
      <c r="P607" s="233" t="s">
        <v>185</v>
      </c>
      <c r="R607" s="1027"/>
      <c r="V607" s="160" t="str">
        <f t="shared" si="85"/>
        <v>kWh
Annual Savings</v>
      </c>
      <c r="W607" s="974">
        <v>3458.4903477472494</v>
      </c>
      <c r="X607" s="424">
        <v>3458.4903477472494</v>
      </c>
      <c r="Y607" s="975">
        <v>582</v>
      </c>
      <c r="Z607" s="2301">
        <v>582</v>
      </c>
      <c r="AA607" s="2301">
        <v>582</v>
      </c>
      <c r="AB607" s="2301">
        <v>582</v>
      </c>
      <c r="AC607" s="1659">
        <v>582</v>
      </c>
      <c r="AD607" s="160"/>
      <c r="AE607" s="160"/>
      <c r="AF607" s="160"/>
      <c r="AG607" s="160"/>
      <c r="AK607" s="883"/>
      <c r="BB607" s="52">
        <f>(BD607+BD608)/(BE607+BE608)</f>
        <v>0.47881848252210413</v>
      </c>
      <c r="BC607" s="976" t="str">
        <f t="shared" si="86"/>
        <v>HVAC RES 6 Year EUL</v>
      </c>
      <c r="BD607" s="114">
        <f>(INDEX('Avoided Cost Benefits'!$C$4:$C$857,MATCH(BC607,'Avoided Cost Benefits'!$A$4:$A$857,0)))*F607</f>
        <v>214.66614365077814</v>
      </c>
      <c r="BE607" s="1949">
        <f t="shared" si="87"/>
        <v>448.32468145351578</v>
      </c>
    </row>
    <row r="608" spans="1:57" x14ac:dyDescent="0.25">
      <c r="B608" s="1233"/>
      <c r="C608" s="2734" t="s">
        <v>1868</v>
      </c>
      <c r="D608" s="2695" t="s">
        <v>1577</v>
      </c>
      <c r="E608" s="1948" t="s">
        <v>1870</v>
      </c>
      <c r="F608" s="975">
        <f t="shared" si="83"/>
        <v>0</v>
      </c>
      <c r="G608" s="3176" t="str">
        <f>'CP FACTORS'!$A$17</f>
        <v>HVAC RES ER2</v>
      </c>
      <c r="H608" s="155">
        <f>VLOOKUP(G608,'CP FACTORS'!$A$3:$B$38, 2, FALSE)</f>
        <v>4.6608050000000002E-4</v>
      </c>
      <c r="I608" s="2732">
        <f>0</f>
        <v>0</v>
      </c>
      <c r="J608" s="2732">
        <f>0</f>
        <v>0</v>
      </c>
      <c r="K608" s="979">
        <v>0</v>
      </c>
      <c r="L608" s="2732">
        <f>0</f>
        <v>0</v>
      </c>
      <c r="M608" s="893">
        <f t="shared" si="84"/>
        <v>0</v>
      </c>
      <c r="N608" s="3665">
        <f>G664</f>
        <v>0</v>
      </c>
      <c r="O608" s="2297">
        <f>G670</f>
        <v>0</v>
      </c>
      <c r="P608" s="1661" t="s">
        <v>185</v>
      </c>
      <c r="R608" s="1027"/>
      <c r="V608" s="160" t="str">
        <f t="shared" si="85"/>
        <v>kWh
Annual Savings</v>
      </c>
      <c r="W608" s="974">
        <v>3255.9033206791182</v>
      </c>
      <c r="X608" s="424">
        <v>3255.9033206791182</v>
      </c>
      <c r="Y608" s="975">
        <v>582</v>
      </c>
      <c r="Z608" s="2301">
        <v>582</v>
      </c>
      <c r="AA608" s="2301">
        <v>582</v>
      </c>
      <c r="AB608" s="2301">
        <v>582</v>
      </c>
      <c r="AC608" s="975">
        <v>0</v>
      </c>
      <c r="AD608" s="160"/>
      <c r="AE608" s="160"/>
      <c r="AF608" s="160"/>
      <c r="AG608" s="160"/>
      <c r="AK608" s="883"/>
      <c r="BB608" s="980"/>
      <c r="BC608" s="977" t="str">
        <f t="shared" si="86"/>
        <v>HVAC RES ER2 0 Year EUL</v>
      </c>
      <c r="BD608" s="3675">
        <v>0</v>
      </c>
      <c r="BE608" s="1950">
        <f t="shared" si="87"/>
        <v>0</v>
      </c>
    </row>
    <row r="609" spans="2:37" x14ac:dyDescent="0.25">
      <c r="B609" s="1233"/>
      <c r="C609" s="3981" t="s">
        <v>827</v>
      </c>
      <c r="D609" s="3981"/>
      <c r="E609" s="3981"/>
      <c r="F609" s="3981"/>
      <c r="G609" s="3981"/>
      <c r="H609" s="3981"/>
      <c r="I609" s="3981"/>
      <c r="J609" s="3981"/>
      <c r="K609" s="3981"/>
      <c r="L609" s="3981"/>
      <c r="AK609" s="883"/>
    </row>
    <row r="610" spans="2:37" x14ac:dyDescent="0.25">
      <c r="B610" s="1233"/>
      <c r="C610" s="3982"/>
      <c r="D610" s="3982"/>
      <c r="E610" s="3982"/>
      <c r="F610" s="3982"/>
      <c r="G610" s="3982"/>
      <c r="H610" s="3982"/>
      <c r="I610" s="3982"/>
      <c r="J610" s="3982"/>
      <c r="K610" s="3982"/>
      <c r="L610" s="3982"/>
      <c r="AK610" s="883"/>
    </row>
    <row r="611" spans="2:37" x14ac:dyDescent="0.25">
      <c r="B611" s="1233"/>
      <c r="C611" s="3584"/>
      <c r="D611" s="3584"/>
      <c r="E611" s="3584"/>
      <c r="F611" s="3584"/>
      <c r="G611" s="3584"/>
      <c r="H611" s="3584"/>
      <c r="I611" s="3584"/>
      <c r="J611" s="3584"/>
      <c r="K611" s="3584"/>
      <c r="L611" s="3584"/>
      <c r="AK611" s="883"/>
    </row>
    <row r="612" spans="2:37" hidden="1" outlineLevel="1" x14ac:dyDescent="0.25">
      <c r="B612" s="1233"/>
      <c r="C612" s="225"/>
      <c r="D612" s="174" t="s">
        <v>108</v>
      </c>
      <c r="F612" s="248"/>
      <c r="AK612" s="883"/>
    </row>
    <row r="613" spans="2:37" ht="18" hidden="1" customHeight="1" outlineLevel="1" x14ac:dyDescent="0.25">
      <c r="B613" s="1233"/>
      <c r="C613" s="225"/>
      <c r="E613" s="1662"/>
      <c r="AK613" s="883"/>
    </row>
    <row r="614" spans="2:37" ht="18" hidden="1" customHeight="1" outlineLevel="1" x14ac:dyDescent="0.25">
      <c r="B614" s="1233"/>
      <c r="C614" s="225"/>
      <c r="E614" s="1662"/>
      <c r="AK614" s="883"/>
    </row>
    <row r="615" spans="2:37" ht="18" hidden="1" customHeight="1" outlineLevel="1" x14ac:dyDescent="0.25">
      <c r="B615" s="1233"/>
      <c r="C615" s="225"/>
      <c r="E615" s="1662"/>
      <c r="AK615" s="883"/>
    </row>
    <row r="616" spans="2:37" ht="14.45" hidden="1" customHeight="1" outlineLevel="1" x14ac:dyDescent="0.25">
      <c r="B616" s="1233"/>
      <c r="C616" s="225"/>
      <c r="E616" s="1662"/>
      <c r="AK616" s="883"/>
    </row>
    <row r="617" spans="2:37" ht="14.45" hidden="1" customHeight="1" outlineLevel="1" x14ac:dyDescent="0.25">
      <c r="B617" s="1233"/>
      <c r="C617" s="225"/>
      <c r="E617" s="1662"/>
      <c r="AK617" s="883"/>
    </row>
    <row r="618" spans="2:37" ht="14.45" hidden="1" customHeight="1" outlineLevel="1" x14ac:dyDescent="0.25">
      <c r="B618" s="1233"/>
      <c r="C618" s="225"/>
      <c r="E618" s="1662"/>
      <c r="AK618" s="883"/>
    </row>
    <row r="619" spans="2:37" ht="14.45" hidden="1" customHeight="1" outlineLevel="1" x14ac:dyDescent="0.25">
      <c r="B619" s="1233"/>
      <c r="C619" s="225"/>
      <c r="E619" s="1662"/>
      <c r="AK619" s="883"/>
    </row>
    <row r="620" spans="2:37" ht="14.45" hidden="1" customHeight="1" outlineLevel="1" x14ac:dyDescent="0.25">
      <c r="B620" s="1233"/>
      <c r="C620" s="225"/>
      <c r="E620" s="1662"/>
      <c r="AK620" s="883"/>
    </row>
    <row r="621" spans="2:37" ht="14.45" hidden="1" customHeight="1" outlineLevel="1" x14ac:dyDescent="0.25">
      <c r="B621" s="1233"/>
      <c r="C621" s="225"/>
      <c r="E621" s="1662"/>
      <c r="AK621" s="883"/>
    </row>
    <row r="622" spans="2:37" ht="14.45" hidden="1" customHeight="1" outlineLevel="1" x14ac:dyDescent="0.25">
      <c r="B622" s="1233"/>
      <c r="C622" s="225"/>
      <c r="E622" s="1662"/>
      <c r="AK622" s="883"/>
    </row>
    <row r="623" spans="2:37" ht="14.45" hidden="1" customHeight="1" outlineLevel="1" x14ac:dyDescent="0.25">
      <c r="B623" s="1233"/>
      <c r="C623" s="225"/>
      <c r="E623" s="1662"/>
      <c r="AK623" s="883"/>
    </row>
    <row r="624" spans="2:37" ht="41.25" hidden="1" customHeight="1" outlineLevel="1" x14ac:dyDescent="0.25">
      <c r="B624" s="1233"/>
      <c r="C624" s="225"/>
      <c r="E624" s="1662"/>
      <c r="AK624" s="883"/>
    </row>
    <row r="625" spans="2:37" hidden="1" outlineLevel="1" x14ac:dyDescent="0.25">
      <c r="B625" s="1233"/>
      <c r="C625" s="225"/>
      <c r="E625" s="1662"/>
      <c r="AK625" s="883"/>
    </row>
    <row r="626" spans="2:37" hidden="1" outlineLevel="1" x14ac:dyDescent="0.25">
      <c r="B626" s="1233"/>
      <c r="C626" s="225"/>
      <c r="E626" s="1662"/>
      <c r="AK626" s="883"/>
    </row>
    <row r="627" spans="2:37" hidden="1" outlineLevel="1" x14ac:dyDescent="0.25">
      <c r="B627" s="1233"/>
      <c r="C627" s="225"/>
      <c r="AK627" s="883"/>
    </row>
    <row r="628" spans="2:37" hidden="1" outlineLevel="1" x14ac:dyDescent="0.25">
      <c r="B628" s="1233"/>
      <c r="C628" s="225"/>
      <c r="D628" s="3236" t="s">
        <v>109</v>
      </c>
      <c r="E628" s="3236" t="s">
        <v>110</v>
      </c>
      <c r="F628" s="3086" t="s">
        <v>186</v>
      </c>
      <c r="G628" s="3086" t="s">
        <v>112</v>
      </c>
      <c r="H628" s="3086" t="s">
        <v>187</v>
      </c>
      <c r="I628" s="3086" t="s">
        <v>283</v>
      </c>
      <c r="V628" s="1936" t="s">
        <v>45</v>
      </c>
      <c r="W628" s="1937">
        <f>W$6</f>
        <v>43252</v>
      </c>
      <c r="X628" s="1937">
        <f t="shared" ref="X628:AG628" si="93">X$6</f>
        <v>43465</v>
      </c>
      <c r="Y628" s="360">
        <f t="shared" si="93"/>
        <v>43800</v>
      </c>
      <c r="Z628" s="1937">
        <f t="shared" si="93"/>
        <v>43862</v>
      </c>
      <c r="AA628" s="1937">
        <f t="shared" si="93"/>
        <v>44013</v>
      </c>
      <c r="AB628" s="1937">
        <f t="shared" si="93"/>
        <v>44166</v>
      </c>
      <c r="AC628" s="1937">
        <f t="shared" si="93"/>
        <v>44531</v>
      </c>
      <c r="AD628" s="1937" t="str">
        <f t="shared" si="93"/>
        <v>-</v>
      </c>
      <c r="AE628" s="1937" t="str">
        <f t="shared" si="93"/>
        <v>-</v>
      </c>
      <c r="AF628" s="1937" t="str">
        <f t="shared" si="93"/>
        <v>-</v>
      </c>
      <c r="AG628" s="1937" t="str">
        <f t="shared" si="93"/>
        <v>-</v>
      </c>
      <c r="AK628" s="883"/>
    </row>
    <row r="629" spans="2:37" hidden="1" outlineLevel="1" x14ac:dyDescent="0.25">
      <c r="B629" s="1233"/>
      <c r="C629" s="225"/>
      <c r="D629" s="4307" t="s">
        <v>828</v>
      </c>
      <c r="E629" s="4307" t="s">
        <v>829</v>
      </c>
      <c r="F629" s="981" t="s">
        <v>1871</v>
      </c>
      <c r="G629" s="473">
        <v>0.16336956521739129</v>
      </c>
      <c r="H629" s="3182" t="s">
        <v>285</v>
      </c>
      <c r="I629" s="982"/>
      <c r="V629" s="3936" t="s">
        <v>828</v>
      </c>
      <c r="W629" s="931">
        <v>0.16</v>
      </c>
      <c r="X629" s="935">
        <v>0.16</v>
      </c>
      <c r="Y629" s="473">
        <v>0.16336956521739129</v>
      </c>
      <c r="Z629" s="473">
        <v>0.16336956521739129</v>
      </c>
      <c r="AA629" s="473">
        <v>0.16336956521739129</v>
      </c>
      <c r="AB629" s="473">
        <v>0.16336956521739129</v>
      </c>
      <c r="AC629" s="473">
        <v>0.16336956521739129</v>
      </c>
      <c r="AD629" s="931"/>
      <c r="AE629" s="931"/>
      <c r="AF629" s="931"/>
      <c r="AG629" s="931"/>
      <c r="AK629" s="883"/>
    </row>
    <row r="630" spans="2:37" hidden="1" outlineLevel="1" x14ac:dyDescent="0.25">
      <c r="B630" s="1233"/>
      <c r="C630" s="225"/>
      <c r="D630" s="4307"/>
      <c r="E630" s="4307"/>
      <c r="F630" s="981" t="s">
        <v>1872</v>
      </c>
      <c r="G630" s="473">
        <v>0.16336956521739129</v>
      </c>
      <c r="H630" s="3182" t="s">
        <v>285</v>
      </c>
      <c r="I630" s="982"/>
      <c r="V630" s="3936"/>
      <c r="W630" s="931">
        <v>0</v>
      </c>
      <c r="X630" s="935">
        <v>0</v>
      </c>
      <c r="Y630" s="473">
        <v>0.16336956521739129</v>
      </c>
      <c r="Z630" s="473">
        <v>0.16336956521739129</v>
      </c>
      <c r="AA630" s="473">
        <v>0.16336956521739129</v>
      </c>
      <c r="AB630" s="473">
        <v>0.16336956521739129</v>
      </c>
      <c r="AC630" s="473">
        <v>0.16336956521739129</v>
      </c>
      <c r="AD630" s="931"/>
      <c r="AE630" s="931"/>
      <c r="AF630" s="931"/>
      <c r="AG630" s="931"/>
      <c r="AK630" s="883"/>
    </row>
    <row r="631" spans="2:37" hidden="1" outlineLevel="1" x14ac:dyDescent="0.25">
      <c r="B631" s="1233"/>
      <c r="C631" s="225"/>
      <c r="D631" s="4307"/>
      <c r="E631" s="4307"/>
      <c r="F631" s="981" t="s">
        <v>1873</v>
      </c>
      <c r="G631" s="473">
        <v>0.16336956521739129</v>
      </c>
      <c r="H631" s="3182" t="s">
        <v>285</v>
      </c>
      <c r="I631" s="982"/>
      <c r="V631" s="3936"/>
      <c r="W631" s="931">
        <v>0.16</v>
      </c>
      <c r="X631" s="935">
        <v>0.16</v>
      </c>
      <c r="Y631" s="473">
        <v>0.16336956521739129</v>
      </c>
      <c r="Z631" s="473">
        <v>0.16336956521739129</v>
      </c>
      <c r="AA631" s="473">
        <v>0.16336956521739129</v>
      </c>
      <c r="AB631" s="473">
        <v>0.16336956521739129</v>
      </c>
      <c r="AC631" s="473">
        <v>0.16336956521739129</v>
      </c>
      <c r="AD631" s="931"/>
      <c r="AE631" s="931"/>
      <c r="AF631" s="931"/>
      <c r="AG631" s="931"/>
      <c r="AK631" s="883"/>
    </row>
    <row r="632" spans="2:37" hidden="1" outlineLevel="1" x14ac:dyDescent="0.25">
      <c r="B632" s="1233"/>
      <c r="C632" s="225"/>
      <c r="D632" s="4307"/>
      <c r="E632" s="4307"/>
      <c r="F632" s="981" t="s">
        <v>1874</v>
      </c>
      <c r="G632" s="473">
        <v>0.16336956521739129</v>
      </c>
      <c r="H632" s="3182" t="s">
        <v>285</v>
      </c>
      <c r="I632" s="982"/>
      <c r="V632" s="3936"/>
      <c r="W632" s="931">
        <v>0.16</v>
      </c>
      <c r="X632" s="935">
        <v>0.16</v>
      </c>
      <c r="Y632" s="473">
        <v>0.16336956521739129</v>
      </c>
      <c r="Z632" s="473">
        <v>0.16336956521739129</v>
      </c>
      <c r="AA632" s="473">
        <v>0.16336956521739129</v>
      </c>
      <c r="AB632" s="473">
        <v>0.16336956521739129</v>
      </c>
      <c r="AC632" s="473">
        <v>0.16336956521739129</v>
      </c>
      <c r="AD632" s="931"/>
      <c r="AE632" s="931"/>
      <c r="AF632" s="931"/>
      <c r="AG632" s="931"/>
      <c r="AK632" s="883"/>
    </row>
    <row r="633" spans="2:37" hidden="1" outlineLevel="1" x14ac:dyDescent="0.25">
      <c r="B633" s="1233"/>
      <c r="C633" s="225"/>
      <c r="D633" s="4307"/>
      <c r="E633" s="4307"/>
      <c r="F633" s="981" t="s">
        <v>1875</v>
      </c>
      <c r="G633" s="473">
        <v>0.16336956521739129</v>
      </c>
      <c r="H633" s="3182" t="s">
        <v>285</v>
      </c>
      <c r="I633" s="982"/>
      <c r="V633" s="3936"/>
      <c r="W633" s="931">
        <v>0</v>
      </c>
      <c r="X633" s="935">
        <v>0</v>
      </c>
      <c r="Y633" s="473">
        <v>0.16336956521739129</v>
      </c>
      <c r="Z633" s="473">
        <v>0.16336956521739129</v>
      </c>
      <c r="AA633" s="473">
        <v>0.16336956521739129</v>
      </c>
      <c r="AB633" s="473">
        <v>0.16336956521739129</v>
      </c>
      <c r="AC633" s="473">
        <v>0.16336956521739129</v>
      </c>
      <c r="AD633" s="931"/>
      <c r="AE633" s="931"/>
      <c r="AF633" s="931"/>
      <c r="AG633" s="931"/>
      <c r="AK633" s="883"/>
    </row>
    <row r="634" spans="2:37" hidden="1" outlineLevel="1" x14ac:dyDescent="0.25">
      <c r="B634" s="1233"/>
      <c r="C634" s="225"/>
      <c r="D634" s="4307"/>
      <c r="E634" s="4307"/>
      <c r="F634" s="981" t="s">
        <v>1876</v>
      </c>
      <c r="G634" s="473">
        <v>0.16336956521739129</v>
      </c>
      <c r="H634" s="3182" t="s">
        <v>285</v>
      </c>
      <c r="I634" s="982"/>
      <c r="V634" s="3936"/>
      <c r="W634" s="931">
        <v>0.16</v>
      </c>
      <c r="X634" s="935">
        <v>0.16</v>
      </c>
      <c r="Y634" s="473">
        <v>0.16336956521739129</v>
      </c>
      <c r="Z634" s="473">
        <v>0.16336956521739129</v>
      </c>
      <c r="AA634" s="473">
        <v>0.16336956521739129</v>
      </c>
      <c r="AB634" s="473">
        <v>0.16336956521739129</v>
      </c>
      <c r="AC634" s="473">
        <v>0.16336956521739129</v>
      </c>
      <c r="AD634" s="931"/>
      <c r="AE634" s="931"/>
      <c r="AF634" s="931"/>
      <c r="AG634" s="931"/>
      <c r="AK634" s="883"/>
    </row>
    <row r="635" spans="2:37" hidden="1" outlineLevel="1" x14ac:dyDescent="0.25">
      <c r="B635" s="1233"/>
      <c r="C635" s="225"/>
      <c r="D635" s="3175" t="s">
        <v>831</v>
      </c>
      <c r="E635" s="3175" t="s">
        <v>832</v>
      </c>
      <c r="F635" s="981" t="s">
        <v>135</v>
      </c>
      <c r="G635" s="983">
        <v>400</v>
      </c>
      <c r="H635" s="4151" t="s">
        <v>833</v>
      </c>
      <c r="I635" s="3774"/>
      <c r="V635" s="3175" t="s">
        <v>831</v>
      </c>
      <c r="W635" s="931"/>
      <c r="X635" s="935"/>
      <c r="Y635" s="942">
        <v>400</v>
      </c>
      <c r="Z635" s="946">
        <v>400</v>
      </c>
      <c r="AA635" s="946">
        <v>400</v>
      </c>
      <c r="AB635" s="946">
        <v>400</v>
      </c>
      <c r="AC635" s="983">
        <v>400</v>
      </c>
      <c r="AD635" s="931"/>
      <c r="AE635" s="931"/>
      <c r="AF635" s="931"/>
      <c r="AG635" s="931"/>
      <c r="AK635" s="883"/>
    </row>
    <row r="636" spans="2:37" ht="18" hidden="1" outlineLevel="1" x14ac:dyDescent="0.25">
      <c r="B636" s="1233"/>
      <c r="C636" s="225"/>
      <c r="D636" s="3218" t="s">
        <v>1877</v>
      </c>
      <c r="E636" s="3218" t="s">
        <v>835</v>
      </c>
      <c r="F636" s="981" t="s">
        <v>135</v>
      </c>
      <c r="G636" s="983">
        <v>2009</v>
      </c>
      <c r="H636" s="3182" t="s">
        <v>285</v>
      </c>
      <c r="I636" s="982"/>
      <c r="V636" s="3142" t="s">
        <v>834</v>
      </c>
      <c r="W636" s="930">
        <v>2009</v>
      </c>
      <c r="X636" s="936">
        <v>2009</v>
      </c>
      <c r="Y636" s="983">
        <v>2009</v>
      </c>
      <c r="Z636" s="983">
        <v>2009</v>
      </c>
      <c r="AA636" s="983">
        <v>2009</v>
      </c>
      <c r="AB636" s="983">
        <v>2009</v>
      </c>
      <c r="AC636" s="983">
        <v>2009</v>
      </c>
      <c r="AD636" s="930"/>
      <c r="AE636" s="930"/>
      <c r="AF636" s="930"/>
      <c r="AG636" s="930"/>
      <c r="AK636" s="883"/>
    </row>
    <row r="637" spans="2:37" ht="18" hidden="1" outlineLevel="1" x14ac:dyDescent="0.25">
      <c r="B637" s="1233"/>
      <c r="C637" s="225"/>
      <c r="D637" s="3218" t="s">
        <v>1878</v>
      </c>
      <c r="E637" s="3218" t="s">
        <v>837</v>
      </c>
      <c r="F637" s="981" t="s">
        <v>135</v>
      </c>
      <c r="G637" s="984">
        <v>2545.25</v>
      </c>
      <c r="H637" s="3182" t="s">
        <v>285</v>
      </c>
      <c r="I637" s="982"/>
      <c r="V637" s="3142" t="s">
        <v>836</v>
      </c>
      <c r="W637" s="932">
        <v>2545.25</v>
      </c>
      <c r="X637" s="941">
        <v>2545.25</v>
      </c>
      <c r="Y637" s="984">
        <v>2545.25</v>
      </c>
      <c r="Z637" s="984">
        <v>2545.25</v>
      </c>
      <c r="AA637" s="984">
        <v>2545.25</v>
      </c>
      <c r="AB637" s="984">
        <v>2545.25</v>
      </c>
      <c r="AC637" s="984">
        <v>2545.25</v>
      </c>
      <c r="AD637" s="932"/>
      <c r="AE637" s="932"/>
      <c r="AF637" s="932"/>
      <c r="AG637" s="932"/>
      <c r="AK637" s="883"/>
    </row>
    <row r="638" spans="2:37" hidden="1" outlineLevel="1" x14ac:dyDescent="0.25">
      <c r="B638" s="1233"/>
      <c r="C638" s="225"/>
      <c r="D638" s="4307" t="s">
        <v>839</v>
      </c>
      <c r="E638" s="4307" t="s">
        <v>840</v>
      </c>
      <c r="F638" s="981" t="str">
        <f t="shared" ref="F638:F643" si="94">F629</f>
        <v>ECM Fan EUL Replacement -SF</v>
      </c>
      <c r="G638" s="473">
        <v>0.80141304347826092</v>
      </c>
      <c r="H638" s="3182" t="s">
        <v>285</v>
      </c>
      <c r="I638" s="982"/>
      <c r="V638" s="3936" t="s">
        <v>839</v>
      </c>
      <c r="W638" s="931">
        <v>0.97</v>
      </c>
      <c r="X638" s="935">
        <v>0.97</v>
      </c>
      <c r="Y638" s="473">
        <v>0.80141304347826092</v>
      </c>
      <c r="Z638" s="473">
        <v>0.80141304347826092</v>
      </c>
      <c r="AA638" s="473">
        <v>0.80141304347826092</v>
      </c>
      <c r="AB638" s="473">
        <v>0.80141304347826092</v>
      </c>
      <c r="AC638" s="473">
        <v>0.80141304347826092</v>
      </c>
      <c r="AD638" s="931"/>
      <c r="AE638" s="931"/>
      <c r="AF638" s="931"/>
      <c r="AG638" s="931"/>
      <c r="AK638" s="883"/>
    </row>
    <row r="639" spans="2:37" hidden="1" outlineLevel="1" x14ac:dyDescent="0.25">
      <c r="B639" s="1233"/>
      <c r="C639" s="225"/>
      <c r="D639" s="4307"/>
      <c r="E639" s="4307"/>
      <c r="F639" s="981" t="str">
        <f t="shared" si="94"/>
        <v>ECM Fan Early Replacement ER 1 (Full Cost) - SF</v>
      </c>
      <c r="G639" s="473">
        <v>0.80141304347826092</v>
      </c>
      <c r="H639" s="3182" t="s">
        <v>285</v>
      </c>
      <c r="I639" s="982"/>
      <c r="V639" s="3936"/>
      <c r="W639" s="931">
        <v>0</v>
      </c>
      <c r="X639" s="935">
        <v>0</v>
      </c>
      <c r="Y639" s="473">
        <v>0.80141304347826092</v>
      </c>
      <c r="Z639" s="473">
        <v>0.80141304347826092</v>
      </c>
      <c r="AA639" s="473">
        <v>0.80141304347826092</v>
      </c>
      <c r="AB639" s="473">
        <v>0.80141304347826092</v>
      </c>
      <c r="AC639" s="473">
        <v>0.80141304347826092</v>
      </c>
      <c r="AD639" s="931"/>
      <c r="AE639" s="931"/>
      <c r="AF639" s="931"/>
      <c r="AG639" s="931"/>
      <c r="AK639" s="883"/>
    </row>
    <row r="640" spans="2:37" hidden="1" outlineLevel="1" x14ac:dyDescent="0.25">
      <c r="B640" s="1233"/>
      <c r="C640" s="225"/>
      <c r="D640" s="4307"/>
      <c r="E640" s="4307"/>
      <c r="F640" s="981" t="str">
        <f t="shared" si="94"/>
        <v>ECM Fan Early Replacement ER 2 (Remaining Life) - SF</v>
      </c>
      <c r="G640" s="473">
        <v>0.80141304347826092</v>
      </c>
      <c r="H640" s="3182" t="s">
        <v>285</v>
      </c>
      <c r="I640" s="982"/>
      <c r="V640" s="3936"/>
      <c r="W640" s="931">
        <v>0.97</v>
      </c>
      <c r="X640" s="935">
        <v>0.97</v>
      </c>
      <c r="Y640" s="473">
        <v>0.80141304347826092</v>
      </c>
      <c r="Z640" s="473">
        <v>0.80141304347826092</v>
      </c>
      <c r="AA640" s="473">
        <v>0.80141304347826092</v>
      </c>
      <c r="AB640" s="473">
        <v>0.80141304347826092</v>
      </c>
      <c r="AC640" s="473">
        <v>0.80141304347826092</v>
      </c>
      <c r="AD640" s="931"/>
      <c r="AE640" s="931"/>
      <c r="AF640" s="931"/>
      <c r="AG640" s="931"/>
      <c r="AK640" s="883"/>
    </row>
    <row r="641" spans="2:37" hidden="1" outlineLevel="1" x14ac:dyDescent="0.25">
      <c r="B641" s="1233"/>
      <c r="C641" s="225"/>
      <c r="D641" s="4307"/>
      <c r="E641" s="4307"/>
      <c r="F641" s="981" t="str">
        <f t="shared" si="94"/>
        <v>ECM Fan EUL Replacement - MF</v>
      </c>
      <c r="G641" s="473">
        <v>0.80141304347826092</v>
      </c>
      <c r="H641" s="3182" t="s">
        <v>285</v>
      </c>
      <c r="I641" s="982"/>
      <c r="V641" s="3936"/>
      <c r="W641" s="931">
        <v>0.97</v>
      </c>
      <c r="X641" s="935">
        <v>0.97</v>
      </c>
      <c r="Y641" s="473">
        <v>0.80141304347826092</v>
      </c>
      <c r="Z641" s="473">
        <v>0.80141304347826092</v>
      </c>
      <c r="AA641" s="473">
        <v>0.80141304347826092</v>
      </c>
      <c r="AB641" s="473">
        <v>0.80141304347826092</v>
      </c>
      <c r="AC641" s="473">
        <v>0.80141304347826092</v>
      </c>
      <c r="AD641" s="931"/>
      <c r="AE641" s="931"/>
      <c r="AF641" s="931"/>
      <c r="AG641" s="931"/>
      <c r="AK641" s="883"/>
    </row>
    <row r="642" spans="2:37" hidden="1" outlineLevel="1" x14ac:dyDescent="0.25">
      <c r="B642" s="1233"/>
      <c r="C642" s="225"/>
      <c r="D642" s="4307"/>
      <c r="E642" s="4307"/>
      <c r="F642" s="981" t="str">
        <f t="shared" si="94"/>
        <v>ECM Fan Early Replacement ER 1 (Full Cost) - MF</v>
      </c>
      <c r="G642" s="473">
        <v>0.80141304347826092</v>
      </c>
      <c r="H642" s="3182" t="s">
        <v>285</v>
      </c>
      <c r="I642" s="982"/>
      <c r="V642" s="3936"/>
      <c r="W642" s="931">
        <v>0</v>
      </c>
      <c r="X642" s="935">
        <v>0</v>
      </c>
      <c r="Y642" s="473">
        <v>0.80141304347826092</v>
      </c>
      <c r="Z642" s="473">
        <v>0.80141304347826092</v>
      </c>
      <c r="AA642" s="473">
        <v>0.80141304347826092</v>
      </c>
      <c r="AB642" s="473">
        <v>0.80141304347826092</v>
      </c>
      <c r="AC642" s="473">
        <v>0.80141304347826092</v>
      </c>
      <c r="AD642" s="931"/>
      <c r="AE642" s="931"/>
      <c r="AF642" s="931"/>
      <c r="AG642" s="931"/>
      <c r="AK642" s="883"/>
    </row>
    <row r="643" spans="2:37" hidden="1" outlineLevel="1" x14ac:dyDescent="0.25">
      <c r="B643" s="1233"/>
      <c r="C643" s="225"/>
      <c r="D643" s="4307"/>
      <c r="E643" s="4307"/>
      <c r="F643" s="981" t="str">
        <f t="shared" si="94"/>
        <v>ECM Fan Early Replacement ER 2 (Remaining Life) - MF</v>
      </c>
      <c r="G643" s="473">
        <v>0.80141304347826092</v>
      </c>
      <c r="H643" s="3182" t="s">
        <v>285</v>
      </c>
      <c r="I643" s="982"/>
      <c r="V643" s="3936"/>
      <c r="W643" s="931">
        <v>0.97</v>
      </c>
      <c r="X643" s="935">
        <v>0.97</v>
      </c>
      <c r="Y643" s="473">
        <v>0.80141304347826092</v>
      </c>
      <c r="Z643" s="473">
        <v>0.80141304347826092</v>
      </c>
      <c r="AA643" s="473">
        <v>0.80141304347826092</v>
      </c>
      <c r="AB643" s="473">
        <v>0.80141304347826092</v>
      </c>
      <c r="AC643" s="473">
        <v>0.80141304347826092</v>
      </c>
      <c r="AD643" s="931"/>
      <c r="AE643" s="931"/>
      <c r="AF643" s="931"/>
      <c r="AG643" s="931"/>
      <c r="AK643" s="883"/>
    </row>
    <row r="644" spans="2:37" hidden="1" outlineLevel="1" x14ac:dyDescent="0.25">
      <c r="B644" s="1233"/>
      <c r="C644" s="225"/>
      <c r="D644" s="3175" t="s">
        <v>841</v>
      </c>
      <c r="E644" s="3179" t="s">
        <v>842</v>
      </c>
      <c r="F644" s="3166" t="s">
        <v>135</v>
      </c>
      <c r="G644" s="952">
        <v>70</v>
      </c>
      <c r="H644" s="4151" t="s">
        <v>833</v>
      </c>
      <c r="I644" s="3774"/>
      <c r="V644" s="3175" t="s">
        <v>841</v>
      </c>
      <c r="W644" s="931"/>
      <c r="X644" s="935"/>
      <c r="Y644" s="942">
        <v>70</v>
      </c>
      <c r="Z644" s="946">
        <v>70</v>
      </c>
      <c r="AA644" s="946">
        <v>70</v>
      </c>
      <c r="AB644" s="946">
        <v>70</v>
      </c>
      <c r="AC644" s="952">
        <v>70</v>
      </c>
      <c r="AD644" s="931"/>
      <c r="AE644" s="931"/>
      <c r="AF644" s="931"/>
      <c r="AG644" s="931"/>
      <c r="AK644" s="883"/>
    </row>
    <row r="645" spans="2:37" ht="18" hidden="1" outlineLevel="1" x14ac:dyDescent="0.25">
      <c r="B645" s="1233"/>
      <c r="C645" s="225"/>
      <c r="D645" s="3175" t="s">
        <v>1879</v>
      </c>
      <c r="E645" s="3218" t="s">
        <v>845</v>
      </c>
      <c r="F645" s="981" t="s">
        <v>135</v>
      </c>
      <c r="G645" s="984">
        <v>1215</v>
      </c>
      <c r="H645" s="3182" t="s">
        <v>285</v>
      </c>
      <c r="I645" s="982"/>
      <c r="V645" s="2307" t="s">
        <v>844</v>
      </c>
      <c r="W645" s="932">
        <v>1215</v>
      </c>
      <c r="X645" s="941">
        <v>1215</v>
      </c>
      <c r="Y645" s="984">
        <v>1215</v>
      </c>
      <c r="Z645" s="984">
        <v>1215</v>
      </c>
      <c r="AA645" s="984">
        <v>1215</v>
      </c>
      <c r="AB645" s="984">
        <v>1215</v>
      </c>
      <c r="AC645" s="984">
        <v>1215</v>
      </c>
      <c r="AD645" s="932"/>
      <c r="AE645" s="932"/>
      <c r="AF645" s="932"/>
      <c r="AG645" s="932"/>
      <c r="AK645" s="883"/>
    </row>
    <row r="646" spans="2:37" ht="18" hidden="1" outlineLevel="1" x14ac:dyDescent="0.25">
      <c r="B646" s="1233"/>
      <c r="C646" s="225"/>
      <c r="D646" s="3175" t="s">
        <v>1880</v>
      </c>
      <c r="E646" s="3218" t="s">
        <v>847</v>
      </c>
      <c r="F646" s="981" t="s">
        <v>135</v>
      </c>
      <c r="G646" s="985">
        <v>542.5</v>
      </c>
      <c r="H646" s="3182" t="s">
        <v>285</v>
      </c>
      <c r="I646" s="982"/>
      <c r="V646" s="2307" t="s">
        <v>846</v>
      </c>
      <c r="W646" s="925">
        <v>542.5</v>
      </c>
      <c r="X646" s="923">
        <v>542.5</v>
      </c>
      <c r="Y646" s="985">
        <v>542.5</v>
      </c>
      <c r="Z646" s="985">
        <v>542.5</v>
      </c>
      <c r="AA646" s="985">
        <v>542.5</v>
      </c>
      <c r="AB646" s="985">
        <v>542.5</v>
      </c>
      <c r="AC646" s="985">
        <v>542.5</v>
      </c>
      <c r="AD646" s="925"/>
      <c r="AE646" s="925"/>
      <c r="AF646" s="925"/>
      <c r="AG646" s="925"/>
      <c r="AK646" s="883"/>
    </row>
    <row r="647" spans="2:37" ht="15" hidden="1" customHeight="1" outlineLevel="1" x14ac:dyDescent="0.25">
      <c r="B647" s="1233"/>
      <c r="C647" s="225"/>
      <c r="D647" s="3175" t="s">
        <v>848</v>
      </c>
      <c r="E647" s="3218" t="s">
        <v>849</v>
      </c>
      <c r="F647" s="3166" t="s">
        <v>135</v>
      </c>
      <c r="G647" s="952">
        <v>25</v>
      </c>
      <c r="H647" s="3202" t="s">
        <v>833</v>
      </c>
      <c r="I647" s="3087"/>
      <c r="V647" s="3175" t="s">
        <v>848</v>
      </c>
      <c r="W647" s="925"/>
      <c r="X647" s="923"/>
      <c r="Y647" s="942">
        <v>25</v>
      </c>
      <c r="Z647" s="946">
        <v>25</v>
      </c>
      <c r="AA647" s="946">
        <v>25</v>
      </c>
      <c r="AB647" s="946">
        <v>25</v>
      </c>
      <c r="AC647" s="952">
        <v>25</v>
      </c>
      <c r="AD647" s="925"/>
      <c r="AE647" s="925"/>
      <c r="AF647" s="925"/>
      <c r="AG647" s="925"/>
      <c r="AK647" s="883"/>
    </row>
    <row r="648" spans="2:37" hidden="1" outlineLevel="1" x14ac:dyDescent="0.25">
      <c r="B648" s="1233"/>
      <c r="C648" s="225"/>
      <c r="D648" s="3175" t="s">
        <v>850</v>
      </c>
      <c r="E648" s="3218" t="s">
        <v>851</v>
      </c>
      <c r="F648" s="3166" t="s">
        <v>135</v>
      </c>
      <c r="G648" s="952">
        <v>2960</v>
      </c>
      <c r="H648" s="3202" t="s">
        <v>833</v>
      </c>
      <c r="I648" s="3087"/>
      <c r="V648" s="3175" t="s">
        <v>850</v>
      </c>
      <c r="W648" s="925"/>
      <c r="X648" s="923"/>
      <c r="Y648" s="628">
        <v>2960</v>
      </c>
      <c r="Z648" s="952">
        <v>2960</v>
      </c>
      <c r="AA648" s="952">
        <v>2960</v>
      </c>
      <c r="AB648" s="952">
        <v>2960</v>
      </c>
      <c r="AC648" s="952">
        <v>2960</v>
      </c>
      <c r="AD648" s="925"/>
      <c r="AE648" s="925"/>
      <c r="AF648" s="925"/>
      <c r="AG648" s="925"/>
      <c r="AK648" s="883"/>
    </row>
    <row r="649" spans="2:37" hidden="1" outlineLevel="1" x14ac:dyDescent="0.25">
      <c r="B649" s="1233"/>
      <c r="C649" s="225"/>
      <c r="D649" s="4147" t="s">
        <v>852</v>
      </c>
      <c r="E649" s="4147" t="s">
        <v>853</v>
      </c>
      <c r="F649" s="3166" t="s">
        <v>854</v>
      </c>
      <c r="G649" s="633">
        <v>8.8084612296306403E-2</v>
      </c>
      <c r="H649" s="596" t="s">
        <v>855</v>
      </c>
      <c r="I649" s="2308"/>
      <c r="V649" s="4147" t="s">
        <v>852</v>
      </c>
      <c r="W649" s="925"/>
      <c r="X649" s="923"/>
      <c r="Y649" s="632">
        <v>8.8084612296306403E-2</v>
      </c>
      <c r="Z649" s="633">
        <v>8.8084612296306403E-2</v>
      </c>
      <c r="AA649" s="633">
        <v>8.8084612296306403E-2</v>
      </c>
      <c r="AB649" s="633">
        <v>8.8084612296306403E-2</v>
      </c>
      <c r="AC649" s="633">
        <v>8.8084612296306403E-2</v>
      </c>
      <c r="AD649" s="925"/>
      <c r="AE649" s="925"/>
      <c r="AF649" s="925"/>
      <c r="AG649" s="925"/>
      <c r="AK649" s="883"/>
    </row>
    <row r="650" spans="2:37" hidden="1" outlineLevel="1" x14ac:dyDescent="0.25">
      <c r="B650" s="1233"/>
      <c r="C650" s="225"/>
      <c r="D650" s="4147"/>
      <c r="E650" s="4147"/>
      <c r="F650" s="3166" t="s">
        <v>856</v>
      </c>
      <c r="G650" s="633">
        <v>8.8084612296306403E-2</v>
      </c>
      <c r="H650" s="596" t="s">
        <v>855</v>
      </c>
      <c r="I650" s="2309"/>
      <c r="V650" s="4147"/>
      <c r="W650" s="925"/>
      <c r="X650" s="923"/>
      <c r="Y650" s="632">
        <v>8.8084612296306403E-2</v>
      </c>
      <c r="Z650" s="633">
        <v>8.8084612296306403E-2</v>
      </c>
      <c r="AA650" s="633">
        <v>8.8084612296306403E-2</v>
      </c>
      <c r="AB650" s="633">
        <v>8.8084612296306403E-2</v>
      </c>
      <c r="AC650" s="633">
        <v>8.8084612296306403E-2</v>
      </c>
      <c r="AD650" s="925"/>
      <c r="AE650" s="925"/>
      <c r="AF650" s="925"/>
      <c r="AG650" s="925"/>
      <c r="AK650" s="883"/>
    </row>
    <row r="651" spans="2:37" hidden="1" outlineLevel="1" x14ac:dyDescent="0.25">
      <c r="B651" s="1233"/>
      <c r="C651" s="225"/>
      <c r="D651" s="3175" t="s">
        <v>857</v>
      </c>
      <c r="E651" s="3218" t="s">
        <v>858</v>
      </c>
      <c r="F651" s="3166" t="s">
        <v>135</v>
      </c>
      <c r="G651" s="952">
        <v>30</v>
      </c>
      <c r="H651" s="4151" t="s">
        <v>833</v>
      </c>
      <c r="I651" s="3774"/>
      <c r="V651" s="3175" t="s">
        <v>857</v>
      </c>
      <c r="W651" s="931"/>
      <c r="X651" s="935"/>
      <c r="Y651" s="942">
        <v>30</v>
      </c>
      <c r="Z651" s="946">
        <v>30</v>
      </c>
      <c r="AA651" s="946">
        <v>30</v>
      </c>
      <c r="AB651" s="946">
        <v>30</v>
      </c>
      <c r="AC651" s="952">
        <v>30</v>
      </c>
      <c r="AD651" s="931"/>
      <c r="AE651" s="931"/>
      <c r="AF651" s="931"/>
      <c r="AG651" s="931"/>
      <c r="AK651" s="883"/>
    </row>
    <row r="652" spans="2:37" hidden="1" outlineLevel="1" x14ac:dyDescent="0.25">
      <c r="B652" s="1233"/>
      <c r="C652" s="225"/>
      <c r="D652" s="4307" t="s">
        <v>294</v>
      </c>
      <c r="E652" s="4307" t="s">
        <v>1881</v>
      </c>
      <c r="F652" s="981" t="s">
        <v>1852</v>
      </c>
      <c r="G652" s="473">
        <v>1</v>
      </c>
      <c r="H652" s="982"/>
      <c r="I652" s="982"/>
      <c r="V652" s="4307" t="s">
        <v>294</v>
      </c>
      <c r="W652" s="931">
        <v>1</v>
      </c>
      <c r="X652" s="935">
        <v>1</v>
      </c>
      <c r="Y652" s="473">
        <v>1</v>
      </c>
      <c r="Z652" s="473">
        <v>1</v>
      </c>
      <c r="AA652" s="473">
        <v>1</v>
      </c>
      <c r="AB652" s="473">
        <v>1</v>
      </c>
      <c r="AC652" s="473">
        <v>1</v>
      </c>
      <c r="AD652" s="931"/>
      <c r="AE652" s="931"/>
      <c r="AF652" s="931"/>
      <c r="AG652" s="931"/>
      <c r="AK652" s="883"/>
    </row>
    <row r="653" spans="2:37" hidden="1" outlineLevel="1" x14ac:dyDescent="0.25">
      <c r="B653" s="1233"/>
      <c r="C653" s="225"/>
      <c r="D653" s="4307"/>
      <c r="E653" s="4307"/>
      <c r="F653" s="981" t="s">
        <v>1882</v>
      </c>
      <c r="G653" s="473">
        <v>1</v>
      </c>
      <c r="H653" s="982"/>
      <c r="I653" s="982"/>
      <c r="V653" s="4307"/>
      <c r="W653" s="931">
        <v>1</v>
      </c>
      <c r="X653" s="935">
        <v>1</v>
      </c>
      <c r="Y653" s="473">
        <v>1</v>
      </c>
      <c r="Z653" s="473">
        <v>1</v>
      </c>
      <c r="AA653" s="473">
        <v>1</v>
      </c>
      <c r="AB653" s="473">
        <v>1</v>
      </c>
      <c r="AC653" s="473">
        <v>1</v>
      </c>
      <c r="AD653" s="931"/>
      <c r="AE653" s="931"/>
      <c r="AF653" s="931"/>
      <c r="AG653" s="931"/>
      <c r="AK653" s="883"/>
    </row>
    <row r="654" spans="2:37" hidden="1" outlineLevel="1" x14ac:dyDescent="0.25">
      <c r="B654" s="1233"/>
      <c r="C654" s="225"/>
      <c r="D654" s="4307"/>
      <c r="E654" s="4307"/>
      <c r="F654" s="981" t="s">
        <v>1883</v>
      </c>
      <c r="G654" s="473">
        <v>1</v>
      </c>
      <c r="H654" s="982"/>
      <c r="I654" s="982"/>
      <c r="M654" s="3923" t="s">
        <v>171</v>
      </c>
      <c r="N654" s="4115"/>
      <c r="O654" s="4115"/>
      <c r="P654" s="3924"/>
      <c r="R654" s="123"/>
      <c r="S654" s="123"/>
      <c r="V654" s="4307"/>
      <c r="W654" s="931">
        <v>1</v>
      </c>
      <c r="X654" s="935">
        <v>1</v>
      </c>
      <c r="Y654" s="473">
        <v>1</v>
      </c>
      <c r="Z654" s="473">
        <v>1</v>
      </c>
      <c r="AA654" s="473">
        <v>1</v>
      </c>
      <c r="AB654" s="473">
        <v>1</v>
      </c>
      <c r="AC654" s="473">
        <v>1</v>
      </c>
      <c r="AD654" s="931"/>
      <c r="AE654" s="931"/>
      <c r="AF654" s="931"/>
      <c r="AG654" s="931"/>
      <c r="AK654" s="883"/>
    </row>
    <row r="655" spans="2:37" hidden="1" outlineLevel="1" x14ac:dyDescent="0.25">
      <c r="B655" s="1233"/>
      <c r="C655" s="225"/>
      <c r="D655" s="4307"/>
      <c r="E655" s="4307"/>
      <c r="F655" s="981" t="s">
        <v>1862</v>
      </c>
      <c r="G655" s="473">
        <v>1</v>
      </c>
      <c r="H655" s="982"/>
      <c r="I655" s="982"/>
      <c r="M655" s="3136"/>
      <c r="N655" s="3152"/>
      <c r="O655" s="3140" t="s">
        <v>1884</v>
      </c>
      <c r="P655" s="3161" t="s">
        <v>979</v>
      </c>
      <c r="R655" s="986"/>
      <c r="S655" s="123"/>
      <c r="V655" s="4307"/>
      <c r="W655" s="931">
        <v>1</v>
      </c>
      <c r="X655" s="935">
        <v>1</v>
      </c>
      <c r="Y655" s="473">
        <v>1</v>
      </c>
      <c r="Z655" s="473">
        <v>1</v>
      </c>
      <c r="AA655" s="473">
        <v>1</v>
      </c>
      <c r="AB655" s="473">
        <v>1</v>
      </c>
      <c r="AC655" s="473">
        <v>1</v>
      </c>
      <c r="AD655" s="931"/>
      <c r="AE655" s="931"/>
      <c r="AF655" s="931"/>
      <c r="AG655" s="931"/>
      <c r="AK655" s="883"/>
    </row>
    <row r="656" spans="2:37" hidden="1" outlineLevel="1" x14ac:dyDescent="0.25">
      <c r="B656" s="1233"/>
      <c r="C656" s="225"/>
      <c r="D656" s="4307"/>
      <c r="E656" s="4307"/>
      <c r="F656" s="981" t="s">
        <v>1885</v>
      </c>
      <c r="G656" s="473">
        <v>1</v>
      </c>
      <c r="H656" s="982"/>
      <c r="I656" s="982"/>
      <c r="M656" s="4131" t="s">
        <v>865</v>
      </c>
      <c r="N656" s="4132"/>
      <c r="O656" s="1220">
        <f>($O$663/1+P656)-$O$662/((1+$O$665)^($O$666-1))</f>
        <v>74.327224020150311</v>
      </c>
      <c r="P656" s="651">
        <v>0</v>
      </c>
      <c r="Q656" s="123"/>
      <c r="S656" s="123"/>
      <c r="V656" s="4307"/>
      <c r="W656" s="931">
        <v>1</v>
      </c>
      <c r="X656" s="935">
        <v>1</v>
      </c>
      <c r="Y656" s="473">
        <v>1</v>
      </c>
      <c r="Z656" s="473">
        <v>1</v>
      </c>
      <c r="AA656" s="473">
        <v>1</v>
      </c>
      <c r="AB656" s="473">
        <v>1</v>
      </c>
      <c r="AC656" s="473">
        <v>1</v>
      </c>
      <c r="AD656" s="931"/>
      <c r="AE656" s="931"/>
      <c r="AF656" s="931"/>
      <c r="AG656" s="931"/>
      <c r="AK656" s="883"/>
    </row>
    <row r="657" spans="2:37" hidden="1" outlineLevel="1" x14ac:dyDescent="0.25">
      <c r="B657" s="1233"/>
      <c r="C657" s="225"/>
      <c r="D657" s="4307"/>
      <c r="E657" s="4307"/>
      <c r="F657" s="981" t="s">
        <v>1886</v>
      </c>
      <c r="G657" s="473">
        <v>1</v>
      </c>
      <c r="H657" s="982"/>
      <c r="I657" s="982"/>
      <c r="M657" s="123"/>
      <c r="N657" s="123"/>
      <c r="O657" s="123"/>
      <c r="P657" s="229"/>
      <c r="Q657" s="123"/>
      <c r="R657" s="123"/>
      <c r="S657" s="123"/>
      <c r="V657" s="4307"/>
      <c r="W657" s="931">
        <v>1</v>
      </c>
      <c r="X657" s="935">
        <v>1</v>
      </c>
      <c r="Y657" s="473">
        <v>1</v>
      </c>
      <c r="Z657" s="473">
        <v>1</v>
      </c>
      <c r="AA657" s="473">
        <v>1</v>
      </c>
      <c r="AB657" s="473">
        <v>1</v>
      </c>
      <c r="AC657" s="473">
        <v>1</v>
      </c>
      <c r="AD657" s="931"/>
      <c r="AE657" s="931"/>
      <c r="AF657" s="931"/>
      <c r="AG657" s="931"/>
      <c r="AK657" s="883"/>
    </row>
    <row r="658" spans="2:37" hidden="1" outlineLevel="1" x14ac:dyDescent="0.25">
      <c r="B658" s="1233"/>
      <c r="C658" s="225"/>
      <c r="D658" s="3206" t="s">
        <v>133</v>
      </c>
      <c r="E658" s="3206" t="s">
        <v>860</v>
      </c>
      <c r="F658" s="981" t="s">
        <v>135</v>
      </c>
      <c r="G658" s="473">
        <v>1</v>
      </c>
      <c r="H658" s="2698" t="s">
        <v>861</v>
      </c>
      <c r="I658" s="982"/>
      <c r="M658" s="123"/>
      <c r="N658" s="123"/>
      <c r="O658" s="123"/>
      <c r="P658" s="229"/>
      <c r="Q658" s="123"/>
      <c r="R658" s="123"/>
      <c r="S658" s="123"/>
      <c r="V658" s="3218" t="s">
        <v>133</v>
      </c>
      <c r="W658" s="931"/>
      <c r="X658" s="935"/>
      <c r="Y658" s="473"/>
      <c r="Z658" s="473"/>
      <c r="AA658" s="473"/>
      <c r="AB658" s="475">
        <v>1</v>
      </c>
      <c r="AC658" s="473">
        <v>1</v>
      </c>
      <c r="AD658" s="931"/>
      <c r="AE658" s="931"/>
      <c r="AF658" s="931"/>
      <c r="AG658" s="931"/>
      <c r="AK658" s="883"/>
    </row>
    <row r="659" spans="2:37" hidden="1" outlineLevel="1" x14ac:dyDescent="0.25">
      <c r="B659" s="1233"/>
      <c r="C659" s="225"/>
      <c r="D659" s="4306" t="str">
        <f>D590</f>
        <v>EUL</v>
      </c>
      <c r="E659" s="4306" t="s">
        <v>862</v>
      </c>
      <c r="F659" s="981" t="s">
        <v>1852</v>
      </c>
      <c r="G659" s="987">
        <v>20</v>
      </c>
      <c r="H659" s="982"/>
      <c r="I659" s="982"/>
      <c r="M659" s="123"/>
      <c r="N659" s="123"/>
      <c r="O659" s="123"/>
      <c r="P659" s="229"/>
      <c r="Q659" s="123"/>
      <c r="R659" s="123"/>
      <c r="S659" s="123"/>
      <c r="V659" s="4203" t="str">
        <f>V590</f>
        <v>EUL</v>
      </c>
      <c r="W659" s="988">
        <v>20</v>
      </c>
      <c r="X659" s="989">
        <v>20</v>
      </c>
      <c r="Y659" s="987">
        <v>20</v>
      </c>
      <c r="Z659" s="987">
        <v>20</v>
      </c>
      <c r="AA659" s="987">
        <v>20</v>
      </c>
      <c r="AB659" s="987">
        <v>20</v>
      </c>
      <c r="AC659" s="987">
        <v>20</v>
      </c>
      <c r="AD659" s="988"/>
      <c r="AE659" s="988"/>
      <c r="AF659" s="988"/>
      <c r="AG659" s="988"/>
      <c r="AK659" s="883"/>
    </row>
    <row r="660" spans="2:37" hidden="1" outlineLevel="1" x14ac:dyDescent="0.25">
      <c r="B660" s="1233"/>
      <c r="C660" s="225"/>
      <c r="D660" s="4245"/>
      <c r="E660" s="4245"/>
      <c r="F660" s="981" t="s">
        <v>1882</v>
      </c>
      <c r="G660" s="987">
        <v>6</v>
      </c>
      <c r="H660" s="982"/>
      <c r="I660" s="982"/>
      <c r="M660" s="123"/>
      <c r="N660" s="123"/>
      <c r="O660" s="123"/>
      <c r="P660" s="229"/>
      <c r="Q660" s="123"/>
      <c r="R660" s="123"/>
      <c r="S660" s="123"/>
      <c r="V660" s="4307"/>
      <c r="W660" s="988">
        <v>6</v>
      </c>
      <c r="X660" s="989">
        <v>6</v>
      </c>
      <c r="Y660" s="987">
        <v>6</v>
      </c>
      <c r="Z660" s="987">
        <v>6</v>
      </c>
      <c r="AA660" s="987">
        <v>6</v>
      </c>
      <c r="AB660" s="987">
        <v>6</v>
      </c>
      <c r="AC660" s="987">
        <v>6</v>
      </c>
      <c r="AD660" s="988"/>
      <c r="AE660" s="988"/>
      <c r="AF660" s="988"/>
      <c r="AG660" s="988"/>
      <c r="AK660" s="883"/>
    </row>
    <row r="661" spans="2:37" hidden="1" outlineLevel="1" x14ac:dyDescent="0.25">
      <c r="B661" s="1233"/>
      <c r="C661" s="225"/>
      <c r="D661" s="4245"/>
      <c r="E661" s="4245"/>
      <c r="F661" s="981" t="s">
        <v>1883</v>
      </c>
      <c r="G661" s="3663">
        <v>0</v>
      </c>
      <c r="H661" s="982"/>
      <c r="I661" s="982"/>
      <c r="M661" s="3923" t="s">
        <v>866</v>
      </c>
      <c r="N661" s="4115"/>
      <c r="O661" s="3924"/>
      <c r="P661" s="229"/>
      <c r="Q661" s="123"/>
      <c r="R661" s="123"/>
      <c r="S661" s="123"/>
      <c r="V661" s="4307"/>
      <c r="W661" s="988">
        <v>12</v>
      </c>
      <c r="X661" s="989">
        <v>12</v>
      </c>
      <c r="Y661" s="987">
        <v>12</v>
      </c>
      <c r="Z661" s="987">
        <v>12</v>
      </c>
      <c r="AA661" s="987">
        <v>12</v>
      </c>
      <c r="AB661" s="987">
        <v>12</v>
      </c>
      <c r="AC661" s="3663">
        <v>0</v>
      </c>
      <c r="AD661" s="988"/>
      <c r="AE661" s="988"/>
      <c r="AF661" s="988"/>
      <c r="AG661" s="988"/>
      <c r="AK661" s="883"/>
    </row>
    <row r="662" spans="2:37" hidden="1" outlineLevel="1" x14ac:dyDescent="0.25">
      <c r="B662" s="1233"/>
      <c r="C662" s="225"/>
      <c r="D662" s="4245"/>
      <c r="E662" s="4245"/>
      <c r="F662" s="981" t="s">
        <v>1862</v>
      </c>
      <c r="G662" s="987">
        <v>20</v>
      </c>
      <c r="H662" s="982"/>
      <c r="I662" s="982"/>
      <c r="M662" s="4111" t="s">
        <v>867</v>
      </c>
      <c r="N662" s="4112"/>
      <c r="O662" s="658">
        <f>O663*(1+O664)^O666</f>
        <v>534.92714915040006</v>
      </c>
      <c r="P662" s="229"/>
      <c r="Q662" s="123"/>
      <c r="R662" s="123"/>
      <c r="S662" s="123"/>
      <c r="V662" s="4307"/>
      <c r="W662" s="988">
        <v>20</v>
      </c>
      <c r="X662" s="989">
        <v>20</v>
      </c>
      <c r="Y662" s="987">
        <v>20</v>
      </c>
      <c r="Z662" s="987">
        <v>20</v>
      </c>
      <c r="AA662" s="987">
        <v>20</v>
      </c>
      <c r="AB662" s="987">
        <v>20</v>
      </c>
      <c r="AC662" s="987">
        <v>20</v>
      </c>
      <c r="AD662" s="988"/>
      <c r="AE662" s="988"/>
      <c r="AF662" s="988"/>
      <c r="AG662" s="988"/>
      <c r="AK662" s="883"/>
    </row>
    <row r="663" spans="2:37" hidden="1" outlineLevel="1" x14ac:dyDescent="0.25">
      <c r="B663" s="1233"/>
      <c r="C663" s="225"/>
      <c r="D663" s="4245"/>
      <c r="E663" s="4245"/>
      <c r="F663" s="981" t="s">
        <v>1885</v>
      </c>
      <c r="G663" s="987">
        <v>6</v>
      </c>
      <c r="H663" s="982"/>
      <c r="I663" s="982"/>
      <c r="M663" s="4111" t="s">
        <v>868</v>
      </c>
      <c r="N663" s="4112"/>
      <c r="O663" s="2670">
        <v>475</v>
      </c>
      <c r="P663" s="1223" t="s">
        <v>869</v>
      </c>
      <c r="Q663" s="123"/>
      <c r="R663" s="123"/>
      <c r="S663" s="123"/>
      <c r="V663" s="4307"/>
      <c r="W663" s="988">
        <v>6</v>
      </c>
      <c r="X663" s="989">
        <v>6</v>
      </c>
      <c r="Y663" s="987">
        <v>6</v>
      </c>
      <c r="Z663" s="987">
        <v>6</v>
      </c>
      <c r="AA663" s="987">
        <v>6</v>
      </c>
      <c r="AB663" s="987">
        <v>6</v>
      </c>
      <c r="AC663" s="987">
        <v>6</v>
      </c>
      <c r="AD663" s="988"/>
      <c r="AE663" s="988"/>
      <c r="AF663" s="988"/>
      <c r="AG663" s="988"/>
      <c r="AK663" s="883"/>
    </row>
    <row r="664" spans="2:37" hidden="1" outlineLevel="1" x14ac:dyDescent="0.25">
      <c r="B664" s="1233"/>
      <c r="C664" s="225"/>
      <c r="D664" s="4246"/>
      <c r="E664" s="4246"/>
      <c r="F664" s="981" t="s">
        <v>1886</v>
      </c>
      <c r="G664" s="3663">
        <v>0</v>
      </c>
      <c r="H664" s="982"/>
      <c r="I664" s="982"/>
      <c r="M664" s="4111" t="s">
        <v>870</v>
      </c>
      <c r="N664" s="4112"/>
      <c r="O664" s="660">
        <v>0.02</v>
      </c>
      <c r="P664" s="229"/>
      <c r="Q664" s="123"/>
      <c r="R664" s="123"/>
      <c r="S664" s="123"/>
      <c r="V664" s="4307"/>
      <c r="W664" s="988">
        <v>12</v>
      </c>
      <c r="X664" s="989">
        <v>12</v>
      </c>
      <c r="Y664" s="987">
        <v>12</v>
      </c>
      <c r="Z664" s="987">
        <v>12</v>
      </c>
      <c r="AA664" s="987">
        <v>12</v>
      </c>
      <c r="AB664" s="987">
        <v>12</v>
      </c>
      <c r="AC664" s="3663">
        <v>0</v>
      </c>
      <c r="AD664" s="988"/>
      <c r="AE664" s="988"/>
      <c r="AF664" s="988"/>
      <c r="AG664" s="988"/>
      <c r="AK664" s="883"/>
    </row>
    <row r="665" spans="2:37" hidden="1" outlineLevel="1" x14ac:dyDescent="0.25">
      <c r="B665" s="1233"/>
      <c r="C665" s="225"/>
      <c r="D665" s="4306" t="str">
        <f>D591</f>
        <v>Inc. Cost</v>
      </c>
      <c r="E665" s="4306" t="s">
        <v>171</v>
      </c>
      <c r="F665" s="981" t="s">
        <v>1852</v>
      </c>
      <c r="G665" s="2297">
        <f>O656</f>
        <v>74.327224020150311</v>
      </c>
      <c r="H665" s="982"/>
      <c r="I665" s="982"/>
      <c r="M665" s="4113" t="s">
        <v>871</v>
      </c>
      <c r="N665" s="4114"/>
      <c r="O665" s="660">
        <v>5.9499999999999997E-2</v>
      </c>
      <c r="P665" s="229"/>
      <c r="Q665" s="123"/>
      <c r="R665" s="123"/>
      <c r="S665" s="123"/>
      <c r="V665" s="4203" t="str">
        <f>V591</f>
        <v>Inc. Cost</v>
      </c>
      <c r="W665" s="927">
        <v>97</v>
      </c>
      <c r="X665" s="894">
        <v>97</v>
      </c>
      <c r="Y665" s="546">
        <f>'HVAC Deemed Table'!Q97</f>
        <v>74.327224020150311</v>
      </c>
      <c r="Z665" s="2297">
        <f>'HVAC Deemed Table'!R97</f>
        <v>0</v>
      </c>
      <c r="AA665" s="2297">
        <f>'HVAC Deemed Table'!S97</f>
        <v>0</v>
      </c>
      <c r="AB665" s="2297">
        <v>0</v>
      </c>
      <c r="AC665" s="2297">
        <v>74.327224020150311</v>
      </c>
      <c r="AD665" s="927"/>
      <c r="AE665" s="927"/>
      <c r="AF665" s="927"/>
      <c r="AG665" s="927"/>
      <c r="AK665" s="883"/>
    </row>
    <row r="666" spans="2:37" hidden="1" outlineLevel="1" x14ac:dyDescent="0.25">
      <c r="B666" s="1233"/>
      <c r="C666" s="225"/>
      <c r="D666" s="4245"/>
      <c r="E666" s="4245"/>
      <c r="F666" s="981" t="s">
        <v>1882</v>
      </c>
      <c r="G666" s="2297">
        <f>O663</f>
        <v>475</v>
      </c>
      <c r="H666" s="982"/>
      <c r="I666" s="982"/>
      <c r="M666" s="661" t="s">
        <v>872</v>
      </c>
      <c r="N666" s="662"/>
      <c r="O666" s="2670">
        <v>6</v>
      </c>
      <c r="P666" s="229"/>
      <c r="Q666" s="123"/>
      <c r="R666" s="123"/>
      <c r="S666" s="123"/>
      <c r="V666" s="4307"/>
      <c r="W666" s="927">
        <v>475</v>
      </c>
      <c r="X666" s="894">
        <v>475</v>
      </c>
      <c r="Y666" s="2297">
        <f>'HVAC Deemed Table'!Q103</f>
        <v>475</v>
      </c>
      <c r="Z666" s="2297" t="str">
        <f>'HVAC Deemed Table'!R103</f>
        <v>https://energy.mo.gov/sites/energy/files/evaluation-of-retrofit-variable-speed-furnace-fan-motors.pdf</v>
      </c>
      <c r="AA666" s="2297">
        <f>'HVAC Deemed Table'!S103</f>
        <v>0</v>
      </c>
      <c r="AB666" s="2297">
        <v>0</v>
      </c>
      <c r="AC666" s="2297">
        <v>475</v>
      </c>
      <c r="AD666" s="927"/>
      <c r="AE666" s="927"/>
      <c r="AF666" s="927"/>
      <c r="AG666" s="927"/>
      <c r="AK666" s="883"/>
    </row>
    <row r="667" spans="2:37" hidden="1" outlineLevel="1" x14ac:dyDescent="0.25">
      <c r="B667" s="1233"/>
      <c r="C667" s="225"/>
      <c r="D667" s="4245"/>
      <c r="E667" s="4245"/>
      <c r="F667" s="981" t="s">
        <v>1883</v>
      </c>
      <c r="G667" s="2297"/>
      <c r="H667" s="982"/>
      <c r="I667" s="982"/>
      <c r="V667" s="4307"/>
      <c r="W667" s="927"/>
      <c r="X667" s="894"/>
      <c r="Y667" s="2297"/>
      <c r="Z667" s="2297"/>
      <c r="AA667" s="2297"/>
      <c r="AB667" s="2297"/>
      <c r="AC667" s="2297"/>
      <c r="AD667" s="927"/>
      <c r="AE667" s="927"/>
      <c r="AF667" s="927"/>
      <c r="AG667" s="927"/>
      <c r="AK667" s="883"/>
    </row>
    <row r="668" spans="2:37" hidden="1" outlineLevel="1" x14ac:dyDescent="0.25">
      <c r="B668" s="1233"/>
      <c r="C668" s="225"/>
      <c r="D668" s="4245"/>
      <c r="E668" s="4245"/>
      <c r="F668" s="981" t="s">
        <v>1862</v>
      </c>
      <c r="G668" s="2297">
        <f>O656</f>
        <v>74.327224020150311</v>
      </c>
      <c r="H668" s="982"/>
      <c r="I668" s="982"/>
      <c r="V668" s="4307"/>
      <c r="W668" s="927">
        <v>97</v>
      </c>
      <c r="X668" s="894">
        <v>97</v>
      </c>
      <c r="Y668" s="546">
        <f>'HVAC Deemed Table'!Q97</f>
        <v>74.327224020150311</v>
      </c>
      <c r="Z668" s="2297">
        <f>'HVAC Deemed Table'!R97</f>
        <v>0</v>
      </c>
      <c r="AA668" s="2297">
        <f>'HVAC Deemed Table'!S97</f>
        <v>0</v>
      </c>
      <c r="AB668" s="2297">
        <v>0</v>
      </c>
      <c r="AC668" s="2297">
        <v>74.327224020150311</v>
      </c>
      <c r="AD668" s="927"/>
      <c r="AE668" s="927"/>
      <c r="AF668" s="927"/>
      <c r="AG668" s="927"/>
      <c r="AK668" s="883"/>
    </row>
    <row r="669" spans="2:37" hidden="1" outlineLevel="1" x14ac:dyDescent="0.25">
      <c r="B669" s="1233"/>
      <c r="C669" s="225"/>
      <c r="D669" s="4245"/>
      <c r="E669" s="4245"/>
      <c r="F669" s="981" t="s">
        <v>1885</v>
      </c>
      <c r="G669" s="2297">
        <f>O663</f>
        <v>475</v>
      </c>
      <c r="H669" s="982"/>
      <c r="I669" s="982"/>
      <c r="V669" s="4307"/>
      <c r="W669" s="927">
        <v>475</v>
      </c>
      <c r="X669" s="894">
        <v>475</v>
      </c>
      <c r="Y669" s="2297">
        <f>'HVAC Deemed Table'!Q103</f>
        <v>475</v>
      </c>
      <c r="Z669" s="2297" t="str">
        <f>'HVAC Deemed Table'!R103</f>
        <v>https://energy.mo.gov/sites/energy/files/evaluation-of-retrofit-variable-speed-furnace-fan-motors.pdf</v>
      </c>
      <c r="AA669" s="2297">
        <f>'HVAC Deemed Table'!S103</f>
        <v>0</v>
      </c>
      <c r="AB669" s="2297">
        <v>0</v>
      </c>
      <c r="AC669" s="2297">
        <v>475</v>
      </c>
      <c r="AD669" s="927"/>
      <c r="AE669" s="927"/>
      <c r="AF669" s="927"/>
      <c r="AG669" s="927"/>
      <c r="AK669" s="883"/>
    </row>
    <row r="670" spans="2:37" hidden="1" outlineLevel="1" x14ac:dyDescent="0.25">
      <c r="B670" s="1233"/>
      <c r="C670" s="225"/>
      <c r="D670" s="4246"/>
      <c r="E670" s="4246"/>
      <c r="F670" s="981" t="s">
        <v>1886</v>
      </c>
      <c r="G670" s="2297"/>
      <c r="H670" s="982"/>
      <c r="I670" s="982"/>
      <c r="V670" s="4307"/>
      <c r="W670" s="927"/>
      <c r="X670" s="894"/>
      <c r="Y670" s="2297"/>
      <c r="Z670" s="2297"/>
      <c r="AA670" s="2297"/>
      <c r="AB670" s="2297"/>
      <c r="AC670" s="2297"/>
      <c r="AD670" s="927"/>
      <c r="AE670" s="927"/>
      <c r="AF670" s="927"/>
      <c r="AG670" s="927"/>
      <c r="AK670" s="883"/>
    </row>
    <row r="671" spans="2:37" hidden="1" outlineLevel="1" x14ac:dyDescent="0.25">
      <c r="AK671" s="883"/>
    </row>
    <row r="672" spans="2:37" collapsed="1" x14ac:dyDescent="0.25">
      <c r="AK672" s="883"/>
    </row>
    <row r="673" spans="1:57" s="147" customFormat="1" x14ac:dyDescent="0.25">
      <c r="B673" s="3750" t="s">
        <v>1887</v>
      </c>
      <c r="C673" s="3751"/>
      <c r="D673" s="3751"/>
      <c r="E673" s="3751"/>
      <c r="F673" s="3751"/>
      <c r="G673" s="3751"/>
      <c r="H673" s="3751"/>
      <c r="I673" s="3744"/>
      <c r="J673" s="3744"/>
      <c r="K673" s="3744"/>
      <c r="L673" s="3744"/>
      <c r="M673" s="3744"/>
      <c r="N673" s="3744"/>
      <c r="O673" s="3744"/>
      <c r="P673" s="3744"/>
      <c r="Q673" s="3744"/>
      <c r="R673" s="3745"/>
      <c r="V673" s="3750" t="str">
        <f>B673</f>
        <v>Heat Pump (HP) Tune-up</v>
      </c>
      <c r="W673" s="3751"/>
      <c r="X673" s="3751"/>
      <c r="Y673" s="3751"/>
      <c r="Z673" s="3751"/>
      <c r="AA673" s="3751"/>
      <c r="AB673" s="3751"/>
      <c r="AC673" s="3752"/>
      <c r="AD673" s="3752"/>
      <c r="AE673" s="3752"/>
      <c r="AF673" s="3752"/>
      <c r="AG673" s="3752"/>
      <c r="AH673" s="3752"/>
      <c r="AI673" s="3753"/>
      <c r="AK673" s="883"/>
      <c r="BB673" s="844"/>
    </row>
    <row r="674" spans="1:57" s="40" customFormat="1" x14ac:dyDescent="0.25">
      <c r="A674" s="151"/>
      <c r="B674" s="151"/>
      <c r="C674" s="149"/>
      <c r="D674" s="329" t="s">
        <v>1570</v>
      </c>
      <c r="E674" s="150"/>
      <c r="F674" s="151"/>
      <c r="G674" s="151"/>
      <c r="H674" s="151"/>
      <c r="I674" s="151"/>
      <c r="J674" s="151"/>
      <c r="K674" s="151"/>
      <c r="L674" s="151"/>
      <c r="M674" s="151"/>
      <c r="N674" s="151"/>
      <c r="O674" s="151"/>
      <c r="P674" s="151"/>
      <c r="Q674" s="151"/>
      <c r="R674" s="151"/>
      <c r="S674" s="151"/>
      <c r="T674" s="151"/>
      <c r="U674" s="151"/>
      <c r="V674" s="224"/>
      <c r="W674" s="224"/>
      <c r="X674" s="224"/>
      <c r="Y674" s="618"/>
      <c r="Z674" s="224"/>
      <c r="AA674" s="224"/>
      <c r="AB674" s="224"/>
      <c r="AC674" s="224"/>
      <c r="AD674" s="224"/>
      <c r="AE674" s="224"/>
      <c r="AF674" s="224"/>
      <c r="AG674" s="224"/>
      <c r="AH674" s="224"/>
      <c r="AI674" s="224"/>
      <c r="AK674" s="883"/>
      <c r="BB674" s="990"/>
    </row>
    <row r="675" spans="1:57" s="991" customFormat="1" ht="48.75" customHeight="1" x14ac:dyDescent="0.25">
      <c r="A675" s="1663"/>
      <c r="B675" s="1663"/>
      <c r="C675" s="3086" t="s">
        <v>28</v>
      </c>
      <c r="D675" s="3086" t="s">
        <v>175</v>
      </c>
      <c r="E675" s="3086" t="s">
        <v>30</v>
      </c>
      <c r="F675" s="3086" t="s">
        <v>31</v>
      </c>
      <c r="G675" s="3086" t="s">
        <v>176</v>
      </c>
      <c r="H675" s="3086" t="s">
        <v>177</v>
      </c>
      <c r="I675" s="3086" t="s">
        <v>32</v>
      </c>
      <c r="J675" s="3140" t="s">
        <v>181</v>
      </c>
      <c r="K675" s="3086" t="s">
        <v>170</v>
      </c>
      <c r="L675" s="3086" t="s">
        <v>44</v>
      </c>
      <c r="M675" s="910"/>
      <c r="N675" s="910"/>
      <c r="O675" s="910"/>
      <c r="P675" s="910"/>
      <c r="Q675" s="910"/>
      <c r="R675" s="910"/>
      <c r="S675" s="1663"/>
      <c r="T675" s="1663"/>
      <c r="U675" s="1663"/>
      <c r="V675" s="1936" t="s">
        <v>45</v>
      </c>
      <c r="W675" s="1937">
        <f>W$6</f>
        <v>43252</v>
      </c>
      <c r="X675" s="1937">
        <f t="shared" ref="X675:AG675" si="95">X$6</f>
        <v>43465</v>
      </c>
      <c r="Y675" s="360">
        <f t="shared" si="95"/>
        <v>43800</v>
      </c>
      <c r="Z675" s="1937">
        <f t="shared" si="95"/>
        <v>43862</v>
      </c>
      <c r="AA675" s="1937">
        <f t="shared" si="95"/>
        <v>44013</v>
      </c>
      <c r="AB675" s="1937">
        <f t="shared" si="95"/>
        <v>44166</v>
      </c>
      <c r="AC675" s="1937">
        <f t="shared" si="95"/>
        <v>44531</v>
      </c>
      <c r="AD675" s="1937" t="str">
        <f t="shared" si="95"/>
        <v>-</v>
      </c>
      <c r="AE675" s="1937" t="str">
        <f t="shared" si="95"/>
        <v>-</v>
      </c>
      <c r="AF675" s="1937" t="str">
        <f t="shared" si="95"/>
        <v>-</v>
      </c>
      <c r="AG675" s="1937" t="str">
        <f t="shared" si="95"/>
        <v>-</v>
      </c>
      <c r="AH675" s="224"/>
      <c r="AI675" s="224"/>
      <c r="AK675" s="883"/>
      <c r="BB675" s="1938" t="str">
        <f>$BB$6</f>
        <v>TRC (2020)</v>
      </c>
      <c r="BC675" s="1953" t="str">
        <f>$BC$6</f>
        <v>Benefit Lookup</v>
      </c>
      <c r="BD675" s="665" t="str">
        <f>$BD$6</f>
        <v>Benefits (2019 $)</v>
      </c>
      <c r="BE675" s="230" t="str">
        <f>$BE$6</f>
        <v>Incremental Cost (2019 $)</v>
      </c>
    </row>
    <row r="676" spans="1:57" s="991" customFormat="1" x14ac:dyDescent="0.25">
      <c r="A676" s="1663"/>
      <c r="B676" s="1663"/>
      <c r="C676" s="1205" t="s">
        <v>1888</v>
      </c>
      <c r="D676" s="2695" t="s">
        <v>1571</v>
      </c>
      <c r="E676" s="583" t="s">
        <v>1889</v>
      </c>
      <c r="F676" s="1601">
        <f>ROUND((G720*G722*(1/G724-1/G729)/G734),2)</f>
        <v>141.72</v>
      </c>
      <c r="G676" s="1553" t="s">
        <v>258</v>
      </c>
      <c r="H676" s="155">
        <f>VLOOKUP(G676,'CP FACTORS'!$A$3:$B$38, 2, FALSE)</f>
        <v>9.4741810000000004E-4</v>
      </c>
      <c r="I676" s="1531">
        <f>ROUND(F676*H676,6)</f>
        <v>0.134268</v>
      </c>
      <c r="J676" s="992">
        <f t="shared" ref="J676" si="96">$G$749</f>
        <v>2</v>
      </c>
      <c r="K676" s="2297">
        <f>$G$750</f>
        <v>70</v>
      </c>
      <c r="L676" s="993" t="s">
        <v>185</v>
      </c>
      <c r="M676" s="910"/>
      <c r="N676" s="910"/>
      <c r="O676" s="910"/>
      <c r="P676" s="910"/>
      <c r="Q676" s="910"/>
      <c r="R676" s="1431"/>
      <c r="S676" s="1663"/>
      <c r="T676" s="1663"/>
      <c r="U676" s="1663"/>
      <c r="V676" s="160" t="str">
        <f>$F$516</f>
        <v>kWh
Annual Savings</v>
      </c>
      <c r="W676" s="994">
        <v>146.05813953488371</v>
      </c>
      <c r="X676" s="141">
        <v>146.05813953488371</v>
      </c>
      <c r="Y676" s="62">
        <v>146.06</v>
      </c>
      <c r="Z676" s="62">
        <v>146.06</v>
      </c>
      <c r="AA676" s="62">
        <v>146.06</v>
      </c>
      <c r="AB676" s="62">
        <v>146.06</v>
      </c>
      <c r="AC676" s="1601">
        <f>F676</f>
        <v>141.72</v>
      </c>
      <c r="AD676" s="160"/>
      <c r="AE676" s="160"/>
      <c r="AF676" s="160"/>
      <c r="AG676" s="160"/>
      <c r="AH676" s="163"/>
      <c r="AI676" s="224"/>
      <c r="AK676" s="883"/>
      <c r="BB676" s="1945">
        <f>(BD676+BD677)/(BE676+BE677)</f>
        <v>0.46505321100978225</v>
      </c>
      <c r="BC676" s="909" t="str">
        <f>CONCATENATE(G676," ",J676," Year EUL")</f>
        <v>Cooling RES 2 Year EUL</v>
      </c>
      <c r="BD676" s="111">
        <f>(INDEX('Avoided Cost Benefits'!$C$4:$C$857,MATCH(BC676,'Avoided Cost Benefits'!$A$4:$A$857,0)))*F676</f>
        <v>24.2512524591301</v>
      </c>
      <c r="BE676" s="1946">
        <f>K676/(1.0595^(2020-2019))</f>
        <v>66.068900424728639</v>
      </c>
    </row>
    <row r="677" spans="1:57" s="991" customFormat="1" x14ac:dyDescent="0.25">
      <c r="A677" s="1663"/>
      <c r="B677" s="1663"/>
      <c r="C677" s="1205" t="s">
        <v>1888</v>
      </c>
      <c r="D677" s="2695" t="s">
        <v>1571</v>
      </c>
      <c r="E677" s="1948" t="s">
        <v>1889</v>
      </c>
      <c r="F677" s="1601">
        <f>ROUND((G735*G737*(1/G739-1/G744)/G734),2)</f>
        <v>114.06</v>
      </c>
      <c r="G677" s="1553" t="s">
        <v>259</v>
      </c>
      <c r="H677" s="155">
        <f>VLOOKUP(G677,'CP FACTORS'!$A$3:$B$38, 2, FALSE)</f>
        <v>0</v>
      </c>
      <c r="I677" s="1531">
        <f t="shared" ref="I677:I697" si="97">ROUND(F677*H677,6)</f>
        <v>0</v>
      </c>
      <c r="J677" s="992">
        <f t="shared" ref="J677:J703" si="98">$G$749</f>
        <v>2</v>
      </c>
      <c r="K677" s="2297">
        <v>0</v>
      </c>
      <c r="L677" s="451" t="s">
        <v>185</v>
      </c>
      <c r="M677" s="910"/>
      <c r="N677" s="910"/>
      <c r="O677" s="910"/>
      <c r="P677" s="910"/>
      <c r="Q677" s="910"/>
      <c r="R677" s="1431"/>
      <c r="S677" s="1663"/>
      <c r="T677" s="1663"/>
      <c r="U677" s="1663"/>
      <c r="V677" s="160" t="str">
        <f t="shared" ref="V677:V703" si="99">$F$516</f>
        <v>kWh
Annual Savings</v>
      </c>
      <c r="W677" s="994">
        <v>157.864509605661</v>
      </c>
      <c r="X677" s="141">
        <v>157.864509605661</v>
      </c>
      <c r="Y677" s="1951">
        <v>117.55</v>
      </c>
      <c r="Z677" s="62">
        <v>117.55</v>
      </c>
      <c r="AA677" s="62">
        <v>117.55</v>
      </c>
      <c r="AB677" s="62">
        <v>117.55</v>
      </c>
      <c r="AC677" s="1601">
        <f t="shared" ref="AC677:AC703" si="100">F677</f>
        <v>114.06</v>
      </c>
      <c r="AD677" s="160"/>
      <c r="AE677" s="160"/>
      <c r="AF677" s="160"/>
      <c r="AG677" s="160"/>
      <c r="AH677" s="163"/>
      <c r="AI677" s="892"/>
      <c r="AK677" s="883"/>
      <c r="BB677" s="978"/>
      <c r="BC677" s="995" t="str">
        <f>CONCATENATE(G677," ",J677," Year EUL")</f>
        <v>Heating RES 2 Year EUL</v>
      </c>
      <c r="BD677" s="114">
        <f>(INDEX('Avoided Cost Benefits'!$C$4:$C$857,MATCH(BC677,'Avoided Cost Benefits'!$A$4:$A$857,0)))*F677</f>
        <v>6.4743018312755192</v>
      </c>
      <c r="BE677" s="1949">
        <f>K677/(1.0595^(2020-2019))</f>
        <v>0</v>
      </c>
    </row>
    <row r="678" spans="1:57" s="991" customFormat="1" x14ac:dyDescent="0.25">
      <c r="A678" s="1663"/>
      <c r="B678" s="1663"/>
      <c r="C678" s="1205" t="s">
        <v>1890</v>
      </c>
      <c r="D678" s="2695" t="s">
        <v>1577</v>
      </c>
      <c r="E678" s="583" t="s">
        <v>1889</v>
      </c>
      <c r="F678" s="1601">
        <f>ROUND((G720*G723*(1/G724-1/G729)/G734),2)</f>
        <v>87.28</v>
      </c>
      <c r="G678" s="1553" t="s">
        <v>258</v>
      </c>
      <c r="H678" s="155">
        <f>VLOOKUP(G678,'CP FACTORS'!$A$3:$B$38, 2, FALSE)</f>
        <v>9.4741810000000004E-4</v>
      </c>
      <c r="I678" s="1531">
        <f t="shared" si="97"/>
        <v>8.2691000000000001E-2</v>
      </c>
      <c r="J678" s="992">
        <f t="shared" si="98"/>
        <v>2</v>
      </c>
      <c r="K678" s="2297">
        <f>$G$750</f>
        <v>70</v>
      </c>
      <c r="L678" s="993" t="s">
        <v>185</v>
      </c>
      <c r="M678" s="910"/>
      <c r="N678" s="910"/>
      <c r="O678" s="910"/>
      <c r="P678" s="910"/>
      <c r="Q678" s="910"/>
      <c r="R678" s="1431"/>
      <c r="S678" s="1663"/>
      <c r="T678" s="1663"/>
      <c r="U678" s="1663"/>
      <c r="V678" s="160" t="str">
        <f t="shared" si="99"/>
        <v>kWh
Annual Savings</v>
      </c>
      <c r="W678" s="994">
        <v>94.937790697674416</v>
      </c>
      <c r="X678" s="141">
        <v>94.937790697674416</v>
      </c>
      <c r="Y678" s="1951">
        <v>87.28</v>
      </c>
      <c r="Z678" s="62">
        <v>87.28</v>
      </c>
      <c r="AA678" s="62">
        <v>87.28</v>
      </c>
      <c r="AB678" s="62">
        <v>87.28</v>
      </c>
      <c r="AC678" s="1601">
        <f t="shared" si="100"/>
        <v>87.28</v>
      </c>
      <c r="AD678" s="160"/>
      <c r="AE678" s="160"/>
      <c r="AF678" s="160"/>
      <c r="AG678" s="160"/>
      <c r="AH678" s="163"/>
      <c r="AK678" s="883"/>
      <c r="BB678" s="52">
        <f>(BD678+BD679)/(BE678+BE679)</f>
        <v>0.28641280431879457</v>
      </c>
      <c r="BC678" s="909" t="str">
        <f t="shared" ref="BC678:BC695" si="101">CONCATENATE(G678," ",J678," Year EUL")</f>
        <v>Cooling RES 2 Year EUL</v>
      </c>
      <c r="BD678" s="114">
        <f>(INDEX('Avoided Cost Benefits'!$C$4:$C$857,MATCH(BC678,'Avoided Cost Benefits'!$A$4:$A$857,0)))*F678</f>
        <v>14.935431235061214</v>
      </c>
      <c r="BE678" s="1949">
        <f t="shared" ref="BE678:BE695" si="102">K678/(1.0595^(2020-2019))</f>
        <v>66.068900424728639</v>
      </c>
    </row>
    <row r="679" spans="1:57" s="991" customFormat="1" x14ac:dyDescent="0.25">
      <c r="A679" s="1663"/>
      <c r="B679" s="1663"/>
      <c r="C679" s="1205" t="s">
        <v>1890</v>
      </c>
      <c r="D679" s="2695" t="s">
        <v>1577</v>
      </c>
      <c r="E679" s="1948" t="s">
        <v>1889</v>
      </c>
      <c r="F679" s="1601">
        <f>ROUND((G735*G738*(1/G739-1/G744)/G734),2)</f>
        <v>70.25</v>
      </c>
      <c r="G679" s="1553" t="s">
        <v>259</v>
      </c>
      <c r="H679" s="155">
        <f>VLOOKUP(G679,'CP FACTORS'!$A$3:$B$38, 2, FALSE)</f>
        <v>0</v>
      </c>
      <c r="I679" s="1531">
        <f t="shared" si="97"/>
        <v>0</v>
      </c>
      <c r="J679" s="992">
        <f t="shared" si="98"/>
        <v>2</v>
      </c>
      <c r="K679" s="2297">
        <v>0</v>
      </c>
      <c r="L679" s="451" t="s">
        <v>185</v>
      </c>
      <c r="M679" s="910"/>
      <c r="N679" s="910"/>
      <c r="O679" s="910"/>
      <c r="P679" s="910"/>
      <c r="Q679" s="910"/>
      <c r="R679" s="1431"/>
      <c r="S679" s="1663"/>
      <c r="T679" s="1663"/>
      <c r="U679" s="1663"/>
      <c r="V679" s="160" t="str">
        <f t="shared" si="99"/>
        <v>kWh
Annual Savings</v>
      </c>
      <c r="W679" s="994">
        <v>102.61193124367966</v>
      </c>
      <c r="X679" s="141">
        <v>102.61193124367966</v>
      </c>
      <c r="Y679" s="1951">
        <v>70.25</v>
      </c>
      <c r="Z679" s="62">
        <v>70.25</v>
      </c>
      <c r="AA679" s="62">
        <v>70.25</v>
      </c>
      <c r="AB679" s="62">
        <v>70.25</v>
      </c>
      <c r="AC679" s="1601">
        <f t="shared" si="100"/>
        <v>70.25</v>
      </c>
      <c r="AD679" s="160"/>
      <c r="AE679" s="160"/>
      <c r="AF679" s="160"/>
      <c r="AG679" s="160"/>
      <c r="AH679" s="163"/>
      <c r="AK679" s="883"/>
      <c r="BB679" s="978"/>
      <c r="BC679" s="995" t="str">
        <f t="shared" si="101"/>
        <v>Heating RES 2 Year EUL</v>
      </c>
      <c r="BD679" s="114">
        <f>(INDEX('Avoided Cost Benefits'!$C$4:$C$857,MATCH(BC679,'Avoided Cost Benefits'!$A$4:$A$857,0)))*F679</f>
        <v>3.9875478138445133</v>
      </c>
      <c r="BE679" s="1949">
        <f t="shared" si="102"/>
        <v>0</v>
      </c>
    </row>
    <row r="680" spans="1:57" s="318" customFormat="1" x14ac:dyDescent="0.25">
      <c r="A680" s="176"/>
      <c r="B680" s="176"/>
      <c r="C680" s="1205" t="s">
        <v>1891</v>
      </c>
      <c r="D680" s="2695" t="s">
        <v>1571</v>
      </c>
      <c r="E680" s="583" t="s">
        <v>1892</v>
      </c>
      <c r="F680" s="1601">
        <f>ROUND((G720*G722*(1/G725-1/G730)/G734),2)</f>
        <v>591.08000000000004</v>
      </c>
      <c r="G680" s="1553" t="s">
        <v>258</v>
      </c>
      <c r="H680" s="155">
        <f>VLOOKUP(G680,'CP FACTORS'!$A$3:$B$38, 2, FALSE)</f>
        <v>9.4741810000000004E-4</v>
      </c>
      <c r="I680" s="1531">
        <f t="shared" si="97"/>
        <v>0.56000000000000005</v>
      </c>
      <c r="J680" s="992">
        <f t="shared" si="98"/>
        <v>2</v>
      </c>
      <c r="K680" s="2297">
        <f>$G$751</f>
        <v>81</v>
      </c>
      <c r="L680" s="993" t="s">
        <v>185</v>
      </c>
      <c r="M680" s="910"/>
      <c r="N680" s="910"/>
      <c r="O680" s="910"/>
      <c r="P680" s="910"/>
      <c r="Q680" s="910"/>
      <c r="R680" s="1431"/>
      <c r="S680" s="180"/>
      <c r="T680" s="176"/>
      <c r="U680" s="176"/>
      <c r="V680" s="160" t="str">
        <f t="shared" si="99"/>
        <v>kWh
Annual Savings</v>
      </c>
      <c r="W680" s="994">
        <v>609.19309466886068</v>
      </c>
      <c r="X680" s="141">
        <v>609.19309466886068</v>
      </c>
      <c r="Y680" s="1951">
        <v>609.19000000000005</v>
      </c>
      <c r="Z680" s="62">
        <v>609.19000000000005</v>
      </c>
      <c r="AA680" s="62">
        <v>609.19000000000005</v>
      </c>
      <c r="AB680" s="62">
        <v>609.19000000000005</v>
      </c>
      <c r="AC680" s="1601">
        <f t="shared" si="100"/>
        <v>591.08000000000004</v>
      </c>
      <c r="AD680" s="160"/>
      <c r="AE680" s="160"/>
      <c r="AF680" s="160"/>
      <c r="AG680" s="160"/>
      <c r="AH680" s="163"/>
      <c r="AK680" s="883"/>
      <c r="BB680" s="52">
        <f>(BD680+BD681)/(BE680+BE681)</f>
        <v>1.7307035166033815</v>
      </c>
      <c r="BC680" s="909" t="str">
        <f t="shared" si="101"/>
        <v>Cooling RES 2 Year EUL</v>
      </c>
      <c r="BD680" s="114">
        <f>(INDEX('Avoided Cost Benefits'!$C$4:$C$857,MATCH(BC680,'Avoided Cost Benefits'!$A$4:$A$857,0)))*F680</f>
        <v>101.14613536228211</v>
      </c>
      <c r="BE680" s="1949">
        <f t="shared" si="102"/>
        <v>76.451156205757428</v>
      </c>
    </row>
    <row r="681" spans="1:57" s="318" customFormat="1" x14ac:dyDescent="0.25">
      <c r="A681" s="176"/>
      <c r="B681" s="176"/>
      <c r="C681" s="1205" t="s">
        <v>1891</v>
      </c>
      <c r="D681" s="2695" t="s">
        <v>1571</v>
      </c>
      <c r="E681" s="1948" t="s">
        <v>1892</v>
      </c>
      <c r="F681" s="1601">
        <f>ROUND((G735*G737*(1/G740-1/G745)/G734),2)</f>
        <v>549.1</v>
      </c>
      <c r="G681" s="1553" t="s">
        <v>259</v>
      </c>
      <c r="H681" s="155">
        <f>VLOOKUP(G681,'CP FACTORS'!$A$3:$B$38, 2, FALSE)</f>
        <v>0</v>
      </c>
      <c r="I681" s="1531">
        <f t="shared" si="97"/>
        <v>0</v>
      </c>
      <c r="J681" s="992">
        <f t="shared" si="98"/>
        <v>2</v>
      </c>
      <c r="K681" s="2297">
        <v>0</v>
      </c>
      <c r="L681" s="451" t="s">
        <v>185</v>
      </c>
      <c r="M681" s="1664"/>
      <c r="N681" s="1665"/>
      <c r="O681" s="1665"/>
      <c r="P681" s="1665"/>
      <c r="Q681" s="1665"/>
      <c r="R681" s="1431"/>
      <c r="S681" s="180"/>
      <c r="T681" s="176"/>
      <c r="U681" s="176"/>
      <c r="V681" s="160" t="str">
        <f t="shared" si="99"/>
        <v>kWh
Annual Savings</v>
      </c>
      <c r="W681" s="994">
        <v>759.98528433977378</v>
      </c>
      <c r="X681" s="141">
        <v>759.98528433977378</v>
      </c>
      <c r="Y681" s="1951">
        <v>565.91999999999996</v>
      </c>
      <c r="Z681" s="62">
        <v>565.91999999999996</v>
      </c>
      <c r="AA681" s="62">
        <v>565.91999999999996</v>
      </c>
      <c r="AB681" s="62">
        <v>565.91999999999996</v>
      </c>
      <c r="AC681" s="1601">
        <f t="shared" si="100"/>
        <v>549.1</v>
      </c>
      <c r="AD681" s="160"/>
      <c r="AE681" s="160"/>
      <c r="AF681" s="160"/>
      <c r="AG681" s="160"/>
      <c r="AH681" s="163"/>
      <c r="AK681" s="883"/>
      <c r="BB681" s="978"/>
      <c r="BC681" s="995" t="str">
        <f t="shared" si="101"/>
        <v>Heating RES 2 Year EUL</v>
      </c>
      <c r="BD681" s="114">
        <f>(INDEX('Avoided Cost Benefits'!$C$4:$C$857,MATCH(BC681,'Avoided Cost Benefits'!$A$4:$A$857,0)))*F681</f>
        <v>31.168149531416688</v>
      </c>
      <c r="BE681" s="1949">
        <f t="shared" si="102"/>
        <v>0</v>
      </c>
    </row>
    <row r="682" spans="1:57" s="892" customFormat="1" x14ac:dyDescent="0.25">
      <c r="A682" s="910"/>
      <c r="B682" s="1606"/>
      <c r="C682" s="1205" t="s">
        <v>1893</v>
      </c>
      <c r="D682" s="2695" t="s">
        <v>1577</v>
      </c>
      <c r="E682" s="583" t="s">
        <v>1894</v>
      </c>
      <c r="F682" s="1601">
        <f>ROUND(($G$720*$G$723*(1/$G$725-1/$G$730)/$G$734),2)</f>
        <v>364.03</v>
      </c>
      <c r="G682" s="1553" t="s">
        <v>258</v>
      </c>
      <c r="H682" s="155">
        <f>VLOOKUP(G682,'CP FACTORS'!$A$3:$B$38, 2, FALSE)</f>
        <v>9.4741810000000004E-4</v>
      </c>
      <c r="I682" s="1531">
        <f t="shared" si="97"/>
        <v>0.344889</v>
      </c>
      <c r="J682" s="992">
        <f t="shared" si="98"/>
        <v>2</v>
      </c>
      <c r="K682" s="2297">
        <f>$G$751</f>
        <v>81</v>
      </c>
      <c r="L682" s="993" t="s">
        <v>185</v>
      </c>
      <c r="M682" s="910"/>
      <c r="N682" s="910"/>
      <c r="O682" s="910"/>
      <c r="P682" s="910"/>
      <c r="Q682" s="910"/>
      <c r="R682" s="1431"/>
      <c r="S682" s="910"/>
      <c r="T682" s="910"/>
      <c r="U682" s="910"/>
      <c r="V682" s="160" t="str">
        <f t="shared" si="99"/>
        <v>kWh
Annual Savings</v>
      </c>
      <c r="W682" s="994">
        <v>395.97551153475945</v>
      </c>
      <c r="X682" s="141">
        <v>395.97551153475945</v>
      </c>
      <c r="Y682" s="1951">
        <v>364.03</v>
      </c>
      <c r="Z682" s="62">
        <v>364.03</v>
      </c>
      <c r="AA682" s="62">
        <v>364.03</v>
      </c>
      <c r="AB682" s="62">
        <v>364.03</v>
      </c>
      <c r="AC682" s="1601">
        <f t="shared" si="100"/>
        <v>364.03</v>
      </c>
      <c r="AD682" s="160"/>
      <c r="AE682" s="160"/>
      <c r="AF682" s="160"/>
      <c r="AG682" s="160"/>
      <c r="AH682" s="163"/>
      <c r="AK682" s="883"/>
      <c r="BB682" s="52">
        <f>(BD682+BD683)/(BE682+BE683)</f>
        <v>1.0658961610897484</v>
      </c>
      <c r="BC682" s="909" t="str">
        <f t="shared" si="101"/>
        <v>Cooling RES 2 Year EUL</v>
      </c>
      <c r="BD682" s="114">
        <f>(INDEX('Avoided Cost Benefits'!$C$4:$C$857,MATCH(BC682,'Avoided Cost Benefits'!$A$4:$A$857,0)))*F682</f>
        <v>62.293137402604643</v>
      </c>
      <c r="BE682" s="1949">
        <f t="shared" si="102"/>
        <v>76.451156205757428</v>
      </c>
    </row>
    <row r="683" spans="1:57" s="892" customFormat="1" x14ac:dyDescent="0.25">
      <c r="A683" s="910"/>
      <c r="B683" s="1606"/>
      <c r="C683" s="1205" t="s">
        <v>1893</v>
      </c>
      <c r="D683" s="2695" t="s">
        <v>1577</v>
      </c>
      <c r="E683" s="1948" t="s">
        <v>1894</v>
      </c>
      <c r="F683" s="1601">
        <f>ROUND(($G$735*$G$738*(1/$G$740-1/$G$745)/$G$734),2)</f>
        <v>338.18</v>
      </c>
      <c r="G683" s="1553" t="s">
        <v>259</v>
      </c>
      <c r="H683" s="155">
        <f>VLOOKUP(G683,'CP FACTORS'!$A$3:$B$38, 2, FALSE)</f>
        <v>0</v>
      </c>
      <c r="I683" s="1531">
        <f t="shared" si="97"/>
        <v>0</v>
      </c>
      <c r="J683" s="992">
        <f t="shared" si="98"/>
        <v>2</v>
      </c>
      <c r="K683" s="2297">
        <v>0</v>
      </c>
      <c r="L683" s="451" t="s">
        <v>185</v>
      </c>
      <c r="M683" s="910"/>
      <c r="N683" s="910"/>
      <c r="O683" s="910"/>
      <c r="P683" s="910"/>
      <c r="Q683" s="910"/>
      <c r="R683" s="1431"/>
      <c r="S683" s="910"/>
      <c r="T683" s="910"/>
      <c r="U683" s="910"/>
      <c r="V683" s="160" t="str">
        <f t="shared" si="99"/>
        <v>kWh
Annual Savings</v>
      </c>
      <c r="W683" s="994">
        <v>493.99043482085307</v>
      </c>
      <c r="X683" s="141">
        <v>493.99043482085307</v>
      </c>
      <c r="Y683" s="1951">
        <v>338.18</v>
      </c>
      <c r="Z683" s="62">
        <v>338.18</v>
      </c>
      <c r="AA683" s="62">
        <v>338.18</v>
      </c>
      <c r="AB683" s="62">
        <v>338.18</v>
      </c>
      <c r="AC683" s="1601">
        <f t="shared" si="100"/>
        <v>338.18</v>
      </c>
      <c r="AD683" s="160"/>
      <c r="AE683" s="160"/>
      <c r="AF683" s="160"/>
      <c r="AG683" s="160"/>
      <c r="AH683" s="163"/>
      <c r="AK683" s="883"/>
      <c r="BB683" s="978"/>
      <c r="BC683" s="995" t="str">
        <f t="shared" si="101"/>
        <v>Heating RES 2 Year EUL</v>
      </c>
      <c r="BD683" s="114">
        <f>(INDEX('Avoided Cost Benefits'!$C$4:$C$857,MATCH(BC683,'Avoided Cost Benefits'!$A$4:$A$857,0)))*F683</f>
        <v>19.195856507984878</v>
      </c>
      <c r="BE683" s="1949">
        <f t="shared" si="102"/>
        <v>0</v>
      </c>
    </row>
    <row r="684" spans="1:57" s="892" customFormat="1" x14ac:dyDescent="0.25">
      <c r="A684" s="910"/>
      <c r="B684" s="1606"/>
      <c r="C684" s="1205" t="s">
        <v>1895</v>
      </c>
      <c r="D684" s="2667" t="s">
        <v>1585</v>
      </c>
      <c r="E684" s="3115" t="str">
        <f>CONCATENATE(E682,"_CompE")</f>
        <v>HP tune-up / Refrigerant charge MF_CompE</v>
      </c>
      <c r="F684" s="1601">
        <f>ROUND(($G$721*$G$723*(1/$G$725-1/$G$730)/$G$734),2)</f>
        <v>264.75</v>
      </c>
      <c r="G684" s="1553" t="s">
        <v>258</v>
      </c>
      <c r="H684" s="155">
        <f>VLOOKUP(G684,'CP FACTORS'!$A$3:$B$38, 2, FALSE)</f>
        <v>9.4741810000000004E-4</v>
      </c>
      <c r="I684" s="1531">
        <f t="shared" si="97"/>
        <v>0.25082900000000002</v>
      </c>
      <c r="J684" s="992">
        <f t="shared" si="98"/>
        <v>2</v>
      </c>
      <c r="K684" s="2297">
        <f>$G$751</f>
        <v>81</v>
      </c>
      <c r="L684" s="993" t="s">
        <v>185</v>
      </c>
      <c r="M684" s="910"/>
      <c r="N684" s="910"/>
      <c r="O684" s="910"/>
      <c r="P684" s="910"/>
      <c r="Q684" s="910"/>
      <c r="R684" s="1431"/>
      <c r="S684" s="910"/>
      <c r="T684" s="910"/>
      <c r="U684" s="910"/>
      <c r="V684" s="160" t="str">
        <f t="shared" si="99"/>
        <v>kWh
Annual Savings</v>
      </c>
      <c r="W684" s="994"/>
      <c r="X684" s="141"/>
      <c r="Y684" s="1951">
        <v>264.75</v>
      </c>
      <c r="Z684" s="62">
        <v>264.75</v>
      </c>
      <c r="AA684" s="62">
        <v>264.75</v>
      </c>
      <c r="AB684" s="62">
        <v>264.75</v>
      </c>
      <c r="AC684" s="1601">
        <f t="shared" si="100"/>
        <v>264.75</v>
      </c>
      <c r="AD684" s="160"/>
      <c r="AE684" s="160"/>
      <c r="AF684" s="160"/>
      <c r="AG684" s="160"/>
      <c r="AH684" s="163"/>
      <c r="AK684" s="883"/>
      <c r="BB684" s="52">
        <f>(BD684+BD685)/(BE684+BE685)</f>
        <v>0.67818954560335631</v>
      </c>
      <c r="BC684" s="909" t="str">
        <f>CONCATENATE(G684," ",J684," Year EUL")</f>
        <v>Cooling RES 2 Year EUL</v>
      </c>
      <c r="BD684" s="114">
        <f>(INDEX('Avoided Cost Benefits'!$C$4:$C$857,MATCH(BC684,'Avoided Cost Benefits'!$A$4:$A$857,0)))*F684</f>
        <v>45.304255493612011</v>
      </c>
      <c r="BE684" s="1949">
        <f>K684/(1.0595^(2020-2019))</f>
        <v>76.451156205757428</v>
      </c>
    </row>
    <row r="685" spans="1:57" s="892" customFormat="1" x14ac:dyDescent="0.25">
      <c r="A685" s="910"/>
      <c r="B685" s="1606"/>
      <c r="C685" s="1205" t="s">
        <v>1895</v>
      </c>
      <c r="D685" s="2667" t="s">
        <v>1585</v>
      </c>
      <c r="E685" s="3116" t="str">
        <f>CONCATENATE(E683,"_CompE")</f>
        <v>HP tune-up / Refrigerant charge MF_CompE</v>
      </c>
      <c r="F685" s="1601">
        <f>ROUND(($G$736*$G$738*(1/$G$740-1/$G$745)/$G$734),2)</f>
        <v>115.29</v>
      </c>
      <c r="G685" s="1553" t="s">
        <v>259</v>
      </c>
      <c r="H685" s="155">
        <f>VLOOKUP(G685,'CP FACTORS'!$A$3:$B$38, 2, FALSE)</f>
        <v>0</v>
      </c>
      <c r="I685" s="1531">
        <f t="shared" si="97"/>
        <v>0</v>
      </c>
      <c r="J685" s="992">
        <f t="shared" si="98"/>
        <v>2</v>
      </c>
      <c r="K685" s="2297">
        <v>0</v>
      </c>
      <c r="L685" s="451" t="s">
        <v>185</v>
      </c>
      <c r="M685" s="910"/>
      <c r="N685" s="910"/>
      <c r="O685" s="910"/>
      <c r="P685" s="910"/>
      <c r="Q685" s="910"/>
      <c r="R685" s="1431"/>
      <c r="S685" s="910"/>
      <c r="T685" s="910"/>
      <c r="U685" s="910"/>
      <c r="V685" s="160" t="str">
        <f t="shared" si="99"/>
        <v>kWh
Annual Savings</v>
      </c>
      <c r="W685" s="994"/>
      <c r="X685" s="141"/>
      <c r="Y685" s="1951">
        <v>115.29</v>
      </c>
      <c r="Z685" s="62">
        <v>115.29</v>
      </c>
      <c r="AA685" s="62">
        <v>115.29</v>
      </c>
      <c r="AB685" s="62">
        <v>115.29</v>
      </c>
      <c r="AC685" s="1601">
        <f t="shared" si="100"/>
        <v>115.29</v>
      </c>
      <c r="AD685" s="160"/>
      <c r="AE685" s="160"/>
      <c r="AF685" s="160"/>
      <c r="AG685" s="160"/>
      <c r="AH685" s="163"/>
      <c r="AK685" s="883"/>
      <c r="BB685" s="978"/>
      <c r="BC685" s="995" t="str">
        <f>CONCATENATE(G685," ",J685," Year EUL")</f>
        <v>Heating RES 2 Year EUL</v>
      </c>
      <c r="BD685" s="114">
        <f>(INDEX('Avoided Cost Benefits'!$C$4:$C$857,MATCH(BC685,'Avoided Cost Benefits'!$A$4:$A$857,0)))*F685</f>
        <v>6.5441193944218359</v>
      </c>
      <c r="BE685" s="1949">
        <f>K685/(1.0595^(2020-2019))</f>
        <v>0</v>
      </c>
    </row>
    <row r="686" spans="1:57" s="892" customFormat="1" x14ac:dyDescent="0.25">
      <c r="A686" s="910"/>
      <c r="B686" s="1606"/>
      <c r="C686" s="1205" t="s">
        <v>1896</v>
      </c>
      <c r="D686" s="2695" t="s">
        <v>1571</v>
      </c>
      <c r="E686" s="583" t="s">
        <v>1897</v>
      </c>
      <c r="F686" s="1601">
        <f>ROUND((G720*G722*(1/G726-1/G731)/G734),2)</f>
        <v>97.83</v>
      </c>
      <c r="G686" s="1553" t="s">
        <v>258</v>
      </c>
      <c r="H686" s="155">
        <f>VLOOKUP(G686,'CP FACTORS'!$A$3:$B$38, 2, FALSE)</f>
        <v>9.4741810000000004E-4</v>
      </c>
      <c r="I686" s="1531">
        <f t="shared" si="97"/>
        <v>9.2686000000000004E-2</v>
      </c>
      <c r="J686" s="992">
        <f t="shared" si="98"/>
        <v>2</v>
      </c>
      <c r="K686" s="2297">
        <f>$G$752</f>
        <v>63</v>
      </c>
      <c r="L686" s="993" t="s">
        <v>185</v>
      </c>
      <c r="M686" s="910"/>
      <c r="N686" s="910"/>
      <c r="O686" s="910"/>
      <c r="P686" s="910"/>
      <c r="Q686" s="910"/>
      <c r="R686" s="1431"/>
      <c r="S686" s="910"/>
      <c r="T686" s="910"/>
      <c r="U686" s="910"/>
      <c r="V686" s="160" t="str">
        <f t="shared" si="99"/>
        <v>kWh
Annual Savings</v>
      </c>
      <c r="W686" s="994">
        <v>100.82956618593137</v>
      </c>
      <c r="X686" s="141">
        <v>100.82956618593137</v>
      </c>
      <c r="Y686" s="62">
        <v>100.83</v>
      </c>
      <c r="Z686" s="62">
        <v>100.83</v>
      </c>
      <c r="AA686" s="62">
        <v>100.83</v>
      </c>
      <c r="AB686" s="62">
        <v>100.83</v>
      </c>
      <c r="AC686" s="1601">
        <f t="shared" si="100"/>
        <v>97.83</v>
      </c>
      <c r="AD686" s="160"/>
      <c r="AE686" s="160"/>
      <c r="AF686" s="160"/>
      <c r="AG686" s="160"/>
      <c r="AH686" s="163"/>
      <c r="AK686" s="883"/>
      <c r="BB686" s="52">
        <f>(BD686+BD687)/(BE686+BE687)</f>
        <v>0.35573782152018651</v>
      </c>
      <c r="BC686" s="909" t="str">
        <f t="shared" si="101"/>
        <v>Cooling RES 2 Year EUL</v>
      </c>
      <c r="BD686" s="114">
        <f>(INDEX('Avoided Cost Benefits'!$C$4:$C$857,MATCH(BC686,'Avoided Cost Benefits'!$A$4:$A$857,0)))*F686</f>
        <v>16.740756619225923</v>
      </c>
      <c r="BE686" s="1949">
        <f t="shared" si="102"/>
        <v>59.462010382255777</v>
      </c>
    </row>
    <row r="687" spans="1:57" s="892" customFormat="1" x14ac:dyDescent="0.25">
      <c r="A687" s="910"/>
      <c r="B687" s="1606"/>
      <c r="C687" s="1205" t="s">
        <v>1896</v>
      </c>
      <c r="D687" s="2695" t="s">
        <v>1571</v>
      </c>
      <c r="E687" s="1948" t="s">
        <v>1897</v>
      </c>
      <c r="F687" s="1601">
        <f>ROUND((G735*G737*(1/G741-1/G746)/G734),2)</f>
        <v>77.73</v>
      </c>
      <c r="G687" s="1553" t="s">
        <v>259</v>
      </c>
      <c r="H687" s="155">
        <f>VLOOKUP(G687,'CP FACTORS'!$A$3:$B$38, 2, FALSE)</f>
        <v>0</v>
      </c>
      <c r="I687" s="1531">
        <f t="shared" si="97"/>
        <v>0</v>
      </c>
      <c r="J687" s="992">
        <f t="shared" si="98"/>
        <v>2</v>
      </c>
      <c r="K687" s="2297">
        <v>0</v>
      </c>
      <c r="L687" s="451" t="s">
        <v>185</v>
      </c>
      <c r="M687" s="910"/>
      <c r="N687" s="910"/>
      <c r="O687" s="910"/>
      <c r="P687" s="910"/>
      <c r="Q687" s="910"/>
      <c r="R687" s="1431"/>
      <c r="S687" s="910"/>
      <c r="T687" s="910"/>
      <c r="U687" s="910"/>
      <c r="V687" s="160" t="str">
        <f t="shared" si="99"/>
        <v>kWh
Annual Savings</v>
      </c>
      <c r="W687" s="994">
        <v>107.57620062894772</v>
      </c>
      <c r="X687" s="141">
        <v>107.57620062894772</v>
      </c>
      <c r="Y687" s="1951">
        <v>80.11</v>
      </c>
      <c r="Z687" s="62">
        <v>80.11</v>
      </c>
      <c r="AA687" s="62">
        <v>80.11</v>
      </c>
      <c r="AB687" s="62">
        <v>80.11</v>
      </c>
      <c r="AC687" s="1601">
        <f t="shared" si="100"/>
        <v>77.73</v>
      </c>
      <c r="AD687" s="160"/>
      <c r="AE687" s="160"/>
      <c r="AF687" s="160"/>
      <c r="AG687" s="160"/>
      <c r="AH687" s="163"/>
      <c r="AK687" s="883"/>
      <c r="BB687" s="978"/>
      <c r="BC687" s="995" t="str">
        <f t="shared" si="101"/>
        <v>Heating RES 2 Year EUL</v>
      </c>
      <c r="BD687" s="114">
        <f>(INDEX('Avoided Cost Benefits'!$C$4:$C$857,MATCH(BC687,'Avoided Cost Benefits'!$A$4:$A$857,0)))*F687</f>
        <v>4.4121294173684564</v>
      </c>
      <c r="BE687" s="1949">
        <f t="shared" si="102"/>
        <v>0</v>
      </c>
    </row>
    <row r="688" spans="1:57" s="892" customFormat="1" x14ac:dyDescent="0.25">
      <c r="A688" s="910"/>
      <c r="B688" s="1606"/>
      <c r="C688" s="1205" t="s">
        <v>1898</v>
      </c>
      <c r="D688" s="2695" t="s">
        <v>1577</v>
      </c>
      <c r="E688" s="583" t="s">
        <v>1899</v>
      </c>
      <c r="F688" s="1601">
        <f>ROUND(($G$720*$G$723*(1/$G$726-1/$G$731)/$G$734),2)</f>
        <v>60.25</v>
      </c>
      <c r="G688" s="1553" t="s">
        <v>258</v>
      </c>
      <c r="H688" s="155">
        <f>VLOOKUP(G688,'CP FACTORS'!$A$3:$B$38, 2, FALSE)</f>
        <v>9.4741810000000004E-4</v>
      </c>
      <c r="I688" s="1531">
        <f t="shared" si="97"/>
        <v>5.7082000000000001E-2</v>
      </c>
      <c r="J688" s="992">
        <f t="shared" si="98"/>
        <v>2</v>
      </c>
      <c r="K688" s="2297">
        <f>$G$752</f>
        <v>63</v>
      </c>
      <c r="L688" s="993" t="s">
        <v>185</v>
      </c>
      <c r="M688" s="910"/>
      <c r="N688" s="910"/>
      <c r="O688" s="910"/>
      <c r="P688" s="910"/>
      <c r="Q688" s="910"/>
      <c r="R688" s="1431"/>
      <c r="S688" s="910"/>
      <c r="T688" s="910"/>
      <c r="U688" s="910"/>
      <c r="V688" s="160" t="str">
        <f t="shared" si="99"/>
        <v>kWh
Annual Savings</v>
      </c>
      <c r="W688" s="994">
        <v>65.539218020855401</v>
      </c>
      <c r="X688" s="141">
        <v>65.539218020855401</v>
      </c>
      <c r="Y688" s="1951">
        <v>60.25</v>
      </c>
      <c r="Z688" s="62">
        <v>60.25</v>
      </c>
      <c r="AA688" s="62">
        <v>60.25</v>
      </c>
      <c r="AB688" s="62">
        <v>60.25</v>
      </c>
      <c r="AC688" s="1601">
        <f t="shared" si="100"/>
        <v>60.25</v>
      </c>
      <c r="AD688" s="160"/>
      <c r="AE688" s="160"/>
      <c r="AF688" s="160"/>
      <c r="AG688" s="160"/>
      <c r="AH688" s="163"/>
      <c r="AK688" s="883"/>
      <c r="BB688" s="52">
        <f>(BD688+BD689)/(BE688+BE689)</f>
        <v>0.2190851309322446</v>
      </c>
      <c r="BC688" s="909" t="str">
        <f t="shared" si="101"/>
        <v>Cooling RES 2 Year EUL</v>
      </c>
      <c r="BD688" s="114">
        <f>(INDEX('Avoided Cost Benefits'!$C$4:$C$857,MATCH(BC688,'Avoided Cost Benefits'!$A$4:$A$857,0)))*F688</f>
        <v>10.310033592030685</v>
      </c>
      <c r="BE688" s="1949">
        <f t="shared" si="102"/>
        <v>59.462010382255777</v>
      </c>
    </row>
    <row r="689" spans="1:57" s="892" customFormat="1" x14ac:dyDescent="0.25">
      <c r="A689" s="910"/>
      <c r="B689" s="1606"/>
      <c r="C689" s="1205" t="s">
        <v>1898</v>
      </c>
      <c r="D689" s="2695" t="s">
        <v>1577</v>
      </c>
      <c r="E689" s="1948" t="s">
        <v>1899</v>
      </c>
      <c r="F689" s="1601">
        <f>ROUND(($G$735*$G$738*(1/$G$741-1/$G$746)/$G$734),2)</f>
        <v>47.87</v>
      </c>
      <c r="G689" s="1553" t="s">
        <v>259</v>
      </c>
      <c r="H689" s="155">
        <f>VLOOKUP(G689,'CP FACTORS'!$A$3:$B$38, 2, FALSE)</f>
        <v>0</v>
      </c>
      <c r="I689" s="1531">
        <f t="shared" si="97"/>
        <v>0</v>
      </c>
      <c r="J689" s="992">
        <f t="shared" si="98"/>
        <v>2</v>
      </c>
      <c r="K689" s="2297">
        <v>0</v>
      </c>
      <c r="L689" s="451" t="s">
        <v>185</v>
      </c>
      <c r="M689" s="910"/>
      <c r="N689" s="910"/>
      <c r="O689" s="910"/>
      <c r="P689" s="910"/>
      <c r="Q689" s="910"/>
      <c r="R689" s="1431"/>
      <c r="S689" s="910"/>
      <c r="T689" s="910"/>
      <c r="U689" s="910"/>
      <c r="V689" s="160" t="str">
        <f t="shared" si="99"/>
        <v>kWh
Annual Savings</v>
      </c>
      <c r="W689" s="994">
        <v>69.924530408816025</v>
      </c>
      <c r="X689" s="141">
        <v>69.924530408816025</v>
      </c>
      <c r="Y689" s="1951">
        <v>47.87</v>
      </c>
      <c r="Z689" s="62">
        <v>47.87</v>
      </c>
      <c r="AA689" s="62">
        <v>47.87</v>
      </c>
      <c r="AB689" s="62">
        <v>47.87</v>
      </c>
      <c r="AC689" s="1601">
        <f t="shared" si="100"/>
        <v>47.87</v>
      </c>
      <c r="AD689" s="160"/>
      <c r="AE689" s="160"/>
      <c r="AF689" s="160"/>
      <c r="AG689" s="160"/>
      <c r="AH689" s="163"/>
      <c r="AK689" s="883"/>
      <c r="BB689" s="978"/>
      <c r="BC689" s="995" t="str">
        <f t="shared" si="101"/>
        <v>Heating RES 2 Year EUL</v>
      </c>
      <c r="BD689" s="114">
        <f>(INDEX('Avoided Cost Benefits'!$C$4:$C$857,MATCH(BC689,'Avoided Cost Benefits'!$A$4:$A$857,0)))*F689</f>
        <v>2.7172087380603109</v>
      </c>
      <c r="BE689" s="1949">
        <f t="shared" si="102"/>
        <v>0</v>
      </c>
    </row>
    <row r="690" spans="1:57" s="892" customFormat="1" x14ac:dyDescent="0.25">
      <c r="A690" s="910"/>
      <c r="B690" s="1606"/>
      <c r="C690" s="1205" t="s">
        <v>1900</v>
      </c>
      <c r="D690" s="2667" t="s">
        <v>1585</v>
      </c>
      <c r="E690" s="3115" t="str">
        <f>CONCATENATE(E688,"_CompE")</f>
        <v>HP tune-up / Indoor Coil (Evaporator) Cleaning MF_CompE</v>
      </c>
      <c r="F690" s="1601">
        <f>ROUND(($G$721*$G$723*(1/$G$726-1/$G$731)/$G$734),2)</f>
        <v>43.82</v>
      </c>
      <c r="G690" s="1553" t="s">
        <v>258</v>
      </c>
      <c r="H690" s="155">
        <f>VLOOKUP(G690,'CP FACTORS'!$A$3:$B$38, 2, FALSE)</f>
        <v>9.4741810000000004E-4</v>
      </c>
      <c r="I690" s="1531">
        <f t="shared" si="97"/>
        <v>4.1515999999999997E-2</v>
      </c>
      <c r="J690" s="992">
        <f t="shared" si="98"/>
        <v>2</v>
      </c>
      <c r="K690" s="2297">
        <f>$G$752</f>
        <v>63</v>
      </c>
      <c r="L690" s="993" t="s">
        <v>185</v>
      </c>
      <c r="M690" s="910"/>
      <c r="N690" s="910"/>
      <c r="O690" s="910"/>
      <c r="P690" s="910"/>
      <c r="Q690" s="910"/>
      <c r="R690" s="1431"/>
      <c r="S690" s="910"/>
      <c r="T690" s="910"/>
      <c r="U690" s="910"/>
      <c r="V690" s="160" t="str">
        <f t="shared" si="99"/>
        <v>kWh
Annual Savings</v>
      </c>
      <c r="W690" s="994"/>
      <c r="X690" s="141"/>
      <c r="Y690" s="1951">
        <v>43.82</v>
      </c>
      <c r="Z690" s="62">
        <v>43.82</v>
      </c>
      <c r="AA690" s="62">
        <v>43.82</v>
      </c>
      <c r="AB690" s="62">
        <v>43.82</v>
      </c>
      <c r="AC690" s="1601">
        <f t="shared" si="100"/>
        <v>43.82</v>
      </c>
      <c r="AD690" s="160"/>
      <c r="AE690" s="160"/>
      <c r="AF690" s="160"/>
      <c r="AG690" s="160"/>
      <c r="AH690" s="163"/>
      <c r="AK690" s="883"/>
      <c r="BB690" s="52">
        <f>(BD690+BD691)/(BE690+BE691)</f>
        <v>0.14168503866104951</v>
      </c>
      <c r="BC690" s="909" t="str">
        <f>CONCATENATE(G690," ",J690," Year EUL")</f>
        <v>Cooling RES 2 Year EUL</v>
      </c>
      <c r="BD690" s="114">
        <f>(INDEX('Avoided Cost Benefits'!$C$4:$C$857,MATCH(BC690,'Avoided Cost Benefits'!$A$4:$A$857,0)))*F690</f>
        <v>7.4985173776395788</v>
      </c>
      <c r="BE690" s="1949">
        <f>K690/(1.0595^(2020-2019))</f>
        <v>59.462010382255777</v>
      </c>
    </row>
    <row r="691" spans="1:57" s="892" customFormat="1" x14ac:dyDescent="0.25">
      <c r="A691" s="910"/>
      <c r="B691" s="1606"/>
      <c r="C691" s="1205" t="s">
        <v>1900</v>
      </c>
      <c r="D691" s="2667" t="s">
        <v>1585</v>
      </c>
      <c r="E691" s="3116" t="str">
        <f>CONCATENATE(E689,"_CompE")</f>
        <v>HP tune-up / Indoor Coil (Evaporator) Cleaning MF_CompE</v>
      </c>
      <c r="F691" s="1601">
        <f>ROUND(($G$736*$G$738*(1/$G$741-1/$G$746)/$G$734),2)</f>
        <v>16.32</v>
      </c>
      <c r="G691" s="1553" t="s">
        <v>259</v>
      </c>
      <c r="H691" s="155">
        <f>VLOOKUP(G691,'CP FACTORS'!$A$3:$B$38, 2, FALSE)</f>
        <v>0</v>
      </c>
      <c r="I691" s="1531">
        <f t="shared" si="97"/>
        <v>0</v>
      </c>
      <c r="J691" s="992">
        <f t="shared" si="98"/>
        <v>2</v>
      </c>
      <c r="K691" s="2297">
        <v>0</v>
      </c>
      <c r="L691" s="451" t="s">
        <v>185</v>
      </c>
      <c r="M691" s="910"/>
      <c r="N691" s="910"/>
      <c r="O691" s="910"/>
      <c r="P691" s="910"/>
      <c r="Q691" s="910"/>
      <c r="R691" s="1431"/>
      <c r="S691" s="910"/>
      <c r="T691" s="910"/>
      <c r="U691" s="910"/>
      <c r="V691" s="160" t="str">
        <f t="shared" si="99"/>
        <v>kWh
Annual Savings</v>
      </c>
      <c r="W691" s="994"/>
      <c r="X691" s="141"/>
      <c r="Y691" s="1951">
        <v>16.32</v>
      </c>
      <c r="Z691" s="62">
        <v>16.32</v>
      </c>
      <c r="AA691" s="62">
        <v>16.32</v>
      </c>
      <c r="AB691" s="62">
        <v>16.32</v>
      </c>
      <c r="AC691" s="1601">
        <f t="shared" si="100"/>
        <v>16.32</v>
      </c>
      <c r="AD691" s="160"/>
      <c r="AE691" s="160"/>
      <c r="AF691" s="160"/>
      <c r="AG691" s="160"/>
      <c r="AH691" s="163"/>
      <c r="AK691" s="883"/>
      <c r="BB691" s="978"/>
      <c r="BC691" s="995" t="str">
        <f>CONCATENATE(G691," ",J691," Year EUL")</f>
        <v>Heating RES 2 Year EUL</v>
      </c>
      <c r="BD691" s="114">
        <f>(INDEX('Avoided Cost Benefits'!$C$4:$C$857,MATCH(BC691,'Avoided Cost Benefits'!$A$4:$A$857,0)))*F691</f>
        <v>0.92635986223405642</v>
      </c>
      <c r="BE691" s="1949">
        <f>K691/(1.0595^(2020-2019))</f>
        <v>0</v>
      </c>
    </row>
    <row r="692" spans="1:57" s="892" customFormat="1" x14ac:dyDescent="0.25">
      <c r="A692" s="910"/>
      <c r="B692" s="1606"/>
      <c r="C692" s="1205" t="s">
        <v>1901</v>
      </c>
      <c r="D692" s="2695" t="s">
        <v>1571</v>
      </c>
      <c r="E692" s="583" t="s">
        <v>1902</v>
      </c>
      <c r="F692" s="1601">
        <f>ROUND((G720*G722*(1/G727-1/G732)/G734),2)</f>
        <v>195.66</v>
      </c>
      <c r="G692" s="1553" t="s">
        <v>258</v>
      </c>
      <c r="H692" s="155">
        <f>VLOOKUP(G692,'CP FACTORS'!$A$3:$B$38, 2, FALSE)</f>
        <v>9.4741810000000004E-4</v>
      </c>
      <c r="I692" s="1531">
        <f t="shared" si="97"/>
        <v>0.18537200000000001</v>
      </c>
      <c r="J692" s="992">
        <f t="shared" si="98"/>
        <v>2</v>
      </c>
      <c r="K692" s="2297">
        <f>$G$753</f>
        <v>31</v>
      </c>
      <c r="L692" s="993" t="s">
        <v>185</v>
      </c>
      <c r="M692" s="910"/>
      <c r="N692" s="910"/>
      <c r="O692" s="910"/>
      <c r="P692" s="910"/>
      <c r="Q692" s="910"/>
      <c r="R692" s="1431"/>
      <c r="S692" s="910"/>
      <c r="T692" s="910"/>
      <c r="U692" s="910"/>
      <c r="V692" s="160" t="str">
        <f t="shared" si="99"/>
        <v>kWh
Annual Savings</v>
      </c>
      <c r="W692" s="994">
        <v>201.65421409635425</v>
      </c>
      <c r="X692" s="141">
        <v>201.65421409635425</v>
      </c>
      <c r="Y692" s="62">
        <v>201.65</v>
      </c>
      <c r="Z692" s="62">
        <v>201.65</v>
      </c>
      <c r="AA692" s="62">
        <v>201.65</v>
      </c>
      <c r="AB692" s="62">
        <v>201.65</v>
      </c>
      <c r="AC692" s="1601">
        <f t="shared" si="100"/>
        <v>195.66</v>
      </c>
      <c r="AD692" s="160"/>
      <c r="AE692" s="160"/>
      <c r="AF692" s="160"/>
      <c r="AG692" s="160"/>
      <c r="AH692" s="163"/>
      <c r="AK692" s="883"/>
      <c r="BB692" s="52">
        <f>(BD692+BD693)/(BE692+BE693)</f>
        <v>1.4547872541972628</v>
      </c>
      <c r="BC692" s="909" t="str">
        <f t="shared" si="101"/>
        <v>Cooling RES 2 Year EUL</v>
      </c>
      <c r="BD692" s="114">
        <f>(INDEX('Avoided Cost Benefits'!$C$4:$C$857,MATCH(BC692,'Avoided Cost Benefits'!$A$4:$A$857,0)))*F692</f>
        <v>33.481513238451846</v>
      </c>
      <c r="BE692" s="1949">
        <f t="shared" si="102"/>
        <v>29.259084473808397</v>
      </c>
    </row>
    <row r="693" spans="1:57" s="892" customFormat="1" x14ac:dyDescent="0.25">
      <c r="A693" s="910"/>
      <c r="B693" s="1606"/>
      <c r="C693" s="1205" t="s">
        <v>1901</v>
      </c>
      <c r="D693" s="2695" t="s">
        <v>1571</v>
      </c>
      <c r="E693" s="1948" t="s">
        <v>1902</v>
      </c>
      <c r="F693" s="1601">
        <f>ROUND((G735*G737*(1/G742-1/G747)/G734),2)</f>
        <v>160.04</v>
      </c>
      <c r="G693" s="1553" t="s">
        <v>259</v>
      </c>
      <c r="H693" s="155">
        <f>VLOOKUP(G693,'CP FACTORS'!$A$3:$B$38, 2, FALSE)</f>
        <v>0</v>
      </c>
      <c r="I693" s="1531">
        <f t="shared" si="97"/>
        <v>0</v>
      </c>
      <c r="J693" s="992">
        <f t="shared" si="98"/>
        <v>2</v>
      </c>
      <c r="K693" s="2297">
        <v>0</v>
      </c>
      <c r="L693" s="451" t="s">
        <v>185</v>
      </c>
      <c r="M693" s="910"/>
      <c r="N693" s="910"/>
      <c r="O693" s="910"/>
      <c r="P693" s="910"/>
      <c r="Q693" s="910"/>
      <c r="R693" s="1431"/>
      <c r="S693" s="910"/>
      <c r="T693" s="910"/>
      <c r="U693" s="910"/>
      <c r="V693" s="160" t="str">
        <f t="shared" si="99"/>
        <v>kWh
Annual Savings</v>
      </c>
      <c r="W693" s="994">
        <v>221.50760781464643</v>
      </c>
      <c r="X693" s="141">
        <v>221.50760781464643</v>
      </c>
      <c r="Y693" s="1951">
        <v>164.95</v>
      </c>
      <c r="Z693" s="62">
        <v>164.95</v>
      </c>
      <c r="AA693" s="62">
        <v>164.95</v>
      </c>
      <c r="AB693" s="62">
        <v>164.95</v>
      </c>
      <c r="AC693" s="1601">
        <f t="shared" si="100"/>
        <v>160.04</v>
      </c>
      <c r="AD693" s="160"/>
      <c r="AE693" s="160"/>
      <c r="AF693" s="160"/>
      <c r="AG693" s="160"/>
      <c r="AH693" s="163"/>
      <c r="AK693" s="883"/>
      <c r="BB693" s="978"/>
      <c r="BC693" s="995" t="str">
        <f t="shared" si="101"/>
        <v>Heating RES 2 Year EUL</v>
      </c>
      <c r="BD693" s="114">
        <f>(INDEX('Avoided Cost Benefits'!$C$4:$C$857,MATCH(BC693,'Avoided Cost Benefits'!$A$4:$A$857,0)))*F693</f>
        <v>9.0842299235256352</v>
      </c>
      <c r="BE693" s="1949">
        <f t="shared" si="102"/>
        <v>0</v>
      </c>
    </row>
    <row r="694" spans="1:57" s="892" customFormat="1" x14ac:dyDescent="0.25">
      <c r="A694" s="910"/>
      <c r="B694" s="1606"/>
      <c r="C694" s="1205" t="s">
        <v>1903</v>
      </c>
      <c r="D694" s="2695" t="s">
        <v>1577</v>
      </c>
      <c r="E694" s="583" t="s">
        <v>1904</v>
      </c>
      <c r="F694" s="1601">
        <f>ROUND(($G$720*$G$723*(1/$G$727-1/$G$732)/$G$734),2)</f>
        <v>120.5</v>
      </c>
      <c r="G694" s="1553" t="s">
        <v>258</v>
      </c>
      <c r="H694" s="155">
        <f>VLOOKUP(G694,'CP FACTORS'!$A$3:$B$38, 2, FALSE)</f>
        <v>9.4741810000000004E-4</v>
      </c>
      <c r="I694" s="1531">
        <f t="shared" si="97"/>
        <v>0.114164</v>
      </c>
      <c r="J694" s="992">
        <f t="shared" si="98"/>
        <v>2</v>
      </c>
      <c r="K694" s="2297">
        <f>$G$753</f>
        <v>31</v>
      </c>
      <c r="L694" s="993" t="s">
        <v>185</v>
      </c>
      <c r="M694" s="910"/>
      <c r="N694" s="910"/>
      <c r="O694" s="910"/>
      <c r="P694" s="910"/>
      <c r="Q694" s="910"/>
      <c r="R694" s="1431"/>
      <c r="S694" s="910"/>
      <c r="T694" s="910"/>
      <c r="U694" s="910"/>
      <c r="V694" s="160" t="str">
        <f t="shared" si="99"/>
        <v>kWh
Annual Savings</v>
      </c>
      <c r="W694" s="994">
        <v>131.07523916263028</v>
      </c>
      <c r="X694" s="141">
        <v>131.07523916263028</v>
      </c>
      <c r="Y694" s="1951">
        <v>120.5</v>
      </c>
      <c r="Z694" s="62">
        <v>120.5</v>
      </c>
      <c r="AA694" s="62">
        <v>120.5</v>
      </c>
      <c r="AB694" s="62">
        <v>120.5</v>
      </c>
      <c r="AC694" s="1601">
        <f t="shared" si="100"/>
        <v>120.5</v>
      </c>
      <c r="AD694" s="160"/>
      <c r="AE694" s="160"/>
      <c r="AF694" s="160"/>
      <c r="AG694" s="160"/>
      <c r="AH694" s="163"/>
      <c r="AK694" s="883"/>
      <c r="BB694" s="52">
        <f>(BD694+BD695)/(BE694+BE695)</f>
        <v>0.89596521180051769</v>
      </c>
      <c r="BC694" s="909" t="str">
        <f t="shared" si="101"/>
        <v>Cooling RES 2 Year EUL</v>
      </c>
      <c r="BD694" s="114">
        <f>(INDEX('Avoided Cost Benefits'!$C$4:$C$857,MATCH(BC694,'Avoided Cost Benefits'!$A$4:$A$857,0)))*F694</f>
        <v>20.620067184061369</v>
      </c>
      <c r="BE694" s="1949">
        <f t="shared" si="102"/>
        <v>29.259084473808397</v>
      </c>
    </row>
    <row r="695" spans="1:57" s="892" customFormat="1" x14ac:dyDescent="0.25">
      <c r="A695" s="910"/>
      <c r="B695" s="1606"/>
      <c r="C695" s="1205" t="s">
        <v>1903</v>
      </c>
      <c r="D695" s="2695" t="s">
        <v>1577</v>
      </c>
      <c r="E695" s="1948" t="s">
        <v>1904</v>
      </c>
      <c r="F695" s="1601">
        <f>ROUND(($G$735*$G$738*(1/$G$742-1/$G$747)/$G$734),2)</f>
        <v>98.57</v>
      </c>
      <c r="G695" s="1553" t="s">
        <v>259</v>
      </c>
      <c r="H695" s="155">
        <f>VLOOKUP(G695,'CP FACTORS'!$A$3:$B$38, 2, FALSE)</f>
        <v>0</v>
      </c>
      <c r="I695" s="1531">
        <f t="shared" si="97"/>
        <v>0</v>
      </c>
      <c r="J695" s="992">
        <f t="shared" si="98"/>
        <v>2</v>
      </c>
      <c r="K695" s="2297">
        <v>0</v>
      </c>
      <c r="L695" s="451" t="s">
        <v>185</v>
      </c>
      <c r="M695" s="910"/>
      <c r="N695" s="910"/>
      <c r="O695" s="910"/>
      <c r="P695" s="910"/>
      <c r="Q695" s="910"/>
      <c r="R695" s="1431"/>
      <c r="S695" s="910"/>
      <c r="T695" s="910"/>
      <c r="U695" s="910"/>
      <c r="V695" s="160" t="str">
        <f t="shared" si="99"/>
        <v>kWh
Annual Savings</v>
      </c>
      <c r="W695" s="997">
        <v>143.97994507952021</v>
      </c>
      <c r="X695" s="141">
        <v>143.97994507952021</v>
      </c>
      <c r="Y695" s="1951">
        <v>98.57</v>
      </c>
      <c r="Z695" s="62">
        <v>98.57</v>
      </c>
      <c r="AA695" s="62">
        <v>98.57</v>
      </c>
      <c r="AB695" s="62">
        <v>98.57</v>
      </c>
      <c r="AC695" s="1601">
        <f t="shared" si="100"/>
        <v>98.57</v>
      </c>
      <c r="AD695" s="160"/>
      <c r="AE695" s="160"/>
      <c r="AF695" s="160"/>
      <c r="AG695" s="160"/>
      <c r="AH695" s="163"/>
      <c r="AK695" s="883"/>
      <c r="BB695" s="978"/>
      <c r="BC695" s="995" t="str">
        <f t="shared" si="101"/>
        <v>Heating RES 2 Year EUL</v>
      </c>
      <c r="BD695" s="114">
        <f>(INDEX('Avoided Cost Benefits'!$C$4:$C$857,MATCH(BC695,'Avoided Cost Benefits'!$A$4:$A$857,0)))*F695</f>
        <v>5.5950546336036107</v>
      </c>
      <c r="BE695" s="1949">
        <f t="shared" si="102"/>
        <v>0</v>
      </c>
    </row>
    <row r="696" spans="1:57" s="892" customFormat="1" x14ac:dyDescent="0.25">
      <c r="A696" s="910"/>
      <c r="B696" s="1606"/>
      <c r="C696" s="2666" t="s">
        <v>1905</v>
      </c>
      <c r="D696" s="2667" t="s">
        <v>1585</v>
      </c>
      <c r="E696" s="3115" t="str">
        <f>CONCATENATE(E694,"_CompE")</f>
        <v>HP tune-up / Outdoor Coil (Condenser) Cleaning MF_CompE</v>
      </c>
      <c r="F696" s="1601">
        <f>ROUND(($G$721*$G$723*(1/$G$727-1/$G$732)/$G$734),2)</f>
        <v>87.64</v>
      </c>
      <c r="G696" s="1553" t="s">
        <v>258</v>
      </c>
      <c r="H696" s="155">
        <f>VLOOKUP(G696,'CP FACTORS'!$A$3:$B$38, 2, FALSE)</f>
        <v>9.4741810000000004E-4</v>
      </c>
      <c r="I696" s="1531">
        <f t="shared" si="97"/>
        <v>8.3031999999999995E-2</v>
      </c>
      <c r="J696" s="992">
        <f t="shared" si="98"/>
        <v>2</v>
      </c>
      <c r="K696" s="2297">
        <f>$G$753</f>
        <v>31</v>
      </c>
      <c r="L696" s="993" t="s">
        <v>185</v>
      </c>
      <c r="M696" s="910"/>
      <c r="N696" s="910"/>
      <c r="O696" s="910"/>
      <c r="P696" s="910"/>
      <c r="Q696" s="910"/>
      <c r="R696" s="1431"/>
      <c r="S696" s="910"/>
      <c r="T696" s="910"/>
      <c r="U696" s="910"/>
      <c r="V696" s="160" t="str">
        <f t="shared" si="99"/>
        <v>kWh
Annual Savings</v>
      </c>
      <c r="W696" s="994"/>
      <c r="X696" s="141"/>
      <c r="Y696" s="1951">
        <v>87.64</v>
      </c>
      <c r="Z696" s="62">
        <v>87.64</v>
      </c>
      <c r="AA696" s="62">
        <v>87.64</v>
      </c>
      <c r="AB696" s="62">
        <v>87.64</v>
      </c>
      <c r="AC696" s="1601">
        <f t="shared" si="100"/>
        <v>87.64</v>
      </c>
      <c r="AD696" s="160"/>
      <c r="AE696" s="160"/>
      <c r="AF696" s="160"/>
      <c r="AG696" s="160"/>
      <c r="AH696" s="163"/>
      <c r="AK696" s="883"/>
      <c r="BB696" s="52">
        <f>(BD696+BD697)/(BE696+BE697)</f>
        <v>0.57774351249716316</v>
      </c>
      <c r="BC696" s="909" t="str">
        <f t="shared" ref="BC696:BC703" si="103">CONCATENATE(G696," ",J696," Year EUL")</f>
        <v>Cooling RES 2 Year EUL</v>
      </c>
      <c r="BD696" s="114">
        <f>(INDEX('Avoided Cost Benefits'!$C$4:$C$857,MATCH(BC696,'Avoided Cost Benefits'!$A$4:$A$857,0)))*F696</f>
        <v>14.997034755279158</v>
      </c>
      <c r="BE696" s="1949">
        <f t="shared" ref="BE696:BE703" si="104">K696/(1.0595^(2020-2019))</f>
        <v>29.259084473808397</v>
      </c>
    </row>
    <row r="697" spans="1:57" s="892" customFormat="1" x14ac:dyDescent="0.25">
      <c r="A697" s="910"/>
      <c r="B697" s="1606"/>
      <c r="C697" s="2666" t="s">
        <v>1905</v>
      </c>
      <c r="D697" s="2667" t="s">
        <v>1585</v>
      </c>
      <c r="E697" s="3116" t="str">
        <f>CONCATENATE(E695,"_CompE")</f>
        <v>HP tune-up / Outdoor Coil (Condenser) Cleaning MF_CompE</v>
      </c>
      <c r="F697" s="1601">
        <f>ROUND(($G$736*$G$738*(1/$G$742-1/$G$747)/$G$734),2)</f>
        <v>33.6</v>
      </c>
      <c r="G697" s="1553" t="s">
        <v>259</v>
      </c>
      <c r="H697" s="155">
        <f>VLOOKUP(G697,'CP FACTORS'!$A$3:$B$38, 2, FALSE)</f>
        <v>0</v>
      </c>
      <c r="I697" s="1531">
        <f t="shared" si="97"/>
        <v>0</v>
      </c>
      <c r="J697" s="992">
        <f t="shared" si="98"/>
        <v>2</v>
      </c>
      <c r="K697" s="2297">
        <v>0</v>
      </c>
      <c r="L697" s="451" t="s">
        <v>185</v>
      </c>
      <c r="M697" s="910"/>
      <c r="N697" s="910"/>
      <c r="O697" s="910"/>
      <c r="P697" s="910"/>
      <c r="Q697" s="910"/>
      <c r="R697" s="1431"/>
      <c r="S697" s="910"/>
      <c r="T697" s="910"/>
      <c r="U697" s="910"/>
      <c r="V697" s="160" t="str">
        <f t="shared" si="99"/>
        <v>kWh
Annual Savings</v>
      </c>
      <c r="W697" s="997"/>
      <c r="X697" s="141"/>
      <c r="Y697" s="1951">
        <v>33.6</v>
      </c>
      <c r="Z697" s="62">
        <v>33.6</v>
      </c>
      <c r="AA697" s="62">
        <v>33.6</v>
      </c>
      <c r="AB697" s="62">
        <v>33.6</v>
      </c>
      <c r="AC697" s="1601">
        <f t="shared" si="100"/>
        <v>33.6</v>
      </c>
      <c r="AD697" s="160"/>
      <c r="AE697" s="160"/>
      <c r="AF697" s="160"/>
      <c r="AG697" s="160"/>
      <c r="AH697" s="163"/>
      <c r="AK697" s="883"/>
      <c r="BB697" s="980"/>
      <c r="BC697" s="995" t="str">
        <f t="shared" si="103"/>
        <v>Heating RES 2 Year EUL</v>
      </c>
      <c r="BD697" s="114">
        <f>(INDEX('Avoided Cost Benefits'!$C$4:$C$857,MATCH(BC697,'Avoided Cost Benefits'!$A$4:$A$857,0)))*F697</f>
        <v>1.9072114810701162</v>
      </c>
      <c r="BE697" s="1949">
        <f t="shared" si="104"/>
        <v>0</v>
      </c>
    </row>
    <row r="698" spans="1:57" s="991" customFormat="1" x14ac:dyDescent="0.25">
      <c r="A698" s="1663"/>
      <c r="B698" s="1663"/>
      <c r="C698" s="2025" t="s">
        <v>4391</v>
      </c>
      <c r="D698" s="3496" t="s">
        <v>1571</v>
      </c>
      <c r="E698" s="3497" t="s">
        <v>4353</v>
      </c>
      <c r="F698" s="2031">
        <f>ROUND((G722*G720*(1/G$728-1/G$733)/G$734),2)</f>
        <v>367.93</v>
      </c>
      <c r="G698" s="3496" t="s">
        <v>258</v>
      </c>
      <c r="H698" s="2867">
        <f>VLOOKUP(G698,'CP FACTORS'!$A$3:$B$38, 2, FALSE)</f>
        <v>9.4741810000000004E-4</v>
      </c>
      <c r="I698" s="3462">
        <f t="shared" ref="I698" si="105">ROUND(F698*H698,6)</f>
        <v>0.348584</v>
      </c>
      <c r="J698" s="3463">
        <f t="shared" si="98"/>
        <v>2</v>
      </c>
      <c r="K698" s="546">
        <f>G$754</f>
        <v>185</v>
      </c>
      <c r="L698" s="2025" t="s">
        <v>185</v>
      </c>
      <c r="M698" s="910"/>
      <c r="N698" s="910"/>
      <c r="O698" s="910"/>
      <c r="P698" s="910"/>
      <c r="Q698" s="910"/>
      <c r="R698" s="910"/>
      <c r="S698" s="1663"/>
      <c r="T698" s="1663"/>
      <c r="U698" s="1663"/>
      <c r="V698" s="160" t="str">
        <f t="shared" si="99"/>
        <v>kWh
Annual Savings</v>
      </c>
      <c r="W698" s="3464"/>
      <c r="X698" s="3465"/>
      <c r="Y698" s="3466"/>
      <c r="Z698" s="3467"/>
      <c r="AA698" s="3467"/>
      <c r="AB698" s="3467"/>
      <c r="AC698" s="1601">
        <f t="shared" si="100"/>
        <v>367.93</v>
      </c>
      <c r="AD698" s="160"/>
      <c r="AE698" s="160"/>
      <c r="AF698" s="160"/>
      <c r="AG698" s="160"/>
      <c r="AH698" s="224"/>
      <c r="AI698" s="224"/>
      <c r="AK698" s="883"/>
      <c r="BB698" s="52">
        <f>(BD698+BD699)/(BE698+BE699)</f>
        <v>0.7442021689556152</v>
      </c>
      <c r="BC698" s="909" t="str">
        <f t="shared" si="103"/>
        <v>Cooling RES 2 Year EUL</v>
      </c>
      <c r="BD698" s="114">
        <f>(INDEX('Avoided Cost Benefits'!$C$4:$C$857,MATCH(BC698,'Avoided Cost Benefits'!$A$4:$A$857,0)))*F698</f>
        <v>62.960508871632364</v>
      </c>
      <c r="BE698" s="1949">
        <f t="shared" si="104"/>
        <v>174.61066540821139</v>
      </c>
    </row>
    <row r="699" spans="1:57" s="991" customFormat="1" x14ac:dyDescent="0.25">
      <c r="A699" s="1663"/>
      <c r="B699" s="1663"/>
      <c r="C699" s="2025" t="s">
        <v>4391</v>
      </c>
      <c r="D699" s="3496" t="s">
        <v>1571</v>
      </c>
      <c r="E699" s="3498" t="s">
        <v>4353</v>
      </c>
      <c r="F699" s="2031">
        <f>ROUND((G737*G735*(1/G$743-1/G$748)/G$734),2)</f>
        <v>1180.0999999999999</v>
      </c>
      <c r="G699" s="3496" t="s">
        <v>259</v>
      </c>
      <c r="H699" s="2867">
        <f>VLOOKUP(G699,'CP FACTORS'!$A$3:$B$38, 2, FALSE)</f>
        <v>0</v>
      </c>
      <c r="I699" s="3462">
        <f t="shared" ref="I699:I703" si="106">ROUND(F699*H699,6)</f>
        <v>0</v>
      </c>
      <c r="J699" s="3463">
        <f t="shared" si="98"/>
        <v>2</v>
      </c>
      <c r="K699" s="546">
        <v>0</v>
      </c>
      <c r="L699" s="2025" t="s">
        <v>185</v>
      </c>
      <c r="M699" s="910"/>
      <c r="N699" s="910"/>
      <c r="O699" s="910"/>
      <c r="P699" s="910"/>
      <c r="Q699" s="910"/>
      <c r="R699" s="910"/>
      <c r="S699" s="1663"/>
      <c r="T699" s="1663"/>
      <c r="U699" s="1663"/>
      <c r="V699" s="160" t="str">
        <f t="shared" si="99"/>
        <v>kWh
Annual Savings</v>
      </c>
      <c r="W699" s="3464"/>
      <c r="X699" s="3465"/>
      <c r="Y699" s="3466"/>
      <c r="Z699" s="3467"/>
      <c r="AA699" s="3467"/>
      <c r="AB699" s="3467"/>
      <c r="AC699" s="1601">
        <f t="shared" si="100"/>
        <v>1180.0999999999999</v>
      </c>
      <c r="AD699" s="160"/>
      <c r="AE699" s="160"/>
      <c r="AF699" s="160"/>
      <c r="AG699" s="160"/>
      <c r="AH699" s="224"/>
      <c r="AI699" s="224"/>
      <c r="AK699" s="883"/>
      <c r="BB699" s="980"/>
      <c r="BC699" s="995" t="str">
        <f t="shared" si="103"/>
        <v>Heating RES 2 Year EUL</v>
      </c>
      <c r="BD699" s="114">
        <f>(INDEX('Avoided Cost Benefits'!$C$4:$C$857,MATCH(BC699,'Avoided Cost Benefits'!$A$4:$A$857,0)))*F699</f>
        <v>66.985127047941774</v>
      </c>
      <c r="BE699" s="1949">
        <f t="shared" si="104"/>
        <v>0</v>
      </c>
    </row>
    <row r="700" spans="1:57" s="991" customFormat="1" x14ac:dyDescent="0.25">
      <c r="A700" s="1663"/>
      <c r="B700" s="1663"/>
      <c r="C700" s="2025" t="s">
        <v>4392</v>
      </c>
      <c r="D700" s="3496" t="s">
        <v>1572</v>
      </c>
      <c r="E700" s="3497" t="s">
        <v>4354</v>
      </c>
      <c r="F700" s="2031">
        <f>ROUND((G723*G720*(1/G$728-1/G$733)/G$734),2)</f>
        <v>226.6</v>
      </c>
      <c r="G700" s="3496" t="s">
        <v>258</v>
      </c>
      <c r="H700" s="2867">
        <f>VLOOKUP(G700,'CP FACTORS'!$A$3:$B$38, 2, FALSE)</f>
        <v>9.4741810000000004E-4</v>
      </c>
      <c r="I700" s="3462">
        <f t="shared" si="106"/>
        <v>0.21468499999999999</v>
      </c>
      <c r="J700" s="3463">
        <f t="shared" si="98"/>
        <v>2</v>
      </c>
      <c r="K700" s="546">
        <f>G$754</f>
        <v>185</v>
      </c>
      <c r="L700" s="2025" t="s">
        <v>185</v>
      </c>
      <c r="M700" s="910"/>
      <c r="N700" s="910"/>
      <c r="O700" s="910"/>
      <c r="P700" s="910"/>
      <c r="Q700" s="910"/>
      <c r="R700" s="910"/>
      <c r="S700" s="1663"/>
      <c r="T700" s="1663"/>
      <c r="U700" s="1663"/>
      <c r="V700" s="160" t="str">
        <f t="shared" si="99"/>
        <v>kWh
Annual Savings</v>
      </c>
      <c r="W700" s="3464"/>
      <c r="X700" s="3465"/>
      <c r="Y700" s="3466"/>
      <c r="Z700" s="3467"/>
      <c r="AA700" s="3467"/>
      <c r="AB700" s="3467"/>
      <c r="AC700" s="1601">
        <f t="shared" si="100"/>
        <v>226.6</v>
      </c>
      <c r="AD700" s="160"/>
      <c r="AE700" s="160"/>
      <c r="AF700" s="160"/>
      <c r="AG700" s="160"/>
      <c r="AH700" s="224"/>
      <c r="AI700" s="224"/>
      <c r="AK700" s="883"/>
      <c r="BB700" s="52">
        <f>(BD700+BD701)/(BE700+BE701)</f>
        <v>0.45833852187516361</v>
      </c>
      <c r="BC700" s="909" t="str">
        <f t="shared" si="103"/>
        <v>Cooling RES 2 Year EUL</v>
      </c>
      <c r="BD700" s="114">
        <f>(INDEX('Avoided Cost Benefits'!$C$4:$C$857,MATCH(BC700,'Avoided Cost Benefits'!$A$4:$A$857,0)))*F700</f>
        <v>38.77599355940503</v>
      </c>
      <c r="BE700" s="1949">
        <f t="shared" si="104"/>
        <v>174.61066540821139</v>
      </c>
    </row>
    <row r="701" spans="1:57" s="991" customFormat="1" x14ac:dyDescent="0.25">
      <c r="A701" s="1663"/>
      <c r="B701" s="1663"/>
      <c r="C701" s="2025" t="s">
        <v>4392</v>
      </c>
      <c r="D701" s="3496" t="s">
        <v>1572</v>
      </c>
      <c r="E701" s="3498" t="s">
        <v>4354</v>
      </c>
      <c r="F701" s="2031">
        <f>ROUND((G738*G735*(1/G$743-1/G$748)/G$734),2)</f>
        <v>726.8</v>
      </c>
      <c r="G701" s="3496" t="s">
        <v>259</v>
      </c>
      <c r="H701" s="2867">
        <f>VLOOKUP(G701,'CP FACTORS'!$A$3:$B$38, 2, FALSE)</f>
        <v>0</v>
      </c>
      <c r="I701" s="3462">
        <f t="shared" si="106"/>
        <v>0</v>
      </c>
      <c r="J701" s="3463">
        <f t="shared" si="98"/>
        <v>2</v>
      </c>
      <c r="K701" s="546">
        <v>0</v>
      </c>
      <c r="L701" s="2025" t="s">
        <v>185</v>
      </c>
      <c r="M701" s="910"/>
      <c r="N701" s="910"/>
      <c r="O701" s="910"/>
      <c r="P701" s="910"/>
      <c r="Q701" s="910"/>
      <c r="R701" s="910"/>
      <c r="S701" s="1663"/>
      <c r="T701" s="1663"/>
      <c r="U701" s="1663"/>
      <c r="V701" s="160" t="str">
        <f t="shared" si="99"/>
        <v>kWh
Annual Savings</v>
      </c>
      <c r="W701" s="3464"/>
      <c r="X701" s="3465"/>
      <c r="Y701" s="3466"/>
      <c r="Z701" s="3467"/>
      <c r="AA701" s="3467"/>
      <c r="AB701" s="3467"/>
      <c r="AC701" s="1601">
        <f t="shared" si="100"/>
        <v>726.8</v>
      </c>
      <c r="AD701" s="160"/>
      <c r="AE701" s="160"/>
      <c r="AF701" s="160"/>
      <c r="AG701" s="160"/>
      <c r="AH701" s="224"/>
      <c r="AI701" s="224"/>
      <c r="AK701" s="883"/>
      <c r="BB701" s="980"/>
      <c r="BC701" s="995" t="str">
        <f t="shared" si="103"/>
        <v>Heating RES 2 Year EUL</v>
      </c>
      <c r="BD701" s="114">
        <f>(INDEX('Avoided Cost Benefits'!$C$4:$C$857,MATCH(BC701,'Avoided Cost Benefits'!$A$4:$A$857,0)))*F701</f>
        <v>41.254800727433341</v>
      </c>
      <c r="BE701" s="1949">
        <f t="shared" si="104"/>
        <v>0</v>
      </c>
    </row>
    <row r="702" spans="1:57" s="991" customFormat="1" x14ac:dyDescent="0.25">
      <c r="A702" s="1663"/>
      <c r="B702" s="1663"/>
      <c r="C702" s="2025" t="s">
        <v>4393</v>
      </c>
      <c r="D702" s="3496" t="s">
        <v>1573</v>
      </c>
      <c r="E702" s="3497" t="s">
        <v>4355</v>
      </c>
      <c r="F702" s="2031">
        <f>ROUND((G723*G721*(1/G$728-1/G$733)/G$734),2)</f>
        <v>164.8</v>
      </c>
      <c r="G702" s="3496" t="s">
        <v>258</v>
      </c>
      <c r="H702" s="2867">
        <f>VLOOKUP(G702,'CP FACTORS'!$A$3:$B$38, 2, FALSE)</f>
        <v>9.4741810000000004E-4</v>
      </c>
      <c r="I702" s="3462">
        <f t="shared" si="106"/>
        <v>0.156135</v>
      </c>
      <c r="J702" s="3463">
        <f t="shared" si="98"/>
        <v>2</v>
      </c>
      <c r="K702" s="546">
        <f>G$754</f>
        <v>185</v>
      </c>
      <c r="L702" s="2025" t="s">
        <v>185</v>
      </c>
      <c r="M702" s="910"/>
      <c r="N702" s="910"/>
      <c r="O702" s="910"/>
      <c r="P702" s="910"/>
      <c r="Q702" s="910"/>
      <c r="R702" s="910"/>
      <c r="S702" s="1663"/>
      <c r="T702" s="1663"/>
      <c r="U702" s="1663"/>
      <c r="V702" s="160" t="str">
        <f t="shared" si="99"/>
        <v>kWh
Annual Savings</v>
      </c>
      <c r="W702" s="3464"/>
      <c r="X702" s="3465"/>
      <c r="Y702" s="3466"/>
      <c r="Z702" s="3467"/>
      <c r="AA702" s="3467"/>
      <c r="AB702" s="3467"/>
      <c r="AC702" s="1601">
        <f t="shared" si="100"/>
        <v>164.8</v>
      </c>
      <c r="AD702" s="160"/>
      <c r="AE702" s="160"/>
      <c r="AF702" s="160"/>
      <c r="AG702" s="160"/>
      <c r="AH702" s="224"/>
      <c r="AI702" s="224"/>
      <c r="AK702" s="883"/>
      <c r="BB702" s="52">
        <f>(BD702+BD703)/(BE702+BE703)</f>
        <v>0.24205110435464225</v>
      </c>
      <c r="BC702" s="909" t="str">
        <f t="shared" si="103"/>
        <v>Cooling RES 2 Year EUL</v>
      </c>
      <c r="BD702" s="114">
        <f>(INDEX('Avoided Cost Benefits'!$C$4:$C$857,MATCH(BC702,'Avoided Cost Benefits'!$A$4:$A$857,0)))*F702</f>
        <v>28.200722588658206</v>
      </c>
      <c r="BE702" s="1949">
        <f t="shared" si="104"/>
        <v>174.61066540821139</v>
      </c>
    </row>
    <row r="703" spans="1:57" s="991" customFormat="1" x14ac:dyDescent="0.25">
      <c r="A703" s="1663"/>
      <c r="B703" s="1663"/>
      <c r="C703" s="2025" t="s">
        <v>4393</v>
      </c>
      <c r="D703" s="3496" t="s">
        <v>1573</v>
      </c>
      <c r="E703" s="3498" t="s">
        <v>4355</v>
      </c>
      <c r="F703" s="2031">
        <f>ROUND((G738*G736*(1/G$743-1/G$748)/G$734),2)</f>
        <v>247.77</v>
      </c>
      <c r="G703" s="3496" t="s">
        <v>259</v>
      </c>
      <c r="H703" s="2867">
        <f>VLOOKUP(G703,'CP FACTORS'!$A$3:$B$38, 2, FALSE)</f>
        <v>0</v>
      </c>
      <c r="I703" s="3462">
        <f t="shared" si="106"/>
        <v>0</v>
      </c>
      <c r="J703" s="3463">
        <f t="shared" si="98"/>
        <v>2</v>
      </c>
      <c r="K703" s="546">
        <v>0</v>
      </c>
      <c r="L703" s="2025" t="s">
        <v>185</v>
      </c>
      <c r="M703" s="910"/>
      <c r="N703" s="910"/>
      <c r="O703" s="910"/>
      <c r="P703" s="910"/>
      <c r="Q703" s="910"/>
      <c r="R703" s="910"/>
      <c r="S703" s="1663"/>
      <c r="T703" s="1663"/>
      <c r="U703" s="1663"/>
      <c r="V703" s="160" t="str">
        <f t="shared" si="99"/>
        <v>kWh
Annual Savings</v>
      </c>
      <c r="W703" s="3464"/>
      <c r="X703" s="3465"/>
      <c r="Y703" s="3466"/>
      <c r="Z703" s="3467"/>
      <c r="AA703" s="3467"/>
      <c r="AB703" s="3467"/>
      <c r="AC703" s="1601">
        <f t="shared" si="100"/>
        <v>247.77</v>
      </c>
      <c r="AD703" s="160"/>
      <c r="AE703" s="160"/>
      <c r="AF703" s="160"/>
      <c r="AG703" s="160"/>
      <c r="AH703" s="224"/>
      <c r="AI703" s="224"/>
      <c r="AK703" s="883"/>
      <c r="BB703" s="980"/>
      <c r="BC703" s="995" t="str">
        <f t="shared" si="103"/>
        <v>Heating RES 2 Year EUL</v>
      </c>
      <c r="BD703" s="119">
        <f>(INDEX('Avoided Cost Benefits'!$C$4:$C$857,MATCH(BC703,'Avoided Cost Benefits'!$A$4:$A$857,0)))*F703</f>
        <v>14.063981805498294</v>
      </c>
      <c r="BE703" s="1950">
        <f t="shared" si="104"/>
        <v>0</v>
      </c>
    </row>
    <row r="704" spans="1:57" s="991" customFormat="1" x14ac:dyDescent="0.25">
      <c r="A704" s="1663"/>
      <c r="B704" s="1663"/>
      <c r="C704" s="3499"/>
      <c r="D704" s="3500"/>
      <c r="E704" s="3501"/>
      <c r="F704" s="3502"/>
      <c r="G704" s="3500"/>
      <c r="H704" s="3500"/>
      <c r="I704" s="3503"/>
      <c r="J704" s="3504"/>
      <c r="K704" s="3505"/>
      <c r="L704" s="3499"/>
      <c r="M704" s="910"/>
      <c r="N704" s="910"/>
      <c r="O704" s="910"/>
      <c r="P704" s="910"/>
      <c r="Q704" s="910"/>
      <c r="R704" s="910"/>
      <c r="S704" s="1663"/>
      <c r="T704" s="1663"/>
      <c r="U704" s="1663"/>
      <c r="V704" s="2714"/>
      <c r="W704" s="2714"/>
      <c r="X704" s="2714"/>
      <c r="Y704" s="2714"/>
      <c r="Z704" s="2714"/>
      <c r="AA704" s="2714"/>
      <c r="AB704" s="2714"/>
      <c r="AC704" s="2714"/>
      <c r="AD704" s="2714"/>
      <c r="AE704" s="2714"/>
      <c r="AF704" s="2714"/>
      <c r="AG704" s="2714"/>
      <c r="AH704" s="224"/>
      <c r="AI704" s="224"/>
      <c r="AK704" s="883"/>
      <c r="BC704" s="3507"/>
      <c r="BD704" s="114"/>
      <c r="BE704" s="70"/>
    </row>
    <row r="705" spans="1:57" s="991" customFormat="1" hidden="1" outlineLevel="1" x14ac:dyDescent="0.25">
      <c r="A705" s="1663"/>
      <c r="B705" s="1663"/>
      <c r="C705" s="3499"/>
      <c r="D705" s="3500"/>
      <c r="E705" s="3501"/>
      <c r="F705" s="3502"/>
      <c r="G705" s="3500"/>
      <c r="H705" s="3500"/>
      <c r="I705" s="3503"/>
      <c r="J705" s="3504"/>
      <c r="K705" s="3505"/>
      <c r="L705" s="3499"/>
      <c r="M705" s="910"/>
      <c r="N705" s="910"/>
      <c r="O705" s="910"/>
      <c r="P705" s="910"/>
      <c r="Q705" s="910"/>
      <c r="R705" s="910"/>
      <c r="S705" s="1663"/>
      <c r="T705" s="1663"/>
      <c r="U705" s="1663"/>
      <c r="V705" s="2714"/>
      <c r="W705" s="2714"/>
      <c r="X705" s="2714"/>
      <c r="Y705" s="2714"/>
      <c r="Z705" s="2714"/>
      <c r="AA705" s="2714"/>
      <c r="AB705" s="2714"/>
      <c r="AC705" s="2714"/>
      <c r="AD705" s="2714"/>
      <c r="AE705" s="2714"/>
      <c r="AF705" s="2714"/>
      <c r="AG705" s="2714"/>
      <c r="AH705" s="224"/>
      <c r="AI705" s="224"/>
      <c r="AK705" s="883"/>
      <c r="BC705" s="3507"/>
      <c r="BD705" s="114"/>
      <c r="BE705" s="70"/>
    </row>
    <row r="706" spans="1:57" s="40" customFormat="1" hidden="1" outlineLevel="1" x14ac:dyDescent="0.25">
      <c r="A706" s="151"/>
      <c r="B706" s="151"/>
      <c r="C706" s="149"/>
      <c r="D706" s="150"/>
      <c r="E706" s="150"/>
      <c r="F706" s="1602"/>
      <c r="G706" s="151"/>
      <c r="H706" s="151"/>
      <c r="I706" s="151"/>
      <c r="J706" s="1027"/>
      <c r="K706" s="151"/>
      <c r="L706" s="151"/>
      <c r="M706" s="151"/>
      <c r="N706" s="123"/>
      <c r="O706" s="123"/>
      <c r="P706" s="123"/>
      <c r="Q706" s="123"/>
      <c r="R706" s="151"/>
      <c r="S706" s="151"/>
      <c r="T706" s="1663"/>
      <c r="U706" s="1663"/>
      <c r="V706" s="2714"/>
      <c r="Y706" s="998"/>
      <c r="AK706" s="883"/>
      <c r="BB706" s="990"/>
    </row>
    <row r="707" spans="1:57" s="40" customFormat="1" hidden="1" outlineLevel="1" x14ac:dyDescent="0.25">
      <c r="A707" s="151"/>
      <c r="B707" s="151"/>
      <c r="C707" s="149"/>
      <c r="D707" s="174" t="s">
        <v>108</v>
      </c>
      <c r="E707" s="314"/>
      <c r="F707" s="1603"/>
      <c r="G707" s="151"/>
      <c r="H707" s="151"/>
      <c r="I707" s="151"/>
      <c r="J707" s="151"/>
      <c r="K707" s="151"/>
      <c r="L707" s="151"/>
      <c r="M707" s="151"/>
      <c r="N707" s="1285"/>
      <c r="O707" s="1285"/>
      <c r="P707" s="1285"/>
      <c r="Q707" s="1285"/>
      <c r="R707" s="1285"/>
      <c r="S707" s="1285"/>
      <c r="T707" s="1663"/>
      <c r="U707" s="1663"/>
      <c r="V707" s="2714"/>
      <c r="Y707" s="998"/>
      <c r="AK707" s="883"/>
      <c r="BB707" s="990"/>
    </row>
    <row r="708" spans="1:57" s="40" customFormat="1" hidden="1" outlineLevel="1" x14ac:dyDescent="0.25">
      <c r="A708" s="151"/>
      <c r="B708" s="151"/>
      <c r="C708" s="149"/>
      <c r="D708" s="174"/>
      <c r="E708" s="314"/>
      <c r="F708" s="1603"/>
      <c r="G708" s="151"/>
      <c r="H708" s="151"/>
      <c r="I708" s="151"/>
      <c r="J708" s="151"/>
      <c r="K708" s="151"/>
      <c r="L708" s="151"/>
      <c r="M708" s="151"/>
      <c r="N708" s="1285"/>
      <c r="O708" s="1285"/>
      <c r="P708" s="1285"/>
      <c r="Q708" s="1285"/>
      <c r="R708" s="1285"/>
      <c r="S708" s="1285"/>
      <c r="T708" s="1663"/>
      <c r="U708" s="1663"/>
      <c r="V708" s="2714"/>
      <c r="Y708" s="998"/>
      <c r="AK708" s="883"/>
      <c r="BB708" s="990"/>
    </row>
    <row r="709" spans="1:57" s="40" customFormat="1" hidden="1" outlineLevel="1" x14ac:dyDescent="0.25">
      <c r="A709" s="151"/>
      <c r="B709" s="151"/>
      <c r="C709" s="149"/>
      <c r="D709" s="174"/>
      <c r="E709" s="314"/>
      <c r="F709" s="1603"/>
      <c r="G709" s="151"/>
      <c r="H709" s="151"/>
      <c r="I709" s="151"/>
      <c r="J709" s="151"/>
      <c r="K709" s="151"/>
      <c r="L709" s="151"/>
      <c r="M709" s="151"/>
      <c r="N709" s="1285"/>
      <c r="O709" s="1285"/>
      <c r="P709" s="1285"/>
      <c r="Q709" s="1285"/>
      <c r="R709" s="1285"/>
      <c r="S709" s="1285"/>
      <c r="T709" s="1663"/>
      <c r="U709" s="1663"/>
      <c r="V709" s="2714"/>
      <c r="Y709" s="998"/>
      <c r="AK709" s="883"/>
      <c r="BB709" s="990"/>
    </row>
    <row r="710" spans="1:57" s="40" customFormat="1" hidden="1" outlineLevel="1" x14ac:dyDescent="0.25">
      <c r="A710" s="151"/>
      <c r="B710" s="151"/>
      <c r="C710" s="149"/>
      <c r="D710" s="174"/>
      <c r="E710" s="314"/>
      <c r="F710" s="1603"/>
      <c r="G710" s="151"/>
      <c r="H710" s="151"/>
      <c r="I710" s="151"/>
      <c r="J710" s="151"/>
      <c r="K710" s="151"/>
      <c r="L710" s="151"/>
      <c r="M710" s="151"/>
      <c r="N710" s="1285"/>
      <c r="O710" s="1285"/>
      <c r="P710" s="1285"/>
      <c r="Q710" s="1285"/>
      <c r="R710" s="1285"/>
      <c r="S710" s="1285"/>
      <c r="T710" s="1663"/>
      <c r="U710" s="1663"/>
      <c r="V710" s="2714"/>
      <c r="Y710" s="998"/>
      <c r="AK710" s="883"/>
      <c r="BB710" s="990"/>
    </row>
    <row r="711" spans="1:57" s="40" customFormat="1" hidden="1" outlineLevel="1" x14ac:dyDescent="0.25">
      <c r="A711" s="151"/>
      <c r="B711" s="151"/>
      <c r="C711" s="149"/>
      <c r="D711" s="174"/>
      <c r="E711" s="314"/>
      <c r="F711" s="1603"/>
      <c r="G711" s="151"/>
      <c r="H711" s="151"/>
      <c r="I711" s="151"/>
      <c r="J711" s="151"/>
      <c r="K711" s="151"/>
      <c r="L711" s="151"/>
      <c r="M711" s="151"/>
      <c r="N711" s="1285"/>
      <c r="O711" s="1285"/>
      <c r="P711" s="1285"/>
      <c r="Q711" s="1285"/>
      <c r="R711" s="1285"/>
      <c r="S711" s="1285"/>
      <c r="T711" s="1663"/>
      <c r="U711" s="1663"/>
      <c r="V711" s="2714"/>
      <c r="Y711" s="998"/>
      <c r="AK711" s="883"/>
      <c r="BB711" s="990"/>
    </row>
    <row r="712" spans="1:57" s="40" customFormat="1" hidden="1" outlineLevel="1" x14ac:dyDescent="0.25">
      <c r="A712" s="151"/>
      <c r="B712" s="151"/>
      <c r="C712" s="149"/>
      <c r="D712" s="174"/>
      <c r="E712" s="314"/>
      <c r="F712" s="1603"/>
      <c r="G712" s="151"/>
      <c r="H712" s="151"/>
      <c r="I712" s="151"/>
      <c r="J712" s="151"/>
      <c r="K712" s="151"/>
      <c r="L712" s="151"/>
      <c r="M712" s="151"/>
      <c r="N712" s="1285"/>
      <c r="O712" s="1285"/>
      <c r="P712" s="1285"/>
      <c r="Q712" s="1285"/>
      <c r="R712" s="1285"/>
      <c r="S712" s="1285"/>
      <c r="T712" s="1663"/>
      <c r="U712" s="1663"/>
      <c r="V712" s="2714"/>
      <c r="Y712" s="998"/>
      <c r="AK712" s="883"/>
      <c r="BB712" s="990"/>
    </row>
    <row r="713" spans="1:57" s="40" customFormat="1" hidden="1" outlineLevel="1" x14ac:dyDescent="0.25">
      <c r="A713" s="151"/>
      <c r="B713" s="151"/>
      <c r="C713" s="149"/>
      <c r="D713" s="174"/>
      <c r="E713" s="314"/>
      <c r="F713" s="1603"/>
      <c r="G713" s="151"/>
      <c r="H713" s="151"/>
      <c r="I713" s="151"/>
      <c r="J713" s="151"/>
      <c r="K713" s="151"/>
      <c r="L713" s="151"/>
      <c r="M713" s="151"/>
      <c r="N713" s="1285"/>
      <c r="O713" s="1285"/>
      <c r="P713" s="1285"/>
      <c r="Q713" s="1285"/>
      <c r="R713" s="1285"/>
      <c r="S713" s="1285"/>
      <c r="T713" s="1663"/>
      <c r="U713" s="1663"/>
      <c r="V713" s="2714"/>
      <c r="Y713" s="998"/>
      <c r="AK713" s="883"/>
      <c r="BB713" s="990"/>
    </row>
    <row r="714" spans="1:57" s="40" customFormat="1" hidden="1" outlineLevel="1" x14ac:dyDescent="0.25">
      <c r="A714" s="151"/>
      <c r="B714" s="151"/>
      <c r="C714" s="149"/>
      <c r="D714" s="174"/>
      <c r="E714" s="314"/>
      <c r="F714" s="1603"/>
      <c r="G714" s="151"/>
      <c r="H714" s="151"/>
      <c r="I714" s="151"/>
      <c r="J714" s="151"/>
      <c r="K714" s="151"/>
      <c r="L714" s="151"/>
      <c r="M714" s="151"/>
      <c r="N714" s="1285"/>
      <c r="O714" s="1285"/>
      <c r="P714" s="1285"/>
      <c r="Q714" s="1285"/>
      <c r="R714" s="1285"/>
      <c r="S714" s="1285"/>
      <c r="T714" s="1663"/>
      <c r="U714" s="1663"/>
      <c r="V714" s="2714"/>
      <c r="Y714" s="998"/>
      <c r="AK714" s="883"/>
      <c r="BB714" s="990"/>
    </row>
    <row r="715" spans="1:57" s="40" customFormat="1" hidden="1" outlineLevel="1" x14ac:dyDescent="0.25">
      <c r="A715" s="151"/>
      <c r="B715" s="151"/>
      <c r="C715" s="149"/>
      <c r="D715" s="1194"/>
      <c r="E715" s="314"/>
      <c r="F715" s="1603"/>
      <c r="G715" s="151"/>
      <c r="H715" s="151"/>
      <c r="I715" s="151"/>
      <c r="J715" s="151"/>
      <c r="K715" s="151"/>
      <c r="L715" s="151"/>
      <c r="M715" s="151"/>
      <c r="N715" s="151"/>
      <c r="O715" s="1027"/>
      <c r="P715" s="1027"/>
      <c r="Q715" s="1027"/>
      <c r="R715" s="1027"/>
      <c r="S715" s="1027"/>
      <c r="T715" s="1663"/>
      <c r="U715" s="1663"/>
      <c r="V715" s="2714"/>
      <c r="Y715" s="998"/>
      <c r="AK715" s="883"/>
      <c r="BB715" s="990"/>
    </row>
    <row r="716" spans="1:57" s="40" customFormat="1" hidden="1" outlineLevel="1" x14ac:dyDescent="0.25">
      <c r="A716" s="151"/>
      <c r="B716" s="151"/>
      <c r="C716" s="149"/>
      <c r="D716" s="1194"/>
      <c r="E716" s="314"/>
      <c r="F716" s="1603"/>
      <c r="G716" s="151"/>
      <c r="H716" s="151"/>
      <c r="I716" s="151"/>
      <c r="J716" s="151"/>
      <c r="K716" s="151"/>
      <c r="L716" s="151"/>
      <c r="M716" s="151"/>
      <c r="N716" s="151"/>
      <c r="O716" s="1027"/>
      <c r="P716" s="1027"/>
      <c r="Q716" s="1027"/>
      <c r="R716" s="1027"/>
      <c r="S716" s="1027"/>
      <c r="T716" s="1663"/>
      <c r="U716" s="1663"/>
      <c r="V716" s="2714"/>
      <c r="Y716" s="998"/>
      <c r="AK716" s="883"/>
      <c r="BB716" s="990"/>
    </row>
    <row r="717" spans="1:57" s="40" customFormat="1" hidden="1" outlineLevel="1" x14ac:dyDescent="0.25">
      <c r="A717" s="151"/>
      <c r="B717" s="151"/>
      <c r="C717" s="149"/>
      <c r="D717" s="1194"/>
      <c r="E717" s="314"/>
      <c r="F717" s="1603"/>
      <c r="G717" s="151"/>
      <c r="H717" s="151"/>
      <c r="I717" s="151"/>
      <c r="J717" s="151"/>
      <c r="K717" s="151"/>
      <c r="L717" s="151"/>
      <c r="M717" s="151"/>
      <c r="N717" s="151"/>
      <c r="O717" s="151"/>
      <c r="P717" s="151"/>
      <c r="Q717" s="151"/>
      <c r="R717" s="151"/>
      <c r="S717" s="151"/>
      <c r="T717" s="1663"/>
      <c r="U717" s="1663"/>
      <c r="V717" s="2714"/>
      <c r="W717" s="152"/>
      <c r="X717" s="152"/>
      <c r="Y717" s="999"/>
      <c r="Z717" s="152"/>
      <c r="AA717" s="152"/>
      <c r="AK717" s="883"/>
      <c r="BB717" s="990"/>
    </row>
    <row r="718" spans="1:57" s="40" customFormat="1" hidden="1" outlineLevel="1" x14ac:dyDescent="0.25">
      <c r="A718" s="151"/>
      <c r="B718" s="151"/>
      <c r="C718" s="149"/>
      <c r="D718" s="150"/>
      <c r="E718" s="150"/>
      <c r="F718" s="151"/>
      <c r="G718" s="151"/>
      <c r="H718" s="151"/>
      <c r="I718" s="151"/>
      <c r="J718" s="151"/>
      <c r="K718" s="151"/>
      <c r="L718" s="151"/>
      <c r="M718" s="151"/>
      <c r="N718" s="151"/>
      <c r="O718" s="151"/>
      <c r="P718" s="151"/>
      <c r="Q718" s="151"/>
      <c r="R718" s="151"/>
      <c r="S718" s="151"/>
      <c r="T718" s="1663"/>
      <c r="U718" s="1663"/>
      <c r="Y718" s="998"/>
      <c r="AK718" s="883"/>
      <c r="BB718" s="990"/>
    </row>
    <row r="719" spans="1:57" s="55" customFormat="1" ht="15" hidden="1" customHeight="1" outlineLevel="1" x14ac:dyDescent="0.25">
      <c r="A719" s="401"/>
      <c r="B719" s="401"/>
      <c r="C719" s="149"/>
      <c r="D719" s="3236" t="s">
        <v>109</v>
      </c>
      <c r="E719" s="3236" t="s">
        <v>110</v>
      </c>
      <c r="F719" s="3236" t="s">
        <v>186</v>
      </c>
      <c r="G719" s="3136" t="s">
        <v>112</v>
      </c>
      <c r="H719" s="3773" t="s">
        <v>187</v>
      </c>
      <c r="I719" s="3773"/>
      <c r="J719" s="3923" t="s">
        <v>113</v>
      </c>
      <c r="K719" s="4037"/>
      <c r="L719" s="4037"/>
      <c r="M719" s="3931"/>
      <c r="N719" s="151"/>
      <c r="O719" s="151"/>
      <c r="P719" s="151"/>
      <c r="Q719" s="151"/>
      <c r="R719" s="401"/>
      <c r="S719" s="401"/>
      <c r="T719" s="401"/>
      <c r="U719" s="401"/>
      <c r="V719" s="1936" t="s">
        <v>45</v>
      </c>
      <c r="W719" s="1937">
        <f>W$6</f>
        <v>43252</v>
      </c>
      <c r="X719" s="1937">
        <f t="shared" ref="X719:AG719" si="107">X$6</f>
        <v>43465</v>
      </c>
      <c r="Y719" s="360">
        <f t="shared" si="107"/>
        <v>43800</v>
      </c>
      <c r="Z719" s="1937">
        <f t="shared" si="107"/>
        <v>43862</v>
      </c>
      <c r="AA719" s="1937">
        <f t="shared" si="107"/>
        <v>44013</v>
      </c>
      <c r="AB719" s="1937">
        <f t="shared" si="107"/>
        <v>44166</v>
      </c>
      <c r="AC719" s="1937">
        <f t="shared" si="107"/>
        <v>44531</v>
      </c>
      <c r="AD719" s="1937" t="str">
        <f t="shared" si="107"/>
        <v>-</v>
      </c>
      <c r="AE719" s="1937" t="str">
        <f t="shared" si="107"/>
        <v>-</v>
      </c>
      <c r="AF719" s="1937" t="str">
        <f t="shared" si="107"/>
        <v>-</v>
      </c>
      <c r="AG719" s="1937" t="str">
        <f t="shared" si="107"/>
        <v>-</v>
      </c>
      <c r="AK719" s="883"/>
      <c r="BB719" s="72"/>
    </row>
    <row r="720" spans="1:57" s="97" customFormat="1" hidden="1" outlineLevel="1" x14ac:dyDescent="0.25">
      <c r="A720" s="223"/>
      <c r="B720" s="223"/>
      <c r="C720" s="181"/>
      <c r="D720" s="4285" t="s">
        <v>1597</v>
      </c>
      <c r="E720" s="4285" t="s">
        <v>1162</v>
      </c>
      <c r="F720" s="1004" t="s">
        <v>315</v>
      </c>
      <c r="G720" s="1000">
        <v>869</v>
      </c>
      <c r="H720" s="4298" t="s">
        <v>1558</v>
      </c>
      <c r="I720" s="4299"/>
      <c r="J720" s="4300"/>
      <c r="K720" s="4301"/>
      <c r="L720" s="4301"/>
      <c r="M720" s="4302"/>
      <c r="N720" s="151"/>
      <c r="O720" s="151"/>
      <c r="P720" s="151"/>
      <c r="Q720" s="151"/>
      <c r="R720" s="223"/>
      <c r="S720" s="223"/>
      <c r="T720" s="223"/>
      <c r="U720" s="223"/>
      <c r="V720" s="4284" t="s">
        <v>1907</v>
      </c>
      <c r="W720" s="1001">
        <v>869</v>
      </c>
      <c r="X720" s="201">
        <v>869</v>
      </c>
      <c r="Y720" s="201">
        <v>869</v>
      </c>
      <c r="Z720" s="201">
        <v>869</v>
      </c>
      <c r="AA720" s="201">
        <v>869</v>
      </c>
      <c r="AB720" s="201">
        <v>869</v>
      </c>
      <c r="AC720" s="3509">
        <f>G720</f>
        <v>869</v>
      </c>
      <c r="AD720" s="203"/>
      <c r="AE720" s="203"/>
      <c r="AF720" s="203"/>
      <c r="AG720" s="203"/>
      <c r="AK720" s="883"/>
      <c r="BB720" s="1002"/>
    </row>
    <row r="721" spans="1:54" s="97" customFormat="1" hidden="1" outlineLevel="1" x14ac:dyDescent="0.25">
      <c r="A721" s="223"/>
      <c r="B721" s="223"/>
      <c r="C721" s="181"/>
      <c r="D721" s="3891"/>
      <c r="E721" s="3891"/>
      <c r="F721" s="1004" t="s">
        <v>317</v>
      </c>
      <c r="G721" s="1000">
        <v>632</v>
      </c>
      <c r="H721" s="4197"/>
      <c r="I721" s="4192"/>
      <c r="J721" s="4303"/>
      <c r="K721" s="4304"/>
      <c r="L721" s="4304"/>
      <c r="M721" s="4305"/>
      <c r="N721" s="151"/>
      <c r="O721" s="151"/>
      <c r="P721" s="151"/>
      <c r="Q721" s="151"/>
      <c r="R721" s="223"/>
      <c r="S721" s="223"/>
      <c r="T721" s="223"/>
      <c r="U721" s="223"/>
      <c r="V721" s="4263"/>
      <c r="W721" s="1001"/>
      <c r="X721" s="201"/>
      <c r="Y721" s="1003">
        <v>632</v>
      </c>
      <c r="Z721" s="201">
        <v>632</v>
      </c>
      <c r="AA721" s="201">
        <v>632</v>
      </c>
      <c r="AB721" s="201">
        <v>632</v>
      </c>
      <c r="AC721" s="3509">
        <f t="shared" ref="AC721:AC754" si="108">G721</f>
        <v>632</v>
      </c>
      <c r="AD721" s="203"/>
      <c r="AE721" s="203"/>
      <c r="AF721" s="203"/>
      <c r="AG721" s="203"/>
      <c r="AK721" s="883"/>
      <c r="BB721" s="1002"/>
    </row>
    <row r="722" spans="1:54" s="97" customFormat="1" hidden="1" outlineLevel="1" x14ac:dyDescent="0.25">
      <c r="A722" s="223"/>
      <c r="B722" s="223"/>
      <c r="C722" s="181"/>
      <c r="D722" s="4285" t="s">
        <v>1598</v>
      </c>
      <c r="E722" s="4285" t="s">
        <v>1562</v>
      </c>
      <c r="F722" s="1004" t="s">
        <v>320</v>
      </c>
      <c r="G722" s="887">
        <v>36595</v>
      </c>
      <c r="H722" s="3925" t="s">
        <v>1908</v>
      </c>
      <c r="I722" s="3926"/>
      <c r="J722" s="3919" t="s">
        <v>1599</v>
      </c>
      <c r="K722" s="4296"/>
      <c r="L722" s="4296"/>
      <c r="M722" s="3920"/>
      <c r="N722" s="151"/>
      <c r="O722" s="151"/>
      <c r="P722" s="151"/>
      <c r="Q722" s="151"/>
      <c r="R722" s="223"/>
      <c r="S722" s="223"/>
      <c r="T722" s="223"/>
      <c r="U722" s="223"/>
      <c r="V722" s="4284" t="s">
        <v>1909</v>
      </c>
      <c r="W722" s="1001">
        <v>37716.279069767443</v>
      </c>
      <c r="X722" s="201">
        <v>37716.279069767443</v>
      </c>
      <c r="Y722" s="201">
        <v>37716.279069767443</v>
      </c>
      <c r="Z722" s="201">
        <v>37716.279069767443</v>
      </c>
      <c r="AA722" s="201">
        <v>37716.279069767443</v>
      </c>
      <c r="AB722" s="201">
        <v>37716.279069767443</v>
      </c>
      <c r="AC722" s="3509">
        <f t="shared" si="108"/>
        <v>36595</v>
      </c>
      <c r="AD722" s="203"/>
      <c r="AE722" s="203"/>
      <c r="AF722" s="203"/>
      <c r="AG722" s="203"/>
      <c r="AK722" s="883"/>
      <c r="BB722" s="1002"/>
    </row>
    <row r="723" spans="1:54" s="97" customFormat="1" hidden="1" outlineLevel="1" x14ac:dyDescent="0.25">
      <c r="A723" s="223"/>
      <c r="B723" s="223"/>
      <c r="C723" s="181"/>
      <c r="D723" s="3822"/>
      <c r="E723" s="3822"/>
      <c r="F723" s="1004" t="s">
        <v>322</v>
      </c>
      <c r="G723" s="1000">
        <v>22537.991266375546</v>
      </c>
      <c r="H723" s="3925" t="s">
        <v>536</v>
      </c>
      <c r="I723" s="3926"/>
      <c r="J723" s="3919"/>
      <c r="K723" s="4296"/>
      <c r="L723" s="4296"/>
      <c r="M723" s="3920"/>
      <c r="N723" s="151"/>
      <c r="O723" s="151"/>
      <c r="P723" s="151"/>
      <c r="Q723" s="151"/>
      <c r="R723" s="223"/>
      <c r="S723" s="223"/>
      <c r="T723" s="223"/>
      <c r="U723" s="223"/>
      <c r="V723" s="4284"/>
      <c r="W723" s="1001">
        <f>W722*0.65</f>
        <v>24515.58139534884</v>
      </c>
      <c r="X723" s="201">
        <v>24515.58139534884</v>
      </c>
      <c r="Y723" s="1003">
        <v>22537.991266375546</v>
      </c>
      <c r="Z723" s="201">
        <v>22537.991266375546</v>
      </c>
      <c r="AA723" s="201">
        <v>22537.991266375546</v>
      </c>
      <c r="AB723" s="201">
        <v>22537.991266375546</v>
      </c>
      <c r="AC723" s="3509">
        <f t="shared" si="108"/>
        <v>22537.991266375546</v>
      </c>
      <c r="AD723" s="203"/>
      <c r="AE723" s="203"/>
      <c r="AF723" s="203"/>
      <c r="AG723" s="203"/>
      <c r="AK723" s="883"/>
      <c r="BB723" s="1002"/>
    </row>
    <row r="724" spans="1:54" s="97" customFormat="1" hidden="1" outlineLevel="1" x14ac:dyDescent="0.25">
      <c r="A724" s="223"/>
      <c r="B724" s="223"/>
      <c r="C724" s="181"/>
      <c r="D724" s="4285" t="s">
        <v>1600</v>
      </c>
      <c r="E724" s="4285" t="s">
        <v>1601</v>
      </c>
      <c r="F724" s="1004" t="s">
        <v>1602</v>
      </c>
      <c r="G724" s="3135">
        <v>11.9</v>
      </c>
      <c r="H724" s="3925" t="s">
        <v>1011</v>
      </c>
      <c r="I724" s="3926"/>
      <c r="J724" s="3925"/>
      <c r="K724" s="4242"/>
      <c r="L724" s="4242"/>
      <c r="M724" s="3926"/>
      <c r="N724" s="151"/>
      <c r="O724" s="223"/>
      <c r="P724" s="223"/>
      <c r="Q724" s="223"/>
      <c r="R724" s="223"/>
      <c r="S724" s="223"/>
      <c r="T724" s="223"/>
      <c r="U724" s="223"/>
      <c r="V724" s="4284" t="s">
        <v>1600</v>
      </c>
      <c r="W724" s="1005">
        <v>11.9</v>
      </c>
      <c r="X724" s="196">
        <v>11.9</v>
      </c>
      <c r="Y724" s="197">
        <v>11.9</v>
      </c>
      <c r="Z724" s="196">
        <v>11.9</v>
      </c>
      <c r="AA724" s="196">
        <v>11.9</v>
      </c>
      <c r="AB724" s="196">
        <v>11.9</v>
      </c>
      <c r="AC724" s="3508">
        <f t="shared" si="108"/>
        <v>11.9</v>
      </c>
      <c r="AD724" s="198"/>
      <c r="AE724" s="198"/>
      <c r="AF724" s="198"/>
      <c r="AG724" s="198"/>
      <c r="AK724" s="883"/>
      <c r="BB724" s="1002"/>
    </row>
    <row r="725" spans="1:54" s="97" customFormat="1" ht="30" hidden="1" outlineLevel="1" x14ac:dyDescent="0.25">
      <c r="A725" s="223"/>
      <c r="B725" s="223"/>
      <c r="C725" s="181"/>
      <c r="D725" s="4286"/>
      <c r="E725" s="4286"/>
      <c r="F725" s="1004" t="s">
        <v>1603</v>
      </c>
      <c r="G725" s="3135">
        <v>11.9</v>
      </c>
      <c r="H725" s="3925"/>
      <c r="I725" s="3926"/>
      <c r="J725" s="3925"/>
      <c r="K725" s="4242"/>
      <c r="L725" s="4242"/>
      <c r="M725" s="3926"/>
      <c r="N725" s="151"/>
      <c r="O725" s="223"/>
      <c r="P725" s="223"/>
      <c r="Q725" s="223"/>
      <c r="R725" s="223"/>
      <c r="S725" s="223"/>
      <c r="T725" s="223"/>
      <c r="U725" s="223"/>
      <c r="V725" s="4284"/>
      <c r="W725" s="1005">
        <v>11.9</v>
      </c>
      <c r="X725" s="1006">
        <v>11.9</v>
      </c>
      <c r="Y725" s="197">
        <v>11.9</v>
      </c>
      <c r="Z725" s="196">
        <v>11.9</v>
      </c>
      <c r="AA725" s="196">
        <v>11.9</v>
      </c>
      <c r="AB725" s="196">
        <v>11.9</v>
      </c>
      <c r="AC725" s="3508">
        <f t="shared" si="108"/>
        <v>11.9</v>
      </c>
      <c r="AD725" s="198"/>
      <c r="AE725" s="198"/>
      <c r="AF725" s="198"/>
      <c r="AG725" s="198"/>
      <c r="AK725" s="883"/>
      <c r="BB725" s="1002"/>
    </row>
    <row r="726" spans="1:54" s="97" customFormat="1" hidden="1" outlineLevel="1" x14ac:dyDescent="0.25">
      <c r="A726" s="223"/>
      <c r="B726" s="223"/>
      <c r="C726" s="181"/>
      <c r="D726" s="4286"/>
      <c r="E726" s="4286"/>
      <c r="F726" s="1004" t="s">
        <v>1604</v>
      </c>
      <c r="G726" s="3135">
        <v>11.9</v>
      </c>
      <c r="H726" s="3925" t="s">
        <v>1011</v>
      </c>
      <c r="I726" s="3926"/>
      <c r="J726" s="3925" t="s">
        <v>1605</v>
      </c>
      <c r="K726" s="4242"/>
      <c r="L726" s="4242"/>
      <c r="M726" s="3926"/>
      <c r="N726" s="151"/>
      <c r="Q726" s="223"/>
      <c r="R726" s="223"/>
      <c r="S726" s="223"/>
      <c r="T726" s="223"/>
      <c r="U726" s="223"/>
      <c r="V726" s="4284"/>
      <c r="W726" s="1005">
        <v>11.9</v>
      </c>
      <c r="X726" s="196">
        <v>11.9</v>
      </c>
      <c r="Y726" s="197">
        <v>11.9</v>
      </c>
      <c r="Z726" s="196">
        <v>11.9</v>
      </c>
      <c r="AA726" s="196">
        <v>11.9</v>
      </c>
      <c r="AB726" s="196">
        <v>11.9</v>
      </c>
      <c r="AC726" s="3508">
        <f t="shared" si="108"/>
        <v>11.9</v>
      </c>
      <c r="AD726" s="198"/>
      <c r="AE726" s="198"/>
      <c r="AF726" s="198"/>
      <c r="AG726" s="198"/>
      <c r="AK726" s="883"/>
      <c r="BB726" s="1002"/>
    </row>
    <row r="727" spans="1:54" s="97" customFormat="1" hidden="1" outlineLevel="1" x14ac:dyDescent="0.25">
      <c r="A727" s="223"/>
      <c r="B727" s="223"/>
      <c r="C727" s="181"/>
      <c r="D727" s="4286"/>
      <c r="E727" s="4286"/>
      <c r="F727" s="1004" t="s">
        <v>1606</v>
      </c>
      <c r="G727" s="3135">
        <v>11.9</v>
      </c>
      <c r="H727" s="3925"/>
      <c r="I727" s="3926"/>
      <c r="J727" s="3925"/>
      <c r="K727" s="4242"/>
      <c r="L727" s="4242"/>
      <c r="M727" s="3926"/>
      <c r="N727" s="223"/>
      <c r="Q727" s="223"/>
      <c r="R727" s="223"/>
      <c r="S727" s="223"/>
      <c r="T727" s="223"/>
      <c r="U727" s="223"/>
      <c r="V727" s="4284"/>
      <c r="W727" s="1005">
        <v>11.9</v>
      </c>
      <c r="X727" s="196">
        <v>11.9</v>
      </c>
      <c r="Y727" s="197">
        <v>11.9</v>
      </c>
      <c r="Z727" s="196">
        <v>11.9</v>
      </c>
      <c r="AA727" s="196">
        <v>11.9</v>
      </c>
      <c r="AB727" s="196">
        <v>11.9</v>
      </c>
      <c r="AC727" s="3508">
        <f t="shared" si="108"/>
        <v>11.9</v>
      </c>
      <c r="AD727" s="198"/>
      <c r="AE727" s="198"/>
      <c r="AF727" s="198"/>
      <c r="AG727" s="198"/>
      <c r="AK727" s="883"/>
      <c r="BB727" s="1002"/>
    </row>
    <row r="728" spans="1:54" s="97" customFormat="1" hidden="1" outlineLevel="1" x14ac:dyDescent="0.25">
      <c r="A728" s="223"/>
      <c r="B728" s="223"/>
      <c r="C728" s="181"/>
      <c r="D728" s="3822"/>
      <c r="E728" s="3822"/>
      <c r="F728" s="3457" t="s">
        <v>4348</v>
      </c>
      <c r="G728" s="2362">
        <f>G727</f>
        <v>11.9</v>
      </c>
      <c r="H728" s="4293"/>
      <c r="I728" s="4294"/>
      <c r="J728" s="4293"/>
      <c r="K728" s="4297"/>
      <c r="L728" s="4297"/>
      <c r="M728" s="4294"/>
      <c r="N728" s="223"/>
      <c r="O728" s="223" t="s">
        <v>4377</v>
      </c>
      <c r="P728" s="223"/>
      <c r="Q728" s="223"/>
      <c r="R728" s="223"/>
      <c r="S728" s="223"/>
      <c r="T728" s="223"/>
      <c r="U728" s="223"/>
      <c r="V728" s="4284"/>
      <c r="W728" s="3467"/>
      <c r="X728" s="3467"/>
      <c r="Y728" s="3467"/>
      <c r="Z728" s="3467"/>
      <c r="AA728" s="3467"/>
      <c r="AB728" s="3467"/>
      <c r="AC728" s="3508">
        <f t="shared" si="108"/>
        <v>11.9</v>
      </c>
      <c r="AD728" s="198"/>
      <c r="AE728" s="198"/>
      <c r="AF728" s="198"/>
      <c r="AG728" s="198"/>
      <c r="AK728" s="883"/>
      <c r="BB728" s="1002"/>
    </row>
    <row r="729" spans="1:54" s="97" customFormat="1" ht="15" hidden="1" customHeight="1" outlineLevel="1" x14ac:dyDescent="0.25">
      <c r="A729" s="223"/>
      <c r="B729" s="223"/>
      <c r="C729" s="181"/>
      <c r="D729" s="4285" t="s">
        <v>1607</v>
      </c>
      <c r="E729" s="4285" t="s">
        <v>1608</v>
      </c>
      <c r="F729" s="1004" t="s">
        <v>1602</v>
      </c>
      <c r="G729" s="3135">
        <v>12.566400000000002</v>
      </c>
      <c r="H729" s="3823" t="s">
        <v>1011</v>
      </c>
      <c r="I729" s="3823"/>
      <c r="J729" s="3823" t="s">
        <v>1605</v>
      </c>
      <c r="K729" s="3823"/>
      <c r="L729" s="3823"/>
      <c r="M729" s="3823"/>
      <c r="N729" s="151"/>
      <c r="O729" s="223">
        <v>5.6000000000000001E-2</v>
      </c>
      <c r="P729" s="3561">
        <f>ROUND(G$728/(1-O729),2)</f>
        <v>12.61</v>
      </c>
      <c r="Q729" s="223"/>
      <c r="R729" s="223"/>
      <c r="S729" s="223"/>
      <c r="T729" s="223"/>
      <c r="U729" s="223"/>
      <c r="V729" s="4284" t="s">
        <v>1910</v>
      </c>
      <c r="W729" s="1005">
        <v>12.566400000000002</v>
      </c>
      <c r="X729" s="196">
        <v>12.566400000000002</v>
      </c>
      <c r="Y729" s="197">
        <v>12.566400000000002</v>
      </c>
      <c r="Z729" s="196">
        <v>12.566400000000002</v>
      </c>
      <c r="AA729" s="196">
        <v>12.566400000000002</v>
      </c>
      <c r="AB729" s="196">
        <v>12.566400000000002</v>
      </c>
      <c r="AC729" s="3508">
        <f t="shared" si="108"/>
        <v>12.566400000000002</v>
      </c>
      <c r="AD729" s="198"/>
      <c r="AE729" s="198"/>
      <c r="AF729" s="198"/>
      <c r="AG729" s="198"/>
      <c r="AK729" s="883"/>
      <c r="BB729" s="1002"/>
    </row>
    <row r="730" spans="1:54" s="97" customFormat="1" ht="30" hidden="1" outlineLevel="1" x14ac:dyDescent="0.25">
      <c r="A730" s="223"/>
      <c r="B730" s="223"/>
      <c r="C730" s="181"/>
      <c r="D730" s="4286"/>
      <c r="E730" s="4286"/>
      <c r="F730" s="1004" t="s">
        <v>1603</v>
      </c>
      <c r="G730" s="3135">
        <v>15.2796</v>
      </c>
      <c r="H730" s="3823" t="s">
        <v>1011</v>
      </c>
      <c r="I730" s="3823"/>
      <c r="J730" s="3823" t="s">
        <v>1605</v>
      </c>
      <c r="K730" s="3823"/>
      <c r="L730" s="3823"/>
      <c r="M730" s="3823"/>
      <c r="N730" s="151"/>
      <c r="O730" s="223">
        <v>0.22</v>
      </c>
      <c r="P730" s="3561">
        <f>ROUND(G$728/(1-O730),2)</f>
        <v>15.26</v>
      </c>
      <c r="R730" s="223"/>
      <c r="S730" s="223"/>
      <c r="T730" s="223"/>
      <c r="U730" s="223"/>
      <c r="V730" s="4284"/>
      <c r="W730" s="1005">
        <v>15.2796</v>
      </c>
      <c r="X730" s="196">
        <v>15.2796</v>
      </c>
      <c r="Y730" s="197">
        <v>15.2796</v>
      </c>
      <c r="Z730" s="196">
        <v>15.2796</v>
      </c>
      <c r="AA730" s="196">
        <v>15.2796</v>
      </c>
      <c r="AB730" s="196">
        <v>15.2796</v>
      </c>
      <c r="AC730" s="3508">
        <f t="shared" si="108"/>
        <v>15.2796</v>
      </c>
      <c r="AD730" s="198"/>
      <c r="AE730" s="198"/>
      <c r="AF730" s="198"/>
      <c r="AG730" s="198"/>
      <c r="AK730" s="883"/>
      <c r="BB730" s="1002"/>
    </row>
    <row r="731" spans="1:54" s="97" customFormat="1" hidden="1" outlineLevel="1" x14ac:dyDescent="0.25">
      <c r="A731" s="223"/>
      <c r="B731" s="223"/>
      <c r="C731" s="181"/>
      <c r="D731" s="4286"/>
      <c r="E731" s="4286"/>
      <c r="F731" s="1004" t="s">
        <v>1604</v>
      </c>
      <c r="G731" s="3135">
        <v>12.352200000000002</v>
      </c>
      <c r="H731" s="3823" t="s">
        <v>1011</v>
      </c>
      <c r="I731" s="3823"/>
      <c r="J731" s="3823" t="s">
        <v>1605</v>
      </c>
      <c r="K731" s="3823"/>
      <c r="L731" s="3823"/>
      <c r="M731" s="3823"/>
      <c r="N731" s="151"/>
      <c r="O731" s="223">
        <v>3.7999999999999999E-2</v>
      </c>
      <c r="P731" s="3561">
        <f>ROUND(G$728/(1-O731),2)</f>
        <v>12.37</v>
      </c>
      <c r="R731" s="223"/>
      <c r="S731" s="223"/>
      <c r="T731" s="223"/>
      <c r="U731" s="223"/>
      <c r="V731" s="4284"/>
      <c r="W731" s="1005">
        <v>12.352200000000002</v>
      </c>
      <c r="X731" s="196">
        <v>12.352200000000002</v>
      </c>
      <c r="Y731" s="197">
        <v>12.352200000000002</v>
      </c>
      <c r="Z731" s="196">
        <v>12.352200000000002</v>
      </c>
      <c r="AA731" s="196">
        <v>12.352200000000002</v>
      </c>
      <c r="AB731" s="196">
        <v>12.352200000000002</v>
      </c>
      <c r="AC731" s="3508">
        <f t="shared" si="108"/>
        <v>12.352200000000002</v>
      </c>
      <c r="AD731" s="198"/>
      <c r="AE731" s="198"/>
      <c r="AF731" s="198"/>
      <c r="AG731" s="198"/>
      <c r="AK731" s="883"/>
      <c r="BB731" s="1002"/>
    </row>
    <row r="732" spans="1:54" s="97" customFormat="1" hidden="1" outlineLevel="1" x14ac:dyDescent="0.25">
      <c r="A732" s="223"/>
      <c r="B732" s="223"/>
      <c r="C732" s="181"/>
      <c r="D732" s="4286"/>
      <c r="E732" s="4286"/>
      <c r="F732" s="1004" t="s">
        <v>1606</v>
      </c>
      <c r="G732" s="3216">
        <v>12.8401</v>
      </c>
      <c r="H732" s="3823" t="s">
        <v>1011</v>
      </c>
      <c r="I732" s="3823"/>
      <c r="J732" s="3823" t="s">
        <v>1605</v>
      </c>
      <c r="K732" s="3823"/>
      <c r="L732" s="3823"/>
      <c r="M732" s="3823"/>
      <c r="N732" s="223"/>
      <c r="O732" s="223">
        <v>7.9000000000000001E-2</v>
      </c>
      <c r="P732" s="3561">
        <f>ROUND(G$728/(1-O732),2)</f>
        <v>12.92</v>
      </c>
      <c r="R732" s="223"/>
      <c r="S732" s="223"/>
      <c r="T732" s="223"/>
      <c r="U732" s="223"/>
      <c r="V732" s="4284"/>
      <c r="W732" s="196">
        <v>12.8401</v>
      </c>
      <c r="X732" s="196">
        <v>12.8401</v>
      </c>
      <c r="Y732" s="197">
        <v>12.8401</v>
      </c>
      <c r="Z732" s="196">
        <v>12.8401</v>
      </c>
      <c r="AA732" s="196">
        <v>12.8401</v>
      </c>
      <c r="AB732" s="196">
        <v>12.8401</v>
      </c>
      <c r="AC732" s="3508">
        <f t="shared" si="108"/>
        <v>12.8401</v>
      </c>
      <c r="AD732" s="198"/>
      <c r="AE732" s="198"/>
      <c r="AF732" s="198"/>
      <c r="AG732" s="198"/>
      <c r="AK732" s="883"/>
      <c r="BB732" s="1002"/>
    </row>
    <row r="733" spans="1:54" s="97" customFormat="1" hidden="1" outlineLevel="1" x14ac:dyDescent="0.25">
      <c r="A733" s="223"/>
      <c r="B733" s="223"/>
      <c r="C733" s="181"/>
      <c r="D733" s="3822"/>
      <c r="E733" s="3822"/>
      <c r="F733" s="3457" t="s">
        <v>4348</v>
      </c>
      <c r="G733" s="2362">
        <v>13.8</v>
      </c>
      <c r="H733" s="4293" t="s">
        <v>4363</v>
      </c>
      <c r="I733" s="4294"/>
      <c r="J733" s="4293"/>
      <c r="K733" s="4297"/>
      <c r="L733" s="4297"/>
      <c r="M733" s="4294"/>
      <c r="N733" s="223"/>
      <c r="O733" s="223">
        <v>0.13600000000000001</v>
      </c>
      <c r="P733" s="3561">
        <f>ROUND(G$728/(1-O733),2)</f>
        <v>13.77</v>
      </c>
      <c r="R733" s="223"/>
      <c r="S733" s="223"/>
      <c r="T733" s="223"/>
      <c r="U733" s="223"/>
      <c r="V733" s="4284"/>
      <c r="W733" s="3467"/>
      <c r="X733" s="3467"/>
      <c r="Y733" s="3467"/>
      <c r="Z733" s="3467"/>
      <c r="AA733" s="3467"/>
      <c r="AB733" s="3467"/>
      <c r="AC733" s="3508">
        <f t="shared" si="108"/>
        <v>13.8</v>
      </c>
      <c r="AD733" s="198"/>
      <c r="AE733" s="198"/>
      <c r="AF733" s="198"/>
      <c r="AG733" s="198"/>
      <c r="AK733" s="883"/>
      <c r="BB733" s="1002"/>
    </row>
    <row r="734" spans="1:54" s="40" customFormat="1" hidden="1" outlineLevel="1" x14ac:dyDescent="0.25">
      <c r="A734" s="151"/>
      <c r="B734" s="151"/>
      <c r="C734" s="149"/>
      <c r="D734" s="1007">
        <v>1000</v>
      </c>
      <c r="E734" s="1008" t="s">
        <v>1609</v>
      </c>
      <c r="F734" s="1004" t="s">
        <v>4352</v>
      </c>
      <c r="G734" s="1000">
        <v>1000</v>
      </c>
      <c r="H734" s="3776" t="s">
        <v>1610</v>
      </c>
      <c r="I734" s="3776"/>
      <c r="J734" s="4282"/>
      <c r="K734" s="4282"/>
      <c r="L734" s="4282"/>
      <c r="M734" s="4282"/>
      <c r="N734" s="223"/>
      <c r="Q734" s="223"/>
      <c r="R734" s="223"/>
      <c r="S734" s="223"/>
      <c r="T734" s="223"/>
      <c r="U734" s="223"/>
      <c r="V734" s="889">
        <v>1000</v>
      </c>
      <c r="W734" s="1001">
        <v>1000</v>
      </c>
      <c r="X734" s="201">
        <v>1000</v>
      </c>
      <c r="Y734" s="202">
        <v>1000</v>
      </c>
      <c r="Z734" s="201">
        <v>1000</v>
      </c>
      <c r="AA734" s="201">
        <v>1000</v>
      </c>
      <c r="AB734" s="201">
        <v>1000</v>
      </c>
      <c r="AC734" s="3509">
        <f t="shared" si="108"/>
        <v>1000</v>
      </c>
      <c r="AD734" s="203"/>
      <c r="AE734" s="203"/>
      <c r="AF734" s="203"/>
      <c r="AG734" s="203"/>
      <c r="AK734" s="883"/>
      <c r="BB734" s="990"/>
    </row>
    <row r="735" spans="1:54" s="40" customFormat="1" hidden="1" outlineLevel="1" x14ac:dyDescent="0.25">
      <c r="A735" s="151"/>
      <c r="B735" s="151"/>
      <c r="C735" s="149"/>
      <c r="D735" s="4285" t="s">
        <v>1911</v>
      </c>
      <c r="E735" s="4285" t="s">
        <v>1151</v>
      </c>
      <c r="F735" s="1004" t="s">
        <v>315</v>
      </c>
      <c r="G735" s="1000">
        <v>1496</v>
      </c>
      <c r="H735" s="3823" t="s">
        <v>1558</v>
      </c>
      <c r="I735" s="3823"/>
      <c r="J735" s="4282"/>
      <c r="K735" s="4282"/>
      <c r="L735" s="4282"/>
      <c r="M735" s="4282"/>
      <c r="N735" s="151"/>
      <c r="Q735" s="223"/>
      <c r="R735" s="223"/>
      <c r="S735" s="223"/>
      <c r="T735" s="223"/>
      <c r="U735" s="223"/>
      <c r="V735" s="4284" t="s">
        <v>1912</v>
      </c>
      <c r="W735" s="1001">
        <v>2009</v>
      </c>
      <c r="X735" s="1001">
        <v>2009</v>
      </c>
      <c r="Y735" s="1009">
        <v>1496</v>
      </c>
      <c r="Z735" s="1001">
        <v>1496</v>
      </c>
      <c r="AA735" s="1001">
        <v>1496</v>
      </c>
      <c r="AB735" s="1001">
        <v>1496</v>
      </c>
      <c r="AC735" s="3509">
        <f t="shared" si="108"/>
        <v>1496</v>
      </c>
      <c r="AD735" s="203"/>
      <c r="AE735" s="203"/>
      <c r="AF735" s="203"/>
      <c r="AG735" s="203"/>
      <c r="AK735" s="883"/>
      <c r="BB735" s="990"/>
    </row>
    <row r="736" spans="1:54" s="40" customFormat="1" hidden="1" outlineLevel="1" x14ac:dyDescent="0.25">
      <c r="A736" s="151"/>
      <c r="B736" s="151"/>
      <c r="C736" s="149"/>
      <c r="D736" s="3891"/>
      <c r="E736" s="3891"/>
      <c r="F736" s="1004" t="s">
        <v>317</v>
      </c>
      <c r="G736" s="1000">
        <v>510</v>
      </c>
      <c r="H736" s="3925" t="s">
        <v>1558</v>
      </c>
      <c r="I736" s="3926"/>
      <c r="J736" s="4282"/>
      <c r="K736" s="4282"/>
      <c r="L736" s="4282"/>
      <c r="M736" s="4282"/>
      <c r="N736" s="151"/>
      <c r="Q736" s="223"/>
      <c r="R736" s="223"/>
      <c r="S736" s="223"/>
      <c r="T736" s="223"/>
      <c r="U736" s="223"/>
      <c r="V736" s="4263"/>
      <c r="W736" s="1001"/>
      <c r="X736" s="1001"/>
      <c r="Y736" s="1009">
        <v>510</v>
      </c>
      <c r="Z736" s="1001">
        <v>510</v>
      </c>
      <c r="AA736" s="1001">
        <v>510</v>
      </c>
      <c r="AB736" s="1001">
        <v>510</v>
      </c>
      <c r="AC736" s="3509">
        <f t="shared" si="108"/>
        <v>510</v>
      </c>
      <c r="AD736" s="203"/>
      <c r="AE736" s="203"/>
      <c r="AF736" s="203"/>
      <c r="AG736" s="203"/>
      <c r="AK736" s="883"/>
      <c r="BB736" s="990"/>
    </row>
    <row r="737" spans="1:69" s="51" customFormat="1" hidden="1" outlineLevel="1" x14ac:dyDescent="0.25">
      <c r="A737" s="576"/>
      <c r="B737" s="123"/>
      <c r="C737" s="328"/>
      <c r="D737" s="4285" t="s">
        <v>1913</v>
      </c>
      <c r="E737" s="4285" t="s">
        <v>1148</v>
      </c>
      <c r="F737" s="1004" t="s">
        <v>320</v>
      </c>
      <c r="G737" s="887">
        <f>G722</f>
        <v>36595</v>
      </c>
      <c r="H737" s="3925" t="s">
        <v>1908</v>
      </c>
      <c r="I737" s="3926"/>
      <c r="J737" s="3919" t="s">
        <v>1599</v>
      </c>
      <c r="K737" s="4296"/>
      <c r="L737" s="4296"/>
      <c r="M737" s="3920"/>
      <c r="N737" s="123"/>
      <c r="O737" s="223"/>
      <c r="P737" s="223"/>
      <c r="Q737" s="223"/>
      <c r="R737" s="228"/>
      <c r="S737" s="228"/>
      <c r="T737" s="228"/>
      <c r="U737" s="228"/>
      <c r="V737" s="4284" t="s">
        <v>1914</v>
      </c>
      <c r="W737" s="1001">
        <v>37716.279069767443</v>
      </c>
      <c r="X737" s="201">
        <v>37716.279069767443</v>
      </c>
      <c r="Y737" s="201">
        <v>37716.279069767443</v>
      </c>
      <c r="Z737" s="201">
        <v>37716.279069767443</v>
      </c>
      <c r="AA737" s="201">
        <v>37716.279069767443</v>
      </c>
      <c r="AB737" s="201">
        <v>37716.279069767443</v>
      </c>
      <c r="AC737" s="3509">
        <f t="shared" si="108"/>
        <v>36595</v>
      </c>
      <c r="AD737" s="203"/>
      <c r="AE737" s="203"/>
      <c r="AF737" s="203"/>
      <c r="AG737" s="203"/>
      <c r="AH737" s="1942"/>
      <c r="AI737" s="1942"/>
      <c r="AJ737" s="1942"/>
      <c r="AK737" s="883"/>
      <c r="AL737" s="1942"/>
      <c r="AM737" s="1942"/>
      <c r="AN737" s="1942"/>
      <c r="AO737" s="1942"/>
      <c r="AP737" s="1942"/>
      <c r="AQ737" s="1942"/>
      <c r="AR737" s="1942"/>
      <c r="AS737" s="1942"/>
      <c r="AT737" s="1942"/>
      <c r="AU737" s="1942"/>
      <c r="AV737" s="1942"/>
      <c r="AW737" s="1942"/>
      <c r="AX737" s="1942"/>
      <c r="AY737" s="1942"/>
      <c r="AZ737" s="1942"/>
      <c r="BA737" s="1942"/>
      <c r="BB737" s="891"/>
      <c r="BC737" s="1942"/>
      <c r="BD737" s="1942"/>
      <c r="BE737" s="1942"/>
      <c r="BF737" s="1942"/>
      <c r="BG737" s="1942"/>
      <c r="BH737" s="1942"/>
      <c r="BI737" s="1942"/>
      <c r="BJ737" s="1942"/>
      <c r="BK737" s="1942"/>
      <c r="BL737" s="1942"/>
      <c r="BM737" s="1942"/>
      <c r="BN737" s="1942"/>
      <c r="BO737" s="1942"/>
      <c r="BP737" s="1942"/>
      <c r="BQ737" s="1942"/>
    </row>
    <row r="738" spans="1:69" s="51" customFormat="1" hidden="1" outlineLevel="1" x14ac:dyDescent="0.25">
      <c r="A738" s="576"/>
      <c r="B738" s="123"/>
      <c r="C738" s="328"/>
      <c r="D738" s="3822"/>
      <c r="E738" s="3822"/>
      <c r="F738" s="1004" t="s">
        <v>322</v>
      </c>
      <c r="G738" s="1000">
        <v>22537.991266375546</v>
      </c>
      <c r="H738" s="3925" t="s">
        <v>536</v>
      </c>
      <c r="I738" s="3926"/>
      <c r="J738" s="4282"/>
      <c r="K738" s="4282"/>
      <c r="L738" s="4282"/>
      <c r="M738" s="4282"/>
      <c r="N738" s="123"/>
      <c r="Q738" s="223"/>
      <c r="R738" s="228"/>
      <c r="S738" s="228"/>
      <c r="T738" s="228"/>
      <c r="U738" s="228"/>
      <c r="V738" s="4284"/>
      <c r="W738" s="1001">
        <v>24515.58139534884</v>
      </c>
      <c r="X738" s="201">
        <v>24515.58139534884</v>
      </c>
      <c r="Y738" s="1003">
        <v>22537.991266375546</v>
      </c>
      <c r="Z738" s="201">
        <v>22537.991266375546</v>
      </c>
      <c r="AA738" s="201">
        <v>22537.991266375546</v>
      </c>
      <c r="AB738" s="201">
        <v>22537.991266375546</v>
      </c>
      <c r="AC738" s="3509">
        <f t="shared" si="108"/>
        <v>22537.991266375546</v>
      </c>
      <c r="AD738" s="203"/>
      <c r="AE738" s="203"/>
      <c r="AF738" s="203"/>
      <c r="AG738" s="203"/>
      <c r="AH738" s="1942"/>
      <c r="AI738" s="1942"/>
      <c r="AJ738" s="1942"/>
      <c r="AK738" s="883"/>
      <c r="AL738" s="1942"/>
      <c r="AM738" s="1942"/>
      <c r="AN738" s="1942"/>
      <c r="AO738" s="1942"/>
      <c r="AP738" s="1942"/>
      <c r="AQ738" s="1942"/>
      <c r="AR738" s="1942"/>
      <c r="AS738" s="1942"/>
      <c r="AT738" s="1942"/>
      <c r="AU738" s="1942"/>
      <c r="AV738" s="1942"/>
      <c r="AW738" s="1942"/>
      <c r="AX738" s="1942"/>
      <c r="AY738" s="1942"/>
      <c r="AZ738" s="1942"/>
      <c r="BA738" s="1942"/>
      <c r="BB738" s="891"/>
      <c r="BC738" s="1942"/>
      <c r="BD738" s="1942"/>
      <c r="BE738" s="1942"/>
      <c r="BF738" s="1942"/>
      <c r="BG738" s="1942"/>
      <c r="BH738" s="1942"/>
      <c r="BI738" s="1942"/>
      <c r="BJ738" s="1942"/>
      <c r="BK738" s="1942"/>
      <c r="BL738" s="1942"/>
      <c r="BM738" s="1942"/>
      <c r="BN738" s="1942"/>
      <c r="BO738" s="1942"/>
      <c r="BP738" s="1942"/>
      <c r="BQ738" s="1942"/>
    </row>
    <row r="739" spans="1:69" s="51" customFormat="1" ht="15" hidden="1" customHeight="1" outlineLevel="1" x14ac:dyDescent="0.25">
      <c r="A739" s="576"/>
      <c r="B739" s="123"/>
      <c r="C739" s="328"/>
      <c r="D739" s="4285" t="s">
        <v>1915</v>
      </c>
      <c r="E739" s="4287" t="s">
        <v>1916</v>
      </c>
      <c r="F739" s="1004" t="s">
        <v>1602</v>
      </c>
      <c r="G739" s="194">
        <v>6.3</v>
      </c>
      <c r="H739" s="3919" t="s">
        <v>1917</v>
      </c>
      <c r="I739" s="3980"/>
      <c r="J739" s="3919"/>
      <c r="K739" s="3979"/>
      <c r="L739" s="3979"/>
      <c r="M739" s="3980"/>
      <c r="N739" s="123"/>
      <c r="O739" s="228"/>
      <c r="P739" s="228"/>
      <c r="Q739" s="228"/>
      <c r="R739" s="228"/>
      <c r="S739" s="228"/>
      <c r="T739" s="228"/>
      <c r="U739" s="228"/>
      <c r="V739" s="4284" t="s">
        <v>1918</v>
      </c>
      <c r="W739" s="189">
        <v>6.3</v>
      </c>
      <c r="X739" s="189">
        <v>6.3</v>
      </c>
      <c r="Y739" s="1010">
        <v>6.3</v>
      </c>
      <c r="Z739" s="189">
        <v>6.3</v>
      </c>
      <c r="AA739" s="189">
        <v>6.3</v>
      </c>
      <c r="AB739" s="189">
        <v>6.3</v>
      </c>
      <c r="AC739" s="1601">
        <f t="shared" si="108"/>
        <v>6.3</v>
      </c>
      <c r="AD739" s="1011"/>
      <c r="AE739" s="1011"/>
      <c r="AF739" s="1011"/>
      <c r="AG739" s="1011"/>
      <c r="AH739" s="1942"/>
      <c r="AI739" s="1942"/>
      <c r="AJ739" s="1942"/>
      <c r="AK739" s="883"/>
      <c r="AL739" s="1942"/>
      <c r="AM739" s="1942"/>
      <c r="AN739" s="1942"/>
      <c r="AO739" s="1942"/>
      <c r="AP739" s="1942"/>
      <c r="AQ739" s="1942"/>
      <c r="AR739" s="1942"/>
      <c r="AS739" s="1942"/>
      <c r="AT739" s="1942"/>
      <c r="AU739" s="1942"/>
      <c r="AV739" s="1942"/>
      <c r="AW739" s="1942"/>
      <c r="AX739" s="1942"/>
      <c r="AY739" s="1942"/>
      <c r="AZ739" s="1942"/>
      <c r="BA739" s="1942"/>
      <c r="BB739" s="891"/>
      <c r="BC739" s="1942"/>
      <c r="BD739" s="1942"/>
      <c r="BE739" s="1942"/>
      <c r="BF739" s="1942"/>
      <c r="BG739" s="1942"/>
      <c r="BH739" s="1942"/>
      <c r="BI739" s="1942"/>
      <c r="BJ739" s="1942"/>
      <c r="BK739" s="1942"/>
      <c r="BL739" s="1942"/>
      <c r="BM739" s="1942"/>
      <c r="BN739" s="1942"/>
      <c r="BO739" s="1942"/>
      <c r="BP739" s="1942"/>
      <c r="BQ739" s="1942"/>
    </row>
    <row r="740" spans="1:69" s="51" customFormat="1" ht="30" hidden="1" outlineLevel="1" x14ac:dyDescent="0.25">
      <c r="A740" s="576"/>
      <c r="B740" s="123"/>
      <c r="C740" s="328"/>
      <c r="D740" s="4286"/>
      <c r="E740" s="4288"/>
      <c r="F740" s="1004" t="s">
        <v>1603</v>
      </c>
      <c r="G740" s="194">
        <v>6.3</v>
      </c>
      <c r="H740" s="3919"/>
      <c r="I740" s="3980"/>
      <c r="J740" s="3919"/>
      <c r="K740" s="3979"/>
      <c r="L740" s="3979"/>
      <c r="M740" s="3980"/>
      <c r="N740" s="123"/>
      <c r="O740" s="228"/>
      <c r="P740" s="228"/>
      <c r="Q740" s="228"/>
      <c r="R740" s="228"/>
      <c r="S740" s="228"/>
      <c r="T740" s="228"/>
      <c r="U740" s="228"/>
      <c r="V740" s="4284"/>
      <c r="W740" s="189">
        <v>6.3</v>
      </c>
      <c r="X740" s="189">
        <v>6.3</v>
      </c>
      <c r="Y740" s="1010">
        <v>6.3</v>
      </c>
      <c r="Z740" s="189">
        <v>6.3</v>
      </c>
      <c r="AA740" s="189">
        <v>6.3</v>
      </c>
      <c r="AB740" s="189">
        <v>6.3</v>
      </c>
      <c r="AC740" s="1601">
        <f t="shared" si="108"/>
        <v>6.3</v>
      </c>
      <c r="AD740" s="1011"/>
      <c r="AE740" s="1011"/>
      <c r="AF740" s="1011"/>
      <c r="AG740" s="1011"/>
      <c r="AH740" s="1942"/>
      <c r="AI740" s="1942"/>
      <c r="AJ740" s="1942"/>
      <c r="AK740" s="883"/>
      <c r="AL740" s="1942"/>
      <c r="AM740" s="1942"/>
      <c r="AN740" s="1942"/>
      <c r="AO740" s="1942"/>
      <c r="AP740" s="1942"/>
      <c r="AQ740" s="1942"/>
      <c r="AR740" s="1942"/>
      <c r="AS740" s="1942"/>
      <c r="AT740" s="1942"/>
      <c r="AU740" s="1942"/>
      <c r="AV740" s="1942"/>
      <c r="AW740" s="1942"/>
      <c r="AX740" s="1942"/>
      <c r="AY740" s="1942"/>
      <c r="AZ740" s="1942"/>
      <c r="BA740" s="1942"/>
      <c r="BB740" s="891"/>
      <c r="BC740" s="1942"/>
      <c r="BD740" s="1942"/>
      <c r="BE740" s="1942"/>
      <c r="BF740" s="1942"/>
      <c r="BG740" s="1942"/>
      <c r="BH740" s="1942"/>
      <c r="BI740" s="1942"/>
      <c r="BJ740" s="1942"/>
      <c r="BK740" s="1942"/>
      <c r="BL740" s="1942"/>
      <c r="BM740" s="1942"/>
      <c r="BN740" s="1942"/>
      <c r="BO740" s="1942"/>
      <c r="BP740" s="1942"/>
      <c r="BQ740" s="1942"/>
    </row>
    <row r="741" spans="1:69" s="51" customFormat="1" hidden="1" outlineLevel="1" x14ac:dyDescent="0.25">
      <c r="A741" s="576"/>
      <c r="B741" s="123"/>
      <c r="C741" s="328"/>
      <c r="D741" s="4286"/>
      <c r="E741" s="4288"/>
      <c r="F741" s="1004" t="s">
        <v>1604</v>
      </c>
      <c r="G741" s="194">
        <v>6.3</v>
      </c>
      <c r="H741" s="3919" t="s">
        <v>1917</v>
      </c>
      <c r="I741" s="3980"/>
      <c r="J741" s="3919"/>
      <c r="K741" s="3979"/>
      <c r="L741" s="3979"/>
      <c r="M741" s="3980"/>
      <c r="N741" s="123"/>
      <c r="O741" s="228"/>
      <c r="P741" s="228"/>
      <c r="Q741" s="228"/>
      <c r="R741" s="228"/>
      <c r="S741" s="228"/>
      <c r="T741" s="228"/>
      <c r="U741" s="228"/>
      <c r="V741" s="4284"/>
      <c r="W741" s="189">
        <v>6.3</v>
      </c>
      <c r="X741" s="189">
        <v>6.3</v>
      </c>
      <c r="Y741" s="1010">
        <v>6.3</v>
      </c>
      <c r="Z741" s="189">
        <v>6.3</v>
      </c>
      <c r="AA741" s="189">
        <v>6.3</v>
      </c>
      <c r="AB741" s="189">
        <v>6.3</v>
      </c>
      <c r="AC741" s="1601">
        <f t="shared" si="108"/>
        <v>6.3</v>
      </c>
      <c r="AD741" s="1011"/>
      <c r="AE741" s="1011"/>
      <c r="AF741" s="1011"/>
      <c r="AG741" s="1011"/>
      <c r="AH741" s="1942"/>
      <c r="AI741" s="1942"/>
      <c r="AJ741" s="1942"/>
      <c r="AK741" s="883"/>
      <c r="AL741" s="1942"/>
      <c r="AM741" s="1942"/>
      <c r="AN741" s="1942"/>
      <c r="AO741" s="1942"/>
      <c r="AP741" s="1942"/>
      <c r="AQ741" s="1942"/>
      <c r="AR741" s="1942"/>
      <c r="AS741" s="1942"/>
      <c r="AT741" s="1942"/>
      <c r="AU741" s="1942"/>
      <c r="AV741" s="1942"/>
      <c r="AW741" s="1942"/>
      <c r="AX741" s="1942"/>
      <c r="AY741" s="1942"/>
      <c r="AZ741" s="1942"/>
      <c r="BA741" s="1942"/>
      <c r="BB741" s="891"/>
      <c r="BC741" s="1942"/>
      <c r="BD741" s="1942"/>
      <c r="BE741" s="1942"/>
      <c r="BF741" s="1942"/>
      <c r="BG741" s="1942"/>
      <c r="BH741" s="1942"/>
      <c r="BI741" s="1942"/>
      <c r="BJ741" s="1942"/>
      <c r="BK741" s="1942"/>
      <c r="BL741" s="1942"/>
      <c r="BM741" s="1942"/>
      <c r="BN741" s="1942"/>
      <c r="BO741" s="1942"/>
      <c r="BP741" s="1942"/>
      <c r="BQ741" s="1942"/>
    </row>
    <row r="742" spans="1:69" s="51" customFormat="1" hidden="1" outlineLevel="1" x14ac:dyDescent="0.25">
      <c r="A742" s="576"/>
      <c r="B742" s="123"/>
      <c r="C742" s="328"/>
      <c r="D742" s="4286"/>
      <c r="E742" s="4288"/>
      <c r="F742" s="1004" t="s">
        <v>1606</v>
      </c>
      <c r="G742" s="194">
        <v>6.3</v>
      </c>
      <c r="H742" s="3919"/>
      <c r="I742" s="3980"/>
      <c r="J742" s="3919"/>
      <c r="K742" s="3979"/>
      <c r="L742" s="3979"/>
      <c r="M742" s="3980"/>
      <c r="N742" s="123"/>
      <c r="O742" s="228"/>
      <c r="P742" s="228"/>
      <c r="Q742" s="228"/>
      <c r="R742" s="228"/>
      <c r="S742" s="228"/>
      <c r="T742" s="228"/>
      <c r="U742" s="228"/>
      <c r="V742" s="4284"/>
      <c r="W742" s="189">
        <v>6.3</v>
      </c>
      <c r="X742" s="189">
        <v>6.3</v>
      </c>
      <c r="Y742" s="1010">
        <v>6.3</v>
      </c>
      <c r="Z742" s="189">
        <v>6.3</v>
      </c>
      <c r="AA742" s="189">
        <v>6.3</v>
      </c>
      <c r="AB742" s="189">
        <v>6.3</v>
      </c>
      <c r="AC742" s="1601">
        <f t="shared" si="108"/>
        <v>6.3</v>
      </c>
      <c r="AD742" s="1011"/>
      <c r="AE742" s="1011"/>
      <c r="AF742" s="1011"/>
      <c r="AG742" s="1011"/>
      <c r="AH742" s="1942"/>
      <c r="AI742" s="1942"/>
      <c r="AJ742" s="1942"/>
      <c r="AK742" s="883"/>
      <c r="AL742" s="1942"/>
      <c r="AM742" s="1942"/>
      <c r="AN742" s="1942"/>
      <c r="AO742" s="1942"/>
      <c r="AP742" s="1942"/>
      <c r="AQ742" s="1942"/>
      <c r="AR742" s="1942"/>
      <c r="AS742" s="1942"/>
      <c r="AT742" s="1942"/>
      <c r="AU742" s="1942"/>
      <c r="AV742" s="1942"/>
      <c r="AW742" s="1942"/>
      <c r="AX742" s="1942"/>
      <c r="AY742" s="1942"/>
      <c r="AZ742" s="1942"/>
      <c r="BA742" s="1942"/>
      <c r="BB742" s="891"/>
      <c r="BC742" s="1942"/>
      <c r="BD742" s="1942"/>
      <c r="BE742" s="1942"/>
      <c r="BF742" s="1942"/>
      <c r="BG742" s="1942"/>
      <c r="BH742" s="1942"/>
      <c r="BI742" s="1942"/>
      <c r="BJ742" s="1942"/>
      <c r="BK742" s="1942"/>
      <c r="BL742" s="1942"/>
      <c r="BM742" s="1942"/>
      <c r="BN742" s="1942"/>
      <c r="BO742" s="1942"/>
      <c r="BP742" s="1942"/>
      <c r="BQ742" s="1942"/>
    </row>
    <row r="743" spans="1:69" s="1942" customFormat="1" hidden="1" outlineLevel="1" x14ac:dyDescent="0.25">
      <c r="A743" s="576"/>
      <c r="B743" s="123"/>
      <c r="C743" s="328"/>
      <c r="D743" s="3822"/>
      <c r="E743" s="4289"/>
      <c r="F743" s="3457" t="s">
        <v>4348</v>
      </c>
      <c r="G743" s="3510">
        <f>G742</f>
        <v>6.3</v>
      </c>
      <c r="H743" s="4293"/>
      <c r="I743" s="4294"/>
      <c r="J743" s="3919"/>
      <c r="K743" s="3979"/>
      <c r="L743" s="3979"/>
      <c r="M743" s="3980"/>
      <c r="N743" s="123"/>
      <c r="O743" s="223" t="s">
        <v>4377</v>
      </c>
      <c r="P743" s="223"/>
      <c r="Q743" s="228"/>
      <c r="R743" s="228">
        <v>6.3</v>
      </c>
      <c r="S743" s="228"/>
      <c r="T743" s="228"/>
      <c r="U743" s="228"/>
      <c r="V743" s="4284"/>
      <c r="W743" s="3467"/>
      <c r="X743" s="3467"/>
      <c r="Y743" s="3467"/>
      <c r="Z743" s="3467"/>
      <c r="AA743" s="3467"/>
      <c r="AB743" s="3467"/>
      <c r="AC743" s="1601">
        <f t="shared" si="108"/>
        <v>6.3</v>
      </c>
      <c r="AD743" s="1011"/>
      <c r="AE743" s="1011"/>
      <c r="AF743" s="1011"/>
      <c r="AG743" s="1011"/>
      <c r="AK743" s="883"/>
      <c r="BB743" s="891"/>
    </row>
    <row r="744" spans="1:69" s="51" customFormat="1" ht="15" hidden="1" customHeight="1" outlineLevel="1" x14ac:dyDescent="0.25">
      <c r="A744" s="576"/>
      <c r="B744" s="123"/>
      <c r="C744" s="328"/>
      <c r="D744" s="4285" t="s">
        <v>1919</v>
      </c>
      <c r="E744" s="4290" t="s">
        <v>1920</v>
      </c>
      <c r="F744" s="1004" t="s">
        <v>1602</v>
      </c>
      <c r="G744" s="194">
        <v>6.3837905236907728</v>
      </c>
      <c r="H744" s="3823" t="s">
        <v>1921</v>
      </c>
      <c r="I744" s="3823"/>
      <c r="J744" s="3823" t="s">
        <v>1922</v>
      </c>
      <c r="K744" s="3823"/>
      <c r="L744" s="3823"/>
      <c r="M744" s="3823"/>
      <c r="N744" s="123"/>
      <c r="O744" s="223">
        <v>5.6000000000000001E-2</v>
      </c>
      <c r="P744" s="3561">
        <f>ROUND(G$743/(1-O744),2)</f>
        <v>6.67</v>
      </c>
      <c r="Q744" s="228"/>
      <c r="R744" s="3562">
        <f>R$743/G744-1</f>
        <v>-1.3125512715340459E-2</v>
      </c>
      <c r="S744" s="228"/>
      <c r="T744" s="228"/>
      <c r="U744" s="228"/>
      <c r="V744" s="4284" t="s">
        <v>1918</v>
      </c>
      <c r="W744" s="189">
        <v>6.3837905236907728</v>
      </c>
      <c r="X744" s="189">
        <v>6.3837905236907728</v>
      </c>
      <c r="Y744" s="1010">
        <v>6.3837905236907728</v>
      </c>
      <c r="Z744" s="189">
        <v>6.3837905236907728</v>
      </c>
      <c r="AA744" s="189">
        <v>6.3837905236907728</v>
      </c>
      <c r="AB744" s="189">
        <v>6.3837905236907728</v>
      </c>
      <c r="AC744" s="1601">
        <f t="shared" si="108"/>
        <v>6.3837905236907728</v>
      </c>
      <c r="AD744" s="1011"/>
      <c r="AE744" s="1011"/>
      <c r="AF744" s="1011"/>
      <c r="AG744" s="1011"/>
      <c r="AH744" s="1942"/>
      <c r="AI744" s="1942"/>
      <c r="AJ744" s="1942"/>
      <c r="AK744" s="883"/>
      <c r="AL744" s="1942"/>
      <c r="AM744" s="1942"/>
      <c r="AN744" s="1942"/>
      <c r="AO744" s="1942"/>
      <c r="AP744" s="1942"/>
      <c r="AQ744" s="1942"/>
      <c r="AR744" s="1942"/>
      <c r="AS744" s="1942"/>
      <c r="AT744" s="1942"/>
      <c r="AU744" s="1942"/>
      <c r="AV744" s="1942"/>
      <c r="AW744" s="1942"/>
      <c r="AX744" s="1942"/>
      <c r="AY744" s="1942"/>
      <c r="AZ744" s="1942"/>
      <c r="BA744" s="1942"/>
      <c r="BB744" s="891"/>
      <c r="BC744" s="1942"/>
      <c r="BD744" s="1942"/>
      <c r="BE744" s="1942"/>
      <c r="BF744" s="1942"/>
      <c r="BG744" s="1942"/>
      <c r="BH744" s="1942"/>
      <c r="BI744" s="1942"/>
      <c r="BJ744" s="1942"/>
      <c r="BK744" s="1942"/>
      <c r="BL744" s="1942"/>
      <c r="BM744" s="1942"/>
      <c r="BN744" s="1942"/>
      <c r="BO744" s="1942"/>
      <c r="BP744" s="1942"/>
      <c r="BQ744" s="1942"/>
    </row>
    <row r="745" spans="1:69" s="51" customFormat="1" ht="30" hidden="1" outlineLevel="1" x14ac:dyDescent="0.25">
      <c r="A745" s="576"/>
      <c r="B745" s="123"/>
      <c r="C745" s="328"/>
      <c r="D745" s="4286"/>
      <c r="E745" s="4291"/>
      <c r="F745" s="1004" t="s">
        <v>1603</v>
      </c>
      <c r="G745" s="194">
        <v>6.7249376558603498</v>
      </c>
      <c r="H745" s="3823"/>
      <c r="I745" s="3823"/>
      <c r="J745" s="3823"/>
      <c r="K745" s="3823"/>
      <c r="L745" s="3823"/>
      <c r="M745" s="3823"/>
      <c r="N745" s="123"/>
      <c r="O745" s="223">
        <v>0.22</v>
      </c>
      <c r="P745" s="3561">
        <f t="shared" ref="P745:P748" si="109">ROUND(G$743/(1-O745),2)</f>
        <v>8.08</v>
      </c>
      <c r="Q745" s="228"/>
      <c r="R745" s="3562">
        <f>R$743/G745-1</f>
        <v>-6.3188341306040785E-2</v>
      </c>
      <c r="S745" s="228"/>
      <c r="T745" s="228"/>
      <c r="U745" s="228"/>
      <c r="V745" s="4284"/>
      <c r="W745" s="189">
        <v>6.7249376558603498</v>
      </c>
      <c r="X745" s="1012">
        <v>6.7249376558603498</v>
      </c>
      <c r="Y745" s="1010">
        <v>6.7249376558603498</v>
      </c>
      <c r="Z745" s="189">
        <v>6.7249376558603498</v>
      </c>
      <c r="AA745" s="189">
        <v>6.7249376558603498</v>
      </c>
      <c r="AB745" s="189">
        <v>6.7249376558603498</v>
      </c>
      <c r="AC745" s="1601">
        <f t="shared" si="108"/>
        <v>6.7249376558603498</v>
      </c>
      <c r="AD745" s="1011"/>
      <c r="AE745" s="1011"/>
      <c r="AF745" s="1011"/>
      <c r="AG745" s="1011"/>
      <c r="AH745" s="1942"/>
      <c r="AI745" s="1942"/>
      <c r="AJ745" s="1942"/>
      <c r="AK745" s="883"/>
      <c r="AL745" s="1942"/>
      <c r="AM745" s="1942"/>
      <c r="AN745" s="1942"/>
      <c r="AO745" s="1942"/>
      <c r="AP745" s="1942"/>
      <c r="AQ745" s="1942"/>
      <c r="AR745" s="1942"/>
      <c r="AS745" s="1942"/>
      <c r="AT745" s="1942"/>
      <c r="AU745" s="1942"/>
      <c r="AV745" s="1942"/>
      <c r="AW745" s="1942"/>
      <c r="AX745" s="1942"/>
      <c r="AY745" s="1942"/>
      <c r="AZ745" s="1942"/>
      <c r="BA745" s="1942"/>
      <c r="BB745" s="891"/>
      <c r="BC745" s="1942"/>
      <c r="BD745" s="1942"/>
      <c r="BE745" s="1942"/>
      <c r="BF745" s="1942"/>
      <c r="BG745" s="1942"/>
      <c r="BH745" s="1942"/>
      <c r="BI745" s="1942"/>
      <c r="BJ745" s="1942"/>
      <c r="BK745" s="1942"/>
      <c r="BL745" s="1942"/>
      <c r="BM745" s="1942"/>
      <c r="BN745" s="1942"/>
      <c r="BO745" s="1942"/>
      <c r="BP745" s="1942"/>
      <c r="BQ745" s="1942"/>
    </row>
    <row r="746" spans="1:69" s="51" customFormat="1" hidden="1" outlineLevel="1" x14ac:dyDescent="0.25">
      <c r="A746" s="576"/>
      <c r="B746" s="123"/>
      <c r="C746" s="328"/>
      <c r="D746" s="4286"/>
      <c r="E746" s="4291"/>
      <c r="F746" s="1004" t="s">
        <v>1604</v>
      </c>
      <c r="G746" s="194">
        <v>6.3568578553615955</v>
      </c>
      <c r="H746" s="3823"/>
      <c r="I746" s="3823"/>
      <c r="J746" s="3823"/>
      <c r="K746" s="3823"/>
      <c r="L746" s="3823"/>
      <c r="M746" s="3823"/>
      <c r="N746" s="123"/>
      <c r="O746" s="223">
        <v>3.7999999999999999E-2</v>
      </c>
      <c r="P746" s="3561">
        <f t="shared" si="109"/>
        <v>6.55</v>
      </c>
      <c r="Q746" s="228"/>
      <c r="R746" s="3562">
        <f t="shared" ref="R746:R748" si="110">R$743/G746-1</f>
        <v>-8.9443332941037124E-3</v>
      </c>
      <c r="S746" s="228"/>
      <c r="T746" s="228"/>
      <c r="U746" s="228"/>
      <c r="V746" s="4284"/>
      <c r="W746" s="189">
        <v>6.3568578553615955</v>
      </c>
      <c r="X746" s="189">
        <v>6.3568578553615955</v>
      </c>
      <c r="Y746" s="1010">
        <v>6.3568578553615955</v>
      </c>
      <c r="Z746" s="189">
        <v>6.3568578553615955</v>
      </c>
      <c r="AA746" s="189">
        <v>6.3568578553615955</v>
      </c>
      <c r="AB746" s="189">
        <v>6.3568578553615955</v>
      </c>
      <c r="AC746" s="1601">
        <f t="shared" si="108"/>
        <v>6.3568578553615955</v>
      </c>
      <c r="AD746" s="1011"/>
      <c r="AE746" s="1011"/>
      <c r="AF746" s="1011"/>
      <c r="AG746" s="1011"/>
      <c r="AH746" s="1942"/>
      <c r="AI746" s="1942"/>
      <c r="AJ746" s="1942"/>
      <c r="AK746" s="883"/>
      <c r="AL746" s="1942"/>
      <c r="AM746" s="1942"/>
      <c r="AN746" s="1942"/>
      <c r="AO746" s="1942"/>
      <c r="AP746" s="1942"/>
      <c r="AQ746" s="1942"/>
      <c r="AR746" s="1942"/>
      <c r="AS746" s="1942"/>
      <c r="AT746" s="1942"/>
      <c r="AU746" s="1942"/>
      <c r="AV746" s="1942"/>
      <c r="AW746" s="1942"/>
      <c r="AX746" s="1942"/>
      <c r="AY746" s="1942"/>
      <c r="AZ746" s="1942"/>
      <c r="BA746" s="1942"/>
      <c r="BB746" s="891"/>
      <c r="BC746" s="1942"/>
      <c r="BD746" s="1942"/>
      <c r="BE746" s="1942"/>
      <c r="BF746" s="1942"/>
      <c r="BG746" s="1942"/>
      <c r="BH746" s="1942"/>
      <c r="BI746" s="1942"/>
      <c r="BJ746" s="1942"/>
      <c r="BK746" s="1942"/>
      <c r="BL746" s="1942"/>
      <c r="BM746" s="1942"/>
      <c r="BN746" s="1942"/>
      <c r="BO746" s="1942"/>
      <c r="BP746" s="1942"/>
      <c r="BQ746" s="1942"/>
    </row>
    <row r="747" spans="1:69" s="51" customFormat="1" hidden="1" outlineLevel="1" x14ac:dyDescent="0.25">
      <c r="A747" s="576"/>
      <c r="B747" s="123"/>
      <c r="C747" s="328"/>
      <c r="D747" s="4286"/>
      <c r="E747" s="4291"/>
      <c r="F747" s="1004" t="s">
        <v>1606</v>
      </c>
      <c r="G747" s="194">
        <v>6.4182044887780547</v>
      </c>
      <c r="H747" s="3823"/>
      <c r="I747" s="3823"/>
      <c r="J747" s="3823"/>
      <c r="K747" s="3823"/>
      <c r="L747" s="3823"/>
      <c r="M747" s="3823"/>
      <c r="N747" s="123"/>
      <c r="O747" s="223">
        <v>7.9000000000000001E-2</v>
      </c>
      <c r="P747" s="3561">
        <f t="shared" si="109"/>
        <v>6.84</v>
      </c>
      <c r="Q747" s="228"/>
      <c r="R747" s="3562">
        <f t="shared" si="110"/>
        <v>-1.8417064925982052E-2</v>
      </c>
      <c r="S747" s="228"/>
      <c r="T747" s="228"/>
      <c r="U747" s="228"/>
      <c r="V747" s="4284"/>
      <c r="W747" s="189">
        <v>6.4182044887780547</v>
      </c>
      <c r="X747" s="1012">
        <v>6.4182044887780547</v>
      </c>
      <c r="Y747" s="1010">
        <v>6.4182044887780547</v>
      </c>
      <c r="Z747" s="189">
        <v>6.4182044887780547</v>
      </c>
      <c r="AA747" s="189">
        <v>6.4182044887780547</v>
      </c>
      <c r="AB747" s="189">
        <v>6.4182044887780547</v>
      </c>
      <c r="AC747" s="1601">
        <f t="shared" si="108"/>
        <v>6.4182044887780547</v>
      </c>
      <c r="AD747" s="1011"/>
      <c r="AE747" s="1011"/>
      <c r="AF747" s="1011"/>
      <c r="AG747" s="1011"/>
      <c r="AH747" s="1942"/>
      <c r="AI747" s="1942"/>
      <c r="AJ747" s="1942"/>
      <c r="AK747" s="883"/>
      <c r="AL747" s="1942"/>
      <c r="AM747" s="1942"/>
      <c r="AN747" s="1942"/>
      <c r="AO747" s="1942"/>
      <c r="AP747" s="1942"/>
      <c r="AQ747" s="1942"/>
      <c r="AR747" s="1942"/>
      <c r="AS747" s="1942"/>
      <c r="AT747" s="1942"/>
      <c r="AU747" s="1942"/>
      <c r="AV747" s="1942"/>
      <c r="AW747" s="1942"/>
      <c r="AX747" s="1942"/>
      <c r="AY747" s="1942"/>
      <c r="AZ747" s="1942"/>
      <c r="BA747" s="1942"/>
      <c r="BB747" s="891"/>
      <c r="BC747" s="1942"/>
      <c r="BD747" s="1942"/>
      <c r="BE747" s="1942"/>
      <c r="BF747" s="1942"/>
      <c r="BG747" s="1942"/>
      <c r="BH747" s="1942"/>
      <c r="BI747" s="1942"/>
      <c r="BJ747" s="1942"/>
      <c r="BK747" s="1942"/>
      <c r="BL747" s="1942"/>
      <c r="BM747" s="1942"/>
      <c r="BN747" s="1942"/>
      <c r="BO747" s="1942"/>
      <c r="BP747" s="1942"/>
      <c r="BQ747" s="1942"/>
    </row>
    <row r="748" spans="1:69" s="1942" customFormat="1" hidden="1" outlineLevel="1" x14ac:dyDescent="0.25">
      <c r="A748" s="576"/>
      <c r="B748" s="123"/>
      <c r="C748" s="328"/>
      <c r="D748" s="3822"/>
      <c r="E748" s="4292"/>
      <c r="F748" s="3457" t="s">
        <v>4348</v>
      </c>
      <c r="G748" s="3510">
        <v>7.29</v>
      </c>
      <c r="H748" s="4293" t="s">
        <v>4363</v>
      </c>
      <c r="I748" s="4294"/>
      <c r="J748" s="4295"/>
      <c r="K748" s="4295"/>
      <c r="L748" s="4295"/>
      <c r="M748" s="4295"/>
      <c r="N748" s="123"/>
      <c r="O748" s="223">
        <v>0.13600000000000001</v>
      </c>
      <c r="P748" s="3561">
        <f t="shared" si="109"/>
        <v>7.29</v>
      </c>
      <c r="Q748" s="228"/>
      <c r="R748" s="3562">
        <f t="shared" si="110"/>
        <v>-0.13580246913580252</v>
      </c>
      <c r="S748" s="228"/>
      <c r="T748" s="228"/>
      <c r="U748" s="228"/>
      <c r="V748" s="4284"/>
      <c r="W748" s="3467"/>
      <c r="X748" s="3467"/>
      <c r="Y748" s="3467"/>
      <c r="Z748" s="3467"/>
      <c r="AA748" s="3467"/>
      <c r="AB748" s="3467"/>
      <c r="AC748" s="1601">
        <f t="shared" si="108"/>
        <v>7.29</v>
      </c>
      <c r="AD748" s="1011"/>
      <c r="AE748" s="1011"/>
      <c r="AF748" s="1011"/>
      <c r="AG748" s="1011"/>
      <c r="AK748" s="883"/>
      <c r="BB748" s="891"/>
    </row>
    <row r="749" spans="1:69" s="51" customFormat="1" hidden="1" outlineLevel="1" x14ac:dyDescent="0.25">
      <c r="A749" s="576"/>
      <c r="B749" s="123"/>
      <c r="C749" s="328"/>
      <c r="D749" s="3215" t="str">
        <f>D659</f>
        <v>EUL</v>
      </c>
      <c r="E749" s="1013" t="str">
        <f>E590</f>
        <v>Effective Useful Life</v>
      </c>
      <c r="F749" s="1004" t="s">
        <v>135</v>
      </c>
      <c r="G749" s="1014">
        <v>2</v>
      </c>
      <c r="H749" s="3823" t="s">
        <v>1906</v>
      </c>
      <c r="I749" s="3823"/>
      <c r="J749" s="3823"/>
      <c r="K749" s="3823"/>
      <c r="L749" s="3823"/>
      <c r="M749" s="3823"/>
      <c r="N749" s="123"/>
      <c r="O749" s="123"/>
      <c r="P749" s="123"/>
      <c r="Q749" s="123"/>
      <c r="R749" s="123"/>
      <c r="S749" s="123"/>
      <c r="T749" s="123"/>
      <c r="U749" s="123"/>
      <c r="V749" s="3472" t="str">
        <f>D749</f>
        <v>EUL</v>
      </c>
      <c r="W749" s="1015">
        <v>2</v>
      </c>
      <c r="X749" s="189">
        <v>2</v>
      </c>
      <c r="Y749" s="1010">
        <v>2</v>
      </c>
      <c r="Z749" s="189">
        <v>2</v>
      </c>
      <c r="AA749" s="189">
        <v>2</v>
      </c>
      <c r="AB749" s="189">
        <v>2</v>
      </c>
      <c r="AC749" s="1601">
        <f t="shared" si="108"/>
        <v>2</v>
      </c>
      <c r="AD749" s="1011"/>
      <c r="AE749" s="1011"/>
      <c r="AF749" s="1011"/>
      <c r="AG749" s="1011"/>
      <c r="AH749" s="1942"/>
      <c r="AI749" s="1942"/>
      <c r="AJ749" s="1942"/>
      <c r="AK749" s="883"/>
      <c r="AL749" s="1942"/>
      <c r="AM749" s="1942"/>
      <c r="AN749" s="1942"/>
      <c r="AO749" s="1942"/>
      <c r="AP749" s="1942"/>
      <c r="AQ749" s="1942"/>
      <c r="AR749" s="1942"/>
      <c r="AS749" s="1942"/>
      <c r="AT749" s="1942"/>
      <c r="AU749" s="1942"/>
      <c r="AV749" s="1942"/>
      <c r="AW749" s="1942"/>
      <c r="AX749" s="1942"/>
      <c r="AY749" s="1942"/>
      <c r="AZ749" s="1942"/>
      <c r="BA749" s="1942"/>
      <c r="BB749" s="891"/>
      <c r="BC749" s="1942"/>
      <c r="BD749" s="1942"/>
      <c r="BE749" s="1942"/>
      <c r="BF749" s="1942"/>
      <c r="BG749" s="1942"/>
      <c r="BH749" s="1942"/>
      <c r="BI749" s="1942"/>
      <c r="BJ749" s="1942"/>
      <c r="BK749" s="1942"/>
      <c r="BL749" s="1942"/>
      <c r="BM749" s="1942"/>
      <c r="BN749" s="1942"/>
      <c r="BO749" s="1942"/>
      <c r="BP749" s="1942"/>
      <c r="BQ749" s="1942"/>
    </row>
    <row r="750" spans="1:69" s="97" customFormat="1" hidden="1" outlineLevel="1" x14ac:dyDescent="0.25">
      <c r="A750" s="223"/>
      <c r="B750" s="223"/>
      <c r="C750" s="181"/>
      <c r="D750" s="4282" t="str">
        <f>D591</f>
        <v>Inc. Cost</v>
      </c>
      <c r="E750" s="3823" t="str">
        <f>E591</f>
        <v>Incremental Cost</v>
      </c>
      <c r="F750" s="1004" t="s">
        <v>1602</v>
      </c>
      <c r="G750" s="3493">
        <v>70</v>
      </c>
      <c r="H750" s="3823"/>
      <c r="I750" s="3823"/>
      <c r="J750" s="3823"/>
      <c r="K750" s="3823"/>
      <c r="L750" s="3823"/>
      <c r="M750" s="3823"/>
      <c r="N750" s="151"/>
      <c r="O750" s="151"/>
      <c r="P750" s="151"/>
      <c r="Q750" s="151"/>
      <c r="R750" s="223"/>
      <c r="S750" s="223"/>
      <c r="T750" s="223"/>
      <c r="U750" s="223"/>
      <c r="V750" s="4284" t="str">
        <f>D750</f>
        <v>Inc. Cost</v>
      </c>
      <c r="W750" s="1005">
        <v>70</v>
      </c>
      <c r="X750" s="196">
        <v>70</v>
      </c>
      <c r="Y750" s="197">
        <v>70</v>
      </c>
      <c r="Z750" s="196">
        <v>70</v>
      </c>
      <c r="AA750" s="196">
        <v>70</v>
      </c>
      <c r="AB750" s="196">
        <v>70</v>
      </c>
      <c r="AC750" s="3508">
        <f t="shared" si="108"/>
        <v>70</v>
      </c>
      <c r="AD750" s="198"/>
      <c r="AE750" s="198"/>
      <c r="AF750" s="198"/>
      <c r="AG750" s="198"/>
      <c r="AK750" s="883"/>
      <c r="BB750" s="1002"/>
    </row>
    <row r="751" spans="1:69" s="97" customFormat="1" ht="30" hidden="1" outlineLevel="1" x14ac:dyDescent="0.25">
      <c r="A751" s="223"/>
      <c r="B751" s="223"/>
      <c r="C751" s="181"/>
      <c r="D751" s="4282"/>
      <c r="E751" s="3823"/>
      <c r="F751" s="1004" t="s">
        <v>1603</v>
      </c>
      <c r="G751" s="3493">
        <v>81</v>
      </c>
      <c r="H751" s="3823"/>
      <c r="I751" s="3823"/>
      <c r="J751" s="3823"/>
      <c r="K751" s="3823"/>
      <c r="L751" s="3823"/>
      <c r="M751" s="3823"/>
      <c r="N751" s="151"/>
      <c r="O751" s="151"/>
      <c r="P751" s="151"/>
      <c r="Q751" s="151"/>
      <c r="R751" s="223"/>
      <c r="S751" s="223"/>
      <c r="T751" s="223"/>
      <c r="U751" s="223"/>
      <c r="V751" s="4284"/>
      <c r="W751" s="1005">
        <v>81</v>
      </c>
      <c r="X751" s="196">
        <v>81</v>
      </c>
      <c r="Y751" s="197">
        <v>81</v>
      </c>
      <c r="Z751" s="196">
        <v>81</v>
      </c>
      <c r="AA751" s="196">
        <v>81</v>
      </c>
      <c r="AB751" s="196">
        <v>81</v>
      </c>
      <c r="AC751" s="3508">
        <f t="shared" si="108"/>
        <v>81</v>
      </c>
      <c r="AD751" s="198"/>
      <c r="AE751" s="198"/>
      <c r="AF751" s="198"/>
      <c r="AG751" s="198"/>
      <c r="AK751" s="883"/>
      <c r="BB751" s="1002"/>
    </row>
    <row r="752" spans="1:69" s="97" customFormat="1" hidden="1" outlineLevel="1" x14ac:dyDescent="0.25">
      <c r="A752" s="223"/>
      <c r="B752" s="223"/>
      <c r="C752" s="181"/>
      <c r="D752" s="4282"/>
      <c r="E752" s="3823"/>
      <c r="F752" s="1004" t="s">
        <v>1604</v>
      </c>
      <c r="G752" s="3493">
        <v>63</v>
      </c>
      <c r="H752" s="3823"/>
      <c r="I752" s="3823"/>
      <c r="J752" s="3823"/>
      <c r="K752" s="3823"/>
      <c r="L752" s="3823"/>
      <c r="M752" s="3823"/>
      <c r="N752" s="151"/>
      <c r="O752" s="151"/>
      <c r="P752" s="151"/>
      <c r="Q752" s="151"/>
      <c r="R752" s="223"/>
      <c r="S752" s="223"/>
      <c r="T752" s="223"/>
      <c r="U752" s="223"/>
      <c r="V752" s="4284"/>
      <c r="W752" s="1005">
        <v>63</v>
      </c>
      <c r="X752" s="196">
        <v>63</v>
      </c>
      <c r="Y752" s="197">
        <v>63</v>
      </c>
      <c r="Z752" s="196">
        <v>63</v>
      </c>
      <c r="AA752" s="196">
        <v>63</v>
      </c>
      <c r="AB752" s="196">
        <v>63</v>
      </c>
      <c r="AC752" s="3508">
        <f t="shared" si="108"/>
        <v>63</v>
      </c>
      <c r="AD752" s="198"/>
      <c r="AE752" s="198"/>
      <c r="AF752" s="198"/>
      <c r="AG752" s="198"/>
      <c r="AK752" s="883"/>
      <c r="BB752" s="1002"/>
    </row>
    <row r="753" spans="1:57" s="97" customFormat="1" hidden="1" outlineLevel="1" x14ac:dyDescent="0.25">
      <c r="A753" s="223"/>
      <c r="B753" s="223"/>
      <c r="C753" s="181"/>
      <c r="D753" s="4282"/>
      <c r="E753" s="3823"/>
      <c r="F753" s="1004" t="s">
        <v>1606</v>
      </c>
      <c r="G753" s="3494">
        <v>31</v>
      </c>
      <c r="H753" s="3823"/>
      <c r="I753" s="3823"/>
      <c r="J753" s="3823"/>
      <c r="K753" s="3823"/>
      <c r="L753" s="3823"/>
      <c r="M753" s="3823"/>
      <c r="N753" s="223"/>
      <c r="O753" s="223"/>
      <c r="P753" s="223"/>
      <c r="Q753" s="223"/>
      <c r="R753" s="223"/>
      <c r="S753" s="223"/>
      <c r="T753" s="223"/>
      <c r="U753" s="223"/>
      <c r="V753" s="4284"/>
      <c r="W753" s="196">
        <v>31</v>
      </c>
      <c r="X753" s="196">
        <v>31</v>
      </c>
      <c r="Y753" s="197">
        <v>31</v>
      </c>
      <c r="Z753" s="196">
        <v>31</v>
      </c>
      <c r="AA753" s="196">
        <v>31</v>
      </c>
      <c r="AB753" s="196">
        <v>31</v>
      </c>
      <c r="AC753" s="3508">
        <f t="shared" si="108"/>
        <v>31</v>
      </c>
      <c r="AD753" s="198"/>
      <c r="AE753" s="198"/>
      <c r="AF753" s="198"/>
      <c r="AG753" s="198"/>
      <c r="AK753" s="883"/>
      <c r="BB753" s="1002"/>
    </row>
    <row r="754" spans="1:57" s="97" customFormat="1" hidden="1" outlineLevel="1" x14ac:dyDescent="0.25">
      <c r="A754" s="223"/>
      <c r="B754" s="223"/>
      <c r="C754" s="181"/>
      <c r="D754" s="4282"/>
      <c r="E754" s="3823"/>
      <c r="F754" s="3457" t="s">
        <v>4348</v>
      </c>
      <c r="G754" s="3495">
        <v>185</v>
      </c>
      <c r="H754" s="4283" t="s">
        <v>4385</v>
      </c>
      <c r="I754" s="4283"/>
      <c r="J754" s="4283"/>
      <c r="K754" s="4283"/>
      <c r="L754" s="4283"/>
      <c r="M754" s="4283"/>
      <c r="N754" s="223"/>
      <c r="O754" s="223"/>
      <c r="P754" s="223"/>
      <c r="Q754" s="223"/>
      <c r="R754" s="223"/>
      <c r="S754" s="223"/>
      <c r="T754" s="223"/>
      <c r="U754" s="223"/>
      <c r="V754" s="4284"/>
      <c r="W754" s="3467"/>
      <c r="X754" s="3467"/>
      <c r="Y754" s="3467"/>
      <c r="Z754" s="3467"/>
      <c r="AA754" s="3467"/>
      <c r="AB754" s="3467"/>
      <c r="AC754" s="3508">
        <f t="shared" si="108"/>
        <v>185</v>
      </c>
      <c r="AD754" s="198"/>
      <c r="AE754" s="198"/>
      <c r="AF754" s="198"/>
      <c r="AG754" s="198"/>
      <c r="AK754" s="883"/>
      <c r="BB754" s="1002"/>
    </row>
    <row r="755" spans="1:57" ht="15" hidden="1" customHeight="1" outlineLevel="1" x14ac:dyDescent="0.25">
      <c r="B755" s="1233"/>
      <c r="C755" s="225"/>
      <c r="AK755" s="883"/>
    </row>
    <row r="756" spans="1:57" collapsed="1" x14ac:dyDescent="0.25">
      <c r="B756" s="1233"/>
      <c r="C756" s="225"/>
      <c r="AK756" s="883"/>
    </row>
    <row r="757" spans="1:57" ht="15" customHeight="1" x14ac:dyDescent="0.25">
      <c r="B757" s="3750" t="s">
        <v>1923</v>
      </c>
      <c r="C757" s="3751"/>
      <c r="D757" s="3751"/>
      <c r="E757" s="3751"/>
      <c r="F757" s="3751"/>
      <c r="G757" s="3751"/>
      <c r="H757" s="3751"/>
      <c r="I757" s="3744"/>
      <c r="J757" s="3744"/>
      <c r="K757" s="3744"/>
      <c r="L757" s="3744"/>
      <c r="M757" s="3744"/>
      <c r="N757" s="3744"/>
      <c r="O757" s="3744"/>
      <c r="P757" s="3744"/>
      <c r="Q757" s="3744"/>
      <c r="R757" s="3745"/>
      <c r="V757" s="3808" t="str">
        <f>B757</f>
        <v>Low Flow Faucet Aerators (Bathroom)</v>
      </c>
      <c r="W757" s="3809"/>
      <c r="X757" s="3809"/>
      <c r="Y757" s="3809"/>
      <c r="Z757" s="3809"/>
      <c r="AA757" s="3809"/>
      <c r="AB757" s="3809"/>
      <c r="AC757" s="3810"/>
      <c r="AD757" s="3810"/>
      <c r="AE757" s="3810"/>
      <c r="AF757" s="3810"/>
      <c r="AG757" s="3810"/>
      <c r="AH757" s="3810"/>
      <c r="AI757" s="3811"/>
      <c r="AK757" s="883"/>
    </row>
    <row r="758" spans="1:57" ht="15" customHeight="1" x14ac:dyDescent="0.25">
      <c r="B758" s="1233"/>
      <c r="C758" s="225"/>
      <c r="D758" s="419"/>
      <c r="E758" s="419"/>
      <c r="F758" s="226"/>
      <c r="G758" s="226"/>
      <c r="H758" s="226"/>
      <c r="I758" s="226"/>
      <c r="J758" s="226"/>
      <c r="K758" s="226"/>
      <c r="L758" s="1438"/>
      <c r="AK758" s="883"/>
    </row>
    <row r="759" spans="1:57" ht="30" x14ac:dyDescent="0.25">
      <c r="B759" s="1233"/>
      <c r="C759" s="3086" t="s">
        <v>28</v>
      </c>
      <c r="D759" s="3086" t="s">
        <v>175</v>
      </c>
      <c r="E759" s="3086" t="s">
        <v>30</v>
      </c>
      <c r="F759" s="3086" t="s">
        <v>1765</v>
      </c>
      <c r="G759" s="3086" t="s">
        <v>176</v>
      </c>
      <c r="H759" s="3086" t="s">
        <v>177</v>
      </c>
      <c r="I759" s="3086" t="s">
        <v>606</v>
      </c>
      <c r="J759" s="3086" t="s">
        <v>32</v>
      </c>
      <c r="K759" s="3086" t="s">
        <v>181</v>
      </c>
      <c r="L759" s="3086" t="s">
        <v>170</v>
      </c>
      <c r="M759" s="3086" t="s">
        <v>44</v>
      </c>
      <c r="V759" s="1936" t="s">
        <v>45</v>
      </c>
      <c r="W759" s="1937">
        <f>W$6</f>
        <v>43252</v>
      </c>
      <c r="X759" s="1937">
        <f t="shared" ref="X759:AG759" si="111">X$6</f>
        <v>43465</v>
      </c>
      <c r="Y759" s="360">
        <f t="shared" si="111"/>
        <v>43800</v>
      </c>
      <c r="Z759" s="1937">
        <f t="shared" si="111"/>
        <v>43862</v>
      </c>
      <c r="AA759" s="1937">
        <f t="shared" si="111"/>
        <v>44013</v>
      </c>
      <c r="AB759" s="1937">
        <f t="shared" si="111"/>
        <v>44166</v>
      </c>
      <c r="AC759" s="1937">
        <f t="shared" si="111"/>
        <v>44531</v>
      </c>
      <c r="AD759" s="1937" t="str">
        <f t="shared" si="111"/>
        <v>-</v>
      </c>
      <c r="AE759" s="1937" t="str">
        <f t="shared" si="111"/>
        <v>-</v>
      </c>
      <c r="AF759" s="1937" t="str">
        <f t="shared" si="111"/>
        <v>-</v>
      </c>
      <c r="AG759" s="1937" t="str">
        <f t="shared" si="111"/>
        <v>-</v>
      </c>
      <c r="AK759" s="883"/>
      <c r="BB759" s="1938" t="str">
        <f>$BB$6</f>
        <v>TRC (2020)</v>
      </c>
      <c r="BC759" s="1953" t="str">
        <f>$BC$6</f>
        <v>Benefit Lookup</v>
      </c>
      <c r="BD759" s="665" t="str">
        <f>$BD$6</f>
        <v>Benefits (2019 $)</v>
      </c>
      <c r="BE759" s="230" t="str">
        <f>$BE$6</f>
        <v>Incremental Cost (2019 $)</v>
      </c>
    </row>
    <row r="760" spans="1:57" s="892" customFormat="1" x14ac:dyDescent="0.25">
      <c r="A760" s="910"/>
      <c r="B760" s="1606"/>
      <c r="C760" s="2667" t="s">
        <v>1924</v>
      </c>
      <c r="D760" s="2695" t="s">
        <v>1577</v>
      </c>
      <c r="E760" s="3166" t="s">
        <v>1925</v>
      </c>
      <c r="F760" s="531">
        <f>ROUND(G772*(G773*G774-G775*G776)*G777*G778*G779/G780*I760*G788*G787,2)</f>
        <v>37.020000000000003</v>
      </c>
      <c r="G760" s="451" t="s">
        <v>1926</v>
      </c>
      <c r="H760" s="449">
        <f>VLOOKUP(G760,'CP FACTORS'!$A$3:$B$38, 2, FALSE)</f>
        <v>8.8731800000000003E-5</v>
      </c>
      <c r="I760" s="526">
        <f>$G$781*$G$782*($G$783-$G$784)/($G$785*$G$786)</f>
        <v>4.658558030480657E-2</v>
      </c>
      <c r="J760" s="1666">
        <f>ROUND(F760*H760,6)</f>
        <v>3.2850000000000002E-3</v>
      </c>
      <c r="K760" s="2298">
        <f>$G$790</f>
        <v>11</v>
      </c>
      <c r="L760" s="2297">
        <f>G791</f>
        <v>3</v>
      </c>
      <c r="M760" s="451" t="s">
        <v>185</v>
      </c>
      <c r="N760" s="910"/>
      <c r="O760" s="910"/>
      <c r="P760" s="1061"/>
      <c r="Q760" s="1061"/>
      <c r="R760" s="1431"/>
      <c r="S760" s="1061"/>
      <c r="T760" s="1061"/>
      <c r="U760" s="910"/>
      <c r="V760" s="1016" t="str">
        <f>F759</f>
        <v>kWh
Annual Savings</v>
      </c>
      <c r="W760" s="988">
        <v>38.83611813974143</v>
      </c>
      <c r="X760" s="1017">
        <v>40.786805206808886</v>
      </c>
      <c r="Y760" s="425">
        <v>36.979999999999997</v>
      </c>
      <c r="Z760" s="2162">
        <v>36.979999999999997</v>
      </c>
      <c r="AA760" s="2162">
        <v>36.979999999999997</v>
      </c>
      <c r="AB760" s="1975">
        <v>37.020000000000003</v>
      </c>
      <c r="AC760" s="1066">
        <v>37.020000000000003</v>
      </c>
      <c r="AD760" s="1016"/>
      <c r="AE760" s="1016"/>
      <c r="AF760" s="1016"/>
      <c r="AG760" s="1016"/>
      <c r="AH760" s="394"/>
      <c r="AK760" s="1018"/>
      <c r="BB760" s="1019">
        <f>(BD760)/(BE760)</f>
        <v>4.8410687977914924</v>
      </c>
      <c r="BC760" s="3166" t="str">
        <f>CONCATENATE(G760," ",K760," Year EUL")</f>
        <v>Water heating RES 11 Year EUL</v>
      </c>
      <c r="BD760" s="111">
        <f>(INDEX('Avoided Cost Benefits'!$C$4:$C$857,MATCH(BC760,'Avoided Cost Benefits'!$A$4:$A$857,0)))*F760</f>
        <v>13.707603957880581</v>
      </c>
      <c r="BE760" s="1020">
        <f>L760/(1.0595^(2020-2019))</f>
        <v>2.8315243039169418</v>
      </c>
    </row>
    <row r="761" spans="1:57" s="892" customFormat="1" x14ac:dyDescent="0.25">
      <c r="A761" s="910"/>
      <c r="B761" s="1606"/>
      <c r="C761" s="451" t="s">
        <v>1927</v>
      </c>
      <c r="D761" s="2695" t="s">
        <v>1571</v>
      </c>
      <c r="E761" s="981" t="s">
        <v>1928</v>
      </c>
      <c r="F761" s="531">
        <f>ROUND(G772*(G773*G774-G775*G776)*G777*G778*G779/G780*I760*G788*G787,2)</f>
        <v>37.020000000000003</v>
      </c>
      <c r="G761" s="451" t="s">
        <v>1926</v>
      </c>
      <c r="H761" s="155">
        <f>VLOOKUP(G761,'CP FACTORS'!$A$3:$B$38, 2, FALSE)</f>
        <v>8.8731800000000003E-5</v>
      </c>
      <c r="I761" s="526">
        <f t="shared" ref="I761:I763" si="112">$G$781*$G$782*($G$783-$G$784)/($G$785*$G$786)</f>
        <v>4.658558030480657E-2</v>
      </c>
      <c r="J761" s="1666">
        <f>ROUND(F761*H761,6)</f>
        <v>3.2850000000000002E-3</v>
      </c>
      <c r="K761" s="2298">
        <f>$G$790</f>
        <v>11</v>
      </c>
      <c r="L761" s="2297">
        <f>G791</f>
        <v>3</v>
      </c>
      <c r="M761" s="451" t="s">
        <v>185</v>
      </c>
      <c r="N761" s="910"/>
      <c r="O761" s="910"/>
      <c r="P761" s="1061"/>
      <c r="Q761" s="1061"/>
      <c r="R761" s="1431"/>
      <c r="S761" s="1061"/>
      <c r="T761" s="1061"/>
      <c r="U761" s="910"/>
      <c r="V761" s="1962" t="str">
        <f>V760</f>
        <v>kWh
Annual Savings</v>
      </c>
      <c r="W761" s="988"/>
      <c r="X761" s="1017"/>
      <c r="Y761" s="425"/>
      <c r="Z761" s="2162"/>
      <c r="AA761" s="2162"/>
      <c r="AB761" s="1975">
        <v>37.020000000000003</v>
      </c>
      <c r="AC761" s="1066">
        <v>37.020000000000003</v>
      </c>
      <c r="AD761" s="1016"/>
      <c r="AE761" s="1016"/>
      <c r="AF761" s="1016"/>
      <c r="AG761" s="1016"/>
      <c r="AH761" s="394"/>
      <c r="AK761" s="1018"/>
      <c r="BB761" s="1019">
        <f>(BD761)/(BE761)</f>
        <v>4.8410687977914924</v>
      </c>
      <c r="BC761" s="3565" t="str">
        <f>CONCATENATE(G761," ",K761," Year EUL")</f>
        <v>Water heating RES 11 Year EUL</v>
      </c>
      <c r="BD761" s="111">
        <f>(INDEX('Avoided Cost Benefits'!$C$4:$C$857,MATCH(BC761,'Avoided Cost Benefits'!$A$4:$A$857,0)))*F761</f>
        <v>13.707603957880581</v>
      </c>
      <c r="BE761" s="1020">
        <f>L761/(1.0595^(2020-2019))</f>
        <v>2.8315243039169418</v>
      </c>
    </row>
    <row r="762" spans="1:57" s="892" customFormat="1" x14ac:dyDescent="0.25">
      <c r="A762" s="910"/>
      <c r="B762" s="1606"/>
      <c r="C762" s="2667" t="s">
        <v>1929</v>
      </c>
      <c r="D762" s="3176" t="s">
        <v>1930</v>
      </c>
      <c r="E762" s="3166" t="s">
        <v>1931</v>
      </c>
      <c r="F762" s="2614">
        <f>ROUND(G772*(G773*G774-G775*G776)*G777*G778*G779/G780*I762*G789*G787,2)</f>
        <v>35.17</v>
      </c>
      <c r="G762" s="451" t="s">
        <v>1926</v>
      </c>
      <c r="H762" s="449">
        <f>VLOOKUP(G762,'CP FACTORS'!$A$3:$B$38, 2, FALSE)</f>
        <v>8.8731800000000003E-5</v>
      </c>
      <c r="I762" s="526">
        <f t="shared" si="112"/>
        <v>4.658558030480657E-2</v>
      </c>
      <c r="J762" s="1666">
        <f>ROUND(F762*H762,6)</f>
        <v>3.1210000000000001E-3</v>
      </c>
      <c r="K762" s="2298">
        <f>$G$790</f>
        <v>11</v>
      </c>
      <c r="L762" s="2297">
        <f>$G$792</f>
        <v>11.33</v>
      </c>
      <c r="M762" s="451" t="s">
        <v>185</v>
      </c>
      <c r="N762" s="910"/>
      <c r="O762" s="910"/>
      <c r="P762" s="910"/>
      <c r="Q762" s="910"/>
      <c r="R762" s="1431"/>
      <c r="S762" s="910"/>
      <c r="T762" s="910"/>
      <c r="U762" s="910"/>
      <c r="V762" s="1016" t="str">
        <f t="shared" ref="V762:V763" si="113">V761</f>
        <v>kWh
Annual Savings</v>
      </c>
      <c r="W762" s="988">
        <v>37.942887422527377</v>
      </c>
      <c r="X762" s="1021">
        <v>40.786805206808886</v>
      </c>
      <c r="Y762" s="425">
        <v>35.130000000000003</v>
      </c>
      <c r="Z762" s="2162">
        <v>35.130000000000003</v>
      </c>
      <c r="AA762" s="2162">
        <v>35.130000000000003</v>
      </c>
      <c r="AB762" s="1975">
        <v>35.17</v>
      </c>
      <c r="AC762" s="1066">
        <v>35.17</v>
      </c>
      <c r="AD762" s="1016"/>
      <c r="AE762" s="1016"/>
      <c r="AF762" s="1016"/>
      <c r="AG762" s="1016"/>
      <c r="AH762" s="394"/>
      <c r="AK762" s="1018"/>
      <c r="BB762" s="1022">
        <f>(BD762)/(BE762)</f>
        <v>1.217779203948774</v>
      </c>
      <c r="BC762" s="1948" t="str">
        <f>CONCATENATE(G762," ",K762," Year EUL")</f>
        <v>Water heating RES 11 Year EUL</v>
      </c>
      <c r="BD762" s="114">
        <f>(INDEX('Avoided Cost Benefits'!$C$4:$C$857,MATCH(BC762,'Avoided Cost Benefits'!$A$4:$A$857,0)))*F762</f>
        <v>13.022594035620205</v>
      </c>
      <c r="BE762" s="1023">
        <f>L762/(1.0595^(2020-2019))</f>
        <v>10.693723454459649</v>
      </c>
    </row>
    <row r="763" spans="1:57" s="892" customFormat="1" x14ac:dyDescent="0.25">
      <c r="A763" s="910"/>
      <c r="B763" s="1606"/>
      <c r="C763" s="2667" t="s">
        <v>1932</v>
      </c>
      <c r="D763" s="3176" t="s">
        <v>1933</v>
      </c>
      <c r="E763" s="3166" t="s">
        <v>1934</v>
      </c>
      <c r="F763" s="531">
        <f>ROUND(G772*(G773*G774-G775*G776)*G777*G778*G779/G780*I763*G789*G787,2)</f>
        <v>35.17</v>
      </c>
      <c r="G763" s="451" t="s">
        <v>1926</v>
      </c>
      <c r="H763" s="449">
        <f>VLOOKUP(G763,'CP FACTORS'!$A$3:$B$38, 2, FALSE)</f>
        <v>8.8731800000000003E-5</v>
      </c>
      <c r="I763" s="526">
        <f t="shared" si="112"/>
        <v>4.658558030480657E-2</v>
      </c>
      <c r="J763" s="1666">
        <f>ROUND(F763*H763,6)</f>
        <v>3.1210000000000001E-3</v>
      </c>
      <c r="K763" s="2298">
        <f>$G$790</f>
        <v>11</v>
      </c>
      <c r="L763" s="2297">
        <f>$G$792</f>
        <v>11.33</v>
      </c>
      <c r="M763" s="451" t="s">
        <v>185</v>
      </c>
      <c r="N763" s="910"/>
      <c r="O763" s="910"/>
      <c r="P763" s="910"/>
      <c r="Q763" s="910"/>
      <c r="R763" s="1431"/>
      <c r="S763" s="910"/>
      <c r="T763" s="910"/>
      <c r="U763" s="910"/>
      <c r="V763" s="1016" t="str">
        <f t="shared" si="113"/>
        <v>kWh
Annual Savings</v>
      </c>
      <c r="W763" s="988">
        <v>37.942887422527377</v>
      </c>
      <c r="X763" s="1017">
        <v>40.786805206808886</v>
      </c>
      <c r="Y763" s="425">
        <v>35.130000000000003</v>
      </c>
      <c r="Z763" s="2162">
        <v>35.130000000000003</v>
      </c>
      <c r="AA763" s="2162">
        <v>35.130000000000003</v>
      </c>
      <c r="AB763" s="1975">
        <v>35.17</v>
      </c>
      <c r="AC763" s="1066">
        <v>35.17</v>
      </c>
      <c r="AD763" s="1016"/>
      <c r="AE763" s="1016"/>
      <c r="AF763" s="1016"/>
      <c r="AG763" s="1016"/>
      <c r="AH763" s="394"/>
      <c r="AK763" s="1018"/>
      <c r="BB763" s="1024">
        <f>(BD763)/(BE763)</f>
        <v>1.217779203948774</v>
      </c>
      <c r="BC763" s="1948" t="str">
        <f>CONCATENATE(G763," ",K763," Year EUL")</f>
        <v>Water heating RES 11 Year EUL</v>
      </c>
      <c r="BD763" s="119">
        <f>(INDEX('Avoided Cost Benefits'!$C$4:$C$857,MATCH(BC763,'Avoided Cost Benefits'!$A$4:$A$857,0)))*F763</f>
        <v>13.022594035620205</v>
      </c>
      <c r="BE763" s="1025">
        <f>L763/(1.0595^(2020-2019))</f>
        <v>10.693723454459649</v>
      </c>
    </row>
    <row r="764" spans="1:57" hidden="1" outlineLevel="1" x14ac:dyDescent="0.25">
      <c r="B764" s="1233"/>
      <c r="C764" s="225"/>
      <c r="D764" s="1208"/>
      <c r="E764" s="1208"/>
      <c r="F764" s="1667"/>
      <c r="G764" s="947"/>
      <c r="H764" s="1668"/>
      <c r="I764" s="1026"/>
      <c r="J764" s="1026"/>
      <c r="K764" s="1026"/>
      <c r="L764" s="1669"/>
      <c r="V764" s="1930"/>
      <c r="W764" s="1942"/>
      <c r="X764" s="1930"/>
      <c r="Y764" s="103"/>
      <c r="Z764" s="1930"/>
      <c r="AA764" s="1930"/>
      <c r="AB764" s="1930"/>
      <c r="AC764" s="1930"/>
      <c r="AD764" s="1930"/>
      <c r="AE764" s="1930"/>
      <c r="AF764" s="1930"/>
      <c r="AG764" s="1930"/>
      <c r="AH764" s="163"/>
      <c r="AK764" s="883"/>
    </row>
    <row r="765" spans="1:57" hidden="1" outlineLevel="1" x14ac:dyDescent="0.25">
      <c r="B765" s="1233"/>
      <c r="C765" s="225"/>
      <c r="D765" s="1213"/>
      <c r="E765" s="1213"/>
      <c r="F765" s="1667"/>
      <c r="G765" s="1500"/>
      <c r="H765" s="1670"/>
      <c r="I765" s="1027"/>
      <c r="J765" s="1027"/>
      <c r="K765" s="1027"/>
      <c r="L765" s="1027"/>
      <c r="V765" s="1930"/>
      <c r="W765" s="1930"/>
      <c r="X765" s="1930"/>
      <c r="Y765" s="103"/>
      <c r="Z765" s="1930"/>
      <c r="AA765" s="1930"/>
      <c r="AB765" s="1930"/>
      <c r="AC765" s="1930"/>
      <c r="AD765" s="1930"/>
      <c r="AE765" s="1930"/>
      <c r="AF765" s="1930"/>
      <c r="AG765" s="1930"/>
      <c r="AK765" s="883"/>
    </row>
    <row r="766" spans="1:57" hidden="1" outlineLevel="1" x14ac:dyDescent="0.25">
      <c r="B766" s="1233"/>
      <c r="C766" s="225"/>
      <c r="D766" s="174" t="s">
        <v>108</v>
      </c>
      <c r="E766" s="1213"/>
      <c r="F766" s="1667"/>
      <c r="G766" s="1027"/>
      <c r="H766" s="1500"/>
      <c r="I766" s="1027"/>
      <c r="J766" s="1027"/>
      <c r="K766" s="1027"/>
      <c r="L766" s="1027"/>
      <c r="V766" s="1930"/>
      <c r="W766" s="1930"/>
      <c r="X766" s="1930"/>
      <c r="Y766" s="103"/>
      <c r="Z766" s="1930"/>
      <c r="AA766" s="1930"/>
      <c r="AB766" s="1930"/>
      <c r="AC766" s="1930"/>
      <c r="AD766" s="1930"/>
      <c r="AE766" s="1930"/>
      <c r="AF766" s="1930"/>
      <c r="AG766" s="1930"/>
      <c r="AK766" s="883"/>
    </row>
    <row r="767" spans="1:57" hidden="1" outlineLevel="1" x14ac:dyDescent="0.25">
      <c r="B767" s="1233"/>
      <c r="C767" s="253"/>
      <c r="D767" s="1671"/>
      <c r="E767" s="1672"/>
      <c r="F767" s="1673"/>
      <c r="G767" s="1673"/>
      <c r="H767" s="1027"/>
      <c r="I767" s="1027"/>
      <c r="J767" s="1027"/>
      <c r="K767" s="1027"/>
      <c r="L767" s="1027"/>
      <c r="V767" s="1930"/>
      <c r="W767" s="1930"/>
      <c r="X767" s="1930"/>
      <c r="Y767" s="103"/>
      <c r="Z767" s="1930"/>
      <c r="AA767" s="1930"/>
      <c r="AB767" s="1930"/>
      <c r="AC767" s="1930"/>
      <c r="AD767" s="1930"/>
      <c r="AE767" s="1930"/>
      <c r="AF767" s="1930"/>
      <c r="AG767" s="1930"/>
      <c r="AK767" s="883"/>
    </row>
    <row r="768" spans="1:57" hidden="1" outlineLevel="1" x14ac:dyDescent="0.25">
      <c r="B768" s="1233"/>
      <c r="C768" s="267"/>
      <c r="D768" s="1674"/>
      <c r="E768" s="1675"/>
      <c r="F768" s="1676"/>
      <c r="G768" s="1676"/>
      <c r="H768" s="1027"/>
      <c r="I768" s="1027"/>
      <c r="J768" s="1027"/>
      <c r="K768" s="1027"/>
      <c r="L768" s="1027"/>
      <c r="V768" s="1930"/>
      <c r="W768" s="1930"/>
      <c r="X768" s="1930"/>
      <c r="Y768" s="103"/>
      <c r="Z768" s="1930"/>
      <c r="AA768" s="1930"/>
      <c r="AB768" s="1930"/>
      <c r="AC768" s="1930"/>
      <c r="AD768" s="1930"/>
      <c r="AE768" s="1930"/>
      <c r="AF768" s="1930"/>
      <c r="AG768" s="1930"/>
      <c r="AK768" s="883"/>
    </row>
    <row r="769" spans="2:37" ht="15" hidden="1" customHeight="1" outlineLevel="1" x14ac:dyDescent="0.25">
      <c r="B769" s="1233"/>
      <c r="C769" s="267"/>
      <c r="D769" s="1611"/>
      <c r="E769" s="1612"/>
      <c r="F769" s="1613"/>
      <c r="G769" s="1613"/>
      <c r="V769" s="1930"/>
      <c r="W769" s="1930"/>
      <c r="X769" s="1930"/>
      <c r="Y769" s="103"/>
      <c r="Z769" s="1930"/>
      <c r="AA769" s="1930"/>
      <c r="AB769" s="1930"/>
      <c r="AC769" s="1930"/>
      <c r="AD769" s="1930"/>
      <c r="AE769" s="1930"/>
      <c r="AF769" s="1930"/>
      <c r="AG769" s="1930"/>
      <c r="AK769" s="883"/>
    </row>
    <row r="770" spans="2:37" hidden="1" outlineLevel="1" x14ac:dyDescent="0.25">
      <c r="B770" s="1233"/>
      <c r="C770" s="225"/>
      <c r="D770" s="1678"/>
      <c r="V770" s="1930"/>
      <c r="W770" s="1930"/>
      <c r="X770" s="1930"/>
      <c r="Y770" s="103"/>
      <c r="Z770" s="1930"/>
      <c r="AA770" s="1930"/>
      <c r="AB770" s="1930"/>
      <c r="AC770" s="1930"/>
      <c r="AD770" s="1930"/>
      <c r="AE770" s="1930"/>
      <c r="AF770" s="1930"/>
      <c r="AG770" s="1930"/>
      <c r="AK770" s="883"/>
    </row>
    <row r="771" spans="2:37" ht="45.75" hidden="1" customHeight="1" outlineLevel="1" x14ac:dyDescent="0.25">
      <c r="B771" s="1233"/>
      <c r="C771" s="225"/>
      <c r="D771" s="3236" t="s">
        <v>109</v>
      </c>
      <c r="E771" s="3236" t="s">
        <v>110</v>
      </c>
      <c r="F771" s="3086" t="s">
        <v>1935</v>
      </c>
      <c r="G771" s="3136" t="s">
        <v>112</v>
      </c>
      <c r="H771" s="3773" t="s">
        <v>187</v>
      </c>
      <c r="I771" s="3773"/>
      <c r="J771" s="4154" t="s">
        <v>113</v>
      </c>
      <c r="K771" s="4278"/>
      <c r="L771" s="4279"/>
      <c r="V771" s="1936" t="s">
        <v>45</v>
      </c>
      <c r="W771" s="1937">
        <f>W$6</f>
        <v>43252</v>
      </c>
      <c r="X771" s="1937">
        <f t="shared" ref="X771:AG771" si="114">X$6</f>
        <v>43465</v>
      </c>
      <c r="Y771" s="360">
        <f t="shared" si="114"/>
        <v>43800</v>
      </c>
      <c r="Z771" s="1937">
        <f t="shared" si="114"/>
        <v>43862</v>
      </c>
      <c r="AA771" s="1937">
        <f t="shared" si="114"/>
        <v>44013</v>
      </c>
      <c r="AB771" s="1937">
        <f t="shared" si="114"/>
        <v>44166</v>
      </c>
      <c r="AC771" s="1937">
        <f t="shared" si="114"/>
        <v>44531</v>
      </c>
      <c r="AD771" s="1937" t="str">
        <f t="shared" si="114"/>
        <v>-</v>
      </c>
      <c r="AE771" s="1937" t="str">
        <f t="shared" si="114"/>
        <v>-</v>
      </c>
      <c r="AF771" s="1937" t="str">
        <f t="shared" si="114"/>
        <v>-</v>
      </c>
      <c r="AG771" s="1937" t="str">
        <f t="shared" si="114"/>
        <v>-</v>
      </c>
      <c r="AK771" s="883"/>
    </row>
    <row r="772" spans="2:37" ht="15" hidden="1" customHeight="1" outlineLevel="1" x14ac:dyDescent="0.25">
      <c r="B772" s="1233"/>
      <c r="D772" s="3089" t="s">
        <v>615</v>
      </c>
      <c r="E772" s="3089" t="s">
        <v>616</v>
      </c>
      <c r="F772" s="3089"/>
      <c r="G772" s="1040">
        <v>1</v>
      </c>
      <c r="H772" s="3927" t="s">
        <v>600</v>
      </c>
      <c r="I772" s="3928"/>
      <c r="J772" s="4280" t="s">
        <v>1816</v>
      </c>
      <c r="K772" s="4281"/>
      <c r="L772" s="4281"/>
      <c r="V772" s="3212" t="s">
        <v>615</v>
      </c>
      <c r="W772" s="966">
        <v>1</v>
      </c>
      <c r="X772" s="966">
        <v>1</v>
      </c>
      <c r="Y772" s="966">
        <v>1</v>
      </c>
      <c r="Z772" s="1040">
        <v>1</v>
      </c>
      <c r="AA772" s="1040">
        <v>1</v>
      </c>
      <c r="AB772" s="1040">
        <v>1</v>
      </c>
      <c r="AC772" s="1040">
        <v>1</v>
      </c>
      <c r="AD772" s="160"/>
      <c r="AE772" s="160"/>
      <c r="AF772" s="160"/>
      <c r="AG772" s="160"/>
      <c r="AK772" s="883"/>
    </row>
    <row r="773" spans="2:37" ht="105" hidden="1" customHeight="1" outlineLevel="1" x14ac:dyDescent="0.25">
      <c r="B773" s="1233"/>
      <c r="D773" s="3089" t="s">
        <v>621</v>
      </c>
      <c r="E773" s="3089" t="s">
        <v>1936</v>
      </c>
      <c r="F773" s="3089"/>
      <c r="G773" s="2718">
        <v>2.2000000000000002</v>
      </c>
      <c r="H773" s="3904" t="s">
        <v>694</v>
      </c>
      <c r="I773" s="3906"/>
      <c r="J773" s="4210" t="s">
        <v>674</v>
      </c>
      <c r="K773" s="4211"/>
      <c r="L773" s="4212"/>
      <c r="V773" s="3212" t="s">
        <v>621</v>
      </c>
      <c r="W773" s="1028">
        <v>2.2000000000000002</v>
      </c>
      <c r="X773" s="1078">
        <v>2.2000000000000002</v>
      </c>
      <c r="Y773" s="1078">
        <v>2.2000000000000002</v>
      </c>
      <c r="Z773" s="2718">
        <v>2.2000000000000002</v>
      </c>
      <c r="AA773" s="2718">
        <v>2.2000000000000002</v>
      </c>
      <c r="AB773" s="2718">
        <v>2.2000000000000002</v>
      </c>
      <c r="AC773" s="2718">
        <v>2.2000000000000002</v>
      </c>
      <c r="AD773" s="160"/>
      <c r="AE773" s="160"/>
      <c r="AF773" s="160"/>
      <c r="AG773" s="160"/>
      <c r="AK773" s="883"/>
    </row>
    <row r="774" spans="2:37" ht="30" hidden="1" customHeight="1" outlineLevel="1" x14ac:dyDescent="0.25">
      <c r="B774" s="1233"/>
      <c r="D774" s="3089" t="s">
        <v>624</v>
      </c>
      <c r="E774" s="3193" t="s">
        <v>1937</v>
      </c>
      <c r="F774" s="3089"/>
      <c r="G774" s="2315">
        <v>3.7</v>
      </c>
      <c r="H774" s="4208" t="s">
        <v>628</v>
      </c>
      <c r="I774" s="4209"/>
      <c r="J774" s="4210" t="s">
        <v>674</v>
      </c>
      <c r="K774" s="4211"/>
      <c r="L774" s="4212"/>
      <c r="V774" s="3212" t="s">
        <v>624</v>
      </c>
      <c r="W774" s="968">
        <v>3.7</v>
      </c>
      <c r="X774" s="968">
        <v>3.7</v>
      </c>
      <c r="Y774" s="968">
        <v>3.7</v>
      </c>
      <c r="Z774" s="1032">
        <v>3.7</v>
      </c>
      <c r="AA774" s="1032">
        <v>3.7</v>
      </c>
      <c r="AB774" s="1032">
        <v>3.7</v>
      </c>
      <c r="AC774" s="2315">
        <v>3.7</v>
      </c>
      <c r="AD774" s="160"/>
      <c r="AE774" s="160"/>
      <c r="AF774" s="160"/>
      <c r="AG774" s="160"/>
      <c r="AK774" s="883"/>
    </row>
    <row r="775" spans="2:37" ht="30" hidden="1" customHeight="1" outlineLevel="1" x14ac:dyDescent="0.25">
      <c r="B775" s="1233"/>
      <c r="D775" s="3089" t="s">
        <v>629</v>
      </c>
      <c r="E775" s="3089" t="s">
        <v>1938</v>
      </c>
      <c r="F775" s="3089"/>
      <c r="G775" s="2718">
        <v>1.5</v>
      </c>
      <c r="H775" s="3904" t="s">
        <v>1939</v>
      </c>
      <c r="I775" s="3906"/>
      <c r="J775" s="4210" t="s">
        <v>674</v>
      </c>
      <c r="K775" s="4211"/>
      <c r="L775" s="4212"/>
      <c r="V775" s="3212" t="s">
        <v>629</v>
      </c>
      <c r="W775" s="1028">
        <v>1.5</v>
      </c>
      <c r="X775" s="1078">
        <v>1.5</v>
      </c>
      <c r="Y775" s="1078">
        <v>1.5</v>
      </c>
      <c r="Z775" s="2718">
        <v>1.5</v>
      </c>
      <c r="AA775" s="2718">
        <v>1.5</v>
      </c>
      <c r="AB775" s="2718">
        <v>1.5</v>
      </c>
      <c r="AC775" s="2718">
        <v>1.5</v>
      </c>
      <c r="AD775" s="899"/>
      <c r="AE775" s="899"/>
      <c r="AF775" s="899"/>
      <c r="AG775" s="899"/>
      <c r="AK775" s="883"/>
    </row>
    <row r="776" spans="2:37" ht="30" hidden="1" customHeight="1" outlineLevel="1" x14ac:dyDescent="0.25">
      <c r="B776" s="1233"/>
      <c r="D776" s="3089" t="s">
        <v>632</v>
      </c>
      <c r="E776" s="3193" t="s">
        <v>1937</v>
      </c>
      <c r="F776" s="3089"/>
      <c r="G776" s="1168">
        <v>3.7</v>
      </c>
      <c r="H776" s="4208" t="s">
        <v>628</v>
      </c>
      <c r="I776" s="4209"/>
      <c r="J776" s="4210" t="s">
        <v>674</v>
      </c>
      <c r="K776" s="4211"/>
      <c r="L776" s="4212"/>
      <c r="V776" s="3212" t="s">
        <v>632</v>
      </c>
      <c r="W776" s="2313">
        <v>3.7</v>
      </c>
      <c r="X776" s="2313">
        <v>3.7</v>
      </c>
      <c r="Y776" s="2314">
        <v>3.7</v>
      </c>
      <c r="Z776" s="1168">
        <v>3.7</v>
      </c>
      <c r="AA776" s="1168">
        <v>3.7</v>
      </c>
      <c r="AB776" s="1168">
        <v>3.7</v>
      </c>
      <c r="AC776" s="1168">
        <v>3.7</v>
      </c>
      <c r="AD776" s="899"/>
      <c r="AE776" s="899"/>
      <c r="AF776" s="899"/>
      <c r="AG776" s="899"/>
      <c r="AK776" s="883"/>
    </row>
    <row r="777" spans="2:37" ht="45" hidden="1" customHeight="1" outlineLevel="1" x14ac:dyDescent="0.25">
      <c r="B777" s="1233"/>
      <c r="D777" s="3089" t="s">
        <v>200</v>
      </c>
      <c r="E777" s="3193" t="s">
        <v>1940</v>
      </c>
      <c r="F777" s="3089"/>
      <c r="G777" s="1029">
        <v>1.5644946808510638</v>
      </c>
      <c r="H777" s="4208" t="s">
        <v>636</v>
      </c>
      <c r="I777" s="4209"/>
      <c r="J777" s="4210" t="s">
        <v>674</v>
      </c>
      <c r="K777" s="4211"/>
      <c r="L777" s="4212"/>
      <c r="V777" s="3212" t="s">
        <v>200</v>
      </c>
      <c r="W777" s="968">
        <v>2.0699999999999998</v>
      </c>
      <c r="X777" s="1030">
        <v>1.6639999999999999</v>
      </c>
      <c r="Y777" s="1031">
        <v>1.5644946808510638</v>
      </c>
      <c r="Z777" s="1029">
        <v>1.5644946808510638</v>
      </c>
      <c r="AA777" s="1029">
        <v>1.5644946808510638</v>
      </c>
      <c r="AB777" s="1029">
        <v>1.5644946808510638</v>
      </c>
      <c r="AC777" s="1029">
        <v>1.5644946808510638</v>
      </c>
      <c r="AD777" s="899"/>
      <c r="AE777" s="899"/>
      <c r="AF777" s="899"/>
      <c r="AG777" s="899"/>
      <c r="AK777" s="883"/>
    </row>
    <row r="778" spans="2:37" ht="15" hidden="1" customHeight="1" outlineLevel="1" x14ac:dyDescent="0.25">
      <c r="B778" s="1233"/>
      <c r="D778" s="447" t="s">
        <v>638</v>
      </c>
      <c r="E778" s="3127" t="s">
        <v>639</v>
      </c>
      <c r="F778" s="3089"/>
      <c r="G778" s="1032">
        <v>1</v>
      </c>
      <c r="H778" s="3942" t="s">
        <v>536</v>
      </c>
      <c r="I778" s="3943"/>
      <c r="J778" s="4222" t="s">
        <v>677</v>
      </c>
      <c r="K778" s="4223"/>
      <c r="L778" s="4224"/>
      <c r="V778" s="462" t="s">
        <v>638</v>
      </c>
      <c r="W778" s="968">
        <v>0.75</v>
      </c>
      <c r="X778" s="1030">
        <v>1</v>
      </c>
      <c r="Y778" s="1033">
        <v>1</v>
      </c>
      <c r="Z778" s="1063">
        <v>1</v>
      </c>
      <c r="AA778" s="1063">
        <v>1</v>
      </c>
      <c r="AB778" s="1032">
        <v>1</v>
      </c>
      <c r="AC778" s="1032">
        <v>1</v>
      </c>
      <c r="AD778" s="899"/>
      <c r="AE778" s="899"/>
      <c r="AF778" s="899"/>
      <c r="AG778" s="899"/>
      <c r="AK778" s="883"/>
    </row>
    <row r="779" spans="2:37" ht="15" hidden="1" customHeight="1" outlineLevel="1" x14ac:dyDescent="0.25">
      <c r="B779" s="1233"/>
      <c r="D779" s="447">
        <v>365.25</v>
      </c>
      <c r="E779" s="3193" t="s">
        <v>1941</v>
      </c>
      <c r="F779" s="3089"/>
      <c r="G779" s="233">
        <v>365.25</v>
      </c>
      <c r="H779" s="3904" t="s">
        <v>587</v>
      </c>
      <c r="I779" s="3906"/>
      <c r="J779" s="4210" t="s">
        <v>674</v>
      </c>
      <c r="K779" s="4211"/>
      <c r="L779" s="4212"/>
      <c r="V779" s="462">
        <v>365.25</v>
      </c>
      <c r="W779" s="968">
        <v>365</v>
      </c>
      <c r="X779" s="968">
        <v>365</v>
      </c>
      <c r="Y779" s="1034">
        <v>365</v>
      </c>
      <c r="Z779" s="2302">
        <v>365</v>
      </c>
      <c r="AA779" s="2302">
        <v>365</v>
      </c>
      <c r="AB779" s="2310">
        <v>365.25</v>
      </c>
      <c r="AC779" s="233">
        <v>365.25</v>
      </c>
      <c r="AD779" s="899"/>
      <c r="AE779" s="899"/>
      <c r="AF779" s="899"/>
      <c r="AG779" s="899"/>
      <c r="AK779" s="883"/>
    </row>
    <row r="780" spans="2:37" ht="15" hidden="1" customHeight="1" outlineLevel="1" x14ac:dyDescent="0.25">
      <c r="B780" s="1233"/>
      <c r="D780" s="447" t="s">
        <v>642</v>
      </c>
      <c r="E780" s="3193" t="s">
        <v>1942</v>
      </c>
      <c r="F780" s="3089"/>
      <c r="G780" s="1029">
        <v>1.8624708624708626</v>
      </c>
      <c r="H780" s="3942" t="s">
        <v>536</v>
      </c>
      <c r="I780" s="3943"/>
      <c r="J780" s="4210" t="s">
        <v>1943</v>
      </c>
      <c r="K780" s="4211"/>
      <c r="L780" s="4212"/>
      <c r="V780" s="462" t="s">
        <v>642</v>
      </c>
      <c r="W780" s="968">
        <v>1.76</v>
      </c>
      <c r="X780" s="1030">
        <v>1.7961826857532379</v>
      </c>
      <c r="Y780" s="1031">
        <v>1.8624708624708626</v>
      </c>
      <c r="Z780" s="1029">
        <v>1.8624708624708626</v>
      </c>
      <c r="AA780" s="1029">
        <v>1.8624708624708626</v>
      </c>
      <c r="AB780" s="1029">
        <v>1.8624708624708626</v>
      </c>
      <c r="AC780" s="1029">
        <v>1.8624708624708626</v>
      </c>
      <c r="AD780" s="899"/>
      <c r="AE780" s="899"/>
      <c r="AF780" s="899"/>
      <c r="AG780" s="899"/>
      <c r="AK780" s="883"/>
    </row>
    <row r="781" spans="2:37" ht="15" hidden="1" customHeight="1" outlineLevel="1" x14ac:dyDescent="0.25">
      <c r="B781" s="1233"/>
      <c r="D781" s="447">
        <v>8.33</v>
      </c>
      <c r="E781" s="3193" t="s">
        <v>647</v>
      </c>
      <c r="F781" s="3089"/>
      <c r="G781" s="1032">
        <v>8.33</v>
      </c>
      <c r="H781" s="3927" t="s">
        <v>648</v>
      </c>
      <c r="I781" s="3928"/>
      <c r="J781" s="4210" t="s">
        <v>674</v>
      </c>
      <c r="K781" s="4211"/>
      <c r="L781" s="4212"/>
      <c r="V781" s="462">
        <v>8.33</v>
      </c>
      <c r="W781" s="968">
        <v>8.33</v>
      </c>
      <c r="X781" s="968">
        <v>8.33</v>
      </c>
      <c r="Y781" s="968">
        <v>8.33</v>
      </c>
      <c r="Z781" s="1032">
        <v>8.33</v>
      </c>
      <c r="AA781" s="1032">
        <v>8.33</v>
      </c>
      <c r="AB781" s="1032">
        <v>8.33</v>
      </c>
      <c r="AC781" s="1032">
        <v>8.33</v>
      </c>
      <c r="AD781" s="899"/>
      <c r="AE781" s="899"/>
      <c r="AF781" s="899"/>
      <c r="AG781" s="899"/>
      <c r="AK781" s="883"/>
    </row>
    <row r="782" spans="2:37" ht="15" hidden="1" customHeight="1" outlineLevel="1" x14ac:dyDescent="0.25">
      <c r="B782" s="1233"/>
      <c r="D782" s="447">
        <v>1</v>
      </c>
      <c r="E782" s="1679" t="s">
        <v>1944</v>
      </c>
      <c r="F782" s="3089"/>
      <c r="G782" s="1032">
        <v>1</v>
      </c>
      <c r="H782" s="3904" t="s">
        <v>650</v>
      </c>
      <c r="I782" s="3906"/>
      <c r="J782" s="4210" t="s">
        <v>674</v>
      </c>
      <c r="K782" s="4211"/>
      <c r="L782" s="4212"/>
      <c r="V782" s="462">
        <v>1</v>
      </c>
      <c r="W782" s="968">
        <v>1</v>
      </c>
      <c r="X782" s="968">
        <v>1</v>
      </c>
      <c r="Y782" s="968">
        <v>1</v>
      </c>
      <c r="Z782" s="1032">
        <v>1</v>
      </c>
      <c r="AA782" s="1032">
        <v>1</v>
      </c>
      <c r="AB782" s="1032">
        <v>1</v>
      </c>
      <c r="AC782" s="1032">
        <v>1</v>
      </c>
      <c r="AD782" s="899"/>
      <c r="AE782" s="899"/>
      <c r="AF782" s="899"/>
      <c r="AG782" s="899"/>
      <c r="AK782" s="883"/>
    </row>
    <row r="783" spans="2:37" ht="15" hidden="1" customHeight="1" outlineLevel="1" x14ac:dyDescent="0.25">
      <c r="B783" s="1233"/>
      <c r="D783" s="3089" t="s">
        <v>651</v>
      </c>
      <c r="E783" s="3193" t="s">
        <v>1945</v>
      </c>
      <c r="F783" s="3089"/>
      <c r="G783" s="1032">
        <v>80</v>
      </c>
      <c r="H783" s="4208" t="s">
        <v>680</v>
      </c>
      <c r="I783" s="4209"/>
      <c r="J783" s="4210" t="s">
        <v>674</v>
      </c>
      <c r="K783" s="4211"/>
      <c r="L783" s="4212"/>
      <c r="V783" s="3212" t="s">
        <v>651</v>
      </c>
      <c r="W783" s="968">
        <v>80</v>
      </c>
      <c r="X783" s="968">
        <v>80</v>
      </c>
      <c r="Y783" s="968">
        <v>80</v>
      </c>
      <c r="Z783" s="1032">
        <v>80</v>
      </c>
      <c r="AA783" s="1032">
        <v>80</v>
      </c>
      <c r="AB783" s="1032">
        <v>80</v>
      </c>
      <c r="AC783" s="1032">
        <v>80</v>
      </c>
      <c r="AD783" s="899"/>
      <c r="AE783" s="899"/>
      <c r="AF783" s="899"/>
      <c r="AG783" s="899"/>
      <c r="AK783" s="883"/>
    </row>
    <row r="784" spans="2:37" ht="60" hidden="1" customHeight="1" outlineLevel="1" x14ac:dyDescent="0.25">
      <c r="B784" s="1233"/>
      <c r="D784" s="3089" t="s">
        <v>654</v>
      </c>
      <c r="E784" s="3193" t="s">
        <v>1946</v>
      </c>
      <c r="F784" s="3089"/>
      <c r="G784" s="1032">
        <v>61.3</v>
      </c>
      <c r="H784" s="3904" t="s">
        <v>656</v>
      </c>
      <c r="I784" s="3906"/>
      <c r="J784" s="4210" t="s">
        <v>674</v>
      </c>
      <c r="K784" s="4211"/>
      <c r="L784" s="4212"/>
      <c r="V784" s="3212" t="s">
        <v>654</v>
      </c>
      <c r="W784" s="968">
        <v>61.3</v>
      </c>
      <c r="X784" s="968">
        <v>61.3</v>
      </c>
      <c r="Y784" s="968">
        <v>61.3</v>
      </c>
      <c r="Z784" s="1032">
        <v>61.3</v>
      </c>
      <c r="AA784" s="1032">
        <v>61.3</v>
      </c>
      <c r="AB784" s="1032">
        <v>61.3</v>
      </c>
      <c r="AC784" s="1032">
        <v>61.3</v>
      </c>
      <c r="AD784" s="899"/>
      <c r="AE784" s="899"/>
      <c r="AF784" s="899"/>
      <c r="AG784" s="899"/>
      <c r="AK784" s="883"/>
    </row>
    <row r="785" spans="1:57" ht="30" hidden="1" customHeight="1" outlineLevel="1" x14ac:dyDescent="0.25">
      <c r="B785" s="1233"/>
      <c r="D785" s="3089" t="s">
        <v>657</v>
      </c>
      <c r="E785" s="3193" t="s">
        <v>1947</v>
      </c>
      <c r="F785" s="3089"/>
      <c r="G785" s="1032">
        <v>0.98</v>
      </c>
      <c r="H785" s="4208" t="s">
        <v>1948</v>
      </c>
      <c r="I785" s="4209"/>
      <c r="J785" s="4210" t="s">
        <v>674</v>
      </c>
      <c r="K785" s="4211"/>
      <c r="L785" s="4212"/>
      <c r="V785" s="3212" t="s">
        <v>657</v>
      </c>
      <c r="W785" s="968">
        <v>0.98</v>
      </c>
      <c r="X785" s="968">
        <v>0.98</v>
      </c>
      <c r="Y785" s="968">
        <v>0.98</v>
      </c>
      <c r="Z785" s="1032">
        <v>0.98</v>
      </c>
      <c r="AA785" s="1032">
        <v>0.98</v>
      </c>
      <c r="AB785" s="1032">
        <v>0.98</v>
      </c>
      <c r="AC785" s="1032">
        <v>0.98</v>
      </c>
      <c r="AD785" s="899"/>
      <c r="AE785" s="899"/>
      <c r="AF785" s="899"/>
      <c r="AG785" s="899"/>
      <c r="AK785" s="883"/>
    </row>
    <row r="786" spans="1:57" ht="15" hidden="1" customHeight="1" outlineLevel="1" x14ac:dyDescent="0.25">
      <c r="B786" s="1233"/>
      <c r="D786" s="3089">
        <v>3412</v>
      </c>
      <c r="E786" s="3193">
        <v>3412</v>
      </c>
      <c r="F786" s="3089"/>
      <c r="G786" s="1032">
        <v>3412</v>
      </c>
      <c r="H786" s="3927" t="s">
        <v>218</v>
      </c>
      <c r="I786" s="3928"/>
      <c r="J786" s="4210" t="s">
        <v>674</v>
      </c>
      <c r="K786" s="4211"/>
      <c r="L786" s="4212"/>
      <c r="V786" s="3212">
        <v>3412</v>
      </c>
      <c r="W786" s="968">
        <v>3413</v>
      </c>
      <c r="X786" s="968">
        <v>3413</v>
      </c>
      <c r="Y786" s="968">
        <v>3413</v>
      </c>
      <c r="Z786" s="1032">
        <v>3413</v>
      </c>
      <c r="AA786" s="1032">
        <v>3413</v>
      </c>
      <c r="AB786" s="1030">
        <v>3412</v>
      </c>
      <c r="AC786" s="1032">
        <v>3412</v>
      </c>
      <c r="AD786" s="899"/>
      <c r="AE786" s="899"/>
      <c r="AF786" s="899"/>
      <c r="AG786" s="899"/>
      <c r="AK786" s="883"/>
    </row>
    <row r="787" spans="1:57" ht="15" hidden="1" customHeight="1" outlineLevel="1" x14ac:dyDescent="0.25">
      <c r="B787" s="1233"/>
      <c r="D787" s="3089" t="s">
        <v>531</v>
      </c>
      <c r="E787" s="3089" t="s">
        <v>595</v>
      </c>
      <c r="F787" s="3089"/>
      <c r="G787" s="1680">
        <v>1</v>
      </c>
      <c r="H787" s="3927" t="s">
        <v>600</v>
      </c>
      <c r="I787" s="3928"/>
      <c r="J787" s="4210" t="s">
        <v>1816</v>
      </c>
      <c r="K787" s="4211"/>
      <c r="L787" s="4211"/>
      <c r="V787" s="3212" t="s">
        <v>531</v>
      </c>
      <c r="W787" s="1035">
        <v>1</v>
      </c>
      <c r="X787" s="1035">
        <v>1</v>
      </c>
      <c r="Y787" s="1035">
        <v>1</v>
      </c>
      <c r="Z787" s="1680">
        <v>1</v>
      </c>
      <c r="AA787" s="1680">
        <v>1</v>
      </c>
      <c r="AB787" s="1680">
        <v>1</v>
      </c>
      <c r="AC787" s="1680">
        <v>1</v>
      </c>
      <c r="AD787" s="899"/>
      <c r="AE787" s="899"/>
      <c r="AF787" s="899"/>
      <c r="AG787" s="899"/>
      <c r="AK787" s="883"/>
    </row>
    <row r="788" spans="1:57" ht="15" hidden="1" customHeight="1" outlineLevel="1" x14ac:dyDescent="0.25">
      <c r="B788" s="1233"/>
      <c r="D788" s="3776" t="s">
        <v>133</v>
      </c>
      <c r="E788" s="4205" t="s">
        <v>1817</v>
      </c>
      <c r="F788" s="3089" t="s">
        <v>429</v>
      </c>
      <c r="G788" s="1680">
        <v>1</v>
      </c>
      <c r="H788" s="4208" t="s">
        <v>1949</v>
      </c>
      <c r="I788" s="4209"/>
      <c r="J788" s="4210" t="s">
        <v>674</v>
      </c>
      <c r="K788" s="4211"/>
      <c r="L788" s="4212"/>
      <c r="V788" s="4277" t="s">
        <v>133</v>
      </c>
      <c r="W788" s="1035">
        <v>1</v>
      </c>
      <c r="X788" s="1035">
        <v>1</v>
      </c>
      <c r="Y788" s="1035">
        <v>1</v>
      </c>
      <c r="Z788" s="1680">
        <v>1</v>
      </c>
      <c r="AA788" s="1680">
        <v>1</v>
      </c>
      <c r="AB788" s="1680">
        <v>1</v>
      </c>
      <c r="AC788" s="1680">
        <v>1</v>
      </c>
      <c r="AD788" s="899"/>
      <c r="AE788" s="899"/>
      <c r="AF788" s="899"/>
      <c r="AG788" s="899"/>
      <c r="AK788" s="883"/>
    </row>
    <row r="789" spans="1:57" ht="15" hidden="1" customHeight="1" outlineLevel="1" x14ac:dyDescent="0.25">
      <c r="B789" s="1233"/>
      <c r="D789" s="3776"/>
      <c r="E789" s="4205"/>
      <c r="F789" s="3089" t="s">
        <v>430</v>
      </c>
      <c r="G789" s="289">
        <v>0.95</v>
      </c>
      <c r="H789" s="3942" t="s">
        <v>536</v>
      </c>
      <c r="I789" s="3943"/>
      <c r="J789" s="3787"/>
      <c r="K789" s="4200"/>
      <c r="L789" s="3788"/>
      <c r="V789" s="4277"/>
      <c r="W789" s="966">
        <v>0.97699999999999998</v>
      </c>
      <c r="X789" s="537">
        <v>1</v>
      </c>
      <c r="Y789" s="274">
        <v>0.95</v>
      </c>
      <c r="Z789" s="289">
        <v>0.95</v>
      </c>
      <c r="AA789" s="289">
        <v>0.95</v>
      </c>
      <c r="AB789" s="289">
        <v>0.95</v>
      </c>
      <c r="AC789" s="289">
        <v>0.95</v>
      </c>
      <c r="AD789" s="899"/>
      <c r="AE789" s="899"/>
      <c r="AF789" s="899"/>
      <c r="AG789" s="899"/>
      <c r="AK789" s="883"/>
    </row>
    <row r="790" spans="1:57" ht="15" hidden="1" customHeight="1" outlineLevel="1" x14ac:dyDescent="0.25">
      <c r="B790" s="1233"/>
      <c r="D790" s="3191" t="str">
        <f>D749</f>
        <v>EUL</v>
      </c>
      <c r="E790" s="3191" t="str">
        <f>E749</f>
        <v>Effective Useful Life</v>
      </c>
      <c r="F790" s="3089" t="s">
        <v>135</v>
      </c>
      <c r="G790" s="1032">
        <v>11</v>
      </c>
      <c r="H790" s="4201"/>
      <c r="I790" s="4202"/>
      <c r="J790" s="3787"/>
      <c r="K790" s="4200"/>
      <c r="L790" s="3788"/>
      <c r="V790" s="3211" t="str">
        <f>D790</f>
        <v>EUL</v>
      </c>
      <c r="W790" s="968">
        <v>10</v>
      </c>
      <c r="X790" s="968">
        <v>10</v>
      </c>
      <c r="Y790" s="968">
        <v>11</v>
      </c>
      <c r="Z790" s="1032">
        <v>11</v>
      </c>
      <c r="AA790" s="1032">
        <v>11</v>
      </c>
      <c r="AB790" s="1032">
        <v>11</v>
      </c>
      <c r="AC790" s="1032">
        <v>11</v>
      </c>
      <c r="AD790" s="899"/>
      <c r="AE790" s="899"/>
      <c r="AF790" s="899"/>
      <c r="AG790" s="899"/>
      <c r="AK790" s="883"/>
    </row>
    <row r="791" spans="1:57" ht="15" hidden="1" customHeight="1" outlineLevel="1" x14ac:dyDescent="0.25">
      <c r="B791" s="1233"/>
      <c r="D791" s="4203" t="str">
        <f>D750</f>
        <v>Inc. Cost</v>
      </c>
      <c r="E791" s="4203" t="str">
        <f>E750</f>
        <v>Incremental Cost</v>
      </c>
      <c r="F791" s="3089" t="s">
        <v>429</v>
      </c>
      <c r="G791" s="2311">
        <v>3</v>
      </c>
      <c r="H791" s="4201"/>
      <c r="I791" s="4202"/>
      <c r="J791" s="3787" t="s">
        <v>1950</v>
      </c>
      <c r="K791" s="4200"/>
      <c r="L791" s="3788"/>
      <c r="V791" s="4276" t="str">
        <f>D791</f>
        <v>Inc. Cost</v>
      </c>
      <c r="W791" s="968">
        <v>11.33</v>
      </c>
      <c r="X791" s="1030">
        <v>3</v>
      </c>
      <c r="Y791" s="1032">
        <v>3</v>
      </c>
      <c r="Z791" s="1032">
        <v>3</v>
      </c>
      <c r="AA791" s="1032">
        <v>3</v>
      </c>
      <c r="AB791" s="2311">
        <v>3</v>
      </c>
      <c r="AC791" s="2311">
        <v>3</v>
      </c>
      <c r="AD791" s="899"/>
      <c r="AE791" s="899"/>
      <c r="AF791" s="899"/>
      <c r="AG791" s="899"/>
      <c r="AK791" s="883"/>
    </row>
    <row r="792" spans="1:57" ht="15" hidden="1" customHeight="1" outlineLevel="1" x14ac:dyDescent="0.25">
      <c r="B792" s="1233"/>
      <c r="D792" s="4189"/>
      <c r="E792" s="4189"/>
      <c r="F792" s="3089" t="s">
        <v>430</v>
      </c>
      <c r="G792" s="2311">
        <v>11.33</v>
      </c>
      <c r="H792" s="4201"/>
      <c r="I792" s="4202"/>
      <c r="J792" s="3787"/>
      <c r="K792" s="4200"/>
      <c r="L792" s="3788"/>
      <c r="V792" s="4277"/>
      <c r="W792" s="968">
        <v>11.33</v>
      </c>
      <c r="X792" s="968">
        <v>11.33</v>
      </c>
      <c r="Y792" s="968">
        <v>11.33</v>
      </c>
      <c r="Z792" s="1032">
        <v>11.33</v>
      </c>
      <c r="AA792" s="1032">
        <v>11.33</v>
      </c>
      <c r="AB792" s="2311">
        <v>11.33</v>
      </c>
      <c r="AC792" s="2311">
        <v>11.33</v>
      </c>
      <c r="AD792" s="899"/>
      <c r="AE792" s="899"/>
      <c r="AF792" s="899"/>
      <c r="AG792" s="899"/>
      <c r="AK792" s="883"/>
    </row>
    <row r="793" spans="1:57" ht="15" customHeight="1" collapsed="1" x14ac:dyDescent="0.25">
      <c r="B793" s="1233"/>
      <c r="C793" s="3159"/>
      <c r="AK793" s="883"/>
    </row>
    <row r="794" spans="1:57" ht="15" customHeight="1" x14ac:dyDescent="0.25">
      <c r="B794" s="1233"/>
      <c r="C794" s="225"/>
      <c r="AK794" s="883"/>
    </row>
    <row r="795" spans="1:57" ht="15" customHeight="1" x14ac:dyDescent="0.25">
      <c r="B795" s="3750" t="s">
        <v>1951</v>
      </c>
      <c r="C795" s="3751"/>
      <c r="D795" s="3751"/>
      <c r="E795" s="3751"/>
      <c r="F795" s="3751"/>
      <c r="G795" s="3751"/>
      <c r="H795" s="3751"/>
      <c r="I795" s="3744"/>
      <c r="J795" s="3744"/>
      <c r="K795" s="3744"/>
      <c r="L795" s="3744"/>
      <c r="M795" s="3744"/>
      <c r="N795" s="3744"/>
      <c r="O795" s="3744"/>
      <c r="P795" s="3744"/>
      <c r="Q795" s="3744"/>
      <c r="R795" s="3745"/>
      <c r="V795" s="3750" t="str">
        <f>B795</f>
        <v>Low Flow Faucet Aerators (Kitchen)</v>
      </c>
      <c r="W795" s="3751"/>
      <c r="X795" s="3751"/>
      <c r="Y795" s="3751"/>
      <c r="Z795" s="3751"/>
      <c r="AA795" s="3751"/>
      <c r="AB795" s="3751"/>
      <c r="AC795" s="3744"/>
      <c r="AD795" s="3744"/>
      <c r="AE795" s="3744"/>
      <c r="AF795" s="3744"/>
      <c r="AG795" s="3744"/>
      <c r="AH795" s="3744"/>
      <c r="AI795" s="3745"/>
      <c r="AK795" s="883"/>
    </row>
    <row r="796" spans="1:57" ht="15" customHeight="1" x14ac:dyDescent="0.25">
      <c r="B796" s="1233"/>
      <c r="C796" s="225"/>
      <c r="D796" s="419"/>
      <c r="E796" s="419"/>
      <c r="F796" s="226"/>
      <c r="G796" s="226"/>
      <c r="H796" s="226"/>
      <c r="I796" s="226"/>
      <c r="J796" s="226"/>
      <c r="K796" s="226"/>
      <c r="L796" s="1438"/>
      <c r="AK796" s="883"/>
    </row>
    <row r="797" spans="1:57" ht="30" x14ac:dyDescent="0.25">
      <c r="B797" s="1233"/>
      <c r="C797" s="3086" t="s">
        <v>28</v>
      </c>
      <c r="D797" s="3086" t="s">
        <v>175</v>
      </c>
      <c r="E797" s="3086" t="s">
        <v>30</v>
      </c>
      <c r="F797" s="3086" t="s">
        <v>1765</v>
      </c>
      <c r="G797" s="3086" t="s">
        <v>176</v>
      </c>
      <c r="H797" s="3086" t="s">
        <v>177</v>
      </c>
      <c r="I797" s="3086" t="s">
        <v>606</v>
      </c>
      <c r="J797" s="3086" t="s">
        <v>32</v>
      </c>
      <c r="K797" s="3086" t="s">
        <v>181</v>
      </c>
      <c r="L797" s="3086" t="s">
        <v>170</v>
      </c>
      <c r="M797" s="3086" t="s">
        <v>44</v>
      </c>
      <c r="V797" s="551" t="s">
        <v>45</v>
      </c>
      <c r="W797" s="552">
        <f>W$6</f>
        <v>43252</v>
      </c>
      <c r="X797" s="552">
        <f t="shared" ref="X797:AG797" si="115">X$6</f>
        <v>43465</v>
      </c>
      <c r="Y797" s="2409">
        <f t="shared" si="115"/>
        <v>43800</v>
      </c>
      <c r="Z797" s="552">
        <f t="shared" si="115"/>
        <v>43862</v>
      </c>
      <c r="AA797" s="552">
        <f t="shared" si="115"/>
        <v>44013</v>
      </c>
      <c r="AB797" s="552">
        <f t="shared" si="115"/>
        <v>44166</v>
      </c>
      <c r="AC797" s="1937">
        <f t="shared" si="115"/>
        <v>44531</v>
      </c>
      <c r="AD797" s="1937" t="str">
        <f t="shared" si="115"/>
        <v>-</v>
      </c>
      <c r="AE797" s="1937" t="str">
        <f t="shared" si="115"/>
        <v>-</v>
      </c>
      <c r="AF797" s="1937" t="str">
        <f t="shared" si="115"/>
        <v>-</v>
      </c>
      <c r="AG797" s="1937" t="str">
        <f t="shared" si="115"/>
        <v>-</v>
      </c>
      <c r="AK797" s="883"/>
      <c r="BB797" s="1938" t="str">
        <f>$BB$6</f>
        <v>TRC (2020)</v>
      </c>
      <c r="BC797" s="1953" t="str">
        <f>$BC$6</f>
        <v>Benefit Lookup</v>
      </c>
      <c r="BD797" s="665" t="str">
        <f>$BD$6</f>
        <v>Benefits (2019 $)</v>
      </c>
      <c r="BE797" s="230" t="str">
        <f>$BE$6</f>
        <v>Incremental Cost (2019 $)</v>
      </c>
    </row>
    <row r="798" spans="1:57" s="892" customFormat="1" x14ac:dyDescent="0.25">
      <c r="A798" s="910"/>
      <c r="B798" s="1606"/>
      <c r="C798" s="1471" t="s">
        <v>1952</v>
      </c>
      <c r="D798" s="2695" t="s">
        <v>1577</v>
      </c>
      <c r="E798" s="2615" t="s">
        <v>1953</v>
      </c>
      <c r="F798" s="531">
        <f>ROUND(G811*(G812*G813-G814*G815)*G816*G817*G818/G819*I798*G827*G826,2)</f>
        <v>116.88</v>
      </c>
      <c r="G798" s="3227" t="s">
        <v>184</v>
      </c>
      <c r="H798" s="155">
        <f>VLOOKUP(G798,'CP FACTORS'!$A$3:$B$38, 2, FALSE)</f>
        <v>8.8731800000000003E-5</v>
      </c>
      <c r="I798" s="526">
        <f>G820*G821*(G822-G823)/(G824*G825)</f>
        <v>7.8971277842907403E-2</v>
      </c>
      <c r="J798" s="1554">
        <f>ROUND(F798*H798,6)</f>
        <v>1.0371E-2</v>
      </c>
      <c r="K798" s="2718">
        <f>$G$829</f>
        <v>11</v>
      </c>
      <c r="L798" s="2616">
        <f>$G$830</f>
        <v>3</v>
      </c>
      <c r="M798" s="993" t="s">
        <v>185</v>
      </c>
      <c r="N798" s="910"/>
      <c r="O798" s="910"/>
      <c r="P798" s="1061"/>
      <c r="Q798" s="1061"/>
      <c r="R798" s="1431"/>
      <c r="S798" s="1061"/>
      <c r="T798" s="1061"/>
      <c r="U798" s="910"/>
      <c r="V798" s="1962" t="str">
        <f>F797</f>
        <v>kWh
Annual Savings</v>
      </c>
      <c r="W798" s="237"/>
      <c r="X798" s="2321"/>
      <c r="Y798" s="425"/>
      <c r="Z798" s="425"/>
      <c r="AA798" s="425"/>
      <c r="AB798" s="1975">
        <v>116.88</v>
      </c>
      <c r="AC798" s="531">
        <v>116.88</v>
      </c>
      <c r="AD798" s="1016"/>
      <c r="AE798" s="1016"/>
      <c r="AF798" s="1016"/>
      <c r="AG798" s="1016"/>
      <c r="AH798" s="394"/>
      <c r="AK798" s="1018"/>
      <c r="BB798" s="1019">
        <f>(BD798)/(BE798)</f>
        <v>15.284282039056441</v>
      </c>
      <c r="BC798" s="3166" t="str">
        <f>CONCATENATE(G798," ",K798," Year EUL")</f>
        <v>Water Heating RES 11 Year EUL</v>
      </c>
      <c r="BD798" s="111">
        <f>(INDEX('Avoided Cost Benefits'!$C$4:$C$857,MATCH(BC798,'Avoided Cost Benefits'!$A$4:$A$857,0)))*F798</f>
        <v>43.277816061509505</v>
      </c>
      <c r="BE798" s="1020">
        <f>L798/(1.0595^(2020-2019))</f>
        <v>2.8315243039169418</v>
      </c>
    </row>
    <row r="799" spans="1:57" s="892" customFormat="1" x14ac:dyDescent="0.25">
      <c r="A799" s="910"/>
      <c r="B799" s="1606"/>
      <c r="C799" s="1471" t="s">
        <v>1954</v>
      </c>
      <c r="D799" s="2695" t="s">
        <v>1571</v>
      </c>
      <c r="E799" s="2615" t="s">
        <v>1955</v>
      </c>
      <c r="F799" s="531">
        <f>ROUND(G811*(G812*G813-G814*G815)*G816*G817*G818/G819*I798*G827*G826,2)</f>
        <v>116.88</v>
      </c>
      <c r="G799" s="3227" t="s">
        <v>184</v>
      </c>
      <c r="H799" s="155">
        <f>VLOOKUP(G799,'CP FACTORS'!$A$3:$B$38, 2, FALSE)</f>
        <v>8.8731800000000003E-5</v>
      </c>
      <c r="I799" s="526">
        <f>G820*G821*(G822-G823)/(G824*G825)</f>
        <v>7.8971277842907403E-2</v>
      </c>
      <c r="J799" s="1554">
        <f>ROUND(F799*H799,6)</f>
        <v>1.0371E-2</v>
      </c>
      <c r="K799" s="2718">
        <f t="shared" ref="K799:K801" si="116">$G$829</f>
        <v>11</v>
      </c>
      <c r="L799" s="2616">
        <f>$G$830</f>
        <v>3</v>
      </c>
      <c r="M799" s="993" t="s">
        <v>185</v>
      </c>
      <c r="N799" s="910"/>
      <c r="O799" s="910"/>
      <c r="P799" s="1061"/>
      <c r="Q799" s="1061"/>
      <c r="R799" s="1431"/>
      <c r="S799" s="1061"/>
      <c r="T799" s="1061"/>
      <c r="U799" s="910"/>
      <c r="V799" s="1962" t="str">
        <f>V798</f>
        <v>kWh
Annual Savings</v>
      </c>
      <c r="W799" s="237"/>
      <c r="X799" s="2321"/>
      <c r="Y799" s="425"/>
      <c r="Z799" s="425"/>
      <c r="AA799" s="425"/>
      <c r="AB799" s="1975">
        <v>116.88</v>
      </c>
      <c r="AC799" s="531">
        <v>116.88</v>
      </c>
      <c r="AD799" s="1016"/>
      <c r="AE799" s="1016"/>
      <c r="AF799" s="1016"/>
      <c r="AG799" s="1016"/>
      <c r="AH799" s="394"/>
      <c r="AK799" s="1018"/>
      <c r="BB799" s="1019">
        <f>(BD799)/(BE799)</f>
        <v>15.284282039056441</v>
      </c>
      <c r="BC799" s="3166" t="str">
        <f>CONCATENATE(G799," ",K799," Year EUL")</f>
        <v>Water Heating RES 11 Year EUL</v>
      </c>
      <c r="BD799" s="111">
        <f>(INDEX('Avoided Cost Benefits'!$C$4:$C$857,MATCH(BC799,'Avoided Cost Benefits'!$A$4:$A$857,0)))*F799</f>
        <v>43.277816061509505</v>
      </c>
      <c r="BE799" s="1020">
        <f>L799/(1.0595^(2020-2019))</f>
        <v>2.8315243039169418</v>
      </c>
    </row>
    <row r="800" spans="1:57" s="892" customFormat="1" x14ac:dyDescent="0.25">
      <c r="A800" s="910"/>
      <c r="B800" s="1606"/>
      <c r="C800" s="1471" t="s">
        <v>1956</v>
      </c>
      <c r="D800" s="3176" t="s">
        <v>1930</v>
      </c>
      <c r="E800" s="2615" t="s">
        <v>1957</v>
      </c>
      <c r="F800" s="531">
        <f>ROUND(G811*(G812*G813-G814*G815)*G816*G817*G818/G819*I800*G828*G826,2)</f>
        <v>111.03</v>
      </c>
      <c r="G800" s="3227" t="s">
        <v>184</v>
      </c>
      <c r="H800" s="155">
        <f>VLOOKUP(G800,'CP FACTORS'!$A$3:$B$38, 2, FALSE)</f>
        <v>8.8731800000000003E-5</v>
      </c>
      <c r="I800" s="526">
        <f>G820*G821*(G822-G823)/(G824*G825)</f>
        <v>7.8971277842907403E-2</v>
      </c>
      <c r="J800" s="1554">
        <f>ROUND(F800*H800,6)</f>
        <v>9.8519999999999996E-3</v>
      </c>
      <c r="K800" s="2718">
        <f t="shared" si="116"/>
        <v>11</v>
      </c>
      <c r="L800" s="2616">
        <f t="shared" ref="L800:L801" si="117">$G$831</f>
        <v>11.33</v>
      </c>
      <c r="M800" s="993" t="s">
        <v>185</v>
      </c>
      <c r="N800" s="910"/>
      <c r="O800" s="910"/>
      <c r="P800" s="910"/>
      <c r="Q800" s="910"/>
      <c r="R800" s="1431"/>
      <c r="S800" s="910"/>
      <c r="T800" s="910"/>
      <c r="U800" s="910"/>
      <c r="V800" s="1962" t="str">
        <f t="shared" ref="V800:V801" si="118">V799</f>
        <v>kWh
Annual Savings</v>
      </c>
      <c r="W800" s="237"/>
      <c r="X800" s="2322"/>
      <c r="Y800" s="425"/>
      <c r="Z800" s="425"/>
      <c r="AA800" s="425"/>
      <c r="AB800" s="1975">
        <v>111.03</v>
      </c>
      <c r="AC800" s="531">
        <v>111.03</v>
      </c>
      <c r="AD800" s="1016"/>
      <c r="AE800" s="1016"/>
      <c r="AF800" s="1016"/>
      <c r="AG800" s="1016"/>
      <c r="AH800" s="394"/>
      <c r="AK800" s="1018"/>
      <c r="BB800" s="1022">
        <f>(BD800)/(BE800)</f>
        <v>3.8444704297535508</v>
      </c>
      <c r="BC800" s="1948" t="str">
        <f>CONCATENATE(G800," ",K800," Year EUL")</f>
        <v>Water Heating RES 11 Year EUL</v>
      </c>
      <c r="BD800" s="114">
        <f>(INDEX('Avoided Cost Benefits'!$C$4:$C$857,MATCH(BC800,'Avoided Cost Benefits'!$A$4:$A$857,0)))*F800</f>
        <v>41.111703604632112</v>
      </c>
      <c r="BE800" s="1023">
        <f>L800/(1.0595^(2020-2019))</f>
        <v>10.693723454459649</v>
      </c>
    </row>
    <row r="801" spans="1:57" s="892" customFormat="1" x14ac:dyDescent="0.25">
      <c r="A801" s="910"/>
      <c r="B801" s="1606"/>
      <c r="C801" s="1471" t="s">
        <v>1958</v>
      </c>
      <c r="D801" s="3176" t="s">
        <v>1933</v>
      </c>
      <c r="E801" s="2615" t="s">
        <v>1959</v>
      </c>
      <c r="F801" s="531">
        <f>ROUND(G811*(G812*G813-G814*G815)*G816*G817*G818/G819*I801*G828*G826,2)</f>
        <v>111.03</v>
      </c>
      <c r="G801" s="3227" t="s">
        <v>184</v>
      </c>
      <c r="H801" s="155">
        <f>VLOOKUP(G801,'CP FACTORS'!$A$3:$B$38, 2, FALSE)</f>
        <v>8.8731800000000003E-5</v>
      </c>
      <c r="I801" s="526">
        <f>G820*G821*(G822-G823)/(G824*G825)</f>
        <v>7.8971277842907403E-2</v>
      </c>
      <c r="J801" s="1554">
        <f>ROUND(F801*H801,6)</f>
        <v>9.8519999999999996E-3</v>
      </c>
      <c r="K801" s="2718">
        <f t="shared" si="116"/>
        <v>11</v>
      </c>
      <c r="L801" s="2616">
        <f t="shared" si="117"/>
        <v>11.33</v>
      </c>
      <c r="M801" s="993" t="s">
        <v>185</v>
      </c>
      <c r="N801" s="910"/>
      <c r="O801" s="910"/>
      <c r="P801" s="910"/>
      <c r="Q801" s="910"/>
      <c r="R801" s="1431"/>
      <c r="S801" s="910"/>
      <c r="T801" s="910"/>
      <c r="U801" s="910"/>
      <c r="V801" s="1962" t="str">
        <f t="shared" si="118"/>
        <v>kWh
Annual Savings</v>
      </c>
      <c r="W801" s="237"/>
      <c r="X801" s="2321"/>
      <c r="Y801" s="425"/>
      <c r="Z801" s="425"/>
      <c r="AA801" s="425"/>
      <c r="AB801" s="1975">
        <v>111.03</v>
      </c>
      <c r="AC801" s="531">
        <v>111.03</v>
      </c>
      <c r="AD801" s="1016"/>
      <c r="AE801" s="1016"/>
      <c r="AF801" s="1016"/>
      <c r="AG801" s="1016"/>
      <c r="AH801" s="394"/>
      <c r="AK801" s="1018"/>
      <c r="BB801" s="1024">
        <f>(BD801)/(BE801)</f>
        <v>3.8444704297535508</v>
      </c>
      <c r="BC801" s="1948" t="str">
        <f>CONCATENATE(G801," ",K801," Year EUL")</f>
        <v>Water Heating RES 11 Year EUL</v>
      </c>
      <c r="BD801" s="119">
        <f>(INDEX('Avoided Cost Benefits'!$C$4:$C$857,MATCH(BC801,'Avoided Cost Benefits'!$A$4:$A$857,0)))*F801</f>
        <v>41.111703604632112</v>
      </c>
      <c r="BE801" s="1025">
        <f>L801/(1.0595^(2020-2019))</f>
        <v>10.693723454459649</v>
      </c>
    </row>
    <row r="802" spans="1:57" hidden="1" outlineLevel="1" x14ac:dyDescent="0.25">
      <c r="B802" s="1233"/>
      <c r="C802" s="225"/>
      <c r="D802" s="1208"/>
      <c r="E802" s="1208"/>
      <c r="F802" s="1667"/>
      <c r="G802" s="947"/>
      <c r="H802" s="1668"/>
      <c r="I802" s="1026"/>
      <c r="J802" s="1026"/>
      <c r="K802" s="1026"/>
      <c r="L802" s="1669"/>
      <c r="V802" s="123"/>
      <c r="W802" s="1942"/>
      <c r="X802" s="1930"/>
      <c r="Y802" s="103"/>
      <c r="Z802" s="1930"/>
      <c r="AA802" s="1930"/>
      <c r="AB802" s="1930"/>
      <c r="AC802" s="1930"/>
      <c r="AD802" s="1930"/>
      <c r="AE802" s="1930"/>
      <c r="AF802" s="1930"/>
      <c r="AG802" s="1930"/>
      <c r="AH802" s="163"/>
      <c r="AK802" s="883"/>
    </row>
    <row r="803" spans="1:57" hidden="1" outlineLevel="1" x14ac:dyDescent="0.25">
      <c r="B803" s="1233"/>
      <c r="C803" s="225"/>
      <c r="D803" s="1213"/>
      <c r="E803" s="1213"/>
      <c r="F803" s="1667"/>
      <c r="G803" s="1500"/>
      <c r="H803" s="1670"/>
      <c r="I803" s="1027"/>
      <c r="J803" s="1027"/>
      <c r="K803" s="1027"/>
      <c r="L803" s="1027"/>
      <c r="V803" s="123"/>
      <c r="W803" s="1930"/>
      <c r="X803" s="1930"/>
      <c r="Y803" s="103"/>
      <c r="Z803" s="1930"/>
      <c r="AA803" s="1930"/>
      <c r="AB803" s="1930"/>
      <c r="AC803" s="1930"/>
      <c r="AD803" s="1930"/>
      <c r="AE803" s="1930"/>
      <c r="AF803" s="1930"/>
      <c r="AG803" s="1930"/>
      <c r="AK803" s="883"/>
    </row>
    <row r="804" spans="1:57" hidden="1" outlineLevel="1" x14ac:dyDescent="0.25">
      <c r="B804" s="1233"/>
      <c r="C804" s="225"/>
      <c r="D804" s="174" t="s">
        <v>108</v>
      </c>
      <c r="E804" s="1213"/>
      <c r="F804" s="1667"/>
      <c r="G804" s="1027"/>
      <c r="H804" s="1500"/>
      <c r="I804" s="1027"/>
      <c r="J804" s="1027"/>
      <c r="K804" s="1027"/>
      <c r="L804" s="1027"/>
      <c r="V804" s="123"/>
      <c r="W804" s="1930"/>
      <c r="X804" s="1930"/>
      <c r="Y804" s="103"/>
      <c r="Z804" s="1930"/>
      <c r="AA804" s="1930"/>
      <c r="AB804" s="1930"/>
      <c r="AC804" s="1930"/>
      <c r="AD804" s="1930"/>
      <c r="AE804" s="1930"/>
      <c r="AF804" s="1930"/>
      <c r="AG804" s="1930"/>
      <c r="AK804" s="883"/>
    </row>
    <row r="805" spans="1:57" hidden="1" outlineLevel="1" x14ac:dyDescent="0.25">
      <c r="B805" s="1233"/>
      <c r="C805" s="253"/>
      <c r="D805" s="1671"/>
      <c r="E805" s="1672"/>
      <c r="F805" s="1673"/>
      <c r="G805" s="1673"/>
      <c r="H805" s="1027"/>
      <c r="I805" s="1027"/>
      <c r="J805" s="1027"/>
      <c r="K805" s="1027"/>
      <c r="L805" s="1027"/>
      <c r="V805" s="123"/>
      <c r="W805" s="1930"/>
      <c r="X805" s="1930"/>
      <c r="Y805" s="103"/>
      <c r="Z805" s="1930"/>
      <c r="AA805" s="1930"/>
      <c r="AB805" s="1930"/>
      <c r="AC805" s="1930"/>
      <c r="AD805" s="1930"/>
      <c r="AE805" s="1930"/>
      <c r="AF805" s="1930"/>
      <c r="AG805" s="1930"/>
      <c r="AK805" s="883"/>
    </row>
    <row r="806" spans="1:57" hidden="1" outlineLevel="1" x14ac:dyDescent="0.25">
      <c r="B806" s="1233"/>
      <c r="C806" s="267"/>
      <c r="D806" s="1674"/>
      <c r="E806" s="1675"/>
      <c r="F806" s="1676"/>
      <c r="G806" s="1676"/>
      <c r="H806" s="1027"/>
      <c r="I806" s="1027"/>
      <c r="J806" s="1027"/>
      <c r="K806" s="1027"/>
      <c r="L806" s="1027"/>
      <c r="V806" s="123"/>
      <c r="W806" s="1930"/>
      <c r="X806" s="1930"/>
      <c r="Y806" s="103"/>
      <c r="Z806" s="1930"/>
      <c r="AA806" s="1930"/>
      <c r="AB806" s="1930"/>
      <c r="AC806" s="1930"/>
      <c r="AD806" s="1930"/>
      <c r="AE806" s="1930"/>
      <c r="AF806" s="1930"/>
      <c r="AG806" s="1930"/>
      <c r="AK806" s="883"/>
    </row>
    <row r="807" spans="1:57" hidden="1" outlineLevel="1" x14ac:dyDescent="0.25">
      <c r="B807" s="1233"/>
      <c r="C807" s="267"/>
      <c r="D807" s="1674"/>
      <c r="E807" s="1675"/>
      <c r="F807" s="1676"/>
      <c r="G807" s="1676"/>
      <c r="H807" s="1027"/>
      <c r="I807" s="1027"/>
      <c r="J807" s="1027"/>
      <c r="K807" s="1027"/>
      <c r="L807" s="1027"/>
      <c r="V807" s="123"/>
      <c r="W807" s="1930"/>
      <c r="X807" s="1930"/>
      <c r="Y807" s="103"/>
      <c r="Z807" s="1930"/>
      <c r="AA807" s="1930"/>
      <c r="AB807" s="1930"/>
      <c r="AC807" s="1930"/>
      <c r="AD807" s="1930"/>
      <c r="AE807" s="1930"/>
      <c r="AF807" s="1930"/>
      <c r="AG807" s="1930"/>
      <c r="AK807" s="883"/>
    </row>
    <row r="808" spans="1:57" ht="15" hidden="1" customHeight="1" outlineLevel="1" x14ac:dyDescent="0.25">
      <c r="B808" s="1233"/>
      <c r="C808" s="267"/>
      <c r="D808" s="1611"/>
      <c r="E808" s="1612"/>
      <c r="F808" s="1613"/>
      <c r="G808" s="1613"/>
      <c r="V808" s="123"/>
      <c r="W808" s="1930"/>
      <c r="X808" s="1930"/>
      <c r="Y808" s="103"/>
      <c r="Z808" s="1930"/>
      <c r="AA808" s="1930"/>
      <c r="AB808" s="1930"/>
      <c r="AC808" s="1930"/>
      <c r="AD808" s="1930"/>
      <c r="AE808" s="1930"/>
      <c r="AF808" s="1930"/>
      <c r="AG808" s="1930"/>
      <c r="AK808" s="883"/>
    </row>
    <row r="809" spans="1:57" hidden="1" outlineLevel="1" x14ac:dyDescent="0.25">
      <c r="B809" s="1233"/>
      <c r="C809" s="225"/>
      <c r="D809" s="1678"/>
      <c r="V809" s="123"/>
      <c r="W809" s="1930"/>
      <c r="X809" s="1930"/>
      <c r="Y809" s="103"/>
      <c r="Z809" s="1930"/>
      <c r="AA809" s="1930"/>
      <c r="AB809" s="1930"/>
      <c r="AC809" s="1930"/>
      <c r="AD809" s="1930"/>
      <c r="AE809" s="1930"/>
      <c r="AF809" s="1930"/>
      <c r="AG809" s="1930"/>
      <c r="AK809" s="883"/>
    </row>
    <row r="810" spans="1:57" hidden="1" outlineLevel="1" x14ac:dyDescent="0.25">
      <c r="B810" s="1233"/>
      <c r="C810" s="225"/>
      <c r="D810" s="3236" t="s">
        <v>109</v>
      </c>
      <c r="E810" s="3236" t="s">
        <v>110</v>
      </c>
      <c r="F810" s="3086" t="s">
        <v>1935</v>
      </c>
      <c r="G810" s="3136" t="s">
        <v>112</v>
      </c>
      <c r="H810" s="3773" t="s">
        <v>187</v>
      </c>
      <c r="I810" s="3773"/>
      <c r="J810" s="4154" t="s">
        <v>113</v>
      </c>
      <c r="K810" s="4278"/>
      <c r="L810" s="4279"/>
      <c r="V810" s="551" t="s">
        <v>45</v>
      </c>
      <c r="W810" s="552">
        <f>W$6</f>
        <v>43252</v>
      </c>
      <c r="X810" s="552">
        <f t="shared" ref="X810:AG810" si="119">X$6</f>
        <v>43465</v>
      </c>
      <c r="Y810" s="2409">
        <f t="shared" si="119"/>
        <v>43800</v>
      </c>
      <c r="Z810" s="552">
        <f t="shared" si="119"/>
        <v>43862</v>
      </c>
      <c r="AA810" s="552">
        <f t="shared" si="119"/>
        <v>44013</v>
      </c>
      <c r="AB810" s="552">
        <f t="shared" si="119"/>
        <v>44166</v>
      </c>
      <c r="AC810" s="552">
        <f t="shared" si="119"/>
        <v>44531</v>
      </c>
      <c r="AD810" s="552" t="str">
        <f t="shared" si="119"/>
        <v>-</v>
      </c>
      <c r="AE810" s="552" t="str">
        <f t="shared" si="119"/>
        <v>-</v>
      </c>
      <c r="AF810" s="552" t="str">
        <f t="shared" si="119"/>
        <v>-</v>
      </c>
      <c r="AG810" s="552" t="str">
        <f t="shared" si="119"/>
        <v>-</v>
      </c>
      <c r="AK810" s="883"/>
    </row>
    <row r="811" spans="1:57" ht="15" hidden="1" customHeight="1" outlineLevel="1" x14ac:dyDescent="0.25">
      <c r="B811" s="1233"/>
      <c r="D811" s="3089" t="s">
        <v>615</v>
      </c>
      <c r="E811" s="3089" t="s">
        <v>616</v>
      </c>
      <c r="F811" s="3089"/>
      <c r="G811" s="1040">
        <v>1</v>
      </c>
      <c r="H811" s="3927" t="s">
        <v>600</v>
      </c>
      <c r="I811" s="3928"/>
      <c r="J811" s="4280" t="s">
        <v>1816</v>
      </c>
      <c r="K811" s="4281"/>
      <c r="L811" s="4281"/>
      <c r="V811" s="3089" t="s">
        <v>615</v>
      </c>
      <c r="W811" s="537"/>
      <c r="X811" s="537"/>
      <c r="Y811" s="537"/>
      <c r="Z811" s="537"/>
      <c r="AA811" s="537"/>
      <c r="AB811" s="537">
        <v>1</v>
      </c>
      <c r="AC811" s="1040">
        <v>1</v>
      </c>
      <c r="AD811" s="160"/>
      <c r="AE811" s="160"/>
      <c r="AF811" s="160"/>
      <c r="AG811" s="160"/>
      <c r="AK811" s="883"/>
    </row>
    <row r="812" spans="1:57" ht="90.6" hidden="1" customHeight="1" outlineLevel="1" x14ac:dyDescent="0.25">
      <c r="B812" s="1233"/>
      <c r="D812" s="3089" t="s">
        <v>621</v>
      </c>
      <c r="E812" s="3089" t="s">
        <v>1936</v>
      </c>
      <c r="F812" s="3089"/>
      <c r="G812" s="2718">
        <v>2.2000000000000002</v>
      </c>
      <c r="H812" s="3904" t="s">
        <v>694</v>
      </c>
      <c r="I812" s="3906"/>
      <c r="J812" s="4210" t="s">
        <v>674</v>
      </c>
      <c r="K812" s="4211"/>
      <c r="L812" s="4212"/>
      <c r="V812" s="3089" t="s">
        <v>621</v>
      </c>
      <c r="W812" s="538"/>
      <c r="X812" s="2319"/>
      <c r="Y812" s="2319"/>
      <c r="Z812" s="2319"/>
      <c r="AA812" s="2319"/>
      <c r="AB812" s="117">
        <v>2.2000000000000002</v>
      </c>
      <c r="AC812" s="2718">
        <v>2.2000000000000002</v>
      </c>
      <c r="AD812" s="160"/>
      <c r="AE812" s="160"/>
      <c r="AF812" s="160"/>
      <c r="AG812" s="160"/>
      <c r="AK812" s="883"/>
    </row>
    <row r="813" spans="1:57" ht="30" hidden="1" customHeight="1" outlineLevel="1" x14ac:dyDescent="0.25">
      <c r="B813" s="1233"/>
      <c r="D813" s="3089" t="s">
        <v>624</v>
      </c>
      <c r="E813" s="3193" t="s">
        <v>1937</v>
      </c>
      <c r="F813" s="3089"/>
      <c r="G813" s="2315">
        <v>3.7</v>
      </c>
      <c r="H813" s="4208" t="s">
        <v>628</v>
      </c>
      <c r="I813" s="4209"/>
      <c r="J813" s="4210" t="s">
        <v>674</v>
      </c>
      <c r="K813" s="4211"/>
      <c r="L813" s="4212"/>
      <c r="V813" s="3089" t="s">
        <v>624</v>
      </c>
      <c r="W813" s="1030"/>
      <c r="X813" s="1030"/>
      <c r="Y813" s="1030"/>
      <c r="Z813" s="1030"/>
      <c r="AA813" s="1030"/>
      <c r="AB813" s="2318">
        <v>3.7</v>
      </c>
      <c r="AC813" s="2315">
        <v>3.7</v>
      </c>
      <c r="AD813" s="160"/>
      <c r="AE813" s="160"/>
      <c r="AF813" s="160"/>
      <c r="AG813" s="160"/>
      <c r="AK813" s="883"/>
    </row>
    <row r="814" spans="1:57" ht="30" hidden="1" customHeight="1" outlineLevel="1" x14ac:dyDescent="0.25">
      <c r="B814" s="1233"/>
      <c r="D814" s="3089" t="s">
        <v>629</v>
      </c>
      <c r="E814" s="3089" t="s">
        <v>1938</v>
      </c>
      <c r="F814" s="3089"/>
      <c r="G814" s="2718">
        <v>1.5</v>
      </c>
      <c r="H814" s="3904" t="s">
        <v>1939</v>
      </c>
      <c r="I814" s="3906"/>
      <c r="J814" s="4210" t="s">
        <v>674</v>
      </c>
      <c r="K814" s="4211"/>
      <c r="L814" s="4212"/>
      <c r="V814" s="3089" t="s">
        <v>629</v>
      </c>
      <c r="W814" s="538"/>
      <c r="X814" s="1042"/>
      <c r="Y814" s="1042"/>
      <c r="Z814" s="1042"/>
      <c r="AA814" s="1042"/>
      <c r="AB814" s="117">
        <v>1.5</v>
      </c>
      <c r="AC814" s="2718">
        <v>1.5</v>
      </c>
      <c r="AD814" s="899"/>
      <c r="AE814" s="899"/>
      <c r="AF814" s="899"/>
      <c r="AG814" s="899"/>
      <c r="AK814" s="883"/>
    </row>
    <row r="815" spans="1:57" ht="30" hidden="1" customHeight="1" outlineLevel="1" x14ac:dyDescent="0.25">
      <c r="B815" s="1233"/>
      <c r="D815" s="3089" t="s">
        <v>632</v>
      </c>
      <c r="E815" s="3193" t="s">
        <v>1937</v>
      </c>
      <c r="F815" s="3089"/>
      <c r="G815" s="1168">
        <v>3.7</v>
      </c>
      <c r="H815" s="4208" t="s">
        <v>628</v>
      </c>
      <c r="I815" s="4209"/>
      <c r="J815" s="4210" t="s">
        <v>674</v>
      </c>
      <c r="K815" s="4211"/>
      <c r="L815" s="4212"/>
      <c r="V815" s="3089" t="s">
        <v>632</v>
      </c>
      <c r="W815" s="1030"/>
      <c r="X815" s="1030"/>
      <c r="Y815" s="2310"/>
      <c r="Z815" s="2310"/>
      <c r="AA815" s="2310"/>
      <c r="AB815" s="243">
        <v>3.7</v>
      </c>
      <c r="AC815" s="1168">
        <v>3.7</v>
      </c>
      <c r="AD815" s="899"/>
      <c r="AE815" s="899"/>
      <c r="AF815" s="899"/>
      <c r="AG815" s="899"/>
      <c r="AK815" s="883"/>
    </row>
    <row r="816" spans="1:57" ht="45" hidden="1" customHeight="1" outlineLevel="1" x14ac:dyDescent="0.25">
      <c r="B816" s="1233"/>
      <c r="D816" s="3089" t="s">
        <v>200</v>
      </c>
      <c r="E816" s="3193" t="s">
        <v>1940</v>
      </c>
      <c r="F816" s="3089"/>
      <c r="G816" s="1029">
        <v>1.5644946808510638</v>
      </c>
      <c r="H816" s="4208" t="s">
        <v>636</v>
      </c>
      <c r="I816" s="4209"/>
      <c r="J816" s="4210" t="s">
        <v>674</v>
      </c>
      <c r="K816" s="4211"/>
      <c r="L816" s="4212"/>
      <c r="V816" s="3089" t="s">
        <v>200</v>
      </c>
      <c r="W816" s="1030"/>
      <c r="X816" s="1030"/>
      <c r="Y816" s="1031"/>
      <c r="Z816" s="1031"/>
      <c r="AA816" s="1031"/>
      <c r="AB816" s="1031">
        <v>1.5644946808510638</v>
      </c>
      <c r="AC816" s="1029">
        <v>1.5644946808510638</v>
      </c>
      <c r="AD816" s="899"/>
      <c r="AE816" s="899"/>
      <c r="AF816" s="899"/>
      <c r="AG816" s="899"/>
      <c r="AK816" s="883"/>
    </row>
    <row r="817" spans="2:37" ht="15" hidden="1" customHeight="1" outlineLevel="1" x14ac:dyDescent="0.25">
      <c r="B817" s="1233"/>
      <c r="D817" s="447" t="s">
        <v>638</v>
      </c>
      <c r="E817" s="3127" t="s">
        <v>639</v>
      </c>
      <c r="F817" s="3089"/>
      <c r="G817" s="1032">
        <v>1</v>
      </c>
      <c r="H817" s="3942" t="s">
        <v>536</v>
      </c>
      <c r="I817" s="3943"/>
      <c r="J817" s="4222" t="s">
        <v>677</v>
      </c>
      <c r="K817" s="4223"/>
      <c r="L817" s="4224"/>
      <c r="V817" s="447" t="s">
        <v>638</v>
      </c>
      <c r="W817" s="1030"/>
      <c r="X817" s="1030"/>
      <c r="Y817" s="1033"/>
      <c r="Z817" s="1033"/>
      <c r="AA817" s="1033"/>
      <c r="AB817" s="1030">
        <v>1</v>
      </c>
      <c r="AC817" s="1032">
        <v>1</v>
      </c>
      <c r="AD817" s="899"/>
      <c r="AE817" s="899"/>
      <c r="AF817" s="899"/>
      <c r="AG817" s="899"/>
      <c r="AK817" s="883"/>
    </row>
    <row r="818" spans="2:37" ht="15" hidden="1" customHeight="1" outlineLevel="1" x14ac:dyDescent="0.25">
      <c r="B818" s="1233"/>
      <c r="D818" s="447">
        <v>365.25</v>
      </c>
      <c r="E818" s="3193" t="s">
        <v>1941</v>
      </c>
      <c r="F818" s="3089"/>
      <c r="G818" s="233">
        <v>365.25</v>
      </c>
      <c r="H818" s="3904" t="s">
        <v>587</v>
      </c>
      <c r="I818" s="3906"/>
      <c r="J818" s="4210" t="s">
        <v>674</v>
      </c>
      <c r="K818" s="4211"/>
      <c r="L818" s="4212"/>
      <c r="V818" s="447">
        <v>365.25</v>
      </c>
      <c r="W818" s="1030"/>
      <c r="X818" s="1030"/>
      <c r="Y818" s="2320"/>
      <c r="Z818" s="2320"/>
      <c r="AA818" s="2320"/>
      <c r="AB818" s="2310">
        <v>365.25</v>
      </c>
      <c r="AC818" s="233">
        <v>365.25</v>
      </c>
      <c r="AD818" s="899"/>
      <c r="AE818" s="899"/>
      <c r="AF818" s="899"/>
      <c r="AG818" s="899"/>
      <c r="AK818" s="883"/>
    </row>
    <row r="819" spans="2:37" ht="15" hidden="1" customHeight="1" outlineLevel="1" x14ac:dyDescent="0.25">
      <c r="B819" s="1233"/>
      <c r="D819" s="447" t="s">
        <v>642</v>
      </c>
      <c r="E819" s="3193" t="s">
        <v>1942</v>
      </c>
      <c r="F819" s="3089"/>
      <c r="G819" s="2617">
        <v>1</v>
      </c>
      <c r="H819" s="3776" t="s">
        <v>645</v>
      </c>
      <c r="I819" s="3776"/>
      <c r="J819" s="4210" t="s">
        <v>1943</v>
      </c>
      <c r="K819" s="4211"/>
      <c r="L819" s="4212"/>
      <c r="V819" s="447" t="s">
        <v>642</v>
      </c>
      <c r="W819" s="1030"/>
      <c r="X819" s="1030"/>
      <c r="Y819" s="1031"/>
      <c r="Z819" s="1031"/>
      <c r="AA819" s="1031"/>
      <c r="AB819" s="2316">
        <v>1</v>
      </c>
      <c r="AC819" s="2617">
        <v>1</v>
      </c>
      <c r="AD819" s="899"/>
      <c r="AE819" s="899"/>
      <c r="AF819" s="899"/>
      <c r="AG819" s="899"/>
      <c r="AK819" s="883"/>
    </row>
    <row r="820" spans="2:37" ht="15" hidden="1" customHeight="1" outlineLevel="1" x14ac:dyDescent="0.25">
      <c r="B820" s="1233"/>
      <c r="D820" s="447">
        <v>8.33</v>
      </c>
      <c r="E820" s="3193" t="s">
        <v>647</v>
      </c>
      <c r="F820" s="3089"/>
      <c r="G820" s="1032">
        <v>8.33</v>
      </c>
      <c r="H820" s="3927" t="s">
        <v>648</v>
      </c>
      <c r="I820" s="3928"/>
      <c r="J820" s="4210" t="s">
        <v>674</v>
      </c>
      <c r="K820" s="4211"/>
      <c r="L820" s="4212"/>
      <c r="V820" s="447">
        <v>8.33</v>
      </c>
      <c r="W820" s="1030"/>
      <c r="X820" s="1030"/>
      <c r="Y820" s="1030"/>
      <c r="Z820" s="1030"/>
      <c r="AA820" s="1030"/>
      <c r="AB820" s="1030">
        <v>8.33</v>
      </c>
      <c r="AC820" s="1032">
        <v>8.33</v>
      </c>
      <c r="AD820" s="899"/>
      <c r="AE820" s="899"/>
      <c r="AF820" s="899"/>
      <c r="AG820" s="899"/>
      <c r="AK820" s="883"/>
    </row>
    <row r="821" spans="2:37" ht="15" hidden="1" customHeight="1" outlineLevel="1" x14ac:dyDescent="0.25">
      <c r="B821" s="1233"/>
      <c r="D821" s="447">
        <v>1</v>
      </c>
      <c r="E821" s="1679" t="s">
        <v>1944</v>
      </c>
      <c r="F821" s="3089"/>
      <c r="G821" s="1032">
        <v>1</v>
      </c>
      <c r="H821" s="3904" t="s">
        <v>650</v>
      </c>
      <c r="I821" s="3906"/>
      <c r="J821" s="4210" t="s">
        <v>674</v>
      </c>
      <c r="K821" s="4211"/>
      <c r="L821" s="4212"/>
      <c r="V821" s="447">
        <v>1</v>
      </c>
      <c r="W821" s="1030"/>
      <c r="X821" s="1030"/>
      <c r="Y821" s="1030"/>
      <c r="Z821" s="1030"/>
      <c r="AA821" s="1030"/>
      <c r="AB821" s="1030">
        <v>1</v>
      </c>
      <c r="AC821" s="1032">
        <v>1</v>
      </c>
      <c r="AD821" s="899"/>
      <c r="AE821" s="899"/>
      <c r="AF821" s="899"/>
      <c r="AG821" s="899"/>
      <c r="AK821" s="883"/>
    </row>
    <row r="822" spans="2:37" ht="15" hidden="1" customHeight="1" outlineLevel="1" x14ac:dyDescent="0.25">
      <c r="B822" s="1233"/>
      <c r="D822" s="3089" t="s">
        <v>651</v>
      </c>
      <c r="E822" s="3193" t="s">
        <v>1945</v>
      </c>
      <c r="F822" s="3089"/>
      <c r="G822" s="1070">
        <v>93</v>
      </c>
      <c r="H822" s="4221" t="s">
        <v>653</v>
      </c>
      <c r="I822" s="4221"/>
      <c r="J822" s="4210" t="s">
        <v>674</v>
      </c>
      <c r="K822" s="4211"/>
      <c r="L822" s="4212"/>
      <c r="V822" s="3089" t="s">
        <v>651</v>
      </c>
      <c r="W822" s="1030"/>
      <c r="X822" s="1030"/>
      <c r="Y822" s="1030"/>
      <c r="Z822" s="1030"/>
      <c r="AA822" s="1030"/>
      <c r="AB822" s="1037">
        <v>93</v>
      </c>
      <c r="AC822" s="1070">
        <v>93</v>
      </c>
      <c r="AD822" s="899"/>
      <c r="AE822" s="899"/>
      <c r="AF822" s="899"/>
      <c r="AG822" s="899"/>
      <c r="AK822" s="883"/>
    </row>
    <row r="823" spans="2:37" ht="60" hidden="1" customHeight="1" outlineLevel="1" x14ac:dyDescent="0.25">
      <c r="B823" s="1233"/>
      <c r="D823" s="3089" t="s">
        <v>654</v>
      </c>
      <c r="E823" s="3193" t="s">
        <v>1946</v>
      </c>
      <c r="F823" s="3089"/>
      <c r="G823" s="1070">
        <v>61.3</v>
      </c>
      <c r="H823" s="3776" t="s">
        <v>656</v>
      </c>
      <c r="I823" s="3776"/>
      <c r="J823" s="4210" t="s">
        <v>674</v>
      </c>
      <c r="K823" s="4211"/>
      <c r="L823" s="4212"/>
      <c r="V823" s="3089" t="s">
        <v>654</v>
      </c>
      <c r="W823" s="1030"/>
      <c r="X823" s="1030"/>
      <c r="Y823" s="1030"/>
      <c r="Z823" s="1030"/>
      <c r="AA823" s="1030"/>
      <c r="AB823" s="1037">
        <v>61.3</v>
      </c>
      <c r="AC823" s="1070">
        <v>61.3</v>
      </c>
      <c r="AD823" s="899"/>
      <c r="AE823" s="899"/>
      <c r="AF823" s="899"/>
      <c r="AG823" s="899"/>
      <c r="AK823" s="883"/>
    </row>
    <row r="824" spans="2:37" ht="30" hidden="1" customHeight="1" outlineLevel="1" x14ac:dyDescent="0.25">
      <c r="B824" s="1233"/>
      <c r="D824" s="3089" t="s">
        <v>657</v>
      </c>
      <c r="E824" s="3193" t="s">
        <v>1947</v>
      </c>
      <c r="F824" s="3089"/>
      <c r="G824" s="1032">
        <v>0.98</v>
      </c>
      <c r="H824" s="4208" t="s">
        <v>1948</v>
      </c>
      <c r="I824" s="4209"/>
      <c r="J824" s="4210" t="s">
        <v>674</v>
      </c>
      <c r="K824" s="4211"/>
      <c r="L824" s="4212"/>
      <c r="V824" s="3089" t="s">
        <v>657</v>
      </c>
      <c r="W824" s="1030"/>
      <c r="X824" s="1030"/>
      <c r="Y824" s="1030"/>
      <c r="Z824" s="1030"/>
      <c r="AA824" s="1030"/>
      <c r="AB824" s="1030">
        <v>0.98</v>
      </c>
      <c r="AC824" s="1032">
        <v>0.98</v>
      </c>
      <c r="AD824" s="899"/>
      <c r="AE824" s="899"/>
      <c r="AF824" s="899"/>
      <c r="AG824" s="899"/>
      <c r="AK824" s="883"/>
    </row>
    <row r="825" spans="2:37" ht="15" hidden="1" customHeight="1" outlineLevel="1" x14ac:dyDescent="0.25">
      <c r="B825" s="1233"/>
      <c r="D825" s="3089">
        <v>3412</v>
      </c>
      <c r="E825" s="3193">
        <v>3412</v>
      </c>
      <c r="F825" s="3089"/>
      <c r="G825" s="1032">
        <v>3412</v>
      </c>
      <c r="H825" s="3927" t="s">
        <v>218</v>
      </c>
      <c r="I825" s="3928"/>
      <c r="J825" s="4210" t="s">
        <v>674</v>
      </c>
      <c r="K825" s="4211"/>
      <c r="L825" s="4212"/>
      <c r="V825" s="3089">
        <v>3412</v>
      </c>
      <c r="W825" s="1030"/>
      <c r="X825" s="1030"/>
      <c r="Y825" s="1030"/>
      <c r="Z825" s="1030"/>
      <c r="AA825" s="1030"/>
      <c r="AB825" s="1030">
        <v>3412</v>
      </c>
      <c r="AC825" s="1032">
        <v>3412</v>
      </c>
      <c r="AD825" s="899"/>
      <c r="AE825" s="899"/>
      <c r="AF825" s="899"/>
      <c r="AG825" s="899"/>
      <c r="AK825" s="883"/>
    </row>
    <row r="826" spans="2:37" ht="15" hidden="1" customHeight="1" outlineLevel="1" x14ac:dyDescent="0.25">
      <c r="B826" s="1233"/>
      <c r="D826" s="3089" t="s">
        <v>531</v>
      </c>
      <c r="E826" s="3089" t="s">
        <v>595</v>
      </c>
      <c r="F826" s="3089"/>
      <c r="G826" s="1680">
        <v>1</v>
      </c>
      <c r="H826" s="3927" t="s">
        <v>600</v>
      </c>
      <c r="I826" s="3928"/>
      <c r="J826" s="4210" t="s">
        <v>1816</v>
      </c>
      <c r="K826" s="4211"/>
      <c r="L826" s="4211"/>
      <c r="V826" s="3089" t="s">
        <v>531</v>
      </c>
      <c r="W826" s="2049"/>
      <c r="X826" s="2049"/>
      <c r="Y826" s="2049"/>
      <c r="Z826" s="2049"/>
      <c r="AA826" s="2049"/>
      <c r="AB826" s="2049">
        <v>1</v>
      </c>
      <c r="AC826" s="1680">
        <v>1</v>
      </c>
      <c r="AD826" s="899"/>
      <c r="AE826" s="899"/>
      <c r="AF826" s="899"/>
      <c r="AG826" s="899"/>
      <c r="AK826" s="883"/>
    </row>
    <row r="827" spans="2:37" ht="15" hidden="1" customHeight="1" outlineLevel="1" x14ac:dyDescent="0.25">
      <c r="B827" s="1233"/>
      <c r="D827" s="3776" t="s">
        <v>133</v>
      </c>
      <c r="E827" s="4205" t="s">
        <v>1817</v>
      </c>
      <c r="F827" s="3089" t="s">
        <v>429</v>
      </c>
      <c r="G827" s="1680">
        <v>1</v>
      </c>
      <c r="H827" s="4208" t="s">
        <v>1949</v>
      </c>
      <c r="I827" s="4209"/>
      <c r="J827" s="4210" t="s">
        <v>674</v>
      </c>
      <c r="K827" s="4211"/>
      <c r="L827" s="4212"/>
      <c r="V827" s="3776" t="s">
        <v>133</v>
      </c>
      <c r="W827" s="2049"/>
      <c r="X827" s="2049"/>
      <c r="Y827" s="2049"/>
      <c r="Z827" s="2049"/>
      <c r="AA827" s="2049"/>
      <c r="AB827" s="2049">
        <v>1</v>
      </c>
      <c r="AC827" s="1680">
        <v>1</v>
      </c>
      <c r="AD827" s="899"/>
      <c r="AE827" s="899"/>
      <c r="AF827" s="899"/>
      <c r="AG827" s="899"/>
      <c r="AK827" s="883"/>
    </row>
    <row r="828" spans="2:37" ht="15" hidden="1" customHeight="1" outlineLevel="1" x14ac:dyDescent="0.25">
      <c r="B828" s="1233"/>
      <c r="D828" s="3776"/>
      <c r="E828" s="4205"/>
      <c r="F828" s="3089" t="s">
        <v>430</v>
      </c>
      <c r="G828" s="289">
        <v>0.95</v>
      </c>
      <c r="H828" s="3942" t="s">
        <v>536</v>
      </c>
      <c r="I828" s="3943"/>
      <c r="J828" s="3787"/>
      <c r="K828" s="4200"/>
      <c r="L828" s="3788"/>
      <c r="V828" s="3776"/>
      <c r="W828" s="537"/>
      <c r="X828" s="537"/>
      <c r="Y828" s="274"/>
      <c r="Z828" s="274"/>
      <c r="AA828" s="274"/>
      <c r="AB828" s="274">
        <v>0.95</v>
      </c>
      <c r="AC828" s="289">
        <v>0.95</v>
      </c>
      <c r="AD828" s="899"/>
      <c r="AE828" s="899"/>
      <c r="AF828" s="899"/>
      <c r="AG828" s="899"/>
      <c r="AK828" s="883"/>
    </row>
    <row r="829" spans="2:37" ht="15" hidden="1" customHeight="1" outlineLevel="1" x14ac:dyDescent="0.25">
      <c r="B829" s="1233"/>
      <c r="D829" s="3191" t="s">
        <v>181</v>
      </c>
      <c r="E829" s="3191" t="s">
        <v>1960</v>
      </c>
      <c r="F829" s="3089" t="s">
        <v>135</v>
      </c>
      <c r="G829" s="1032">
        <v>11</v>
      </c>
      <c r="H829" s="4201"/>
      <c r="I829" s="4202"/>
      <c r="J829" s="3787"/>
      <c r="K829" s="4200"/>
      <c r="L829" s="3788"/>
      <c r="V829" s="3192" t="str">
        <f>D829</f>
        <v>EUL</v>
      </c>
      <c r="W829" s="1030"/>
      <c r="X829" s="1030"/>
      <c r="Y829" s="1030"/>
      <c r="Z829" s="1030"/>
      <c r="AA829" s="1030"/>
      <c r="AB829" s="1030">
        <v>11</v>
      </c>
      <c r="AC829" s="1032">
        <v>11</v>
      </c>
      <c r="AD829" s="899"/>
      <c r="AE829" s="899"/>
      <c r="AF829" s="899"/>
      <c r="AG829" s="899"/>
      <c r="AK829" s="883"/>
    </row>
    <row r="830" spans="2:37" ht="15" hidden="1" customHeight="1" outlineLevel="1" x14ac:dyDescent="0.25">
      <c r="B830" s="1233"/>
      <c r="D830" s="4203" t="s">
        <v>170</v>
      </c>
      <c r="E830" s="4203" t="s">
        <v>171</v>
      </c>
      <c r="F830" s="3089" t="s">
        <v>429</v>
      </c>
      <c r="G830" s="2311">
        <v>3</v>
      </c>
      <c r="H830" s="4201"/>
      <c r="I830" s="4202"/>
      <c r="J830" s="3787" t="s">
        <v>1950</v>
      </c>
      <c r="K830" s="4200"/>
      <c r="L830" s="3788"/>
      <c r="V830" s="4204" t="str">
        <f>D830</f>
        <v>Inc. Cost</v>
      </c>
      <c r="W830" s="1030"/>
      <c r="X830" s="1030"/>
      <c r="Y830" s="1030"/>
      <c r="Z830" s="1030"/>
      <c r="AA830" s="1030"/>
      <c r="AB830" s="2312">
        <v>3</v>
      </c>
      <c r="AC830" s="2311">
        <v>3</v>
      </c>
      <c r="AD830" s="899"/>
      <c r="AE830" s="899"/>
      <c r="AF830" s="899"/>
      <c r="AG830" s="899"/>
      <c r="AK830" s="883"/>
    </row>
    <row r="831" spans="2:37" ht="15" hidden="1" customHeight="1" outlineLevel="1" x14ac:dyDescent="0.25">
      <c r="B831" s="1233"/>
      <c r="D831" s="4189"/>
      <c r="E831" s="4189"/>
      <c r="F831" s="3089" t="s">
        <v>430</v>
      </c>
      <c r="G831" s="2311">
        <v>11.33</v>
      </c>
      <c r="H831" s="4201"/>
      <c r="I831" s="4202"/>
      <c r="J831" s="3787"/>
      <c r="K831" s="4200"/>
      <c r="L831" s="3788"/>
      <c r="V831" s="3776"/>
      <c r="W831" s="1030"/>
      <c r="X831" s="1030"/>
      <c r="Y831" s="1030"/>
      <c r="Z831" s="1030"/>
      <c r="AA831" s="1030"/>
      <c r="AB831" s="2312">
        <v>11.33</v>
      </c>
      <c r="AC831" s="2311">
        <v>11.33</v>
      </c>
      <c r="AD831" s="899"/>
      <c r="AE831" s="899"/>
      <c r="AF831" s="899"/>
      <c r="AG831" s="899"/>
      <c r="AK831" s="883"/>
    </row>
    <row r="832" spans="2:37" ht="15" customHeight="1" collapsed="1" x14ac:dyDescent="0.25">
      <c r="B832" s="1233"/>
      <c r="C832" s="3159"/>
      <c r="AK832" s="883"/>
    </row>
    <row r="833" spans="2:57" ht="15" customHeight="1" x14ac:dyDescent="0.25">
      <c r="B833" s="1233"/>
      <c r="C833" s="225"/>
      <c r="AK833" s="883"/>
    </row>
    <row r="834" spans="2:57" x14ac:dyDescent="0.25">
      <c r="B834" s="3750" t="s">
        <v>682</v>
      </c>
      <c r="C834" s="3751"/>
      <c r="D834" s="3751"/>
      <c r="E834" s="3751"/>
      <c r="F834" s="3751"/>
      <c r="G834" s="3751"/>
      <c r="H834" s="3751"/>
      <c r="I834" s="3744"/>
      <c r="J834" s="3744"/>
      <c r="K834" s="3744"/>
      <c r="L834" s="3744"/>
      <c r="M834" s="3744"/>
      <c r="N834" s="3744"/>
      <c r="O834" s="3744"/>
      <c r="P834" s="3744"/>
      <c r="Q834" s="3744"/>
      <c r="R834" s="3745"/>
      <c r="V834" s="3750" t="str">
        <f>B834</f>
        <v xml:space="preserve">Low Flow Showerheads </v>
      </c>
      <c r="W834" s="3751"/>
      <c r="X834" s="3751"/>
      <c r="Y834" s="3751"/>
      <c r="Z834" s="3751"/>
      <c r="AA834" s="3751"/>
      <c r="AB834" s="3751"/>
      <c r="AC834" s="3752"/>
      <c r="AD834" s="3752"/>
      <c r="AE834" s="3752"/>
      <c r="AF834" s="3752"/>
      <c r="AG834" s="3752"/>
      <c r="AH834" s="3752"/>
      <c r="AI834" s="3753"/>
      <c r="AK834" s="883"/>
    </row>
    <row r="835" spans="2:57" x14ac:dyDescent="0.25">
      <c r="B835" s="1681"/>
      <c r="C835" s="1036"/>
      <c r="D835" s="419"/>
      <c r="E835" s="419"/>
      <c r="F835" s="226"/>
      <c r="G835" s="226"/>
      <c r="H835" s="226"/>
      <c r="I835" s="226"/>
      <c r="J835" s="226"/>
      <c r="K835" s="226"/>
      <c r="L835" s="1438"/>
      <c r="AK835" s="883"/>
    </row>
    <row r="836" spans="2:57" ht="49.5" customHeight="1" x14ac:dyDescent="0.25">
      <c r="B836" s="1233"/>
      <c r="C836" s="3086" t="s">
        <v>28</v>
      </c>
      <c r="D836" s="3086" t="s">
        <v>175</v>
      </c>
      <c r="E836" s="3086" t="s">
        <v>30</v>
      </c>
      <c r="F836" s="3086" t="s">
        <v>1765</v>
      </c>
      <c r="G836" s="3086" t="s">
        <v>176</v>
      </c>
      <c r="H836" s="3086" t="s">
        <v>177</v>
      </c>
      <c r="I836" s="3086" t="s">
        <v>606</v>
      </c>
      <c r="J836" s="3086" t="s">
        <v>32</v>
      </c>
      <c r="K836" s="3086" t="s">
        <v>181</v>
      </c>
      <c r="L836" s="3086" t="s">
        <v>170</v>
      </c>
      <c r="M836" s="3086" t="s">
        <v>44</v>
      </c>
      <c r="V836" s="1936" t="s">
        <v>45</v>
      </c>
      <c r="W836" s="1937">
        <f>W$6</f>
        <v>43252</v>
      </c>
      <c r="X836" s="1937">
        <f t="shared" ref="X836:AG836" si="120">X$6</f>
        <v>43465</v>
      </c>
      <c r="Y836" s="360">
        <f t="shared" si="120"/>
        <v>43800</v>
      </c>
      <c r="Z836" s="1937">
        <f t="shared" si="120"/>
        <v>43862</v>
      </c>
      <c r="AA836" s="1937">
        <f t="shared" si="120"/>
        <v>44013</v>
      </c>
      <c r="AB836" s="1937">
        <f t="shared" si="120"/>
        <v>44166</v>
      </c>
      <c r="AC836" s="1937">
        <f t="shared" si="120"/>
        <v>44531</v>
      </c>
      <c r="AD836" s="1937" t="str">
        <f t="shared" si="120"/>
        <v>-</v>
      </c>
      <c r="AE836" s="1937" t="str">
        <f t="shared" si="120"/>
        <v>-</v>
      </c>
      <c r="AF836" s="1937" t="str">
        <f t="shared" si="120"/>
        <v>-</v>
      </c>
      <c r="AG836" s="1937" t="str">
        <f t="shared" si="120"/>
        <v>-</v>
      </c>
      <c r="AK836" s="883"/>
      <c r="BB836" s="1938" t="str">
        <f>$BB$6</f>
        <v>TRC (2020)</v>
      </c>
      <c r="BC836" s="1953" t="str">
        <f>$BC$6</f>
        <v>Benefit Lookup</v>
      </c>
      <c r="BD836" s="665" t="str">
        <f>$BD$6</f>
        <v>Benefits (2019 $)</v>
      </c>
      <c r="BE836" s="230" t="str">
        <f>$BE$6</f>
        <v>Incremental Cost (2019 $)</v>
      </c>
    </row>
    <row r="837" spans="2:57" x14ac:dyDescent="0.25">
      <c r="B837" s="1233"/>
      <c r="C837" s="2822" t="s">
        <v>1961</v>
      </c>
      <c r="D837" s="2695" t="s">
        <v>1577</v>
      </c>
      <c r="E837" s="981" t="s">
        <v>1962</v>
      </c>
      <c r="F837" s="560">
        <f>ROUND(G851*(G852*G853-G854*G855)*G857*G858*G859/G861*I837*G869*G868,2)</f>
        <v>220.32</v>
      </c>
      <c r="G837" s="451" t="s">
        <v>1926</v>
      </c>
      <c r="H837" s="449">
        <f>VLOOKUP(G837,'CP FACTORS'!$A$3:$B$38, 2, FALSE)</f>
        <v>8.8731800000000003E-5</v>
      </c>
      <c r="I837" s="526">
        <f>G862*G863*(G864-G865)/(G866*G867)</f>
        <v>0.10883387049516556</v>
      </c>
      <c r="J837" s="1666">
        <f>ROUND(F837*H837,6)</f>
        <v>1.9549E-2</v>
      </c>
      <c r="K837" s="2718">
        <f>$G$872</f>
        <v>10</v>
      </c>
      <c r="L837" s="2297">
        <f>G873</f>
        <v>7</v>
      </c>
      <c r="M837" s="451" t="s">
        <v>185</v>
      </c>
      <c r="R837" s="241"/>
      <c r="S837" s="1682"/>
      <c r="V837" s="160" t="str">
        <f>F836</f>
        <v>kWh
Annual Savings</v>
      </c>
      <c r="W837" s="161">
        <v>205.45946120574482</v>
      </c>
      <c r="X837" s="881">
        <v>386.59384956558648</v>
      </c>
      <c r="Y837" s="549">
        <v>220.17</v>
      </c>
      <c r="Z837" s="65">
        <v>220.17</v>
      </c>
      <c r="AA837" s="65">
        <v>220.17</v>
      </c>
      <c r="AB837" s="65">
        <v>220.17</v>
      </c>
      <c r="AC837" s="560">
        <v>220.32</v>
      </c>
      <c r="AD837" s="160"/>
      <c r="AE837" s="160"/>
      <c r="AF837" s="160"/>
      <c r="AG837" s="160"/>
      <c r="AH837" s="163"/>
      <c r="AK837" s="883"/>
      <c r="BB837" s="1945">
        <f>(BD837)/(BE837)</f>
        <v>11.247325764026085</v>
      </c>
      <c r="BC837" s="3166" t="str">
        <f>CONCATENATE(G837," ",K837," Year EUL")</f>
        <v>Water heating RES 10 Year EUL</v>
      </c>
      <c r="BD837" s="111">
        <f>(INDEX('Avoided Cost Benefits'!$C$4:$C$857,MATCH(BC837,'Avoided Cost Benefits'!$A$4:$A$857,0)))*F837</f>
        <v>74.309844594792438</v>
      </c>
      <c r="BE837" s="1946">
        <f>L837/(1.0595^(2020-2019))</f>
        <v>6.6068900424728643</v>
      </c>
    </row>
    <row r="838" spans="2:57" x14ac:dyDescent="0.25">
      <c r="B838" s="1233"/>
      <c r="C838" s="2822" t="s">
        <v>1963</v>
      </c>
      <c r="D838" s="3176" t="s">
        <v>1930</v>
      </c>
      <c r="E838" s="981" t="s">
        <v>1964</v>
      </c>
      <c r="F838" s="1037">
        <f>ROUND($G$851*($G$852*$G$853-$G$854*$G$855)*$G$857*$G$858*$G$859/$G$861*$I$837*$G$871*$G$868,2)</f>
        <v>232.51</v>
      </c>
      <c r="G838" s="451" t="s">
        <v>1926</v>
      </c>
      <c r="H838" s="449">
        <f>VLOOKUP(G838,'CP FACTORS'!$A$3:$B$38, 2, FALSE)</f>
        <v>8.8731800000000003E-5</v>
      </c>
      <c r="I838" s="1616">
        <f>$G$862*$G$863*($G$864-$G$865)/($G$866*$G$867)</f>
        <v>0.10883387049516556</v>
      </c>
      <c r="J838" s="1666">
        <f>ROUND(F838*H838,6)</f>
        <v>2.0631E-2</v>
      </c>
      <c r="K838" s="2718">
        <f>$G$872</f>
        <v>10</v>
      </c>
      <c r="L838" s="2297">
        <f>G874</f>
        <v>12.98</v>
      </c>
      <c r="M838" s="451" t="s">
        <v>185</v>
      </c>
      <c r="R838" s="241"/>
      <c r="S838" s="1683"/>
      <c r="V838" s="160" t="str">
        <f>V837</f>
        <v>kWh
Annual Savings</v>
      </c>
      <c r="W838" s="161">
        <v>219.7507887809823</v>
      </c>
      <c r="X838" s="881">
        <v>396.76737192257565</v>
      </c>
      <c r="Y838" s="549">
        <v>232.42</v>
      </c>
      <c r="Z838" s="65">
        <v>232.42</v>
      </c>
      <c r="AA838" s="65">
        <v>232.42</v>
      </c>
      <c r="AB838" s="65">
        <v>232.42</v>
      </c>
      <c r="AC838" s="1037">
        <v>232.51</v>
      </c>
      <c r="AD838" s="160"/>
      <c r="AE838" s="160"/>
      <c r="AF838" s="160"/>
      <c r="AG838" s="160"/>
      <c r="AH838" s="163"/>
      <c r="AK838" s="883"/>
      <c r="BB838" s="52">
        <f>(BD838)/(BE838)</f>
        <v>6.4011843516014579</v>
      </c>
      <c r="BC838" s="1948" t="str">
        <f>CONCATENATE(G838," ",K838," Year EUL")</f>
        <v>Water heating RES 10 Year EUL</v>
      </c>
      <c r="BD838" s="114">
        <f>(INDEX('Avoided Cost Benefits'!$C$4:$C$857,MATCH(BC838,'Avoided Cost Benefits'!$A$4:$A$857,0)))*F838</f>
        <v>78.421305223017384</v>
      </c>
      <c r="BE838" s="1949">
        <f>L838/(1.0595^(2020-2019))</f>
        <v>12.251061821613968</v>
      </c>
    </row>
    <row r="839" spans="2:57" x14ac:dyDescent="0.25">
      <c r="B839" s="1233"/>
      <c r="C839" s="2822" t="s">
        <v>1965</v>
      </c>
      <c r="D839" s="3176" t="s">
        <v>1930</v>
      </c>
      <c r="E839" s="981" t="s">
        <v>1966</v>
      </c>
      <c r="F839" s="1037">
        <f>ROUND($G$851*($G$852*$G$853-$G$854*$G$855)*$G$857*$G$858*$G$859/$G$861*$I$837*$G$871*$G$868,2)</f>
        <v>232.51</v>
      </c>
      <c r="G839" s="451" t="s">
        <v>1926</v>
      </c>
      <c r="H839" s="449">
        <f>VLOOKUP(G839,'CP FACTORS'!$A$3:$B$38, 2, FALSE)</f>
        <v>8.8731800000000003E-5</v>
      </c>
      <c r="I839" s="1616">
        <f>$G$862*$G$863*($G$864-$G$865)/($G$866*$G$867)</f>
        <v>0.10883387049516556</v>
      </c>
      <c r="J839" s="1666">
        <f>ROUND(F839*H839,6)</f>
        <v>2.0631E-2</v>
      </c>
      <c r="K839" s="2718">
        <f>$G$872</f>
        <v>10</v>
      </c>
      <c r="L839" s="2297">
        <f>G876</f>
        <v>12.47</v>
      </c>
      <c r="M839" s="451" t="s">
        <v>185</v>
      </c>
      <c r="R839" s="241"/>
      <c r="S839" s="1683"/>
      <c r="V839" s="160" t="str">
        <f>V838</f>
        <v>kWh
Annual Savings</v>
      </c>
      <c r="W839" s="161"/>
      <c r="X839" s="881"/>
      <c r="Y839" s="549">
        <v>232.42</v>
      </c>
      <c r="Z839" s="65">
        <v>232.42</v>
      </c>
      <c r="AA839" s="65">
        <v>232.42</v>
      </c>
      <c r="AB839" s="65">
        <v>232.42</v>
      </c>
      <c r="AC839" s="1037">
        <v>232.51</v>
      </c>
      <c r="AD839" s="160"/>
      <c r="AE839" s="160"/>
      <c r="AF839" s="160"/>
      <c r="AG839" s="160"/>
      <c r="AH839" s="163"/>
      <c r="AK839" s="883"/>
      <c r="BB839" s="52">
        <f>(BD839)/(BE839)</f>
        <v>6.6629809850671151</v>
      </c>
      <c r="BC839" s="1948" t="str">
        <f>CONCATENATE(G839," ",K839," Year EUL")</f>
        <v>Water heating RES 10 Year EUL</v>
      </c>
      <c r="BD839" s="114">
        <f>(INDEX('Avoided Cost Benefits'!$C$4:$C$857,MATCH(BC839,'Avoided Cost Benefits'!$A$4:$A$857,0)))*F839</f>
        <v>78.421305223017384</v>
      </c>
      <c r="BE839" s="1949">
        <f>L839/(1.0595^(2020-2019))</f>
        <v>11.769702689948089</v>
      </c>
    </row>
    <row r="840" spans="2:57" x14ac:dyDescent="0.25">
      <c r="B840" s="1233"/>
      <c r="C840" s="2822" t="s">
        <v>1967</v>
      </c>
      <c r="D840" s="3176" t="s">
        <v>1933</v>
      </c>
      <c r="E840" s="981" t="s">
        <v>1968</v>
      </c>
      <c r="F840" s="1037">
        <f>ROUND($G$851*($G$852*$G$853-$G$854*$G$855)*$G$856*$G$858*$G$859/$G$860*$I$837*$G$870*$G$868,2)</f>
        <v>194.72</v>
      </c>
      <c r="G840" s="451" t="s">
        <v>1926</v>
      </c>
      <c r="H840" s="449">
        <f>VLOOKUP(G840,'CP FACTORS'!$A$3:$B$38, 2, FALSE)</f>
        <v>8.8731800000000003E-5</v>
      </c>
      <c r="I840" s="1616">
        <f>$G$863*$G$864*($G$865-$G$866)/($G$867*$G$868)</f>
        <v>1.8557280984471141</v>
      </c>
      <c r="J840" s="1666">
        <f>ROUND(F840*H840,6)</f>
        <v>1.7278000000000002E-2</v>
      </c>
      <c r="K840" s="2718">
        <f>$G$872</f>
        <v>10</v>
      </c>
      <c r="L840" s="2297">
        <f>G874</f>
        <v>12.98</v>
      </c>
      <c r="M840" s="451" t="s">
        <v>185</v>
      </c>
      <c r="R840" s="241"/>
      <c r="S840" s="1683"/>
      <c r="V840" s="160" t="str">
        <f>V839</f>
        <v>kWh
Annual Savings</v>
      </c>
      <c r="W840" s="161">
        <v>193.57333532775112</v>
      </c>
      <c r="X840" s="881">
        <v>277.23460772356242</v>
      </c>
      <c r="Y840" s="549">
        <v>199.61</v>
      </c>
      <c r="Z840" s="65">
        <v>199.61</v>
      </c>
      <c r="AA840" s="65">
        <v>199.61</v>
      </c>
      <c r="AB840" s="65">
        <v>199.61</v>
      </c>
      <c r="AC840" s="1037">
        <v>194.72</v>
      </c>
      <c r="AD840" s="160"/>
      <c r="AE840" s="160"/>
      <c r="AF840" s="160"/>
      <c r="AG840" s="160"/>
      <c r="AH840" s="163"/>
      <c r="AK840" s="883"/>
      <c r="BB840" s="52">
        <f>(BD840)/(BE840)</f>
        <v>5.360795737576173</v>
      </c>
      <c r="BC840" s="1948" t="str">
        <f>CONCATENATE(G840," ",K840," Year EUL")</f>
        <v>Water heating RES 10 Year EUL</v>
      </c>
      <c r="BD840" s="114">
        <f>(INDEX('Avoided Cost Benefits'!$C$4:$C$857,MATCH(BC840,'Avoided Cost Benefits'!$A$4:$A$857,0)))*F840</f>
        <v>65.67543999409034</v>
      </c>
      <c r="BE840" s="1949">
        <f>L840/(1.0595^(2020-2019))</f>
        <v>12.251061821613968</v>
      </c>
    </row>
    <row r="841" spans="2:57" x14ac:dyDescent="0.25">
      <c r="B841" s="1233"/>
      <c r="C841" s="2822" t="s">
        <v>1969</v>
      </c>
      <c r="D841" s="3176" t="s">
        <v>1933</v>
      </c>
      <c r="E841" s="981" t="s">
        <v>1970</v>
      </c>
      <c r="F841" s="1037">
        <f>ROUND($G$851*($G$852*$G$853-$G$854*$G$855)*$G$856*$G$858*$G$859/$G$860*$I$837*$G$870*$G$868,2)</f>
        <v>194.72</v>
      </c>
      <c r="G841" s="451" t="s">
        <v>1926</v>
      </c>
      <c r="H841" s="449">
        <f>VLOOKUP(G841,'CP FACTORS'!$A$3:$B$38, 2, FALSE)</f>
        <v>8.8731800000000003E-5</v>
      </c>
      <c r="I841" s="1616">
        <f>$G$863*$G$864*($G$865-$G$866)/($G$867*$G$868)</f>
        <v>1.8557280984471141</v>
      </c>
      <c r="J841" s="1666">
        <f>ROUND(F841*H841,6)</f>
        <v>1.7278000000000002E-2</v>
      </c>
      <c r="K841" s="2718">
        <f>$G$872</f>
        <v>10</v>
      </c>
      <c r="L841" s="2297">
        <f>G875</f>
        <v>18.45</v>
      </c>
      <c r="M841" s="451" t="s">
        <v>185</v>
      </c>
      <c r="R841" s="241"/>
      <c r="S841" s="1683"/>
      <c r="V841" s="160" t="str">
        <f>V840</f>
        <v>kWh
Annual Savings</v>
      </c>
      <c r="W841" s="161"/>
      <c r="X841" s="881"/>
      <c r="Y841" s="549">
        <v>199.61</v>
      </c>
      <c r="Z841" s="65">
        <v>199.61</v>
      </c>
      <c r="AA841" s="65">
        <v>199.61</v>
      </c>
      <c r="AB841" s="65">
        <v>199.61</v>
      </c>
      <c r="AC841" s="1037">
        <v>194.72</v>
      </c>
      <c r="AD841" s="160"/>
      <c r="AE841" s="160"/>
      <c r="AF841" s="160"/>
      <c r="AG841" s="160"/>
      <c r="AH841" s="163"/>
      <c r="AK841" s="883"/>
      <c r="BB841" s="53">
        <f>(BD841)/(BE841)</f>
        <v>3.7714432885495244</v>
      </c>
      <c r="BC841" s="1948" t="str">
        <f>CONCATENATE(G841," ",K841," Year EUL")</f>
        <v>Water heating RES 10 Year EUL</v>
      </c>
      <c r="BD841" s="119">
        <f>(INDEX('Avoided Cost Benefits'!$C$4:$C$857,MATCH(BC841,'Avoided Cost Benefits'!$A$4:$A$857,0)))*F841</f>
        <v>65.67543999409034</v>
      </c>
      <c r="BE841" s="1950">
        <f>L841/(1.0595^(2020-2019))</f>
        <v>17.41387446908919</v>
      </c>
    </row>
    <row r="842" spans="2:57" hidden="1" outlineLevel="1" x14ac:dyDescent="0.25">
      <c r="B842" s="1233"/>
      <c r="C842" s="225"/>
      <c r="D842" s="1213"/>
      <c r="E842" s="1213"/>
      <c r="F842" s="1684"/>
      <c r="G842" s="1500"/>
      <c r="H842" s="1670"/>
      <c r="I842" s="1079"/>
      <c r="J842" s="1079"/>
      <c r="K842" s="291"/>
      <c r="M842" s="1027"/>
      <c r="V842" s="1930"/>
      <c r="W842" s="1942"/>
      <c r="X842" s="1930"/>
      <c r="Y842" s="103"/>
      <c r="Z842" s="1930"/>
      <c r="AA842" s="1930"/>
      <c r="AB842" s="1930"/>
      <c r="AC842" s="1930"/>
      <c r="AD842" s="1930"/>
      <c r="AE842" s="1930"/>
      <c r="AF842" s="1930"/>
      <c r="AG842" s="1930"/>
      <c r="AK842" s="883"/>
    </row>
    <row r="843" spans="2:57" hidden="1" outlineLevel="1" x14ac:dyDescent="0.25">
      <c r="B843" s="1233"/>
      <c r="C843" s="225"/>
      <c r="D843" s="1213"/>
      <c r="E843" s="1213"/>
      <c r="F843" s="1684"/>
      <c r="G843" s="1500"/>
      <c r="H843" s="1670"/>
      <c r="I843" s="1079"/>
      <c r="J843" s="1079"/>
      <c r="K843" s="291"/>
      <c r="M843" s="1027"/>
      <c r="V843" s="1930"/>
      <c r="W843" s="1930"/>
      <c r="X843" s="1930"/>
      <c r="Y843" s="103"/>
      <c r="Z843" s="1930"/>
      <c r="AA843" s="1930"/>
      <c r="AB843" s="1930"/>
      <c r="AC843" s="1930"/>
      <c r="AD843" s="1930"/>
      <c r="AE843" s="1930"/>
      <c r="AF843" s="1930"/>
      <c r="AG843" s="1930"/>
      <c r="AK843" s="883"/>
    </row>
    <row r="844" spans="2:57" hidden="1" outlineLevel="1" x14ac:dyDescent="0.25">
      <c r="B844" s="1233"/>
      <c r="C844" s="225"/>
      <c r="D844" s="174" t="s">
        <v>108</v>
      </c>
      <c r="E844" s="1213"/>
      <c r="F844" s="1027"/>
      <c r="G844" s="1027"/>
      <c r="H844" s="1027"/>
      <c r="I844" s="1027"/>
      <c r="J844" s="1027"/>
      <c r="M844" s="1027"/>
      <c r="V844" s="1930"/>
      <c r="W844" s="1930"/>
      <c r="X844" s="1930"/>
      <c r="Y844" s="103"/>
      <c r="Z844" s="1930"/>
      <c r="AA844" s="1930"/>
      <c r="AB844" s="1930"/>
      <c r="AC844" s="1930"/>
      <c r="AD844" s="1930"/>
      <c r="AE844" s="1930"/>
      <c r="AF844" s="1930"/>
      <c r="AG844" s="1930"/>
      <c r="AK844" s="883"/>
    </row>
    <row r="845" spans="2:57" hidden="1" outlineLevel="1" x14ac:dyDescent="0.25">
      <c r="B845" s="1233"/>
      <c r="C845" s="253"/>
      <c r="D845" s="1671"/>
      <c r="E845" s="1672"/>
      <c r="F845" s="1685"/>
      <c r="G845" s="1669"/>
      <c r="H845" s="1669"/>
      <c r="I845" s="1027"/>
      <c r="J845" s="1027"/>
      <c r="V845" s="1930"/>
      <c r="W845" s="1930"/>
      <c r="X845" s="1930"/>
      <c r="Y845" s="103"/>
      <c r="Z845" s="1930"/>
      <c r="AA845" s="1930"/>
      <c r="AB845" s="1930"/>
      <c r="AC845" s="1930"/>
      <c r="AD845" s="1930"/>
      <c r="AE845" s="1930"/>
      <c r="AF845" s="1930"/>
      <c r="AG845" s="1930"/>
      <c r="AK845" s="883"/>
    </row>
    <row r="846" spans="2:57" hidden="1" outlineLevel="1" x14ac:dyDescent="0.25">
      <c r="B846" s="1233"/>
      <c r="C846" s="267"/>
      <c r="D846" s="1674"/>
      <c r="E846" s="1675"/>
      <c r="F846" s="1686"/>
      <c r="G846" s="1669"/>
      <c r="H846" s="1669"/>
      <c r="I846" s="1027"/>
      <c r="J846" s="1027"/>
      <c r="V846" s="1930"/>
      <c r="W846" s="1930"/>
      <c r="X846" s="1930"/>
      <c r="Y846" s="103"/>
      <c r="Z846" s="1930"/>
      <c r="AA846" s="1930"/>
      <c r="AB846" s="1930"/>
      <c r="AC846" s="1930"/>
      <c r="AD846" s="1930"/>
      <c r="AE846" s="1930"/>
      <c r="AF846" s="1930"/>
      <c r="AG846" s="1930"/>
      <c r="AK846" s="883"/>
    </row>
    <row r="847" spans="2:57" hidden="1" outlineLevel="1" x14ac:dyDescent="0.25">
      <c r="B847" s="1233"/>
      <c r="C847" s="267"/>
      <c r="D847" s="1674"/>
      <c r="E847" s="1675"/>
      <c r="F847" s="1686"/>
      <c r="G847" s="1669"/>
      <c r="H847" s="1669"/>
      <c r="I847" s="1027"/>
      <c r="J847" s="1027"/>
      <c r="V847" s="1930"/>
      <c r="W847" s="1930"/>
      <c r="X847" s="1930"/>
      <c r="Y847" s="103"/>
      <c r="Z847" s="1930"/>
      <c r="AA847" s="1930"/>
      <c r="AB847" s="1930"/>
      <c r="AC847" s="1930"/>
      <c r="AD847" s="1930"/>
      <c r="AE847" s="1930"/>
      <c r="AF847" s="1930"/>
      <c r="AG847" s="1930"/>
      <c r="AK847" s="883"/>
    </row>
    <row r="848" spans="2:57" ht="15" hidden="1" customHeight="1" outlineLevel="1" x14ac:dyDescent="0.25">
      <c r="B848" s="1233"/>
      <c r="C848" s="267"/>
      <c r="D848" s="1611"/>
      <c r="E848" s="1612"/>
      <c r="F848" s="896"/>
      <c r="G848" s="1038"/>
      <c r="H848" s="1038"/>
      <c r="V848" s="1930"/>
      <c r="W848" s="1930"/>
      <c r="X848" s="1930"/>
      <c r="Y848" s="103"/>
      <c r="Z848" s="1930"/>
      <c r="AA848" s="1930"/>
      <c r="AB848" s="1930"/>
      <c r="AC848" s="1930"/>
      <c r="AD848" s="1930"/>
      <c r="AE848" s="1930"/>
      <c r="AF848" s="1930"/>
      <c r="AG848" s="1930"/>
      <c r="AK848" s="883"/>
    </row>
    <row r="849" spans="4:37" ht="15" hidden="1" customHeight="1" outlineLevel="1" x14ac:dyDescent="0.25">
      <c r="V849" s="1930"/>
      <c r="W849" s="1930"/>
      <c r="X849" s="1930"/>
      <c r="Y849" s="103"/>
      <c r="Z849" s="1930"/>
      <c r="AA849" s="1930"/>
      <c r="AB849" s="1930"/>
      <c r="AC849" s="1930"/>
      <c r="AD849" s="1930"/>
      <c r="AE849" s="1930"/>
      <c r="AF849" s="1930"/>
      <c r="AG849" s="1930"/>
      <c r="AK849" s="883"/>
    </row>
    <row r="850" spans="4:37" ht="15" hidden="1" customHeight="1" outlineLevel="1" x14ac:dyDescent="0.25">
      <c r="D850" s="3236" t="s">
        <v>109</v>
      </c>
      <c r="E850" s="3236" t="s">
        <v>110</v>
      </c>
      <c r="F850" s="3086" t="s">
        <v>1935</v>
      </c>
      <c r="G850" s="3136" t="s">
        <v>112</v>
      </c>
      <c r="H850" s="3773" t="s">
        <v>187</v>
      </c>
      <c r="I850" s="3773"/>
      <c r="J850" s="3773" t="s">
        <v>113</v>
      </c>
      <c r="K850" s="3773"/>
      <c r="L850" s="3773"/>
      <c r="S850" s="1038"/>
      <c r="V850" s="1936" t="s">
        <v>45</v>
      </c>
      <c r="W850" s="1937">
        <f>W$6</f>
        <v>43252</v>
      </c>
      <c r="X850" s="1937">
        <f t="shared" ref="X850:AG850" si="121">X$6</f>
        <v>43465</v>
      </c>
      <c r="Y850" s="360">
        <f t="shared" si="121"/>
        <v>43800</v>
      </c>
      <c r="Z850" s="1937">
        <f t="shared" si="121"/>
        <v>43862</v>
      </c>
      <c r="AA850" s="1937">
        <f t="shared" si="121"/>
        <v>44013</v>
      </c>
      <c r="AB850" s="1937">
        <f t="shared" si="121"/>
        <v>44166</v>
      </c>
      <c r="AC850" s="1937">
        <f t="shared" si="121"/>
        <v>44531</v>
      </c>
      <c r="AD850" s="1937" t="str">
        <f t="shared" si="121"/>
        <v>-</v>
      </c>
      <c r="AE850" s="1937" t="str">
        <f t="shared" si="121"/>
        <v>-</v>
      </c>
      <c r="AF850" s="1937" t="str">
        <f t="shared" si="121"/>
        <v>-</v>
      </c>
      <c r="AG850" s="1937" t="str">
        <f t="shared" si="121"/>
        <v>-</v>
      </c>
      <c r="AK850" s="883"/>
    </row>
    <row r="851" spans="4:37" ht="30" hidden="1" customHeight="1" outlineLevel="1" x14ac:dyDescent="0.25">
      <c r="D851" s="3089" t="s">
        <v>615</v>
      </c>
      <c r="E851" s="3089" t="s">
        <v>616</v>
      </c>
      <c r="F851" s="3089"/>
      <c r="G851" s="1040">
        <v>1</v>
      </c>
      <c r="H851" s="3867" t="s">
        <v>600</v>
      </c>
      <c r="I851" s="3867"/>
      <c r="J851" s="4273" t="s">
        <v>1816</v>
      </c>
      <c r="K851" s="4274"/>
      <c r="L851" s="4275"/>
      <c r="S851" s="1039"/>
      <c r="V851" s="3208" t="s">
        <v>615</v>
      </c>
      <c r="W851" s="966">
        <v>1</v>
      </c>
      <c r="X851" s="966">
        <v>1</v>
      </c>
      <c r="Y851" s="966">
        <v>1</v>
      </c>
      <c r="Z851" s="1040">
        <v>1</v>
      </c>
      <c r="AA851" s="1040">
        <v>1</v>
      </c>
      <c r="AB851" s="1040">
        <v>1</v>
      </c>
      <c r="AC851" s="1040">
        <v>1</v>
      </c>
      <c r="AD851" s="1040"/>
      <c r="AE851" s="1040"/>
      <c r="AF851" s="1040"/>
      <c r="AG851" s="1040"/>
      <c r="AK851" s="883"/>
    </row>
    <row r="852" spans="4:37" ht="51.75" hidden="1" customHeight="1" outlineLevel="1" x14ac:dyDescent="0.25">
      <c r="D852" s="3089" t="s">
        <v>621</v>
      </c>
      <c r="E852" s="3089" t="s">
        <v>692</v>
      </c>
      <c r="F852" s="3089"/>
      <c r="G852" s="1041">
        <v>2.2000000000000002</v>
      </c>
      <c r="H852" s="3776" t="s">
        <v>695</v>
      </c>
      <c r="I852" s="3776"/>
      <c r="J852" s="3823" t="s">
        <v>674</v>
      </c>
      <c r="K852" s="3823"/>
      <c r="L852" s="3823"/>
      <c r="S852" s="3159"/>
      <c r="V852" s="3208" t="str">
        <f>D852</f>
        <v>GPM_base</v>
      </c>
      <c r="W852" s="1028">
        <v>2.67</v>
      </c>
      <c r="X852" s="538">
        <f>'Energy Effic. Kits Deemed Table'!G225</f>
        <v>2.35</v>
      </c>
      <c r="Y852" s="1042">
        <v>2.2000000000000002</v>
      </c>
      <c r="Z852" s="1041">
        <v>2.2000000000000002</v>
      </c>
      <c r="AA852" s="1041">
        <v>2.2000000000000002</v>
      </c>
      <c r="AB852" s="1041">
        <v>2.2000000000000002</v>
      </c>
      <c r="AC852" s="1041">
        <v>2.2000000000000002</v>
      </c>
      <c r="AD852" s="3227"/>
      <c r="AE852" s="3227"/>
      <c r="AF852" s="3227"/>
      <c r="AG852" s="3227"/>
      <c r="AK852" s="883"/>
    </row>
    <row r="853" spans="4:37" ht="75" hidden="1" customHeight="1" outlineLevel="1" x14ac:dyDescent="0.25">
      <c r="D853" s="3089" t="s">
        <v>624</v>
      </c>
      <c r="E853" s="3184" t="s">
        <v>1971</v>
      </c>
      <c r="F853" s="3089"/>
      <c r="G853" s="1032">
        <v>8.66</v>
      </c>
      <c r="H853" s="4151" t="s">
        <v>698</v>
      </c>
      <c r="I853" s="4151"/>
      <c r="J853" s="3823" t="s">
        <v>674</v>
      </c>
      <c r="K853" s="3823"/>
      <c r="L853" s="3823"/>
      <c r="S853" s="1043"/>
      <c r="V853" s="3208" t="str">
        <f>D853</f>
        <v>L_base</v>
      </c>
      <c r="W853" s="968">
        <v>8.66</v>
      </c>
      <c r="X853" s="968">
        <v>8.66</v>
      </c>
      <c r="Y853" s="968">
        <v>8.66</v>
      </c>
      <c r="Z853" s="1032">
        <v>8.66</v>
      </c>
      <c r="AA853" s="1032">
        <v>8.66</v>
      </c>
      <c r="AB853" s="1032">
        <v>8.66</v>
      </c>
      <c r="AC853" s="1032">
        <v>8.66</v>
      </c>
      <c r="AD853" s="1032"/>
      <c r="AE853" s="1032"/>
      <c r="AF853" s="1032"/>
      <c r="AG853" s="1032"/>
      <c r="AK853" s="883"/>
    </row>
    <row r="854" spans="4:37" ht="45" hidden="1" customHeight="1" outlineLevel="1" x14ac:dyDescent="0.25">
      <c r="D854" s="3089" t="s">
        <v>629</v>
      </c>
      <c r="E854" s="3089" t="s">
        <v>699</v>
      </c>
      <c r="F854" s="3089"/>
      <c r="G854" s="3227">
        <v>1.5</v>
      </c>
      <c r="H854" s="3776" t="s">
        <v>695</v>
      </c>
      <c r="I854" s="3776"/>
      <c r="J854" s="3823" t="s">
        <v>674</v>
      </c>
      <c r="K854" s="3823"/>
      <c r="L854" s="3823"/>
      <c r="S854" s="3159"/>
      <c r="V854" s="3208" t="str">
        <f>D854</f>
        <v>GPM_low</v>
      </c>
      <c r="W854" s="1028">
        <v>2</v>
      </c>
      <c r="X854" s="538">
        <f>X852-1</f>
        <v>1.35</v>
      </c>
      <c r="Y854" s="538">
        <v>1.5</v>
      </c>
      <c r="Z854" s="3227">
        <v>1.5</v>
      </c>
      <c r="AA854" s="3227">
        <v>1.5</v>
      </c>
      <c r="AB854" s="3227">
        <v>1.5</v>
      </c>
      <c r="AC854" s="3227">
        <v>1.5</v>
      </c>
      <c r="AD854" s="3227"/>
      <c r="AE854" s="3227"/>
      <c r="AF854" s="3227"/>
      <c r="AG854" s="3227"/>
      <c r="AK854" s="883"/>
    </row>
    <row r="855" spans="4:37" ht="15" hidden="1" customHeight="1" outlineLevel="1" x14ac:dyDescent="0.25">
      <c r="D855" s="3089" t="s">
        <v>632</v>
      </c>
      <c r="E855" s="3184" t="s">
        <v>1971</v>
      </c>
      <c r="F855" s="3089"/>
      <c r="G855" s="1032">
        <v>8.66</v>
      </c>
      <c r="H855" s="4151" t="s">
        <v>1972</v>
      </c>
      <c r="I855" s="4151"/>
      <c r="J855" s="3823" t="s">
        <v>674</v>
      </c>
      <c r="K855" s="3823"/>
      <c r="L855" s="3823"/>
      <c r="S855" s="1043"/>
      <c r="V855" s="3208" t="str">
        <f>D855</f>
        <v>L_low</v>
      </c>
      <c r="W855" s="968">
        <v>8.66</v>
      </c>
      <c r="X855" s="968">
        <v>8.66</v>
      </c>
      <c r="Y855" s="968">
        <v>8.66</v>
      </c>
      <c r="Z855" s="1032">
        <v>8.66</v>
      </c>
      <c r="AA855" s="1032">
        <v>8.66</v>
      </c>
      <c r="AB855" s="1032">
        <v>8.66</v>
      </c>
      <c r="AC855" s="1032">
        <v>8.66</v>
      </c>
      <c r="AD855" s="1032"/>
      <c r="AE855" s="1032"/>
      <c r="AF855" s="1032"/>
      <c r="AG855" s="1032"/>
      <c r="AK855" s="883"/>
    </row>
    <row r="856" spans="4:37" ht="15" hidden="1" customHeight="1" outlineLevel="1" x14ac:dyDescent="0.25">
      <c r="D856" s="3872" t="s">
        <v>200</v>
      </c>
      <c r="E856" s="4268" t="s">
        <v>701</v>
      </c>
      <c r="F856" s="3089" t="s">
        <v>320</v>
      </c>
      <c r="G856" s="1032">
        <v>2.67</v>
      </c>
      <c r="H856" s="4151" t="s">
        <v>702</v>
      </c>
      <c r="I856" s="4151"/>
      <c r="J856" s="3823" t="s">
        <v>1973</v>
      </c>
      <c r="K856" s="3823"/>
      <c r="L856" s="3823"/>
      <c r="S856" s="1043"/>
      <c r="V856" s="4241" t="str">
        <f>D856</f>
        <v>Household</v>
      </c>
      <c r="W856" s="968">
        <v>2.67</v>
      </c>
      <c r="X856" s="968">
        <v>2.67</v>
      </c>
      <c r="Y856" s="968">
        <v>2.67</v>
      </c>
      <c r="Z856" s="1032">
        <v>2.67</v>
      </c>
      <c r="AA856" s="1032">
        <v>2.67</v>
      </c>
      <c r="AB856" s="1032">
        <v>2.67</v>
      </c>
      <c r="AC856" s="1032">
        <v>2.67</v>
      </c>
      <c r="AD856" s="1032"/>
      <c r="AE856" s="1032"/>
      <c r="AF856" s="1032"/>
      <c r="AG856" s="1032"/>
      <c r="AK856" s="883"/>
    </row>
    <row r="857" spans="4:37" ht="15" hidden="1" customHeight="1" outlineLevel="1" x14ac:dyDescent="0.25">
      <c r="D857" s="3873"/>
      <c r="E857" s="4270"/>
      <c r="F857" s="3089" t="s">
        <v>322</v>
      </c>
      <c r="G857" s="1032">
        <v>1.5165094339622642</v>
      </c>
      <c r="H857" s="4251" t="s">
        <v>536</v>
      </c>
      <c r="I857" s="4150"/>
      <c r="J857" s="3823" t="s">
        <v>1973</v>
      </c>
      <c r="K857" s="3823"/>
      <c r="L857" s="3823"/>
      <c r="S857" s="1043"/>
      <c r="V857" s="4231"/>
      <c r="W857" s="968">
        <v>2.0699999999999998</v>
      </c>
      <c r="X857" s="1030">
        <v>1.8640000000000001</v>
      </c>
      <c r="Y857" s="1033">
        <v>1.5165094339622642</v>
      </c>
      <c r="Z857" s="1063">
        <v>1.5165094339622642</v>
      </c>
      <c r="AA857" s="1063">
        <v>1.5165094339622642</v>
      </c>
      <c r="AB857" s="1063">
        <v>1.5165094339622642</v>
      </c>
      <c r="AC857" s="1032">
        <v>1.5165094339622642</v>
      </c>
      <c r="AD857" s="1032"/>
      <c r="AE857" s="1032"/>
      <c r="AF857" s="1032"/>
      <c r="AG857" s="1032"/>
      <c r="AK857" s="883"/>
    </row>
    <row r="858" spans="4:37" ht="15" hidden="1" customHeight="1" outlineLevel="1" x14ac:dyDescent="0.25">
      <c r="D858" s="3089" t="s">
        <v>705</v>
      </c>
      <c r="E858" s="3184" t="s">
        <v>1974</v>
      </c>
      <c r="F858" s="3089"/>
      <c r="G858" s="1032">
        <v>0.66</v>
      </c>
      <c r="H858" s="4151" t="s">
        <v>698</v>
      </c>
      <c r="I858" s="4151"/>
      <c r="J858" s="3823" t="s">
        <v>1975</v>
      </c>
      <c r="K858" s="3823"/>
      <c r="L858" s="3823"/>
      <c r="S858" s="1043"/>
      <c r="V858" s="3208" t="str">
        <f>D858</f>
        <v>SPDC</v>
      </c>
      <c r="W858" s="968">
        <v>0.66</v>
      </c>
      <c r="X858" s="968">
        <v>0.66</v>
      </c>
      <c r="Y858" s="968">
        <v>0.66</v>
      </c>
      <c r="Z858" s="1032">
        <v>0.66</v>
      </c>
      <c r="AA858" s="1032">
        <v>0.66</v>
      </c>
      <c r="AB858" s="1032">
        <v>0.66</v>
      </c>
      <c r="AC858" s="1032">
        <v>0.66</v>
      </c>
      <c r="AD858" s="1032"/>
      <c r="AE858" s="1032"/>
      <c r="AF858" s="1032"/>
      <c r="AG858" s="1032"/>
      <c r="AK858" s="883"/>
    </row>
    <row r="859" spans="4:37" ht="15" hidden="1" customHeight="1" outlineLevel="1" x14ac:dyDescent="0.25">
      <c r="D859" s="3089">
        <v>365.25</v>
      </c>
      <c r="E859" s="3184" t="s">
        <v>1976</v>
      </c>
      <c r="F859" s="3089"/>
      <c r="G859" s="1030">
        <v>365.25</v>
      </c>
      <c r="H859" s="3776" t="s">
        <v>587</v>
      </c>
      <c r="I859" s="3776"/>
      <c r="J859" s="3823" t="s">
        <v>1975</v>
      </c>
      <c r="K859" s="3823"/>
      <c r="L859" s="3823"/>
      <c r="S859" s="1043"/>
      <c r="V859" s="3208">
        <f>D859</f>
        <v>365.25</v>
      </c>
      <c r="W859" s="968">
        <v>365</v>
      </c>
      <c r="X859" s="968">
        <v>365</v>
      </c>
      <c r="Y859" s="968">
        <v>365</v>
      </c>
      <c r="Z859" s="1032">
        <v>365</v>
      </c>
      <c r="AA859" s="1032">
        <v>365</v>
      </c>
      <c r="AB859" s="1032">
        <v>365</v>
      </c>
      <c r="AC859" s="1030">
        <v>365.25</v>
      </c>
      <c r="AD859" s="1032"/>
      <c r="AE859" s="1032"/>
      <c r="AF859" s="1032"/>
      <c r="AG859" s="1032"/>
      <c r="AK859" s="883"/>
    </row>
    <row r="860" spans="4:37" ht="15" hidden="1" customHeight="1" outlineLevel="1" x14ac:dyDescent="0.25">
      <c r="D860" s="3872" t="s">
        <v>708</v>
      </c>
      <c r="E860" s="4268" t="s">
        <v>1977</v>
      </c>
      <c r="F860" s="3089" t="s">
        <v>320</v>
      </c>
      <c r="G860" s="1032">
        <v>2.0499999999999998</v>
      </c>
      <c r="H860" s="4151" t="s">
        <v>702</v>
      </c>
      <c r="I860" s="4151"/>
      <c r="J860" s="3823" t="s">
        <v>1973</v>
      </c>
      <c r="K860" s="3823"/>
      <c r="L860" s="3823"/>
      <c r="S860" s="1043"/>
      <c r="V860" s="4241" t="str">
        <f>D860</f>
        <v>SPH</v>
      </c>
      <c r="W860" s="968">
        <v>2.0499999999999998</v>
      </c>
      <c r="X860" s="968">
        <v>2.0499999999999998</v>
      </c>
      <c r="Y860" s="968">
        <v>2.0499999999999998</v>
      </c>
      <c r="Z860" s="1032">
        <v>2.0499999999999998</v>
      </c>
      <c r="AA860" s="1032">
        <v>2.0499999999999998</v>
      </c>
      <c r="AB860" s="1032">
        <v>2.0499999999999998</v>
      </c>
      <c r="AC860" s="1032">
        <v>2.0499999999999998</v>
      </c>
      <c r="AD860" s="1032"/>
      <c r="AE860" s="1032"/>
      <c r="AF860" s="1032"/>
      <c r="AG860" s="1032"/>
      <c r="AK860" s="883"/>
    </row>
    <row r="861" spans="4:37" ht="15" hidden="1" customHeight="1" outlineLevel="1" x14ac:dyDescent="0.25">
      <c r="D861" s="3873"/>
      <c r="E861" s="4270"/>
      <c r="F861" s="3089" t="s">
        <v>322</v>
      </c>
      <c r="G861" s="1032">
        <v>1</v>
      </c>
      <c r="H861" s="4151" t="s">
        <v>536</v>
      </c>
      <c r="I861" s="4151"/>
      <c r="J861" s="3823" t="s">
        <v>1973</v>
      </c>
      <c r="K861" s="3823"/>
      <c r="L861" s="3823"/>
      <c r="S861" s="1043"/>
      <c r="V861" s="4231"/>
      <c r="W861" s="968">
        <v>1.4</v>
      </c>
      <c r="X861" s="1030">
        <v>1</v>
      </c>
      <c r="Y861" s="1030">
        <v>1</v>
      </c>
      <c r="Z861" s="1032">
        <v>1</v>
      </c>
      <c r="AA861" s="1032">
        <v>1</v>
      </c>
      <c r="AB861" s="1032">
        <v>1</v>
      </c>
      <c r="AC861" s="1032">
        <v>1</v>
      </c>
      <c r="AD861" s="1032"/>
      <c r="AE861" s="1032"/>
      <c r="AF861" s="1032"/>
      <c r="AG861" s="1032"/>
      <c r="AK861" s="883"/>
    </row>
    <row r="862" spans="4:37" ht="15" hidden="1" customHeight="1" outlineLevel="1" x14ac:dyDescent="0.25">
      <c r="D862" s="3089">
        <v>8.33</v>
      </c>
      <c r="E862" s="3184" t="s">
        <v>647</v>
      </c>
      <c r="F862" s="3089"/>
      <c r="G862" s="1032">
        <v>8.33</v>
      </c>
      <c r="H862" s="3867" t="s">
        <v>648</v>
      </c>
      <c r="I862" s="3867"/>
      <c r="J862" s="3823" t="s">
        <v>1975</v>
      </c>
      <c r="K862" s="3823"/>
      <c r="L862" s="3823"/>
      <c r="S862" s="1043"/>
      <c r="V862" s="3208">
        <f>D862</f>
        <v>8.33</v>
      </c>
      <c r="W862" s="968">
        <v>8.33</v>
      </c>
      <c r="X862" s="968">
        <v>8.33</v>
      </c>
      <c r="Y862" s="968">
        <v>8.33</v>
      </c>
      <c r="Z862" s="1032">
        <v>8.33</v>
      </c>
      <c r="AA862" s="1032">
        <v>8.33</v>
      </c>
      <c r="AB862" s="1032">
        <v>8.33</v>
      </c>
      <c r="AC862" s="1032">
        <v>8.33</v>
      </c>
      <c r="AD862" s="1032"/>
      <c r="AE862" s="1032"/>
      <c r="AF862" s="1032"/>
      <c r="AG862" s="1032"/>
      <c r="AK862" s="883"/>
    </row>
    <row r="863" spans="4:37" ht="15" hidden="1" customHeight="1" outlineLevel="1" x14ac:dyDescent="0.25">
      <c r="D863" s="3089">
        <v>1</v>
      </c>
      <c r="E863" s="3184" t="s">
        <v>1978</v>
      </c>
      <c r="F863" s="3089"/>
      <c r="G863" s="1032">
        <v>1</v>
      </c>
      <c r="H863" s="3776" t="s">
        <v>650</v>
      </c>
      <c r="I863" s="3776"/>
      <c r="J863" s="3823" t="s">
        <v>1975</v>
      </c>
      <c r="K863" s="3823"/>
      <c r="L863" s="3823"/>
      <c r="S863" s="1043"/>
      <c r="V863" s="3208">
        <f t="shared" ref="V863:V868" si="122">D863</f>
        <v>1</v>
      </c>
      <c r="W863" s="968">
        <v>1</v>
      </c>
      <c r="X863" s="968">
        <v>1</v>
      </c>
      <c r="Y863" s="968">
        <v>1</v>
      </c>
      <c r="Z863" s="1032">
        <v>1</v>
      </c>
      <c r="AA863" s="1032">
        <v>1</v>
      </c>
      <c r="AB863" s="1032">
        <v>1</v>
      </c>
      <c r="AC863" s="1032">
        <v>1</v>
      </c>
      <c r="AD863" s="1032"/>
      <c r="AE863" s="1032"/>
      <c r="AF863" s="1032"/>
      <c r="AG863" s="1032"/>
      <c r="AK863" s="883"/>
    </row>
    <row r="864" spans="4:37" ht="15" hidden="1" customHeight="1" outlineLevel="1" x14ac:dyDescent="0.25">
      <c r="D864" s="3089" t="s">
        <v>710</v>
      </c>
      <c r="E864" s="3184" t="s">
        <v>1979</v>
      </c>
      <c r="F864" s="3089"/>
      <c r="G864" s="1032">
        <v>105</v>
      </c>
      <c r="H864" s="3776" t="s">
        <v>712</v>
      </c>
      <c r="I864" s="3776"/>
      <c r="J864" s="3823" t="s">
        <v>1975</v>
      </c>
      <c r="K864" s="3823"/>
      <c r="L864" s="3823"/>
      <c r="S864" s="1043"/>
      <c r="V864" s="3208" t="str">
        <f t="shared" si="122"/>
        <v>ShowerTemp</v>
      </c>
      <c r="W864" s="968">
        <v>105</v>
      </c>
      <c r="X864" s="968">
        <v>105</v>
      </c>
      <c r="Y864" s="968">
        <v>105</v>
      </c>
      <c r="Z864" s="1032">
        <v>105</v>
      </c>
      <c r="AA864" s="1032">
        <v>105</v>
      </c>
      <c r="AB864" s="1032">
        <v>105</v>
      </c>
      <c r="AC864" s="1032">
        <v>105</v>
      </c>
      <c r="AD864" s="1032"/>
      <c r="AE864" s="1032"/>
      <c r="AF864" s="1032"/>
      <c r="AG864" s="1032"/>
      <c r="AK864" s="883"/>
    </row>
    <row r="865" spans="1:37" ht="15" hidden="1" customHeight="1" outlineLevel="1" x14ac:dyDescent="0.25">
      <c r="B865" s="1233"/>
      <c r="D865" s="3089" t="s">
        <v>654</v>
      </c>
      <c r="E865" s="3184" t="s">
        <v>1946</v>
      </c>
      <c r="F865" s="3089"/>
      <c r="G865" s="1032">
        <v>61.3</v>
      </c>
      <c r="H865" s="3776" t="s">
        <v>656</v>
      </c>
      <c r="I865" s="3776"/>
      <c r="J865" s="3823" t="s">
        <v>1975</v>
      </c>
      <c r="K865" s="3823"/>
      <c r="L865" s="3823"/>
      <c r="S865" s="1043"/>
      <c r="V865" s="3208" t="str">
        <f t="shared" si="122"/>
        <v>SupplyTemp</v>
      </c>
      <c r="W865" s="968">
        <v>61.3</v>
      </c>
      <c r="X865" s="968">
        <v>61.3</v>
      </c>
      <c r="Y865" s="968">
        <v>61.3</v>
      </c>
      <c r="Z865" s="1032">
        <v>61.3</v>
      </c>
      <c r="AA865" s="1032">
        <v>61.3</v>
      </c>
      <c r="AB865" s="1032">
        <v>61.3</v>
      </c>
      <c r="AC865" s="1032">
        <v>61.3</v>
      </c>
      <c r="AD865" s="1032"/>
      <c r="AE865" s="1032"/>
      <c r="AF865" s="1032"/>
      <c r="AG865" s="1032"/>
      <c r="AK865" s="883"/>
    </row>
    <row r="866" spans="1:37" ht="15" hidden="1" customHeight="1" outlineLevel="1" x14ac:dyDescent="0.25">
      <c r="B866" s="1233"/>
      <c r="D866" s="3089" t="s">
        <v>657</v>
      </c>
      <c r="E866" s="3184" t="s">
        <v>1947</v>
      </c>
      <c r="F866" s="3089"/>
      <c r="G866" s="1032">
        <v>0.98</v>
      </c>
      <c r="H866" s="4151" t="s">
        <v>1948</v>
      </c>
      <c r="I866" s="4151"/>
      <c r="J866" s="3823" t="s">
        <v>1975</v>
      </c>
      <c r="K866" s="3823"/>
      <c r="L866" s="3823"/>
      <c r="S866" s="1043"/>
      <c r="V866" s="3208" t="str">
        <f t="shared" si="122"/>
        <v>RE_electric</v>
      </c>
      <c r="W866" s="968">
        <v>0.98</v>
      </c>
      <c r="X866" s="968">
        <v>0.98</v>
      </c>
      <c r="Y866" s="968">
        <v>0.98</v>
      </c>
      <c r="Z866" s="1032">
        <v>0.98</v>
      </c>
      <c r="AA866" s="1032">
        <v>0.98</v>
      </c>
      <c r="AB866" s="1032">
        <v>0.98</v>
      </c>
      <c r="AC866" s="1032">
        <v>0.98</v>
      </c>
      <c r="AD866" s="1032"/>
      <c r="AE866" s="1032"/>
      <c r="AF866" s="1032"/>
      <c r="AG866" s="1032"/>
      <c r="AK866" s="883"/>
    </row>
    <row r="867" spans="1:37" ht="15" hidden="1" customHeight="1" outlineLevel="1" x14ac:dyDescent="0.25">
      <c r="B867" s="1233"/>
      <c r="D867" s="3089">
        <v>3412</v>
      </c>
      <c r="E867" s="3184">
        <v>3413</v>
      </c>
      <c r="F867" s="3089"/>
      <c r="G867" s="1046">
        <v>3413</v>
      </c>
      <c r="H867" s="3867" t="s">
        <v>218</v>
      </c>
      <c r="I867" s="3867"/>
      <c r="J867" s="3823" t="s">
        <v>1975</v>
      </c>
      <c r="K867" s="3823"/>
      <c r="L867" s="3823"/>
      <c r="S867" s="1045"/>
      <c r="V867" s="3208">
        <f t="shared" si="122"/>
        <v>3412</v>
      </c>
      <c r="W867" s="1044">
        <v>3413</v>
      </c>
      <c r="X867" s="1044">
        <v>3413</v>
      </c>
      <c r="Y867" s="1044">
        <v>3413</v>
      </c>
      <c r="Z867" s="1046">
        <v>3413</v>
      </c>
      <c r="AA867" s="1046">
        <v>3413</v>
      </c>
      <c r="AB867" s="1046">
        <v>3413</v>
      </c>
      <c r="AC867" s="1046">
        <v>3413</v>
      </c>
      <c r="AD867" s="1046"/>
      <c r="AE867" s="1046"/>
      <c r="AF867" s="1046"/>
      <c r="AG867" s="1046"/>
      <c r="AK867" s="883"/>
    </row>
    <row r="868" spans="1:37" ht="15" hidden="1" customHeight="1" outlineLevel="1" x14ac:dyDescent="0.25">
      <c r="B868" s="1233"/>
      <c r="C868" s="3159"/>
      <c r="D868" s="3089" t="s">
        <v>531</v>
      </c>
      <c r="E868" s="3089" t="s">
        <v>595</v>
      </c>
      <c r="F868" s="3089"/>
      <c r="G868" s="1040">
        <v>1</v>
      </c>
      <c r="H868" s="3867" t="s">
        <v>600</v>
      </c>
      <c r="I868" s="3867"/>
      <c r="J868" s="4264" t="s">
        <v>1816</v>
      </c>
      <c r="K868" s="4265"/>
      <c r="L868" s="4265"/>
      <c r="S868" s="1039"/>
      <c r="V868" s="3208" t="str">
        <f t="shared" si="122"/>
        <v>Utility Adjustment</v>
      </c>
      <c r="W868" s="966">
        <v>1</v>
      </c>
      <c r="X868" s="966">
        <v>1</v>
      </c>
      <c r="Y868" s="966">
        <v>1</v>
      </c>
      <c r="Z868" s="1040">
        <v>1</v>
      </c>
      <c r="AA868" s="1040">
        <v>1</v>
      </c>
      <c r="AB868" s="1040">
        <v>1</v>
      </c>
      <c r="AC868" s="1040">
        <v>1</v>
      </c>
      <c r="AD868" s="1040"/>
      <c r="AE868" s="1040"/>
      <c r="AF868" s="1040"/>
      <c r="AG868" s="1040"/>
      <c r="AK868" s="883"/>
    </row>
    <row r="869" spans="1:37" ht="15" hidden="1" customHeight="1" outlineLevel="1" x14ac:dyDescent="0.25">
      <c r="B869" s="1233"/>
      <c r="C869" s="3159"/>
      <c r="D869" s="4266" t="s">
        <v>133</v>
      </c>
      <c r="E869" s="4268" t="s">
        <v>1817</v>
      </c>
      <c r="F869" s="3089" t="s">
        <v>429</v>
      </c>
      <c r="G869" s="2427">
        <v>0.91346153846153844</v>
      </c>
      <c r="H869" s="4151" t="s">
        <v>702</v>
      </c>
      <c r="I869" s="4151"/>
      <c r="J869" s="3823" t="s">
        <v>1975</v>
      </c>
      <c r="K869" s="3823"/>
      <c r="L869" s="3823"/>
      <c r="S869" s="1047"/>
      <c r="V869" s="4241" t="str">
        <f>D869</f>
        <v>ISR</v>
      </c>
      <c r="W869" s="968">
        <v>0.91346153846153844</v>
      </c>
      <c r="X869" s="968">
        <v>0.91346153846153844</v>
      </c>
      <c r="Y869" s="968">
        <v>0.91346153846153844</v>
      </c>
      <c r="Z869" s="1032">
        <v>0.91346153846153844</v>
      </c>
      <c r="AA869" s="1032">
        <v>0.91346153846153844</v>
      </c>
      <c r="AB869" s="1032">
        <v>0.91346153846153844</v>
      </c>
      <c r="AC869" s="2427">
        <v>0.91346153846153844</v>
      </c>
      <c r="AD869" s="1032"/>
      <c r="AE869" s="1032"/>
      <c r="AF869" s="1032"/>
      <c r="AG869" s="1032"/>
      <c r="AK869" s="883"/>
    </row>
    <row r="870" spans="1:37" ht="15" hidden="1" customHeight="1" outlineLevel="1" x14ac:dyDescent="0.25">
      <c r="B870" s="1233"/>
      <c r="C870" s="3159"/>
      <c r="D870" s="3937"/>
      <c r="E870" s="4269"/>
      <c r="F870" s="3089" t="s">
        <v>1980</v>
      </c>
      <c r="G870" s="2427">
        <v>0.94</v>
      </c>
      <c r="H870" s="4251" t="s">
        <v>1981</v>
      </c>
      <c r="I870" s="4150"/>
      <c r="J870" s="3823"/>
      <c r="K870" s="3823"/>
      <c r="L870" s="3823"/>
      <c r="S870" s="1047"/>
      <c r="V870" s="4231"/>
      <c r="W870" s="1049">
        <v>0.97699999999999998</v>
      </c>
      <c r="X870" s="1050">
        <v>0.9375</v>
      </c>
      <c r="Y870" s="1050">
        <v>0.96430000000000005</v>
      </c>
      <c r="Z870" s="1048">
        <v>0.96430000000000005</v>
      </c>
      <c r="AA870" s="1048">
        <v>0.96430000000000005</v>
      </c>
      <c r="AB870" s="1048">
        <v>0.96430000000000005</v>
      </c>
      <c r="AC870" s="2427">
        <v>0.94</v>
      </c>
      <c r="AD870" s="1048"/>
      <c r="AE870" s="1048"/>
      <c r="AF870" s="1048"/>
      <c r="AG870" s="1048"/>
      <c r="AK870" s="883"/>
    </row>
    <row r="871" spans="1:37" ht="15" hidden="1" customHeight="1" outlineLevel="1" x14ac:dyDescent="0.25">
      <c r="B871" s="1233"/>
      <c r="C871" s="3159"/>
      <c r="D871" s="4267"/>
      <c r="E871" s="4270"/>
      <c r="F871" s="3089" t="s">
        <v>1982</v>
      </c>
      <c r="G871" s="2427">
        <v>0.96399999999999997</v>
      </c>
      <c r="H871" s="4271" t="s">
        <v>1983</v>
      </c>
      <c r="I871" s="4272"/>
      <c r="J871" s="3823" t="s">
        <v>1975</v>
      </c>
      <c r="K871" s="3823"/>
      <c r="L871" s="3823"/>
      <c r="S871" s="1047"/>
      <c r="V871" s="3198"/>
      <c r="W871" s="1049"/>
      <c r="X871" s="1050"/>
      <c r="Y871" s="1050"/>
      <c r="Z871" s="1048"/>
      <c r="AA871" s="1048"/>
      <c r="AB871" s="1048"/>
      <c r="AC871" s="2427">
        <v>0.96399999999999997</v>
      </c>
      <c r="AD871" s="1048"/>
      <c r="AE871" s="1048"/>
      <c r="AF871" s="1048"/>
      <c r="AG871" s="1048"/>
      <c r="AK871" s="883"/>
    </row>
    <row r="872" spans="1:37" hidden="1" outlineLevel="1" x14ac:dyDescent="0.25">
      <c r="B872" s="1233"/>
      <c r="C872" s="3159"/>
      <c r="D872" s="3192" t="str">
        <f>D790</f>
        <v>EUL</v>
      </c>
      <c r="E872" s="3192" t="str">
        <f>E790</f>
        <v>Effective Useful Life</v>
      </c>
      <c r="F872" s="3089" t="s">
        <v>135</v>
      </c>
      <c r="G872" s="1687">
        <v>10</v>
      </c>
      <c r="H872" s="3867"/>
      <c r="I872" s="3867"/>
      <c r="J872" s="4236"/>
      <c r="K872" s="4236"/>
      <c r="L872" s="4236"/>
      <c r="S872" s="1039"/>
      <c r="V872" s="3208" t="str">
        <f>D872</f>
        <v>EUL</v>
      </c>
      <c r="W872" s="1051">
        <v>10</v>
      </c>
      <c r="X872" s="1051">
        <v>10</v>
      </c>
      <c r="Y872" s="1051">
        <v>10</v>
      </c>
      <c r="Z872" s="1687">
        <v>10</v>
      </c>
      <c r="AA872" s="1687">
        <v>10</v>
      </c>
      <c r="AB872" s="1687">
        <v>10</v>
      </c>
      <c r="AC872" s="1687">
        <v>10</v>
      </c>
      <c r="AD872" s="1052"/>
      <c r="AE872" s="1052"/>
      <c r="AF872" s="1052"/>
      <c r="AG872" s="1052"/>
      <c r="AK872" s="883"/>
    </row>
    <row r="873" spans="1:37" ht="30" hidden="1" outlineLevel="1" x14ac:dyDescent="0.25">
      <c r="B873" s="1233"/>
      <c r="C873" s="3159"/>
      <c r="D873" s="4204" t="str">
        <f>D791</f>
        <v>Inc. Cost</v>
      </c>
      <c r="E873" s="4204" t="str">
        <f>E791</f>
        <v>Incremental Cost</v>
      </c>
      <c r="F873" s="3126" t="s">
        <v>1984</v>
      </c>
      <c r="G873" s="1054">
        <v>7</v>
      </c>
      <c r="H873" s="4151"/>
      <c r="I873" s="4151"/>
      <c r="J873" s="3823"/>
      <c r="K873" s="3823"/>
      <c r="L873" s="3823"/>
      <c r="S873" s="1047"/>
      <c r="V873" s="4262" t="str">
        <f>D873</f>
        <v>Inc. Cost</v>
      </c>
      <c r="W873" s="1053">
        <v>7</v>
      </c>
      <c r="X873" s="1053">
        <v>7</v>
      </c>
      <c r="Y873" s="1053">
        <v>7</v>
      </c>
      <c r="Z873" s="1054">
        <v>7</v>
      </c>
      <c r="AA873" s="1054">
        <v>7</v>
      </c>
      <c r="AB873" s="1054">
        <v>7</v>
      </c>
      <c r="AC873" s="1054">
        <v>7</v>
      </c>
      <c r="AD873" s="1054"/>
      <c r="AE873" s="1054"/>
      <c r="AF873" s="1054"/>
      <c r="AG873" s="1054"/>
      <c r="AK873" s="883"/>
    </row>
    <row r="874" spans="1:37" hidden="1" outlineLevel="1" x14ac:dyDescent="0.25">
      <c r="B874" s="1233"/>
      <c r="C874" s="3159"/>
      <c r="D874" s="3776"/>
      <c r="E874" s="3776"/>
      <c r="F874" s="3126" t="s">
        <v>1985</v>
      </c>
      <c r="G874" s="1054">
        <v>12.98</v>
      </c>
      <c r="H874" s="4151"/>
      <c r="I874" s="4151"/>
      <c r="J874" s="3823"/>
      <c r="K874" s="3823"/>
      <c r="L874" s="3823"/>
      <c r="S874" s="1047"/>
      <c r="V874" s="4262"/>
      <c r="W874" s="1053">
        <v>7</v>
      </c>
      <c r="X874" s="1053">
        <v>7</v>
      </c>
      <c r="Y874" s="1055">
        <v>12.98</v>
      </c>
      <c r="Z874" s="1054">
        <v>12.98</v>
      </c>
      <c r="AA874" s="1054">
        <v>12.98</v>
      </c>
      <c r="AB874" s="1054">
        <v>12.98</v>
      </c>
      <c r="AC874" s="1054">
        <v>12.98</v>
      </c>
      <c r="AD874" s="1054"/>
      <c r="AE874" s="1054"/>
      <c r="AF874" s="1054"/>
      <c r="AG874" s="1054"/>
      <c r="AK874" s="883"/>
    </row>
    <row r="875" spans="1:37" ht="30" hidden="1" outlineLevel="1" x14ac:dyDescent="0.25">
      <c r="B875" s="1233"/>
      <c r="C875" s="3159"/>
      <c r="D875" s="3776"/>
      <c r="E875" s="3776"/>
      <c r="F875" s="3126" t="s">
        <v>1986</v>
      </c>
      <c r="G875" s="1054">
        <v>18.45</v>
      </c>
      <c r="H875" s="4151" t="s">
        <v>1987</v>
      </c>
      <c r="I875" s="4151"/>
      <c r="J875" s="3823"/>
      <c r="K875" s="3823"/>
      <c r="L875" s="3823"/>
      <c r="S875" s="1047"/>
      <c r="V875" s="4263"/>
      <c r="W875" s="1053"/>
      <c r="X875" s="1053"/>
      <c r="Y875" s="1055">
        <v>18.45</v>
      </c>
      <c r="Z875" s="1054">
        <v>18.45</v>
      </c>
      <c r="AA875" s="1054">
        <v>18.45</v>
      </c>
      <c r="AB875" s="1054">
        <v>18.45</v>
      </c>
      <c r="AC875" s="1054">
        <v>18.45</v>
      </c>
      <c r="AD875" s="1054"/>
      <c r="AE875" s="1054"/>
      <c r="AF875" s="1054"/>
      <c r="AG875" s="1054"/>
      <c r="AK875" s="883"/>
    </row>
    <row r="876" spans="1:37" ht="30" hidden="1" outlineLevel="1" x14ac:dyDescent="0.25">
      <c r="B876" s="1233"/>
      <c r="C876" s="3159"/>
      <c r="D876" s="3910"/>
      <c r="E876" s="3910"/>
      <c r="F876" s="3126" t="s">
        <v>1988</v>
      </c>
      <c r="G876" s="1054">
        <v>12.47</v>
      </c>
      <c r="H876" s="4151" t="s">
        <v>1987</v>
      </c>
      <c r="I876" s="4151"/>
      <c r="J876" s="3823"/>
      <c r="K876" s="3823"/>
      <c r="L876" s="3823"/>
      <c r="S876" s="1047"/>
      <c r="V876" s="4263"/>
      <c r="W876" s="1053"/>
      <c r="X876" s="1053"/>
      <c r="Y876" s="1055">
        <v>12.47</v>
      </c>
      <c r="Z876" s="1054">
        <v>12.47</v>
      </c>
      <c r="AA876" s="1054">
        <v>12.47</v>
      </c>
      <c r="AB876" s="1054">
        <v>12.47</v>
      </c>
      <c r="AC876" s="1054">
        <v>12.47</v>
      </c>
      <c r="AD876" s="1054"/>
      <c r="AE876" s="1054"/>
      <c r="AF876" s="1054"/>
      <c r="AG876" s="1054"/>
      <c r="AK876" s="883"/>
    </row>
    <row r="877" spans="1:37" ht="15" customHeight="1" collapsed="1" x14ac:dyDescent="0.25">
      <c r="B877" s="1233"/>
      <c r="C877" s="225"/>
      <c r="AK877" s="883"/>
    </row>
    <row r="878" spans="1:37" ht="15" customHeight="1" x14ac:dyDescent="0.25">
      <c r="B878" s="1233"/>
      <c r="C878" s="225"/>
      <c r="AK878" s="883"/>
    </row>
    <row r="879" spans="1:37" ht="15" customHeight="1" x14ac:dyDescent="0.25">
      <c r="B879" s="3750" t="s">
        <v>716</v>
      </c>
      <c r="C879" s="3751"/>
      <c r="D879" s="3751"/>
      <c r="E879" s="3751"/>
      <c r="F879" s="3751"/>
      <c r="G879" s="3751"/>
      <c r="H879" s="3751"/>
      <c r="I879" s="3744"/>
      <c r="J879" s="3744"/>
      <c r="K879" s="3744"/>
      <c r="L879" s="3744"/>
      <c r="M879" s="3744"/>
      <c r="N879" s="3744"/>
      <c r="O879" s="3744"/>
      <c r="P879" s="3744"/>
      <c r="Q879" s="3744"/>
      <c r="R879" s="3745"/>
      <c r="V879" s="3750" t="str">
        <f>B879</f>
        <v>Pipe Insulation</v>
      </c>
      <c r="W879" s="3751"/>
      <c r="X879" s="3751"/>
      <c r="Y879" s="3751"/>
      <c r="Z879" s="3751"/>
      <c r="AA879" s="3751"/>
      <c r="AB879" s="3751"/>
      <c r="AC879" s="3752"/>
      <c r="AD879" s="3752"/>
      <c r="AE879" s="3752"/>
      <c r="AF879" s="3752"/>
      <c r="AG879" s="3752"/>
      <c r="AH879" s="3752"/>
      <c r="AI879" s="3753"/>
      <c r="AK879" s="883"/>
    </row>
    <row r="880" spans="1:37" ht="15" customHeight="1" x14ac:dyDescent="0.25">
      <c r="A880" s="247"/>
      <c r="B880" s="1233"/>
      <c r="C880" s="225"/>
      <c r="D880" s="419"/>
      <c r="E880" s="419"/>
      <c r="F880" s="226"/>
      <c r="G880" s="226"/>
      <c r="H880" s="226"/>
      <c r="I880" s="226"/>
      <c r="J880" s="226"/>
      <c r="K880" s="226"/>
      <c r="L880" s="1438"/>
      <c r="AK880" s="883"/>
    </row>
    <row r="881" spans="1:57" s="892" customFormat="1" ht="30" x14ac:dyDescent="0.25">
      <c r="A881" s="910"/>
      <c r="B881" s="1606"/>
      <c r="C881" s="3086" t="s">
        <v>28</v>
      </c>
      <c r="D881" s="3086" t="s">
        <v>175</v>
      </c>
      <c r="E881" s="3086" t="s">
        <v>30</v>
      </c>
      <c r="F881" s="3086" t="s">
        <v>1765</v>
      </c>
      <c r="G881" s="3086" t="s">
        <v>176</v>
      </c>
      <c r="H881" s="3086" t="s">
        <v>177</v>
      </c>
      <c r="I881" s="3086" t="s">
        <v>32</v>
      </c>
      <c r="J881" s="3086" t="s">
        <v>181</v>
      </c>
      <c r="K881" s="3086" t="s">
        <v>170</v>
      </c>
      <c r="L881" s="3086" t="s">
        <v>44</v>
      </c>
      <c r="M881" s="910"/>
      <c r="N881" s="910"/>
      <c r="O881" s="910"/>
      <c r="P881" s="910"/>
      <c r="Q881" s="910"/>
      <c r="R881" s="910"/>
      <c r="S881" s="910"/>
      <c r="T881" s="910"/>
      <c r="U881" s="910"/>
      <c r="V881" s="1936" t="s">
        <v>45</v>
      </c>
      <c r="W881" s="1937">
        <f>W$6</f>
        <v>43252</v>
      </c>
      <c r="X881" s="1937">
        <f t="shared" ref="X881:AG881" si="123">X$6</f>
        <v>43465</v>
      </c>
      <c r="Y881" s="360">
        <f t="shared" si="123"/>
        <v>43800</v>
      </c>
      <c r="Z881" s="1937">
        <f t="shared" si="123"/>
        <v>43862</v>
      </c>
      <c r="AA881" s="1937">
        <f t="shared" si="123"/>
        <v>44013</v>
      </c>
      <c r="AB881" s="1937">
        <f t="shared" si="123"/>
        <v>44166</v>
      </c>
      <c r="AC881" s="1937">
        <f t="shared" si="123"/>
        <v>44531</v>
      </c>
      <c r="AD881" s="1937" t="str">
        <f t="shared" si="123"/>
        <v>-</v>
      </c>
      <c r="AE881" s="1937" t="str">
        <f t="shared" si="123"/>
        <v>-</v>
      </c>
      <c r="AF881" s="1937" t="str">
        <f t="shared" si="123"/>
        <v>-</v>
      </c>
      <c r="AG881" s="1937" t="str">
        <f t="shared" si="123"/>
        <v>-</v>
      </c>
      <c r="AK881" s="1018"/>
      <c r="BB881" s="1938" t="str">
        <f>$BB$6</f>
        <v>TRC (2020)</v>
      </c>
      <c r="BC881" s="1953" t="str">
        <f>$BC$6</f>
        <v>Benefit Lookup</v>
      </c>
      <c r="BD881" s="665" t="str">
        <f>$BD$6</f>
        <v>Benefits (2019 $)</v>
      </c>
      <c r="BE881" s="230" t="str">
        <f>$BE$6</f>
        <v>Incremental Cost (2019 $)</v>
      </c>
    </row>
    <row r="882" spans="1:57" s="892" customFormat="1" ht="15" customHeight="1" x14ac:dyDescent="0.25">
      <c r="A882" s="910"/>
      <c r="B882" s="1606"/>
      <c r="C882" s="2667" t="s">
        <v>1989</v>
      </c>
      <c r="D882" s="2695" t="s">
        <v>1577</v>
      </c>
      <c r="E882" s="981" t="s">
        <v>1990</v>
      </c>
      <c r="F882" s="531">
        <f>ROUND(((((F890/F891)-(F892/F893))*F894*F895*F896)/(F897*F898))*F899*F900*F901,2)</f>
        <v>4.6399999999999997</v>
      </c>
      <c r="G882" s="451" t="s">
        <v>1926</v>
      </c>
      <c r="H882" s="449">
        <f>VLOOKUP(G882,'CP FACTORS'!$A$3:$B$38, 2, FALSE)</f>
        <v>8.8731800000000003E-5</v>
      </c>
      <c r="I882" s="1531">
        <f>ROUND(F882*H882,6)</f>
        <v>4.1199999999999999E-4</v>
      </c>
      <c r="J882" s="2298">
        <f>$F$904</f>
        <v>12</v>
      </c>
      <c r="K882" s="2297">
        <f>F905</f>
        <v>7.1</v>
      </c>
      <c r="L882" s="2667" t="s">
        <v>718</v>
      </c>
      <c r="M882" s="910"/>
      <c r="N882" s="910"/>
      <c r="O882" s="910"/>
      <c r="P882" s="910"/>
      <c r="Q882" s="910"/>
      <c r="R882" s="1431"/>
      <c r="S882" s="910"/>
      <c r="T882" s="910"/>
      <c r="U882" s="910"/>
      <c r="V882" s="1016" t="str">
        <f>F881</f>
        <v>kWh
Annual Savings</v>
      </c>
      <c r="W882" s="1056">
        <v>16.471996316343358</v>
      </c>
      <c r="X882" s="881">
        <v>4.4836485277384011</v>
      </c>
      <c r="Y882" s="1951">
        <v>4.6399999999999997</v>
      </c>
      <c r="Z882" s="62">
        <v>4.6399999999999997</v>
      </c>
      <c r="AA882" s="62">
        <v>4.6399999999999997</v>
      </c>
      <c r="AB882" s="62">
        <v>4.6399999999999997</v>
      </c>
      <c r="AC882" s="531">
        <v>4.6399999999999997</v>
      </c>
      <c r="AD882" s="1016"/>
      <c r="AE882" s="1016"/>
      <c r="AF882" s="1016"/>
      <c r="AG882" s="1016"/>
      <c r="AK882" s="1018"/>
      <c r="BB882" s="1019">
        <f>(BD882)/(BE882)</f>
        <v>0.27928929013723736</v>
      </c>
      <c r="BC882" s="3166" t="str">
        <f>CONCATENATE(G882," ",J882," Year EUL")</f>
        <v>Water heating RES 12 Year EUL</v>
      </c>
      <c r="BD882" s="111">
        <f>(INDEX('Avoided Cost Benefits'!$C$4:$C$857,MATCH(BC882,'Avoided Cost Benefits'!$A$4:$A$857,0)))*F882</f>
        <v>1.8715941104052713</v>
      </c>
      <c r="BE882" s="1020">
        <f>K882/(1.0595^(2020-2019))</f>
        <v>6.7012741859367617</v>
      </c>
    </row>
    <row r="883" spans="1:57" s="892" customFormat="1" ht="15" customHeight="1" x14ac:dyDescent="0.25">
      <c r="A883" s="910"/>
      <c r="B883" s="1606"/>
      <c r="C883" s="2667" t="s">
        <v>1991</v>
      </c>
      <c r="D883" s="3176" t="s">
        <v>1930</v>
      </c>
      <c r="E883" s="981" t="s">
        <v>1992</v>
      </c>
      <c r="F883" s="531">
        <f>ROUND(((((F890/F891)-(F892/F893))*F894*F895*F896)/(F897*F898))*F899*F900*F901,2)</f>
        <v>4.6399999999999997</v>
      </c>
      <c r="G883" s="451" t="s">
        <v>1926</v>
      </c>
      <c r="H883" s="449">
        <f>VLOOKUP(G883,'CP FACTORS'!$A$3:$B$38, 2, FALSE)</f>
        <v>8.8731800000000003E-5</v>
      </c>
      <c r="I883" s="1531">
        <f>ROUND(F883*H883,6)</f>
        <v>4.1199999999999999E-4</v>
      </c>
      <c r="J883" s="2298">
        <f>$F$904</f>
        <v>12</v>
      </c>
      <c r="K883" s="2297">
        <f>$F$906</f>
        <v>5.66</v>
      </c>
      <c r="L883" s="2667" t="s">
        <v>718</v>
      </c>
      <c r="M883" s="910"/>
      <c r="N883" s="910"/>
      <c r="O883" s="910"/>
      <c r="P883" s="910"/>
      <c r="Q883" s="910"/>
      <c r="R883" s="1431"/>
      <c r="S883" s="910"/>
      <c r="T883" s="910"/>
      <c r="U883" s="910"/>
      <c r="V883" s="1016" t="str">
        <f>V882</f>
        <v>kWh
Annual Savings</v>
      </c>
      <c r="W883" s="1056">
        <v>16.471996316343358</v>
      </c>
      <c r="X883" s="881">
        <v>4.4836485277384011</v>
      </c>
      <c r="Y883" s="1951">
        <v>4.6399999999999997</v>
      </c>
      <c r="Z883" s="62">
        <v>4.6399999999999997</v>
      </c>
      <c r="AA883" s="62">
        <v>4.6399999999999997</v>
      </c>
      <c r="AB883" s="62">
        <v>4.6399999999999997</v>
      </c>
      <c r="AC883" s="531">
        <v>4.6399999999999997</v>
      </c>
      <c r="AD883" s="1016"/>
      <c r="AE883" s="1016"/>
      <c r="AF883" s="1016"/>
      <c r="AG883" s="1016"/>
      <c r="AK883" s="1018"/>
      <c r="BB883" s="1022">
        <f>(BD883)/(BE883)</f>
        <v>0.35034522261031542</v>
      </c>
      <c r="BC883" s="1948" t="str">
        <f>CONCATENATE(G883," ",J883," Year EUL")</f>
        <v>Water heating RES 12 Year EUL</v>
      </c>
      <c r="BD883" s="114">
        <f>(INDEX('Avoided Cost Benefits'!$C$4:$C$857,MATCH(BC883,'Avoided Cost Benefits'!$A$4:$A$857,0)))*F883</f>
        <v>1.8715941104052713</v>
      </c>
      <c r="BE883" s="1023">
        <f>K883/(1.0595^(2020-2019))</f>
        <v>5.3421425200566297</v>
      </c>
    </row>
    <row r="884" spans="1:57" s="892" customFormat="1" ht="15" customHeight="1" x14ac:dyDescent="0.25">
      <c r="A884" s="910"/>
      <c r="B884" s="1606"/>
      <c r="C884" s="2667" t="s">
        <v>1993</v>
      </c>
      <c r="D884" s="3176" t="s">
        <v>1933</v>
      </c>
      <c r="E884" s="981" t="s">
        <v>1994</v>
      </c>
      <c r="F884" s="531">
        <f>ROUND(((((F890/F891)-(F892/F893))*F894*F895*F896)/(F897*F898))*F899*F900*F901,2)</f>
        <v>4.6399999999999997</v>
      </c>
      <c r="G884" s="451" t="s">
        <v>1926</v>
      </c>
      <c r="H884" s="449">
        <f>VLOOKUP(G884,'CP FACTORS'!$A$3:$B$38, 2, FALSE)</f>
        <v>8.8731800000000003E-5</v>
      </c>
      <c r="I884" s="1531">
        <f>ROUND(F884*H884,6)</f>
        <v>4.1199999999999999E-4</v>
      </c>
      <c r="J884" s="2298">
        <f>$F$904</f>
        <v>12</v>
      </c>
      <c r="K884" s="2297">
        <f>$F$906</f>
        <v>5.66</v>
      </c>
      <c r="L884" s="2667" t="s">
        <v>718</v>
      </c>
      <c r="M884" s="910"/>
      <c r="N884" s="910"/>
      <c r="O884" s="910"/>
      <c r="P884" s="910"/>
      <c r="Q884" s="910"/>
      <c r="R884" s="1431"/>
      <c r="S884" s="910"/>
      <c r="T884" s="910"/>
      <c r="U884" s="910"/>
      <c r="V884" s="1016" t="str">
        <f>V883</f>
        <v>kWh
Annual Savings</v>
      </c>
      <c r="W884" s="1056">
        <v>16.471996316343358</v>
      </c>
      <c r="X884" s="881">
        <v>4.4836485277384011</v>
      </c>
      <c r="Y884" s="1951">
        <v>4.6399999999999997</v>
      </c>
      <c r="Z884" s="62">
        <v>4.6399999999999997</v>
      </c>
      <c r="AA884" s="62">
        <v>4.6399999999999997</v>
      </c>
      <c r="AB884" s="62">
        <v>4.6399999999999997</v>
      </c>
      <c r="AC884" s="531">
        <v>4.6399999999999997</v>
      </c>
      <c r="AD884" s="1016"/>
      <c r="AE884" s="1016"/>
      <c r="AF884" s="1016"/>
      <c r="AG884" s="1016"/>
      <c r="AK884" s="1018"/>
      <c r="BB884" s="1024">
        <f>(BD884)/(BE884)</f>
        <v>0.35034522261031542</v>
      </c>
      <c r="BC884" s="1948" t="str">
        <f>CONCATENATE(G884," ",J884," Year EUL")</f>
        <v>Water heating RES 12 Year EUL</v>
      </c>
      <c r="BD884" s="119">
        <f>(INDEX('Avoided Cost Benefits'!$C$4:$C$857,MATCH(BC884,'Avoided Cost Benefits'!$A$4:$A$857,0)))*F884</f>
        <v>1.8715941104052713</v>
      </c>
      <c r="BE884" s="1025">
        <f>K884/(1.0595^(2020-2019))</f>
        <v>5.3421425200566297</v>
      </c>
    </row>
    <row r="885" spans="1:57" s="892" customFormat="1" ht="15" hidden="1" customHeight="1" outlineLevel="1" x14ac:dyDescent="0.25">
      <c r="A885" s="910"/>
      <c r="B885" s="1606"/>
      <c r="C885" s="912"/>
      <c r="D885" s="1641"/>
      <c r="E885" s="1641"/>
      <c r="F885" s="958"/>
      <c r="G885" s="958"/>
      <c r="H885" s="958"/>
      <c r="I885" s="958"/>
      <c r="J885" s="958"/>
      <c r="K885" s="910"/>
      <c r="L885" s="910"/>
      <c r="M885" s="910"/>
      <c r="N885" s="910"/>
      <c r="O885" s="910"/>
      <c r="P885" s="910"/>
      <c r="Q885" s="910"/>
      <c r="R885" s="910"/>
      <c r="S885" s="910"/>
      <c r="T885" s="910"/>
      <c r="U885" s="910"/>
      <c r="V885" s="178"/>
      <c r="W885" s="178"/>
      <c r="X885" s="178"/>
      <c r="Y885" s="1057"/>
      <c r="Z885" s="178"/>
      <c r="AA885" s="178"/>
      <c r="AB885" s="178"/>
      <c r="AC885" s="178"/>
      <c r="AD885" s="178"/>
      <c r="AE885" s="178"/>
      <c r="AF885" s="178"/>
      <c r="AG885" s="178"/>
      <c r="AK885" s="1018"/>
      <c r="BB885" s="906"/>
    </row>
    <row r="886" spans="1:57" s="892" customFormat="1" ht="15" hidden="1" customHeight="1" outlineLevel="1" x14ac:dyDescent="0.25">
      <c r="A886" s="910"/>
      <c r="B886" s="1606"/>
      <c r="C886" s="912"/>
      <c r="D886" s="174" t="s">
        <v>108</v>
      </c>
      <c r="E886" s="1688"/>
      <c r="F886" s="1689"/>
      <c r="G886" s="1689"/>
      <c r="H886" s="958"/>
      <c r="I886" s="958"/>
      <c r="J886" s="958"/>
      <c r="K886" s="910"/>
      <c r="L886" s="910"/>
      <c r="M886" s="910"/>
      <c r="N886" s="910"/>
      <c r="O886" s="910"/>
      <c r="P886" s="910"/>
      <c r="Q886" s="910"/>
      <c r="R886" s="910"/>
      <c r="S886" s="910"/>
      <c r="T886" s="910"/>
      <c r="U886" s="910"/>
      <c r="V886" s="178"/>
      <c r="W886" s="178"/>
      <c r="X886" s="178"/>
      <c r="Y886" s="1057"/>
      <c r="Z886" s="178"/>
      <c r="AA886" s="178"/>
      <c r="AB886" s="178"/>
      <c r="AC886" s="178"/>
      <c r="AD886" s="178"/>
      <c r="AE886" s="178"/>
      <c r="AF886" s="178"/>
      <c r="AG886" s="178"/>
      <c r="AK886" s="1018"/>
      <c r="BB886" s="906"/>
    </row>
    <row r="887" spans="1:57" s="892" customFormat="1" ht="38.25" hidden="1" customHeight="1" outlineLevel="1" x14ac:dyDescent="0.25">
      <c r="A887" s="910"/>
      <c r="B887" s="1606"/>
      <c r="C887" s="913"/>
      <c r="D887" s="1690"/>
      <c r="E887" s="1691"/>
      <c r="F887" s="1692"/>
      <c r="G887" s="1692"/>
      <c r="H887" s="1692"/>
      <c r="I887" s="1692"/>
      <c r="J887" s="1692"/>
      <c r="K887" s="910"/>
      <c r="L887" s="910"/>
      <c r="M887" s="910"/>
      <c r="N887" s="910"/>
      <c r="O887" s="910"/>
      <c r="P887" s="910"/>
      <c r="Q887" s="910"/>
      <c r="R887" s="910"/>
      <c r="S887" s="910"/>
      <c r="T887" s="910"/>
      <c r="U887" s="910"/>
      <c r="V887" s="178"/>
      <c r="W887" s="178"/>
      <c r="X887" s="178"/>
      <c r="Y887" s="1057"/>
      <c r="Z887" s="178"/>
      <c r="AA887" s="178"/>
      <c r="AB887" s="178"/>
      <c r="AC887" s="178"/>
      <c r="AD887" s="178"/>
      <c r="AE887" s="178"/>
      <c r="AF887" s="178"/>
      <c r="AG887" s="178"/>
      <c r="AK887" s="1018"/>
      <c r="BB887" s="906"/>
    </row>
    <row r="888" spans="1:57" s="892" customFormat="1" hidden="1" outlineLevel="1" x14ac:dyDescent="0.25">
      <c r="A888" s="910"/>
      <c r="B888" s="1606"/>
      <c r="C888" s="913"/>
      <c r="D888" s="1693"/>
      <c r="E888" s="1694"/>
      <c r="F888" s="1695"/>
      <c r="G888" s="1696"/>
      <c r="H888" s="1696"/>
      <c r="I888" s="1696"/>
      <c r="J888" s="1696"/>
      <c r="K888" s="910"/>
      <c r="L888" s="910"/>
      <c r="M888" s="910"/>
      <c r="N888" s="910"/>
      <c r="O888" s="910"/>
      <c r="P888" s="910"/>
      <c r="Q888" s="910"/>
      <c r="R888" s="910"/>
      <c r="S888" s="910"/>
      <c r="T888" s="910"/>
      <c r="U888" s="910"/>
      <c r="V888" s="178"/>
      <c r="W888" s="178"/>
      <c r="X888" s="178"/>
      <c r="Y888" s="1057"/>
      <c r="Z888" s="178"/>
      <c r="AA888" s="178"/>
      <c r="AB888" s="178"/>
      <c r="AC888" s="178"/>
      <c r="AD888" s="178"/>
      <c r="AE888" s="178"/>
      <c r="AF888" s="178"/>
      <c r="AG888" s="178"/>
      <c r="AK888" s="1018"/>
      <c r="BB888" s="906"/>
    </row>
    <row r="889" spans="1:57" s="892" customFormat="1" hidden="1" outlineLevel="1" x14ac:dyDescent="0.25">
      <c r="A889" s="910"/>
      <c r="B889" s="1606"/>
      <c r="C889" s="907"/>
      <c r="D889" s="3236" t="s">
        <v>109</v>
      </c>
      <c r="E889" s="3236" t="s">
        <v>110</v>
      </c>
      <c r="F889" s="3136" t="s">
        <v>112</v>
      </c>
      <c r="G889" s="3923" t="s">
        <v>187</v>
      </c>
      <c r="H889" s="3931"/>
      <c r="I889" s="3923" t="s">
        <v>113</v>
      </c>
      <c r="J889" s="4037"/>
      <c r="K889" s="3931"/>
      <c r="L889" s="910"/>
      <c r="M889" s="910"/>
      <c r="N889" s="910"/>
      <c r="O889" s="910"/>
      <c r="P889" s="910"/>
      <c r="Q889" s="910"/>
      <c r="R889" s="910"/>
      <c r="S889" s="910"/>
      <c r="T889" s="910"/>
      <c r="U889" s="910"/>
      <c r="V889" s="1936" t="s">
        <v>45</v>
      </c>
      <c r="W889" s="1937">
        <f>W$6</f>
        <v>43252</v>
      </c>
      <c r="X889" s="1937">
        <f t="shared" ref="X889:AG889" si="124">X$6</f>
        <v>43465</v>
      </c>
      <c r="Y889" s="360">
        <f t="shared" si="124"/>
        <v>43800</v>
      </c>
      <c r="Z889" s="1937">
        <f t="shared" si="124"/>
        <v>43862</v>
      </c>
      <c r="AA889" s="1937">
        <f t="shared" si="124"/>
        <v>44013</v>
      </c>
      <c r="AB889" s="1937">
        <f t="shared" si="124"/>
        <v>44166</v>
      </c>
      <c r="AC889" s="1937">
        <f t="shared" si="124"/>
        <v>44531</v>
      </c>
      <c r="AD889" s="1937" t="str">
        <f t="shared" si="124"/>
        <v>-</v>
      </c>
      <c r="AE889" s="1937" t="str">
        <f t="shared" si="124"/>
        <v>-</v>
      </c>
      <c r="AF889" s="1937" t="str">
        <f t="shared" si="124"/>
        <v>-</v>
      </c>
      <c r="AG889" s="1937" t="str">
        <f t="shared" si="124"/>
        <v>-</v>
      </c>
      <c r="AK889" s="1018"/>
      <c r="BB889" s="906"/>
    </row>
    <row r="890" spans="1:57" s="892" customFormat="1" ht="18" hidden="1" outlineLevel="1" x14ac:dyDescent="0.25">
      <c r="A890" s="910"/>
      <c r="B890" s="1606"/>
      <c r="C890" s="913"/>
      <c r="D890" s="447" t="s">
        <v>724</v>
      </c>
      <c r="E890" s="3175" t="s">
        <v>1995</v>
      </c>
      <c r="F890" s="553">
        <f>(PI()*F902)/12</f>
        <v>0.14398966328953219</v>
      </c>
      <c r="G890" s="4258" t="s">
        <v>310</v>
      </c>
      <c r="H890" s="4259"/>
      <c r="I890" s="4255"/>
      <c r="J890" s="4256"/>
      <c r="K890" s="4257"/>
      <c r="L890" s="910"/>
      <c r="M890" s="910"/>
      <c r="N890" s="910"/>
      <c r="O890" s="910"/>
      <c r="P890" s="1060"/>
      <c r="Q890" s="1061"/>
      <c r="R890" s="1061"/>
      <c r="S890" s="1061"/>
      <c r="T890" s="1061"/>
      <c r="U890" s="1061"/>
      <c r="V890" s="1058" t="str">
        <f>D890</f>
        <v>CBase</v>
      </c>
      <c r="W890" s="1062">
        <f>(PI()*W902)/12</f>
        <v>0.19634954084936207</v>
      </c>
      <c r="X890" s="1059">
        <f>(PI()*X902)/12</f>
        <v>0.14398966328953219</v>
      </c>
      <c r="Y890" s="553">
        <v>0.14398966328953219</v>
      </c>
      <c r="Z890" s="553">
        <v>0.14398966328953219</v>
      </c>
      <c r="AA890" s="553">
        <v>0.14398966328953219</v>
      </c>
      <c r="AB890" s="1062">
        <v>0.14398966328953219</v>
      </c>
      <c r="AC890" s="1062">
        <v>0.14398966328953219</v>
      </c>
      <c r="AD890" s="1062"/>
      <c r="AE890" s="1062"/>
      <c r="AF890" s="1062"/>
      <c r="AG890" s="1062"/>
      <c r="AK890" s="1018"/>
      <c r="BB890" s="906"/>
    </row>
    <row r="891" spans="1:57" s="892" customFormat="1" ht="18" hidden="1" outlineLevel="1" x14ac:dyDescent="0.25">
      <c r="A891" s="910"/>
      <c r="B891" s="1606"/>
      <c r="C891" s="913"/>
      <c r="D891" s="447" t="s">
        <v>728</v>
      </c>
      <c r="E891" s="3179" t="s">
        <v>1996</v>
      </c>
      <c r="F891" s="1063">
        <v>1</v>
      </c>
      <c r="G891" s="4258" t="s">
        <v>536</v>
      </c>
      <c r="H891" s="4259"/>
      <c r="I891" s="4255" t="s">
        <v>1801</v>
      </c>
      <c r="J891" s="4256"/>
      <c r="K891" s="4257"/>
      <c r="L891" s="910"/>
      <c r="M891" s="910"/>
      <c r="N891" s="910"/>
      <c r="O891" s="910"/>
      <c r="P891" s="1060"/>
      <c r="Q891" s="1061"/>
      <c r="R891" s="1061"/>
      <c r="S891" s="1061"/>
      <c r="T891" s="1061"/>
      <c r="U891" s="1061"/>
      <c r="V891" s="1058" t="str">
        <f>D891</f>
        <v>RBase</v>
      </c>
      <c r="W891" s="1064">
        <v>1</v>
      </c>
      <c r="X891" s="1063">
        <v>1</v>
      </c>
      <c r="Y891" s="1063">
        <v>1</v>
      </c>
      <c r="Z891" s="1063">
        <v>1</v>
      </c>
      <c r="AA891" s="1063">
        <v>1</v>
      </c>
      <c r="AB891" s="1064">
        <v>1</v>
      </c>
      <c r="AC891" s="1064">
        <v>1</v>
      </c>
      <c r="AD891" s="1064"/>
      <c r="AE891" s="1064"/>
      <c r="AF891" s="1064"/>
      <c r="AG891" s="1064"/>
      <c r="AK891" s="1018"/>
      <c r="BB891" s="906"/>
    </row>
    <row r="892" spans="1:57" s="892" customFormat="1" ht="18" hidden="1" outlineLevel="1" x14ac:dyDescent="0.25">
      <c r="A892" s="910"/>
      <c r="B892" s="1606"/>
      <c r="C892" s="913"/>
      <c r="D892" s="447" t="s">
        <v>731</v>
      </c>
      <c r="E892" s="3179" t="s">
        <v>732</v>
      </c>
      <c r="F892" s="494">
        <f>(PI()*(F902+(2*F903))/12)</f>
        <v>0.40578905108868163</v>
      </c>
      <c r="G892" s="3907" t="s">
        <v>310</v>
      </c>
      <c r="H892" s="3909"/>
      <c r="I892" s="4255"/>
      <c r="J892" s="4256"/>
      <c r="K892" s="4257"/>
      <c r="L892" s="910"/>
      <c r="M892" s="910"/>
      <c r="N892" s="910"/>
      <c r="O892" s="910"/>
      <c r="P892" s="1060"/>
      <c r="Q892" s="1061"/>
      <c r="R892" s="1061"/>
      <c r="S892" s="1061"/>
      <c r="T892" s="1061"/>
      <c r="U892" s="1061"/>
      <c r="V892" s="1058" t="str">
        <f>D892</f>
        <v>CEE</v>
      </c>
      <c r="W892" s="1065">
        <f>(PI()*(W902+(2*W903))/12)</f>
        <v>0.45814892864851148</v>
      </c>
      <c r="X892" s="500">
        <f>(PI()*(X902+(2*X903))/12)</f>
        <v>0.40578905108868163</v>
      </c>
      <c r="Y892" s="500">
        <v>0.40578905108868163</v>
      </c>
      <c r="Z892" s="500">
        <v>0.40578905108868163</v>
      </c>
      <c r="AA892" s="500">
        <v>0.40578905108868163</v>
      </c>
      <c r="AB892" s="1065">
        <v>0.40578905108868163</v>
      </c>
      <c r="AC892" s="1065">
        <v>0.40578905108868163</v>
      </c>
      <c r="AD892" s="1065"/>
      <c r="AE892" s="1065"/>
      <c r="AF892" s="1065"/>
      <c r="AG892" s="1065"/>
      <c r="AK892" s="1018"/>
      <c r="BB892" s="906"/>
    </row>
    <row r="893" spans="1:57" s="892" customFormat="1" ht="18" hidden="1" outlineLevel="1" x14ac:dyDescent="0.25">
      <c r="A893" s="910"/>
      <c r="B893" s="1606"/>
      <c r="C893" s="913"/>
      <c r="D893" s="447" t="s">
        <v>735</v>
      </c>
      <c r="E893" s="3179" t="s">
        <v>736</v>
      </c>
      <c r="F893" s="105">
        <v>3.6</v>
      </c>
      <c r="G893" s="4260" t="s">
        <v>1997</v>
      </c>
      <c r="H893" s="4261"/>
      <c r="I893" s="4255" t="s">
        <v>1801</v>
      </c>
      <c r="J893" s="4256"/>
      <c r="K893" s="4257"/>
      <c r="L893" s="910"/>
      <c r="M893" s="910"/>
      <c r="N893" s="910"/>
      <c r="O893" s="910"/>
      <c r="P893" s="1060"/>
      <c r="Q893" s="1061"/>
      <c r="R893" s="1061"/>
      <c r="S893" s="1061"/>
      <c r="T893" s="1061"/>
      <c r="U893" s="1061"/>
      <c r="V893" s="1058" t="str">
        <f>D893</f>
        <v>REE</v>
      </c>
      <c r="W893" s="105">
        <f>4+1</f>
        <v>5</v>
      </c>
      <c r="X893" s="105">
        <v>3.6</v>
      </c>
      <c r="Y893" s="1066">
        <v>3.6</v>
      </c>
      <c r="Z893" s="63">
        <v>3.6</v>
      </c>
      <c r="AA893" s="63">
        <v>3.6</v>
      </c>
      <c r="AB893" s="105">
        <v>3.6</v>
      </c>
      <c r="AC893" s="105">
        <v>3.6</v>
      </c>
      <c r="AD893" s="105"/>
      <c r="AE893" s="105"/>
      <c r="AF893" s="105"/>
      <c r="AG893" s="105"/>
      <c r="AK893" s="1018"/>
      <c r="BB893" s="906"/>
    </row>
    <row r="894" spans="1:57" s="892" customFormat="1" hidden="1" outlineLevel="1" x14ac:dyDescent="0.25">
      <c r="A894" s="910"/>
      <c r="B894" s="1606"/>
      <c r="C894" s="913"/>
      <c r="D894" s="1697" t="s">
        <v>739</v>
      </c>
      <c r="E894" s="3179" t="s">
        <v>1998</v>
      </c>
      <c r="F894" s="1063">
        <v>1</v>
      </c>
      <c r="G894" s="3907" t="s">
        <v>741</v>
      </c>
      <c r="H894" s="3909"/>
      <c r="I894" s="4255" t="s">
        <v>1801</v>
      </c>
      <c r="J894" s="4256"/>
      <c r="K894" s="4257"/>
      <c r="L894" s="910"/>
      <c r="M894" s="910"/>
      <c r="N894" s="910"/>
      <c r="O894" s="910"/>
      <c r="P894" s="1060"/>
      <c r="Q894" s="1061"/>
      <c r="R894" s="1061"/>
      <c r="S894" s="1061"/>
      <c r="T894" s="1061"/>
      <c r="U894" s="1061"/>
      <c r="V894" s="1058" t="str">
        <f>D894</f>
        <v>L</v>
      </c>
      <c r="W894" s="1064">
        <v>1</v>
      </c>
      <c r="X894" s="1063">
        <v>1</v>
      </c>
      <c r="Y894" s="1063">
        <v>1</v>
      </c>
      <c r="Z894" s="1063">
        <v>1</v>
      </c>
      <c r="AA894" s="1063">
        <v>1</v>
      </c>
      <c r="AB894" s="1064">
        <v>1</v>
      </c>
      <c r="AC894" s="1064">
        <v>1</v>
      </c>
      <c r="AD894" s="1064"/>
      <c r="AE894" s="1064"/>
      <c r="AF894" s="1064"/>
      <c r="AG894" s="1064"/>
      <c r="AK894" s="1018"/>
      <c r="BB894" s="906"/>
    </row>
    <row r="895" spans="1:57" s="892" customFormat="1" hidden="1" outlineLevel="1" x14ac:dyDescent="0.25">
      <c r="A895" s="910"/>
      <c r="B895" s="1606"/>
      <c r="C895" s="913"/>
      <c r="D895" s="3125" t="s">
        <v>742</v>
      </c>
      <c r="E895" s="3218" t="s">
        <v>743</v>
      </c>
      <c r="F895" s="556">
        <v>58.9</v>
      </c>
      <c r="G895" s="4258" t="s">
        <v>536</v>
      </c>
      <c r="H895" s="4259"/>
      <c r="I895" s="4252" t="s">
        <v>1801</v>
      </c>
      <c r="J895" s="4253"/>
      <c r="K895" s="4254"/>
      <c r="L895" s="910"/>
      <c r="M895" s="910"/>
      <c r="N895" s="910"/>
      <c r="O895" s="910"/>
      <c r="P895" s="1060"/>
      <c r="Q895" s="1061"/>
      <c r="R895" s="1061"/>
      <c r="S895" s="1061"/>
      <c r="T895" s="1061"/>
      <c r="U895" s="1061"/>
      <c r="V895" s="1058" t="str">
        <f t="shared" ref="V895:V905" si="125">D895</f>
        <v>DT</v>
      </c>
      <c r="W895" s="556">
        <v>60</v>
      </c>
      <c r="X895" s="1067">
        <v>58.9</v>
      </c>
      <c r="Y895" s="556">
        <v>58.9</v>
      </c>
      <c r="Z895" s="556">
        <v>58.9</v>
      </c>
      <c r="AA895" s="556">
        <v>58.9</v>
      </c>
      <c r="AB895" s="556">
        <v>58.9</v>
      </c>
      <c r="AC895" s="556">
        <v>58.9</v>
      </c>
      <c r="AD895" s="556"/>
      <c r="AE895" s="556"/>
      <c r="AF895" s="556"/>
      <c r="AG895" s="556"/>
      <c r="AK895" s="1018"/>
      <c r="BB895" s="906"/>
    </row>
    <row r="896" spans="1:57" s="892" customFormat="1" hidden="1" outlineLevel="1" x14ac:dyDescent="0.25">
      <c r="A896" s="910"/>
      <c r="B896" s="1606"/>
      <c r="C896" s="913"/>
      <c r="D896" s="3125" t="s">
        <v>745</v>
      </c>
      <c r="E896" s="3218" t="s">
        <v>746</v>
      </c>
      <c r="F896" s="3226">
        <v>8766</v>
      </c>
      <c r="G896" s="3904" t="s">
        <v>730</v>
      </c>
      <c r="H896" s="3906"/>
      <c r="I896" s="4252" t="s">
        <v>1801</v>
      </c>
      <c r="J896" s="4253"/>
      <c r="K896" s="4254"/>
      <c r="L896" s="910"/>
      <c r="M896" s="910"/>
      <c r="N896" s="910"/>
      <c r="O896" s="910"/>
      <c r="P896" s="1060"/>
      <c r="Q896" s="1061"/>
      <c r="R896" s="1061"/>
      <c r="S896" s="1061"/>
      <c r="T896" s="1061"/>
      <c r="U896" s="1061"/>
      <c r="V896" s="1058" t="str">
        <f t="shared" si="125"/>
        <v>Hours</v>
      </c>
      <c r="W896" s="3226">
        <v>8766</v>
      </c>
      <c r="X896" s="3226">
        <v>8766</v>
      </c>
      <c r="Y896" s="3226">
        <v>8766</v>
      </c>
      <c r="Z896" s="3226">
        <v>8766</v>
      </c>
      <c r="AA896" s="3226">
        <v>8766</v>
      </c>
      <c r="AB896" s="3226">
        <v>8766</v>
      </c>
      <c r="AC896" s="3226">
        <v>8766</v>
      </c>
      <c r="AD896" s="3226"/>
      <c r="AE896" s="3226"/>
      <c r="AF896" s="3226"/>
      <c r="AG896" s="3226"/>
      <c r="AK896" s="1018"/>
      <c r="BB896" s="906"/>
    </row>
    <row r="897" spans="1:57" s="892" customFormat="1" ht="18" hidden="1" outlineLevel="1" x14ac:dyDescent="0.25">
      <c r="A897" s="910"/>
      <c r="B897" s="1606"/>
      <c r="C897" s="913"/>
      <c r="D897" s="3125" t="s">
        <v>747</v>
      </c>
      <c r="E897" s="3218" t="s">
        <v>748</v>
      </c>
      <c r="F897" s="1063">
        <v>0.98</v>
      </c>
      <c r="G897" s="4251" t="s">
        <v>1999</v>
      </c>
      <c r="H897" s="4150"/>
      <c r="I897" s="4252" t="s">
        <v>1801</v>
      </c>
      <c r="J897" s="4253"/>
      <c r="K897" s="4254"/>
      <c r="L897" s="910"/>
      <c r="M897" s="910"/>
      <c r="N897" s="910"/>
      <c r="O897" s="910"/>
      <c r="P897" s="1060"/>
      <c r="Q897" s="1061"/>
      <c r="R897" s="1061"/>
      <c r="S897" s="1061"/>
      <c r="T897" s="1061"/>
      <c r="U897" s="1061"/>
      <c r="V897" s="1058" t="str">
        <f t="shared" si="125"/>
        <v>ȠDHWElec</v>
      </c>
      <c r="W897" s="1064">
        <v>0.98</v>
      </c>
      <c r="X897" s="1063">
        <v>0.98</v>
      </c>
      <c r="Y897" s="1063">
        <v>0.98</v>
      </c>
      <c r="Z897" s="1063">
        <v>0.98</v>
      </c>
      <c r="AA897" s="1063">
        <v>0.98</v>
      </c>
      <c r="AB897" s="1064">
        <v>0.98</v>
      </c>
      <c r="AC897" s="1064">
        <v>0.98</v>
      </c>
      <c r="AD897" s="1064"/>
      <c r="AE897" s="1064"/>
      <c r="AF897" s="1064"/>
      <c r="AG897" s="1064"/>
      <c r="AK897" s="1018"/>
      <c r="BB897" s="906"/>
    </row>
    <row r="898" spans="1:57" s="892" customFormat="1" hidden="1" outlineLevel="1" x14ac:dyDescent="0.25">
      <c r="A898" s="910"/>
      <c r="B898" s="1606"/>
      <c r="C898" s="913"/>
      <c r="D898" s="3125">
        <v>3412</v>
      </c>
      <c r="E898" s="3184" t="s">
        <v>749</v>
      </c>
      <c r="F898" s="506">
        <v>3412</v>
      </c>
      <c r="G898" s="3904" t="s">
        <v>730</v>
      </c>
      <c r="H898" s="3906"/>
      <c r="I898" s="4252" t="s">
        <v>1801</v>
      </c>
      <c r="J898" s="4253"/>
      <c r="K898" s="4254"/>
      <c r="L898" s="910"/>
      <c r="M898" s="910"/>
      <c r="N898" s="910"/>
      <c r="O898" s="910"/>
      <c r="P898" s="1060"/>
      <c r="Q898" s="1061"/>
      <c r="R898" s="1061"/>
      <c r="S898" s="1061"/>
      <c r="T898" s="1061"/>
      <c r="U898" s="1061"/>
      <c r="V898" s="1058">
        <f t="shared" si="125"/>
        <v>3412</v>
      </c>
      <c r="W898" s="506">
        <v>3412</v>
      </c>
      <c r="X898" s="506">
        <v>3412</v>
      </c>
      <c r="Y898" s="506">
        <v>3412</v>
      </c>
      <c r="Z898" s="506">
        <v>3412</v>
      </c>
      <c r="AA898" s="506">
        <v>3412</v>
      </c>
      <c r="AB898" s="506">
        <v>3412</v>
      </c>
      <c r="AC898" s="506">
        <v>3412</v>
      </c>
      <c r="AD898" s="506"/>
      <c r="AE898" s="506"/>
      <c r="AF898" s="506"/>
      <c r="AG898" s="506"/>
      <c r="AK898" s="1018"/>
      <c r="BB898" s="906"/>
    </row>
    <row r="899" spans="1:57" s="892" customFormat="1" ht="30" hidden="1" outlineLevel="1" x14ac:dyDescent="0.25">
      <c r="A899" s="910"/>
      <c r="B899" s="1606"/>
      <c r="C899" s="913"/>
      <c r="D899" s="3089" t="s">
        <v>750</v>
      </c>
      <c r="E899" s="3089" t="s">
        <v>616</v>
      </c>
      <c r="F899" s="1040">
        <v>1</v>
      </c>
      <c r="G899" s="3927" t="s">
        <v>600</v>
      </c>
      <c r="H899" s="3928"/>
      <c r="I899" s="4210" t="s">
        <v>1816</v>
      </c>
      <c r="J899" s="4211"/>
      <c r="K899" s="4212"/>
      <c r="L899" s="910"/>
      <c r="M899" s="910"/>
      <c r="N899" s="910"/>
      <c r="O899" s="910"/>
      <c r="P899" s="1060"/>
      <c r="Q899" s="1061"/>
      <c r="R899" s="1061"/>
      <c r="S899" s="1061"/>
      <c r="T899" s="1061"/>
      <c r="U899" s="1061"/>
      <c r="V899" s="1058" t="str">
        <f t="shared" si="125"/>
        <v>*Electric Saturation</v>
      </c>
      <c r="W899" s="1068">
        <v>1</v>
      </c>
      <c r="X899" s="1040">
        <v>1</v>
      </c>
      <c r="Y899" s="1040">
        <v>1</v>
      </c>
      <c r="Z899" s="1040">
        <v>1</v>
      </c>
      <c r="AA899" s="1040">
        <v>1</v>
      </c>
      <c r="AB899" s="1068">
        <v>1</v>
      </c>
      <c r="AC899" s="1068">
        <v>1</v>
      </c>
      <c r="AD899" s="1068"/>
      <c r="AE899" s="1068"/>
      <c r="AF899" s="1068"/>
      <c r="AG899" s="1068"/>
      <c r="AK899" s="1018"/>
      <c r="BB899" s="906"/>
    </row>
    <row r="900" spans="1:57" s="892" customFormat="1" hidden="1" outlineLevel="1" x14ac:dyDescent="0.25">
      <c r="A900" s="910"/>
      <c r="B900" s="1606"/>
      <c r="C900" s="913"/>
      <c r="D900" s="3089" t="s">
        <v>531</v>
      </c>
      <c r="E900" s="3089" t="s">
        <v>595</v>
      </c>
      <c r="F900" s="1040">
        <v>1</v>
      </c>
      <c r="G900" s="3927" t="s">
        <v>600</v>
      </c>
      <c r="H900" s="3928"/>
      <c r="I900" s="4210" t="s">
        <v>1816</v>
      </c>
      <c r="J900" s="4211"/>
      <c r="K900" s="4212"/>
      <c r="L900" s="910"/>
      <c r="M900" s="910"/>
      <c r="N900" s="910"/>
      <c r="O900" s="910"/>
      <c r="P900" s="1060"/>
      <c r="Q900" s="1061"/>
      <c r="R900" s="1061"/>
      <c r="S900" s="1061"/>
      <c r="T900" s="1061"/>
      <c r="U900" s="1061"/>
      <c r="V900" s="1058" t="str">
        <f t="shared" si="125"/>
        <v>Utility Adjustment</v>
      </c>
      <c r="W900" s="1068">
        <v>1</v>
      </c>
      <c r="X900" s="1040">
        <v>1</v>
      </c>
      <c r="Y900" s="1040">
        <v>1</v>
      </c>
      <c r="Z900" s="1040">
        <v>1</v>
      </c>
      <c r="AA900" s="1040">
        <v>1</v>
      </c>
      <c r="AB900" s="1068">
        <v>1</v>
      </c>
      <c r="AC900" s="1068">
        <v>1</v>
      </c>
      <c r="AD900" s="1068"/>
      <c r="AE900" s="1068"/>
      <c r="AF900" s="1068"/>
      <c r="AG900" s="1068"/>
      <c r="AK900" s="1018"/>
      <c r="BB900" s="906"/>
    </row>
    <row r="901" spans="1:57" s="892" customFormat="1" hidden="1" outlineLevel="1" x14ac:dyDescent="0.25">
      <c r="A901" s="910"/>
      <c r="B901" s="1606"/>
      <c r="C901" s="913"/>
      <c r="D901" s="1008" t="s">
        <v>133</v>
      </c>
      <c r="E901" s="3184" t="s">
        <v>1817</v>
      </c>
      <c r="F901" s="1070">
        <v>0.96</v>
      </c>
      <c r="G901" s="4251" t="s">
        <v>755</v>
      </c>
      <c r="H901" s="4150"/>
      <c r="I901" s="4252" t="s">
        <v>1801</v>
      </c>
      <c r="J901" s="4253"/>
      <c r="K901" s="4254"/>
      <c r="L901" s="910"/>
      <c r="M901" s="910"/>
      <c r="N901" s="910"/>
      <c r="O901" s="910"/>
      <c r="P901" s="1060"/>
      <c r="Q901" s="1061"/>
      <c r="R901" s="1061"/>
      <c r="S901" s="1061"/>
      <c r="T901" s="1061"/>
      <c r="U901" s="1061"/>
      <c r="V901" s="1058" t="str">
        <f t="shared" si="125"/>
        <v>ISR</v>
      </c>
      <c r="W901" s="1069">
        <v>1</v>
      </c>
      <c r="X901" s="1070">
        <v>0.92857142857142905</v>
      </c>
      <c r="Y901" s="1037">
        <v>0.96</v>
      </c>
      <c r="Z901" s="1070">
        <v>0.96</v>
      </c>
      <c r="AA901" s="1070">
        <v>0.96</v>
      </c>
      <c r="AB901" s="1069">
        <v>0.96</v>
      </c>
      <c r="AC901" s="1069">
        <v>0.96</v>
      </c>
      <c r="AD901" s="1069"/>
      <c r="AE901" s="1069"/>
      <c r="AF901" s="1069"/>
      <c r="AG901" s="1069"/>
      <c r="AK901" s="1018"/>
      <c r="BB901" s="906"/>
    </row>
    <row r="902" spans="1:57" s="892" customFormat="1" hidden="1" outlineLevel="1" x14ac:dyDescent="0.25">
      <c r="A902" s="910"/>
      <c r="B902" s="1606"/>
      <c r="C902" s="907"/>
      <c r="D902" s="1008" t="s">
        <v>2000</v>
      </c>
      <c r="E902" s="982" t="s">
        <v>757</v>
      </c>
      <c r="F902" s="1070">
        <v>0.55000000000000004</v>
      </c>
      <c r="G902" s="4251"/>
      <c r="H902" s="4150"/>
      <c r="I902" s="4252"/>
      <c r="J902" s="4253"/>
      <c r="K902" s="4254"/>
      <c r="L902" s="910"/>
      <c r="M902" s="910"/>
      <c r="N902" s="910"/>
      <c r="O902" s="910"/>
      <c r="P902" s="1060"/>
      <c r="Q902" s="1061"/>
      <c r="R902" s="1061"/>
      <c r="S902" s="1061"/>
      <c r="T902" s="1061"/>
      <c r="U902" s="1061"/>
      <c r="V902" s="1058" t="str">
        <f t="shared" si="125"/>
        <v>Pipe Diameter</v>
      </c>
      <c r="W902" s="1069">
        <v>0.75</v>
      </c>
      <c r="X902" s="1037">
        <v>0.55000000000000004</v>
      </c>
      <c r="Y902" s="1070">
        <v>0.55000000000000004</v>
      </c>
      <c r="Z902" s="1070">
        <v>0.55000000000000004</v>
      </c>
      <c r="AA902" s="1070">
        <v>0.55000000000000004</v>
      </c>
      <c r="AB902" s="1069">
        <v>0.55000000000000004</v>
      </c>
      <c r="AC902" s="1069">
        <v>0.55000000000000004</v>
      </c>
      <c r="AD902" s="1069"/>
      <c r="AE902" s="1069"/>
      <c r="AF902" s="1069"/>
      <c r="AG902" s="1069"/>
      <c r="AK902" s="1018"/>
      <c r="BB902" s="906"/>
    </row>
    <row r="903" spans="1:57" s="892" customFormat="1" hidden="1" outlineLevel="1" x14ac:dyDescent="0.25">
      <c r="A903" s="910"/>
      <c r="B903" s="1606"/>
      <c r="C903" s="907"/>
      <c r="D903" s="3089" t="s">
        <v>759</v>
      </c>
      <c r="E903" s="3089" t="s">
        <v>759</v>
      </c>
      <c r="F903" s="559">
        <v>0.5</v>
      </c>
      <c r="G903" s="4251"/>
      <c r="H903" s="4150"/>
      <c r="I903" s="4252"/>
      <c r="J903" s="4253"/>
      <c r="K903" s="4254"/>
      <c r="L903" s="910"/>
      <c r="M903" s="910"/>
      <c r="N903" s="910"/>
      <c r="O903" s="910"/>
      <c r="P903" s="1060"/>
      <c r="Q903" s="1061"/>
      <c r="R903" s="1061"/>
      <c r="S903" s="1061"/>
      <c r="T903" s="1061"/>
      <c r="U903" s="1061"/>
      <c r="V903" s="1058" t="str">
        <f t="shared" si="125"/>
        <v>Pipe wrap width</v>
      </c>
      <c r="W903" s="1069">
        <v>0.5</v>
      </c>
      <c r="X903" s="559">
        <v>0.5</v>
      </c>
      <c r="Y903" s="559">
        <v>0.5</v>
      </c>
      <c r="Z903" s="559">
        <v>0.5</v>
      </c>
      <c r="AA903" s="559">
        <v>0.5</v>
      </c>
      <c r="AB903" s="1069">
        <v>0.5</v>
      </c>
      <c r="AC903" s="1069">
        <v>0.5</v>
      </c>
      <c r="AD903" s="1069"/>
      <c r="AE903" s="1069"/>
      <c r="AF903" s="1069"/>
      <c r="AG903" s="1069"/>
      <c r="AK903" s="1018"/>
      <c r="BB903" s="906"/>
    </row>
    <row r="904" spans="1:57" s="892" customFormat="1" hidden="1" outlineLevel="1" x14ac:dyDescent="0.25">
      <c r="A904" s="910"/>
      <c r="B904" s="1606"/>
      <c r="C904" s="3159"/>
      <c r="D904" s="3192" t="str">
        <f>D872</f>
        <v>EUL</v>
      </c>
      <c r="E904" s="3192" t="s">
        <v>2001</v>
      </c>
      <c r="F904" s="827">
        <v>12</v>
      </c>
      <c r="G904" s="4251"/>
      <c r="H904" s="4150"/>
      <c r="I904" s="4252"/>
      <c r="J904" s="4253"/>
      <c r="K904" s="4254"/>
      <c r="L904" s="910"/>
      <c r="M904" s="910"/>
      <c r="N904" s="910"/>
      <c r="O904" s="910"/>
      <c r="P904" s="1060"/>
      <c r="Q904" s="1061"/>
      <c r="R904" s="1061"/>
      <c r="S904" s="1061"/>
      <c r="T904" s="1061"/>
      <c r="U904" s="1061"/>
      <c r="V904" s="1058" t="str">
        <f t="shared" si="125"/>
        <v>EUL</v>
      </c>
      <c r="W904" s="1051">
        <v>12</v>
      </c>
      <c r="X904" s="969">
        <v>12</v>
      </c>
      <c r="Y904" s="969">
        <v>12</v>
      </c>
      <c r="Z904" s="827">
        <v>12</v>
      </c>
      <c r="AA904" s="827">
        <v>12</v>
      </c>
      <c r="AB904" s="1052">
        <v>12</v>
      </c>
      <c r="AC904" s="1052">
        <v>12</v>
      </c>
      <c r="AD904" s="1052"/>
      <c r="AE904" s="1052"/>
      <c r="AF904" s="1052"/>
      <c r="AG904" s="1052"/>
      <c r="AK904" s="1018"/>
      <c r="BB904" s="906"/>
    </row>
    <row r="905" spans="1:57" s="892" customFormat="1" hidden="1" outlineLevel="1" x14ac:dyDescent="0.25">
      <c r="A905" s="910"/>
      <c r="B905" s="1606"/>
      <c r="C905" s="3159"/>
      <c r="D905" s="4204" t="str">
        <f>D873</f>
        <v>Inc. Cost</v>
      </c>
      <c r="E905" s="3089" t="s">
        <v>2002</v>
      </c>
      <c r="F905" s="1698">
        <v>7.1</v>
      </c>
      <c r="G905" s="4251"/>
      <c r="H905" s="4150"/>
      <c r="I905" s="4252"/>
      <c r="J905" s="4253"/>
      <c r="K905" s="4254"/>
      <c r="L905" s="910"/>
      <c r="M905" s="910"/>
      <c r="N905" s="910"/>
      <c r="O905" s="910"/>
      <c r="P905" s="1060"/>
      <c r="Q905" s="1061"/>
      <c r="R905" s="1061"/>
      <c r="S905" s="1061"/>
      <c r="T905" s="1061"/>
      <c r="U905" s="1061"/>
      <c r="V905" s="4230" t="str">
        <f t="shared" si="125"/>
        <v>Inc. Cost</v>
      </c>
      <c r="W905" s="1053">
        <v>7.1</v>
      </c>
      <c r="X905" s="1071">
        <v>7.1</v>
      </c>
      <c r="Y905" s="1071">
        <v>7.1</v>
      </c>
      <c r="Z905" s="1698">
        <v>7.1</v>
      </c>
      <c r="AA905" s="1698">
        <v>7.1</v>
      </c>
      <c r="AB905" s="1054">
        <v>7.1</v>
      </c>
      <c r="AC905" s="1054">
        <v>7.1</v>
      </c>
      <c r="AD905" s="1054"/>
      <c r="AE905" s="1054"/>
      <c r="AF905" s="1054"/>
      <c r="AG905" s="1054"/>
      <c r="AK905" s="1018"/>
      <c r="BB905" s="906"/>
    </row>
    <row r="906" spans="1:57" s="892" customFormat="1" hidden="1" outlineLevel="1" x14ac:dyDescent="0.25">
      <c r="A906" s="910"/>
      <c r="B906" s="1606"/>
      <c r="C906" s="3159"/>
      <c r="D906" s="3776"/>
      <c r="E906" s="3089" t="s">
        <v>2003</v>
      </c>
      <c r="F906" s="1089">
        <v>5.66</v>
      </c>
      <c r="G906" s="4251" t="s">
        <v>2004</v>
      </c>
      <c r="H906" s="4150"/>
      <c r="I906" s="4252"/>
      <c r="J906" s="4253"/>
      <c r="K906" s="4254"/>
      <c r="L906" s="910"/>
      <c r="M906" s="910"/>
      <c r="N906" s="910"/>
      <c r="O906" s="910"/>
      <c r="P906" s="1061"/>
      <c r="Q906" s="1061"/>
      <c r="R906" s="1061"/>
      <c r="S906" s="1061"/>
      <c r="T906" s="1061"/>
      <c r="U906" s="1061"/>
      <c r="V906" s="4231"/>
      <c r="W906" s="1053">
        <v>7.1</v>
      </c>
      <c r="X906" s="1071">
        <v>7.1</v>
      </c>
      <c r="Y906" s="1071">
        <v>7.1</v>
      </c>
      <c r="Z906" s="1698">
        <v>7.1</v>
      </c>
      <c r="AA906" s="1698">
        <v>7.1</v>
      </c>
      <c r="AB906" s="1055">
        <v>5.66</v>
      </c>
      <c r="AC906" s="1054">
        <v>5.66</v>
      </c>
      <c r="AD906" s="1054"/>
      <c r="AE906" s="1054"/>
      <c r="AF906" s="1054"/>
      <c r="AG906" s="1054"/>
      <c r="AK906" s="1018"/>
      <c r="BB906" s="906"/>
    </row>
    <row r="907" spans="1:57" s="892" customFormat="1" ht="15" customHeight="1" collapsed="1" x14ac:dyDescent="0.25">
      <c r="A907" s="910"/>
      <c r="B907" s="1606"/>
      <c r="C907" s="907"/>
      <c r="D907" s="1656"/>
      <c r="E907" s="429"/>
      <c r="F907" s="910"/>
      <c r="G907" s="910"/>
      <c r="H907" s="910"/>
      <c r="I907" s="910"/>
      <c r="J907" s="910"/>
      <c r="K907" s="910"/>
      <c r="L907" s="910"/>
      <c r="M907" s="910"/>
      <c r="N907" s="910"/>
      <c r="O907" s="910"/>
      <c r="P907" s="910"/>
      <c r="Q907" s="910"/>
      <c r="R907" s="910"/>
      <c r="S907" s="910"/>
      <c r="T907" s="910"/>
      <c r="U907" s="910"/>
      <c r="Y907" s="911"/>
      <c r="AK907" s="1018"/>
      <c r="BB907" s="906"/>
    </row>
    <row r="908" spans="1:57" ht="15" customHeight="1" x14ac:dyDescent="0.25">
      <c r="B908" s="1233"/>
      <c r="C908" s="225"/>
      <c r="F908" s="1159"/>
      <c r="G908" s="1159"/>
      <c r="AK908" s="883"/>
    </row>
    <row r="909" spans="1:57" x14ac:dyDescent="0.25">
      <c r="B909" s="3750" t="s">
        <v>2005</v>
      </c>
      <c r="C909" s="3751"/>
      <c r="D909" s="3751"/>
      <c r="E909" s="3751"/>
      <c r="F909" s="3751"/>
      <c r="G909" s="3751"/>
      <c r="H909" s="3751"/>
      <c r="I909" s="3744"/>
      <c r="J909" s="3744"/>
      <c r="K909" s="3744"/>
      <c r="L909" s="3744"/>
      <c r="M909" s="3744"/>
      <c r="N909" s="3744"/>
      <c r="O909" s="3744"/>
      <c r="P909" s="3744"/>
      <c r="Q909" s="3744"/>
      <c r="R909" s="3745"/>
      <c r="V909" s="3750" t="str">
        <f>B909</f>
        <v>Programmable Thermostat</v>
      </c>
      <c r="W909" s="3751"/>
      <c r="X909" s="3751"/>
      <c r="Y909" s="3751"/>
      <c r="Z909" s="3751"/>
      <c r="AA909" s="3751"/>
      <c r="AB909" s="3751"/>
      <c r="AC909" s="3752"/>
      <c r="AD909" s="3752"/>
      <c r="AE909" s="3752"/>
      <c r="AF909" s="3752"/>
      <c r="AG909" s="3752"/>
      <c r="AH909" s="3752"/>
      <c r="AI909" s="3753"/>
      <c r="AK909" s="883"/>
    </row>
    <row r="910" spans="1:57" x14ac:dyDescent="0.25">
      <c r="B910" s="1233"/>
      <c r="C910" s="225"/>
      <c r="D910" s="329" t="s">
        <v>2006</v>
      </c>
      <c r="E910" s="419"/>
      <c r="F910" s="226"/>
      <c r="G910" s="226"/>
      <c r="H910" s="226"/>
      <c r="I910" s="226"/>
      <c r="J910" s="226"/>
      <c r="K910" s="226"/>
      <c r="L910" s="1438"/>
      <c r="AK910" s="883"/>
    </row>
    <row r="911" spans="1:57" ht="30" x14ac:dyDescent="0.25">
      <c r="B911" s="1233"/>
      <c r="C911" s="3086" t="s">
        <v>28</v>
      </c>
      <c r="D911" s="3086" t="s">
        <v>175</v>
      </c>
      <c r="E911" s="3086" t="s">
        <v>30</v>
      </c>
      <c r="F911" s="3086" t="s">
        <v>31</v>
      </c>
      <c r="G911" s="3086" t="s">
        <v>176</v>
      </c>
      <c r="H911" s="3086" t="s">
        <v>177</v>
      </c>
      <c r="I911" s="3086" t="s">
        <v>32</v>
      </c>
      <c r="J911" s="3140" t="s">
        <v>181</v>
      </c>
      <c r="K911" s="3086" t="s">
        <v>170</v>
      </c>
      <c r="L911" s="3086" t="s">
        <v>44</v>
      </c>
      <c r="V911" s="1936" t="s">
        <v>45</v>
      </c>
      <c r="W911" s="1937">
        <f>W$6</f>
        <v>43252</v>
      </c>
      <c r="X911" s="1937">
        <f t="shared" ref="X911:AG911" si="126">X$6</f>
        <v>43465</v>
      </c>
      <c r="Y911" s="360">
        <f t="shared" si="126"/>
        <v>43800</v>
      </c>
      <c r="Z911" s="1937">
        <f t="shared" si="126"/>
        <v>43862</v>
      </c>
      <c r="AA911" s="1937">
        <f t="shared" si="126"/>
        <v>44013</v>
      </c>
      <c r="AB911" s="1937">
        <f t="shared" si="126"/>
        <v>44166</v>
      </c>
      <c r="AC911" s="1937">
        <f t="shared" si="126"/>
        <v>44531</v>
      </c>
      <c r="AD911" s="1937" t="str">
        <f t="shared" si="126"/>
        <v>-</v>
      </c>
      <c r="AE911" s="1937" t="str">
        <f t="shared" si="126"/>
        <v>-</v>
      </c>
      <c r="AF911" s="1937" t="str">
        <f t="shared" si="126"/>
        <v>-</v>
      </c>
      <c r="AG911" s="1937" t="str">
        <f t="shared" si="126"/>
        <v>-</v>
      </c>
      <c r="AK911" s="883"/>
      <c r="BB911" s="1938" t="str">
        <f>$BB$6</f>
        <v>TRC (2020)</v>
      </c>
      <c r="BC911" s="1953" t="str">
        <f>$BC$6</f>
        <v>Benefit Lookup</v>
      </c>
      <c r="BD911" s="665" t="str">
        <f>$BD$6</f>
        <v>Benefits (2019 $)</v>
      </c>
      <c r="BE911" s="230" t="str">
        <f>$BE$6</f>
        <v>Incremental Cost (2019 $)</v>
      </c>
    </row>
    <row r="912" spans="1:57" x14ac:dyDescent="0.25">
      <c r="B912" s="1233"/>
      <c r="C912" s="2667" t="s">
        <v>2007</v>
      </c>
      <c r="D912" s="2695" t="s">
        <v>1577</v>
      </c>
      <c r="E912" s="1699" t="s">
        <v>2008</v>
      </c>
      <c r="F912" s="1460">
        <f>ROUND($F$946*$F$948*1/$F$956*$F$957*$F$958*$F$959/1000,2)</f>
        <v>201.39</v>
      </c>
      <c r="G912" s="2667" t="s">
        <v>258</v>
      </c>
      <c r="H912" s="155">
        <f>VLOOKUP(G912,'CP FACTORS'!$A$3:$B$38, 2, FALSE)</f>
        <v>9.4741810000000004E-4</v>
      </c>
      <c r="I912" s="1531">
        <f>ROUND(F912*H912,6)</f>
        <v>0.190801</v>
      </c>
      <c r="J912" s="2298">
        <f t="shared" ref="J912:J935" si="127">$F$989</f>
        <v>10</v>
      </c>
      <c r="K912" s="2297">
        <f>$F$990</f>
        <v>70</v>
      </c>
      <c r="L912" s="2667" t="s">
        <v>185</v>
      </c>
      <c r="R912" s="1431"/>
      <c r="V912" s="160" t="str">
        <f>F911</f>
        <v>kWh Annual Savings</v>
      </c>
      <c r="W912" s="423">
        <v>102.44464690909089</v>
      </c>
      <c r="X912" s="424">
        <v>439.92233999999996</v>
      </c>
      <c r="Y912" s="675">
        <v>201.39</v>
      </c>
      <c r="Z912" s="579">
        <v>201.39</v>
      </c>
      <c r="AA912" s="579">
        <v>201.39</v>
      </c>
      <c r="AB912" s="579">
        <v>201.39</v>
      </c>
      <c r="AC912" s="579">
        <v>201.39</v>
      </c>
      <c r="AD912" s="160"/>
      <c r="AE912" s="160"/>
      <c r="AF912" s="160"/>
      <c r="AG912" s="160"/>
      <c r="AH912" s="163"/>
      <c r="AK912" s="883"/>
      <c r="BB912" s="1945">
        <f>(BD912+BD913)/(BE912+BE913)</f>
        <v>3.247889197228881</v>
      </c>
      <c r="BC912" s="909" t="str">
        <f>CONCATENATE(G912," ",J912," Year EUL")</f>
        <v>Cooling RES 10 Year EUL</v>
      </c>
      <c r="BD912" s="111">
        <f>(INDEX('Avoided Cost Benefits'!$C$4:$C$857,MATCH(BC912,'Avoided Cost Benefits'!$A$4:$A$857,0)))*F912</f>
        <v>206.33184106998681</v>
      </c>
      <c r="BE912" s="1946">
        <f>K912/(1.0595^(2020-2019))</f>
        <v>66.068900424728639</v>
      </c>
    </row>
    <row r="913" spans="2:57" x14ac:dyDescent="0.25">
      <c r="B913" s="1233"/>
      <c r="C913" s="2667" t="s">
        <v>2007</v>
      </c>
      <c r="D913" s="2695" t="s">
        <v>1577</v>
      </c>
      <c r="E913" s="1700" t="s">
        <v>2008</v>
      </c>
      <c r="F913" s="1460">
        <f>ROUND($F$960*$F$968*$F$970*(1/$F$978)*$F$986*$F$987*$F$988/1000,2)</f>
        <v>30.37</v>
      </c>
      <c r="G913" s="2667" t="s">
        <v>259</v>
      </c>
      <c r="H913" s="155">
        <f>VLOOKUP(G913,'CP FACTORS'!$A$3:$B$38, 2, FALSE)</f>
        <v>0</v>
      </c>
      <c r="I913" s="1531">
        <f t="shared" ref="I913:I935" si="128">ROUND(F913*H913,6)</f>
        <v>0</v>
      </c>
      <c r="J913" s="2298">
        <f t="shared" si="127"/>
        <v>10</v>
      </c>
      <c r="K913" s="2297">
        <v>0</v>
      </c>
      <c r="L913" s="2667" t="s">
        <v>185</v>
      </c>
      <c r="R913" s="1431"/>
      <c r="V913" s="160" t="str">
        <f>V912</f>
        <v>kWh Annual Savings</v>
      </c>
      <c r="W913" s="423">
        <v>338.97776639999995</v>
      </c>
      <c r="X913" s="424">
        <v>48.891023999999994</v>
      </c>
      <c r="Y913" s="675">
        <v>30.37</v>
      </c>
      <c r="Z913" s="579">
        <v>30.37</v>
      </c>
      <c r="AA913" s="579">
        <v>30.37</v>
      </c>
      <c r="AB913" s="579">
        <v>30.37</v>
      </c>
      <c r="AC913" s="579">
        <v>30.37</v>
      </c>
      <c r="AD913" s="160"/>
      <c r="AE913" s="160"/>
      <c r="AF913" s="160"/>
      <c r="AG913" s="160"/>
      <c r="AH913" s="163"/>
      <c r="AK913" s="883"/>
      <c r="BB913" s="978"/>
      <c r="BC913" s="995" t="str">
        <f t="shared" ref="BC913:BC935" si="129">CONCATENATE(G913," ",J913," Year EUL")</f>
        <v>Heating RES 10 Year EUL</v>
      </c>
      <c r="BD913" s="114">
        <f>(INDEX('Avoided Cost Benefits'!$C$4:$C$857,MATCH(BC913,'Avoided Cost Benefits'!$A$4:$A$857,0)))*F913</f>
        <v>8.2526268922799719</v>
      </c>
      <c r="BE913" s="1949">
        <f t="shared" ref="BE913:BE935" si="130">K913/(1.0595^(2020-2019))</f>
        <v>0</v>
      </c>
    </row>
    <row r="914" spans="2:57" x14ac:dyDescent="0.25">
      <c r="B914" s="1233"/>
      <c r="C914" s="2667" t="s">
        <v>2009</v>
      </c>
      <c r="D914" s="2667" t="s">
        <v>1585</v>
      </c>
      <c r="E914" s="3115" t="str">
        <f>CONCATENATE(E912,"_CompE")</f>
        <v>Setback thermostat - full setback - ASHP heating/cooling MF_CompE</v>
      </c>
      <c r="F914" s="1460">
        <f>ROUND($F$947*$F$948*1/$F$956*$F$957*$F$958*$F$959/1000,2)</f>
        <v>146.46</v>
      </c>
      <c r="G914" s="2667" t="s">
        <v>258</v>
      </c>
      <c r="H914" s="155">
        <f>VLOOKUP(G914,'CP FACTORS'!$A$3:$B$38, 2, FALSE)</f>
        <v>9.4741810000000004E-4</v>
      </c>
      <c r="I914" s="1531">
        <f>ROUND(F914*H914,6)</f>
        <v>0.13875899999999999</v>
      </c>
      <c r="J914" s="2298">
        <f t="shared" si="127"/>
        <v>10</v>
      </c>
      <c r="K914" s="2297">
        <f>$F$990</f>
        <v>70</v>
      </c>
      <c r="L914" s="2667" t="s">
        <v>185</v>
      </c>
      <c r="R914" s="1431"/>
      <c r="V914" s="160" t="str">
        <f t="shared" ref="V914:V935" si="131">V913</f>
        <v>kWh Annual Savings</v>
      </c>
      <c r="W914" s="423"/>
      <c r="X914" s="424"/>
      <c r="Y914" s="675">
        <v>146.46</v>
      </c>
      <c r="Z914" s="579">
        <v>146.46</v>
      </c>
      <c r="AA914" s="579">
        <v>146.46</v>
      </c>
      <c r="AB914" s="579">
        <v>146.46</v>
      </c>
      <c r="AC914" s="579">
        <v>146.46</v>
      </c>
      <c r="AD914" s="160"/>
      <c r="AE914" s="160"/>
      <c r="AF914" s="160"/>
      <c r="AG914" s="160"/>
      <c r="AH914" s="163"/>
      <c r="AK914" s="883"/>
      <c r="BB914" s="52">
        <f>(BD914+BD915)/(BE914+BE915)</f>
        <v>2.3137421776505787</v>
      </c>
      <c r="BC914" s="909" t="str">
        <f>CONCATENATE(G914," ",J914," Year EUL")</f>
        <v>Cooling RES 10 Year EUL</v>
      </c>
      <c r="BD914" s="114">
        <f>(INDEX('Avoided Cost Benefits'!$C$4:$C$857,MATCH(BC914,'Avoided Cost Benefits'!$A$4:$A$857,0)))*F914</f>
        <v>150.05393238547231</v>
      </c>
      <c r="BE914" s="1949">
        <f>K914/(1.0595^(2020-2019))</f>
        <v>66.068900424728639</v>
      </c>
    </row>
    <row r="915" spans="2:57" x14ac:dyDescent="0.25">
      <c r="B915" s="1233"/>
      <c r="C915" s="2667" t="s">
        <v>2009</v>
      </c>
      <c r="D915" s="2667" t="s">
        <v>1585</v>
      </c>
      <c r="E915" s="3116" t="str">
        <f>CONCATENATE(E913,"_CompE")</f>
        <v>Setback thermostat - full setback - ASHP heating/cooling MF_CompE</v>
      </c>
      <c r="F915" s="1460">
        <f>ROUND($F$960*$F$969*$F$970*(1/$F$978)*$F$986*$F$987*$F$988/1000,2)</f>
        <v>10.35</v>
      </c>
      <c r="G915" s="2667" t="s">
        <v>259</v>
      </c>
      <c r="H915" s="155">
        <f>VLOOKUP(G915,'CP FACTORS'!$A$3:$B$38, 2, FALSE)</f>
        <v>0</v>
      </c>
      <c r="I915" s="1531">
        <f>ROUND(F915*H915,6)</f>
        <v>0</v>
      </c>
      <c r="J915" s="2298">
        <f t="shared" si="127"/>
        <v>10</v>
      </c>
      <c r="K915" s="2297">
        <v>0</v>
      </c>
      <c r="L915" s="2667" t="s">
        <v>185</v>
      </c>
      <c r="R915" s="1431"/>
      <c r="V915" s="160" t="str">
        <f t="shared" si="131"/>
        <v>kWh Annual Savings</v>
      </c>
      <c r="W915" s="423"/>
      <c r="X915" s="424"/>
      <c r="Y915" s="675">
        <v>10.35</v>
      </c>
      <c r="Z915" s="579">
        <v>10.35</v>
      </c>
      <c r="AA915" s="579">
        <v>10.35</v>
      </c>
      <c r="AB915" s="579">
        <v>10.35</v>
      </c>
      <c r="AC915" s="579">
        <v>10.35</v>
      </c>
      <c r="AD915" s="160"/>
      <c r="AE915" s="160"/>
      <c r="AF915" s="160"/>
      <c r="AG915" s="160"/>
      <c r="AH915" s="163"/>
      <c r="AK915" s="883"/>
      <c r="BB915" s="978"/>
      <c r="BC915" s="995" t="str">
        <f>CONCATENATE(G915," ",J915," Year EUL")</f>
        <v>Heating RES 10 Year EUL</v>
      </c>
      <c r="BD915" s="114">
        <f>(INDEX('Avoided Cost Benefits'!$C$4:$C$857,MATCH(BC915,'Avoided Cost Benefits'!$A$4:$A$857,0)))*F915</f>
        <v>2.812469158218561</v>
      </c>
      <c r="BE915" s="1949">
        <f>K915/(1.0595^(2020-2019))</f>
        <v>0</v>
      </c>
    </row>
    <row r="916" spans="2:57" x14ac:dyDescent="0.25">
      <c r="B916" s="1233"/>
      <c r="C916" s="2667" t="s">
        <v>2010</v>
      </c>
      <c r="D916" s="2695" t="s">
        <v>1571</v>
      </c>
      <c r="E916" s="1699" t="s">
        <v>2011</v>
      </c>
      <c r="F916" s="1460">
        <f>ROUND(F946*F949*1/F$956*F$957*F$958*F$959/1000,2)</f>
        <v>358.2</v>
      </c>
      <c r="G916" s="2667" t="s">
        <v>258</v>
      </c>
      <c r="H916" s="155">
        <f>VLOOKUP(G916,'CP FACTORS'!$A$3:$B$38, 2, FALSE)</f>
        <v>9.4741810000000004E-4</v>
      </c>
      <c r="I916" s="1531">
        <f t="shared" si="128"/>
        <v>0.33936500000000003</v>
      </c>
      <c r="J916" s="2298">
        <f t="shared" si="127"/>
        <v>10</v>
      </c>
      <c r="K916" s="2297">
        <f>$F$990</f>
        <v>70</v>
      </c>
      <c r="L916" s="2667" t="s">
        <v>185</v>
      </c>
      <c r="R916" s="1431"/>
      <c r="V916" s="160" t="str">
        <f t="shared" si="131"/>
        <v>kWh Annual Savings</v>
      </c>
      <c r="W916" s="423">
        <v>157.60714909090908</v>
      </c>
      <c r="X916" s="424">
        <v>750.57839999999999</v>
      </c>
      <c r="Y916" s="675">
        <v>358.2</v>
      </c>
      <c r="Z916" s="579">
        <v>358.2</v>
      </c>
      <c r="AA916" s="579">
        <v>358.2</v>
      </c>
      <c r="AB916" s="579">
        <v>358.2</v>
      </c>
      <c r="AC916" s="579">
        <v>358.2</v>
      </c>
      <c r="AD916" s="160"/>
      <c r="AE916" s="160"/>
      <c r="AF916" s="160"/>
      <c r="AG916" s="160"/>
      <c r="AH916" s="163"/>
      <c r="AK916" s="883"/>
      <c r="BB916" s="52">
        <f>(BD916+BD917)/(BE916+BE917)</f>
        <v>5.9140389945491592</v>
      </c>
      <c r="BC916" s="909" t="str">
        <f t="shared" si="129"/>
        <v>Cooling RES 10 Year EUL</v>
      </c>
      <c r="BD916" s="114">
        <f>(INDEX('Avoided Cost Benefits'!$C$4:$C$857,MATCH(BC916,'Avoided Cost Benefits'!$A$4:$A$857,0)))*F916</f>
        <v>366.98974860355167</v>
      </c>
      <c r="BE916" s="1949">
        <f t="shared" si="130"/>
        <v>66.068900424728639</v>
      </c>
    </row>
    <row r="917" spans="2:57" x14ac:dyDescent="0.25">
      <c r="B917" s="1233"/>
      <c r="C917" s="2667" t="s">
        <v>2010</v>
      </c>
      <c r="D917" s="2695" t="s">
        <v>1571</v>
      </c>
      <c r="E917" s="1700" t="s">
        <v>2011</v>
      </c>
      <c r="F917" s="1460">
        <f>ROUND(F961*F968*F971*(1/F979)*F$986*F$987*F$988/1000,2)</f>
        <v>87.38</v>
      </c>
      <c r="G917" s="2667" t="s">
        <v>259</v>
      </c>
      <c r="H917" s="155">
        <f>VLOOKUP(G917,'CP FACTORS'!$A$3:$B$38, 2, FALSE)</f>
        <v>0</v>
      </c>
      <c r="I917" s="1531">
        <f t="shared" si="128"/>
        <v>0</v>
      </c>
      <c r="J917" s="2298">
        <f t="shared" si="127"/>
        <v>10</v>
      </c>
      <c r="K917" s="2297">
        <v>0</v>
      </c>
      <c r="L917" s="2667" t="s">
        <v>185</v>
      </c>
      <c r="R917" s="1431"/>
      <c r="V917" s="160" t="str">
        <f t="shared" si="131"/>
        <v>kWh Annual Savings</v>
      </c>
      <c r="W917" s="423">
        <v>521.50425599999994</v>
      </c>
      <c r="X917" s="424">
        <v>135.59110655999999</v>
      </c>
      <c r="Y917" s="675">
        <v>87.38</v>
      </c>
      <c r="Z917" s="579">
        <v>87.38</v>
      </c>
      <c r="AA917" s="579">
        <v>87.38</v>
      </c>
      <c r="AB917" s="579">
        <v>87.38</v>
      </c>
      <c r="AC917" s="579">
        <v>87.38</v>
      </c>
      <c r="AD917" s="160"/>
      <c r="AE917" s="160"/>
      <c r="AF917" s="160"/>
      <c r="AG917" s="160"/>
      <c r="AH917" s="163"/>
      <c r="AK917" s="883"/>
      <c r="BB917" s="978"/>
      <c r="BC917" s="995" t="str">
        <f t="shared" si="129"/>
        <v>Heating RES 10 Year EUL</v>
      </c>
      <c r="BD917" s="114">
        <f>(INDEX('Avoided Cost Benefits'!$C$4:$C$857,MATCH(BC917,'Avoided Cost Benefits'!$A$4:$A$857,0)))*F917</f>
        <v>23.744304835279021</v>
      </c>
      <c r="BE917" s="1949">
        <f t="shared" si="130"/>
        <v>0</v>
      </c>
    </row>
    <row r="918" spans="2:57" x14ac:dyDescent="0.25">
      <c r="B918" s="1233"/>
      <c r="C918" s="2667" t="s">
        <v>2012</v>
      </c>
      <c r="D918" s="2695" t="s">
        <v>1577</v>
      </c>
      <c r="E918" s="1699" t="s">
        <v>2013</v>
      </c>
      <c r="F918" s="1460">
        <f>ROUND($F$946*$F$950*1/$F$956*$F$957*$F$958*$F$959/1000,2)</f>
        <v>201.39</v>
      </c>
      <c r="G918" s="2667" t="s">
        <v>258</v>
      </c>
      <c r="H918" s="155">
        <f>VLOOKUP(G918,'CP FACTORS'!$A$3:$B$38, 2, FALSE)</f>
        <v>9.4741810000000004E-4</v>
      </c>
      <c r="I918" s="1531">
        <f t="shared" si="128"/>
        <v>0.190801</v>
      </c>
      <c r="J918" s="2298">
        <f t="shared" si="127"/>
        <v>10</v>
      </c>
      <c r="K918" s="2297">
        <f>$F$990</f>
        <v>70</v>
      </c>
      <c r="L918" s="2667" t="s">
        <v>185</v>
      </c>
      <c r="R918" s="1431"/>
      <c r="V918" s="160" t="str">
        <f t="shared" si="131"/>
        <v>kWh Annual Savings</v>
      </c>
      <c r="W918" s="423">
        <v>102.44464690909089</v>
      </c>
      <c r="X918" s="424">
        <v>439.92233999999996</v>
      </c>
      <c r="Y918" s="675">
        <v>201.39</v>
      </c>
      <c r="Z918" s="579">
        <v>201.39</v>
      </c>
      <c r="AA918" s="579">
        <v>201.39</v>
      </c>
      <c r="AB918" s="579">
        <v>201.39</v>
      </c>
      <c r="AC918" s="579">
        <v>201.39</v>
      </c>
      <c r="AD918" s="160"/>
      <c r="AE918" s="160"/>
      <c r="AF918" s="160"/>
      <c r="AG918" s="160"/>
      <c r="AH918" s="163"/>
      <c r="AK918" s="883"/>
      <c r="BB918" s="52">
        <f>(BD918+BD919)/(BE918+BE919)</f>
        <v>3.3793381439470549</v>
      </c>
      <c r="BC918" s="909" t="str">
        <f t="shared" si="129"/>
        <v>Cooling RES 10 Year EUL</v>
      </c>
      <c r="BD918" s="114">
        <f>(INDEX('Avoided Cost Benefits'!$C$4:$C$857,MATCH(BC918,'Avoided Cost Benefits'!$A$4:$A$857,0)))*F918</f>
        <v>206.33184106998681</v>
      </c>
      <c r="BE918" s="1949">
        <f t="shared" si="130"/>
        <v>66.068900424728639</v>
      </c>
    </row>
    <row r="919" spans="2:57" x14ac:dyDescent="0.25">
      <c r="B919" s="1233"/>
      <c r="C919" s="2667" t="s">
        <v>2012</v>
      </c>
      <c r="D919" s="2695" t="s">
        <v>1577</v>
      </c>
      <c r="E919" s="1700" t="s">
        <v>2013</v>
      </c>
      <c r="F919" s="1460">
        <f>ROUND($F$962*$F$968*$F$972*(1/$F$980)*$F$986*$F$987*$F$988/1000,2)</f>
        <v>62.33</v>
      </c>
      <c r="G919" s="2667" t="s">
        <v>259</v>
      </c>
      <c r="H919" s="155">
        <f>VLOOKUP(G919,'CP FACTORS'!$A$3:$B$38, 2, FALSE)</f>
        <v>0</v>
      </c>
      <c r="I919" s="1531">
        <f t="shared" si="128"/>
        <v>0</v>
      </c>
      <c r="J919" s="2298">
        <f t="shared" si="127"/>
        <v>10</v>
      </c>
      <c r="K919" s="2297">
        <v>0</v>
      </c>
      <c r="L919" s="2667" t="s">
        <v>185</v>
      </c>
      <c r="R919" s="1431"/>
      <c r="V919" s="160" t="str">
        <f t="shared" si="131"/>
        <v>kWh Annual Savings</v>
      </c>
      <c r="W919" s="423">
        <v>576.26220288000002</v>
      </c>
      <c r="X919" s="424">
        <v>100.36280586510264</v>
      </c>
      <c r="Y919" s="675">
        <v>62.33</v>
      </c>
      <c r="Z919" s="579">
        <v>62.33</v>
      </c>
      <c r="AA919" s="579">
        <v>62.33</v>
      </c>
      <c r="AB919" s="579">
        <v>62.33</v>
      </c>
      <c r="AC919" s="579">
        <v>62.33</v>
      </c>
      <c r="AD919" s="160"/>
      <c r="AE919" s="160"/>
      <c r="AF919" s="160"/>
      <c r="AG919" s="160"/>
      <c r="AH919" s="163"/>
      <c r="AK919" s="883"/>
      <c r="BB919" s="978"/>
      <c r="BC919" s="995" t="str">
        <f t="shared" si="129"/>
        <v>Heating RES 10 Year EUL</v>
      </c>
      <c r="BD919" s="114">
        <f>(INDEX('Avoided Cost Benefits'!$C$4:$C$857,MATCH(BC919,'Avoided Cost Benefits'!$A$4:$A$857,0)))*F919</f>
        <v>16.937314263938447</v>
      </c>
      <c r="BE919" s="1949">
        <f t="shared" si="130"/>
        <v>0</v>
      </c>
    </row>
    <row r="920" spans="2:57" x14ac:dyDescent="0.25">
      <c r="B920" s="1233"/>
      <c r="C920" s="2667" t="s">
        <v>2014</v>
      </c>
      <c r="D920" s="2667" t="s">
        <v>1585</v>
      </c>
      <c r="E920" s="3115" t="str">
        <f>CONCATENATE(E918,"_CompE")</f>
        <v>Setback thermostat - full setback - elec furnace heating / central AC MF_CompE</v>
      </c>
      <c r="F920" s="1460">
        <f>ROUND($F$947*$F$950*1/$F$956*$F$957*$F$958*$F$959/1000,2)</f>
        <v>146.46</v>
      </c>
      <c r="G920" s="2667" t="s">
        <v>258</v>
      </c>
      <c r="H920" s="155">
        <f>VLOOKUP(G920,'CP FACTORS'!$A$3:$B$38, 2, FALSE)</f>
        <v>9.4741810000000004E-4</v>
      </c>
      <c r="I920" s="1531">
        <f t="shared" si="128"/>
        <v>0.13875899999999999</v>
      </c>
      <c r="J920" s="2298">
        <f t="shared" si="127"/>
        <v>10</v>
      </c>
      <c r="K920" s="2297">
        <f>$F$990</f>
        <v>70</v>
      </c>
      <c r="L920" s="2667" t="s">
        <v>185</v>
      </c>
      <c r="R920" s="1431"/>
      <c r="V920" s="160" t="str">
        <f t="shared" si="131"/>
        <v>kWh Annual Savings</v>
      </c>
      <c r="W920" s="423"/>
      <c r="X920" s="424"/>
      <c r="Y920" s="675">
        <v>146.46</v>
      </c>
      <c r="Z920" s="579">
        <v>146.46</v>
      </c>
      <c r="AA920" s="579">
        <v>146.46</v>
      </c>
      <c r="AB920" s="579">
        <v>146.46</v>
      </c>
      <c r="AC920" s="579">
        <v>146.46</v>
      </c>
      <c r="AD920" s="160"/>
      <c r="AE920" s="160"/>
      <c r="AF920" s="160"/>
      <c r="AG920" s="160"/>
      <c r="AH920" s="163"/>
      <c r="AK920" s="883"/>
      <c r="BB920" s="52">
        <f>(BD920+BD921)/(BE920+BE921)</f>
        <v>2.3585730136714829</v>
      </c>
      <c r="BC920" s="909" t="str">
        <f>CONCATENATE(G920," ",J920," Year EUL")</f>
        <v>Cooling RES 10 Year EUL</v>
      </c>
      <c r="BD920" s="114">
        <f>(INDEX('Avoided Cost Benefits'!$C$4:$C$857,MATCH(BC920,'Avoided Cost Benefits'!$A$4:$A$857,0)))*F920</f>
        <v>150.05393238547231</v>
      </c>
      <c r="BE920" s="1949">
        <f>K920/(1.0595^(2020-2019))</f>
        <v>66.068900424728639</v>
      </c>
    </row>
    <row r="921" spans="2:57" x14ac:dyDescent="0.25">
      <c r="B921" s="1233"/>
      <c r="C921" s="2667" t="s">
        <v>2014</v>
      </c>
      <c r="D921" s="2667" t="s">
        <v>1585</v>
      </c>
      <c r="E921" s="3116" t="str">
        <f>CONCATENATE(E919,"_CompE")</f>
        <v>Setback thermostat - full setback - elec furnace heating / central AC MF_CompE</v>
      </c>
      <c r="F921" s="1460">
        <f>ROUND($F$962*$F$969*$F$972*(1/$F$980)*$F$986*$F$987*$F$988/1000,2)</f>
        <v>21.25</v>
      </c>
      <c r="G921" s="2667" t="s">
        <v>259</v>
      </c>
      <c r="H921" s="155">
        <f>VLOOKUP(G921,'CP FACTORS'!$A$3:$B$38, 2, FALSE)</f>
        <v>0</v>
      </c>
      <c r="I921" s="1531">
        <f t="shared" si="128"/>
        <v>0</v>
      </c>
      <c r="J921" s="2298">
        <f t="shared" si="127"/>
        <v>10</v>
      </c>
      <c r="K921" s="2297">
        <v>0</v>
      </c>
      <c r="L921" s="2667" t="s">
        <v>185</v>
      </c>
      <c r="R921" s="1431"/>
      <c r="V921" s="160" t="str">
        <f t="shared" si="131"/>
        <v>kWh Annual Savings</v>
      </c>
      <c r="W921" s="423"/>
      <c r="X921" s="424"/>
      <c r="Y921" s="675">
        <v>21.25</v>
      </c>
      <c r="Z921" s="579">
        <v>21.25</v>
      </c>
      <c r="AA921" s="579">
        <v>21.25</v>
      </c>
      <c r="AB921" s="579">
        <v>21.25</v>
      </c>
      <c r="AC921" s="579">
        <v>21.25</v>
      </c>
      <c r="AD921" s="160"/>
      <c r="AE921" s="160"/>
      <c r="AF921" s="160"/>
      <c r="AG921" s="160"/>
      <c r="AH921" s="163"/>
      <c r="AK921" s="883"/>
      <c r="BB921" s="978"/>
      <c r="BC921" s="995" t="str">
        <f>CONCATENATE(G921," ",J921," Year EUL")</f>
        <v>Heating RES 10 Year EUL</v>
      </c>
      <c r="BD921" s="114">
        <f>(INDEX('Avoided Cost Benefits'!$C$4:$C$857,MATCH(BC921,'Avoided Cost Benefits'!$A$4:$A$857,0)))*F921</f>
        <v>5.7743931992410076</v>
      </c>
      <c r="BE921" s="1949">
        <f>K921/(1.0595^(2020-2019))</f>
        <v>0</v>
      </c>
    </row>
    <row r="922" spans="2:57" x14ac:dyDescent="0.25">
      <c r="B922" s="1233"/>
      <c r="C922" s="2667" t="s">
        <v>2015</v>
      </c>
      <c r="D922" s="2695" t="s">
        <v>1571</v>
      </c>
      <c r="E922" s="1699" t="s">
        <v>2016</v>
      </c>
      <c r="F922" s="1460">
        <f>ROUND(F946*F951*1/F$956*F$957*F$958*F$959/1000,2)</f>
        <v>358.2</v>
      </c>
      <c r="G922" s="2667" t="s">
        <v>258</v>
      </c>
      <c r="H922" s="155">
        <f>VLOOKUP(G922,'CP FACTORS'!$A$3:$B$38, 2, FALSE)</f>
        <v>9.4741810000000004E-4</v>
      </c>
      <c r="I922" s="1531">
        <f t="shared" si="128"/>
        <v>0.33936500000000003</v>
      </c>
      <c r="J922" s="2298">
        <f t="shared" si="127"/>
        <v>10</v>
      </c>
      <c r="K922" s="2297">
        <f>$F$990</f>
        <v>70</v>
      </c>
      <c r="L922" s="2667" t="s">
        <v>185</v>
      </c>
      <c r="R922" s="1431"/>
      <c r="V922" s="160" t="str">
        <f t="shared" si="131"/>
        <v>kWh Annual Savings</v>
      </c>
      <c r="W922" s="423">
        <v>157.60714909090908</v>
      </c>
      <c r="X922" s="424">
        <v>750.57839999999999</v>
      </c>
      <c r="Y922" s="675">
        <v>358.2</v>
      </c>
      <c r="Z922" s="579">
        <v>358.2</v>
      </c>
      <c r="AA922" s="579">
        <v>358.2</v>
      </c>
      <c r="AB922" s="579">
        <v>358.2</v>
      </c>
      <c r="AC922" s="579">
        <v>358.2</v>
      </c>
      <c r="AD922" s="160"/>
      <c r="AE922" s="160"/>
      <c r="AF922" s="160"/>
      <c r="AG922" s="160"/>
      <c r="AH922" s="163"/>
      <c r="AK922" s="883"/>
      <c r="BB922" s="52">
        <f>(BD922+BD923)/(BE922+BE923)</f>
        <v>6.1659553896207528</v>
      </c>
      <c r="BC922" s="909" t="str">
        <f t="shared" si="129"/>
        <v>Cooling RES 10 Year EUL</v>
      </c>
      <c r="BD922" s="114">
        <f>(INDEX('Avoided Cost Benefits'!$C$4:$C$857,MATCH(BC922,'Avoided Cost Benefits'!$A$4:$A$857,0)))*F922</f>
        <v>366.98974860355167</v>
      </c>
      <c r="BE922" s="1949">
        <f t="shared" si="130"/>
        <v>66.068900424728639</v>
      </c>
    </row>
    <row r="923" spans="2:57" x14ac:dyDescent="0.25">
      <c r="B923" s="1233"/>
      <c r="C923" s="2667" t="s">
        <v>2015</v>
      </c>
      <c r="D923" s="2695" t="s">
        <v>1571</v>
      </c>
      <c r="E923" s="1700" t="s">
        <v>2016</v>
      </c>
      <c r="F923" s="1460">
        <f>ROUND(F963*F968*F973*(1/F981)*F$986*F$987*F$988/1000,2)</f>
        <v>148.63</v>
      </c>
      <c r="G923" s="2667" t="s">
        <v>259</v>
      </c>
      <c r="H923" s="155">
        <f>VLOOKUP(G923,'CP FACTORS'!$A$3:$B$38, 2, FALSE)</f>
        <v>0</v>
      </c>
      <c r="I923" s="1531">
        <f t="shared" si="128"/>
        <v>0</v>
      </c>
      <c r="J923" s="2298">
        <f t="shared" si="127"/>
        <v>10</v>
      </c>
      <c r="K923" s="2297">
        <v>0</v>
      </c>
      <c r="L923" s="2667" t="s">
        <v>185</v>
      </c>
      <c r="R923" s="1431"/>
      <c r="V923" s="160" t="str">
        <f t="shared" si="131"/>
        <v>kWh Annual Savings</v>
      </c>
      <c r="W923" s="423">
        <v>886.55723520000015</v>
      </c>
      <c r="X923" s="424">
        <v>230.64007463068151</v>
      </c>
      <c r="Y923" s="675">
        <v>148.63</v>
      </c>
      <c r="Z923" s="579">
        <v>148.63</v>
      </c>
      <c r="AA923" s="579">
        <v>148.63</v>
      </c>
      <c r="AB923" s="579">
        <v>148.63</v>
      </c>
      <c r="AC923" s="579">
        <v>148.63</v>
      </c>
      <c r="AD923" s="160"/>
      <c r="AE923" s="160"/>
      <c r="AF923" s="160"/>
      <c r="AG923" s="160"/>
      <c r="AH923" s="163"/>
      <c r="AK923" s="883"/>
      <c r="BB923" s="978"/>
      <c r="BC923" s="995" t="str">
        <f t="shared" si="129"/>
        <v>Heating RES 10 Year EUL</v>
      </c>
      <c r="BD923" s="114">
        <f>(INDEX('Avoided Cost Benefits'!$C$4:$C$857,MATCH(BC923,'Avoided Cost Benefits'!$A$4:$A$857,0)))*F923</f>
        <v>40.388144056620746</v>
      </c>
      <c r="BE923" s="1949">
        <f t="shared" si="130"/>
        <v>0</v>
      </c>
    </row>
    <row r="924" spans="2:57" x14ac:dyDescent="0.25">
      <c r="B924" s="1233"/>
      <c r="C924" s="2667" t="s">
        <v>2017</v>
      </c>
      <c r="D924" s="2695" t="s">
        <v>1577</v>
      </c>
      <c r="E924" s="1699" t="s">
        <v>2018</v>
      </c>
      <c r="F924" s="1460">
        <f>$F$946*$F$952*1/$F$956*$F$957*$F$958*$F$959/1000</f>
        <v>201.38901200000001</v>
      </c>
      <c r="G924" s="2667" t="s">
        <v>258</v>
      </c>
      <c r="H924" s="155">
        <f>VLOOKUP(G924,'CP FACTORS'!$A$3:$B$38, 2, FALSE)</f>
        <v>9.4741810000000004E-4</v>
      </c>
      <c r="I924" s="1531">
        <f t="shared" si="128"/>
        <v>0.1908</v>
      </c>
      <c r="J924" s="2298">
        <f t="shared" si="127"/>
        <v>10</v>
      </c>
      <c r="K924" s="2297">
        <f>$F$990</f>
        <v>70</v>
      </c>
      <c r="L924" s="2667" t="s">
        <v>185</v>
      </c>
      <c r="R924" s="1431"/>
      <c r="V924" s="160" t="str">
        <f t="shared" si="131"/>
        <v>kWh Annual Savings</v>
      </c>
      <c r="W924" s="423">
        <v>102.44464690909089</v>
      </c>
      <c r="X924" s="424">
        <v>439.92233999999996</v>
      </c>
      <c r="Y924" s="675">
        <v>201.38901200000001</v>
      </c>
      <c r="Z924" s="579">
        <v>201.38901200000001</v>
      </c>
      <c r="AA924" s="579">
        <v>201.38901200000001</v>
      </c>
      <c r="AB924" s="579">
        <v>201.38901200000001</v>
      </c>
      <c r="AC924" s="579">
        <v>201.38901200000001</v>
      </c>
      <c r="AD924" s="160"/>
      <c r="AE924" s="160"/>
      <c r="AF924" s="160"/>
      <c r="AG924" s="160"/>
      <c r="AH924" s="163"/>
      <c r="AK924" s="883"/>
      <c r="BB924" s="52">
        <f>(BD924+BD925)/(BE924+BE925)</f>
        <v>3.1229644734417659</v>
      </c>
      <c r="BC924" s="909" t="str">
        <f t="shared" si="129"/>
        <v>Cooling RES 10 Year EUL</v>
      </c>
      <c r="BD924" s="114">
        <f>(INDEX('Avoided Cost Benefits'!$C$4:$C$857,MATCH(BC924,'Avoided Cost Benefits'!$A$4:$A$857,0)))*F924</f>
        <v>206.33082882578913</v>
      </c>
      <c r="BE924" s="1949">
        <f t="shared" si="130"/>
        <v>66.068900424728639</v>
      </c>
    </row>
    <row r="925" spans="2:57" x14ac:dyDescent="0.25">
      <c r="B925" s="1233"/>
      <c r="C925" s="2667" t="s">
        <v>2017</v>
      </c>
      <c r="D925" s="2695" t="s">
        <v>1577</v>
      </c>
      <c r="E925" s="1700" t="s">
        <v>2018</v>
      </c>
      <c r="F925" s="1460">
        <v>0</v>
      </c>
      <c r="G925" s="2667" t="s">
        <v>259</v>
      </c>
      <c r="H925" s="155">
        <f>VLOOKUP(G925,'CP FACTORS'!$A$3:$B$38, 2, FALSE)</f>
        <v>0</v>
      </c>
      <c r="I925" s="1531">
        <f t="shared" si="128"/>
        <v>0</v>
      </c>
      <c r="J925" s="2298">
        <f t="shared" si="127"/>
        <v>10</v>
      </c>
      <c r="K925" s="2297">
        <v>0</v>
      </c>
      <c r="L925" s="2667" t="s">
        <v>185</v>
      </c>
      <c r="R925" s="1431"/>
      <c r="V925" s="160" t="str">
        <f t="shared" si="131"/>
        <v>kWh Annual Savings</v>
      </c>
      <c r="W925" s="423">
        <v>0</v>
      </c>
      <c r="X925" s="424">
        <v>0</v>
      </c>
      <c r="Y925" s="675">
        <v>0</v>
      </c>
      <c r="Z925" s="579">
        <v>0</v>
      </c>
      <c r="AA925" s="579">
        <v>0</v>
      </c>
      <c r="AB925" s="579">
        <v>0</v>
      </c>
      <c r="AC925" s="579">
        <v>0</v>
      </c>
      <c r="AD925" s="160"/>
      <c r="AE925" s="160"/>
      <c r="AF925" s="160"/>
      <c r="AG925" s="160"/>
      <c r="AH925" s="163"/>
      <c r="AK925" s="883"/>
      <c r="BB925" s="978"/>
      <c r="BC925" s="995" t="str">
        <f t="shared" si="129"/>
        <v>Heating RES 10 Year EUL</v>
      </c>
      <c r="BD925" s="114">
        <f>(INDEX('Avoided Cost Benefits'!$C$4:$C$857,MATCH(BC925,'Avoided Cost Benefits'!$A$4:$A$857,0)))*F925</f>
        <v>0</v>
      </c>
      <c r="BE925" s="1949">
        <f t="shared" si="130"/>
        <v>0</v>
      </c>
    </row>
    <row r="926" spans="2:57" x14ac:dyDescent="0.25">
      <c r="B926" s="1233"/>
      <c r="C926" s="2667" t="s">
        <v>2019</v>
      </c>
      <c r="D926" s="2667" t="s">
        <v>1585</v>
      </c>
      <c r="E926" s="3115" t="str">
        <f>CONCATENATE(E924,"_CompE")</f>
        <v>Setback thermostat - full setback - gas heating / central AC MF_CompE</v>
      </c>
      <c r="F926" s="1460">
        <f>$F$947*$F$952*1/$F$956*$F$957*$F$958*$F$959/1000</f>
        <v>146.46473600000002</v>
      </c>
      <c r="G926" s="2667" t="s">
        <v>258</v>
      </c>
      <c r="H926" s="155">
        <f>VLOOKUP(G926,'CP FACTORS'!$A$3:$B$38, 2, FALSE)</f>
        <v>9.4741810000000004E-4</v>
      </c>
      <c r="I926" s="1531">
        <f t="shared" si="128"/>
        <v>0.138763</v>
      </c>
      <c r="J926" s="2298">
        <f t="shared" si="127"/>
        <v>10</v>
      </c>
      <c r="K926" s="2297">
        <f>$F$990</f>
        <v>70</v>
      </c>
      <c r="L926" s="2667" t="s">
        <v>185</v>
      </c>
      <c r="R926" s="1431"/>
      <c r="V926" s="160" t="str">
        <f t="shared" si="131"/>
        <v>kWh Annual Savings</v>
      </c>
      <c r="W926" s="423"/>
      <c r="X926" s="424"/>
      <c r="Y926" s="675">
        <v>146.46473600000002</v>
      </c>
      <c r="Z926" s="579">
        <v>146.46473600000002</v>
      </c>
      <c r="AA926" s="579">
        <v>146.46473600000002</v>
      </c>
      <c r="AB926" s="579">
        <v>146.46473600000002</v>
      </c>
      <c r="AC926" s="579">
        <v>146.46473600000002</v>
      </c>
      <c r="AD926" s="160"/>
      <c r="AE926" s="160"/>
      <c r="AF926" s="160"/>
      <c r="AG926" s="160"/>
      <c r="AH926" s="163"/>
      <c r="AK926" s="883"/>
      <c r="BB926" s="52">
        <f>(BD926+BD927)/(BE926+BE927)</f>
        <v>2.2712468897758296</v>
      </c>
      <c r="BC926" s="909" t="str">
        <f>CONCATENATE(G926," ",J926," Year EUL")</f>
        <v>Cooling RES 10 Year EUL</v>
      </c>
      <c r="BD926" s="114">
        <f>(INDEX('Avoided Cost Benefits'!$C$4:$C$857,MATCH(BC926,'Avoided Cost Benefits'!$A$4:$A$857,0)))*F926</f>
        <v>150.05878460057392</v>
      </c>
      <c r="BE926" s="1949">
        <f>K926/(1.0595^(2020-2019))</f>
        <v>66.068900424728639</v>
      </c>
    </row>
    <row r="927" spans="2:57" x14ac:dyDescent="0.25">
      <c r="B927" s="1233"/>
      <c r="C927" s="2667" t="s">
        <v>2019</v>
      </c>
      <c r="D927" s="2667" t="s">
        <v>1585</v>
      </c>
      <c r="E927" s="3116" t="str">
        <f>CONCATENATE(E925,"_CompE")</f>
        <v>Setback thermostat - full setback - gas heating / central AC MF_CompE</v>
      </c>
      <c r="F927" s="1460">
        <v>0</v>
      </c>
      <c r="G927" s="2667" t="s">
        <v>259</v>
      </c>
      <c r="H927" s="155">
        <f>VLOOKUP(G927,'CP FACTORS'!$A$3:$B$38, 2, FALSE)</f>
        <v>0</v>
      </c>
      <c r="I927" s="1531">
        <f t="shared" si="128"/>
        <v>0</v>
      </c>
      <c r="J927" s="2298">
        <f t="shared" si="127"/>
        <v>10</v>
      </c>
      <c r="K927" s="2297">
        <v>0</v>
      </c>
      <c r="L927" s="2667" t="s">
        <v>185</v>
      </c>
      <c r="R927" s="1431"/>
      <c r="V927" s="160" t="str">
        <f t="shared" si="131"/>
        <v>kWh Annual Savings</v>
      </c>
      <c r="W927" s="423"/>
      <c r="X927" s="424"/>
      <c r="Y927" s="675">
        <v>0</v>
      </c>
      <c r="Z927" s="579">
        <v>0</v>
      </c>
      <c r="AA927" s="579">
        <v>0</v>
      </c>
      <c r="AB927" s="579">
        <v>0</v>
      </c>
      <c r="AC927" s="579">
        <v>0</v>
      </c>
      <c r="AD927" s="160"/>
      <c r="AE927" s="160"/>
      <c r="AF927" s="160"/>
      <c r="AG927" s="160"/>
      <c r="AH927" s="163"/>
      <c r="AK927" s="883"/>
      <c r="BB927" s="978"/>
      <c r="BC927" s="995" t="str">
        <f>CONCATENATE(G927," ",J927," Year EUL")</f>
        <v>Heating RES 10 Year EUL</v>
      </c>
      <c r="BD927" s="114">
        <f>(INDEX('Avoided Cost Benefits'!$C$4:$C$857,MATCH(BC927,'Avoided Cost Benefits'!$A$4:$A$857,0)))*F927</f>
        <v>0</v>
      </c>
      <c r="BE927" s="1949">
        <f>K927/(1.0595^(2020-2019))</f>
        <v>0</v>
      </c>
    </row>
    <row r="928" spans="2:57" x14ac:dyDescent="0.25">
      <c r="B928" s="1233"/>
      <c r="C928" s="2667" t="s">
        <v>2020</v>
      </c>
      <c r="D928" s="2695" t="s">
        <v>1571</v>
      </c>
      <c r="E928" s="1699" t="s">
        <v>2021</v>
      </c>
      <c r="F928" s="1460">
        <f>ROUND(F946*F953*1/F$956*F$957*F$958*F$959/1000,2)</f>
        <v>358.2</v>
      </c>
      <c r="G928" s="2667" t="s">
        <v>258</v>
      </c>
      <c r="H928" s="155">
        <f>VLOOKUP(G928,'CP FACTORS'!$A$3:$B$38, 2, FALSE)</f>
        <v>9.4741810000000004E-4</v>
      </c>
      <c r="I928" s="1531">
        <f t="shared" si="128"/>
        <v>0.33936500000000003</v>
      </c>
      <c r="J928" s="2298">
        <f t="shared" si="127"/>
        <v>10</v>
      </c>
      <c r="K928" s="2297">
        <f>$F$990</f>
        <v>70</v>
      </c>
      <c r="L928" s="2667" t="s">
        <v>185</v>
      </c>
      <c r="R928" s="1431"/>
      <c r="V928" s="160" t="str">
        <f t="shared" si="131"/>
        <v>kWh Annual Savings</v>
      </c>
      <c r="W928" s="423">
        <v>157.60714909090908</v>
      </c>
      <c r="X928" s="424">
        <v>750.57839999999999</v>
      </c>
      <c r="Y928" s="675">
        <v>358.2</v>
      </c>
      <c r="Z928" s="579">
        <v>358.2</v>
      </c>
      <c r="AA928" s="579">
        <v>358.2</v>
      </c>
      <c r="AB928" s="579">
        <v>358.2</v>
      </c>
      <c r="AC928" s="579">
        <v>358.2</v>
      </c>
      <c r="AD928" s="160"/>
      <c r="AE928" s="160"/>
      <c r="AF928" s="160"/>
      <c r="AG928" s="160"/>
      <c r="AH928" s="163"/>
      <c r="AK928" s="883"/>
      <c r="BB928" s="52">
        <f>(BD928+BD929)/(BE928+BE929)</f>
        <v>5.5546519806494716</v>
      </c>
      <c r="BC928" s="909" t="str">
        <f t="shared" si="129"/>
        <v>Cooling RES 10 Year EUL</v>
      </c>
      <c r="BD928" s="114">
        <f>(INDEX('Avoided Cost Benefits'!$C$4:$C$857,MATCH(BC928,'Avoided Cost Benefits'!$A$4:$A$857,0)))*F928</f>
        <v>366.98974860355167</v>
      </c>
      <c r="BE928" s="1949">
        <f t="shared" si="130"/>
        <v>66.068900424728639</v>
      </c>
    </row>
    <row r="929" spans="2:57" x14ac:dyDescent="0.25">
      <c r="B929" s="1233"/>
      <c r="C929" s="2667" t="s">
        <v>2020</v>
      </c>
      <c r="D929" s="2695" t="s">
        <v>1571</v>
      </c>
      <c r="E929" s="1700" t="s">
        <v>2021</v>
      </c>
      <c r="F929" s="1460">
        <v>0</v>
      </c>
      <c r="G929" s="2667" t="s">
        <v>259</v>
      </c>
      <c r="H929" s="155">
        <f>VLOOKUP(G929,'CP FACTORS'!$A$3:$B$38, 2, FALSE)</f>
        <v>0</v>
      </c>
      <c r="I929" s="1531">
        <f t="shared" si="128"/>
        <v>0</v>
      </c>
      <c r="J929" s="2298">
        <f t="shared" si="127"/>
        <v>10</v>
      </c>
      <c r="K929" s="2297">
        <v>0</v>
      </c>
      <c r="L929" s="2667" t="s">
        <v>185</v>
      </c>
      <c r="R929" s="1431"/>
      <c r="V929" s="160" t="str">
        <f t="shared" si="131"/>
        <v>kWh Annual Savings</v>
      </c>
      <c r="W929" s="423">
        <v>0</v>
      </c>
      <c r="X929" s="424">
        <v>0</v>
      </c>
      <c r="Y929" s="675">
        <v>0</v>
      </c>
      <c r="Z929" s="579">
        <v>0</v>
      </c>
      <c r="AA929" s="579">
        <v>0</v>
      </c>
      <c r="AB929" s="579">
        <v>0</v>
      </c>
      <c r="AC929" s="579">
        <v>0</v>
      </c>
      <c r="AD929" s="160"/>
      <c r="AE929" s="160"/>
      <c r="AF929" s="160"/>
      <c r="AG929" s="160"/>
      <c r="AH929" s="163"/>
      <c r="AK929" s="883"/>
      <c r="BB929" s="978"/>
      <c r="BC929" s="995" t="str">
        <f t="shared" si="129"/>
        <v>Heating RES 10 Year EUL</v>
      </c>
      <c r="BD929" s="114">
        <f>(INDEX('Avoided Cost Benefits'!$C$4:$C$857,MATCH(BC929,'Avoided Cost Benefits'!$A$4:$A$857,0)))*F929</f>
        <v>0</v>
      </c>
      <c r="BE929" s="1949">
        <f t="shared" si="130"/>
        <v>0</v>
      </c>
    </row>
    <row r="930" spans="2:57" x14ac:dyDescent="0.25">
      <c r="B930" s="1233"/>
      <c r="C930" s="2667" t="s">
        <v>2022</v>
      </c>
      <c r="D930" s="2695" t="s">
        <v>1577</v>
      </c>
      <c r="E930" s="1699" t="s">
        <v>2023</v>
      </c>
      <c r="F930" s="1460">
        <f>ROUND($F$946*$F$954*1/$F$956*$F$957*$F$958*$F$959/1000,2)</f>
        <v>201.39</v>
      </c>
      <c r="G930" s="2667" t="s">
        <v>258</v>
      </c>
      <c r="H930" s="155">
        <f>VLOOKUP(G930,'CP FACTORS'!$A$3:$B$38, 2, FALSE)</f>
        <v>9.4741810000000004E-4</v>
      </c>
      <c r="I930" s="1531">
        <f t="shared" si="128"/>
        <v>0.190801</v>
      </c>
      <c r="J930" s="2298">
        <f t="shared" si="127"/>
        <v>10</v>
      </c>
      <c r="K930" s="2297">
        <f>$F$990</f>
        <v>70</v>
      </c>
      <c r="L930" s="2667" t="s">
        <v>185</v>
      </c>
      <c r="R930" s="1431"/>
      <c r="V930" s="160" t="str">
        <f t="shared" si="131"/>
        <v>kWh Annual Savings</v>
      </c>
      <c r="W930" s="423">
        <v>102.44464690909089</v>
      </c>
      <c r="X930" s="424">
        <v>439.92233999999996</v>
      </c>
      <c r="Y930" s="675">
        <v>201.39</v>
      </c>
      <c r="Z930" s="579">
        <v>201.39</v>
      </c>
      <c r="AA930" s="579">
        <v>201.39</v>
      </c>
      <c r="AB930" s="579">
        <v>201.39</v>
      </c>
      <c r="AC930" s="579">
        <v>201.39</v>
      </c>
      <c r="AD930" s="160"/>
      <c r="AE930" s="160"/>
      <c r="AF930" s="160"/>
      <c r="AG930" s="160"/>
      <c r="AH930" s="163"/>
      <c r="AK930" s="883"/>
      <c r="BB930" s="52">
        <f>(BD930+BD931)/(BE930+BE931)</f>
        <v>3.1866889366792432</v>
      </c>
      <c r="BC930" s="909" t="str">
        <f t="shared" si="129"/>
        <v>Cooling RES 10 Year EUL</v>
      </c>
      <c r="BD930" s="114">
        <f>(INDEX('Avoided Cost Benefits'!$C$4:$C$857,MATCH(BC930,'Avoided Cost Benefits'!$A$4:$A$857,0)))*F930</f>
        <v>206.33184106998681</v>
      </c>
      <c r="BE930" s="1949">
        <f t="shared" si="130"/>
        <v>66.068900424728639</v>
      </c>
    </row>
    <row r="931" spans="2:57" x14ac:dyDescent="0.25">
      <c r="B931" s="1233"/>
      <c r="C931" s="2667" t="s">
        <v>2022</v>
      </c>
      <c r="D931" s="2695" t="s">
        <v>1577</v>
      </c>
      <c r="E931" s="1700" t="s">
        <v>2023</v>
      </c>
      <c r="F931" s="1460">
        <f>ROUND($F$966*$F$968*$F$976*(1/$F$984)*$F$986*$F$987*$F$988/1000,2)</f>
        <v>15.49</v>
      </c>
      <c r="G931" s="2667" t="s">
        <v>259</v>
      </c>
      <c r="H931" s="155">
        <f>VLOOKUP(G931,'CP FACTORS'!$A$3:$B$38, 2, FALSE)</f>
        <v>0</v>
      </c>
      <c r="I931" s="1531">
        <f t="shared" si="128"/>
        <v>0</v>
      </c>
      <c r="J931" s="2298">
        <f t="shared" si="127"/>
        <v>10</v>
      </c>
      <c r="K931" s="2297">
        <v>0</v>
      </c>
      <c r="L931" s="2667" t="s">
        <v>185</v>
      </c>
      <c r="R931" s="1431"/>
      <c r="V931" s="160" t="str">
        <f t="shared" si="131"/>
        <v>kWh Annual Savings</v>
      </c>
      <c r="W931" s="423">
        <v>125.36894234037186</v>
      </c>
      <c r="X931" s="424">
        <v>24.940157257477999</v>
      </c>
      <c r="Y931" s="675">
        <v>15.49</v>
      </c>
      <c r="Z931" s="579">
        <v>15.49</v>
      </c>
      <c r="AA931" s="579">
        <v>15.49</v>
      </c>
      <c r="AB931" s="579">
        <v>15.49</v>
      </c>
      <c r="AC931" s="579">
        <v>15.49</v>
      </c>
      <c r="AD931" s="160"/>
      <c r="AE931" s="160"/>
      <c r="AF931" s="160"/>
      <c r="AG931" s="160"/>
      <c r="AH931" s="163"/>
      <c r="AK931" s="883"/>
      <c r="BB931" s="978"/>
      <c r="BC931" s="995" t="str">
        <f t="shared" si="129"/>
        <v>Heating RES 10 Year EUL</v>
      </c>
      <c r="BD931" s="114">
        <f>(INDEX('Avoided Cost Benefits'!$C$4:$C$857,MATCH(BC931,'Avoided Cost Benefits'!$A$4:$A$857,0)))*F931</f>
        <v>4.2091929720585037</v>
      </c>
      <c r="BE931" s="1949">
        <f t="shared" si="130"/>
        <v>0</v>
      </c>
    </row>
    <row r="932" spans="2:57" x14ac:dyDescent="0.25">
      <c r="B932" s="1233"/>
      <c r="C932" s="2667" t="s">
        <v>2024</v>
      </c>
      <c r="D932" s="2667" t="s">
        <v>1585</v>
      </c>
      <c r="E932" s="3115" t="str">
        <f>CONCATENATE(E930,"_CompE")</f>
        <v>Setback thermostat - full setback - Unknown MF_CompE</v>
      </c>
      <c r="F932" s="1460">
        <f>ROUND($F$947*$F$954*1/$F$956*$F$957*$F$958*$F$959/1000,2)</f>
        <v>146.46</v>
      </c>
      <c r="G932" s="2667" t="s">
        <v>258</v>
      </c>
      <c r="H932" s="155">
        <f>VLOOKUP(G932,'CP FACTORS'!$A$3:$B$38, 2, FALSE)</f>
        <v>9.4741810000000004E-4</v>
      </c>
      <c r="I932" s="1531">
        <f t="shared" si="128"/>
        <v>0.13875899999999999</v>
      </c>
      <c r="J932" s="2298">
        <f t="shared" si="127"/>
        <v>10</v>
      </c>
      <c r="K932" s="2297">
        <f>$F$990</f>
        <v>70</v>
      </c>
      <c r="L932" s="2667" t="s">
        <v>185</v>
      </c>
      <c r="R932" s="1431"/>
      <c r="V932" s="160" t="str">
        <f t="shared" si="131"/>
        <v>kWh Annual Savings</v>
      </c>
      <c r="W932" s="423"/>
      <c r="X932" s="424"/>
      <c r="Y932" s="675">
        <v>146.46</v>
      </c>
      <c r="Z932" s="579">
        <v>146.46</v>
      </c>
      <c r="AA932" s="579">
        <v>146.46</v>
      </c>
      <c r="AB932" s="579">
        <v>146.46</v>
      </c>
      <c r="AC932" s="579">
        <v>146.46</v>
      </c>
      <c r="AD932" s="160"/>
      <c r="AE932" s="160"/>
      <c r="AF932" s="160"/>
      <c r="AG932" s="160"/>
      <c r="AH932" s="163"/>
      <c r="AK932" s="883"/>
      <c r="BB932" s="52">
        <f>(BD932+BD933)/(BE932+BE933)</f>
        <v>2.2928896695197545</v>
      </c>
      <c r="BC932" s="909" t="str">
        <f>CONCATENATE(G932," ",J932," Year EUL")</f>
        <v>Cooling RES 10 Year EUL</v>
      </c>
      <c r="BD932" s="114">
        <f>(INDEX('Avoided Cost Benefits'!$C$4:$C$857,MATCH(BC932,'Avoided Cost Benefits'!$A$4:$A$857,0)))*F932</f>
        <v>150.05393238547231</v>
      </c>
      <c r="BE932" s="1949">
        <f>K932/(1.0595^(2020-2019))</f>
        <v>66.068900424728639</v>
      </c>
    </row>
    <row r="933" spans="2:57" x14ac:dyDescent="0.25">
      <c r="B933" s="1233"/>
      <c r="C933" s="2667" t="s">
        <v>2024</v>
      </c>
      <c r="D933" s="2667" t="s">
        <v>1585</v>
      </c>
      <c r="E933" s="3116" t="str">
        <f>CONCATENATE(E931,"_CompE")</f>
        <v>Setback thermostat - full setback - Unknown MF_CompE</v>
      </c>
      <c r="F933" s="1460">
        <f>ROUND($F$966*$F$969*$F$976*(1/$F$984)*$F$986*$F$987*$F$988/1000,2)</f>
        <v>5.28</v>
      </c>
      <c r="G933" s="2667" t="s">
        <v>259</v>
      </c>
      <c r="H933" s="155">
        <f>VLOOKUP(G933,'CP FACTORS'!$A$3:$B$38, 2, FALSE)</f>
        <v>0</v>
      </c>
      <c r="I933" s="1531">
        <f t="shared" si="128"/>
        <v>0</v>
      </c>
      <c r="J933" s="2298">
        <f t="shared" si="127"/>
        <v>10</v>
      </c>
      <c r="K933" s="2297">
        <v>0</v>
      </c>
      <c r="L933" s="2667" t="s">
        <v>185</v>
      </c>
      <c r="R933" s="1431"/>
      <c r="V933" s="160" t="str">
        <f t="shared" si="131"/>
        <v>kWh Annual Savings</v>
      </c>
      <c r="W933" s="423"/>
      <c r="X933" s="424"/>
      <c r="Y933" s="675">
        <v>5.28</v>
      </c>
      <c r="Z933" s="579">
        <v>5.28</v>
      </c>
      <c r="AA933" s="579">
        <v>5.28</v>
      </c>
      <c r="AB933" s="579">
        <v>5.28</v>
      </c>
      <c r="AC933" s="579">
        <v>5.28</v>
      </c>
      <c r="AD933" s="160"/>
      <c r="AE933" s="160"/>
      <c r="AF933" s="160"/>
      <c r="AG933" s="160"/>
      <c r="AH933" s="163"/>
      <c r="AK933" s="883"/>
      <c r="BB933" s="978"/>
      <c r="BC933" s="995" t="str">
        <f>CONCATENATE(G933," ",J933," Year EUL")</f>
        <v>Heating RES 10 Year EUL</v>
      </c>
      <c r="BD933" s="114">
        <f>(INDEX('Avoided Cost Benefits'!$C$4:$C$857,MATCH(BC933,'Avoided Cost Benefits'!$A$4:$A$857,0)))*F933</f>
        <v>1.434766874917295</v>
      </c>
      <c r="BE933" s="1949">
        <f>K933/(1.0595^(2020-2019))</f>
        <v>0</v>
      </c>
    </row>
    <row r="934" spans="2:57" x14ac:dyDescent="0.25">
      <c r="B934" s="1233"/>
      <c r="C934" s="2667" t="s">
        <v>2025</v>
      </c>
      <c r="D934" s="2695" t="s">
        <v>1571</v>
      </c>
      <c r="E934" s="1699" t="s">
        <v>2026</v>
      </c>
      <c r="F934" s="1460">
        <f>ROUND(F946*F955*1/F$956*F$957*F$958*F$959/1000,2)</f>
        <v>358.2</v>
      </c>
      <c r="G934" s="2667" t="s">
        <v>258</v>
      </c>
      <c r="H934" s="155">
        <f>VLOOKUP(G934,'CP FACTORS'!$A$3:$B$38, 2, FALSE)</f>
        <v>9.4741810000000004E-4</v>
      </c>
      <c r="I934" s="1531">
        <f t="shared" si="128"/>
        <v>0.33936500000000003</v>
      </c>
      <c r="J934" s="2298">
        <f t="shared" si="127"/>
        <v>10</v>
      </c>
      <c r="K934" s="2297">
        <f>$F$990</f>
        <v>70</v>
      </c>
      <c r="L934" s="2667" t="s">
        <v>185</v>
      </c>
      <c r="R934" s="1431"/>
      <c r="V934" s="160" t="str">
        <f t="shared" si="131"/>
        <v>kWh Annual Savings</v>
      </c>
      <c r="W934" s="423">
        <v>157.60714909090908</v>
      </c>
      <c r="X934" s="424">
        <v>750.57839999999999</v>
      </c>
      <c r="Y934" s="675">
        <v>358.2</v>
      </c>
      <c r="Z934" s="579">
        <v>358.2</v>
      </c>
      <c r="AA934" s="579">
        <v>358.2</v>
      </c>
      <c r="AB934" s="579">
        <v>358.2</v>
      </c>
      <c r="AC934" s="579">
        <v>358.2</v>
      </c>
      <c r="AD934" s="160"/>
      <c r="AE934" s="160"/>
      <c r="AF934" s="160"/>
      <c r="AG934" s="160"/>
      <c r="AH934" s="163"/>
      <c r="AK934" s="883"/>
      <c r="BB934" s="52">
        <f>(BD934+BD935)/(BE934+BE935)</f>
        <v>5.6876227080399149</v>
      </c>
      <c r="BC934" s="909" t="str">
        <f t="shared" si="129"/>
        <v>Cooling RES 10 Year EUL</v>
      </c>
      <c r="BD934" s="114">
        <f>(INDEX('Avoided Cost Benefits'!$C$4:$C$857,MATCH(BC934,'Avoided Cost Benefits'!$A$4:$A$857,0)))*F934</f>
        <v>366.98974860355167</v>
      </c>
      <c r="BE934" s="1949">
        <f t="shared" si="130"/>
        <v>66.068900424728639</v>
      </c>
    </row>
    <row r="935" spans="2:57" x14ac:dyDescent="0.25">
      <c r="B935" s="1233"/>
      <c r="C935" s="2667" t="s">
        <v>2025</v>
      </c>
      <c r="D935" s="2695" t="s">
        <v>1571</v>
      </c>
      <c r="E935" s="1700" t="s">
        <v>2026</v>
      </c>
      <c r="F935" s="1460">
        <f>ROUND(F967*F968*F977*(1/F985)*F$986*F$987*F$988/1000,2)</f>
        <v>32.33</v>
      </c>
      <c r="G935" s="2667" t="s">
        <v>259</v>
      </c>
      <c r="H935" s="155">
        <f>VLOOKUP(G935,'CP FACTORS'!$A$3:$B$38, 2, FALSE)</f>
        <v>0</v>
      </c>
      <c r="I935" s="1531">
        <f t="shared" si="128"/>
        <v>0</v>
      </c>
      <c r="J935" s="2298">
        <f t="shared" si="127"/>
        <v>10</v>
      </c>
      <c r="K935" s="2297">
        <v>0</v>
      </c>
      <c r="L935" s="2667" t="s">
        <v>185</v>
      </c>
      <c r="R935" s="1431"/>
      <c r="V935" s="160" t="str">
        <f t="shared" si="131"/>
        <v>kWh Annual Savings</v>
      </c>
      <c r="W935" s="423">
        <v>192.87529590826432</v>
      </c>
      <c r="X935" s="424">
        <v>50.176989004732967</v>
      </c>
      <c r="Y935" s="675">
        <v>32.33</v>
      </c>
      <c r="Z935" s="579">
        <v>32.33</v>
      </c>
      <c r="AA935" s="579">
        <v>32.33</v>
      </c>
      <c r="AB935" s="579">
        <v>32.33</v>
      </c>
      <c r="AC935" s="579">
        <v>32.33</v>
      </c>
      <c r="AD935" s="160"/>
      <c r="AE935" s="160"/>
      <c r="AF935" s="160"/>
      <c r="AG935" s="160"/>
      <c r="AH935" s="163"/>
      <c r="AK935" s="883"/>
      <c r="BB935" s="980"/>
      <c r="BC935" s="995" t="str">
        <f t="shared" si="129"/>
        <v>Heating RES 10 Year EUL</v>
      </c>
      <c r="BD935" s="119">
        <f>(INDEX('Avoided Cost Benefits'!$C$4:$C$857,MATCH(BC935,'Avoided Cost Benefits'!$A$4:$A$857,0)))*F935</f>
        <v>8.7852297473629068</v>
      </c>
      <c r="BE935" s="1950">
        <f t="shared" si="130"/>
        <v>0</v>
      </c>
    </row>
    <row r="936" spans="2:57" hidden="1" outlineLevel="1" x14ac:dyDescent="0.25">
      <c r="B936" s="1233"/>
      <c r="C936" s="225"/>
      <c r="F936" s="248"/>
      <c r="AK936" s="883"/>
    </row>
    <row r="937" spans="2:57" ht="18" hidden="1" customHeight="1" outlineLevel="1" x14ac:dyDescent="0.25">
      <c r="B937" s="1233"/>
      <c r="C937" s="253"/>
      <c r="D937" s="174" t="s">
        <v>108</v>
      </c>
      <c r="E937" s="3225"/>
      <c r="F937" s="928"/>
      <c r="G937" s="928"/>
      <c r="H937" s="928"/>
      <c r="I937" s="1072"/>
      <c r="J937" s="1072"/>
      <c r="K937" s="1072"/>
      <c r="L937" s="1072"/>
      <c r="AK937" s="883"/>
    </row>
    <row r="938" spans="2:57" hidden="1" outlineLevel="1" x14ac:dyDescent="0.25">
      <c r="B938" s="1233"/>
      <c r="C938" s="267"/>
      <c r="D938" s="3225"/>
      <c r="E938" s="3225"/>
      <c r="F938" s="928"/>
      <c r="G938" s="928"/>
      <c r="H938" s="928"/>
      <c r="I938" s="1072"/>
      <c r="J938" s="1072"/>
      <c r="K938" s="1072"/>
      <c r="L938" s="1072"/>
      <c r="V938" s="224" t="str">
        <f t="shared" ref="V938:V944" si="132">IF(C936&gt;0,C936," ")</f>
        <v xml:space="preserve"> </v>
      </c>
      <c r="AK938" s="883"/>
    </row>
    <row r="939" spans="2:57" hidden="1" outlineLevel="1" x14ac:dyDescent="0.25">
      <c r="B939" s="1233"/>
      <c r="C939" s="267"/>
      <c r="D939" s="3225"/>
      <c r="E939" s="3225"/>
      <c r="F939" s="928"/>
      <c r="G939" s="928"/>
      <c r="H939" s="928"/>
      <c r="I939" s="1072"/>
      <c r="J939" s="1072"/>
      <c r="K939" s="1072"/>
      <c r="L939" s="1072"/>
      <c r="V939" s="224" t="str">
        <f t="shared" si="132"/>
        <v xml:space="preserve"> </v>
      </c>
      <c r="AK939" s="883"/>
    </row>
    <row r="940" spans="2:57" hidden="1" outlineLevel="1" x14ac:dyDescent="0.25">
      <c r="B940" s="1233"/>
      <c r="C940" s="268"/>
      <c r="D940" s="3225"/>
      <c r="E940" s="3225"/>
      <c r="F940" s="928"/>
      <c r="G940" s="928"/>
      <c r="H940" s="928"/>
      <c r="I940" s="1072"/>
      <c r="J940" s="1072"/>
      <c r="K940" s="1072"/>
      <c r="L940" s="1072"/>
      <c r="V940" s="224" t="str">
        <f t="shared" si="132"/>
        <v xml:space="preserve"> </v>
      </c>
      <c r="AK940" s="883"/>
    </row>
    <row r="941" spans="2:57" hidden="1" outlineLevel="1" x14ac:dyDescent="0.25">
      <c r="B941" s="1233"/>
      <c r="C941" s="268"/>
      <c r="D941" s="3225"/>
      <c r="E941" s="3225"/>
      <c r="F941" s="928"/>
      <c r="G941" s="928"/>
      <c r="H941" s="928"/>
      <c r="I941" s="1072"/>
      <c r="J941" s="1072"/>
      <c r="K941" s="1072"/>
      <c r="L941" s="1072"/>
      <c r="V941" s="224" t="str">
        <f t="shared" si="132"/>
        <v xml:space="preserve"> </v>
      </c>
      <c r="AK941" s="883"/>
    </row>
    <row r="942" spans="2:57" hidden="1" outlineLevel="1" x14ac:dyDescent="0.25">
      <c r="B942" s="1233"/>
      <c r="C942" s="268"/>
      <c r="D942" s="3225"/>
      <c r="E942" s="3225"/>
      <c r="F942" s="928"/>
      <c r="G942" s="928"/>
      <c r="H942" s="928"/>
      <c r="I942" s="1072"/>
      <c r="J942" s="1072"/>
      <c r="K942" s="1072"/>
      <c r="L942" s="1072"/>
      <c r="V942" s="224" t="str">
        <f t="shared" si="132"/>
        <v xml:space="preserve"> </v>
      </c>
      <c r="AK942" s="883"/>
    </row>
    <row r="943" spans="2:57" ht="15" hidden="1" customHeight="1" outlineLevel="1" x14ac:dyDescent="0.25">
      <c r="B943" s="1233"/>
      <c r="C943" s="268"/>
      <c r="D943" s="3225"/>
      <c r="E943" s="3225"/>
      <c r="F943" s="928"/>
      <c r="G943" s="928"/>
      <c r="H943" s="928"/>
      <c r="I943" s="1072"/>
      <c r="J943" s="1072"/>
      <c r="K943" s="1072"/>
      <c r="L943" s="1072"/>
      <c r="V943" s="224" t="str">
        <f t="shared" si="132"/>
        <v xml:space="preserve"> </v>
      </c>
      <c r="AK943" s="883"/>
    </row>
    <row r="944" spans="2:57" hidden="1" outlineLevel="1" x14ac:dyDescent="0.25">
      <c r="B944" s="1233"/>
      <c r="C944" s="225"/>
      <c r="D944" s="429"/>
      <c r="E944" s="429"/>
      <c r="F944" s="910"/>
      <c r="G944" s="910"/>
      <c r="H944" s="910"/>
      <c r="V944" s="224" t="str">
        <f t="shared" si="132"/>
        <v xml:space="preserve"> </v>
      </c>
      <c r="AK944" s="883"/>
    </row>
    <row r="945" spans="2:37" hidden="1" outlineLevel="1" x14ac:dyDescent="0.25">
      <c r="B945" s="1233"/>
      <c r="C945" s="225"/>
      <c r="D945" s="3236" t="s">
        <v>109</v>
      </c>
      <c r="E945" s="3236" t="s">
        <v>110</v>
      </c>
      <c r="F945" s="3086" t="s">
        <v>112</v>
      </c>
      <c r="G945" s="3086" t="s">
        <v>187</v>
      </c>
      <c r="H945" s="3086" t="s">
        <v>283</v>
      </c>
      <c r="V945" s="1936" t="s">
        <v>45</v>
      </c>
      <c r="W945" s="1937">
        <f>W$6</f>
        <v>43252</v>
      </c>
      <c r="X945" s="1937">
        <f t="shared" ref="X945:AG945" si="133">X$6</f>
        <v>43465</v>
      </c>
      <c r="Y945" s="360">
        <f t="shared" si="133"/>
        <v>43800</v>
      </c>
      <c r="Z945" s="1937">
        <f t="shared" si="133"/>
        <v>43862</v>
      </c>
      <c r="AA945" s="1937">
        <f t="shared" si="133"/>
        <v>44013</v>
      </c>
      <c r="AB945" s="1937">
        <f t="shared" si="133"/>
        <v>44166</v>
      </c>
      <c r="AC945" s="1937">
        <f t="shared" si="133"/>
        <v>44531</v>
      </c>
      <c r="AD945" s="1937" t="str">
        <f t="shared" si="133"/>
        <v>-</v>
      </c>
      <c r="AE945" s="1937" t="str">
        <f t="shared" si="133"/>
        <v>-</v>
      </c>
      <c r="AF945" s="1937" t="str">
        <f t="shared" si="133"/>
        <v>-</v>
      </c>
      <c r="AG945" s="1937" t="str">
        <f t="shared" si="133"/>
        <v>-</v>
      </c>
      <c r="AK945" s="883"/>
    </row>
    <row r="946" spans="2:37" hidden="1" outlineLevel="1" x14ac:dyDescent="0.25">
      <c r="B946" s="1233"/>
      <c r="C946" s="225"/>
      <c r="D946" s="4244" t="s">
        <v>1597</v>
      </c>
      <c r="E946" s="981" t="s">
        <v>315</v>
      </c>
      <c r="F946" s="946">
        <v>869</v>
      </c>
      <c r="G946" s="3117" t="s">
        <v>1153</v>
      </c>
      <c r="H946" s="982"/>
      <c r="V946" s="4247" t="str">
        <f>D946</f>
        <v>EFLHcool</v>
      </c>
      <c r="W946" s="901">
        <v>1215</v>
      </c>
      <c r="X946" s="930">
        <v>1215</v>
      </c>
      <c r="Y946" s="930">
        <v>869</v>
      </c>
      <c r="Z946" s="946">
        <v>869</v>
      </c>
      <c r="AA946" s="946">
        <v>869</v>
      </c>
      <c r="AB946" s="946">
        <v>869</v>
      </c>
      <c r="AC946" s="946">
        <v>869</v>
      </c>
      <c r="AD946" s="901"/>
      <c r="AE946" s="901"/>
      <c r="AF946" s="901"/>
      <c r="AG946" s="901"/>
      <c r="AK946" s="883"/>
    </row>
    <row r="947" spans="2:37" ht="23.25" hidden="1" customHeight="1" outlineLevel="1" x14ac:dyDescent="0.25">
      <c r="B947" s="1233"/>
      <c r="C947" s="225"/>
      <c r="D947" s="4245"/>
      <c r="E947" s="981" t="s">
        <v>527</v>
      </c>
      <c r="F947" s="946">
        <v>632</v>
      </c>
      <c r="G947" s="3117" t="s">
        <v>1153</v>
      </c>
      <c r="H947" s="982"/>
      <c r="V947" s="4248"/>
      <c r="W947" s="901"/>
      <c r="X947" s="930"/>
      <c r="Y947" s="942">
        <v>632</v>
      </c>
      <c r="Z947" s="946">
        <v>632</v>
      </c>
      <c r="AA947" s="946">
        <v>632</v>
      </c>
      <c r="AB947" s="946">
        <v>632</v>
      </c>
      <c r="AC947" s="946">
        <v>632</v>
      </c>
      <c r="AD947" s="901"/>
      <c r="AE947" s="901"/>
      <c r="AF947" s="901"/>
      <c r="AG947" s="901"/>
      <c r="AK947" s="883"/>
    </row>
    <row r="948" spans="2:37" ht="30" hidden="1" outlineLevel="1" x14ac:dyDescent="0.25">
      <c r="B948" s="1233"/>
      <c r="C948" s="225"/>
      <c r="D948" s="4244" t="s">
        <v>2027</v>
      </c>
      <c r="E948" s="981" t="s">
        <v>2008</v>
      </c>
      <c r="F948" s="2483">
        <v>20240</v>
      </c>
      <c r="G948" s="1163" t="s">
        <v>2028</v>
      </c>
      <c r="H948" s="982"/>
      <c r="V948" s="4247" t="str">
        <f>D948</f>
        <v>CapacityCooling</v>
      </c>
      <c r="W948" s="901">
        <f>0.65*36000</f>
        <v>23400</v>
      </c>
      <c r="X948" s="942">
        <v>21100</v>
      </c>
      <c r="Y948" s="929">
        <v>20240</v>
      </c>
      <c r="Z948" s="1203">
        <v>20240</v>
      </c>
      <c r="AA948" s="1203">
        <v>20240</v>
      </c>
      <c r="AB948" s="1203">
        <v>20240</v>
      </c>
      <c r="AC948" s="2483">
        <v>20240</v>
      </c>
      <c r="AD948" s="919"/>
      <c r="AE948" s="919"/>
      <c r="AF948" s="919"/>
      <c r="AG948" s="919"/>
      <c r="AK948" s="883"/>
    </row>
    <row r="949" spans="2:37" hidden="1" outlineLevel="1" x14ac:dyDescent="0.25">
      <c r="B949" s="1233"/>
      <c r="C949" s="225"/>
      <c r="D949" s="4245"/>
      <c r="E949" s="981" t="s">
        <v>2011</v>
      </c>
      <c r="F949" s="2484">
        <v>36000</v>
      </c>
      <c r="G949" s="3201" t="s">
        <v>285</v>
      </c>
      <c r="H949" s="982"/>
      <c r="V949" s="4248"/>
      <c r="W949" s="901">
        <v>36000</v>
      </c>
      <c r="X949" s="930">
        <v>36000</v>
      </c>
      <c r="Y949" s="930">
        <v>36000</v>
      </c>
      <c r="Z949" s="946">
        <v>36000</v>
      </c>
      <c r="AA949" s="946">
        <v>36000</v>
      </c>
      <c r="AB949" s="946">
        <v>36000</v>
      </c>
      <c r="AC949" s="2484">
        <v>36000</v>
      </c>
      <c r="AD949" s="919"/>
      <c r="AE949" s="919"/>
      <c r="AF949" s="919"/>
      <c r="AG949" s="919"/>
      <c r="AK949" s="883"/>
    </row>
    <row r="950" spans="2:37" ht="30" hidden="1" outlineLevel="1" x14ac:dyDescent="0.25">
      <c r="B950" s="1233"/>
      <c r="C950" s="225"/>
      <c r="D950" s="4245"/>
      <c r="E950" s="3195" t="s">
        <v>2013</v>
      </c>
      <c r="F950" s="2483">
        <v>20240</v>
      </c>
      <c r="G950" s="1163" t="s">
        <v>2028</v>
      </c>
      <c r="H950" s="982"/>
      <c r="V950" s="4248"/>
      <c r="W950" s="901">
        <f>0.65*36000</f>
        <v>23400</v>
      </c>
      <c r="X950" s="942">
        <v>21100</v>
      </c>
      <c r="Y950" s="929">
        <v>20240</v>
      </c>
      <c r="Z950" s="1203">
        <v>20240</v>
      </c>
      <c r="AA950" s="1203">
        <v>20240</v>
      </c>
      <c r="AB950" s="1203">
        <v>20240</v>
      </c>
      <c r="AC950" s="2483">
        <v>20240</v>
      </c>
      <c r="AD950" s="919"/>
      <c r="AE950" s="919"/>
      <c r="AF950" s="919"/>
      <c r="AG950" s="919"/>
      <c r="AK950" s="883"/>
    </row>
    <row r="951" spans="2:37" hidden="1" outlineLevel="1" x14ac:dyDescent="0.25">
      <c r="B951" s="1233"/>
      <c r="C951" s="225"/>
      <c r="D951" s="4245"/>
      <c r="E951" s="3195" t="s">
        <v>2016</v>
      </c>
      <c r="F951" s="2484">
        <v>36000</v>
      </c>
      <c r="G951" s="3201" t="s">
        <v>285</v>
      </c>
      <c r="H951" s="982"/>
      <c r="V951" s="4248"/>
      <c r="W951" s="901">
        <v>36000</v>
      </c>
      <c r="X951" s="930">
        <v>36000</v>
      </c>
      <c r="Y951" s="930">
        <v>36000</v>
      </c>
      <c r="Z951" s="946">
        <v>36000</v>
      </c>
      <c r="AA951" s="946">
        <v>36000</v>
      </c>
      <c r="AB951" s="946">
        <v>36000</v>
      </c>
      <c r="AC951" s="2484">
        <v>36000</v>
      </c>
      <c r="AD951" s="919"/>
      <c r="AE951" s="919"/>
      <c r="AF951" s="919"/>
      <c r="AG951" s="919"/>
      <c r="AK951" s="883"/>
    </row>
    <row r="952" spans="2:37" ht="30" hidden="1" outlineLevel="1" x14ac:dyDescent="0.25">
      <c r="B952" s="1233"/>
      <c r="C952" s="225"/>
      <c r="D952" s="4245"/>
      <c r="E952" s="3195" t="s">
        <v>2018</v>
      </c>
      <c r="F952" s="2483">
        <v>20240</v>
      </c>
      <c r="G952" s="1163" t="s">
        <v>2028</v>
      </c>
      <c r="H952" s="982"/>
      <c r="V952" s="4248"/>
      <c r="W952" s="901">
        <f>0.65*36000</f>
        <v>23400</v>
      </c>
      <c r="X952" s="942">
        <v>21100</v>
      </c>
      <c r="Y952" s="929">
        <v>20240</v>
      </c>
      <c r="Z952" s="1203">
        <v>20240</v>
      </c>
      <c r="AA952" s="1203">
        <v>20240</v>
      </c>
      <c r="AB952" s="1203">
        <v>20240</v>
      </c>
      <c r="AC952" s="2483">
        <v>20240</v>
      </c>
      <c r="AD952" s="919"/>
      <c r="AE952" s="919"/>
      <c r="AF952" s="919"/>
      <c r="AG952" s="919"/>
      <c r="AK952" s="883"/>
    </row>
    <row r="953" spans="2:37" hidden="1" outlineLevel="1" x14ac:dyDescent="0.25">
      <c r="B953" s="1233"/>
      <c r="C953" s="225"/>
      <c r="D953" s="4245"/>
      <c r="E953" s="3195" t="s">
        <v>2021</v>
      </c>
      <c r="F953" s="2484">
        <v>36000</v>
      </c>
      <c r="G953" s="3201" t="s">
        <v>285</v>
      </c>
      <c r="H953" s="982"/>
      <c r="V953" s="4248"/>
      <c r="W953" s="901">
        <v>36000</v>
      </c>
      <c r="X953" s="930">
        <v>36000</v>
      </c>
      <c r="Y953" s="930">
        <v>36000</v>
      </c>
      <c r="Z953" s="946">
        <v>36000</v>
      </c>
      <c r="AA953" s="946">
        <v>36000</v>
      </c>
      <c r="AB953" s="946">
        <v>36000</v>
      </c>
      <c r="AC953" s="2484">
        <v>36000</v>
      </c>
      <c r="AD953" s="919"/>
      <c r="AE953" s="919"/>
      <c r="AF953" s="919"/>
      <c r="AG953" s="919"/>
      <c r="AK953" s="883"/>
    </row>
    <row r="954" spans="2:37" ht="30" hidden="1" outlineLevel="1" x14ac:dyDescent="0.25">
      <c r="B954" s="1233"/>
      <c r="C954" s="225"/>
      <c r="D954" s="4245"/>
      <c r="E954" s="981" t="s">
        <v>2023</v>
      </c>
      <c r="F954" s="2483">
        <v>20240</v>
      </c>
      <c r="G954" s="1163" t="s">
        <v>2028</v>
      </c>
      <c r="H954" s="982"/>
      <c r="V954" s="4248"/>
      <c r="W954" s="901">
        <f>0.65*36000</f>
        <v>23400</v>
      </c>
      <c r="X954" s="942">
        <v>21100</v>
      </c>
      <c r="Y954" s="929">
        <v>20240</v>
      </c>
      <c r="Z954" s="1203">
        <v>20240</v>
      </c>
      <c r="AA954" s="1203">
        <v>20240</v>
      </c>
      <c r="AB954" s="1203">
        <v>20240</v>
      </c>
      <c r="AC954" s="2483">
        <v>20240</v>
      </c>
      <c r="AD954" s="919"/>
      <c r="AE954" s="919"/>
      <c r="AF954" s="919"/>
      <c r="AG954" s="919"/>
      <c r="AK954" s="883"/>
    </row>
    <row r="955" spans="2:37" hidden="1" outlineLevel="1" x14ac:dyDescent="0.25">
      <c r="B955" s="1233"/>
      <c r="C955" s="225"/>
      <c r="D955" s="4246"/>
      <c r="E955" s="981" t="s">
        <v>2026</v>
      </c>
      <c r="F955" s="2484">
        <v>36000</v>
      </c>
      <c r="G955" s="3201" t="s">
        <v>285</v>
      </c>
      <c r="H955" s="982"/>
      <c r="V955" s="4249"/>
      <c r="W955" s="901">
        <v>36000</v>
      </c>
      <c r="X955" s="930">
        <v>36000</v>
      </c>
      <c r="Y955" s="930">
        <v>36000</v>
      </c>
      <c r="Z955" s="946">
        <v>36000</v>
      </c>
      <c r="AA955" s="946">
        <v>36000</v>
      </c>
      <c r="AB955" s="946">
        <v>36000</v>
      </c>
      <c r="AC955" s="2484">
        <v>36000</v>
      </c>
      <c r="AD955" s="919"/>
      <c r="AE955" s="919"/>
      <c r="AF955" s="919"/>
      <c r="AG955" s="919"/>
      <c r="AK955" s="883"/>
    </row>
    <row r="956" spans="2:37" ht="60" hidden="1" outlineLevel="1" x14ac:dyDescent="0.25">
      <c r="B956" s="1233"/>
      <c r="C956" s="225"/>
      <c r="D956" s="3218" t="s">
        <v>324</v>
      </c>
      <c r="E956" s="981" t="s">
        <v>135</v>
      </c>
      <c r="F956" s="946">
        <v>10</v>
      </c>
      <c r="G956" s="1197" t="s">
        <v>2029</v>
      </c>
      <c r="H956" s="3182" t="s">
        <v>289</v>
      </c>
      <c r="V956" s="917" t="str">
        <f>D956</f>
        <v>SEER</v>
      </c>
      <c r="W956" s="901">
        <v>11</v>
      </c>
      <c r="X956" s="942">
        <v>10</v>
      </c>
      <c r="Y956" s="946">
        <v>10</v>
      </c>
      <c r="Z956" s="946">
        <v>10</v>
      </c>
      <c r="AA956" s="946">
        <v>10</v>
      </c>
      <c r="AB956" s="946">
        <v>10</v>
      </c>
      <c r="AC956" s="946">
        <v>10</v>
      </c>
      <c r="AD956" s="901"/>
      <c r="AE956" s="901"/>
      <c r="AF956" s="901"/>
      <c r="AG956" s="901"/>
      <c r="AK956" s="883"/>
    </row>
    <row r="957" spans="2:37" ht="45" hidden="1" outlineLevel="1" x14ac:dyDescent="0.25">
      <c r="B957" s="1233"/>
      <c r="C957" s="225"/>
      <c r="D957" s="3218" t="s">
        <v>2030</v>
      </c>
      <c r="E957" s="981" t="s">
        <v>135</v>
      </c>
      <c r="F957" s="1073">
        <v>1.9083333333333337</v>
      </c>
      <c r="G957" s="3201" t="s">
        <v>2031</v>
      </c>
      <c r="H957" s="982"/>
      <c r="V957" s="917" t="str">
        <f>D957</f>
        <v>Sbdegreescooling</v>
      </c>
      <c r="W957" s="919">
        <v>3.67</v>
      </c>
      <c r="X957" s="1073">
        <v>3.67</v>
      </c>
      <c r="Y957" s="933">
        <v>1.9083333333333337</v>
      </c>
      <c r="Z957" s="1073">
        <v>1.9083333333333337</v>
      </c>
      <c r="AA957" s="1073">
        <v>1.9083333333333337</v>
      </c>
      <c r="AB957" s="1073">
        <v>1.9083333333333337</v>
      </c>
      <c r="AC957" s="1073">
        <v>1.9083333333333337</v>
      </c>
      <c r="AD957" s="919"/>
      <c r="AE957" s="919"/>
      <c r="AF957" s="919"/>
      <c r="AG957" s="919"/>
      <c r="AK957" s="883"/>
    </row>
    <row r="958" spans="2:37" ht="30" hidden="1" outlineLevel="1" x14ac:dyDescent="0.25">
      <c r="B958" s="1233"/>
      <c r="C958" s="225"/>
      <c r="D958" s="3218" t="s">
        <v>2032</v>
      </c>
      <c r="E958" s="981" t="s">
        <v>135</v>
      </c>
      <c r="F958" s="599">
        <v>0.06</v>
      </c>
      <c r="G958" s="3201" t="s">
        <v>2033</v>
      </c>
      <c r="H958" s="982"/>
      <c r="V958" s="917" t="str">
        <f>D958</f>
        <v>SFcooling</v>
      </c>
      <c r="W958" s="915">
        <v>0.06</v>
      </c>
      <c r="X958" s="931">
        <v>0.06</v>
      </c>
      <c r="Y958" s="598">
        <v>0.06</v>
      </c>
      <c r="Z958" s="599">
        <v>0.06</v>
      </c>
      <c r="AA958" s="599">
        <v>0.06</v>
      </c>
      <c r="AB958" s="599">
        <v>0.06</v>
      </c>
      <c r="AC958" s="599">
        <v>0.06</v>
      </c>
      <c r="AD958" s="915"/>
      <c r="AE958" s="915"/>
      <c r="AF958" s="915"/>
      <c r="AG958" s="915"/>
      <c r="AK958" s="883"/>
    </row>
    <row r="959" spans="2:37" ht="30" hidden="1" outlineLevel="1" x14ac:dyDescent="0.25">
      <c r="B959" s="1233"/>
      <c r="C959" s="225"/>
      <c r="D959" s="3218" t="s">
        <v>2034</v>
      </c>
      <c r="E959" s="981" t="s">
        <v>135</v>
      </c>
      <c r="F959" s="599">
        <v>1</v>
      </c>
      <c r="G959" s="1163" t="s">
        <v>2035</v>
      </c>
      <c r="H959" s="981"/>
      <c r="V959" s="917" t="str">
        <f>D959</f>
        <v>EFcooling</v>
      </c>
      <c r="W959" s="915">
        <v>0.18</v>
      </c>
      <c r="X959" s="598">
        <v>1</v>
      </c>
      <c r="Y959" s="599">
        <v>1</v>
      </c>
      <c r="Z959" s="599">
        <v>1</v>
      </c>
      <c r="AA959" s="599">
        <v>1</v>
      </c>
      <c r="AB959" s="599">
        <v>1</v>
      </c>
      <c r="AC959" s="599">
        <v>1</v>
      </c>
      <c r="AD959" s="915"/>
      <c r="AE959" s="915"/>
      <c r="AF959" s="915"/>
      <c r="AG959" s="915"/>
      <c r="AK959" s="883"/>
    </row>
    <row r="960" spans="2:37" hidden="1" outlineLevel="1" x14ac:dyDescent="0.25">
      <c r="B960" s="1233"/>
      <c r="C960" s="225"/>
      <c r="D960" s="4244" t="s">
        <v>284</v>
      </c>
      <c r="E960" s="981" t="s">
        <v>2008</v>
      </c>
      <c r="F960" s="599">
        <v>1</v>
      </c>
      <c r="G960" s="3201" t="s">
        <v>285</v>
      </c>
      <c r="H960" s="982"/>
      <c r="V960" s="4247" t="str">
        <f>D960</f>
        <v>%ElectricHeat</v>
      </c>
      <c r="W960" s="915">
        <v>1</v>
      </c>
      <c r="X960" s="931">
        <v>1</v>
      </c>
      <c r="Y960" s="931">
        <v>1</v>
      </c>
      <c r="Z960" s="599">
        <v>1</v>
      </c>
      <c r="AA960" s="599">
        <v>1</v>
      </c>
      <c r="AB960" s="599">
        <v>1</v>
      </c>
      <c r="AC960" s="599">
        <v>1</v>
      </c>
      <c r="AD960" s="915"/>
      <c r="AE960" s="915"/>
      <c r="AF960" s="915"/>
      <c r="AG960" s="915"/>
      <c r="AK960" s="883"/>
    </row>
    <row r="961" spans="2:37" hidden="1" outlineLevel="1" x14ac:dyDescent="0.25">
      <c r="B961" s="1233"/>
      <c r="C961" s="225"/>
      <c r="D961" s="4245"/>
      <c r="E961" s="981" t="s">
        <v>2011</v>
      </c>
      <c r="F961" s="599">
        <v>1</v>
      </c>
      <c r="G961" s="3201" t="s">
        <v>285</v>
      </c>
      <c r="H961" s="982"/>
      <c r="V961" s="4248"/>
      <c r="W961" s="915">
        <v>1</v>
      </c>
      <c r="X961" s="931">
        <v>1</v>
      </c>
      <c r="Y961" s="931">
        <v>1</v>
      </c>
      <c r="Z961" s="599">
        <v>1</v>
      </c>
      <c r="AA961" s="599">
        <v>1</v>
      </c>
      <c r="AB961" s="599">
        <v>1</v>
      </c>
      <c r="AC961" s="599">
        <v>1</v>
      </c>
      <c r="AD961" s="915"/>
      <c r="AE961" s="915"/>
      <c r="AF961" s="915"/>
      <c r="AG961" s="915"/>
      <c r="AK961" s="883"/>
    </row>
    <row r="962" spans="2:37" hidden="1" outlineLevel="1" x14ac:dyDescent="0.25">
      <c r="B962" s="1233"/>
      <c r="C962" s="225"/>
      <c r="D962" s="4245"/>
      <c r="E962" s="3195" t="s">
        <v>2013</v>
      </c>
      <c r="F962" s="599">
        <v>1</v>
      </c>
      <c r="G962" s="3201" t="s">
        <v>285</v>
      </c>
      <c r="H962" s="982"/>
      <c r="V962" s="4248"/>
      <c r="W962" s="915">
        <v>1</v>
      </c>
      <c r="X962" s="931">
        <v>1</v>
      </c>
      <c r="Y962" s="931">
        <v>1</v>
      </c>
      <c r="Z962" s="599">
        <v>1</v>
      </c>
      <c r="AA962" s="599">
        <v>1</v>
      </c>
      <c r="AB962" s="599">
        <v>1</v>
      </c>
      <c r="AC962" s="599">
        <v>1</v>
      </c>
      <c r="AD962" s="915"/>
      <c r="AE962" s="915"/>
      <c r="AF962" s="915"/>
      <c r="AG962" s="915"/>
      <c r="AK962" s="883"/>
    </row>
    <row r="963" spans="2:37" hidden="1" outlineLevel="1" x14ac:dyDescent="0.25">
      <c r="B963" s="1233"/>
      <c r="C963" s="225"/>
      <c r="D963" s="4245"/>
      <c r="E963" s="3195" t="s">
        <v>2016</v>
      </c>
      <c r="F963" s="599">
        <v>1</v>
      </c>
      <c r="G963" s="3201" t="s">
        <v>285</v>
      </c>
      <c r="H963" s="982"/>
      <c r="V963" s="4248"/>
      <c r="W963" s="915">
        <v>1</v>
      </c>
      <c r="X963" s="931">
        <v>1</v>
      </c>
      <c r="Y963" s="931">
        <v>1</v>
      </c>
      <c r="Z963" s="599">
        <v>1</v>
      </c>
      <c r="AA963" s="599">
        <v>1</v>
      </c>
      <c r="AB963" s="599">
        <v>1</v>
      </c>
      <c r="AC963" s="599">
        <v>1</v>
      </c>
      <c r="AD963" s="915"/>
      <c r="AE963" s="915"/>
      <c r="AF963" s="915"/>
      <c r="AG963" s="915"/>
      <c r="AK963" s="883"/>
    </row>
    <row r="964" spans="2:37" hidden="1" outlineLevel="1" x14ac:dyDescent="0.25">
      <c r="B964" s="1233"/>
      <c r="C964" s="225"/>
      <c r="D964" s="4245"/>
      <c r="E964" s="3195" t="s">
        <v>2018</v>
      </c>
      <c r="F964" s="599">
        <v>0</v>
      </c>
      <c r="G964" s="3201" t="s">
        <v>285</v>
      </c>
      <c r="H964" s="982"/>
      <c r="V964" s="4248"/>
      <c r="W964" s="915">
        <v>0</v>
      </c>
      <c r="X964" s="931">
        <v>0</v>
      </c>
      <c r="Y964" s="931">
        <v>0</v>
      </c>
      <c r="Z964" s="599">
        <v>0</v>
      </c>
      <c r="AA964" s="599">
        <v>0</v>
      </c>
      <c r="AB964" s="599">
        <v>0</v>
      </c>
      <c r="AC964" s="599">
        <v>0</v>
      </c>
      <c r="AD964" s="915"/>
      <c r="AE964" s="915"/>
      <c r="AF964" s="915"/>
      <c r="AG964" s="915"/>
      <c r="AK964" s="883"/>
    </row>
    <row r="965" spans="2:37" hidden="1" outlineLevel="1" x14ac:dyDescent="0.25">
      <c r="B965" s="1233"/>
      <c r="C965" s="225"/>
      <c r="D965" s="4245"/>
      <c r="E965" s="3195" t="s">
        <v>2021</v>
      </c>
      <c r="F965" s="599">
        <v>0</v>
      </c>
      <c r="G965" s="3201" t="s">
        <v>285</v>
      </c>
      <c r="H965" s="982"/>
      <c r="V965" s="4248"/>
      <c r="W965" s="915">
        <v>0</v>
      </c>
      <c r="X965" s="931">
        <v>0</v>
      </c>
      <c r="Y965" s="931">
        <v>0</v>
      </c>
      <c r="Z965" s="599">
        <v>0</v>
      </c>
      <c r="AA965" s="599">
        <v>0</v>
      </c>
      <c r="AB965" s="599">
        <v>0</v>
      </c>
      <c r="AC965" s="599">
        <v>0</v>
      </c>
      <c r="AD965" s="915"/>
      <c r="AE965" s="915"/>
      <c r="AF965" s="915"/>
      <c r="AG965" s="915"/>
      <c r="AK965" s="883"/>
    </row>
    <row r="966" spans="2:37" hidden="1" outlineLevel="1" x14ac:dyDescent="0.25">
      <c r="B966" s="1233"/>
      <c r="C966" s="225"/>
      <c r="D966" s="4245"/>
      <c r="E966" s="981" t="s">
        <v>2023</v>
      </c>
      <c r="F966" s="599">
        <f>0.35*0.71</f>
        <v>0.24849999999999997</v>
      </c>
      <c r="G966" s="3201" t="s">
        <v>285</v>
      </c>
      <c r="H966" s="982"/>
      <c r="V966" s="4248"/>
      <c r="W966" s="915">
        <f>0.35*0.71</f>
        <v>0.24849999999999997</v>
      </c>
      <c r="X966" s="931">
        <f>0.35*0.71</f>
        <v>0.24849999999999997</v>
      </c>
      <c r="Y966" s="931">
        <v>0.24849999999999997</v>
      </c>
      <c r="Z966" s="599">
        <v>0.24849999999999997</v>
      </c>
      <c r="AA966" s="599">
        <v>0.24849999999999997</v>
      </c>
      <c r="AB966" s="599">
        <v>0.24849999999999997</v>
      </c>
      <c r="AC966" s="599">
        <v>0.24849999999999997</v>
      </c>
      <c r="AD966" s="915"/>
      <c r="AE966" s="915"/>
      <c r="AF966" s="915"/>
      <c r="AG966" s="915"/>
      <c r="AK966" s="883"/>
    </row>
    <row r="967" spans="2:37" hidden="1" outlineLevel="1" x14ac:dyDescent="0.25">
      <c r="B967" s="1233"/>
      <c r="C967" s="225"/>
      <c r="D967" s="4246"/>
      <c r="E967" s="981" t="s">
        <v>2026</v>
      </c>
      <c r="F967" s="599">
        <f>0.35*0.71</f>
        <v>0.24849999999999997</v>
      </c>
      <c r="G967" s="3201" t="s">
        <v>285</v>
      </c>
      <c r="H967" s="982"/>
      <c r="V967" s="4249"/>
      <c r="W967" s="915">
        <f>0.35*0.71</f>
        <v>0.24849999999999997</v>
      </c>
      <c r="X967" s="931">
        <f>0.35*0.71</f>
        <v>0.24849999999999997</v>
      </c>
      <c r="Y967" s="931">
        <v>0.24849999999999997</v>
      </c>
      <c r="Z967" s="599">
        <v>0.24849999999999997</v>
      </c>
      <c r="AA967" s="599">
        <v>0.24849999999999997</v>
      </c>
      <c r="AB967" s="599">
        <v>0.24849999999999997</v>
      </c>
      <c r="AC967" s="599">
        <v>0.24849999999999997</v>
      </c>
      <c r="AD967" s="915"/>
      <c r="AE967" s="915"/>
      <c r="AF967" s="915"/>
      <c r="AG967" s="915"/>
      <c r="AK967" s="883"/>
    </row>
    <row r="968" spans="2:37" ht="15" hidden="1" customHeight="1" outlineLevel="1" x14ac:dyDescent="0.25">
      <c r="B968" s="1233"/>
      <c r="C968" s="225"/>
      <c r="D968" s="4244" t="s">
        <v>1911</v>
      </c>
      <c r="E968" s="981" t="s">
        <v>315</v>
      </c>
      <c r="F968" s="946">
        <v>1496</v>
      </c>
      <c r="G968" s="3117" t="s">
        <v>1153</v>
      </c>
      <c r="H968" s="982"/>
      <c r="V968" s="4247" t="str">
        <f>D968</f>
        <v>EFLHheat</v>
      </c>
      <c r="W968" s="901">
        <v>2009</v>
      </c>
      <c r="X968" s="930">
        <v>2009</v>
      </c>
      <c r="Y968" s="930">
        <v>1496</v>
      </c>
      <c r="Z968" s="946">
        <v>1496</v>
      </c>
      <c r="AA968" s="946">
        <v>1496</v>
      </c>
      <c r="AB968" s="946">
        <v>1496</v>
      </c>
      <c r="AC968" s="946">
        <v>1496</v>
      </c>
      <c r="AD968" s="901"/>
      <c r="AE968" s="901"/>
      <c r="AF968" s="901"/>
      <c r="AG968" s="901"/>
      <c r="AK968" s="883"/>
    </row>
    <row r="969" spans="2:37" hidden="1" outlineLevel="1" x14ac:dyDescent="0.25">
      <c r="B969" s="1233"/>
      <c r="C969" s="225"/>
      <c r="D969" s="4245"/>
      <c r="E969" s="981" t="s">
        <v>527</v>
      </c>
      <c r="F969" s="946">
        <v>510</v>
      </c>
      <c r="G969" s="3127" t="s">
        <v>1153</v>
      </c>
      <c r="H969" s="982"/>
      <c r="V969" s="4248"/>
      <c r="W969" s="901"/>
      <c r="X969" s="930"/>
      <c r="Y969" s="942">
        <v>510</v>
      </c>
      <c r="Z969" s="946">
        <v>510</v>
      </c>
      <c r="AA969" s="946">
        <v>510</v>
      </c>
      <c r="AB969" s="946">
        <v>510</v>
      </c>
      <c r="AC969" s="946">
        <v>510</v>
      </c>
      <c r="AD969" s="901"/>
      <c r="AE969" s="901"/>
      <c r="AF969" s="901"/>
      <c r="AG969" s="901"/>
      <c r="AK969" s="883"/>
    </row>
    <row r="970" spans="2:37" ht="30" hidden="1" outlineLevel="1" x14ac:dyDescent="0.25">
      <c r="B970" s="1233"/>
      <c r="C970" s="225"/>
      <c r="D970" s="4244" t="s">
        <v>2036</v>
      </c>
      <c r="E970" s="981" t="s">
        <v>2008</v>
      </c>
      <c r="F970" s="946">
        <v>20240</v>
      </c>
      <c r="G970" s="3201" t="s">
        <v>2035</v>
      </c>
      <c r="H970" s="982"/>
      <c r="V970" s="4247" t="str">
        <f>D970</f>
        <v>CapacityHeating</v>
      </c>
      <c r="W970" s="930">
        <v>37856</v>
      </c>
      <c r="X970" s="942">
        <v>21000</v>
      </c>
      <c r="Y970" s="942">
        <v>20240</v>
      </c>
      <c r="Z970" s="946">
        <v>20240</v>
      </c>
      <c r="AA970" s="946">
        <v>20240</v>
      </c>
      <c r="AB970" s="946">
        <v>20240</v>
      </c>
      <c r="AC970" s="946">
        <v>20240</v>
      </c>
      <c r="AD970" s="930"/>
      <c r="AE970" s="930"/>
      <c r="AF970" s="930"/>
      <c r="AG970" s="930"/>
      <c r="AK970" s="883"/>
    </row>
    <row r="971" spans="2:37" hidden="1" outlineLevel="1" x14ac:dyDescent="0.25">
      <c r="B971" s="1233"/>
      <c r="C971" s="225"/>
      <c r="D971" s="4245"/>
      <c r="E971" s="981" t="s">
        <v>2011</v>
      </c>
      <c r="F971" s="946">
        <v>58240</v>
      </c>
      <c r="G971" s="3201"/>
      <c r="H971" s="982"/>
      <c r="V971" s="4248"/>
      <c r="W971" s="930">
        <v>58240</v>
      </c>
      <c r="X971" s="930">
        <v>58240</v>
      </c>
      <c r="Y971" s="930">
        <v>58240</v>
      </c>
      <c r="Z971" s="946">
        <v>58240</v>
      </c>
      <c r="AA971" s="946">
        <v>58240</v>
      </c>
      <c r="AB971" s="946">
        <v>58240</v>
      </c>
      <c r="AC971" s="946">
        <v>58240</v>
      </c>
      <c r="AD971" s="930"/>
      <c r="AE971" s="930"/>
      <c r="AF971" s="930"/>
      <c r="AG971" s="930"/>
      <c r="AK971" s="883"/>
    </row>
    <row r="972" spans="2:37" ht="30" hidden="1" outlineLevel="1" x14ac:dyDescent="0.25">
      <c r="B972" s="1233"/>
      <c r="C972" s="225"/>
      <c r="D972" s="4245"/>
      <c r="E972" s="3195" t="s">
        <v>2013</v>
      </c>
      <c r="F972" s="946">
        <v>20240</v>
      </c>
      <c r="G972" s="3201" t="s">
        <v>2035</v>
      </c>
      <c r="H972" s="982"/>
      <c r="V972" s="4248"/>
      <c r="W972" s="930">
        <v>31368.563200000001</v>
      </c>
      <c r="X972" s="942">
        <v>21000</v>
      </c>
      <c r="Y972" s="942">
        <v>20240</v>
      </c>
      <c r="Z972" s="946">
        <v>20240</v>
      </c>
      <c r="AA972" s="946">
        <v>20240</v>
      </c>
      <c r="AB972" s="946">
        <v>20240</v>
      </c>
      <c r="AC972" s="946">
        <v>20240</v>
      </c>
      <c r="AD972" s="930"/>
      <c r="AE972" s="930"/>
      <c r="AF972" s="930"/>
      <c r="AG972" s="930"/>
      <c r="AK972" s="883"/>
    </row>
    <row r="973" spans="2:37" hidden="1" outlineLevel="1" x14ac:dyDescent="0.25">
      <c r="B973" s="1233"/>
      <c r="C973" s="225"/>
      <c r="D973" s="4245"/>
      <c r="E973" s="3195" t="s">
        <v>2016</v>
      </c>
      <c r="F973" s="946">
        <v>48259.328000000001</v>
      </c>
      <c r="G973" s="3201"/>
      <c r="H973" s="982"/>
      <c r="V973" s="4248"/>
      <c r="W973" s="930">
        <v>48259.328000000001</v>
      </c>
      <c r="X973" s="930">
        <v>48259.328000000001</v>
      </c>
      <c r="Y973" s="930">
        <v>48259.328000000001</v>
      </c>
      <c r="Z973" s="946">
        <v>48259.328000000001</v>
      </c>
      <c r="AA973" s="946">
        <v>48259.328000000001</v>
      </c>
      <c r="AB973" s="946">
        <v>48259.328000000001</v>
      </c>
      <c r="AC973" s="946">
        <v>48259.328000000001</v>
      </c>
      <c r="AD973" s="930"/>
      <c r="AE973" s="930"/>
      <c r="AF973" s="930"/>
      <c r="AG973" s="930"/>
      <c r="AK973" s="883"/>
    </row>
    <row r="974" spans="2:37" hidden="1" outlineLevel="1" x14ac:dyDescent="0.25">
      <c r="B974" s="1233"/>
      <c r="C974" s="225"/>
      <c r="D974" s="4245"/>
      <c r="E974" s="3195" t="s">
        <v>2018</v>
      </c>
      <c r="F974" s="946">
        <v>0</v>
      </c>
      <c r="G974" s="3201"/>
      <c r="H974" s="982"/>
      <c r="V974" s="4248"/>
      <c r="W974" s="930">
        <v>0</v>
      </c>
      <c r="X974" s="930">
        <v>0</v>
      </c>
      <c r="Y974" s="930">
        <v>0</v>
      </c>
      <c r="Z974" s="946">
        <v>0</v>
      </c>
      <c r="AA974" s="946">
        <v>0</v>
      </c>
      <c r="AB974" s="946">
        <v>0</v>
      </c>
      <c r="AC974" s="946">
        <v>0</v>
      </c>
      <c r="AD974" s="930"/>
      <c r="AE974" s="930"/>
      <c r="AF974" s="930"/>
      <c r="AG974" s="930"/>
      <c r="AK974" s="883"/>
    </row>
    <row r="975" spans="2:37" hidden="1" outlineLevel="1" x14ac:dyDescent="0.25">
      <c r="B975" s="1233"/>
      <c r="C975" s="225"/>
      <c r="D975" s="4245"/>
      <c r="E975" s="3195" t="s">
        <v>2021</v>
      </c>
      <c r="F975" s="946">
        <v>0</v>
      </c>
      <c r="G975" s="3201"/>
      <c r="H975" s="982"/>
      <c r="V975" s="4248"/>
      <c r="W975" s="930">
        <v>0</v>
      </c>
      <c r="X975" s="930">
        <v>0</v>
      </c>
      <c r="Y975" s="930">
        <v>0</v>
      </c>
      <c r="Z975" s="946">
        <v>0</v>
      </c>
      <c r="AA975" s="946">
        <v>0</v>
      </c>
      <c r="AB975" s="946">
        <v>0</v>
      </c>
      <c r="AC975" s="946">
        <v>0</v>
      </c>
      <c r="AD975" s="930"/>
      <c r="AE975" s="930"/>
      <c r="AF975" s="930"/>
      <c r="AG975" s="930"/>
      <c r="AK975" s="883"/>
    </row>
    <row r="976" spans="2:37" ht="30" hidden="1" outlineLevel="1" x14ac:dyDescent="0.25">
      <c r="B976" s="1233"/>
      <c r="C976" s="225"/>
      <c r="D976" s="4245"/>
      <c r="E976" s="981" t="s">
        <v>2023</v>
      </c>
      <c r="F976" s="946">
        <v>20240</v>
      </c>
      <c r="G976" s="3201" t="s">
        <v>2035</v>
      </c>
      <c r="H976" s="982"/>
      <c r="V976" s="4248"/>
      <c r="W976" s="930">
        <v>27462.372945112107</v>
      </c>
      <c r="X976" s="942">
        <v>21000</v>
      </c>
      <c r="Y976" s="942">
        <v>20240</v>
      </c>
      <c r="Z976" s="946">
        <v>20240</v>
      </c>
      <c r="AA976" s="946">
        <v>20240</v>
      </c>
      <c r="AB976" s="946">
        <v>20240</v>
      </c>
      <c r="AC976" s="946">
        <v>20240</v>
      </c>
      <c r="AD976" s="930"/>
      <c r="AE976" s="930"/>
      <c r="AF976" s="930"/>
      <c r="AG976" s="930"/>
      <c r="AK976" s="883"/>
    </row>
    <row r="977" spans="2:37" hidden="1" outlineLevel="1" x14ac:dyDescent="0.25">
      <c r="B977" s="1233"/>
      <c r="C977" s="225"/>
      <c r="D977" s="4246"/>
      <c r="E977" s="981" t="s">
        <v>2026</v>
      </c>
      <c r="F977" s="946">
        <v>42249.804530941699</v>
      </c>
      <c r="G977" s="3201"/>
      <c r="H977" s="982"/>
      <c r="V977" s="4249"/>
      <c r="W977" s="930">
        <v>42249.804530941699</v>
      </c>
      <c r="X977" s="930">
        <v>42249.804530941699</v>
      </c>
      <c r="Y977" s="930">
        <v>42249.804530941699</v>
      </c>
      <c r="Z977" s="946">
        <v>42249.804530941699</v>
      </c>
      <c r="AA977" s="946">
        <v>42249.804530941699</v>
      </c>
      <c r="AB977" s="946">
        <v>42249.804530941699</v>
      </c>
      <c r="AC977" s="946">
        <v>42249.804530941699</v>
      </c>
      <c r="AD977" s="930"/>
      <c r="AE977" s="930"/>
      <c r="AF977" s="930"/>
      <c r="AG977" s="930"/>
      <c r="AK977" s="883"/>
    </row>
    <row r="978" spans="2:37" hidden="1" outlineLevel="1" x14ac:dyDescent="0.25">
      <c r="B978" s="1233"/>
      <c r="C978" s="225"/>
      <c r="D978" s="4244" t="s">
        <v>2037</v>
      </c>
      <c r="E978" s="981" t="s">
        <v>2008</v>
      </c>
      <c r="F978" s="1074">
        <v>7</v>
      </c>
      <c r="G978" s="4250" t="s">
        <v>2038</v>
      </c>
      <c r="H978" s="982"/>
      <c r="V978" s="4247" t="str">
        <f>D978</f>
        <v>HSPF</v>
      </c>
      <c r="W978" s="1075">
        <v>7</v>
      </c>
      <c r="X978" s="1075">
        <v>7</v>
      </c>
      <c r="Y978" s="1074">
        <v>7</v>
      </c>
      <c r="Z978" s="1074">
        <v>7</v>
      </c>
      <c r="AA978" s="1074">
        <v>7</v>
      </c>
      <c r="AB978" s="1074">
        <v>7</v>
      </c>
      <c r="AC978" s="1074">
        <v>7</v>
      </c>
      <c r="AD978" s="1075"/>
      <c r="AE978" s="1075"/>
      <c r="AF978" s="1075"/>
      <c r="AG978" s="1075"/>
      <c r="AK978" s="883"/>
    </row>
    <row r="979" spans="2:37" hidden="1" outlineLevel="1" x14ac:dyDescent="0.25">
      <c r="B979" s="1233"/>
      <c r="C979" s="225"/>
      <c r="D979" s="4245"/>
      <c r="E979" s="981" t="s">
        <v>2011</v>
      </c>
      <c r="F979" s="1074">
        <v>7</v>
      </c>
      <c r="G979" s="3837"/>
      <c r="H979" s="982"/>
      <c r="V979" s="4248"/>
      <c r="W979" s="1075">
        <v>7</v>
      </c>
      <c r="X979" s="1075">
        <v>7</v>
      </c>
      <c r="Y979" s="1074">
        <v>7</v>
      </c>
      <c r="Z979" s="1074">
        <v>7</v>
      </c>
      <c r="AA979" s="1074">
        <v>7</v>
      </c>
      <c r="AB979" s="1074">
        <v>7</v>
      </c>
      <c r="AC979" s="1074">
        <v>7</v>
      </c>
      <c r="AD979" s="1075"/>
      <c r="AE979" s="1075"/>
      <c r="AF979" s="1075"/>
      <c r="AG979" s="1075"/>
      <c r="AK979" s="883"/>
    </row>
    <row r="980" spans="2:37" hidden="1" outlineLevel="1" x14ac:dyDescent="0.25">
      <c r="B980" s="1233"/>
      <c r="C980" s="225"/>
      <c r="D980" s="4245"/>
      <c r="E980" s="3195" t="s">
        <v>2013</v>
      </c>
      <c r="F980" s="300">
        <f>3.41*1+7*0</f>
        <v>3.41</v>
      </c>
      <c r="G980" s="3837"/>
      <c r="H980" s="982"/>
      <c r="V980" s="4248"/>
      <c r="W980" s="1075">
        <v>3.4119999999999999</v>
      </c>
      <c r="X980" s="1076">
        <f>3.41*1+7*0</f>
        <v>3.41</v>
      </c>
      <c r="Y980" s="300">
        <v>3.41</v>
      </c>
      <c r="Z980" s="300">
        <v>3.41</v>
      </c>
      <c r="AA980" s="300">
        <v>3.41</v>
      </c>
      <c r="AB980" s="300">
        <v>3.41</v>
      </c>
      <c r="AC980" s="300">
        <v>3.41</v>
      </c>
      <c r="AD980" s="1075"/>
      <c r="AE980" s="1075"/>
      <c r="AF980" s="1075"/>
      <c r="AG980" s="1075"/>
      <c r="AK980" s="883"/>
    </row>
    <row r="981" spans="2:37" hidden="1" outlineLevel="1" x14ac:dyDescent="0.25">
      <c r="B981" s="1233"/>
      <c r="C981" s="225"/>
      <c r="D981" s="4245"/>
      <c r="E981" s="3195" t="s">
        <v>2016</v>
      </c>
      <c r="F981" s="300">
        <f>3.41*1+7*0</f>
        <v>3.41</v>
      </c>
      <c r="G981" s="3837"/>
      <c r="H981" s="982"/>
      <c r="V981" s="4248"/>
      <c r="W981" s="1075">
        <v>3.4119999999999999</v>
      </c>
      <c r="X981" s="1076">
        <f>3.41*1+7*0</f>
        <v>3.41</v>
      </c>
      <c r="Y981" s="300">
        <v>3.41</v>
      </c>
      <c r="Z981" s="300">
        <v>3.41</v>
      </c>
      <c r="AA981" s="300">
        <v>3.41</v>
      </c>
      <c r="AB981" s="300">
        <v>3.41</v>
      </c>
      <c r="AC981" s="300">
        <v>3.41</v>
      </c>
      <c r="AD981" s="1075"/>
      <c r="AE981" s="1075"/>
      <c r="AF981" s="1075"/>
      <c r="AG981" s="1075"/>
      <c r="AK981" s="883"/>
    </row>
    <row r="982" spans="2:37" hidden="1" outlineLevel="1" x14ac:dyDescent="0.25">
      <c r="B982" s="1233"/>
      <c r="C982" s="225"/>
      <c r="D982" s="4245"/>
      <c r="E982" s="3195" t="s">
        <v>2018</v>
      </c>
      <c r="F982" s="1074">
        <v>0</v>
      </c>
      <c r="G982" s="3837"/>
      <c r="H982" s="982"/>
      <c r="V982" s="4248"/>
      <c r="W982" s="1075">
        <v>0</v>
      </c>
      <c r="X982" s="1075">
        <v>0</v>
      </c>
      <c r="Y982" s="1074">
        <v>0</v>
      </c>
      <c r="Z982" s="1074">
        <v>0</v>
      </c>
      <c r="AA982" s="1074">
        <v>0</v>
      </c>
      <c r="AB982" s="1074">
        <v>0</v>
      </c>
      <c r="AC982" s="1074">
        <v>0</v>
      </c>
      <c r="AD982" s="1075"/>
      <c r="AE982" s="1075"/>
      <c r="AF982" s="1075"/>
      <c r="AG982" s="1075"/>
      <c r="AK982" s="883"/>
    </row>
    <row r="983" spans="2:37" hidden="1" outlineLevel="1" x14ac:dyDescent="0.25">
      <c r="B983" s="1233"/>
      <c r="C983" s="225"/>
      <c r="D983" s="4245"/>
      <c r="E983" s="3195" t="s">
        <v>2021</v>
      </c>
      <c r="F983" s="1074">
        <v>0</v>
      </c>
      <c r="G983" s="3837"/>
      <c r="H983" s="982"/>
      <c r="V983" s="4248"/>
      <c r="W983" s="1075">
        <v>0</v>
      </c>
      <c r="X983" s="1075">
        <v>0</v>
      </c>
      <c r="Y983" s="1074">
        <v>0</v>
      </c>
      <c r="Z983" s="1074">
        <v>0</v>
      </c>
      <c r="AA983" s="1074">
        <v>0</v>
      </c>
      <c r="AB983" s="1074">
        <v>0</v>
      </c>
      <c r="AC983" s="1074">
        <v>0</v>
      </c>
      <c r="AD983" s="1075"/>
      <c r="AE983" s="1075"/>
      <c r="AF983" s="1075"/>
      <c r="AG983" s="1075"/>
      <c r="AK983" s="883"/>
    </row>
    <row r="984" spans="2:37" hidden="1" outlineLevel="1" x14ac:dyDescent="0.25">
      <c r="B984" s="1233"/>
      <c r="C984" s="225"/>
      <c r="D984" s="4245"/>
      <c r="E984" s="981" t="s">
        <v>2023</v>
      </c>
      <c r="F984" s="300">
        <f>3.41*1+7*0</f>
        <v>3.41</v>
      </c>
      <c r="G984" s="3837"/>
      <c r="H984" s="982"/>
      <c r="V984" s="4248"/>
      <c r="W984" s="1075">
        <v>3.4119999999999999</v>
      </c>
      <c r="X984" s="1076">
        <f>3.41*1+7*0</f>
        <v>3.41</v>
      </c>
      <c r="Y984" s="300">
        <v>3.41</v>
      </c>
      <c r="Z984" s="300">
        <v>3.41</v>
      </c>
      <c r="AA984" s="300">
        <v>3.41</v>
      </c>
      <c r="AB984" s="300">
        <v>3.41</v>
      </c>
      <c r="AC984" s="300">
        <v>3.41</v>
      </c>
      <c r="AD984" s="1075"/>
      <c r="AE984" s="1075"/>
      <c r="AF984" s="1075"/>
      <c r="AG984" s="1075"/>
      <c r="AK984" s="883"/>
    </row>
    <row r="985" spans="2:37" hidden="1" outlineLevel="1" x14ac:dyDescent="0.25">
      <c r="B985" s="1233"/>
      <c r="C985" s="225"/>
      <c r="D985" s="4246"/>
      <c r="E985" s="981" t="s">
        <v>2026</v>
      </c>
      <c r="F985" s="300">
        <f>3.41*1+7*0</f>
        <v>3.41</v>
      </c>
      <c r="G985" s="3838"/>
      <c r="H985" s="982"/>
      <c r="V985" s="4249"/>
      <c r="W985" s="1075">
        <v>3.4119999999999999</v>
      </c>
      <c r="X985" s="1076">
        <f>3.41*1+7*0</f>
        <v>3.41</v>
      </c>
      <c r="Y985" s="300">
        <v>3.41</v>
      </c>
      <c r="Z985" s="300">
        <v>3.41</v>
      </c>
      <c r="AA985" s="300">
        <v>3.41</v>
      </c>
      <c r="AB985" s="300">
        <v>3.41</v>
      </c>
      <c r="AC985" s="300">
        <v>3.41</v>
      </c>
      <c r="AD985" s="1075"/>
      <c r="AE985" s="1075"/>
      <c r="AF985" s="1075"/>
      <c r="AG985" s="1075"/>
      <c r="AK985" s="883"/>
    </row>
    <row r="986" spans="2:37" ht="30" hidden="1" outlineLevel="1" x14ac:dyDescent="0.25">
      <c r="B986" s="1233"/>
      <c r="C986" s="225"/>
      <c r="D986" s="3218" t="s">
        <v>2039</v>
      </c>
      <c r="E986" s="981" t="s">
        <v>135</v>
      </c>
      <c r="F986" s="1073">
        <v>1.8</v>
      </c>
      <c r="G986" s="1163" t="s">
        <v>2028</v>
      </c>
      <c r="H986" s="982"/>
      <c r="V986" s="917" t="str">
        <f>D986</f>
        <v>Sbdegreesheating</v>
      </c>
      <c r="W986" s="932">
        <v>8</v>
      </c>
      <c r="X986" s="932">
        <v>8</v>
      </c>
      <c r="Y986" s="933">
        <v>1.8</v>
      </c>
      <c r="Z986" s="1073">
        <v>1.8</v>
      </c>
      <c r="AA986" s="1073">
        <v>1.8</v>
      </c>
      <c r="AB986" s="1073">
        <v>1.8</v>
      </c>
      <c r="AC986" s="1073">
        <v>1.8</v>
      </c>
      <c r="AD986" s="932"/>
      <c r="AE986" s="932"/>
      <c r="AF986" s="932"/>
      <c r="AG986" s="932"/>
      <c r="AK986" s="883"/>
    </row>
    <row r="987" spans="2:37" ht="18" hidden="1" outlineLevel="1" x14ac:dyDescent="0.25">
      <c r="B987" s="1233"/>
      <c r="C987" s="225"/>
      <c r="D987" s="3218" t="s">
        <v>2040</v>
      </c>
      <c r="E987" s="981" t="s">
        <v>135</v>
      </c>
      <c r="F987" s="599">
        <v>0.03</v>
      </c>
      <c r="G987" s="3201" t="s">
        <v>2041</v>
      </c>
      <c r="H987" s="982"/>
      <c r="V987" s="917" t="str">
        <f>D987</f>
        <v>SFheating</v>
      </c>
      <c r="W987" s="915">
        <v>0.03</v>
      </c>
      <c r="X987" s="931">
        <v>0.03</v>
      </c>
      <c r="Y987" s="599">
        <v>0.03</v>
      </c>
      <c r="Z987" s="599">
        <v>0.03</v>
      </c>
      <c r="AA987" s="599">
        <v>0.03</v>
      </c>
      <c r="AB987" s="599">
        <v>0.03</v>
      </c>
      <c r="AC987" s="599">
        <v>0.03</v>
      </c>
      <c r="AD987" s="931"/>
      <c r="AE987" s="931"/>
      <c r="AF987" s="931"/>
      <c r="AG987" s="931"/>
      <c r="AK987" s="883"/>
    </row>
    <row r="988" spans="2:37" ht="18" hidden="1" outlineLevel="1" x14ac:dyDescent="0.25">
      <c r="B988" s="1233"/>
      <c r="C988" s="225"/>
      <c r="D988" s="3218" t="s">
        <v>2042</v>
      </c>
      <c r="E988" s="981" t="s">
        <v>135</v>
      </c>
      <c r="F988" s="599">
        <v>0.13</v>
      </c>
      <c r="G988" s="3201" t="s">
        <v>285</v>
      </c>
      <c r="H988" s="981"/>
      <c r="V988" s="917" t="str">
        <f>D988</f>
        <v>EFheating</v>
      </c>
      <c r="W988" s="931">
        <v>0.13</v>
      </c>
      <c r="X988" s="931">
        <v>0.13</v>
      </c>
      <c r="Y988" s="931">
        <v>0.13</v>
      </c>
      <c r="Z988" s="599">
        <v>0.13</v>
      </c>
      <c r="AA988" s="599">
        <v>0.13</v>
      </c>
      <c r="AB988" s="599">
        <v>0.13</v>
      </c>
      <c r="AC988" s="599">
        <v>0.13</v>
      </c>
      <c r="AD988" s="931"/>
      <c r="AE988" s="931"/>
      <c r="AF988" s="931"/>
      <c r="AG988" s="931"/>
      <c r="AK988" s="883"/>
    </row>
    <row r="989" spans="2:37" hidden="1" outlineLevel="1" x14ac:dyDescent="0.25">
      <c r="B989" s="1233"/>
      <c r="C989" s="3159"/>
      <c r="D989" s="3192" t="str">
        <f>D904</f>
        <v>EUL</v>
      </c>
      <c r="E989" s="3192" t="str">
        <f>E904</f>
        <v>Effective Useful Life (All)</v>
      </c>
      <c r="F989" s="827">
        <v>10</v>
      </c>
      <c r="G989" s="3182"/>
      <c r="H989" s="982"/>
      <c r="V989" s="917" t="str">
        <f>D989</f>
        <v>EUL</v>
      </c>
      <c r="W989" s="969">
        <v>10</v>
      </c>
      <c r="X989" s="969">
        <v>10</v>
      </c>
      <c r="Y989" s="969">
        <v>10</v>
      </c>
      <c r="Z989" s="827">
        <v>10</v>
      </c>
      <c r="AA989" s="827">
        <v>10</v>
      </c>
      <c r="AB989" s="827">
        <v>10</v>
      </c>
      <c r="AC989" s="827">
        <v>10</v>
      </c>
      <c r="AD989" s="1052"/>
      <c r="AE989" s="1052"/>
      <c r="AF989" s="1052"/>
      <c r="AG989" s="1052"/>
      <c r="AK989" s="883"/>
    </row>
    <row r="990" spans="2:37" hidden="1" outlineLevel="1" x14ac:dyDescent="0.25">
      <c r="B990" s="1233"/>
      <c r="C990" s="3159"/>
      <c r="D990" s="4204" t="str">
        <f>D905</f>
        <v>Inc. Cost</v>
      </c>
      <c r="E990" s="3192" t="str">
        <f>E905</f>
        <v>Incremental Cost - Non-DI</v>
      </c>
      <c r="F990" s="1698">
        <v>70</v>
      </c>
      <c r="G990" s="3182"/>
      <c r="H990" s="982"/>
      <c r="V990" s="4230" t="str">
        <f>D990</f>
        <v>Inc. Cost</v>
      </c>
      <c r="W990" s="1053">
        <v>70</v>
      </c>
      <c r="X990" s="1071">
        <v>70</v>
      </c>
      <c r="Y990" s="1071">
        <v>70</v>
      </c>
      <c r="Z990" s="1698">
        <v>70</v>
      </c>
      <c r="AA990" s="1698">
        <v>70</v>
      </c>
      <c r="AB990" s="1698">
        <v>70</v>
      </c>
      <c r="AC990" s="1698">
        <v>70</v>
      </c>
      <c r="AD990" s="1054"/>
      <c r="AE990" s="1054"/>
      <c r="AF990" s="1054"/>
      <c r="AG990" s="1054"/>
      <c r="AK990" s="883"/>
    </row>
    <row r="991" spans="2:37" hidden="1" outlineLevel="1" x14ac:dyDescent="0.25">
      <c r="B991" s="1233"/>
      <c r="C991" s="3159"/>
      <c r="D991" s="3776"/>
      <c r="E991" s="3192" t="str">
        <f>E906</f>
        <v>Incremental Cost - Direct Install (DI)</v>
      </c>
      <c r="F991" s="1698">
        <v>70</v>
      </c>
      <c r="G991" s="3182"/>
      <c r="H991" s="982"/>
      <c r="V991" s="4231"/>
      <c r="W991" s="1053">
        <v>70</v>
      </c>
      <c r="X991" s="1071">
        <v>70</v>
      </c>
      <c r="Y991" s="1071">
        <v>70</v>
      </c>
      <c r="Z991" s="1698">
        <v>70</v>
      </c>
      <c r="AA991" s="1698">
        <v>70</v>
      </c>
      <c r="AB991" s="1698">
        <v>70</v>
      </c>
      <c r="AC991" s="1698">
        <v>70</v>
      </c>
      <c r="AD991" s="1054"/>
      <c r="AE991" s="1054"/>
      <c r="AF991" s="1054"/>
      <c r="AG991" s="1054"/>
      <c r="AK991" s="883"/>
    </row>
    <row r="992" spans="2:37" collapsed="1" x14ac:dyDescent="0.25">
      <c r="B992" s="1233"/>
      <c r="C992" s="225"/>
      <c r="D992" s="1701"/>
      <c r="E992" s="530"/>
      <c r="F992" s="1702"/>
      <c r="G992" s="1703"/>
      <c r="H992" s="1038"/>
      <c r="V992" s="224" t="str">
        <f>IF(C987&gt;0,C987," ")</f>
        <v xml:space="preserve"> </v>
      </c>
      <c r="AK992" s="883"/>
    </row>
    <row r="993" spans="2:57" x14ac:dyDescent="0.25">
      <c r="V993" s="224" t="str">
        <f>IF(C988&gt;0,C988," ")</f>
        <v xml:space="preserve"> </v>
      </c>
      <c r="AK993" s="883"/>
    </row>
    <row r="994" spans="2:57" x14ac:dyDescent="0.25">
      <c r="B994" s="3750" t="s">
        <v>2043</v>
      </c>
      <c r="C994" s="3751"/>
      <c r="D994" s="3751"/>
      <c r="E994" s="3751"/>
      <c r="F994" s="3751"/>
      <c r="G994" s="3751"/>
      <c r="H994" s="3751"/>
      <c r="I994" s="3744"/>
      <c r="J994" s="3744"/>
      <c r="K994" s="3744"/>
      <c r="L994" s="3744"/>
      <c r="M994" s="3744"/>
      <c r="N994" s="3744"/>
      <c r="O994" s="3744"/>
      <c r="P994" s="3744"/>
      <c r="Q994" s="3744"/>
      <c r="R994" s="3745"/>
      <c r="V994" s="3750" t="str">
        <f>B994</f>
        <v>Thermostatic Restrictor Shower Valve</v>
      </c>
      <c r="W994" s="3751"/>
      <c r="X994" s="3751"/>
      <c r="Y994" s="3751"/>
      <c r="Z994" s="3751"/>
      <c r="AA994" s="3751"/>
      <c r="AB994" s="3751"/>
      <c r="AC994" s="3752"/>
      <c r="AD994" s="3752"/>
      <c r="AE994" s="3752"/>
      <c r="AF994" s="3752"/>
      <c r="AG994" s="3752"/>
      <c r="AH994" s="3752"/>
      <c r="AI994" s="3753"/>
      <c r="AK994" s="883"/>
    </row>
    <row r="995" spans="2:57" x14ac:dyDescent="0.25">
      <c r="D995" s="419"/>
      <c r="E995" s="419"/>
      <c r="F995" s="226"/>
      <c r="G995" s="226"/>
      <c r="H995" s="226"/>
      <c r="I995" s="226"/>
      <c r="J995" s="226"/>
      <c r="K995" s="226"/>
      <c r="L995" s="1438"/>
      <c r="AK995" s="883"/>
    </row>
    <row r="996" spans="2:57" ht="49.5" customHeight="1" x14ac:dyDescent="0.25">
      <c r="B996" s="1233"/>
      <c r="C996" s="3086" t="s">
        <v>28</v>
      </c>
      <c r="D996" s="3086" t="s">
        <v>175</v>
      </c>
      <c r="E996" s="3086" t="s">
        <v>30</v>
      </c>
      <c r="F996" s="3086" t="s">
        <v>1765</v>
      </c>
      <c r="G996" s="3086" t="s">
        <v>176</v>
      </c>
      <c r="H996" s="3086" t="s">
        <v>177</v>
      </c>
      <c r="I996" s="3086" t="s">
        <v>606</v>
      </c>
      <c r="J996" s="3086" t="s">
        <v>32</v>
      </c>
      <c r="K996" s="3086" t="s">
        <v>181</v>
      </c>
      <c r="L996" s="3086" t="s">
        <v>170</v>
      </c>
      <c r="M996" s="3086" t="s">
        <v>44</v>
      </c>
      <c r="V996" s="1936" t="s">
        <v>45</v>
      </c>
      <c r="W996" s="1937">
        <f>W$6</f>
        <v>43252</v>
      </c>
      <c r="X996" s="1937">
        <f t="shared" ref="X996:AG996" si="134">X$6</f>
        <v>43465</v>
      </c>
      <c r="Y996" s="360">
        <f t="shared" si="134"/>
        <v>43800</v>
      </c>
      <c r="Z996" s="1937">
        <f t="shared" si="134"/>
        <v>43862</v>
      </c>
      <c r="AA996" s="1937">
        <f t="shared" si="134"/>
        <v>44013</v>
      </c>
      <c r="AB996" s="1937">
        <f t="shared" si="134"/>
        <v>44166</v>
      </c>
      <c r="AC996" s="1937">
        <f t="shared" si="134"/>
        <v>44531</v>
      </c>
      <c r="AD996" s="1937" t="str">
        <f t="shared" si="134"/>
        <v>-</v>
      </c>
      <c r="AE996" s="1937" t="str">
        <f t="shared" si="134"/>
        <v>-</v>
      </c>
      <c r="AF996" s="1937" t="str">
        <f t="shared" si="134"/>
        <v>-</v>
      </c>
      <c r="AG996" s="1937" t="str">
        <f t="shared" si="134"/>
        <v>-</v>
      </c>
      <c r="AK996" s="883"/>
      <c r="BB996" s="1938" t="str">
        <f>$BB$6</f>
        <v>TRC (2020)</v>
      </c>
      <c r="BC996" s="1953" t="str">
        <f>$BC$6</f>
        <v>Benefit Lookup</v>
      </c>
      <c r="BD996" s="665" t="str">
        <f>$BD$6</f>
        <v>Benefits (2019 $)</v>
      </c>
      <c r="BE996" s="230" t="str">
        <f>$BE$6</f>
        <v>Incremental Cost (2019 $)</v>
      </c>
    </row>
    <row r="997" spans="2:57" x14ac:dyDescent="0.25">
      <c r="B997" s="1233"/>
      <c r="C997" s="2667" t="s">
        <v>2044</v>
      </c>
      <c r="D997" s="3176" t="s">
        <v>1933</v>
      </c>
      <c r="E997" s="3166" t="s">
        <v>2045</v>
      </c>
      <c r="F997" s="531">
        <f>ROUND(G1007*(G1008*G1009)*G1010*G1012*G1013/G1014*I997*G1023*G1022,2)</f>
        <v>41.68</v>
      </c>
      <c r="G997" s="2667" t="s">
        <v>1926</v>
      </c>
      <c r="H997" s="155">
        <f>VLOOKUP(G997,'CP FACTORS'!$A$3:$B$38, 2, FALSE)</f>
        <v>8.8731800000000003E-5</v>
      </c>
      <c r="I997" s="526">
        <f>G1016*G1017*(G1018-G1019)/(G1020*G1021)</f>
        <v>0.10886576787807739</v>
      </c>
      <c r="J997" s="1666">
        <f>ROUND(F997*H997,6)</f>
        <v>3.6979999999999999E-3</v>
      </c>
      <c r="K997" s="2718">
        <f>$G$1024</f>
        <v>10</v>
      </c>
      <c r="L997" s="1077">
        <f>$G$1026</f>
        <v>50</v>
      </c>
      <c r="M997" s="2667" t="s">
        <v>185</v>
      </c>
      <c r="V997" s="160" t="str">
        <f>$F$996</f>
        <v>kWh
Annual Savings</v>
      </c>
      <c r="W997" s="1078">
        <v>41.682564640276333</v>
      </c>
      <c r="X997" s="424">
        <v>41.682564640276333</v>
      </c>
      <c r="Y997" s="882">
        <v>41.68</v>
      </c>
      <c r="Z997" s="882">
        <v>41.68</v>
      </c>
      <c r="AA997" s="882">
        <v>41.68</v>
      </c>
      <c r="AB997" s="882">
        <v>41.68</v>
      </c>
      <c r="AC997" s="882">
        <v>41.68</v>
      </c>
      <c r="AD997" s="160"/>
      <c r="AE997" s="160"/>
      <c r="AF997" s="160"/>
      <c r="AG997" s="160"/>
      <c r="AK997" s="883"/>
      <c r="BB997" s="1945">
        <f>(BD997)/(BE997)</f>
        <v>0.29788668889907871</v>
      </c>
      <c r="BC997" s="3166" t="str">
        <f>CONCATENATE(G997," ",K997," Year EUL")</f>
        <v>Water heating RES 10 Year EUL</v>
      </c>
      <c r="BD997" s="111">
        <f>(INDEX('Avoided Cost Benefits'!$C$4:$C$857,MATCH(BC997,'Avoided Cost Benefits'!$A$4:$A$857,0)))*F997</f>
        <v>14.057889990518106</v>
      </c>
      <c r="BE997" s="1946">
        <f>L997/(1.0595^(2020-2019))</f>
        <v>47.192071731949028</v>
      </c>
    </row>
    <row r="998" spans="2:57" x14ac:dyDescent="0.25">
      <c r="B998" s="1233"/>
      <c r="C998" s="2667" t="s">
        <v>2046</v>
      </c>
      <c r="D998" s="3176" t="s">
        <v>1930</v>
      </c>
      <c r="E998" s="3166" t="s">
        <v>2047</v>
      </c>
      <c r="F998" s="531">
        <f>ROUND(G1007*(G1008*G1009)*G1011*G1012*G1013/G1015*I997*G1023*G1022,2)</f>
        <v>47.32</v>
      </c>
      <c r="G998" s="2667" t="s">
        <v>1926</v>
      </c>
      <c r="H998" s="155">
        <f>VLOOKUP(G998,'CP FACTORS'!$A$3:$B$38, 2, FALSE)</f>
        <v>8.8731800000000003E-5</v>
      </c>
      <c r="I998" s="526">
        <f>G1017*G1018*(G1019-G1020)/(G1021*G1022)</f>
        <v>1.8562719812426731</v>
      </c>
      <c r="J998" s="1666">
        <f>ROUND(F998*H998,6)</f>
        <v>4.1989999999999996E-3</v>
      </c>
      <c r="K998" s="2718">
        <f>$G$1024</f>
        <v>10</v>
      </c>
      <c r="L998" s="1077">
        <f>$G$1026</f>
        <v>50</v>
      </c>
      <c r="M998" s="2667" t="s">
        <v>185</v>
      </c>
      <c r="V998" s="160" t="str">
        <f>$F$996</f>
        <v>kWh
Annual Savings</v>
      </c>
      <c r="W998" s="1078">
        <v>47.3194122661885</v>
      </c>
      <c r="X998" s="424">
        <v>47.3194122661885</v>
      </c>
      <c r="Y998" s="882">
        <v>47.32</v>
      </c>
      <c r="Z998" s="882">
        <v>47.32</v>
      </c>
      <c r="AA998" s="882">
        <v>47.32</v>
      </c>
      <c r="AB998" s="882">
        <v>47.32</v>
      </c>
      <c r="AC998" s="882">
        <v>47.32</v>
      </c>
      <c r="AD998" s="160"/>
      <c r="AE998" s="160"/>
      <c r="AF998" s="160"/>
      <c r="AG998" s="160"/>
      <c r="AK998" s="883"/>
      <c r="BB998" s="53">
        <f>(BD998)/(BE998)</f>
        <v>0.33819573221459703</v>
      </c>
      <c r="BC998" s="1948" t="str">
        <f>CONCATENATE(G998," ",K998," Year EUL")</f>
        <v>Water heating RES 10 Year EUL</v>
      </c>
      <c r="BD998" s="119">
        <f>(INDEX('Avoided Cost Benefits'!$C$4:$C$857,MATCH(BC998,'Avoided Cost Benefits'!$A$4:$A$857,0)))*F998</f>
        <v>15.960157254110287</v>
      </c>
      <c r="BE998" s="1950">
        <f>L998/(1.0595^(2020-2019))</f>
        <v>47.192071731949028</v>
      </c>
    </row>
    <row r="999" spans="2:57" hidden="1" outlineLevel="1" x14ac:dyDescent="0.25">
      <c r="B999" s="1233"/>
      <c r="C999" s="225"/>
      <c r="D999" s="1213"/>
      <c r="E999" s="1213"/>
      <c r="F999" s="1684"/>
      <c r="G999" s="1500"/>
      <c r="H999" s="1704"/>
      <c r="I999" s="1027"/>
      <c r="J999" s="1079"/>
      <c r="K999" s="1079"/>
      <c r="L999" s="1027"/>
      <c r="M999" s="1027"/>
      <c r="AK999" s="883"/>
    </row>
    <row r="1000" spans="2:57" hidden="1" outlineLevel="1" x14ac:dyDescent="0.25">
      <c r="B1000" s="1233"/>
      <c r="C1000" s="225"/>
      <c r="D1000" s="174" t="s">
        <v>108</v>
      </c>
      <c r="E1000" s="1213"/>
      <c r="F1000" s="1027"/>
      <c r="G1000" s="1027"/>
      <c r="H1000" s="1670"/>
      <c r="I1000" s="1079"/>
      <c r="J1000" s="1027"/>
      <c r="K1000" s="1027"/>
      <c r="L1000" s="1027"/>
      <c r="M1000" s="1027"/>
      <c r="AK1000" s="883"/>
    </row>
    <row r="1001" spans="2:57" hidden="1" outlineLevel="1" x14ac:dyDescent="0.25">
      <c r="B1001" s="1233"/>
      <c r="C1001" s="253"/>
      <c r="D1001" s="1671"/>
      <c r="E1001" s="1672"/>
      <c r="F1001" s="1685"/>
      <c r="G1001" s="1669"/>
      <c r="H1001" s="1669"/>
      <c r="I1001" s="1027"/>
      <c r="J1001" s="1027"/>
      <c r="K1001" s="1027"/>
      <c r="L1001" s="1027"/>
      <c r="AK1001" s="883"/>
    </row>
    <row r="1002" spans="2:57" hidden="1" outlineLevel="1" x14ac:dyDescent="0.25">
      <c r="B1002" s="1233"/>
      <c r="C1002" s="267"/>
      <c r="D1002" s="1674"/>
      <c r="E1002" s="1675"/>
      <c r="F1002" s="1686"/>
      <c r="G1002" s="1669"/>
      <c r="H1002" s="1669"/>
      <c r="I1002" s="1027"/>
      <c r="J1002" s="1027"/>
      <c r="K1002" s="1027"/>
      <c r="L1002" s="1027"/>
      <c r="AK1002" s="883"/>
    </row>
    <row r="1003" spans="2:57" hidden="1" outlineLevel="1" x14ac:dyDescent="0.25">
      <c r="B1003" s="1233"/>
      <c r="C1003" s="267"/>
      <c r="D1003" s="1674"/>
      <c r="E1003" s="1675"/>
      <c r="F1003" s="1686"/>
      <c r="G1003" s="1669"/>
      <c r="H1003" s="1669"/>
      <c r="I1003" s="1027"/>
      <c r="J1003" s="1027"/>
      <c r="K1003" s="1027"/>
      <c r="L1003" s="1027"/>
      <c r="AK1003" s="883"/>
    </row>
    <row r="1004" spans="2:57" ht="15" hidden="1" customHeight="1" outlineLevel="1" x14ac:dyDescent="0.25">
      <c r="B1004" s="1233"/>
      <c r="C1004" s="267"/>
      <c r="D1004" s="1674"/>
      <c r="E1004" s="1675"/>
      <c r="F1004" s="1686"/>
      <c r="G1004" s="1669"/>
      <c r="H1004" s="1669"/>
      <c r="I1004" s="1027"/>
      <c r="J1004" s="1027"/>
      <c r="K1004" s="1027"/>
      <c r="L1004" s="1027"/>
      <c r="AK1004" s="883"/>
    </row>
    <row r="1005" spans="2:57" ht="15" hidden="1" customHeight="1" outlineLevel="1" x14ac:dyDescent="0.25">
      <c r="L1005" s="1027"/>
      <c r="AK1005" s="883"/>
    </row>
    <row r="1006" spans="2:57" ht="15" hidden="1" customHeight="1" outlineLevel="1" x14ac:dyDescent="0.25">
      <c r="D1006" s="3236" t="s">
        <v>109</v>
      </c>
      <c r="E1006" s="3236" t="s">
        <v>110</v>
      </c>
      <c r="F1006" s="3136" t="s">
        <v>186</v>
      </c>
      <c r="G1006" s="3136" t="s">
        <v>112</v>
      </c>
      <c r="H1006" s="3773" t="s">
        <v>187</v>
      </c>
      <c r="I1006" s="3773"/>
      <c r="J1006" s="4243" t="s">
        <v>113</v>
      </c>
      <c r="K1006" s="4243"/>
      <c r="L1006" s="4243"/>
      <c r="M1006" s="910"/>
      <c r="N1006" s="910"/>
      <c r="O1006" s="910"/>
      <c r="P1006" s="910"/>
      <c r="Q1006" s="910"/>
      <c r="V1006" s="1936" t="s">
        <v>45</v>
      </c>
      <c r="W1006" s="1937">
        <f>W$6</f>
        <v>43252</v>
      </c>
      <c r="X1006" s="1937">
        <f t="shared" ref="X1006:AG1006" si="135">X$6</f>
        <v>43465</v>
      </c>
      <c r="Y1006" s="360">
        <f t="shared" si="135"/>
        <v>43800</v>
      </c>
      <c r="Z1006" s="1937">
        <f t="shared" si="135"/>
        <v>43862</v>
      </c>
      <c r="AA1006" s="1937">
        <f t="shared" si="135"/>
        <v>44013</v>
      </c>
      <c r="AB1006" s="1937">
        <f t="shared" si="135"/>
        <v>44166</v>
      </c>
      <c r="AC1006" s="1937">
        <f t="shared" si="135"/>
        <v>44531</v>
      </c>
      <c r="AD1006" s="1937" t="str">
        <f t="shared" si="135"/>
        <v>-</v>
      </c>
      <c r="AE1006" s="1937" t="str">
        <f t="shared" si="135"/>
        <v>-</v>
      </c>
      <c r="AF1006" s="1937" t="str">
        <f t="shared" si="135"/>
        <v>-</v>
      </c>
      <c r="AG1006" s="1937" t="str">
        <f t="shared" si="135"/>
        <v>-</v>
      </c>
      <c r="AK1006" s="883"/>
    </row>
    <row r="1007" spans="2:57" ht="30" hidden="1" customHeight="1" outlineLevel="1" x14ac:dyDescent="0.25">
      <c r="D1007" s="3089" t="s">
        <v>615</v>
      </c>
      <c r="E1007" s="3089" t="s">
        <v>616</v>
      </c>
      <c r="F1007" s="1087"/>
      <c r="G1007" s="1087">
        <v>1</v>
      </c>
      <c r="H1007" s="3867" t="s">
        <v>600</v>
      </c>
      <c r="I1007" s="3867"/>
      <c r="J1007" s="4236" t="s">
        <v>2048</v>
      </c>
      <c r="K1007" s="4236"/>
      <c r="L1007" s="4236"/>
      <c r="M1007" s="910"/>
      <c r="N1007" s="910"/>
      <c r="O1007" s="910"/>
      <c r="P1007" s="910"/>
      <c r="Q1007" s="910"/>
      <c r="V1007" s="3208" t="str">
        <f>D1007</f>
        <v>%Electric DHW</v>
      </c>
      <c r="W1007" s="1081">
        <v>1</v>
      </c>
      <c r="X1007" s="1081">
        <v>1</v>
      </c>
      <c r="Y1007" s="1081">
        <v>1</v>
      </c>
      <c r="Z1007" s="1081">
        <v>1</v>
      </c>
      <c r="AA1007" s="1081">
        <v>1</v>
      </c>
      <c r="AB1007" s="1081">
        <v>1</v>
      </c>
      <c r="AC1007" s="1087">
        <v>1</v>
      </c>
      <c r="AD1007" s="966"/>
      <c r="AE1007" s="966"/>
      <c r="AF1007" s="966"/>
      <c r="AG1007" s="966"/>
      <c r="AK1007" s="883"/>
    </row>
    <row r="1008" spans="2:57" ht="101.25" hidden="1" customHeight="1" outlineLevel="1" x14ac:dyDescent="0.25">
      <c r="D1008" s="3089" t="s">
        <v>2049</v>
      </c>
      <c r="E1008" s="3089" t="s">
        <v>692</v>
      </c>
      <c r="F1008" s="3146"/>
      <c r="G1008" s="3146">
        <v>1.5</v>
      </c>
      <c r="H1008" s="3776" t="s">
        <v>694</v>
      </c>
      <c r="I1008" s="3776"/>
      <c r="J1008" s="4236" t="s">
        <v>2050</v>
      </c>
      <c r="K1008" s="4236"/>
      <c r="L1008" s="4236"/>
      <c r="M1008" s="910"/>
      <c r="N1008" s="910"/>
      <c r="O1008" s="910"/>
      <c r="P1008" s="910"/>
      <c r="Q1008" s="910"/>
      <c r="V1008" s="3208" t="str">
        <f>D1008</f>
        <v>GPMbase</v>
      </c>
      <c r="W1008" s="1082">
        <v>1.5</v>
      </c>
      <c r="X1008" s="1082">
        <v>1.5</v>
      </c>
      <c r="Y1008" s="1082">
        <v>1.5</v>
      </c>
      <c r="Z1008" s="1082">
        <v>1.5</v>
      </c>
      <c r="AA1008" s="1082">
        <v>1.5</v>
      </c>
      <c r="AB1008" s="1082">
        <v>1.5</v>
      </c>
      <c r="AC1008" s="3146">
        <v>1.5</v>
      </c>
      <c r="AD1008" s="1028"/>
      <c r="AE1008" s="1028"/>
      <c r="AF1008" s="1028"/>
      <c r="AG1008" s="1028"/>
      <c r="AK1008" s="883"/>
    </row>
    <row r="1009" spans="2:37" ht="102.75" hidden="1" customHeight="1" outlineLevel="1" x14ac:dyDescent="0.25">
      <c r="D1009" s="3089" t="s">
        <v>2051</v>
      </c>
      <c r="E1009" s="1648" t="s">
        <v>1971</v>
      </c>
      <c r="F1009" s="1705"/>
      <c r="G1009" s="1705">
        <v>0.89</v>
      </c>
      <c r="H1009" s="4234" t="s">
        <v>2052</v>
      </c>
      <c r="I1009" s="4234"/>
      <c r="J1009" s="4236" t="s">
        <v>2053</v>
      </c>
      <c r="K1009" s="4236"/>
      <c r="L1009" s="4236"/>
      <c r="M1009" s="910"/>
      <c r="N1009" s="910"/>
      <c r="O1009" s="910"/>
      <c r="P1009" s="910"/>
      <c r="Q1009" s="910"/>
      <c r="V1009" s="3208" t="str">
        <f>D1009</f>
        <v>Lbase</v>
      </c>
      <c r="W1009" s="1083">
        <v>0.89</v>
      </c>
      <c r="X1009" s="1083">
        <v>0.89</v>
      </c>
      <c r="Y1009" s="1083">
        <v>0.89</v>
      </c>
      <c r="Z1009" s="1083">
        <v>0.89</v>
      </c>
      <c r="AA1009" s="1083">
        <v>0.89</v>
      </c>
      <c r="AB1009" s="1083">
        <v>0.89</v>
      </c>
      <c r="AC1009" s="1705">
        <v>0.89</v>
      </c>
      <c r="AD1009" s="968"/>
      <c r="AE1009" s="968"/>
      <c r="AF1009" s="968"/>
      <c r="AG1009" s="968"/>
      <c r="AK1009" s="883"/>
    </row>
    <row r="1010" spans="2:37" hidden="1" outlineLevel="1" x14ac:dyDescent="0.25">
      <c r="D1010" s="3872" t="s">
        <v>200</v>
      </c>
      <c r="E1010" s="4237" t="s">
        <v>701</v>
      </c>
      <c r="F1010" s="1705" t="s">
        <v>320</v>
      </c>
      <c r="G1010" s="1705">
        <v>2.67</v>
      </c>
      <c r="H1010" s="4239" t="s">
        <v>1011</v>
      </c>
      <c r="I1010" s="4240"/>
      <c r="J1010" s="3925"/>
      <c r="K1010" s="4242"/>
      <c r="L1010" s="3926"/>
      <c r="M1010" s="910"/>
      <c r="N1010" s="910"/>
      <c r="O1010" s="910"/>
      <c r="P1010" s="910"/>
      <c r="Q1010" s="910"/>
      <c r="V1010" s="4241" t="str">
        <f>D1010</f>
        <v>Household</v>
      </c>
      <c r="W1010" s="1083">
        <v>2.67</v>
      </c>
      <c r="X1010" s="1083">
        <v>2.67</v>
      </c>
      <c r="Y1010" s="1083">
        <v>2.67</v>
      </c>
      <c r="Z1010" s="1083">
        <v>2.67</v>
      </c>
      <c r="AA1010" s="1083">
        <v>2.67</v>
      </c>
      <c r="AB1010" s="1083">
        <v>2.67</v>
      </c>
      <c r="AC1010" s="1705">
        <v>2.67</v>
      </c>
      <c r="AD1010" s="968"/>
      <c r="AE1010" s="968"/>
      <c r="AF1010" s="968"/>
      <c r="AG1010" s="968"/>
      <c r="AK1010" s="883"/>
    </row>
    <row r="1011" spans="2:37" hidden="1" outlineLevel="1" x14ac:dyDescent="0.25">
      <c r="D1011" s="3873"/>
      <c r="E1011" s="4238"/>
      <c r="F1011" s="1705" t="s">
        <v>322</v>
      </c>
      <c r="G1011" s="1705">
        <v>2.0699999999999998</v>
      </c>
      <c r="H1011" s="4239" t="s">
        <v>1011</v>
      </c>
      <c r="I1011" s="4240"/>
      <c r="J1011" s="3925"/>
      <c r="K1011" s="4242"/>
      <c r="L1011" s="3926"/>
      <c r="M1011" s="910"/>
      <c r="N1011" s="910"/>
      <c r="O1011" s="910"/>
      <c r="P1011" s="910"/>
      <c r="Q1011" s="910"/>
      <c r="V1011" s="4231"/>
      <c r="W1011" s="1083">
        <v>2.0699999999999998</v>
      </c>
      <c r="X1011" s="1083">
        <v>2.0699999999999998</v>
      </c>
      <c r="Y1011" s="1083">
        <v>2.0699999999999998</v>
      </c>
      <c r="Z1011" s="1083">
        <v>2.0699999999999998</v>
      </c>
      <c r="AA1011" s="1083">
        <v>2.0699999999999998</v>
      </c>
      <c r="AB1011" s="1083">
        <v>2.0699999999999998</v>
      </c>
      <c r="AC1011" s="1705">
        <v>2.0699999999999998</v>
      </c>
      <c r="AD1011" s="968"/>
      <c r="AE1011" s="968"/>
      <c r="AF1011" s="968"/>
      <c r="AG1011" s="968"/>
      <c r="AK1011" s="883"/>
    </row>
    <row r="1012" spans="2:37" ht="70.5" hidden="1" customHeight="1" outlineLevel="1" x14ac:dyDescent="0.25">
      <c r="D1012" s="3089" t="s">
        <v>705</v>
      </c>
      <c r="E1012" s="1648" t="s">
        <v>1974</v>
      </c>
      <c r="F1012" s="1705"/>
      <c r="G1012" s="1705">
        <v>0.66</v>
      </c>
      <c r="H1012" s="4234" t="s">
        <v>1972</v>
      </c>
      <c r="I1012" s="4234"/>
      <c r="J1012" s="4236" t="s">
        <v>674</v>
      </c>
      <c r="K1012" s="4236"/>
      <c r="L1012" s="4236"/>
      <c r="M1012" s="910"/>
      <c r="N1012" s="910"/>
      <c r="O1012" s="910"/>
      <c r="P1012" s="910"/>
      <c r="Q1012" s="910"/>
      <c r="V1012" s="3208" t="str">
        <f>D1012</f>
        <v>SPDC</v>
      </c>
      <c r="W1012" s="1083">
        <v>0.66</v>
      </c>
      <c r="X1012" s="1083">
        <v>0.66</v>
      </c>
      <c r="Y1012" s="1083">
        <v>0.66</v>
      </c>
      <c r="Z1012" s="1083">
        <v>0.66</v>
      </c>
      <c r="AA1012" s="1083">
        <v>0.66</v>
      </c>
      <c r="AB1012" s="1083">
        <v>0.66</v>
      </c>
      <c r="AC1012" s="1705">
        <v>0.66</v>
      </c>
      <c r="AD1012" s="968"/>
      <c r="AE1012" s="968"/>
      <c r="AF1012" s="968"/>
      <c r="AG1012" s="968"/>
      <c r="AK1012" s="883"/>
    </row>
    <row r="1013" spans="2:37" hidden="1" outlineLevel="1" x14ac:dyDescent="0.25">
      <c r="D1013" s="3089">
        <v>365.25</v>
      </c>
      <c r="E1013" s="1648" t="s">
        <v>1976</v>
      </c>
      <c r="F1013" s="1705"/>
      <c r="G1013" s="1705">
        <v>365.25</v>
      </c>
      <c r="H1013" s="3776" t="s">
        <v>587</v>
      </c>
      <c r="I1013" s="3776"/>
      <c r="J1013" s="4236"/>
      <c r="K1013" s="4236"/>
      <c r="L1013" s="4236"/>
      <c r="M1013" s="910"/>
      <c r="N1013" s="910"/>
      <c r="O1013" s="910"/>
      <c r="P1013" s="910"/>
      <c r="Q1013" s="910"/>
      <c r="V1013" s="3208">
        <f>D1013</f>
        <v>365.25</v>
      </c>
      <c r="W1013" s="1083">
        <v>365.25</v>
      </c>
      <c r="X1013" s="1083">
        <v>365.25</v>
      </c>
      <c r="Y1013" s="1083">
        <v>365.25</v>
      </c>
      <c r="Z1013" s="1083">
        <v>365.25</v>
      </c>
      <c r="AA1013" s="1083">
        <v>365.25</v>
      </c>
      <c r="AB1013" s="1083">
        <v>365.25</v>
      </c>
      <c r="AC1013" s="1705">
        <v>365.25</v>
      </c>
      <c r="AD1013" s="968"/>
      <c r="AE1013" s="968"/>
      <c r="AF1013" s="968"/>
      <c r="AG1013" s="968"/>
      <c r="AK1013" s="883"/>
    </row>
    <row r="1014" spans="2:37" hidden="1" outlineLevel="1" x14ac:dyDescent="0.25">
      <c r="D1014" s="3872" t="s">
        <v>708</v>
      </c>
      <c r="E1014" s="4237" t="s">
        <v>1977</v>
      </c>
      <c r="F1014" s="1705" t="s">
        <v>320</v>
      </c>
      <c r="G1014" s="1705">
        <v>2.0499999999999998</v>
      </c>
      <c r="H1014" s="4239" t="s">
        <v>1011</v>
      </c>
      <c r="I1014" s="4240"/>
      <c r="J1014" s="3823"/>
      <c r="K1014" s="3823"/>
      <c r="L1014" s="3823"/>
      <c r="M1014" s="910"/>
      <c r="N1014" s="910"/>
      <c r="O1014" s="910"/>
      <c r="P1014" s="910"/>
      <c r="Q1014" s="910"/>
      <c r="V1014" s="4241" t="str">
        <f>D1014</f>
        <v>SPH</v>
      </c>
      <c r="W1014" s="1083">
        <v>2.0499999999999998</v>
      </c>
      <c r="X1014" s="1083">
        <v>2.0499999999999998</v>
      </c>
      <c r="Y1014" s="1083">
        <v>2.0499999999999998</v>
      </c>
      <c r="Z1014" s="1083">
        <v>2.0499999999999998</v>
      </c>
      <c r="AA1014" s="1083">
        <v>2.0499999999999998</v>
      </c>
      <c r="AB1014" s="1083">
        <v>2.0499999999999998</v>
      </c>
      <c r="AC1014" s="1705">
        <v>2.0499999999999998</v>
      </c>
      <c r="AD1014" s="968"/>
      <c r="AE1014" s="968"/>
      <c r="AF1014" s="968"/>
      <c r="AG1014" s="968"/>
      <c r="AK1014" s="883"/>
    </row>
    <row r="1015" spans="2:37" hidden="1" outlineLevel="1" x14ac:dyDescent="0.25">
      <c r="D1015" s="3873"/>
      <c r="E1015" s="4238"/>
      <c r="F1015" s="1705" t="s">
        <v>322</v>
      </c>
      <c r="G1015" s="1705">
        <v>1.4</v>
      </c>
      <c r="H1015" s="4239" t="s">
        <v>1011</v>
      </c>
      <c r="I1015" s="4240"/>
      <c r="J1015" s="3823"/>
      <c r="K1015" s="3823"/>
      <c r="L1015" s="3823"/>
      <c r="M1015" s="910"/>
      <c r="N1015" s="910"/>
      <c r="O1015" s="910"/>
      <c r="P1015" s="910"/>
      <c r="Q1015" s="910"/>
      <c r="V1015" s="4231"/>
      <c r="W1015" s="1083">
        <v>1.4</v>
      </c>
      <c r="X1015" s="1083">
        <v>1.4</v>
      </c>
      <c r="Y1015" s="1083">
        <v>1.4</v>
      </c>
      <c r="Z1015" s="1083">
        <v>1.4</v>
      </c>
      <c r="AA1015" s="1083">
        <v>1.4</v>
      </c>
      <c r="AB1015" s="1083">
        <v>1.4</v>
      </c>
      <c r="AC1015" s="1705">
        <v>1.4</v>
      </c>
      <c r="AD1015" s="968"/>
      <c r="AE1015" s="968"/>
      <c r="AF1015" s="968"/>
      <c r="AG1015" s="968"/>
      <c r="AK1015" s="883"/>
    </row>
    <row r="1016" spans="2:37" hidden="1" outlineLevel="1" x14ac:dyDescent="0.25">
      <c r="D1016" s="3089">
        <v>8.33</v>
      </c>
      <c r="E1016" s="1648" t="s">
        <v>647</v>
      </c>
      <c r="F1016" s="1705"/>
      <c r="G1016" s="1705">
        <v>8.33</v>
      </c>
      <c r="H1016" s="3867" t="s">
        <v>648</v>
      </c>
      <c r="I1016" s="3867"/>
      <c r="J1016" s="4236" t="s">
        <v>674</v>
      </c>
      <c r="K1016" s="4236"/>
      <c r="L1016" s="4236"/>
      <c r="M1016" s="910"/>
      <c r="N1016" s="910"/>
      <c r="O1016" s="910"/>
      <c r="P1016" s="910" t="s">
        <v>2054</v>
      </c>
      <c r="Q1016" s="910"/>
      <c r="V1016" s="3208">
        <f>D1016</f>
        <v>8.33</v>
      </c>
      <c r="W1016" s="1083">
        <v>8.33</v>
      </c>
      <c r="X1016" s="1083">
        <v>8.33</v>
      </c>
      <c r="Y1016" s="1083">
        <v>8.33</v>
      </c>
      <c r="Z1016" s="1083">
        <v>8.33</v>
      </c>
      <c r="AA1016" s="1083">
        <v>8.33</v>
      </c>
      <c r="AB1016" s="1083">
        <v>8.33</v>
      </c>
      <c r="AC1016" s="1705">
        <v>8.33</v>
      </c>
      <c r="AD1016" s="968"/>
      <c r="AE1016" s="968"/>
      <c r="AF1016" s="968"/>
      <c r="AG1016" s="968"/>
      <c r="AK1016" s="883"/>
    </row>
    <row r="1017" spans="2:37" hidden="1" outlineLevel="1" x14ac:dyDescent="0.25">
      <c r="D1017" s="3089">
        <v>1</v>
      </c>
      <c r="E1017" s="1648" t="s">
        <v>1978</v>
      </c>
      <c r="F1017" s="1705"/>
      <c r="G1017" s="1705">
        <v>1</v>
      </c>
      <c r="H1017" s="3776" t="s">
        <v>650</v>
      </c>
      <c r="I1017" s="3776"/>
      <c r="J1017" s="4236" t="s">
        <v>674</v>
      </c>
      <c r="K1017" s="4236"/>
      <c r="L1017" s="4236"/>
      <c r="M1017" s="910"/>
      <c r="N1017" s="910"/>
      <c r="O1017" s="910"/>
      <c r="P1017" s="910"/>
      <c r="Q1017" s="910"/>
      <c r="V1017" s="3208">
        <f t="shared" ref="V1017:V1024" si="136">D1017</f>
        <v>1</v>
      </c>
      <c r="W1017" s="1083">
        <v>1</v>
      </c>
      <c r="X1017" s="1083">
        <v>1</v>
      </c>
      <c r="Y1017" s="1083">
        <v>1</v>
      </c>
      <c r="Z1017" s="1083">
        <v>1</v>
      </c>
      <c r="AA1017" s="1083">
        <v>1</v>
      </c>
      <c r="AB1017" s="1083">
        <v>1</v>
      </c>
      <c r="AC1017" s="1705">
        <v>1</v>
      </c>
      <c r="AD1017" s="968"/>
      <c r="AE1017" s="968"/>
      <c r="AF1017" s="968"/>
      <c r="AG1017" s="968"/>
      <c r="AK1017" s="883"/>
    </row>
    <row r="1018" spans="2:37" hidden="1" outlineLevel="1" x14ac:dyDescent="0.25">
      <c r="D1018" s="3089" t="s">
        <v>710</v>
      </c>
      <c r="E1018" s="1648" t="s">
        <v>1979</v>
      </c>
      <c r="F1018" s="1705"/>
      <c r="G1018" s="1705">
        <v>105</v>
      </c>
      <c r="H1018" s="3776" t="s">
        <v>712</v>
      </c>
      <c r="I1018" s="3776"/>
      <c r="J1018" s="4236" t="s">
        <v>674</v>
      </c>
      <c r="K1018" s="4236"/>
      <c r="L1018" s="4236"/>
      <c r="M1018" s="910"/>
      <c r="N1018" s="910"/>
      <c r="O1018" s="910"/>
      <c r="P1018" s="910"/>
      <c r="Q1018" s="910"/>
      <c r="V1018" s="3208" t="str">
        <f t="shared" si="136"/>
        <v>ShowerTemp</v>
      </c>
      <c r="W1018" s="1083">
        <v>105</v>
      </c>
      <c r="X1018" s="1083">
        <v>105</v>
      </c>
      <c r="Y1018" s="1083">
        <v>105</v>
      </c>
      <c r="Z1018" s="1083">
        <v>105</v>
      </c>
      <c r="AA1018" s="1083">
        <v>105</v>
      </c>
      <c r="AB1018" s="1083">
        <v>105</v>
      </c>
      <c r="AC1018" s="1705">
        <v>105</v>
      </c>
      <c r="AD1018" s="968"/>
      <c r="AE1018" s="968"/>
      <c r="AF1018" s="968"/>
      <c r="AG1018" s="968"/>
      <c r="AK1018" s="883"/>
    </row>
    <row r="1019" spans="2:37" hidden="1" outlineLevel="1" x14ac:dyDescent="0.25">
      <c r="B1019" s="1233"/>
      <c r="D1019" s="3089" t="s">
        <v>654</v>
      </c>
      <c r="E1019" s="1648" t="s">
        <v>1946</v>
      </c>
      <c r="F1019" s="1705"/>
      <c r="G1019" s="1705">
        <v>61.3</v>
      </c>
      <c r="H1019" s="3776" t="s">
        <v>656</v>
      </c>
      <c r="I1019" s="3776"/>
      <c r="J1019" s="4236" t="s">
        <v>674</v>
      </c>
      <c r="K1019" s="4236"/>
      <c r="L1019" s="4236"/>
      <c r="M1019" s="910"/>
      <c r="N1019" s="910"/>
      <c r="O1019" s="910"/>
      <c r="P1019" s="910"/>
      <c r="Q1019" s="910"/>
      <c r="V1019" s="3208" t="str">
        <f t="shared" si="136"/>
        <v>SupplyTemp</v>
      </c>
      <c r="W1019" s="1083">
        <v>61.3</v>
      </c>
      <c r="X1019" s="1083">
        <v>61.3</v>
      </c>
      <c r="Y1019" s="1083">
        <v>61.3</v>
      </c>
      <c r="Z1019" s="1083">
        <v>61.3</v>
      </c>
      <c r="AA1019" s="1083">
        <v>61.3</v>
      </c>
      <c r="AB1019" s="1083">
        <v>61.3</v>
      </c>
      <c r="AC1019" s="1705">
        <v>61.3</v>
      </c>
      <c r="AD1019" s="968"/>
      <c r="AE1019" s="968"/>
      <c r="AF1019" s="968"/>
      <c r="AG1019" s="968"/>
      <c r="AK1019" s="883"/>
    </row>
    <row r="1020" spans="2:37" ht="18" hidden="1" outlineLevel="1" x14ac:dyDescent="0.25">
      <c r="B1020" s="1233"/>
      <c r="D1020" s="3089" t="s">
        <v>2055</v>
      </c>
      <c r="E1020" s="3184" t="s">
        <v>1947</v>
      </c>
      <c r="F1020" s="1084"/>
      <c r="G1020" s="1084">
        <v>0.98</v>
      </c>
      <c r="H1020" s="4151" t="s">
        <v>1948</v>
      </c>
      <c r="I1020" s="4151"/>
      <c r="J1020" s="4236" t="s">
        <v>674</v>
      </c>
      <c r="K1020" s="4236"/>
      <c r="L1020" s="4236"/>
      <c r="M1020" s="910"/>
      <c r="N1020" s="910"/>
      <c r="O1020" s="910"/>
      <c r="P1020" s="910"/>
      <c r="Q1020" s="910"/>
      <c r="V1020" s="3208" t="str">
        <f t="shared" si="136"/>
        <v>REelectric</v>
      </c>
      <c r="W1020" s="1083">
        <v>0.98</v>
      </c>
      <c r="X1020" s="1083">
        <v>0.98</v>
      </c>
      <c r="Y1020" s="1083">
        <v>0.98</v>
      </c>
      <c r="Z1020" s="1083">
        <v>0.98</v>
      </c>
      <c r="AA1020" s="1083">
        <v>0.98</v>
      </c>
      <c r="AB1020" s="1083">
        <v>0.98</v>
      </c>
      <c r="AC1020" s="1084">
        <v>0.98</v>
      </c>
      <c r="AD1020" s="968"/>
      <c r="AE1020" s="968"/>
      <c r="AF1020" s="968"/>
      <c r="AG1020" s="968"/>
      <c r="AK1020" s="883"/>
    </row>
    <row r="1021" spans="2:37" hidden="1" outlineLevel="1" x14ac:dyDescent="0.25">
      <c r="B1021" s="1233"/>
      <c r="D1021" s="3089">
        <v>3412</v>
      </c>
      <c r="E1021" s="3184">
        <v>3412</v>
      </c>
      <c r="F1021" s="1085"/>
      <c r="G1021" s="1085">
        <v>3412</v>
      </c>
      <c r="H1021" s="3867" t="s">
        <v>218</v>
      </c>
      <c r="I1021" s="3867"/>
      <c r="J1021" s="4236" t="s">
        <v>2056</v>
      </c>
      <c r="K1021" s="4236"/>
      <c r="L1021" s="4236"/>
      <c r="M1021" s="910"/>
      <c r="N1021" s="910"/>
      <c r="O1021" s="910"/>
      <c r="P1021" s="910"/>
      <c r="Q1021" s="910"/>
      <c r="V1021" s="3208">
        <f t="shared" si="136"/>
        <v>3412</v>
      </c>
      <c r="W1021" s="1086">
        <v>3412</v>
      </c>
      <c r="X1021" s="1086">
        <v>3412</v>
      </c>
      <c r="Y1021" s="1086">
        <v>3412</v>
      </c>
      <c r="Z1021" s="1086">
        <v>3412</v>
      </c>
      <c r="AA1021" s="1086">
        <v>3412</v>
      </c>
      <c r="AB1021" s="1086">
        <v>3412</v>
      </c>
      <c r="AC1021" s="1085">
        <v>3412</v>
      </c>
      <c r="AD1021" s="1044"/>
      <c r="AE1021" s="1044"/>
      <c r="AF1021" s="1044"/>
      <c r="AG1021" s="1044"/>
      <c r="AK1021" s="883"/>
    </row>
    <row r="1022" spans="2:37" hidden="1" outlineLevel="1" x14ac:dyDescent="0.25">
      <c r="B1022" s="1233"/>
      <c r="D1022" s="3089" t="s">
        <v>531</v>
      </c>
      <c r="E1022" s="3089" t="s">
        <v>595</v>
      </c>
      <c r="F1022" s="1087"/>
      <c r="G1022" s="1087">
        <v>1</v>
      </c>
      <c r="H1022" s="3867" t="s">
        <v>600</v>
      </c>
      <c r="I1022" s="3867"/>
      <c r="J1022" s="4236" t="s">
        <v>1816</v>
      </c>
      <c r="K1022" s="4236"/>
      <c r="L1022" s="4236"/>
      <c r="M1022" s="910"/>
      <c r="N1022" s="910"/>
      <c r="O1022" s="910"/>
      <c r="P1022" s="910"/>
      <c r="Q1022" s="910"/>
      <c r="V1022" s="3208" t="str">
        <f t="shared" si="136"/>
        <v>Utility Adjustment</v>
      </c>
      <c r="W1022" s="1081">
        <v>1</v>
      </c>
      <c r="X1022" s="1081">
        <v>1</v>
      </c>
      <c r="Y1022" s="1081">
        <v>1</v>
      </c>
      <c r="Z1022" s="1081">
        <v>1</v>
      </c>
      <c r="AA1022" s="1081">
        <v>1</v>
      </c>
      <c r="AB1022" s="1081">
        <v>1</v>
      </c>
      <c r="AC1022" s="1087">
        <v>1</v>
      </c>
      <c r="AD1022" s="966"/>
      <c r="AE1022" s="966"/>
      <c r="AF1022" s="966"/>
      <c r="AG1022" s="966"/>
      <c r="AK1022" s="883"/>
    </row>
    <row r="1023" spans="2:37" hidden="1" outlineLevel="1" x14ac:dyDescent="0.25">
      <c r="B1023" s="1233"/>
      <c r="C1023" s="225"/>
      <c r="D1023" s="3089" t="s">
        <v>133</v>
      </c>
      <c r="E1023" s="3184" t="s">
        <v>1817</v>
      </c>
      <c r="F1023" s="1084"/>
      <c r="G1023" s="1084">
        <v>0.91346153846153844</v>
      </c>
      <c r="H1023" s="4235" t="s">
        <v>2057</v>
      </c>
      <c r="I1023" s="4235"/>
      <c r="J1023" s="4236" t="s">
        <v>674</v>
      </c>
      <c r="K1023" s="4236"/>
      <c r="L1023" s="4236"/>
      <c r="M1023" s="910"/>
      <c r="N1023" s="910"/>
      <c r="O1023" s="910"/>
      <c r="P1023" s="910"/>
      <c r="Q1023" s="910"/>
      <c r="V1023" s="3208" t="str">
        <f t="shared" si="136"/>
        <v>ISR</v>
      </c>
      <c r="W1023" s="1083">
        <v>0.91346153846153844</v>
      </c>
      <c r="X1023" s="1083">
        <v>0.91346153846153844</v>
      </c>
      <c r="Y1023" s="1083">
        <v>0.91346153846153844</v>
      </c>
      <c r="Z1023" s="1083">
        <v>0.91346153846153844</v>
      </c>
      <c r="AA1023" s="1083">
        <v>0.91346153846153844</v>
      </c>
      <c r="AB1023" s="1083">
        <v>0.91346153846153844</v>
      </c>
      <c r="AC1023" s="1084">
        <v>0.91346153846153844</v>
      </c>
      <c r="AD1023" s="968"/>
      <c r="AE1023" s="968"/>
      <c r="AF1023" s="968"/>
      <c r="AG1023" s="968"/>
      <c r="AK1023" s="883"/>
    </row>
    <row r="1024" spans="2:37" hidden="1" outlineLevel="1" x14ac:dyDescent="0.25">
      <c r="B1024" s="1233"/>
      <c r="C1024" s="3159"/>
      <c r="D1024" s="3192" t="str">
        <f>D904</f>
        <v>EUL</v>
      </c>
      <c r="E1024" s="3192" t="str">
        <f>E904</f>
        <v>Effective Useful Life (All)</v>
      </c>
      <c r="F1024" s="3227" t="s">
        <v>135</v>
      </c>
      <c r="G1024" s="1088">
        <v>10</v>
      </c>
      <c r="H1024" s="4235"/>
      <c r="I1024" s="4235"/>
      <c r="J1024" s="4236"/>
      <c r="K1024" s="4236"/>
      <c r="L1024" s="4236"/>
      <c r="V1024" s="3208" t="str">
        <f t="shared" si="136"/>
        <v>EUL</v>
      </c>
      <c r="W1024" s="969">
        <v>10</v>
      </c>
      <c r="X1024" s="969">
        <v>10</v>
      </c>
      <c r="Y1024" s="969">
        <v>10</v>
      </c>
      <c r="Z1024" s="969">
        <v>10</v>
      </c>
      <c r="AA1024" s="969">
        <v>10</v>
      </c>
      <c r="AB1024" s="969">
        <v>10</v>
      </c>
      <c r="AC1024" s="1088">
        <v>10</v>
      </c>
      <c r="AD1024" s="1052"/>
      <c r="AE1024" s="1052"/>
      <c r="AF1024" s="1052"/>
      <c r="AG1024" s="1052"/>
      <c r="AK1024" s="883"/>
    </row>
    <row r="1025" spans="1:57" hidden="1" outlineLevel="1" x14ac:dyDescent="0.25">
      <c r="B1025" s="1233"/>
      <c r="C1025" s="3159"/>
      <c r="D1025" s="4204" t="str">
        <f>D990</f>
        <v>Inc. Cost</v>
      </c>
      <c r="E1025" s="4204" t="str">
        <f>E873</f>
        <v>Incremental Cost</v>
      </c>
      <c r="F1025" s="3227" t="s">
        <v>429</v>
      </c>
      <c r="G1025" s="1089">
        <v>50</v>
      </c>
      <c r="H1025" s="4235"/>
      <c r="I1025" s="4235"/>
      <c r="J1025" s="4236"/>
      <c r="K1025" s="4236"/>
      <c r="L1025" s="4236"/>
      <c r="V1025" s="4230" t="str">
        <f>D1025</f>
        <v>Inc. Cost</v>
      </c>
      <c r="W1025" s="1053">
        <v>50</v>
      </c>
      <c r="X1025" s="1053">
        <v>50</v>
      </c>
      <c r="Y1025" s="1053">
        <v>50</v>
      </c>
      <c r="Z1025" s="1053">
        <v>50</v>
      </c>
      <c r="AA1025" s="1053">
        <v>50</v>
      </c>
      <c r="AB1025" s="1053">
        <v>50</v>
      </c>
      <c r="AC1025" s="1089">
        <v>50</v>
      </c>
      <c r="AD1025" s="1054"/>
      <c r="AE1025" s="1054"/>
      <c r="AF1025" s="1054"/>
      <c r="AG1025" s="1054"/>
      <c r="AK1025" s="883"/>
    </row>
    <row r="1026" spans="1:57" hidden="1" outlineLevel="1" x14ac:dyDescent="0.25">
      <c r="B1026" s="1233"/>
      <c r="C1026" s="3159"/>
      <c r="D1026" s="3776"/>
      <c r="E1026" s="3776"/>
      <c r="F1026" s="3227" t="s">
        <v>430</v>
      </c>
      <c r="G1026" s="1089">
        <v>50</v>
      </c>
      <c r="H1026" s="4235"/>
      <c r="I1026" s="4235"/>
      <c r="J1026" s="4236"/>
      <c r="K1026" s="4236"/>
      <c r="L1026" s="4236"/>
      <c r="V1026" s="4231"/>
      <c r="W1026" s="1053">
        <v>50</v>
      </c>
      <c r="X1026" s="1053">
        <v>50</v>
      </c>
      <c r="Y1026" s="1053">
        <v>50</v>
      </c>
      <c r="Z1026" s="1053">
        <v>50</v>
      </c>
      <c r="AA1026" s="1053">
        <v>50</v>
      </c>
      <c r="AB1026" s="1053">
        <v>50</v>
      </c>
      <c r="AC1026" s="1089">
        <v>50</v>
      </c>
      <c r="AD1026" s="1054"/>
      <c r="AE1026" s="1054"/>
      <c r="AF1026" s="1054"/>
      <c r="AG1026" s="1054"/>
      <c r="AK1026" s="883"/>
    </row>
    <row r="1027" spans="1:57" ht="15" customHeight="1" collapsed="1" x14ac:dyDescent="0.25">
      <c r="B1027" s="1233"/>
      <c r="C1027" s="225"/>
      <c r="Y1027" s="1500" t="s">
        <v>1642</v>
      </c>
      <c r="Z1027" s="433"/>
      <c r="AA1027" s="433"/>
      <c r="AK1027" s="883"/>
    </row>
    <row r="1028" spans="1:57" ht="15" customHeight="1" x14ac:dyDescent="0.25">
      <c r="B1028" s="1233"/>
      <c r="C1028" s="225"/>
      <c r="AK1028" s="883"/>
    </row>
    <row r="1029" spans="1:57" ht="15" customHeight="1" x14ac:dyDescent="0.25">
      <c r="B1029" s="3750" t="s">
        <v>2058</v>
      </c>
      <c r="C1029" s="3751"/>
      <c r="D1029" s="3751"/>
      <c r="E1029" s="3751"/>
      <c r="F1029" s="3751"/>
      <c r="G1029" s="3751"/>
      <c r="H1029" s="3751"/>
      <c r="I1029" s="3744"/>
      <c r="J1029" s="3744"/>
      <c r="K1029" s="3744"/>
      <c r="L1029" s="3744"/>
      <c r="M1029" s="3744"/>
      <c r="N1029" s="3744"/>
      <c r="O1029" s="3744"/>
      <c r="P1029" s="3744"/>
      <c r="Q1029" s="3744"/>
      <c r="R1029" s="3745"/>
      <c r="V1029" s="3750" t="str">
        <f>B1029</f>
        <v>Water Heater Wrap</v>
      </c>
      <c r="W1029" s="3751"/>
      <c r="X1029" s="3751"/>
      <c r="Y1029" s="3751"/>
      <c r="Z1029" s="3751"/>
      <c r="AA1029" s="3751"/>
      <c r="AB1029" s="3751"/>
      <c r="AC1029" s="3752"/>
      <c r="AD1029" s="3752"/>
      <c r="AE1029" s="3752"/>
      <c r="AF1029" s="3752"/>
      <c r="AG1029" s="3752"/>
      <c r="AH1029" s="3752"/>
      <c r="AI1029" s="3753"/>
      <c r="AK1029" s="883"/>
    </row>
    <row r="1030" spans="1:57" ht="15" customHeight="1" x14ac:dyDescent="0.25">
      <c r="A1030" s="247"/>
      <c r="B1030" s="247"/>
      <c r="D1030" s="419"/>
      <c r="E1030" s="419"/>
      <c r="F1030" s="226"/>
      <c r="G1030" s="226"/>
      <c r="H1030" s="226"/>
      <c r="I1030" s="226"/>
      <c r="J1030" s="226"/>
      <c r="K1030" s="226"/>
      <c r="L1030" s="1438"/>
      <c r="AK1030" s="883"/>
    </row>
    <row r="1031" spans="1:57" ht="30" x14ac:dyDescent="0.25">
      <c r="B1031" s="1233"/>
      <c r="C1031" s="3086" t="s">
        <v>28</v>
      </c>
      <c r="D1031" s="3086" t="s">
        <v>175</v>
      </c>
      <c r="E1031" s="3086" t="s">
        <v>30</v>
      </c>
      <c r="F1031" s="3086" t="s">
        <v>1765</v>
      </c>
      <c r="G1031" s="3086" t="s">
        <v>176</v>
      </c>
      <c r="H1031" s="3086" t="s">
        <v>177</v>
      </c>
      <c r="I1031" s="3086" t="s">
        <v>32</v>
      </c>
      <c r="J1031" s="3086" t="s">
        <v>181</v>
      </c>
      <c r="K1031" s="3086" t="s">
        <v>170</v>
      </c>
      <c r="L1031" s="3086" t="s">
        <v>44</v>
      </c>
      <c r="V1031" s="1936" t="s">
        <v>45</v>
      </c>
      <c r="W1031" s="1937">
        <f>W$6</f>
        <v>43252</v>
      </c>
      <c r="X1031" s="1937">
        <f t="shared" ref="X1031:AG1031" si="137">X$6</f>
        <v>43465</v>
      </c>
      <c r="Y1031" s="360">
        <f t="shared" si="137"/>
        <v>43800</v>
      </c>
      <c r="Z1031" s="1937">
        <f t="shared" si="137"/>
        <v>43862</v>
      </c>
      <c r="AA1031" s="1937">
        <f t="shared" si="137"/>
        <v>44013</v>
      </c>
      <c r="AB1031" s="1937">
        <f t="shared" si="137"/>
        <v>44166</v>
      </c>
      <c r="AC1031" s="1937">
        <f t="shared" si="137"/>
        <v>44531</v>
      </c>
      <c r="AD1031" s="1937" t="str">
        <f t="shared" si="137"/>
        <v>-</v>
      </c>
      <c r="AE1031" s="1937" t="str">
        <f t="shared" si="137"/>
        <v>-</v>
      </c>
      <c r="AF1031" s="1937" t="str">
        <f t="shared" si="137"/>
        <v>-</v>
      </c>
      <c r="AG1031" s="1937" t="str">
        <f t="shared" si="137"/>
        <v>-</v>
      </c>
      <c r="AK1031" s="883"/>
      <c r="BB1031" s="1938" t="str">
        <f>$BB$6</f>
        <v>TRC (2020)</v>
      </c>
      <c r="BC1031" s="1953" t="str">
        <f>$BC$6</f>
        <v>Benefit Lookup</v>
      </c>
      <c r="BD1031" s="665" t="str">
        <f>$BD$6</f>
        <v>Benefits (2019 $)</v>
      </c>
      <c r="BE1031" s="230" t="str">
        <f>$BE$6</f>
        <v>Incremental Cost (2019 $)</v>
      </c>
    </row>
    <row r="1032" spans="1:57" s="892" customFormat="1" ht="15" customHeight="1" x14ac:dyDescent="0.25">
      <c r="A1032" s="910"/>
      <c r="B1032" s="1606"/>
      <c r="C1032" s="2667" t="s">
        <v>2059</v>
      </c>
      <c r="D1032" s="2695" t="s">
        <v>1571</v>
      </c>
      <c r="E1032" s="3166" t="s">
        <v>2060</v>
      </c>
      <c r="F1032" s="105">
        <f>ROUND(((((F1039/F1040)-(F1041/F1042))*F1043*F1044)/(F1045*F1046))*F1047*F1048*F1049,2)</f>
        <v>100.55</v>
      </c>
      <c r="G1032" s="2667" t="s">
        <v>1926</v>
      </c>
      <c r="H1032" s="155">
        <f>VLOOKUP(G1032,'CP FACTORS'!$A$3:$B$38, 2, FALSE)</f>
        <v>8.8731800000000003E-5</v>
      </c>
      <c r="I1032" s="1531">
        <f>ROUND(F1032*H1032,6)</f>
        <v>8.9219999999999994E-3</v>
      </c>
      <c r="J1032" s="2298">
        <f>F1050</f>
        <v>12</v>
      </c>
      <c r="K1032" s="1090">
        <f>F1051</f>
        <v>58</v>
      </c>
      <c r="L1032" s="2667" t="s">
        <v>185</v>
      </c>
      <c r="M1032" s="910"/>
      <c r="N1032" s="910"/>
      <c r="O1032" s="910"/>
      <c r="P1032" s="910"/>
      <c r="Q1032" s="910"/>
      <c r="R1032" s="910"/>
      <c r="S1032" s="910"/>
      <c r="T1032" s="910"/>
      <c r="U1032" s="910"/>
      <c r="V1032" s="1016" t="str">
        <f>$F$996</f>
        <v>kWh
Annual Savings</v>
      </c>
      <c r="W1032" s="882">
        <v>100.55</v>
      </c>
      <c r="X1032" s="882">
        <v>100.55</v>
      </c>
      <c r="Y1032" s="882">
        <v>100.55</v>
      </c>
      <c r="Z1032" s="882">
        <v>100.55</v>
      </c>
      <c r="AA1032" s="882">
        <v>100.55</v>
      </c>
      <c r="AB1032" s="882">
        <v>100.55</v>
      </c>
      <c r="AC1032" s="882">
        <v>100.55</v>
      </c>
      <c r="AD1032" s="1016"/>
      <c r="AE1032" s="1016"/>
      <c r="AF1032" s="1016"/>
      <c r="AG1032" s="1016"/>
      <c r="AK1032" s="1018"/>
      <c r="BB1032" s="1091">
        <f>(BD1032)/(BE1032)</f>
        <v>0.74088146802699328</v>
      </c>
      <c r="BC1032" s="3166" t="str">
        <f>CONCATENATE(G1032," ",J1032," Year EUL")</f>
        <v>Water heating RES 12 Year EUL</v>
      </c>
      <c r="BD1032" s="166">
        <f>(INDEX('Avoided Cost Benefits'!$C$4:$C$857,MATCH(BC1032,'Avoided Cost Benefits'!$A$4:$A$857,0)))*F1032</f>
        <v>40.557928405441821</v>
      </c>
      <c r="BE1032" s="1092">
        <f>K1032/(1.0595^(2020-2019))</f>
        <v>54.742803209060874</v>
      </c>
    </row>
    <row r="1033" spans="1:57" ht="15" hidden="1" customHeight="1" outlineLevel="1" x14ac:dyDescent="0.25">
      <c r="B1033" s="1233"/>
      <c r="C1033" s="253"/>
      <c r="D1033" s="1213"/>
      <c r="E1033" s="1213"/>
      <c r="AK1033" s="883"/>
    </row>
    <row r="1034" spans="1:57" ht="15" hidden="1" customHeight="1" outlineLevel="1" x14ac:dyDescent="0.25">
      <c r="B1034" s="1233"/>
      <c r="C1034" s="253"/>
      <c r="D1034" s="174" t="s">
        <v>108</v>
      </c>
      <c r="E1034" s="828"/>
      <c r="F1034" s="1610"/>
      <c r="G1034" s="1610"/>
      <c r="AK1034" s="883"/>
    </row>
    <row r="1035" spans="1:57" ht="15" hidden="1" customHeight="1" outlineLevel="1" x14ac:dyDescent="0.25">
      <c r="B1035" s="1233"/>
      <c r="C1035" s="267"/>
      <c r="D1035" s="1674"/>
      <c r="E1035" s="1675"/>
      <c r="F1035" s="1613"/>
      <c r="G1035" s="1613"/>
      <c r="H1035" s="1613"/>
      <c r="I1035" s="1613"/>
      <c r="J1035" s="1613"/>
      <c r="AK1035" s="883"/>
    </row>
    <row r="1036" spans="1:57" ht="15" hidden="1" customHeight="1" outlineLevel="1" x14ac:dyDescent="0.25">
      <c r="B1036" s="1233"/>
      <c r="C1036" s="267"/>
      <c r="D1036" s="1674"/>
      <c r="E1036" s="1675"/>
      <c r="F1036" s="1613"/>
      <c r="G1036" s="1677"/>
      <c r="H1036" s="1677"/>
      <c r="I1036" s="1677"/>
      <c r="J1036" s="1613"/>
      <c r="AK1036" s="883"/>
    </row>
    <row r="1037" spans="1:57" hidden="1" outlineLevel="1" x14ac:dyDescent="0.25">
      <c r="B1037" s="1233"/>
      <c r="C1037" s="267"/>
      <c r="D1037" s="1611"/>
      <c r="E1037" s="1612"/>
      <c r="F1037" s="1613"/>
      <c r="G1037" s="1677"/>
      <c r="H1037" s="1677"/>
      <c r="I1037" s="1677"/>
      <c r="J1037" s="1613"/>
      <c r="AK1037" s="883"/>
    </row>
    <row r="1038" spans="1:57" hidden="1" outlineLevel="1" x14ac:dyDescent="0.25">
      <c r="B1038" s="1233"/>
      <c r="C1038" s="225"/>
      <c r="D1038" s="3236" t="s">
        <v>109</v>
      </c>
      <c r="E1038" s="3236" t="s">
        <v>110</v>
      </c>
      <c r="F1038" s="3136" t="s">
        <v>112</v>
      </c>
      <c r="G1038" s="3773" t="s">
        <v>187</v>
      </c>
      <c r="H1038" s="3773"/>
      <c r="I1038" s="3205" t="s">
        <v>113</v>
      </c>
      <c r="V1038" s="1936" t="s">
        <v>45</v>
      </c>
      <c r="W1038" s="1937">
        <f>W$6</f>
        <v>43252</v>
      </c>
      <c r="X1038" s="1937">
        <f t="shared" ref="X1038:AG1038" si="138">X$6</f>
        <v>43465</v>
      </c>
      <c r="Y1038" s="360">
        <f t="shared" si="138"/>
        <v>43800</v>
      </c>
      <c r="Z1038" s="1937">
        <f t="shared" si="138"/>
        <v>43862</v>
      </c>
      <c r="AA1038" s="1937">
        <f t="shared" si="138"/>
        <v>44013</v>
      </c>
      <c r="AB1038" s="1937">
        <f t="shared" si="138"/>
        <v>44166</v>
      </c>
      <c r="AC1038" s="1937">
        <f t="shared" si="138"/>
        <v>44531</v>
      </c>
      <c r="AD1038" s="1937" t="str">
        <f t="shared" si="138"/>
        <v>-</v>
      </c>
      <c r="AE1038" s="1937" t="str">
        <f t="shared" si="138"/>
        <v>-</v>
      </c>
      <c r="AF1038" s="1937" t="str">
        <f t="shared" si="138"/>
        <v>-</v>
      </c>
      <c r="AG1038" s="1937" t="str">
        <f t="shared" si="138"/>
        <v>-</v>
      </c>
      <c r="AK1038" s="883"/>
    </row>
    <row r="1039" spans="1:57" s="892" customFormat="1" ht="118.5" hidden="1" customHeight="1" outlineLevel="1" x14ac:dyDescent="0.25">
      <c r="A1039" s="910"/>
      <c r="B1039" s="1606"/>
      <c r="C1039" s="913"/>
      <c r="D1039" s="447" t="s">
        <v>2061</v>
      </c>
      <c r="E1039" s="1648" t="s">
        <v>2062</v>
      </c>
      <c r="F1039" s="1706">
        <f>AVERAGE(19.16,23.18,24.99,31.84)</f>
        <v>24.7925</v>
      </c>
      <c r="G1039" s="4234" t="s">
        <v>2063</v>
      </c>
      <c r="H1039" s="4234"/>
      <c r="I1039" s="3124" t="s">
        <v>2064</v>
      </c>
      <c r="J1039" s="910"/>
      <c r="K1039" s="910"/>
      <c r="L1039" s="910"/>
      <c r="M1039" s="910"/>
      <c r="N1039" s="910"/>
      <c r="O1039" s="910"/>
      <c r="P1039" s="910"/>
      <c r="Q1039" s="910"/>
      <c r="R1039" s="910"/>
      <c r="S1039" s="910"/>
      <c r="T1039" s="910"/>
      <c r="U1039" s="910"/>
      <c r="V1039" s="3208" t="str">
        <f>D1039</f>
        <v>ABase</v>
      </c>
      <c r="W1039" s="1093">
        <f>AVERAGE(19.16,23.18,24.99,31.84)</f>
        <v>24.7925</v>
      </c>
      <c r="X1039" s="1093">
        <f>AVERAGE(19.16,23.18,24.99,31.84)</f>
        <v>24.7925</v>
      </c>
      <c r="Y1039" s="1093">
        <f>AVERAGE(19.16,23.18,24.99,31.84)</f>
        <v>24.7925</v>
      </c>
      <c r="Z1039" s="1093">
        <f t="shared" ref="Z1039:AA1039" si="139">AVERAGE(19.16,23.18,24.99,31.84)</f>
        <v>24.7925</v>
      </c>
      <c r="AA1039" s="1093">
        <f t="shared" si="139"/>
        <v>24.7925</v>
      </c>
      <c r="AB1039" s="1093">
        <v>24.7925</v>
      </c>
      <c r="AC1039" s="1706">
        <f>AVERAGE(19.16,23.18,24.99,31.84)</f>
        <v>24.7925</v>
      </c>
      <c r="AD1039" s="1094"/>
      <c r="AE1039" s="1094"/>
      <c r="AF1039" s="1094"/>
      <c r="AG1039" s="1094"/>
      <c r="AK1039" s="1018"/>
      <c r="BB1039" s="906"/>
    </row>
    <row r="1040" spans="1:57" s="892" customFormat="1" ht="18" hidden="1" outlineLevel="1" x14ac:dyDescent="0.25">
      <c r="A1040" s="910"/>
      <c r="B1040" s="1606"/>
      <c r="C1040" s="913"/>
      <c r="D1040" s="447" t="s">
        <v>728</v>
      </c>
      <c r="E1040" s="1707" t="s">
        <v>2065</v>
      </c>
      <c r="F1040" s="1084">
        <v>14</v>
      </c>
      <c r="G1040" s="4234" t="s">
        <v>1997</v>
      </c>
      <c r="H1040" s="4234"/>
      <c r="I1040" s="3124" t="s">
        <v>2066</v>
      </c>
      <c r="J1040" s="910"/>
      <c r="K1040" s="910"/>
      <c r="L1040" s="910"/>
      <c r="M1040" s="910"/>
      <c r="N1040" s="910"/>
      <c r="O1040" s="910"/>
      <c r="P1040" s="910"/>
      <c r="Q1040" s="910"/>
      <c r="R1040" s="910"/>
      <c r="S1040" s="910"/>
      <c r="T1040" s="910"/>
      <c r="U1040" s="910"/>
      <c r="V1040" s="3208" t="str">
        <f t="shared" ref="V1040:V1050" si="140">D1040</f>
        <v>RBase</v>
      </c>
      <c r="W1040" s="1095">
        <v>14</v>
      </c>
      <c r="X1040" s="1095">
        <v>14</v>
      </c>
      <c r="Y1040" s="1095">
        <v>14</v>
      </c>
      <c r="Z1040" s="1095">
        <v>14</v>
      </c>
      <c r="AA1040" s="1095">
        <v>14</v>
      </c>
      <c r="AB1040" s="1095">
        <v>14</v>
      </c>
      <c r="AC1040" s="1084">
        <v>14</v>
      </c>
      <c r="AD1040" s="967"/>
      <c r="AE1040" s="967"/>
      <c r="AF1040" s="967"/>
      <c r="AG1040" s="967"/>
      <c r="AK1040" s="1018"/>
      <c r="BB1040" s="906"/>
    </row>
    <row r="1041" spans="1:54" s="892" customFormat="1" ht="88.5" hidden="1" customHeight="1" outlineLevel="1" x14ac:dyDescent="0.25">
      <c r="A1041" s="910"/>
      <c r="B1041" s="1606"/>
      <c r="C1041" s="913"/>
      <c r="D1041" s="447" t="s">
        <v>2067</v>
      </c>
      <c r="E1041" s="1707" t="s">
        <v>2068</v>
      </c>
      <c r="F1041" s="1706">
        <f>AVERAGE(20.94,25.31,27.06,34.14)</f>
        <v>26.862500000000001</v>
      </c>
      <c r="G1041" s="3910" t="s">
        <v>2069</v>
      </c>
      <c r="H1041" s="3910"/>
      <c r="I1041" s="3124" t="s">
        <v>2070</v>
      </c>
      <c r="J1041" s="910"/>
      <c r="K1041" s="910"/>
      <c r="L1041" s="910"/>
      <c r="M1041" s="910"/>
      <c r="N1041" s="910"/>
      <c r="O1041" s="910"/>
      <c r="P1041" s="910"/>
      <c r="Q1041" s="910"/>
      <c r="R1041" s="910"/>
      <c r="S1041" s="910"/>
      <c r="T1041" s="910"/>
      <c r="U1041" s="910"/>
      <c r="V1041" s="3208" t="str">
        <f t="shared" si="140"/>
        <v>AEE</v>
      </c>
      <c r="W1041" s="1093">
        <f>AVERAGE(20.94,25.31,27.06,34.14)</f>
        <v>26.862500000000001</v>
      </c>
      <c r="X1041" s="1093">
        <f>AVERAGE(20.94,25.31,27.06,34.14)</f>
        <v>26.862500000000001</v>
      </c>
      <c r="Y1041" s="1093">
        <f>AVERAGE(20.94,25.31,27.06,34.14)</f>
        <v>26.862500000000001</v>
      </c>
      <c r="Z1041" s="1093">
        <f t="shared" ref="Z1041:AA1041" si="141">AVERAGE(20.94,25.31,27.06,34.14)</f>
        <v>26.862500000000001</v>
      </c>
      <c r="AA1041" s="1093">
        <f t="shared" si="141"/>
        <v>26.862500000000001</v>
      </c>
      <c r="AB1041" s="1093">
        <v>26.862500000000001</v>
      </c>
      <c r="AC1041" s="1706">
        <f>AVERAGE(20.94,25.31,27.06,34.14)</f>
        <v>26.862500000000001</v>
      </c>
      <c r="AD1041" s="1094"/>
      <c r="AE1041" s="1094"/>
      <c r="AF1041" s="1094"/>
      <c r="AG1041" s="1094"/>
      <c r="AK1041" s="1018"/>
      <c r="BB1041" s="906"/>
    </row>
    <row r="1042" spans="1:54" s="892" customFormat="1" ht="18" hidden="1" outlineLevel="1" x14ac:dyDescent="0.25">
      <c r="A1042" s="910"/>
      <c r="B1042" s="1606"/>
      <c r="C1042" s="913"/>
      <c r="D1042" s="447" t="s">
        <v>735</v>
      </c>
      <c r="E1042" s="1707" t="s">
        <v>2071</v>
      </c>
      <c r="F1042" s="1084">
        <v>24</v>
      </c>
      <c r="G1042" s="4233" t="s">
        <v>1997</v>
      </c>
      <c r="H1042" s="4233"/>
      <c r="I1042" s="3124" t="s">
        <v>2072</v>
      </c>
      <c r="J1042" s="910"/>
      <c r="K1042" s="910"/>
      <c r="L1042" s="910"/>
      <c r="M1042" s="910"/>
      <c r="N1042" s="910"/>
      <c r="O1042" s="910"/>
      <c r="P1042" s="910"/>
      <c r="Q1042" s="910"/>
      <c r="R1042" s="910"/>
      <c r="S1042" s="910"/>
      <c r="T1042" s="910"/>
      <c r="U1042" s="910"/>
      <c r="V1042" s="3208" t="str">
        <f t="shared" si="140"/>
        <v>REE</v>
      </c>
      <c r="W1042" s="1095">
        <v>24</v>
      </c>
      <c r="X1042" s="1095">
        <v>24</v>
      </c>
      <c r="Y1042" s="1095">
        <v>24</v>
      </c>
      <c r="Z1042" s="1095">
        <v>24</v>
      </c>
      <c r="AA1042" s="1095">
        <v>24</v>
      </c>
      <c r="AB1042" s="1095">
        <v>24</v>
      </c>
      <c r="AC1042" s="1084">
        <v>24</v>
      </c>
      <c r="AD1042" s="967"/>
      <c r="AE1042" s="967"/>
      <c r="AF1042" s="967"/>
      <c r="AG1042" s="967"/>
      <c r="AK1042" s="1018"/>
      <c r="BB1042" s="906"/>
    </row>
    <row r="1043" spans="1:54" s="892" customFormat="1" ht="75" hidden="1" customHeight="1" outlineLevel="1" x14ac:dyDescent="0.25">
      <c r="A1043" s="910"/>
      <c r="B1043" s="1606"/>
      <c r="C1043" s="913"/>
      <c r="D1043" s="3125" t="s">
        <v>742</v>
      </c>
      <c r="E1043" s="1707" t="s">
        <v>743</v>
      </c>
      <c r="F1043" s="1084">
        <v>58.9</v>
      </c>
      <c r="G1043" s="4234" t="s">
        <v>1999</v>
      </c>
      <c r="H1043" s="4234"/>
      <c r="I1043" s="3124" t="s">
        <v>1801</v>
      </c>
      <c r="J1043" s="910"/>
      <c r="K1043" s="910"/>
      <c r="L1043" s="910"/>
      <c r="M1043" s="910"/>
      <c r="N1043" s="910"/>
      <c r="O1043" s="910"/>
      <c r="P1043" s="910"/>
      <c r="Q1043" s="910"/>
      <c r="R1043" s="910"/>
      <c r="S1043" s="910"/>
      <c r="T1043" s="910"/>
      <c r="U1043" s="910"/>
      <c r="V1043" s="3208" t="str">
        <f t="shared" si="140"/>
        <v>DT</v>
      </c>
      <c r="W1043" s="1095">
        <v>58.9</v>
      </c>
      <c r="X1043" s="1095">
        <v>58.9</v>
      </c>
      <c r="Y1043" s="1095">
        <v>58.9</v>
      </c>
      <c r="Z1043" s="1095">
        <v>58.9</v>
      </c>
      <c r="AA1043" s="1095">
        <v>58.9</v>
      </c>
      <c r="AB1043" s="1095">
        <v>58.9</v>
      </c>
      <c r="AC1043" s="1084">
        <v>58.9</v>
      </c>
      <c r="AD1043" s="967"/>
      <c r="AE1043" s="967"/>
      <c r="AF1043" s="967"/>
      <c r="AG1043" s="967"/>
      <c r="AK1043" s="1018"/>
      <c r="BB1043" s="906"/>
    </row>
    <row r="1044" spans="1:54" s="892" customFormat="1" ht="58.5" hidden="1" customHeight="1" outlineLevel="1" x14ac:dyDescent="0.25">
      <c r="A1044" s="910"/>
      <c r="B1044" s="1606"/>
      <c r="C1044" s="913"/>
      <c r="D1044" s="447" t="s">
        <v>745</v>
      </c>
      <c r="E1044" s="1707" t="s">
        <v>746</v>
      </c>
      <c r="F1044" s="1085">
        <v>8760</v>
      </c>
      <c r="G1044" s="3910" t="s">
        <v>730</v>
      </c>
      <c r="H1044" s="3910"/>
      <c r="I1044" s="3124" t="s">
        <v>1801</v>
      </c>
      <c r="J1044" s="910"/>
      <c r="K1044" s="910"/>
      <c r="L1044" s="910"/>
      <c r="M1044" s="910"/>
      <c r="N1044" s="910"/>
      <c r="O1044" s="910"/>
      <c r="P1044" s="910"/>
      <c r="Q1044" s="910"/>
      <c r="R1044" s="910"/>
      <c r="S1044" s="910"/>
      <c r="T1044" s="910"/>
      <c r="U1044" s="910"/>
      <c r="V1044" s="3208" t="str">
        <f t="shared" si="140"/>
        <v>Hours</v>
      </c>
      <c r="W1044" s="1096">
        <v>8760</v>
      </c>
      <c r="X1044" s="1096">
        <v>8760</v>
      </c>
      <c r="Y1044" s="1096">
        <v>8760</v>
      </c>
      <c r="Z1044" s="1096">
        <v>8760</v>
      </c>
      <c r="AA1044" s="1096">
        <v>8760</v>
      </c>
      <c r="AB1044" s="1096">
        <v>8760</v>
      </c>
      <c r="AC1044" s="1085">
        <v>8760</v>
      </c>
      <c r="AD1044" s="1097"/>
      <c r="AE1044" s="1097"/>
      <c r="AF1044" s="1097"/>
      <c r="AG1044" s="1097"/>
      <c r="AK1044" s="1018"/>
      <c r="BB1044" s="906"/>
    </row>
    <row r="1045" spans="1:54" s="892" customFormat="1" ht="54" hidden="1" customHeight="1" outlineLevel="1" x14ac:dyDescent="0.25">
      <c r="A1045" s="910"/>
      <c r="B1045" s="1606"/>
      <c r="C1045" s="913"/>
      <c r="D1045" s="447" t="s">
        <v>747</v>
      </c>
      <c r="E1045" s="1707" t="s">
        <v>748</v>
      </c>
      <c r="F1045" s="1084">
        <v>0.98</v>
      </c>
      <c r="G1045" s="4234" t="s">
        <v>1999</v>
      </c>
      <c r="H1045" s="4234"/>
      <c r="I1045" s="3124" t="s">
        <v>1801</v>
      </c>
      <c r="J1045" s="910"/>
      <c r="K1045" s="910"/>
      <c r="L1045" s="910"/>
      <c r="M1045" s="910"/>
      <c r="N1045" s="910"/>
      <c r="O1045" s="910"/>
      <c r="P1045" s="910"/>
      <c r="Q1045" s="910"/>
      <c r="R1045" s="910"/>
      <c r="S1045" s="910"/>
      <c r="T1045" s="910"/>
      <c r="U1045" s="910"/>
      <c r="V1045" s="3208" t="str">
        <f t="shared" si="140"/>
        <v>ȠDHWElec</v>
      </c>
      <c r="W1045" s="1095">
        <v>0.98</v>
      </c>
      <c r="X1045" s="1095">
        <v>0.98</v>
      </c>
      <c r="Y1045" s="1095">
        <v>0.98</v>
      </c>
      <c r="Z1045" s="1095">
        <v>0.98</v>
      </c>
      <c r="AA1045" s="1095">
        <v>0.98</v>
      </c>
      <c r="AB1045" s="1095">
        <v>0.98</v>
      </c>
      <c r="AC1045" s="1084">
        <v>0.98</v>
      </c>
      <c r="AD1045" s="967"/>
      <c r="AE1045" s="967"/>
      <c r="AF1045" s="967"/>
      <c r="AG1045" s="967"/>
      <c r="AK1045" s="1018"/>
      <c r="BB1045" s="906"/>
    </row>
    <row r="1046" spans="1:54" s="892" customFormat="1" ht="48.75" hidden="1" customHeight="1" outlineLevel="1" x14ac:dyDescent="0.25">
      <c r="A1046" s="910"/>
      <c r="B1046" s="1606"/>
      <c r="C1046" s="913"/>
      <c r="D1046" s="447">
        <v>3412</v>
      </c>
      <c r="E1046" s="1648" t="s">
        <v>749</v>
      </c>
      <c r="F1046" s="2000">
        <v>3412</v>
      </c>
      <c r="G1046" s="3910" t="s">
        <v>730</v>
      </c>
      <c r="H1046" s="3910"/>
      <c r="I1046" s="3124" t="s">
        <v>1801</v>
      </c>
      <c r="J1046" s="910"/>
      <c r="K1046" s="910"/>
      <c r="L1046" s="910"/>
      <c r="M1046" s="910"/>
      <c r="N1046" s="910"/>
      <c r="O1046" s="910"/>
      <c r="P1046" s="910"/>
      <c r="Q1046" s="910"/>
      <c r="R1046" s="910"/>
      <c r="S1046" s="910"/>
      <c r="T1046" s="910"/>
      <c r="U1046" s="910"/>
      <c r="V1046" s="3208">
        <f t="shared" si="140"/>
        <v>3412</v>
      </c>
      <c r="W1046" s="1098">
        <v>3412</v>
      </c>
      <c r="X1046" s="1098">
        <v>3412</v>
      </c>
      <c r="Y1046" s="1098">
        <v>3412</v>
      </c>
      <c r="Z1046" s="1098">
        <v>3412</v>
      </c>
      <c r="AA1046" s="1098">
        <v>3412</v>
      </c>
      <c r="AB1046" s="1098">
        <v>3412</v>
      </c>
      <c r="AC1046" s="2000">
        <v>3412</v>
      </c>
      <c r="AD1046" s="1099"/>
      <c r="AE1046" s="1099"/>
      <c r="AF1046" s="1099"/>
      <c r="AG1046" s="1099"/>
      <c r="AK1046" s="1018"/>
      <c r="BB1046" s="906"/>
    </row>
    <row r="1047" spans="1:54" s="892" customFormat="1" ht="30" hidden="1" customHeight="1" outlineLevel="1" x14ac:dyDescent="0.25">
      <c r="A1047" s="910"/>
      <c r="B1047" s="1606"/>
      <c r="C1047" s="913"/>
      <c r="D1047" s="3089" t="s">
        <v>750</v>
      </c>
      <c r="E1047" s="3089" t="s">
        <v>616</v>
      </c>
      <c r="F1047" s="1087">
        <v>1</v>
      </c>
      <c r="G1047" s="3867" t="s">
        <v>600</v>
      </c>
      <c r="H1047" s="3867"/>
      <c r="I1047" s="3235"/>
      <c r="J1047" s="910"/>
      <c r="K1047" s="910"/>
      <c r="L1047" s="910"/>
      <c r="M1047" s="910"/>
      <c r="N1047" s="910"/>
      <c r="O1047" s="910"/>
      <c r="P1047" s="910"/>
      <c r="Q1047" s="910"/>
      <c r="R1047" s="910"/>
      <c r="S1047" s="910"/>
      <c r="T1047" s="910"/>
      <c r="U1047" s="910"/>
      <c r="V1047" s="3208" t="str">
        <f t="shared" si="140"/>
        <v>*Electric Saturation</v>
      </c>
      <c r="W1047" s="1081">
        <v>1</v>
      </c>
      <c r="X1047" s="1081">
        <v>1</v>
      </c>
      <c r="Y1047" s="1081">
        <v>1</v>
      </c>
      <c r="Z1047" s="1081">
        <v>1</v>
      </c>
      <c r="AA1047" s="1081">
        <v>1</v>
      </c>
      <c r="AB1047" s="1081">
        <v>1</v>
      </c>
      <c r="AC1047" s="1087">
        <v>1</v>
      </c>
      <c r="AD1047" s="966"/>
      <c r="AE1047" s="966"/>
      <c r="AF1047" s="966"/>
      <c r="AG1047" s="966"/>
      <c r="AK1047" s="1018"/>
      <c r="BB1047" s="906"/>
    </row>
    <row r="1048" spans="1:54" s="892" customFormat="1" ht="30" hidden="1" customHeight="1" outlineLevel="1" x14ac:dyDescent="0.25">
      <c r="A1048" s="910"/>
      <c r="B1048" s="1606"/>
      <c r="C1048" s="913"/>
      <c r="D1048" s="3089" t="s">
        <v>531</v>
      </c>
      <c r="E1048" s="3089" t="s">
        <v>595</v>
      </c>
      <c r="F1048" s="1087">
        <v>1</v>
      </c>
      <c r="G1048" s="3867" t="s">
        <v>600</v>
      </c>
      <c r="H1048" s="3867"/>
      <c r="I1048" s="3235"/>
      <c r="J1048" s="910"/>
      <c r="K1048" s="910"/>
      <c r="L1048" s="910"/>
      <c r="M1048" s="910"/>
      <c r="N1048" s="910"/>
      <c r="O1048" s="910"/>
      <c r="P1048" s="910"/>
      <c r="Q1048" s="910"/>
      <c r="R1048" s="910"/>
      <c r="S1048" s="910"/>
      <c r="T1048" s="910"/>
      <c r="U1048" s="910"/>
      <c r="V1048" s="3208" t="str">
        <f t="shared" si="140"/>
        <v>Utility Adjustment</v>
      </c>
      <c r="W1048" s="1081">
        <v>1</v>
      </c>
      <c r="X1048" s="1081">
        <v>1</v>
      </c>
      <c r="Y1048" s="1081">
        <v>1</v>
      </c>
      <c r="Z1048" s="1081">
        <v>1</v>
      </c>
      <c r="AA1048" s="1081">
        <v>1</v>
      </c>
      <c r="AB1048" s="1081">
        <v>1</v>
      </c>
      <c r="AC1048" s="1087">
        <v>1</v>
      </c>
      <c r="AD1048" s="966"/>
      <c r="AE1048" s="966"/>
      <c r="AF1048" s="966"/>
      <c r="AG1048" s="966"/>
      <c r="AK1048" s="1018"/>
      <c r="BB1048" s="906"/>
    </row>
    <row r="1049" spans="1:54" s="892" customFormat="1" ht="15" hidden="1" customHeight="1" outlineLevel="1" x14ac:dyDescent="0.25">
      <c r="A1049" s="910"/>
      <c r="B1049" s="1606"/>
      <c r="C1049" s="913"/>
      <c r="D1049" s="1008" t="s">
        <v>133</v>
      </c>
      <c r="E1049" s="3184" t="s">
        <v>1817</v>
      </c>
      <c r="F1049" s="1084">
        <v>1</v>
      </c>
      <c r="G1049" s="4151" t="s">
        <v>1818</v>
      </c>
      <c r="H1049" s="4151"/>
      <c r="I1049" s="3124" t="s">
        <v>1801</v>
      </c>
      <c r="J1049" s="910"/>
      <c r="K1049" s="910"/>
      <c r="L1049" s="910"/>
      <c r="M1049" s="910"/>
      <c r="N1049" s="910"/>
      <c r="O1049" s="910"/>
      <c r="P1049" s="910"/>
      <c r="Q1049" s="910"/>
      <c r="R1049" s="910"/>
      <c r="S1049" s="910"/>
      <c r="T1049" s="910"/>
      <c r="U1049" s="910"/>
      <c r="V1049" s="3208" t="str">
        <f t="shared" si="140"/>
        <v>ISR</v>
      </c>
      <c r="W1049" s="1083">
        <v>1</v>
      </c>
      <c r="X1049" s="1083">
        <v>1</v>
      </c>
      <c r="Y1049" s="1083">
        <v>1</v>
      </c>
      <c r="Z1049" s="1083">
        <v>1</v>
      </c>
      <c r="AA1049" s="1083">
        <v>1</v>
      </c>
      <c r="AB1049" s="1083">
        <v>1</v>
      </c>
      <c r="AC1049" s="1084">
        <v>1</v>
      </c>
      <c r="AD1049" s="968"/>
      <c r="AE1049" s="968"/>
      <c r="AF1049" s="968"/>
      <c r="AG1049" s="968"/>
      <c r="AK1049" s="1018"/>
      <c r="BB1049" s="906"/>
    </row>
    <row r="1050" spans="1:54" s="892" customFormat="1" hidden="1" outlineLevel="1" x14ac:dyDescent="0.25">
      <c r="A1050" s="910"/>
      <c r="B1050" s="1606"/>
      <c r="C1050" s="3159"/>
      <c r="D1050" s="3192" t="str">
        <f>D1024</f>
        <v>EUL</v>
      </c>
      <c r="E1050" s="3192" t="str">
        <f>E989</f>
        <v>Effective Useful Life (All)</v>
      </c>
      <c r="F1050" s="1088">
        <v>12</v>
      </c>
      <c r="G1050" s="4151"/>
      <c r="H1050" s="4151"/>
      <c r="I1050" s="3124"/>
      <c r="J1050" s="910"/>
      <c r="K1050" s="910"/>
      <c r="L1050" s="910"/>
      <c r="M1050" s="910"/>
      <c r="N1050" s="910"/>
      <c r="O1050" s="910"/>
      <c r="P1050" s="910"/>
      <c r="Q1050" s="910"/>
      <c r="R1050" s="910"/>
      <c r="S1050" s="910"/>
      <c r="T1050" s="910"/>
      <c r="U1050" s="910"/>
      <c r="V1050" s="3208" t="str">
        <f t="shared" si="140"/>
        <v>EUL</v>
      </c>
      <c r="W1050" s="969">
        <v>12</v>
      </c>
      <c r="X1050" s="969">
        <v>12</v>
      </c>
      <c r="Y1050" s="969">
        <v>12</v>
      </c>
      <c r="Z1050" s="969">
        <v>12</v>
      </c>
      <c r="AA1050" s="969">
        <v>12</v>
      </c>
      <c r="AB1050" s="969">
        <v>12</v>
      </c>
      <c r="AC1050" s="1088">
        <v>12</v>
      </c>
      <c r="AD1050" s="1052"/>
      <c r="AE1050" s="1052"/>
      <c r="AF1050" s="1052"/>
      <c r="AG1050" s="1052"/>
      <c r="AK1050" s="1018"/>
      <c r="BB1050" s="906"/>
    </row>
    <row r="1051" spans="1:54" s="892" customFormat="1" hidden="1" outlineLevel="1" x14ac:dyDescent="0.25">
      <c r="A1051" s="910"/>
      <c r="B1051" s="1606"/>
      <c r="C1051" s="3159"/>
      <c r="D1051" s="4204" t="str">
        <f>D1025</f>
        <v>Inc. Cost</v>
      </c>
      <c r="E1051" s="3192" t="str">
        <f>E990</f>
        <v>Incremental Cost - Non-DI</v>
      </c>
      <c r="F1051" s="1089">
        <v>58</v>
      </c>
      <c r="G1051" s="4151"/>
      <c r="H1051" s="4151"/>
      <c r="I1051" s="3124"/>
      <c r="J1051" s="910"/>
      <c r="K1051" s="910"/>
      <c r="L1051" s="910"/>
      <c r="M1051" s="910"/>
      <c r="N1051" s="910"/>
      <c r="O1051" s="910"/>
      <c r="P1051" s="910"/>
      <c r="Q1051" s="910"/>
      <c r="R1051" s="910"/>
      <c r="S1051" s="910"/>
      <c r="T1051" s="910"/>
      <c r="U1051" s="910"/>
      <c r="V1051" s="4230" t="str">
        <f>D1051</f>
        <v>Inc. Cost</v>
      </c>
      <c r="W1051" s="1053">
        <v>58</v>
      </c>
      <c r="X1051" s="1053">
        <v>58</v>
      </c>
      <c r="Y1051" s="1053">
        <v>58</v>
      </c>
      <c r="Z1051" s="1053">
        <v>58</v>
      </c>
      <c r="AA1051" s="1053">
        <v>58</v>
      </c>
      <c r="AB1051" s="1053">
        <v>58</v>
      </c>
      <c r="AC1051" s="1089">
        <v>58</v>
      </c>
      <c r="AD1051" s="1054"/>
      <c r="AE1051" s="1054"/>
      <c r="AF1051" s="1054"/>
      <c r="AG1051" s="1054"/>
      <c r="AK1051" s="1018"/>
      <c r="BB1051" s="906"/>
    </row>
    <row r="1052" spans="1:54" s="892" customFormat="1" hidden="1" outlineLevel="1" x14ac:dyDescent="0.25">
      <c r="A1052" s="910"/>
      <c r="B1052" s="1606"/>
      <c r="C1052" s="3159"/>
      <c r="D1052" s="3776"/>
      <c r="E1052" s="3192" t="str">
        <f>E991</f>
        <v>Incremental Cost - Direct Install (DI)</v>
      </c>
      <c r="F1052" s="1089">
        <v>58</v>
      </c>
      <c r="G1052" s="4151"/>
      <c r="H1052" s="4151"/>
      <c r="I1052" s="3124"/>
      <c r="J1052" s="910"/>
      <c r="K1052" s="910"/>
      <c r="L1052" s="910"/>
      <c r="M1052" s="910"/>
      <c r="N1052" s="910"/>
      <c r="O1052" s="910"/>
      <c r="P1052" s="910"/>
      <c r="Q1052" s="910"/>
      <c r="R1052" s="910"/>
      <c r="S1052" s="910"/>
      <c r="T1052" s="910"/>
      <c r="U1052" s="910"/>
      <c r="V1052" s="4231"/>
      <c r="W1052" s="1053">
        <v>58</v>
      </c>
      <c r="X1052" s="1053">
        <v>58</v>
      </c>
      <c r="Y1052" s="1053">
        <v>58</v>
      </c>
      <c r="Z1052" s="1053">
        <v>58</v>
      </c>
      <c r="AA1052" s="1053">
        <v>58</v>
      </c>
      <c r="AB1052" s="1053">
        <v>58</v>
      </c>
      <c r="AC1052" s="1089">
        <v>58</v>
      </c>
      <c r="AD1052" s="1054"/>
      <c r="AE1052" s="1054"/>
      <c r="AF1052" s="1054"/>
      <c r="AG1052" s="1054"/>
      <c r="AK1052" s="1018"/>
      <c r="BB1052" s="906"/>
    </row>
    <row r="1053" spans="1:54" s="892" customFormat="1" ht="15" customHeight="1" collapsed="1" x14ac:dyDescent="0.25">
      <c r="A1053" s="910"/>
      <c r="B1053" s="1606"/>
      <c r="C1053" s="907"/>
      <c r="D1053" s="1656"/>
      <c r="E1053" s="429"/>
      <c r="F1053" s="910"/>
      <c r="G1053" s="910"/>
      <c r="H1053" s="910"/>
      <c r="I1053" s="910"/>
      <c r="J1053" s="910"/>
      <c r="K1053" s="910"/>
      <c r="L1053" s="910"/>
      <c r="M1053" s="910"/>
      <c r="N1053" s="910"/>
      <c r="O1053" s="910"/>
      <c r="P1053" s="910"/>
      <c r="Q1053" s="910"/>
      <c r="R1053" s="910"/>
      <c r="S1053" s="910"/>
      <c r="T1053" s="910"/>
      <c r="U1053" s="910"/>
      <c r="Y1053" s="1748" t="s">
        <v>1642</v>
      </c>
      <c r="Z1053" s="1100"/>
      <c r="AA1053" s="1100"/>
      <c r="AK1053" s="1018"/>
      <c r="BB1053" s="906"/>
    </row>
    <row r="1054" spans="1:54" s="892" customFormat="1" ht="15" customHeight="1" x14ac:dyDescent="0.25">
      <c r="A1054" s="910"/>
      <c r="B1054" s="1606"/>
      <c r="C1054" s="907"/>
      <c r="D1054" s="429"/>
      <c r="E1054" s="429"/>
      <c r="F1054" s="1657"/>
      <c r="G1054" s="1657"/>
      <c r="H1054" s="910"/>
      <c r="I1054" s="910"/>
      <c r="J1054" s="910"/>
      <c r="K1054" s="910"/>
      <c r="L1054" s="910"/>
      <c r="M1054" s="910"/>
      <c r="N1054" s="910"/>
      <c r="O1054" s="910"/>
      <c r="P1054" s="910"/>
      <c r="Q1054" s="910"/>
      <c r="R1054" s="910"/>
      <c r="S1054" s="910"/>
      <c r="T1054" s="910"/>
      <c r="U1054" s="910"/>
      <c r="Y1054" s="911"/>
      <c r="AK1054" s="1018"/>
      <c r="BB1054" s="906"/>
    </row>
    <row r="1055" spans="1:54" s="892" customFormat="1" ht="15" customHeight="1" x14ac:dyDescent="0.25">
      <c r="A1055" s="910"/>
      <c r="B1055" s="3750" t="s">
        <v>2073</v>
      </c>
      <c r="C1055" s="3751"/>
      <c r="D1055" s="3751"/>
      <c r="E1055" s="3751"/>
      <c r="F1055" s="3751"/>
      <c r="G1055" s="3751"/>
      <c r="H1055" s="3751"/>
      <c r="I1055" s="3744"/>
      <c r="J1055" s="3744"/>
      <c r="K1055" s="3744"/>
      <c r="L1055" s="3744"/>
      <c r="M1055" s="3744"/>
      <c r="N1055" s="3744"/>
      <c r="O1055" s="3744"/>
      <c r="P1055" s="3744"/>
      <c r="Q1055" s="3744"/>
      <c r="R1055" s="3745"/>
      <c r="S1055" s="910"/>
      <c r="T1055" s="910"/>
      <c r="U1055" s="910"/>
      <c r="V1055" s="3750" t="str">
        <f>B1055</f>
        <v>Common Area Faucet Aerators</v>
      </c>
      <c r="W1055" s="3751"/>
      <c r="X1055" s="3751"/>
      <c r="Y1055" s="3751"/>
      <c r="Z1055" s="3751"/>
      <c r="AA1055" s="3751"/>
      <c r="AB1055" s="3751"/>
      <c r="AC1055" s="4228"/>
      <c r="AD1055" s="4228"/>
      <c r="AE1055" s="4228"/>
      <c r="AF1055" s="4228"/>
      <c r="AG1055" s="4228"/>
      <c r="AH1055" s="4228"/>
      <c r="AI1055" s="4229"/>
      <c r="AK1055" s="1018"/>
      <c r="BB1055" s="906"/>
    </row>
    <row r="1056" spans="1:54" s="892" customFormat="1" ht="15" customHeight="1" x14ac:dyDescent="0.25">
      <c r="A1056" s="910"/>
      <c r="B1056" s="910"/>
      <c r="C1056" s="938"/>
      <c r="D1056" s="1618"/>
      <c r="E1056" s="1618"/>
      <c r="F1056" s="908"/>
      <c r="G1056" s="908"/>
      <c r="H1056" s="908"/>
      <c r="I1056" s="908"/>
      <c r="J1056" s="908"/>
      <c r="K1056" s="908"/>
      <c r="L1056" s="1619"/>
      <c r="M1056" s="910"/>
      <c r="N1056" s="910"/>
      <c r="O1056" s="910"/>
      <c r="P1056" s="910"/>
      <c r="Q1056" s="910"/>
      <c r="R1056" s="910"/>
      <c r="S1056" s="910"/>
      <c r="T1056" s="910"/>
      <c r="U1056" s="910"/>
      <c r="V1056" s="892" t="str">
        <f>IF(C1054&gt;0,C1054," ")</f>
        <v xml:space="preserve"> </v>
      </c>
      <c r="Y1056" s="911"/>
      <c r="AK1056" s="1018"/>
      <c r="BB1056" s="906"/>
    </row>
    <row r="1057" spans="1:57" s="892" customFormat="1" ht="30" x14ac:dyDescent="0.25">
      <c r="A1057" s="910"/>
      <c r="B1057" s="1606"/>
      <c r="C1057" s="3086" t="s">
        <v>28</v>
      </c>
      <c r="D1057" s="3086" t="s">
        <v>175</v>
      </c>
      <c r="E1057" s="3236" t="s">
        <v>30</v>
      </c>
      <c r="F1057" s="3086" t="s">
        <v>1765</v>
      </c>
      <c r="G1057" s="3086" t="s">
        <v>176</v>
      </c>
      <c r="H1057" s="3086" t="s">
        <v>177</v>
      </c>
      <c r="I1057" s="3086" t="s">
        <v>606</v>
      </c>
      <c r="J1057" s="3086" t="s">
        <v>32</v>
      </c>
      <c r="K1057" s="3086" t="s">
        <v>181</v>
      </c>
      <c r="L1057" s="3086" t="s">
        <v>170</v>
      </c>
      <c r="M1057" s="3086" t="s">
        <v>44</v>
      </c>
      <c r="N1057" s="910"/>
      <c r="O1057" s="910"/>
      <c r="P1057" s="910"/>
      <c r="Q1057" s="910"/>
      <c r="R1057" s="910"/>
      <c r="S1057" s="910"/>
      <c r="T1057" s="910"/>
      <c r="U1057" s="910"/>
      <c r="V1057" s="1936" t="s">
        <v>45</v>
      </c>
      <c r="W1057" s="1937">
        <f>W$6</f>
        <v>43252</v>
      </c>
      <c r="X1057" s="1937">
        <f t="shared" ref="X1057:AG1057" si="142">X$6</f>
        <v>43465</v>
      </c>
      <c r="Y1057" s="360">
        <f t="shared" si="142"/>
        <v>43800</v>
      </c>
      <c r="Z1057" s="1937">
        <f t="shared" si="142"/>
        <v>43862</v>
      </c>
      <c r="AA1057" s="1937">
        <f t="shared" si="142"/>
        <v>44013</v>
      </c>
      <c r="AB1057" s="1937">
        <f t="shared" si="142"/>
        <v>44166</v>
      </c>
      <c r="AC1057" s="1937">
        <f t="shared" si="142"/>
        <v>44531</v>
      </c>
      <c r="AD1057" s="1937" t="str">
        <f t="shared" si="142"/>
        <v>-</v>
      </c>
      <c r="AE1057" s="1937" t="str">
        <f t="shared" si="142"/>
        <v>-</v>
      </c>
      <c r="AF1057" s="1937" t="str">
        <f t="shared" si="142"/>
        <v>-</v>
      </c>
      <c r="AG1057" s="1937" t="str">
        <f t="shared" si="142"/>
        <v>-</v>
      </c>
      <c r="AK1057" s="1018"/>
      <c r="BB1057" s="1938" t="str">
        <f>$BB$6</f>
        <v>TRC (2020)</v>
      </c>
      <c r="BC1057" s="1953" t="str">
        <f>$BC$6</f>
        <v>Benefit Lookup</v>
      </c>
      <c r="BD1057" s="665" t="str">
        <f>$BD$6</f>
        <v>Benefits (2019 $)</v>
      </c>
      <c r="BE1057" s="230" t="str">
        <f>$BE$6</f>
        <v>Incremental Cost (2019 $)</v>
      </c>
    </row>
    <row r="1058" spans="1:57" s="892" customFormat="1" x14ac:dyDescent="0.25">
      <c r="A1058" s="910"/>
      <c r="B1058" s="1606"/>
      <c r="C1058" s="2667" t="s">
        <v>2074</v>
      </c>
      <c r="D1058" s="2695" t="s">
        <v>1577</v>
      </c>
      <c r="E1058" s="420" t="s">
        <v>2075</v>
      </c>
      <c r="F1058" s="1032">
        <f>ROUND(F1069*(F1070-F1071)/F1070*F1072*I1058*F1080,2)</f>
        <v>28.4</v>
      </c>
      <c r="G1058" s="2667" t="s">
        <v>1926</v>
      </c>
      <c r="H1058" s="155">
        <f>VLOOKUP(G1058,'CP FACTORS'!$A$3:$B$38, 2, FALSE)</f>
        <v>8.8731800000000003E-5</v>
      </c>
      <c r="I1058" s="1615">
        <f>F1073*F1074*(F1075-F1076)/(F1077*F1078)</f>
        <v>7.1497655334114896E-2</v>
      </c>
      <c r="J1058" s="1666">
        <f>ROUND(F1058*H1058,6)</f>
        <v>2.5200000000000001E-3</v>
      </c>
      <c r="K1058" s="2298">
        <f>F1081</f>
        <v>10</v>
      </c>
      <c r="L1058" s="1090">
        <f>F1082</f>
        <v>11.33</v>
      </c>
      <c r="M1058" s="2667" t="s">
        <v>185</v>
      </c>
      <c r="N1058" s="910"/>
      <c r="O1058" s="910"/>
      <c r="P1058" s="910"/>
      <c r="Q1058" s="910"/>
      <c r="R1058" s="910"/>
      <c r="S1058" s="910"/>
      <c r="T1058" s="910"/>
      <c r="U1058" s="910"/>
      <c r="V1058" s="1016" t="str">
        <f>$F$996</f>
        <v>kWh
Annual Savings</v>
      </c>
      <c r="W1058" s="1101">
        <v>28.404855002397959</v>
      </c>
      <c r="X1058" s="1101">
        <v>28.404855002397959</v>
      </c>
      <c r="Y1058" s="968">
        <v>28.4</v>
      </c>
      <c r="Z1058" s="968">
        <v>28.4</v>
      </c>
      <c r="AA1058" s="968">
        <v>28.4</v>
      </c>
      <c r="AB1058" s="968">
        <v>28.4</v>
      </c>
      <c r="AC1058" s="1032">
        <v>28.4</v>
      </c>
      <c r="AD1058" s="1016"/>
      <c r="AE1058" s="1016"/>
      <c r="AF1058" s="1016"/>
      <c r="AG1058" s="1016"/>
      <c r="AK1058" s="1018"/>
      <c r="BB1058" s="1091">
        <f>(BD1058)/(BE1058)</f>
        <v>0.89573969671987408</v>
      </c>
      <c r="BC1058" s="3166" t="str">
        <f>CONCATENATE(G1058," ",K1058," Year EUL")</f>
        <v>Water heating RES 10 Year EUL</v>
      </c>
      <c r="BD1058" s="166">
        <f>(INDEX('Avoided Cost Benefits'!$C$4:$C$857,MATCH(BC1058,'Avoided Cost Benefits'!$A$4:$A$857,0)))*F1058</f>
        <v>9.5787926039038904</v>
      </c>
      <c r="BE1058" s="1092">
        <f>L1058/(1.0595^(2020-2019))</f>
        <v>10.693723454459649</v>
      </c>
    </row>
    <row r="1059" spans="1:57" s="892" customFormat="1" hidden="1" outlineLevel="1" x14ac:dyDescent="0.25">
      <c r="A1059" s="910"/>
      <c r="B1059" s="1606"/>
      <c r="C1059" s="907"/>
      <c r="D1059" s="427"/>
      <c r="E1059" s="427"/>
      <c r="F1059" s="1043"/>
      <c r="G1059" s="907"/>
      <c r="H1059" s="1708"/>
      <c r="I1059" s="1102"/>
      <c r="J1059" s="1102"/>
      <c r="K1059" s="1102"/>
      <c r="L1059" s="918"/>
      <c r="M1059" s="910"/>
      <c r="N1059" s="910"/>
      <c r="O1059" s="910"/>
      <c r="P1059" s="910"/>
      <c r="Q1059" s="910"/>
      <c r="R1059" s="910"/>
      <c r="S1059" s="910"/>
      <c r="T1059" s="910"/>
      <c r="U1059" s="910"/>
      <c r="Y1059" s="911"/>
      <c r="AK1059" s="1018"/>
      <c r="BB1059" s="906"/>
    </row>
    <row r="1060" spans="1:57" s="892" customFormat="1" hidden="1" outlineLevel="1" x14ac:dyDescent="0.25">
      <c r="A1060" s="910"/>
      <c r="B1060" s="1606"/>
      <c r="C1060" s="907"/>
      <c r="D1060" s="429"/>
      <c r="E1060" s="429"/>
      <c r="F1060" s="1709"/>
      <c r="G1060" s="938"/>
      <c r="H1060" s="1710"/>
      <c r="I1060" s="910"/>
      <c r="J1060" s="910"/>
      <c r="K1060" s="910"/>
      <c r="L1060" s="910"/>
      <c r="M1060" s="910"/>
      <c r="N1060" s="910"/>
      <c r="O1060" s="910"/>
      <c r="P1060" s="910"/>
      <c r="Q1060" s="910"/>
      <c r="R1060" s="910"/>
      <c r="S1060" s="910"/>
      <c r="T1060" s="910"/>
      <c r="U1060" s="910"/>
      <c r="Y1060" s="911"/>
      <c r="AK1060" s="1018"/>
      <c r="BB1060" s="906"/>
    </row>
    <row r="1061" spans="1:57" s="892" customFormat="1" hidden="1" outlineLevel="1" x14ac:dyDescent="0.25">
      <c r="A1061" s="910"/>
      <c r="B1061" s="1606"/>
      <c r="C1061" s="907"/>
      <c r="D1061" s="174" t="s">
        <v>108</v>
      </c>
      <c r="E1061" s="429"/>
      <c r="F1061" s="1709"/>
      <c r="G1061" s="910"/>
      <c r="H1061" s="938"/>
      <c r="I1061" s="910"/>
      <c r="J1061" s="910"/>
      <c r="K1061" s="910"/>
      <c r="L1061" s="910"/>
      <c r="M1061" s="910"/>
      <c r="N1061" s="910"/>
      <c r="O1061" s="910"/>
      <c r="P1061" s="910"/>
      <c r="Q1061" s="910"/>
      <c r="R1061" s="910"/>
      <c r="S1061" s="910"/>
      <c r="T1061" s="910"/>
      <c r="U1061" s="910"/>
      <c r="Y1061" s="911"/>
      <c r="AK1061" s="1018"/>
      <c r="BB1061" s="906"/>
    </row>
    <row r="1062" spans="1:57" s="892" customFormat="1" hidden="1" outlineLevel="1" x14ac:dyDescent="0.25">
      <c r="A1062" s="910"/>
      <c r="B1062" s="1606"/>
      <c r="C1062" s="912"/>
      <c r="D1062" s="1711"/>
      <c r="E1062" s="1712"/>
      <c r="F1062" s="1713"/>
      <c r="G1062" s="1713"/>
      <c r="H1062" s="910"/>
      <c r="I1062" s="910"/>
      <c r="J1062" s="910"/>
      <c r="K1062" s="910"/>
      <c r="L1062" s="910"/>
      <c r="M1062" s="910"/>
      <c r="N1062" s="910"/>
      <c r="O1062" s="910"/>
      <c r="P1062" s="910"/>
      <c r="Q1062" s="910"/>
      <c r="R1062" s="910"/>
      <c r="S1062" s="910"/>
      <c r="T1062" s="910"/>
      <c r="U1062" s="910"/>
      <c r="Y1062" s="911"/>
      <c r="AK1062" s="1018"/>
      <c r="BB1062" s="906"/>
    </row>
    <row r="1063" spans="1:57" s="892" customFormat="1" hidden="1" outlineLevel="1" x14ac:dyDescent="0.25">
      <c r="A1063" s="910"/>
      <c r="B1063" s="1606"/>
      <c r="C1063" s="912"/>
      <c r="D1063" s="1711"/>
      <c r="E1063" s="1712"/>
      <c r="F1063" s="1713"/>
      <c r="G1063" s="1713"/>
      <c r="H1063" s="910"/>
      <c r="I1063" s="910"/>
      <c r="J1063" s="910"/>
      <c r="K1063" s="910"/>
      <c r="L1063" s="910"/>
      <c r="M1063" s="910"/>
      <c r="N1063" s="910"/>
      <c r="O1063" s="910"/>
      <c r="P1063" s="910"/>
      <c r="Q1063" s="910"/>
      <c r="R1063" s="910"/>
      <c r="S1063" s="910"/>
      <c r="T1063" s="910"/>
      <c r="U1063" s="910"/>
      <c r="Y1063" s="911"/>
      <c r="AK1063" s="1018"/>
      <c r="BB1063" s="906"/>
    </row>
    <row r="1064" spans="1:57" s="892" customFormat="1" hidden="1" outlineLevel="1" x14ac:dyDescent="0.25">
      <c r="A1064" s="910"/>
      <c r="B1064" s="1606"/>
      <c r="C1064" s="912"/>
      <c r="D1064" s="1711"/>
      <c r="E1064" s="1712"/>
      <c r="F1064" s="1713"/>
      <c r="G1064" s="1713"/>
      <c r="H1064" s="910"/>
      <c r="I1064" s="910"/>
      <c r="J1064" s="910"/>
      <c r="K1064" s="910"/>
      <c r="L1064" s="910"/>
      <c r="M1064" s="910"/>
      <c r="N1064" s="910"/>
      <c r="O1064" s="910"/>
      <c r="P1064" s="910"/>
      <c r="Q1064" s="910"/>
      <c r="R1064" s="910"/>
      <c r="S1064" s="910"/>
      <c r="T1064" s="910"/>
      <c r="U1064" s="910"/>
      <c r="Y1064" s="911"/>
      <c r="AK1064" s="1018"/>
      <c r="BB1064" s="906"/>
    </row>
    <row r="1065" spans="1:57" s="892" customFormat="1" hidden="1" outlineLevel="1" x14ac:dyDescent="0.25">
      <c r="A1065" s="910"/>
      <c r="B1065" s="1606"/>
      <c r="C1065" s="912"/>
      <c r="D1065" s="1711"/>
      <c r="E1065" s="1712"/>
      <c r="F1065" s="1713"/>
      <c r="G1065" s="1713"/>
      <c r="H1065" s="910"/>
      <c r="I1065" s="910"/>
      <c r="J1065" s="910"/>
      <c r="K1065" s="910"/>
      <c r="L1065" s="910"/>
      <c r="M1065" s="910"/>
      <c r="N1065" s="910"/>
      <c r="O1065" s="910"/>
      <c r="P1065" s="910"/>
      <c r="Q1065" s="910"/>
      <c r="R1065" s="910"/>
      <c r="S1065" s="910"/>
      <c r="T1065" s="910"/>
      <c r="U1065" s="910"/>
      <c r="Y1065" s="911"/>
      <c r="AK1065" s="1018"/>
      <c r="BB1065" s="906"/>
    </row>
    <row r="1066" spans="1:57" s="892" customFormat="1" hidden="1" outlineLevel="1" x14ac:dyDescent="0.25">
      <c r="A1066" s="910"/>
      <c r="B1066" s="1606"/>
      <c r="C1066" s="913"/>
      <c r="D1066" s="1693"/>
      <c r="E1066" s="1694"/>
      <c r="F1066" s="1695"/>
      <c r="G1066" s="1695"/>
      <c r="H1066" s="910"/>
      <c r="I1066" s="910"/>
      <c r="J1066" s="910"/>
      <c r="K1066" s="910"/>
      <c r="L1066" s="910"/>
      <c r="M1066" s="910"/>
      <c r="N1066" s="910"/>
      <c r="O1066" s="910"/>
      <c r="P1066" s="910"/>
      <c r="Q1066" s="910"/>
      <c r="R1066" s="910"/>
      <c r="S1066" s="910"/>
      <c r="T1066" s="910"/>
      <c r="U1066" s="910"/>
      <c r="Y1066" s="911"/>
      <c r="AK1066" s="1018"/>
      <c r="BB1066" s="906"/>
    </row>
    <row r="1067" spans="1:57" s="892" customFormat="1" hidden="1" outlineLevel="1" x14ac:dyDescent="0.25">
      <c r="A1067" s="910"/>
      <c r="B1067" s="1606"/>
      <c r="C1067" s="907"/>
      <c r="D1067" s="427"/>
      <c r="E1067" s="429"/>
      <c r="F1067" s="910"/>
      <c r="G1067" s="910"/>
      <c r="H1067" s="910"/>
      <c r="I1067" s="910"/>
      <c r="J1067" s="910"/>
      <c r="K1067" s="910"/>
      <c r="L1067" s="910"/>
      <c r="M1067" s="910"/>
      <c r="N1067" s="910"/>
      <c r="O1067" s="910"/>
      <c r="P1067" s="910"/>
      <c r="Q1067" s="910"/>
      <c r="R1067" s="910"/>
      <c r="S1067" s="910"/>
      <c r="T1067" s="910"/>
      <c r="U1067" s="910"/>
      <c r="Y1067" s="911"/>
      <c r="AK1067" s="1018"/>
      <c r="BB1067" s="906"/>
    </row>
    <row r="1068" spans="1:57" s="892" customFormat="1" ht="45.75" hidden="1" customHeight="1" outlineLevel="1" x14ac:dyDescent="0.25">
      <c r="A1068" s="910"/>
      <c r="B1068" s="1606"/>
      <c r="C1068" s="907"/>
      <c r="D1068" s="3236" t="s">
        <v>109</v>
      </c>
      <c r="E1068" s="3236" t="s">
        <v>110</v>
      </c>
      <c r="F1068" s="3086" t="s">
        <v>2076</v>
      </c>
      <c r="G1068" s="3923" t="s">
        <v>2077</v>
      </c>
      <c r="H1068" s="3931"/>
      <c r="I1068" s="3086" t="s">
        <v>113</v>
      </c>
      <c r="J1068" s="910"/>
      <c r="K1068" s="910"/>
      <c r="L1068" s="910"/>
      <c r="M1068" s="910"/>
      <c r="N1068" s="910"/>
      <c r="O1068" s="910"/>
      <c r="P1068" s="910"/>
      <c r="Q1068" s="910"/>
      <c r="R1068" s="910"/>
      <c r="S1068" s="910"/>
      <c r="T1068" s="910"/>
      <c r="U1068" s="910"/>
      <c r="V1068" s="1936" t="s">
        <v>45</v>
      </c>
      <c r="W1068" s="1937">
        <f>W$6</f>
        <v>43252</v>
      </c>
      <c r="X1068" s="1937">
        <f t="shared" ref="X1068:AG1068" si="143">X$6</f>
        <v>43465</v>
      </c>
      <c r="Y1068" s="360">
        <f t="shared" si="143"/>
        <v>43800</v>
      </c>
      <c r="Z1068" s="1937">
        <f t="shared" si="143"/>
        <v>43862</v>
      </c>
      <c r="AA1068" s="1937">
        <f t="shared" si="143"/>
        <v>44013</v>
      </c>
      <c r="AB1068" s="1937">
        <f t="shared" si="143"/>
        <v>44166</v>
      </c>
      <c r="AC1068" s="1937">
        <f t="shared" si="143"/>
        <v>44531</v>
      </c>
      <c r="AD1068" s="1937" t="str">
        <f t="shared" si="143"/>
        <v>-</v>
      </c>
      <c r="AE1068" s="1937" t="str">
        <f t="shared" si="143"/>
        <v>-</v>
      </c>
      <c r="AF1068" s="1937" t="str">
        <f t="shared" si="143"/>
        <v>-</v>
      </c>
      <c r="AG1068" s="1937" t="str">
        <f t="shared" si="143"/>
        <v>-</v>
      </c>
      <c r="AK1068" s="1018"/>
      <c r="BB1068" s="906"/>
    </row>
    <row r="1069" spans="1:57" s="892" customFormat="1" ht="15" hidden="1" customHeight="1" outlineLevel="1" x14ac:dyDescent="0.25">
      <c r="A1069" s="910"/>
      <c r="B1069" s="1606"/>
      <c r="C1069" s="938"/>
      <c r="D1069" s="3089" t="s">
        <v>615</v>
      </c>
      <c r="E1069" s="3089" t="s">
        <v>616</v>
      </c>
      <c r="F1069" s="1040">
        <v>1</v>
      </c>
      <c r="G1069" s="3867" t="s">
        <v>600</v>
      </c>
      <c r="H1069" s="3867"/>
      <c r="I1069" s="3203" t="s">
        <v>2078</v>
      </c>
      <c r="J1069" s="910"/>
      <c r="K1069" s="910"/>
      <c r="L1069" s="910"/>
      <c r="M1069" s="910"/>
      <c r="N1069" s="910"/>
      <c r="O1069" s="910"/>
      <c r="P1069" s="910"/>
      <c r="Q1069" s="910"/>
      <c r="R1069" s="910"/>
      <c r="S1069" s="910"/>
      <c r="T1069" s="910"/>
      <c r="U1069" s="910"/>
      <c r="V1069" s="3208" t="str">
        <f>D1069</f>
        <v>%Electric DHW</v>
      </c>
      <c r="W1069" s="1040">
        <v>1</v>
      </c>
      <c r="X1069" s="1040">
        <v>1</v>
      </c>
      <c r="Y1069" s="1040">
        <v>1</v>
      </c>
      <c r="Z1069" s="1040">
        <v>1</v>
      </c>
      <c r="AA1069" s="1040">
        <v>1</v>
      </c>
      <c r="AB1069" s="1040">
        <v>1</v>
      </c>
      <c r="AC1069" s="1040">
        <v>1</v>
      </c>
      <c r="AD1069" s="1040"/>
      <c r="AE1069" s="1040"/>
      <c r="AF1069" s="1040"/>
      <c r="AG1069" s="1040"/>
      <c r="AK1069" s="1018"/>
      <c r="BB1069" s="906"/>
    </row>
    <row r="1070" spans="1:57" s="892" customFormat="1" ht="146.25" hidden="1" customHeight="1" outlineLevel="1" x14ac:dyDescent="0.25">
      <c r="A1070" s="910"/>
      <c r="B1070" s="1606"/>
      <c r="C1070" s="938"/>
      <c r="D1070" s="3089" t="s">
        <v>2049</v>
      </c>
      <c r="E1070" s="3089" t="s">
        <v>692</v>
      </c>
      <c r="F1070" s="1070">
        <v>2.2000000000000002</v>
      </c>
      <c r="G1070" s="3776" t="s">
        <v>694</v>
      </c>
      <c r="H1070" s="3776"/>
      <c r="I1070" s="3203" t="s">
        <v>674</v>
      </c>
      <c r="J1070" s="910"/>
      <c r="K1070" s="910"/>
      <c r="L1070" s="910"/>
      <c r="M1070" s="910"/>
      <c r="N1070" s="910"/>
      <c r="O1070" s="910"/>
      <c r="P1070" s="910"/>
      <c r="Q1070" s="910"/>
      <c r="R1070" s="910"/>
      <c r="S1070" s="910"/>
      <c r="T1070" s="910"/>
      <c r="U1070" s="910"/>
      <c r="V1070" s="3208" t="str">
        <f t="shared" ref="V1070:V1081" si="144">D1070</f>
        <v>GPMbase</v>
      </c>
      <c r="W1070" s="1070">
        <v>2.2000000000000002</v>
      </c>
      <c r="X1070" s="1070">
        <v>2.2000000000000002</v>
      </c>
      <c r="Y1070" s="1070">
        <v>2.2000000000000002</v>
      </c>
      <c r="Z1070" s="1070">
        <v>2.2000000000000002</v>
      </c>
      <c r="AA1070" s="1070">
        <v>2.2000000000000002</v>
      </c>
      <c r="AB1070" s="1070">
        <v>2.2000000000000002</v>
      </c>
      <c r="AC1070" s="1070">
        <v>2.2000000000000002</v>
      </c>
      <c r="AD1070" s="1070"/>
      <c r="AE1070" s="1070"/>
      <c r="AF1070" s="1070"/>
      <c r="AG1070" s="1070"/>
      <c r="AK1070" s="1018"/>
      <c r="BB1070" s="906"/>
    </row>
    <row r="1071" spans="1:57" s="892" customFormat="1" ht="30" hidden="1" customHeight="1" outlineLevel="1" x14ac:dyDescent="0.25">
      <c r="A1071" s="910"/>
      <c r="B1071" s="1606"/>
      <c r="C1071" s="938"/>
      <c r="D1071" s="3089" t="s">
        <v>2051</v>
      </c>
      <c r="E1071" s="3089" t="s">
        <v>699</v>
      </c>
      <c r="F1071" s="1070">
        <v>1.5</v>
      </c>
      <c r="G1071" s="3776" t="s">
        <v>1939</v>
      </c>
      <c r="H1071" s="3776"/>
      <c r="I1071" s="3203" t="s">
        <v>674</v>
      </c>
      <c r="J1071" s="910"/>
      <c r="K1071" s="910"/>
      <c r="L1071" s="910"/>
      <c r="M1071" s="910"/>
      <c r="N1071" s="910"/>
      <c r="O1071" s="910"/>
      <c r="P1071" s="910"/>
      <c r="Q1071" s="910"/>
      <c r="R1071" s="910"/>
      <c r="S1071" s="910"/>
      <c r="T1071" s="910"/>
      <c r="U1071" s="910"/>
      <c r="V1071" s="3208" t="str">
        <f t="shared" si="144"/>
        <v>Lbase</v>
      </c>
      <c r="W1071" s="1070">
        <v>1.5</v>
      </c>
      <c r="X1071" s="1070">
        <v>1.5</v>
      </c>
      <c r="Y1071" s="1070">
        <v>1.5</v>
      </c>
      <c r="Z1071" s="1070">
        <v>1.5</v>
      </c>
      <c r="AA1071" s="1070">
        <v>1.5</v>
      </c>
      <c r="AB1071" s="1070">
        <v>1.5</v>
      </c>
      <c r="AC1071" s="1070">
        <v>1.5</v>
      </c>
      <c r="AD1071" s="1070"/>
      <c r="AE1071" s="1070"/>
      <c r="AF1071" s="1070"/>
      <c r="AG1071" s="1070"/>
      <c r="AK1071" s="1018"/>
      <c r="BB1071" s="906"/>
    </row>
    <row r="1072" spans="1:57" s="892" customFormat="1" ht="85.5" hidden="1" customHeight="1" outlineLevel="1" x14ac:dyDescent="0.25">
      <c r="A1072" s="910"/>
      <c r="B1072" s="1606"/>
      <c r="C1072" s="938"/>
      <c r="D1072" s="3089" t="s">
        <v>2079</v>
      </c>
      <c r="E1072" s="1648" t="s">
        <v>2080</v>
      </c>
      <c r="F1072" s="1070">
        <v>1278</v>
      </c>
      <c r="G1072" s="4151" t="s">
        <v>702</v>
      </c>
      <c r="H1072" s="4151"/>
      <c r="I1072" s="3203" t="s">
        <v>2081</v>
      </c>
      <c r="J1072" s="910"/>
      <c r="K1072" s="910"/>
      <c r="L1072" s="910"/>
      <c r="M1072" s="910"/>
      <c r="N1072" s="910"/>
      <c r="O1072" s="910"/>
      <c r="P1072" s="910"/>
      <c r="Q1072" s="910"/>
      <c r="R1072" s="910"/>
      <c r="S1072" s="910"/>
      <c r="T1072" s="910"/>
      <c r="U1072" s="910"/>
      <c r="V1072" s="3208" t="str">
        <f t="shared" si="144"/>
        <v>Usage</v>
      </c>
      <c r="W1072" s="1070">
        <v>1278</v>
      </c>
      <c r="X1072" s="1070">
        <v>1278</v>
      </c>
      <c r="Y1072" s="1070">
        <v>1278</v>
      </c>
      <c r="Z1072" s="1070">
        <v>1278</v>
      </c>
      <c r="AA1072" s="1070">
        <v>1278</v>
      </c>
      <c r="AB1072" s="1070">
        <v>1278</v>
      </c>
      <c r="AC1072" s="1070">
        <v>1278</v>
      </c>
      <c r="AD1072" s="1070"/>
      <c r="AE1072" s="1070"/>
      <c r="AF1072" s="1070"/>
      <c r="AG1072" s="1070"/>
      <c r="AK1072" s="1018"/>
      <c r="BB1072" s="906"/>
    </row>
    <row r="1073" spans="1:57" s="892" customFormat="1" ht="15" hidden="1" customHeight="1" outlineLevel="1" x14ac:dyDescent="0.25">
      <c r="A1073" s="910"/>
      <c r="B1073" s="1606"/>
      <c r="C1073" s="938"/>
      <c r="D1073" s="447">
        <v>8.33</v>
      </c>
      <c r="E1073" s="1648" t="s">
        <v>647</v>
      </c>
      <c r="F1073" s="1070">
        <v>8.33</v>
      </c>
      <c r="G1073" s="3867" t="s">
        <v>648</v>
      </c>
      <c r="H1073" s="3867"/>
      <c r="I1073" s="3203" t="s">
        <v>674</v>
      </c>
      <c r="J1073" s="910"/>
      <c r="K1073" s="910"/>
      <c r="L1073" s="910"/>
      <c r="M1073" s="910"/>
      <c r="N1073" s="910"/>
      <c r="O1073" s="910"/>
      <c r="P1073" s="910"/>
      <c r="Q1073" s="910"/>
      <c r="R1073" s="910"/>
      <c r="S1073" s="910"/>
      <c r="T1073" s="910"/>
      <c r="U1073" s="910"/>
      <c r="V1073" s="3208">
        <f t="shared" si="144"/>
        <v>8.33</v>
      </c>
      <c r="W1073" s="1070">
        <v>8.33</v>
      </c>
      <c r="X1073" s="1070">
        <v>8.33</v>
      </c>
      <c r="Y1073" s="1070">
        <v>8.33</v>
      </c>
      <c r="Z1073" s="1070">
        <v>8.33</v>
      </c>
      <c r="AA1073" s="1070">
        <v>8.33</v>
      </c>
      <c r="AB1073" s="1070">
        <v>8.33</v>
      </c>
      <c r="AC1073" s="1070">
        <v>8.33</v>
      </c>
      <c r="AD1073" s="1070"/>
      <c r="AE1073" s="1070"/>
      <c r="AF1073" s="1070"/>
      <c r="AG1073" s="1070"/>
      <c r="AK1073" s="1018"/>
      <c r="BB1073" s="906"/>
    </row>
    <row r="1074" spans="1:57" s="892" customFormat="1" ht="15" hidden="1" customHeight="1" outlineLevel="1" x14ac:dyDescent="0.25">
      <c r="A1074" s="910"/>
      <c r="B1074" s="1606"/>
      <c r="C1074" s="938"/>
      <c r="D1074" s="447">
        <v>1</v>
      </c>
      <c r="E1074" s="1707" t="s">
        <v>1944</v>
      </c>
      <c r="F1074" s="1070">
        <v>1</v>
      </c>
      <c r="G1074" s="3776" t="s">
        <v>650</v>
      </c>
      <c r="H1074" s="3776"/>
      <c r="I1074" s="3203" t="s">
        <v>674</v>
      </c>
      <c r="J1074" s="910"/>
      <c r="K1074" s="910"/>
      <c r="L1074" s="910"/>
      <c r="M1074" s="910"/>
      <c r="N1074" s="910"/>
      <c r="O1074" s="910"/>
      <c r="P1074" s="910"/>
      <c r="Q1074" s="910"/>
      <c r="R1074" s="910"/>
      <c r="S1074" s="910"/>
      <c r="T1074" s="910"/>
      <c r="U1074" s="910"/>
      <c r="V1074" s="3208">
        <f t="shared" si="144"/>
        <v>1</v>
      </c>
      <c r="W1074" s="1070">
        <v>1</v>
      </c>
      <c r="X1074" s="1070">
        <v>1</v>
      </c>
      <c r="Y1074" s="1070">
        <v>1</v>
      </c>
      <c r="Z1074" s="1070">
        <v>1</v>
      </c>
      <c r="AA1074" s="1070">
        <v>1</v>
      </c>
      <c r="AB1074" s="1070">
        <v>1</v>
      </c>
      <c r="AC1074" s="1070">
        <v>1</v>
      </c>
      <c r="AD1074" s="1070"/>
      <c r="AE1074" s="1070"/>
      <c r="AF1074" s="1070"/>
      <c r="AG1074" s="1070"/>
      <c r="AK1074" s="1018"/>
      <c r="BB1074" s="906"/>
    </row>
    <row r="1075" spans="1:57" s="892" customFormat="1" ht="15" hidden="1" customHeight="1" outlineLevel="1" x14ac:dyDescent="0.25">
      <c r="A1075" s="910"/>
      <c r="B1075" s="1606"/>
      <c r="C1075" s="938"/>
      <c r="D1075" s="3089" t="s">
        <v>651</v>
      </c>
      <c r="E1075" s="1648" t="s">
        <v>1945</v>
      </c>
      <c r="F1075" s="1070">
        <v>90</v>
      </c>
      <c r="G1075" s="4151" t="s">
        <v>2082</v>
      </c>
      <c r="H1075" s="4151"/>
      <c r="I1075" s="3203" t="s">
        <v>2083</v>
      </c>
      <c r="J1075" s="910"/>
      <c r="K1075" s="910"/>
      <c r="L1075" s="910"/>
      <c r="M1075" s="910"/>
      <c r="N1075" s="910"/>
      <c r="O1075" s="910"/>
      <c r="P1075" s="910"/>
      <c r="Q1075" s="910"/>
      <c r="R1075" s="910"/>
      <c r="S1075" s="910"/>
      <c r="T1075" s="910"/>
      <c r="U1075" s="910"/>
      <c r="V1075" s="3208" t="str">
        <f t="shared" si="144"/>
        <v>WaterTemp</v>
      </c>
      <c r="W1075" s="1070">
        <v>90</v>
      </c>
      <c r="X1075" s="1070">
        <v>90</v>
      </c>
      <c r="Y1075" s="1070">
        <v>90</v>
      </c>
      <c r="Z1075" s="1070">
        <v>90</v>
      </c>
      <c r="AA1075" s="1070">
        <v>90</v>
      </c>
      <c r="AB1075" s="1070">
        <v>90</v>
      </c>
      <c r="AC1075" s="1070">
        <v>90</v>
      </c>
      <c r="AD1075" s="1070"/>
      <c r="AE1075" s="1070"/>
      <c r="AF1075" s="1070"/>
      <c r="AG1075" s="1070"/>
      <c r="AK1075" s="1018"/>
      <c r="BB1075" s="906"/>
    </row>
    <row r="1076" spans="1:57" s="892" customFormat="1" ht="60" hidden="1" customHeight="1" outlineLevel="1" x14ac:dyDescent="0.25">
      <c r="A1076" s="910"/>
      <c r="B1076" s="1606"/>
      <c r="C1076" s="938"/>
      <c r="D1076" s="3089" t="s">
        <v>654</v>
      </c>
      <c r="E1076" s="1648" t="s">
        <v>1946</v>
      </c>
      <c r="F1076" s="1070">
        <v>61.3</v>
      </c>
      <c r="G1076" s="3776" t="s">
        <v>656</v>
      </c>
      <c r="H1076" s="3776"/>
      <c r="I1076" s="3203" t="s">
        <v>674</v>
      </c>
      <c r="J1076" s="910"/>
      <c r="K1076" s="910"/>
      <c r="L1076" s="910"/>
      <c r="M1076" s="910"/>
      <c r="N1076" s="910"/>
      <c r="O1076" s="910"/>
      <c r="P1076" s="910"/>
      <c r="Q1076" s="910"/>
      <c r="R1076" s="910"/>
      <c r="S1076" s="910"/>
      <c r="T1076" s="910"/>
      <c r="U1076" s="910"/>
      <c r="V1076" s="3208" t="str">
        <f t="shared" si="144"/>
        <v>SupplyTemp</v>
      </c>
      <c r="W1076" s="1070">
        <v>61.3</v>
      </c>
      <c r="X1076" s="1070">
        <v>61.3</v>
      </c>
      <c r="Y1076" s="1070">
        <v>61.3</v>
      </c>
      <c r="Z1076" s="1070">
        <v>61.3</v>
      </c>
      <c r="AA1076" s="1070">
        <v>61.3</v>
      </c>
      <c r="AB1076" s="1070">
        <v>61.3</v>
      </c>
      <c r="AC1076" s="1070">
        <v>61.3</v>
      </c>
      <c r="AD1076" s="1070"/>
      <c r="AE1076" s="1070"/>
      <c r="AF1076" s="1070"/>
      <c r="AG1076" s="1070"/>
      <c r="AK1076" s="1018"/>
      <c r="BB1076" s="906"/>
    </row>
    <row r="1077" spans="1:57" s="892" customFormat="1" ht="30" hidden="1" customHeight="1" outlineLevel="1" x14ac:dyDescent="0.25">
      <c r="A1077" s="910"/>
      <c r="B1077" s="1606"/>
      <c r="C1077" s="938"/>
      <c r="D1077" s="3089" t="s">
        <v>2055</v>
      </c>
      <c r="E1077" s="3184" t="s">
        <v>1947</v>
      </c>
      <c r="F1077" s="1070">
        <v>0.98</v>
      </c>
      <c r="G1077" s="4151" t="s">
        <v>1948</v>
      </c>
      <c r="H1077" s="4151"/>
      <c r="I1077" s="3203" t="s">
        <v>674</v>
      </c>
      <c r="J1077" s="910"/>
      <c r="K1077" s="910"/>
      <c r="L1077" s="910"/>
      <c r="M1077" s="910"/>
      <c r="N1077" s="910"/>
      <c r="O1077" s="910"/>
      <c r="P1077" s="910"/>
      <c r="Q1077" s="910"/>
      <c r="R1077" s="910"/>
      <c r="S1077" s="910"/>
      <c r="T1077" s="910"/>
      <c r="U1077" s="910"/>
      <c r="V1077" s="3208" t="str">
        <f t="shared" si="144"/>
        <v>REelectric</v>
      </c>
      <c r="W1077" s="1070">
        <v>0.98</v>
      </c>
      <c r="X1077" s="1070">
        <v>0.98</v>
      </c>
      <c r="Y1077" s="1070">
        <v>0.98</v>
      </c>
      <c r="Z1077" s="1070">
        <v>0.98</v>
      </c>
      <c r="AA1077" s="1070">
        <v>0.98</v>
      </c>
      <c r="AB1077" s="1070">
        <v>0.98</v>
      </c>
      <c r="AC1077" s="1070">
        <v>0.98</v>
      </c>
      <c r="AD1077" s="1070"/>
      <c r="AE1077" s="1070"/>
      <c r="AF1077" s="1070"/>
      <c r="AG1077" s="1070"/>
      <c r="AK1077" s="1018"/>
      <c r="BB1077" s="906"/>
    </row>
    <row r="1078" spans="1:57" s="892" customFormat="1" ht="15" hidden="1" customHeight="1" outlineLevel="1" x14ac:dyDescent="0.25">
      <c r="A1078" s="910"/>
      <c r="B1078" s="1606"/>
      <c r="C1078" s="938"/>
      <c r="D1078" s="3089">
        <v>3412</v>
      </c>
      <c r="E1078" s="3184">
        <v>3412</v>
      </c>
      <c r="F1078" s="1070">
        <v>3412</v>
      </c>
      <c r="G1078" s="3867" t="s">
        <v>218</v>
      </c>
      <c r="H1078" s="3867"/>
      <c r="I1078" s="3203" t="s">
        <v>2056</v>
      </c>
      <c r="J1078" s="910"/>
      <c r="K1078" s="910"/>
      <c r="L1078" s="910"/>
      <c r="M1078" s="910"/>
      <c r="N1078" s="910"/>
      <c r="O1078" s="910"/>
      <c r="P1078" s="910"/>
      <c r="Q1078" s="910"/>
      <c r="R1078" s="910"/>
      <c r="S1078" s="910"/>
      <c r="T1078" s="910"/>
      <c r="U1078" s="910"/>
      <c r="V1078" s="3208">
        <f t="shared" si="144"/>
        <v>3412</v>
      </c>
      <c r="W1078" s="1070">
        <v>3412</v>
      </c>
      <c r="X1078" s="1070">
        <v>3412</v>
      </c>
      <c r="Y1078" s="1070">
        <v>3412</v>
      </c>
      <c r="Z1078" s="1070">
        <v>3412</v>
      </c>
      <c r="AA1078" s="1070">
        <v>3412</v>
      </c>
      <c r="AB1078" s="1070">
        <v>3412</v>
      </c>
      <c r="AC1078" s="1070">
        <v>3412</v>
      </c>
      <c r="AD1078" s="1070"/>
      <c r="AE1078" s="1070"/>
      <c r="AF1078" s="1070"/>
      <c r="AG1078" s="1070"/>
      <c r="AK1078" s="1018"/>
      <c r="BB1078" s="906"/>
    </row>
    <row r="1079" spans="1:57" s="892" customFormat="1" ht="15" hidden="1" customHeight="1" outlineLevel="1" x14ac:dyDescent="0.25">
      <c r="A1079" s="910"/>
      <c r="B1079" s="1606"/>
      <c r="C1079" s="938"/>
      <c r="D1079" s="3089" t="s">
        <v>531</v>
      </c>
      <c r="E1079" s="3089" t="s">
        <v>595</v>
      </c>
      <c r="F1079" s="1040">
        <v>1</v>
      </c>
      <c r="G1079" s="3867" t="s">
        <v>600</v>
      </c>
      <c r="H1079" s="3867"/>
      <c r="I1079" s="3203"/>
      <c r="J1079" s="910"/>
      <c r="K1079" s="910"/>
      <c r="L1079" s="910"/>
      <c r="M1079" s="910"/>
      <c r="N1079" s="910"/>
      <c r="O1079" s="910"/>
      <c r="P1079" s="910"/>
      <c r="Q1079" s="910"/>
      <c r="R1079" s="910"/>
      <c r="S1079" s="910"/>
      <c r="T1079" s="910"/>
      <c r="U1079" s="910"/>
      <c r="V1079" s="3208" t="str">
        <f t="shared" si="144"/>
        <v>Utility Adjustment</v>
      </c>
      <c r="W1079" s="1040">
        <v>1</v>
      </c>
      <c r="X1079" s="1040">
        <v>1</v>
      </c>
      <c r="Y1079" s="1040">
        <v>1</v>
      </c>
      <c r="Z1079" s="1040">
        <v>1</v>
      </c>
      <c r="AA1079" s="1040">
        <v>1</v>
      </c>
      <c r="AB1079" s="1040">
        <v>1</v>
      </c>
      <c r="AC1079" s="1040">
        <v>1</v>
      </c>
      <c r="AD1079" s="1040"/>
      <c r="AE1079" s="1040"/>
      <c r="AF1079" s="1040"/>
      <c r="AG1079" s="1040"/>
      <c r="AK1079" s="1018"/>
      <c r="BB1079" s="906"/>
    </row>
    <row r="1080" spans="1:57" s="892" customFormat="1" ht="30" hidden="1" customHeight="1" outlineLevel="1" x14ac:dyDescent="0.25">
      <c r="A1080" s="910"/>
      <c r="B1080" s="1606"/>
      <c r="C1080" s="938"/>
      <c r="D1080" s="3089" t="s">
        <v>133</v>
      </c>
      <c r="E1080" s="3184" t="s">
        <v>1817</v>
      </c>
      <c r="F1080" s="1103">
        <v>0.97699999999999998</v>
      </c>
      <c r="G1080" s="4151" t="s">
        <v>702</v>
      </c>
      <c r="H1080" s="4151"/>
      <c r="I1080" s="3099"/>
      <c r="J1080" s="910"/>
      <c r="K1080" s="910"/>
      <c r="L1080" s="910"/>
      <c r="M1080" s="910"/>
      <c r="N1080" s="910"/>
      <c r="O1080" s="910"/>
      <c r="P1080" s="910"/>
      <c r="Q1080" s="910"/>
      <c r="R1080" s="910"/>
      <c r="S1080" s="910"/>
      <c r="T1080" s="910"/>
      <c r="U1080" s="910"/>
      <c r="V1080" s="3208" t="str">
        <f t="shared" si="144"/>
        <v>ISR</v>
      </c>
      <c r="W1080" s="1103">
        <v>0.97699999999999998</v>
      </c>
      <c r="X1080" s="1103">
        <v>0.97699999999999998</v>
      </c>
      <c r="Y1080" s="1103">
        <v>0.97699999999999998</v>
      </c>
      <c r="Z1080" s="1103">
        <v>0.97699999999999998</v>
      </c>
      <c r="AA1080" s="1103">
        <v>0.97699999999999998</v>
      </c>
      <c r="AB1080" s="1103">
        <v>0.97699999999999998</v>
      </c>
      <c r="AC1080" s="1103">
        <v>0.97699999999999998</v>
      </c>
      <c r="AD1080" s="1103"/>
      <c r="AE1080" s="1103"/>
      <c r="AF1080" s="1103"/>
      <c r="AG1080" s="1103"/>
      <c r="AK1080" s="1018"/>
      <c r="BB1080" s="906"/>
    </row>
    <row r="1081" spans="1:57" s="892" customFormat="1" hidden="1" outlineLevel="1" x14ac:dyDescent="0.25">
      <c r="A1081" s="910"/>
      <c r="B1081" s="1606"/>
      <c r="C1081" s="3159"/>
      <c r="D1081" s="3192" t="str">
        <f>D1050</f>
        <v>EUL</v>
      </c>
      <c r="E1081" s="3192" t="str">
        <f>E1050</f>
        <v>Effective Useful Life (All)</v>
      </c>
      <c r="F1081" s="1088">
        <v>10</v>
      </c>
      <c r="G1081" s="4151"/>
      <c r="H1081" s="4151"/>
      <c r="I1081" s="3124"/>
      <c r="J1081" s="910"/>
      <c r="K1081" s="910"/>
      <c r="L1081" s="910"/>
      <c r="M1081" s="910"/>
      <c r="N1081" s="910"/>
      <c r="O1081" s="910"/>
      <c r="P1081" s="910"/>
      <c r="Q1081" s="910"/>
      <c r="R1081" s="910"/>
      <c r="S1081" s="910"/>
      <c r="T1081" s="910"/>
      <c r="U1081" s="910"/>
      <c r="V1081" s="3208" t="str">
        <f t="shared" si="144"/>
        <v>EUL</v>
      </c>
      <c r="W1081" s="969">
        <v>10</v>
      </c>
      <c r="X1081" s="969">
        <v>10</v>
      </c>
      <c r="Y1081" s="969">
        <v>10</v>
      </c>
      <c r="Z1081" s="969">
        <v>10</v>
      </c>
      <c r="AA1081" s="969">
        <v>10</v>
      </c>
      <c r="AB1081" s="969">
        <v>10</v>
      </c>
      <c r="AC1081" s="969">
        <v>10</v>
      </c>
      <c r="AD1081" s="1052"/>
      <c r="AE1081" s="1052"/>
      <c r="AF1081" s="1052"/>
      <c r="AG1081" s="1052"/>
      <c r="AK1081" s="1018"/>
      <c r="BB1081" s="906"/>
    </row>
    <row r="1082" spans="1:57" s="892" customFormat="1" hidden="1" outlineLevel="1" x14ac:dyDescent="0.25">
      <c r="A1082" s="910"/>
      <c r="B1082" s="1606"/>
      <c r="C1082" s="3159"/>
      <c r="D1082" s="4156" t="str">
        <f>D1051</f>
        <v>Inc. Cost</v>
      </c>
      <c r="E1082" s="3192" t="str">
        <f>E1051</f>
        <v>Incremental Cost - Non-DI</v>
      </c>
      <c r="F1082" s="1089">
        <v>11.33</v>
      </c>
      <c r="G1082" s="4151"/>
      <c r="H1082" s="4151"/>
      <c r="I1082" s="3124"/>
      <c r="J1082" s="910"/>
      <c r="K1082" s="910"/>
      <c r="L1082" s="910"/>
      <c r="M1082" s="910"/>
      <c r="N1082" s="910"/>
      <c r="O1082" s="910"/>
      <c r="P1082" s="910"/>
      <c r="Q1082" s="910"/>
      <c r="R1082" s="910"/>
      <c r="S1082" s="910"/>
      <c r="T1082" s="910"/>
      <c r="U1082" s="910"/>
      <c r="V1082" s="4230" t="str">
        <f>D1082</f>
        <v>Inc. Cost</v>
      </c>
      <c r="W1082" s="1053">
        <v>11.33</v>
      </c>
      <c r="X1082" s="1053">
        <v>11.33</v>
      </c>
      <c r="Y1082" s="1053">
        <v>11.33</v>
      </c>
      <c r="Z1082" s="1053">
        <v>11.33</v>
      </c>
      <c r="AA1082" s="1053">
        <v>11.33</v>
      </c>
      <c r="AB1082" s="1053">
        <v>11.33</v>
      </c>
      <c r="AC1082" s="1053">
        <v>11.33</v>
      </c>
      <c r="AD1082" s="1054"/>
      <c r="AE1082" s="1054"/>
      <c r="AF1082" s="1054"/>
      <c r="AG1082" s="1054"/>
      <c r="AK1082" s="1018"/>
      <c r="BB1082" s="906"/>
    </row>
    <row r="1083" spans="1:57" s="892" customFormat="1" hidden="1" outlineLevel="1" x14ac:dyDescent="0.25">
      <c r="A1083" s="910"/>
      <c r="B1083" s="1606"/>
      <c r="C1083" s="3159"/>
      <c r="D1083" s="4157"/>
      <c r="E1083" s="3192" t="str">
        <f>E1052</f>
        <v>Incremental Cost - Direct Install (DI)</v>
      </c>
      <c r="F1083" s="1089">
        <v>11.33</v>
      </c>
      <c r="G1083" s="4151"/>
      <c r="H1083" s="4151"/>
      <c r="I1083" s="3124"/>
      <c r="J1083" s="910"/>
      <c r="K1083" s="910"/>
      <c r="L1083" s="910"/>
      <c r="M1083" s="910"/>
      <c r="N1083" s="910"/>
      <c r="O1083" s="910"/>
      <c r="P1083" s="910"/>
      <c r="Q1083" s="910"/>
      <c r="R1083" s="910"/>
      <c r="S1083" s="910"/>
      <c r="T1083" s="910"/>
      <c r="U1083" s="910"/>
      <c r="V1083" s="4231"/>
      <c r="W1083" s="1053">
        <v>11.33</v>
      </c>
      <c r="X1083" s="1053">
        <v>11.33</v>
      </c>
      <c r="Y1083" s="1053">
        <v>11.33</v>
      </c>
      <c r="Z1083" s="1053">
        <v>11.33</v>
      </c>
      <c r="AA1083" s="1053">
        <v>11.33</v>
      </c>
      <c r="AB1083" s="1053">
        <v>11.33</v>
      </c>
      <c r="AC1083" s="1053">
        <v>11.33</v>
      </c>
      <c r="AD1083" s="1054"/>
      <c r="AE1083" s="1054"/>
      <c r="AF1083" s="1054"/>
      <c r="AG1083" s="1054"/>
      <c r="AK1083" s="1018"/>
      <c r="BB1083" s="906"/>
    </row>
    <row r="1084" spans="1:57" s="892" customFormat="1" ht="15" customHeight="1" collapsed="1" x14ac:dyDescent="0.25">
      <c r="A1084" s="910"/>
      <c r="B1084" s="1606"/>
      <c r="C1084" s="3159"/>
      <c r="D1084" s="429"/>
      <c r="E1084" s="429"/>
      <c r="F1084" s="910"/>
      <c r="G1084" s="910"/>
      <c r="H1084" s="910"/>
      <c r="I1084" s="910"/>
      <c r="J1084" s="910"/>
      <c r="K1084" s="910"/>
      <c r="L1084" s="910"/>
      <c r="M1084" s="910"/>
      <c r="N1084" s="910"/>
      <c r="O1084" s="910"/>
      <c r="P1084" s="910"/>
      <c r="Q1084" s="910"/>
      <c r="R1084" s="910"/>
      <c r="S1084" s="910"/>
      <c r="T1084" s="910"/>
      <c r="U1084" s="910"/>
      <c r="X1084" s="910"/>
      <c r="Y1084" s="1748" t="s">
        <v>2084</v>
      </c>
      <c r="Z1084" s="957"/>
      <c r="AA1084" s="957"/>
      <c r="AK1084" s="1018"/>
      <c r="BB1084" s="906"/>
    </row>
    <row r="1085" spans="1:57" s="892" customFormat="1" ht="15" customHeight="1" x14ac:dyDescent="0.25">
      <c r="A1085" s="910"/>
      <c r="B1085" s="1606"/>
      <c r="C1085" s="907"/>
      <c r="D1085" s="429"/>
      <c r="E1085" s="429"/>
      <c r="F1085" s="910"/>
      <c r="G1085" s="910"/>
      <c r="H1085" s="910"/>
      <c r="I1085" s="910"/>
      <c r="J1085" s="910"/>
      <c r="K1085" s="910"/>
      <c r="L1085" s="910"/>
      <c r="M1085" s="910"/>
      <c r="N1085" s="910"/>
      <c r="O1085" s="910"/>
      <c r="P1085" s="910"/>
      <c r="Q1085" s="910"/>
      <c r="R1085" s="910"/>
      <c r="S1085" s="910"/>
      <c r="T1085" s="910"/>
      <c r="U1085" s="910"/>
      <c r="Y1085" s="911"/>
      <c r="AK1085" s="1018"/>
      <c r="BB1085" s="906"/>
    </row>
    <row r="1086" spans="1:57" s="892" customFormat="1" x14ac:dyDescent="0.25">
      <c r="A1086" s="910"/>
      <c r="B1086" s="3750" t="s">
        <v>2085</v>
      </c>
      <c r="C1086" s="3751"/>
      <c r="D1086" s="3751"/>
      <c r="E1086" s="3751"/>
      <c r="F1086" s="3751"/>
      <c r="G1086" s="3751"/>
      <c r="H1086" s="3751"/>
      <c r="I1086" s="3744"/>
      <c r="J1086" s="3744"/>
      <c r="K1086" s="3744"/>
      <c r="L1086" s="3744"/>
      <c r="M1086" s="3744"/>
      <c r="N1086" s="3744"/>
      <c r="O1086" s="3744"/>
      <c r="P1086" s="3744"/>
      <c r="Q1086" s="3744"/>
      <c r="R1086" s="3745"/>
      <c r="S1086" s="910"/>
      <c r="T1086" s="910"/>
      <c r="U1086" s="910"/>
      <c r="V1086" s="3750" t="str">
        <f>B1086</f>
        <v xml:space="preserve">Common Area Low Flow Showerheads </v>
      </c>
      <c r="W1086" s="3751"/>
      <c r="X1086" s="3751"/>
      <c r="Y1086" s="3751"/>
      <c r="Z1086" s="3751"/>
      <c r="AA1086" s="3751"/>
      <c r="AB1086" s="3751"/>
      <c r="AC1086" s="4228"/>
      <c r="AD1086" s="4228"/>
      <c r="AE1086" s="4228"/>
      <c r="AF1086" s="4228"/>
      <c r="AG1086" s="4228"/>
      <c r="AH1086" s="4228"/>
      <c r="AI1086" s="4229"/>
      <c r="AK1086" s="1018"/>
      <c r="BB1086" s="906"/>
    </row>
    <row r="1087" spans="1:57" s="892" customFormat="1" x14ac:dyDescent="0.25">
      <c r="A1087" s="910"/>
      <c r="B1087" s="910"/>
      <c r="C1087" s="938"/>
      <c r="D1087" s="1618"/>
      <c r="E1087" s="1618"/>
      <c r="F1087" s="908"/>
      <c r="G1087" s="908"/>
      <c r="H1087" s="908"/>
      <c r="I1087" s="908"/>
      <c r="J1087" s="908"/>
      <c r="K1087" s="908"/>
      <c r="L1087" s="1619"/>
      <c r="M1087" s="910"/>
      <c r="N1087" s="910"/>
      <c r="O1087" s="910"/>
      <c r="P1087" s="910"/>
      <c r="Q1087" s="910"/>
      <c r="R1087" s="910"/>
      <c r="S1087" s="910"/>
      <c r="T1087" s="910"/>
      <c r="U1087" s="910"/>
      <c r="V1087" s="892" t="str">
        <f>IF(C1085&gt;0,C1085," ")</f>
        <v xml:space="preserve"> </v>
      </c>
      <c r="Y1087" s="911"/>
      <c r="AK1087" s="1018"/>
      <c r="BB1087" s="906"/>
    </row>
    <row r="1088" spans="1:57" s="892" customFormat="1" ht="49.5" customHeight="1" x14ac:dyDescent="0.25">
      <c r="A1088" s="910"/>
      <c r="B1088" s="1606"/>
      <c r="C1088" s="3086" t="s">
        <v>28</v>
      </c>
      <c r="D1088" s="3086" t="s">
        <v>175</v>
      </c>
      <c r="E1088" s="3086" t="s">
        <v>30</v>
      </c>
      <c r="F1088" s="3086" t="s">
        <v>1765</v>
      </c>
      <c r="G1088" s="3086" t="s">
        <v>176</v>
      </c>
      <c r="H1088" s="3086" t="s">
        <v>177</v>
      </c>
      <c r="I1088" s="3086" t="s">
        <v>606</v>
      </c>
      <c r="J1088" s="3086" t="s">
        <v>32</v>
      </c>
      <c r="K1088" s="3086" t="s">
        <v>181</v>
      </c>
      <c r="L1088" s="3086" t="s">
        <v>170</v>
      </c>
      <c r="M1088" s="3086" t="s">
        <v>44</v>
      </c>
      <c r="N1088" s="910"/>
      <c r="O1088" s="910"/>
      <c r="P1088" s="910"/>
      <c r="Q1088" s="910"/>
      <c r="R1088" s="910"/>
      <c r="S1088" s="910"/>
      <c r="T1088" s="910"/>
      <c r="U1088" s="910"/>
      <c r="V1088" s="1936" t="s">
        <v>45</v>
      </c>
      <c r="W1088" s="1937">
        <f>W$6</f>
        <v>43252</v>
      </c>
      <c r="X1088" s="1937">
        <f t="shared" ref="X1088:AG1088" si="145">X$6</f>
        <v>43465</v>
      </c>
      <c r="Y1088" s="360">
        <f t="shared" si="145"/>
        <v>43800</v>
      </c>
      <c r="Z1088" s="1937">
        <f t="shared" si="145"/>
        <v>43862</v>
      </c>
      <c r="AA1088" s="1937">
        <f t="shared" si="145"/>
        <v>44013</v>
      </c>
      <c r="AB1088" s="1937">
        <f t="shared" si="145"/>
        <v>44166</v>
      </c>
      <c r="AC1088" s="1937">
        <f t="shared" si="145"/>
        <v>44531</v>
      </c>
      <c r="AD1088" s="1937" t="str">
        <f t="shared" si="145"/>
        <v>-</v>
      </c>
      <c r="AE1088" s="1937" t="str">
        <f t="shared" si="145"/>
        <v>-</v>
      </c>
      <c r="AF1088" s="1937" t="str">
        <f t="shared" si="145"/>
        <v>-</v>
      </c>
      <c r="AG1088" s="1937" t="str">
        <f t="shared" si="145"/>
        <v>-</v>
      </c>
      <c r="AK1088" s="1018"/>
      <c r="BB1088" s="1938" t="str">
        <f>$BB$6</f>
        <v>TRC (2020)</v>
      </c>
      <c r="BC1088" s="1953" t="str">
        <f>$BC$6</f>
        <v>Benefit Lookup</v>
      </c>
      <c r="BD1088" s="665" t="str">
        <f>$BD$6</f>
        <v>Benefits (2019 $)</v>
      </c>
      <c r="BE1088" s="230" t="str">
        <f>$BE$6</f>
        <v>Incremental Cost (2019 $)</v>
      </c>
    </row>
    <row r="1089" spans="1:57" s="892" customFormat="1" x14ac:dyDescent="0.25">
      <c r="A1089" s="910"/>
      <c r="B1089" s="1606"/>
      <c r="C1089" s="2667" t="s">
        <v>2086</v>
      </c>
      <c r="D1089" s="2667" t="s">
        <v>1930</v>
      </c>
      <c r="E1089" s="420" t="s">
        <v>2087</v>
      </c>
      <c r="F1089" s="1032">
        <f>ROUND(F1099*((F1100*F1101-F1102*F1103)*F1104*F1105)*I1089*F1113*F1112,2)</f>
        <v>213.29</v>
      </c>
      <c r="G1089" s="2667" t="s">
        <v>1926</v>
      </c>
      <c r="H1089" s="155">
        <f>VLOOKUP(G1089,'CP FACTORS'!$A$3:$B$38, 2, FALSE)</f>
        <v>8.8731800000000003E-5</v>
      </c>
      <c r="I1089" s="1615">
        <f>F1106*F1107*(F1108-F1109)/(F1110*F1111)</f>
        <v>0.10886576787807739</v>
      </c>
      <c r="J1089" s="1666">
        <f>ROUND(F1089*H1089,6)</f>
        <v>1.8925999999999998E-2</v>
      </c>
      <c r="K1089" s="2718">
        <f>F1114</f>
        <v>10</v>
      </c>
      <c r="L1089" s="1714">
        <f>F1115</f>
        <v>7</v>
      </c>
      <c r="M1089" s="2667" t="s">
        <v>185</v>
      </c>
      <c r="N1089" s="910"/>
      <c r="O1089" s="910"/>
      <c r="P1089" s="910"/>
      <c r="Q1089" s="910"/>
      <c r="R1089" s="910"/>
      <c r="S1089" s="910"/>
      <c r="T1089" s="910"/>
      <c r="U1089" s="910"/>
      <c r="V1089" s="1016" t="str">
        <f>$F$996</f>
        <v>kWh
Annual Savings</v>
      </c>
      <c r="W1089" s="1101">
        <v>213.28849188496486</v>
      </c>
      <c r="X1089" s="1101">
        <v>213.28849188496486</v>
      </c>
      <c r="Y1089" s="968">
        <v>213.29</v>
      </c>
      <c r="Z1089" s="968">
        <v>213.29</v>
      </c>
      <c r="AA1089" s="968">
        <v>213.29</v>
      </c>
      <c r="AB1089" s="968">
        <v>213.29</v>
      </c>
      <c r="AC1089" s="968">
        <v>213.29</v>
      </c>
      <c r="AD1089" s="1016"/>
      <c r="AE1089" s="1016"/>
      <c r="AF1089" s="1016"/>
      <c r="AG1089" s="1016"/>
      <c r="AK1089" s="1018"/>
      <c r="BB1089" s="1091">
        <f>(BD1089)/(BE1089)</f>
        <v>10.888444590636908</v>
      </c>
      <c r="BC1089" s="3166" t="str">
        <f>CONCATENATE(G1089," ",K1089," Year EUL")</f>
        <v>Water heating RES 10 Year EUL</v>
      </c>
      <c r="BD1089" s="166">
        <f>(INDEX('Avoided Cost Benefits'!$C$4:$C$857,MATCH(BC1089,'Avoided Cost Benefits'!$A$4:$A$857,0)))*F1089</f>
        <v>71.938756143896512</v>
      </c>
      <c r="BE1089" s="1092">
        <f>L1089/(1.0595^(2020-2019))</f>
        <v>6.6068900424728643</v>
      </c>
    </row>
    <row r="1090" spans="1:57" s="892" customFormat="1" hidden="1" outlineLevel="1" x14ac:dyDescent="0.25">
      <c r="A1090" s="910"/>
      <c r="B1090" s="1606"/>
      <c r="C1090" s="907"/>
      <c r="D1090" s="429"/>
      <c r="E1090" s="429"/>
      <c r="F1090" s="1715"/>
      <c r="G1090" s="938"/>
      <c r="H1090" s="1710"/>
      <c r="I1090" s="1104"/>
      <c r="J1090" s="1104"/>
      <c r="K1090" s="1104"/>
      <c r="L1090" s="910"/>
      <c r="M1090" s="958"/>
      <c r="N1090" s="910"/>
      <c r="O1090" s="910"/>
      <c r="P1090" s="910"/>
      <c r="Q1090" s="910"/>
      <c r="R1090" s="910"/>
      <c r="S1090" s="910"/>
      <c r="T1090" s="910"/>
      <c r="U1090" s="910"/>
      <c r="V1090" s="1080"/>
      <c r="Y1090" s="911"/>
      <c r="AK1090" s="1018"/>
      <c r="BB1090" s="906"/>
    </row>
    <row r="1091" spans="1:57" s="892" customFormat="1" hidden="1" outlineLevel="1" x14ac:dyDescent="0.25">
      <c r="A1091" s="910"/>
      <c r="B1091" s="1606"/>
      <c r="C1091" s="907"/>
      <c r="D1091" s="174" t="s">
        <v>108</v>
      </c>
      <c r="E1091" s="429"/>
      <c r="F1091" s="1715"/>
      <c r="G1091" s="938"/>
      <c r="H1091" s="1710"/>
      <c r="I1091" s="1104"/>
      <c r="J1091" s="1104"/>
      <c r="K1091" s="1104"/>
      <c r="L1091" s="910"/>
      <c r="M1091" s="958"/>
      <c r="N1091" s="910"/>
      <c r="O1091" s="910"/>
      <c r="P1091" s="910"/>
      <c r="Q1091" s="910"/>
      <c r="R1091" s="910"/>
      <c r="S1091" s="910"/>
      <c r="T1091" s="910"/>
      <c r="U1091" s="910"/>
      <c r="V1091" s="1080"/>
      <c r="Y1091" s="911"/>
      <c r="AK1091" s="1018"/>
      <c r="BB1091" s="906"/>
    </row>
    <row r="1092" spans="1:57" s="892" customFormat="1" hidden="1" outlineLevel="1" x14ac:dyDescent="0.25">
      <c r="A1092" s="910"/>
      <c r="B1092" s="1606"/>
      <c r="C1092" s="907"/>
      <c r="D1092" s="429"/>
      <c r="E1092" s="429"/>
      <c r="F1092" s="910"/>
      <c r="G1092" s="910"/>
      <c r="H1092" s="910"/>
      <c r="I1092" s="910"/>
      <c r="J1092" s="910"/>
      <c r="K1092" s="910"/>
      <c r="L1092" s="910"/>
      <c r="M1092" s="958"/>
      <c r="N1092" s="910"/>
      <c r="O1092" s="910"/>
      <c r="P1092" s="910"/>
      <c r="Q1092" s="910"/>
      <c r="R1092" s="910"/>
      <c r="S1092" s="910"/>
      <c r="T1092" s="910"/>
      <c r="U1092" s="910"/>
      <c r="Y1092" s="911"/>
      <c r="AK1092" s="1018"/>
      <c r="BB1092" s="906"/>
    </row>
    <row r="1093" spans="1:57" s="892" customFormat="1" hidden="1" outlineLevel="1" x14ac:dyDescent="0.25">
      <c r="A1093" s="910"/>
      <c r="B1093" s="1606"/>
      <c r="C1093" s="912"/>
      <c r="D1093" s="1711"/>
      <c r="E1093" s="1712"/>
      <c r="F1093" s="1716"/>
      <c r="G1093" s="918"/>
      <c r="H1093" s="918"/>
      <c r="I1093" s="910"/>
      <c r="J1093" s="910"/>
      <c r="K1093" s="910"/>
      <c r="L1093" s="910"/>
      <c r="M1093" s="910"/>
      <c r="N1093" s="910"/>
      <c r="O1093" s="910"/>
      <c r="P1093" s="910"/>
      <c r="Q1093" s="910"/>
      <c r="R1093" s="910"/>
      <c r="S1093" s="910"/>
      <c r="T1093" s="910"/>
      <c r="U1093" s="910"/>
      <c r="Y1093" s="911"/>
      <c r="AK1093" s="1018"/>
      <c r="BB1093" s="906"/>
    </row>
    <row r="1094" spans="1:57" s="892" customFormat="1" hidden="1" outlineLevel="1" x14ac:dyDescent="0.25">
      <c r="A1094" s="910"/>
      <c r="B1094" s="1606"/>
      <c r="C1094" s="913"/>
      <c r="D1094" s="1693"/>
      <c r="E1094" s="1694"/>
      <c r="F1094" s="1717"/>
      <c r="G1094" s="918"/>
      <c r="H1094" s="918"/>
      <c r="I1094" s="910"/>
      <c r="J1094" s="910"/>
      <c r="K1094" s="910"/>
      <c r="L1094" s="910"/>
      <c r="M1094" s="910"/>
      <c r="N1094" s="910"/>
      <c r="O1094" s="910"/>
      <c r="P1094" s="910"/>
      <c r="Q1094" s="910"/>
      <c r="R1094" s="910"/>
      <c r="S1094" s="910"/>
      <c r="T1094" s="910"/>
      <c r="U1094" s="910"/>
      <c r="Y1094" s="911"/>
      <c r="AK1094" s="1018"/>
      <c r="BB1094" s="906"/>
    </row>
    <row r="1095" spans="1:57" s="892" customFormat="1" hidden="1" outlineLevel="1" x14ac:dyDescent="0.25">
      <c r="A1095" s="910"/>
      <c r="B1095" s="1606"/>
      <c r="C1095" s="913"/>
      <c r="D1095" s="1693"/>
      <c r="E1095" s="1694"/>
      <c r="F1095" s="1717"/>
      <c r="G1095" s="918"/>
      <c r="H1095" s="918"/>
      <c r="I1095" s="910"/>
      <c r="J1095" s="910"/>
      <c r="K1095" s="910"/>
      <c r="L1095" s="910"/>
      <c r="M1095" s="910"/>
      <c r="N1095" s="910"/>
      <c r="O1095" s="910"/>
      <c r="P1095" s="910"/>
      <c r="Q1095" s="910"/>
      <c r="R1095" s="910"/>
      <c r="S1095" s="910"/>
      <c r="T1095" s="910"/>
      <c r="U1095" s="910"/>
      <c r="Y1095" s="911"/>
      <c r="AK1095" s="1018"/>
      <c r="BB1095" s="906"/>
    </row>
    <row r="1096" spans="1:57" s="892" customFormat="1" ht="15" hidden="1" customHeight="1" outlineLevel="1" x14ac:dyDescent="0.25">
      <c r="A1096" s="910"/>
      <c r="B1096" s="1606"/>
      <c r="C1096" s="913"/>
      <c r="D1096" s="1693"/>
      <c r="E1096" s="1694"/>
      <c r="F1096" s="1717"/>
      <c r="G1096" s="918"/>
      <c r="H1096" s="918"/>
      <c r="I1096" s="910"/>
      <c r="J1096" s="910"/>
      <c r="K1096" s="910"/>
      <c r="L1096" s="910"/>
      <c r="M1096" s="910"/>
      <c r="N1096" s="910"/>
      <c r="O1096" s="910"/>
      <c r="P1096" s="910"/>
      <c r="Q1096" s="910"/>
      <c r="R1096" s="910"/>
      <c r="S1096" s="910"/>
      <c r="T1096" s="910"/>
      <c r="U1096" s="910"/>
      <c r="Y1096" s="911"/>
      <c r="AK1096" s="1018"/>
      <c r="BB1096" s="906"/>
    </row>
    <row r="1097" spans="1:57" s="892" customFormat="1" ht="15" hidden="1" customHeight="1" outlineLevel="1" x14ac:dyDescent="0.25">
      <c r="A1097" s="910"/>
      <c r="B1097" s="910"/>
      <c r="C1097" s="938"/>
      <c r="D1097" s="429"/>
      <c r="E1097" s="429"/>
      <c r="F1097" s="910"/>
      <c r="G1097" s="910"/>
      <c r="H1097" s="910"/>
      <c r="I1097" s="910"/>
      <c r="J1097" s="910"/>
      <c r="K1097" s="910"/>
      <c r="L1097" s="910"/>
      <c r="M1097" s="910"/>
      <c r="N1097" s="910"/>
      <c r="O1097" s="910"/>
      <c r="P1097" s="910"/>
      <c r="Q1097" s="910"/>
      <c r="R1097" s="910"/>
      <c r="S1097" s="910"/>
      <c r="T1097" s="910"/>
      <c r="U1097" s="910"/>
      <c r="Y1097" s="911"/>
      <c r="AK1097" s="1018"/>
      <c r="BB1097" s="906"/>
    </row>
    <row r="1098" spans="1:57" s="892" customFormat="1" ht="15" hidden="1" customHeight="1" outlineLevel="1" x14ac:dyDescent="0.25">
      <c r="A1098" s="910"/>
      <c r="B1098" s="910"/>
      <c r="C1098" s="938"/>
      <c r="D1098" s="3236" t="s">
        <v>109</v>
      </c>
      <c r="E1098" s="3236" t="s">
        <v>110</v>
      </c>
      <c r="F1098" s="3136" t="s">
        <v>112</v>
      </c>
      <c r="G1098" s="3773" t="s">
        <v>187</v>
      </c>
      <c r="H1098" s="3773"/>
      <c r="I1098" s="3205" t="s">
        <v>113</v>
      </c>
      <c r="J1098" s="910"/>
      <c r="K1098" s="910"/>
      <c r="L1098" s="910"/>
      <c r="M1098" s="910"/>
      <c r="N1098" s="910"/>
      <c r="O1098" s="910"/>
      <c r="P1098" s="910"/>
      <c r="Q1098" s="910"/>
      <c r="R1098" s="910"/>
      <c r="S1098" s="910"/>
      <c r="T1098" s="910"/>
      <c r="U1098" s="910"/>
      <c r="V1098" s="1936" t="s">
        <v>45</v>
      </c>
      <c r="W1098" s="1937">
        <f>W$6</f>
        <v>43252</v>
      </c>
      <c r="X1098" s="1937">
        <f t="shared" ref="X1098:AG1098" si="146">X$6</f>
        <v>43465</v>
      </c>
      <c r="Y1098" s="360">
        <f t="shared" si="146"/>
        <v>43800</v>
      </c>
      <c r="Z1098" s="1937">
        <f t="shared" si="146"/>
        <v>43862</v>
      </c>
      <c r="AA1098" s="1937">
        <f t="shared" si="146"/>
        <v>44013</v>
      </c>
      <c r="AB1098" s="1937">
        <f t="shared" si="146"/>
        <v>44166</v>
      </c>
      <c r="AC1098" s="1937">
        <f t="shared" si="146"/>
        <v>44531</v>
      </c>
      <c r="AD1098" s="1937" t="str">
        <f t="shared" si="146"/>
        <v>-</v>
      </c>
      <c r="AE1098" s="1937" t="str">
        <f t="shared" si="146"/>
        <v>-</v>
      </c>
      <c r="AF1098" s="1937" t="str">
        <f t="shared" si="146"/>
        <v>-</v>
      </c>
      <c r="AG1098" s="1937" t="str">
        <f t="shared" si="146"/>
        <v>-</v>
      </c>
      <c r="AK1098" s="1018"/>
      <c r="BB1098" s="906"/>
    </row>
    <row r="1099" spans="1:57" s="892" customFormat="1" ht="30" hidden="1" outlineLevel="1" x14ac:dyDescent="0.25">
      <c r="A1099" s="910"/>
      <c r="B1099" s="910"/>
      <c r="C1099" s="938"/>
      <c r="D1099" s="3089" t="s">
        <v>615</v>
      </c>
      <c r="E1099" s="3089" t="s">
        <v>616</v>
      </c>
      <c r="F1099" s="1087">
        <v>1</v>
      </c>
      <c r="G1099" s="3867" t="s">
        <v>600</v>
      </c>
      <c r="H1099" s="3867"/>
      <c r="I1099" s="3203" t="s">
        <v>1816</v>
      </c>
      <c r="J1099" s="910"/>
      <c r="K1099" s="910"/>
      <c r="L1099" s="910"/>
      <c r="M1099" s="910"/>
      <c r="N1099" s="910"/>
      <c r="O1099" s="910"/>
      <c r="P1099" s="910"/>
      <c r="Q1099" s="910"/>
      <c r="R1099" s="910"/>
      <c r="S1099" s="910"/>
      <c r="T1099" s="910"/>
      <c r="U1099" s="910"/>
      <c r="V1099" s="3208" t="str">
        <f>D1099</f>
        <v>%Electric DHW</v>
      </c>
      <c r="W1099" s="1081">
        <v>1</v>
      </c>
      <c r="X1099" s="1081">
        <v>1</v>
      </c>
      <c r="Y1099" s="1081">
        <v>1</v>
      </c>
      <c r="Z1099" s="1081">
        <v>1</v>
      </c>
      <c r="AA1099" s="1081">
        <v>1</v>
      </c>
      <c r="AB1099" s="1081">
        <v>1</v>
      </c>
      <c r="AC1099" s="1081">
        <v>1</v>
      </c>
      <c r="AD1099" s="966"/>
      <c r="AE1099" s="966"/>
      <c r="AF1099" s="966"/>
      <c r="AG1099" s="966"/>
      <c r="AK1099" s="1018"/>
      <c r="BB1099" s="906"/>
    </row>
    <row r="1100" spans="1:57" s="892" customFormat="1" ht="90" hidden="1" outlineLevel="1" x14ac:dyDescent="0.25">
      <c r="A1100" s="910"/>
      <c r="B1100" s="910"/>
      <c r="C1100" s="938"/>
      <c r="D1100" s="3089" t="s">
        <v>2049</v>
      </c>
      <c r="E1100" s="3089" t="s">
        <v>692</v>
      </c>
      <c r="F1100" s="3146">
        <v>2.67</v>
      </c>
      <c r="G1100" s="3776" t="s">
        <v>694</v>
      </c>
      <c r="H1100" s="3776"/>
      <c r="I1100" s="3203" t="s">
        <v>2088</v>
      </c>
      <c r="J1100" s="910"/>
      <c r="K1100" s="910"/>
      <c r="L1100" s="910"/>
      <c r="M1100" s="910"/>
      <c r="N1100" s="910"/>
      <c r="O1100" s="910"/>
      <c r="P1100" s="910"/>
      <c r="Q1100" s="910"/>
      <c r="R1100" s="910"/>
      <c r="S1100" s="910"/>
      <c r="T1100" s="910"/>
      <c r="U1100" s="910"/>
      <c r="V1100" s="3208" t="str">
        <f t="shared" ref="V1100:V1114" si="147">D1100</f>
        <v>GPMbase</v>
      </c>
      <c r="W1100" s="1082">
        <v>2.67</v>
      </c>
      <c r="X1100" s="1082">
        <v>2.67</v>
      </c>
      <c r="Y1100" s="1082">
        <v>2.67</v>
      </c>
      <c r="Z1100" s="1082">
        <v>2.67</v>
      </c>
      <c r="AA1100" s="1082">
        <v>2.67</v>
      </c>
      <c r="AB1100" s="1082">
        <v>2.67</v>
      </c>
      <c r="AC1100" s="1082">
        <v>2.67</v>
      </c>
      <c r="AD1100" s="1028"/>
      <c r="AE1100" s="1028"/>
      <c r="AF1100" s="1028"/>
      <c r="AG1100" s="1028"/>
      <c r="AK1100" s="1018"/>
      <c r="BB1100" s="906"/>
    </row>
    <row r="1101" spans="1:57" s="892" customFormat="1" ht="45" hidden="1" customHeight="1" outlineLevel="1" x14ac:dyDescent="0.25">
      <c r="A1101" s="910"/>
      <c r="B1101" s="910"/>
      <c r="C1101" s="938"/>
      <c r="D1101" s="3089" t="s">
        <v>2051</v>
      </c>
      <c r="E1101" s="1648" t="s">
        <v>1971</v>
      </c>
      <c r="F1101" s="1705">
        <v>8.1999999999999993</v>
      </c>
      <c r="G1101" s="4151" t="s">
        <v>1972</v>
      </c>
      <c r="H1101" s="4151"/>
      <c r="I1101" s="3203" t="s">
        <v>2089</v>
      </c>
      <c r="J1101" s="910"/>
      <c r="K1101" s="910"/>
      <c r="L1101" s="910"/>
      <c r="M1101" s="910"/>
      <c r="N1101" s="910"/>
      <c r="O1101" s="910"/>
      <c r="P1101" s="910"/>
      <c r="Q1101" s="910"/>
      <c r="R1101" s="910"/>
      <c r="S1101" s="910"/>
      <c r="T1101" s="910"/>
      <c r="U1101" s="910"/>
      <c r="V1101" s="3208" t="str">
        <f t="shared" si="147"/>
        <v>Lbase</v>
      </c>
      <c r="W1101" s="1083">
        <v>8.1999999999999993</v>
      </c>
      <c r="X1101" s="1083">
        <v>8.1999999999999993</v>
      </c>
      <c r="Y1101" s="1083">
        <v>8.1999999999999993</v>
      </c>
      <c r="Z1101" s="1083">
        <v>8.1999999999999993</v>
      </c>
      <c r="AA1101" s="1083">
        <v>8.1999999999999993</v>
      </c>
      <c r="AB1101" s="1083">
        <v>8.1999999999999993</v>
      </c>
      <c r="AC1101" s="1083">
        <v>8.1999999999999993</v>
      </c>
      <c r="AD1101" s="968"/>
      <c r="AE1101" s="968"/>
      <c r="AF1101" s="968"/>
      <c r="AG1101" s="968"/>
      <c r="AK1101" s="1018"/>
      <c r="BB1101" s="906"/>
    </row>
    <row r="1102" spans="1:57" s="892" customFormat="1" ht="30" hidden="1" customHeight="1" outlineLevel="1" x14ac:dyDescent="0.25">
      <c r="A1102" s="910"/>
      <c r="B1102" s="910"/>
      <c r="C1102" s="938"/>
      <c r="D1102" s="3089" t="s">
        <v>2090</v>
      </c>
      <c r="E1102" s="3089" t="s">
        <v>699</v>
      </c>
      <c r="F1102" s="3146">
        <v>2</v>
      </c>
      <c r="G1102" s="3776" t="s">
        <v>1939</v>
      </c>
      <c r="H1102" s="3776"/>
      <c r="I1102" s="3203"/>
      <c r="J1102" s="910"/>
      <c r="K1102" s="910"/>
      <c r="L1102" s="910"/>
      <c r="M1102" s="910"/>
      <c r="N1102" s="910"/>
      <c r="O1102" s="910"/>
      <c r="P1102" s="910"/>
      <c r="Q1102" s="910"/>
      <c r="R1102" s="910"/>
      <c r="S1102" s="910"/>
      <c r="T1102" s="910"/>
      <c r="U1102" s="910"/>
      <c r="V1102" s="3208" t="str">
        <f t="shared" si="147"/>
        <v>GPMlow</v>
      </c>
      <c r="W1102" s="1082">
        <v>2</v>
      </c>
      <c r="X1102" s="1082">
        <v>2</v>
      </c>
      <c r="Y1102" s="1082">
        <v>2</v>
      </c>
      <c r="Z1102" s="1082">
        <v>2</v>
      </c>
      <c r="AA1102" s="1082">
        <v>2</v>
      </c>
      <c r="AB1102" s="1082">
        <v>2</v>
      </c>
      <c r="AC1102" s="1082">
        <v>2</v>
      </c>
      <c r="AD1102" s="1028"/>
      <c r="AE1102" s="1028"/>
      <c r="AF1102" s="1028"/>
      <c r="AG1102" s="1028"/>
      <c r="AK1102" s="1018"/>
      <c r="BB1102" s="906"/>
    </row>
    <row r="1103" spans="1:57" s="892" customFormat="1" ht="45" hidden="1" customHeight="1" outlineLevel="1" x14ac:dyDescent="0.25">
      <c r="A1103" s="910"/>
      <c r="B1103" s="910"/>
      <c r="C1103" s="938"/>
      <c r="D1103" s="3089" t="s">
        <v>2091</v>
      </c>
      <c r="E1103" s="1648" t="s">
        <v>1971</v>
      </c>
      <c r="F1103" s="1705">
        <v>8.1999999999999993</v>
      </c>
      <c r="G1103" s="4151" t="s">
        <v>1972</v>
      </c>
      <c r="H1103" s="4151"/>
      <c r="I1103" s="3203" t="s">
        <v>2089</v>
      </c>
      <c r="J1103" s="910"/>
      <c r="K1103" s="910"/>
      <c r="L1103" s="910"/>
      <c r="M1103" s="910"/>
      <c r="N1103" s="910"/>
      <c r="O1103" s="910"/>
      <c r="P1103" s="910"/>
      <c r="Q1103" s="910"/>
      <c r="R1103" s="910"/>
      <c r="S1103" s="910"/>
      <c r="T1103" s="910"/>
      <c r="U1103" s="910"/>
      <c r="V1103" s="3208" t="str">
        <f t="shared" si="147"/>
        <v>Llow</v>
      </c>
      <c r="W1103" s="1083">
        <v>8.1999999999999993</v>
      </c>
      <c r="X1103" s="1083">
        <v>8.1999999999999993</v>
      </c>
      <c r="Y1103" s="1083">
        <v>8.1999999999999993</v>
      </c>
      <c r="Z1103" s="1083">
        <v>8.1999999999999993</v>
      </c>
      <c r="AA1103" s="1083">
        <v>8.1999999999999993</v>
      </c>
      <c r="AB1103" s="1083">
        <v>8.1999999999999993</v>
      </c>
      <c r="AC1103" s="1083">
        <v>8.1999999999999993</v>
      </c>
      <c r="AD1103" s="968"/>
      <c r="AE1103" s="968"/>
      <c r="AF1103" s="968"/>
      <c r="AG1103" s="968"/>
      <c r="AK1103" s="1018"/>
      <c r="BB1103" s="906"/>
    </row>
    <row r="1104" spans="1:57" s="892" customFormat="1" ht="30" hidden="1" customHeight="1" outlineLevel="1" x14ac:dyDescent="0.25">
      <c r="A1104" s="910"/>
      <c r="B1104" s="910"/>
      <c r="C1104" s="938"/>
      <c r="D1104" s="3089" t="s">
        <v>2092</v>
      </c>
      <c r="E1104" s="1648" t="s">
        <v>2093</v>
      </c>
      <c r="F1104" s="1084">
        <v>1</v>
      </c>
      <c r="G1104" s="4232" t="s">
        <v>2094</v>
      </c>
      <c r="H1104" s="4232"/>
      <c r="I1104" s="3203" t="s">
        <v>2095</v>
      </c>
      <c r="J1104" s="910"/>
      <c r="K1104" s="910"/>
      <c r="L1104" s="910"/>
      <c r="M1104" s="910"/>
      <c r="N1104" s="910"/>
      <c r="O1104" s="910"/>
      <c r="P1104" s="910"/>
      <c r="Q1104" s="910"/>
      <c r="R1104" s="910"/>
      <c r="S1104" s="910"/>
      <c r="T1104" s="910"/>
      <c r="U1104" s="910"/>
      <c r="V1104" s="3208" t="str">
        <f t="shared" si="147"/>
        <v>NSPD</v>
      </c>
      <c r="W1104" s="1095">
        <v>1</v>
      </c>
      <c r="X1104" s="1095">
        <v>1</v>
      </c>
      <c r="Y1104" s="1095">
        <v>1</v>
      </c>
      <c r="Z1104" s="1095">
        <v>1</v>
      </c>
      <c r="AA1104" s="1095">
        <v>1</v>
      </c>
      <c r="AB1104" s="1095">
        <v>1</v>
      </c>
      <c r="AC1104" s="1095">
        <v>1</v>
      </c>
      <c r="AD1104" s="967"/>
      <c r="AE1104" s="967"/>
      <c r="AF1104" s="967"/>
      <c r="AG1104" s="967"/>
      <c r="AK1104" s="1018"/>
      <c r="BB1104" s="906"/>
    </row>
    <row r="1105" spans="1:54" s="892" customFormat="1" ht="60" hidden="1" customHeight="1" outlineLevel="1" x14ac:dyDescent="0.25">
      <c r="A1105" s="910"/>
      <c r="B1105" s="910"/>
      <c r="C1105" s="938"/>
      <c r="D1105" s="3089">
        <v>365.25</v>
      </c>
      <c r="E1105" s="1648" t="s">
        <v>1976</v>
      </c>
      <c r="F1105" s="1705">
        <v>365</v>
      </c>
      <c r="G1105" s="3776" t="s">
        <v>587</v>
      </c>
      <c r="H1105" s="3776"/>
      <c r="I1105" s="3203" t="s">
        <v>2096</v>
      </c>
      <c r="J1105" s="910"/>
      <c r="K1105" s="910"/>
      <c r="L1105" s="910"/>
      <c r="M1105" s="910"/>
      <c r="N1105" s="910"/>
      <c r="O1105" s="910"/>
      <c r="P1105" s="910"/>
      <c r="Q1105" s="910"/>
      <c r="R1105" s="910"/>
      <c r="S1105" s="910"/>
      <c r="T1105" s="910"/>
      <c r="U1105" s="910"/>
      <c r="V1105" s="3208">
        <f t="shared" si="147"/>
        <v>365.25</v>
      </c>
      <c r="W1105" s="1083">
        <v>365</v>
      </c>
      <c r="X1105" s="1083">
        <v>365</v>
      </c>
      <c r="Y1105" s="1083">
        <v>365</v>
      </c>
      <c r="Z1105" s="1083">
        <v>365</v>
      </c>
      <c r="AA1105" s="1083">
        <v>365</v>
      </c>
      <c r="AB1105" s="1083">
        <v>365</v>
      </c>
      <c r="AC1105" s="1083">
        <v>365</v>
      </c>
      <c r="AD1105" s="968"/>
      <c r="AE1105" s="968"/>
      <c r="AF1105" s="968"/>
      <c r="AG1105" s="968"/>
      <c r="AK1105" s="1018"/>
      <c r="BB1105" s="906"/>
    </row>
    <row r="1106" spans="1:54" s="892" customFormat="1" ht="60" hidden="1" customHeight="1" outlineLevel="1" x14ac:dyDescent="0.25">
      <c r="A1106" s="910"/>
      <c r="B1106" s="910"/>
      <c r="C1106" s="938"/>
      <c r="D1106" s="3089">
        <v>8.33</v>
      </c>
      <c r="E1106" s="1648" t="s">
        <v>647</v>
      </c>
      <c r="F1106" s="1705">
        <v>8.33</v>
      </c>
      <c r="G1106" s="3867" t="s">
        <v>648</v>
      </c>
      <c r="H1106" s="3867"/>
      <c r="I1106" s="3203" t="s">
        <v>2096</v>
      </c>
      <c r="J1106" s="910"/>
      <c r="K1106" s="910"/>
      <c r="L1106" s="910"/>
      <c r="M1106" s="910"/>
      <c r="N1106" s="910"/>
      <c r="O1106" s="910"/>
      <c r="P1106" s="910" t="s">
        <v>2054</v>
      </c>
      <c r="Q1106" s="910"/>
      <c r="R1106" s="910"/>
      <c r="S1106" s="910"/>
      <c r="T1106" s="910"/>
      <c r="U1106" s="910"/>
      <c r="V1106" s="3208">
        <f t="shared" si="147"/>
        <v>8.33</v>
      </c>
      <c r="W1106" s="1083">
        <v>8.33</v>
      </c>
      <c r="X1106" s="1083">
        <v>8.33</v>
      </c>
      <c r="Y1106" s="1083">
        <v>8.33</v>
      </c>
      <c r="Z1106" s="1083">
        <v>8.33</v>
      </c>
      <c r="AA1106" s="1083">
        <v>8.33</v>
      </c>
      <c r="AB1106" s="1083">
        <v>8.33</v>
      </c>
      <c r="AC1106" s="1083">
        <v>8.33</v>
      </c>
      <c r="AD1106" s="968"/>
      <c r="AE1106" s="968"/>
      <c r="AF1106" s="968"/>
      <c r="AG1106" s="968"/>
      <c r="AK1106" s="1018"/>
      <c r="BB1106" s="906"/>
    </row>
    <row r="1107" spans="1:54" s="892" customFormat="1" ht="60" hidden="1" customHeight="1" outlineLevel="1" x14ac:dyDescent="0.25">
      <c r="A1107" s="910"/>
      <c r="B1107" s="910"/>
      <c r="C1107" s="938"/>
      <c r="D1107" s="3089">
        <v>1</v>
      </c>
      <c r="E1107" s="1648" t="s">
        <v>1978</v>
      </c>
      <c r="F1107" s="1705">
        <v>1</v>
      </c>
      <c r="G1107" s="3776" t="s">
        <v>650</v>
      </c>
      <c r="H1107" s="3776"/>
      <c r="I1107" s="3203" t="s">
        <v>2096</v>
      </c>
      <c r="J1107" s="910"/>
      <c r="K1107" s="910"/>
      <c r="L1107" s="910"/>
      <c r="M1107" s="910"/>
      <c r="N1107" s="910"/>
      <c r="O1107" s="910"/>
      <c r="P1107" s="910"/>
      <c r="Q1107" s="910"/>
      <c r="R1107" s="910"/>
      <c r="S1107" s="910"/>
      <c r="T1107" s="910"/>
      <c r="U1107" s="910"/>
      <c r="V1107" s="3208">
        <f t="shared" si="147"/>
        <v>1</v>
      </c>
      <c r="W1107" s="1083">
        <v>1</v>
      </c>
      <c r="X1107" s="1083">
        <v>1</v>
      </c>
      <c r="Y1107" s="1083">
        <v>1</v>
      </c>
      <c r="Z1107" s="1083">
        <v>1</v>
      </c>
      <c r="AA1107" s="1083">
        <v>1</v>
      </c>
      <c r="AB1107" s="1083">
        <v>1</v>
      </c>
      <c r="AC1107" s="1083">
        <v>1</v>
      </c>
      <c r="AD1107" s="968"/>
      <c r="AE1107" s="968"/>
      <c r="AF1107" s="968"/>
      <c r="AG1107" s="968"/>
      <c r="AK1107" s="1018"/>
      <c r="BB1107" s="906"/>
    </row>
    <row r="1108" spans="1:54" s="892" customFormat="1" ht="90" hidden="1" outlineLevel="1" x14ac:dyDescent="0.25">
      <c r="A1108" s="910"/>
      <c r="B1108" s="910"/>
      <c r="C1108" s="938"/>
      <c r="D1108" s="3089" t="s">
        <v>710</v>
      </c>
      <c r="E1108" s="1648" t="s">
        <v>1979</v>
      </c>
      <c r="F1108" s="1705">
        <v>105</v>
      </c>
      <c r="G1108" s="3776" t="s">
        <v>712</v>
      </c>
      <c r="H1108" s="3776"/>
      <c r="I1108" s="3203" t="s">
        <v>2088</v>
      </c>
      <c r="J1108" s="910"/>
      <c r="K1108" s="910"/>
      <c r="L1108" s="910"/>
      <c r="M1108" s="910"/>
      <c r="N1108" s="910"/>
      <c r="O1108" s="910"/>
      <c r="P1108" s="910"/>
      <c r="Q1108" s="910"/>
      <c r="R1108" s="910"/>
      <c r="S1108" s="910"/>
      <c r="T1108" s="910"/>
      <c r="U1108" s="910"/>
      <c r="V1108" s="3208" t="str">
        <f t="shared" si="147"/>
        <v>ShowerTemp</v>
      </c>
      <c r="W1108" s="1083">
        <v>105</v>
      </c>
      <c r="X1108" s="1083">
        <v>105</v>
      </c>
      <c r="Y1108" s="1083">
        <v>105</v>
      </c>
      <c r="Z1108" s="1083">
        <v>105</v>
      </c>
      <c r="AA1108" s="1083">
        <v>105</v>
      </c>
      <c r="AB1108" s="1083">
        <v>105</v>
      </c>
      <c r="AC1108" s="1083">
        <v>105</v>
      </c>
      <c r="AD1108" s="968"/>
      <c r="AE1108" s="968"/>
      <c r="AF1108" s="968"/>
      <c r="AG1108" s="968"/>
      <c r="AK1108" s="1018"/>
      <c r="BB1108" s="906"/>
    </row>
    <row r="1109" spans="1:54" s="892" customFormat="1" ht="60" hidden="1" customHeight="1" outlineLevel="1" x14ac:dyDescent="0.25">
      <c r="A1109" s="910"/>
      <c r="B1109" s="910"/>
      <c r="C1109" s="938"/>
      <c r="D1109" s="3089" t="s">
        <v>654</v>
      </c>
      <c r="E1109" s="1648" t="s">
        <v>1946</v>
      </c>
      <c r="F1109" s="1705">
        <v>61.3</v>
      </c>
      <c r="G1109" s="3776" t="s">
        <v>656</v>
      </c>
      <c r="H1109" s="3776"/>
      <c r="I1109" s="3203" t="s">
        <v>2096</v>
      </c>
      <c r="J1109" s="910"/>
      <c r="K1109" s="910"/>
      <c r="L1109" s="910"/>
      <c r="M1109" s="910"/>
      <c r="N1109" s="910"/>
      <c r="O1109" s="910"/>
      <c r="P1109" s="910"/>
      <c r="Q1109" s="910"/>
      <c r="R1109" s="910"/>
      <c r="S1109" s="910"/>
      <c r="T1109" s="910"/>
      <c r="U1109" s="910"/>
      <c r="V1109" s="3208" t="str">
        <f t="shared" si="147"/>
        <v>SupplyTemp</v>
      </c>
      <c r="W1109" s="1083">
        <v>61.3</v>
      </c>
      <c r="X1109" s="1083">
        <v>61.3</v>
      </c>
      <c r="Y1109" s="1083">
        <v>61.3</v>
      </c>
      <c r="Z1109" s="1083">
        <v>61.3</v>
      </c>
      <c r="AA1109" s="1083">
        <v>61.3</v>
      </c>
      <c r="AB1109" s="1083">
        <v>61.3</v>
      </c>
      <c r="AC1109" s="1083">
        <v>61.3</v>
      </c>
      <c r="AD1109" s="968"/>
      <c r="AE1109" s="968"/>
      <c r="AF1109" s="968"/>
      <c r="AG1109" s="968"/>
      <c r="AK1109" s="1018"/>
      <c r="BB1109" s="906"/>
    </row>
    <row r="1110" spans="1:54" s="892" customFormat="1" ht="30" hidden="1" customHeight="1" outlineLevel="1" x14ac:dyDescent="0.25">
      <c r="A1110" s="910"/>
      <c r="B1110" s="910"/>
      <c r="C1110" s="938"/>
      <c r="D1110" s="3089" t="s">
        <v>2055</v>
      </c>
      <c r="E1110" s="1648" t="s">
        <v>1947</v>
      </c>
      <c r="F1110" s="1705">
        <v>0.98</v>
      </c>
      <c r="G1110" s="4151" t="s">
        <v>1948</v>
      </c>
      <c r="H1110" s="4151"/>
      <c r="I1110" s="3203" t="s">
        <v>2088</v>
      </c>
      <c r="J1110" s="910"/>
      <c r="K1110" s="910"/>
      <c r="L1110" s="910"/>
      <c r="M1110" s="910"/>
      <c r="N1110" s="910"/>
      <c r="O1110" s="910"/>
      <c r="P1110" s="910"/>
      <c r="Q1110" s="910"/>
      <c r="R1110" s="910"/>
      <c r="S1110" s="910"/>
      <c r="T1110" s="910"/>
      <c r="U1110" s="910"/>
      <c r="V1110" s="3208" t="str">
        <f t="shared" si="147"/>
        <v>REelectric</v>
      </c>
      <c r="W1110" s="1083">
        <v>0.98</v>
      </c>
      <c r="X1110" s="1083">
        <v>0.98</v>
      </c>
      <c r="Y1110" s="1083">
        <v>0.98</v>
      </c>
      <c r="Z1110" s="1083">
        <v>0.98</v>
      </c>
      <c r="AA1110" s="1083">
        <v>0.98</v>
      </c>
      <c r="AB1110" s="1083">
        <v>0.98</v>
      </c>
      <c r="AC1110" s="1083">
        <v>0.98</v>
      </c>
      <c r="AD1110" s="968"/>
      <c r="AE1110" s="968"/>
      <c r="AF1110" s="968"/>
      <c r="AG1110" s="968"/>
      <c r="AK1110" s="1018"/>
      <c r="BB1110" s="906"/>
    </row>
    <row r="1111" spans="1:54" s="892" customFormat="1" ht="60" hidden="1" customHeight="1" outlineLevel="1" x14ac:dyDescent="0.25">
      <c r="A1111" s="910"/>
      <c r="B1111" s="1606"/>
      <c r="C1111" s="938"/>
      <c r="D1111" s="3089">
        <v>3412</v>
      </c>
      <c r="E1111" s="1648">
        <v>3412</v>
      </c>
      <c r="F1111" s="1718">
        <v>3412</v>
      </c>
      <c r="G1111" s="3867" t="s">
        <v>218</v>
      </c>
      <c r="H1111" s="3867"/>
      <c r="I1111" s="3203" t="s">
        <v>2056</v>
      </c>
      <c r="J1111" s="910"/>
      <c r="K1111" s="910"/>
      <c r="L1111" s="910"/>
      <c r="M1111" s="910"/>
      <c r="N1111" s="910"/>
      <c r="O1111" s="910"/>
      <c r="P1111" s="910"/>
      <c r="Q1111" s="910"/>
      <c r="R1111" s="910"/>
      <c r="S1111" s="910"/>
      <c r="T1111" s="910"/>
      <c r="U1111" s="910"/>
      <c r="V1111" s="3208">
        <f t="shared" si="147"/>
        <v>3412</v>
      </c>
      <c r="W1111" s="1086">
        <v>3412</v>
      </c>
      <c r="X1111" s="1086">
        <v>3412</v>
      </c>
      <c r="Y1111" s="1086">
        <v>3412</v>
      </c>
      <c r="Z1111" s="1086">
        <v>3412</v>
      </c>
      <c r="AA1111" s="1086">
        <v>3412</v>
      </c>
      <c r="AB1111" s="1086">
        <v>3412</v>
      </c>
      <c r="AC1111" s="1086">
        <v>3412</v>
      </c>
      <c r="AD1111" s="1044"/>
      <c r="AE1111" s="1044"/>
      <c r="AF1111" s="1044"/>
      <c r="AG1111" s="1044"/>
      <c r="AK1111" s="1018"/>
      <c r="BB1111" s="906"/>
    </row>
    <row r="1112" spans="1:54" s="892" customFormat="1" ht="60" hidden="1" customHeight="1" outlineLevel="1" x14ac:dyDescent="0.25">
      <c r="A1112" s="910"/>
      <c r="B1112" s="1606"/>
      <c r="C1112" s="938"/>
      <c r="D1112" s="3089" t="s">
        <v>531</v>
      </c>
      <c r="E1112" s="3089" t="s">
        <v>595</v>
      </c>
      <c r="F1112" s="1087">
        <v>1</v>
      </c>
      <c r="G1112" s="3867" t="s">
        <v>600</v>
      </c>
      <c r="H1112" s="3867"/>
      <c r="I1112" s="3203" t="s">
        <v>1816</v>
      </c>
      <c r="J1112" s="910"/>
      <c r="K1112" s="910"/>
      <c r="L1112" s="910"/>
      <c r="M1112" s="910"/>
      <c r="N1112" s="910"/>
      <c r="O1112" s="910"/>
      <c r="P1112" s="910"/>
      <c r="Q1112" s="910"/>
      <c r="R1112" s="910"/>
      <c r="S1112" s="910"/>
      <c r="T1112" s="910"/>
      <c r="U1112" s="910"/>
      <c r="V1112" s="3208" t="str">
        <f t="shared" si="147"/>
        <v>Utility Adjustment</v>
      </c>
      <c r="W1112" s="1081">
        <v>1</v>
      </c>
      <c r="X1112" s="1081">
        <v>1</v>
      </c>
      <c r="Y1112" s="1081">
        <v>1</v>
      </c>
      <c r="Z1112" s="1081">
        <v>1</v>
      </c>
      <c r="AA1112" s="1081">
        <v>1</v>
      </c>
      <c r="AB1112" s="1081">
        <v>1</v>
      </c>
      <c r="AC1112" s="1081">
        <v>1</v>
      </c>
      <c r="AD1112" s="966"/>
      <c r="AE1112" s="966"/>
      <c r="AF1112" s="966"/>
      <c r="AG1112" s="966"/>
      <c r="AK1112" s="1018"/>
      <c r="BB1112" s="906"/>
    </row>
    <row r="1113" spans="1:54" s="892" customFormat="1" ht="60" hidden="1" customHeight="1" outlineLevel="1" x14ac:dyDescent="0.25">
      <c r="A1113" s="910"/>
      <c r="B1113" s="1606"/>
      <c r="C1113" s="3159"/>
      <c r="D1113" s="3089" t="s">
        <v>133</v>
      </c>
      <c r="E1113" s="1648" t="s">
        <v>1817</v>
      </c>
      <c r="F1113" s="1719">
        <v>0.97699999999999998</v>
      </c>
      <c r="G1113" s="4151" t="s">
        <v>702</v>
      </c>
      <c r="H1113" s="4151"/>
      <c r="I1113" s="3099" t="s">
        <v>674</v>
      </c>
      <c r="J1113" s="910"/>
      <c r="K1113" s="910"/>
      <c r="L1113" s="910"/>
      <c r="M1113" s="910"/>
      <c r="N1113" s="910"/>
      <c r="O1113" s="910"/>
      <c r="P1113" s="910"/>
      <c r="Q1113" s="910"/>
      <c r="R1113" s="910"/>
      <c r="S1113" s="910"/>
      <c r="T1113" s="910"/>
      <c r="U1113" s="910"/>
      <c r="V1113" s="3208" t="str">
        <f t="shared" si="147"/>
        <v>ISR</v>
      </c>
      <c r="W1113" s="1105">
        <v>0.97699999999999998</v>
      </c>
      <c r="X1113" s="1105">
        <v>0.97699999999999998</v>
      </c>
      <c r="Y1113" s="1105">
        <v>0.97699999999999998</v>
      </c>
      <c r="Z1113" s="1105">
        <v>0.97699999999999998</v>
      </c>
      <c r="AA1113" s="1105">
        <v>0.97699999999999998</v>
      </c>
      <c r="AB1113" s="1105">
        <v>0.97699999999999998</v>
      </c>
      <c r="AC1113" s="1105">
        <v>0.97699999999999998</v>
      </c>
      <c r="AD1113" s="1049"/>
      <c r="AE1113" s="1049"/>
      <c r="AF1113" s="1049"/>
      <c r="AG1113" s="1049"/>
      <c r="AK1113" s="1018"/>
      <c r="BB1113" s="906"/>
    </row>
    <row r="1114" spans="1:54" s="892" customFormat="1" hidden="1" outlineLevel="1" x14ac:dyDescent="0.25">
      <c r="A1114" s="910"/>
      <c r="B1114" s="1606"/>
      <c r="C1114" s="3159"/>
      <c r="D1114" s="3192" t="str">
        <f>D1081</f>
        <v>EUL</v>
      </c>
      <c r="E1114" s="3192" t="str">
        <f>E1081</f>
        <v>Effective Useful Life (All)</v>
      </c>
      <c r="F1114" s="1088">
        <v>10</v>
      </c>
      <c r="G1114" s="4151"/>
      <c r="H1114" s="4151"/>
      <c r="I1114" s="3124"/>
      <c r="J1114" s="910"/>
      <c r="K1114" s="910"/>
      <c r="L1114" s="910"/>
      <c r="M1114" s="910"/>
      <c r="N1114" s="910"/>
      <c r="O1114" s="910"/>
      <c r="P1114" s="910"/>
      <c r="Q1114" s="910"/>
      <c r="R1114" s="910"/>
      <c r="S1114" s="910"/>
      <c r="T1114" s="910"/>
      <c r="U1114" s="910"/>
      <c r="V1114" s="3208" t="str">
        <f t="shared" si="147"/>
        <v>EUL</v>
      </c>
      <c r="W1114" s="969">
        <v>10</v>
      </c>
      <c r="X1114" s="969">
        <v>10</v>
      </c>
      <c r="Y1114" s="969">
        <v>10</v>
      </c>
      <c r="Z1114" s="969">
        <v>10</v>
      </c>
      <c r="AA1114" s="969">
        <v>10</v>
      </c>
      <c r="AB1114" s="969">
        <v>10</v>
      </c>
      <c r="AC1114" s="969">
        <v>10</v>
      </c>
      <c r="AD1114" s="1052"/>
      <c r="AE1114" s="1052"/>
      <c r="AF1114" s="1052"/>
      <c r="AG1114" s="1052"/>
      <c r="AK1114" s="1018"/>
      <c r="BB1114" s="906"/>
    </row>
    <row r="1115" spans="1:54" s="892" customFormat="1" hidden="1" outlineLevel="1" x14ac:dyDescent="0.25">
      <c r="A1115" s="910"/>
      <c r="B1115" s="1606"/>
      <c r="C1115" s="3159"/>
      <c r="D1115" s="4156" t="str">
        <f>D1082</f>
        <v>Inc. Cost</v>
      </c>
      <c r="E1115" s="3192" t="str">
        <f>E1082</f>
        <v>Incremental Cost - Non-DI</v>
      </c>
      <c r="F1115" s="1089">
        <v>7</v>
      </c>
      <c r="G1115" s="4151"/>
      <c r="H1115" s="4151"/>
      <c r="I1115" s="3124"/>
      <c r="J1115" s="910"/>
      <c r="K1115" s="910"/>
      <c r="L1115" s="910"/>
      <c r="M1115" s="910"/>
      <c r="N1115" s="910"/>
      <c r="O1115" s="910"/>
      <c r="P1115" s="910"/>
      <c r="Q1115" s="910"/>
      <c r="R1115" s="910"/>
      <c r="S1115" s="910"/>
      <c r="T1115" s="910"/>
      <c r="U1115" s="910"/>
      <c r="V1115" s="4230" t="str">
        <f>D1115</f>
        <v>Inc. Cost</v>
      </c>
      <c r="W1115" s="1053">
        <v>7</v>
      </c>
      <c r="X1115" s="1053">
        <v>7</v>
      </c>
      <c r="Y1115" s="1053">
        <v>7</v>
      </c>
      <c r="Z1115" s="1053">
        <v>7</v>
      </c>
      <c r="AA1115" s="1053">
        <v>7</v>
      </c>
      <c r="AB1115" s="1053">
        <v>7</v>
      </c>
      <c r="AC1115" s="1053">
        <v>7</v>
      </c>
      <c r="AD1115" s="1054"/>
      <c r="AE1115" s="1054"/>
      <c r="AF1115" s="1054"/>
      <c r="AG1115" s="1054"/>
      <c r="AK1115" s="1018"/>
      <c r="BB1115" s="906"/>
    </row>
    <row r="1116" spans="1:54" s="892" customFormat="1" hidden="1" outlineLevel="1" x14ac:dyDescent="0.25">
      <c r="A1116" s="910"/>
      <c r="B1116" s="1606"/>
      <c r="C1116" s="3159"/>
      <c r="D1116" s="4157"/>
      <c r="E1116" s="3192" t="str">
        <f>E1083</f>
        <v>Incremental Cost - Direct Install (DI)</v>
      </c>
      <c r="F1116" s="1089">
        <v>7</v>
      </c>
      <c r="G1116" s="4151"/>
      <c r="H1116" s="4151"/>
      <c r="I1116" s="3124"/>
      <c r="J1116" s="910"/>
      <c r="K1116" s="910"/>
      <c r="L1116" s="910"/>
      <c r="M1116" s="910"/>
      <c r="N1116" s="910"/>
      <c r="O1116" s="910"/>
      <c r="P1116" s="910"/>
      <c r="Q1116" s="910"/>
      <c r="R1116" s="910"/>
      <c r="S1116" s="910"/>
      <c r="T1116" s="910"/>
      <c r="U1116" s="910"/>
      <c r="V1116" s="4231"/>
      <c r="W1116" s="1053">
        <v>7</v>
      </c>
      <c r="X1116" s="1053">
        <v>7</v>
      </c>
      <c r="Y1116" s="1053">
        <v>7</v>
      </c>
      <c r="Z1116" s="1053">
        <v>7</v>
      </c>
      <c r="AA1116" s="1053">
        <v>7</v>
      </c>
      <c r="AB1116" s="1053">
        <v>7</v>
      </c>
      <c r="AC1116" s="1053">
        <v>7</v>
      </c>
      <c r="AD1116" s="1054"/>
      <c r="AE1116" s="1054"/>
      <c r="AF1116" s="1054"/>
      <c r="AG1116" s="1054"/>
      <c r="AK1116" s="1018"/>
      <c r="BB1116" s="906"/>
    </row>
    <row r="1117" spans="1:54" s="892" customFormat="1" collapsed="1" x14ac:dyDescent="0.25">
      <c r="A1117" s="910"/>
      <c r="B1117" s="1606"/>
      <c r="C1117" s="3159"/>
      <c r="D1117" s="1237"/>
      <c r="E1117" s="3225"/>
      <c r="F1117" s="1720"/>
      <c r="G1117" s="1721"/>
      <c r="H1117" s="910"/>
      <c r="I1117" s="910"/>
      <c r="J1117" s="910"/>
      <c r="K1117" s="910"/>
      <c r="L1117" s="910"/>
      <c r="M1117" s="910"/>
      <c r="N1117" s="910"/>
      <c r="O1117" s="910"/>
      <c r="P1117" s="910"/>
      <c r="Q1117" s="910"/>
      <c r="R1117" s="910"/>
      <c r="S1117" s="910"/>
      <c r="T1117" s="910"/>
      <c r="U1117" s="910"/>
      <c r="X1117" s="910"/>
      <c r="Y1117" s="1748" t="s">
        <v>2084</v>
      </c>
      <c r="Z1117" s="957"/>
      <c r="AA1117" s="1100"/>
      <c r="AK1117" s="1018"/>
      <c r="BB1117" s="906"/>
    </row>
    <row r="1118" spans="1:54" s="892" customFormat="1" ht="15" customHeight="1" x14ac:dyDescent="0.25">
      <c r="A1118" s="910"/>
      <c r="B1118" s="1606"/>
      <c r="C1118" s="907"/>
      <c r="D1118" s="429"/>
      <c r="E1118" s="429"/>
      <c r="F1118" s="910"/>
      <c r="G1118" s="910"/>
      <c r="H1118" s="910"/>
      <c r="I1118" s="910"/>
      <c r="J1118" s="910"/>
      <c r="K1118" s="910"/>
      <c r="L1118" s="910"/>
      <c r="M1118" s="910"/>
      <c r="N1118" s="910"/>
      <c r="O1118" s="910"/>
      <c r="P1118" s="910"/>
      <c r="Q1118" s="910"/>
      <c r="R1118" s="910"/>
      <c r="S1118" s="910"/>
      <c r="T1118" s="910"/>
      <c r="U1118" s="910"/>
      <c r="Y1118" s="911"/>
      <c r="AK1118" s="1018"/>
      <c r="BB1118" s="906"/>
    </row>
    <row r="1119" spans="1:54" s="892" customFormat="1" ht="15" customHeight="1" x14ac:dyDescent="0.25">
      <c r="A1119" s="123"/>
      <c r="B1119" s="3750" t="s">
        <v>52</v>
      </c>
      <c r="C1119" s="3751"/>
      <c r="D1119" s="3751"/>
      <c r="E1119" s="3751"/>
      <c r="F1119" s="3751"/>
      <c r="G1119" s="3751"/>
      <c r="H1119" s="3751"/>
      <c r="I1119" s="3744"/>
      <c r="J1119" s="3744"/>
      <c r="K1119" s="3744"/>
      <c r="L1119" s="3744"/>
      <c r="M1119" s="3744"/>
      <c r="N1119" s="3744"/>
      <c r="O1119" s="3744"/>
      <c r="P1119" s="3744"/>
      <c r="Q1119" s="3744"/>
      <c r="R1119" s="3745"/>
      <c r="S1119" s="910"/>
      <c r="T1119" s="910"/>
      <c r="U1119" s="910"/>
      <c r="V1119" s="3750" t="str">
        <f>B1119</f>
        <v>Lighting</v>
      </c>
      <c r="W1119" s="3751"/>
      <c r="X1119" s="3751"/>
      <c r="Y1119" s="3751"/>
      <c r="Z1119" s="3751"/>
      <c r="AA1119" s="3751"/>
      <c r="AB1119" s="3751"/>
      <c r="AC1119" s="4228"/>
      <c r="AD1119" s="4228"/>
      <c r="AE1119" s="4228"/>
      <c r="AF1119" s="4228"/>
      <c r="AG1119" s="4228"/>
      <c r="AH1119" s="4228"/>
      <c r="AI1119" s="4229"/>
      <c r="AK1119" s="1018"/>
      <c r="BB1119" s="906"/>
    </row>
    <row r="1120" spans="1:54" s="892" customFormat="1" x14ac:dyDescent="0.25">
      <c r="A1120" s="910"/>
      <c r="B1120" s="123"/>
      <c r="C1120" s="328"/>
      <c r="D1120" s="329"/>
      <c r="E1120" s="329"/>
      <c r="F1120" s="576" t="s">
        <v>27</v>
      </c>
      <c r="G1120" s="123"/>
      <c r="H1120" s="123"/>
      <c r="I1120" s="123"/>
      <c r="J1120" s="123"/>
      <c r="K1120" s="123"/>
      <c r="L1120" s="123"/>
      <c r="M1120" s="123"/>
      <c r="N1120" s="123"/>
      <c r="O1120" s="123"/>
      <c r="P1120" s="910"/>
      <c r="Q1120" s="910"/>
      <c r="R1120" s="910"/>
      <c r="S1120" s="910"/>
      <c r="T1120" s="910"/>
      <c r="U1120" s="910"/>
      <c r="Y1120" s="911"/>
      <c r="AK1120" s="1018"/>
      <c r="BB1120" s="906"/>
    </row>
    <row r="1121" spans="1:57" s="892" customFormat="1" x14ac:dyDescent="0.25">
      <c r="A1121" s="123"/>
      <c r="B1121" s="123"/>
      <c r="C1121" s="4068" t="s">
        <v>28</v>
      </c>
      <c r="D1121" s="4068" t="s">
        <v>175</v>
      </c>
      <c r="E1121" s="4068" t="s">
        <v>30</v>
      </c>
      <c r="F1121" s="4068" t="s">
        <v>31</v>
      </c>
      <c r="G1121" s="4068" t="s">
        <v>33</v>
      </c>
      <c r="H1121" s="4068" t="s">
        <v>34</v>
      </c>
      <c r="I1121" s="4068" t="s">
        <v>35</v>
      </c>
      <c r="J1121" s="4068" t="s">
        <v>36</v>
      </c>
      <c r="K1121" s="4068" t="s">
        <v>37</v>
      </c>
      <c r="L1121" s="4068" t="s">
        <v>38</v>
      </c>
      <c r="M1121" s="4068" t="s">
        <v>32</v>
      </c>
      <c r="N1121" s="4068" t="s">
        <v>41</v>
      </c>
      <c r="O1121" s="4068" t="s">
        <v>42</v>
      </c>
      <c r="P1121" s="3923" t="s">
        <v>43</v>
      </c>
      <c r="Q1121" s="3924"/>
      <c r="R1121" s="4068" t="s">
        <v>44</v>
      </c>
      <c r="S1121" s="910"/>
      <c r="T1121" s="910"/>
      <c r="U1121" s="910"/>
      <c r="Y1121" s="911"/>
      <c r="AK1121" s="1018"/>
      <c r="BB1121" s="906"/>
    </row>
    <row r="1122" spans="1:57" s="892" customFormat="1" ht="30" x14ac:dyDescent="0.25">
      <c r="A1122" s="123"/>
      <c r="B1122" s="123"/>
      <c r="C1122" s="4227"/>
      <c r="D1122" s="4227"/>
      <c r="E1122" s="4227"/>
      <c r="F1122" s="4227"/>
      <c r="G1122" s="4227"/>
      <c r="H1122" s="4227"/>
      <c r="I1122" s="4227"/>
      <c r="J1122" s="4227"/>
      <c r="K1122" s="4227"/>
      <c r="L1122" s="4227"/>
      <c r="M1122" s="4227"/>
      <c r="N1122" s="4227"/>
      <c r="O1122" s="4227"/>
      <c r="P1122" s="3161" t="s">
        <v>320</v>
      </c>
      <c r="Q1122" s="3161" t="s">
        <v>322</v>
      </c>
      <c r="R1122" s="4227"/>
      <c r="S1122" s="910"/>
      <c r="T1122" s="910"/>
      <c r="U1122" s="910"/>
      <c r="V1122" s="1936" t="s">
        <v>45</v>
      </c>
      <c r="W1122" s="1937">
        <f t="shared" ref="W1122:AG1122" si="148">W6</f>
        <v>43252</v>
      </c>
      <c r="X1122" s="1937">
        <f t="shared" si="148"/>
        <v>43465</v>
      </c>
      <c r="Y1122" s="1937">
        <f t="shared" si="148"/>
        <v>43800</v>
      </c>
      <c r="Z1122" s="1937">
        <f t="shared" si="148"/>
        <v>43862</v>
      </c>
      <c r="AA1122" s="1937">
        <f t="shared" si="148"/>
        <v>44013</v>
      </c>
      <c r="AB1122" s="1937">
        <f t="shared" si="148"/>
        <v>44166</v>
      </c>
      <c r="AC1122" s="1937">
        <f t="shared" si="148"/>
        <v>44531</v>
      </c>
      <c r="AD1122" s="1937" t="str">
        <f t="shared" si="148"/>
        <v>-</v>
      </c>
      <c r="AE1122" s="1937" t="str">
        <f t="shared" si="148"/>
        <v>-</v>
      </c>
      <c r="AF1122" s="1937" t="str">
        <f t="shared" si="148"/>
        <v>-</v>
      </c>
      <c r="AG1122" s="1937" t="str">
        <f t="shared" si="148"/>
        <v>-</v>
      </c>
      <c r="AK1122" s="1018"/>
      <c r="BB1122" s="1938" t="str">
        <f>$BB$6</f>
        <v>TRC (2020)</v>
      </c>
      <c r="BC1122" s="1953" t="str">
        <f>$BC$6</f>
        <v>Benefit Lookup</v>
      </c>
      <c r="BD1122" s="665" t="str">
        <f>$BD$6</f>
        <v>Benefits (2019 $)</v>
      </c>
      <c r="BE1122" s="230" t="str">
        <f>$BE$6</f>
        <v>Incremental Cost (2019 $)</v>
      </c>
    </row>
    <row r="1123" spans="1:57" s="892" customFormat="1" x14ac:dyDescent="0.25">
      <c r="A1123" s="123"/>
      <c r="B1123" s="123"/>
      <c r="C1123" s="63" t="s">
        <v>2097</v>
      </c>
      <c r="D1123" s="1174" t="s">
        <v>2098</v>
      </c>
      <c r="E1123" s="3121" t="s">
        <v>2099</v>
      </c>
      <c r="F1123" s="105">
        <f>ROUND(K1123+L1123,2)</f>
        <v>23.59</v>
      </c>
      <c r="G1123" s="1106" t="s">
        <v>54</v>
      </c>
      <c r="H1123" s="155">
        <f>VLOOKUP(G1123,'CP FACTORS'!$A$3:$B$38, 2, FALSE)</f>
        <v>1.4925290000000001E-4</v>
      </c>
      <c r="I1123" s="1106" t="s">
        <v>55</v>
      </c>
      <c r="J1123" s="155">
        <f>VLOOKUP(I1123,'CP FACTORS'!$A$3:$B$38, 2, FALSE)</f>
        <v>1.899635E-4</v>
      </c>
      <c r="K1123" s="108">
        <f t="shared" ref="K1123:K1144" si="149">((F1159-F1184)*$F$1218*$F$1209*(1-$F$1211)*($F$1212*$F$1214)/1000)</f>
        <v>23.592389036958835</v>
      </c>
      <c r="L1123" s="1427">
        <f t="shared" ref="L1123:L1144" si="150">((F1159-F1184)*(1-$F$1218)*$F$1209*(1-$F$1211)*($F$1215*$F$1217)/1000)</f>
        <v>0</v>
      </c>
      <c r="M1123" s="106">
        <f>ROUND(((K1123/F1123)*H1123+(L1123/F1123)*J1123)*F1123,6)</f>
        <v>3.5209999999999998E-3</v>
      </c>
      <c r="N1123" s="108">
        <v>19</v>
      </c>
      <c r="O1123" s="2718">
        <f t="shared" ref="O1123:O1147" si="151">20000/3351</f>
        <v>5.9683676514473287</v>
      </c>
      <c r="P1123" s="1107">
        <f t="shared" ref="P1123:P1144" si="152">F1228</f>
        <v>6</v>
      </c>
      <c r="Q1123" s="1108">
        <f t="shared" ref="Q1123:Q1144" si="153">G1228</f>
        <v>3.3</v>
      </c>
      <c r="R1123" s="2667" t="s">
        <v>185</v>
      </c>
      <c r="S1123" s="910"/>
      <c r="T1123" s="910"/>
      <c r="U1123" s="910"/>
      <c r="V1123" s="1016" t="str">
        <f>F1121</f>
        <v>kWh Annual Savings</v>
      </c>
      <c r="W1123" s="1056">
        <v>23.12165583413233</v>
      </c>
      <c r="X1123" s="1109">
        <v>23.769345599999998</v>
      </c>
      <c r="Y1123" s="1951">
        <v>23.59</v>
      </c>
      <c r="Z1123" s="62">
        <v>23.59</v>
      </c>
      <c r="AA1123" s="62">
        <v>23.59</v>
      </c>
      <c r="AB1123" s="1123">
        <v>23.59</v>
      </c>
      <c r="AC1123" s="105">
        <v>23.59</v>
      </c>
      <c r="AD1123" s="1016"/>
      <c r="AE1123" s="1016"/>
      <c r="AF1123" s="1016"/>
      <c r="AG1123" s="1016"/>
      <c r="AH1123" s="394"/>
      <c r="AK1123" s="1018"/>
      <c r="BB1123" s="1019">
        <f t="shared" ref="BB1123:BB1140" si="154">(BD1123)/(BE1123)</f>
        <v>2.440174293837051</v>
      </c>
      <c r="BC1123" s="3565" t="str">
        <f>CONCATENATE(G1123," ",N1123," Year EUL")</f>
        <v>Lighting RES 19 Year EUL</v>
      </c>
      <c r="BD1123" s="111">
        <f>(INDEX('Avoided Cost Benefits'!$C$4:$C$857,MATCH(BC1123,'Avoided Cost Benefits'!$A$4:$A$857,0)))*F1123</f>
        <v>13.818825637585942</v>
      </c>
      <c r="BE1123" s="1020">
        <f>P1123/(1.0595^(2020-2019))</f>
        <v>5.6630486078338835</v>
      </c>
    </row>
    <row r="1124" spans="1:57" s="892" customFormat="1" x14ac:dyDescent="0.25">
      <c r="A1124" s="123"/>
      <c r="B1124" s="123"/>
      <c r="C1124" s="63" t="s">
        <v>2100</v>
      </c>
      <c r="D1124" s="1174" t="s">
        <v>2098</v>
      </c>
      <c r="E1124" s="3121" t="s">
        <v>2101</v>
      </c>
      <c r="F1124" s="105">
        <f t="shared" ref="F1124:F1147" si="155">ROUND(K1124+L1124,2)</f>
        <v>22.22</v>
      </c>
      <c r="G1124" s="1106" t="s">
        <v>54</v>
      </c>
      <c r="H1124" s="155">
        <f>VLOOKUP(G1124,'CP FACTORS'!$A$3:$B$38, 2, FALSE)</f>
        <v>1.4925290000000001E-4</v>
      </c>
      <c r="I1124" s="1106" t="s">
        <v>55</v>
      </c>
      <c r="J1124" s="155">
        <f>VLOOKUP(I1124,'CP FACTORS'!$A$3:$B$38, 2, FALSE)</f>
        <v>1.899635E-4</v>
      </c>
      <c r="K1124" s="108">
        <f t="shared" si="149"/>
        <v>22.216166343136237</v>
      </c>
      <c r="L1124" s="1427">
        <f t="shared" si="150"/>
        <v>0</v>
      </c>
      <c r="M1124" s="106">
        <f t="shared" ref="M1124:M1144" si="156">ROUND(((K1124/F1124)*H1124+(L1124/F1124)*J1124)*F1124,6)</f>
        <v>3.3159999999999999E-3</v>
      </c>
      <c r="N1124" s="108">
        <v>19</v>
      </c>
      <c r="O1124" s="2718">
        <f t="shared" si="151"/>
        <v>5.9683676514473287</v>
      </c>
      <c r="P1124" s="1107">
        <f t="shared" si="152"/>
        <v>6</v>
      </c>
      <c r="Q1124" s="1108">
        <f t="shared" si="153"/>
        <v>3.68</v>
      </c>
      <c r="R1124" s="2667" t="s">
        <v>185</v>
      </c>
      <c r="S1124" s="910"/>
      <c r="T1124" s="910"/>
      <c r="U1124" s="910"/>
      <c r="V1124" s="1016" t="str">
        <f>V1123</f>
        <v>kWh Annual Savings</v>
      </c>
      <c r="W1124" s="1056">
        <v>20.693881971548436</v>
      </c>
      <c r="X1124" s="1109">
        <v>22.524950447999998</v>
      </c>
      <c r="Y1124" s="1951">
        <v>21.12</v>
      </c>
      <c r="Z1124" s="62">
        <v>21.12</v>
      </c>
      <c r="AA1124" s="62">
        <v>21.12</v>
      </c>
      <c r="AB1124" s="1951">
        <v>22.22</v>
      </c>
      <c r="AC1124" s="105">
        <v>22.22</v>
      </c>
      <c r="AD1124" s="1016"/>
      <c r="AE1124" s="1016"/>
      <c r="AF1124" s="1016"/>
      <c r="AG1124" s="1016"/>
      <c r="AH1124" s="394"/>
      <c r="AK1124" s="1018"/>
      <c r="BB1124" s="1022">
        <f t="shared" si="154"/>
        <v>2.298460059731211</v>
      </c>
      <c r="BC1124" s="1948" t="str">
        <f t="shared" ref="BC1124:BC1140" si="157">CONCATENATE(G1124," ",N1124," Year EUL")</f>
        <v>Lighting RES 19 Year EUL</v>
      </c>
      <c r="BD1124" s="114">
        <f>(INDEX('Avoided Cost Benefits'!$C$4:$C$857,MATCH(BC1124,'Avoided Cost Benefits'!$A$4:$A$857,0)))*F1124</f>
        <v>13.016291041422619</v>
      </c>
      <c r="BE1124" s="1023">
        <f t="shared" ref="BE1124:BE1140" si="158">P1124/(1.0595^(2020-2019))</f>
        <v>5.6630486078338835</v>
      </c>
    </row>
    <row r="1125" spans="1:57" s="892" customFormat="1" x14ac:dyDescent="0.25">
      <c r="A1125" s="123"/>
      <c r="B1125" s="123"/>
      <c r="C1125" s="63" t="s">
        <v>2102</v>
      </c>
      <c r="D1125" s="1174" t="s">
        <v>2098</v>
      </c>
      <c r="E1125" s="3121" t="s">
        <v>2103</v>
      </c>
      <c r="F1125" s="105">
        <f t="shared" si="155"/>
        <v>22.95</v>
      </c>
      <c r="G1125" s="1106" t="s">
        <v>54</v>
      </c>
      <c r="H1125" s="155">
        <f>VLOOKUP(G1125,'CP FACTORS'!$A$3:$B$38, 2, FALSE)</f>
        <v>1.4925290000000001E-4</v>
      </c>
      <c r="I1125" s="1106" t="s">
        <v>55</v>
      </c>
      <c r="J1125" s="155">
        <f>VLOOKUP(I1125,'CP FACTORS'!$A$3:$B$38, 2, FALSE)</f>
        <v>1.899635E-4</v>
      </c>
      <c r="K1125" s="108">
        <f t="shared" si="149"/>
        <v>22.950151779841622</v>
      </c>
      <c r="L1125" s="1427">
        <f t="shared" si="150"/>
        <v>0</v>
      </c>
      <c r="M1125" s="106">
        <f t="shared" si="156"/>
        <v>3.4250000000000001E-3</v>
      </c>
      <c r="N1125" s="108">
        <v>19</v>
      </c>
      <c r="O1125" s="2718">
        <f t="shared" si="151"/>
        <v>5.9683676514473287</v>
      </c>
      <c r="P1125" s="1107">
        <f t="shared" si="152"/>
        <v>6</v>
      </c>
      <c r="Q1125" s="1108">
        <f t="shared" si="153"/>
        <v>4.72</v>
      </c>
      <c r="R1125" s="2667" t="s">
        <v>185</v>
      </c>
      <c r="S1125" s="910"/>
      <c r="T1125" s="910"/>
      <c r="U1125" s="910"/>
      <c r="V1125" s="1016" t="str">
        <f t="shared" ref="V1125:V1147" si="159">V1124</f>
        <v>kWh Annual Savings</v>
      </c>
      <c r="W1125" s="1056">
        <v>27.938667466243238</v>
      </c>
      <c r="X1125" s="1109">
        <v>24.482425967999998</v>
      </c>
      <c r="Y1125" s="1951">
        <v>22.95</v>
      </c>
      <c r="Z1125" s="62">
        <v>22.95</v>
      </c>
      <c r="AA1125" s="62">
        <v>22.95</v>
      </c>
      <c r="AB1125" s="1123">
        <v>22.95</v>
      </c>
      <c r="AC1125" s="105">
        <v>22.95</v>
      </c>
      <c r="AD1125" s="1016"/>
      <c r="AE1125" s="1016"/>
      <c r="AF1125" s="1016"/>
      <c r="AG1125" s="1016"/>
      <c r="AH1125" s="394"/>
      <c r="AK1125" s="1018"/>
      <c r="BB1125" s="1022">
        <f t="shared" si="154"/>
        <v>2.3739720238897974</v>
      </c>
      <c r="BC1125" s="1948" t="str">
        <f t="shared" si="157"/>
        <v>Lighting RES 19 Year EUL</v>
      </c>
      <c r="BD1125" s="114">
        <f>(INDEX('Avoided Cost Benefits'!$C$4:$C$857,MATCH(BC1125,'Avoided Cost Benefits'!$A$4:$A$857,0)))*F1125</f>
        <v>13.443918964925704</v>
      </c>
      <c r="BE1125" s="1023">
        <f t="shared" si="158"/>
        <v>5.6630486078338835</v>
      </c>
    </row>
    <row r="1126" spans="1:57" s="892" customFormat="1" x14ac:dyDescent="0.25">
      <c r="A1126" s="123"/>
      <c r="B1126" s="123"/>
      <c r="C1126" s="63" t="s">
        <v>2104</v>
      </c>
      <c r="D1126" s="1174" t="s">
        <v>2098</v>
      </c>
      <c r="E1126" s="3121" t="s">
        <v>2105</v>
      </c>
      <c r="F1126" s="105">
        <f t="shared" si="155"/>
        <v>27.52</v>
      </c>
      <c r="G1126" s="1106" t="s">
        <v>54</v>
      </c>
      <c r="H1126" s="155">
        <f>VLOOKUP(G1126,'CP FACTORS'!$A$3:$B$38, 2, FALSE)</f>
        <v>1.4925290000000001E-4</v>
      </c>
      <c r="I1126" s="1106" t="s">
        <v>55</v>
      </c>
      <c r="J1126" s="155">
        <f>VLOOKUP(I1126,'CP FACTORS'!$A$3:$B$38, 2, FALSE)</f>
        <v>1.899635E-4</v>
      </c>
      <c r="K1126" s="108">
        <f t="shared" si="149"/>
        <v>27.524453876451972</v>
      </c>
      <c r="L1126" s="1427">
        <f t="shared" si="150"/>
        <v>0</v>
      </c>
      <c r="M1126" s="106">
        <f t="shared" si="156"/>
        <v>4.1079999999999997E-3</v>
      </c>
      <c r="N1126" s="108">
        <v>19</v>
      </c>
      <c r="O1126" s="2718">
        <f t="shared" si="151"/>
        <v>5.9683676514473287</v>
      </c>
      <c r="P1126" s="1107">
        <f t="shared" si="152"/>
        <v>6</v>
      </c>
      <c r="Q1126" s="1108">
        <f t="shared" si="153"/>
        <v>3.53</v>
      </c>
      <c r="R1126" s="2667" t="s">
        <v>185</v>
      </c>
      <c r="S1126" s="910"/>
      <c r="T1126" s="910"/>
      <c r="U1126" s="910"/>
      <c r="V1126" s="1016" t="str">
        <f t="shared" si="159"/>
        <v>kWh Annual Savings</v>
      </c>
      <c r="W1126" s="1056">
        <v>42.871403525787038</v>
      </c>
      <c r="X1126" s="881">
        <v>46.853574768000001</v>
      </c>
      <c r="Y1126" s="549">
        <v>27.52</v>
      </c>
      <c r="Z1126" s="65">
        <v>27.52</v>
      </c>
      <c r="AA1126" s="65">
        <v>27.52</v>
      </c>
      <c r="AB1126" s="1123">
        <v>27.52</v>
      </c>
      <c r="AC1126" s="105">
        <v>27.52</v>
      </c>
      <c r="AD1126" s="1016"/>
      <c r="AE1126" s="1016"/>
      <c r="AF1126" s="1016"/>
      <c r="AG1126" s="1016"/>
      <c r="AH1126" s="394"/>
      <c r="AK1126" s="1018"/>
      <c r="BB1126" s="1022">
        <f t="shared" si="154"/>
        <v>2.8466976077319051</v>
      </c>
      <c r="BC1126" s="1948" t="str">
        <f t="shared" si="157"/>
        <v>Lighting RES 19 Year EUL</v>
      </c>
      <c r="BD1126" s="114">
        <f>(INDEX('Avoided Cost Benefits'!$C$4:$C$857,MATCH(BC1126,'Avoided Cost Benefits'!$A$4:$A$857,0)))*F1126</f>
        <v>16.120986924390213</v>
      </c>
      <c r="BE1126" s="1023">
        <f t="shared" si="158"/>
        <v>5.6630486078338835</v>
      </c>
    </row>
    <row r="1127" spans="1:57" s="892" customFormat="1" x14ac:dyDescent="0.25">
      <c r="A1127" s="123"/>
      <c r="B1127" s="123"/>
      <c r="C1127" s="63" t="s">
        <v>2106</v>
      </c>
      <c r="D1127" s="1174" t="s">
        <v>2098</v>
      </c>
      <c r="E1127" s="3121" t="s">
        <v>2107</v>
      </c>
      <c r="F1127" s="105">
        <f>ROUND(K1127+L1127,2)</f>
        <v>27.79</v>
      </c>
      <c r="G1127" s="1106" t="s">
        <v>54</v>
      </c>
      <c r="H1127" s="155">
        <f>VLOOKUP(G1127,'CP FACTORS'!$A$3:$B$38, 2, FALSE)</f>
        <v>1.4925290000000001E-4</v>
      </c>
      <c r="I1127" s="1106" t="s">
        <v>55</v>
      </c>
      <c r="J1127" s="155">
        <f>VLOOKUP(I1127,'CP FACTORS'!$A$3:$B$38, 2, FALSE)</f>
        <v>1.899635E-4</v>
      </c>
      <c r="K1127" s="108">
        <f t="shared" si="149"/>
        <v>27.786591532418186</v>
      </c>
      <c r="L1127" s="1427">
        <f t="shared" si="150"/>
        <v>0</v>
      </c>
      <c r="M1127" s="106">
        <f t="shared" si="156"/>
        <v>4.1469999999999996E-3</v>
      </c>
      <c r="N1127" s="108">
        <v>19</v>
      </c>
      <c r="O1127" s="2718">
        <f t="shared" si="151"/>
        <v>5.9683676514473287</v>
      </c>
      <c r="P1127" s="1107">
        <f t="shared" si="152"/>
        <v>8</v>
      </c>
      <c r="Q1127" s="1108">
        <f t="shared" si="153"/>
        <v>6.27</v>
      </c>
      <c r="R1127" s="2667" t="s">
        <v>185</v>
      </c>
      <c r="S1127" s="910"/>
      <c r="T1127" s="910"/>
      <c r="U1127" s="910"/>
      <c r="V1127" s="1016" t="str">
        <f t="shared" si="159"/>
        <v>kWh Annual Savings</v>
      </c>
      <c r="W1127" s="1056">
        <v>27.232172426866967</v>
      </c>
      <c r="X1127" s="1109">
        <v>29.641772160000002</v>
      </c>
      <c r="Y1127" s="1951">
        <v>27.79</v>
      </c>
      <c r="Z1127" s="62">
        <v>27.79</v>
      </c>
      <c r="AA1127" s="62">
        <v>27.79</v>
      </c>
      <c r="AB1127" s="1123">
        <v>27.79</v>
      </c>
      <c r="AC1127" s="105">
        <v>27.79</v>
      </c>
      <c r="AD1127" s="1016"/>
      <c r="AE1127" s="1016"/>
      <c r="AF1127" s="1016"/>
      <c r="AG1127" s="1016"/>
      <c r="AH1127" s="394"/>
      <c r="AK1127" s="1018"/>
      <c r="BB1127" s="1022">
        <f t="shared" si="154"/>
        <v>2.1559700177744272</v>
      </c>
      <c r="BC1127" s="1948" t="str">
        <f t="shared" si="157"/>
        <v>Lighting RES 19 Year EUL</v>
      </c>
      <c r="BD1127" s="114">
        <f>(INDEX('Avoided Cost Benefits'!$C$4:$C$857,MATCH(BC1127,'Avoided Cost Benefits'!$A$4:$A$857,0)))*F1127</f>
        <v>16.27915067691875</v>
      </c>
      <c r="BE1127" s="1023">
        <f t="shared" si="158"/>
        <v>7.5507314771118441</v>
      </c>
    </row>
    <row r="1128" spans="1:57" s="892" customFormat="1" x14ac:dyDescent="0.25">
      <c r="A1128" s="123"/>
      <c r="B1128" s="123"/>
      <c r="C1128" s="63" t="s">
        <v>2108</v>
      </c>
      <c r="D1128" s="1174" t="s">
        <v>2098</v>
      </c>
      <c r="E1128" s="3121" t="s">
        <v>2109</v>
      </c>
      <c r="F1128" s="105">
        <f>ROUND(K1128+L1128,2)</f>
        <v>35.39</v>
      </c>
      <c r="G1128" s="1106" t="s">
        <v>54</v>
      </c>
      <c r="H1128" s="155">
        <f>VLOOKUP(G1128,'CP FACTORS'!$A$3:$B$38, 2, FALSE)</f>
        <v>1.4925290000000001E-4</v>
      </c>
      <c r="I1128" s="1106" t="s">
        <v>55</v>
      </c>
      <c r="J1128" s="155">
        <f>VLOOKUP(I1128,'CP FACTORS'!$A$3:$B$38, 2, FALSE)</f>
        <v>1.899635E-4</v>
      </c>
      <c r="K1128" s="116">
        <f t="shared" si="149"/>
        <v>35.388583555438252</v>
      </c>
      <c r="L1128" s="2687">
        <f t="shared" si="150"/>
        <v>0</v>
      </c>
      <c r="M1128" s="106">
        <f t="shared" si="156"/>
        <v>5.2820000000000002E-3</v>
      </c>
      <c r="N1128" s="108">
        <v>19</v>
      </c>
      <c r="O1128" s="2718">
        <f t="shared" si="151"/>
        <v>5.9683676514473287</v>
      </c>
      <c r="P1128" s="1107">
        <f t="shared" si="152"/>
        <v>10</v>
      </c>
      <c r="Q1128" s="1108">
        <f t="shared" si="153"/>
        <v>4.92</v>
      </c>
      <c r="R1128" s="2667" t="s">
        <v>185</v>
      </c>
      <c r="S1128" s="910"/>
      <c r="T1128" s="910"/>
      <c r="U1128" s="910"/>
      <c r="V1128" s="1962" t="str">
        <f t="shared" si="159"/>
        <v>kWh Annual Savings</v>
      </c>
      <c r="W1128" s="1056"/>
      <c r="X1128" s="1109"/>
      <c r="Y1128" s="1951"/>
      <c r="Z1128" s="62"/>
      <c r="AA1128" s="62"/>
      <c r="AB1128" s="1951">
        <v>28.84</v>
      </c>
      <c r="AC1128" s="105">
        <v>35.39</v>
      </c>
      <c r="AD1128" s="1016"/>
      <c r="AE1128" s="1016"/>
      <c r="AF1128" s="1016"/>
      <c r="AG1128" s="1016"/>
      <c r="AH1128" s="394"/>
      <c r="AK1128" s="1018"/>
      <c r="BB1128" s="1022">
        <f t="shared" ref="BB1128" si="160">(BD1128)/(BE1128)</f>
        <v>2.1964671875937238</v>
      </c>
      <c r="BC1128" s="1948" t="str">
        <f t="shared" ref="BC1128" si="161">CONCATENATE(G1128," ",N1128," Year EUL")</f>
        <v>Lighting RES 19 Year EUL</v>
      </c>
      <c r="BD1128" s="114">
        <f>(INDEX('Avoided Cost Benefits'!$C$4:$C$857,MATCH(BC1128,'Avoided Cost Benefits'!$A$4:$A$857,0)))*F1128</f>
        <v>20.731167414759071</v>
      </c>
      <c r="BE1128" s="1023">
        <f t="shared" ref="BE1128" si="162">P1128/(1.0595^(2020-2019))</f>
        <v>9.4384143463898056</v>
      </c>
    </row>
    <row r="1129" spans="1:57" s="892" customFormat="1" x14ac:dyDescent="0.25">
      <c r="A1129" s="123"/>
      <c r="B1129" s="123"/>
      <c r="C1129" s="63" t="s">
        <v>2110</v>
      </c>
      <c r="D1129" s="1174" t="s">
        <v>2098</v>
      </c>
      <c r="E1129" s="3121" t="s">
        <v>2111</v>
      </c>
      <c r="F1129" s="105">
        <f t="shared" si="155"/>
        <v>26.87</v>
      </c>
      <c r="G1129" s="1106" t="s">
        <v>54</v>
      </c>
      <c r="H1129" s="155">
        <f>VLOOKUP(G1129,'CP FACTORS'!$A$3:$B$38, 2, FALSE)</f>
        <v>1.4925290000000001E-4</v>
      </c>
      <c r="I1129" s="1106" t="s">
        <v>55</v>
      </c>
      <c r="J1129" s="155">
        <f>VLOOKUP(I1129,'CP FACTORS'!$A$3:$B$38, 2, FALSE)</f>
        <v>1.899635E-4</v>
      </c>
      <c r="K1129" s="108">
        <f t="shared" si="149"/>
        <v>26.869109736536448</v>
      </c>
      <c r="L1129" s="1427">
        <f t="shared" si="150"/>
        <v>0</v>
      </c>
      <c r="M1129" s="106">
        <f t="shared" si="156"/>
        <v>4.0099999999999997E-3</v>
      </c>
      <c r="N1129" s="108">
        <v>19</v>
      </c>
      <c r="O1129" s="2718">
        <f t="shared" si="151"/>
        <v>5.9683676514473287</v>
      </c>
      <c r="P1129" s="1107">
        <f t="shared" si="152"/>
        <v>10</v>
      </c>
      <c r="Q1129" s="1108">
        <f t="shared" si="153"/>
        <v>4.92</v>
      </c>
      <c r="R1129" s="2667" t="s">
        <v>185</v>
      </c>
      <c r="S1129" s="910"/>
      <c r="T1129" s="910"/>
      <c r="U1129" s="910"/>
      <c r="V1129" s="1962" t="str">
        <f t="shared" si="159"/>
        <v>kWh Annual Savings</v>
      </c>
      <c r="W1129" s="1056">
        <v>32.691452276592656</v>
      </c>
      <c r="X1129" s="1109">
        <v>28.663034399999997</v>
      </c>
      <c r="Y1129" s="1951">
        <v>26.87</v>
      </c>
      <c r="Z1129" s="62">
        <v>26.87</v>
      </c>
      <c r="AA1129" s="62">
        <v>26.87</v>
      </c>
      <c r="AB1129" s="1123">
        <v>26.87</v>
      </c>
      <c r="AC1129" s="105">
        <v>26.87</v>
      </c>
      <c r="AD1129" s="1016"/>
      <c r="AE1129" s="1016"/>
      <c r="AF1129" s="1016"/>
      <c r="AG1129" s="1016"/>
      <c r="AH1129" s="394"/>
      <c r="AK1129" s="1018"/>
      <c r="BB1129" s="1022">
        <f t="shared" si="154"/>
        <v>1.6676765563900355</v>
      </c>
      <c r="BC1129" s="1948" t="str">
        <f t="shared" si="157"/>
        <v>Lighting RES 19 Year EUL</v>
      </c>
      <c r="BD1129" s="114">
        <f>(INDEX('Avoided Cost Benefits'!$C$4:$C$857,MATCH(BC1129,'Avoided Cost Benefits'!$A$4:$A$857,0)))*F1129</f>
        <v>15.740222334969658</v>
      </c>
      <c r="BE1129" s="1023">
        <f t="shared" si="158"/>
        <v>9.4384143463898056</v>
      </c>
    </row>
    <row r="1130" spans="1:57" s="892" customFormat="1" x14ac:dyDescent="0.25">
      <c r="A1130" s="123"/>
      <c r="B1130" s="123"/>
      <c r="C1130" s="63" t="s">
        <v>2112</v>
      </c>
      <c r="D1130" s="1174" t="s">
        <v>2098</v>
      </c>
      <c r="E1130" s="3121" t="s">
        <v>2113</v>
      </c>
      <c r="F1130" s="105">
        <f t="shared" si="155"/>
        <v>34.729999999999997</v>
      </c>
      <c r="G1130" s="1106" t="s">
        <v>54</v>
      </c>
      <c r="H1130" s="155">
        <f>VLOOKUP(G1130,'CP FACTORS'!$A$3:$B$38, 2, FALSE)</f>
        <v>1.4925290000000001E-4</v>
      </c>
      <c r="I1130" s="1106" t="s">
        <v>55</v>
      </c>
      <c r="J1130" s="155">
        <f>VLOOKUP(I1130,'CP FACTORS'!$A$3:$B$38, 2, FALSE)</f>
        <v>1.899635E-4</v>
      </c>
      <c r="K1130" s="108">
        <f t="shared" si="149"/>
        <v>34.733239415522732</v>
      </c>
      <c r="L1130" s="1427">
        <f t="shared" si="150"/>
        <v>0</v>
      </c>
      <c r="M1130" s="106">
        <f t="shared" si="156"/>
        <v>5.1840000000000002E-3</v>
      </c>
      <c r="N1130" s="108">
        <v>19</v>
      </c>
      <c r="O1130" s="2718">
        <f t="shared" si="151"/>
        <v>5.9683676514473287</v>
      </c>
      <c r="P1130" s="1107">
        <f t="shared" si="152"/>
        <v>15</v>
      </c>
      <c r="Q1130" s="1108">
        <f t="shared" si="153"/>
        <v>4.92</v>
      </c>
      <c r="R1130" s="2667" t="s">
        <v>185</v>
      </c>
      <c r="S1130" s="910"/>
      <c r="T1130" s="910"/>
      <c r="U1130" s="910"/>
      <c r="V1130" s="1962" t="str">
        <f t="shared" si="159"/>
        <v>kWh Annual Savings</v>
      </c>
      <c r="W1130" s="1056">
        <v>52.66599384441254</v>
      </c>
      <c r="X1130" s="1109">
        <v>37.052215199999999</v>
      </c>
      <c r="Y1130" s="1951">
        <v>34.729999999999997</v>
      </c>
      <c r="Z1130" s="62">
        <v>34.729999999999997</v>
      </c>
      <c r="AA1130" s="62">
        <v>34.729999999999997</v>
      </c>
      <c r="AB1130" s="1123">
        <v>34.729999999999997</v>
      </c>
      <c r="AC1130" s="105">
        <v>34.729999999999997</v>
      </c>
      <c r="AD1130" s="1016"/>
      <c r="AE1130" s="1016"/>
      <c r="AF1130" s="1016"/>
      <c r="AG1130" s="1016"/>
      <c r="AH1130" s="394"/>
      <c r="AK1130" s="1018"/>
      <c r="BB1130" s="1022">
        <f t="shared" si="154"/>
        <v>1.4370030220425734</v>
      </c>
      <c r="BC1130" s="1948" t="str">
        <f t="shared" si="157"/>
        <v>Lighting RES 19 Year EUL</v>
      </c>
      <c r="BD1130" s="114">
        <f>(INDEX('Avoided Cost Benefits'!$C$4:$C$857,MATCH(BC1130,'Avoided Cost Benefits'!$A$4:$A$857,0)))*F1130</f>
        <v>20.344544908578197</v>
      </c>
      <c r="BE1130" s="1023">
        <f t="shared" si="158"/>
        <v>14.157621519584708</v>
      </c>
    </row>
    <row r="1131" spans="1:57" s="892" customFormat="1" x14ac:dyDescent="0.25">
      <c r="A1131" s="123"/>
      <c r="B1131" s="123"/>
      <c r="C1131" s="63" t="s">
        <v>2114</v>
      </c>
      <c r="D1131" s="1174" t="s">
        <v>2098</v>
      </c>
      <c r="E1131" s="3121" t="s">
        <v>2115</v>
      </c>
      <c r="F1131" s="105">
        <f>ROUND(K1131+L1131,2)</f>
        <v>37.35</v>
      </c>
      <c r="G1131" s="1110" t="s">
        <v>54</v>
      </c>
      <c r="H1131" s="155">
        <f>VLOOKUP(G1131,'CP FACTORS'!$A$3:$B$38, 2, FALSE)</f>
        <v>1.4925290000000001E-4</v>
      </c>
      <c r="I1131" s="1110" t="s">
        <v>55</v>
      </c>
      <c r="J1131" s="155">
        <f>VLOOKUP(I1131,'CP FACTORS'!$A$3:$B$38, 2, FALSE)</f>
        <v>1.899635E-4</v>
      </c>
      <c r="K1131" s="141">
        <f t="shared" si="149"/>
        <v>37.354615975184814</v>
      </c>
      <c r="L1131" s="1722">
        <f t="shared" si="150"/>
        <v>0</v>
      </c>
      <c r="M1131" s="106">
        <f t="shared" si="156"/>
        <v>5.5750000000000001E-3</v>
      </c>
      <c r="N1131" s="141">
        <v>19</v>
      </c>
      <c r="O1131" s="141">
        <f t="shared" si="151"/>
        <v>5.9683676514473287</v>
      </c>
      <c r="P1131" s="1107">
        <f t="shared" si="152"/>
        <v>8</v>
      </c>
      <c r="Q1131" s="1108">
        <f t="shared" si="153"/>
        <v>7.83</v>
      </c>
      <c r="R1131" s="2667" t="s">
        <v>185</v>
      </c>
      <c r="S1131" s="910"/>
      <c r="T1131" s="910"/>
      <c r="U1131" s="910"/>
      <c r="V1131" s="1962" t="str">
        <f t="shared" si="159"/>
        <v>kWh Annual Savings</v>
      </c>
      <c r="W1131" s="1056">
        <v>36.609288404042864</v>
      </c>
      <c r="X1131" s="1109">
        <v>39.848608800000001</v>
      </c>
      <c r="Y1131" s="1951">
        <v>37.35</v>
      </c>
      <c r="Z1131" s="62">
        <v>37.35</v>
      </c>
      <c r="AA1131" s="62">
        <v>37.35</v>
      </c>
      <c r="AB1131" s="1123">
        <v>37.35</v>
      </c>
      <c r="AC1131" s="105">
        <v>37.35</v>
      </c>
      <c r="AD1131" s="1016"/>
      <c r="AE1131" s="1016"/>
      <c r="AF1131" s="1016"/>
      <c r="AG1131" s="1016"/>
      <c r="AH1131" s="394"/>
      <c r="AK1131" s="1018"/>
      <c r="BB1131" s="1022">
        <f t="shared" si="154"/>
        <v>2.8976423232772532</v>
      </c>
      <c r="BC1131" s="1948" t="str">
        <f t="shared" si="157"/>
        <v>Lighting RES 19 Year EUL</v>
      </c>
      <c r="BD1131" s="114">
        <f>(INDEX('Avoided Cost Benefits'!$C$4:$C$857,MATCH(BC1131,'Avoided Cost Benefits'!$A$4:$A$857,0)))*F1131</f>
        <v>21.87931909978105</v>
      </c>
      <c r="BE1131" s="1023">
        <f t="shared" si="158"/>
        <v>7.5507314771118441</v>
      </c>
    </row>
    <row r="1132" spans="1:57" s="892" customFormat="1" x14ac:dyDescent="0.25">
      <c r="A1132" s="123"/>
      <c r="B1132" s="123"/>
      <c r="C1132" s="63" t="s">
        <v>2116</v>
      </c>
      <c r="D1132" s="1174" t="s">
        <v>2098</v>
      </c>
      <c r="E1132" s="3121" t="s">
        <v>2117</v>
      </c>
      <c r="F1132" s="105">
        <f t="shared" si="155"/>
        <v>23.53</v>
      </c>
      <c r="G1132" s="1110" t="s">
        <v>54</v>
      </c>
      <c r="H1132" s="155">
        <f>VLOOKUP(G1132,'CP FACTORS'!$A$3:$B$38, 2, FALSE)</f>
        <v>1.4925290000000001E-4</v>
      </c>
      <c r="I1132" s="1110" t="s">
        <v>55</v>
      </c>
      <c r="J1132" s="155">
        <f>VLOOKUP(I1132,'CP FACTORS'!$A$3:$B$38, 2, FALSE)</f>
        <v>1.899635E-4</v>
      </c>
      <c r="K1132" s="141">
        <f t="shared" si="149"/>
        <v>23.533408064366434</v>
      </c>
      <c r="L1132" s="1722">
        <f t="shared" si="150"/>
        <v>0</v>
      </c>
      <c r="M1132" s="106">
        <f t="shared" si="156"/>
        <v>3.5119999999999999E-3</v>
      </c>
      <c r="N1132" s="141">
        <v>19</v>
      </c>
      <c r="O1132" s="141">
        <f t="shared" si="151"/>
        <v>5.9683676514473287</v>
      </c>
      <c r="P1132" s="1107">
        <f t="shared" si="152"/>
        <v>7</v>
      </c>
      <c r="Q1132" s="1108">
        <f t="shared" si="153"/>
        <v>3.27</v>
      </c>
      <c r="R1132" s="2667" t="s">
        <v>185</v>
      </c>
      <c r="S1132" s="910"/>
      <c r="T1132" s="910"/>
      <c r="U1132" s="910"/>
      <c r="V1132" s="1962" t="str">
        <f t="shared" si="159"/>
        <v>kWh Annual Savings</v>
      </c>
      <c r="W1132" s="1056">
        <v>23.063851694547001</v>
      </c>
      <c r="X1132" s="1109">
        <v>25.104623543999999</v>
      </c>
      <c r="Y1132" s="1951">
        <v>23.53</v>
      </c>
      <c r="Z1132" s="62">
        <v>23.53</v>
      </c>
      <c r="AA1132" s="62">
        <v>23.53</v>
      </c>
      <c r="AB1132" s="1123">
        <v>23.53</v>
      </c>
      <c r="AC1132" s="105">
        <v>23.53</v>
      </c>
      <c r="AD1132" s="1016"/>
      <c r="AE1132" s="1016"/>
      <c r="AF1132" s="1016"/>
      <c r="AG1132" s="1016"/>
      <c r="AH1132" s="394"/>
      <c r="AK1132" s="1018"/>
      <c r="BB1132" s="1022">
        <f t="shared" si="154"/>
        <v>2.0862581408824248</v>
      </c>
      <c r="BC1132" s="1948" t="str">
        <f t="shared" si="157"/>
        <v>Lighting RES 19 Year EUL</v>
      </c>
      <c r="BD1132" s="114">
        <f>(INDEX('Avoided Cost Benefits'!$C$4:$C$857,MATCH(BC1132,'Avoided Cost Benefits'!$A$4:$A$857,0)))*F1132</f>
        <v>13.783678137024044</v>
      </c>
      <c r="BE1132" s="1023">
        <f t="shared" si="158"/>
        <v>6.6068900424728643</v>
      </c>
    </row>
    <row r="1133" spans="1:57" s="892" customFormat="1" x14ac:dyDescent="0.25">
      <c r="A1133" s="123"/>
      <c r="B1133" s="123"/>
      <c r="C1133" s="63" t="s">
        <v>2118</v>
      </c>
      <c r="D1133" s="1174" t="s">
        <v>2098</v>
      </c>
      <c r="E1133" s="3121" t="s">
        <v>2119</v>
      </c>
      <c r="F1133" s="105">
        <f t="shared" si="155"/>
        <v>2.95</v>
      </c>
      <c r="G1133" s="1110" t="s">
        <v>54</v>
      </c>
      <c r="H1133" s="155">
        <f>VLOOKUP(G1133,'CP FACTORS'!$A$3:$B$38, 2, FALSE)</f>
        <v>1.4925290000000001E-4</v>
      </c>
      <c r="I1133" s="1110" t="s">
        <v>55</v>
      </c>
      <c r="J1133" s="155">
        <f>VLOOKUP(I1133,'CP FACTORS'!$A$3:$B$38, 2, FALSE)</f>
        <v>1.899635E-4</v>
      </c>
      <c r="K1133" s="141">
        <f t="shared" si="149"/>
        <v>2.9490486296198544</v>
      </c>
      <c r="L1133" s="1722">
        <f t="shared" si="150"/>
        <v>0</v>
      </c>
      <c r="M1133" s="106">
        <f t="shared" si="156"/>
        <v>4.4000000000000002E-4</v>
      </c>
      <c r="N1133" s="141">
        <v>19</v>
      </c>
      <c r="O1133" s="141">
        <f t="shared" si="151"/>
        <v>5.9683676514473287</v>
      </c>
      <c r="P1133" s="1107">
        <f t="shared" si="152"/>
        <v>7</v>
      </c>
      <c r="Q1133" s="1108">
        <f t="shared" si="153"/>
        <v>3.27</v>
      </c>
      <c r="R1133" s="2667" t="s">
        <v>185</v>
      </c>
      <c r="S1133" s="910"/>
      <c r="T1133" s="910"/>
      <c r="U1133" s="910"/>
      <c r="V1133" s="1962" t="str">
        <f t="shared" si="159"/>
        <v>kWh Annual Savings</v>
      </c>
      <c r="W1133" s="1056">
        <v>2.8902069792665412</v>
      </c>
      <c r="X1133" s="1109">
        <v>3.1459428000000003</v>
      </c>
      <c r="Y1133" s="1951">
        <v>2.95</v>
      </c>
      <c r="Z1133" s="62">
        <v>2.95</v>
      </c>
      <c r="AA1133" s="62">
        <v>2.95</v>
      </c>
      <c r="AB1133" s="1123">
        <v>2.95</v>
      </c>
      <c r="AC1133" s="105">
        <v>2.95</v>
      </c>
      <c r="AD1133" s="1016"/>
      <c r="AE1133" s="1016"/>
      <c r="AF1133" s="1016"/>
      <c r="AG1133" s="1016"/>
      <c r="AH1133" s="394"/>
      <c r="AK1133" s="1018"/>
      <c r="BB1133" s="1022">
        <f t="shared" si="154"/>
        <v>0.26155807546124754</v>
      </c>
      <c r="BC1133" s="1948" t="str">
        <f t="shared" si="157"/>
        <v>Lighting RES 19 Year EUL</v>
      </c>
      <c r="BD1133" s="114">
        <f>(INDEX('Avoided Cost Benefits'!$C$4:$C$857,MATCH(BC1133,'Avoided Cost Benefits'!$A$4:$A$857,0)))*F1133</f>
        <v>1.7280854442932823</v>
      </c>
      <c r="BE1133" s="1023">
        <f t="shared" si="158"/>
        <v>6.6068900424728643</v>
      </c>
    </row>
    <row r="1134" spans="1:57" s="892" customFormat="1" x14ac:dyDescent="0.25">
      <c r="A1134" s="123"/>
      <c r="B1134" s="123"/>
      <c r="C1134" s="63" t="s">
        <v>2120</v>
      </c>
      <c r="D1134" s="1174" t="s">
        <v>2098</v>
      </c>
      <c r="E1134" s="3121" t="s">
        <v>2121</v>
      </c>
      <c r="F1134" s="105">
        <f>ROUND(K1134+L1134,2)</f>
        <v>14.42</v>
      </c>
      <c r="G1134" s="1110" t="s">
        <v>54</v>
      </c>
      <c r="H1134" s="155">
        <f>VLOOKUP(G1134,'CP FACTORS'!$A$3:$B$38, 2, FALSE)</f>
        <v>1.4925290000000001E-4</v>
      </c>
      <c r="I1134" s="1110" t="s">
        <v>55</v>
      </c>
      <c r="J1134" s="155">
        <f>VLOOKUP(I1134,'CP FACTORS'!$A$3:$B$38, 2, FALSE)</f>
        <v>1.899635E-4</v>
      </c>
      <c r="K1134" s="141">
        <f t="shared" si="149"/>
        <v>14.41757107814151</v>
      </c>
      <c r="L1134" s="1722">
        <f t="shared" si="150"/>
        <v>0</v>
      </c>
      <c r="M1134" s="106">
        <f>ROUND(((K1134/F1134)*H1134+(L1134/F1134)*J1134)*F1134,6)</f>
        <v>2.1519999999999998E-3</v>
      </c>
      <c r="N1134" s="141">
        <v>19</v>
      </c>
      <c r="O1134" s="141">
        <f t="shared" si="151"/>
        <v>5.9683676514473287</v>
      </c>
      <c r="P1134" s="1107">
        <f t="shared" si="152"/>
        <v>7</v>
      </c>
      <c r="Q1134" s="1108">
        <f t="shared" si="153"/>
        <v>3.27</v>
      </c>
      <c r="R1134" s="2667" t="s">
        <v>185</v>
      </c>
      <c r="S1134" s="910"/>
      <c r="T1134" s="910"/>
      <c r="U1134" s="910"/>
      <c r="V1134" s="1962" t="str">
        <f t="shared" si="159"/>
        <v>kWh Annual Savings</v>
      </c>
      <c r="W1134" s="1056">
        <v>23.211573384598399</v>
      </c>
      <c r="X1134" s="1109">
        <v>14.681066400000002</v>
      </c>
      <c r="Y1134" s="1951">
        <v>14.42</v>
      </c>
      <c r="Z1134" s="62">
        <v>14.42</v>
      </c>
      <c r="AA1134" s="62">
        <v>14.42</v>
      </c>
      <c r="AB1134" s="1123">
        <v>14.42</v>
      </c>
      <c r="AC1134" s="105">
        <v>14.42</v>
      </c>
      <c r="AD1134" s="1016"/>
      <c r="AE1134" s="1016"/>
      <c r="AF1134" s="1016"/>
      <c r="AG1134" s="1016"/>
      <c r="AH1134" s="394"/>
      <c r="AK1134" s="1018"/>
      <c r="BB1134" s="1022">
        <f t="shared" si="154"/>
        <v>1.2785313383563353</v>
      </c>
      <c r="BC1134" s="1948" t="str">
        <f t="shared" si="157"/>
        <v>Lighting RES 19 Year EUL</v>
      </c>
      <c r="BD1134" s="114">
        <f>(INDEX('Avoided Cost Benefits'!$C$4:$C$857,MATCH(BC1134,'Avoided Cost Benefits'!$A$4:$A$857,0)))*F1134</f>
        <v>8.4471159683759751</v>
      </c>
      <c r="BE1134" s="1023">
        <f t="shared" si="158"/>
        <v>6.6068900424728643</v>
      </c>
    </row>
    <row r="1135" spans="1:57" s="892" customFormat="1" x14ac:dyDescent="0.25">
      <c r="A1135" s="123"/>
      <c r="B1135" s="123"/>
      <c r="C1135" s="63" t="s">
        <v>2122</v>
      </c>
      <c r="D1135" s="1174" t="s">
        <v>2098</v>
      </c>
      <c r="E1135" s="3121" t="s">
        <v>2123</v>
      </c>
      <c r="F1135" s="105">
        <f t="shared" si="155"/>
        <v>2.62</v>
      </c>
      <c r="G1135" s="1110" t="s">
        <v>54</v>
      </c>
      <c r="H1135" s="155">
        <f>VLOOKUP(G1135,'CP FACTORS'!$A$3:$B$38, 2, FALSE)</f>
        <v>1.4925290000000001E-4</v>
      </c>
      <c r="I1135" s="1110" t="s">
        <v>55</v>
      </c>
      <c r="J1135" s="155">
        <f>VLOOKUP(I1135,'CP FACTORS'!$A$3:$B$38, 2, FALSE)</f>
        <v>1.899635E-4</v>
      </c>
      <c r="K1135" s="141">
        <f t="shared" si="149"/>
        <v>2.6213765596620924</v>
      </c>
      <c r="L1135" s="1722">
        <f t="shared" si="150"/>
        <v>0</v>
      </c>
      <c r="M1135" s="106">
        <f t="shared" si="156"/>
        <v>3.9100000000000002E-4</v>
      </c>
      <c r="N1135" s="141">
        <v>19</v>
      </c>
      <c r="O1135" s="141">
        <f t="shared" si="151"/>
        <v>5.9683676514473287</v>
      </c>
      <c r="P1135" s="1107">
        <f t="shared" si="152"/>
        <v>7</v>
      </c>
      <c r="Q1135" s="1108">
        <f t="shared" si="153"/>
        <v>3.27</v>
      </c>
      <c r="R1135" s="2667" t="s">
        <v>185</v>
      </c>
      <c r="S1135" s="910"/>
      <c r="T1135" s="910"/>
      <c r="U1135" s="910"/>
      <c r="V1135" s="1962" t="str">
        <f t="shared" si="159"/>
        <v>kWh Annual Savings</v>
      </c>
      <c r="W1135" s="1056">
        <v>3.3397947315968928</v>
      </c>
      <c r="X1135" s="1109">
        <v>2.0972952</v>
      </c>
      <c r="Y1135" s="1951">
        <v>2.62</v>
      </c>
      <c r="Z1135" s="62">
        <v>2.62</v>
      </c>
      <c r="AA1135" s="62">
        <v>2.62</v>
      </c>
      <c r="AB1135" s="1123">
        <v>2.62</v>
      </c>
      <c r="AC1135" s="105">
        <v>2.62</v>
      </c>
      <c r="AD1135" s="1016"/>
      <c r="AE1135" s="1016"/>
      <c r="AF1135" s="1016"/>
      <c r="AG1135" s="1016"/>
      <c r="AH1135" s="394"/>
      <c r="AK1135" s="1018"/>
      <c r="BB1135" s="1022">
        <f t="shared" si="154"/>
        <v>0.23229903651134523</v>
      </c>
      <c r="BC1135" s="1948" t="str">
        <f t="shared" si="157"/>
        <v>Lighting RES 19 Year EUL</v>
      </c>
      <c r="BD1135" s="114">
        <f>(INDEX('Avoided Cost Benefits'!$C$4:$C$857,MATCH(BC1135,'Avoided Cost Benefits'!$A$4:$A$857,0)))*F1135</f>
        <v>1.5347741912028472</v>
      </c>
      <c r="BE1135" s="1023">
        <f t="shared" si="158"/>
        <v>6.6068900424728643</v>
      </c>
    </row>
    <row r="1136" spans="1:57" s="892" customFormat="1" x14ac:dyDescent="0.25">
      <c r="A1136" s="123"/>
      <c r="B1136" s="123"/>
      <c r="C1136" s="63" t="s">
        <v>2124</v>
      </c>
      <c r="D1136" s="1174" t="s">
        <v>2098</v>
      </c>
      <c r="E1136" s="3121" t="s">
        <v>2125</v>
      </c>
      <c r="F1136" s="105">
        <f t="shared" si="155"/>
        <v>2.82</v>
      </c>
      <c r="G1136" s="1110" t="s">
        <v>54</v>
      </c>
      <c r="H1136" s="155">
        <f>VLOOKUP(G1136,'CP FACTORS'!$A$3:$B$38, 2, FALSE)</f>
        <v>1.4925290000000001E-4</v>
      </c>
      <c r="I1136" s="1110" t="s">
        <v>55</v>
      </c>
      <c r="J1136" s="155">
        <f>VLOOKUP(I1136,'CP FACTORS'!$A$3:$B$38, 2, FALSE)</f>
        <v>1.899635E-4</v>
      </c>
      <c r="K1136" s="141">
        <f t="shared" si="149"/>
        <v>2.8179798016367501</v>
      </c>
      <c r="L1136" s="1722">
        <f t="shared" si="150"/>
        <v>0</v>
      </c>
      <c r="M1136" s="106">
        <f t="shared" si="156"/>
        <v>4.2099999999999999E-4</v>
      </c>
      <c r="N1136" s="141">
        <v>19</v>
      </c>
      <c r="O1136" s="141">
        <f t="shared" si="151"/>
        <v>5.9683676514473287</v>
      </c>
      <c r="P1136" s="1107">
        <f t="shared" si="152"/>
        <v>6</v>
      </c>
      <c r="Q1136" s="1108">
        <f t="shared" si="153"/>
        <v>3.68</v>
      </c>
      <c r="R1136" s="2667" t="s">
        <v>185</v>
      </c>
      <c r="S1136" s="910"/>
      <c r="T1136" s="910"/>
      <c r="U1136" s="910"/>
      <c r="V1136" s="1962" t="str">
        <f t="shared" si="159"/>
        <v>kWh Annual Savings</v>
      </c>
      <c r="W1136" s="1056">
        <v>2.7617533357435846</v>
      </c>
      <c r="X1136" s="1109">
        <v>3.0061231200000003</v>
      </c>
      <c r="Y1136" s="1951">
        <v>2.82</v>
      </c>
      <c r="Z1136" s="62">
        <v>2.82</v>
      </c>
      <c r="AA1136" s="62">
        <v>2.82</v>
      </c>
      <c r="AB1136" s="1123">
        <v>2.82</v>
      </c>
      <c r="AC1136" s="105">
        <v>2.82</v>
      </c>
      <c r="AD1136" s="1016"/>
      <c r="AE1136" s="1016"/>
      <c r="AF1136" s="1016"/>
      <c r="AG1136" s="1016"/>
      <c r="AH1136" s="394"/>
      <c r="AK1136" s="1018"/>
      <c r="BB1136" s="1022">
        <f t="shared" si="154"/>
        <v>0.29170375195508619</v>
      </c>
      <c r="BC1136" s="1948" t="str">
        <f t="shared" si="157"/>
        <v>Lighting RES 19 Year EUL</v>
      </c>
      <c r="BD1136" s="114">
        <f>(INDEX('Avoided Cost Benefits'!$C$4:$C$857,MATCH(BC1136,'Avoided Cost Benefits'!$A$4:$A$857,0)))*F1136</f>
        <v>1.6519325264091713</v>
      </c>
      <c r="BE1136" s="1023">
        <f t="shared" si="158"/>
        <v>5.6630486078338835</v>
      </c>
    </row>
    <row r="1137" spans="1:57" s="892" customFormat="1" x14ac:dyDescent="0.25">
      <c r="A1137" s="123"/>
      <c r="B1137" s="123"/>
      <c r="C1137" s="63" t="s">
        <v>2126</v>
      </c>
      <c r="D1137" s="1174" t="s">
        <v>2098</v>
      </c>
      <c r="E1137" s="3121" t="s">
        <v>2127</v>
      </c>
      <c r="F1137" s="105">
        <f t="shared" si="155"/>
        <v>8.52</v>
      </c>
      <c r="G1137" s="1110" t="s">
        <v>54</v>
      </c>
      <c r="H1137" s="155">
        <f>VLOOKUP(G1137,'CP FACTORS'!$A$3:$B$38, 2, FALSE)</f>
        <v>1.4925290000000001E-4</v>
      </c>
      <c r="I1137" s="1110" t="s">
        <v>55</v>
      </c>
      <c r="J1137" s="155">
        <f>VLOOKUP(I1137,'CP FACTORS'!$A$3:$B$38, 2, FALSE)</f>
        <v>1.899635E-4</v>
      </c>
      <c r="K1137" s="141">
        <f t="shared" si="149"/>
        <v>8.5194738189018011</v>
      </c>
      <c r="L1137" s="1722">
        <f t="shared" si="150"/>
        <v>0</v>
      </c>
      <c r="M1137" s="106">
        <f t="shared" si="156"/>
        <v>1.2719999999999999E-3</v>
      </c>
      <c r="N1137" s="141">
        <v>19</v>
      </c>
      <c r="O1137" s="141">
        <f t="shared" si="151"/>
        <v>5.9683676514473287</v>
      </c>
      <c r="P1137" s="1107">
        <f t="shared" si="152"/>
        <v>6</v>
      </c>
      <c r="Q1137" s="1108">
        <f t="shared" si="153"/>
        <v>3.3</v>
      </c>
      <c r="R1137" s="2667" t="s">
        <v>185</v>
      </c>
      <c r="S1137" s="910"/>
      <c r="T1137" s="910"/>
      <c r="U1137" s="910"/>
      <c r="V1137" s="1962" t="str">
        <f t="shared" si="159"/>
        <v>kWh Annual Savings</v>
      </c>
      <c r="W1137" s="1056">
        <v>8.3494868289922302</v>
      </c>
      <c r="X1137" s="1109">
        <v>9.0882791999999988</v>
      </c>
      <c r="Y1137" s="1951">
        <v>8.52</v>
      </c>
      <c r="Z1137" s="62">
        <v>8.52</v>
      </c>
      <c r="AA1137" s="62">
        <v>8.52</v>
      </c>
      <c r="AB1137" s="1123">
        <v>8.52</v>
      </c>
      <c r="AC1137" s="105">
        <v>8.52</v>
      </c>
      <c r="AD1137" s="1016"/>
      <c r="AE1137" s="1016"/>
      <c r="AF1137" s="1016"/>
      <c r="AG1137" s="1016"/>
      <c r="AH1137" s="394"/>
      <c r="AK1137" s="1018"/>
      <c r="BB1137" s="1022">
        <f t="shared" si="154"/>
        <v>0.88131771867281361</v>
      </c>
      <c r="BC1137" s="1948" t="str">
        <f t="shared" si="157"/>
        <v>Lighting RES 19 Year EUL</v>
      </c>
      <c r="BD1137" s="114">
        <f>(INDEX('Avoided Cost Benefits'!$C$4:$C$857,MATCH(BC1137,'Avoided Cost Benefits'!$A$4:$A$857,0)))*F1137</f>
        <v>4.9909450797894115</v>
      </c>
      <c r="BE1137" s="1023">
        <f t="shared" si="158"/>
        <v>5.6630486078338835</v>
      </c>
    </row>
    <row r="1138" spans="1:57" s="892" customFormat="1" x14ac:dyDescent="0.25">
      <c r="A1138" s="123"/>
      <c r="B1138" s="123"/>
      <c r="C1138" s="63" t="s">
        <v>2128</v>
      </c>
      <c r="D1138" s="1174" t="s">
        <v>2098</v>
      </c>
      <c r="E1138" s="3121" t="s">
        <v>2129</v>
      </c>
      <c r="F1138" s="105">
        <f>ROUND(K1138+L1138,2)</f>
        <v>5.57</v>
      </c>
      <c r="G1138" s="1110" t="s">
        <v>54</v>
      </c>
      <c r="H1138" s="155">
        <f>VLOOKUP(G1138,'CP FACTORS'!$A$3:$B$38, 2, FALSE)</f>
        <v>1.4925290000000001E-4</v>
      </c>
      <c r="I1138" s="1110" t="s">
        <v>55</v>
      </c>
      <c r="J1138" s="155">
        <f>VLOOKUP(I1138,'CP FACTORS'!$A$3:$B$38, 2, FALSE)</f>
        <v>1.899635E-4</v>
      </c>
      <c r="K1138" s="141">
        <f t="shared" si="149"/>
        <v>5.5704251892819467</v>
      </c>
      <c r="L1138" s="1722">
        <f t="shared" si="150"/>
        <v>0</v>
      </c>
      <c r="M1138" s="106">
        <f t="shared" si="156"/>
        <v>8.3100000000000003E-4</v>
      </c>
      <c r="N1138" s="141">
        <v>19</v>
      </c>
      <c r="O1138" s="141">
        <f t="shared" si="151"/>
        <v>5.9683676514473287</v>
      </c>
      <c r="P1138" s="1107">
        <f t="shared" si="152"/>
        <v>6</v>
      </c>
      <c r="Q1138" s="1108">
        <f t="shared" si="153"/>
        <v>3.53</v>
      </c>
      <c r="R1138" s="2667" t="s">
        <v>185</v>
      </c>
      <c r="S1138" s="910"/>
      <c r="T1138" s="910"/>
      <c r="U1138" s="910"/>
      <c r="V1138" s="1962" t="str">
        <f t="shared" si="159"/>
        <v>kWh Annual Savings</v>
      </c>
      <c r="W1138" s="1056">
        <v>5.4592798497256902</v>
      </c>
      <c r="X1138" s="1109">
        <v>5.9423363999999994</v>
      </c>
      <c r="Y1138" s="1951">
        <v>5.57</v>
      </c>
      <c r="Z1138" s="62">
        <v>5.57</v>
      </c>
      <c r="AA1138" s="62">
        <v>5.57</v>
      </c>
      <c r="AB1138" s="1123">
        <v>5.57</v>
      </c>
      <c r="AC1138" s="105">
        <v>5.57</v>
      </c>
      <c r="AD1138" s="1016"/>
      <c r="AE1138" s="1016"/>
      <c r="AF1138" s="1016"/>
      <c r="AG1138" s="1016"/>
      <c r="AH1138" s="394"/>
      <c r="AK1138" s="1018"/>
      <c r="BB1138" s="1022">
        <f t="shared" si="154"/>
        <v>0.57616663063469165</v>
      </c>
      <c r="BC1138" s="1948" t="str">
        <f t="shared" si="157"/>
        <v>Lighting RES 19 Year EUL</v>
      </c>
      <c r="BD1138" s="114">
        <f>(INDEX('Avoided Cost Benefits'!$C$4:$C$857,MATCH(BC1138,'Avoided Cost Benefits'!$A$4:$A$857,0)))*F1138</f>
        <v>3.2628596354961297</v>
      </c>
      <c r="BE1138" s="1023">
        <f t="shared" si="158"/>
        <v>5.6630486078338835</v>
      </c>
    </row>
    <row r="1139" spans="1:57" s="892" customFormat="1" x14ac:dyDescent="0.25">
      <c r="A1139" s="123"/>
      <c r="B1139" s="123"/>
      <c r="C1139" s="63" t="s">
        <v>2130</v>
      </c>
      <c r="D1139" s="1174" t="s">
        <v>2098</v>
      </c>
      <c r="E1139" s="3121" t="s">
        <v>2131</v>
      </c>
      <c r="F1139" s="105">
        <f t="shared" si="155"/>
        <v>5.57</v>
      </c>
      <c r="G1139" s="1110" t="s">
        <v>54</v>
      </c>
      <c r="H1139" s="155">
        <f>VLOOKUP(G1139,'CP FACTORS'!$A$3:$B$38, 2, FALSE)</f>
        <v>1.4925290000000001E-4</v>
      </c>
      <c r="I1139" s="1110" t="s">
        <v>55</v>
      </c>
      <c r="J1139" s="155">
        <f>VLOOKUP(I1139,'CP FACTORS'!$A$3:$B$38, 2, FALSE)</f>
        <v>1.899635E-4</v>
      </c>
      <c r="K1139" s="141">
        <f t="shared" si="149"/>
        <v>5.5704251892819467</v>
      </c>
      <c r="L1139" s="1722">
        <f t="shared" si="150"/>
        <v>0</v>
      </c>
      <c r="M1139" s="106">
        <f t="shared" si="156"/>
        <v>8.3100000000000003E-4</v>
      </c>
      <c r="N1139" s="141">
        <v>19</v>
      </c>
      <c r="O1139" s="141">
        <f t="shared" si="151"/>
        <v>5.9683676514473287</v>
      </c>
      <c r="P1139" s="1107">
        <f t="shared" si="152"/>
        <v>6</v>
      </c>
      <c r="Q1139" s="1108">
        <f t="shared" si="153"/>
        <v>4.72</v>
      </c>
      <c r="R1139" s="2667" t="s">
        <v>185</v>
      </c>
      <c r="S1139" s="910"/>
      <c r="T1139" s="910"/>
      <c r="U1139" s="910"/>
      <c r="V1139" s="1962" t="str">
        <f t="shared" si="159"/>
        <v>kWh Annual Savings</v>
      </c>
      <c r="W1139" s="1056">
        <v>5.4592798497256902</v>
      </c>
      <c r="X1139" s="1109">
        <v>5.9423363999999994</v>
      </c>
      <c r="Y1139" s="1951">
        <v>5.57</v>
      </c>
      <c r="Z1139" s="62">
        <v>5.57</v>
      </c>
      <c r="AA1139" s="62">
        <v>5.57</v>
      </c>
      <c r="AB1139" s="1123">
        <v>5.57</v>
      </c>
      <c r="AC1139" s="105">
        <v>5.57</v>
      </c>
      <c r="AD1139" s="1016"/>
      <c r="AE1139" s="1016"/>
      <c r="AF1139" s="1016"/>
      <c r="AG1139" s="1016"/>
      <c r="AH1139" s="394"/>
      <c r="AK1139" s="1018"/>
      <c r="BB1139" s="1022">
        <f t="shared" si="154"/>
        <v>0.57616663063469165</v>
      </c>
      <c r="BC1139" s="1948" t="str">
        <f t="shared" si="157"/>
        <v>Lighting RES 19 Year EUL</v>
      </c>
      <c r="BD1139" s="114">
        <f>(INDEX('Avoided Cost Benefits'!$C$4:$C$857,MATCH(BC1139,'Avoided Cost Benefits'!$A$4:$A$857,0)))*F1139</f>
        <v>3.2628596354961297</v>
      </c>
      <c r="BE1139" s="1023">
        <f t="shared" si="158"/>
        <v>5.6630486078338835</v>
      </c>
    </row>
    <row r="1140" spans="1:57" s="892" customFormat="1" x14ac:dyDescent="0.25">
      <c r="A1140" s="123"/>
      <c r="B1140" s="123"/>
      <c r="C1140" s="63" t="s">
        <v>2132</v>
      </c>
      <c r="D1140" s="1174" t="s">
        <v>2098</v>
      </c>
      <c r="E1140" s="3121" t="s">
        <v>2133</v>
      </c>
      <c r="F1140" s="105">
        <f t="shared" si="155"/>
        <v>5.44</v>
      </c>
      <c r="G1140" s="1110" t="s">
        <v>54</v>
      </c>
      <c r="H1140" s="155">
        <f>VLOOKUP(G1140,'CP FACTORS'!$A$3:$B$38, 2, FALSE)</f>
        <v>1.4925290000000001E-4</v>
      </c>
      <c r="I1140" s="1110" t="s">
        <v>55</v>
      </c>
      <c r="J1140" s="155">
        <f>VLOOKUP(I1140,'CP FACTORS'!$A$3:$B$38, 2, FALSE)</f>
        <v>1.899635E-4</v>
      </c>
      <c r="K1140" s="141">
        <f t="shared" si="149"/>
        <v>5.4393563612988416</v>
      </c>
      <c r="L1140" s="1722">
        <f t="shared" si="150"/>
        <v>0</v>
      </c>
      <c r="M1140" s="106">
        <f t="shared" si="156"/>
        <v>8.12E-4</v>
      </c>
      <c r="N1140" s="141">
        <v>19</v>
      </c>
      <c r="O1140" s="141">
        <f t="shared" si="151"/>
        <v>5.9683676514473287</v>
      </c>
      <c r="P1140" s="1107">
        <f t="shared" si="152"/>
        <v>8</v>
      </c>
      <c r="Q1140" s="1108">
        <f t="shared" si="153"/>
        <v>6.27</v>
      </c>
      <c r="R1140" s="2667" t="s">
        <v>185</v>
      </c>
      <c r="S1140" s="910"/>
      <c r="T1140" s="910"/>
      <c r="U1140" s="910"/>
      <c r="V1140" s="1962" t="str">
        <f t="shared" si="159"/>
        <v>kWh Annual Savings</v>
      </c>
      <c r="W1140" s="1056">
        <v>5.3308262062027314</v>
      </c>
      <c r="X1140" s="1109">
        <v>5.802516719999999</v>
      </c>
      <c r="Y1140" s="1951">
        <v>5.44</v>
      </c>
      <c r="Z1140" s="62">
        <v>5.44</v>
      </c>
      <c r="AA1140" s="62">
        <v>5.44</v>
      </c>
      <c r="AB1140" s="1123">
        <v>5.44</v>
      </c>
      <c r="AC1140" s="105">
        <v>5.44</v>
      </c>
      <c r="AD1140" s="1016"/>
      <c r="AE1140" s="1016"/>
      <c r="AF1140" s="1016"/>
      <c r="AG1140" s="1016"/>
      <c r="AH1140" s="394"/>
      <c r="AK1140" s="1018"/>
      <c r="BB1140" s="1022">
        <f t="shared" si="154"/>
        <v>0.42203947091374178</v>
      </c>
      <c r="BC1140" s="1948" t="str">
        <f t="shared" si="157"/>
        <v>Lighting RES 19 Year EUL</v>
      </c>
      <c r="BD1140" s="114">
        <f>(INDEX('Avoided Cost Benefits'!$C$4:$C$857,MATCH(BC1140,'Avoided Cost Benefits'!$A$4:$A$857,0)))*F1140</f>
        <v>3.1867067176120187</v>
      </c>
      <c r="BE1140" s="1023">
        <f t="shared" si="158"/>
        <v>7.5507314771118441</v>
      </c>
    </row>
    <row r="1141" spans="1:57" s="892" customFormat="1" x14ac:dyDescent="0.25">
      <c r="A1141" s="123"/>
      <c r="B1141" s="123"/>
      <c r="C1141" s="63" t="s">
        <v>2134</v>
      </c>
      <c r="D1141" s="1174" t="s">
        <v>2098</v>
      </c>
      <c r="E1141" s="3121" t="s">
        <v>2135</v>
      </c>
      <c r="F1141" s="105">
        <f t="shared" si="155"/>
        <v>5.17</v>
      </c>
      <c r="G1141" s="1110" t="s">
        <v>54</v>
      </c>
      <c r="H1141" s="155">
        <f>VLOOKUP(G1141,'CP FACTORS'!$A$3:$B$38, 2, FALSE)</f>
        <v>1.4925290000000001E-4</v>
      </c>
      <c r="I1141" s="1110" t="s">
        <v>55</v>
      </c>
      <c r="J1141" s="155">
        <f>VLOOKUP(I1141,'CP FACTORS'!$A$3:$B$38, 2, FALSE)</f>
        <v>1.899635E-4</v>
      </c>
      <c r="K1141" s="141">
        <f t="shared" si="149"/>
        <v>5.1699371037780164</v>
      </c>
      <c r="L1141" s="1722">
        <f t="shared" si="150"/>
        <v>0</v>
      </c>
      <c r="M1141" s="106">
        <f t="shared" si="156"/>
        <v>7.7200000000000001E-4</v>
      </c>
      <c r="N1141" s="141">
        <v>19</v>
      </c>
      <c r="O1141" s="141">
        <f t="shared" si="151"/>
        <v>5.9683676514473287</v>
      </c>
      <c r="P1141" s="1107">
        <f t="shared" si="152"/>
        <v>10</v>
      </c>
      <c r="Q1141" s="1108">
        <f t="shared" si="153"/>
        <v>4.92</v>
      </c>
      <c r="R1141" s="2667" t="s">
        <v>185</v>
      </c>
      <c r="S1141" s="910"/>
      <c r="T1141" s="910"/>
      <c r="U1141" s="910"/>
      <c r="V1141" s="1962" t="str">
        <f t="shared" si="159"/>
        <v>kWh Annual Savings</v>
      </c>
      <c r="W1141" s="1056"/>
      <c r="X1141" s="1109"/>
      <c r="Y1141" s="1951"/>
      <c r="Z1141" s="62"/>
      <c r="AA1141" s="62"/>
      <c r="AB1141" s="1951">
        <v>5.17</v>
      </c>
      <c r="AC1141" s="105">
        <v>5.17</v>
      </c>
      <c r="AD1141" s="1016"/>
      <c r="AE1141" s="1016"/>
      <c r="AF1141" s="1016"/>
      <c r="AG1141" s="1016"/>
      <c r="AH1141" s="394"/>
      <c r="AK1141" s="1018"/>
      <c r="BB1141" s="1022">
        <f t="shared" ref="BB1141:BB1144" si="163">(BD1141)/(BE1141)</f>
        <v>0.32087412715059482</v>
      </c>
      <c r="BC1141" s="1948" t="str">
        <f t="shared" ref="BC1141:BC1144" si="164">CONCATENATE(G1141," ",N1141," Year EUL")</f>
        <v>Lighting RES 19 Year EUL</v>
      </c>
      <c r="BD1141" s="114">
        <f>(INDEX('Avoided Cost Benefits'!$C$4:$C$857,MATCH(BC1141,'Avoided Cost Benefits'!$A$4:$A$857,0)))*F1141</f>
        <v>3.028542965083481</v>
      </c>
      <c r="BE1141" s="1023">
        <f t="shared" ref="BE1141:BE1144" si="165">P1141/(1.0595^(2020-2019))</f>
        <v>9.4384143463898056</v>
      </c>
    </row>
    <row r="1142" spans="1:57" s="892" customFormat="1" x14ac:dyDescent="0.25">
      <c r="A1142" s="123"/>
      <c r="B1142" s="123"/>
      <c r="C1142" s="63" t="s">
        <v>2136</v>
      </c>
      <c r="D1142" s="1174" t="s">
        <v>2098</v>
      </c>
      <c r="E1142" s="3121" t="s">
        <v>2137</v>
      </c>
      <c r="F1142" s="105">
        <f>ROUND(K1142+L1142,2)</f>
        <v>3.15</v>
      </c>
      <c r="G1142" s="1110" t="s">
        <v>54</v>
      </c>
      <c r="H1142" s="155">
        <f>VLOOKUP(G1142,'CP FACTORS'!$A$3:$B$38, 2, FALSE)</f>
        <v>1.4925290000000001E-4</v>
      </c>
      <c r="I1142" s="1110" t="s">
        <v>55</v>
      </c>
      <c r="J1142" s="155">
        <f>VLOOKUP(I1142,'CP FACTORS'!$A$3:$B$38, 2, FALSE)</f>
        <v>1.899635E-4</v>
      </c>
      <c r="K1142" s="141">
        <f t="shared" si="149"/>
        <v>3.1456518715945112</v>
      </c>
      <c r="L1142" s="1722">
        <f t="shared" si="150"/>
        <v>0</v>
      </c>
      <c r="M1142" s="106">
        <f t="shared" si="156"/>
        <v>4.6900000000000002E-4</v>
      </c>
      <c r="N1142" s="141">
        <v>19</v>
      </c>
      <c r="O1142" s="141">
        <f t="shared" si="151"/>
        <v>5.9683676514473287</v>
      </c>
      <c r="P1142" s="1107">
        <f t="shared" si="152"/>
        <v>10</v>
      </c>
      <c r="Q1142" s="1108">
        <f t="shared" si="153"/>
        <v>4.92</v>
      </c>
      <c r="R1142" s="2667" t="s">
        <v>185</v>
      </c>
      <c r="S1142" s="910"/>
      <c r="T1142" s="910"/>
      <c r="U1142" s="910"/>
      <c r="V1142" s="1962" t="str">
        <f t="shared" si="159"/>
        <v>kWh Annual Savings</v>
      </c>
      <c r="W1142" s="1056">
        <v>3.0828874445509782</v>
      </c>
      <c r="X1142" s="1109">
        <v>3.3556723200000005</v>
      </c>
      <c r="Y1142" s="1951">
        <v>3.15</v>
      </c>
      <c r="Z1142" s="62">
        <v>3.15</v>
      </c>
      <c r="AA1142" s="62">
        <v>3.15</v>
      </c>
      <c r="AB1142" s="1123">
        <v>3.15</v>
      </c>
      <c r="AC1142" s="105">
        <v>3.15</v>
      </c>
      <c r="AD1142" s="1016"/>
      <c r="AE1142" s="1016"/>
      <c r="AF1142" s="1016"/>
      <c r="AG1142" s="1016"/>
      <c r="AH1142" s="394"/>
      <c r="AK1142" s="1018"/>
      <c r="BB1142" s="1022">
        <f t="shared" si="163"/>
        <v>0.19550357843798333</v>
      </c>
      <c r="BC1142" s="1948" t="str">
        <f t="shared" si="164"/>
        <v>Lighting RES 19 Year EUL</v>
      </c>
      <c r="BD1142" s="114">
        <f>(INDEX('Avoided Cost Benefits'!$C$4:$C$857,MATCH(BC1142,'Avoided Cost Benefits'!$A$4:$A$857,0)))*F1142</f>
        <v>1.8452437794996064</v>
      </c>
      <c r="BE1142" s="1023">
        <f t="shared" si="165"/>
        <v>9.4384143463898056</v>
      </c>
    </row>
    <row r="1143" spans="1:57" s="892" customFormat="1" x14ac:dyDescent="0.25">
      <c r="A1143" s="123"/>
      <c r="B1143" s="123"/>
      <c r="C1143" s="63" t="s">
        <v>2138</v>
      </c>
      <c r="D1143" s="1174" t="s">
        <v>2098</v>
      </c>
      <c r="E1143" s="3121" t="s">
        <v>2139</v>
      </c>
      <c r="F1143" s="105">
        <f t="shared" si="155"/>
        <v>3.28</v>
      </c>
      <c r="G1143" s="1110" t="s">
        <v>54</v>
      </c>
      <c r="H1143" s="155">
        <f>VLOOKUP(G1143,'CP FACTORS'!$A$3:$B$38, 2, FALSE)</f>
        <v>1.4925290000000001E-4</v>
      </c>
      <c r="I1143" s="1110" t="s">
        <v>55</v>
      </c>
      <c r="J1143" s="155">
        <f>VLOOKUP(I1143,'CP FACTORS'!$A$3:$B$38, 2, FALSE)</f>
        <v>1.899635E-4</v>
      </c>
      <c r="K1143" s="141">
        <f t="shared" si="149"/>
        <v>3.2767206995776155</v>
      </c>
      <c r="L1143" s="1722">
        <f t="shared" si="150"/>
        <v>0</v>
      </c>
      <c r="M1143" s="106">
        <f t="shared" si="156"/>
        <v>4.8899999999999996E-4</v>
      </c>
      <c r="N1143" s="141">
        <v>19</v>
      </c>
      <c r="O1143" s="141">
        <f t="shared" si="151"/>
        <v>5.9683676514473287</v>
      </c>
      <c r="P1143" s="1107">
        <f t="shared" si="152"/>
        <v>15</v>
      </c>
      <c r="Q1143" s="1108">
        <f t="shared" si="153"/>
        <v>4.92</v>
      </c>
      <c r="R1143" s="2667" t="s">
        <v>185</v>
      </c>
      <c r="S1143" s="910"/>
      <c r="T1143" s="910"/>
      <c r="U1143" s="910"/>
      <c r="V1143" s="1962" t="str">
        <f t="shared" si="159"/>
        <v>kWh Annual Savings</v>
      </c>
      <c r="W1143" s="1056">
        <v>3.2113410880739353</v>
      </c>
      <c r="X1143" s="1109">
        <v>3.4954919999999996</v>
      </c>
      <c r="Y1143" s="1951">
        <v>3.28</v>
      </c>
      <c r="Z1143" s="62">
        <v>3.28</v>
      </c>
      <c r="AA1143" s="62">
        <v>3.28</v>
      </c>
      <c r="AB1143" s="1123">
        <v>3.28</v>
      </c>
      <c r="AC1143" s="105">
        <v>3.28</v>
      </c>
      <c r="AD1143" s="1016"/>
      <c r="AE1143" s="1016"/>
      <c r="AF1143" s="1016"/>
      <c r="AG1143" s="1016"/>
      <c r="AH1143" s="394"/>
      <c r="AK1143" s="1018"/>
      <c r="BB1143" s="1022">
        <f t="shared" si="163"/>
        <v>0.13571465339186989</v>
      </c>
      <c r="BC1143" s="1948" t="str">
        <f t="shared" si="164"/>
        <v>Lighting RES 19 Year EUL</v>
      </c>
      <c r="BD1143" s="114">
        <f>(INDEX('Avoided Cost Benefits'!$C$4:$C$857,MATCH(BC1143,'Avoided Cost Benefits'!$A$4:$A$857,0)))*F1143</f>
        <v>1.9213966973837171</v>
      </c>
      <c r="BE1143" s="1023">
        <f t="shared" si="165"/>
        <v>14.157621519584708</v>
      </c>
    </row>
    <row r="1144" spans="1:57" s="892" customFormat="1" x14ac:dyDescent="0.25">
      <c r="A1144" s="123"/>
      <c r="B1144" s="123"/>
      <c r="C1144" s="63" t="s">
        <v>2140</v>
      </c>
      <c r="D1144" s="1174" t="s">
        <v>2098</v>
      </c>
      <c r="E1144" s="3121" t="s">
        <v>2141</v>
      </c>
      <c r="F1144" s="105">
        <f t="shared" si="155"/>
        <v>6.42</v>
      </c>
      <c r="G1144" s="1110" t="s">
        <v>54</v>
      </c>
      <c r="H1144" s="155">
        <f>VLOOKUP(G1144,'CP FACTORS'!$A$3:$B$38, 2, FALSE)</f>
        <v>1.4925290000000001E-4</v>
      </c>
      <c r="I1144" s="1110" t="s">
        <v>55</v>
      </c>
      <c r="J1144" s="155">
        <f>VLOOKUP(I1144,'CP FACTORS'!$A$3:$B$38, 2, FALSE)</f>
        <v>1.899635E-4</v>
      </c>
      <c r="K1144" s="141">
        <f t="shared" si="149"/>
        <v>6.4223725711721276</v>
      </c>
      <c r="L1144" s="1722">
        <f t="shared" si="150"/>
        <v>0</v>
      </c>
      <c r="M1144" s="106">
        <f t="shared" si="156"/>
        <v>9.59E-4</v>
      </c>
      <c r="N1144" s="141">
        <v>19</v>
      </c>
      <c r="O1144" s="141">
        <f t="shared" si="151"/>
        <v>5.9683676514473287</v>
      </c>
      <c r="P1144" s="1111">
        <f t="shared" si="152"/>
        <v>8</v>
      </c>
      <c r="Q1144" s="1112">
        <f t="shared" si="153"/>
        <v>7.83</v>
      </c>
      <c r="R1144" s="2667" t="s">
        <v>185</v>
      </c>
      <c r="S1144" s="910"/>
      <c r="T1144" s="910"/>
      <c r="U1144" s="910"/>
      <c r="V1144" s="1962" t="str">
        <f t="shared" si="159"/>
        <v>kWh Annual Savings</v>
      </c>
      <c r="W1144" s="1056">
        <v>6.2942285326249126</v>
      </c>
      <c r="X1144" s="1109">
        <v>6.8511643200000005</v>
      </c>
      <c r="Y1144" s="1951">
        <v>6.42</v>
      </c>
      <c r="Z1144" s="62">
        <v>6.42</v>
      </c>
      <c r="AA1144" s="62">
        <v>6.42</v>
      </c>
      <c r="AB1144" s="1123">
        <v>6.42</v>
      </c>
      <c r="AC1144" s="105">
        <v>6.42</v>
      </c>
      <c r="AD1144" s="1016"/>
      <c r="AE1144" s="1016"/>
      <c r="AF1144" s="1016"/>
      <c r="AG1144" s="1016"/>
      <c r="AH1144" s="394"/>
      <c r="AK1144" s="1018"/>
      <c r="BB1144" s="1022">
        <f t="shared" si="163"/>
        <v>0.49806864030629089</v>
      </c>
      <c r="BC1144" s="1948" t="str">
        <f t="shared" si="164"/>
        <v>Lighting RES 19 Year EUL</v>
      </c>
      <c r="BD1144" s="114">
        <f>(INDEX('Avoided Cost Benefits'!$C$4:$C$857,MATCH(BC1144,'Avoided Cost Benefits'!$A$4:$A$857,0)))*F1144</f>
        <v>3.7607825601230074</v>
      </c>
      <c r="BE1144" s="1023">
        <f t="shared" si="165"/>
        <v>7.5507314771118441</v>
      </c>
    </row>
    <row r="1145" spans="1:57" s="892" customFormat="1" x14ac:dyDescent="0.25">
      <c r="A1145" s="123"/>
      <c r="B1145" s="123"/>
      <c r="C1145" s="1975" t="s">
        <v>2142</v>
      </c>
      <c r="D1145" s="2147" t="s">
        <v>2143</v>
      </c>
      <c r="E1145" s="2865" t="s">
        <v>2144</v>
      </c>
      <c r="F1145" s="115">
        <f t="shared" si="155"/>
        <v>3.78</v>
      </c>
      <c r="G1145" s="2866" t="s">
        <v>54</v>
      </c>
      <c r="H1145" s="2867">
        <f>VLOOKUP(G1145,'CP FACTORS'!$A$3:$B$38, 2, FALSE)</f>
        <v>1.4925290000000001E-4</v>
      </c>
      <c r="I1145" s="2866" t="s">
        <v>55</v>
      </c>
      <c r="J1145" s="2867">
        <f>VLOOKUP(I1145,'CP FACTORS'!$A$3:$B$38, 2, FALSE)</f>
        <v>1.899635E-4</v>
      </c>
      <c r="K1145" s="534">
        <f t="shared" ref="K1145:K1146" si="166">((F1181-F1206)*$F$1218*$F$1209*(1-$F$1211)*($F$1212*$F$1214)/1000)</f>
        <v>3.7791512068461839</v>
      </c>
      <c r="L1145" s="2868">
        <f t="shared" ref="L1145:L1146" si="167">((F1181-F1206)*(1-$F$1218)*$F$1209*(1-$F$1211)*($F$1215*$F$1217)/1000)</f>
        <v>0</v>
      </c>
      <c r="M1145" s="2869">
        <f t="shared" ref="M1145:M1147" si="168">ROUND(((K1145/F1145)*H1145+(L1145/F1145)*J1145)*F1145,6)</f>
        <v>5.6400000000000005E-4</v>
      </c>
      <c r="N1145" s="534">
        <v>19</v>
      </c>
      <c r="O1145" s="534">
        <f t="shared" si="151"/>
        <v>5.9683676514473287</v>
      </c>
      <c r="P1145" s="2067">
        <f t="shared" ref="P1145:Q1145" si="169">F1250</f>
        <v>7</v>
      </c>
      <c r="Q1145" s="2870">
        <f t="shared" si="169"/>
        <v>3.27</v>
      </c>
      <c r="R1145" s="2734" t="s">
        <v>185</v>
      </c>
      <c r="S1145" s="910"/>
      <c r="T1145" s="910"/>
      <c r="U1145" s="910"/>
      <c r="V1145" s="1958" t="str">
        <f t="shared" si="159"/>
        <v>kWh Annual Savings</v>
      </c>
      <c r="W1145" s="1056"/>
      <c r="X1145" s="1109"/>
      <c r="Y1145" s="1951"/>
      <c r="Z1145" s="62"/>
      <c r="AA1145" s="62"/>
      <c r="AB1145" s="1123"/>
      <c r="AC1145" s="115">
        <v>3.78</v>
      </c>
      <c r="AD1145" s="1016"/>
      <c r="AE1145" s="1016"/>
      <c r="AF1145" s="1016"/>
      <c r="AG1145" s="1016"/>
      <c r="AH1145" s="394"/>
      <c r="AK1145" s="1018"/>
      <c r="BB1145" s="1022">
        <f t="shared" ref="BB1145:BB1146" si="170">(BD1145)/(BE1145)</f>
        <v>0.3351489916079714</v>
      </c>
      <c r="BC1145" s="1948" t="str">
        <f t="shared" ref="BC1145:BC1146" si="171">CONCATENATE(G1145," ",N1145," Year EUL")</f>
        <v>Lighting RES 19 Year EUL</v>
      </c>
      <c r="BD1145" s="114">
        <f>(INDEX('Avoided Cost Benefits'!$C$4:$C$857,MATCH(BC1145,'Avoided Cost Benefits'!$A$4:$A$857,0)))*F1145</f>
        <v>2.2142925353995278</v>
      </c>
      <c r="BE1145" s="1023">
        <f t="shared" ref="BE1145:BE1146" si="172">P1145/(1.0595^(2020-2019))</f>
        <v>6.6068900424728643</v>
      </c>
    </row>
    <row r="1146" spans="1:57" s="892" customFormat="1" x14ac:dyDescent="0.25">
      <c r="A1146" s="123"/>
      <c r="B1146" s="123"/>
      <c r="C1146" s="63" t="s">
        <v>2145</v>
      </c>
      <c r="D1146" s="1174" t="s">
        <v>2098</v>
      </c>
      <c r="E1146" s="3121" t="s">
        <v>2146</v>
      </c>
      <c r="F1146" s="105">
        <f>ROUND(K1146+L1146,2)</f>
        <v>15.07</v>
      </c>
      <c r="G1146" s="1110" t="s">
        <v>54</v>
      </c>
      <c r="H1146" s="155">
        <f>VLOOKUP(G1146,'CP FACTORS'!$A$3:$B$38, 2, FALSE)</f>
        <v>1.4925290000000001E-4</v>
      </c>
      <c r="I1146" s="1110" t="s">
        <v>55</v>
      </c>
      <c r="J1146" s="155">
        <f>VLOOKUP(I1146,'CP FACTORS'!$A$3:$B$38, 2, FALSE)</f>
        <v>1.899635E-4</v>
      </c>
      <c r="K1146" s="141">
        <f t="shared" si="166"/>
        <v>15.07291521805703</v>
      </c>
      <c r="L1146" s="1722">
        <f t="shared" si="167"/>
        <v>0</v>
      </c>
      <c r="M1146" s="106">
        <f t="shared" si="168"/>
        <v>2.2499999999999998E-3</v>
      </c>
      <c r="N1146" s="141">
        <v>19</v>
      </c>
      <c r="O1146" s="141">
        <f t="shared" si="151"/>
        <v>5.9683676514473287</v>
      </c>
      <c r="P1146" s="1111">
        <f t="shared" ref="P1146:Q1146" si="173">F1251</f>
        <v>6</v>
      </c>
      <c r="Q1146" s="1112">
        <f t="shared" si="173"/>
        <v>3.68</v>
      </c>
      <c r="R1146" s="2667" t="s">
        <v>185</v>
      </c>
      <c r="S1146" s="910"/>
      <c r="T1146" s="910"/>
      <c r="U1146" s="910"/>
      <c r="V1146" s="1962" t="str">
        <f t="shared" si="159"/>
        <v>kWh Annual Savings</v>
      </c>
      <c r="W1146" s="1056"/>
      <c r="X1146" s="1109"/>
      <c r="Y1146" s="1951"/>
      <c r="Z1146" s="62"/>
      <c r="AA1146" s="62"/>
      <c r="AB1146" s="1951">
        <v>15.07</v>
      </c>
      <c r="AC1146" s="105">
        <v>15.07</v>
      </c>
      <c r="AD1146" s="1016"/>
      <c r="AE1146" s="1016"/>
      <c r="AF1146" s="1016"/>
      <c r="AG1146" s="1016"/>
      <c r="AH1146" s="394"/>
      <c r="AK1146" s="1018"/>
      <c r="BB1146" s="1022">
        <f t="shared" si="170"/>
        <v>1.5588565751642371</v>
      </c>
      <c r="BC1146" s="1948" t="str">
        <f t="shared" si="171"/>
        <v>Lighting RES 19 Year EUL</v>
      </c>
      <c r="BD1146" s="114">
        <f>(INDEX('Avoided Cost Benefits'!$C$4:$C$857,MATCH(BC1146,'Avoided Cost Benefits'!$A$4:$A$857,0)))*F1146</f>
        <v>8.8278805577965294</v>
      </c>
      <c r="BE1146" s="1023">
        <f t="shared" si="172"/>
        <v>5.6630486078338835</v>
      </c>
    </row>
    <row r="1147" spans="1:57" s="892" customFormat="1" x14ac:dyDescent="0.25">
      <c r="A1147" s="123"/>
      <c r="B1147" s="123"/>
      <c r="C1147" s="1975" t="s">
        <v>4404</v>
      </c>
      <c r="D1147" s="2147" t="s">
        <v>2143</v>
      </c>
      <c r="E1147" s="2865" t="s">
        <v>105</v>
      </c>
      <c r="F1147" s="115">
        <f t="shared" si="155"/>
        <v>28.53</v>
      </c>
      <c r="G1147" s="2866" t="s">
        <v>54</v>
      </c>
      <c r="H1147" s="2867">
        <f>VLOOKUP(G1147,'CP FACTORS'!$A$3:$B$38, 2, FALSE)</f>
        <v>1.4925290000000001E-4</v>
      </c>
      <c r="I1147" s="2866" t="s">
        <v>55</v>
      </c>
      <c r="J1147" s="2867">
        <f>VLOOKUP(I1147,'CP FACTORS'!$A$3:$B$38, 2, FALSE)</f>
        <v>1.899635E-4</v>
      </c>
      <c r="K1147" s="534">
        <f>((F1183-F1208)*$F$1218*$F$1209*(1-$F$1211)*($F$1213*$F$1214)/1000)</f>
        <v>28.526284813109683</v>
      </c>
      <c r="L1147" s="2868">
        <f>((F1183-F1208)*(1-$F$1218)*$F$1209*(1-$F$1211)*($F$1216*$F$1217)/1000)</f>
        <v>0</v>
      </c>
      <c r="M1147" s="2869">
        <f t="shared" si="168"/>
        <v>4.2579999999999996E-3</v>
      </c>
      <c r="N1147" s="534">
        <v>19</v>
      </c>
      <c r="O1147" s="534">
        <f t="shared" si="151"/>
        <v>5.9683676514473287</v>
      </c>
      <c r="P1147" s="2067">
        <f t="shared" ref="P1147:Q1147" si="174">F1252</f>
        <v>6</v>
      </c>
      <c r="Q1147" s="2870">
        <f t="shared" si="174"/>
        <v>3.68</v>
      </c>
      <c r="R1147" s="2734" t="s">
        <v>185</v>
      </c>
      <c r="S1147" s="910"/>
      <c r="T1147" s="910"/>
      <c r="U1147" s="910"/>
      <c r="V1147" s="1958" t="str">
        <f t="shared" si="159"/>
        <v>kWh Annual Savings</v>
      </c>
      <c r="W1147" s="1056"/>
      <c r="X1147" s="1109"/>
      <c r="Y1147" s="1951"/>
      <c r="Z1147" s="62"/>
      <c r="AA1147" s="62"/>
      <c r="AB1147" s="1951"/>
      <c r="AC1147" s="115">
        <v>28.53</v>
      </c>
      <c r="AD1147" s="1016"/>
      <c r="AE1147" s="1016"/>
      <c r="AF1147" s="1016"/>
      <c r="AG1147" s="1016"/>
      <c r="AH1147" s="394"/>
      <c r="AK1147" s="1018"/>
      <c r="BB1147" s="1024">
        <f t="shared" ref="BB1147" si="175">(BD1147)/(BE1147)</f>
        <v>2.9511730649924153</v>
      </c>
      <c r="BC1147" s="1948" t="str">
        <f t="shared" ref="BC1147" si="176">CONCATENATE(G1147," ",N1147," Year EUL")</f>
        <v>Lighting RES 19 Year EUL</v>
      </c>
      <c r="BD1147" s="119">
        <f>(INDEX('Avoided Cost Benefits'!$C$4:$C$857,MATCH(BC1147,'Avoided Cost Benefits'!$A$4:$A$857,0)))*F1147</f>
        <v>16.712636517182151</v>
      </c>
      <c r="BE1147" s="1025">
        <f t="shared" ref="BE1147" si="177">P1147/(1.0595^(2020-2019))</f>
        <v>5.6630486078338835</v>
      </c>
    </row>
    <row r="1148" spans="1:57" s="892" customFormat="1" x14ac:dyDescent="0.25">
      <c r="A1148" s="123"/>
      <c r="B1148" s="123"/>
      <c r="C1148" s="120"/>
      <c r="D1148" s="1113"/>
      <c r="E1148" s="1116"/>
      <c r="F1148" s="1115"/>
      <c r="G1148" s="1114"/>
      <c r="H1148" s="1464"/>
      <c r="I1148" s="1114"/>
      <c r="J1148" s="1464"/>
      <c r="K1148" s="1115"/>
      <c r="L1148" s="1723"/>
      <c r="M1148" s="1118"/>
      <c r="N1148" s="1725"/>
      <c r="O1148" s="1726"/>
      <c r="P1148" s="1727"/>
      <c r="Q1148" s="1727"/>
      <c r="R1148" s="685"/>
      <c r="S1148" s="910"/>
      <c r="T1148" s="910"/>
      <c r="U1148" s="910"/>
      <c r="V1148" s="224"/>
      <c r="W1148" s="224"/>
      <c r="X1148" s="224"/>
      <c r="Y1148" s="618"/>
      <c r="Z1148" s="224"/>
      <c r="AA1148" s="224"/>
      <c r="AB1148" s="224"/>
      <c r="AC1148" s="224"/>
      <c r="AD1148" s="224"/>
      <c r="AE1148" s="224"/>
      <c r="AF1148" s="224"/>
      <c r="AG1148" s="224"/>
      <c r="AK1148" s="883"/>
      <c r="BB1148" s="876"/>
      <c r="BC1148" s="224"/>
      <c r="BD1148" s="224"/>
      <c r="BE1148" s="224"/>
    </row>
    <row r="1149" spans="1:57" hidden="1" outlineLevel="1" x14ac:dyDescent="0.25">
      <c r="B1149" s="123"/>
      <c r="C1149" s="120"/>
      <c r="D1149" s="1116"/>
      <c r="E1149" s="1116"/>
      <c r="F1149" s="540"/>
      <c r="G1149" s="1117"/>
      <c r="H1149" s="1728"/>
      <c r="I1149" s="576"/>
      <c r="J1149" s="1725"/>
      <c r="K1149" s="1118"/>
      <c r="L1149" s="685"/>
      <c r="M1149" s="123"/>
      <c r="N1149" s="123"/>
      <c r="AH1149" s="892"/>
      <c r="AI1149" s="892"/>
      <c r="AJ1149" s="892"/>
      <c r="AK1149" s="883"/>
      <c r="AL1149" s="892"/>
    </row>
    <row r="1150" spans="1:57" hidden="1" outlineLevel="1" x14ac:dyDescent="0.25">
      <c r="B1150" s="123"/>
      <c r="C1150" s="328"/>
      <c r="D1150" s="174" t="s">
        <v>108</v>
      </c>
      <c r="E1150" s="828"/>
      <c r="F1150" s="576"/>
      <c r="G1150" s="576"/>
      <c r="H1150" s="576"/>
      <c r="I1150" s="576"/>
      <c r="J1150" s="1725"/>
      <c r="K1150" s="1118"/>
      <c r="L1150" s="685"/>
      <c r="M1150" s="123"/>
      <c r="N1150" s="123"/>
      <c r="V1150" s="224" t="str">
        <f>IF(C1148&gt;0,C1148," ")</f>
        <v xml:space="preserve"> </v>
      </c>
      <c r="AH1150" s="892"/>
      <c r="AI1150" s="892"/>
      <c r="AK1150" s="883"/>
    </row>
    <row r="1151" spans="1:57" hidden="1" outlineLevel="1" x14ac:dyDescent="0.25">
      <c r="B1151" s="123"/>
      <c r="C1151" s="328"/>
      <c r="D1151" s="329"/>
      <c r="E1151" s="329"/>
      <c r="F1151" s="123"/>
      <c r="G1151" s="123"/>
      <c r="H1151" s="123"/>
      <c r="I1151" s="123"/>
      <c r="J1151" s="1725"/>
      <c r="K1151" s="1118"/>
      <c r="L1151" s="685"/>
      <c r="M1151" s="123"/>
      <c r="N1151" s="123"/>
      <c r="V1151" s="224" t="str">
        <f>IF(C1149&gt;0,C1149," ")</f>
        <v xml:space="preserve"> </v>
      </c>
      <c r="AK1151" s="883"/>
    </row>
    <row r="1152" spans="1:57" hidden="1" outlineLevel="1" x14ac:dyDescent="0.25">
      <c r="B1152" s="123"/>
      <c r="C1152" s="328"/>
      <c r="D1152" s="329"/>
      <c r="E1152" s="329"/>
      <c r="F1152" s="123"/>
      <c r="G1152" s="123"/>
      <c r="H1152" s="123"/>
      <c r="I1152" s="123"/>
      <c r="J1152" s="1725"/>
      <c r="K1152" s="1118"/>
      <c r="L1152" s="685"/>
      <c r="M1152" s="123"/>
      <c r="N1152" s="123"/>
      <c r="AK1152" s="883"/>
    </row>
    <row r="1153" spans="1:37" hidden="1" outlineLevel="1" x14ac:dyDescent="0.25">
      <c r="B1153" s="123"/>
      <c r="C1153" s="328"/>
      <c r="D1153" s="329"/>
      <c r="E1153" s="329"/>
      <c r="F1153" s="123"/>
      <c r="G1153" s="123"/>
      <c r="H1153" s="123"/>
      <c r="I1153" s="123"/>
      <c r="J1153" s="1725"/>
      <c r="K1153" s="1118"/>
      <c r="L1153" s="685"/>
      <c r="M1153" s="123"/>
      <c r="N1153" s="123"/>
      <c r="AK1153" s="883"/>
    </row>
    <row r="1154" spans="1:37" hidden="1" outlineLevel="1" x14ac:dyDescent="0.25">
      <c r="B1154" s="123"/>
      <c r="C1154" s="328"/>
      <c r="D1154" s="329"/>
      <c r="E1154" s="329"/>
      <c r="F1154" s="123"/>
      <c r="G1154" s="123"/>
      <c r="H1154" s="123"/>
      <c r="I1154" s="123"/>
      <c r="J1154" s="1725"/>
      <c r="K1154" s="1118"/>
      <c r="L1154" s="685"/>
      <c r="M1154" s="123"/>
      <c r="N1154" s="123"/>
      <c r="AK1154" s="883"/>
    </row>
    <row r="1155" spans="1:37" hidden="1" outlineLevel="1" x14ac:dyDescent="0.25">
      <c r="B1155" s="123"/>
      <c r="C1155" s="328"/>
      <c r="D1155" s="329"/>
      <c r="E1155" s="329"/>
      <c r="F1155" s="123"/>
      <c r="G1155" s="123"/>
      <c r="H1155" s="123"/>
      <c r="I1155" s="123"/>
      <c r="J1155" s="1725"/>
      <c r="K1155" s="1118"/>
      <c r="L1155" s="685"/>
      <c r="M1155" s="123"/>
      <c r="N1155" s="123"/>
      <c r="AK1155" s="883"/>
    </row>
    <row r="1156" spans="1:37" hidden="1" outlineLevel="1" x14ac:dyDescent="0.25">
      <c r="B1156" s="123"/>
      <c r="C1156" s="328"/>
      <c r="D1156" s="329"/>
      <c r="E1156" s="329"/>
      <c r="F1156" s="123"/>
      <c r="G1156" s="123"/>
      <c r="H1156" s="123"/>
      <c r="I1156" s="123"/>
      <c r="J1156" s="1725"/>
      <c r="K1156" s="1118"/>
      <c r="L1156" s="685"/>
      <c r="M1156" s="123"/>
      <c r="N1156" s="123"/>
      <c r="AK1156" s="883"/>
    </row>
    <row r="1157" spans="1:37" hidden="1" outlineLevel="1" x14ac:dyDescent="0.25">
      <c r="B1157" s="123"/>
      <c r="C1157" s="328"/>
      <c r="D1157" s="329"/>
      <c r="E1157" s="329"/>
      <c r="F1157" s="123"/>
      <c r="G1157" s="123"/>
      <c r="H1157" s="123"/>
      <c r="I1157" s="123"/>
      <c r="J1157" s="1725"/>
      <c r="K1157" s="1118"/>
      <c r="L1157" s="685"/>
      <c r="M1157" s="123"/>
      <c r="N1157" s="123"/>
      <c r="AK1157" s="883"/>
    </row>
    <row r="1158" spans="1:37" hidden="1" outlineLevel="1" x14ac:dyDescent="0.25">
      <c r="A1158" s="123"/>
      <c r="B1158" s="123"/>
      <c r="C1158" s="1119"/>
      <c r="D1158" s="1120" t="s">
        <v>110</v>
      </c>
      <c r="E1158" s="1120" t="s">
        <v>111</v>
      </c>
      <c r="F1158" s="4226" t="s">
        <v>112</v>
      </c>
      <c r="G1158" s="3774"/>
      <c r="H1158" s="4226" t="s">
        <v>113</v>
      </c>
      <c r="I1158" s="3774"/>
      <c r="J1158" s="123"/>
      <c r="K1158" s="123"/>
      <c r="L1158" s="123"/>
      <c r="M1158" s="123"/>
      <c r="N1158" s="123"/>
      <c r="V1158" s="1936" t="s">
        <v>45</v>
      </c>
      <c r="W1158" s="1937">
        <f>$W$6</f>
        <v>43252</v>
      </c>
      <c r="X1158" s="1937">
        <f>$X$6</f>
        <v>43465</v>
      </c>
      <c r="Y1158" s="360">
        <f>$Y$6</f>
        <v>43800</v>
      </c>
      <c r="Z1158" s="1937">
        <f>$Z$6</f>
        <v>43862</v>
      </c>
      <c r="AA1158" s="1937">
        <f>$AA$6</f>
        <v>44013</v>
      </c>
      <c r="AB1158" s="1937">
        <f>$AB$6</f>
        <v>44166</v>
      </c>
      <c r="AC1158" s="1937">
        <f>$AC$6</f>
        <v>44531</v>
      </c>
      <c r="AD1158" s="1937" t="str">
        <f>$AD$6</f>
        <v>-</v>
      </c>
      <c r="AE1158" s="1937" t="str">
        <f>$AE$6</f>
        <v>-</v>
      </c>
      <c r="AF1158" s="1937" t="str">
        <f>$AF$6</f>
        <v>-</v>
      </c>
      <c r="AG1158" s="1937" t="str">
        <f>$AG$6</f>
        <v>-</v>
      </c>
      <c r="AK1158" s="883"/>
    </row>
    <row r="1159" spans="1:37" ht="15" hidden="1" customHeight="1" outlineLevel="1" x14ac:dyDescent="0.25">
      <c r="A1159" s="123"/>
      <c r="B1159" s="123"/>
      <c r="C1159" s="1119"/>
      <c r="D1159" s="4372" t="s">
        <v>2148</v>
      </c>
      <c r="E1159" s="3121" t="s">
        <v>2099</v>
      </c>
      <c r="F1159" s="65">
        <v>43</v>
      </c>
      <c r="G1159" s="1134"/>
      <c r="H1159" s="3769" t="s">
        <v>536</v>
      </c>
      <c r="I1159" s="4225"/>
      <c r="J1159" s="123"/>
      <c r="K1159" s="123"/>
      <c r="L1159" s="123"/>
      <c r="M1159" s="123"/>
      <c r="N1159" s="123"/>
      <c r="V1159" s="4369" t="s">
        <v>2148</v>
      </c>
      <c r="W1159" s="1123">
        <v>43</v>
      </c>
      <c r="X1159" s="366">
        <v>43</v>
      </c>
      <c r="Y1159" s="65">
        <v>43</v>
      </c>
      <c r="Z1159" s="65">
        <v>43</v>
      </c>
      <c r="AA1159" s="65">
        <v>43</v>
      </c>
      <c r="AB1159" s="65">
        <v>43</v>
      </c>
      <c r="AC1159" s="65">
        <v>43</v>
      </c>
      <c r="AD1159" s="554"/>
      <c r="AE1159" s="554"/>
      <c r="AF1159" s="554"/>
      <c r="AG1159" s="554"/>
      <c r="AK1159" s="883"/>
    </row>
    <row r="1160" spans="1:37" ht="15" hidden="1" customHeight="1" outlineLevel="1" x14ac:dyDescent="0.25">
      <c r="A1160" s="123"/>
      <c r="B1160" s="123"/>
      <c r="C1160" s="1119"/>
      <c r="D1160" s="4373"/>
      <c r="E1160" s="3121" t="s">
        <v>2101</v>
      </c>
      <c r="F1160" s="65">
        <v>43</v>
      </c>
      <c r="G1160" s="1134"/>
      <c r="H1160" s="3769" t="s">
        <v>2149</v>
      </c>
      <c r="I1160" s="4225"/>
      <c r="J1160" s="123"/>
      <c r="K1160" s="123"/>
      <c r="L1160" s="123"/>
      <c r="M1160" s="123"/>
      <c r="N1160" s="123"/>
      <c r="V1160" s="3707"/>
      <c r="W1160" s="1123">
        <v>41.32</v>
      </c>
      <c r="X1160" s="1123">
        <v>41.32</v>
      </c>
      <c r="Y1160" s="1124">
        <v>41.32</v>
      </c>
      <c r="Z1160" s="1124">
        <v>41.32</v>
      </c>
      <c r="AA1160" s="1124">
        <v>41.32</v>
      </c>
      <c r="AB1160" s="549">
        <v>43</v>
      </c>
      <c r="AC1160" s="65">
        <v>43</v>
      </c>
      <c r="AD1160" s="899"/>
      <c r="AE1160" s="899"/>
      <c r="AF1160" s="899"/>
      <c r="AG1160" s="899"/>
      <c r="AK1160" s="883"/>
    </row>
    <row r="1161" spans="1:37" hidden="1" outlineLevel="1" x14ac:dyDescent="0.25">
      <c r="A1161" s="123"/>
      <c r="B1161" s="123"/>
      <c r="C1161" s="1119"/>
      <c r="D1161" s="4373"/>
      <c r="E1161" s="3121" t="s">
        <v>2103</v>
      </c>
      <c r="F1161" s="65">
        <v>44.25</v>
      </c>
      <c r="G1161" s="1134"/>
      <c r="H1161" s="3769" t="s">
        <v>536</v>
      </c>
      <c r="I1161" s="4225"/>
      <c r="J1161" s="123"/>
      <c r="K1161" s="123"/>
      <c r="L1161" s="123"/>
      <c r="M1161" s="123"/>
      <c r="N1161" s="123"/>
      <c r="V1161" s="3707"/>
      <c r="W1161" s="1123">
        <v>53</v>
      </c>
      <c r="X1161" s="366">
        <v>44.25</v>
      </c>
      <c r="Y1161" s="1124">
        <v>44.25</v>
      </c>
      <c r="Z1161" s="1124">
        <v>44.25</v>
      </c>
      <c r="AA1161" s="1124">
        <v>44.25</v>
      </c>
      <c r="AB1161" s="65">
        <v>44.25</v>
      </c>
      <c r="AC1161" s="65">
        <v>44.25</v>
      </c>
      <c r="AD1161" s="899"/>
      <c r="AE1161" s="899"/>
      <c r="AF1161" s="899"/>
      <c r="AG1161" s="899"/>
      <c r="AK1161" s="883"/>
    </row>
    <row r="1162" spans="1:37" ht="15" hidden="1" customHeight="1" outlineLevel="1" x14ac:dyDescent="0.25">
      <c r="A1162" s="123"/>
      <c r="B1162" s="123"/>
      <c r="C1162" s="1119"/>
      <c r="D1162" s="4373"/>
      <c r="E1162" s="3121" t="s">
        <v>2105</v>
      </c>
      <c r="F1162" s="65">
        <v>53</v>
      </c>
      <c r="G1162" s="1134"/>
      <c r="H1162" s="3769" t="s">
        <v>536</v>
      </c>
      <c r="I1162" s="4225"/>
      <c r="J1162" s="123"/>
      <c r="K1162" s="123"/>
      <c r="L1162" s="123"/>
      <c r="M1162" s="123"/>
      <c r="N1162" s="123"/>
      <c r="V1162" s="3707"/>
      <c r="W1162" s="1123">
        <v>76.25</v>
      </c>
      <c r="X1162" s="1125">
        <v>76.25</v>
      </c>
      <c r="Y1162" s="549">
        <v>53</v>
      </c>
      <c r="Z1162" s="65">
        <v>53</v>
      </c>
      <c r="AA1162" s="65">
        <v>53</v>
      </c>
      <c r="AB1162" s="65">
        <v>53</v>
      </c>
      <c r="AC1162" s="65">
        <v>53</v>
      </c>
      <c r="AD1162" s="899"/>
      <c r="AE1162" s="899"/>
      <c r="AF1162" s="899"/>
      <c r="AG1162" s="899"/>
      <c r="AK1162" s="883"/>
    </row>
    <row r="1163" spans="1:37" ht="15" hidden="1" customHeight="1" outlineLevel="1" x14ac:dyDescent="0.25">
      <c r="A1163" s="123"/>
      <c r="B1163" s="123"/>
      <c r="C1163" s="1119"/>
      <c r="D1163" s="4373"/>
      <c r="E1163" s="3121" t="s">
        <v>2107</v>
      </c>
      <c r="F1163" s="65">
        <v>53</v>
      </c>
      <c r="G1163" s="1134"/>
      <c r="H1163" s="3769" t="s">
        <v>2150</v>
      </c>
      <c r="I1163" s="4225"/>
      <c r="J1163" s="123"/>
      <c r="K1163" s="123"/>
      <c r="L1163" s="123"/>
      <c r="M1163" s="123"/>
      <c r="N1163" s="123"/>
      <c r="V1163" s="3707"/>
      <c r="W1163" s="62">
        <v>53</v>
      </c>
      <c r="X1163" s="62">
        <v>53</v>
      </c>
      <c r="Y1163" s="1126">
        <v>53</v>
      </c>
      <c r="Z1163" s="1124">
        <v>53</v>
      </c>
      <c r="AA1163" s="1124">
        <v>53</v>
      </c>
      <c r="AB1163" s="65">
        <v>53</v>
      </c>
      <c r="AC1163" s="65">
        <v>53</v>
      </c>
      <c r="AD1163" s="899"/>
      <c r="AE1163" s="899"/>
      <c r="AF1163" s="899"/>
      <c r="AG1163" s="899"/>
      <c r="AK1163" s="883"/>
    </row>
    <row r="1164" spans="1:37" ht="15" hidden="1" customHeight="1" outlineLevel="1" x14ac:dyDescent="0.25">
      <c r="A1164" s="123"/>
      <c r="B1164" s="123"/>
      <c r="C1164" s="1119"/>
      <c r="D1164" s="4373"/>
      <c r="E1164" s="3121" t="s">
        <v>2109</v>
      </c>
      <c r="F1164" s="65">
        <v>65</v>
      </c>
      <c r="G1164" s="366"/>
      <c r="H1164" s="4365" t="s">
        <v>2151</v>
      </c>
      <c r="I1164" s="4365"/>
      <c r="J1164" s="123"/>
      <c r="K1164" s="123"/>
      <c r="L1164" s="123"/>
      <c r="M1164" s="123"/>
      <c r="N1164" s="123"/>
      <c r="V1164" s="3707"/>
      <c r="W1164" s="1123"/>
      <c r="X1164" s="366"/>
      <c r="Y1164" s="65"/>
      <c r="Z1164" s="65"/>
      <c r="AA1164" s="65"/>
      <c r="AB1164" s="549">
        <v>65</v>
      </c>
      <c r="AC1164" s="65">
        <v>65</v>
      </c>
      <c r="AD1164" s="899"/>
      <c r="AE1164" s="899"/>
      <c r="AF1164" s="899"/>
      <c r="AG1164" s="899"/>
      <c r="AK1164" s="883"/>
    </row>
    <row r="1165" spans="1:37" ht="15" hidden="1" customHeight="1" outlineLevel="1" x14ac:dyDescent="0.25">
      <c r="A1165" s="123"/>
      <c r="B1165" s="123"/>
      <c r="C1165" s="1119"/>
      <c r="D1165" s="4373"/>
      <c r="E1165" s="3121" t="s">
        <v>2111</v>
      </c>
      <c r="F1165" s="65">
        <v>55</v>
      </c>
      <c r="G1165" s="1134"/>
      <c r="H1165" s="3769" t="s">
        <v>536</v>
      </c>
      <c r="I1165" s="4225"/>
      <c r="J1165" s="123"/>
      <c r="K1165" s="123"/>
      <c r="L1165" s="123"/>
      <c r="M1165" s="123"/>
      <c r="N1165" s="123"/>
      <c r="V1165" s="3707"/>
      <c r="W1165" s="1123">
        <v>62.1</v>
      </c>
      <c r="X1165" s="366">
        <v>55</v>
      </c>
      <c r="Y1165" s="65">
        <v>55</v>
      </c>
      <c r="Z1165" s="65">
        <v>55</v>
      </c>
      <c r="AA1165" s="65">
        <v>55</v>
      </c>
      <c r="AB1165" s="65">
        <v>55</v>
      </c>
      <c r="AC1165" s="65">
        <v>55</v>
      </c>
      <c r="AD1165" s="899"/>
      <c r="AE1165" s="899"/>
      <c r="AF1165" s="899"/>
      <c r="AG1165" s="899"/>
      <c r="AK1165" s="883"/>
    </row>
    <row r="1166" spans="1:37" ht="15" hidden="1" customHeight="1" outlineLevel="1" x14ac:dyDescent="0.25">
      <c r="A1166" s="123"/>
      <c r="B1166" s="123"/>
      <c r="C1166" s="1119"/>
      <c r="D1166" s="4373"/>
      <c r="E1166" s="3121" t="s">
        <v>2113</v>
      </c>
      <c r="F1166" s="65">
        <v>70</v>
      </c>
      <c r="G1166" s="1134"/>
      <c r="H1166" s="3769" t="s">
        <v>2152</v>
      </c>
      <c r="I1166" s="4225"/>
      <c r="J1166" s="123"/>
      <c r="K1166" s="123"/>
      <c r="L1166" s="123"/>
      <c r="M1166" s="123"/>
      <c r="N1166" s="123"/>
      <c r="V1166" s="3707"/>
      <c r="W1166" s="1123">
        <v>100</v>
      </c>
      <c r="X1166" s="366">
        <v>70</v>
      </c>
      <c r="Y1166" s="1124">
        <v>70</v>
      </c>
      <c r="Z1166" s="1124">
        <v>70</v>
      </c>
      <c r="AA1166" s="1124">
        <v>70</v>
      </c>
      <c r="AB1166" s="65">
        <v>70</v>
      </c>
      <c r="AC1166" s="65">
        <v>70</v>
      </c>
      <c r="AD1166" s="899"/>
      <c r="AE1166" s="899"/>
      <c r="AF1166" s="899"/>
      <c r="AG1166" s="899"/>
      <c r="AK1166" s="883"/>
    </row>
    <row r="1167" spans="1:37" ht="15" hidden="1" customHeight="1" outlineLevel="1" x14ac:dyDescent="0.25">
      <c r="A1167" s="123"/>
      <c r="B1167" s="123"/>
      <c r="C1167" s="1119"/>
      <c r="D1167" s="4373"/>
      <c r="E1167" s="3121" t="s">
        <v>2115</v>
      </c>
      <c r="F1167" s="65">
        <v>72</v>
      </c>
      <c r="G1167" s="1134"/>
      <c r="H1167" s="3769" t="s">
        <v>2150</v>
      </c>
      <c r="I1167" s="4225"/>
      <c r="J1167" s="123"/>
      <c r="K1167" s="123"/>
      <c r="L1167" s="123"/>
      <c r="M1167" s="123"/>
      <c r="N1167" s="123"/>
      <c r="V1167" s="3707"/>
      <c r="W1167" s="1123">
        <v>72</v>
      </c>
      <c r="X1167" s="1123">
        <v>72</v>
      </c>
      <c r="Y1167" s="1124">
        <v>72</v>
      </c>
      <c r="Z1167" s="1124">
        <v>72</v>
      </c>
      <c r="AA1167" s="1124">
        <v>72</v>
      </c>
      <c r="AB1167" s="65">
        <v>72</v>
      </c>
      <c r="AC1167" s="65">
        <v>72</v>
      </c>
      <c r="AD1167" s="899"/>
      <c r="AE1167" s="899"/>
      <c r="AF1167" s="899"/>
      <c r="AG1167" s="899"/>
      <c r="AK1167" s="883"/>
    </row>
    <row r="1168" spans="1:37" ht="15" hidden="1" customHeight="1" outlineLevel="1" x14ac:dyDescent="0.25">
      <c r="A1168" s="123"/>
      <c r="B1168" s="123"/>
      <c r="C1168" s="1119"/>
      <c r="D1168" s="4373"/>
      <c r="E1168" s="3121" t="s">
        <v>2117</v>
      </c>
      <c r="F1168" s="65">
        <v>40.409999999999997</v>
      </c>
      <c r="G1168" s="1134"/>
      <c r="H1168" s="3769" t="s">
        <v>123</v>
      </c>
      <c r="I1168" s="4225"/>
      <c r="J1168" s="123"/>
      <c r="K1168" s="123"/>
      <c r="L1168" s="123"/>
      <c r="M1168" s="123"/>
      <c r="N1168" s="123"/>
      <c r="V1168" s="3707"/>
      <c r="W1168" s="1125">
        <v>40.409999999999997</v>
      </c>
      <c r="X1168" s="1125">
        <v>40.409999999999997</v>
      </c>
      <c r="Y1168" s="1124">
        <v>40.409999999999997</v>
      </c>
      <c r="Z1168" s="1124">
        <v>40.409999999999997</v>
      </c>
      <c r="AA1168" s="1124">
        <v>40.409999999999997</v>
      </c>
      <c r="AB1168" s="65">
        <v>40.409999999999997</v>
      </c>
      <c r="AC1168" s="65">
        <v>40.409999999999997</v>
      </c>
      <c r="AD1168" s="899"/>
      <c r="AE1168" s="899"/>
      <c r="AF1168" s="899"/>
      <c r="AG1168" s="899"/>
      <c r="AK1168" s="883"/>
    </row>
    <row r="1169" spans="1:37" hidden="1" outlineLevel="1" x14ac:dyDescent="0.25">
      <c r="A1169" s="123"/>
      <c r="B1169" s="123"/>
      <c r="C1169" s="1119"/>
      <c r="D1169" s="4373"/>
      <c r="E1169" s="3121" t="s">
        <v>2119</v>
      </c>
      <c r="F1169" s="65">
        <v>9</v>
      </c>
      <c r="G1169" s="1134"/>
      <c r="H1169" s="3769" t="s">
        <v>125</v>
      </c>
      <c r="I1169" s="4225"/>
      <c r="J1169" s="123"/>
      <c r="K1169" s="123"/>
      <c r="L1169" s="123"/>
      <c r="M1169" s="123"/>
      <c r="N1169" s="123"/>
      <c r="V1169" s="3707"/>
      <c r="W1169" s="1125">
        <v>9</v>
      </c>
      <c r="X1169" s="1125">
        <v>9</v>
      </c>
      <c r="Y1169" s="1124">
        <v>9</v>
      </c>
      <c r="Z1169" s="1124">
        <v>9</v>
      </c>
      <c r="AA1169" s="1124">
        <v>9</v>
      </c>
      <c r="AB1169" s="65">
        <v>9</v>
      </c>
      <c r="AC1169" s="65">
        <v>9</v>
      </c>
      <c r="AD1169" s="899"/>
      <c r="AE1169" s="899"/>
      <c r="AF1169" s="899"/>
      <c r="AG1169" s="899"/>
      <c r="AK1169" s="883"/>
    </row>
    <row r="1170" spans="1:37" hidden="1" outlineLevel="1" x14ac:dyDescent="0.25">
      <c r="A1170" s="123"/>
      <c r="B1170" s="123"/>
      <c r="C1170" s="1119"/>
      <c r="D1170" s="4373"/>
      <c r="E1170" s="3121" t="s">
        <v>2121</v>
      </c>
      <c r="F1170" s="65">
        <v>29</v>
      </c>
      <c r="G1170" s="1134"/>
      <c r="H1170" s="3769" t="s">
        <v>536</v>
      </c>
      <c r="I1170" s="4225"/>
      <c r="J1170" s="123"/>
      <c r="K1170" s="123"/>
      <c r="L1170" s="123"/>
      <c r="M1170" s="123"/>
      <c r="N1170" s="123"/>
      <c r="V1170" s="3707"/>
      <c r="W1170" s="1125">
        <v>42.04</v>
      </c>
      <c r="X1170" s="366">
        <v>29</v>
      </c>
      <c r="Y1170" s="65">
        <v>29</v>
      </c>
      <c r="Z1170" s="65">
        <v>29</v>
      </c>
      <c r="AA1170" s="65">
        <v>29</v>
      </c>
      <c r="AB1170" s="65">
        <v>29</v>
      </c>
      <c r="AC1170" s="65">
        <v>29</v>
      </c>
      <c r="AD1170" s="899"/>
      <c r="AE1170" s="899"/>
      <c r="AF1170" s="899"/>
      <c r="AG1170" s="899"/>
      <c r="AK1170" s="883"/>
    </row>
    <row r="1171" spans="1:37" ht="15" hidden="1" customHeight="1" outlineLevel="1" x14ac:dyDescent="0.25">
      <c r="A1171" s="123"/>
      <c r="B1171" s="123"/>
      <c r="C1171" s="1119"/>
      <c r="D1171" s="4373"/>
      <c r="E1171" s="3121" t="s">
        <v>2123</v>
      </c>
      <c r="F1171" s="65">
        <v>11</v>
      </c>
      <c r="G1171" s="1134"/>
      <c r="H1171" s="3769" t="s">
        <v>126</v>
      </c>
      <c r="I1171" s="4225"/>
      <c r="J1171" s="123"/>
      <c r="K1171" s="123"/>
      <c r="L1171" s="123"/>
      <c r="M1171" s="123"/>
      <c r="N1171" s="123"/>
      <c r="V1171" s="3707"/>
      <c r="W1171" s="1125">
        <v>11</v>
      </c>
      <c r="X1171" s="1125">
        <v>11</v>
      </c>
      <c r="Y1171" s="1124">
        <v>11</v>
      </c>
      <c r="Z1171" s="1124">
        <v>11</v>
      </c>
      <c r="AA1171" s="1124">
        <v>11</v>
      </c>
      <c r="AB1171" s="65">
        <v>11</v>
      </c>
      <c r="AC1171" s="65">
        <v>11</v>
      </c>
      <c r="AD1171" s="899"/>
      <c r="AE1171" s="899"/>
      <c r="AF1171" s="899"/>
      <c r="AG1171" s="899"/>
      <c r="AK1171" s="883"/>
    </row>
    <row r="1172" spans="1:37" ht="15" hidden="1" customHeight="1" outlineLevel="1" x14ac:dyDescent="0.25">
      <c r="A1172" s="123"/>
      <c r="B1172" s="123"/>
      <c r="C1172" s="1119"/>
      <c r="D1172" s="4373"/>
      <c r="E1172" s="3121" t="s">
        <v>2125</v>
      </c>
      <c r="F1172" s="65">
        <v>13.4</v>
      </c>
      <c r="G1172" s="1134"/>
      <c r="H1172" s="3769" t="s">
        <v>117</v>
      </c>
      <c r="I1172" s="4225"/>
      <c r="J1172" s="123"/>
      <c r="K1172" s="123"/>
      <c r="L1172" s="123"/>
      <c r="M1172" s="123"/>
      <c r="N1172" s="123"/>
      <c r="V1172" s="3707"/>
      <c r="W1172" s="1125">
        <v>13.4</v>
      </c>
      <c r="X1172" s="1125">
        <v>13.4</v>
      </c>
      <c r="Y1172" s="1124">
        <v>13.4</v>
      </c>
      <c r="Z1172" s="1124">
        <v>13.4</v>
      </c>
      <c r="AA1172" s="1124">
        <v>13.4</v>
      </c>
      <c r="AB1172" s="65">
        <v>13.4</v>
      </c>
      <c r="AC1172" s="65">
        <v>13.4</v>
      </c>
      <c r="AD1172" s="899"/>
      <c r="AE1172" s="899"/>
      <c r="AF1172" s="899"/>
      <c r="AG1172" s="899"/>
      <c r="AK1172" s="883"/>
    </row>
    <row r="1173" spans="1:37" hidden="1" outlineLevel="1" x14ac:dyDescent="0.25">
      <c r="A1173" s="123"/>
      <c r="B1173" s="123"/>
      <c r="C1173" s="1119"/>
      <c r="D1173" s="4373"/>
      <c r="E1173" s="3121" t="s">
        <v>2127</v>
      </c>
      <c r="F1173" s="65">
        <v>21</v>
      </c>
      <c r="G1173" s="1134"/>
      <c r="H1173" s="3769"/>
      <c r="I1173" s="4225"/>
      <c r="J1173" s="123"/>
      <c r="K1173" s="123"/>
      <c r="L1173" s="123"/>
      <c r="M1173" s="123"/>
      <c r="N1173" s="123"/>
      <c r="V1173" s="3707"/>
      <c r="W1173" s="1125">
        <v>21</v>
      </c>
      <c r="X1173" s="1125">
        <v>21</v>
      </c>
      <c r="Y1173" s="1124">
        <v>21</v>
      </c>
      <c r="Z1173" s="1124">
        <v>21</v>
      </c>
      <c r="AA1173" s="1124">
        <v>21</v>
      </c>
      <c r="AB1173" s="65">
        <v>21</v>
      </c>
      <c r="AC1173" s="65">
        <v>21</v>
      </c>
      <c r="AD1173" s="899"/>
      <c r="AE1173" s="899"/>
      <c r="AF1173" s="899"/>
      <c r="AG1173" s="899"/>
      <c r="AK1173" s="883"/>
    </row>
    <row r="1174" spans="1:37" hidden="1" outlineLevel="1" x14ac:dyDescent="0.25">
      <c r="A1174" s="123"/>
      <c r="B1174" s="123"/>
      <c r="C1174" s="1119"/>
      <c r="D1174" s="4373"/>
      <c r="E1174" s="3121" t="s">
        <v>2129</v>
      </c>
      <c r="F1174" s="65">
        <v>18</v>
      </c>
      <c r="G1174" s="1134"/>
      <c r="H1174" s="3769"/>
      <c r="I1174" s="4225"/>
      <c r="J1174" s="123"/>
      <c r="K1174" s="123"/>
      <c r="L1174" s="123"/>
      <c r="M1174" s="123"/>
      <c r="N1174" s="123"/>
      <c r="V1174" s="3707"/>
      <c r="W1174" s="1125">
        <v>18</v>
      </c>
      <c r="X1174" s="1125">
        <v>18</v>
      </c>
      <c r="Y1174" s="1124">
        <v>18</v>
      </c>
      <c r="Z1174" s="1124">
        <v>18</v>
      </c>
      <c r="AA1174" s="1124">
        <v>18</v>
      </c>
      <c r="AB1174" s="65">
        <v>18</v>
      </c>
      <c r="AC1174" s="65">
        <v>18</v>
      </c>
      <c r="AD1174" s="899"/>
      <c r="AE1174" s="899"/>
      <c r="AF1174" s="899"/>
      <c r="AG1174" s="899"/>
      <c r="AK1174" s="883"/>
    </row>
    <row r="1175" spans="1:37" hidden="1" outlineLevel="1" x14ac:dyDescent="0.25">
      <c r="A1175" s="123"/>
      <c r="B1175" s="123"/>
      <c r="C1175" s="1119"/>
      <c r="D1175" s="4373"/>
      <c r="E1175" s="3121" t="s">
        <v>2131</v>
      </c>
      <c r="F1175" s="65">
        <v>18</v>
      </c>
      <c r="G1175" s="1134"/>
      <c r="H1175" s="3769"/>
      <c r="I1175" s="4225"/>
      <c r="J1175" s="123"/>
      <c r="K1175" s="123"/>
      <c r="L1175" s="123"/>
      <c r="M1175" s="123"/>
      <c r="N1175" s="123"/>
      <c r="V1175" s="3707"/>
      <c r="W1175" s="1125">
        <v>18</v>
      </c>
      <c r="X1175" s="1125">
        <v>18</v>
      </c>
      <c r="Y1175" s="1124">
        <v>18</v>
      </c>
      <c r="Z1175" s="1124">
        <v>18</v>
      </c>
      <c r="AA1175" s="1124">
        <v>18</v>
      </c>
      <c r="AB1175" s="65">
        <v>18</v>
      </c>
      <c r="AC1175" s="65">
        <v>18</v>
      </c>
      <c r="AD1175" s="899"/>
      <c r="AE1175" s="899"/>
      <c r="AF1175" s="899"/>
      <c r="AG1175" s="899"/>
      <c r="AK1175" s="883"/>
    </row>
    <row r="1176" spans="1:37" ht="15" hidden="1" customHeight="1" outlineLevel="1" x14ac:dyDescent="0.25">
      <c r="A1176" s="123"/>
      <c r="B1176" s="123"/>
      <c r="C1176" s="1119"/>
      <c r="D1176" s="4373"/>
      <c r="E1176" s="3121" t="s">
        <v>2133</v>
      </c>
      <c r="F1176" s="65">
        <v>18.899999999999999</v>
      </c>
      <c r="G1176" s="1134"/>
      <c r="H1176" s="3769" t="s">
        <v>119</v>
      </c>
      <c r="I1176" s="4225"/>
      <c r="J1176" s="123"/>
      <c r="K1176" s="123"/>
      <c r="L1176" s="123"/>
      <c r="M1176" s="123"/>
      <c r="N1176" s="123"/>
      <c r="V1176" s="3707"/>
      <c r="W1176" s="1125">
        <v>18.899999999999999</v>
      </c>
      <c r="X1176" s="1125">
        <v>18.899999999999999</v>
      </c>
      <c r="Y1176" s="1124">
        <v>18.899999999999999</v>
      </c>
      <c r="Z1176" s="1124">
        <v>18.899999999999999</v>
      </c>
      <c r="AA1176" s="1124">
        <v>18.899999999999999</v>
      </c>
      <c r="AB1176" s="65">
        <v>18.899999999999999</v>
      </c>
      <c r="AC1176" s="65">
        <v>18.899999999999999</v>
      </c>
      <c r="AD1176" s="899"/>
      <c r="AE1176" s="899"/>
      <c r="AF1176" s="899"/>
      <c r="AG1176" s="899"/>
      <c r="AK1176" s="883"/>
    </row>
    <row r="1177" spans="1:37" ht="15" hidden="1" customHeight="1" outlineLevel="1" x14ac:dyDescent="0.25">
      <c r="A1177" s="123"/>
      <c r="B1177" s="123"/>
      <c r="C1177" s="1119"/>
      <c r="D1177" s="4373"/>
      <c r="E1177" s="3121" t="s">
        <v>2135</v>
      </c>
      <c r="F1177" s="65">
        <v>18.888888888888889</v>
      </c>
      <c r="G1177" s="1134"/>
      <c r="H1177" s="3769" t="s">
        <v>120</v>
      </c>
      <c r="I1177" s="3769"/>
      <c r="J1177" s="123"/>
      <c r="K1177" s="123"/>
      <c r="L1177" s="123"/>
      <c r="M1177" s="123"/>
      <c r="N1177" s="123"/>
      <c r="V1177" s="3707"/>
      <c r="W1177" s="1125"/>
      <c r="X1177" s="1125"/>
      <c r="Y1177" s="1124"/>
      <c r="Z1177" s="1124"/>
      <c r="AA1177" s="1124"/>
      <c r="AB1177" s="549">
        <v>18.888888888888889</v>
      </c>
      <c r="AC1177" s="65">
        <v>18.888888888888889</v>
      </c>
      <c r="AD1177" s="899"/>
      <c r="AE1177" s="899"/>
      <c r="AF1177" s="899"/>
      <c r="AG1177" s="899"/>
      <c r="AK1177" s="883"/>
    </row>
    <row r="1178" spans="1:37" hidden="1" outlineLevel="1" x14ac:dyDescent="0.25">
      <c r="A1178" s="123"/>
      <c r="B1178" s="123"/>
      <c r="C1178" s="1119"/>
      <c r="D1178" s="4373"/>
      <c r="E1178" s="3121" t="s">
        <v>2137</v>
      </c>
      <c r="F1178" s="65">
        <v>16</v>
      </c>
      <c r="G1178" s="1134"/>
      <c r="H1178" s="3769"/>
      <c r="I1178" s="4225"/>
      <c r="J1178" s="123"/>
      <c r="K1178" s="123"/>
      <c r="L1178" s="123"/>
      <c r="M1178" s="123"/>
      <c r="N1178" s="123"/>
      <c r="V1178" s="3707"/>
      <c r="W1178" s="1125">
        <v>16</v>
      </c>
      <c r="X1178" s="1125">
        <v>16</v>
      </c>
      <c r="Y1178" s="1124">
        <v>16</v>
      </c>
      <c r="Z1178" s="1124">
        <v>16</v>
      </c>
      <c r="AA1178" s="1124">
        <v>16</v>
      </c>
      <c r="AB1178" s="65">
        <v>16</v>
      </c>
      <c r="AC1178" s="65">
        <v>16</v>
      </c>
      <c r="AD1178" s="899"/>
      <c r="AE1178" s="899"/>
      <c r="AF1178" s="899"/>
      <c r="AG1178" s="899"/>
      <c r="AK1178" s="883"/>
    </row>
    <row r="1179" spans="1:37" ht="15" hidden="1" customHeight="1" outlineLevel="1" x14ac:dyDescent="0.25">
      <c r="A1179" s="123"/>
      <c r="B1179" s="123"/>
      <c r="C1179" s="1119"/>
      <c r="D1179" s="4373"/>
      <c r="E1179" s="3121" t="s">
        <v>2139</v>
      </c>
      <c r="F1179" s="65">
        <v>23</v>
      </c>
      <c r="G1179" s="1134"/>
      <c r="H1179" s="3769" t="s">
        <v>122</v>
      </c>
      <c r="I1179" s="4225"/>
      <c r="J1179" s="123"/>
      <c r="K1179" s="123"/>
      <c r="L1179" s="123"/>
      <c r="M1179" s="123"/>
      <c r="N1179" s="123"/>
      <c r="V1179" s="3707"/>
      <c r="W1179" s="1125">
        <v>23</v>
      </c>
      <c r="X1179" s="1127">
        <v>23</v>
      </c>
      <c r="Y1179" s="1128">
        <v>23</v>
      </c>
      <c r="Z1179" s="1128">
        <v>23</v>
      </c>
      <c r="AA1179" s="1128">
        <v>23</v>
      </c>
      <c r="AB1179" s="65">
        <v>23</v>
      </c>
      <c r="AC1179" s="65">
        <v>23</v>
      </c>
      <c r="AD1179" s="899"/>
      <c r="AE1179" s="899"/>
      <c r="AF1179" s="899"/>
      <c r="AG1179" s="899"/>
      <c r="AK1179" s="883"/>
    </row>
    <row r="1180" spans="1:37" hidden="1" outlineLevel="1" x14ac:dyDescent="0.25">
      <c r="A1180" s="123"/>
      <c r="B1180" s="123"/>
      <c r="C1180" s="1119"/>
      <c r="D1180" s="4373"/>
      <c r="E1180" s="3121" t="s">
        <v>2141</v>
      </c>
      <c r="F1180" s="65">
        <v>24.8</v>
      </c>
      <c r="G1180" s="1134"/>
      <c r="H1180" s="3769"/>
      <c r="I1180" s="4225"/>
      <c r="J1180" s="123"/>
      <c r="K1180" s="123"/>
      <c r="L1180" s="123"/>
      <c r="M1180" s="123"/>
      <c r="N1180" s="123"/>
      <c r="V1180" s="3707"/>
      <c r="W1180" s="1130">
        <v>24.8</v>
      </c>
      <c r="X1180" s="1130">
        <v>24.8</v>
      </c>
      <c r="Y1180" s="1124">
        <v>24.8</v>
      </c>
      <c r="Z1180" s="1124">
        <v>24.8</v>
      </c>
      <c r="AA1180" s="1124">
        <v>24.8</v>
      </c>
      <c r="AB1180" s="65">
        <v>24.8</v>
      </c>
      <c r="AC1180" s="65">
        <v>24.8</v>
      </c>
      <c r="AD1180" s="899"/>
      <c r="AE1180" s="899"/>
      <c r="AF1180" s="899"/>
      <c r="AG1180" s="899"/>
      <c r="AK1180" s="883"/>
    </row>
    <row r="1181" spans="1:37" hidden="1" outlineLevel="1" x14ac:dyDescent="0.25">
      <c r="A1181" s="123"/>
      <c r="B1181" s="123"/>
      <c r="C1181" s="1119"/>
      <c r="D1181" s="4373"/>
      <c r="E1181" s="2878" t="s">
        <v>2144</v>
      </c>
      <c r="F1181" s="2879">
        <f>AVERAGE(310,749)/45</f>
        <v>11.766666666666667</v>
      </c>
      <c r="G1181" s="2880"/>
      <c r="H1181" s="4365" t="s">
        <v>127</v>
      </c>
      <c r="I1181" s="4365"/>
      <c r="J1181" s="123"/>
      <c r="K1181" s="123"/>
      <c r="L1181" s="123"/>
      <c r="M1181" s="123"/>
      <c r="N1181" s="123"/>
      <c r="V1181" s="3707"/>
      <c r="W1181" s="1130"/>
      <c r="X1181" s="1130"/>
      <c r="Y1181" s="1124"/>
      <c r="Z1181" s="1124"/>
      <c r="AA1181" s="1124"/>
      <c r="AB1181" s="65"/>
      <c r="AC1181" s="2879">
        <v>11.766666666666667</v>
      </c>
      <c r="AD1181" s="899"/>
      <c r="AE1181" s="899"/>
      <c r="AF1181" s="899"/>
      <c r="AG1181" s="899"/>
      <c r="AK1181" s="883"/>
    </row>
    <row r="1182" spans="1:37" ht="15" hidden="1" customHeight="1" outlineLevel="1" x14ac:dyDescent="0.25">
      <c r="A1182" s="123"/>
      <c r="B1182" s="123"/>
      <c r="C1182" s="1119"/>
      <c r="D1182" s="4373"/>
      <c r="E1182" s="3121" t="s">
        <v>2146</v>
      </c>
      <c r="F1182" s="65">
        <v>29</v>
      </c>
      <c r="G1182" s="1134"/>
      <c r="H1182" s="3769" t="s">
        <v>127</v>
      </c>
      <c r="I1182" s="3769"/>
      <c r="J1182" s="123"/>
      <c r="K1182" s="123"/>
      <c r="L1182" s="123"/>
      <c r="M1182" s="123"/>
      <c r="N1182" s="123"/>
      <c r="V1182" s="3707"/>
      <c r="W1182" s="1130"/>
      <c r="X1182" s="1130"/>
      <c r="Y1182" s="1124"/>
      <c r="Z1182" s="1124"/>
      <c r="AA1182" s="1124"/>
      <c r="AB1182" s="549">
        <v>29</v>
      </c>
      <c r="AC1182" s="65">
        <v>29</v>
      </c>
      <c r="AD1182" s="899"/>
      <c r="AE1182" s="899"/>
      <c r="AF1182" s="899"/>
      <c r="AG1182" s="899"/>
      <c r="AK1182" s="883"/>
    </row>
    <row r="1183" spans="1:37" ht="15.75" hidden="1" outlineLevel="1" thickBot="1" x14ac:dyDescent="0.3">
      <c r="A1183" s="123"/>
      <c r="B1183" s="123"/>
      <c r="C1183" s="1119"/>
      <c r="D1183" s="4367"/>
      <c r="E1183" s="2881" t="s">
        <v>105</v>
      </c>
      <c r="F1183" s="2068">
        <v>7</v>
      </c>
      <c r="G1183" s="2882"/>
      <c r="H1183" s="4374" t="s">
        <v>2153</v>
      </c>
      <c r="I1183" s="4374"/>
      <c r="J1183" s="123"/>
      <c r="K1183" s="123"/>
      <c r="L1183" s="123"/>
      <c r="M1183" s="123"/>
      <c r="N1183" s="123"/>
      <c r="V1183" s="3691"/>
      <c r="W1183" s="2872"/>
      <c r="X1183" s="2872"/>
      <c r="Y1183" s="2875"/>
      <c r="Z1183" s="2875"/>
      <c r="AA1183" s="2875"/>
      <c r="AB1183" s="2883"/>
      <c r="AC1183" s="2068">
        <v>7</v>
      </c>
      <c r="AD1183" s="2877"/>
      <c r="AE1183" s="2877"/>
      <c r="AF1183" s="2877"/>
      <c r="AG1183" s="2877"/>
      <c r="AK1183" s="883"/>
    </row>
    <row r="1184" spans="1:37" hidden="1" outlineLevel="1" x14ac:dyDescent="0.25">
      <c r="A1184" s="123"/>
      <c r="B1184" s="123"/>
      <c r="C1184" s="1119"/>
      <c r="D1184" s="4366" t="s">
        <v>2154</v>
      </c>
      <c r="E1184" s="3116" t="s">
        <v>2099</v>
      </c>
      <c r="F1184" s="1131">
        <v>7</v>
      </c>
      <c r="G1184" s="1132"/>
      <c r="H1184" s="4187" t="s">
        <v>2155</v>
      </c>
      <c r="I1184" s="4188"/>
      <c r="J1184" s="123"/>
      <c r="K1184" s="123"/>
      <c r="L1184" s="123"/>
      <c r="M1184" s="123"/>
      <c r="N1184" s="123"/>
      <c r="V1184" s="3690" t="s">
        <v>2154</v>
      </c>
      <c r="W1184" s="2326">
        <v>7</v>
      </c>
      <c r="X1184" s="2327">
        <v>9</v>
      </c>
      <c r="Y1184" s="2328">
        <v>7</v>
      </c>
      <c r="Z1184" s="2329">
        <v>7</v>
      </c>
      <c r="AA1184" s="2329">
        <v>7</v>
      </c>
      <c r="AB1184" s="1131">
        <v>7</v>
      </c>
      <c r="AC1184" s="1131">
        <v>7</v>
      </c>
      <c r="AD1184" s="2330"/>
      <c r="AE1184" s="2330"/>
      <c r="AF1184" s="2330"/>
      <c r="AG1184" s="2330"/>
      <c r="AK1184" s="883"/>
    </row>
    <row r="1185" spans="1:37" hidden="1" outlineLevel="1" x14ac:dyDescent="0.25">
      <c r="A1185" s="123"/>
      <c r="B1185" s="123"/>
      <c r="C1185" s="1119"/>
      <c r="D1185" s="4373"/>
      <c r="E1185" s="3121" t="s">
        <v>2101</v>
      </c>
      <c r="F1185" s="62">
        <v>9.1</v>
      </c>
      <c r="G1185" s="1122"/>
      <c r="H1185" s="3769" t="s">
        <v>131</v>
      </c>
      <c r="I1185" s="4189"/>
      <c r="J1185" s="123"/>
      <c r="K1185" s="123"/>
      <c r="L1185" s="123"/>
      <c r="M1185" s="123"/>
      <c r="N1185" s="123"/>
      <c r="V1185" s="3707"/>
      <c r="W1185" s="1123">
        <v>9.1</v>
      </c>
      <c r="X1185" s="1123">
        <v>9.1</v>
      </c>
      <c r="Y1185" s="1124">
        <v>9.1</v>
      </c>
      <c r="Z1185" s="1124">
        <v>9.1</v>
      </c>
      <c r="AA1185" s="1124">
        <v>9.1</v>
      </c>
      <c r="AB1185" s="62">
        <v>9.1</v>
      </c>
      <c r="AC1185" s="62">
        <v>9.1</v>
      </c>
      <c r="AD1185" s="899"/>
      <c r="AE1185" s="899"/>
      <c r="AF1185" s="899"/>
      <c r="AG1185" s="899"/>
      <c r="AK1185" s="883"/>
    </row>
    <row r="1186" spans="1:37" hidden="1" outlineLevel="1" x14ac:dyDescent="0.25">
      <c r="A1186" s="123"/>
      <c r="B1186" s="123"/>
      <c r="C1186" s="1119"/>
      <c r="D1186" s="4373"/>
      <c r="E1186" s="3121" t="s">
        <v>2103</v>
      </c>
      <c r="F1186" s="1134">
        <v>9.23</v>
      </c>
      <c r="G1186" s="1122"/>
      <c r="H1186" s="3769" t="s">
        <v>2156</v>
      </c>
      <c r="I1186" s="4189"/>
      <c r="J1186" s="123"/>
      <c r="K1186" s="123"/>
      <c r="L1186" s="123"/>
      <c r="M1186" s="123"/>
      <c r="N1186" s="123"/>
      <c r="V1186" s="3707"/>
      <c r="W1186" s="1123">
        <v>9.5</v>
      </c>
      <c r="X1186" s="366">
        <v>9.23</v>
      </c>
      <c r="Y1186" s="1124">
        <v>9.23</v>
      </c>
      <c r="Z1186" s="1124">
        <v>9.23</v>
      </c>
      <c r="AA1186" s="1124">
        <v>9.23</v>
      </c>
      <c r="AB1186" s="1134">
        <v>9.23</v>
      </c>
      <c r="AC1186" s="1134">
        <v>9.23</v>
      </c>
      <c r="AD1186" s="899"/>
      <c r="AE1186" s="899"/>
      <c r="AF1186" s="899"/>
      <c r="AG1186" s="899"/>
      <c r="AK1186" s="883"/>
    </row>
    <row r="1187" spans="1:37" ht="30" hidden="1" outlineLevel="1" x14ac:dyDescent="0.25">
      <c r="A1187" s="123"/>
      <c r="B1187" s="123"/>
      <c r="C1187" s="1119"/>
      <c r="D1187" s="4373"/>
      <c r="E1187" s="3121" t="s">
        <v>2105</v>
      </c>
      <c r="F1187" s="1134">
        <v>11</v>
      </c>
      <c r="G1187" s="1122"/>
      <c r="H1187" s="3769" t="s">
        <v>2155</v>
      </c>
      <c r="I1187" s="4189"/>
      <c r="J1187" s="123"/>
      <c r="K1187" s="123"/>
      <c r="L1187" s="123"/>
      <c r="M1187" s="123"/>
      <c r="N1187" s="123"/>
      <c r="V1187" s="3707"/>
      <c r="W1187" s="1123">
        <v>9.5</v>
      </c>
      <c r="X1187" s="366">
        <v>9.23</v>
      </c>
      <c r="Y1187" s="549">
        <v>11</v>
      </c>
      <c r="Z1187" s="65">
        <v>11</v>
      </c>
      <c r="AA1187" s="65">
        <v>11</v>
      </c>
      <c r="AB1187" s="1134">
        <v>11</v>
      </c>
      <c r="AC1187" s="1134">
        <v>11</v>
      </c>
      <c r="AD1187" s="899"/>
      <c r="AE1187" s="899"/>
      <c r="AF1187" s="899"/>
      <c r="AG1187" s="899"/>
      <c r="AK1187" s="883"/>
    </row>
    <row r="1188" spans="1:37" hidden="1" outlineLevel="1" x14ac:dyDescent="0.25">
      <c r="A1188" s="123"/>
      <c r="B1188" s="123"/>
      <c r="C1188" s="1119"/>
      <c r="D1188" s="4373"/>
      <c r="E1188" s="3121" t="s">
        <v>2107</v>
      </c>
      <c r="F1188" s="62">
        <v>10.6</v>
      </c>
      <c r="G1188" s="1122"/>
      <c r="H1188" s="3769" t="s">
        <v>131</v>
      </c>
      <c r="I1188" s="4189"/>
      <c r="J1188" s="123"/>
      <c r="K1188" s="123"/>
      <c r="L1188" s="123"/>
      <c r="M1188" s="123"/>
      <c r="N1188" s="123"/>
      <c r="V1188" s="3707"/>
      <c r="W1188" s="1123">
        <v>10.6</v>
      </c>
      <c r="X1188" s="1123">
        <v>10.6</v>
      </c>
      <c r="Y1188" s="1123">
        <v>10.6</v>
      </c>
      <c r="Z1188" s="62">
        <v>10.6</v>
      </c>
      <c r="AA1188" s="62">
        <v>10.6</v>
      </c>
      <c r="AB1188" s="62">
        <v>10.6</v>
      </c>
      <c r="AC1188" s="62">
        <v>10.6</v>
      </c>
      <c r="AD1188" s="899"/>
      <c r="AE1188" s="899"/>
      <c r="AF1188" s="899"/>
      <c r="AG1188" s="899"/>
      <c r="AK1188" s="883"/>
    </row>
    <row r="1189" spans="1:37" hidden="1" outlineLevel="1" x14ac:dyDescent="0.25">
      <c r="A1189" s="123"/>
      <c r="B1189" s="123"/>
      <c r="C1189" s="1119"/>
      <c r="D1189" s="4373"/>
      <c r="E1189" s="3121" t="s">
        <v>2109</v>
      </c>
      <c r="F1189" s="62">
        <v>11</v>
      </c>
      <c r="G1189" s="1122"/>
      <c r="H1189" s="3722" t="s">
        <v>2157</v>
      </c>
      <c r="I1189" s="3724"/>
      <c r="J1189" s="123"/>
      <c r="K1189" s="123"/>
      <c r="L1189" s="123"/>
      <c r="M1189" s="123"/>
      <c r="N1189" s="123"/>
      <c r="V1189" s="3707"/>
      <c r="W1189" s="1123"/>
      <c r="X1189" s="1123"/>
      <c r="Y1189" s="1123"/>
      <c r="Z1189" s="62"/>
      <c r="AA1189" s="62"/>
      <c r="AB1189" s="1951">
        <v>11</v>
      </c>
      <c r="AC1189" s="62">
        <v>11</v>
      </c>
      <c r="AD1189" s="899"/>
      <c r="AE1189" s="899"/>
      <c r="AF1189" s="899"/>
      <c r="AG1189" s="899"/>
      <c r="AK1189" s="883"/>
    </row>
    <row r="1190" spans="1:37" hidden="1" outlineLevel="1" x14ac:dyDescent="0.25">
      <c r="A1190" s="123"/>
      <c r="B1190" s="123"/>
      <c r="C1190" s="1119"/>
      <c r="D1190" s="4373"/>
      <c r="E1190" s="3121" t="s">
        <v>2111</v>
      </c>
      <c r="F1190" s="1134">
        <v>14</v>
      </c>
      <c r="G1190" s="1122"/>
      <c r="H1190" s="3769" t="s">
        <v>2155</v>
      </c>
      <c r="I1190" s="4189"/>
      <c r="J1190" s="123"/>
      <c r="K1190" s="123"/>
      <c r="L1190" s="123"/>
      <c r="M1190" s="123"/>
      <c r="N1190" s="123"/>
      <c r="V1190" s="3707"/>
      <c r="W1190" s="1123">
        <v>11.2</v>
      </c>
      <c r="X1190" s="366">
        <v>14</v>
      </c>
      <c r="Y1190" s="65">
        <v>14</v>
      </c>
      <c r="Z1190" s="65">
        <v>14</v>
      </c>
      <c r="AA1190" s="65">
        <v>14</v>
      </c>
      <c r="AB1190" s="1134">
        <v>14</v>
      </c>
      <c r="AC1190" s="1134">
        <v>14</v>
      </c>
      <c r="AD1190" s="899"/>
      <c r="AE1190" s="899"/>
      <c r="AF1190" s="899"/>
      <c r="AG1190" s="899"/>
      <c r="AK1190" s="883"/>
    </row>
    <row r="1191" spans="1:37" hidden="1" outlineLevel="1" x14ac:dyDescent="0.25">
      <c r="A1191" s="123"/>
      <c r="B1191" s="123"/>
      <c r="C1191" s="1119"/>
      <c r="D1191" s="4373"/>
      <c r="E1191" s="3121" t="s">
        <v>2113</v>
      </c>
      <c r="F1191" s="1134">
        <v>17</v>
      </c>
      <c r="G1191" s="1122"/>
      <c r="H1191" s="3769" t="s">
        <v>2156</v>
      </c>
      <c r="I1191" s="4189"/>
      <c r="J1191" s="123"/>
      <c r="K1191" s="123"/>
      <c r="L1191" s="123"/>
      <c r="M1191" s="123"/>
      <c r="N1191" s="123"/>
      <c r="V1191" s="3707"/>
      <c r="W1191" s="65">
        <v>18</v>
      </c>
      <c r="X1191" s="366">
        <v>17</v>
      </c>
      <c r="Y1191" s="1126">
        <v>17</v>
      </c>
      <c r="Z1191" s="1124">
        <v>17</v>
      </c>
      <c r="AA1191" s="1124">
        <v>17</v>
      </c>
      <c r="AB1191" s="1134">
        <v>17</v>
      </c>
      <c r="AC1191" s="1134">
        <v>17</v>
      </c>
      <c r="AD1191" s="899"/>
      <c r="AE1191" s="899"/>
      <c r="AF1191" s="899"/>
      <c r="AG1191" s="899"/>
      <c r="AK1191" s="883"/>
    </row>
    <row r="1192" spans="1:37" hidden="1" outlineLevel="1" x14ac:dyDescent="0.25">
      <c r="A1192" s="123"/>
      <c r="B1192" s="123"/>
      <c r="C1192" s="1119"/>
      <c r="D1192" s="4373"/>
      <c r="E1192" s="3121" t="s">
        <v>2115</v>
      </c>
      <c r="F1192" s="65">
        <v>15</v>
      </c>
      <c r="G1192" s="1122"/>
      <c r="H1192" s="3769" t="s">
        <v>131</v>
      </c>
      <c r="I1192" s="4189"/>
      <c r="J1192" s="123"/>
      <c r="K1192" s="123"/>
      <c r="L1192" s="123"/>
      <c r="M1192" s="123"/>
      <c r="N1192" s="123"/>
      <c r="V1192" s="3707"/>
      <c r="W1192" s="65">
        <v>15</v>
      </c>
      <c r="X1192" s="65">
        <v>15</v>
      </c>
      <c r="Y1192" s="1126">
        <v>15</v>
      </c>
      <c r="Z1192" s="1124">
        <v>15</v>
      </c>
      <c r="AA1192" s="1124">
        <v>15</v>
      </c>
      <c r="AB1192" s="65">
        <v>15</v>
      </c>
      <c r="AC1192" s="65">
        <v>15</v>
      </c>
      <c r="AD1192" s="899"/>
      <c r="AE1192" s="899"/>
      <c r="AF1192" s="899"/>
      <c r="AG1192" s="899"/>
      <c r="AK1192" s="883"/>
    </row>
    <row r="1193" spans="1:37" hidden="1" outlineLevel="1" x14ac:dyDescent="0.25">
      <c r="A1193" s="123"/>
      <c r="B1193" s="123"/>
      <c r="C1193" s="1119"/>
      <c r="D1193" s="4373"/>
      <c r="E1193" s="3121" t="s">
        <v>2117</v>
      </c>
      <c r="F1193" s="65">
        <v>4.5</v>
      </c>
      <c r="G1193" s="1122"/>
      <c r="H1193" s="3769" t="s">
        <v>131</v>
      </c>
      <c r="I1193" s="4189"/>
      <c r="J1193" s="123"/>
      <c r="K1193" s="123"/>
      <c r="L1193" s="123"/>
      <c r="M1193" s="123"/>
      <c r="N1193" s="123"/>
      <c r="V1193" s="3707"/>
      <c r="W1193" s="65">
        <v>4.5</v>
      </c>
      <c r="X1193" s="65">
        <v>4.5</v>
      </c>
      <c r="Y1193" s="1126">
        <v>4.5</v>
      </c>
      <c r="Z1193" s="1124">
        <v>4.5</v>
      </c>
      <c r="AA1193" s="1124">
        <v>4.5</v>
      </c>
      <c r="AB1193" s="65">
        <v>4.5</v>
      </c>
      <c r="AC1193" s="65">
        <v>4.5</v>
      </c>
      <c r="AD1193" s="899"/>
      <c r="AE1193" s="899"/>
      <c r="AF1193" s="899"/>
      <c r="AG1193" s="899"/>
      <c r="AK1193" s="883"/>
    </row>
    <row r="1194" spans="1:37" hidden="1" outlineLevel="1" x14ac:dyDescent="0.25">
      <c r="A1194" s="123"/>
      <c r="B1194" s="123"/>
      <c r="C1194" s="1119"/>
      <c r="D1194" s="4373"/>
      <c r="E1194" s="3121" t="s">
        <v>2119</v>
      </c>
      <c r="F1194" s="65">
        <v>4.5</v>
      </c>
      <c r="G1194" s="1122"/>
      <c r="H1194" s="3769" t="s">
        <v>131</v>
      </c>
      <c r="I1194" s="4189"/>
      <c r="J1194" s="123"/>
      <c r="K1194" s="123"/>
      <c r="L1194" s="123"/>
      <c r="M1194" s="123"/>
      <c r="N1194" s="123"/>
      <c r="V1194" s="3707"/>
      <c r="W1194" s="65">
        <v>4.5</v>
      </c>
      <c r="X1194" s="65">
        <v>4.5</v>
      </c>
      <c r="Y1194" s="1126">
        <v>4.5</v>
      </c>
      <c r="Z1194" s="1124">
        <v>4.5</v>
      </c>
      <c r="AA1194" s="1124">
        <v>4.5</v>
      </c>
      <c r="AB1194" s="65">
        <v>4.5</v>
      </c>
      <c r="AC1194" s="65">
        <v>4.5</v>
      </c>
      <c r="AD1194" s="899"/>
      <c r="AE1194" s="899"/>
      <c r="AF1194" s="899"/>
      <c r="AG1194" s="899"/>
      <c r="AK1194" s="883"/>
    </row>
    <row r="1195" spans="1:37" hidden="1" outlineLevel="1" x14ac:dyDescent="0.25">
      <c r="A1195" s="123"/>
      <c r="B1195" s="123"/>
      <c r="C1195" s="1119"/>
      <c r="D1195" s="4373"/>
      <c r="E1195" s="3121" t="s">
        <v>2121</v>
      </c>
      <c r="F1195" s="1134">
        <v>7</v>
      </c>
      <c r="G1195" s="1122"/>
      <c r="H1195" s="3769" t="s">
        <v>2155</v>
      </c>
      <c r="I1195" s="4189"/>
      <c r="J1195" s="123"/>
      <c r="K1195" s="123"/>
      <c r="L1195" s="123"/>
      <c r="M1195" s="123"/>
      <c r="N1195" s="123"/>
      <c r="V1195" s="3707"/>
      <c r="W1195" s="65">
        <v>5.9</v>
      </c>
      <c r="X1195" s="366">
        <v>8</v>
      </c>
      <c r="Y1195" s="549">
        <v>7</v>
      </c>
      <c r="Z1195" s="65">
        <v>7</v>
      </c>
      <c r="AA1195" s="65">
        <v>7</v>
      </c>
      <c r="AB1195" s="1134">
        <v>7</v>
      </c>
      <c r="AC1195" s="1134">
        <v>7</v>
      </c>
      <c r="AD1195" s="899"/>
      <c r="AE1195" s="899"/>
      <c r="AF1195" s="899"/>
      <c r="AG1195" s="899"/>
      <c r="AK1195" s="883"/>
    </row>
    <row r="1196" spans="1:37" hidden="1" outlineLevel="1" x14ac:dyDescent="0.25">
      <c r="A1196" s="123"/>
      <c r="B1196" s="123"/>
      <c r="C1196" s="1119"/>
      <c r="D1196" s="4373"/>
      <c r="E1196" s="3121" t="s">
        <v>2123</v>
      </c>
      <c r="F1196" s="1134">
        <v>7</v>
      </c>
      <c r="G1196" s="1122"/>
      <c r="H1196" s="3769" t="s">
        <v>2155</v>
      </c>
      <c r="I1196" s="4189"/>
      <c r="J1196" s="123"/>
      <c r="K1196" s="123"/>
      <c r="L1196" s="123"/>
      <c r="M1196" s="123"/>
      <c r="N1196" s="123"/>
      <c r="V1196" s="3707"/>
      <c r="W1196" s="65">
        <v>5.8</v>
      </c>
      <c r="X1196" s="366">
        <v>8</v>
      </c>
      <c r="Y1196" s="549">
        <v>7</v>
      </c>
      <c r="Z1196" s="65">
        <v>7</v>
      </c>
      <c r="AA1196" s="65">
        <v>7</v>
      </c>
      <c r="AB1196" s="1134">
        <v>7</v>
      </c>
      <c r="AC1196" s="1134">
        <v>7</v>
      </c>
      <c r="AD1196" s="899"/>
      <c r="AE1196" s="899"/>
      <c r="AF1196" s="899"/>
      <c r="AG1196" s="899"/>
      <c r="AK1196" s="883"/>
    </row>
    <row r="1197" spans="1:37" hidden="1" outlineLevel="1" x14ac:dyDescent="0.25">
      <c r="A1197" s="123"/>
      <c r="B1197" s="123"/>
      <c r="C1197" s="1119"/>
      <c r="D1197" s="4373"/>
      <c r="E1197" s="3121" t="s">
        <v>2125</v>
      </c>
      <c r="F1197" s="65">
        <v>9.1</v>
      </c>
      <c r="G1197" s="1122"/>
      <c r="H1197" s="3769" t="s">
        <v>131</v>
      </c>
      <c r="I1197" s="4189"/>
      <c r="J1197" s="123"/>
      <c r="K1197" s="123"/>
      <c r="L1197" s="123"/>
      <c r="M1197" s="123"/>
      <c r="N1197" s="123"/>
      <c r="V1197" s="3707"/>
      <c r="W1197" s="65">
        <v>9.1</v>
      </c>
      <c r="X1197" s="65">
        <v>9.1</v>
      </c>
      <c r="Y1197" s="65">
        <v>9.1</v>
      </c>
      <c r="Z1197" s="65">
        <v>9.1</v>
      </c>
      <c r="AA1197" s="65">
        <v>9.1</v>
      </c>
      <c r="AB1197" s="65">
        <v>9.1</v>
      </c>
      <c r="AC1197" s="65">
        <v>9.1</v>
      </c>
      <c r="AD1197" s="899"/>
      <c r="AE1197" s="899"/>
      <c r="AF1197" s="899"/>
      <c r="AG1197" s="899"/>
      <c r="AK1197" s="883"/>
    </row>
    <row r="1198" spans="1:37" hidden="1" outlineLevel="1" x14ac:dyDescent="0.25">
      <c r="A1198" s="123"/>
      <c r="B1198" s="123"/>
      <c r="C1198" s="1119"/>
      <c r="D1198" s="4373"/>
      <c r="E1198" s="3121" t="s">
        <v>2127</v>
      </c>
      <c r="F1198" s="65">
        <v>8</v>
      </c>
      <c r="G1198" s="1122"/>
      <c r="H1198" s="3769" t="s">
        <v>131</v>
      </c>
      <c r="I1198" s="4189"/>
      <c r="J1198" s="123"/>
      <c r="K1198" s="123"/>
      <c r="L1198" s="123"/>
      <c r="M1198" s="123"/>
      <c r="N1198" s="123"/>
      <c r="V1198" s="3707"/>
      <c r="W1198" s="65">
        <v>8</v>
      </c>
      <c r="X1198" s="65">
        <v>8</v>
      </c>
      <c r="Y1198" s="65">
        <v>8</v>
      </c>
      <c r="Z1198" s="65">
        <v>8</v>
      </c>
      <c r="AA1198" s="65">
        <v>8</v>
      </c>
      <c r="AB1198" s="65">
        <v>8</v>
      </c>
      <c r="AC1198" s="65">
        <v>8</v>
      </c>
      <c r="AD1198" s="899"/>
      <c r="AE1198" s="899"/>
      <c r="AF1198" s="899"/>
      <c r="AG1198" s="899"/>
      <c r="AK1198" s="883"/>
    </row>
    <row r="1199" spans="1:37" hidden="1" outlineLevel="1" x14ac:dyDescent="0.25">
      <c r="A1199" s="123"/>
      <c r="B1199" s="123"/>
      <c r="C1199" s="1119"/>
      <c r="D1199" s="4373"/>
      <c r="E1199" s="3121" t="s">
        <v>2129</v>
      </c>
      <c r="F1199" s="65">
        <v>9.5</v>
      </c>
      <c r="G1199" s="1122"/>
      <c r="H1199" s="3769" t="s">
        <v>131</v>
      </c>
      <c r="I1199" s="4189"/>
      <c r="J1199" s="123"/>
      <c r="K1199" s="123"/>
      <c r="L1199" s="123"/>
      <c r="M1199" s="123"/>
      <c r="N1199" s="123"/>
      <c r="V1199" s="3707"/>
      <c r="W1199" s="65">
        <v>9.5</v>
      </c>
      <c r="X1199" s="65">
        <v>9.5</v>
      </c>
      <c r="Y1199" s="65">
        <v>9.5</v>
      </c>
      <c r="Z1199" s="65">
        <v>9.5</v>
      </c>
      <c r="AA1199" s="65">
        <v>9.5</v>
      </c>
      <c r="AB1199" s="65">
        <v>9.5</v>
      </c>
      <c r="AC1199" s="65">
        <v>9.5</v>
      </c>
      <c r="AD1199" s="899"/>
      <c r="AE1199" s="899"/>
      <c r="AF1199" s="899"/>
      <c r="AG1199" s="899"/>
      <c r="AK1199" s="883"/>
    </row>
    <row r="1200" spans="1:37" hidden="1" outlineLevel="1" x14ac:dyDescent="0.25">
      <c r="A1200" s="123"/>
      <c r="B1200" s="123"/>
      <c r="C1200" s="1119"/>
      <c r="D1200" s="4373"/>
      <c r="E1200" s="3121" t="s">
        <v>2131</v>
      </c>
      <c r="F1200" s="65">
        <v>9.5</v>
      </c>
      <c r="G1200" s="1134"/>
      <c r="H1200" s="3769" t="s">
        <v>131</v>
      </c>
      <c r="I1200" s="4189"/>
      <c r="J1200" s="123"/>
      <c r="K1200" s="123"/>
      <c r="L1200" s="123"/>
      <c r="M1200" s="123"/>
      <c r="N1200" s="123"/>
      <c r="V1200" s="3707"/>
      <c r="W1200" s="65">
        <v>9.5</v>
      </c>
      <c r="X1200" s="65">
        <v>9.5</v>
      </c>
      <c r="Y1200" s="65">
        <v>9.5</v>
      </c>
      <c r="Z1200" s="65">
        <v>9.5</v>
      </c>
      <c r="AA1200" s="65">
        <v>9.5</v>
      </c>
      <c r="AB1200" s="65">
        <v>9.5</v>
      </c>
      <c r="AC1200" s="65">
        <v>9.5</v>
      </c>
      <c r="AD1200" s="899"/>
      <c r="AE1200" s="899"/>
      <c r="AF1200" s="899"/>
      <c r="AG1200" s="899"/>
      <c r="AK1200" s="883"/>
    </row>
    <row r="1201" spans="1:37" hidden="1" outlineLevel="1" x14ac:dyDescent="0.25">
      <c r="A1201" s="123"/>
      <c r="B1201" s="123"/>
      <c r="C1201" s="1119"/>
      <c r="D1201" s="4373"/>
      <c r="E1201" s="3121" t="s">
        <v>2133</v>
      </c>
      <c r="F1201" s="65">
        <v>10.6</v>
      </c>
      <c r="G1201" s="1134"/>
      <c r="H1201" s="3769" t="s">
        <v>131</v>
      </c>
      <c r="I1201" s="4189"/>
      <c r="J1201" s="123"/>
      <c r="K1201" s="123"/>
      <c r="L1201" s="123"/>
      <c r="M1201" s="123"/>
      <c r="N1201" s="123"/>
      <c r="V1201" s="3707"/>
      <c r="W1201" s="65">
        <v>10.6</v>
      </c>
      <c r="X1201" s="65">
        <v>10.6</v>
      </c>
      <c r="Y1201" s="65">
        <v>10.6</v>
      </c>
      <c r="Z1201" s="65">
        <v>10.6</v>
      </c>
      <c r="AA1201" s="65">
        <v>10.6</v>
      </c>
      <c r="AB1201" s="65">
        <v>10.6</v>
      </c>
      <c r="AC1201" s="65">
        <v>10.6</v>
      </c>
      <c r="AD1201" s="899"/>
      <c r="AE1201" s="899"/>
      <c r="AF1201" s="899"/>
      <c r="AG1201" s="899"/>
      <c r="AK1201" s="883"/>
    </row>
    <row r="1202" spans="1:37" hidden="1" outlineLevel="1" x14ac:dyDescent="0.25">
      <c r="A1202" s="123"/>
      <c r="B1202" s="123"/>
      <c r="C1202" s="1119"/>
      <c r="D1202" s="4373"/>
      <c r="E1202" s="3121" t="s">
        <v>2135</v>
      </c>
      <c r="F1202" s="65">
        <v>11</v>
      </c>
      <c r="G1202" s="1134"/>
      <c r="H1202" s="3769" t="s">
        <v>2157</v>
      </c>
      <c r="I1202" s="3769"/>
      <c r="J1202" s="123"/>
      <c r="K1202" s="123"/>
      <c r="L1202" s="123"/>
      <c r="M1202" s="123"/>
      <c r="N1202" s="123"/>
      <c r="V1202" s="3707"/>
      <c r="W1202" s="65"/>
      <c r="X1202" s="65"/>
      <c r="Y1202" s="65"/>
      <c r="Z1202" s="65"/>
      <c r="AA1202" s="65"/>
      <c r="AB1202" s="549">
        <v>11</v>
      </c>
      <c r="AC1202" s="65">
        <v>11</v>
      </c>
      <c r="AD1202" s="899"/>
      <c r="AE1202" s="899"/>
      <c r="AF1202" s="899"/>
      <c r="AG1202" s="899"/>
      <c r="AK1202" s="883"/>
    </row>
    <row r="1203" spans="1:37" hidden="1" outlineLevel="1" x14ac:dyDescent="0.25">
      <c r="A1203" s="123"/>
      <c r="B1203" s="123"/>
      <c r="C1203" s="1119"/>
      <c r="D1203" s="4373"/>
      <c r="E1203" s="3121" t="s">
        <v>2137</v>
      </c>
      <c r="F1203" s="65">
        <v>11.2</v>
      </c>
      <c r="G1203" s="1134"/>
      <c r="H1203" s="3769" t="s">
        <v>131</v>
      </c>
      <c r="I1203" s="4189"/>
      <c r="J1203" s="123"/>
      <c r="K1203" s="123"/>
      <c r="L1203" s="123"/>
      <c r="M1203" s="123"/>
      <c r="N1203" s="123"/>
      <c r="V1203" s="3707"/>
      <c r="W1203" s="65">
        <v>11.2</v>
      </c>
      <c r="X1203" s="65">
        <v>11.2</v>
      </c>
      <c r="Y1203" s="65">
        <v>11.2</v>
      </c>
      <c r="Z1203" s="65">
        <v>11.2</v>
      </c>
      <c r="AA1203" s="65">
        <v>11.2</v>
      </c>
      <c r="AB1203" s="65">
        <v>11.2</v>
      </c>
      <c r="AC1203" s="65">
        <v>11.2</v>
      </c>
      <c r="AD1203" s="899"/>
      <c r="AE1203" s="899"/>
      <c r="AF1203" s="899"/>
      <c r="AG1203" s="899"/>
      <c r="AK1203" s="883"/>
    </row>
    <row r="1204" spans="1:37" hidden="1" outlineLevel="1" x14ac:dyDescent="0.25">
      <c r="A1204" s="123"/>
      <c r="B1204" s="123"/>
      <c r="C1204" s="1119"/>
      <c r="D1204" s="4373"/>
      <c r="E1204" s="3121" t="s">
        <v>2139</v>
      </c>
      <c r="F1204" s="65">
        <v>18</v>
      </c>
      <c r="G1204" s="1134"/>
      <c r="H1204" s="3769" t="s">
        <v>123</v>
      </c>
      <c r="I1204" s="4189"/>
      <c r="J1204" s="123"/>
      <c r="K1204" s="123"/>
      <c r="L1204" s="123"/>
      <c r="M1204" s="123"/>
      <c r="N1204" s="123"/>
      <c r="V1204" s="3707"/>
      <c r="W1204" s="65">
        <v>18</v>
      </c>
      <c r="X1204" s="65">
        <v>18</v>
      </c>
      <c r="Y1204" s="65">
        <v>18</v>
      </c>
      <c r="Z1204" s="65">
        <v>18</v>
      </c>
      <c r="AA1204" s="65">
        <v>18</v>
      </c>
      <c r="AB1204" s="65">
        <v>18</v>
      </c>
      <c r="AC1204" s="65">
        <v>18</v>
      </c>
      <c r="AD1204" s="899"/>
      <c r="AE1204" s="899"/>
      <c r="AF1204" s="899"/>
      <c r="AG1204" s="899"/>
      <c r="AK1204" s="883"/>
    </row>
    <row r="1205" spans="1:37" hidden="1" outlineLevel="1" x14ac:dyDescent="0.25">
      <c r="A1205" s="123"/>
      <c r="B1205" s="123"/>
      <c r="C1205" s="1119"/>
      <c r="D1205" s="4373"/>
      <c r="E1205" s="3121" t="s">
        <v>2141</v>
      </c>
      <c r="F1205" s="65">
        <v>15</v>
      </c>
      <c r="G1205" s="1134"/>
      <c r="H1205" s="3769" t="s">
        <v>131</v>
      </c>
      <c r="I1205" s="4189"/>
      <c r="J1205" s="123"/>
      <c r="K1205" s="123"/>
      <c r="L1205" s="123"/>
      <c r="M1205" s="123"/>
      <c r="N1205" s="123"/>
      <c r="V1205" s="3707"/>
      <c r="W1205" s="65">
        <v>15</v>
      </c>
      <c r="X1205" s="65">
        <v>15</v>
      </c>
      <c r="Y1205" s="65">
        <v>15</v>
      </c>
      <c r="Z1205" s="65">
        <v>15</v>
      </c>
      <c r="AA1205" s="65">
        <v>15</v>
      </c>
      <c r="AB1205" s="65">
        <v>15</v>
      </c>
      <c r="AC1205" s="65">
        <v>15</v>
      </c>
      <c r="AD1205" s="899"/>
      <c r="AE1205" s="899"/>
      <c r="AF1205" s="899"/>
      <c r="AG1205" s="899"/>
      <c r="AK1205" s="883"/>
    </row>
    <row r="1206" spans="1:37" hidden="1" outlineLevel="1" x14ac:dyDescent="0.25">
      <c r="A1206" s="123"/>
      <c r="B1206" s="123"/>
      <c r="C1206" s="1119"/>
      <c r="D1206" s="4373"/>
      <c r="E1206" s="2878" t="s">
        <v>2144</v>
      </c>
      <c r="F1206" s="2879">
        <v>6</v>
      </c>
      <c r="G1206" s="2880"/>
      <c r="H1206" s="4365" t="s">
        <v>131</v>
      </c>
      <c r="I1206" s="4375"/>
      <c r="J1206" s="123"/>
      <c r="K1206" s="123"/>
      <c r="L1206" s="123"/>
      <c r="M1206" s="123"/>
      <c r="N1206" s="123"/>
      <c r="V1206" s="3707"/>
      <c r="W1206" s="2871"/>
      <c r="X1206" s="2871"/>
      <c r="Y1206" s="2871"/>
      <c r="Z1206" s="2871"/>
      <c r="AA1206" s="2871"/>
      <c r="AB1206" s="2871"/>
      <c r="AC1206" s="2879">
        <v>6</v>
      </c>
      <c r="AD1206" s="2873"/>
      <c r="AE1206" s="2873"/>
      <c r="AF1206" s="2873"/>
      <c r="AG1206" s="2873"/>
      <c r="AK1206" s="883"/>
    </row>
    <row r="1207" spans="1:37" hidden="1" outlineLevel="1" x14ac:dyDescent="0.25">
      <c r="A1207" s="123"/>
      <c r="B1207" s="123"/>
      <c r="C1207" s="1119"/>
      <c r="D1207" s="4373"/>
      <c r="E1207" s="3121" t="s">
        <v>2146</v>
      </c>
      <c r="F1207" s="65">
        <v>6</v>
      </c>
      <c r="G1207" s="62"/>
      <c r="H1207" s="3728" t="s">
        <v>131</v>
      </c>
      <c r="I1207" s="3774"/>
      <c r="J1207" s="123"/>
      <c r="K1207" s="123"/>
      <c r="L1207" s="123"/>
      <c r="M1207" s="123"/>
      <c r="N1207" s="123"/>
      <c r="V1207" s="3707"/>
      <c r="W1207" s="65"/>
      <c r="X1207" s="65"/>
      <c r="Y1207" s="65"/>
      <c r="Z1207" s="65"/>
      <c r="AA1207" s="65"/>
      <c r="AB1207" s="549">
        <v>6</v>
      </c>
      <c r="AC1207" s="65">
        <v>6</v>
      </c>
      <c r="AD1207" s="899"/>
      <c r="AE1207" s="899"/>
      <c r="AF1207" s="899"/>
      <c r="AG1207" s="899"/>
      <c r="AK1207" s="883"/>
    </row>
    <row r="1208" spans="1:37" ht="15.75" hidden="1" outlineLevel="1" thickBot="1" x14ac:dyDescent="0.3">
      <c r="A1208" s="123"/>
      <c r="B1208" s="123"/>
      <c r="C1208" s="1119"/>
      <c r="D1208" s="4367"/>
      <c r="E1208" s="2881" t="s">
        <v>105</v>
      </c>
      <c r="F1208" s="2068">
        <v>0.3</v>
      </c>
      <c r="G1208" s="2885"/>
      <c r="H1208" s="4374" t="s">
        <v>131</v>
      </c>
      <c r="I1208" s="4376"/>
      <c r="J1208" s="123"/>
      <c r="K1208" s="123"/>
      <c r="L1208" s="123"/>
      <c r="M1208" s="123"/>
      <c r="N1208" s="123"/>
      <c r="V1208" s="3691"/>
      <c r="W1208" s="2874"/>
      <c r="X1208" s="2874"/>
      <c r="Y1208" s="2874"/>
      <c r="Z1208" s="2874"/>
      <c r="AA1208" s="2874"/>
      <c r="AB1208" s="2876"/>
      <c r="AC1208" s="2068">
        <v>0.3</v>
      </c>
      <c r="AD1208" s="2877"/>
      <c r="AE1208" s="2877"/>
      <c r="AF1208" s="2877"/>
      <c r="AG1208" s="2877"/>
      <c r="AK1208" s="883"/>
    </row>
    <row r="1209" spans="1:37" ht="15" hidden="1" customHeight="1" outlineLevel="1" x14ac:dyDescent="0.25">
      <c r="A1209" s="123"/>
      <c r="B1209" s="123"/>
      <c r="C1209" s="1119"/>
      <c r="D1209" s="4366" t="s">
        <v>133</v>
      </c>
      <c r="E1209" s="1277" t="s">
        <v>2158</v>
      </c>
      <c r="F1209" s="2884">
        <v>0.98180000000000001</v>
      </c>
      <c r="G1209" s="1132"/>
      <c r="H1209" s="4187" t="s">
        <v>2159</v>
      </c>
      <c r="I1209" s="4188"/>
      <c r="J1209" s="123"/>
      <c r="K1209" s="1135"/>
      <c r="L1209" s="123"/>
      <c r="M1209" s="123"/>
      <c r="N1209" s="123"/>
      <c r="V1209" s="4370" t="s">
        <v>133</v>
      </c>
      <c r="W1209" s="2335">
        <v>0.95120000000000005</v>
      </c>
      <c r="X1209" s="2336">
        <v>0.97</v>
      </c>
      <c r="Y1209" s="2337">
        <v>0.98180000000000001</v>
      </c>
      <c r="Z1209" s="2338">
        <v>0.98180000000000001</v>
      </c>
      <c r="AA1209" s="2338">
        <v>0.98180000000000001</v>
      </c>
      <c r="AB1209" s="2332">
        <v>0.98180000000000001</v>
      </c>
      <c r="AC1209" s="2332">
        <v>0.98180000000000001</v>
      </c>
      <c r="AD1209" s="2330"/>
      <c r="AE1209" s="2330"/>
      <c r="AF1209" s="2330"/>
      <c r="AG1209" s="2330"/>
      <c r="AK1209" s="883"/>
    </row>
    <row r="1210" spans="1:37" ht="15" hidden="1" customHeight="1" outlineLevel="1" thickBot="1" x14ac:dyDescent="0.3">
      <c r="A1210" s="123"/>
      <c r="B1210" s="123"/>
      <c r="C1210" s="1119"/>
      <c r="D1210" s="4367"/>
      <c r="E1210" s="2073" t="s">
        <v>2160</v>
      </c>
      <c r="F1210" s="2618">
        <v>1</v>
      </c>
      <c r="G1210" s="2619"/>
      <c r="H1210" s="4377" t="s">
        <v>2161</v>
      </c>
      <c r="I1210" s="4378"/>
      <c r="J1210" s="123"/>
      <c r="K1210" s="1135"/>
      <c r="L1210" s="123"/>
      <c r="M1210" s="123"/>
      <c r="N1210" s="123"/>
      <c r="V1210" s="4371"/>
      <c r="W1210" s="2339"/>
      <c r="X1210" s="2334"/>
      <c r="Y1210" s="2340"/>
      <c r="Z1210" s="2341"/>
      <c r="AA1210" s="2341"/>
      <c r="AB1210" s="2334">
        <v>1</v>
      </c>
      <c r="AC1210" s="2618">
        <v>1</v>
      </c>
      <c r="AD1210" s="2325"/>
      <c r="AE1210" s="2325"/>
      <c r="AF1210" s="2325"/>
      <c r="AG1210" s="2325"/>
      <c r="AK1210" s="883"/>
    </row>
    <row r="1211" spans="1:37" ht="15.75" hidden="1" outlineLevel="1" thickBot="1" x14ac:dyDescent="0.3">
      <c r="A1211" s="123"/>
      <c r="B1211" s="123"/>
      <c r="C1211" s="1119"/>
      <c r="D1211" s="2887" t="s">
        <v>144</v>
      </c>
      <c r="E1211" s="2887" t="s">
        <v>135</v>
      </c>
      <c r="F1211" s="2888">
        <v>0</v>
      </c>
      <c r="G1211" s="2889"/>
      <c r="H1211" s="4213" t="s">
        <v>2159</v>
      </c>
      <c r="I1211" s="4214"/>
      <c r="J1211" s="123"/>
      <c r="K1211" s="1135"/>
      <c r="L1211" s="123"/>
      <c r="M1211" s="123"/>
      <c r="N1211" s="123"/>
      <c r="V1211" s="2899" t="s">
        <v>144</v>
      </c>
      <c r="W1211" s="2900">
        <v>1.6525893496695268E-2</v>
      </c>
      <c r="X1211" s="2901">
        <v>0</v>
      </c>
      <c r="Y1211" s="2901">
        <v>0</v>
      </c>
      <c r="Z1211" s="2888">
        <v>0</v>
      </c>
      <c r="AA1211" s="2888">
        <v>0</v>
      </c>
      <c r="AB1211" s="2888">
        <v>0</v>
      </c>
      <c r="AC1211" s="2888">
        <v>0</v>
      </c>
      <c r="AD1211" s="2902"/>
      <c r="AE1211" s="2902"/>
      <c r="AF1211" s="2902"/>
      <c r="AG1211" s="2902"/>
      <c r="AK1211" s="883"/>
    </row>
    <row r="1212" spans="1:37" ht="15" hidden="1" customHeight="1" outlineLevel="1" x14ac:dyDescent="0.25">
      <c r="A1212" s="123"/>
      <c r="B1212" s="123"/>
      <c r="C1212" s="1119"/>
      <c r="D1212" s="4366" t="s">
        <v>148</v>
      </c>
      <c r="E1212" s="2891" t="s">
        <v>150</v>
      </c>
      <c r="F1212" s="2748">
        <v>674.17573847971641</v>
      </c>
      <c r="G1212" s="2333"/>
      <c r="H1212" s="4215" t="s">
        <v>2162</v>
      </c>
      <c r="I1212" s="4216"/>
      <c r="J1212" s="123"/>
      <c r="K1212" s="123"/>
      <c r="L1212" s="123"/>
      <c r="M1212" s="123"/>
      <c r="N1212" s="123"/>
      <c r="V1212" s="4370" t="s">
        <v>148</v>
      </c>
      <c r="W1212" s="2903">
        <v>693.5</v>
      </c>
      <c r="X1212" s="2904">
        <v>728</v>
      </c>
      <c r="Y1212" s="2905">
        <v>674.17573847971641</v>
      </c>
      <c r="Z1212" s="2906">
        <v>674.17573847971641</v>
      </c>
      <c r="AA1212" s="2906">
        <v>674.17573847971641</v>
      </c>
      <c r="AB1212" s="2748">
        <v>674.17573847971641</v>
      </c>
      <c r="AC1212" s="2748">
        <v>674.17573847971641</v>
      </c>
      <c r="AD1212" s="2330"/>
      <c r="AE1212" s="2330"/>
      <c r="AF1212" s="2330"/>
      <c r="AG1212" s="2330"/>
      <c r="AK1212" s="883"/>
    </row>
    <row r="1213" spans="1:37" ht="15" hidden="1" customHeight="1" outlineLevel="1" thickBot="1" x14ac:dyDescent="0.3">
      <c r="A1213" s="123"/>
      <c r="B1213" s="123"/>
      <c r="C1213" s="1119"/>
      <c r="D1213" s="4367"/>
      <c r="E1213" s="2892" t="s">
        <v>152</v>
      </c>
      <c r="F1213" s="2894">
        <v>4380</v>
      </c>
      <c r="G1213" s="2619"/>
      <c r="H1213" s="3692" t="s">
        <v>128</v>
      </c>
      <c r="I1213" s="3694"/>
      <c r="J1213" s="123"/>
      <c r="K1213" s="123"/>
      <c r="L1213" s="123"/>
      <c r="M1213" s="123"/>
      <c r="N1213" s="123"/>
      <c r="V1213" s="4371"/>
      <c r="W1213" s="2907"/>
      <c r="X1213" s="2894"/>
      <c r="Y1213" s="2908"/>
      <c r="Z1213" s="2324"/>
      <c r="AA1213" s="2324"/>
      <c r="AB1213" s="2893"/>
      <c r="AC1213" s="2894">
        <v>4380</v>
      </c>
      <c r="AD1213" s="2325"/>
      <c r="AE1213" s="2325"/>
      <c r="AF1213" s="2325"/>
      <c r="AG1213" s="2325"/>
      <c r="AK1213" s="883"/>
    </row>
    <row r="1214" spans="1:37" ht="15.75" hidden="1" outlineLevel="1" thickBot="1" x14ac:dyDescent="0.3">
      <c r="A1214" s="123"/>
      <c r="B1214" s="123"/>
      <c r="C1214" s="1119"/>
      <c r="D1214" s="3231" t="s">
        <v>153</v>
      </c>
      <c r="E1214" s="3231" t="s">
        <v>155</v>
      </c>
      <c r="F1214" s="2913">
        <v>0.99008680582907171</v>
      </c>
      <c r="G1214" s="2914"/>
      <c r="H1214" s="4217" t="s">
        <v>156</v>
      </c>
      <c r="I1214" s="4218"/>
      <c r="J1214" s="123"/>
      <c r="K1214" s="123"/>
      <c r="L1214" s="123"/>
      <c r="M1214" s="123"/>
      <c r="N1214" s="123"/>
      <c r="V1214" s="2899" t="s">
        <v>153</v>
      </c>
      <c r="W1214" s="2915">
        <v>0.99</v>
      </c>
      <c r="X1214" s="2915">
        <v>0.99</v>
      </c>
      <c r="Y1214" s="2916">
        <v>0.99008680582907171</v>
      </c>
      <c r="Z1214" s="2917">
        <v>0.99008680582907171</v>
      </c>
      <c r="AA1214" s="2917">
        <v>0.99008680582907171</v>
      </c>
      <c r="AB1214" s="2918">
        <v>0.99008680582907171</v>
      </c>
      <c r="AC1214" s="2918">
        <v>0.99008680582907171</v>
      </c>
      <c r="AD1214" s="2902"/>
      <c r="AE1214" s="2902"/>
      <c r="AF1214" s="2902"/>
      <c r="AG1214" s="2902"/>
      <c r="AK1214" s="883"/>
    </row>
    <row r="1215" spans="1:37" ht="15" hidden="1" customHeight="1" outlineLevel="1" x14ac:dyDescent="0.25">
      <c r="A1215" s="123"/>
      <c r="B1215" s="123"/>
      <c r="C1215" s="1119"/>
      <c r="D1215" s="4366" t="s">
        <v>157</v>
      </c>
      <c r="E1215" s="2891" t="s">
        <v>150</v>
      </c>
      <c r="F1215" s="2886">
        <v>7321.0388096521265</v>
      </c>
      <c r="G1215" s="1132"/>
      <c r="H1215" s="4219" t="s">
        <v>2162</v>
      </c>
      <c r="I1215" s="4220"/>
      <c r="J1215" s="123"/>
      <c r="K1215" s="123"/>
      <c r="L1215" s="123"/>
      <c r="M1215" s="123"/>
      <c r="N1215" s="123"/>
      <c r="V1215" s="4370" t="s">
        <v>157</v>
      </c>
      <c r="W1215" s="2895">
        <v>3613</v>
      </c>
      <c r="X1215" s="2896">
        <v>5949</v>
      </c>
      <c r="Y1215" s="2897">
        <v>7321.0388096521265</v>
      </c>
      <c r="Z1215" s="2898">
        <v>7321.0388096521265</v>
      </c>
      <c r="AA1215" s="2898">
        <v>7321.0388096521265</v>
      </c>
      <c r="AB1215" s="2886">
        <v>7321.0388096521265</v>
      </c>
      <c r="AC1215" s="2886">
        <v>7321.0388096521265</v>
      </c>
      <c r="AD1215" s="2886"/>
      <c r="AE1215" s="2886"/>
      <c r="AF1215" s="2886"/>
      <c r="AG1215" s="2886"/>
      <c r="AK1215" s="883"/>
    </row>
    <row r="1216" spans="1:37" ht="15" hidden="1" customHeight="1" outlineLevel="1" thickBot="1" x14ac:dyDescent="0.3">
      <c r="A1216" s="123"/>
      <c r="B1216" s="123"/>
      <c r="C1216" s="1119"/>
      <c r="D1216" s="4367"/>
      <c r="E1216" s="2892" t="s">
        <v>152</v>
      </c>
      <c r="F1216" s="2894">
        <v>4380</v>
      </c>
      <c r="G1216" s="2619"/>
      <c r="H1216" s="3692" t="s">
        <v>128</v>
      </c>
      <c r="I1216" s="3694"/>
      <c r="J1216" s="123"/>
      <c r="K1216" s="123"/>
      <c r="L1216" s="123"/>
      <c r="M1216" s="123"/>
      <c r="N1216" s="123"/>
      <c r="V1216" s="4371"/>
      <c r="W1216" s="2907"/>
      <c r="X1216" s="2894"/>
      <c r="Y1216" s="2908"/>
      <c r="Z1216" s="2324"/>
      <c r="AA1216" s="2324"/>
      <c r="AB1216" s="2893"/>
      <c r="AC1216" s="2894">
        <v>4380</v>
      </c>
      <c r="AD1216" s="2893"/>
      <c r="AE1216" s="2893"/>
      <c r="AF1216" s="2893"/>
      <c r="AG1216" s="2893"/>
      <c r="AK1216" s="883"/>
    </row>
    <row r="1217" spans="1:45" ht="15" hidden="1" customHeight="1" outlineLevel="1" x14ac:dyDescent="0.25">
      <c r="A1217" s="123"/>
      <c r="B1217" s="123"/>
      <c r="C1217" s="1119"/>
      <c r="D1217" s="2296" t="s">
        <v>160</v>
      </c>
      <c r="E1217" s="2296" t="s">
        <v>2163</v>
      </c>
      <c r="F1217" s="2890">
        <v>0.96568754422551695</v>
      </c>
      <c r="G1217" s="1132"/>
      <c r="H1217" s="4219" t="s">
        <v>2164</v>
      </c>
      <c r="I1217" s="4220"/>
      <c r="J1217" s="123"/>
      <c r="K1217" s="123"/>
      <c r="L1217" s="123"/>
      <c r="M1217" s="123"/>
      <c r="N1217" s="123"/>
      <c r="V1217" s="2072" t="s">
        <v>160</v>
      </c>
      <c r="W1217" s="2895">
        <v>1.1000000000000001</v>
      </c>
      <c r="X1217" s="2895">
        <v>2.1</v>
      </c>
      <c r="Y1217" s="2897">
        <v>0.96568754422551695</v>
      </c>
      <c r="Z1217" s="2898">
        <v>0.96568754422551695</v>
      </c>
      <c r="AA1217" s="2898">
        <v>0.96568754422551695</v>
      </c>
      <c r="AB1217" s="2890">
        <v>0.96568754422551695</v>
      </c>
      <c r="AC1217" s="2890">
        <v>0.96568754422551695</v>
      </c>
      <c r="AD1217" s="2065"/>
      <c r="AE1217" s="2065"/>
      <c r="AF1217" s="2065"/>
      <c r="AG1217" s="2065"/>
      <c r="AK1217" s="883"/>
    </row>
    <row r="1218" spans="1:45" hidden="1" outlineLevel="1" x14ac:dyDescent="0.25">
      <c r="A1218" s="123"/>
      <c r="B1218" s="123"/>
      <c r="C1218" s="1119"/>
      <c r="D1218" s="1121" t="s">
        <v>163</v>
      </c>
      <c r="E1218" s="1121" t="s">
        <v>135</v>
      </c>
      <c r="F1218" s="1138">
        <v>1</v>
      </c>
      <c r="G1218" s="1122"/>
      <c r="H1218" s="3769" t="s">
        <v>2165</v>
      </c>
      <c r="I1218" s="4189"/>
      <c r="J1218" s="123"/>
      <c r="K1218" s="123"/>
      <c r="L1218" s="123"/>
      <c r="M1218" s="123"/>
      <c r="N1218" s="123"/>
      <c r="V1218" s="1228" t="s">
        <v>163</v>
      </c>
      <c r="W1218" s="1138">
        <v>1</v>
      </c>
      <c r="X1218" s="1138">
        <v>1</v>
      </c>
      <c r="Y1218" s="1138">
        <v>1</v>
      </c>
      <c r="Z1218" s="1138">
        <v>1</v>
      </c>
      <c r="AA1218" s="1138">
        <v>1</v>
      </c>
      <c r="AB1218" s="1138">
        <v>1</v>
      </c>
      <c r="AC1218" s="1138">
        <v>1</v>
      </c>
      <c r="AD1218" s="899"/>
      <c r="AE1218" s="899"/>
      <c r="AF1218" s="899"/>
      <c r="AG1218" s="899"/>
      <c r="AK1218" s="883"/>
    </row>
    <row r="1219" spans="1:45" ht="15" hidden="1" customHeight="1" outlineLevel="1" x14ac:dyDescent="0.25">
      <c r="A1219" s="123"/>
      <c r="B1219" s="123"/>
      <c r="C1219" s="1119"/>
      <c r="D1219" s="1121" t="s">
        <v>2166</v>
      </c>
      <c r="E1219" s="1121" t="s">
        <v>54</v>
      </c>
      <c r="F1219" s="1139">
        <v>1.4925290000000001E-4</v>
      </c>
      <c r="G1219" s="1122"/>
      <c r="H1219" s="3769" t="s">
        <v>2167</v>
      </c>
      <c r="I1219" s="4189"/>
      <c r="J1219" s="123"/>
      <c r="K1219" s="123"/>
      <c r="L1219" s="123"/>
      <c r="M1219" s="123"/>
      <c r="N1219" s="123"/>
      <c r="V1219" s="1228" t="s">
        <v>2166</v>
      </c>
      <c r="W1219" s="1140">
        <v>1.4925290000000001E-4</v>
      </c>
      <c r="X1219" s="1140">
        <v>1.4925290000000001E-4</v>
      </c>
      <c r="Y1219" s="1140">
        <v>1.4925290000000001E-4</v>
      </c>
      <c r="Z1219" s="1139">
        <v>1.4925290000000001E-4</v>
      </c>
      <c r="AA1219" s="1139">
        <v>1.4925290000000001E-4</v>
      </c>
      <c r="AB1219" s="1139">
        <v>1.4925290000000001E-4</v>
      </c>
      <c r="AC1219" s="1139">
        <v>1.4925290000000001E-4</v>
      </c>
      <c r="AD1219" s="899"/>
      <c r="AE1219" s="899"/>
      <c r="AF1219" s="899"/>
      <c r="AG1219" s="899"/>
      <c r="AK1219" s="883"/>
    </row>
    <row r="1220" spans="1:45" ht="15" hidden="1" customHeight="1" outlineLevel="1" x14ac:dyDescent="0.25">
      <c r="A1220" s="123"/>
      <c r="B1220" s="123"/>
      <c r="C1220" s="1119"/>
      <c r="D1220" s="1121" t="s">
        <v>2168</v>
      </c>
      <c r="E1220" s="1121" t="s">
        <v>55</v>
      </c>
      <c r="F1220" s="1139">
        <v>1.899635E-4</v>
      </c>
      <c r="G1220" s="1122"/>
      <c r="H1220" s="3769" t="s">
        <v>2167</v>
      </c>
      <c r="I1220" s="4189"/>
      <c r="J1220" s="123"/>
      <c r="K1220" s="123"/>
      <c r="L1220" s="123"/>
      <c r="M1220" s="123"/>
      <c r="N1220" s="123"/>
      <c r="V1220" s="1228" t="s">
        <v>2168</v>
      </c>
      <c r="W1220" s="1140">
        <v>1.899635E-4</v>
      </c>
      <c r="X1220" s="1140">
        <v>1.899635E-4</v>
      </c>
      <c r="Y1220" s="1140">
        <v>1.899635E-4</v>
      </c>
      <c r="Z1220" s="1139">
        <v>1.899635E-4</v>
      </c>
      <c r="AA1220" s="1139">
        <v>1.899635E-4</v>
      </c>
      <c r="AB1220" s="1139">
        <v>1.899635E-4</v>
      </c>
      <c r="AC1220" s="1139">
        <v>1.899635E-4</v>
      </c>
      <c r="AD1220" s="899"/>
      <c r="AE1220" s="899"/>
      <c r="AF1220" s="899"/>
      <c r="AG1220" s="899"/>
      <c r="AK1220" s="883"/>
    </row>
    <row r="1221" spans="1:45" hidden="1" outlineLevel="1" x14ac:dyDescent="0.25">
      <c r="A1221" s="123"/>
      <c r="B1221" s="123"/>
      <c r="C1221" s="1119"/>
      <c r="D1221" s="1121" t="s">
        <v>2169</v>
      </c>
      <c r="E1221" s="1121" t="s">
        <v>2170</v>
      </c>
      <c r="F1221" s="1141">
        <v>8760</v>
      </c>
      <c r="G1221" s="1122"/>
      <c r="H1221" s="3769" t="s">
        <v>2171</v>
      </c>
      <c r="I1221" s="4189"/>
      <c r="J1221" s="123"/>
      <c r="K1221" s="123"/>
      <c r="L1221" s="123"/>
      <c r="M1221" s="123"/>
      <c r="N1221" s="123"/>
      <c r="V1221" s="1228" t="s">
        <v>2169</v>
      </c>
      <c r="W1221" s="1142">
        <v>8760</v>
      </c>
      <c r="X1221" s="1142">
        <v>8760</v>
      </c>
      <c r="Y1221" s="1142">
        <v>8760</v>
      </c>
      <c r="Z1221" s="1141">
        <v>8760</v>
      </c>
      <c r="AA1221" s="1141">
        <v>8760</v>
      </c>
      <c r="AB1221" s="1141">
        <v>8760</v>
      </c>
      <c r="AC1221" s="1141">
        <v>8760</v>
      </c>
      <c r="AD1221" s="899"/>
      <c r="AE1221" s="899"/>
      <c r="AF1221" s="899"/>
      <c r="AG1221" s="899"/>
      <c r="AK1221" s="883"/>
    </row>
    <row r="1222" spans="1:45" ht="15.75" hidden="1" outlineLevel="1" thickBot="1" x14ac:dyDescent="0.3">
      <c r="A1222" s="123"/>
      <c r="B1222" s="123"/>
      <c r="C1222" s="1119"/>
      <c r="D1222" s="2910" t="s">
        <v>2172</v>
      </c>
      <c r="E1222" s="2910" t="s">
        <v>2173</v>
      </c>
      <c r="F1222" s="2911">
        <v>4380</v>
      </c>
      <c r="G1222" s="2619"/>
      <c r="H1222" s="4206" t="s">
        <v>2174</v>
      </c>
      <c r="I1222" s="4207"/>
      <c r="J1222" s="123"/>
      <c r="K1222" s="123"/>
      <c r="L1222" s="123"/>
      <c r="M1222" s="123"/>
      <c r="N1222" s="123"/>
      <c r="V1222" s="1228" t="s">
        <v>2172</v>
      </c>
      <c r="W1222" s="1142">
        <v>4380</v>
      </c>
      <c r="X1222" s="1142">
        <v>4380</v>
      </c>
      <c r="Y1222" s="1142">
        <v>4380</v>
      </c>
      <c r="Z1222" s="1141">
        <v>4380</v>
      </c>
      <c r="AA1222" s="1141">
        <v>4380</v>
      </c>
      <c r="AB1222" s="1141">
        <v>4380</v>
      </c>
      <c r="AC1222" s="1141">
        <v>4380</v>
      </c>
      <c r="AD1222" s="899"/>
      <c r="AE1222" s="899"/>
      <c r="AF1222" s="899"/>
      <c r="AG1222" s="899"/>
      <c r="AK1222" s="883"/>
    </row>
    <row r="1223" spans="1:45" hidden="1" outlineLevel="1" x14ac:dyDescent="0.25">
      <c r="B1223" s="1233"/>
      <c r="C1223" s="3159"/>
      <c r="D1223" s="4186" t="str">
        <f>D1114</f>
        <v>EUL</v>
      </c>
      <c r="E1223" s="3183" t="s">
        <v>2175</v>
      </c>
      <c r="F1223" s="2979">
        <v>19</v>
      </c>
      <c r="G1223" s="1132"/>
      <c r="H1223" s="4187"/>
      <c r="I1223" s="4188"/>
      <c r="V1223" s="4156" t="str">
        <f>D1223</f>
        <v>EUL</v>
      </c>
      <c r="W1223" s="2070">
        <v>7</v>
      </c>
      <c r="X1223" s="2070">
        <v>7</v>
      </c>
      <c r="Y1223" s="2070">
        <v>7</v>
      </c>
      <c r="Z1223" s="2070">
        <v>7</v>
      </c>
      <c r="AA1223" s="2070">
        <v>7</v>
      </c>
      <c r="AB1223" s="2070">
        <v>7</v>
      </c>
      <c r="AC1223" s="2070">
        <v>7</v>
      </c>
      <c r="AD1223" s="1054"/>
      <c r="AE1223" s="1054"/>
      <c r="AF1223" s="1054"/>
      <c r="AG1223" s="1054"/>
      <c r="AK1223" s="883"/>
    </row>
    <row r="1224" spans="1:45" ht="44.45" hidden="1" customHeight="1" outlineLevel="1" x14ac:dyDescent="0.25">
      <c r="B1224" s="1233"/>
      <c r="C1224" s="3159"/>
      <c r="D1224" s="4186"/>
      <c r="E1224" s="2912" t="s">
        <v>2176</v>
      </c>
      <c r="F1224" s="2909">
        <f>MIN(19, ROUND(100000/F1213,0))</f>
        <v>19</v>
      </c>
      <c r="G1224" s="1122"/>
      <c r="H1224" s="4198" t="s">
        <v>168</v>
      </c>
      <c r="I1224" s="4199"/>
      <c r="V1224" s="4186"/>
      <c r="W1224" s="2070"/>
      <c r="X1224" s="2070"/>
      <c r="Y1224" s="2070"/>
      <c r="Z1224" s="2070"/>
      <c r="AA1224" s="2070"/>
      <c r="AB1224" s="2070"/>
      <c r="AC1224" s="2909">
        <v>19</v>
      </c>
      <c r="AD1224" s="1054"/>
      <c r="AE1224" s="1054"/>
      <c r="AF1224" s="1054"/>
      <c r="AG1224" s="1054"/>
      <c r="AK1224" s="883"/>
    </row>
    <row r="1225" spans="1:45" hidden="1" outlineLevel="1" x14ac:dyDescent="0.25">
      <c r="B1225" s="1233"/>
      <c r="C1225" s="3159"/>
      <c r="D1225" s="4157"/>
      <c r="E1225" s="3192" t="s">
        <v>2177</v>
      </c>
      <c r="F1225" s="2909">
        <v>6</v>
      </c>
      <c r="G1225" s="1122"/>
      <c r="H1225" s="3769"/>
      <c r="I1225" s="4189"/>
      <c r="V1225" s="3873"/>
      <c r="W1225" s="2070">
        <v>7</v>
      </c>
      <c r="X1225" s="2070">
        <v>7</v>
      </c>
      <c r="Y1225" s="2070">
        <v>7</v>
      </c>
      <c r="Z1225" s="2070">
        <v>7</v>
      </c>
      <c r="AA1225" s="2070">
        <v>7</v>
      </c>
      <c r="AB1225" s="2070">
        <v>7</v>
      </c>
      <c r="AC1225" s="2070">
        <v>7</v>
      </c>
      <c r="AD1225" s="1054"/>
      <c r="AE1225" s="1054"/>
      <c r="AF1225" s="1054"/>
      <c r="AG1225" s="1054"/>
      <c r="AK1225" s="883"/>
    </row>
    <row r="1226" spans="1:45" hidden="1" outlineLevel="1" x14ac:dyDescent="0.25">
      <c r="B1226" s="1233"/>
      <c r="C1226" s="3159"/>
      <c r="D1226" s="4190" t="s">
        <v>110</v>
      </c>
      <c r="E1226" s="4191" t="s">
        <v>111</v>
      </c>
      <c r="F1226" s="4193" t="s">
        <v>320</v>
      </c>
      <c r="G1226" s="4193" t="s">
        <v>322</v>
      </c>
      <c r="H1226" s="4195" t="s">
        <v>113</v>
      </c>
      <c r="I1226" s="4196"/>
      <c r="V1226" s="551" t="s">
        <v>45</v>
      </c>
      <c r="W1226" s="1937">
        <f>$W$6</f>
        <v>43252</v>
      </c>
      <c r="X1226" s="1937">
        <f>$X$6</f>
        <v>43465</v>
      </c>
      <c r="Y1226" s="360">
        <f>$Y$6</f>
        <v>43800</v>
      </c>
      <c r="Z1226" s="1937">
        <f>$Z$6</f>
        <v>43862</v>
      </c>
      <c r="AA1226" s="1937">
        <f>$AA$6</f>
        <v>44013</v>
      </c>
      <c r="AB1226" s="1937">
        <f>$AB$6</f>
        <v>44166</v>
      </c>
      <c r="AC1226" s="1937">
        <f>$AC$6</f>
        <v>44531</v>
      </c>
      <c r="AD1226" s="1937" t="str">
        <f>$AD$6</f>
        <v>-</v>
      </c>
      <c r="AE1226" s="1937" t="str">
        <f>$AE$6</f>
        <v>-</v>
      </c>
      <c r="AF1226" s="1937" t="str">
        <f>$AF$6</f>
        <v>-</v>
      </c>
      <c r="AG1226" s="1937" t="str">
        <f>$AG$6</f>
        <v>-</v>
      </c>
      <c r="AI1226" s="1937">
        <f>$W$6</f>
        <v>43252</v>
      </c>
      <c r="AJ1226" s="1937">
        <f>$X$6</f>
        <v>43465</v>
      </c>
      <c r="AK1226" s="1937">
        <f>$Y$6</f>
        <v>43800</v>
      </c>
      <c r="AL1226" s="1937">
        <f>$Z$6</f>
        <v>43862</v>
      </c>
      <c r="AM1226" s="1937">
        <f>$AA$6</f>
        <v>44013</v>
      </c>
      <c r="AN1226" s="1937">
        <f>$AB$6</f>
        <v>44166</v>
      </c>
      <c r="AO1226" s="1937">
        <f>$AC$6</f>
        <v>44531</v>
      </c>
      <c r="AP1226" s="1937" t="str">
        <f>$AD$6</f>
        <v>-</v>
      </c>
      <c r="AQ1226" s="1937" t="str">
        <f>$AE$6</f>
        <v>-</v>
      </c>
      <c r="AR1226" s="1937" t="str">
        <f>$AF$6</f>
        <v>-</v>
      </c>
      <c r="AS1226" s="1937" t="str">
        <f>$AG$6</f>
        <v>-</v>
      </c>
    </row>
    <row r="1227" spans="1:45" hidden="1" outlineLevel="1" x14ac:dyDescent="0.25">
      <c r="B1227" s="1233"/>
      <c r="C1227" s="3159"/>
      <c r="D1227" s="3891"/>
      <c r="E1227" s="4192"/>
      <c r="F1227" s="4194"/>
      <c r="G1227" s="4194"/>
      <c r="H1227" s="4197"/>
      <c r="I1227" s="4192"/>
      <c r="V1227" s="551"/>
      <c r="W1227" s="360" t="str">
        <f>$P$1122</f>
        <v>SF</v>
      </c>
      <c r="X1227" s="360" t="str">
        <f t="shared" ref="X1227:AG1227" si="178">$P$1122</f>
        <v>SF</v>
      </c>
      <c r="Y1227" s="360" t="str">
        <f t="shared" si="178"/>
        <v>SF</v>
      </c>
      <c r="Z1227" s="360" t="str">
        <f t="shared" si="178"/>
        <v>SF</v>
      </c>
      <c r="AA1227" s="360" t="str">
        <f t="shared" si="178"/>
        <v>SF</v>
      </c>
      <c r="AB1227" s="360" t="str">
        <f t="shared" si="178"/>
        <v>SF</v>
      </c>
      <c r="AC1227" s="360" t="str">
        <f t="shared" si="178"/>
        <v>SF</v>
      </c>
      <c r="AD1227" s="360" t="str">
        <f t="shared" si="178"/>
        <v>SF</v>
      </c>
      <c r="AE1227" s="360" t="str">
        <f t="shared" si="178"/>
        <v>SF</v>
      </c>
      <c r="AF1227" s="360" t="str">
        <f t="shared" si="178"/>
        <v>SF</v>
      </c>
      <c r="AG1227" s="360" t="str">
        <f t="shared" si="178"/>
        <v>SF</v>
      </c>
      <c r="AI1227" s="360" t="str">
        <f>$Q$1122</f>
        <v>MF</v>
      </c>
      <c r="AJ1227" s="360" t="str">
        <f t="shared" ref="AJ1227:AS1227" si="179">$Q$1122</f>
        <v>MF</v>
      </c>
      <c r="AK1227" s="360" t="str">
        <f t="shared" si="179"/>
        <v>MF</v>
      </c>
      <c r="AL1227" s="360" t="str">
        <f t="shared" si="179"/>
        <v>MF</v>
      </c>
      <c r="AM1227" s="360" t="str">
        <f t="shared" si="179"/>
        <v>MF</v>
      </c>
      <c r="AN1227" s="360" t="str">
        <f t="shared" si="179"/>
        <v>MF</v>
      </c>
      <c r="AO1227" s="360" t="str">
        <f t="shared" si="179"/>
        <v>MF</v>
      </c>
      <c r="AP1227" s="360" t="str">
        <f t="shared" si="179"/>
        <v>MF</v>
      </c>
      <c r="AQ1227" s="360" t="str">
        <f t="shared" si="179"/>
        <v>MF</v>
      </c>
      <c r="AR1227" s="360" t="str">
        <f t="shared" si="179"/>
        <v>MF</v>
      </c>
      <c r="AS1227" s="360" t="str">
        <f t="shared" si="179"/>
        <v>MF</v>
      </c>
    </row>
    <row r="1228" spans="1:45" hidden="1" outlineLevel="1" x14ac:dyDescent="0.25">
      <c r="B1228" s="1233"/>
      <c r="C1228" s="3159"/>
      <c r="D1228" s="4204" t="str">
        <f>D1115</f>
        <v>Inc. Cost</v>
      </c>
      <c r="E1228" s="3121" t="s">
        <v>2099</v>
      </c>
      <c r="F1228" s="1111">
        <v>6</v>
      </c>
      <c r="G1228" s="1111">
        <v>3.3</v>
      </c>
      <c r="H1228" s="3769"/>
      <c r="I1228" s="4189"/>
      <c r="V1228" s="4204" t="str">
        <f>D1228</f>
        <v>Inc. Cost</v>
      </c>
      <c r="W1228" s="2920">
        <v>6</v>
      </c>
      <c r="X1228" s="1143">
        <v>6</v>
      </c>
      <c r="Y1228" s="1054">
        <v>6</v>
      </c>
      <c r="Z1228" s="1054">
        <v>6</v>
      </c>
      <c r="AA1228" s="1054">
        <v>6</v>
      </c>
      <c r="AB1228" s="1111">
        <v>6</v>
      </c>
      <c r="AC1228" s="1054">
        <v>6</v>
      </c>
      <c r="AD1228" s="1054"/>
      <c r="AE1228" s="1054"/>
      <c r="AF1228" s="1054"/>
      <c r="AG1228" s="1054"/>
      <c r="AI1228" s="1143">
        <v>3.3</v>
      </c>
      <c r="AJ1228" s="1143">
        <v>3.3</v>
      </c>
      <c r="AK1228" s="1143">
        <v>3.3</v>
      </c>
      <c r="AL1228" s="1143">
        <v>3.3</v>
      </c>
      <c r="AM1228" s="1143">
        <v>3.3</v>
      </c>
      <c r="AN1228" s="1111">
        <v>3.3</v>
      </c>
      <c r="AO1228" s="1054">
        <v>3.3</v>
      </c>
      <c r="AP1228" s="1054"/>
      <c r="AQ1228" s="1054"/>
      <c r="AR1228" s="1054"/>
      <c r="AS1228" s="1054"/>
    </row>
    <row r="1229" spans="1:45" hidden="1" outlineLevel="1" x14ac:dyDescent="0.25">
      <c r="B1229" s="1233"/>
      <c r="C1229" s="3159"/>
      <c r="D1229" s="4204"/>
      <c r="E1229" s="3121" t="s">
        <v>2101</v>
      </c>
      <c r="F1229" s="1111">
        <v>6</v>
      </c>
      <c r="G1229" s="1111">
        <v>3.68</v>
      </c>
      <c r="H1229" s="3769"/>
      <c r="I1229" s="4189"/>
      <c r="V1229" s="4204"/>
      <c r="W1229" s="2920">
        <v>6</v>
      </c>
      <c r="X1229" s="1143">
        <v>6</v>
      </c>
      <c r="Y1229" s="1054">
        <v>6</v>
      </c>
      <c r="Z1229" s="1054">
        <v>6</v>
      </c>
      <c r="AA1229" s="1054">
        <v>6</v>
      </c>
      <c r="AB1229" s="1111">
        <v>6</v>
      </c>
      <c r="AC1229" s="1054">
        <v>6</v>
      </c>
      <c r="AD1229" s="1054"/>
      <c r="AE1229" s="1054"/>
      <c r="AF1229" s="1054"/>
      <c r="AG1229" s="1054"/>
      <c r="AI1229" s="1143">
        <v>3.68</v>
      </c>
      <c r="AJ1229" s="1143">
        <v>3.68</v>
      </c>
      <c r="AK1229" s="1143">
        <v>3.68</v>
      </c>
      <c r="AL1229" s="1143">
        <v>3.68</v>
      </c>
      <c r="AM1229" s="1143">
        <v>3.68</v>
      </c>
      <c r="AN1229" s="1111">
        <v>3.68</v>
      </c>
      <c r="AO1229" s="1054">
        <v>3.68</v>
      </c>
      <c r="AP1229" s="1054"/>
      <c r="AQ1229" s="1054"/>
      <c r="AR1229" s="1054"/>
      <c r="AS1229" s="1054"/>
    </row>
    <row r="1230" spans="1:45" hidden="1" outlineLevel="1" x14ac:dyDescent="0.25">
      <c r="B1230" s="1233"/>
      <c r="C1230" s="3159"/>
      <c r="D1230" s="4204"/>
      <c r="E1230" s="3121" t="s">
        <v>2103</v>
      </c>
      <c r="F1230" s="1111">
        <v>6</v>
      </c>
      <c r="G1230" s="1111">
        <v>4.72</v>
      </c>
      <c r="H1230" s="3769"/>
      <c r="I1230" s="4189"/>
      <c r="V1230" s="4204"/>
      <c r="W1230" s="2920">
        <v>6</v>
      </c>
      <c r="X1230" s="1143">
        <v>6</v>
      </c>
      <c r="Y1230" s="1054">
        <v>6</v>
      </c>
      <c r="Z1230" s="1054">
        <v>6</v>
      </c>
      <c r="AA1230" s="1054">
        <v>6</v>
      </c>
      <c r="AB1230" s="1111">
        <v>6</v>
      </c>
      <c r="AC1230" s="1054">
        <v>6</v>
      </c>
      <c r="AD1230" s="1054"/>
      <c r="AE1230" s="1054"/>
      <c r="AF1230" s="1054"/>
      <c r="AG1230" s="1054"/>
      <c r="AI1230" s="1143">
        <v>4.72</v>
      </c>
      <c r="AJ1230" s="1143">
        <v>4.72</v>
      </c>
      <c r="AK1230" s="1143">
        <v>4.72</v>
      </c>
      <c r="AL1230" s="1143">
        <v>4.72</v>
      </c>
      <c r="AM1230" s="1143">
        <v>4.72</v>
      </c>
      <c r="AN1230" s="1111">
        <v>4.72</v>
      </c>
      <c r="AO1230" s="1054">
        <v>4.72</v>
      </c>
      <c r="AP1230" s="1054"/>
      <c r="AQ1230" s="1054"/>
      <c r="AR1230" s="1054"/>
      <c r="AS1230" s="1054"/>
    </row>
    <row r="1231" spans="1:45" ht="30" hidden="1" outlineLevel="1" x14ac:dyDescent="0.25">
      <c r="B1231" s="1233"/>
      <c r="C1231" s="3159"/>
      <c r="D1231" s="4204"/>
      <c r="E1231" s="3121" t="s">
        <v>2105</v>
      </c>
      <c r="F1231" s="1111">
        <v>6</v>
      </c>
      <c r="G1231" s="1111">
        <v>3.53</v>
      </c>
      <c r="H1231" s="3769"/>
      <c r="I1231" s="4189"/>
      <c r="V1231" s="4204"/>
      <c r="W1231" s="2920">
        <v>6</v>
      </c>
      <c r="X1231" s="1143">
        <v>6</v>
      </c>
      <c r="Y1231" s="1054">
        <v>6</v>
      </c>
      <c r="Z1231" s="1054">
        <v>6</v>
      </c>
      <c r="AA1231" s="1054">
        <v>6</v>
      </c>
      <c r="AB1231" s="1111">
        <v>6</v>
      </c>
      <c r="AC1231" s="1054">
        <v>6</v>
      </c>
      <c r="AD1231" s="1054"/>
      <c r="AE1231" s="1054"/>
      <c r="AF1231" s="1054"/>
      <c r="AG1231" s="1054"/>
      <c r="AI1231" s="1143">
        <v>3.53</v>
      </c>
      <c r="AJ1231" s="1143">
        <v>3.53</v>
      </c>
      <c r="AK1231" s="1143">
        <v>3.53</v>
      </c>
      <c r="AL1231" s="1143">
        <v>3.53</v>
      </c>
      <c r="AM1231" s="1143">
        <v>3.53</v>
      </c>
      <c r="AN1231" s="1111">
        <v>3.53</v>
      </c>
      <c r="AO1231" s="1054">
        <v>3.53</v>
      </c>
      <c r="AP1231" s="1054"/>
      <c r="AQ1231" s="1054"/>
      <c r="AR1231" s="1054"/>
      <c r="AS1231" s="1054"/>
    </row>
    <row r="1232" spans="1:45" hidden="1" outlineLevel="1" x14ac:dyDescent="0.25">
      <c r="B1232" s="1233"/>
      <c r="C1232" s="3159"/>
      <c r="D1232" s="4204"/>
      <c r="E1232" s="3121" t="s">
        <v>2107</v>
      </c>
      <c r="F1232" s="1111">
        <v>8</v>
      </c>
      <c r="G1232" s="1111">
        <v>6.27</v>
      </c>
      <c r="H1232" s="3769"/>
      <c r="I1232" s="4189"/>
      <c r="V1232" s="4204"/>
      <c r="W1232" s="2920">
        <v>8</v>
      </c>
      <c r="X1232" s="1143">
        <v>8</v>
      </c>
      <c r="Y1232" s="1054">
        <v>8</v>
      </c>
      <c r="Z1232" s="1054">
        <v>8</v>
      </c>
      <c r="AA1232" s="1054">
        <v>8</v>
      </c>
      <c r="AB1232" s="1111">
        <v>8</v>
      </c>
      <c r="AC1232" s="1054">
        <v>8</v>
      </c>
      <c r="AD1232" s="1054"/>
      <c r="AE1232" s="1054"/>
      <c r="AF1232" s="1054"/>
      <c r="AG1232" s="1054"/>
      <c r="AI1232" s="1143">
        <v>6.27</v>
      </c>
      <c r="AJ1232" s="1143">
        <v>6.27</v>
      </c>
      <c r="AK1232" s="1143">
        <v>6.27</v>
      </c>
      <c r="AL1232" s="1143">
        <v>6.27</v>
      </c>
      <c r="AM1232" s="1143">
        <v>6.27</v>
      </c>
      <c r="AN1232" s="1111">
        <v>6.27</v>
      </c>
      <c r="AO1232" s="1054">
        <v>6.27</v>
      </c>
      <c r="AP1232" s="1054"/>
      <c r="AQ1232" s="1054"/>
      <c r="AR1232" s="1054"/>
      <c r="AS1232" s="1054"/>
    </row>
    <row r="1233" spans="2:45" hidden="1" outlineLevel="1" x14ac:dyDescent="0.25">
      <c r="B1233" s="1233"/>
      <c r="C1233" s="3159"/>
      <c r="D1233" s="4204"/>
      <c r="E1233" s="3121" t="s">
        <v>2109</v>
      </c>
      <c r="F1233" s="1111">
        <v>10</v>
      </c>
      <c r="G1233" s="1111">
        <v>4.92</v>
      </c>
      <c r="H1233" s="3769"/>
      <c r="I1233" s="4189"/>
      <c r="V1233" s="4204"/>
      <c r="W1233" s="2920"/>
      <c r="X1233" s="1143"/>
      <c r="Y1233" s="1054"/>
      <c r="Z1233" s="1054"/>
      <c r="AA1233" s="1054"/>
      <c r="AB1233" s="2067">
        <v>10</v>
      </c>
      <c r="AC1233" s="1054">
        <v>10</v>
      </c>
      <c r="AD1233" s="1054"/>
      <c r="AE1233" s="1054"/>
      <c r="AF1233" s="1054"/>
      <c r="AG1233" s="1054"/>
      <c r="AI1233" s="1143"/>
      <c r="AJ1233" s="1143"/>
      <c r="AK1233" s="1143"/>
      <c r="AL1233" s="1143"/>
      <c r="AM1233" s="1143"/>
      <c r="AN1233" s="2067">
        <v>4.92</v>
      </c>
      <c r="AO1233" s="1054">
        <v>4.92</v>
      </c>
      <c r="AP1233" s="1054"/>
      <c r="AQ1233" s="1054"/>
      <c r="AR1233" s="1054"/>
      <c r="AS1233" s="1054"/>
    </row>
    <row r="1234" spans="2:45" hidden="1" outlineLevel="1" x14ac:dyDescent="0.25">
      <c r="B1234" s="1233"/>
      <c r="C1234" s="3159"/>
      <c r="D1234" s="4204"/>
      <c r="E1234" s="3121" t="s">
        <v>2111</v>
      </c>
      <c r="F1234" s="1111">
        <v>10</v>
      </c>
      <c r="G1234" s="1111">
        <v>4.92</v>
      </c>
      <c r="H1234" s="3769"/>
      <c r="I1234" s="4189"/>
      <c r="V1234" s="4204"/>
      <c r="W1234" s="2920">
        <v>10</v>
      </c>
      <c r="X1234" s="1143">
        <v>10</v>
      </c>
      <c r="Y1234" s="1054">
        <v>10</v>
      </c>
      <c r="Z1234" s="1054">
        <v>10</v>
      </c>
      <c r="AA1234" s="1054">
        <v>10</v>
      </c>
      <c r="AB1234" s="1111">
        <v>10</v>
      </c>
      <c r="AC1234" s="1054">
        <v>10</v>
      </c>
      <c r="AD1234" s="1054"/>
      <c r="AE1234" s="1054"/>
      <c r="AF1234" s="1054"/>
      <c r="AG1234" s="1054"/>
      <c r="AI1234" s="1143">
        <v>4.92</v>
      </c>
      <c r="AJ1234" s="1143">
        <v>4.92</v>
      </c>
      <c r="AK1234" s="1143">
        <v>4.92</v>
      </c>
      <c r="AL1234" s="1143">
        <v>4.92</v>
      </c>
      <c r="AM1234" s="1143">
        <v>4.92</v>
      </c>
      <c r="AN1234" s="1111">
        <v>4.92</v>
      </c>
      <c r="AO1234" s="1054">
        <v>4.92</v>
      </c>
      <c r="AP1234" s="1054"/>
      <c r="AQ1234" s="1054"/>
      <c r="AR1234" s="1054"/>
      <c r="AS1234" s="1054"/>
    </row>
    <row r="1235" spans="2:45" hidden="1" outlineLevel="1" x14ac:dyDescent="0.25">
      <c r="B1235" s="1233"/>
      <c r="C1235" s="3159"/>
      <c r="D1235" s="4204"/>
      <c r="E1235" s="3121" t="s">
        <v>2113</v>
      </c>
      <c r="F1235" s="1111">
        <v>15</v>
      </c>
      <c r="G1235" s="1111">
        <v>4.92</v>
      </c>
      <c r="H1235" s="3769"/>
      <c r="I1235" s="4189"/>
      <c r="V1235" s="4204"/>
      <c r="W1235" s="2920">
        <v>15</v>
      </c>
      <c r="X1235" s="1143">
        <v>15</v>
      </c>
      <c r="Y1235" s="1054">
        <v>15</v>
      </c>
      <c r="Z1235" s="1054">
        <v>15</v>
      </c>
      <c r="AA1235" s="1054">
        <v>15</v>
      </c>
      <c r="AB1235" s="1111">
        <v>15</v>
      </c>
      <c r="AC1235" s="1054">
        <v>15</v>
      </c>
      <c r="AD1235" s="1054"/>
      <c r="AE1235" s="1054"/>
      <c r="AF1235" s="1054"/>
      <c r="AG1235" s="1054"/>
      <c r="AI1235" s="1143">
        <v>4.92</v>
      </c>
      <c r="AJ1235" s="1143">
        <v>4.92</v>
      </c>
      <c r="AK1235" s="1143">
        <v>4.92</v>
      </c>
      <c r="AL1235" s="1143">
        <v>4.92</v>
      </c>
      <c r="AM1235" s="1143">
        <v>4.92</v>
      </c>
      <c r="AN1235" s="1111">
        <v>4.92</v>
      </c>
      <c r="AO1235" s="1054">
        <v>4.92</v>
      </c>
      <c r="AP1235" s="1054"/>
      <c r="AQ1235" s="1054"/>
      <c r="AR1235" s="1054"/>
      <c r="AS1235" s="1054"/>
    </row>
    <row r="1236" spans="2:45" hidden="1" outlineLevel="1" x14ac:dyDescent="0.25">
      <c r="B1236" s="1233"/>
      <c r="C1236" s="3159"/>
      <c r="D1236" s="4204"/>
      <c r="E1236" s="3121" t="s">
        <v>2115</v>
      </c>
      <c r="F1236" s="1111">
        <v>8</v>
      </c>
      <c r="G1236" s="1111">
        <v>7.83</v>
      </c>
      <c r="H1236" s="3769"/>
      <c r="I1236" s="4189"/>
      <c r="V1236" s="4204"/>
      <c r="W1236" s="2920">
        <v>8</v>
      </c>
      <c r="X1236" s="1143">
        <v>8</v>
      </c>
      <c r="Y1236" s="1054">
        <v>8</v>
      </c>
      <c r="Z1236" s="1054">
        <v>8</v>
      </c>
      <c r="AA1236" s="1054">
        <v>8</v>
      </c>
      <c r="AB1236" s="1111">
        <v>8</v>
      </c>
      <c r="AC1236" s="1054">
        <v>8</v>
      </c>
      <c r="AD1236" s="1054"/>
      <c r="AE1236" s="1054"/>
      <c r="AF1236" s="1054"/>
      <c r="AG1236" s="1054"/>
      <c r="AI1236" s="1143">
        <v>7.83</v>
      </c>
      <c r="AJ1236" s="1143">
        <v>7.83</v>
      </c>
      <c r="AK1236" s="1143">
        <v>7.83</v>
      </c>
      <c r="AL1236" s="1143">
        <v>7.83</v>
      </c>
      <c r="AM1236" s="1143">
        <v>7.83</v>
      </c>
      <c r="AN1236" s="1111">
        <v>7.83</v>
      </c>
      <c r="AO1236" s="1054">
        <v>7.83</v>
      </c>
      <c r="AP1236" s="1054"/>
      <c r="AQ1236" s="1054"/>
      <c r="AR1236" s="1054"/>
      <c r="AS1236" s="1054"/>
    </row>
    <row r="1237" spans="2:45" hidden="1" outlineLevel="1" x14ac:dyDescent="0.25">
      <c r="B1237" s="1233"/>
      <c r="C1237" s="3159"/>
      <c r="D1237" s="4204"/>
      <c r="E1237" s="3121" t="s">
        <v>2117</v>
      </c>
      <c r="F1237" s="1111">
        <v>7</v>
      </c>
      <c r="G1237" s="1111">
        <v>3.27</v>
      </c>
      <c r="H1237" s="3769"/>
      <c r="I1237" s="4189"/>
      <c r="V1237" s="4204"/>
      <c r="W1237" s="2920">
        <v>7</v>
      </c>
      <c r="X1237" s="1143">
        <v>7</v>
      </c>
      <c r="Y1237" s="1054">
        <v>7</v>
      </c>
      <c r="Z1237" s="1054">
        <v>7</v>
      </c>
      <c r="AA1237" s="1054">
        <v>7</v>
      </c>
      <c r="AB1237" s="1111">
        <v>7</v>
      </c>
      <c r="AC1237" s="1054">
        <v>7</v>
      </c>
      <c r="AD1237" s="1054"/>
      <c r="AE1237" s="1054"/>
      <c r="AF1237" s="1054"/>
      <c r="AG1237" s="1054"/>
      <c r="AI1237" s="1143">
        <v>3.27</v>
      </c>
      <c r="AJ1237" s="1143">
        <v>3.27</v>
      </c>
      <c r="AK1237" s="1143">
        <v>3.27</v>
      </c>
      <c r="AL1237" s="1143">
        <v>3.27</v>
      </c>
      <c r="AM1237" s="1143">
        <v>3.27</v>
      </c>
      <c r="AN1237" s="1111">
        <v>3.27</v>
      </c>
      <c r="AO1237" s="1054">
        <v>3.27</v>
      </c>
      <c r="AP1237" s="1054"/>
      <c r="AQ1237" s="1054"/>
      <c r="AR1237" s="1054"/>
      <c r="AS1237" s="1054"/>
    </row>
    <row r="1238" spans="2:45" hidden="1" outlineLevel="1" x14ac:dyDescent="0.25">
      <c r="B1238" s="1233"/>
      <c r="C1238" s="3159"/>
      <c r="D1238" s="4204"/>
      <c r="E1238" s="3121" t="s">
        <v>2119</v>
      </c>
      <c r="F1238" s="1111">
        <v>7</v>
      </c>
      <c r="G1238" s="1111">
        <f>G1237</f>
        <v>3.27</v>
      </c>
      <c r="H1238" s="3769"/>
      <c r="I1238" s="4189"/>
      <c r="V1238" s="4204"/>
      <c r="W1238" s="2920">
        <v>7</v>
      </c>
      <c r="X1238" s="1143">
        <v>7</v>
      </c>
      <c r="Y1238" s="1054">
        <v>7</v>
      </c>
      <c r="Z1238" s="1054">
        <v>7</v>
      </c>
      <c r="AA1238" s="1054">
        <v>7</v>
      </c>
      <c r="AB1238" s="1111">
        <v>7</v>
      </c>
      <c r="AC1238" s="1054">
        <v>7</v>
      </c>
      <c r="AD1238" s="1054"/>
      <c r="AE1238" s="1054"/>
      <c r="AF1238" s="1054"/>
      <c r="AG1238" s="1054"/>
      <c r="AI1238" s="1143">
        <f>AI1237</f>
        <v>3.27</v>
      </c>
      <c r="AJ1238" s="1143">
        <v>3.27</v>
      </c>
      <c r="AK1238" s="1143">
        <v>3.27</v>
      </c>
      <c r="AL1238" s="1143">
        <v>3.27</v>
      </c>
      <c r="AM1238" s="1143">
        <v>3.27</v>
      </c>
      <c r="AN1238" s="1111">
        <f>AN1237</f>
        <v>3.27</v>
      </c>
      <c r="AO1238" s="1054">
        <v>3.27</v>
      </c>
      <c r="AP1238" s="1054"/>
      <c r="AQ1238" s="1054"/>
      <c r="AR1238" s="1054"/>
      <c r="AS1238" s="1054"/>
    </row>
    <row r="1239" spans="2:45" hidden="1" outlineLevel="1" x14ac:dyDescent="0.25">
      <c r="B1239" s="1233"/>
      <c r="C1239" s="3159"/>
      <c r="D1239" s="4204"/>
      <c r="E1239" s="3121" t="s">
        <v>2121</v>
      </c>
      <c r="F1239" s="1111">
        <v>7</v>
      </c>
      <c r="G1239" s="1111">
        <v>3.27</v>
      </c>
      <c r="H1239" s="3769"/>
      <c r="I1239" s="4189"/>
      <c r="V1239" s="4204"/>
      <c r="W1239" s="2920">
        <v>7</v>
      </c>
      <c r="X1239" s="1143">
        <v>7</v>
      </c>
      <c r="Y1239" s="1054">
        <v>7</v>
      </c>
      <c r="Z1239" s="1054">
        <v>7</v>
      </c>
      <c r="AA1239" s="1054">
        <v>7</v>
      </c>
      <c r="AB1239" s="1111">
        <v>7</v>
      </c>
      <c r="AC1239" s="1054">
        <v>7</v>
      </c>
      <c r="AD1239" s="1054"/>
      <c r="AE1239" s="1054"/>
      <c r="AF1239" s="1054"/>
      <c r="AG1239" s="1054"/>
      <c r="AI1239" s="1143">
        <v>3.27</v>
      </c>
      <c r="AJ1239" s="1143">
        <v>3.27</v>
      </c>
      <c r="AK1239" s="1143">
        <v>3.27</v>
      </c>
      <c r="AL1239" s="1143">
        <v>3.27</v>
      </c>
      <c r="AM1239" s="1143">
        <v>3.27</v>
      </c>
      <c r="AN1239" s="1111">
        <v>3.27</v>
      </c>
      <c r="AO1239" s="1054">
        <v>3.27</v>
      </c>
      <c r="AP1239" s="1054"/>
      <c r="AQ1239" s="1054"/>
      <c r="AR1239" s="1054"/>
      <c r="AS1239" s="1054"/>
    </row>
    <row r="1240" spans="2:45" hidden="1" outlineLevel="1" x14ac:dyDescent="0.25">
      <c r="B1240" s="1233"/>
      <c r="C1240" s="3159"/>
      <c r="D1240" s="4204"/>
      <c r="E1240" s="3121" t="s">
        <v>2123</v>
      </c>
      <c r="F1240" s="1111">
        <v>7</v>
      </c>
      <c r="G1240" s="1111">
        <f>G1239</f>
        <v>3.27</v>
      </c>
      <c r="H1240" s="3769"/>
      <c r="I1240" s="4189"/>
      <c r="V1240" s="4204"/>
      <c r="W1240" s="2920">
        <v>7</v>
      </c>
      <c r="X1240" s="1143">
        <v>7</v>
      </c>
      <c r="Y1240" s="1054">
        <v>7</v>
      </c>
      <c r="Z1240" s="1054">
        <v>7</v>
      </c>
      <c r="AA1240" s="1054">
        <v>7</v>
      </c>
      <c r="AB1240" s="1111">
        <v>7</v>
      </c>
      <c r="AC1240" s="1054">
        <v>7</v>
      </c>
      <c r="AD1240" s="1054"/>
      <c r="AE1240" s="1054"/>
      <c r="AF1240" s="1054"/>
      <c r="AG1240" s="1054"/>
      <c r="AI1240" s="1143">
        <f>AI1239</f>
        <v>3.27</v>
      </c>
      <c r="AJ1240" s="1143">
        <v>3.27</v>
      </c>
      <c r="AK1240" s="1143">
        <v>3.27</v>
      </c>
      <c r="AL1240" s="1143">
        <v>3.27</v>
      </c>
      <c r="AM1240" s="1143">
        <v>3.27</v>
      </c>
      <c r="AN1240" s="1111">
        <f>AN1239</f>
        <v>3.27</v>
      </c>
      <c r="AO1240" s="1054">
        <v>3.27</v>
      </c>
      <c r="AP1240" s="1054"/>
      <c r="AQ1240" s="1054"/>
      <c r="AR1240" s="1054"/>
      <c r="AS1240" s="1054"/>
    </row>
    <row r="1241" spans="2:45" hidden="1" outlineLevel="1" x14ac:dyDescent="0.25">
      <c r="B1241" s="1233"/>
      <c r="C1241" s="3159"/>
      <c r="D1241" s="4204"/>
      <c r="E1241" s="3121" t="s">
        <v>2125</v>
      </c>
      <c r="F1241" s="1729">
        <f>F1228</f>
        <v>6</v>
      </c>
      <c r="G1241" s="1729">
        <v>3.68</v>
      </c>
      <c r="H1241" s="3769"/>
      <c r="I1241" s="4189"/>
      <c r="V1241" s="4204"/>
      <c r="W1241" s="2921">
        <f>W1228</f>
        <v>6</v>
      </c>
      <c r="X1241" s="1144">
        <v>6</v>
      </c>
      <c r="Y1241" s="1054">
        <v>6</v>
      </c>
      <c r="Z1241" s="1054">
        <v>6</v>
      </c>
      <c r="AA1241" s="1054">
        <v>6</v>
      </c>
      <c r="AB1241" s="1729">
        <v>6</v>
      </c>
      <c r="AC1241" s="1054">
        <v>6</v>
      </c>
      <c r="AD1241" s="1054"/>
      <c r="AE1241" s="1054"/>
      <c r="AF1241" s="1054"/>
      <c r="AG1241" s="1054"/>
      <c r="AI1241" s="1144">
        <v>3.68</v>
      </c>
      <c r="AJ1241" s="1144">
        <v>3.68</v>
      </c>
      <c r="AK1241" s="1144">
        <v>3.68</v>
      </c>
      <c r="AL1241" s="1144">
        <v>3.68</v>
      </c>
      <c r="AM1241" s="1144">
        <v>3.68</v>
      </c>
      <c r="AN1241" s="1729">
        <v>3.68</v>
      </c>
      <c r="AO1241" s="1054">
        <v>3.68</v>
      </c>
      <c r="AP1241" s="1054"/>
      <c r="AQ1241" s="1054"/>
      <c r="AR1241" s="1054"/>
      <c r="AS1241" s="1054"/>
    </row>
    <row r="1242" spans="2:45" hidden="1" outlineLevel="1" x14ac:dyDescent="0.25">
      <c r="B1242" s="1233"/>
      <c r="C1242" s="3159"/>
      <c r="D1242" s="4204"/>
      <c r="E1242" s="3121" t="s">
        <v>2127</v>
      </c>
      <c r="F1242" s="1729">
        <f>F1228</f>
        <v>6</v>
      </c>
      <c r="G1242" s="1729">
        <v>3.3</v>
      </c>
      <c r="H1242" s="3769"/>
      <c r="I1242" s="4189"/>
      <c r="V1242" s="4204"/>
      <c r="W1242" s="2921">
        <f>W1228</f>
        <v>6</v>
      </c>
      <c r="X1242" s="1144">
        <v>6</v>
      </c>
      <c r="Y1242" s="1054">
        <v>6</v>
      </c>
      <c r="Z1242" s="1054">
        <v>6</v>
      </c>
      <c r="AA1242" s="1054">
        <v>6</v>
      </c>
      <c r="AB1242" s="1729">
        <v>6</v>
      </c>
      <c r="AC1242" s="1054">
        <v>6</v>
      </c>
      <c r="AD1242" s="1054"/>
      <c r="AE1242" s="1054"/>
      <c r="AF1242" s="1054"/>
      <c r="AG1242" s="1054"/>
      <c r="AI1242" s="1144">
        <v>3.3</v>
      </c>
      <c r="AJ1242" s="1144">
        <v>3.3</v>
      </c>
      <c r="AK1242" s="1144">
        <v>3.3</v>
      </c>
      <c r="AL1242" s="1144">
        <v>3.3</v>
      </c>
      <c r="AM1242" s="1144">
        <v>3.3</v>
      </c>
      <c r="AN1242" s="1729">
        <v>3.3</v>
      </c>
      <c r="AO1242" s="1054">
        <v>3.3</v>
      </c>
      <c r="AP1242" s="1054"/>
      <c r="AQ1242" s="1054"/>
      <c r="AR1242" s="1054"/>
      <c r="AS1242" s="1054"/>
    </row>
    <row r="1243" spans="2:45" hidden="1" outlineLevel="1" x14ac:dyDescent="0.25">
      <c r="B1243" s="1233"/>
      <c r="C1243" s="3159"/>
      <c r="D1243" s="4204"/>
      <c r="E1243" s="3121" t="s">
        <v>2129</v>
      </c>
      <c r="F1243" s="1729">
        <f>F1230</f>
        <v>6</v>
      </c>
      <c r="G1243" s="1729">
        <v>3.53</v>
      </c>
      <c r="H1243" s="3769"/>
      <c r="I1243" s="4189"/>
      <c r="V1243" s="4204"/>
      <c r="W1243" s="2921">
        <f>W1230</f>
        <v>6</v>
      </c>
      <c r="X1243" s="1144">
        <v>6</v>
      </c>
      <c r="Y1243" s="1054">
        <v>6</v>
      </c>
      <c r="Z1243" s="1054">
        <v>6</v>
      </c>
      <c r="AA1243" s="1054">
        <v>6</v>
      </c>
      <c r="AB1243" s="1729">
        <v>6</v>
      </c>
      <c r="AC1243" s="1054">
        <v>6</v>
      </c>
      <c r="AD1243" s="1054"/>
      <c r="AE1243" s="1054"/>
      <c r="AF1243" s="1054"/>
      <c r="AG1243" s="1054"/>
      <c r="AI1243" s="1144">
        <v>3.53</v>
      </c>
      <c r="AJ1243" s="1144">
        <v>3.53</v>
      </c>
      <c r="AK1243" s="1144">
        <v>3.53</v>
      </c>
      <c r="AL1243" s="1144">
        <v>3.53</v>
      </c>
      <c r="AM1243" s="1144">
        <v>3.53</v>
      </c>
      <c r="AN1243" s="1729">
        <v>3.53</v>
      </c>
      <c r="AO1243" s="1054">
        <v>3.53</v>
      </c>
      <c r="AP1243" s="1054"/>
      <c r="AQ1243" s="1054"/>
      <c r="AR1243" s="1054"/>
      <c r="AS1243" s="1054"/>
    </row>
    <row r="1244" spans="2:45" hidden="1" outlineLevel="1" x14ac:dyDescent="0.25">
      <c r="B1244" s="1233"/>
      <c r="C1244" s="3159"/>
      <c r="D1244" s="4204"/>
      <c r="E1244" s="3121" t="s">
        <v>2131</v>
      </c>
      <c r="F1244" s="1729">
        <f>F1230</f>
        <v>6</v>
      </c>
      <c r="G1244" s="1729">
        <f>G1230</f>
        <v>4.72</v>
      </c>
      <c r="H1244" s="3769"/>
      <c r="I1244" s="4189"/>
      <c r="V1244" s="4204"/>
      <c r="W1244" s="2921">
        <f>W1230</f>
        <v>6</v>
      </c>
      <c r="X1244" s="1144">
        <v>6</v>
      </c>
      <c r="Y1244" s="1054">
        <v>6</v>
      </c>
      <c r="Z1244" s="1054">
        <v>6</v>
      </c>
      <c r="AA1244" s="1054">
        <v>6</v>
      </c>
      <c r="AB1244" s="1729">
        <v>6</v>
      </c>
      <c r="AC1244" s="1054">
        <v>6</v>
      </c>
      <c r="AD1244" s="1054"/>
      <c r="AE1244" s="1054"/>
      <c r="AF1244" s="1054"/>
      <c r="AG1244" s="1054"/>
      <c r="AI1244" s="1144">
        <f>AI1230</f>
        <v>4.72</v>
      </c>
      <c r="AJ1244" s="1144">
        <v>4.72</v>
      </c>
      <c r="AK1244" s="1144">
        <v>4.72</v>
      </c>
      <c r="AL1244" s="1144">
        <v>4.72</v>
      </c>
      <c r="AM1244" s="1144">
        <v>4.72</v>
      </c>
      <c r="AN1244" s="1729">
        <f>AN1230</f>
        <v>4.72</v>
      </c>
      <c r="AO1244" s="1054">
        <v>4.72</v>
      </c>
      <c r="AP1244" s="1054"/>
      <c r="AQ1244" s="1054"/>
      <c r="AR1244" s="1054"/>
      <c r="AS1244" s="1054"/>
    </row>
    <row r="1245" spans="2:45" hidden="1" outlineLevel="1" x14ac:dyDescent="0.25">
      <c r="B1245" s="1233"/>
      <c r="C1245" s="3159"/>
      <c r="D1245" s="4204"/>
      <c r="E1245" s="3121" t="s">
        <v>2133</v>
      </c>
      <c r="F1245" s="1729">
        <f>F1232</f>
        <v>8</v>
      </c>
      <c r="G1245" s="1729">
        <f>G1232</f>
        <v>6.27</v>
      </c>
      <c r="H1245" s="3769"/>
      <c r="I1245" s="4189"/>
      <c r="V1245" s="4204"/>
      <c r="W1245" s="2921">
        <f>W1232</f>
        <v>8</v>
      </c>
      <c r="X1245" s="1144">
        <v>8</v>
      </c>
      <c r="Y1245" s="1054">
        <v>8</v>
      </c>
      <c r="Z1245" s="1054">
        <v>8</v>
      </c>
      <c r="AA1245" s="1054">
        <v>8</v>
      </c>
      <c r="AB1245" s="1729">
        <v>8</v>
      </c>
      <c r="AC1245" s="1054">
        <v>8</v>
      </c>
      <c r="AD1245" s="1054"/>
      <c r="AE1245" s="1054"/>
      <c r="AF1245" s="1054"/>
      <c r="AG1245" s="1054"/>
      <c r="AI1245" s="1144">
        <f>AI1232</f>
        <v>6.27</v>
      </c>
      <c r="AJ1245" s="1144">
        <v>6.27</v>
      </c>
      <c r="AK1245" s="1144">
        <v>6.27</v>
      </c>
      <c r="AL1245" s="1144">
        <v>6.27</v>
      </c>
      <c r="AM1245" s="1144">
        <v>6.27</v>
      </c>
      <c r="AN1245" s="1729">
        <f>AN1232</f>
        <v>6.27</v>
      </c>
      <c r="AO1245" s="1054">
        <v>6.27</v>
      </c>
      <c r="AP1245" s="1054"/>
      <c r="AQ1245" s="1054"/>
      <c r="AR1245" s="1054"/>
      <c r="AS1245" s="1054"/>
    </row>
    <row r="1246" spans="2:45" hidden="1" outlineLevel="1" x14ac:dyDescent="0.25">
      <c r="B1246" s="1233"/>
      <c r="C1246" s="3159"/>
      <c r="D1246" s="4204"/>
      <c r="E1246" s="3121" t="s">
        <v>2135</v>
      </c>
      <c r="F1246" s="1729">
        <v>10</v>
      </c>
      <c r="G1246" s="1729">
        <v>4.92</v>
      </c>
      <c r="H1246" s="3769"/>
      <c r="I1246" s="4189"/>
      <c r="V1246" s="4204"/>
      <c r="W1246" s="2921"/>
      <c r="X1246" s="1144"/>
      <c r="Y1246" s="1054"/>
      <c r="Z1246" s="1054"/>
      <c r="AA1246" s="1054"/>
      <c r="AB1246" s="2066">
        <v>10</v>
      </c>
      <c r="AC1246" s="1054">
        <v>10</v>
      </c>
      <c r="AD1246" s="1054"/>
      <c r="AE1246" s="1054"/>
      <c r="AF1246" s="1054"/>
      <c r="AG1246" s="1054"/>
      <c r="AI1246" s="1144"/>
      <c r="AJ1246" s="1144"/>
      <c r="AK1246" s="1144"/>
      <c r="AL1246" s="1144"/>
      <c r="AM1246" s="1144"/>
      <c r="AN1246" s="2066">
        <v>4.92</v>
      </c>
      <c r="AO1246" s="1054">
        <v>4.92</v>
      </c>
      <c r="AP1246" s="1054"/>
      <c r="AQ1246" s="1054"/>
      <c r="AR1246" s="1054"/>
      <c r="AS1246" s="1054"/>
    </row>
    <row r="1247" spans="2:45" hidden="1" outlineLevel="1" x14ac:dyDescent="0.25">
      <c r="B1247" s="1233"/>
      <c r="C1247" s="3159"/>
      <c r="D1247" s="4204"/>
      <c r="E1247" s="3121" t="s">
        <v>2137</v>
      </c>
      <c r="F1247" s="1729">
        <f>F1234</f>
        <v>10</v>
      </c>
      <c r="G1247" s="1729">
        <v>4.92</v>
      </c>
      <c r="H1247" s="3769"/>
      <c r="I1247" s="4189"/>
      <c r="V1247" s="4204"/>
      <c r="W1247" s="2921">
        <f>W1234</f>
        <v>10</v>
      </c>
      <c r="X1247" s="1144">
        <v>10</v>
      </c>
      <c r="Y1247" s="1054">
        <v>10</v>
      </c>
      <c r="Z1247" s="1054">
        <v>10</v>
      </c>
      <c r="AA1247" s="1054">
        <v>10</v>
      </c>
      <c r="AB1247" s="1729">
        <v>10</v>
      </c>
      <c r="AC1247" s="1054">
        <v>10</v>
      </c>
      <c r="AD1247" s="1054"/>
      <c r="AE1247" s="1054"/>
      <c r="AF1247" s="1054"/>
      <c r="AG1247" s="1054"/>
      <c r="AI1247" s="1144">
        <v>4.92</v>
      </c>
      <c r="AJ1247" s="1144">
        <v>4.92</v>
      </c>
      <c r="AK1247" s="1144">
        <v>4.92</v>
      </c>
      <c r="AL1247" s="1144">
        <v>4.92</v>
      </c>
      <c r="AM1247" s="1144">
        <v>4.92</v>
      </c>
      <c r="AN1247" s="1729">
        <v>4.92</v>
      </c>
      <c r="AO1247" s="1054">
        <v>4.92</v>
      </c>
      <c r="AP1247" s="1054"/>
      <c r="AQ1247" s="1054"/>
      <c r="AR1247" s="1054"/>
      <c r="AS1247" s="1054"/>
    </row>
    <row r="1248" spans="2:45" hidden="1" outlineLevel="1" x14ac:dyDescent="0.25">
      <c r="B1248" s="1233"/>
      <c r="C1248" s="3159"/>
      <c r="D1248" s="4204"/>
      <c r="E1248" s="3121" t="s">
        <v>2139</v>
      </c>
      <c r="F1248" s="1729">
        <f>F1235</f>
        <v>15</v>
      </c>
      <c r="G1248" s="1729">
        <v>4.92</v>
      </c>
      <c r="H1248" s="3769"/>
      <c r="I1248" s="4189"/>
      <c r="V1248" s="4204"/>
      <c r="W1248" s="2921">
        <f>W1235</f>
        <v>15</v>
      </c>
      <c r="X1248" s="1144">
        <v>15</v>
      </c>
      <c r="Y1248" s="1054">
        <v>15</v>
      </c>
      <c r="Z1248" s="1054">
        <v>15</v>
      </c>
      <c r="AA1248" s="1054">
        <v>15</v>
      </c>
      <c r="AB1248" s="1729">
        <v>15</v>
      </c>
      <c r="AC1248" s="1054">
        <v>15</v>
      </c>
      <c r="AD1248" s="1054"/>
      <c r="AE1248" s="1054"/>
      <c r="AF1248" s="1054"/>
      <c r="AG1248" s="1054"/>
      <c r="AI1248" s="1144">
        <v>4.92</v>
      </c>
      <c r="AJ1248" s="1144">
        <v>4.92</v>
      </c>
      <c r="AK1248" s="1144">
        <v>4.92</v>
      </c>
      <c r="AL1248" s="1144">
        <v>4.92</v>
      </c>
      <c r="AM1248" s="1144">
        <v>4.92</v>
      </c>
      <c r="AN1248" s="1729">
        <v>4.92</v>
      </c>
      <c r="AO1248" s="1054">
        <v>4.92</v>
      </c>
      <c r="AP1248" s="1054"/>
      <c r="AQ1248" s="1054"/>
      <c r="AR1248" s="1054"/>
      <c r="AS1248" s="1054"/>
    </row>
    <row r="1249" spans="1:57" hidden="1" outlineLevel="1" x14ac:dyDescent="0.25">
      <c r="B1249" s="1038"/>
      <c r="C1249" s="3159"/>
      <c r="D1249" s="4204"/>
      <c r="E1249" s="3121" t="s">
        <v>2141</v>
      </c>
      <c r="F1249" s="1729">
        <f>F1236</f>
        <v>8</v>
      </c>
      <c r="G1249" s="1729">
        <f>G1236</f>
        <v>7.83</v>
      </c>
      <c r="H1249" s="3769"/>
      <c r="I1249" s="4189"/>
      <c r="V1249" s="4204"/>
      <c r="W1249" s="2921">
        <f>W1236</f>
        <v>8</v>
      </c>
      <c r="X1249" s="1144">
        <v>8</v>
      </c>
      <c r="Y1249" s="1054">
        <v>8</v>
      </c>
      <c r="Z1249" s="1054">
        <v>8</v>
      </c>
      <c r="AA1249" s="1054">
        <v>8</v>
      </c>
      <c r="AB1249" s="1729">
        <v>8</v>
      </c>
      <c r="AC1249" s="1054">
        <v>8</v>
      </c>
      <c r="AD1249" s="1054"/>
      <c r="AE1249" s="1054"/>
      <c r="AF1249" s="1054"/>
      <c r="AG1249" s="1054"/>
      <c r="AI1249" s="1144">
        <f>AI1236</f>
        <v>7.83</v>
      </c>
      <c r="AJ1249" s="1144">
        <v>7.83</v>
      </c>
      <c r="AK1249" s="1144">
        <v>7.83</v>
      </c>
      <c r="AL1249" s="1144">
        <v>7.83</v>
      </c>
      <c r="AM1249" s="1144">
        <v>7.83</v>
      </c>
      <c r="AN1249" s="1729">
        <f>AN1236</f>
        <v>7.83</v>
      </c>
      <c r="AO1249" s="1054">
        <v>7.83</v>
      </c>
      <c r="AP1249" s="1054"/>
      <c r="AQ1249" s="1054"/>
      <c r="AR1249" s="1054"/>
      <c r="AS1249" s="1054"/>
    </row>
    <row r="1250" spans="1:57" hidden="1" outlineLevel="1" x14ac:dyDescent="0.25">
      <c r="B1250" s="1038"/>
      <c r="C1250" s="3159"/>
      <c r="D1250" s="4204"/>
      <c r="E1250" s="3121" t="s">
        <v>2099</v>
      </c>
      <c r="F1250" s="1729">
        <f>F1237</f>
        <v>7</v>
      </c>
      <c r="G1250" s="1729">
        <f>G1237</f>
        <v>3.27</v>
      </c>
      <c r="H1250" s="3769"/>
      <c r="I1250" s="4189"/>
      <c r="V1250" s="4204"/>
      <c r="W1250" s="2921"/>
      <c r="X1250" s="1144"/>
      <c r="Y1250" s="1054"/>
      <c r="Z1250" s="1054"/>
      <c r="AA1250" s="2066">
        <f>AA1237</f>
        <v>7</v>
      </c>
      <c r="AB1250" s="1729">
        <v>7</v>
      </c>
      <c r="AC1250" s="1054">
        <v>7</v>
      </c>
      <c r="AD1250" s="1054"/>
      <c r="AE1250" s="1054"/>
      <c r="AF1250" s="1054"/>
      <c r="AG1250" s="1054"/>
      <c r="AI1250" s="1144"/>
      <c r="AJ1250" s="1144"/>
      <c r="AK1250" s="1144"/>
      <c r="AL1250" s="1144"/>
      <c r="AM1250" s="2066">
        <f>AM1237</f>
        <v>3.27</v>
      </c>
      <c r="AN1250" s="1729">
        <f>AN1237</f>
        <v>3.27</v>
      </c>
      <c r="AO1250" s="1054">
        <v>3.27</v>
      </c>
      <c r="AP1250" s="1054"/>
      <c r="AQ1250" s="1054"/>
      <c r="AR1250" s="1054"/>
      <c r="AS1250" s="1054"/>
    </row>
    <row r="1251" spans="1:57" hidden="1" outlineLevel="1" x14ac:dyDescent="0.25">
      <c r="B1251" s="1038"/>
      <c r="C1251" s="3159"/>
      <c r="D1251" s="4204"/>
      <c r="E1251" s="2878" t="s">
        <v>2144</v>
      </c>
      <c r="F1251" s="2066">
        <v>6</v>
      </c>
      <c r="G1251" s="2066">
        <v>3.68</v>
      </c>
      <c r="H1251" s="3769"/>
      <c r="I1251" s="4189"/>
      <c r="V1251" s="4204"/>
      <c r="W1251" s="2921"/>
      <c r="X1251" s="1144"/>
      <c r="Y1251" s="1054"/>
      <c r="Z1251" s="1054"/>
      <c r="AA1251" s="2066"/>
      <c r="AB1251" s="1729"/>
      <c r="AC1251" s="1055">
        <v>6</v>
      </c>
      <c r="AD1251" s="1054"/>
      <c r="AE1251" s="1054"/>
      <c r="AF1251" s="1054"/>
      <c r="AG1251" s="1054"/>
      <c r="AI1251" s="1144"/>
      <c r="AJ1251" s="1144"/>
      <c r="AK1251" s="1144"/>
      <c r="AL1251" s="1144"/>
      <c r="AM1251" s="2066"/>
      <c r="AN1251" s="1729"/>
      <c r="AO1251" s="1055">
        <v>3.68</v>
      </c>
      <c r="AP1251" s="1054"/>
      <c r="AQ1251" s="1054"/>
      <c r="AR1251" s="1054"/>
      <c r="AS1251" s="1054"/>
    </row>
    <row r="1252" spans="1:57" hidden="1" outlineLevel="1" x14ac:dyDescent="0.25">
      <c r="A1252" s="123"/>
      <c r="B1252" s="123"/>
      <c r="C1252" s="328"/>
      <c r="D1252" s="4204"/>
      <c r="E1252" s="3121" t="s">
        <v>2146</v>
      </c>
      <c r="F1252" s="2620">
        <f>F1229</f>
        <v>6</v>
      </c>
      <c r="G1252" s="2620">
        <f>G1229</f>
        <v>3.68</v>
      </c>
      <c r="H1252" s="3769" t="s">
        <v>2178</v>
      </c>
      <c r="I1252" s="4189"/>
      <c r="J1252" s="123"/>
      <c r="K1252" s="123"/>
      <c r="L1252" s="123"/>
      <c r="M1252" s="123"/>
      <c r="N1252" s="123"/>
      <c r="V1252" s="4204"/>
      <c r="W1252" s="2921"/>
      <c r="X1252" s="1144"/>
      <c r="Y1252" s="1054"/>
      <c r="Z1252" s="1054"/>
      <c r="AA1252" s="1054"/>
      <c r="AB1252" s="2069">
        <v>6</v>
      </c>
      <c r="AC1252" s="1054">
        <v>6</v>
      </c>
      <c r="AD1252" s="1054"/>
      <c r="AE1252" s="1054"/>
      <c r="AF1252" s="1054"/>
      <c r="AG1252" s="1054"/>
      <c r="AI1252" s="1144"/>
      <c r="AJ1252" s="1144"/>
      <c r="AK1252" s="1144"/>
      <c r="AL1252" s="1144"/>
      <c r="AM1252" s="1144"/>
      <c r="AN1252" s="2069">
        <f>AN1229</f>
        <v>3.68</v>
      </c>
      <c r="AO1252" s="1054">
        <v>3.68</v>
      </c>
      <c r="AP1252" s="1054"/>
      <c r="AQ1252" s="1054"/>
      <c r="AR1252" s="1054"/>
      <c r="AS1252" s="1054"/>
    </row>
    <row r="1253" spans="1:57" hidden="1" outlineLevel="1" x14ac:dyDescent="0.25">
      <c r="A1253" s="123"/>
      <c r="B1253" s="123"/>
      <c r="C1253" s="328"/>
      <c r="D1253" s="4204"/>
      <c r="E1253" s="2865" t="s">
        <v>105</v>
      </c>
      <c r="F1253" s="2069">
        <v>3.35</v>
      </c>
      <c r="G1253" s="2069">
        <v>3.35</v>
      </c>
      <c r="H1253" s="4365" t="s">
        <v>128</v>
      </c>
      <c r="I1253" s="4365"/>
      <c r="J1253" s="123"/>
      <c r="K1253" s="123"/>
      <c r="L1253" s="123"/>
      <c r="M1253" s="123"/>
      <c r="N1253" s="123"/>
      <c r="V1253" s="4368"/>
      <c r="W1253" s="1144"/>
      <c r="X1253" s="1144"/>
      <c r="Y1253" s="1054"/>
      <c r="Z1253" s="1054"/>
      <c r="AA1253" s="1054"/>
      <c r="AB1253" s="2069"/>
      <c r="AC1253" s="1055">
        <v>3.35</v>
      </c>
      <c r="AD1253" s="1054"/>
      <c r="AE1253" s="1054"/>
      <c r="AF1253" s="1054"/>
      <c r="AG1253" s="1054"/>
      <c r="AI1253" s="1144"/>
      <c r="AJ1253" s="1144"/>
      <c r="AK1253" s="1144"/>
      <c r="AL1253" s="1144"/>
      <c r="AM1253" s="1144"/>
      <c r="AN1253" s="2069"/>
      <c r="AO1253" s="1055">
        <v>3.35</v>
      </c>
      <c r="AP1253" s="1054"/>
      <c r="AQ1253" s="1054"/>
      <c r="AR1253" s="1054"/>
      <c r="AS1253" s="1054"/>
    </row>
    <row r="1254" spans="1:57" hidden="1" outlineLevel="1" x14ac:dyDescent="0.25">
      <c r="A1254" s="123"/>
      <c r="B1254" s="123"/>
      <c r="C1254" s="328"/>
      <c r="D1254" s="329"/>
      <c r="E1254" s="329"/>
      <c r="F1254" s="123"/>
      <c r="G1254" s="123"/>
      <c r="H1254" s="123"/>
      <c r="I1254" s="123"/>
      <c r="J1254" s="123"/>
      <c r="K1254" s="123"/>
      <c r="L1254" s="123"/>
      <c r="M1254" s="123"/>
      <c r="N1254" s="123"/>
      <c r="V1254" s="877"/>
      <c r="W1254" s="877"/>
      <c r="X1254" s="877"/>
      <c r="AK1254" s="883"/>
    </row>
    <row r="1255" spans="1:57" collapsed="1" x14ac:dyDescent="0.25">
      <c r="A1255" s="123"/>
      <c r="B1255" s="123"/>
      <c r="C1255" s="328"/>
      <c r="D1255" s="329"/>
      <c r="E1255" s="329"/>
      <c r="F1255" s="123"/>
      <c r="G1255" s="123"/>
      <c r="H1255" s="123"/>
      <c r="I1255" s="123"/>
      <c r="J1255" s="123"/>
      <c r="K1255" s="123"/>
      <c r="L1255" s="123"/>
      <c r="M1255" s="123"/>
      <c r="N1255" s="123"/>
      <c r="V1255" s="877"/>
      <c r="W1255" s="877"/>
      <c r="X1255" s="877"/>
      <c r="AK1255" s="883"/>
    </row>
    <row r="1256" spans="1:57" x14ac:dyDescent="0.25">
      <c r="A1256" s="123"/>
      <c r="B1256" s="3077" t="s">
        <v>761</v>
      </c>
      <c r="C1256" s="3078"/>
      <c r="D1256" s="3078"/>
      <c r="E1256" s="3078"/>
      <c r="F1256" s="3078"/>
      <c r="G1256" s="3078"/>
      <c r="H1256" s="3078"/>
      <c r="I1256" s="3078"/>
      <c r="J1256" s="3078"/>
      <c r="K1256" s="3078"/>
      <c r="L1256" s="3078"/>
      <c r="M1256" s="3078"/>
      <c r="N1256" s="3078"/>
      <c r="O1256" s="3078"/>
      <c r="P1256" s="3078"/>
      <c r="Q1256" s="3078"/>
      <c r="R1256" s="3170"/>
      <c r="V1256" s="3077" t="str">
        <f>B1256</f>
        <v>Advanced Power Strips Tier 1  / Load Sensing</v>
      </c>
      <c r="W1256" s="3078"/>
      <c r="X1256" s="3078"/>
      <c r="Y1256" s="3078"/>
      <c r="Z1256" s="3078"/>
      <c r="AA1256" s="3078"/>
      <c r="AB1256" s="3078"/>
      <c r="AC1256" s="3079"/>
      <c r="AD1256" s="3079"/>
      <c r="AE1256" s="3079"/>
      <c r="AF1256" s="3079"/>
      <c r="AG1256" s="3079"/>
      <c r="AH1256" s="3079"/>
      <c r="AI1256" s="3080"/>
      <c r="AK1256" s="883"/>
    </row>
    <row r="1257" spans="1:57" x14ac:dyDescent="0.25">
      <c r="A1257" s="123"/>
      <c r="B1257" s="123"/>
      <c r="C1257" s="328"/>
      <c r="D1257" s="329"/>
      <c r="E1257" s="329"/>
      <c r="F1257" s="123"/>
      <c r="G1257" s="123"/>
      <c r="H1257" s="123"/>
      <c r="I1257" s="123"/>
      <c r="J1257" s="123"/>
      <c r="K1257" s="123"/>
      <c r="L1257" s="123"/>
      <c r="M1257" s="123"/>
      <c r="N1257" s="123"/>
      <c r="AK1257" s="883"/>
    </row>
    <row r="1258" spans="1:57" ht="30" x14ac:dyDescent="0.25">
      <c r="A1258" s="123"/>
      <c r="B1258" s="123"/>
      <c r="C1258" s="3086" t="s">
        <v>28</v>
      </c>
      <c r="D1258" s="3086" t="s">
        <v>175</v>
      </c>
      <c r="E1258" s="3086" t="s">
        <v>30</v>
      </c>
      <c r="F1258" s="3086" t="s">
        <v>31</v>
      </c>
      <c r="G1258" s="3086" t="s">
        <v>176</v>
      </c>
      <c r="H1258" s="3086" t="s">
        <v>177</v>
      </c>
      <c r="I1258" s="3086" t="s">
        <v>32</v>
      </c>
      <c r="J1258" s="3086" t="s">
        <v>181</v>
      </c>
      <c r="K1258" s="3086" t="s">
        <v>170</v>
      </c>
      <c r="L1258" s="3086" t="s">
        <v>44</v>
      </c>
      <c r="M1258" s="123"/>
      <c r="N1258" s="123"/>
      <c r="V1258" s="1936" t="s">
        <v>45</v>
      </c>
      <c r="W1258" s="1937">
        <v>43252</v>
      </c>
      <c r="X1258" s="1937">
        <f>$X$6</f>
        <v>43465</v>
      </c>
      <c r="Y1258" s="360">
        <f>$Y$6</f>
        <v>43800</v>
      </c>
      <c r="Z1258" s="1937">
        <f>$Z$6</f>
        <v>43862</v>
      </c>
      <c r="AA1258" s="1937">
        <f>$AA$6</f>
        <v>44013</v>
      </c>
      <c r="AB1258" s="1937">
        <f>$AB$6</f>
        <v>44166</v>
      </c>
      <c r="AC1258" s="1937">
        <f>$AC$6</f>
        <v>44531</v>
      </c>
      <c r="AD1258" s="1937" t="str">
        <f>$AD$6</f>
        <v>-</v>
      </c>
      <c r="AE1258" s="1937" t="str">
        <f>$AE$6</f>
        <v>-</v>
      </c>
      <c r="AF1258" s="1937" t="str">
        <f>$AF$6</f>
        <v>-</v>
      </c>
      <c r="AG1258" s="1937" t="str">
        <f>$AG$6</f>
        <v>-</v>
      </c>
      <c r="AK1258" s="883"/>
      <c r="BB1258" s="1938" t="str">
        <f>$BB$6</f>
        <v>TRC (2020)</v>
      </c>
      <c r="BC1258" s="1953" t="str">
        <f>$BC$6</f>
        <v>Benefit Lookup</v>
      </c>
      <c r="BD1258" s="665" t="str">
        <f>$BD$6</f>
        <v>Benefits (2019 $)</v>
      </c>
      <c r="BE1258" s="230" t="str">
        <f>$BE$6</f>
        <v>Incremental Cost (2019 $)</v>
      </c>
    </row>
    <row r="1259" spans="1:57" x14ac:dyDescent="0.25">
      <c r="A1259" s="123"/>
      <c r="B1259" s="123"/>
      <c r="C1259" s="3255" t="s">
        <v>2179</v>
      </c>
      <c r="D1259" s="1174" t="s">
        <v>2098</v>
      </c>
      <c r="E1259" s="3121" t="s">
        <v>2180</v>
      </c>
      <c r="F1259" s="2983">
        <f>ROUND((G$1277*G1283+G$1278*G1279)*G$1287,2)</f>
        <v>29.45</v>
      </c>
      <c r="G1259" s="1145" t="s">
        <v>388</v>
      </c>
      <c r="H1259" s="155">
        <f>VLOOKUP(G1259,'CP FACTORS'!$A$3:$B$38, 2, FALSE)</f>
        <v>1.148238E-4</v>
      </c>
      <c r="I1259" s="1531">
        <f t="shared" ref="I1259:I1269" si="180">ROUND(F1259*H1259,6)</f>
        <v>3.382E-3</v>
      </c>
      <c r="J1259" s="141">
        <v>10</v>
      </c>
      <c r="K1259" s="547">
        <f>$G$1290</f>
        <v>20</v>
      </c>
      <c r="L1259" s="63" t="s">
        <v>185</v>
      </c>
      <c r="M1259" s="123"/>
      <c r="N1259" s="123"/>
      <c r="V1259" s="1548" t="str">
        <f t="shared" ref="V1259:V1269" si="181">$F$1258</f>
        <v>kWh Annual Savings</v>
      </c>
      <c r="W1259" s="1146">
        <v>31</v>
      </c>
      <c r="X1259" s="1146">
        <v>31</v>
      </c>
      <c r="Y1259" s="1146">
        <v>31</v>
      </c>
      <c r="Z1259" s="1146">
        <v>31</v>
      </c>
      <c r="AA1259" s="1146">
        <v>31</v>
      </c>
      <c r="AB1259" s="2982">
        <v>31</v>
      </c>
      <c r="AC1259" s="115">
        <v>29.45</v>
      </c>
      <c r="AD1259" s="161"/>
      <c r="AE1259" s="161"/>
      <c r="AF1259" s="161"/>
      <c r="AG1259" s="161"/>
      <c r="AK1259" s="883"/>
      <c r="BB1259" s="1945">
        <f t="shared" ref="BB1259" si="182">(BD1259)/(BE1259)</f>
        <v>0.53798242483706482</v>
      </c>
      <c r="BC1259" s="3166" t="str">
        <f t="shared" ref="BC1259:BC1269" si="183">CONCATENATE(G1259," ",J1259," Year EUL")</f>
        <v>Miscellaneous RES 10 Year EUL</v>
      </c>
      <c r="BD1259" s="111">
        <f>(INDEX('Avoided Cost Benefits'!$C$4:$C$857,MATCH(BC1259,'Avoided Cost Benefits'!$A$4:$A$857,0)))*F1259</f>
        <v>10.155402073375456</v>
      </c>
      <c r="BE1259" s="1946">
        <f>K1259/(1.0595^(2020-2019))</f>
        <v>18.876828692779611</v>
      </c>
    </row>
    <row r="1260" spans="1:57" x14ac:dyDescent="0.25">
      <c r="A1260" s="123"/>
      <c r="B1260" s="123"/>
      <c r="C1260" s="2025" t="s">
        <v>2181</v>
      </c>
      <c r="D1260" s="1174" t="s">
        <v>2098</v>
      </c>
      <c r="E1260" s="3089" t="s">
        <v>2182</v>
      </c>
      <c r="F1260" s="498">
        <f>ROUND((G$1277*G1283+G$1278*G1279)*G$1287,2)</f>
        <v>29.45</v>
      </c>
      <c r="G1260" s="1145" t="s">
        <v>388</v>
      </c>
      <c r="H1260" s="155">
        <f>VLOOKUP(G1260,'CP FACTORS'!$A$3:$B$38, 2, FALSE)</f>
        <v>1.148238E-4</v>
      </c>
      <c r="I1260" s="1531">
        <f t="shared" si="180"/>
        <v>3.382E-3</v>
      </c>
      <c r="J1260" s="141">
        <v>10</v>
      </c>
      <c r="K1260" s="547">
        <f>$G$1291</f>
        <v>30</v>
      </c>
      <c r="L1260" s="63" t="s">
        <v>185</v>
      </c>
      <c r="M1260" s="123"/>
      <c r="N1260" s="123"/>
      <c r="V1260" s="1548" t="str">
        <f t="shared" si="181"/>
        <v>kWh Annual Savings</v>
      </c>
      <c r="W1260" s="1146"/>
      <c r="X1260" s="1146"/>
      <c r="Y1260" s="1146"/>
      <c r="Z1260" s="1146"/>
      <c r="AA1260" s="1146"/>
      <c r="AB1260" s="2982">
        <v>31</v>
      </c>
      <c r="AC1260" s="527">
        <v>29.45</v>
      </c>
      <c r="AD1260" s="161"/>
      <c r="AE1260" s="161"/>
      <c r="AF1260" s="161"/>
      <c r="AG1260" s="161"/>
      <c r="AK1260" s="883"/>
      <c r="BB1260" s="1945">
        <f t="shared" ref="BB1260:BB1265" si="184">(BD1260)/(BE1260)</f>
        <v>0.35865494989137653</v>
      </c>
      <c r="BC1260" s="3166" t="str">
        <f t="shared" si="183"/>
        <v>Miscellaneous RES 10 Year EUL</v>
      </c>
      <c r="BD1260" s="111">
        <f>(INDEX('Avoided Cost Benefits'!$C$4:$C$857,MATCH(BC1260,'Avoided Cost Benefits'!$A$4:$A$857,0)))*F1260</f>
        <v>10.155402073375456</v>
      </c>
      <c r="BE1260" s="1946">
        <f t="shared" ref="BE1260:BE1265" si="185">K1260/(1.0595^(2020-2019))</f>
        <v>28.315243039169417</v>
      </c>
    </row>
    <row r="1261" spans="1:57" x14ac:dyDescent="0.25">
      <c r="A1261" s="123"/>
      <c r="B1261" s="123"/>
      <c r="C1261" s="1205" t="s">
        <v>2183</v>
      </c>
      <c r="D1261" s="1174" t="s">
        <v>2098</v>
      </c>
      <c r="E1261" s="3121" t="s">
        <v>2184</v>
      </c>
      <c r="F1261" s="1150">
        <f>ROUND((G1277*G1283+G1278*G1284)*G1288,2)</f>
        <v>24.18</v>
      </c>
      <c r="G1261" s="1145" t="s">
        <v>388</v>
      </c>
      <c r="H1261" s="155">
        <f>VLOOKUP(G1261,'CP FACTORS'!$A$3:$B$38, 2, FALSE)</f>
        <v>1.148238E-4</v>
      </c>
      <c r="I1261" s="1531">
        <f t="shared" si="180"/>
        <v>2.7759999999999998E-3</v>
      </c>
      <c r="J1261" s="141">
        <v>10</v>
      </c>
      <c r="K1261" s="547">
        <f>$G$1290</f>
        <v>20</v>
      </c>
      <c r="L1261" s="63" t="s">
        <v>185</v>
      </c>
      <c r="M1261" s="123"/>
      <c r="N1261" s="123"/>
      <c r="V1261" s="1548" t="str">
        <f t="shared" si="181"/>
        <v>kWh Annual Savings</v>
      </c>
      <c r="W1261" s="1146">
        <v>24.18</v>
      </c>
      <c r="X1261" s="1146">
        <v>24.18</v>
      </c>
      <c r="Y1261" s="1146">
        <v>24.18</v>
      </c>
      <c r="Z1261" s="1146">
        <v>24.18</v>
      </c>
      <c r="AA1261" s="1146">
        <v>24.18</v>
      </c>
      <c r="AB1261" s="2982">
        <v>24.18</v>
      </c>
      <c r="AC1261" s="105">
        <v>24.18</v>
      </c>
      <c r="AD1261" s="161"/>
      <c r="AE1261" s="161"/>
      <c r="AF1261" s="161"/>
      <c r="AG1261" s="161"/>
      <c r="AH1261" s="892"/>
      <c r="AI1261" s="892"/>
      <c r="AK1261" s="883"/>
      <c r="BB1261" s="1945">
        <f t="shared" si="184"/>
        <v>0.4417118856556953</v>
      </c>
      <c r="BC1261" s="3166" t="str">
        <f t="shared" si="183"/>
        <v>Miscellaneous RES 10 Year EUL</v>
      </c>
      <c r="BD1261" s="111">
        <f>(INDEX('Avoided Cost Benefits'!$C$4:$C$857,MATCH(BC1261,'Avoided Cost Benefits'!$A$4:$A$857,0)))*F1261</f>
        <v>8.338119597087216</v>
      </c>
      <c r="BE1261" s="1946">
        <f t="shared" si="185"/>
        <v>18.876828692779611</v>
      </c>
    </row>
    <row r="1262" spans="1:57" x14ac:dyDescent="0.25">
      <c r="A1262" s="123"/>
      <c r="B1262" s="123"/>
      <c r="C1262" s="3255" t="s">
        <v>2185</v>
      </c>
      <c r="D1262" s="1174" t="s">
        <v>2098</v>
      </c>
      <c r="E1262" s="3121" t="s">
        <v>2186</v>
      </c>
      <c r="F1262" s="2983">
        <f>ROUND((G1277*G1279+G1278*G1280)*G1287,2)</f>
        <v>71.349999999999994</v>
      </c>
      <c r="G1262" s="1145" t="s">
        <v>388</v>
      </c>
      <c r="H1262" s="155">
        <f>VLOOKUP(G1262,'CP FACTORS'!$A$3:$B$38, 2, FALSE)</f>
        <v>1.148238E-4</v>
      </c>
      <c r="I1262" s="1531">
        <f t="shared" si="180"/>
        <v>8.1930000000000006E-3</v>
      </c>
      <c r="J1262" s="141">
        <v>10</v>
      </c>
      <c r="K1262" s="547">
        <f>$G$1290</f>
        <v>20</v>
      </c>
      <c r="L1262" s="63" t="s">
        <v>185</v>
      </c>
      <c r="M1262" s="123"/>
      <c r="N1262" s="123"/>
      <c r="V1262" s="1548" t="str">
        <f t="shared" si="181"/>
        <v>kWh Annual Savings</v>
      </c>
      <c r="W1262" s="1146">
        <v>75.099999999999994</v>
      </c>
      <c r="X1262" s="1146">
        <v>75.099999999999994</v>
      </c>
      <c r="Y1262" s="1146">
        <v>75.099999999999994</v>
      </c>
      <c r="Z1262" s="1146">
        <v>75.099999999999994</v>
      </c>
      <c r="AA1262" s="1146">
        <v>75.099999999999994</v>
      </c>
      <c r="AB1262" s="2982">
        <v>75.099999999999994</v>
      </c>
      <c r="AC1262" s="115">
        <v>71.349999999999994</v>
      </c>
      <c r="AD1262" s="161"/>
      <c r="AE1262" s="161"/>
      <c r="AF1262" s="161"/>
      <c r="AG1262" s="161"/>
      <c r="AH1262" s="892"/>
      <c r="AI1262" s="892"/>
      <c r="AK1262" s="883"/>
      <c r="BB1262" s="1945">
        <f t="shared" si="184"/>
        <v>1.3033971481196798</v>
      </c>
      <c r="BC1262" s="3166" t="str">
        <f t="shared" si="183"/>
        <v>Miscellaneous RES 10 Year EUL</v>
      </c>
      <c r="BD1262" s="111">
        <f>(INDEX('Avoided Cost Benefits'!$C$4:$C$857,MATCH(BC1262,'Avoided Cost Benefits'!$A$4:$A$857,0)))*F1262</f>
        <v>24.604004683712688</v>
      </c>
      <c r="BE1262" s="1946">
        <f t="shared" si="185"/>
        <v>18.876828692779611</v>
      </c>
    </row>
    <row r="1263" spans="1:57" x14ac:dyDescent="0.25">
      <c r="A1263" s="123"/>
      <c r="B1263" s="123"/>
      <c r="C1263" s="2025" t="s">
        <v>2187</v>
      </c>
      <c r="D1263" s="1174" t="s">
        <v>2098</v>
      </c>
      <c r="E1263" s="3089" t="s">
        <v>2188</v>
      </c>
      <c r="F1263" s="498">
        <f>ROUND((G1277*G1279+G1278*G1280)*G1287,2)</f>
        <v>71.349999999999994</v>
      </c>
      <c r="G1263" s="1145" t="s">
        <v>388</v>
      </c>
      <c r="H1263" s="155">
        <f>VLOOKUP(G1263,'CP FACTORS'!$A$3:$B$38, 2, FALSE)</f>
        <v>1.148238E-4</v>
      </c>
      <c r="I1263" s="1531">
        <f t="shared" si="180"/>
        <v>8.1930000000000006E-3</v>
      </c>
      <c r="J1263" s="141">
        <v>10</v>
      </c>
      <c r="K1263" s="547">
        <f>$G$1291</f>
        <v>30</v>
      </c>
      <c r="L1263" s="63" t="s">
        <v>185</v>
      </c>
      <c r="M1263" s="123"/>
      <c r="N1263" s="123"/>
      <c r="V1263" s="1548" t="str">
        <f t="shared" si="181"/>
        <v>kWh Annual Savings</v>
      </c>
      <c r="W1263" s="1146"/>
      <c r="X1263" s="1146"/>
      <c r="Y1263" s="1146"/>
      <c r="Z1263" s="1146"/>
      <c r="AA1263" s="1146"/>
      <c r="AB1263" s="2982">
        <v>75.099999999999994</v>
      </c>
      <c r="AC1263" s="527">
        <v>71.349999999999994</v>
      </c>
      <c r="AD1263" s="161"/>
      <c r="AE1263" s="161"/>
      <c r="AF1263" s="161"/>
      <c r="AG1263" s="161"/>
      <c r="AH1263" s="892"/>
      <c r="AI1263" s="892"/>
      <c r="AK1263" s="883"/>
      <c r="BB1263" s="1945">
        <f t="shared" si="184"/>
        <v>0.86893143207978651</v>
      </c>
      <c r="BC1263" s="3166" t="str">
        <f t="shared" si="183"/>
        <v>Miscellaneous RES 10 Year EUL</v>
      </c>
      <c r="BD1263" s="111">
        <f>(INDEX('Avoided Cost Benefits'!$C$4:$C$857,MATCH(BC1263,'Avoided Cost Benefits'!$A$4:$A$857,0)))*F1263</f>
        <v>24.604004683712688</v>
      </c>
      <c r="BE1263" s="1946">
        <f t="shared" si="185"/>
        <v>28.315243039169417</v>
      </c>
    </row>
    <row r="1264" spans="1:57" x14ac:dyDescent="0.25">
      <c r="A1264" s="123"/>
      <c r="B1264" s="123"/>
      <c r="C1264" s="1205" t="s">
        <v>2189</v>
      </c>
      <c r="D1264" s="1174" t="s">
        <v>2098</v>
      </c>
      <c r="E1264" s="3121" t="s">
        <v>2190</v>
      </c>
      <c r="F1264" s="1150">
        <f>ROUND((G1277*G1279+G1278*G1280)*G1288,2)</f>
        <v>58.58</v>
      </c>
      <c r="G1264" s="1145" t="s">
        <v>388</v>
      </c>
      <c r="H1264" s="155">
        <f>VLOOKUP(G1264,'CP FACTORS'!$A$3:$B$38, 2, FALSE)</f>
        <v>1.148238E-4</v>
      </c>
      <c r="I1264" s="1531">
        <f t="shared" si="180"/>
        <v>6.7260000000000002E-3</v>
      </c>
      <c r="J1264" s="141">
        <v>10</v>
      </c>
      <c r="K1264" s="547">
        <f>$G$1290</f>
        <v>20</v>
      </c>
      <c r="L1264" s="63" t="s">
        <v>185</v>
      </c>
      <c r="M1264" s="123"/>
      <c r="N1264" s="123"/>
      <c r="V1264" s="1548" t="str">
        <f t="shared" si="181"/>
        <v>kWh Annual Savings</v>
      </c>
      <c r="W1264" s="1147">
        <v>58.577999999999996</v>
      </c>
      <c r="X1264" s="1147">
        <v>58.577999999999996</v>
      </c>
      <c r="Y1264" s="1147">
        <v>58.58</v>
      </c>
      <c r="Z1264" s="1147">
        <v>58.58</v>
      </c>
      <c r="AA1264" s="1147">
        <v>58.58</v>
      </c>
      <c r="AB1264" s="1136">
        <v>58.58</v>
      </c>
      <c r="AC1264" s="105">
        <v>58.58</v>
      </c>
      <c r="AD1264" s="899"/>
      <c r="AE1264" s="899"/>
      <c r="AF1264" s="899"/>
      <c r="AG1264" s="899"/>
      <c r="AH1264" s="892"/>
      <c r="AI1264" s="892"/>
      <c r="AK1264" s="883"/>
      <c r="BB1264" s="1945">
        <f t="shared" si="184"/>
        <v>1.0701192002361717</v>
      </c>
      <c r="BC1264" s="3166" t="str">
        <f t="shared" si="183"/>
        <v>Miscellaneous RES 10 Year EUL</v>
      </c>
      <c r="BD1264" s="111">
        <f>(INDEX('Avoided Cost Benefits'!$C$4:$C$857,MATCH(BC1264,'Avoided Cost Benefits'!$A$4:$A$857,0)))*F1264</f>
        <v>20.200456823712535</v>
      </c>
      <c r="BE1264" s="1946">
        <f t="shared" si="185"/>
        <v>18.876828692779611</v>
      </c>
    </row>
    <row r="1265" spans="1:57" x14ac:dyDescent="0.25">
      <c r="A1265" s="123"/>
      <c r="B1265" s="123"/>
      <c r="C1265" s="3255" t="s">
        <v>2191</v>
      </c>
      <c r="D1265" s="1174" t="s">
        <v>2098</v>
      </c>
      <c r="E1265" s="3121" t="s">
        <v>2192</v>
      </c>
      <c r="F1265" s="2983">
        <f>ROUND((G1277*G1285+G1278*G1281)*G1287,2)</f>
        <v>56.26</v>
      </c>
      <c r="G1265" s="1145" t="s">
        <v>388</v>
      </c>
      <c r="H1265" s="155">
        <f>VLOOKUP(G1265,'CP FACTORS'!$A$3:$B$38, 2, FALSE)</f>
        <v>1.148238E-4</v>
      </c>
      <c r="I1265" s="1531">
        <f t="shared" si="180"/>
        <v>6.4599999999999996E-3</v>
      </c>
      <c r="J1265" s="141">
        <v>10</v>
      </c>
      <c r="K1265" s="547">
        <f>$G$1290</f>
        <v>20</v>
      </c>
      <c r="L1265" s="63" t="s">
        <v>185</v>
      </c>
      <c r="M1265" s="123"/>
      <c r="N1265" s="123"/>
      <c r="V1265" s="1548" t="str">
        <f t="shared" si="181"/>
        <v>kWh Annual Savings</v>
      </c>
      <c r="W1265" s="1148">
        <v>59.224000000000004</v>
      </c>
      <c r="X1265" s="1148">
        <v>59.224000000000004</v>
      </c>
      <c r="Y1265" s="1148">
        <v>59.22</v>
      </c>
      <c r="Z1265" s="1148">
        <v>59.22</v>
      </c>
      <c r="AA1265" s="1148">
        <v>59.22</v>
      </c>
      <c r="AB1265" s="1136">
        <v>59.22</v>
      </c>
      <c r="AC1265" s="115">
        <v>56.26</v>
      </c>
      <c r="AD1265" s="1149"/>
      <c r="AE1265" s="1149"/>
      <c r="AF1265" s="1149"/>
      <c r="AG1265" s="1149"/>
      <c r="AK1265" s="883"/>
      <c r="BB1265" s="1945">
        <f t="shared" si="184"/>
        <v>1.0277382418109766</v>
      </c>
      <c r="BC1265" s="3166" t="str">
        <f t="shared" si="183"/>
        <v>Miscellaneous RES 10 Year EUL</v>
      </c>
      <c r="BD1265" s="111">
        <f>(INDEX('Avoided Cost Benefits'!$C$4:$C$857,MATCH(BC1265,'Avoided Cost Benefits'!$A$4:$A$857,0)))*F1265</f>
        <v>19.400438731684314</v>
      </c>
      <c r="BE1265" s="1946">
        <f t="shared" si="185"/>
        <v>18.876828692779611</v>
      </c>
    </row>
    <row r="1266" spans="1:57" x14ac:dyDescent="0.25">
      <c r="A1266" s="123"/>
      <c r="B1266" s="123"/>
      <c r="C1266" s="2025" t="s">
        <v>2193</v>
      </c>
      <c r="D1266" s="1174" t="s">
        <v>2098</v>
      </c>
      <c r="E1266" s="3089" t="s">
        <v>2194</v>
      </c>
      <c r="F1266" s="498">
        <f>ROUND((G1277*G1285+G1278*G1281)*G1287,2)</f>
        <v>56.26</v>
      </c>
      <c r="G1266" s="1145" t="s">
        <v>388</v>
      </c>
      <c r="H1266" s="155">
        <f>VLOOKUP(G1266,'CP FACTORS'!$A$3:$B$38, 2, FALSE)</f>
        <v>1.148238E-4</v>
      </c>
      <c r="I1266" s="1531">
        <f t="shared" si="180"/>
        <v>6.4599999999999996E-3</v>
      </c>
      <c r="J1266" s="141">
        <v>10</v>
      </c>
      <c r="K1266" s="547">
        <f>$G$1291</f>
        <v>30</v>
      </c>
      <c r="L1266" s="63" t="s">
        <v>185</v>
      </c>
      <c r="M1266" s="123"/>
      <c r="N1266" s="123"/>
      <c r="V1266" s="1548" t="str">
        <f t="shared" si="181"/>
        <v>kWh Annual Savings</v>
      </c>
      <c r="W1266" s="1148"/>
      <c r="X1266" s="1148"/>
      <c r="Y1266" s="1148"/>
      <c r="Z1266" s="1148"/>
      <c r="AA1266" s="1148"/>
      <c r="AB1266" s="1136">
        <v>59.22</v>
      </c>
      <c r="AC1266" s="527">
        <v>56.26</v>
      </c>
      <c r="AD1266" s="1149"/>
      <c r="AE1266" s="1149"/>
      <c r="AF1266" s="1149"/>
      <c r="AG1266" s="1149"/>
      <c r="AK1266" s="883"/>
      <c r="BB1266" s="1945">
        <f t="shared" ref="BB1266:BB1269" si="186">(BD1266)/(BE1266)</f>
        <v>0.68515882787398441</v>
      </c>
      <c r="BC1266" s="3166" t="str">
        <f t="shared" si="183"/>
        <v>Miscellaneous RES 10 Year EUL</v>
      </c>
      <c r="BD1266" s="111">
        <f>(INDEX('Avoided Cost Benefits'!$C$4:$C$857,MATCH(BC1266,'Avoided Cost Benefits'!$A$4:$A$857,0)))*F1266</f>
        <v>19.400438731684314</v>
      </c>
      <c r="BE1266" s="1946">
        <f t="shared" ref="BE1266:BE1269" si="187">K1266/(1.0595^(2020-2019))</f>
        <v>28.315243039169417</v>
      </c>
    </row>
    <row r="1267" spans="1:57" x14ac:dyDescent="0.25">
      <c r="A1267" s="123"/>
      <c r="B1267" s="123"/>
      <c r="C1267" s="1205" t="s">
        <v>2195</v>
      </c>
      <c r="D1267" s="1174" t="s">
        <v>2098</v>
      </c>
      <c r="E1267" s="3121" t="s">
        <v>2196</v>
      </c>
      <c r="F1267" s="1150">
        <f>ROUND((G1277*G1286+G1278*G1282)*G1288,2)</f>
        <v>42.07</v>
      </c>
      <c r="G1267" s="1145" t="s">
        <v>388</v>
      </c>
      <c r="H1267" s="155">
        <f>VLOOKUP(G1267,'CP FACTORS'!$A$3:$B$38, 2, FALSE)</f>
        <v>1.148238E-4</v>
      </c>
      <c r="I1267" s="1531">
        <f t="shared" si="180"/>
        <v>4.8310000000000002E-3</v>
      </c>
      <c r="J1267" s="141">
        <v>10</v>
      </c>
      <c r="K1267" s="547">
        <f>$G$1290</f>
        <v>20</v>
      </c>
      <c r="L1267" s="63" t="s">
        <v>185</v>
      </c>
      <c r="M1267" s="123"/>
      <c r="N1267" s="123"/>
      <c r="V1267" s="1548" t="str">
        <f t="shared" si="181"/>
        <v>kWh Annual Savings</v>
      </c>
      <c r="W1267" s="1148">
        <v>42.066960000000002</v>
      </c>
      <c r="X1267" s="1148">
        <v>42.066960000000002</v>
      </c>
      <c r="Y1267" s="1148">
        <v>42.07</v>
      </c>
      <c r="Z1267" s="1148">
        <v>42.07</v>
      </c>
      <c r="AA1267" s="1148">
        <v>42.07</v>
      </c>
      <c r="AB1267" s="1136">
        <v>42.07</v>
      </c>
      <c r="AC1267" s="105">
        <v>42.07</v>
      </c>
      <c r="AD1267" s="1149"/>
      <c r="AE1267" s="1149"/>
      <c r="AF1267" s="1149"/>
      <c r="AG1267" s="1149"/>
      <c r="AK1267" s="883"/>
      <c r="BB1267" s="1945">
        <f t="shared" si="186"/>
        <v>0.76852022454653024</v>
      </c>
      <c r="BC1267" s="3166" t="str">
        <f t="shared" si="183"/>
        <v>Miscellaneous RES 10 Year EUL</v>
      </c>
      <c r="BD1267" s="111">
        <f>(INDEX('Avoided Cost Benefits'!$C$4:$C$857,MATCH(BC1267,'Avoided Cost Benefits'!$A$4:$A$857,0)))*F1267</f>
        <v>14.507224625701372</v>
      </c>
      <c r="BE1267" s="1946">
        <f t="shared" si="187"/>
        <v>18.876828692779611</v>
      </c>
    </row>
    <row r="1268" spans="1:57" s="1151" customFormat="1" x14ac:dyDescent="0.25">
      <c r="A1268" s="3177"/>
      <c r="B1268" s="3177"/>
      <c r="C1268" s="1205" t="s">
        <v>2197</v>
      </c>
      <c r="D1268" s="1174" t="s">
        <v>2098</v>
      </c>
      <c r="E1268" s="3089" t="s">
        <v>404</v>
      </c>
      <c r="F1268" s="1150">
        <f>'Efficient Products Deemed Table'!F228</f>
        <v>151.96</v>
      </c>
      <c r="G1268" s="1145" t="s">
        <v>388</v>
      </c>
      <c r="H1268" s="155">
        <f>VLOOKUP(G1268,'CP FACTORS'!$A$3:$B$38, 2, FALSE)</f>
        <v>1.148238E-4</v>
      </c>
      <c r="I1268" s="1531">
        <f t="shared" si="180"/>
        <v>1.7448999999999999E-2</v>
      </c>
      <c r="J1268" s="141">
        <v>10</v>
      </c>
      <c r="K1268" s="547">
        <f>$G$1292</f>
        <v>30</v>
      </c>
      <c r="L1268" s="104" t="s">
        <v>185</v>
      </c>
      <c r="M1268" s="1730"/>
      <c r="N1268" s="1730"/>
      <c r="O1268" s="1730"/>
      <c r="P1268" s="1730"/>
      <c r="Q1268" s="1730"/>
      <c r="R1268" s="1730"/>
      <c r="S1268" s="1730"/>
      <c r="T1268" s="1730"/>
      <c r="U1268" s="1730"/>
      <c r="V1268" s="1548" t="str">
        <f t="shared" si="181"/>
        <v>kWh Annual Savings</v>
      </c>
      <c r="W1268" s="1148">
        <v>162</v>
      </c>
      <c r="X1268" s="1148">
        <v>162</v>
      </c>
      <c r="Y1268" s="1148">
        <v>162</v>
      </c>
      <c r="Z1268" s="1148">
        <v>162</v>
      </c>
      <c r="AA1268" s="1148">
        <v>162</v>
      </c>
      <c r="AB1268" s="1136">
        <v>151.96</v>
      </c>
      <c r="AC1268" s="105">
        <v>151.96</v>
      </c>
      <c r="AD1268" s="1149"/>
      <c r="AE1268" s="1149"/>
      <c r="AF1268" s="1149"/>
      <c r="AG1268" s="1149"/>
      <c r="AH1268" s="224"/>
      <c r="AI1268" s="224"/>
      <c r="AJ1268" s="224"/>
      <c r="AK1268" s="883"/>
      <c r="AL1268" s="224"/>
      <c r="BB1268" s="1945">
        <f t="shared" si="186"/>
        <v>1.8506351845668449</v>
      </c>
      <c r="BC1268" s="3166" t="str">
        <f t="shared" si="183"/>
        <v>Miscellaneous RES 10 Year EUL</v>
      </c>
      <c r="BD1268" s="111">
        <f>(INDEX('Avoided Cost Benefits'!$C$4:$C$857,MATCH(BC1268,'Avoided Cost Benefits'!$A$4:$A$857,0)))*F1268</f>
        <v>52.401185027848364</v>
      </c>
      <c r="BE1268" s="1946">
        <f t="shared" si="187"/>
        <v>28.315243039169417</v>
      </c>
    </row>
    <row r="1269" spans="1:57" s="1151" customFormat="1" x14ac:dyDescent="0.25">
      <c r="A1269" s="3177"/>
      <c r="B1269" s="3177"/>
      <c r="C1269" s="993" t="s">
        <v>2198</v>
      </c>
      <c r="D1269" s="1174" t="s">
        <v>2098</v>
      </c>
      <c r="E1269" s="3089" t="s">
        <v>406</v>
      </c>
      <c r="F1269" s="526">
        <f>'Efficient Products Deemed Table'!F229</f>
        <v>153.9</v>
      </c>
      <c r="G1269" s="1145" t="s">
        <v>388</v>
      </c>
      <c r="H1269" s="155">
        <f>VLOOKUP(G1269,'CP FACTORS'!$A$3:$B$38, 2, FALSE)</f>
        <v>1.148238E-4</v>
      </c>
      <c r="I1269" s="1531">
        <f t="shared" si="180"/>
        <v>1.7670999999999999E-2</v>
      </c>
      <c r="J1269" s="141">
        <v>10</v>
      </c>
      <c r="K1269" s="547">
        <f>$G$1293</f>
        <v>60</v>
      </c>
      <c r="L1269" s="104" t="s">
        <v>185</v>
      </c>
      <c r="M1269" s="1730"/>
      <c r="N1269" s="1730"/>
      <c r="O1269" s="1730"/>
      <c r="P1269" s="1730"/>
      <c r="Q1269" s="1730"/>
      <c r="R1269" s="1730"/>
      <c r="S1269" s="1730"/>
      <c r="T1269" s="1730"/>
      <c r="U1269" s="1730"/>
      <c r="V1269" s="1962" t="str">
        <f t="shared" si="181"/>
        <v>kWh Annual Savings</v>
      </c>
      <c r="W1269" s="1148"/>
      <c r="X1269" s="1148"/>
      <c r="Y1269" s="1148"/>
      <c r="Z1269" s="1148"/>
      <c r="AA1269" s="1148"/>
      <c r="AB1269" s="1136">
        <v>153.9</v>
      </c>
      <c r="AC1269" s="531">
        <v>153.9</v>
      </c>
      <c r="AD1269" s="1149"/>
      <c r="AE1269" s="1149"/>
      <c r="AF1269" s="1149"/>
      <c r="AG1269" s="1149"/>
      <c r="AH1269" s="224"/>
      <c r="AI1269" s="224"/>
      <c r="AJ1269" s="224"/>
      <c r="AK1269" s="883"/>
      <c r="AL1269" s="224"/>
      <c r="BB1269" s="1954">
        <f t="shared" si="186"/>
        <v>0.93713067552262896</v>
      </c>
      <c r="BC1269" s="3166" t="str">
        <f t="shared" si="183"/>
        <v>Miscellaneous RES 10 Year EUL</v>
      </c>
      <c r="BD1269" s="166">
        <f>(INDEX('Avoided Cost Benefits'!$C$4:$C$857,MATCH(BC1269,'Avoided Cost Benefits'!$A$4:$A$857,0)))*F1269</f>
        <v>53.070165673768507</v>
      </c>
      <c r="BE1269" s="1956">
        <f t="shared" si="187"/>
        <v>56.630486078338834</v>
      </c>
    </row>
    <row r="1270" spans="1:57" hidden="1" outlineLevel="1" x14ac:dyDescent="0.25">
      <c r="A1270" s="123"/>
      <c r="B1270" s="123"/>
      <c r="C1270" s="120"/>
      <c r="D1270" s="1116"/>
      <c r="E1270" s="1116"/>
      <c r="F1270" s="540"/>
      <c r="G1270" s="1117"/>
      <c r="H1270" s="1464"/>
      <c r="I1270" s="1153"/>
      <c r="J1270" s="1731"/>
      <c r="K1270" s="1153"/>
      <c r="L1270" s="685"/>
      <c r="M1270" s="123"/>
      <c r="N1270" s="123"/>
      <c r="V1270" s="877"/>
      <c r="W1270" s="877"/>
      <c r="X1270" s="877"/>
      <c r="AJ1270" s="1151"/>
      <c r="AK1270" s="883"/>
      <c r="AL1270" s="1151"/>
    </row>
    <row r="1271" spans="1:57" hidden="1" outlineLevel="1" x14ac:dyDescent="0.25">
      <c r="A1271" s="123"/>
      <c r="B1271" s="123"/>
      <c r="C1271" s="328"/>
      <c r="D1271" s="174" t="s">
        <v>108</v>
      </c>
      <c r="E1271" s="828"/>
      <c r="F1271" s="576"/>
      <c r="G1271" s="576"/>
      <c r="H1271" s="576"/>
      <c r="I1271" s="576"/>
      <c r="J1271" s="576"/>
      <c r="K1271" s="576"/>
      <c r="L1271" s="123"/>
      <c r="M1271" s="123"/>
      <c r="N1271" s="123"/>
      <c r="V1271" s="1152"/>
      <c r="W1271" s="1152"/>
      <c r="X1271" s="1152"/>
      <c r="Y1271" s="1154"/>
      <c r="Z1271" s="1151"/>
      <c r="AA1271" s="1151"/>
      <c r="AB1271" s="1151"/>
      <c r="AC1271" s="1151"/>
      <c r="AD1271" s="1151"/>
      <c r="AE1271" s="1151"/>
      <c r="AF1271" s="1151"/>
      <c r="AG1271" s="1151"/>
      <c r="AH1271" s="1151"/>
      <c r="AI1271" s="1151"/>
      <c r="AK1271" s="883"/>
    </row>
    <row r="1272" spans="1:57" hidden="1" outlineLevel="1" x14ac:dyDescent="0.25">
      <c r="A1272" s="123"/>
      <c r="B1272" s="123"/>
      <c r="C1272" s="328"/>
      <c r="D1272" s="828"/>
      <c r="E1272" s="828"/>
      <c r="F1272" s="576"/>
      <c r="G1272" s="576"/>
      <c r="H1272" s="576"/>
      <c r="I1272" s="576"/>
      <c r="J1272" s="576"/>
      <c r="K1272" s="576"/>
      <c r="L1272" s="123"/>
      <c r="M1272" s="123"/>
      <c r="N1272" s="123"/>
      <c r="V1272" s="877"/>
      <c r="W1272" s="877"/>
      <c r="X1272" s="877"/>
      <c r="AK1272" s="883"/>
    </row>
    <row r="1273" spans="1:57" hidden="1" outlineLevel="1" x14ac:dyDescent="0.25">
      <c r="A1273" s="123"/>
      <c r="B1273" s="123"/>
      <c r="C1273" s="328"/>
      <c r="D1273" s="828"/>
      <c r="E1273" s="828"/>
      <c r="F1273" s="576"/>
      <c r="G1273" s="576"/>
      <c r="H1273" s="576"/>
      <c r="I1273" s="576"/>
      <c r="J1273" s="576"/>
      <c r="K1273" s="576"/>
      <c r="L1273" s="123"/>
      <c r="M1273" s="123"/>
      <c r="N1273" s="123"/>
      <c r="V1273" s="877"/>
      <c r="W1273" s="877"/>
      <c r="X1273" s="877"/>
      <c r="AK1273" s="883"/>
    </row>
    <row r="1274" spans="1:57" hidden="1" outlineLevel="1" x14ac:dyDescent="0.25">
      <c r="A1274" s="123"/>
      <c r="B1274" s="123"/>
      <c r="C1274" s="328"/>
      <c r="D1274" s="828"/>
      <c r="E1274" s="828"/>
      <c r="F1274" s="576"/>
      <c r="G1274" s="576"/>
      <c r="H1274" s="576"/>
      <c r="I1274" s="576"/>
      <c r="J1274" s="576"/>
      <c r="K1274" s="576"/>
      <c r="L1274" s="123"/>
      <c r="M1274" s="123"/>
      <c r="N1274" s="123"/>
      <c r="V1274" s="877"/>
      <c r="W1274" s="877"/>
      <c r="X1274" s="877"/>
      <c r="AK1274" s="883"/>
    </row>
    <row r="1275" spans="1:57" hidden="1" outlineLevel="1" x14ac:dyDescent="0.25">
      <c r="A1275" s="123"/>
      <c r="B1275" s="123"/>
      <c r="C1275" s="328"/>
      <c r="D1275" s="380" t="s">
        <v>109</v>
      </c>
      <c r="E1275" s="380" t="s">
        <v>110</v>
      </c>
      <c r="F1275" s="3161" t="s">
        <v>186</v>
      </c>
      <c r="G1275" s="3161" t="s">
        <v>112</v>
      </c>
      <c r="H1275" s="2980" t="s">
        <v>2199</v>
      </c>
      <c r="I1275" s="2682"/>
      <c r="J1275" s="2683"/>
      <c r="K1275" s="576"/>
      <c r="L1275" s="123"/>
      <c r="M1275" s="123"/>
      <c r="N1275" s="123"/>
      <c r="V1275" s="1936" t="s">
        <v>45</v>
      </c>
      <c r="W1275" s="1937">
        <f>$W$6</f>
        <v>43252</v>
      </c>
      <c r="X1275" s="1937">
        <f>$X$6</f>
        <v>43465</v>
      </c>
      <c r="Y1275" s="360">
        <f>$Y$6</f>
        <v>43800</v>
      </c>
      <c r="Z1275" s="1937">
        <f>$Z$6</f>
        <v>43862</v>
      </c>
      <c r="AA1275" s="1937">
        <f>$AA$6</f>
        <v>44013</v>
      </c>
      <c r="AB1275" s="1937">
        <f>$AB$6</f>
        <v>44166</v>
      </c>
      <c r="AC1275" s="1937">
        <f>$AC$6</f>
        <v>44531</v>
      </c>
      <c r="AD1275" s="1937" t="str">
        <f>$AD$6</f>
        <v>-</v>
      </c>
      <c r="AE1275" s="1937" t="str">
        <f>$AE$6</f>
        <v>-</v>
      </c>
      <c r="AF1275" s="1937" t="str">
        <f>$AF$6</f>
        <v>-</v>
      </c>
      <c r="AG1275" s="1937" t="str">
        <f>$AG$6</f>
        <v>-</v>
      </c>
      <c r="AK1275" s="883"/>
    </row>
    <row r="1276" spans="1:57" hidden="1" outlineLevel="1" x14ac:dyDescent="0.25">
      <c r="A1276" s="123"/>
      <c r="B1276" s="123"/>
      <c r="C1276" s="328"/>
      <c r="D1276" s="2347"/>
      <c r="E1276" s="2347"/>
      <c r="F1276" s="2348"/>
      <c r="G1276" s="2348"/>
      <c r="H1276" s="1155"/>
      <c r="I1276" s="1156"/>
      <c r="J1276" s="1157"/>
      <c r="K1276" s="576"/>
      <c r="L1276" s="123"/>
      <c r="M1276" s="123"/>
      <c r="N1276" s="123"/>
      <c r="V1276" s="1936"/>
      <c r="W1276" s="2344"/>
      <c r="X1276" s="2344"/>
      <c r="Y1276" s="2344"/>
      <c r="Z1276" s="2344"/>
      <c r="AA1276" s="2344"/>
      <c r="AB1276" s="2344"/>
      <c r="AC1276" s="2344"/>
      <c r="AD1276" s="2344"/>
      <c r="AE1276" s="2344"/>
      <c r="AF1276" s="2344"/>
      <c r="AG1276" s="2344"/>
      <c r="AK1276" s="883"/>
    </row>
    <row r="1277" spans="1:57" ht="63.6" hidden="1" customHeight="1" outlineLevel="1" x14ac:dyDescent="0.25">
      <c r="A1277" s="123"/>
      <c r="B1277" s="123"/>
      <c r="C1277" s="328"/>
      <c r="D1277" s="3889" t="s">
        <v>783</v>
      </c>
      <c r="E1277" s="3889" t="s">
        <v>784</v>
      </c>
      <c r="F1277" s="3127" t="s">
        <v>785</v>
      </c>
      <c r="G1277" s="104">
        <v>31</v>
      </c>
      <c r="H1277" s="4171" t="s">
        <v>2200</v>
      </c>
      <c r="I1277" s="4172"/>
      <c r="J1277" s="4173"/>
      <c r="K1277" s="576"/>
      <c r="L1277" s="123"/>
      <c r="M1277" s="123"/>
      <c r="N1277" s="123"/>
      <c r="V1277" s="3889" t="s">
        <v>783</v>
      </c>
      <c r="W1277" s="104">
        <v>31</v>
      </c>
      <c r="X1277" s="104">
        <v>31</v>
      </c>
      <c r="Y1277" s="104">
        <v>31</v>
      </c>
      <c r="Z1277" s="104">
        <v>31</v>
      </c>
      <c r="AA1277" s="104">
        <v>31</v>
      </c>
      <c r="AB1277" s="104">
        <v>31</v>
      </c>
      <c r="AC1277" s="104">
        <v>31</v>
      </c>
      <c r="AD1277" s="899"/>
      <c r="AE1277" s="899"/>
      <c r="AF1277" s="899"/>
      <c r="AG1277" s="899"/>
      <c r="AK1277" s="883"/>
    </row>
    <row r="1278" spans="1:57" hidden="1" outlineLevel="1" x14ac:dyDescent="0.25">
      <c r="A1278" s="123"/>
      <c r="B1278" s="123"/>
      <c r="C1278" s="328"/>
      <c r="D1278" s="3890"/>
      <c r="E1278" s="3890"/>
      <c r="F1278" s="3127" t="s">
        <v>786</v>
      </c>
      <c r="G1278" s="104">
        <v>75.099999999999994</v>
      </c>
      <c r="H1278" s="4171" t="s">
        <v>2201</v>
      </c>
      <c r="I1278" s="4172"/>
      <c r="J1278" s="4173"/>
      <c r="K1278" s="576"/>
      <c r="L1278" s="123"/>
      <c r="M1278" s="123"/>
      <c r="N1278" s="123"/>
      <c r="V1278" s="3890"/>
      <c r="W1278" s="104">
        <v>75.099999999999994</v>
      </c>
      <c r="X1278" s="104">
        <v>75.099999999999994</v>
      </c>
      <c r="Y1278" s="104">
        <v>75.099999999999994</v>
      </c>
      <c r="Z1278" s="104">
        <v>75.099999999999994</v>
      </c>
      <c r="AA1278" s="104">
        <v>75.099999999999994</v>
      </c>
      <c r="AB1278" s="104">
        <v>75.099999999999994</v>
      </c>
      <c r="AC1278" s="104">
        <v>75.099999999999994</v>
      </c>
      <c r="AD1278" s="899"/>
      <c r="AE1278" s="899"/>
      <c r="AF1278" s="899"/>
      <c r="AG1278" s="899"/>
      <c r="AK1278" s="883"/>
    </row>
    <row r="1279" spans="1:57" hidden="1" outlineLevel="1" x14ac:dyDescent="0.25">
      <c r="A1279" s="123"/>
      <c r="B1279" s="123"/>
      <c r="C1279" s="328"/>
      <c r="D1279" s="3889" t="s">
        <v>787</v>
      </c>
      <c r="E1279" s="3889" t="s">
        <v>788</v>
      </c>
      <c r="F1279" s="3127" t="s">
        <v>785</v>
      </c>
      <c r="G1279" s="2621">
        <v>0</v>
      </c>
      <c r="H1279" s="4171" t="s">
        <v>2202</v>
      </c>
      <c r="I1279" s="4172"/>
      <c r="J1279" s="4173"/>
      <c r="K1279" s="576"/>
      <c r="L1279" s="123"/>
      <c r="M1279" s="123"/>
      <c r="N1279" s="123"/>
      <c r="V1279" s="3889" t="s">
        <v>787</v>
      </c>
      <c r="W1279" s="2638">
        <v>1</v>
      </c>
      <c r="X1279" s="2638">
        <v>1</v>
      </c>
      <c r="Y1279" s="2638">
        <v>1</v>
      </c>
      <c r="Z1279" s="2638">
        <v>1</v>
      </c>
      <c r="AA1279" s="2638">
        <v>1</v>
      </c>
      <c r="AB1279" s="2621">
        <v>0</v>
      </c>
      <c r="AC1279" s="2621">
        <v>0</v>
      </c>
      <c r="AD1279" s="899"/>
      <c r="AE1279" s="899"/>
      <c r="AF1279" s="899"/>
      <c r="AG1279" s="899"/>
      <c r="AK1279" s="883"/>
    </row>
    <row r="1280" spans="1:57" hidden="1" outlineLevel="1" x14ac:dyDescent="0.25">
      <c r="A1280" s="123"/>
      <c r="B1280" s="123"/>
      <c r="C1280" s="328"/>
      <c r="D1280" s="3890"/>
      <c r="E1280" s="3890"/>
      <c r="F1280" s="3127" t="s">
        <v>786</v>
      </c>
      <c r="G1280" s="323">
        <v>1</v>
      </c>
      <c r="H1280" s="4171" t="s">
        <v>2202</v>
      </c>
      <c r="I1280" s="4172"/>
      <c r="J1280" s="4173"/>
      <c r="K1280" s="576"/>
      <c r="L1280" s="123"/>
      <c r="M1280" s="123"/>
      <c r="N1280" s="123"/>
      <c r="V1280" s="3890"/>
      <c r="W1280" s="2638"/>
      <c r="X1280" s="2638"/>
      <c r="Y1280" s="2638"/>
      <c r="Z1280" s="2638"/>
      <c r="AA1280" s="2638"/>
      <c r="AB1280" s="743">
        <v>1</v>
      </c>
      <c r="AC1280" s="323">
        <v>1</v>
      </c>
      <c r="AD1280" s="899"/>
      <c r="AE1280" s="899"/>
      <c r="AF1280" s="899"/>
      <c r="AG1280" s="899"/>
      <c r="AK1280" s="883"/>
    </row>
    <row r="1281" spans="1:37" ht="30" hidden="1" outlineLevel="1" x14ac:dyDescent="0.25">
      <c r="A1281" s="123"/>
      <c r="B1281" s="123"/>
      <c r="C1281" s="328"/>
      <c r="D1281" s="3890"/>
      <c r="E1281" s="3890"/>
      <c r="F1281" s="3127" t="s">
        <v>789</v>
      </c>
      <c r="G1281" s="323">
        <f>1-G1285</f>
        <v>0.64</v>
      </c>
      <c r="H1281" s="4171" t="s">
        <v>2203</v>
      </c>
      <c r="I1281" s="4172"/>
      <c r="J1281" s="4173"/>
      <c r="K1281" s="576"/>
      <c r="L1281" s="123"/>
      <c r="M1281" s="123"/>
      <c r="N1281" s="123"/>
      <c r="V1281" s="3890"/>
      <c r="W1281" s="2638">
        <v>0.64</v>
      </c>
      <c r="X1281" s="2638">
        <v>0.64</v>
      </c>
      <c r="Y1281" s="2638">
        <v>0.64</v>
      </c>
      <c r="Z1281" s="2638">
        <v>0.64</v>
      </c>
      <c r="AA1281" s="2638">
        <v>0.64</v>
      </c>
      <c r="AB1281" s="323">
        <v>0.64</v>
      </c>
      <c r="AC1281" s="323">
        <v>0.64</v>
      </c>
      <c r="AD1281" s="899"/>
      <c r="AE1281" s="899"/>
      <c r="AF1281" s="899"/>
      <c r="AG1281" s="899"/>
      <c r="AK1281" s="883"/>
    </row>
    <row r="1282" spans="1:37" ht="30" hidden="1" outlineLevel="1" x14ac:dyDescent="0.25">
      <c r="A1282" s="123"/>
      <c r="B1282" s="123"/>
      <c r="C1282" s="328"/>
      <c r="D1282" s="3891"/>
      <c r="E1282" s="3891"/>
      <c r="F1282" s="3127" t="s">
        <v>790</v>
      </c>
      <c r="G1282" s="323">
        <f>1-G1286</f>
        <v>0.52</v>
      </c>
      <c r="H1282" s="4171" t="s">
        <v>2203</v>
      </c>
      <c r="I1282" s="4172"/>
      <c r="J1282" s="4173"/>
      <c r="K1282" s="576"/>
      <c r="L1282" s="123"/>
      <c r="M1282" s="123"/>
      <c r="N1282" s="123"/>
      <c r="V1282" s="3891"/>
      <c r="W1282" s="2638"/>
      <c r="X1282" s="2638"/>
      <c r="Y1282" s="2638"/>
      <c r="Z1282" s="2638"/>
      <c r="AA1282" s="2638"/>
      <c r="AB1282" s="743">
        <v>0.52</v>
      </c>
      <c r="AC1282" s="323">
        <v>0.52</v>
      </c>
      <c r="AD1282" s="899"/>
      <c r="AE1282" s="899"/>
      <c r="AF1282" s="899"/>
      <c r="AG1282" s="899"/>
      <c r="AK1282" s="883"/>
    </row>
    <row r="1283" spans="1:37" hidden="1" outlineLevel="1" x14ac:dyDescent="0.25">
      <c r="A1283" s="123"/>
      <c r="B1283" s="123"/>
      <c r="C1283" s="328"/>
      <c r="D1283" s="3889" t="s">
        <v>791</v>
      </c>
      <c r="E1283" s="3889" t="s">
        <v>792</v>
      </c>
      <c r="F1283" s="3127" t="s">
        <v>785</v>
      </c>
      <c r="G1283" s="323">
        <v>1</v>
      </c>
      <c r="H1283" s="4171" t="s">
        <v>2202</v>
      </c>
      <c r="I1283" s="4172"/>
      <c r="J1283" s="4173"/>
      <c r="K1283" s="576"/>
      <c r="L1283" s="123"/>
      <c r="M1283" s="123"/>
      <c r="N1283" s="123"/>
      <c r="V1283" s="3889" t="s">
        <v>791</v>
      </c>
      <c r="W1283" s="2638"/>
      <c r="X1283" s="2638"/>
      <c r="Y1283" s="2638"/>
      <c r="Z1283" s="2638"/>
      <c r="AA1283" s="2638"/>
      <c r="AB1283" s="743">
        <v>1</v>
      </c>
      <c r="AC1283" s="323">
        <v>1</v>
      </c>
      <c r="AD1283" s="899"/>
      <c r="AE1283" s="899"/>
      <c r="AF1283" s="899"/>
      <c r="AG1283" s="899"/>
      <c r="AK1283" s="883"/>
    </row>
    <row r="1284" spans="1:37" hidden="1" outlineLevel="1" x14ac:dyDescent="0.25">
      <c r="A1284" s="123"/>
      <c r="B1284" s="123"/>
      <c r="C1284" s="328"/>
      <c r="D1284" s="3890"/>
      <c r="E1284" s="3890"/>
      <c r="F1284" s="3127" t="s">
        <v>786</v>
      </c>
      <c r="G1284" s="323">
        <v>0</v>
      </c>
      <c r="H1284" s="4171" t="s">
        <v>2202</v>
      </c>
      <c r="I1284" s="4172"/>
      <c r="J1284" s="4173"/>
      <c r="K1284" s="576"/>
      <c r="L1284" s="123"/>
      <c r="M1284" s="123"/>
      <c r="N1284" s="123"/>
      <c r="V1284" s="3890"/>
      <c r="W1284" s="2638"/>
      <c r="X1284" s="2638"/>
      <c r="Y1284" s="2638"/>
      <c r="Z1284" s="2638"/>
      <c r="AA1284" s="2638"/>
      <c r="AB1284" s="743">
        <v>0</v>
      </c>
      <c r="AC1284" s="323">
        <v>0</v>
      </c>
      <c r="AD1284" s="899"/>
      <c r="AE1284" s="899"/>
      <c r="AF1284" s="899"/>
      <c r="AG1284" s="899"/>
      <c r="AK1284" s="883"/>
    </row>
    <row r="1285" spans="1:37" ht="30" hidden="1" outlineLevel="1" x14ac:dyDescent="0.25">
      <c r="A1285" s="123"/>
      <c r="B1285" s="123"/>
      <c r="C1285" s="328"/>
      <c r="D1285" s="3890"/>
      <c r="E1285" s="3890"/>
      <c r="F1285" s="3127" t="s">
        <v>789</v>
      </c>
      <c r="G1285" s="323">
        <v>0.36</v>
      </c>
      <c r="H1285" s="4171" t="s">
        <v>2203</v>
      </c>
      <c r="I1285" s="4172"/>
      <c r="J1285" s="4173"/>
      <c r="K1285" s="576"/>
      <c r="L1285" s="123"/>
      <c r="M1285" s="123"/>
      <c r="N1285" s="123"/>
      <c r="V1285" s="3890"/>
      <c r="W1285" s="323">
        <v>0.36</v>
      </c>
      <c r="X1285" s="323">
        <v>0.36</v>
      </c>
      <c r="Y1285" s="323">
        <v>0.36</v>
      </c>
      <c r="Z1285" s="323">
        <v>0.36</v>
      </c>
      <c r="AA1285" s="323">
        <v>0.36</v>
      </c>
      <c r="AB1285" s="323">
        <v>0.36</v>
      </c>
      <c r="AC1285" s="323">
        <v>0.36</v>
      </c>
      <c r="AD1285" s="899"/>
      <c r="AE1285" s="899"/>
      <c r="AF1285" s="899"/>
      <c r="AG1285" s="899"/>
      <c r="AK1285" s="883"/>
    </row>
    <row r="1286" spans="1:37" ht="30" hidden="1" outlineLevel="1" x14ac:dyDescent="0.25">
      <c r="A1286" s="123"/>
      <c r="B1286" s="123"/>
      <c r="C1286" s="328"/>
      <c r="D1286" s="3891"/>
      <c r="E1286" s="3891"/>
      <c r="F1286" s="3127" t="s">
        <v>790</v>
      </c>
      <c r="G1286" s="323">
        <v>0.48</v>
      </c>
      <c r="H1286" s="4171" t="s">
        <v>2203</v>
      </c>
      <c r="I1286" s="4172"/>
      <c r="J1286" s="4173"/>
      <c r="K1286" s="576"/>
      <c r="L1286" s="123"/>
      <c r="M1286" s="123"/>
      <c r="N1286" s="123"/>
      <c r="V1286" s="3891"/>
      <c r="W1286" s="2638"/>
      <c r="X1286" s="2638"/>
      <c r="Y1286" s="2638"/>
      <c r="Z1286" s="2638"/>
      <c r="AA1286" s="2638"/>
      <c r="AB1286" s="743">
        <v>0.48</v>
      </c>
      <c r="AC1286" s="323">
        <v>0.48</v>
      </c>
      <c r="AD1286" s="899"/>
      <c r="AE1286" s="899"/>
      <c r="AF1286" s="899"/>
      <c r="AG1286" s="899"/>
      <c r="AK1286" s="883"/>
    </row>
    <row r="1287" spans="1:37" hidden="1" outlineLevel="1" x14ac:dyDescent="0.25">
      <c r="A1287" s="123"/>
      <c r="B1287" s="123"/>
      <c r="C1287" s="328"/>
      <c r="D1287" s="3889" t="s">
        <v>133</v>
      </c>
      <c r="E1287" s="3889" t="s">
        <v>2204</v>
      </c>
      <c r="F1287" s="3127" t="s">
        <v>793</v>
      </c>
      <c r="G1287" s="2345">
        <v>0.95</v>
      </c>
      <c r="H1287" s="4171" t="s">
        <v>2205</v>
      </c>
      <c r="I1287" s="4172"/>
      <c r="J1287" s="4173"/>
      <c r="K1287" s="576"/>
      <c r="L1287" s="123"/>
      <c r="M1287" s="123"/>
      <c r="N1287" s="123"/>
      <c r="V1287" s="3889" t="s">
        <v>133</v>
      </c>
      <c r="W1287" s="2638"/>
      <c r="X1287" s="2638"/>
      <c r="Y1287" s="2638"/>
      <c r="Z1287" s="2638"/>
      <c r="AA1287" s="2638"/>
      <c r="AB1287" s="2345">
        <v>1</v>
      </c>
      <c r="AC1287" s="2345">
        <v>0.95</v>
      </c>
      <c r="AD1287" s="899"/>
      <c r="AE1287" s="899"/>
      <c r="AF1287" s="899"/>
      <c r="AG1287" s="899"/>
      <c r="AK1287" s="883"/>
    </row>
    <row r="1288" spans="1:37" hidden="1" outlineLevel="1" x14ac:dyDescent="0.25">
      <c r="A1288" s="123"/>
      <c r="B1288" s="123"/>
      <c r="C1288" s="328"/>
      <c r="D1288" s="3890"/>
      <c r="E1288" s="3890"/>
      <c r="F1288" s="3127" t="s">
        <v>795</v>
      </c>
      <c r="G1288" s="2622">
        <v>0.78</v>
      </c>
      <c r="H1288" s="4171"/>
      <c r="I1288" s="4172"/>
      <c r="J1288" s="4173"/>
      <c r="K1288" s="576"/>
      <c r="L1288" s="123"/>
      <c r="M1288" s="123"/>
      <c r="N1288" s="123"/>
      <c r="V1288" s="3890"/>
      <c r="W1288" s="2638"/>
      <c r="X1288" s="2638"/>
      <c r="Y1288" s="2638"/>
      <c r="Z1288" s="2638"/>
      <c r="AA1288" s="2638"/>
      <c r="AB1288" s="2346">
        <v>0.78</v>
      </c>
      <c r="AC1288" s="2622">
        <v>0.78</v>
      </c>
      <c r="AD1288" s="899"/>
      <c r="AE1288" s="899"/>
      <c r="AF1288" s="899"/>
      <c r="AG1288" s="899"/>
      <c r="AK1288" s="883"/>
    </row>
    <row r="1289" spans="1:37" hidden="1" outlineLevel="1" x14ac:dyDescent="0.25">
      <c r="B1289" s="1233"/>
      <c r="C1289" s="3159"/>
      <c r="D1289" s="2981" t="s">
        <v>2206</v>
      </c>
      <c r="E1289" s="2981" t="s">
        <v>2207</v>
      </c>
      <c r="F1289" s="2624" t="s">
        <v>135</v>
      </c>
      <c r="G1289" s="2625">
        <v>10</v>
      </c>
      <c r="H1289" s="4171" t="s">
        <v>2208</v>
      </c>
      <c r="I1289" s="4172"/>
      <c r="J1289" s="4173"/>
      <c r="K1289" s="576"/>
      <c r="L1289" s="123"/>
      <c r="V1289" s="2623" t="str">
        <f>V1115</f>
        <v>Inc. Cost</v>
      </c>
      <c r="W1289" s="827">
        <v>10</v>
      </c>
      <c r="X1289" s="827">
        <v>10</v>
      </c>
      <c r="Y1289" s="827">
        <v>10</v>
      </c>
      <c r="Z1289" s="827">
        <v>10</v>
      </c>
      <c r="AA1289" s="827">
        <v>10</v>
      </c>
      <c r="AB1289" s="2625">
        <v>10</v>
      </c>
      <c r="AC1289" s="2625">
        <v>10</v>
      </c>
      <c r="AD1289" s="1052"/>
      <c r="AE1289" s="1052"/>
      <c r="AF1289" s="1052"/>
      <c r="AG1289" s="1052"/>
      <c r="AK1289" s="883"/>
    </row>
    <row r="1290" spans="1:37" hidden="1" outlineLevel="1" x14ac:dyDescent="0.25">
      <c r="B1290" s="1233"/>
      <c r="C1290" s="3159"/>
      <c r="D1290" s="4183" t="s">
        <v>170</v>
      </c>
      <c r="E1290" s="4183" t="s">
        <v>171</v>
      </c>
      <c r="F1290" s="2626" t="s">
        <v>2209</v>
      </c>
      <c r="G1290" s="2342">
        <v>20</v>
      </c>
      <c r="H1290" s="4171"/>
      <c r="I1290" s="4172"/>
      <c r="J1290" s="4173"/>
      <c r="K1290" s="576"/>
      <c r="L1290" s="123"/>
      <c r="V1290" s="4183" t="s">
        <v>170</v>
      </c>
      <c r="W1290" s="1054">
        <v>7</v>
      </c>
      <c r="X1290" s="1054">
        <v>7</v>
      </c>
      <c r="Y1290" s="1054">
        <v>7</v>
      </c>
      <c r="Z1290" s="1054">
        <v>7</v>
      </c>
      <c r="AA1290" s="1054">
        <v>7</v>
      </c>
      <c r="AB1290" s="2342">
        <v>20</v>
      </c>
      <c r="AC1290" s="2342">
        <v>20</v>
      </c>
      <c r="AD1290" s="1054"/>
      <c r="AE1290" s="1054"/>
      <c r="AF1290" s="1054"/>
      <c r="AG1290" s="1054"/>
      <c r="AK1290" s="883"/>
    </row>
    <row r="1291" spans="1:37" ht="30" hidden="1" outlineLevel="1" x14ac:dyDescent="0.25">
      <c r="B1291" s="1233"/>
      <c r="C1291" s="3159"/>
      <c r="D1291" s="4184"/>
      <c r="E1291" s="4184"/>
      <c r="F1291" s="2626" t="s">
        <v>2210</v>
      </c>
      <c r="G1291" s="2342">
        <v>30</v>
      </c>
      <c r="H1291" s="4171"/>
      <c r="I1291" s="4172"/>
      <c r="J1291" s="4173"/>
      <c r="K1291" s="576"/>
      <c r="L1291" s="123"/>
      <c r="V1291" s="4184"/>
      <c r="W1291" s="1054">
        <v>7</v>
      </c>
      <c r="X1291" s="1054">
        <v>7</v>
      </c>
      <c r="Y1291" s="1054">
        <v>7</v>
      </c>
      <c r="Z1291" s="1054">
        <v>7</v>
      </c>
      <c r="AA1291" s="1054">
        <v>7</v>
      </c>
      <c r="AB1291" s="2342">
        <v>30</v>
      </c>
      <c r="AC1291" s="2342">
        <v>30</v>
      </c>
      <c r="AD1291" s="1054"/>
      <c r="AE1291" s="1054"/>
      <c r="AF1291" s="1054"/>
      <c r="AG1291" s="1054"/>
      <c r="AK1291" s="883"/>
    </row>
    <row r="1292" spans="1:37" hidden="1" outlineLevel="1" x14ac:dyDescent="0.25">
      <c r="B1292" s="1233"/>
      <c r="C1292" s="3159"/>
      <c r="D1292" s="4184"/>
      <c r="E1292" s="4184"/>
      <c r="F1292" s="2626" t="s">
        <v>2211</v>
      </c>
      <c r="G1292" s="2342">
        <f>'Efficient Products Deemed Table'!G249</f>
        <v>30</v>
      </c>
      <c r="H1292" s="4171"/>
      <c r="I1292" s="4172"/>
      <c r="J1292" s="4173"/>
      <c r="K1292" s="576"/>
      <c r="L1292" s="123"/>
      <c r="V1292" s="4184"/>
      <c r="W1292" s="1054">
        <v>7</v>
      </c>
      <c r="X1292" s="1054">
        <v>7</v>
      </c>
      <c r="Y1292" s="1054">
        <v>7</v>
      </c>
      <c r="Z1292" s="1054">
        <v>7</v>
      </c>
      <c r="AA1292" s="1054">
        <v>7</v>
      </c>
      <c r="AB1292" s="2342">
        <v>30</v>
      </c>
      <c r="AC1292" s="2342">
        <v>30</v>
      </c>
      <c r="AD1292" s="1054"/>
      <c r="AE1292" s="1054"/>
      <c r="AF1292" s="1054"/>
      <c r="AG1292" s="1054"/>
      <c r="AK1292" s="883"/>
    </row>
    <row r="1293" spans="1:37" ht="30" hidden="1" outlineLevel="1" x14ac:dyDescent="0.25">
      <c r="B1293" s="1233"/>
      <c r="C1293" s="3159"/>
      <c r="D1293" s="4184"/>
      <c r="E1293" s="4184"/>
      <c r="F1293" s="2627" t="s">
        <v>2212</v>
      </c>
      <c r="G1293" s="2628">
        <v>60</v>
      </c>
      <c r="H1293" s="4171"/>
      <c r="I1293" s="4172"/>
      <c r="J1293" s="4173"/>
      <c r="K1293" s="576"/>
      <c r="L1293" s="123"/>
      <c r="V1293" s="4185"/>
      <c r="W1293" s="1054">
        <v>7</v>
      </c>
      <c r="X1293" s="1054">
        <v>7</v>
      </c>
      <c r="Y1293" s="1054">
        <v>7</v>
      </c>
      <c r="Z1293" s="1054">
        <v>7</v>
      </c>
      <c r="AA1293" s="1054">
        <v>7</v>
      </c>
      <c r="AB1293" s="2342">
        <v>60</v>
      </c>
      <c r="AC1293" s="2342">
        <v>60</v>
      </c>
      <c r="AD1293" s="1054"/>
      <c r="AE1293" s="1054"/>
      <c r="AF1293" s="1054"/>
      <c r="AG1293" s="1054"/>
      <c r="AK1293" s="883"/>
    </row>
    <row r="1294" spans="1:37" hidden="1" outlineLevel="1" x14ac:dyDescent="0.25">
      <c r="B1294" s="1038"/>
      <c r="C1294" s="3159"/>
      <c r="D1294" s="1732" t="s">
        <v>2213</v>
      </c>
      <c r="E1294" s="2354"/>
      <c r="F1294" s="2350"/>
      <c r="G1294" s="2350"/>
      <c r="H1294" s="3228"/>
      <c r="I1294" s="3228"/>
      <c r="J1294" s="3228"/>
      <c r="K1294" s="576"/>
      <c r="L1294" s="123"/>
      <c r="V1294" s="2349"/>
      <c r="W1294" s="2352"/>
      <c r="X1294" s="2352"/>
      <c r="Y1294" s="2352"/>
      <c r="Z1294" s="2352"/>
      <c r="AA1294" s="2352"/>
      <c r="AB1294" s="2351"/>
      <c r="AC1294" s="2353"/>
      <c r="AD1294" s="2353"/>
      <c r="AE1294" s="2353"/>
      <c r="AF1294" s="2353"/>
      <c r="AG1294" s="2353"/>
      <c r="AK1294" s="883"/>
    </row>
    <row r="1295" spans="1:37" ht="15" customHeight="1" collapsed="1" x14ac:dyDescent="0.25">
      <c r="A1295" s="123"/>
      <c r="B1295" s="123"/>
      <c r="C1295" s="328"/>
      <c r="D1295" s="1474"/>
      <c r="E1295" s="1750"/>
      <c r="F1295" s="1750"/>
      <c r="G1295" s="2343"/>
      <c r="H1295" s="1750"/>
      <c r="I1295" s="1750"/>
      <c r="M1295" s="123"/>
      <c r="N1295" s="123"/>
      <c r="V1295" s="249"/>
      <c r="W1295" s="249"/>
      <c r="X1295" s="249"/>
      <c r="Y1295" s="1500" t="s">
        <v>1642</v>
      </c>
      <c r="AK1295" s="883"/>
    </row>
    <row r="1296" spans="1:37" x14ac:dyDescent="0.25">
      <c r="A1296" s="123"/>
      <c r="B1296" s="123"/>
      <c r="C1296" s="328"/>
      <c r="D1296" s="329"/>
      <c r="E1296" s="329"/>
      <c r="F1296" s="123"/>
      <c r="G1296" s="123"/>
      <c r="H1296" s="123"/>
      <c r="I1296" s="123"/>
      <c r="J1296" s="123"/>
      <c r="K1296" s="123"/>
      <c r="L1296" s="123"/>
      <c r="M1296" s="123"/>
      <c r="N1296" s="123"/>
      <c r="V1296" s="877"/>
      <c r="W1296" s="877"/>
      <c r="X1296" s="877"/>
      <c r="AK1296" s="883"/>
    </row>
    <row r="1297" spans="1:57" x14ac:dyDescent="0.25">
      <c r="A1297" s="123"/>
      <c r="B1297" s="3077" t="s">
        <v>2214</v>
      </c>
      <c r="C1297" s="3078"/>
      <c r="D1297" s="3078"/>
      <c r="E1297" s="3078"/>
      <c r="F1297" s="3078"/>
      <c r="G1297" s="3078"/>
      <c r="H1297" s="3078"/>
      <c r="I1297" s="3078"/>
      <c r="J1297" s="3078"/>
      <c r="K1297" s="3078"/>
      <c r="L1297" s="3078"/>
      <c r="M1297" s="3078"/>
      <c r="N1297" s="3078"/>
      <c r="O1297" s="3078"/>
      <c r="P1297" s="3078"/>
      <c r="Q1297" s="3078"/>
      <c r="R1297" s="3170"/>
      <c r="V1297" s="3077" t="str">
        <f>B1297</f>
        <v>Refrigerator</v>
      </c>
      <c r="W1297" s="3078"/>
      <c r="X1297" s="3078"/>
      <c r="Y1297" s="3078"/>
      <c r="Z1297" s="3078"/>
      <c r="AA1297" s="3078"/>
      <c r="AB1297" s="3078"/>
      <c r="AC1297" s="3078"/>
      <c r="AD1297" s="3078"/>
      <c r="AE1297" s="3078"/>
      <c r="AF1297" s="3078"/>
      <c r="AG1297" s="3078"/>
      <c r="AH1297" s="3078"/>
      <c r="AI1297" s="3170"/>
      <c r="AK1297" s="883"/>
    </row>
    <row r="1298" spans="1:57" x14ac:dyDescent="0.25">
      <c r="A1298" s="123"/>
      <c r="B1298" s="123"/>
      <c r="C1298" s="328"/>
      <c r="D1298" s="329"/>
      <c r="E1298" s="329"/>
      <c r="F1298" s="123"/>
      <c r="G1298" s="123"/>
      <c r="H1298" s="123"/>
      <c r="I1298" s="123"/>
      <c r="J1298" s="123"/>
      <c r="K1298" s="123"/>
      <c r="L1298" s="123"/>
      <c r="M1298" s="123"/>
      <c r="N1298" s="123"/>
      <c r="AK1298" s="883"/>
    </row>
    <row r="1299" spans="1:57" ht="30" x14ac:dyDescent="0.25">
      <c r="C1299" s="3086" t="s">
        <v>28</v>
      </c>
      <c r="D1299" s="3086" t="s">
        <v>175</v>
      </c>
      <c r="E1299" s="3086" t="s">
        <v>30</v>
      </c>
      <c r="F1299" s="3086" t="s">
        <v>31</v>
      </c>
      <c r="G1299" s="3086" t="s">
        <v>176</v>
      </c>
      <c r="H1299" s="3086" t="s">
        <v>177</v>
      </c>
      <c r="I1299" s="3086" t="s">
        <v>32</v>
      </c>
      <c r="J1299" s="3086" t="s">
        <v>181</v>
      </c>
      <c r="K1299" s="3086" t="s">
        <v>170</v>
      </c>
      <c r="L1299" s="3086" t="s">
        <v>44</v>
      </c>
      <c r="V1299" s="1936" t="s">
        <v>45</v>
      </c>
      <c r="W1299" s="1937">
        <v>43252</v>
      </c>
      <c r="X1299" s="1937">
        <f>$X$6</f>
        <v>43465</v>
      </c>
      <c r="Y1299" s="360">
        <f>$Y$6</f>
        <v>43800</v>
      </c>
      <c r="Z1299" s="1937">
        <f>$Z$6</f>
        <v>43862</v>
      </c>
      <c r="AA1299" s="1937">
        <f>$AA$6</f>
        <v>44013</v>
      </c>
      <c r="AB1299" s="1937">
        <f>$AB$6</f>
        <v>44166</v>
      </c>
      <c r="AC1299" s="1937">
        <f>$AC$6</f>
        <v>44531</v>
      </c>
      <c r="AD1299" s="1937" t="str">
        <f>$AD$6</f>
        <v>-</v>
      </c>
      <c r="AE1299" s="1937" t="str">
        <f>$AE$6</f>
        <v>-</v>
      </c>
      <c r="AF1299" s="1937" t="str">
        <f>$AF$6</f>
        <v>-</v>
      </c>
      <c r="AG1299" s="1937" t="str">
        <f>$AG$6</f>
        <v>-</v>
      </c>
      <c r="AK1299" s="883"/>
      <c r="BB1299" s="1938" t="str">
        <f>$BB$6</f>
        <v>TRC (2020)</v>
      </c>
      <c r="BC1299" s="1953" t="str">
        <f>$BC$6</f>
        <v>Benefit Lookup</v>
      </c>
      <c r="BD1299" s="665" t="str">
        <f>$BD$6</f>
        <v>Benefits (2019 $)</v>
      </c>
      <c r="BE1299" s="230" t="str">
        <f>$BE$6</f>
        <v>Incremental Cost (2019 $)</v>
      </c>
    </row>
    <row r="1300" spans="1:57" x14ac:dyDescent="0.25">
      <c r="C1300" s="63" t="s">
        <v>2215</v>
      </c>
      <c r="D1300" s="1174" t="s">
        <v>2098</v>
      </c>
      <c r="E1300" s="3115" t="s">
        <v>2216</v>
      </c>
      <c r="F1300" s="1733">
        <f>ROUND(F1311-(F1313*(1-F1314)),2)</f>
        <v>564.66</v>
      </c>
      <c r="G1300" s="141" t="s">
        <v>2217</v>
      </c>
      <c r="H1300" s="155">
        <f>VLOOKUP(G1300,'CP FACTORS'!$A$3:$B$38, 2, FALSE)</f>
        <v>1.286107E-4</v>
      </c>
      <c r="I1300" s="1531">
        <f>ROUND(F1300*H1300,6)</f>
        <v>7.2621000000000005E-2</v>
      </c>
      <c r="J1300" s="2718">
        <f>$F$1327</f>
        <v>6</v>
      </c>
      <c r="K1300" s="519">
        <f>$F$1329</f>
        <v>753</v>
      </c>
      <c r="L1300" s="63" t="s">
        <v>185</v>
      </c>
      <c r="M1300" s="1027"/>
      <c r="V1300" s="160" t="str">
        <f>F1299</f>
        <v>kWh Annual Savings</v>
      </c>
      <c r="W1300" s="161">
        <v>564.66038920276219</v>
      </c>
      <c r="X1300" s="881">
        <v>564.66038920276219</v>
      </c>
      <c r="Y1300" s="882">
        <v>564.66</v>
      </c>
      <c r="Z1300" s="882">
        <v>564.66</v>
      </c>
      <c r="AA1300" s="882">
        <v>564.66</v>
      </c>
      <c r="AB1300" s="882">
        <v>564.66</v>
      </c>
      <c r="AC1300" s="1733">
        <v>564.66</v>
      </c>
      <c r="AD1300" s="160"/>
      <c r="AE1300" s="160"/>
      <c r="AF1300" s="160"/>
      <c r="AG1300" s="160"/>
      <c r="AK1300" s="883"/>
      <c r="BB1300" s="1945">
        <f>(BD1300+BD1301)/(BE1300+BE1301)</f>
        <v>0.18847747808723556</v>
      </c>
      <c r="BC1300" s="3166" t="str">
        <f>CONCATENATE(G1300," ",J1300," Year EUL")</f>
        <v>Refrigeration RES 6 Year EUL</v>
      </c>
      <c r="BD1300" s="111">
        <f>(INDEX('Avoided Cost Benefits'!$C$4:$C$857,MATCH(BC1300,'Avoided Cost Benefits'!$A$4:$A$857,0)))*F1300</f>
        <v>117.12499089042501</v>
      </c>
      <c r="BE1300" s="1946">
        <f>K1300/(1.0595^(2020-2019))</f>
        <v>710.71260028315237</v>
      </c>
    </row>
    <row r="1301" spans="1:57" x14ac:dyDescent="0.25">
      <c r="C1301" s="63" t="s">
        <v>2215</v>
      </c>
      <c r="D1301" s="1174" t="s">
        <v>2098</v>
      </c>
      <c r="E1301" s="3116" t="s">
        <v>2218</v>
      </c>
      <c r="F1301" s="1734">
        <f>ROUND(F1315-(F1313*(1-F1314)),2)</f>
        <v>46.72</v>
      </c>
      <c r="G1301" s="141" t="s">
        <v>2219</v>
      </c>
      <c r="H1301" s="155">
        <f>VLOOKUP(G1301,'CP FACTORS'!$A$3:$B$38, 2, FALSE)</f>
        <v>1.286107E-4</v>
      </c>
      <c r="I1301" s="1531">
        <f>ROUND(F1301*H1301,6)</f>
        <v>6.0089999999999996E-3</v>
      </c>
      <c r="J1301" s="2718">
        <f>$F$1328</f>
        <v>11</v>
      </c>
      <c r="K1301" s="519">
        <v>0</v>
      </c>
      <c r="L1301" s="63" t="s">
        <v>185</v>
      </c>
      <c r="M1301" s="1027"/>
      <c r="V1301" s="160" t="str">
        <f>V1300</f>
        <v>kWh Annual Savings</v>
      </c>
      <c r="W1301" s="161">
        <v>46.722222222222229</v>
      </c>
      <c r="X1301" s="881">
        <v>46.722222222222229</v>
      </c>
      <c r="Y1301" s="882">
        <v>46.72</v>
      </c>
      <c r="Z1301" s="882">
        <v>46.72</v>
      </c>
      <c r="AA1301" s="882">
        <v>46.72</v>
      </c>
      <c r="AB1301" s="882">
        <v>46.72</v>
      </c>
      <c r="AC1301" s="1734">
        <v>46.72</v>
      </c>
      <c r="AD1301" s="160"/>
      <c r="AE1301" s="160"/>
      <c r="AF1301" s="160"/>
      <c r="AG1301" s="160"/>
      <c r="AH1301" s="892"/>
      <c r="AI1301" s="892"/>
      <c r="AK1301" s="883"/>
      <c r="BB1301" s="978"/>
      <c r="BC1301" s="1948" t="str">
        <f>CONCATENATE(G1301," ",J1301," Year EUL")</f>
        <v>Refrigeration RES ER2 11 Year EUL</v>
      </c>
      <c r="BD1301" s="114">
        <f>(INDEX('Avoided Cost Benefits'!$C$4:$C$857,MATCH(BC1301,'Avoided Cost Benefits'!$A$4:$A$857,0)))*F1301</f>
        <v>16.828327655765037</v>
      </c>
      <c r="BE1301" s="1949">
        <f>K1301/(1.0595^(2020-2019))</f>
        <v>0</v>
      </c>
    </row>
    <row r="1302" spans="1:57" x14ac:dyDescent="0.25">
      <c r="C1302" s="63" t="s">
        <v>2220</v>
      </c>
      <c r="D1302" s="1174" t="s">
        <v>2098</v>
      </c>
      <c r="E1302" s="3115" t="s">
        <v>2221</v>
      </c>
      <c r="F1302" s="1733">
        <f>ROUND(F1312-(F1313*(1-F1314)),2)</f>
        <v>1269.9100000000001</v>
      </c>
      <c r="G1302" s="141" t="s">
        <v>2217</v>
      </c>
      <c r="H1302" s="155">
        <f>VLOOKUP(G1302,'CP FACTORS'!$A$3:$B$38, 2, FALSE)</f>
        <v>1.286107E-4</v>
      </c>
      <c r="I1302" s="1531">
        <f>ROUND(F1302*H1302,6)</f>
        <v>0.163324</v>
      </c>
      <c r="J1302" s="2718">
        <f>$F$1327</f>
        <v>6</v>
      </c>
      <c r="K1302" s="519">
        <f>$F$1329</f>
        <v>753</v>
      </c>
      <c r="L1302" s="63" t="s">
        <v>185</v>
      </c>
      <c r="M1302" s="1027"/>
      <c r="V1302" s="160" t="str">
        <f>V1301</f>
        <v>kWh Annual Savings</v>
      </c>
      <c r="W1302" s="161"/>
      <c r="X1302" s="881"/>
      <c r="Y1302" s="885">
        <v>1269.9100000000001</v>
      </c>
      <c r="Z1302" s="882">
        <v>1269.9100000000001</v>
      </c>
      <c r="AA1302" s="882">
        <v>1269.9100000000001</v>
      </c>
      <c r="AB1302" s="882">
        <v>1269.9100000000001</v>
      </c>
      <c r="AC1302" s="1733">
        <v>1269.9100000000001</v>
      </c>
      <c r="AD1302" s="160"/>
      <c r="AE1302" s="160"/>
      <c r="AF1302" s="160"/>
      <c r="AG1302" s="160"/>
      <c r="AK1302" s="883"/>
      <c r="BB1302" s="52">
        <f>(BD1302+BD1303)/(BE1302+BE1303)</f>
        <v>0.39430887713969415</v>
      </c>
      <c r="BC1302" s="1948" t="str">
        <f>CONCATENATE(G1302," ",J1302," Year EUL")</f>
        <v>Refrigeration RES 6 Year EUL</v>
      </c>
      <c r="BD1302" s="114">
        <f>(INDEX('Avoided Cost Benefits'!$C$4:$C$857,MATCH(BC1302,'Avoided Cost Benefits'!$A$4:$A$857,0)))*F1302</f>
        <v>263.41195973091709</v>
      </c>
      <c r="BE1302" s="1949">
        <f>K1302/(1.0595^(2020-2019))</f>
        <v>710.71260028315237</v>
      </c>
    </row>
    <row r="1303" spans="1:57" x14ac:dyDescent="0.25">
      <c r="C1303" s="63" t="s">
        <v>2220</v>
      </c>
      <c r="D1303" s="1174" t="s">
        <v>2098</v>
      </c>
      <c r="E1303" s="3116" t="s">
        <v>2222</v>
      </c>
      <c r="F1303" s="1734">
        <f>ROUND(F1313-(F1313*(1-F1314)),2)</f>
        <v>46.72</v>
      </c>
      <c r="G1303" s="141" t="s">
        <v>2219</v>
      </c>
      <c r="H1303" s="155">
        <f>VLOOKUP(G1303,'CP FACTORS'!$A$3:$B$38, 2, FALSE)</f>
        <v>1.286107E-4</v>
      </c>
      <c r="I1303" s="1531">
        <f>ROUND(F1303*H1303,6)</f>
        <v>6.0089999999999996E-3</v>
      </c>
      <c r="J1303" s="2718">
        <f>$F$1328</f>
        <v>11</v>
      </c>
      <c r="K1303" s="519">
        <v>0</v>
      </c>
      <c r="L1303" s="63" t="s">
        <v>185</v>
      </c>
      <c r="M1303" s="1027"/>
      <c r="V1303" s="160" t="str">
        <f>V1302</f>
        <v>kWh Annual Savings</v>
      </c>
      <c r="W1303" s="161"/>
      <c r="X1303" s="881"/>
      <c r="Y1303" s="885">
        <v>46.72</v>
      </c>
      <c r="Z1303" s="882">
        <v>46.72</v>
      </c>
      <c r="AA1303" s="882">
        <v>46.72</v>
      </c>
      <c r="AB1303" s="882">
        <v>46.72</v>
      </c>
      <c r="AC1303" s="1734">
        <v>46.72</v>
      </c>
      <c r="AD1303" s="160"/>
      <c r="AE1303" s="160"/>
      <c r="AF1303" s="160"/>
      <c r="AG1303" s="160"/>
      <c r="AH1303" s="892"/>
      <c r="AI1303" s="892"/>
      <c r="AK1303" s="883"/>
      <c r="BB1303" s="980"/>
      <c r="BC1303" s="1948" t="str">
        <f>CONCATENATE(G1303," ",J1303," Year EUL")</f>
        <v>Refrigeration RES ER2 11 Year EUL</v>
      </c>
      <c r="BD1303" s="119">
        <f>(INDEX('Avoided Cost Benefits'!$C$4:$C$857,MATCH(BC1303,'Avoided Cost Benefits'!$A$4:$A$857,0)))*F1303</f>
        <v>16.828327655765037</v>
      </c>
      <c r="BE1303" s="1950">
        <f>K1303/(1.0595^(2020-2019))</f>
        <v>0</v>
      </c>
    </row>
    <row r="1304" spans="1:57" hidden="1" outlineLevel="1" x14ac:dyDescent="0.25">
      <c r="C1304" s="120"/>
      <c r="D1304" s="1116"/>
      <c r="E1304" s="1116"/>
      <c r="F1304" s="1669"/>
      <c r="G1304" s="540"/>
      <c r="H1304" s="1027"/>
      <c r="I1304" s="1153"/>
      <c r="J1304" s="1731"/>
      <c r="K1304" s="1153"/>
      <c r="L1304" s="517"/>
      <c r="M1304" s="1027"/>
      <c r="AH1304" s="892"/>
      <c r="AI1304" s="892"/>
      <c r="AK1304" s="883"/>
    </row>
    <row r="1305" spans="1:57" hidden="1" outlineLevel="1" x14ac:dyDescent="0.25">
      <c r="C1305" s="120"/>
      <c r="D1305" s="174" t="s">
        <v>108</v>
      </c>
      <c r="E1305" s="1116"/>
      <c r="F1305" s="1669"/>
      <c r="G1305" s="540"/>
      <c r="H1305" s="1027"/>
      <c r="I1305" s="1153"/>
      <c r="J1305" s="1731"/>
      <c r="K1305" s="1153"/>
      <c r="L1305" s="517"/>
      <c r="M1305" s="1027"/>
      <c r="AH1305" s="892"/>
      <c r="AI1305" s="892"/>
      <c r="AK1305" s="883"/>
    </row>
    <row r="1306" spans="1:57" hidden="1" outlineLevel="1" x14ac:dyDescent="0.25">
      <c r="C1306" s="120"/>
      <c r="D1306" s="1116"/>
      <c r="E1306" s="1116"/>
      <c r="F1306" s="1669"/>
      <c r="G1306" s="540"/>
      <c r="H1306" s="1027"/>
      <c r="I1306" s="1153"/>
      <c r="J1306" s="1731"/>
      <c r="K1306" s="1153"/>
      <c r="L1306" s="517"/>
      <c r="M1306" s="1027"/>
      <c r="AK1306" s="883"/>
    </row>
    <row r="1307" spans="1:57" hidden="1" outlineLevel="1" x14ac:dyDescent="0.25">
      <c r="C1307" s="120"/>
      <c r="D1307" s="1116"/>
      <c r="E1307" s="1116"/>
      <c r="F1307" s="1669"/>
      <c r="G1307" s="540"/>
      <c r="H1307" s="1027"/>
      <c r="I1307" s="1153"/>
      <c r="J1307" s="1731"/>
      <c r="K1307" s="1153"/>
      <c r="L1307" s="517"/>
      <c r="M1307" s="1027"/>
      <c r="AK1307" s="883"/>
    </row>
    <row r="1308" spans="1:57" hidden="1" outlineLevel="1" x14ac:dyDescent="0.25">
      <c r="C1308" s="120"/>
      <c r="D1308" s="1116"/>
      <c r="E1308" s="1116"/>
      <c r="F1308" s="1669"/>
      <c r="G1308" s="540"/>
      <c r="H1308" s="1027"/>
      <c r="I1308" s="1153"/>
      <c r="J1308" s="1731"/>
      <c r="K1308" s="1153"/>
      <c r="L1308" s="517"/>
      <c r="M1308" s="1027"/>
      <c r="AK1308" s="883"/>
    </row>
    <row r="1309" spans="1:57" hidden="1" outlineLevel="1" x14ac:dyDescent="0.25">
      <c r="D1309" s="1213"/>
      <c r="E1309" s="1213"/>
      <c r="F1309" s="1027"/>
      <c r="G1309" s="1027"/>
      <c r="H1309" s="1027"/>
      <c r="I1309" s="1027"/>
      <c r="J1309" s="1027"/>
      <c r="K1309" s="1027"/>
      <c r="L1309" s="1027"/>
      <c r="M1309" s="1027"/>
      <c r="AK1309" s="883"/>
    </row>
    <row r="1310" spans="1:57" hidden="1" outlineLevel="1" x14ac:dyDescent="0.25">
      <c r="D1310" s="3086" t="s">
        <v>109</v>
      </c>
      <c r="E1310" s="3086" t="s">
        <v>110</v>
      </c>
      <c r="F1310" s="3086" t="s">
        <v>112</v>
      </c>
      <c r="G1310" s="3086" t="s">
        <v>187</v>
      </c>
      <c r="H1310" s="1159"/>
      <c r="I1310" s="123"/>
      <c r="J1310" s="123"/>
      <c r="K1310" s="1159"/>
      <c r="L1310" s="1159"/>
      <c r="M1310" s="1159"/>
      <c r="N1310" s="1159"/>
      <c r="O1310" s="1159"/>
      <c r="P1310" s="1159"/>
      <c r="Q1310" s="1159"/>
      <c r="R1310" s="1159"/>
      <c r="V1310" s="1936" t="s">
        <v>45</v>
      </c>
      <c r="W1310" s="1937">
        <f>W$6</f>
        <v>43252</v>
      </c>
      <c r="X1310" s="1937">
        <f t="shared" ref="X1310:AG1310" si="188">X$6</f>
        <v>43465</v>
      </c>
      <c r="Y1310" s="360">
        <f t="shared" si="188"/>
        <v>43800</v>
      </c>
      <c r="Z1310" s="1937">
        <f t="shared" si="188"/>
        <v>43862</v>
      </c>
      <c r="AA1310" s="1937">
        <f t="shared" si="188"/>
        <v>44013</v>
      </c>
      <c r="AB1310" s="1937">
        <f t="shared" si="188"/>
        <v>44166</v>
      </c>
      <c r="AC1310" s="1937">
        <f t="shared" si="188"/>
        <v>44531</v>
      </c>
      <c r="AD1310" s="1937" t="str">
        <f t="shared" si="188"/>
        <v>-</v>
      </c>
      <c r="AE1310" s="1937" t="str">
        <f t="shared" si="188"/>
        <v>-</v>
      </c>
      <c r="AF1310" s="1937" t="str">
        <f t="shared" si="188"/>
        <v>-</v>
      </c>
      <c r="AG1310" s="1937" t="str">
        <f t="shared" si="188"/>
        <v>-</v>
      </c>
      <c r="AK1310" s="883"/>
    </row>
    <row r="1311" spans="1:57" hidden="1" outlineLevel="1" x14ac:dyDescent="0.25">
      <c r="D1311" s="4174" t="s">
        <v>2223</v>
      </c>
      <c r="E1311" s="981" t="s">
        <v>2224</v>
      </c>
      <c r="F1311" s="1160">
        <f>SUMPRODUCT($F$1315:$F$1320, $F$1321:$F$1326)/SUM($F$1321:$F$1326)</f>
        <v>985.16038920276219</v>
      </c>
      <c r="G1311" s="982"/>
      <c r="H1311" s="1159"/>
      <c r="I1311" s="2681" t="s">
        <v>2225</v>
      </c>
      <c r="J1311" s="2682"/>
      <c r="K1311" s="2682"/>
      <c r="L1311" s="2682"/>
      <c r="M1311" s="2682"/>
      <c r="N1311" s="2682"/>
      <c r="O1311" s="2682"/>
      <c r="P1311" s="2682"/>
      <c r="Q1311" s="2682"/>
      <c r="R1311" s="2683"/>
      <c r="V1311" s="4174" t="str">
        <f>D1311</f>
        <v>kWhBase</v>
      </c>
      <c r="W1311" s="1160">
        <v>985.16038920276219</v>
      </c>
      <c r="X1311" s="1160">
        <f>SUMPRODUCT($F$1315:$F$1320, $F$1321:$F$1326)/SUM($F$1321:$F$1326)</f>
        <v>985.16038920276219</v>
      </c>
      <c r="Y1311" s="1160">
        <v>985.16038920276219</v>
      </c>
      <c r="Z1311" s="1160">
        <v>985.16038920276219</v>
      </c>
      <c r="AA1311" s="1160">
        <v>985.16038920276219</v>
      </c>
      <c r="AB1311" s="1160">
        <v>985.16038920276219</v>
      </c>
      <c r="AC1311" s="1160">
        <v>985.16038920276219</v>
      </c>
      <c r="AD1311" s="1161"/>
      <c r="AE1311" s="1161"/>
      <c r="AF1311" s="1161"/>
      <c r="AG1311" s="1161"/>
      <c r="AK1311" s="883"/>
    </row>
    <row r="1312" spans="1:57" hidden="1" outlineLevel="1" x14ac:dyDescent="0.25">
      <c r="D1312" s="4175"/>
      <c r="E1312" s="981" t="s">
        <v>2226</v>
      </c>
      <c r="F1312" s="1160">
        <f>SUMPRODUCT($F$1318:$F$1320, $F$1324:$F$1326)/SUM($F$1324:$F$1326)</f>
        <v>1690.4148148148149</v>
      </c>
      <c r="G1312" s="982"/>
      <c r="H1312" s="1159"/>
      <c r="I1312" s="3229"/>
      <c r="J1312" s="3230"/>
      <c r="K1312" s="3230"/>
      <c r="L1312" s="3230"/>
      <c r="M1312" s="3230"/>
      <c r="N1312" s="3230"/>
      <c r="O1312" s="3230"/>
      <c r="P1312" s="3230"/>
      <c r="Q1312" s="3230"/>
      <c r="R1312" s="3190"/>
      <c r="V1312" s="4176"/>
      <c r="W1312" s="1160"/>
      <c r="X1312" s="1160"/>
      <c r="Y1312" s="560">
        <v>1690.4148148148149</v>
      </c>
      <c r="Z1312" s="1160">
        <v>1690.4148148148149</v>
      </c>
      <c r="AA1312" s="1160">
        <v>1690.4148148148149</v>
      </c>
      <c r="AB1312" s="1160">
        <v>1690.4148148148149</v>
      </c>
      <c r="AC1312" s="1160">
        <v>1690.4148148148149</v>
      </c>
      <c r="AD1312" s="1161"/>
      <c r="AE1312" s="1161"/>
      <c r="AF1312" s="1161"/>
      <c r="AG1312" s="1161"/>
      <c r="AK1312" s="883"/>
    </row>
    <row r="1313" spans="2:37" ht="18" hidden="1" outlineLevel="1" x14ac:dyDescent="0.35">
      <c r="D1313" s="1008" t="s">
        <v>2227</v>
      </c>
      <c r="E1313" s="981" t="s">
        <v>2228</v>
      </c>
      <c r="F1313" s="1160">
        <f>$F$1315</f>
        <v>467.22222222222223</v>
      </c>
      <c r="G1313" s="982"/>
      <c r="H1313" s="1159"/>
      <c r="I1313" s="4177" t="s">
        <v>2229</v>
      </c>
      <c r="J1313" s="3187" t="s">
        <v>2230</v>
      </c>
      <c r="K1313" s="4178" t="s">
        <v>2231</v>
      </c>
      <c r="L1313" s="4178"/>
      <c r="M1313" s="4178"/>
      <c r="N1313" s="4179" t="s">
        <v>2232</v>
      </c>
      <c r="O1313" s="4180"/>
      <c r="P1313" s="4180"/>
      <c r="Q1313" s="4181"/>
      <c r="R1313" s="4182"/>
      <c r="V1313" s="1008" t="str">
        <f t="shared" ref="V1313:V1327" si="189">D1313</f>
        <v>kWhnew</v>
      </c>
      <c r="W1313" s="1160">
        <v>467.22222222222223</v>
      </c>
      <c r="X1313" s="1160">
        <f>$F$1315</f>
        <v>467.22222222222223</v>
      </c>
      <c r="Y1313" s="1160">
        <v>467.22222222222223</v>
      </c>
      <c r="Z1313" s="1160">
        <v>467.22222222222223</v>
      </c>
      <c r="AA1313" s="1160">
        <v>467.22222222222223</v>
      </c>
      <c r="AB1313" s="1160">
        <v>467.22222222222223</v>
      </c>
      <c r="AC1313" s="1160">
        <v>467.22222222222223</v>
      </c>
      <c r="AD1313" s="1161"/>
      <c r="AE1313" s="1161"/>
      <c r="AF1313" s="1161"/>
      <c r="AG1313" s="1161"/>
      <c r="AJ1313" s="883"/>
    </row>
    <row r="1314" spans="2:37" ht="30" hidden="1" outlineLevel="1" x14ac:dyDescent="0.25">
      <c r="D1314" s="1008" t="s">
        <v>2233</v>
      </c>
      <c r="E1314" s="981" t="s">
        <v>2234</v>
      </c>
      <c r="F1314" s="323">
        <v>0.1</v>
      </c>
      <c r="G1314" s="3182" t="s">
        <v>1011</v>
      </c>
      <c r="H1314" s="1159"/>
      <c r="I1314" s="4177"/>
      <c r="J1314" s="3187" t="s">
        <v>2235</v>
      </c>
      <c r="K1314" s="3187" t="s">
        <v>2236</v>
      </c>
      <c r="L1314" s="3187" t="s">
        <v>2237</v>
      </c>
      <c r="M1314" s="3187" t="s">
        <v>2235</v>
      </c>
      <c r="N1314" s="3187" t="s">
        <v>2236</v>
      </c>
      <c r="O1314" s="3187" t="s">
        <v>2237</v>
      </c>
      <c r="P1314" s="3187" t="s">
        <v>2235</v>
      </c>
      <c r="Q1314" s="3187" t="s">
        <v>2238</v>
      </c>
      <c r="R1314" s="3187" t="s">
        <v>2239</v>
      </c>
      <c r="V1314" s="1008" t="str">
        <f t="shared" si="189"/>
        <v>% Savings</v>
      </c>
      <c r="W1314" s="323">
        <v>0.1</v>
      </c>
      <c r="X1314" s="323">
        <v>0.1</v>
      </c>
      <c r="Y1314" s="323">
        <v>0.1</v>
      </c>
      <c r="Z1314" s="323">
        <v>0.1</v>
      </c>
      <c r="AA1314" s="323">
        <v>0.1</v>
      </c>
      <c r="AB1314" s="323">
        <v>0.1</v>
      </c>
      <c r="AC1314" s="323">
        <v>0.1</v>
      </c>
      <c r="AD1314" s="1162"/>
      <c r="AE1314" s="1162"/>
      <c r="AF1314" s="1162"/>
      <c r="AG1314" s="1162"/>
      <c r="AJ1314" s="883"/>
    </row>
    <row r="1315" spans="2:37" ht="18" hidden="1" outlineLevel="1" x14ac:dyDescent="0.35">
      <c r="D1315" s="1008" t="s">
        <v>2240</v>
      </c>
      <c r="E1315" s="1008" t="s">
        <v>2241</v>
      </c>
      <c r="F1315" s="1160">
        <f>AVERAGE($J$1315:$R$1315)</f>
        <v>467.22222222222223</v>
      </c>
      <c r="G1315" s="3182" t="s">
        <v>1011</v>
      </c>
      <c r="H1315" s="1159"/>
      <c r="I1315" s="1735" t="s">
        <v>2242</v>
      </c>
      <c r="J1315" s="1163">
        <v>483</v>
      </c>
      <c r="K1315" s="1163">
        <v>592</v>
      </c>
      <c r="L1315" s="1163">
        <v>592</v>
      </c>
      <c r="M1315" s="1163">
        <v>592</v>
      </c>
      <c r="N1315" s="1163">
        <v>374</v>
      </c>
      <c r="O1315" s="1163">
        <v>374</v>
      </c>
      <c r="P1315" s="1163">
        <v>374</v>
      </c>
      <c r="Q1315" s="1163">
        <v>412</v>
      </c>
      <c r="R1315" s="1163">
        <v>412</v>
      </c>
      <c r="V1315" s="1008" t="str">
        <f t="shared" si="189"/>
        <v>kWh2011-2015</v>
      </c>
      <c r="W1315" s="1160">
        <v>467.22222222222223</v>
      </c>
      <c r="X1315" s="1160">
        <f>AVERAGE($J$1315:$R$1315)</f>
        <v>467.22222222222223</v>
      </c>
      <c r="Y1315" s="1160">
        <v>467.22222222222223</v>
      </c>
      <c r="Z1315" s="1160">
        <v>467.22222222222223</v>
      </c>
      <c r="AA1315" s="1160">
        <v>467.22222222222223</v>
      </c>
      <c r="AB1315" s="1160">
        <v>467.22222222222223</v>
      </c>
      <c r="AC1315" s="1160">
        <v>467.22222222222223</v>
      </c>
      <c r="AD1315" s="1161"/>
      <c r="AE1315" s="1161"/>
      <c r="AF1315" s="1161"/>
      <c r="AG1315" s="1161"/>
      <c r="AJ1315" s="883"/>
    </row>
    <row r="1316" spans="2:37" ht="18" hidden="1" outlineLevel="1" x14ac:dyDescent="0.35">
      <c r="D1316" s="1008" t="s">
        <v>2243</v>
      </c>
      <c r="E1316" s="1008" t="s">
        <v>2244</v>
      </c>
      <c r="F1316" s="1160">
        <f>AVERAGE($J$1316:$R$1316)</f>
        <v>651</v>
      </c>
      <c r="G1316" s="3182" t="s">
        <v>1011</v>
      </c>
      <c r="H1316" s="1159"/>
      <c r="I1316" s="1735" t="s">
        <v>2245</v>
      </c>
      <c r="J1316" s="1163">
        <v>724</v>
      </c>
      <c r="K1316" s="1163">
        <v>747</v>
      </c>
      <c r="L1316" s="1163">
        <v>747</v>
      </c>
      <c r="M1316" s="1163">
        <v>747</v>
      </c>
      <c r="N1316" s="1163">
        <v>556</v>
      </c>
      <c r="O1316" s="1163">
        <v>556</v>
      </c>
      <c r="P1316" s="1163">
        <v>556</v>
      </c>
      <c r="Q1316" s="1163">
        <v>613</v>
      </c>
      <c r="R1316" s="1163">
        <v>613</v>
      </c>
      <c r="V1316" s="1008" t="str">
        <f t="shared" si="189"/>
        <v>kWh2001(after July)-2010</v>
      </c>
      <c r="W1316" s="1160">
        <v>651</v>
      </c>
      <c r="X1316" s="1160">
        <f>AVERAGE($J$1316:$R$1316)</f>
        <v>651</v>
      </c>
      <c r="Y1316" s="1160">
        <v>651</v>
      </c>
      <c r="Z1316" s="1160">
        <v>651</v>
      </c>
      <c r="AA1316" s="1160">
        <v>651</v>
      </c>
      <c r="AB1316" s="1160">
        <v>651</v>
      </c>
      <c r="AC1316" s="1160">
        <v>651</v>
      </c>
      <c r="AD1316" s="1161"/>
      <c r="AE1316" s="1161"/>
      <c r="AF1316" s="1161"/>
      <c r="AG1316" s="1161"/>
      <c r="AJ1316" s="883"/>
    </row>
    <row r="1317" spans="2:37" ht="36" hidden="1" outlineLevel="1" x14ac:dyDescent="0.35">
      <c r="D1317" s="1008" t="s">
        <v>2246</v>
      </c>
      <c r="E1317" s="1008" t="s">
        <v>2247</v>
      </c>
      <c r="F1317" s="1160">
        <f>AVERAGE($J$1317:$R$1317)</f>
        <v>987.33333333333337</v>
      </c>
      <c r="G1317" s="3182" t="s">
        <v>1011</v>
      </c>
      <c r="H1317" s="1159"/>
      <c r="I1317" s="1735" t="s">
        <v>2248</v>
      </c>
      <c r="J1317" s="1163">
        <v>962</v>
      </c>
      <c r="K1317" s="1163">
        <v>1139</v>
      </c>
      <c r="L1317" s="1163">
        <v>1139</v>
      </c>
      <c r="M1317" s="1163">
        <v>1139</v>
      </c>
      <c r="N1317" s="1163">
        <v>861</v>
      </c>
      <c r="O1317" s="1163">
        <v>861</v>
      </c>
      <c r="P1317" s="1163">
        <v>861</v>
      </c>
      <c r="Q1317" s="1163">
        <v>962</v>
      </c>
      <c r="R1317" s="1163">
        <v>962</v>
      </c>
      <c r="V1317" s="1008" t="str">
        <f t="shared" si="189"/>
        <v>kWh1993-2001(before June)</v>
      </c>
      <c r="W1317" s="1160">
        <v>987.33333333333337</v>
      </c>
      <c r="X1317" s="1160">
        <f>AVERAGE($J$1317:$R$1317)</f>
        <v>987.33333333333337</v>
      </c>
      <c r="Y1317" s="1160">
        <v>987.33333333333337</v>
      </c>
      <c r="Z1317" s="1160">
        <v>987.33333333333337</v>
      </c>
      <c r="AA1317" s="1160">
        <v>987.33333333333337</v>
      </c>
      <c r="AB1317" s="1160">
        <v>987.33333333333337</v>
      </c>
      <c r="AC1317" s="1160">
        <v>987.33333333333337</v>
      </c>
      <c r="AD1317" s="1161"/>
      <c r="AE1317" s="1161"/>
      <c r="AF1317" s="1161"/>
      <c r="AG1317" s="1161"/>
      <c r="AJ1317" s="883"/>
    </row>
    <row r="1318" spans="2:37" ht="18" hidden="1" outlineLevel="1" x14ac:dyDescent="0.35">
      <c r="D1318" s="1008" t="s">
        <v>2249</v>
      </c>
      <c r="E1318" s="1008" t="s">
        <v>2250</v>
      </c>
      <c r="F1318" s="1160">
        <f>AVERAGE($J$1318:$R$1318)</f>
        <v>1450</v>
      </c>
      <c r="G1318" s="3182" t="s">
        <v>1011</v>
      </c>
      <c r="H1318" s="123"/>
      <c r="I1318" s="1735" t="s">
        <v>2251</v>
      </c>
      <c r="J1318" s="1164">
        <v>1519</v>
      </c>
      <c r="K1318" s="1164">
        <v>1617</v>
      </c>
      <c r="L1318" s="1164">
        <v>1617</v>
      </c>
      <c r="M1318" s="1164">
        <v>1617</v>
      </c>
      <c r="N1318" s="1164">
        <v>1272</v>
      </c>
      <c r="O1318" s="1164">
        <v>1272</v>
      </c>
      <c r="P1318" s="1164">
        <v>1272</v>
      </c>
      <c r="Q1318" s="1164">
        <v>1432</v>
      </c>
      <c r="R1318" s="1164">
        <v>1432</v>
      </c>
      <c r="V1318" s="1008" t="str">
        <f t="shared" si="189"/>
        <v>kWh1990-1992</v>
      </c>
      <c r="W1318" s="1160">
        <v>1450</v>
      </c>
      <c r="X1318" s="1160">
        <f>AVERAGE($J$1318:$R$1318)</f>
        <v>1450</v>
      </c>
      <c r="Y1318" s="1160">
        <v>1450</v>
      </c>
      <c r="Z1318" s="1160">
        <v>1450</v>
      </c>
      <c r="AA1318" s="1160">
        <v>1450</v>
      </c>
      <c r="AB1318" s="1160">
        <v>1450</v>
      </c>
      <c r="AC1318" s="1160">
        <v>1450</v>
      </c>
      <c r="AD1318" s="1161"/>
      <c r="AE1318" s="1161"/>
      <c r="AF1318" s="1161"/>
      <c r="AG1318" s="1161"/>
      <c r="AJ1318" s="883"/>
    </row>
    <row r="1319" spans="2:37" ht="18" hidden="1" outlineLevel="1" x14ac:dyDescent="0.35">
      <c r="D1319" s="1008" t="s">
        <v>2252</v>
      </c>
      <c r="E1319" s="1008" t="s">
        <v>2253</v>
      </c>
      <c r="F1319" s="1160">
        <f>AVERAGE($J$1319:$R$1319)</f>
        <v>1900.7777777777778</v>
      </c>
      <c r="G1319" s="3182" t="s">
        <v>1011</v>
      </c>
      <c r="H1319" s="1159"/>
      <c r="I1319" s="1735" t="s">
        <v>2254</v>
      </c>
      <c r="J1319" s="1163">
        <v>1992</v>
      </c>
      <c r="K1319" s="1163">
        <v>2119</v>
      </c>
      <c r="L1319" s="1163">
        <v>2119</v>
      </c>
      <c r="M1319" s="1163">
        <v>2119</v>
      </c>
      <c r="N1319" s="1163">
        <v>1668</v>
      </c>
      <c r="O1319" s="1163">
        <v>1668</v>
      </c>
      <c r="P1319" s="1163">
        <v>1668</v>
      </c>
      <c r="Q1319" s="1163">
        <v>1877</v>
      </c>
      <c r="R1319" s="1163">
        <v>1877</v>
      </c>
      <c r="V1319" s="1008" t="str">
        <f t="shared" si="189"/>
        <v>kWh1980-1989</v>
      </c>
      <c r="W1319" s="1160">
        <v>1900.7777777777778</v>
      </c>
      <c r="X1319" s="1160">
        <f>AVERAGE($J$1319:$R$1319)</f>
        <v>1900.7777777777778</v>
      </c>
      <c r="Y1319" s="1160">
        <v>1900.7777777777778</v>
      </c>
      <c r="Z1319" s="1160">
        <v>1900.7777777777778</v>
      </c>
      <c r="AA1319" s="1160">
        <v>1900.7777777777778</v>
      </c>
      <c r="AB1319" s="1160">
        <v>1900.7777777777778</v>
      </c>
      <c r="AC1319" s="1160">
        <v>1900.7777777777778</v>
      </c>
      <c r="AD1319" s="1161"/>
      <c r="AE1319" s="1161"/>
      <c r="AF1319" s="1161"/>
      <c r="AG1319" s="1161"/>
      <c r="AJ1319" s="883"/>
    </row>
    <row r="1320" spans="2:37" ht="18" hidden="1" outlineLevel="1" x14ac:dyDescent="0.35">
      <c r="D1320" s="1008" t="s">
        <v>2255</v>
      </c>
      <c r="E1320" s="1008" t="s">
        <v>2256</v>
      </c>
      <c r="F1320" s="1160">
        <f>AVERAGE($J$1320:$R$1320)</f>
        <v>2444.125</v>
      </c>
      <c r="G1320" s="3182" t="s">
        <v>1011</v>
      </c>
      <c r="H1320" s="123"/>
      <c r="I1320" s="1735" t="s">
        <v>2257</v>
      </c>
      <c r="J1320" s="1164">
        <v>2523</v>
      </c>
      <c r="K1320" s="1164">
        <v>2684</v>
      </c>
      <c r="L1320" s="1164">
        <v>2684</v>
      </c>
      <c r="M1320" s="1164">
        <v>2684</v>
      </c>
      <c r="N1320" s="1164"/>
      <c r="O1320" s="1164">
        <v>2112</v>
      </c>
      <c r="P1320" s="1164">
        <v>2112</v>
      </c>
      <c r="Q1320" s="1164">
        <v>2377</v>
      </c>
      <c r="R1320" s="1164">
        <v>2377</v>
      </c>
      <c r="V1320" s="1008" t="str">
        <f t="shared" si="189"/>
        <v>kWhbefore 1980</v>
      </c>
      <c r="W1320" s="1160">
        <v>2444.125</v>
      </c>
      <c r="X1320" s="1160">
        <f>AVERAGE($J$1320:$R$1320)</f>
        <v>2444.125</v>
      </c>
      <c r="Y1320" s="1160">
        <v>2444.125</v>
      </c>
      <c r="Z1320" s="1160">
        <v>2444.125</v>
      </c>
      <c r="AA1320" s="1160">
        <v>2444.125</v>
      </c>
      <c r="AB1320" s="1160">
        <v>2444.125</v>
      </c>
      <c r="AC1320" s="1160">
        <v>2444.125</v>
      </c>
      <c r="AD1320" s="1161"/>
      <c r="AE1320" s="1161"/>
      <c r="AF1320" s="1161"/>
      <c r="AG1320" s="1161"/>
      <c r="AK1320" s="883"/>
    </row>
    <row r="1321" spans="2:37" ht="33" hidden="1" outlineLevel="1" x14ac:dyDescent="0.35">
      <c r="D1321" s="1008" t="s">
        <v>2258</v>
      </c>
      <c r="E1321" s="1008" t="s">
        <v>2259</v>
      </c>
      <c r="F1321" s="1165">
        <v>0</v>
      </c>
      <c r="G1321" s="3182" t="s">
        <v>1011</v>
      </c>
      <c r="H1321" s="1159"/>
      <c r="I1321" s="1159"/>
      <c r="J1321" s="1159"/>
      <c r="K1321" s="1159"/>
      <c r="L1321" s="1159"/>
      <c r="M1321" s="1159"/>
      <c r="N1321" s="1159"/>
      <c r="O1321" s="1159"/>
      <c r="P1321" s="1159"/>
      <c r="Q1321" s="1159"/>
      <c r="R1321" s="1159"/>
      <c r="S1321" s="1159"/>
      <c r="V1321" s="1008" t="str">
        <f t="shared" si="189"/>
        <v>Number of Units2011-2015</v>
      </c>
      <c r="W1321" s="1165">
        <v>0</v>
      </c>
      <c r="X1321" s="1165">
        <v>0</v>
      </c>
      <c r="Y1321" s="1165">
        <v>0</v>
      </c>
      <c r="Z1321" s="1165">
        <v>0</v>
      </c>
      <c r="AA1321" s="1165">
        <v>0</v>
      </c>
      <c r="AB1321" s="1165">
        <v>0</v>
      </c>
      <c r="AC1321" s="1165">
        <v>0</v>
      </c>
      <c r="AD1321" s="1166"/>
      <c r="AE1321" s="1166"/>
      <c r="AF1321" s="1166"/>
      <c r="AG1321" s="1166"/>
      <c r="AK1321" s="883"/>
    </row>
    <row r="1322" spans="2:37" ht="33" hidden="1" outlineLevel="1" x14ac:dyDescent="0.35">
      <c r="D1322" s="1008" t="s">
        <v>2260</v>
      </c>
      <c r="E1322" s="1008" t="s">
        <v>2261</v>
      </c>
      <c r="F1322" s="1165">
        <v>65</v>
      </c>
      <c r="G1322" s="3182" t="s">
        <v>1011</v>
      </c>
      <c r="H1322" s="1159"/>
      <c r="I1322" s="1159"/>
      <c r="J1322" s="1159"/>
      <c r="K1322" s="1159"/>
      <c r="L1322" s="1159"/>
      <c r="M1322" s="1159"/>
      <c r="N1322" s="1159"/>
      <c r="O1322" s="1159"/>
      <c r="P1322" s="1159"/>
      <c r="Q1322" s="1159"/>
      <c r="R1322" s="1159"/>
      <c r="S1322" s="1159"/>
      <c r="V1322" s="1008" t="str">
        <f t="shared" si="189"/>
        <v>Number of Units2001(after July)-2010</v>
      </c>
      <c r="W1322" s="1165">
        <v>65</v>
      </c>
      <c r="X1322" s="1165">
        <v>65</v>
      </c>
      <c r="Y1322" s="1165">
        <v>65</v>
      </c>
      <c r="Z1322" s="1165">
        <v>65</v>
      </c>
      <c r="AA1322" s="1165">
        <v>65</v>
      </c>
      <c r="AB1322" s="1165">
        <v>65</v>
      </c>
      <c r="AC1322" s="1165">
        <v>65</v>
      </c>
      <c r="AD1322" s="1166"/>
      <c r="AE1322" s="1166"/>
      <c r="AF1322" s="1166"/>
      <c r="AG1322" s="1166"/>
      <c r="AK1322" s="883"/>
    </row>
    <row r="1323" spans="2:37" ht="51" hidden="1" outlineLevel="1" x14ac:dyDescent="0.35">
      <c r="D1323" s="1008" t="s">
        <v>2262</v>
      </c>
      <c r="E1323" s="1008" t="s">
        <v>2263</v>
      </c>
      <c r="F1323" s="1165">
        <v>259</v>
      </c>
      <c r="G1323" s="3182" t="s">
        <v>1011</v>
      </c>
      <c r="H1323" s="1159"/>
      <c r="I1323" s="1159"/>
      <c r="J1323" s="1159"/>
      <c r="K1323" s="1159"/>
      <c r="L1323" s="1159"/>
      <c r="M1323" s="1159"/>
      <c r="N1323" s="1159"/>
      <c r="O1323" s="1159"/>
      <c r="P1323" s="1159"/>
      <c r="Q1323" s="1159"/>
      <c r="R1323" s="1159"/>
      <c r="S1323" s="1159"/>
      <c r="V1323" s="1008" t="str">
        <f t="shared" si="189"/>
        <v>Number of Units1993-2001(before June)</v>
      </c>
      <c r="W1323" s="1165">
        <v>259</v>
      </c>
      <c r="X1323" s="1165">
        <v>259</v>
      </c>
      <c r="Y1323" s="1165">
        <v>259</v>
      </c>
      <c r="Z1323" s="1165">
        <v>259</v>
      </c>
      <c r="AA1323" s="1165">
        <v>259</v>
      </c>
      <c r="AB1323" s="1165">
        <v>259</v>
      </c>
      <c r="AC1323" s="1165">
        <v>259</v>
      </c>
      <c r="AD1323" s="1166"/>
      <c r="AE1323" s="1166"/>
      <c r="AF1323" s="1166"/>
      <c r="AG1323" s="1166"/>
      <c r="AK1323" s="883"/>
    </row>
    <row r="1324" spans="2:37" ht="33" hidden="1" outlineLevel="1" x14ac:dyDescent="0.35">
      <c r="D1324" s="1008" t="s">
        <v>2264</v>
      </c>
      <c r="E1324" s="1008" t="s">
        <v>2265</v>
      </c>
      <c r="F1324" s="1165">
        <v>14</v>
      </c>
      <c r="G1324" s="3182" t="s">
        <v>1011</v>
      </c>
      <c r="H1324" s="1159"/>
      <c r="I1324" s="1159"/>
      <c r="J1324" s="1159"/>
      <c r="K1324" s="1159"/>
      <c r="L1324" s="1159"/>
      <c r="M1324" s="1159"/>
      <c r="N1324" s="1159"/>
      <c r="O1324" s="1159"/>
      <c r="P1324" s="1159"/>
      <c r="Q1324" s="1159"/>
      <c r="R1324" s="1159"/>
      <c r="S1324" s="1159"/>
      <c r="V1324" s="1008" t="str">
        <f t="shared" si="189"/>
        <v>Number of Units1990-1992</v>
      </c>
      <c r="W1324" s="1165">
        <v>14</v>
      </c>
      <c r="X1324" s="1165">
        <v>14</v>
      </c>
      <c r="Y1324" s="1165">
        <v>14</v>
      </c>
      <c r="Z1324" s="1165">
        <v>14</v>
      </c>
      <c r="AA1324" s="1165">
        <v>14</v>
      </c>
      <c r="AB1324" s="1165">
        <v>14</v>
      </c>
      <c r="AC1324" s="1165">
        <v>14</v>
      </c>
      <c r="AD1324" s="1166"/>
      <c r="AE1324" s="1166"/>
      <c r="AF1324" s="1166"/>
      <c r="AG1324" s="1166"/>
      <c r="AK1324" s="883"/>
    </row>
    <row r="1325" spans="2:37" ht="33" hidden="1" outlineLevel="1" x14ac:dyDescent="0.35">
      <c r="D1325" s="1008" t="s">
        <v>2266</v>
      </c>
      <c r="E1325" s="1008" t="s">
        <v>2267</v>
      </c>
      <c r="F1325" s="1165">
        <v>16</v>
      </c>
      <c r="G1325" s="3182" t="s">
        <v>1011</v>
      </c>
      <c r="H1325" s="1159"/>
      <c r="I1325" s="1159"/>
      <c r="J1325" s="1159"/>
      <c r="K1325" s="1159"/>
      <c r="L1325" s="1159"/>
      <c r="M1325" s="1159"/>
      <c r="N1325" s="1159"/>
      <c r="O1325" s="1159"/>
      <c r="P1325" s="1159"/>
      <c r="Q1325" s="1159"/>
      <c r="R1325" s="1159"/>
      <c r="S1325" s="1159"/>
      <c r="V1325" s="1008" t="str">
        <f t="shared" si="189"/>
        <v>Number of Units1980-1989</v>
      </c>
      <c r="W1325" s="1165">
        <v>16</v>
      </c>
      <c r="X1325" s="1165">
        <v>16</v>
      </c>
      <c r="Y1325" s="1165">
        <v>16</v>
      </c>
      <c r="Z1325" s="1165">
        <v>16</v>
      </c>
      <c r="AA1325" s="1165">
        <v>16</v>
      </c>
      <c r="AB1325" s="1165">
        <v>16</v>
      </c>
      <c r="AC1325" s="1165">
        <v>16</v>
      </c>
      <c r="AD1325" s="1166"/>
      <c r="AE1325" s="1166"/>
      <c r="AF1325" s="1166"/>
      <c r="AG1325" s="1166"/>
      <c r="AK1325" s="883"/>
    </row>
    <row r="1326" spans="2:37" ht="33" hidden="1" outlineLevel="1" x14ac:dyDescent="0.35">
      <c r="D1326" s="1008" t="s">
        <v>2268</v>
      </c>
      <c r="E1326" s="1008" t="s">
        <v>2269</v>
      </c>
      <c r="F1326" s="1165">
        <v>0</v>
      </c>
      <c r="G1326" s="3182" t="s">
        <v>1011</v>
      </c>
      <c r="H1326" s="1159"/>
      <c r="I1326" s="1159"/>
      <c r="J1326" s="1159"/>
      <c r="K1326" s="1159"/>
      <c r="L1326" s="1159"/>
      <c r="M1326" s="1159"/>
      <c r="N1326" s="1159"/>
      <c r="O1326" s="1159"/>
      <c r="P1326" s="1159"/>
      <c r="Q1326" s="1159"/>
      <c r="R1326" s="1159"/>
      <c r="S1326" s="1159"/>
      <c r="V1326" s="1008" t="str">
        <f t="shared" si="189"/>
        <v>Number of Unitsbefore 1980</v>
      </c>
      <c r="W1326" s="1165">
        <v>0</v>
      </c>
      <c r="X1326" s="1165">
        <v>0</v>
      </c>
      <c r="Y1326" s="1165">
        <v>0</v>
      </c>
      <c r="Z1326" s="1165">
        <v>0</v>
      </c>
      <c r="AA1326" s="1165">
        <v>0</v>
      </c>
      <c r="AB1326" s="1165">
        <v>0</v>
      </c>
      <c r="AC1326" s="1165">
        <v>0</v>
      </c>
      <c r="AD1326" s="1166"/>
      <c r="AE1326" s="1166"/>
      <c r="AF1326" s="1166"/>
      <c r="AG1326" s="1166"/>
      <c r="AK1326" s="883"/>
    </row>
    <row r="1327" spans="2:37" hidden="1" outlineLevel="1" x14ac:dyDescent="0.25">
      <c r="B1327" s="1233"/>
      <c r="C1327" s="3159"/>
      <c r="D1327" s="4156" t="s">
        <v>181</v>
      </c>
      <c r="E1327" s="3192" t="str">
        <f>E1300</f>
        <v>Refrigerator - early replacement ER1</v>
      </c>
      <c r="F1327" s="1165">
        <v>6</v>
      </c>
      <c r="G1327" s="3182"/>
      <c r="H1327" s="1159"/>
      <c r="I1327" s="1159"/>
      <c r="V1327" s="4156" t="str">
        <f t="shared" si="189"/>
        <v>EUL</v>
      </c>
      <c r="W1327" s="1165">
        <v>6</v>
      </c>
      <c r="X1327" s="1165">
        <v>6</v>
      </c>
      <c r="Y1327" s="1165">
        <v>6</v>
      </c>
      <c r="Z1327" s="1165">
        <v>6</v>
      </c>
      <c r="AA1327" s="1165">
        <v>6</v>
      </c>
      <c r="AB1327" s="1165">
        <v>6</v>
      </c>
      <c r="AC1327" s="1165">
        <v>6</v>
      </c>
      <c r="AD1327" s="1166"/>
      <c r="AE1327" s="1166"/>
      <c r="AF1327" s="1166"/>
      <c r="AG1327" s="1166"/>
      <c r="AK1327" s="883"/>
    </row>
    <row r="1328" spans="2:37" hidden="1" outlineLevel="1" x14ac:dyDescent="0.25">
      <c r="B1328" s="1233"/>
      <c r="C1328" s="3159"/>
      <c r="D1328" s="4157"/>
      <c r="E1328" s="3192" t="str">
        <f>E1301</f>
        <v>Refrigerator - early replacement ER2</v>
      </c>
      <c r="F1328" s="1165">
        <v>11</v>
      </c>
      <c r="G1328" s="3182"/>
      <c r="H1328" s="1159"/>
      <c r="I1328" s="1159"/>
      <c r="V1328" s="4157"/>
      <c r="W1328" s="1165">
        <v>11</v>
      </c>
      <c r="X1328" s="1165">
        <v>11</v>
      </c>
      <c r="Y1328" s="1165">
        <v>11</v>
      </c>
      <c r="Z1328" s="1165">
        <v>11</v>
      </c>
      <c r="AA1328" s="1165">
        <v>11</v>
      </c>
      <c r="AB1328" s="1165">
        <v>11</v>
      </c>
      <c r="AC1328" s="1165">
        <v>11</v>
      </c>
      <c r="AD1328" s="1166"/>
      <c r="AE1328" s="1166"/>
      <c r="AF1328" s="1166"/>
      <c r="AG1328" s="1166"/>
      <c r="AK1328" s="883"/>
    </row>
    <row r="1329" spans="1:57" hidden="1" outlineLevel="1" x14ac:dyDescent="0.25">
      <c r="B1329" s="1233"/>
      <c r="C1329" s="3159"/>
      <c r="D1329" s="3192" t="str">
        <f>D1228</f>
        <v>Inc. Cost</v>
      </c>
      <c r="E1329" s="3192" t="s">
        <v>2177</v>
      </c>
      <c r="F1329" s="519">
        <v>753</v>
      </c>
      <c r="G1329" s="3182"/>
      <c r="H1329" s="1159"/>
      <c r="I1329" s="1159"/>
      <c r="V1329" s="3192" t="str">
        <f>D1329</f>
        <v>Inc. Cost</v>
      </c>
      <c r="W1329" s="519">
        <v>753</v>
      </c>
      <c r="X1329" s="519">
        <v>753</v>
      </c>
      <c r="Y1329" s="519">
        <v>753</v>
      </c>
      <c r="Z1329" s="519">
        <v>753</v>
      </c>
      <c r="AA1329" s="519">
        <v>753</v>
      </c>
      <c r="AB1329" s="519">
        <v>753</v>
      </c>
      <c r="AC1329" s="519">
        <v>753</v>
      </c>
      <c r="AD1329" s="1167"/>
      <c r="AE1329" s="1167"/>
      <c r="AF1329" s="1167"/>
      <c r="AG1329" s="1167"/>
      <c r="AK1329" s="883"/>
    </row>
    <row r="1330" spans="1:57" collapsed="1" x14ac:dyDescent="0.25">
      <c r="X1330" s="249"/>
      <c r="Y1330" s="1500" t="s">
        <v>2270</v>
      </c>
      <c r="Z1330" s="430"/>
      <c r="AA1330" s="430"/>
      <c r="AB1330" s="430"/>
    </row>
    <row r="1332" spans="1:57" s="97" customFormat="1" x14ac:dyDescent="0.25">
      <c r="A1332" s="223"/>
      <c r="B1332" s="3582" t="s">
        <v>476</v>
      </c>
      <c r="C1332" s="3583"/>
      <c r="D1332" s="3583"/>
      <c r="E1332" s="3583"/>
      <c r="F1332" s="3583"/>
      <c r="G1332" s="3583"/>
      <c r="H1332" s="3583"/>
      <c r="I1332" s="3583"/>
      <c r="J1332" s="3583"/>
      <c r="K1332" s="3583"/>
      <c r="L1332" s="3583"/>
      <c r="M1332" s="3583"/>
      <c r="N1332" s="3583"/>
      <c r="O1332" s="3583"/>
      <c r="P1332" s="3583"/>
      <c r="Q1332" s="3583"/>
      <c r="R1332" s="3585"/>
      <c r="S1332" s="223"/>
      <c r="T1332" s="223"/>
      <c r="U1332" s="223"/>
      <c r="V1332" s="3077" t="str">
        <f>B1332</f>
        <v>Energy Star Room AC</v>
      </c>
      <c r="W1332" s="3078"/>
      <c r="X1332" s="3078"/>
      <c r="Y1332" s="3078"/>
      <c r="Z1332" s="3078"/>
      <c r="AA1332" s="3078"/>
      <c r="AB1332" s="3078"/>
      <c r="AC1332" s="3079"/>
      <c r="AD1332" s="3079"/>
      <c r="AE1332" s="3079"/>
      <c r="AF1332" s="3079"/>
      <c r="AG1332" s="3079"/>
      <c r="AH1332" s="3079"/>
      <c r="AI1332" s="3080"/>
      <c r="AU1332" s="164"/>
      <c r="BB1332" s="1002"/>
    </row>
    <row r="1333" spans="1:57" s="97" customFormat="1" x14ac:dyDescent="0.25">
      <c r="A1333" s="223"/>
      <c r="B1333" s="123"/>
      <c r="C1333" s="328"/>
      <c r="D1333" s="329"/>
      <c r="E1333" s="329"/>
      <c r="F1333" s="123"/>
      <c r="G1333" s="123"/>
      <c r="H1333" s="123"/>
      <c r="I1333" s="123"/>
      <c r="J1333" s="123"/>
      <c r="K1333" s="123"/>
      <c r="L1333" s="123"/>
      <c r="M1333" s="123"/>
      <c r="N1333" s="123"/>
      <c r="O1333" s="123"/>
      <c r="P1333" s="223"/>
      <c r="Q1333" s="223"/>
      <c r="R1333" s="223"/>
      <c r="S1333" s="223"/>
      <c r="T1333" s="223"/>
      <c r="U1333" s="223"/>
      <c r="Y1333" s="199"/>
      <c r="AU1333" s="164"/>
      <c r="BB1333" s="1002"/>
    </row>
    <row r="1334" spans="1:57" s="97" customFormat="1" ht="30" x14ac:dyDescent="0.25">
      <c r="A1334" s="223"/>
      <c r="B1334" s="1288"/>
      <c r="C1334" s="3161" t="s">
        <v>28</v>
      </c>
      <c r="D1334" s="3161" t="s">
        <v>175</v>
      </c>
      <c r="E1334" s="3161" t="s">
        <v>30</v>
      </c>
      <c r="F1334" s="3161" t="s">
        <v>31</v>
      </c>
      <c r="G1334" s="3161" t="s">
        <v>176</v>
      </c>
      <c r="H1334" s="3161" t="s">
        <v>177</v>
      </c>
      <c r="I1334" s="3161" t="s">
        <v>32</v>
      </c>
      <c r="J1334" s="3161" t="s">
        <v>181</v>
      </c>
      <c r="K1334" s="3161" t="s">
        <v>170</v>
      </c>
      <c r="L1334" s="3161" t="s">
        <v>44</v>
      </c>
      <c r="M1334" s="228"/>
      <c r="N1334" s="228"/>
      <c r="O1334" s="1288"/>
      <c r="P1334" s="223"/>
      <c r="Q1334" s="223"/>
      <c r="R1334" s="223"/>
      <c r="S1334" s="223"/>
      <c r="T1334" s="223"/>
      <c r="U1334" s="223"/>
      <c r="V1334" s="1936" t="s">
        <v>45</v>
      </c>
      <c r="W1334" s="1937">
        <v>43252</v>
      </c>
      <c r="X1334" s="1937">
        <f>$X$6</f>
        <v>43465</v>
      </c>
      <c r="Y1334" s="360">
        <f>$Y$6</f>
        <v>43800</v>
      </c>
      <c r="Z1334" s="1937">
        <f>$Z$6</f>
        <v>43862</v>
      </c>
      <c r="AA1334" s="1937">
        <f>$AA$6</f>
        <v>44013</v>
      </c>
      <c r="AB1334" s="1937">
        <f>$AB$6</f>
        <v>44166</v>
      </c>
      <c r="AC1334" s="1937">
        <f>$AC$6</f>
        <v>44531</v>
      </c>
      <c r="AD1334" s="1937" t="str">
        <f>$AD$6</f>
        <v>-</v>
      </c>
      <c r="AE1334" s="1937" t="str">
        <f>$AE$6</f>
        <v>-</v>
      </c>
      <c r="AF1334" s="1937" t="str">
        <f>$AF$6</f>
        <v>-</v>
      </c>
      <c r="AG1334" s="1937" t="str">
        <f>$AG$6</f>
        <v>-</v>
      </c>
      <c r="AU1334" s="164"/>
      <c r="BB1334" s="1938" t="str">
        <f>$BB$6</f>
        <v>TRC (2020)</v>
      </c>
      <c r="BC1334" s="1953" t="str">
        <f>$BC$6</f>
        <v>Benefit Lookup</v>
      </c>
      <c r="BD1334" s="665" t="str">
        <f>$BD$6</f>
        <v>Benefits (2019 $)</v>
      </c>
      <c r="BE1334" s="230" t="str">
        <f>$BE$6</f>
        <v>Incremental Cost (2019 $)</v>
      </c>
    </row>
    <row r="1335" spans="1:57" s="392" customFormat="1" x14ac:dyDescent="0.25">
      <c r="A1335" s="223"/>
      <c r="B1335" s="151"/>
      <c r="C1335" s="3258" t="s">
        <v>2271</v>
      </c>
      <c r="D1335" s="2695" t="s">
        <v>1577</v>
      </c>
      <c r="E1335" s="154" t="s">
        <v>2272</v>
      </c>
      <c r="F1335" s="2690">
        <f>ROUND(($H$1378*$H$1368*(1/$H$1376-1/$H$1375)/1000*$F$1380),2)</f>
        <v>190.46</v>
      </c>
      <c r="G1335" s="3226" t="s">
        <v>258</v>
      </c>
      <c r="H1335" s="155">
        <f>VLOOKUP(G1335,'CP FACTORS'!$A$3:$B$38, 2, FALSE)</f>
        <v>9.4741810000000004E-4</v>
      </c>
      <c r="I1335" s="1531">
        <f t="shared" ref="I1335:I1358" si="190">ROUND(F1335*H1335,6)</f>
        <v>0.18044499999999999</v>
      </c>
      <c r="J1335" s="325">
        <f t="shared" ref="J1335:J1358" si="191">$F$1381</f>
        <v>9</v>
      </c>
      <c r="K1335" s="1169">
        <f t="shared" ref="K1335:K1358" si="192">$F$1382</f>
        <v>20</v>
      </c>
      <c r="L1335" s="1736" t="s">
        <v>185</v>
      </c>
      <c r="M1335" s="223"/>
      <c r="N1335" s="1430"/>
      <c r="O1335" s="1135"/>
      <c r="P1335" s="223"/>
      <c r="Q1335" s="223"/>
      <c r="R1335" s="1431"/>
      <c r="S1335" s="223"/>
      <c r="T1335" s="223"/>
      <c r="U1335" s="223"/>
      <c r="V1335" s="395" t="s">
        <v>31</v>
      </c>
      <c r="W1335" s="396"/>
      <c r="X1335" s="1168">
        <v>898.77014282038067</v>
      </c>
      <c r="Y1335" s="243">
        <v>195.22</v>
      </c>
      <c r="Z1335" s="1168">
        <v>195.22</v>
      </c>
      <c r="AA1335" s="1168">
        <v>195.22</v>
      </c>
      <c r="AB1335" s="1168">
        <v>195.22</v>
      </c>
      <c r="AC1335" s="2690">
        <v>190.46</v>
      </c>
      <c r="AD1335" s="395"/>
      <c r="AE1335" s="395"/>
      <c r="AF1335" s="395"/>
      <c r="AG1335" s="395"/>
      <c r="AI1335" s="97"/>
      <c r="AJ1335" s="97"/>
      <c r="AK1335" s="97"/>
      <c r="AL1335" s="97"/>
      <c r="AM1335" s="97"/>
      <c r="AN1335" s="97"/>
      <c r="AO1335" s="97"/>
      <c r="AP1335" s="97"/>
      <c r="AQ1335" s="97"/>
      <c r="AR1335" s="97"/>
      <c r="AS1335" s="97"/>
      <c r="AU1335" s="164"/>
      <c r="BB1335" s="1945">
        <f t="shared" ref="BB1335:BB1358" si="193">(BD1335)/(BE1335)</f>
        <v>9.2390711846412827</v>
      </c>
      <c r="BC1335" s="3166" t="str">
        <f t="shared" ref="BC1335:BC1358" si="194">CONCATENATE(G1335," ",J1335," Year EUL")</f>
        <v>Cooling RES 9 Year EUL</v>
      </c>
      <c r="BD1335" s="111">
        <f>(INDEX('Avoided Cost Benefits'!$C$4:$C$857,MATCH(BC1335,'Avoided Cost Benefits'!$A$4:$A$857,0)))*F1335</f>
        <v>174.40436403286989</v>
      </c>
      <c r="BE1335" s="1946">
        <f>K1335/(1.0595^(2020-2019))</f>
        <v>18.876828692779611</v>
      </c>
    </row>
    <row r="1336" spans="1:57" s="392" customFormat="1" x14ac:dyDescent="0.25">
      <c r="A1336" s="223"/>
      <c r="B1336" s="151"/>
      <c r="C1336" s="3258" t="s">
        <v>2273</v>
      </c>
      <c r="D1336" s="2695" t="s">
        <v>1571</v>
      </c>
      <c r="E1336" s="154" t="s">
        <v>2274</v>
      </c>
      <c r="F1336" s="2690">
        <f>ROUND(($F$1378*$F$1368*(1/$F$1374-1/$F$1375)/1000*$F$1380),2)</f>
        <v>75.040000000000006</v>
      </c>
      <c r="G1336" s="3226" t="s">
        <v>258</v>
      </c>
      <c r="H1336" s="155">
        <f>VLOOKUP(G1336,'CP FACTORS'!$A$3:$B$38, 2, FALSE)</f>
        <v>9.4741810000000004E-4</v>
      </c>
      <c r="I1336" s="1531">
        <f t="shared" si="190"/>
        <v>7.1094000000000004E-2</v>
      </c>
      <c r="J1336" s="325">
        <f t="shared" si="191"/>
        <v>9</v>
      </c>
      <c r="K1336" s="1169">
        <f t="shared" si="192"/>
        <v>20</v>
      </c>
      <c r="L1336" s="1736" t="s">
        <v>185</v>
      </c>
      <c r="M1336" s="223"/>
      <c r="N1336" s="1430"/>
      <c r="O1336" s="1135"/>
      <c r="P1336" s="223"/>
      <c r="Q1336" s="223"/>
      <c r="R1336" s="1431"/>
      <c r="S1336" s="223"/>
      <c r="T1336" s="223"/>
      <c r="U1336" s="223"/>
      <c r="V1336" s="395" t="s">
        <v>31</v>
      </c>
      <c r="W1336" s="396">
        <v>40.971199412398086</v>
      </c>
      <c r="X1336" s="325">
        <v>49.727499015442788</v>
      </c>
      <c r="Y1336" s="98">
        <v>76.92</v>
      </c>
      <c r="Z1336" s="325">
        <v>76.92</v>
      </c>
      <c r="AA1336" s="325">
        <v>76.92</v>
      </c>
      <c r="AB1336" s="325">
        <v>76.92</v>
      </c>
      <c r="AC1336" s="2690">
        <v>75.040000000000006</v>
      </c>
      <c r="AD1336" s="395"/>
      <c r="AE1336" s="395"/>
      <c r="AF1336" s="395"/>
      <c r="AG1336" s="395"/>
      <c r="AI1336" s="97"/>
      <c r="AJ1336" s="97"/>
      <c r="AK1336" s="97"/>
      <c r="AL1336" s="97"/>
      <c r="AM1336" s="97"/>
      <c r="AN1336" s="97"/>
      <c r="AO1336" s="97"/>
      <c r="AP1336" s="97"/>
      <c r="AQ1336" s="97"/>
      <c r="AR1336" s="97"/>
      <c r="AS1336" s="97"/>
      <c r="AU1336" s="164"/>
      <c r="BB1336" s="52">
        <f t="shared" si="193"/>
        <v>3.6401338952823794</v>
      </c>
      <c r="BC1336" s="1948" t="str">
        <f t="shared" si="194"/>
        <v>Cooling RES 9 Year EUL</v>
      </c>
      <c r="BD1336" s="114">
        <f>(INDEX('Avoided Cost Benefits'!$C$4:$C$857,MATCH(BC1336,'Avoided Cost Benefits'!$A$4:$A$857,0)))*F1336</f>
        <v>68.714183960026034</v>
      </c>
      <c r="BE1336" s="1949">
        <f t="shared" ref="BE1336:BE1358" si="195">K1336/(1.0595^(2020-2019))</f>
        <v>18.876828692779611</v>
      </c>
    </row>
    <row r="1337" spans="1:57" s="392" customFormat="1" x14ac:dyDescent="0.25">
      <c r="A1337" s="223"/>
      <c r="B1337" s="151"/>
      <c r="C1337" s="3258" t="s">
        <v>2275</v>
      </c>
      <c r="D1337" s="2695" t="s">
        <v>1577</v>
      </c>
      <c r="E1337" s="154" t="s">
        <v>2276</v>
      </c>
      <c r="F1337" s="2690">
        <f>ROUND(($H$1378*$H$1368*(1/$H$1376-1/$H$1375)/1000*$F$1380),2)</f>
        <v>190.46</v>
      </c>
      <c r="G1337" s="3226" t="s">
        <v>258</v>
      </c>
      <c r="H1337" s="155">
        <f>VLOOKUP(G1337,'CP FACTORS'!$A$3:$B$38, 2, FALSE)</f>
        <v>9.4741810000000004E-4</v>
      </c>
      <c r="I1337" s="1531">
        <f t="shared" si="190"/>
        <v>0.18044499999999999</v>
      </c>
      <c r="J1337" s="325">
        <f t="shared" si="191"/>
        <v>9</v>
      </c>
      <c r="K1337" s="1169">
        <f t="shared" si="192"/>
        <v>20</v>
      </c>
      <c r="L1337" s="1736" t="s">
        <v>185</v>
      </c>
      <c r="M1337" s="223"/>
      <c r="N1337" s="1430"/>
      <c r="O1337" s="1135"/>
      <c r="P1337" s="223"/>
      <c r="Q1337" s="223"/>
      <c r="R1337" s="1431"/>
      <c r="S1337" s="223"/>
      <c r="T1337" s="223"/>
      <c r="U1337" s="223"/>
      <c r="V1337" s="395" t="s">
        <v>31</v>
      </c>
      <c r="W1337" s="396"/>
      <c r="X1337" s="1168">
        <v>898.77014282038067</v>
      </c>
      <c r="Y1337" s="243">
        <v>195.22</v>
      </c>
      <c r="Z1337" s="1168">
        <v>195.22</v>
      </c>
      <c r="AA1337" s="1168">
        <v>195.22</v>
      </c>
      <c r="AB1337" s="1168">
        <v>195.22</v>
      </c>
      <c r="AC1337" s="2690">
        <v>190.46</v>
      </c>
      <c r="AD1337" s="395"/>
      <c r="AE1337" s="395"/>
      <c r="AF1337" s="395"/>
      <c r="AG1337" s="395"/>
      <c r="AI1337" s="97"/>
      <c r="AJ1337" s="97"/>
      <c r="AK1337" s="97"/>
      <c r="AL1337" s="97"/>
      <c r="AM1337" s="97"/>
      <c r="AN1337" s="97"/>
      <c r="AO1337" s="97"/>
      <c r="AP1337" s="97"/>
      <c r="AQ1337" s="97"/>
      <c r="AR1337" s="97"/>
      <c r="AS1337" s="97"/>
      <c r="AU1337" s="164"/>
      <c r="BB1337" s="52">
        <f t="shared" si="193"/>
        <v>9.2390711846412827</v>
      </c>
      <c r="BC1337" s="1948" t="str">
        <f t="shared" si="194"/>
        <v>Cooling RES 9 Year EUL</v>
      </c>
      <c r="BD1337" s="114">
        <f>(INDEX('Avoided Cost Benefits'!$C$4:$C$857,MATCH(BC1337,'Avoided Cost Benefits'!$A$4:$A$857,0)))*F1337</f>
        <v>174.40436403286989</v>
      </c>
      <c r="BE1337" s="1949">
        <f t="shared" si="195"/>
        <v>18.876828692779611</v>
      </c>
    </row>
    <row r="1338" spans="1:57" s="392" customFormat="1" ht="15.75" thickBot="1" x14ac:dyDescent="0.3">
      <c r="A1338" s="223"/>
      <c r="B1338" s="151"/>
      <c r="C1338" s="3259" t="s">
        <v>2277</v>
      </c>
      <c r="D1338" s="2696" t="s">
        <v>1571</v>
      </c>
      <c r="E1338" s="1170" t="s">
        <v>2278</v>
      </c>
      <c r="F1338" s="2691">
        <f>ROUND(($F$1378*$F$1368*(1/$F$1374-1/$F$1375)/1000*$F$1380),2)</f>
        <v>75.040000000000006</v>
      </c>
      <c r="G1338" s="1737" t="s">
        <v>258</v>
      </c>
      <c r="H1338" s="1738">
        <f>VLOOKUP(G1338,'CP FACTORS'!$A$3:$B$38, 2, FALSE)</f>
        <v>9.4741810000000004E-4</v>
      </c>
      <c r="I1338" s="1739">
        <f t="shared" si="190"/>
        <v>7.1094000000000004E-2</v>
      </c>
      <c r="J1338" s="1740">
        <f t="shared" si="191"/>
        <v>9</v>
      </c>
      <c r="K1338" s="1171">
        <f t="shared" si="192"/>
        <v>20</v>
      </c>
      <c r="L1338" s="1741" t="s">
        <v>185</v>
      </c>
      <c r="M1338" s="223"/>
      <c r="N1338" s="1430"/>
      <c r="O1338" s="1135"/>
      <c r="P1338" s="223"/>
      <c r="Q1338" s="223"/>
      <c r="R1338" s="1431"/>
      <c r="S1338" s="223"/>
      <c r="T1338" s="223"/>
      <c r="U1338" s="223"/>
      <c r="V1338" s="395" t="s">
        <v>31</v>
      </c>
      <c r="W1338" s="396">
        <v>40.971199412398086</v>
      </c>
      <c r="X1338" s="325">
        <v>49.727499015442788</v>
      </c>
      <c r="Y1338" s="98">
        <v>76.92</v>
      </c>
      <c r="Z1338" s="325">
        <v>76.92</v>
      </c>
      <c r="AA1338" s="325">
        <v>76.92</v>
      </c>
      <c r="AB1338" s="325">
        <v>76.92</v>
      </c>
      <c r="AC1338" s="2690">
        <v>75.040000000000006</v>
      </c>
      <c r="AD1338" s="395"/>
      <c r="AE1338" s="395"/>
      <c r="AF1338" s="395"/>
      <c r="AG1338" s="395"/>
      <c r="AI1338" s="97"/>
      <c r="AJ1338" s="97"/>
      <c r="AK1338" s="97"/>
      <c r="AL1338" s="97"/>
      <c r="AM1338" s="97"/>
      <c r="AN1338" s="97"/>
      <c r="AO1338" s="97"/>
      <c r="AP1338" s="97"/>
      <c r="AQ1338" s="97"/>
      <c r="AR1338" s="97"/>
      <c r="AS1338" s="97"/>
      <c r="AU1338" s="164"/>
      <c r="BB1338" s="52">
        <f t="shared" si="193"/>
        <v>3.6401338952823794</v>
      </c>
      <c r="BC1338" s="1948" t="str">
        <f t="shared" si="194"/>
        <v>Cooling RES 9 Year EUL</v>
      </c>
      <c r="BD1338" s="114">
        <f>(INDEX('Avoided Cost Benefits'!$C$4:$C$857,MATCH(BC1338,'Avoided Cost Benefits'!$A$4:$A$857,0)))*F1338</f>
        <v>68.714183960026034</v>
      </c>
      <c r="BE1338" s="1949">
        <f t="shared" si="195"/>
        <v>18.876828692779611</v>
      </c>
    </row>
    <row r="1339" spans="1:57" s="392" customFormat="1" x14ac:dyDescent="0.25">
      <c r="A1339" s="223"/>
      <c r="B1339" s="151"/>
      <c r="C1339" s="3260" t="s">
        <v>2279</v>
      </c>
      <c r="D1339" s="2695" t="s">
        <v>1577</v>
      </c>
      <c r="E1339" s="1742" t="s">
        <v>2280</v>
      </c>
      <c r="F1339" s="2692">
        <f>ROUND(($H$1378*$H$1369*(1/$H$1376-1/$H$1375)/1000*$F$1380),2)</f>
        <v>81.08</v>
      </c>
      <c r="G1339" s="1743" t="s">
        <v>258</v>
      </c>
      <c r="H1339" s="1563">
        <f>VLOOKUP(G1339,'CP FACTORS'!$A$3:$B$38, 2, FALSE)</f>
        <v>9.4741810000000004E-4</v>
      </c>
      <c r="I1339" s="1744">
        <f t="shared" si="190"/>
        <v>7.6816999999999996E-2</v>
      </c>
      <c r="J1339" s="1745">
        <f t="shared" si="191"/>
        <v>9</v>
      </c>
      <c r="K1339" s="1746">
        <f t="shared" si="192"/>
        <v>20</v>
      </c>
      <c r="L1339" s="1747" t="s">
        <v>185</v>
      </c>
      <c r="M1339" s="223"/>
      <c r="N1339" s="1430"/>
      <c r="O1339" s="1135"/>
      <c r="P1339" s="223"/>
      <c r="Q1339" s="223"/>
      <c r="R1339" s="1431"/>
      <c r="S1339" s="223"/>
      <c r="T1339" s="223"/>
      <c r="U1339" s="223"/>
      <c r="V1339" s="395" t="s">
        <v>31</v>
      </c>
      <c r="W1339" s="396"/>
      <c r="X1339" s="325"/>
      <c r="Y1339" s="98">
        <v>83.11</v>
      </c>
      <c r="Z1339" s="325">
        <v>83.11</v>
      </c>
      <c r="AA1339" s="325">
        <v>83.11</v>
      </c>
      <c r="AB1339" s="325">
        <v>83.11</v>
      </c>
      <c r="AC1339" s="2690">
        <v>81.08</v>
      </c>
      <c r="AD1339" s="395"/>
      <c r="AE1339" s="395"/>
      <c r="AF1339" s="395"/>
      <c r="AG1339" s="395"/>
      <c r="AI1339" s="97"/>
      <c r="AJ1339" s="97"/>
      <c r="AK1339" s="97"/>
      <c r="AL1339" s="97"/>
      <c r="AM1339" s="97"/>
      <c r="AN1339" s="97"/>
      <c r="AO1339" s="97"/>
      <c r="AP1339" s="97"/>
      <c r="AQ1339" s="97"/>
      <c r="AR1339" s="97"/>
      <c r="AS1339" s="97"/>
      <c r="AU1339" s="164"/>
      <c r="BB1339" s="52">
        <f t="shared" si="193"/>
        <v>3.9331297471947666</v>
      </c>
      <c r="BC1339" s="1948" t="str">
        <f t="shared" si="194"/>
        <v>Cooling RES 9 Year EUL</v>
      </c>
      <c r="BD1339" s="114">
        <f>(INDEX('Avoided Cost Benefits'!$C$4:$C$857,MATCH(BC1339,'Avoided Cost Benefits'!$A$4:$A$857,0)))*F1339</f>
        <v>74.245016464271188</v>
      </c>
      <c r="BE1339" s="1949">
        <f t="shared" si="195"/>
        <v>18.876828692779611</v>
      </c>
    </row>
    <row r="1340" spans="1:57" s="392" customFormat="1" x14ac:dyDescent="0.25">
      <c r="A1340" s="223"/>
      <c r="B1340" s="151"/>
      <c r="C1340" s="3258" t="s">
        <v>2281</v>
      </c>
      <c r="D1340" s="2695" t="s">
        <v>1571</v>
      </c>
      <c r="E1340" s="154" t="s">
        <v>2282</v>
      </c>
      <c r="F1340" s="2690">
        <f>ROUND(($F$1378*$F$1369*(1/$F$1374-1/$F$1375)/1000*$F$1380),2)</f>
        <v>36.35</v>
      </c>
      <c r="G1340" s="3226" t="s">
        <v>258</v>
      </c>
      <c r="H1340" s="155">
        <f>VLOOKUP(G1340,'CP FACTORS'!$A$3:$B$38, 2, FALSE)</f>
        <v>9.4741810000000004E-4</v>
      </c>
      <c r="I1340" s="1531">
        <f t="shared" si="190"/>
        <v>3.4438999999999997E-2</v>
      </c>
      <c r="J1340" s="325">
        <f t="shared" si="191"/>
        <v>9</v>
      </c>
      <c r="K1340" s="1169">
        <f t="shared" si="192"/>
        <v>20</v>
      </c>
      <c r="L1340" s="1736" t="s">
        <v>185</v>
      </c>
      <c r="M1340" s="223"/>
      <c r="N1340" s="1430"/>
      <c r="O1340" s="1135"/>
      <c r="P1340" s="223"/>
      <c r="Q1340" s="223"/>
      <c r="R1340" s="1431"/>
      <c r="S1340" s="223"/>
      <c r="T1340" s="223"/>
      <c r="U1340" s="223"/>
      <c r="V1340" s="395" t="s">
        <v>31</v>
      </c>
      <c r="W1340" s="396"/>
      <c r="X1340" s="325"/>
      <c r="Y1340" s="98">
        <v>37.26</v>
      </c>
      <c r="Z1340" s="325">
        <v>37.26</v>
      </c>
      <c r="AA1340" s="325">
        <v>37.26</v>
      </c>
      <c r="AB1340" s="325">
        <v>37.26</v>
      </c>
      <c r="AC1340" s="2690">
        <v>36.35</v>
      </c>
      <c r="AD1340" s="395"/>
      <c r="AE1340" s="395"/>
      <c r="AF1340" s="395"/>
      <c r="AG1340" s="395"/>
      <c r="AI1340" s="97"/>
      <c r="AJ1340" s="97"/>
      <c r="AK1340" s="97"/>
      <c r="AL1340" s="97"/>
      <c r="AM1340" s="97"/>
      <c r="AN1340" s="97"/>
      <c r="AO1340" s="97"/>
      <c r="AP1340" s="97"/>
      <c r="AQ1340" s="97"/>
      <c r="AR1340" s="97"/>
      <c r="AS1340" s="97"/>
      <c r="AU1340" s="164"/>
      <c r="BB1340" s="52">
        <f t="shared" si="193"/>
        <v>1.7633111286449159</v>
      </c>
      <c r="BC1340" s="1948" t="str">
        <f t="shared" si="194"/>
        <v>Cooling RES 9 Year EUL</v>
      </c>
      <c r="BD1340" s="114">
        <f>(INDEX('Avoided Cost Benefits'!$C$4:$C$857,MATCH(BC1340,'Avoided Cost Benefits'!$A$4:$A$857,0)))*F1340</f>
        <v>33.285722107501947</v>
      </c>
      <c r="BE1340" s="1949">
        <f t="shared" si="195"/>
        <v>18.876828692779611</v>
      </c>
    </row>
    <row r="1341" spans="1:57" s="392" customFormat="1" x14ac:dyDescent="0.25">
      <c r="A1341" s="223"/>
      <c r="B1341" s="151"/>
      <c r="C1341" s="3258" t="s">
        <v>2283</v>
      </c>
      <c r="D1341" s="2695" t="s">
        <v>1577</v>
      </c>
      <c r="E1341" s="154" t="s">
        <v>2284</v>
      </c>
      <c r="F1341" s="2690">
        <f>ROUND(($H$1378*$H$1369*(1/$H$1376-1/$H$1375)/1000*$F$1380),2)</f>
        <v>81.08</v>
      </c>
      <c r="G1341" s="3226" t="s">
        <v>258</v>
      </c>
      <c r="H1341" s="155">
        <f>VLOOKUP(G1341,'CP FACTORS'!$A$3:$B$38, 2, FALSE)</f>
        <v>9.4741810000000004E-4</v>
      </c>
      <c r="I1341" s="1531">
        <f t="shared" si="190"/>
        <v>7.6816999999999996E-2</v>
      </c>
      <c r="J1341" s="325">
        <f t="shared" si="191"/>
        <v>9</v>
      </c>
      <c r="K1341" s="1169">
        <f t="shared" si="192"/>
        <v>20</v>
      </c>
      <c r="L1341" s="1736" t="s">
        <v>185</v>
      </c>
      <c r="M1341" s="223"/>
      <c r="N1341" s="1430"/>
      <c r="O1341" s="1135"/>
      <c r="P1341" s="223"/>
      <c r="Q1341" s="223"/>
      <c r="R1341" s="1431"/>
      <c r="S1341" s="223"/>
      <c r="T1341" s="223"/>
      <c r="U1341" s="223"/>
      <c r="V1341" s="395" t="s">
        <v>31</v>
      </c>
      <c r="W1341" s="396"/>
      <c r="X1341" s="325"/>
      <c r="Y1341" s="98">
        <v>83.11</v>
      </c>
      <c r="Z1341" s="325">
        <v>83.11</v>
      </c>
      <c r="AA1341" s="325">
        <v>83.11</v>
      </c>
      <c r="AB1341" s="325">
        <v>83.11</v>
      </c>
      <c r="AC1341" s="2690">
        <v>81.08</v>
      </c>
      <c r="AD1341" s="395"/>
      <c r="AE1341" s="395"/>
      <c r="AF1341" s="395"/>
      <c r="AG1341" s="395"/>
      <c r="AI1341" s="97"/>
      <c r="AJ1341" s="97"/>
      <c r="AK1341" s="97"/>
      <c r="AL1341" s="97"/>
      <c r="AM1341" s="97"/>
      <c r="AN1341" s="97"/>
      <c r="AO1341" s="97"/>
      <c r="AP1341" s="97"/>
      <c r="AQ1341" s="97"/>
      <c r="AR1341" s="97"/>
      <c r="AS1341" s="97"/>
      <c r="AU1341" s="164"/>
      <c r="BB1341" s="52">
        <f t="shared" si="193"/>
        <v>3.9331297471947666</v>
      </c>
      <c r="BC1341" s="1948" t="str">
        <f t="shared" si="194"/>
        <v>Cooling RES 9 Year EUL</v>
      </c>
      <c r="BD1341" s="114">
        <f>(INDEX('Avoided Cost Benefits'!$C$4:$C$857,MATCH(BC1341,'Avoided Cost Benefits'!$A$4:$A$857,0)))*F1341</f>
        <v>74.245016464271188</v>
      </c>
      <c r="BE1341" s="1949">
        <f t="shared" si="195"/>
        <v>18.876828692779611</v>
      </c>
    </row>
    <row r="1342" spans="1:57" s="392" customFormat="1" ht="15.75" thickBot="1" x14ac:dyDescent="0.3">
      <c r="A1342" s="223"/>
      <c r="B1342" s="151"/>
      <c r="C1342" s="3259" t="s">
        <v>2285</v>
      </c>
      <c r="D1342" s="2696" t="s">
        <v>1571</v>
      </c>
      <c r="E1342" s="1170" t="s">
        <v>2286</v>
      </c>
      <c r="F1342" s="2691">
        <f>ROUND(($F$1378*$F$1369*(1/$F$1374-1/$F$1375)/1000*$F$1380),2)</f>
        <v>36.35</v>
      </c>
      <c r="G1342" s="1737" t="s">
        <v>258</v>
      </c>
      <c r="H1342" s="1738">
        <f>VLOOKUP(G1342,'CP FACTORS'!$A$3:$B$38, 2, FALSE)</f>
        <v>9.4741810000000004E-4</v>
      </c>
      <c r="I1342" s="1739">
        <f t="shared" si="190"/>
        <v>3.4438999999999997E-2</v>
      </c>
      <c r="J1342" s="1740">
        <f t="shared" si="191"/>
        <v>9</v>
      </c>
      <c r="K1342" s="1171">
        <f t="shared" si="192"/>
        <v>20</v>
      </c>
      <c r="L1342" s="1741" t="s">
        <v>185</v>
      </c>
      <c r="M1342" s="223"/>
      <c r="N1342" s="1430"/>
      <c r="O1342" s="1135"/>
      <c r="P1342" s="223"/>
      <c r="Q1342" s="223"/>
      <c r="R1342" s="1431"/>
      <c r="S1342" s="223"/>
      <c r="T1342" s="223"/>
      <c r="U1342" s="223"/>
      <c r="V1342" s="395" t="s">
        <v>31</v>
      </c>
      <c r="W1342" s="396"/>
      <c r="X1342" s="325"/>
      <c r="Y1342" s="98">
        <v>37.26</v>
      </c>
      <c r="Z1342" s="325">
        <v>37.26</v>
      </c>
      <c r="AA1342" s="325">
        <v>37.26</v>
      </c>
      <c r="AB1342" s="325">
        <v>37.26</v>
      </c>
      <c r="AC1342" s="2690">
        <v>36.35</v>
      </c>
      <c r="AD1342" s="395"/>
      <c r="AE1342" s="395"/>
      <c r="AF1342" s="395"/>
      <c r="AG1342" s="395"/>
      <c r="AI1342" s="97"/>
      <c r="AJ1342" s="97"/>
      <c r="AK1342" s="97"/>
      <c r="AL1342" s="97"/>
      <c r="AM1342" s="97"/>
      <c r="AN1342" s="97"/>
      <c r="AO1342" s="97"/>
      <c r="AP1342" s="97"/>
      <c r="AQ1342" s="97"/>
      <c r="AR1342" s="97"/>
      <c r="AS1342" s="97"/>
      <c r="AU1342" s="164"/>
      <c r="BB1342" s="52">
        <f t="shared" si="193"/>
        <v>1.7633111286449159</v>
      </c>
      <c r="BC1342" s="1948" t="str">
        <f t="shared" si="194"/>
        <v>Cooling RES 9 Year EUL</v>
      </c>
      <c r="BD1342" s="114">
        <f>(INDEX('Avoided Cost Benefits'!$C$4:$C$857,MATCH(BC1342,'Avoided Cost Benefits'!$A$4:$A$857,0)))*F1342</f>
        <v>33.285722107501947</v>
      </c>
      <c r="BE1342" s="1949">
        <f t="shared" si="195"/>
        <v>18.876828692779611</v>
      </c>
    </row>
    <row r="1343" spans="1:57" s="392" customFormat="1" x14ac:dyDescent="0.25">
      <c r="A1343" s="223"/>
      <c r="B1343" s="151"/>
      <c r="C1343" s="3260" t="s">
        <v>2287</v>
      </c>
      <c r="D1343" s="2695" t="s">
        <v>1577</v>
      </c>
      <c r="E1343" s="1742" t="s">
        <v>2288</v>
      </c>
      <c r="F1343" s="2692">
        <f>ROUND(($H$1378*$H$1370*(1/$H$1376-1/$H$1375)/1000*$F$1380),2)</f>
        <v>129.72999999999999</v>
      </c>
      <c r="G1343" s="1743" t="s">
        <v>258</v>
      </c>
      <c r="H1343" s="1563">
        <f>VLOOKUP(G1343,'CP FACTORS'!$A$3:$B$38, 2, FALSE)</f>
        <v>9.4741810000000004E-4</v>
      </c>
      <c r="I1343" s="1744">
        <f t="shared" si="190"/>
        <v>0.122909</v>
      </c>
      <c r="J1343" s="1745">
        <f t="shared" si="191"/>
        <v>9</v>
      </c>
      <c r="K1343" s="1746">
        <f t="shared" si="192"/>
        <v>20</v>
      </c>
      <c r="L1343" s="1747" t="s">
        <v>185</v>
      </c>
      <c r="M1343" s="223"/>
      <c r="N1343" s="1430"/>
      <c r="O1343" s="1135"/>
      <c r="P1343" s="223"/>
      <c r="Q1343" s="223"/>
      <c r="R1343" s="1431"/>
      <c r="S1343" s="223"/>
      <c r="T1343" s="223"/>
      <c r="U1343" s="223"/>
      <c r="V1343" s="395" t="s">
        <v>31</v>
      </c>
      <c r="W1343" s="396"/>
      <c r="X1343" s="325"/>
      <c r="Y1343" s="98">
        <v>132.97</v>
      </c>
      <c r="Z1343" s="325">
        <v>132.97</v>
      </c>
      <c r="AA1343" s="325">
        <v>132.97</v>
      </c>
      <c r="AB1343" s="325">
        <v>132.97</v>
      </c>
      <c r="AC1343" s="2690">
        <v>129.72999999999999</v>
      </c>
      <c r="AD1343" s="395"/>
      <c r="AE1343" s="395"/>
      <c r="AF1343" s="395"/>
      <c r="AG1343" s="395"/>
      <c r="AI1343" s="97"/>
      <c r="AJ1343" s="97"/>
      <c r="AK1343" s="97"/>
      <c r="AL1343" s="97"/>
      <c r="AM1343" s="97"/>
      <c r="AN1343" s="97"/>
      <c r="AO1343" s="97"/>
      <c r="AP1343" s="97"/>
      <c r="AQ1343" s="97"/>
      <c r="AR1343" s="97"/>
      <c r="AS1343" s="97"/>
      <c r="AU1343" s="164"/>
      <c r="BB1343" s="52">
        <f t="shared" si="193"/>
        <v>6.293104614005637</v>
      </c>
      <c r="BC1343" s="1948" t="str">
        <f t="shared" si="194"/>
        <v>Cooling RES 9 Year EUL</v>
      </c>
      <c r="BD1343" s="114">
        <f>(INDEX('Avoided Cost Benefits'!$C$4:$C$857,MATCH(BC1343,'Avoided Cost Benefits'!$A$4:$A$857,0)))*F1343</f>
        <v>118.79385774432536</v>
      </c>
      <c r="BE1343" s="1949">
        <f t="shared" si="195"/>
        <v>18.876828692779611</v>
      </c>
    </row>
    <row r="1344" spans="1:57" s="392" customFormat="1" x14ac:dyDescent="0.25">
      <c r="A1344" s="223"/>
      <c r="B1344" s="151"/>
      <c r="C1344" s="3258" t="s">
        <v>2289</v>
      </c>
      <c r="D1344" s="2695" t="s">
        <v>1571</v>
      </c>
      <c r="E1344" s="154" t="s">
        <v>2290</v>
      </c>
      <c r="F1344" s="2690">
        <f>ROUND(($F$1378*$F$1370*(1/$F$1374-1/$F$1375)/1000*$F$1380),2)</f>
        <v>58.16</v>
      </c>
      <c r="G1344" s="3226" t="s">
        <v>258</v>
      </c>
      <c r="H1344" s="155">
        <f>VLOOKUP(G1344,'CP FACTORS'!$A$3:$B$38, 2, FALSE)</f>
        <v>9.4741810000000004E-4</v>
      </c>
      <c r="I1344" s="1531">
        <f t="shared" si="190"/>
        <v>5.5101999999999998E-2</v>
      </c>
      <c r="J1344" s="325">
        <f t="shared" si="191"/>
        <v>9</v>
      </c>
      <c r="K1344" s="1169">
        <f t="shared" si="192"/>
        <v>20</v>
      </c>
      <c r="L1344" s="1736" t="s">
        <v>185</v>
      </c>
      <c r="M1344" s="223"/>
      <c r="N1344" s="1430"/>
      <c r="O1344" s="1135"/>
      <c r="P1344" s="223"/>
      <c r="Q1344" s="223"/>
      <c r="R1344" s="1431"/>
      <c r="S1344" s="223"/>
      <c r="T1344" s="223"/>
      <c r="U1344" s="223"/>
      <c r="V1344" s="395" t="s">
        <v>31</v>
      </c>
      <c r="W1344" s="396"/>
      <c r="X1344" s="325"/>
      <c r="Y1344" s="98">
        <v>59.61</v>
      </c>
      <c r="Z1344" s="325">
        <v>59.61</v>
      </c>
      <c r="AA1344" s="325">
        <v>59.61</v>
      </c>
      <c r="AB1344" s="325">
        <v>59.61</v>
      </c>
      <c r="AC1344" s="2690">
        <v>58.16</v>
      </c>
      <c r="AD1344" s="395"/>
      <c r="AE1344" s="395"/>
      <c r="AF1344" s="395"/>
      <c r="AG1344" s="395"/>
      <c r="AI1344" s="97"/>
      <c r="AJ1344" s="97"/>
      <c r="AK1344" s="97"/>
      <c r="AL1344" s="97"/>
      <c r="AM1344" s="97"/>
      <c r="AN1344" s="97"/>
      <c r="AO1344" s="97"/>
      <c r="AP1344" s="97"/>
      <c r="AQ1344" s="97"/>
      <c r="AR1344" s="97"/>
      <c r="AS1344" s="97"/>
      <c r="AU1344" s="164"/>
      <c r="BB1344" s="52">
        <f t="shared" si="193"/>
        <v>2.8212978058318652</v>
      </c>
      <c r="BC1344" s="1948" t="str">
        <f t="shared" si="194"/>
        <v>Cooling RES 9 Year EUL</v>
      </c>
      <c r="BD1344" s="114">
        <f>(INDEX('Avoided Cost Benefits'!$C$4:$C$857,MATCH(BC1344,'Avoided Cost Benefits'!$A$4:$A$857,0)))*F1344</f>
        <v>53.257155372003112</v>
      </c>
      <c r="BE1344" s="1949">
        <f t="shared" si="195"/>
        <v>18.876828692779611</v>
      </c>
    </row>
    <row r="1345" spans="1:57" s="392" customFormat="1" x14ac:dyDescent="0.25">
      <c r="A1345" s="223"/>
      <c r="B1345" s="151"/>
      <c r="C1345" s="3258" t="s">
        <v>2291</v>
      </c>
      <c r="D1345" s="2695" t="s">
        <v>1577</v>
      </c>
      <c r="E1345" s="154" t="s">
        <v>2292</v>
      </c>
      <c r="F1345" s="2690">
        <f>ROUND(($H$1378*$H$1370*(1/$H$1376-1/$H$1375)/1000*$F$1380),2)</f>
        <v>129.72999999999999</v>
      </c>
      <c r="G1345" s="3226" t="s">
        <v>258</v>
      </c>
      <c r="H1345" s="155">
        <f>VLOOKUP(G1345,'CP FACTORS'!$A$3:$B$38, 2, FALSE)</f>
        <v>9.4741810000000004E-4</v>
      </c>
      <c r="I1345" s="1531">
        <f t="shared" si="190"/>
        <v>0.122909</v>
      </c>
      <c r="J1345" s="325">
        <f t="shared" si="191"/>
        <v>9</v>
      </c>
      <c r="K1345" s="1169">
        <f t="shared" si="192"/>
        <v>20</v>
      </c>
      <c r="L1345" s="1736" t="s">
        <v>185</v>
      </c>
      <c r="M1345" s="223"/>
      <c r="N1345" s="1430"/>
      <c r="O1345" s="1135"/>
      <c r="P1345" s="223"/>
      <c r="Q1345" s="223"/>
      <c r="R1345" s="1431"/>
      <c r="S1345" s="223"/>
      <c r="T1345" s="223"/>
      <c r="U1345" s="223"/>
      <c r="V1345" s="395" t="s">
        <v>31</v>
      </c>
      <c r="W1345" s="396"/>
      <c r="X1345" s="325"/>
      <c r="Y1345" s="98">
        <v>132.97</v>
      </c>
      <c r="Z1345" s="325">
        <v>132.97</v>
      </c>
      <c r="AA1345" s="325">
        <v>132.97</v>
      </c>
      <c r="AB1345" s="325">
        <v>132.97</v>
      </c>
      <c r="AC1345" s="2690">
        <v>129.72999999999999</v>
      </c>
      <c r="AD1345" s="395"/>
      <c r="AE1345" s="395"/>
      <c r="AF1345" s="395"/>
      <c r="AG1345" s="395"/>
      <c r="AI1345" s="97"/>
      <c r="AJ1345" s="97"/>
      <c r="AK1345" s="97"/>
      <c r="AL1345" s="97"/>
      <c r="AM1345" s="97"/>
      <c r="AN1345" s="97"/>
      <c r="AO1345" s="97"/>
      <c r="AP1345" s="97"/>
      <c r="AQ1345" s="97"/>
      <c r="AR1345" s="97"/>
      <c r="AS1345" s="97"/>
      <c r="AU1345" s="164"/>
      <c r="BB1345" s="52">
        <f t="shared" si="193"/>
        <v>6.293104614005637</v>
      </c>
      <c r="BC1345" s="1948" t="str">
        <f t="shared" si="194"/>
        <v>Cooling RES 9 Year EUL</v>
      </c>
      <c r="BD1345" s="114">
        <f>(INDEX('Avoided Cost Benefits'!$C$4:$C$857,MATCH(BC1345,'Avoided Cost Benefits'!$A$4:$A$857,0)))*F1345</f>
        <v>118.79385774432536</v>
      </c>
      <c r="BE1345" s="1949">
        <f t="shared" si="195"/>
        <v>18.876828692779611</v>
      </c>
    </row>
    <row r="1346" spans="1:57" s="392" customFormat="1" ht="15.75" thickBot="1" x14ac:dyDescent="0.3">
      <c r="A1346" s="223"/>
      <c r="B1346" s="151"/>
      <c r="C1346" s="3259" t="s">
        <v>2293</v>
      </c>
      <c r="D1346" s="2696" t="s">
        <v>1571</v>
      </c>
      <c r="E1346" s="1170" t="s">
        <v>2294</v>
      </c>
      <c r="F1346" s="2691">
        <f>ROUND(($F$1378*$F$1370*(1/$F$1374-1/$F$1375)/1000*$F$1380),2)</f>
        <v>58.16</v>
      </c>
      <c r="G1346" s="1737" t="s">
        <v>258</v>
      </c>
      <c r="H1346" s="1738">
        <f>VLOOKUP(G1346,'CP FACTORS'!$A$3:$B$38, 2, FALSE)</f>
        <v>9.4741810000000004E-4</v>
      </c>
      <c r="I1346" s="1739">
        <f t="shared" si="190"/>
        <v>5.5101999999999998E-2</v>
      </c>
      <c r="J1346" s="1740">
        <f t="shared" si="191"/>
        <v>9</v>
      </c>
      <c r="K1346" s="1171">
        <f t="shared" si="192"/>
        <v>20</v>
      </c>
      <c r="L1346" s="1741" t="s">
        <v>185</v>
      </c>
      <c r="M1346" s="223"/>
      <c r="N1346" s="1430"/>
      <c r="O1346" s="1135"/>
      <c r="P1346" s="223"/>
      <c r="Q1346" s="223"/>
      <c r="R1346" s="1431"/>
      <c r="S1346" s="223"/>
      <c r="T1346" s="223"/>
      <c r="U1346" s="223"/>
      <c r="V1346" s="395" t="s">
        <v>31</v>
      </c>
      <c r="W1346" s="396"/>
      <c r="X1346" s="325"/>
      <c r="Y1346" s="98">
        <v>59.61</v>
      </c>
      <c r="Z1346" s="325">
        <v>59.61</v>
      </c>
      <c r="AA1346" s="325">
        <v>59.61</v>
      </c>
      <c r="AB1346" s="325">
        <v>59.61</v>
      </c>
      <c r="AC1346" s="2690">
        <v>58.16</v>
      </c>
      <c r="AD1346" s="395"/>
      <c r="AE1346" s="395"/>
      <c r="AF1346" s="395"/>
      <c r="AG1346" s="395"/>
      <c r="AI1346" s="97"/>
      <c r="AJ1346" s="97"/>
      <c r="AK1346" s="97"/>
      <c r="AL1346" s="97"/>
      <c r="AM1346" s="97"/>
      <c r="AN1346" s="97"/>
      <c r="AO1346" s="97"/>
      <c r="AP1346" s="97"/>
      <c r="AQ1346" s="97"/>
      <c r="AR1346" s="97"/>
      <c r="AS1346" s="97"/>
      <c r="AU1346" s="164"/>
      <c r="BB1346" s="52">
        <f t="shared" si="193"/>
        <v>2.8212978058318652</v>
      </c>
      <c r="BC1346" s="1948" t="str">
        <f t="shared" si="194"/>
        <v>Cooling RES 9 Year EUL</v>
      </c>
      <c r="BD1346" s="114">
        <f>(INDEX('Avoided Cost Benefits'!$C$4:$C$857,MATCH(BC1346,'Avoided Cost Benefits'!$A$4:$A$857,0)))*F1346</f>
        <v>53.257155372003112</v>
      </c>
      <c r="BE1346" s="1949">
        <f t="shared" si="195"/>
        <v>18.876828692779611</v>
      </c>
    </row>
    <row r="1347" spans="1:57" s="392" customFormat="1" x14ac:dyDescent="0.25">
      <c r="A1347" s="223"/>
      <c r="B1347" s="151"/>
      <c r="C1347" s="3260" t="s">
        <v>2295</v>
      </c>
      <c r="D1347" s="2695" t="s">
        <v>1577</v>
      </c>
      <c r="E1347" s="1742" t="s">
        <v>2296</v>
      </c>
      <c r="F1347" s="2692">
        <f>ROUND(($H$1378*$H$1371*(1/$H$1376-1/$H$1375)/1000*$F$1380),2)</f>
        <v>162.16</v>
      </c>
      <c r="G1347" s="1743" t="s">
        <v>258</v>
      </c>
      <c r="H1347" s="1563">
        <f>VLOOKUP(G1347,'CP FACTORS'!$A$3:$B$38, 2, FALSE)</f>
        <v>9.4741810000000004E-4</v>
      </c>
      <c r="I1347" s="1744">
        <f t="shared" si="190"/>
        <v>0.15363299999999999</v>
      </c>
      <c r="J1347" s="1745">
        <f t="shared" si="191"/>
        <v>9</v>
      </c>
      <c r="K1347" s="1746">
        <f t="shared" si="192"/>
        <v>20</v>
      </c>
      <c r="L1347" s="1747" t="s">
        <v>185</v>
      </c>
      <c r="M1347" s="223"/>
      <c r="N1347" s="1430"/>
      <c r="O1347" s="1135"/>
      <c r="P1347" s="223"/>
      <c r="Q1347" s="223"/>
      <c r="R1347" s="1431"/>
      <c r="S1347" s="223"/>
      <c r="T1347" s="223"/>
      <c r="U1347" s="223"/>
      <c r="V1347" s="395" t="s">
        <v>31</v>
      </c>
      <c r="W1347" s="396"/>
      <c r="X1347" s="325"/>
      <c r="Y1347" s="98">
        <v>166.22</v>
      </c>
      <c r="Z1347" s="325">
        <v>166.22</v>
      </c>
      <c r="AA1347" s="325">
        <v>166.22</v>
      </c>
      <c r="AB1347" s="325">
        <v>166.22</v>
      </c>
      <c r="AC1347" s="2690">
        <v>162.16</v>
      </c>
      <c r="AD1347" s="395"/>
      <c r="AE1347" s="395"/>
      <c r="AF1347" s="395"/>
      <c r="AG1347" s="395"/>
      <c r="AI1347" s="97"/>
      <c r="AJ1347" s="97"/>
      <c r="AK1347" s="97"/>
      <c r="AL1347" s="97"/>
      <c r="AM1347" s="97"/>
      <c r="AN1347" s="97"/>
      <c r="AO1347" s="97"/>
      <c r="AP1347" s="97"/>
      <c r="AQ1347" s="97"/>
      <c r="AR1347" s="97"/>
      <c r="AS1347" s="97"/>
      <c r="AU1347" s="164"/>
      <c r="BB1347" s="52">
        <f t="shared" si="193"/>
        <v>7.8662594943895332</v>
      </c>
      <c r="BC1347" s="1948" t="str">
        <f t="shared" si="194"/>
        <v>Cooling RES 9 Year EUL</v>
      </c>
      <c r="BD1347" s="114">
        <f>(INDEX('Avoided Cost Benefits'!$C$4:$C$857,MATCH(BC1347,'Avoided Cost Benefits'!$A$4:$A$857,0)))*F1347</f>
        <v>148.49003292854238</v>
      </c>
      <c r="BE1347" s="1949">
        <f t="shared" si="195"/>
        <v>18.876828692779611</v>
      </c>
    </row>
    <row r="1348" spans="1:57" s="392" customFormat="1" x14ac:dyDescent="0.25">
      <c r="A1348" s="223"/>
      <c r="B1348" s="151"/>
      <c r="C1348" s="3258" t="s">
        <v>2297</v>
      </c>
      <c r="D1348" s="2695" t="s">
        <v>1571</v>
      </c>
      <c r="E1348" s="154" t="s">
        <v>2298</v>
      </c>
      <c r="F1348" s="2690">
        <f>ROUND(($F$1378*$F$1371*(1/$F$1374-1/$F$1375)/1000*$F$1380),2)</f>
        <v>72.7</v>
      </c>
      <c r="G1348" s="3226" t="s">
        <v>258</v>
      </c>
      <c r="H1348" s="155">
        <f>VLOOKUP(G1348,'CP FACTORS'!$A$3:$B$38, 2, FALSE)</f>
        <v>9.4741810000000004E-4</v>
      </c>
      <c r="I1348" s="1531">
        <f t="shared" si="190"/>
        <v>6.8876999999999994E-2</v>
      </c>
      <c r="J1348" s="325">
        <f t="shared" si="191"/>
        <v>9</v>
      </c>
      <c r="K1348" s="1169">
        <f t="shared" si="192"/>
        <v>20</v>
      </c>
      <c r="L1348" s="1736" t="s">
        <v>185</v>
      </c>
      <c r="M1348" s="223"/>
      <c r="N1348" s="1430"/>
      <c r="O1348" s="1135"/>
      <c r="P1348" s="223"/>
      <c r="Q1348" s="223"/>
      <c r="R1348" s="1431"/>
      <c r="S1348" s="223"/>
      <c r="T1348" s="223"/>
      <c r="U1348" s="223"/>
      <c r="V1348" s="395" t="s">
        <v>31</v>
      </c>
      <c r="W1348" s="396"/>
      <c r="X1348" s="325"/>
      <c r="Y1348" s="98">
        <v>74.52</v>
      </c>
      <c r="Z1348" s="325">
        <v>74.52</v>
      </c>
      <c r="AA1348" s="325">
        <v>74.52</v>
      </c>
      <c r="AB1348" s="325">
        <v>74.52</v>
      </c>
      <c r="AC1348" s="2690">
        <v>72.7</v>
      </c>
      <c r="AD1348" s="395"/>
      <c r="AE1348" s="395"/>
      <c r="AF1348" s="395"/>
      <c r="AG1348" s="395"/>
      <c r="AI1348" s="97"/>
      <c r="AJ1348" s="97"/>
      <c r="AK1348" s="97"/>
      <c r="AL1348" s="97"/>
      <c r="AM1348" s="97"/>
      <c r="AN1348" s="97"/>
      <c r="AO1348" s="97"/>
      <c r="AP1348" s="97"/>
      <c r="AQ1348" s="97"/>
      <c r="AR1348" s="97"/>
      <c r="AS1348" s="97"/>
      <c r="AU1348" s="164"/>
      <c r="BB1348" s="52">
        <f t="shared" si="193"/>
        <v>3.5266222572898318</v>
      </c>
      <c r="BC1348" s="1948" t="str">
        <f t="shared" si="194"/>
        <v>Cooling RES 9 Year EUL</v>
      </c>
      <c r="BD1348" s="114">
        <f>(INDEX('Avoided Cost Benefits'!$C$4:$C$857,MATCH(BC1348,'Avoided Cost Benefits'!$A$4:$A$857,0)))*F1348</f>
        <v>66.571444215003893</v>
      </c>
      <c r="BE1348" s="1949">
        <f t="shared" si="195"/>
        <v>18.876828692779611</v>
      </c>
    </row>
    <row r="1349" spans="1:57" s="392" customFormat="1" x14ac:dyDescent="0.25">
      <c r="A1349" s="223"/>
      <c r="B1349" s="151"/>
      <c r="C1349" s="3258" t="s">
        <v>2299</v>
      </c>
      <c r="D1349" s="2695" t="s">
        <v>1577</v>
      </c>
      <c r="E1349" s="154" t="s">
        <v>2300</v>
      </c>
      <c r="F1349" s="2690">
        <f>ROUND(($H$1378*$H$1371*(1/$H$1376-1/$H$1375)/1000*$F$1380),2)</f>
        <v>162.16</v>
      </c>
      <c r="G1349" s="3226" t="s">
        <v>258</v>
      </c>
      <c r="H1349" s="155">
        <f>VLOOKUP(G1349,'CP FACTORS'!$A$3:$B$38, 2, FALSE)</f>
        <v>9.4741810000000004E-4</v>
      </c>
      <c r="I1349" s="1531">
        <f t="shared" si="190"/>
        <v>0.15363299999999999</v>
      </c>
      <c r="J1349" s="325">
        <f t="shared" si="191"/>
        <v>9</v>
      </c>
      <c r="K1349" s="1169">
        <f t="shared" si="192"/>
        <v>20</v>
      </c>
      <c r="L1349" s="1736" t="s">
        <v>185</v>
      </c>
      <c r="M1349" s="223"/>
      <c r="N1349" s="1430"/>
      <c r="O1349" s="1135"/>
      <c r="P1349" s="223"/>
      <c r="Q1349" s="223"/>
      <c r="R1349" s="1431"/>
      <c r="S1349" s="223"/>
      <c r="T1349" s="223"/>
      <c r="U1349" s="223"/>
      <c r="V1349" s="395" t="s">
        <v>31</v>
      </c>
      <c r="W1349" s="396"/>
      <c r="X1349" s="325"/>
      <c r="Y1349" s="98">
        <v>166.22</v>
      </c>
      <c r="Z1349" s="325">
        <v>166.22</v>
      </c>
      <c r="AA1349" s="325">
        <v>166.22</v>
      </c>
      <c r="AB1349" s="325">
        <v>166.22</v>
      </c>
      <c r="AC1349" s="2690">
        <v>162.16</v>
      </c>
      <c r="AD1349" s="395"/>
      <c r="AE1349" s="395"/>
      <c r="AF1349" s="395"/>
      <c r="AG1349" s="395"/>
      <c r="AI1349" s="97"/>
      <c r="AJ1349" s="97"/>
      <c r="AK1349" s="97"/>
      <c r="AL1349" s="97"/>
      <c r="AM1349" s="97"/>
      <c r="AN1349" s="97"/>
      <c r="AO1349" s="97"/>
      <c r="AP1349" s="97"/>
      <c r="AQ1349" s="97"/>
      <c r="AR1349" s="97"/>
      <c r="AS1349" s="97"/>
      <c r="AU1349" s="164"/>
      <c r="BB1349" s="52">
        <f t="shared" si="193"/>
        <v>7.8662594943895332</v>
      </c>
      <c r="BC1349" s="1948" t="str">
        <f t="shared" si="194"/>
        <v>Cooling RES 9 Year EUL</v>
      </c>
      <c r="BD1349" s="114">
        <f>(INDEX('Avoided Cost Benefits'!$C$4:$C$857,MATCH(BC1349,'Avoided Cost Benefits'!$A$4:$A$857,0)))*F1349</f>
        <v>148.49003292854238</v>
      </c>
      <c r="BE1349" s="1949">
        <f t="shared" si="195"/>
        <v>18.876828692779611</v>
      </c>
    </row>
    <row r="1350" spans="1:57" s="392" customFormat="1" ht="15.75" thickBot="1" x14ac:dyDescent="0.3">
      <c r="A1350" s="223"/>
      <c r="B1350" s="151"/>
      <c r="C1350" s="3259" t="s">
        <v>2301</v>
      </c>
      <c r="D1350" s="2696" t="s">
        <v>1571</v>
      </c>
      <c r="E1350" s="1170" t="s">
        <v>2302</v>
      </c>
      <c r="F1350" s="2691">
        <f>ROUND(($F$1378*$F$1371*(1/$F$1374-1/$F$1375)/1000*$F$1380),2)</f>
        <v>72.7</v>
      </c>
      <c r="G1350" s="1737" t="s">
        <v>258</v>
      </c>
      <c r="H1350" s="1738">
        <f>VLOOKUP(G1350,'CP FACTORS'!$A$3:$B$38, 2, FALSE)</f>
        <v>9.4741810000000004E-4</v>
      </c>
      <c r="I1350" s="1739">
        <f t="shared" si="190"/>
        <v>6.8876999999999994E-2</v>
      </c>
      <c r="J1350" s="1740">
        <f t="shared" si="191"/>
        <v>9</v>
      </c>
      <c r="K1350" s="1171">
        <f t="shared" si="192"/>
        <v>20</v>
      </c>
      <c r="L1350" s="1741" t="s">
        <v>185</v>
      </c>
      <c r="M1350" s="223"/>
      <c r="N1350" s="1430"/>
      <c r="O1350" s="1135"/>
      <c r="P1350" s="223"/>
      <c r="Q1350" s="223"/>
      <c r="R1350" s="1431"/>
      <c r="S1350" s="223"/>
      <c r="T1350" s="223"/>
      <c r="U1350" s="223"/>
      <c r="V1350" s="395" t="s">
        <v>31</v>
      </c>
      <c r="W1350" s="396"/>
      <c r="X1350" s="325"/>
      <c r="Y1350" s="98">
        <v>74.52</v>
      </c>
      <c r="Z1350" s="325">
        <v>74.52</v>
      </c>
      <c r="AA1350" s="325">
        <v>74.52</v>
      </c>
      <c r="AB1350" s="325">
        <v>74.52</v>
      </c>
      <c r="AC1350" s="2690">
        <v>72.7</v>
      </c>
      <c r="AD1350" s="395"/>
      <c r="AE1350" s="395"/>
      <c r="AF1350" s="395"/>
      <c r="AG1350" s="395"/>
      <c r="AI1350" s="97"/>
      <c r="AJ1350" s="97"/>
      <c r="AK1350" s="97"/>
      <c r="AL1350" s="97"/>
      <c r="AM1350" s="97"/>
      <c r="AN1350" s="97"/>
      <c r="AO1350" s="97"/>
      <c r="AP1350" s="97"/>
      <c r="AQ1350" s="97"/>
      <c r="AR1350" s="97"/>
      <c r="AS1350" s="97"/>
      <c r="AU1350" s="164"/>
      <c r="BB1350" s="52">
        <f t="shared" si="193"/>
        <v>3.5266222572898318</v>
      </c>
      <c r="BC1350" s="1948" t="str">
        <f t="shared" si="194"/>
        <v>Cooling RES 9 Year EUL</v>
      </c>
      <c r="BD1350" s="114">
        <f>(INDEX('Avoided Cost Benefits'!$C$4:$C$857,MATCH(BC1350,'Avoided Cost Benefits'!$A$4:$A$857,0)))*F1350</f>
        <v>66.571444215003893</v>
      </c>
      <c r="BE1350" s="1949">
        <f t="shared" si="195"/>
        <v>18.876828692779611</v>
      </c>
    </row>
    <row r="1351" spans="1:57" s="392" customFormat="1" x14ac:dyDescent="0.25">
      <c r="A1351" s="223"/>
      <c r="B1351" s="151"/>
      <c r="C1351" s="3260" t="s">
        <v>2303</v>
      </c>
      <c r="D1351" s="2695" t="s">
        <v>1577</v>
      </c>
      <c r="E1351" s="1742" t="s">
        <v>2304</v>
      </c>
      <c r="F1351" s="2692">
        <f>ROUND(($H$1378*$H$1372*(1/$H$1376-1/$H$1375)/1000*$F$1380),2)</f>
        <v>194.59</v>
      </c>
      <c r="G1351" s="1743" t="s">
        <v>258</v>
      </c>
      <c r="H1351" s="1563">
        <f>VLOOKUP(G1351,'CP FACTORS'!$A$3:$B$38, 2, FALSE)</f>
        <v>9.4741810000000004E-4</v>
      </c>
      <c r="I1351" s="1744">
        <f t="shared" si="190"/>
        <v>0.18435799999999999</v>
      </c>
      <c r="J1351" s="1745">
        <f t="shared" si="191"/>
        <v>9</v>
      </c>
      <c r="K1351" s="1746">
        <f t="shared" si="192"/>
        <v>20</v>
      </c>
      <c r="L1351" s="1747" t="s">
        <v>185</v>
      </c>
      <c r="M1351" s="223"/>
      <c r="N1351" s="1430"/>
      <c r="O1351" s="1135"/>
      <c r="P1351" s="223"/>
      <c r="Q1351" s="223"/>
      <c r="R1351" s="1431"/>
      <c r="S1351" s="223"/>
      <c r="T1351" s="223"/>
      <c r="U1351" s="223"/>
      <c r="V1351" s="395" t="s">
        <v>31</v>
      </c>
      <c r="W1351" s="396"/>
      <c r="X1351" s="325"/>
      <c r="Y1351" s="98">
        <v>199.46</v>
      </c>
      <c r="Z1351" s="325">
        <v>199.46</v>
      </c>
      <c r="AA1351" s="325">
        <v>199.46</v>
      </c>
      <c r="AB1351" s="325">
        <v>199.46</v>
      </c>
      <c r="AC1351" s="2690">
        <v>194.59</v>
      </c>
      <c r="AD1351" s="395"/>
      <c r="AE1351" s="395"/>
      <c r="AF1351" s="395"/>
      <c r="AG1351" s="395"/>
      <c r="AI1351" s="97"/>
      <c r="AJ1351" s="97"/>
      <c r="AK1351" s="97"/>
      <c r="AL1351" s="97"/>
      <c r="AM1351" s="97"/>
      <c r="AN1351" s="97"/>
      <c r="AO1351" s="97"/>
      <c r="AP1351" s="97"/>
      <c r="AQ1351" s="97"/>
      <c r="AR1351" s="97"/>
      <c r="AS1351" s="97"/>
      <c r="AU1351" s="164"/>
      <c r="BB1351" s="52">
        <f t="shared" si="193"/>
        <v>9.4394143747734311</v>
      </c>
      <c r="BC1351" s="1948" t="str">
        <f t="shared" si="194"/>
        <v>Cooling RES 9 Year EUL</v>
      </c>
      <c r="BD1351" s="114">
        <f>(INDEX('Avoided Cost Benefits'!$C$4:$C$857,MATCH(BC1351,'Avoided Cost Benefits'!$A$4:$A$857,0)))*F1351</f>
        <v>178.1862081127594</v>
      </c>
      <c r="BE1351" s="1949">
        <f t="shared" si="195"/>
        <v>18.876828692779611</v>
      </c>
    </row>
    <row r="1352" spans="1:57" s="392" customFormat="1" x14ac:dyDescent="0.25">
      <c r="A1352" s="223"/>
      <c r="B1352" s="151"/>
      <c r="C1352" s="3258" t="s">
        <v>2305</v>
      </c>
      <c r="D1352" s="2695" t="s">
        <v>1571</v>
      </c>
      <c r="E1352" s="154" t="s">
        <v>2306</v>
      </c>
      <c r="F1352" s="2690">
        <f>ROUND(($F$1378*$F$1372*(1/$F$1374-1/$F$1375)/1000*$F$1380),2)</f>
        <v>87.24</v>
      </c>
      <c r="G1352" s="3226" t="s">
        <v>258</v>
      </c>
      <c r="H1352" s="155">
        <f>VLOOKUP(G1352,'CP FACTORS'!$A$3:$B$38, 2, FALSE)</f>
        <v>9.4741810000000004E-4</v>
      </c>
      <c r="I1352" s="1531">
        <f t="shared" si="190"/>
        <v>8.2653000000000004E-2</v>
      </c>
      <c r="J1352" s="325">
        <f t="shared" si="191"/>
        <v>9</v>
      </c>
      <c r="K1352" s="1169">
        <f t="shared" si="192"/>
        <v>20</v>
      </c>
      <c r="L1352" s="1736" t="s">
        <v>185</v>
      </c>
      <c r="M1352" s="223"/>
      <c r="N1352" s="1430"/>
      <c r="O1352" s="1135"/>
      <c r="P1352" s="223"/>
      <c r="Q1352" s="223"/>
      <c r="R1352" s="1431"/>
      <c r="S1352" s="223"/>
      <c r="T1352" s="223"/>
      <c r="U1352" s="223"/>
      <c r="V1352" s="395" t="s">
        <v>31</v>
      </c>
      <c r="W1352" s="396"/>
      <c r="X1352" s="325"/>
      <c r="Y1352" s="98">
        <v>89.42</v>
      </c>
      <c r="Z1352" s="325">
        <v>89.42</v>
      </c>
      <c r="AA1352" s="325">
        <v>89.42</v>
      </c>
      <c r="AB1352" s="325">
        <v>89.42</v>
      </c>
      <c r="AC1352" s="2690">
        <v>87.24</v>
      </c>
      <c r="AD1352" s="395"/>
      <c r="AE1352" s="395"/>
      <c r="AF1352" s="395"/>
      <c r="AG1352" s="395"/>
      <c r="AI1352" s="97"/>
      <c r="AJ1352" s="97"/>
      <c r="AK1352" s="97"/>
      <c r="AL1352" s="97"/>
      <c r="AM1352" s="97"/>
      <c r="AN1352" s="97"/>
      <c r="AO1352" s="97"/>
      <c r="AP1352" s="97"/>
      <c r="AQ1352" s="97"/>
      <c r="AR1352" s="97"/>
      <c r="AS1352" s="97"/>
      <c r="AU1352" s="164"/>
      <c r="BB1352" s="52">
        <f t="shared" si="193"/>
        <v>4.2319467087477971</v>
      </c>
      <c r="BC1352" s="1948" t="str">
        <f t="shared" si="194"/>
        <v>Cooling RES 9 Year EUL</v>
      </c>
      <c r="BD1352" s="114">
        <f>(INDEX('Avoided Cost Benefits'!$C$4:$C$857,MATCH(BC1352,'Avoided Cost Benefits'!$A$4:$A$857,0)))*F1352</f>
        <v>79.885733058004661</v>
      </c>
      <c r="BE1352" s="1949">
        <f t="shared" si="195"/>
        <v>18.876828692779611</v>
      </c>
    </row>
    <row r="1353" spans="1:57" s="392" customFormat="1" x14ac:dyDescent="0.25">
      <c r="A1353" s="223"/>
      <c r="B1353" s="151"/>
      <c r="C1353" s="3258" t="s">
        <v>2307</v>
      </c>
      <c r="D1353" s="2695" t="s">
        <v>1577</v>
      </c>
      <c r="E1353" s="154" t="s">
        <v>2308</v>
      </c>
      <c r="F1353" s="2690">
        <f>ROUND(($H$1378*$H$1372*(1/$H$1376-1/$H$1375)/1000*$F$1380),2)</f>
        <v>194.59</v>
      </c>
      <c r="G1353" s="3226" t="s">
        <v>258</v>
      </c>
      <c r="H1353" s="155">
        <f>VLOOKUP(G1353,'CP FACTORS'!$A$3:$B$38, 2, FALSE)</f>
        <v>9.4741810000000004E-4</v>
      </c>
      <c r="I1353" s="1531">
        <f t="shared" si="190"/>
        <v>0.18435799999999999</v>
      </c>
      <c r="J1353" s="325">
        <f t="shared" si="191"/>
        <v>9</v>
      </c>
      <c r="K1353" s="1169">
        <f t="shared" si="192"/>
        <v>20</v>
      </c>
      <c r="L1353" s="1736" t="s">
        <v>185</v>
      </c>
      <c r="M1353" s="223"/>
      <c r="N1353" s="1430"/>
      <c r="O1353" s="1135"/>
      <c r="P1353" s="223"/>
      <c r="Q1353" s="223"/>
      <c r="R1353" s="1431"/>
      <c r="S1353" s="223"/>
      <c r="T1353" s="223"/>
      <c r="U1353" s="223"/>
      <c r="V1353" s="395" t="s">
        <v>31</v>
      </c>
      <c r="W1353" s="396"/>
      <c r="X1353" s="325"/>
      <c r="Y1353" s="98">
        <v>199.46</v>
      </c>
      <c r="Z1353" s="325">
        <v>199.46</v>
      </c>
      <c r="AA1353" s="325">
        <v>199.46</v>
      </c>
      <c r="AB1353" s="325">
        <v>199.46</v>
      </c>
      <c r="AC1353" s="2690">
        <v>194.59</v>
      </c>
      <c r="AD1353" s="395"/>
      <c r="AE1353" s="395"/>
      <c r="AF1353" s="395"/>
      <c r="AG1353" s="395"/>
      <c r="AI1353" s="97"/>
      <c r="AJ1353" s="97"/>
      <c r="AK1353" s="97"/>
      <c r="AL1353" s="97"/>
      <c r="AM1353" s="97"/>
      <c r="AN1353" s="97"/>
      <c r="AO1353" s="97"/>
      <c r="AP1353" s="97"/>
      <c r="AQ1353" s="97"/>
      <c r="AR1353" s="97"/>
      <c r="AS1353" s="97"/>
      <c r="AU1353" s="164"/>
      <c r="BB1353" s="52">
        <f t="shared" si="193"/>
        <v>9.4394143747734311</v>
      </c>
      <c r="BC1353" s="1948" t="str">
        <f t="shared" si="194"/>
        <v>Cooling RES 9 Year EUL</v>
      </c>
      <c r="BD1353" s="114">
        <f>(INDEX('Avoided Cost Benefits'!$C$4:$C$857,MATCH(BC1353,'Avoided Cost Benefits'!$A$4:$A$857,0)))*F1353</f>
        <v>178.1862081127594</v>
      </c>
      <c r="BE1353" s="1949">
        <f t="shared" si="195"/>
        <v>18.876828692779611</v>
      </c>
    </row>
    <row r="1354" spans="1:57" s="392" customFormat="1" ht="15.75" thickBot="1" x14ac:dyDescent="0.3">
      <c r="A1354" s="223"/>
      <c r="B1354" s="151"/>
      <c r="C1354" s="3259" t="s">
        <v>2309</v>
      </c>
      <c r="D1354" s="2696" t="s">
        <v>1571</v>
      </c>
      <c r="E1354" s="1170" t="s">
        <v>2310</v>
      </c>
      <c r="F1354" s="2691">
        <f>ROUND(($F$1378*$F$1372*(1/$F$1374-1/$F$1375)/1000*$F$1380),2)</f>
        <v>87.24</v>
      </c>
      <c r="G1354" s="1737" t="s">
        <v>258</v>
      </c>
      <c r="H1354" s="1738">
        <f>VLOOKUP(G1354,'CP FACTORS'!$A$3:$B$38, 2, FALSE)</f>
        <v>9.4741810000000004E-4</v>
      </c>
      <c r="I1354" s="1739">
        <f t="shared" si="190"/>
        <v>8.2653000000000004E-2</v>
      </c>
      <c r="J1354" s="1740">
        <f t="shared" si="191"/>
        <v>9</v>
      </c>
      <c r="K1354" s="1171">
        <f t="shared" si="192"/>
        <v>20</v>
      </c>
      <c r="L1354" s="1741" t="s">
        <v>185</v>
      </c>
      <c r="M1354" s="223"/>
      <c r="N1354" s="1430"/>
      <c r="O1354" s="1135"/>
      <c r="P1354" s="223"/>
      <c r="Q1354" s="223"/>
      <c r="R1354" s="1431"/>
      <c r="S1354" s="223"/>
      <c r="T1354" s="223"/>
      <c r="U1354" s="223"/>
      <c r="V1354" s="395" t="s">
        <v>31</v>
      </c>
      <c r="W1354" s="396"/>
      <c r="X1354" s="325"/>
      <c r="Y1354" s="98">
        <v>89.42</v>
      </c>
      <c r="Z1354" s="325">
        <v>89.42</v>
      </c>
      <c r="AA1354" s="325">
        <v>89.42</v>
      </c>
      <c r="AB1354" s="325">
        <v>89.42</v>
      </c>
      <c r="AC1354" s="2690">
        <v>87.24</v>
      </c>
      <c r="AD1354" s="395"/>
      <c r="AE1354" s="395"/>
      <c r="AF1354" s="395"/>
      <c r="AG1354" s="395"/>
      <c r="AI1354" s="97"/>
      <c r="AJ1354" s="97"/>
      <c r="AK1354" s="97"/>
      <c r="AL1354" s="97"/>
      <c r="AM1354" s="97"/>
      <c r="AN1354" s="97"/>
      <c r="AO1354" s="97"/>
      <c r="AP1354" s="97"/>
      <c r="AQ1354" s="97"/>
      <c r="AR1354" s="97"/>
      <c r="AS1354" s="97"/>
      <c r="AU1354" s="164"/>
      <c r="BB1354" s="52">
        <f t="shared" si="193"/>
        <v>4.2319467087477971</v>
      </c>
      <c r="BC1354" s="1948" t="str">
        <f t="shared" si="194"/>
        <v>Cooling RES 9 Year EUL</v>
      </c>
      <c r="BD1354" s="114">
        <f>(INDEX('Avoided Cost Benefits'!$C$4:$C$857,MATCH(BC1354,'Avoided Cost Benefits'!$A$4:$A$857,0)))*F1354</f>
        <v>79.885733058004661</v>
      </c>
      <c r="BE1354" s="1949">
        <f t="shared" si="195"/>
        <v>18.876828692779611</v>
      </c>
    </row>
    <row r="1355" spans="1:57" s="392" customFormat="1" x14ac:dyDescent="0.25">
      <c r="A1355" s="223"/>
      <c r="B1355" s="151"/>
      <c r="C1355" s="3260" t="s">
        <v>2311</v>
      </c>
      <c r="D1355" s="2695" t="s">
        <v>1577</v>
      </c>
      <c r="E1355" s="1742" t="s">
        <v>2312</v>
      </c>
      <c r="F1355" s="2692">
        <f>ROUND(($H$1378*$H$1373*(1/$H$1376-1/$H$1375)/1000*$F$1380),2)</f>
        <v>243.24</v>
      </c>
      <c r="G1355" s="1743" t="s">
        <v>258</v>
      </c>
      <c r="H1355" s="1563">
        <f>VLOOKUP(G1355,'CP FACTORS'!$A$3:$B$38, 2, FALSE)</f>
        <v>9.4741810000000004E-4</v>
      </c>
      <c r="I1355" s="1744">
        <f t="shared" si="190"/>
        <v>0.23044999999999999</v>
      </c>
      <c r="J1355" s="1745">
        <f t="shared" si="191"/>
        <v>9</v>
      </c>
      <c r="K1355" s="1746">
        <f t="shared" si="192"/>
        <v>20</v>
      </c>
      <c r="L1355" s="1747" t="s">
        <v>185</v>
      </c>
      <c r="M1355" s="223"/>
      <c r="N1355" s="1430"/>
      <c r="O1355" s="1135"/>
      <c r="P1355" s="223"/>
      <c r="Q1355" s="223"/>
      <c r="R1355" s="1431"/>
      <c r="S1355" s="223"/>
      <c r="T1355" s="223"/>
      <c r="U1355" s="223"/>
      <c r="V1355" s="395" t="s">
        <v>31</v>
      </c>
      <c r="W1355" s="396"/>
      <c r="X1355" s="325"/>
      <c r="Y1355" s="98">
        <v>249.32</v>
      </c>
      <c r="Z1355" s="325">
        <v>249.32</v>
      </c>
      <c r="AA1355" s="325">
        <v>249.32</v>
      </c>
      <c r="AB1355" s="325">
        <v>249.32</v>
      </c>
      <c r="AC1355" s="2690">
        <v>243.24</v>
      </c>
      <c r="AD1355" s="395"/>
      <c r="AE1355" s="395"/>
      <c r="AF1355" s="395"/>
      <c r="AG1355" s="395"/>
      <c r="AI1355" s="97"/>
      <c r="AJ1355" s="97"/>
      <c r="AK1355" s="97"/>
      <c r="AL1355" s="97"/>
      <c r="AM1355" s="97"/>
      <c r="AN1355" s="97"/>
      <c r="AO1355" s="97"/>
      <c r="AP1355" s="97"/>
      <c r="AQ1355" s="97"/>
      <c r="AR1355" s="97"/>
      <c r="AS1355" s="97"/>
      <c r="AU1355" s="164"/>
      <c r="BB1355" s="52">
        <f t="shared" si="193"/>
        <v>11.799389241584301</v>
      </c>
      <c r="BC1355" s="1948" t="str">
        <f t="shared" si="194"/>
        <v>Cooling RES 9 Year EUL</v>
      </c>
      <c r="BD1355" s="114">
        <f>(INDEX('Avoided Cost Benefits'!$C$4:$C$857,MATCH(BC1355,'Avoided Cost Benefits'!$A$4:$A$857,0)))*F1355</f>
        <v>222.73504939281358</v>
      </c>
      <c r="BE1355" s="1949">
        <f t="shared" si="195"/>
        <v>18.876828692779611</v>
      </c>
    </row>
    <row r="1356" spans="1:57" s="392" customFormat="1" x14ac:dyDescent="0.25">
      <c r="A1356" s="223"/>
      <c r="B1356" s="151"/>
      <c r="C1356" s="3258" t="s">
        <v>2313</v>
      </c>
      <c r="D1356" s="2695" t="s">
        <v>1571</v>
      </c>
      <c r="E1356" s="154" t="s">
        <v>2314</v>
      </c>
      <c r="F1356" s="2690">
        <f>ROUND(($F$1378*$F$1373*(1/$F$1374-1/$F$1375)/1000*$F$1380),2)</f>
        <v>109.05</v>
      </c>
      <c r="G1356" s="3226" t="s">
        <v>258</v>
      </c>
      <c r="H1356" s="155">
        <f>VLOOKUP(G1356,'CP FACTORS'!$A$3:$B$38, 2, FALSE)</f>
        <v>9.4741810000000004E-4</v>
      </c>
      <c r="I1356" s="1531">
        <f t="shared" si="190"/>
        <v>0.10331600000000001</v>
      </c>
      <c r="J1356" s="325">
        <f t="shared" si="191"/>
        <v>9</v>
      </c>
      <c r="K1356" s="1169">
        <f t="shared" si="192"/>
        <v>20</v>
      </c>
      <c r="L1356" s="1736" t="s">
        <v>185</v>
      </c>
      <c r="M1356" s="223"/>
      <c r="N1356" s="1430"/>
      <c r="O1356" s="1135"/>
      <c r="P1356" s="223"/>
      <c r="Q1356" s="223"/>
      <c r="R1356" s="1431"/>
      <c r="S1356" s="223"/>
      <c r="T1356" s="223"/>
      <c r="U1356" s="223"/>
      <c r="V1356" s="395" t="s">
        <v>31</v>
      </c>
      <c r="W1356" s="396"/>
      <c r="X1356" s="325"/>
      <c r="Y1356" s="98">
        <v>111.77</v>
      </c>
      <c r="Z1356" s="325">
        <v>111.77</v>
      </c>
      <c r="AA1356" s="325">
        <v>111.77</v>
      </c>
      <c r="AB1356" s="325">
        <v>111.77</v>
      </c>
      <c r="AC1356" s="2690">
        <v>109.05</v>
      </c>
      <c r="AD1356" s="395"/>
      <c r="AE1356" s="395"/>
      <c r="AF1356" s="395"/>
      <c r="AG1356" s="395"/>
      <c r="AI1356" s="97"/>
      <c r="AJ1356" s="97"/>
      <c r="AK1356" s="97"/>
      <c r="AL1356" s="97"/>
      <c r="AM1356" s="97"/>
      <c r="AN1356" s="97"/>
      <c r="AO1356" s="97"/>
      <c r="AP1356" s="97"/>
      <c r="AQ1356" s="97"/>
      <c r="AR1356" s="97"/>
      <c r="AS1356" s="97"/>
      <c r="AU1356" s="164"/>
      <c r="BB1356" s="52">
        <f t="shared" si="193"/>
        <v>5.2899333859347468</v>
      </c>
      <c r="BC1356" s="1948" t="str">
        <f t="shared" si="194"/>
        <v>Cooling RES 9 Year EUL</v>
      </c>
      <c r="BD1356" s="114">
        <f>(INDEX('Avoided Cost Benefits'!$C$4:$C$857,MATCH(BC1356,'Avoided Cost Benefits'!$A$4:$A$857,0)))*F1356</f>
        <v>99.857166322505833</v>
      </c>
      <c r="BE1356" s="1949">
        <f t="shared" si="195"/>
        <v>18.876828692779611</v>
      </c>
    </row>
    <row r="1357" spans="1:57" s="392" customFormat="1" x14ac:dyDescent="0.25">
      <c r="A1357" s="223"/>
      <c r="B1357" s="151"/>
      <c r="C1357" s="3258" t="s">
        <v>2315</v>
      </c>
      <c r="D1357" s="2695" t="s">
        <v>1577</v>
      </c>
      <c r="E1357" s="154" t="s">
        <v>2316</v>
      </c>
      <c r="F1357" s="2690">
        <f>ROUND(($H$1378*$H$1373*(1/$H$1376-1/$H$1375)/1000*$F$1380),2)</f>
        <v>243.24</v>
      </c>
      <c r="G1357" s="3226" t="s">
        <v>258</v>
      </c>
      <c r="H1357" s="155">
        <f>VLOOKUP(G1357,'CP FACTORS'!$A$3:$B$38, 2, FALSE)</f>
        <v>9.4741810000000004E-4</v>
      </c>
      <c r="I1357" s="1531">
        <f t="shared" si="190"/>
        <v>0.23044999999999999</v>
      </c>
      <c r="J1357" s="325">
        <f t="shared" si="191"/>
        <v>9</v>
      </c>
      <c r="K1357" s="1169">
        <f t="shared" si="192"/>
        <v>20</v>
      </c>
      <c r="L1357" s="1736" t="s">
        <v>185</v>
      </c>
      <c r="M1357" s="223"/>
      <c r="N1357" s="1430"/>
      <c r="O1357" s="1135"/>
      <c r="P1357" s="223"/>
      <c r="Q1357" s="223"/>
      <c r="R1357" s="1431"/>
      <c r="S1357" s="223"/>
      <c r="T1357" s="223"/>
      <c r="U1357" s="223"/>
      <c r="V1357" s="395" t="s">
        <v>31</v>
      </c>
      <c r="W1357" s="396"/>
      <c r="X1357" s="325"/>
      <c r="Y1357" s="98">
        <v>249.32</v>
      </c>
      <c r="Z1357" s="325">
        <v>249.32</v>
      </c>
      <c r="AA1357" s="325">
        <v>249.32</v>
      </c>
      <c r="AB1357" s="325">
        <v>249.32</v>
      </c>
      <c r="AC1357" s="2690">
        <v>243.24</v>
      </c>
      <c r="AD1357" s="395"/>
      <c r="AE1357" s="395"/>
      <c r="AF1357" s="395"/>
      <c r="AG1357" s="395"/>
      <c r="AI1357" s="97"/>
      <c r="AJ1357" s="97"/>
      <c r="AK1357" s="97"/>
      <c r="AL1357" s="97"/>
      <c r="AM1357" s="97"/>
      <c r="AN1357" s="97"/>
      <c r="AO1357" s="97"/>
      <c r="AP1357" s="97"/>
      <c r="AQ1357" s="97"/>
      <c r="AR1357" s="97"/>
      <c r="AS1357" s="97"/>
      <c r="AU1357" s="164"/>
      <c r="BB1357" s="52">
        <f t="shared" si="193"/>
        <v>11.799389241584301</v>
      </c>
      <c r="BC1357" s="1948" t="str">
        <f t="shared" si="194"/>
        <v>Cooling RES 9 Year EUL</v>
      </c>
      <c r="BD1357" s="114">
        <f>(INDEX('Avoided Cost Benefits'!$C$4:$C$857,MATCH(BC1357,'Avoided Cost Benefits'!$A$4:$A$857,0)))*F1357</f>
        <v>222.73504939281358</v>
      </c>
      <c r="BE1357" s="1949">
        <f t="shared" si="195"/>
        <v>18.876828692779611</v>
      </c>
    </row>
    <row r="1358" spans="1:57" s="392" customFormat="1" x14ac:dyDescent="0.25">
      <c r="A1358" s="223"/>
      <c r="B1358" s="151"/>
      <c r="C1358" s="3258" t="s">
        <v>2317</v>
      </c>
      <c r="D1358" s="2695" t="s">
        <v>1571</v>
      </c>
      <c r="E1358" s="154" t="s">
        <v>2318</v>
      </c>
      <c r="F1358" s="2690">
        <f>ROUND(($F$1378*$F$1373*(1/$F$1374-1/$F$1375)/1000*$F$1380),2)</f>
        <v>109.05</v>
      </c>
      <c r="G1358" s="3226" t="s">
        <v>258</v>
      </c>
      <c r="H1358" s="155">
        <f>VLOOKUP(G1358,'CP FACTORS'!$A$3:$B$38, 2, FALSE)</f>
        <v>9.4741810000000004E-4</v>
      </c>
      <c r="I1358" s="1531">
        <f t="shared" si="190"/>
        <v>0.10331600000000001</v>
      </c>
      <c r="J1358" s="325">
        <f t="shared" si="191"/>
        <v>9</v>
      </c>
      <c r="K1358" s="1169">
        <f t="shared" si="192"/>
        <v>20</v>
      </c>
      <c r="L1358" s="1736" t="s">
        <v>185</v>
      </c>
      <c r="M1358" s="223"/>
      <c r="N1358" s="1430"/>
      <c r="O1358" s="1135"/>
      <c r="P1358" s="223"/>
      <c r="Q1358" s="223"/>
      <c r="R1358" s="1431"/>
      <c r="S1358" s="223"/>
      <c r="T1358" s="223"/>
      <c r="U1358" s="223"/>
      <c r="V1358" s="395" t="s">
        <v>31</v>
      </c>
      <c r="W1358" s="396"/>
      <c r="X1358" s="325"/>
      <c r="Y1358" s="98">
        <v>111.77</v>
      </c>
      <c r="Z1358" s="325">
        <v>111.77</v>
      </c>
      <c r="AA1358" s="325">
        <v>111.77</v>
      </c>
      <c r="AB1358" s="325">
        <v>111.77</v>
      </c>
      <c r="AC1358" s="2690">
        <v>109.05</v>
      </c>
      <c r="AD1358" s="395"/>
      <c r="AE1358" s="395"/>
      <c r="AF1358" s="395"/>
      <c r="AG1358" s="395"/>
      <c r="AI1358" s="97"/>
      <c r="AJ1358" s="97"/>
      <c r="AK1358" s="97"/>
      <c r="AL1358" s="97"/>
      <c r="AM1358" s="97"/>
      <c r="AN1358" s="97"/>
      <c r="AO1358" s="97"/>
      <c r="AP1358" s="97"/>
      <c r="AQ1358" s="97"/>
      <c r="AR1358" s="97"/>
      <c r="AS1358" s="97"/>
      <c r="AU1358" s="164"/>
      <c r="BB1358" s="53">
        <f t="shared" si="193"/>
        <v>5.2899333859347468</v>
      </c>
      <c r="BC1358" s="1948" t="str">
        <f t="shared" si="194"/>
        <v>Cooling RES 9 Year EUL</v>
      </c>
      <c r="BD1358" s="119">
        <f>(INDEX('Avoided Cost Benefits'!$C$4:$C$857,MATCH(BC1358,'Avoided Cost Benefits'!$A$4:$A$857,0)))*F1358</f>
        <v>99.857166322505833</v>
      </c>
      <c r="BE1358" s="1950">
        <f t="shared" si="195"/>
        <v>18.876828692779611</v>
      </c>
    </row>
    <row r="1359" spans="1:57" s="97" customFormat="1" ht="42" hidden="1" customHeight="1" outlineLevel="1" x14ac:dyDescent="0.25">
      <c r="A1359" s="223"/>
      <c r="B1359" s="401"/>
      <c r="C1359" s="149"/>
      <c r="D1359" s="180"/>
      <c r="E1359" s="398" t="s">
        <v>2319</v>
      </c>
      <c r="F1359" s="399"/>
      <c r="G1359" s="151"/>
      <c r="H1359" s="151"/>
      <c r="I1359" s="123"/>
      <c r="J1359" s="123"/>
      <c r="K1359" s="123"/>
      <c r="L1359" s="1446"/>
      <c r="M1359" s="1434"/>
      <c r="N1359" s="1434"/>
      <c r="O1359" s="401"/>
      <c r="P1359" s="223"/>
      <c r="Q1359" s="223"/>
      <c r="R1359" s="223"/>
      <c r="S1359" s="223"/>
      <c r="T1359" s="223"/>
      <c r="U1359" s="223"/>
      <c r="X1359" s="39"/>
      <c r="Y1359" s="1172"/>
      <c r="Z1359" s="39"/>
      <c r="AA1359" s="39"/>
      <c r="AB1359" s="39"/>
      <c r="AC1359" s="39"/>
      <c r="AD1359" s="39"/>
      <c r="AE1359" s="39"/>
      <c r="AF1359" s="39"/>
      <c r="AG1359" s="39"/>
      <c r="AH1359" s="39"/>
      <c r="AI1359" s="39"/>
      <c r="AJ1359" s="39"/>
      <c r="AK1359" s="39"/>
      <c r="AU1359" s="164"/>
      <c r="BB1359" s="1002"/>
    </row>
    <row r="1360" spans="1:57" s="97" customFormat="1" hidden="1" outlineLevel="1" x14ac:dyDescent="0.25">
      <c r="A1360" s="223"/>
      <c r="B1360" s="401"/>
      <c r="C1360" s="149"/>
      <c r="D1360" s="174" t="s">
        <v>108</v>
      </c>
      <c r="E1360" s="400"/>
      <c r="F1360" s="176"/>
      <c r="G1360" s="151"/>
      <c r="H1360" s="401"/>
      <c r="I1360" s="123"/>
      <c r="J1360" s="123"/>
      <c r="K1360" s="123"/>
      <c r="L1360" s="151"/>
      <c r="M1360" s="1434"/>
      <c r="N1360" s="1434"/>
      <c r="O1360" s="401"/>
      <c r="P1360" s="223"/>
      <c r="Q1360" s="223"/>
      <c r="R1360" s="223"/>
      <c r="S1360" s="223"/>
      <c r="T1360" s="223"/>
      <c r="U1360" s="223"/>
      <c r="X1360" s="39"/>
      <c r="Y1360" s="1173"/>
      <c r="Z1360" s="39"/>
      <c r="AA1360" s="39"/>
      <c r="AB1360" s="39"/>
      <c r="AC1360" s="39"/>
      <c r="AD1360" s="39"/>
      <c r="AE1360" s="39"/>
      <c r="AF1360" s="39"/>
      <c r="AG1360" s="39"/>
      <c r="AH1360" s="39"/>
      <c r="AI1360" s="39"/>
      <c r="AJ1360" s="39"/>
      <c r="AK1360" s="39"/>
      <c r="AU1360" s="164"/>
      <c r="BB1360" s="1002"/>
    </row>
    <row r="1361" spans="1:54" s="97" customFormat="1" hidden="1" outlineLevel="1" x14ac:dyDescent="0.25">
      <c r="A1361" s="223"/>
      <c r="B1361" s="401"/>
      <c r="C1361" s="149"/>
      <c r="D1361" s="180"/>
      <c r="E1361" s="402"/>
      <c r="F1361" s="176"/>
      <c r="G1361" s="151"/>
      <c r="H1361" s="401"/>
      <c r="I1361" s="123"/>
      <c r="J1361" s="123"/>
      <c r="K1361" s="123"/>
      <c r="L1361" s="151"/>
      <c r="M1361" s="1434"/>
      <c r="N1361" s="1434"/>
      <c r="O1361" s="401"/>
      <c r="P1361" s="223"/>
      <c r="Q1361" s="223"/>
      <c r="R1361" s="223"/>
      <c r="S1361" s="223"/>
      <c r="T1361" s="223"/>
      <c r="U1361" s="223"/>
      <c r="X1361" s="39"/>
      <c r="Y1361" s="1172"/>
      <c r="Z1361" s="39"/>
      <c r="AA1361" s="39"/>
      <c r="AB1361" s="39"/>
      <c r="AC1361" s="39"/>
      <c r="AD1361" s="39"/>
      <c r="AE1361" s="39"/>
      <c r="AF1361" s="39"/>
      <c r="AG1361" s="39"/>
      <c r="AH1361" s="39"/>
      <c r="AI1361" s="39"/>
      <c r="AJ1361" s="39"/>
      <c r="AK1361" s="39"/>
      <c r="AU1361" s="164"/>
      <c r="BB1361" s="1002"/>
    </row>
    <row r="1362" spans="1:54" s="97" customFormat="1" hidden="1" outlineLevel="1" x14ac:dyDescent="0.25">
      <c r="A1362" s="223"/>
      <c r="B1362" s="401"/>
      <c r="C1362" s="149"/>
      <c r="D1362" s="180"/>
      <c r="E1362" s="180"/>
      <c r="F1362" s="176"/>
      <c r="G1362" s="151"/>
      <c r="H1362" s="401"/>
      <c r="I1362" s="123"/>
      <c r="J1362" s="123"/>
      <c r="K1362" s="123"/>
      <c r="L1362" s="151"/>
      <c r="M1362" s="1434"/>
      <c r="N1362" s="1434"/>
      <c r="O1362" s="401"/>
      <c r="P1362" s="223"/>
      <c r="Q1362" s="223"/>
      <c r="R1362" s="223"/>
      <c r="S1362" s="223"/>
      <c r="T1362" s="223"/>
      <c r="U1362" s="223"/>
      <c r="X1362" s="39"/>
      <c r="Y1362" s="1173"/>
      <c r="Z1362" s="39"/>
      <c r="AA1362" s="39"/>
      <c r="AB1362" s="39"/>
      <c r="AC1362" s="39"/>
      <c r="AD1362" s="39"/>
      <c r="AE1362" s="39"/>
      <c r="AF1362" s="39"/>
      <c r="AG1362" s="39"/>
      <c r="AH1362" s="39"/>
      <c r="AI1362" s="39"/>
      <c r="AJ1362" s="39"/>
      <c r="AK1362" s="39"/>
      <c r="AU1362" s="164"/>
      <c r="BB1362" s="1002"/>
    </row>
    <row r="1363" spans="1:54" s="97" customFormat="1" hidden="1" outlineLevel="1" x14ac:dyDescent="0.25">
      <c r="A1363" s="223"/>
      <c r="B1363" s="401"/>
      <c r="C1363" s="149"/>
      <c r="D1363" s="180"/>
      <c r="E1363" s="180"/>
      <c r="F1363" s="176"/>
      <c r="G1363" s="151"/>
      <c r="H1363" s="401"/>
      <c r="I1363" s="123"/>
      <c r="J1363" s="123"/>
      <c r="K1363" s="123"/>
      <c r="L1363" s="151"/>
      <c r="M1363" s="1434"/>
      <c r="N1363" s="1434"/>
      <c r="O1363" s="401"/>
      <c r="P1363" s="223"/>
      <c r="Q1363" s="223"/>
      <c r="R1363" s="223"/>
      <c r="S1363" s="223"/>
      <c r="T1363" s="223"/>
      <c r="U1363" s="223"/>
      <c r="X1363" s="39"/>
      <c r="Y1363" s="1173"/>
      <c r="Z1363" s="39"/>
      <c r="AA1363" s="39"/>
      <c r="AB1363" s="39"/>
      <c r="AC1363" s="39"/>
      <c r="AD1363" s="39"/>
      <c r="AE1363" s="39"/>
      <c r="AF1363" s="39"/>
      <c r="AG1363" s="39"/>
      <c r="AH1363" s="39"/>
      <c r="AI1363" s="39"/>
      <c r="AJ1363" s="39"/>
      <c r="AK1363" s="39"/>
      <c r="AU1363" s="164"/>
      <c r="BB1363" s="1002"/>
    </row>
    <row r="1364" spans="1:54" s="97" customFormat="1" hidden="1" outlineLevel="1" x14ac:dyDescent="0.25">
      <c r="A1364" s="223"/>
      <c r="B1364" s="401"/>
      <c r="C1364" s="149"/>
      <c r="D1364" s="180"/>
      <c r="E1364" s="180"/>
      <c r="F1364" s="176"/>
      <c r="G1364" s="151"/>
      <c r="H1364" s="123"/>
      <c r="I1364" s="123"/>
      <c r="J1364" s="123"/>
      <c r="K1364" s="123"/>
      <c r="L1364" s="151"/>
      <c r="M1364" s="1434"/>
      <c r="N1364" s="1434"/>
      <c r="O1364" s="401"/>
      <c r="P1364" s="223"/>
      <c r="Q1364" s="223"/>
      <c r="R1364" s="223"/>
      <c r="S1364" s="223"/>
      <c r="T1364" s="223"/>
      <c r="U1364" s="223"/>
      <c r="X1364" s="39"/>
      <c r="Y1364" s="1173"/>
      <c r="Z1364" s="39"/>
      <c r="AA1364" s="39"/>
      <c r="AB1364" s="39"/>
      <c r="AC1364" s="39"/>
      <c r="AD1364" s="39"/>
      <c r="AE1364" s="39"/>
      <c r="AF1364" s="39"/>
      <c r="AG1364" s="39"/>
      <c r="AH1364" s="39"/>
      <c r="AI1364" s="39"/>
      <c r="AJ1364" s="39"/>
      <c r="AK1364" s="39"/>
      <c r="AU1364" s="164"/>
      <c r="BB1364" s="1002"/>
    </row>
    <row r="1365" spans="1:54" s="97" customFormat="1" hidden="1" outlineLevel="1" x14ac:dyDescent="0.25">
      <c r="A1365" s="223"/>
      <c r="B1365" s="401"/>
      <c r="C1365" s="149"/>
      <c r="D1365" s="180"/>
      <c r="E1365" s="180"/>
      <c r="F1365" s="176"/>
      <c r="G1365" s="151"/>
      <c r="H1365" s="401"/>
      <c r="I1365" s="151"/>
      <c r="J1365" s="151"/>
      <c r="K1365" s="151"/>
      <c r="L1365" s="151"/>
      <c r="M1365" s="1434"/>
      <c r="N1365" s="1434"/>
      <c r="O1365" s="401"/>
      <c r="P1365" s="223"/>
      <c r="Q1365" s="223"/>
      <c r="R1365" s="223"/>
      <c r="S1365" s="223"/>
      <c r="T1365" s="223"/>
      <c r="U1365" s="223"/>
      <c r="X1365" s="39"/>
      <c r="Y1365" s="1173"/>
      <c r="Z1365" s="39"/>
      <c r="AA1365" s="39"/>
      <c r="AB1365" s="39"/>
      <c r="AC1365" s="39"/>
      <c r="AD1365" s="39"/>
      <c r="AE1365" s="39"/>
      <c r="AF1365" s="39"/>
      <c r="AG1365" s="39"/>
      <c r="AH1365" s="39"/>
      <c r="AI1365" s="39"/>
      <c r="AJ1365" s="39"/>
      <c r="AK1365" s="39"/>
      <c r="AU1365" s="164"/>
      <c r="BB1365" s="1002"/>
    </row>
    <row r="1366" spans="1:54" s="97" customFormat="1" hidden="1" outlineLevel="1" x14ac:dyDescent="0.25">
      <c r="A1366" s="223"/>
      <c r="B1366" s="401"/>
      <c r="C1366" s="149"/>
      <c r="D1366" s="180"/>
      <c r="E1366" s="180"/>
      <c r="F1366" s="176"/>
      <c r="G1366" s="151"/>
      <c r="H1366" s="151"/>
      <c r="I1366" s="151"/>
      <c r="J1366" s="151"/>
      <c r="K1366" s="151"/>
      <c r="L1366" s="151"/>
      <c r="M1366" s="1434"/>
      <c r="N1366" s="1434"/>
      <c r="O1366" s="401"/>
      <c r="P1366" s="223"/>
      <c r="Q1366" s="223"/>
      <c r="R1366" s="223"/>
      <c r="S1366" s="223"/>
      <c r="T1366" s="223"/>
      <c r="U1366" s="223"/>
      <c r="V1366" s="1936" t="s">
        <v>45</v>
      </c>
      <c r="W1366" s="1937">
        <v>43252</v>
      </c>
      <c r="X1366" s="1937">
        <f>$X$6</f>
        <v>43465</v>
      </c>
      <c r="Y1366" s="360">
        <f>$Y$6</f>
        <v>43800</v>
      </c>
      <c r="Z1366" s="1937">
        <f>$Z$6</f>
        <v>43862</v>
      </c>
      <c r="AA1366" s="1937">
        <f>$AA$6</f>
        <v>44013</v>
      </c>
      <c r="AB1366" s="1937">
        <f>$AB$6</f>
        <v>44166</v>
      </c>
      <c r="AC1366" s="1937">
        <f>$AC$6</f>
        <v>44531</v>
      </c>
      <c r="AD1366" s="1937" t="str">
        <f>$AD$6</f>
        <v>-</v>
      </c>
      <c r="AE1366" s="1937" t="str">
        <f>$AE$6</f>
        <v>-</v>
      </c>
      <c r="AF1366" s="1937" t="str">
        <f>$AF$6</f>
        <v>-</v>
      </c>
      <c r="AG1366" s="1937" t="str">
        <f>$AG$6</f>
        <v>-</v>
      </c>
      <c r="AI1366" s="1937">
        <v>43252</v>
      </c>
      <c r="AJ1366" s="1937">
        <f>$Y$6</f>
        <v>43800</v>
      </c>
      <c r="AK1366" s="1937">
        <f>$Y$6</f>
        <v>43800</v>
      </c>
      <c r="AL1366" s="1937">
        <f>$Z$6</f>
        <v>43862</v>
      </c>
      <c r="AM1366" s="1937">
        <f>$AA$6</f>
        <v>44013</v>
      </c>
      <c r="AN1366" s="1937">
        <f>$AB$6</f>
        <v>44166</v>
      </c>
      <c r="AO1366" s="1937">
        <f>$AC$6</f>
        <v>44531</v>
      </c>
      <c r="AP1366" s="1937" t="str">
        <f>$AD$6</f>
        <v>-</v>
      </c>
      <c r="AQ1366" s="1937" t="str">
        <f>$AE$6</f>
        <v>-</v>
      </c>
      <c r="AR1366" s="1937" t="str">
        <f>$AF$6</f>
        <v>-</v>
      </c>
      <c r="AS1366" s="1937" t="str">
        <f>$AG$6</f>
        <v>-</v>
      </c>
      <c r="AU1366" s="164"/>
      <c r="BB1366" s="1002"/>
    </row>
    <row r="1367" spans="1:54" s="97" customFormat="1" hidden="1" outlineLevel="1" x14ac:dyDescent="0.25">
      <c r="A1367" s="223"/>
      <c r="B1367" s="401"/>
      <c r="C1367" s="149"/>
      <c r="D1367" s="3236" t="s">
        <v>110</v>
      </c>
      <c r="E1367" s="3034" t="s">
        <v>2320</v>
      </c>
      <c r="F1367" s="3256" t="s">
        <v>2321</v>
      </c>
      <c r="G1367" s="3086" t="s">
        <v>2322</v>
      </c>
      <c r="H1367" s="3256" t="s">
        <v>2323</v>
      </c>
      <c r="I1367" s="3161" t="s">
        <v>410</v>
      </c>
      <c r="J1367" s="151"/>
      <c r="K1367" s="151"/>
      <c r="L1367" s="151"/>
      <c r="M1367" s="228"/>
      <c r="N1367" s="228"/>
      <c r="O1367" s="401"/>
      <c r="P1367" s="223"/>
      <c r="Q1367" s="223"/>
      <c r="R1367" s="223"/>
      <c r="S1367" s="223"/>
      <c r="T1367" s="223"/>
      <c r="U1367" s="223"/>
      <c r="V1367" s="56"/>
      <c r="W1367" s="57" t="s">
        <v>483</v>
      </c>
      <c r="X1367" s="57" t="s">
        <v>483</v>
      </c>
      <c r="Y1367" s="57" t="s">
        <v>483</v>
      </c>
      <c r="Z1367" s="57" t="s">
        <v>483</v>
      </c>
      <c r="AA1367" s="57" t="s">
        <v>483</v>
      </c>
      <c r="AB1367" s="57" t="s">
        <v>483</v>
      </c>
      <c r="AC1367" s="57" t="s">
        <v>483</v>
      </c>
      <c r="AD1367" s="57" t="s">
        <v>483</v>
      </c>
      <c r="AE1367" s="57" t="s">
        <v>483</v>
      </c>
      <c r="AF1367" s="57" t="s">
        <v>483</v>
      </c>
      <c r="AG1367" s="57" t="s">
        <v>483</v>
      </c>
      <c r="AI1367" s="3257" t="s">
        <v>2324</v>
      </c>
      <c r="AJ1367" s="3257" t="s">
        <v>2324</v>
      </c>
      <c r="AK1367" s="3257" t="s">
        <v>2324</v>
      </c>
      <c r="AL1367" s="3257" t="s">
        <v>2324</v>
      </c>
      <c r="AM1367" s="3257" t="s">
        <v>2324</v>
      </c>
      <c r="AN1367" s="3257" t="s">
        <v>2324</v>
      </c>
      <c r="AO1367" s="3257" t="s">
        <v>2324</v>
      </c>
      <c r="AP1367" s="3257" t="s">
        <v>2324</v>
      </c>
      <c r="AQ1367" s="3257" t="s">
        <v>2324</v>
      </c>
      <c r="AR1367" s="3257" t="s">
        <v>2324</v>
      </c>
      <c r="AS1367" s="3257" t="s">
        <v>2324</v>
      </c>
      <c r="AU1367" s="164"/>
      <c r="BB1367" s="1002"/>
    </row>
    <row r="1368" spans="1:54" s="97" customFormat="1" ht="30" hidden="1" outlineLevel="1" x14ac:dyDescent="0.25">
      <c r="A1368" s="223"/>
      <c r="B1368" s="401"/>
      <c r="C1368" s="149"/>
      <c r="D1368" s="4158" t="s">
        <v>484</v>
      </c>
      <c r="E1368" s="3091" t="s">
        <v>2325</v>
      </c>
      <c r="F1368" s="319">
        <v>10322.173207292981</v>
      </c>
      <c r="G1368" s="3091" t="s">
        <v>2326</v>
      </c>
      <c r="H1368" s="1174">
        <v>11745</v>
      </c>
      <c r="I1368" s="1175"/>
      <c r="J1368" s="151"/>
      <c r="K1368" s="151"/>
      <c r="L1368" s="151"/>
      <c r="M1368" s="223"/>
      <c r="N1368" s="223"/>
      <c r="O1368" s="401"/>
      <c r="P1368" s="223"/>
      <c r="Q1368" s="223"/>
      <c r="R1368" s="223"/>
      <c r="S1368" s="223"/>
      <c r="T1368" s="223"/>
      <c r="U1368" s="223"/>
      <c r="V1368" s="4159" t="s">
        <v>484</v>
      </c>
      <c r="W1368" s="324">
        <v>9558.22711471611</v>
      </c>
      <c r="X1368" s="3093">
        <v>10322.173207292981</v>
      </c>
      <c r="Y1368" s="319">
        <v>10322.173207292981</v>
      </c>
      <c r="Z1368" s="319">
        <v>10322.173207292981</v>
      </c>
      <c r="AA1368" s="319">
        <v>10322.173207292981</v>
      </c>
      <c r="AB1368" s="319">
        <v>10322.173207292981</v>
      </c>
      <c r="AC1368" s="319">
        <v>10322.173207292981</v>
      </c>
      <c r="AD1368" s="280"/>
      <c r="AE1368" s="280"/>
      <c r="AF1368" s="280"/>
      <c r="AG1368" s="280"/>
      <c r="AI1368" s="321" t="s">
        <v>2327</v>
      </c>
      <c r="AJ1368" s="1176">
        <v>11733</v>
      </c>
      <c r="AK1368" s="1176">
        <v>11745</v>
      </c>
      <c r="AL1368" s="1165">
        <v>11745</v>
      </c>
      <c r="AM1368" s="1165">
        <v>11745</v>
      </c>
      <c r="AN1368" s="1165">
        <v>11745</v>
      </c>
      <c r="AO1368" s="1165">
        <v>11745</v>
      </c>
      <c r="AP1368" s="1177"/>
      <c r="AQ1368" s="1177"/>
      <c r="AR1368" s="1177"/>
      <c r="AS1368" s="1177"/>
      <c r="AU1368" s="164"/>
      <c r="BB1368" s="1002"/>
    </row>
    <row r="1369" spans="1:54" s="97" customFormat="1" hidden="1" outlineLevel="1" x14ac:dyDescent="0.25">
      <c r="A1369" s="223"/>
      <c r="B1369" s="401"/>
      <c r="C1369" s="149"/>
      <c r="D1369" s="3890"/>
      <c r="E1369" s="3091" t="s">
        <v>2328</v>
      </c>
      <c r="F1369" s="319">
        <v>5000</v>
      </c>
      <c r="G1369" s="3091" t="s">
        <v>2328</v>
      </c>
      <c r="H1369" s="1174">
        <v>5000</v>
      </c>
      <c r="I1369" s="1175"/>
      <c r="J1369" s="151"/>
      <c r="K1369" s="151"/>
      <c r="L1369" s="151"/>
      <c r="M1369" s="223"/>
      <c r="N1369" s="223"/>
      <c r="O1369" s="401"/>
      <c r="P1369" s="223"/>
      <c r="Q1369" s="223"/>
      <c r="R1369" s="223"/>
      <c r="S1369" s="223"/>
      <c r="T1369" s="223"/>
      <c r="U1369" s="223"/>
      <c r="V1369" s="4010"/>
      <c r="W1369" s="324"/>
      <c r="X1369" s="3093"/>
      <c r="Y1369" s="403">
        <v>5000</v>
      </c>
      <c r="Z1369" s="319">
        <v>5000</v>
      </c>
      <c r="AA1369" s="319">
        <v>5000</v>
      </c>
      <c r="AB1369" s="319">
        <v>5000</v>
      </c>
      <c r="AC1369" s="319">
        <v>5000</v>
      </c>
      <c r="AD1369" s="280"/>
      <c r="AE1369" s="280"/>
      <c r="AF1369" s="280"/>
      <c r="AG1369" s="280"/>
      <c r="AI1369" s="321"/>
      <c r="AJ1369" s="1176"/>
      <c r="AK1369" s="1176">
        <v>5000</v>
      </c>
      <c r="AL1369" s="1165">
        <v>5000</v>
      </c>
      <c r="AM1369" s="1165">
        <v>5000</v>
      </c>
      <c r="AN1369" s="1165">
        <v>5000</v>
      </c>
      <c r="AO1369" s="1165">
        <v>5000</v>
      </c>
      <c r="AP1369" s="1177"/>
      <c r="AQ1369" s="1177"/>
      <c r="AR1369" s="1177"/>
      <c r="AS1369" s="1177"/>
      <c r="AU1369" s="164"/>
      <c r="BB1369" s="1002"/>
    </row>
    <row r="1370" spans="1:54" s="97" customFormat="1" hidden="1" outlineLevel="1" x14ac:dyDescent="0.25">
      <c r="A1370" s="223"/>
      <c r="B1370" s="401"/>
      <c r="C1370" s="149"/>
      <c r="D1370" s="3890"/>
      <c r="E1370" s="3091" t="s">
        <v>2329</v>
      </c>
      <c r="F1370" s="319">
        <v>8000</v>
      </c>
      <c r="G1370" s="3091" t="s">
        <v>2329</v>
      </c>
      <c r="H1370" s="1174">
        <v>8000</v>
      </c>
      <c r="I1370" s="1175"/>
      <c r="J1370" s="151"/>
      <c r="K1370" s="151"/>
      <c r="L1370" s="151"/>
      <c r="M1370" s="223"/>
      <c r="N1370" s="223"/>
      <c r="O1370" s="401"/>
      <c r="P1370" s="223"/>
      <c r="Q1370" s="223"/>
      <c r="R1370" s="223"/>
      <c r="S1370" s="223"/>
      <c r="T1370" s="223"/>
      <c r="U1370" s="223"/>
      <c r="V1370" s="4010"/>
      <c r="W1370" s="324"/>
      <c r="X1370" s="3093"/>
      <c r="Y1370" s="403">
        <v>8000</v>
      </c>
      <c r="Z1370" s="319">
        <v>8000</v>
      </c>
      <c r="AA1370" s="319">
        <v>8000</v>
      </c>
      <c r="AB1370" s="319">
        <v>8000</v>
      </c>
      <c r="AC1370" s="319">
        <v>8000</v>
      </c>
      <c r="AD1370" s="280"/>
      <c r="AE1370" s="280"/>
      <c r="AF1370" s="280"/>
      <c r="AG1370" s="280"/>
      <c r="AI1370" s="321"/>
      <c r="AJ1370" s="1176"/>
      <c r="AK1370" s="1176">
        <v>8000</v>
      </c>
      <c r="AL1370" s="1165">
        <v>8000</v>
      </c>
      <c r="AM1370" s="1165">
        <v>8000</v>
      </c>
      <c r="AN1370" s="1165">
        <v>8000</v>
      </c>
      <c r="AO1370" s="1165">
        <v>8000</v>
      </c>
      <c r="AP1370" s="1177"/>
      <c r="AQ1370" s="1177"/>
      <c r="AR1370" s="1177"/>
      <c r="AS1370" s="1177"/>
      <c r="AU1370" s="164"/>
      <c r="BB1370" s="1002"/>
    </row>
    <row r="1371" spans="1:54" s="97" customFormat="1" hidden="1" outlineLevel="1" x14ac:dyDescent="0.25">
      <c r="A1371" s="223"/>
      <c r="B1371" s="401"/>
      <c r="C1371" s="149"/>
      <c r="D1371" s="3890"/>
      <c r="E1371" s="3091" t="s">
        <v>2330</v>
      </c>
      <c r="F1371" s="319">
        <v>10000</v>
      </c>
      <c r="G1371" s="3091" t="s">
        <v>2330</v>
      </c>
      <c r="H1371" s="1174">
        <v>10000</v>
      </c>
      <c r="I1371" s="1175"/>
      <c r="J1371" s="151"/>
      <c r="K1371" s="151"/>
      <c r="L1371" s="151"/>
      <c r="M1371" s="223"/>
      <c r="N1371" s="223"/>
      <c r="O1371" s="401"/>
      <c r="P1371" s="223"/>
      <c r="Q1371" s="223"/>
      <c r="R1371" s="223"/>
      <c r="S1371" s="223"/>
      <c r="T1371" s="223"/>
      <c r="U1371" s="223"/>
      <c r="V1371" s="4010"/>
      <c r="W1371" s="324"/>
      <c r="X1371" s="3093"/>
      <c r="Y1371" s="403">
        <v>10000</v>
      </c>
      <c r="Z1371" s="319">
        <v>10000</v>
      </c>
      <c r="AA1371" s="319">
        <v>10000</v>
      </c>
      <c r="AB1371" s="319">
        <v>10000</v>
      </c>
      <c r="AC1371" s="319">
        <v>10000</v>
      </c>
      <c r="AD1371" s="280"/>
      <c r="AE1371" s="280"/>
      <c r="AF1371" s="280"/>
      <c r="AG1371" s="280"/>
      <c r="AI1371" s="321"/>
      <c r="AJ1371" s="1176"/>
      <c r="AK1371" s="1176">
        <v>10000</v>
      </c>
      <c r="AL1371" s="1165">
        <v>10000</v>
      </c>
      <c r="AM1371" s="1165">
        <v>10000</v>
      </c>
      <c r="AN1371" s="1165">
        <v>10000</v>
      </c>
      <c r="AO1371" s="1165">
        <v>10000</v>
      </c>
      <c r="AP1371" s="1177"/>
      <c r="AQ1371" s="1177"/>
      <c r="AR1371" s="1177"/>
      <c r="AS1371" s="1177"/>
      <c r="AU1371" s="164"/>
      <c r="BB1371" s="1002"/>
    </row>
    <row r="1372" spans="1:54" s="97" customFormat="1" hidden="1" outlineLevel="1" x14ac:dyDescent="0.25">
      <c r="A1372" s="223"/>
      <c r="B1372" s="401"/>
      <c r="C1372" s="149"/>
      <c r="D1372" s="3890"/>
      <c r="E1372" s="3091" t="s">
        <v>2331</v>
      </c>
      <c r="F1372" s="319">
        <v>12000</v>
      </c>
      <c r="G1372" s="3091" t="s">
        <v>2331</v>
      </c>
      <c r="H1372" s="1174">
        <v>12000</v>
      </c>
      <c r="I1372" s="1175"/>
      <c r="J1372" s="151"/>
      <c r="K1372" s="151"/>
      <c r="L1372" s="151"/>
      <c r="M1372" s="223"/>
      <c r="N1372" s="223"/>
      <c r="O1372" s="401"/>
      <c r="P1372" s="223"/>
      <c r="Q1372" s="223"/>
      <c r="R1372" s="223"/>
      <c r="S1372" s="223"/>
      <c r="T1372" s="223"/>
      <c r="U1372" s="223"/>
      <c r="V1372" s="4010"/>
      <c r="W1372" s="324"/>
      <c r="X1372" s="3093"/>
      <c r="Y1372" s="403">
        <v>12000</v>
      </c>
      <c r="Z1372" s="319">
        <v>12000</v>
      </c>
      <c r="AA1372" s="319">
        <v>12000</v>
      </c>
      <c r="AB1372" s="319">
        <v>12000</v>
      </c>
      <c r="AC1372" s="319">
        <v>12000</v>
      </c>
      <c r="AD1372" s="280"/>
      <c r="AE1372" s="280"/>
      <c r="AF1372" s="280"/>
      <c r="AG1372" s="280"/>
      <c r="AI1372" s="321"/>
      <c r="AJ1372" s="1176"/>
      <c r="AK1372" s="1176">
        <v>12000</v>
      </c>
      <c r="AL1372" s="1165">
        <v>12000</v>
      </c>
      <c r="AM1372" s="1165">
        <v>12000</v>
      </c>
      <c r="AN1372" s="1165">
        <v>12000</v>
      </c>
      <c r="AO1372" s="1165">
        <v>12000</v>
      </c>
      <c r="AP1372" s="1177"/>
      <c r="AQ1372" s="1177"/>
      <c r="AR1372" s="1177"/>
      <c r="AS1372" s="1177"/>
      <c r="AU1372" s="164"/>
      <c r="BB1372" s="1002"/>
    </row>
    <row r="1373" spans="1:54" s="97" customFormat="1" hidden="1" outlineLevel="1" x14ac:dyDescent="0.25">
      <c r="A1373" s="223"/>
      <c r="B1373" s="401"/>
      <c r="C1373" s="149"/>
      <c r="D1373" s="3891"/>
      <c r="E1373" s="3091" t="s">
        <v>2332</v>
      </c>
      <c r="F1373" s="319">
        <v>15000</v>
      </c>
      <c r="G1373" s="3091" t="s">
        <v>2332</v>
      </c>
      <c r="H1373" s="1174">
        <v>15000</v>
      </c>
      <c r="I1373" s="1175"/>
      <c r="J1373" s="151"/>
      <c r="K1373" s="151"/>
      <c r="L1373" s="151"/>
      <c r="M1373" s="223"/>
      <c r="N1373" s="223"/>
      <c r="O1373" s="401"/>
      <c r="P1373" s="223"/>
      <c r="Q1373" s="223"/>
      <c r="R1373" s="223"/>
      <c r="S1373" s="223"/>
      <c r="T1373" s="223"/>
      <c r="U1373" s="223"/>
      <c r="V1373" s="4160"/>
      <c r="W1373" s="324"/>
      <c r="X1373" s="3093"/>
      <c r="Y1373" s="403">
        <v>15000</v>
      </c>
      <c r="Z1373" s="319">
        <v>15000</v>
      </c>
      <c r="AA1373" s="319">
        <v>15000</v>
      </c>
      <c r="AB1373" s="319">
        <v>15000</v>
      </c>
      <c r="AC1373" s="319">
        <v>15000</v>
      </c>
      <c r="AD1373" s="280"/>
      <c r="AE1373" s="280"/>
      <c r="AF1373" s="280"/>
      <c r="AG1373" s="280"/>
      <c r="AI1373" s="321"/>
      <c r="AJ1373" s="1176"/>
      <c r="AK1373" s="1176">
        <v>15000</v>
      </c>
      <c r="AL1373" s="1165">
        <v>15000</v>
      </c>
      <c r="AM1373" s="1165">
        <v>15000</v>
      </c>
      <c r="AN1373" s="1165">
        <v>15000</v>
      </c>
      <c r="AO1373" s="1165">
        <v>15000</v>
      </c>
      <c r="AP1373" s="1177"/>
      <c r="AQ1373" s="1177"/>
      <c r="AR1373" s="1177"/>
      <c r="AS1373" s="1177"/>
      <c r="AU1373" s="164"/>
      <c r="BB1373" s="1002"/>
    </row>
    <row r="1374" spans="1:54" s="97" customFormat="1" ht="30" hidden="1" outlineLevel="1" x14ac:dyDescent="0.25">
      <c r="A1374" s="223"/>
      <c r="B1374" s="401"/>
      <c r="C1374" s="149"/>
      <c r="D1374" s="3091" t="s">
        <v>486</v>
      </c>
      <c r="E1374" s="3091" t="s">
        <v>2333</v>
      </c>
      <c r="F1374" s="319">
        <v>10.833666904931999</v>
      </c>
      <c r="G1374" s="3091"/>
      <c r="H1374" s="1174"/>
      <c r="I1374" s="343"/>
      <c r="J1374" s="151"/>
      <c r="K1374" s="151"/>
      <c r="L1374" s="151"/>
      <c r="M1374" s="223"/>
      <c r="N1374" s="223"/>
      <c r="O1374" s="401"/>
      <c r="P1374" s="223"/>
      <c r="Q1374" s="223"/>
      <c r="R1374" s="223"/>
      <c r="S1374" s="223"/>
      <c r="T1374" s="223"/>
      <c r="U1374" s="223"/>
      <c r="V1374" s="324" t="s">
        <v>488</v>
      </c>
      <c r="W1374" s="324">
        <v>10.9</v>
      </c>
      <c r="X1374" s="3093">
        <v>10.833666904931999</v>
      </c>
      <c r="Y1374" s="319">
        <v>10.833666904931999</v>
      </c>
      <c r="Z1374" s="319">
        <v>10.833666904931999</v>
      </c>
      <c r="AA1374" s="319">
        <v>10.833666904931999</v>
      </c>
      <c r="AB1374" s="319">
        <v>10.833666904931999</v>
      </c>
      <c r="AC1374" s="319">
        <v>10.833666904931999</v>
      </c>
      <c r="AD1374" s="280"/>
      <c r="AE1374" s="280"/>
      <c r="AF1374" s="280"/>
      <c r="AG1374" s="280"/>
      <c r="AI1374" s="321" t="s">
        <v>2327</v>
      </c>
      <c r="AJ1374" s="403" t="s">
        <v>493</v>
      </c>
      <c r="AK1374" s="1177"/>
      <c r="AL1374" s="1174"/>
      <c r="AM1374" s="1174"/>
      <c r="AN1374" s="1174"/>
      <c r="AO1374" s="1174"/>
      <c r="AP1374" s="1177"/>
      <c r="AQ1374" s="1177"/>
      <c r="AR1374" s="1177"/>
      <c r="AS1374" s="1177"/>
      <c r="AU1374" s="164"/>
      <c r="BB1374" s="1002"/>
    </row>
    <row r="1375" spans="1:54" s="97" customFormat="1" ht="46.5" hidden="1" customHeight="1" outlineLevel="1" x14ac:dyDescent="0.25">
      <c r="A1375" s="223"/>
      <c r="B1375" s="401"/>
      <c r="C1375" s="149"/>
      <c r="D1375" s="3091" t="s">
        <v>489</v>
      </c>
      <c r="E1375" s="3091" t="s">
        <v>2334</v>
      </c>
      <c r="F1375" s="404">
        <v>11.955972333179155</v>
      </c>
      <c r="G1375" s="3091" t="s">
        <v>2326</v>
      </c>
      <c r="H1375" s="1174">
        <v>11.561669242658486</v>
      </c>
      <c r="I1375" s="343"/>
      <c r="J1375" s="151"/>
      <c r="K1375" s="151"/>
      <c r="L1375" s="151"/>
      <c r="M1375" s="223"/>
      <c r="N1375" s="223"/>
      <c r="O1375" s="401"/>
      <c r="P1375" s="223"/>
      <c r="Q1375" s="223"/>
      <c r="R1375" s="223"/>
      <c r="S1375" s="223"/>
      <c r="T1375" s="223"/>
      <c r="U1375" s="223"/>
      <c r="V1375" s="324" t="s">
        <v>491</v>
      </c>
      <c r="W1375" s="324">
        <v>11.9</v>
      </c>
      <c r="X1375" s="3093">
        <v>11.955972333179155</v>
      </c>
      <c r="Y1375" s="319">
        <v>11.955972333179155</v>
      </c>
      <c r="Z1375" s="319">
        <v>11.955972333179155</v>
      </c>
      <c r="AA1375" s="319">
        <v>11.955972333179155</v>
      </c>
      <c r="AB1375" s="319">
        <v>11.955972333179155</v>
      </c>
      <c r="AC1375" s="319">
        <v>11.955972333179155</v>
      </c>
      <c r="AD1375" s="280"/>
      <c r="AE1375" s="280"/>
      <c r="AF1375" s="280"/>
      <c r="AG1375" s="280"/>
      <c r="AI1375" s="321" t="s">
        <v>2327</v>
      </c>
      <c r="AJ1375" s="403">
        <v>11.6</v>
      </c>
      <c r="AK1375" s="319">
        <v>11.561669242658486</v>
      </c>
      <c r="AL1375" s="319">
        <v>11.561669242658486</v>
      </c>
      <c r="AM1375" s="319">
        <v>11.561669242658486</v>
      </c>
      <c r="AN1375" s="319">
        <v>11.561669242658486</v>
      </c>
      <c r="AO1375" s="319">
        <v>11.561669242658486</v>
      </c>
      <c r="AP1375" s="319"/>
      <c r="AQ1375" s="319"/>
      <c r="AR1375" s="319"/>
      <c r="AS1375" s="319"/>
      <c r="AU1375" s="164"/>
      <c r="BB1375" s="1002"/>
    </row>
    <row r="1376" spans="1:54" s="97" customFormat="1" ht="46.5" hidden="1" customHeight="1" outlineLevel="1" x14ac:dyDescent="0.25">
      <c r="A1376" s="223"/>
      <c r="B1376" s="401"/>
      <c r="C1376" s="149"/>
      <c r="D1376" s="3091" t="s">
        <v>492</v>
      </c>
      <c r="E1376" s="3091"/>
      <c r="F1376" s="404"/>
      <c r="G1376" s="3091" t="s">
        <v>2335</v>
      </c>
      <c r="H1376" s="1174">
        <v>9.4499999999999993</v>
      </c>
      <c r="I1376" s="343"/>
      <c r="J1376" s="151"/>
      <c r="K1376" s="151"/>
      <c r="L1376" s="151"/>
      <c r="M1376" s="223"/>
      <c r="N1376" s="223"/>
      <c r="O1376" s="401"/>
      <c r="P1376" s="223"/>
      <c r="Q1376" s="223"/>
      <c r="R1376" s="223"/>
      <c r="S1376" s="223"/>
      <c r="T1376" s="223"/>
      <c r="U1376" s="223"/>
      <c r="V1376" s="324" t="s">
        <v>494</v>
      </c>
      <c r="W1376" s="324"/>
      <c r="X1376" s="1178"/>
      <c r="Y1376" s="319"/>
      <c r="Z1376" s="319"/>
      <c r="AA1376" s="319"/>
      <c r="AB1376" s="319"/>
      <c r="AC1376" s="319"/>
      <c r="AD1376" s="280"/>
      <c r="AE1376" s="280"/>
      <c r="AF1376" s="280"/>
      <c r="AG1376" s="280"/>
      <c r="AI1376" s="321" t="s">
        <v>2327</v>
      </c>
      <c r="AJ1376" s="403">
        <v>6.7</v>
      </c>
      <c r="AK1376" s="403">
        <v>9.4499999999999993</v>
      </c>
      <c r="AL1376" s="319">
        <v>9.4499999999999993</v>
      </c>
      <c r="AM1376" s="319">
        <v>9.4499999999999993</v>
      </c>
      <c r="AN1376" s="319">
        <v>9.4499999999999993</v>
      </c>
      <c r="AO1376" s="319">
        <v>9.4499999999999993</v>
      </c>
      <c r="AP1376" s="1179"/>
      <c r="AQ1376" s="1179"/>
      <c r="AR1376" s="1179"/>
      <c r="AS1376" s="1179"/>
      <c r="AU1376" s="164"/>
      <c r="BB1376" s="1002"/>
    </row>
    <row r="1377" spans="1:57" s="97" customFormat="1" ht="45" hidden="1" customHeight="1" outlineLevel="1" x14ac:dyDescent="0.25">
      <c r="A1377" s="223"/>
      <c r="B1377" s="1456"/>
      <c r="C1377" s="406"/>
      <c r="D1377" s="3091" t="s">
        <v>495</v>
      </c>
      <c r="E1377" s="3091" t="s">
        <v>496</v>
      </c>
      <c r="F1377" s="1180">
        <v>556</v>
      </c>
      <c r="G1377" s="3091" t="s">
        <v>496</v>
      </c>
      <c r="H1377" s="319">
        <v>556</v>
      </c>
      <c r="I1377" s="343"/>
      <c r="J1377" s="151"/>
      <c r="K1377" s="151"/>
      <c r="L1377" s="151"/>
      <c r="M1377" s="223"/>
      <c r="N1377" s="223"/>
      <c r="O1377" s="1456"/>
      <c r="P1377" s="223"/>
      <c r="Q1377" s="223"/>
      <c r="R1377" s="223"/>
      <c r="S1377" s="223"/>
      <c r="T1377" s="223"/>
      <c r="U1377" s="223"/>
      <c r="V1377" s="324" t="s">
        <v>497</v>
      </c>
      <c r="W1377" s="1181">
        <v>556</v>
      </c>
      <c r="X1377" s="1181">
        <v>556</v>
      </c>
      <c r="Y1377" s="1180">
        <v>556</v>
      </c>
      <c r="Z1377" s="1180">
        <v>556</v>
      </c>
      <c r="AA1377" s="1180">
        <v>556</v>
      </c>
      <c r="AB1377" s="1180">
        <v>556</v>
      </c>
      <c r="AC1377" s="1180">
        <v>556</v>
      </c>
      <c r="AD1377" s="280"/>
      <c r="AE1377" s="280"/>
      <c r="AF1377" s="280"/>
      <c r="AG1377" s="280"/>
      <c r="AI1377" s="321" t="s">
        <v>2327</v>
      </c>
      <c r="AJ1377" s="1180">
        <v>556</v>
      </c>
      <c r="AK1377" s="1180">
        <v>556</v>
      </c>
      <c r="AL1377" s="1180">
        <v>556</v>
      </c>
      <c r="AM1377" s="1180">
        <v>556</v>
      </c>
      <c r="AN1377" s="1180">
        <v>556</v>
      </c>
      <c r="AO1377" s="1180">
        <v>556</v>
      </c>
      <c r="AP1377" s="1180"/>
      <c r="AQ1377" s="1180"/>
      <c r="AR1377" s="1180"/>
      <c r="AS1377" s="1180"/>
      <c r="AU1377" s="164"/>
      <c r="BB1377" s="1002"/>
    </row>
    <row r="1378" spans="1:57" s="97" customFormat="1" ht="30" hidden="1" customHeight="1" outlineLevel="1" x14ac:dyDescent="0.25">
      <c r="A1378" s="223"/>
      <c r="B1378" s="1456"/>
      <c r="C1378" s="406"/>
      <c r="D1378" s="3091" t="s">
        <v>498</v>
      </c>
      <c r="E1378" s="3091" t="s">
        <v>499</v>
      </c>
      <c r="F1378" s="1180">
        <v>860</v>
      </c>
      <c r="G1378" s="3084" t="s">
        <v>528</v>
      </c>
      <c r="H1378" s="1174">
        <v>860</v>
      </c>
      <c r="I1378" s="3084" t="s">
        <v>2336</v>
      </c>
      <c r="J1378" s="151"/>
      <c r="K1378" s="151"/>
      <c r="L1378" s="151"/>
      <c r="M1378" s="223"/>
      <c r="N1378" s="223"/>
      <c r="O1378" s="1456"/>
      <c r="P1378" s="223"/>
      <c r="Q1378" s="223"/>
      <c r="R1378" s="223"/>
      <c r="S1378" s="223"/>
      <c r="T1378" s="223"/>
      <c r="U1378" s="223"/>
      <c r="V1378" s="324" t="s">
        <v>500</v>
      </c>
      <c r="W1378" s="1181">
        <v>860</v>
      </c>
      <c r="X1378" s="1181">
        <v>860</v>
      </c>
      <c r="Y1378" s="1180">
        <v>860</v>
      </c>
      <c r="Z1378" s="1180">
        <v>860</v>
      </c>
      <c r="AA1378" s="1180">
        <v>860</v>
      </c>
      <c r="AB1378" s="1180">
        <v>860</v>
      </c>
      <c r="AC1378" s="1180">
        <v>860</v>
      </c>
      <c r="AD1378" s="280"/>
      <c r="AE1378" s="280"/>
      <c r="AF1378" s="280"/>
      <c r="AG1378" s="280"/>
      <c r="AI1378" s="321" t="s">
        <v>2327</v>
      </c>
      <c r="AJ1378" s="1182">
        <v>1215</v>
      </c>
      <c r="AK1378" s="1182">
        <v>860</v>
      </c>
      <c r="AL1378" s="1180">
        <v>860</v>
      </c>
      <c r="AM1378" s="1180">
        <v>860</v>
      </c>
      <c r="AN1378" s="1180">
        <v>860</v>
      </c>
      <c r="AO1378" s="1180">
        <v>860</v>
      </c>
      <c r="AP1378" s="1182"/>
      <c r="AQ1378" s="1182"/>
      <c r="AR1378" s="1182"/>
      <c r="AS1378" s="1182"/>
      <c r="AU1378" s="164"/>
      <c r="BB1378" s="1002"/>
    </row>
    <row r="1379" spans="1:57" s="97" customFormat="1" ht="30" hidden="1" customHeight="1" outlineLevel="1" x14ac:dyDescent="0.25">
      <c r="A1379" s="223"/>
      <c r="B1379" s="1456"/>
      <c r="C1379" s="406"/>
      <c r="D1379" s="3091" t="s">
        <v>501</v>
      </c>
      <c r="E1379" s="3091" t="s">
        <v>502</v>
      </c>
      <c r="F1379" s="319">
        <v>1000</v>
      </c>
      <c r="G1379" s="3091" t="s">
        <v>502</v>
      </c>
      <c r="H1379" s="1174">
        <v>1000</v>
      </c>
      <c r="I1379" s="343"/>
      <c r="J1379" s="151"/>
      <c r="K1379" s="151"/>
      <c r="L1379" s="151"/>
      <c r="M1379" s="223"/>
      <c r="N1379" s="223"/>
      <c r="O1379" s="1456"/>
      <c r="P1379" s="223"/>
      <c r="Q1379" s="223"/>
      <c r="R1379" s="223"/>
      <c r="S1379" s="223"/>
      <c r="T1379" s="223"/>
      <c r="U1379" s="223"/>
      <c r="V1379" s="324" t="s">
        <v>501</v>
      </c>
      <c r="W1379" s="324">
        <v>1000</v>
      </c>
      <c r="X1379" s="324">
        <v>1000</v>
      </c>
      <c r="Y1379" s="319">
        <v>1000</v>
      </c>
      <c r="Z1379" s="319">
        <v>1000</v>
      </c>
      <c r="AA1379" s="319">
        <v>1000</v>
      </c>
      <c r="AB1379" s="319">
        <v>1000</v>
      </c>
      <c r="AC1379" s="319">
        <v>1000</v>
      </c>
      <c r="AD1379" s="280"/>
      <c r="AE1379" s="280"/>
      <c r="AF1379" s="280"/>
      <c r="AG1379" s="280"/>
      <c r="AI1379" s="321" t="s">
        <v>2327</v>
      </c>
      <c r="AJ1379" s="403">
        <v>1000</v>
      </c>
      <c r="AK1379" s="1177">
        <v>1000</v>
      </c>
      <c r="AL1379" s="1174">
        <v>1000</v>
      </c>
      <c r="AM1379" s="1174">
        <v>1000</v>
      </c>
      <c r="AN1379" s="1174">
        <v>1000</v>
      </c>
      <c r="AO1379" s="1174">
        <v>1000</v>
      </c>
      <c r="AP1379" s="1177"/>
      <c r="AQ1379" s="1177"/>
      <c r="AR1379" s="1177"/>
      <c r="AS1379" s="1177"/>
      <c r="AU1379" s="164"/>
      <c r="BB1379" s="1002"/>
    </row>
    <row r="1380" spans="1:57" s="97" customFormat="1" ht="30" hidden="1" customHeight="1" outlineLevel="1" thickBot="1" x14ac:dyDescent="0.3">
      <c r="A1380" s="223"/>
      <c r="B1380" s="1456"/>
      <c r="C1380" s="406"/>
      <c r="D1380" s="3093" t="s">
        <v>133</v>
      </c>
      <c r="E1380" s="3091" t="s">
        <v>2337</v>
      </c>
      <c r="F1380" s="323">
        <v>0.97560975609756095</v>
      </c>
      <c r="G1380" s="3091" t="s">
        <v>2338</v>
      </c>
      <c r="H1380" s="323">
        <v>1</v>
      </c>
      <c r="I1380" s="343"/>
      <c r="J1380" s="151"/>
      <c r="K1380" s="151"/>
      <c r="L1380" s="151"/>
      <c r="M1380" s="223"/>
      <c r="N1380" s="223"/>
      <c r="O1380" s="1456"/>
      <c r="P1380" s="223"/>
      <c r="Q1380" s="223"/>
      <c r="R1380" s="223"/>
      <c r="S1380" s="223"/>
      <c r="T1380" s="223"/>
      <c r="U1380" s="223"/>
      <c r="V1380" s="408" t="s">
        <v>252</v>
      </c>
      <c r="W1380" s="1183">
        <v>0.97560975609756095</v>
      </c>
      <c r="X1380" s="1183">
        <v>0.97560975609756095</v>
      </c>
      <c r="Y1380" s="1184">
        <v>0.97560975609756095</v>
      </c>
      <c r="Z1380" s="1184">
        <v>0.97560975609756095</v>
      </c>
      <c r="AA1380" s="1184">
        <v>0.97560975609756095</v>
      </c>
      <c r="AB1380" s="1184">
        <v>0.97560975609756095</v>
      </c>
      <c r="AC1380" s="1184">
        <v>0.97560975609756095</v>
      </c>
      <c r="AD1380" s="411"/>
      <c r="AE1380" s="411"/>
      <c r="AF1380" s="411"/>
      <c r="AG1380" s="411"/>
      <c r="AI1380" s="321" t="s">
        <v>2327</v>
      </c>
      <c r="AJ1380" s="743">
        <v>1</v>
      </c>
      <c r="AK1380" s="323">
        <v>1</v>
      </c>
      <c r="AL1380" s="323">
        <v>1</v>
      </c>
      <c r="AM1380" s="323">
        <v>1</v>
      </c>
      <c r="AN1380" s="323">
        <v>1</v>
      </c>
      <c r="AO1380" s="323">
        <v>1</v>
      </c>
      <c r="AP1380" s="1177"/>
      <c r="AQ1380" s="1177"/>
      <c r="AR1380" s="1177"/>
      <c r="AS1380" s="1177"/>
      <c r="AU1380" s="164"/>
      <c r="BB1380" s="1002"/>
    </row>
    <row r="1381" spans="1:57" s="97" customFormat="1" ht="15" hidden="1" customHeight="1" outlineLevel="1" x14ac:dyDescent="0.25">
      <c r="A1381" s="346"/>
      <c r="B1381" s="346"/>
      <c r="C1381" s="149"/>
      <c r="D1381" s="304" t="str">
        <f>D1327</f>
        <v>EUL</v>
      </c>
      <c r="E1381" s="304"/>
      <c r="F1381" s="4163">
        <v>9</v>
      </c>
      <c r="G1381" s="4164"/>
      <c r="H1381" s="4165"/>
      <c r="I1381" s="1185" t="s">
        <v>185</v>
      </c>
      <c r="J1381" s="346"/>
      <c r="K1381" s="346"/>
      <c r="L1381" s="346"/>
      <c r="M1381" s="223"/>
      <c r="N1381" s="223"/>
      <c r="O1381" s="223"/>
      <c r="P1381" s="223"/>
      <c r="Q1381" s="223"/>
      <c r="R1381" s="223"/>
      <c r="S1381" s="223"/>
      <c r="T1381" s="223"/>
      <c r="U1381" s="223"/>
      <c r="V1381" s="412" t="str">
        <f>D1381</f>
        <v>EUL</v>
      </c>
      <c r="W1381" s="413">
        <v>9</v>
      </c>
      <c r="X1381" s="413">
        <v>9</v>
      </c>
      <c r="Y1381" s="1186">
        <v>9</v>
      </c>
      <c r="Z1381" s="1186">
        <v>9</v>
      </c>
      <c r="AA1381" s="1186">
        <v>9</v>
      </c>
      <c r="AB1381" s="1186">
        <v>9</v>
      </c>
      <c r="AC1381" s="1186">
        <v>9</v>
      </c>
      <c r="AD1381" s="413"/>
      <c r="AE1381" s="413"/>
      <c r="AF1381" s="413"/>
      <c r="AG1381" s="413"/>
      <c r="AI1381" s="413">
        <v>9</v>
      </c>
      <c r="AJ1381" s="413">
        <v>9</v>
      </c>
      <c r="AK1381" s="1186">
        <v>9</v>
      </c>
      <c r="AL1381" s="1186">
        <v>9</v>
      </c>
      <c r="AM1381" s="1186">
        <v>9</v>
      </c>
      <c r="AN1381" s="1186">
        <v>9</v>
      </c>
      <c r="AO1381" s="1186">
        <v>9</v>
      </c>
      <c r="AP1381" s="413"/>
      <c r="AQ1381" s="413"/>
      <c r="AR1381" s="413"/>
      <c r="AS1381" s="413"/>
      <c r="AU1381" s="164"/>
      <c r="BB1381" s="1002"/>
    </row>
    <row r="1382" spans="1:57" s="97" customFormat="1" ht="15" hidden="1" customHeight="1" outlineLevel="1" x14ac:dyDescent="0.25">
      <c r="A1382" s="346"/>
      <c r="B1382" s="346"/>
      <c r="C1382" s="149"/>
      <c r="D1382" s="304" t="str">
        <f>D1329</f>
        <v>Inc. Cost</v>
      </c>
      <c r="E1382" s="304"/>
      <c r="F1382" s="4166">
        <v>20</v>
      </c>
      <c r="G1382" s="4167"/>
      <c r="H1382" s="4168"/>
      <c r="I1382" s="1185" t="s">
        <v>185</v>
      </c>
      <c r="J1382" s="346"/>
      <c r="K1382" s="346"/>
      <c r="L1382" s="346"/>
      <c r="M1382" s="223"/>
      <c r="N1382" s="223"/>
      <c r="O1382" s="223"/>
      <c r="P1382" s="223"/>
      <c r="Q1382" s="223"/>
      <c r="R1382" s="223"/>
      <c r="S1382" s="223"/>
      <c r="T1382" s="223"/>
      <c r="U1382" s="223"/>
      <c r="V1382" s="324" t="str">
        <f>D1382</f>
        <v>Inc. Cost</v>
      </c>
      <c r="W1382" s="350">
        <v>20</v>
      </c>
      <c r="X1382" s="350">
        <v>20</v>
      </c>
      <c r="Y1382" s="1169">
        <v>20</v>
      </c>
      <c r="Z1382" s="1169">
        <v>20</v>
      </c>
      <c r="AA1382" s="1169">
        <v>20</v>
      </c>
      <c r="AB1382" s="1169">
        <v>20</v>
      </c>
      <c r="AC1382" s="1169">
        <v>20</v>
      </c>
      <c r="AD1382" s="350"/>
      <c r="AE1382" s="350"/>
      <c r="AF1382" s="350"/>
      <c r="AG1382" s="350"/>
      <c r="AI1382" s="350">
        <v>20</v>
      </c>
      <c r="AJ1382" s="350">
        <v>20</v>
      </c>
      <c r="AK1382" s="1169">
        <v>20</v>
      </c>
      <c r="AL1382" s="1169">
        <v>20</v>
      </c>
      <c r="AM1382" s="1169">
        <v>20</v>
      </c>
      <c r="AN1382" s="1169">
        <v>20</v>
      </c>
      <c r="AO1382" s="1169">
        <v>20</v>
      </c>
      <c r="AP1382" s="350"/>
      <c r="AQ1382" s="350"/>
      <c r="AR1382" s="350"/>
      <c r="AS1382" s="350"/>
      <c r="AU1382" s="164"/>
      <c r="BB1382" s="1002"/>
    </row>
    <row r="1383" spans="1:57" s="97" customFormat="1" collapsed="1" x14ac:dyDescent="0.25">
      <c r="A1383" s="223"/>
      <c r="B1383" s="151"/>
      <c r="C1383" s="149"/>
      <c r="D1383" s="414"/>
      <c r="E1383" s="414"/>
      <c r="F1383" s="415"/>
      <c r="G1383" s="416"/>
      <c r="H1383" s="151"/>
      <c r="I1383" s="151"/>
      <c r="J1383" s="151"/>
      <c r="K1383" s="151"/>
      <c r="L1383" s="151"/>
      <c r="M1383" s="223"/>
      <c r="N1383" s="151"/>
      <c r="O1383" s="151"/>
      <c r="P1383" s="223"/>
      <c r="Q1383" s="223"/>
      <c r="R1383" s="223"/>
      <c r="S1383" s="223"/>
      <c r="T1383" s="223"/>
      <c r="U1383" s="223"/>
      <c r="Y1383" s="199"/>
      <c r="AU1383" s="164"/>
      <c r="BB1383" s="1002"/>
    </row>
    <row r="1384" spans="1:57" s="97" customFormat="1" x14ac:dyDescent="0.25">
      <c r="A1384" s="223"/>
      <c r="B1384" s="151"/>
      <c r="C1384" s="149"/>
      <c r="D1384" s="150"/>
      <c r="E1384" s="150"/>
      <c r="F1384" s="151"/>
      <c r="G1384" s="151"/>
      <c r="H1384" s="151"/>
      <c r="I1384" s="151"/>
      <c r="J1384" s="151"/>
      <c r="K1384" s="151"/>
      <c r="L1384" s="151"/>
      <c r="M1384" s="151"/>
      <c r="N1384" s="151"/>
      <c r="O1384" s="151"/>
      <c r="P1384" s="223"/>
      <c r="Q1384" s="223"/>
      <c r="R1384" s="223"/>
      <c r="S1384" s="223"/>
      <c r="T1384" s="223"/>
      <c r="U1384" s="223"/>
      <c r="Y1384" s="199"/>
      <c r="AU1384" s="164"/>
      <c r="BB1384" s="1002"/>
    </row>
    <row r="1385" spans="1:57" s="97" customFormat="1" x14ac:dyDescent="0.25">
      <c r="A1385" s="223"/>
      <c r="B1385" s="223"/>
      <c r="C1385" s="181"/>
      <c r="D1385" s="222"/>
      <c r="E1385" s="222"/>
      <c r="F1385" s="223"/>
      <c r="G1385" s="223"/>
      <c r="H1385" s="223"/>
      <c r="I1385" s="223"/>
      <c r="J1385" s="223"/>
      <c r="K1385" s="223"/>
      <c r="L1385" s="223"/>
      <c r="M1385" s="151"/>
      <c r="N1385" s="151"/>
      <c r="O1385" s="151"/>
      <c r="P1385" s="223"/>
      <c r="Q1385" s="223"/>
      <c r="R1385" s="223"/>
      <c r="S1385" s="223"/>
      <c r="T1385" s="223"/>
      <c r="U1385" s="223"/>
      <c r="Y1385" s="199"/>
      <c r="AU1385" s="164"/>
      <c r="BB1385" s="1002"/>
    </row>
    <row r="1386" spans="1:57" s="152" customFormat="1" x14ac:dyDescent="0.25">
      <c r="A1386" s="1978" t="str">
        <f>C1386&amp;G1386</f>
        <v/>
      </c>
      <c r="B1386" s="3077" t="s">
        <v>2339</v>
      </c>
      <c r="C1386" s="3078"/>
      <c r="D1386" s="3078"/>
      <c r="E1386" s="3078"/>
      <c r="F1386" s="3078"/>
      <c r="G1386" s="3078"/>
      <c r="H1386" s="3078"/>
      <c r="I1386" s="3078"/>
      <c r="J1386" s="3078"/>
      <c r="K1386" s="3078"/>
      <c r="L1386" s="3078"/>
      <c r="M1386" s="3078"/>
      <c r="N1386" s="3078"/>
      <c r="O1386" s="3170"/>
      <c r="V1386" s="3077" t="str">
        <f>B1386</f>
        <v>Storm Window</v>
      </c>
      <c r="W1386" s="3078"/>
      <c r="X1386" s="3078"/>
      <c r="Y1386" s="3078"/>
      <c r="Z1386" s="3078"/>
      <c r="AA1386" s="3078"/>
      <c r="AB1386" s="3078"/>
      <c r="AC1386" s="3074"/>
      <c r="AD1386" s="3074"/>
      <c r="AE1386" s="3074"/>
      <c r="AF1386" s="3074"/>
      <c r="AG1386" s="3074"/>
      <c r="AH1386" s="3074"/>
      <c r="AI1386" s="3075"/>
      <c r="AU1386" s="2355"/>
      <c r="BB1386" s="2356"/>
    </row>
    <row r="1387" spans="1:57" s="2317" customFormat="1" x14ac:dyDescent="0.25">
      <c r="A1387" s="1978" t="str">
        <f>C1387&amp;G1387</f>
        <v/>
      </c>
      <c r="B1387" s="123"/>
      <c r="C1387" s="328"/>
      <c r="D1387" s="329"/>
      <c r="E1387" s="329"/>
      <c r="F1387" s="123"/>
      <c r="G1387" s="123"/>
      <c r="H1387" s="123"/>
      <c r="I1387" s="123"/>
      <c r="J1387" s="123"/>
      <c r="K1387" s="123"/>
      <c r="L1387" s="123"/>
      <c r="M1387" s="123"/>
      <c r="N1387" s="123"/>
      <c r="O1387" s="123"/>
      <c r="V1387" s="249"/>
      <c r="W1387" s="249"/>
      <c r="X1387" s="249"/>
      <c r="Y1387" s="905"/>
      <c r="Z1387" s="249"/>
      <c r="AA1387" s="249"/>
      <c r="AB1387" s="249"/>
      <c r="AC1387" s="249"/>
      <c r="AD1387" s="249"/>
      <c r="AE1387" s="249"/>
      <c r="AF1387" s="249"/>
      <c r="AG1387" s="249"/>
      <c r="AH1387" s="249"/>
      <c r="AI1387" s="249"/>
      <c r="BB1387" s="2358"/>
    </row>
    <row r="1388" spans="1:57" s="2317" customFormat="1" ht="30" x14ac:dyDescent="0.25">
      <c r="A1388" s="1978"/>
      <c r="B1388" s="401"/>
      <c r="C1388" s="3161" t="s">
        <v>28</v>
      </c>
      <c r="D1388" s="3161" t="s">
        <v>175</v>
      </c>
      <c r="E1388" s="3161" t="s">
        <v>30</v>
      </c>
      <c r="F1388" s="3161" t="s">
        <v>31</v>
      </c>
      <c r="G1388" s="3161" t="s">
        <v>176</v>
      </c>
      <c r="H1388" s="3161" t="s">
        <v>177</v>
      </c>
      <c r="I1388" s="3161" t="s">
        <v>32</v>
      </c>
      <c r="J1388" s="3161" t="s">
        <v>181</v>
      </c>
      <c r="K1388" s="3161" t="s">
        <v>170</v>
      </c>
      <c r="L1388" s="3161" t="s">
        <v>44</v>
      </c>
      <c r="M1388" s="123"/>
      <c r="N1388" s="123"/>
      <c r="O1388" s="401"/>
      <c r="V1388" s="551" t="s">
        <v>45</v>
      </c>
      <c r="W1388" s="552">
        <v>43252</v>
      </c>
      <c r="X1388" s="552">
        <f>$X$6</f>
        <v>43465</v>
      </c>
      <c r="Y1388" s="2409">
        <f>$Y$6</f>
        <v>43800</v>
      </c>
      <c r="Z1388" s="552">
        <f>$Z$6</f>
        <v>43862</v>
      </c>
      <c r="AA1388" s="552">
        <f>$AA$6</f>
        <v>44013</v>
      </c>
      <c r="AB1388" s="552">
        <f>$AB$6</f>
        <v>44166</v>
      </c>
      <c r="AC1388" s="552">
        <f>$AC$6</f>
        <v>44531</v>
      </c>
      <c r="AD1388" s="552" t="str">
        <f>$AD$6</f>
        <v>-</v>
      </c>
      <c r="AE1388" s="552" t="str">
        <f>$AE$6</f>
        <v>-</v>
      </c>
      <c r="AF1388" s="552" t="str">
        <f>$AF$6</f>
        <v>-</v>
      </c>
      <c r="AG1388" s="552" t="str">
        <f>$AG$6</f>
        <v>-</v>
      </c>
      <c r="AH1388" s="249"/>
      <c r="AI1388" s="249"/>
      <c r="BB1388" s="1938" t="str">
        <f>$BB$6</f>
        <v>TRC (2020)</v>
      </c>
      <c r="BC1388" s="1953" t="str">
        <f>$BC$6</f>
        <v>Benefit Lookup</v>
      </c>
      <c r="BD1388" s="665" t="str">
        <f>$BD$6</f>
        <v>Benefits (2019 $)</v>
      </c>
      <c r="BE1388" s="230" t="str">
        <f>$BE$6</f>
        <v>Incremental Cost (2019 $)</v>
      </c>
    </row>
    <row r="1389" spans="1:57" s="2317" customFormat="1" x14ac:dyDescent="0.25">
      <c r="A1389" s="1978"/>
      <c r="B1389" s="151"/>
      <c r="C1389" s="1471" t="s">
        <v>2340</v>
      </c>
      <c r="D1389" s="2629" t="s">
        <v>2098</v>
      </c>
      <c r="E1389" s="2629" t="s">
        <v>2341</v>
      </c>
      <c r="F1389" s="348">
        <f>G1409*G$1408/G$1413+G1414*G$1408/(G$1418*G$1421)</f>
        <v>17.535985292550357</v>
      </c>
      <c r="G1389" s="3227" t="s">
        <v>1615</v>
      </c>
      <c r="H1389" s="449">
        <f>VLOOKUP(G1389,'CP FACTORS'!$A$3:$B$38, 2, FALSE)</f>
        <v>4.6608050000000002E-4</v>
      </c>
      <c r="I1389" s="2630">
        <f t="shared" ref="I1389:I1400" si="196">ROUND(F1389*H1389,6)</f>
        <v>8.1729999999999997E-3</v>
      </c>
      <c r="J1389" s="2631">
        <f t="shared" ref="J1389:J1400" si="197">G$1422</f>
        <v>20</v>
      </c>
      <c r="K1389" s="370">
        <f t="shared" ref="K1389:K1400" si="198">G$1423</f>
        <v>9.2850000000000001</v>
      </c>
      <c r="L1389" s="1174" t="s">
        <v>2342</v>
      </c>
      <c r="M1389" s="151"/>
      <c r="N1389" s="2632"/>
      <c r="O1389" s="1135"/>
      <c r="V1389" s="343" t="s">
        <v>31</v>
      </c>
      <c r="W1389" s="397"/>
      <c r="X1389" s="2316"/>
      <c r="Y1389" s="2316"/>
      <c r="Z1389" s="2316"/>
      <c r="AA1389" s="2098"/>
      <c r="AB1389" s="397">
        <v>17.535985292550357</v>
      </c>
      <c r="AC1389" s="348">
        <v>17.535985292550357</v>
      </c>
      <c r="AD1389" s="2083"/>
      <c r="AE1389" s="2083"/>
      <c r="AF1389" s="2083"/>
      <c r="AG1389" s="2083"/>
      <c r="BB1389" s="1945">
        <f t="shared" ref="BB1389:BB1399" si="199">(BD1389)/(BE1389)</f>
        <v>2.3819683751413465</v>
      </c>
      <c r="BC1389" s="3166" t="str">
        <f t="shared" ref="BC1389:BC1400" si="200">CONCATENATE(G1389," ",J1389," Year EUL")</f>
        <v>Building Shell RES 20 Year EUL</v>
      </c>
      <c r="BD1389" s="111">
        <f>(INDEX('Avoided Cost Benefits'!$C$4:$C$857,MATCH(BC1389,'Avoided Cost Benefits'!$A$4:$A$857,0)))*F1389</f>
        <v>20.874541163933362</v>
      </c>
      <c r="BE1389" s="1946">
        <f>K1389/(1.0595^(2020-2019))</f>
        <v>8.7635677206229339</v>
      </c>
    </row>
    <row r="1390" spans="1:57" s="2317" customFormat="1" x14ac:dyDescent="0.25">
      <c r="A1390" s="1978"/>
      <c r="B1390" s="151"/>
      <c r="C1390" s="1471" t="s">
        <v>2343</v>
      </c>
      <c r="D1390" s="2629" t="s">
        <v>2098</v>
      </c>
      <c r="E1390" s="2629" t="s">
        <v>2344</v>
      </c>
      <c r="F1390" s="348">
        <f>G1409*G$1408/G$1413+G1414*G$1408/(G$1419*G$1421)</f>
        <v>10.4183346394822</v>
      </c>
      <c r="G1390" s="3227" t="s">
        <v>1615</v>
      </c>
      <c r="H1390" s="449">
        <f>VLOOKUP(G1390,'CP FACTORS'!$A$3:$B$38, 2, FALSE)</f>
        <v>4.6608050000000002E-4</v>
      </c>
      <c r="I1390" s="2630">
        <f t="shared" si="196"/>
        <v>4.8560000000000001E-3</v>
      </c>
      <c r="J1390" s="2631">
        <f t="shared" si="197"/>
        <v>20</v>
      </c>
      <c r="K1390" s="370">
        <f t="shared" si="198"/>
        <v>9.2850000000000001</v>
      </c>
      <c r="L1390" s="1174" t="s">
        <v>2342</v>
      </c>
      <c r="M1390" s="151"/>
      <c r="N1390" s="2632"/>
      <c r="O1390" s="1135"/>
      <c r="V1390" s="343" t="s">
        <v>31</v>
      </c>
      <c r="W1390" s="397"/>
      <c r="X1390" s="98"/>
      <c r="Y1390" s="98"/>
      <c r="Z1390" s="98"/>
      <c r="AA1390" s="2098"/>
      <c r="AB1390" s="397">
        <v>10.4183346394822</v>
      </c>
      <c r="AC1390" s="348">
        <v>10.4183346394822</v>
      </c>
      <c r="AD1390" s="2083"/>
      <c r="AE1390" s="2083"/>
      <c r="AF1390" s="2083"/>
      <c r="AG1390" s="2083"/>
      <c r="BB1390" s="52">
        <f t="shared" si="199"/>
        <v>1.4151553630367506</v>
      </c>
      <c r="BC1390" s="1948" t="str">
        <f t="shared" si="200"/>
        <v>Building Shell RES 20 Year EUL</v>
      </c>
      <c r="BD1390" s="114">
        <f>(INDEX('Avoided Cost Benefits'!$C$4:$C$857,MATCH(BC1390,'Avoided Cost Benefits'!$A$4:$A$857,0)))*F1390</f>
        <v>12.401809859175296</v>
      </c>
      <c r="BE1390" s="1949">
        <f t="shared" ref="BE1390:BE1399" si="201">K1390/(1.0595^(2020-2019))</f>
        <v>8.7635677206229339</v>
      </c>
    </row>
    <row r="1391" spans="1:57" s="2317" customFormat="1" x14ac:dyDescent="0.25">
      <c r="A1391" s="1978"/>
      <c r="B1391" s="151"/>
      <c r="C1391" s="1471" t="s">
        <v>2345</v>
      </c>
      <c r="D1391" s="2629" t="s">
        <v>2098</v>
      </c>
      <c r="E1391" s="2629" t="s">
        <v>2346</v>
      </c>
      <c r="F1391" s="348">
        <f>G1409*G$1408/G$1413</f>
        <v>2.3909090909090911</v>
      </c>
      <c r="G1391" s="3227" t="s">
        <v>1615</v>
      </c>
      <c r="H1391" s="449">
        <f>VLOOKUP(G1391,'CP FACTORS'!$A$3:$B$38, 2, FALSE)</f>
        <v>4.6608050000000002E-4</v>
      </c>
      <c r="I1391" s="2630">
        <f t="shared" si="196"/>
        <v>1.114E-3</v>
      </c>
      <c r="J1391" s="2631">
        <f t="shared" si="197"/>
        <v>20</v>
      </c>
      <c r="K1391" s="370">
        <f t="shared" si="198"/>
        <v>9.2850000000000001</v>
      </c>
      <c r="L1391" s="1174" t="s">
        <v>2342</v>
      </c>
      <c r="M1391" s="151"/>
      <c r="N1391" s="2632"/>
      <c r="O1391" s="1135"/>
      <c r="V1391" s="343" t="s">
        <v>31</v>
      </c>
      <c r="W1391" s="397"/>
      <c r="X1391" s="2316"/>
      <c r="Y1391" s="2316"/>
      <c r="Z1391" s="2316"/>
      <c r="AA1391" s="2098"/>
      <c r="AB1391" s="397">
        <v>2.3909090909090911</v>
      </c>
      <c r="AC1391" s="348">
        <v>2.3909090909090911</v>
      </c>
      <c r="AD1391" s="2083"/>
      <c r="AE1391" s="2083"/>
      <c r="AF1391" s="2083"/>
      <c r="AG1391" s="2083"/>
      <c r="BB1391" s="52">
        <f t="shared" si="199"/>
        <v>0.32476474788119158</v>
      </c>
      <c r="BC1391" s="1948" t="str">
        <f t="shared" si="200"/>
        <v>Building Shell RES 20 Year EUL</v>
      </c>
      <c r="BD1391" s="114">
        <f>(INDEX('Avoided Cost Benefits'!$C$4:$C$857,MATCH(BC1391,'Avoided Cost Benefits'!$A$4:$A$857,0)))*F1391</f>
        <v>2.846097861327856</v>
      </c>
      <c r="BE1391" s="1949">
        <f t="shared" si="201"/>
        <v>8.7635677206229339</v>
      </c>
    </row>
    <row r="1392" spans="1:57" s="2317" customFormat="1" x14ac:dyDescent="0.25">
      <c r="A1392" s="1978"/>
      <c r="B1392" s="151"/>
      <c r="C1392" s="1471" t="s">
        <v>2347</v>
      </c>
      <c r="D1392" s="2629" t="s">
        <v>2098</v>
      </c>
      <c r="E1392" s="2629" t="s">
        <v>2348</v>
      </c>
      <c r="F1392" s="348">
        <f>G1410*G$1408/G$1413+G1415*G$1408/(G$1418*G$1421)</f>
        <v>5.9024938718959818</v>
      </c>
      <c r="G1392" s="3227" t="s">
        <v>1615</v>
      </c>
      <c r="H1392" s="449">
        <f>VLOOKUP(G1392,'CP FACTORS'!$A$3:$B$38, 2, FALSE)</f>
        <v>4.6608050000000002E-4</v>
      </c>
      <c r="I1392" s="2630">
        <f t="shared" si="196"/>
        <v>2.751E-3</v>
      </c>
      <c r="J1392" s="2631">
        <f t="shared" si="197"/>
        <v>20</v>
      </c>
      <c r="K1392" s="370">
        <f t="shared" si="198"/>
        <v>9.2850000000000001</v>
      </c>
      <c r="L1392" s="1174" t="s">
        <v>2342</v>
      </c>
      <c r="M1392" s="151"/>
      <c r="N1392" s="2632"/>
      <c r="O1392" s="1135"/>
      <c r="V1392" s="343" t="s">
        <v>31</v>
      </c>
      <c r="W1392" s="397"/>
      <c r="X1392" s="98"/>
      <c r="Y1392" s="98"/>
      <c r="Z1392" s="98"/>
      <c r="AA1392" s="2098"/>
      <c r="AB1392" s="397">
        <v>5.9024938718959818</v>
      </c>
      <c r="AC1392" s="348">
        <v>5.9024938718959818</v>
      </c>
      <c r="AD1392" s="2083"/>
      <c r="AE1392" s="2083"/>
      <c r="AF1392" s="2083"/>
      <c r="AG1392" s="2083"/>
      <c r="BB1392" s="52">
        <f t="shared" si="199"/>
        <v>0.80175442113849216</v>
      </c>
      <c r="BC1392" s="1948" t="str">
        <f t="shared" si="200"/>
        <v>Building Shell RES 20 Year EUL</v>
      </c>
      <c r="BD1392" s="114">
        <f>(INDEX('Avoided Cost Benefits'!$C$4:$C$857,MATCH(BC1392,'Avoided Cost Benefits'!$A$4:$A$857,0)))*F1392</f>
        <v>7.0262291649560158</v>
      </c>
      <c r="BE1392" s="1949">
        <f t="shared" si="201"/>
        <v>8.7635677206229339</v>
      </c>
    </row>
    <row r="1393" spans="1:57" s="2317" customFormat="1" x14ac:dyDescent="0.25">
      <c r="A1393" s="1978"/>
      <c r="B1393" s="151"/>
      <c r="C1393" s="1471" t="s">
        <v>2349</v>
      </c>
      <c r="D1393" s="2629" t="s">
        <v>2098</v>
      </c>
      <c r="E1393" s="2629" t="s">
        <v>2350</v>
      </c>
      <c r="F1393" s="348">
        <f>G1410*G$1408/G$1413+G1415*G$1408/(G$1419*G$1421)</f>
        <v>3.6711258877701161</v>
      </c>
      <c r="G1393" s="3227" t="s">
        <v>1615</v>
      </c>
      <c r="H1393" s="449">
        <f>VLOOKUP(G1393,'CP FACTORS'!$A$3:$B$38, 2, FALSE)</f>
        <v>4.6608050000000002E-4</v>
      </c>
      <c r="I1393" s="2630">
        <f t="shared" si="196"/>
        <v>1.7110000000000001E-3</v>
      </c>
      <c r="J1393" s="2631">
        <f t="shared" si="197"/>
        <v>20</v>
      </c>
      <c r="K1393" s="370">
        <f t="shared" si="198"/>
        <v>9.2850000000000001</v>
      </c>
      <c r="L1393" s="1174" t="s">
        <v>2342</v>
      </c>
      <c r="M1393" s="151"/>
      <c r="N1393" s="2632"/>
      <c r="O1393" s="1135"/>
      <c r="V1393" s="343" t="s">
        <v>31</v>
      </c>
      <c r="W1393" s="397"/>
      <c r="X1393" s="98"/>
      <c r="Y1393" s="98"/>
      <c r="Z1393" s="98"/>
      <c r="AA1393" s="2098"/>
      <c r="AB1393" s="397">
        <v>3.6711258877701161</v>
      </c>
      <c r="AC1393" s="348">
        <v>3.6711258877701161</v>
      </c>
      <c r="AD1393" s="2083"/>
      <c r="AE1393" s="2083"/>
      <c r="AF1393" s="2083"/>
      <c r="AG1393" s="2083"/>
      <c r="BB1393" s="52">
        <f t="shared" si="199"/>
        <v>0.49866064666157989</v>
      </c>
      <c r="BC1393" s="1948" t="str">
        <f t="shared" si="200"/>
        <v>Building Shell RES 20 Year EUL</v>
      </c>
      <c r="BD1393" s="114">
        <f>(INDEX('Avoided Cost Benefits'!$C$4:$C$857,MATCH(BC1393,'Avoided Cost Benefits'!$A$4:$A$857,0)))*F1393</f>
        <v>4.3700463466283797</v>
      </c>
      <c r="BE1393" s="1949">
        <f t="shared" si="201"/>
        <v>8.7635677206229339</v>
      </c>
    </row>
    <row r="1394" spans="1:57" s="2317" customFormat="1" x14ac:dyDescent="0.25">
      <c r="A1394" s="1978"/>
      <c r="B1394" s="151"/>
      <c r="C1394" s="1471" t="s">
        <v>2351</v>
      </c>
      <c r="D1394" s="2629" t="s">
        <v>2098</v>
      </c>
      <c r="E1394" s="2629" t="s">
        <v>2352</v>
      </c>
      <c r="F1394" s="348">
        <f>G1410*G$1408/G$1413</f>
        <v>1.1545454545454545</v>
      </c>
      <c r="G1394" s="3227" t="s">
        <v>1615</v>
      </c>
      <c r="H1394" s="449">
        <f>VLOOKUP(G1394,'CP FACTORS'!$A$3:$B$38, 2, FALSE)</f>
        <v>4.6608050000000002E-4</v>
      </c>
      <c r="I1394" s="2630">
        <f t="shared" si="196"/>
        <v>5.3799999999999996E-4</v>
      </c>
      <c r="J1394" s="2631">
        <f t="shared" si="197"/>
        <v>20</v>
      </c>
      <c r="K1394" s="370">
        <f t="shared" si="198"/>
        <v>9.2850000000000001</v>
      </c>
      <c r="L1394" s="1174" t="s">
        <v>2342</v>
      </c>
      <c r="M1394" s="151"/>
      <c r="N1394" s="2632"/>
      <c r="O1394" s="1135"/>
      <c r="V1394" s="343" t="s">
        <v>31</v>
      </c>
      <c r="W1394" s="397"/>
      <c r="X1394" s="98"/>
      <c r="Y1394" s="98"/>
      <c r="Z1394" s="98"/>
      <c r="AA1394" s="2098"/>
      <c r="AB1394" s="397">
        <v>1.1545454545454545</v>
      </c>
      <c r="AC1394" s="348">
        <v>1.1545454545454545</v>
      </c>
      <c r="AD1394" s="2083"/>
      <c r="AE1394" s="2083"/>
      <c r="AF1394" s="2083"/>
      <c r="AG1394" s="2083"/>
      <c r="BB1394" s="52">
        <f t="shared" si="199"/>
        <v>0.15682556266506209</v>
      </c>
      <c r="BC1394" s="1948" t="str">
        <f t="shared" si="200"/>
        <v>Building Shell RES 20 Year EUL</v>
      </c>
      <c r="BD1394" s="114">
        <f>(INDEX('Avoided Cost Benefits'!$C$4:$C$857,MATCH(BC1394,'Avoided Cost Benefits'!$A$4:$A$857,0)))*F1394</f>
        <v>1.3743514387400673</v>
      </c>
      <c r="BE1394" s="1949">
        <f t="shared" si="201"/>
        <v>8.7635677206229339</v>
      </c>
    </row>
    <row r="1395" spans="1:57" s="2317" customFormat="1" x14ac:dyDescent="0.25">
      <c r="A1395" s="1978"/>
      <c r="B1395" s="151"/>
      <c r="C1395" s="1471" t="s">
        <v>2353</v>
      </c>
      <c r="D1395" s="2629" t="s">
        <v>2098</v>
      </c>
      <c r="E1395" s="2629" t="s">
        <v>2354</v>
      </c>
      <c r="F1395" s="348">
        <f>G1411*G$1408/G$1413+G1416*G$1408/(G$1418*G$1421)</f>
        <v>17.528658211659383</v>
      </c>
      <c r="G1395" s="3227" t="s">
        <v>1615</v>
      </c>
      <c r="H1395" s="449">
        <f>VLOOKUP(G1395,'CP FACTORS'!$A$3:$B$38, 2, FALSE)</f>
        <v>4.6608050000000002E-4</v>
      </c>
      <c r="I1395" s="2630">
        <f t="shared" si="196"/>
        <v>8.1700000000000002E-3</v>
      </c>
      <c r="J1395" s="2631">
        <f t="shared" si="197"/>
        <v>20</v>
      </c>
      <c r="K1395" s="370">
        <f t="shared" si="198"/>
        <v>9.2850000000000001</v>
      </c>
      <c r="L1395" s="1174" t="s">
        <v>2342</v>
      </c>
      <c r="M1395" s="151"/>
      <c r="N1395" s="2632"/>
      <c r="O1395" s="1135"/>
      <c r="V1395" s="343" t="s">
        <v>31</v>
      </c>
      <c r="W1395" s="397"/>
      <c r="X1395" s="98"/>
      <c r="Y1395" s="98"/>
      <c r="Z1395" s="98"/>
      <c r="AA1395" s="2098"/>
      <c r="AB1395" s="397">
        <v>17.528658211659383</v>
      </c>
      <c r="AC1395" s="348">
        <v>17.528658211659383</v>
      </c>
      <c r="AD1395" s="2083"/>
      <c r="AE1395" s="2083"/>
      <c r="AF1395" s="2083"/>
      <c r="AG1395" s="2083"/>
      <c r="BB1395" s="52">
        <f t="shared" si="199"/>
        <v>2.3809731145572823</v>
      </c>
      <c r="BC1395" s="1948" t="str">
        <f t="shared" si="200"/>
        <v>Building Shell RES 20 Year EUL</v>
      </c>
      <c r="BD1395" s="114">
        <f>(INDEX('Avoided Cost Benefits'!$C$4:$C$857,MATCH(BC1395,'Avoided Cost Benefits'!$A$4:$A$857,0)))*F1395</f>
        <v>20.865819130405249</v>
      </c>
      <c r="BE1395" s="1949">
        <f t="shared" si="201"/>
        <v>8.7635677206229339</v>
      </c>
    </row>
    <row r="1396" spans="1:57" s="2317" customFormat="1" x14ac:dyDescent="0.25">
      <c r="A1396" s="1978"/>
      <c r="B1396" s="151"/>
      <c r="C1396" s="1471" t="s">
        <v>2355</v>
      </c>
      <c r="D1396" s="2629" t="s">
        <v>2098</v>
      </c>
      <c r="E1396" s="2629" t="s">
        <v>2356</v>
      </c>
      <c r="F1396" s="348">
        <f>G1411*G$1408/G$1413+G1416*G$1408/(G$1419*G$1421)</f>
        <v>10.414451027702533</v>
      </c>
      <c r="G1396" s="3227" t="s">
        <v>1615</v>
      </c>
      <c r="H1396" s="449">
        <f>VLOOKUP(G1396,'CP FACTORS'!$A$3:$B$38, 2, FALSE)</f>
        <v>4.6608050000000002E-4</v>
      </c>
      <c r="I1396" s="2630">
        <f t="shared" si="196"/>
        <v>4.8539999999999998E-3</v>
      </c>
      <c r="J1396" s="2631">
        <f t="shared" si="197"/>
        <v>20</v>
      </c>
      <c r="K1396" s="370">
        <f t="shared" si="198"/>
        <v>9.2850000000000001</v>
      </c>
      <c r="L1396" s="1174" t="s">
        <v>2342</v>
      </c>
      <c r="M1396" s="151"/>
      <c r="N1396" s="2632"/>
      <c r="O1396" s="1135"/>
      <c r="V1396" s="343" t="s">
        <v>31</v>
      </c>
      <c r="W1396" s="397"/>
      <c r="X1396" s="98"/>
      <c r="Y1396" s="98"/>
      <c r="Z1396" s="98"/>
      <c r="AA1396" s="2098"/>
      <c r="AB1396" s="397">
        <v>10.414451027702533</v>
      </c>
      <c r="AC1396" s="348">
        <v>10.414451027702533</v>
      </c>
      <c r="AD1396" s="2083"/>
      <c r="AE1396" s="2083"/>
      <c r="AF1396" s="2083"/>
      <c r="AG1396" s="2083"/>
      <c r="BB1396" s="52">
        <f t="shared" si="199"/>
        <v>1.4146278397589782</v>
      </c>
      <c r="BC1396" s="1948" t="str">
        <f t="shared" si="200"/>
        <v>Building Shell RES 20 Year EUL</v>
      </c>
      <c r="BD1396" s="114">
        <f>(INDEX('Avoided Cost Benefits'!$C$4:$C$857,MATCH(BC1396,'Avoided Cost Benefits'!$A$4:$A$857,0)))*F1396</f>
        <v>12.397186873206334</v>
      </c>
      <c r="BE1396" s="1949">
        <f t="shared" si="201"/>
        <v>8.7635677206229339</v>
      </c>
    </row>
    <row r="1397" spans="1:57" s="2317" customFormat="1" x14ac:dyDescent="0.25">
      <c r="A1397" s="1978"/>
      <c r="B1397" s="151"/>
      <c r="C1397" s="1471" t="s">
        <v>2357</v>
      </c>
      <c r="D1397" s="2629" t="s">
        <v>2098</v>
      </c>
      <c r="E1397" s="2629" t="s">
        <v>2358</v>
      </c>
      <c r="F1397" s="348">
        <f>G1411*G$1408/G$1413</f>
        <v>2.3909090909090911</v>
      </c>
      <c r="G1397" s="3227" t="s">
        <v>1615</v>
      </c>
      <c r="H1397" s="449">
        <f>VLOOKUP(G1397,'CP FACTORS'!$A$3:$B$38, 2, FALSE)</f>
        <v>4.6608050000000002E-4</v>
      </c>
      <c r="I1397" s="2630">
        <f t="shared" si="196"/>
        <v>1.114E-3</v>
      </c>
      <c r="J1397" s="2631">
        <f t="shared" si="197"/>
        <v>20</v>
      </c>
      <c r="K1397" s="370">
        <f t="shared" si="198"/>
        <v>9.2850000000000001</v>
      </c>
      <c r="L1397" s="1174" t="s">
        <v>2342</v>
      </c>
      <c r="M1397" s="151"/>
      <c r="N1397" s="2632"/>
      <c r="O1397" s="1135"/>
      <c r="V1397" s="343" t="s">
        <v>31</v>
      </c>
      <c r="W1397" s="397"/>
      <c r="X1397" s="98"/>
      <c r="Y1397" s="98"/>
      <c r="Z1397" s="98"/>
      <c r="AA1397" s="2098"/>
      <c r="AB1397" s="397">
        <v>2.3909090909090911</v>
      </c>
      <c r="AC1397" s="348">
        <v>2.3909090909090911</v>
      </c>
      <c r="AD1397" s="2083"/>
      <c r="AE1397" s="2083"/>
      <c r="AF1397" s="2083"/>
      <c r="AG1397" s="2083"/>
      <c r="BB1397" s="52">
        <f t="shared" si="199"/>
        <v>0.32476474788119158</v>
      </c>
      <c r="BC1397" s="1948" t="str">
        <f t="shared" si="200"/>
        <v>Building Shell RES 20 Year EUL</v>
      </c>
      <c r="BD1397" s="114">
        <f>(INDEX('Avoided Cost Benefits'!$C$4:$C$857,MATCH(BC1397,'Avoided Cost Benefits'!$A$4:$A$857,0)))*F1397</f>
        <v>2.846097861327856</v>
      </c>
      <c r="BE1397" s="1949">
        <f t="shared" si="201"/>
        <v>8.7635677206229339</v>
      </c>
    </row>
    <row r="1398" spans="1:57" s="2317" customFormat="1" x14ac:dyDescent="0.25">
      <c r="A1398" s="1978"/>
      <c r="B1398" s="151"/>
      <c r="C1398" s="1471" t="s">
        <v>2359</v>
      </c>
      <c r="D1398" s="2629" t="s">
        <v>2098</v>
      </c>
      <c r="E1398" s="2629" t="s">
        <v>2360</v>
      </c>
      <c r="F1398" s="348">
        <f>G1412*G$1408/G$1413+G1417*G$1408/(G$1418*G$1421)</f>
        <v>5.5948603858041137</v>
      </c>
      <c r="G1398" s="3227" t="s">
        <v>1615</v>
      </c>
      <c r="H1398" s="449">
        <f>VLOOKUP(G1398,'CP FACTORS'!$A$3:$B$38, 2, FALSE)</f>
        <v>4.6608050000000002E-4</v>
      </c>
      <c r="I1398" s="2630">
        <f t="shared" si="196"/>
        <v>2.6080000000000001E-3</v>
      </c>
      <c r="J1398" s="2631">
        <f t="shared" si="197"/>
        <v>20</v>
      </c>
      <c r="K1398" s="370">
        <f t="shared" si="198"/>
        <v>9.2850000000000001</v>
      </c>
      <c r="L1398" s="1174" t="s">
        <v>2342</v>
      </c>
      <c r="M1398" s="151"/>
      <c r="N1398" s="2632"/>
      <c r="O1398" s="1135"/>
      <c r="V1398" s="343" t="s">
        <v>31</v>
      </c>
      <c r="W1398" s="397"/>
      <c r="X1398" s="98"/>
      <c r="Y1398" s="98"/>
      <c r="Z1398" s="98"/>
      <c r="AA1398" s="2098"/>
      <c r="AB1398" s="397">
        <v>5.5948603858041137</v>
      </c>
      <c r="AC1398" s="348">
        <v>5.5948603858041137</v>
      </c>
      <c r="AD1398" s="2083"/>
      <c r="AE1398" s="2083"/>
      <c r="AF1398" s="2083"/>
      <c r="AG1398" s="2083"/>
      <c r="BB1398" s="52">
        <f t="shared" si="199"/>
        <v>0.75996759121245372</v>
      </c>
      <c r="BC1398" s="1948" t="str">
        <f t="shared" si="200"/>
        <v>Building Shell RES 20 Year EUL</v>
      </c>
      <c r="BD1398" s="114">
        <f>(INDEX('Avoided Cost Benefits'!$C$4:$C$857,MATCH(BC1398,'Avoided Cost Benefits'!$A$4:$A$857,0)))*F1398</f>
        <v>6.6600274510690243</v>
      </c>
      <c r="BE1398" s="1949">
        <f t="shared" si="201"/>
        <v>8.7635677206229339</v>
      </c>
    </row>
    <row r="1399" spans="1:57" s="2317" customFormat="1" x14ac:dyDescent="0.25">
      <c r="A1399" s="1978"/>
      <c r="B1399" s="151"/>
      <c r="C1399" s="1471" t="s">
        <v>2361</v>
      </c>
      <c r="D1399" s="2629" t="s">
        <v>2098</v>
      </c>
      <c r="E1399" s="2629" t="s">
        <v>2362</v>
      </c>
      <c r="F1399" s="348">
        <f>G1412*G$1408/G$1413+G1417*G$1408/(G$1419*G$1421)</f>
        <v>3.415144438347828</v>
      </c>
      <c r="G1399" s="3227" t="s">
        <v>1615</v>
      </c>
      <c r="H1399" s="449">
        <f>VLOOKUP(G1399,'CP FACTORS'!$A$3:$B$38, 2, FALSE)</f>
        <v>4.6608050000000002E-4</v>
      </c>
      <c r="I1399" s="2630">
        <f t="shared" si="196"/>
        <v>1.5920000000000001E-3</v>
      </c>
      <c r="J1399" s="2631">
        <f t="shared" si="197"/>
        <v>20</v>
      </c>
      <c r="K1399" s="370">
        <f t="shared" si="198"/>
        <v>9.2850000000000001</v>
      </c>
      <c r="L1399" s="1174" t="s">
        <v>2342</v>
      </c>
      <c r="M1399" s="151"/>
      <c r="N1399" s="2632"/>
      <c r="O1399" s="1135"/>
      <c r="V1399" s="343" t="s">
        <v>31</v>
      </c>
      <c r="W1399" s="397"/>
      <c r="X1399" s="98"/>
      <c r="Y1399" s="98"/>
      <c r="Z1399" s="98"/>
      <c r="AA1399" s="2098"/>
      <c r="AB1399" s="397">
        <v>3.415144438347828</v>
      </c>
      <c r="AC1399" s="348">
        <v>3.415144438347828</v>
      </c>
      <c r="AD1399" s="2083"/>
      <c r="AE1399" s="2083"/>
      <c r="AF1399" s="2083"/>
      <c r="AG1399" s="2083"/>
      <c r="BB1399" s="52">
        <f t="shared" si="199"/>
        <v>0.4638898763299143</v>
      </c>
      <c r="BC1399" s="1948" t="str">
        <f t="shared" si="200"/>
        <v>Building Shell RES 20 Year EUL</v>
      </c>
      <c r="BD1399" s="114">
        <f>(INDEX('Avoided Cost Benefits'!$C$4:$C$857,MATCH(BC1399,'Avoided Cost Benefits'!$A$4:$A$857,0)))*F1399</f>
        <v>4.0653303461286017</v>
      </c>
      <c r="BE1399" s="1949">
        <f t="shared" si="201"/>
        <v>8.7635677206229339</v>
      </c>
    </row>
    <row r="1400" spans="1:57" s="2317" customFormat="1" x14ac:dyDescent="0.25">
      <c r="A1400" s="1978"/>
      <c r="B1400" s="151"/>
      <c r="C1400" s="1471" t="s">
        <v>2363</v>
      </c>
      <c r="D1400" s="2629" t="s">
        <v>2098</v>
      </c>
      <c r="E1400" s="2629" t="s">
        <v>2364</v>
      </c>
      <c r="F1400" s="348">
        <f>G1412*G$1408/G$1413</f>
        <v>0.9568181818181819</v>
      </c>
      <c r="G1400" s="3227" t="s">
        <v>1615</v>
      </c>
      <c r="H1400" s="449">
        <f>VLOOKUP(G1400,'CP FACTORS'!$A$3:$B$38, 2, FALSE)</f>
        <v>4.6608050000000002E-4</v>
      </c>
      <c r="I1400" s="2630">
        <f t="shared" si="196"/>
        <v>4.46E-4</v>
      </c>
      <c r="J1400" s="2631">
        <f t="shared" si="197"/>
        <v>20</v>
      </c>
      <c r="K1400" s="370">
        <f t="shared" si="198"/>
        <v>9.2850000000000001</v>
      </c>
      <c r="L1400" s="1174" t="s">
        <v>2342</v>
      </c>
      <c r="M1400" s="151"/>
      <c r="N1400" s="2632"/>
      <c r="O1400" s="1135"/>
      <c r="V1400" s="343" t="s">
        <v>31</v>
      </c>
      <c r="W1400" s="397"/>
      <c r="X1400" s="98"/>
      <c r="Y1400" s="98"/>
      <c r="Z1400" s="98"/>
      <c r="AA1400" s="2098"/>
      <c r="AB1400" s="397">
        <v>0.9568181818181819</v>
      </c>
      <c r="AC1400" s="348">
        <v>0.9568181818181819</v>
      </c>
      <c r="AD1400" s="2083"/>
      <c r="AE1400" s="2083"/>
      <c r="AF1400" s="2083"/>
      <c r="AG1400" s="2083"/>
      <c r="BB1400" s="53">
        <f t="shared" ref="BB1400" si="202">(BD1400)/(BE1400)</f>
        <v>0.12996764149998258</v>
      </c>
      <c r="BC1400" s="1948" t="str">
        <f t="shared" si="200"/>
        <v>Building Shell RES 20 Year EUL</v>
      </c>
      <c r="BD1400" s="119">
        <f>(INDEX('Avoided Cost Benefits'!$C$4:$C$857,MATCH(BC1400,'Avoided Cost Benefits'!$A$4:$A$857,0)))*F1400</f>
        <v>1.1389802277747409</v>
      </c>
      <c r="BE1400" s="1950">
        <f t="shared" ref="BE1400" si="203">K1400/(1.0595^(2020-2019))</f>
        <v>8.7635677206229339</v>
      </c>
    </row>
    <row r="1401" spans="1:57" s="2317" customFormat="1" hidden="1" outlineLevel="1" x14ac:dyDescent="0.25">
      <c r="B1401" s="249"/>
      <c r="C1401" s="905"/>
      <c r="D1401" s="247"/>
      <c r="E1401" s="247"/>
      <c r="F1401" s="249"/>
      <c r="G1401" s="249"/>
      <c r="H1401" s="249"/>
      <c r="I1401" s="249"/>
      <c r="J1401" s="249"/>
      <c r="K1401" s="249"/>
      <c r="L1401" s="249"/>
      <c r="M1401" s="249"/>
      <c r="N1401" s="249"/>
      <c r="O1401" s="249"/>
      <c r="V1401" s="249"/>
      <c r="BB1401" s="2358"/>
    </row>
    <row r="1402" spans="1:57" s="2317" customFormat="1" hidden="1" outlineLevel="1" x14ac:dyDescent="0.25">
      <c r="B1402" s="249"/>
      <c r="C1402" s="905"/>
      <c r="D1402" s="174" t="s">
        <v>108</v>
      </c>
      <c r="E1402" s="247"/>
      <c r="F1402" s="249"/>
      <c r="G1402" s="249"/>
      <c r="H1402" s="249"/>
      <c r="I1402" s="249"/>
      <c r="J1402" s="249"/>
      <c r="K1402" s="249"/>
      <c r="L1402" s="249"/>
      <c r="M1402" s="249"/>
      <c r="N1402" s="249"/>
      <c r="O1402" s="249"/>
      <c r="V1402" s="249"/>
      <c r="Y1402" s="2357"/>
      <c r="BB1402" s="2358"/>
    </row>
    <row r="1403" spans="1:57" s="2317" customFormat="1" hidden="1" outlineLevel="1" x14ac:dyDescent="0.25">
      <c r="B1403" s="249"/>
      <c r="C1403" s="905"/>
      <c r="D1403" s="247"/>
      <c r="E1403" s="247"/>
      <c r="F1403" s="249"/>
      <c r="G1403" s="249"/>
      <c r="H1403" s="249"/>
      <c r="I1403" s="249"/>
      <c r="J1403" s="249"/>
      <c r="K1403" s="249"/>
      <c r="L1403" s="249"/>
      <c r="M1403" s="249"/>
      <c r="N1403" s="249"/>
      <c r="O1403" s="249"/>
      <c r="V1403" s="249"/>
      <c r="Y1403" s="2357"/>
      <c r="BB1403" s="2358"/>
    </row>
    <row r="1404" spans="1:57" s="2317" customFormat="1" hidden="1" outlineLevel="1" x14ac:dyDescent="0.25">
      <c r="B1404" s="249"/>
      <c r="C1404" s="905"/>
      <c r="D1404" s="247"/>
      <c r="E1404" s="247"/>
      <c r="F1404" s="249"/>
      <c r="G1404" s="249"/>
      <c r="H1404" s="249"/>
      <c r="I1404" s="249"/>
      <c r="J1404" s="249"/>
      <c r="K1404" s="249"/>
      <c r="L1404" s="249"/>
      <c r="M1404" s="249"/>
      <c r="N1404" s="249"/>
      <c r="O1404" s="249"/>
      <c r="V1404" s="249"/>
      <c r="Y1404" s="2357"/>
      <c r="BB1404" s="2358"/>
    </row>
    <row r="1405" spans="1:57" s="2317" customFormat="1" hidden="1" outlineLevel="1" x14ac:dyDescent="0.25">
      <c r="B1405" s="249"/>
      <c r="C1405" s="905"/>
      <c r="D1405" s="247"/>
      <c r="E1405" s="247"/>
      <c r="F1405" s="249"/>
      <c r="G1405" s="249"/>
      <c r="H1405" s="249"/>
      <c r="I1405" s="249"/>
      <c r="J1405" s="249"/>
      <c r="K1405" s="249"/>
      <c r="L1405" s="249"/>
      <c r="M1405" s="249"/>
      <c r="N1405" s="249"/>
      <c r="O1405" s="249"/>
      <c r="V1405" s="249"/>
      <c r="Y1405" s="2357"/>
      <c r="BB1405" s="2358"/>
    </row>
    <row r="1406" spans="1:57" s="2317" customFormat="1" hidden="1" outlineLevel="1" x14ac:dyDescent="0.25">
      <c r="B1406" s="249"/>
      <c r="C1406" s="905"/>
      <c r="D1406" s="247"/>
      <c r="E1406" s="247"/>
      <c r="F1406" s="249"/>
      <c r="G1406" s="249"/>
      <c r="H1406" s="249"/>
      <c r="I1406" s="249"/>
      <c r="J1406" s="249"/>
      <c r="K1406" s="249"/>
      <c r="L1406" s="249"/>
      <c r="M1406" s="249"/>
      <c r="N1406" s="249"/>
      <c r="O1406" s="249"/>
      <c r="V1406" s="249"/>
      <c r="Y1406" s="2357"/>
      <c r="BB1406" s="2358"/>
    </row>
    <row r="1407" spans="1:57" s="2317" customFormat="1" hidden="1" outlineLevel="1" x14ac:dyDescent="0.25">
      <c r="B1407" s="249"/>
      <c r="C1407" s="905"/>
      <c r="D1407" s="3236" t="s">
        <v>109</v>
      </c>
      <c r="E1407" s="3236" t="s">
        <v>110</v>
      </c>
      <c r="F1407" s="3086" t="s">
        <v>186</v>
      </c>
      <c r="G1407" s="3086" t="s">
        <v>112</v>
      </c>
      <c r="H1407" s="4068" t="s">
        <v>187</v>
      </c>
      <c r="I1407" s="4154"/>
      <c r="J1407" s="3773" t="s">
        <v>113</v>
      </c>
      <c r="K1407" s="3773"/>
      <c r="L1407" s="3773"/>
      <c r="M1407" s="249"/>
      <c r="N1407" s="249"/>
      <c r="O1407" s="249"/>
      <c r="V1407" s="551" t="s">
        <v>45</v>
      </c>
      <c r="W1407" s="552">
        <v>43252</v>
      </c>
      <c r="X1407" s="552">
        <f>$X$6</f>
        <v>43465</v>
      </c>
      <c r="Y1407" s="2409">
        <f>$Y$6</f>
        <v>43800</v>
      </c>
      <c r="Z1407" s="552">
        <f>$Z$6</f>
        <v>43862</v>
      </c>
      <c r="AA1407" s="552">
        <f>$AA$6</f>
        <v>44013</v>
      </c>
      <c r="AB1407" s="552">
        <f>$AB$6</f>
        <v>44166</v>
      </c>
      <c r="AC1407" s="552">
        <f>$AC$6</f>
        <v>44531</v>
      </c>
      <c r="AD1407" s="552" t="str">
        <f>$AD$6</f>
        <v>-</v>
      </c>
      <c r="AE1407" s="552" t="str">
        <f>$AE$6</f>
        <v>-</v>
      </c>
      <c r="AF1407" s="552" t="str">
        <f>$AF$6</f>
        <v>-</v>
      </c>
      <c r="AG1407" s="552" t="str">
        <f>$AG$6</f>
        <v>-</v>
      </c>
      <c r="BB1407" s="2358"/>
    </row>
    <row r="1408" spans="1:57" s="2317" customFormat="1" ht="15" hidden="1" customHeight="1" outlineLevel="1" x14ac:dyDescent="0.25">
      <c r="B1408" s="249"/>
      <c r="C1408" s="905"/>
      <c r="D1408" s="3210" t="s">
        <v>2365</v>
      </c>
      <c r="E1408" s="3215" t="s">
        <v>2366</v>
      </c>
      <c r="F1408" s="3215"/>
      <c r="G1408" s="2633">
        <v>1</v>
      </c>
      <c r="H1408" s="4155"/>
      <c r="I1408" s="4155"/>
      <c r="J1408" s="4150" t="s">
        <v>2367</v>
      </c>
      <c r="K1408" s="4151"/>
      <c r="L1408" s="4151"/>
      <c r="M1408" s="229"/>
      <c r="N1408" s="229"/>
      <c r="O1408" s="229"/>
      <c r="P1408" s="2360"/>
      <c r="Q1408" s="2360"/>
      <c r="R1408" s="2360"/>
      <c r="V1408" s="3210" t="s">
        <v>2365</v>
      </c>
      <c r="W1408" s="397"/>
      <c r="X1408" s="2316"/>
      <c r="Y1408" s="2316"/>
      <c r="Z1408" s="2316"/>
      <c r="AA1408" s="2083"/>
      <c r="AB1408" s="2359">
        <v>1</v>
      </c>
      <c r="AC1408" s="2633">
        <v>1</v>
      </c>
      <c r="AD1408" s="2083"/>
      <c r="AE1408" s="2083"/>
      <c r="AF1408" s="2083"/>
      <c r="AG1408" s="2083"/>
      <c r="AH1408" s="2360"/>
      <c r="BB1408" s="2358"/>
    </row>
    <row r="1409" spans="2:54" s="2317" customFormat="1" ht="15" hidden="1" customHeight="1" outlineLevel="1" x14ac:dyDescent="0.25">
      <c r="B1409" s="249"/>
      <c r="C1409" s="905"/>
      <c r="D1409" s="4161" t="s">
        <v>2368</v>
      </c>
      <c r="E1409" s="3823" t="s">
        <v>2369</v>
      </c>
      <c r="F1409" s="3215" t="s">
        <v>2370</v>
      </c>
      <c r="G1409" s="1647">
        <f>AVERAGE(23,23.9, 29.5, 28.8)</f>
        <v>26.3</v>
      </c>
      <c r="H1409" s="4152" t="s">
        <v>2371</v>
      </c>
      <c r="I1409" s="4153"/>
      <c r="J1409" s="4150" t="s">
        <v>2372</v>
      </c>
      <c r="K1409" s="4151"/>
      <c r="L1409" s="4151"/>
      <c r="M1409" s="229"/>
      <c r="N1409" s="229"/>
      <c r="O1409" s="229"/>
      <c r="P1409" s="2360"/>
      <c r="Q1409" s="2360"/>
      <c r="R1409" s="2360"/>
      <c r="V1409" s="4161" t="s">
        <v>2368</v>
      </c>
      <c r="W1409" s="397"/>
      <c r="X1409" s="98"/>
      <c r="Y1409" s="98"/>
      <c r="Z1409" s="98"/>
      <c r="AA1409" s="2083"/>
      <c r="AB1409" s="2361">
        <v>26.3</v>
      </c>
      <c r="AC1409" s="1647">
        <v>26.3</v>
      </c>
      <c r="AD1409" s="2083"/>
      <c r="AE1409" s="2083"/>
      <c r="AF1409" s="2083"/>
      <c r="AG1409" s="2083"/>
      <c r="AH1409" s="2360"/>
      <c r="BB1409" s="2358"/>
    </row>
    <row r="1410" spans="2:54" s="2317" customFormat="1" ht="15" hidden="1" customHeight="1" outlineLevel="1" x14ac:dyDescent="0.25">
      <c r="B1410" s="249"/>
      <c r="C1410" s="905"/>
      <c r="D1410" s="4161"/>
      <c r="E1410" s="3823"/>
      <c r="F1410" s="3215" t="s">
        <v>2373</v>
      </c>
      <c r="G1410" s="1647">
        <f>AVERAGE(10.5,10.7,15.4,14.2)</f>
        <v>12.7</v>
      </c>
      <c r="H1410" s="4152" t="s">
        <v>2371</v>
      </c>
      <c r="I1410" s="4153"/>
      <c r="J1410" s="4150" t="s">
        <v>2372</v>
      </c>
      <c r="K1410" s="4151"/>
      <c r="L1410" s="4151"/>
      <c r="M1410" s="229"/>
      <c r="N1410" s="229"/>
      <c r="O1410" s="229"/>
      <c r="P1410" s="2360"/>
      <c r="Q1410" s="2360"/>
      <c r="R1410" s="2360"/>
      <c r="V1410" s="4161"/>
      <c r="W1410" s="397"/>
      <c r="X1410" s="2316"/>
      <c r="Y1410" s="2316"/>
      <c r="Z1410" s="2316"/>
      <c r="AA1410" s="2083"/>
      <c r="AB1410" s="2361">
        <v>12.7</v>
      </c>
      <c r="AC1410" s="1647">
        <v>12.7</v>
      </c>
      <c r="AD1410" s="2083"/>
      <c r="AE1410" s="2083"/>
      <c r="AF1410" s="2083"/>
      <c r="AG1410" s="2083"/>
      <c r="AH1410" s="2360"/>
      <c r="BB1410" s="2358"/>
    </row>
    <row r="1411" spans="2:54" s="2317" customFormat="1" ht="15" hidden="1" customHeight="1" outlineLevel="1" x14ac:dyDescent="0.25">
      <c r="B1411" s="249"/>
      <c r="C1411" s="905"/>
      <c r="D1411" s="4161"/>
      <c r="E1411" s="3823"/>
      <c r="F1411" s="3215" t="s">
        <v>2374</v>
      </c>
      <c r="G1411" s="1647">
        <f>AVERAGE(22.5, 24.4, 29.3, 29)</f>
        <v>26.3</v>
      </c>
      <c r="H1411" s="4152" t="s">
        <v>2371</v>
      </c>
      <c r="I1411" s="4153"/>
      <c r="J1411" s="4150" t="s">
        <v>2372</v>
      </c>
      <c r="K1411" s="4151"/>
      <c r="L1411" s="4151"/>
      <c r="M1411" s="229"/>
      <c r="N1411" s="229"/>
      <c r="O1411" s="229"/>
      <c r="P1411" s="2360"/>
      <c r="Q1411" s="2360"/>
      <c r="R1411" s="2360"/>
      <c r="V1411" s="4161"/>
      <c r="W1411" s="397"/>
      <c r="X1411" s="98"/>
      <c r="Y1411" s="98"/>
      <c r="Z1411" s="98"/>
      <c r="AA1411" s="2083"/>
      <c r="AB1411" s="2361">
        <v>26.3</v>
      </c>
      <c r="AC1411" s="1647">
        <v>26.3</v>
      </c>
      <c r="AD1411" s="2083"/>
      <c r="AE1411" s="2083"/>
      <c r="AF1411" s="2083"/>
      <c r="AG1411" s="2083"/>
      <c r="AH1411" s="2360"/>
      <c r="BB1411" s="2358"/>
    </row>
    <row r="1412" spans="2:54" s="2317" customFormat="1" ht="15" hidden="1" customHeight="1" outlineLevel="1" x14ac:dyDescent="0.25">
      <c r="B1412" s="249"/>
      <c r="C1412" s="905"/>
      <c r="D1412" s="4161"/>
      <c r="E1412" s="3823"/>
      <c r="F1412" s="3215" t="s">
        <v>2375</v>
      </c>
      <c r="G1412" s="1647">
        <f>AVERAGE(9.6, 9.8, 9.3, 13.4)</f>
        <v>10.525</v>
      </c>
      <c r="H1412" s="4152" t="s">
        <v>2371</v>
      </c>
      <c r="I1412" s="4153"/>
      <c r="J1412" s="4150" t="s">
        <v>2372</v>
      </c>
      <c r="K1412" s="4151"/>
      <c r="L1412" s="4151"/>
      <c r="M1412" s="229"/>
      <c r="N1412" s="229"/>
      <c r="O1412" s="229"/>
      <c r="P1412" s="2360"/>
      <c r="Q1412" s="2360"/>
      <c r="R1412" s="2360"/>
      <c r="V1412" s="4161"/>
      <c r="W1412" s="397"/>
      <c r="X1412" s="98"/>
      <c r="Y1412" s="98"/>
      <c r="Z1412" s="98"/>
      <c r="AA1412" s="2083"/>
      <c r="AB1412" s="2361">
        <v>10.525</v>
      </c>
      <c r="AC1412" s="1647">
        <v>10.525</v>
      </c>
      <c r="AD1412" s="2083"/>
      <c r="AE1412" s="2083"/>
      <c r="AF1412" s="2083"/>
      <c r="AG1412" s="2083"/>
      <c r="AH1412" s="2360"/>
      <c r="BB1412" s="2358"/>
    </row>
    <row r="1413" spans="2:54" s="2317" customFormat="1" ht="30.75" hidden="1" customHeight="1" outlineLevel="1" x14ac:dyDescent="0.25">
      <c r="B1413" s="249"/>
      <c r="C1413" s="905"/>
      <c r="D1413" s="3184" t="s">
        <v>2376</v>
      </c>
      <c r="E1413" s="3099" t="s">
        <v>2377</v>
      </c>
      <c r="F1413" s="3099"/>
      <c r="G1413" s="1647">
        <v>11</v>
      </c>
      <c r="H1413" s="4155" t="s">
        <v>2378</v>
      </c>
      <c r="I1413" s="4155"/>
      <c r="J1413" s="4150"/>
      <c r="K1413" s="4151"/>
      <c r="L1413" s="4151"/>
      <c r="M1413" s="229"/>
      <c r="N1413" s="229"/>
      <c r="O1413" s="229"/>
      <c r="P1413" s="2360"/>
      <c r="Q1413" s="2360"/>
      <c r="R1413" s="2360"/>
      <c r="V1413" s="3184" t="s">
        <v>2376</v>
      </c>
      <c r="W1413" s="397"/>
      <c r="X1413" s="98"/>
      <c r="Y1413" s="98"/>
      <c r="Z1413" s="98"/>
      <c r="AA1413" s="2083"/>
      <c r="AB1413" s="2361">
        <v>11</v>
      </c>
      <c r="AC1413" s="1647">
        <v>11</v>
      </c>
      <c r="AD1413" s="2083"/>
      <c r="AE1413" s="2083"/>
      <c r="AF1413" s="2083"/>
      <c r="AG1413" s="2083"/>
      <c r="AH1413" s="2360"/>
      <c r="BB1413" s="2358"/>
    </row>
    <row r="1414" spans="2:54" s="2317" customFormat="1" ht="15" hidden="1" customHeight="1" outlineLevel="1" x14ac:dyDescent="0.25">
      <c r="B1414" s="249"/>
      <c r="C1414" s="905"/>
      <c r="D1414" s="4161" t="s">
        <v>2379</v>
      </c>
      <c r="E1414" s="3823" t="s">
        <v>2380</v>
      </c>
      <c r="F1414" s="3215" t="s">
        <v>2370</v>
      </c>
      <c r="G1414" s="3135">
        <f>AVERAGE(47.7, 49.8,51.5, 57.7)</f>
        <v>51.674999999999997</v>
      </c>
      <c r="H1414" s="4162" t="s">
        <v>2371</v>
      </c>
      <c r="I1414" s="4162"/>
      <c r="J1414" s="4150" t="s">
        <v>2372</v>
      </c>
      <c r="K1414" s="4151"/>
      <c r="L1414" s="4151"/>
      <c r="M1414" s="229"/>
      <c r="N1414" s="229"/>
      <c r="O1414" s="229"/>
      <c r="P1414" s="2360"/>
      <c r="Q1414" s="2360"/>
      <c r="R1414" s="2360"/>
      <c r="V1414" s="4161" t="s">
        <v>2379</v>
      </c>
      <c r="W1414" s="397"/>
      <c r="X1414" s="98"/>
      <c r="Y1414" s="98"/>
      <c r="Z1414" s="98"/>
      <c r="AA1414" s="2083"/>
      <c r="AB1414" s="2362">
        <v>51.674999999999997</v>
      </c>
      <c r="AC1414" s="3135">
        <v>51.674999999999997</v>
      </c>
      <c r="AD1414" s="2083"/>
      <c r="AE1414" s="2083"/>
      <c r="AF1414" s="2083"/>
      <c r="AG1414" s="2083"/>
      <c r="AH1414" s="2360"/>
      <c r="BB1414" s="2358"/>
    </row>
    <row r="1415" spans="2:54" s="2317" customFormat="1" ht="15" hidden="1" customHeight="1" outlineLevel="1" x14ac:dyDescent="0.25">
      <c r="B1415" s="249"/>
      <c r="C1415" s="905"/>
      <c r="D1415" s="4161"/>
      <c r="E1415" s="3823"/>
      <c r="F1415" s="3215" t="s">
        <v>2373</v>
      </c>
      <c r="G1415" s="1647">
        <f>AVERAGE(13.3, 17.9,13.3,20.3)</f>
        <v>16.2</v>
      </c>
      <c r="H1415" s="4155" t="s">
        <v>2371</v>
      </c>
      <c r="I1415" s="4155"/>
      <c r="J1415" s="4150" t="s">
        <v>2372</v>
      </c>
      <c r="K1415" s="4151"/>
      <c r="L1415" s="4151"/>
      <c r="M1415" s="229"/>
      <c r="N1415" s="229"/>
      <c r="O1415" s="229"/>
      <c r="P1415" s="2360"/>
      <c r="Q1415" s="2360"/>
      <c r="R1415" s="2360"/>
      <c r="V1415" s="4161"/>
      <c r="W1415" s="397"/>
      <c r="X1415" s="98"/>
      <c r="Y1415" s="98"/>
      <c r="Z1415" s="98"/>
      <c r="AA1415" s="2083"/>
      <c r="AB1415" s="2361">
        <v>16.2</v>
      </c>
      <c r="AC1415" s="1647">
        <v>16.2</v>
      </c>
      <c r="AD1415" s="2083"/>
      <c r="AE1415" s="2083"/>
      <c r="AF1415" s="2083"/>
      <c r="AG1415" s="2083"/>
      <c r="AH1415" s="2360"/>
      <c r="BB1415" s="2358"/>
    </row>
    <row r="1416" spans="2:54" s="2317" customFormat="1" ht="15" hidden="1" customHeight="1" outlineLevel="1" x14ac:dyDescent="0.25">
      <c r="B1416" s="249"/>
      <c r="C1416" s="905"/>
      <c r="D1416" s="4161"/>
      <c r="E1416" s="3823"/>
      <c r="F1416" s="3215" t="s">
        <v>2374</v>
      </c>
      <c r="G1416" s="1647">
        <f>AVERAGE(48.5,49,53.2,55.9)</f>
        <v>51.65</v>
      </c>
      <c r="H1416" s="4155" t="s">
        <v>2371</v>
      </c>
      <c r="I1416" s="4155"/>
      <c r="J1416" s="4150" t="s">
        <v>2372</v>
      </c>
      <c r="K1416" s="4151"/>
      <c r="L1416" s="4151"/>
      <c r="M1416" s="229"/>
      <c r="N1416" s="229"/>
      <c r="O1416" s="229"/>
      <c r="P1416" s="2360"/>
      <c r="Q1416" s="2360"/>
      <c r="R1416" s="2360"/>
      <c r="V1416" s="4161"/>
      <c r="W1416" s="397"/>
      <c r="X1416" s="98"/>
      <c r="Y1416" s="98"/>
      <c r="Z1416" s="98"/>
      <c r="AA1416" s="2083"/>
      <c r="AB1416" s="2361">
        <v>51.65</v>
      </c>
      <c r="AC1416" s="1647">
        <v>51.65</v>
      </c>
      <c r="AD1416" s="2083"/>
      <c r="AE1416" s="2083"/>
      <c r="AF1416" s="2083"/>
      <c r="AG1416" s="2083"/>
      <c r="AH1416" s="2360"/>
      <c r="BB1416" s="2358"/>
    </row>
    <row r="1417" spans="2:54" s="2317" customFormat="1" ht="15" hidden="1" customHeight="1" outlineLevel="1" x14ac:dyDescent="0.25">
      <c r="B1417" s="249"/>
      <c r="C1417" s="905"/>
      <c r="D1417" s="4161"/>
      <c r="E1417" s="3823"/>
      <c r="F1417" s="3215" t="s">
        <v>2375</v>
      </c>
      <c r="G1417" s="1647">
        <f>AVERAGE(12.3,14.2,19.3,17.5)</f>
        <v>15.824999999999999</v>
      </c>
      <c r="H1417" s="4155" t="s">
        <v>2371</v>
      </c>
      <c r="I1417" s="4155"/>
      <c r="J1417" s="4150" t="s">
        <v>2372</v>
      </c>
      <c r="K1417" s="4151"/>
      <c r="L1417" s="4151"/>
      <c r="M1417" s="229"/>
      <c r="N1417" s="229"/>
      <c r="O1417" s="229"/>
      <c r="P1417" s="2360"/>
      <c r="Q1417" s="2360"/>
      <c r="R1417" s="2360"/>
      <c r="V1417" s="4161"/>
      <c r="W1417" s="397"/>
      <c r="X1417" s="98"/>
      <c r="Y1417" s="98"/>
      <c r="Z1417" s="98"/>
      <c r="AA1417" s="2083"/>
      <c r="AB1417" s="2361">
        <v>15.824999999999999</v>
      </c>
      <c r="AC1417" s="1647">
        <v>15.824999999999999</v>
      </c>
      <c r="AD1417" s="2083"/>
      <c r="AE1417" s="2083"/>
      <c r="AF1417" s="2083"/>
      <c r="AG1417" s="2083"/>
      <c r="AH1417" s="2360"/>
      <c r="BB1417" s="2358"/>
    </row>
    <row r="1418" spans="2:54" s="2317" customFormat="1" ht="15" hidden="1" customHeight="1" outlineLevel="1" x14ac:dyDescent="0.25">
      <c r="B1418" s="249"/>
      <c r="C1418" s="905"/>
      <c r="D1418" s="4161" t="s">
        <v>2381</v>
      </c>
      <c r="E1418" s="3823" t="s">
        <v>2382</v>
      </c>
      <c r="F1418" s="3215" t="s">
        <v>2383</v>
      </c>
      <c r="G1418" s="2634">
        <v>1</v>
      </c>
      <c r="H1418" s="4155" t="s">
        <v>2384</v>
      </c>
      <c r="I1418" s="4155"/>
      <c r="J1418" s="4150"/>
      <c r="K1418" s="4151"/>
      <c r="L1418" s="4151"/>
      <c r="M1418" s="229"/>
      <c r="N1418" s="229"/>
      <c r="O1418" s="229"/>
      <c r="P1418" s="2360"/>
      <c r="Q1418" s="2360"/>
      <c r="R1418" s="2360"/>
      <c r="V1418" s="4161" t="s">
        <v>2381</v>
      </c>
      <c r="W1418" s="397"/>
      <c r="X1418" s="98"/>
      <c r="Y1418" s="98"/>
      <c r="Z1418" s="98"/>
      <c r="AA1418" s="2083"/>
      <c r="AB1418" s="2363">
        <v>1</v>
      </c>
      <c r="AC1418" s="2634">
        <v>1</v>
      </c>
      <c r="AD1418" s="2083"/>
      <c r="AE1418" s="2083"/>
      <c r="AF1418" s="2083"/>
      <c r="AG1418" s="2083"/>
      <c r="AH1418" s="2360"/>
      <c r="BB1418" s="2358"/>
    </row>
    <row r="1419" spans="2:54" s="2317" customFormat="1" ht="30.75" hidden="1" customHeight="1" outlineLevel="1" x14ac:dyDescent="0.25">
      <c r="B1419" s="249"/>
      <c r="C1419" s="905"/>
      <c r="D1419" s="4161"/>
      <c r="E1419" s="3823"/>
      <c r="F1419" s="3099" t="s">
        <v>2385</v>
      </c>
      <c r="G1419" s="984">
        <f>AVERAGE(1.7,1.92,2.04)</f>
        <v>1.8866666666666667</v>
      </c>
      <c r="H1419" s="4169" t="s">
        <v>2386</v>
      </c>
      <c r="I1419" s="4170"/>
      <c r="J1419" s="4150"/>
      <c r="K1419" s="4151"/>
      <c r="L1419" s="4151"/>
      <c r="M1419" s="229"/>
      <c r="N1419" s="229"/>
      <c r="O1419" s="229"/>
      <c r="P1419" s="2360"/>
      <c r="Q1419" s="2360"/>
      <c r="R1419" s="2360"/>
      <c r="V1419" s="4161"/>
      <c r="W1419" s="397"/>
      <c r="X1419" s="98"/>
      <c r="Y1419" s="98"/>
      <c r="Z1419" s="98"/>
      <c r="AA1419" s="2083"/>
      <c r="AB1419" s="2364">
        <v>1.8866666666666667</v>
      </c>
      <c r="AC1419" s="984">
        <v>1.8866666666666667</v>
      </c>
      <c r="AD1419" s="2083"/>
      <c r="AE1419" s="2083"/>
      <c r="AF1419" s="2083"/>
      <c r="AG1419" s="2083"/>
      <c r="AH1419" s="2360"/>
      <c r="BB1419" s="2358"/>
    </row>
    <row r="1420" spans="2:54" s="2317" customFormat="1" ht="15" hidden="1" customHeight="1" outlineLevel="1" x14ac:dyDescent="0.25">
      <c r="B1420" s="249"/>
      <c r="C1420" s="905"/>
      <c r="D1420" s="4161"/>
      <c r="E1420" s="3823"/>
      <c r="F1420" s="3099" t="s">
        <v>2387</v>
      </c>
      <c r="G1420" s="2634">
        <v>0</v>
      </c>
      <c r="H1420" s="4155"/>
      <c r="I1420" s="4155"/>
      <c r="J1420" s="4150" t="s">
        <v>2388</v>
      </c>
      <c r="K1420" s="4151"/>
      <c r="L1420" s="4151"/>
      <c r="M1420" s="229"/>
      <c r="N1420" s="229"/>
      <c r="O1420" s="229"/>
      <c r="P1420" s="2360"/>
      <c r="Q1420" s="2360"/>
      <c r="R1420" s="2360"/>
      <c r="V1420" s="4161"/>
      <c r="W1420" s="397"/>
      <c r="X1420" s="98"/>
      <c r="Y1420" s="98"/>
      <c r="Z1420" s="98"/>
      <c r="AA1420" s="2083"/>
      <c r="AB1420" s="2363">
        <v>0</v>
      </c>
      <c r="AC1420" s="2634">
        <v>0</v>
      </c>
      <c r="AD1420" s="2083"/>
      <c r="AE1420" s="2083"/>
      <c r="AF1420" s="2083"/>
      <c r="AG1420" s="2083"/>
      <c r="AH1420" s="2360"/>
      <c r="BB1420" s="2358"/>
    </row>
    <row r="1421" spans="2:54" s="2317" customFormat="1" ht="15" hidden="1" customHeight="1" outlineLevel="1" x14ac:dyDescent="0.25">
      <c r="B1421" s="249"/>
      <c r="C1421" s="905"/>
      <c r="D1421" s="3184">
        <v>3.4119999999999999</v>
      </c>
      <c r="E1421" s="3099" t="s">
        <v>2389</v>
      </c>
      <c r="F1421" s="3099"/>
      <c r="G1421" s="2635">
        <v>3.4119999999999999</v>
      </c>
      <c r="H1421" s="4155"/>
      <c r="I1421" s="4155"/>
      <c r="J1421" s="4150"/>
      <c r="K1421" s="4151"/>
      <c r="L1421" s="4151"/>
      <c r="M1421" s="229"/>
      <c r="N1421" s="229"/>
      <c r="O1421" s="229"/>
      <c r="P1421" s="2360"/>
      <c r="Q1421" s="2360"/>
      <c r="R1421" s="2360"/>
      <c r="V1421" s="3184">
        <v>3.4119999999999999</v>
      </c>
      <c r="W1421" s="2367"/>
      <c r="X1421" s="2367"/>
      <c r="Y1421" s="2368"/>
      <c r="Z1421" s="2367"/>
      <c r="AA1421" s="2367"/>
      <c r="AB1421" s="2365">
        <v>3.4119999999999999</v>
      </c>
      <c r="AC1421" s="2635">
        <v>3.4119999999999999</v>
      </c>
      <c r="AD1421" s="2367"/>
      <c r="AE1421" s="2367"/>
      <c r="AF1421" s="2367"/>
      <c r="AG1421" s="2367"/>
      <c r="AH1421" s="2360"/>
      <c r="BB1421" s="2358"/>
    </row>
    <row r="1422" spans="2:54" s="2317" customFormat="1" ht="15" hidden="1" customHeight="1" outlineLevel="1" x14ac:dyDescent="0.25">
      <c r="B1422" s="249"/>
      <c r="C1422" s="905"/>
      <c r="D1422" s="3184" t="s">
        <v>181</v>
      </c>
      <c r="E1422" s="3099" t="s">
        <v>167</v>
      </c>
      <c r="F1422" s="3099"/>
      <c r="G1422" s="2634">
        <v>20</v>
      </c>
      <c r="H1422" s="4155" t="s">
        <v>2390</v>
      </c>
      <c r="I1422" s="4155"/>
      <c r="J1422" s="4150"/>
      <c r="K1422" s="4151"/>
      <c r="L1422" s="4151"/>
      <c r="M1422" s="229"/>
      <c r="N1422" s="229"/>
      <c r="O1422" s="229"/>
      <c r="P1422" s="2360"/>
      <c r="Q1422" s="2360"/>
      <c r="R1422" s="2360"/>
      <c r="V1422" s="3184" t="s">
        <v>181</v>
      </c>
      <c r="W1422" s="2367"/>
      <c r="X1422" s="2367"/>
      <c r="Y1422" s="2368"/>
      <c r="Z1422" s="2367"/>
      <c r="AA1422" s="2367"/>
      <c r="AB1422" s="2363">
        <v>20</v>
      </c>
      <c r="AC1422" s="2634">
        <v>20</v>
      </c>
      <c r="AD1422" s="2367"/>
      <c r="AE1422" s="2367"/>
      <c r="AF1422" s="2367"/>
      <c r="AG1422" s="2367"/>
      <c r="AH1422" s="2360"/>
      <c r="BB1422" s="2358"/>
    </row>
    <row r="1423" spans="2:54" s="2317" customFormat="1" ht="15" hidden="1" customHeight="1" outlineLevel="1" x14ac:dyDescent="0.25">
      <c r="B1423" s="249"/>
      <c r="C1423" s="905"/>
      <c r="D1423" s="3184" t="s">
        <v>2391</v>
      </c>
      <c r="E1423" s="3099" t="s">
        <v>171</v>
      </c>
      <c r="F1423" s="3099" t="s">
        <v>2392</v>
      </c>
      <c r="G1423" s="2636">
        <f>AVERAGE(6.72,7.85)+30/15</f>
        <v>9.2850000000000001</v>
      </c>
      <c r="H1423" s="4155" t="s">
        <v>2390</v>
      </c>
      <c r="I1423" s="4155"/>
      <c r="J1423" s="4150" t="s">
        <v>2393</v>
      </c>
      <c r="K1423" s="4151"/>
      <c r="L1423" s="4151"/>
      <c r="M1423" s="229"/>
      <c r="N1423" s="229"/>
      <c r="O1423" s="229"/>
      <c r="P1423" s="2360"/>
      <c r="Q1423" s="2360"/>
      <c r="R1423" s="2360"/>
      <c r="V1423" s="3184" t="s">
        <v>2391</v>
      </c>
      <c r="W1423" s="2367"/>
      <c r="X1423" s="2367"/>
      <c r="Y1423" s="2368"/>
      <c r="Z1423" s="2367"/>
      <c r="AA1423" s="2367"/>
      <c r="AB1423" s="2366">
        <v>9.2850000000000001</v>
      </c>
      <c r="AC1423" s="2636">
        <v>9.2850000000000001</v>
      </c>
      <c r="AD1423" s="2367"/>
      <c r="AE1423" s="2367"/>
      <c r="AF1423" s="2367"/>
      <c r="AG1423" s="2367"/>
      <c r="AH1423" s="2360"/>
      <c r="BB1423" s="2358"/>
    </row>
    <row r="1424" spans="2:54" s="2317" customFormat="1" collapsed="1" x14ac:dyDescent="0.25">
      <c r="B1424" s="249"/>
      <c r="C1424" s="905"/>
      <c r="D1424" s="2637"/>
      <c r="E1424" s="2637"/>
      <c r="F1424" s="229"/>
      <c r="G1424" s="229"/>
      <c r="H1424" s="229"/>
      <c r="I1424" s="229"/>
      <c r="J1424" s="229"/>
      <c r="K1424" s="229"/>
      <c r="L1424" s="229"/>
      <c r="M1424" s="229"/>
      <c r="N1424" s="229"/>
      <c r="O1424" s="229"/>
      <c r="P1424" s="2360"/>
      <c r="Q1424" s="2360"/>
      <c r="R1424" s="2360"/>
      <c r="V1424" s="2360"/>
      <c r="W1424" s="2360"/>
      <c r="X1424" s="2360"/>
      <c r="Y1424" s="2369"/>
      <c r="Z1424" s="2360"/>
      <c r="AA1424" s="2360"/>
      <c r="AB1424" s="2360"/>
      <c r="AC1424" s="2360"/>
      <c r="AD1424" s="2360"/>
      <c r="AE1424" s="2360"/>
      <c r="AF1424" s="2360"/>
      <c r="AG1424" s="2360"/>
      <c r="AH1424" s="2360"/>
      <c r="BB1424" s="2358"/>
    </row>
  </sheetData>
  <mergeCells count="904">
    <mergeCell ref="D1215:D1216"/>
    <mergeCell ref="H1216:I1216"/>
    <mergeCell ref="D1228:D1253"/>
    <mergeCell ref="H1251:I1251"/>
    <mergeCell ref="H1253:I1253"/>
    <mergeCell ref="V1228:V1253"/>
    <mergeCell ref="V1159:V1183"/>
    <mergeCell ref="V1184:V1208"/>
    <mergeCell ref="V1209:V1210"/>
    <mergeCell ref="V1212:V1213"/>
    <mergeCell ref="V1215:V1216"/>
    <mergeCell ref="D1159:D1183"/>
    <mergeCell ref="H1181:I1181"/>
    <mergeCell ref="H1183:I1183"/>
    <mergeCell ref="D1184:D1208"/>
    <mergeCell ref="H1206:I1206"/>
    <mergeCell ref="H1208:I1208"/>
    <mergeCell ref="D1212:D1213"/>
    <mergeCell ref="H1213:I1213"/>
    <mergeCell ref="H1249:I1249"/>
    <mergeCell ref="H1250:I1250"/>
    <mergeCell ref="H1252:I1252"/>
    <mergeCell ref="D1209:D1210"/>
    <mergeCell ref="H1210:I1210"/>
    <mergeCell ref="H1164:I1164"/>
    <mergeCell ref="H1182:I1182"/>
    <mergeCell ref="H1189:I1189"/>
    <mergeCell ref="H1202:I1202"/>
    <mergeCell ref="H1207:I1207"/>
    <mergeCell ref="H1233:I1233"/>
    <mergeCell ref="H1169:I1169"/>
    <mergeCell ref="H1170:I1170"/>
    <mergeCell ref="H1171:I1171"/>
    <mergeCell ref="H1172:I1172"/>
    <mergeCell ref="H1173:I1173"/>
    <mergeCell ref="H1174:I1174"/>
    <mergeCell ref="H1203:I1203"/>
    <mergeCell ref="H1204:I1204"/>
    <mergeCell ref="H1192:I1192"/>
    <mergeCell ref="H1193:I1193"/>
    <mergeCell ref="H1194:I1194"/>
    <mergeCell ref="H1195:I1195"/>
    <mergeCell ref="H1196:I1196"/>
    <mergeCell ref="H1197:I1197"/>
    <mergeCell ref="H1166:I1166"/>
    <mergeCell ref="H1167:I1167"/>
    <mergeCell ref="H1168:I1168"/>
    <mergeCell ref="H1185:I1185"/>
    <mergeCell ref="H1162:I1162"/>
    <mergeCell ref="H1163:I1163"/>
    <mergeCell ref="H1165:I1165"/>
    <mergeCell ref="A1:O1"/>
    <mergeCell ref="P1:R1"/>
    <mergeCell ref="D2:J2"/>
    <mergeCell ref="B4:R4"/>
    <mergeCell ref="V4:AI4"/>
    <mergeCell ref="H27:J27"/>
    <mergeCell ref="K27:N27"/>
    <mergeCell ref="D30:D31"/>
    <mergeCell ref="E30:E31"/>
    <mergeCell ref="H30:J30"/>
    <mergeCell ref="K30:N30"/>
    <mergeCell ref="V30:V31"/>
    <mergeCell ref="H31:J31"/>
    <mergeCell ref="K31:N31"/>
    <mergeCell ref="D28:D29"/>
    <mergeCell ref="E28:E29"/>
    <mergeCell ref="H28:J29"/>
    <mergeCell ref="K28:N28"/>
    <mergeCell ref="V28:V29"/>
    <mergeCell ref="K29:N29"/>
    <mergeCell ref="K35:N35"/>
    <mergeCell ref="D32:D36"/>
    <mergeCell ref="E32:E36"/>
    <mergeCell ref="H36:J36"/>
    <mergeCell ref="K36:N36"/>
    <mergeCell ref="V37:V41"/>
    <mergeCell ref="V32:V36"/>
    <mergeCell ref="H37:J37"/>
    <mergeCell ref="K37:N37"/>
    <mergeCell ref="H38:J38"/>
    <mergeCell ref="K38:N38"/>
    <mergeCell ref="H39:J39"/>
    <mergeCell ref="K39:N39"/>
    <mergeCell ref="H40:J40"/>
    <mergeCell ref="K40:N40"/>
    <mergeCell ref="D37:D41"/>
    <mergeCell ref="E37:E41"/>
    <mergeCell ref="H41:J41"/>
    <mergeCell ref="K41:N41"/>
    <mergeCell ref="H42:J42"/>
    <mergeCell ref="K42:N42"/>
    <mergeCell ref="H43:J43"/>
    <mergeCell ref="K43:N43"/>
    <mergeCell ref="H32:J32"/>
    <mergeCell ref="K32:N32"/>
    <mergeCell ref="H33:J33"/>
    <mergeCell ref="K33:N33"/>
    <mergeCell ref="H34:J34"/>
    <mergeCell ref="K34:N34"/>
    <mergeCell ref="H35:J35"/>
    <mergeCell ref="K49:N49"/>
    <mergeCell ref="H50:J50"/>
    <mergeCell ref="K50:N50"/>
    <mergeCell ref="H44:J44"/>
    <mergeCell ref="K44:N44"/>
    <mergeCell ref="H45:J45"/>
    <mergeCell ref="K45:N45"/>
    <mergeCell ref="H46:J46"/>
    <mergeCell ref="K46:N46"/>
    <mergeCell ref="H47:J47"/>
    <mergeCell ref="D83:D90"/>
    <mergeCell ref="V83:V90"/>
    <mergeCell ref="D91:D98"/>
    <mergeCell ref="V91:V98"/>
    <mergeCell ref="D99:D106"/>
    <mergeCell ref="V99:V106"/>
    <mergeCell ref="H51:J51"/>
    <mergeCell ref="K51:N51"/>
    <mergeCell ref="B56:R56"/>
    <mergeCell ref="V56:AI56"/>
    <mergeCell ref="E72:L72"/>
    <mergeCell ref="D75:D82"/>
    <mergeCell ref="V75:V82"/>
    <mergeCell ref="D44:D53"/>
    <mergeCell ref="E44:E53"/>
    <mergeCell ref="H52:J52"/>
    <mergeCell ref="K52:N52"/>
    <mergeCell ref="H53:J53"/>
    <mergeCell ref="K53:N53"/>
    <mergeCell ref="V44:V53"/>
    <mergeCell ref="K47:N47"/>
    <mergeCell ref="H48:J48"/>
    <mergeCell ref="K48:N48"/>
    <mergeCell ref="H49:J49"/>
    <mergeCell ref="D164:D193"/>
    <mergeCell ref="V164:V193"/>
    <mergeCell ref="D194:D223"/>
    <mergeCell ref="V194:V223"/>
    <mergeCell ref="D224:D253"/>
    <mergeCell ref="V224:V253"/>
    <mergeCell ref="D110:D117"/>
    <mergeCell ref="H110:H117"/>
    <mergeCell ref="V110:V117"/>
    <mergeCell ref="B120:R120"/>
    <mergeCell ref="V120:AI120"/>
    <mergeCell ref="D158:L161"/>
    <mergeCell ref="D350:D379"/>
    <mergeCell ref="V350:V379"/>
    <mergeCell ref="D380:D409"/>
    <mergeCell ref="V380:V409"/>
    <mergeCell ref="H381:H409"/>
    <mergeCell ref="D411:D440"/>
    <mergeCell ref="G411:G440"/>
    <mergeCell ref="V411:V440"/>
    <mergeCell ref="D254:D283"/>
    <mergeCell ref="V254:V283"/>
    <mergeCell ref="D287:D316"/>
    <mergeCell ref="H287:H316"/>
    <mergeCell ref="V287:V316"/>
    <mergeCell ref="D317:D346"/>
    <mergeCell ref="V317:V346"/>
    <mergeCell ref="D472:D474"/>
    <mergeCell ref="H472:H474"/>
    <mergeCell ref="V472:V474"/>
    <mergeCell ref="D475:D477"/>
    <mergeCell ref="G475:G477"/>
    <mergeCell ref="H475:H477"/>
    <mergeCell ref="V475:V477"/>
    <mergeCell ref="B443:R443"/>
    <mergeCell ref="V443:AI443"/>
    <mergeCell ref="D457:G460"/>
    <mergeCell ref="D468:D470"/>
    <mergeCell ref="G468:G469"/>
    <mergeCell ref="H468:H469"/>
    <mergeCell ref="V468:V470"/>
    <mergeCell ref="D463:D464"/>
    <mergeCell ref="V463:V464"/>
    <mergeCell ref="B514:R514"/>
    <mergeCell ref="V514:AI514"/>
    <mergeCell ref="H531:I531"/>
    <mergeCell ref="J531:L531"/>
    <mergeCell ref="H532:I532"/>
    <mergeCell ref="J532:L532"/>
    <mergeCell ref="B484:R484"/>
    <mergeCell ref="V484:AI484"/>
    <mergeCell ref="D501:D502"/>
    <mergeCell ref="V501:V502"/>
    <mergeCell ref="D507:D508"/>
    <mergeCell ref="V507:V508"/>
    <mergeCell ref="H536:I536"/>
    <mergeCell ref="J536:L536"/>
    <mergeCell ref="H537:I537"/>
    <mergeCell ref="J537:L537"/>
    <mergeCell ref="H538:I538"/>
    <mergeCell ref="J538:L538"/>
    <mergeCell ref="H533:I533"/>
    <mergeCell ref="J533:L533"/>
    <mergeCell ref="D534:D535"/>
    <mergeCell ref="E534:E535"/>
    <mergeCell ref="H534:I534"/>
    <mergeCell ref="J534:L534"/>
    <mergeCell ref="H535:I535"/>
    <mergeCell ref="J535:L535"/>
    <mergeCell ref="H542:I542"/>
    <mergeCell ref="J542:L542"/>
    <mergeCell ref="H543:I543"/>
    <mergeCell ref="J543:L543"/>
    <mergeCell ref="H544:I544"/>
    <mergeCell ref="J544:L544"/>
    <mergeCell ref="H539:I539"/>
    <mergeCell ref="J539:L539"/>
    <mergeCell ref="H540:I540"/>
    <mergeCell ref="J540:L540"/>
    <mergeCell ref="H541:I541"/>
    <mergeCell ref="J541:L541"/>
    <mergeCell ref="H548:I548"/>
    <mergeCell ref="J548:L548"/>
    <mergeCell ref="H549:I549"/>
    <mergeCell ref="J549:L549"/>
    <mergeCell ref="H550:I550"/>
    <mergeCell ref="J550:L550"/>
    <mergeCell ref="H545:I545"/>
    <mergeCell ref="J545:L545"/>
    <mergeCell ref="H546:I546"/>
    <mergeCell ref="J546:L546"/>
    <mergeCell ref="H547:I547"/>
    <mergeCell ref="J547:L547"/>
    <mergeCell ref="V575:V577"/>
    <mergeCell ref="V579:V584"/>
    <mergeCell ref="H574:I574"/>
    <mergeCell ref="J574:L574"/>
    <mergeCell ref="H575:I575"/>
    <mergeCell ref="J575:L577"/>
    <mergeCell ref="H551:I551"/>
    <mergeCell ref="J551:L551"/>
    <mergeCell ref="H552:I552"/>
    <mergeCell ref="J552:L552"/>
    <mergeCell ref="B555:R555"/>
    <mergeCell ref="V555:AI555"/>
    <mergeCell ref="H576:I576"/>
    <mergeCell ref="H577:I577"/>
    <mergeCell ref="H578:I578"/>
    <mergeCell ref="J578:L578"/>
    <mergeCell ref="D579:D584"/>
    <mergeCell ref="E579:E584"/>
    <mergeCell ref="H579:I579"/>
    <mergeCell ref="J579:L584"/>
    <mergeCell ref="E575:E577"/>
    <mergeCell ref="D575:D577"/>
    <mergeCell ref="J585:L585"/>
    <mergeCell ref="H586:I586"/>
    <mergeCell ref="J586:L586"/>
    <mergeCell ref="H587:I587"/>
    <mergeCell ref="J587:L587"/>
    <mergeCell ref="H588:I588"/>
    <mergeCell ref="J588:L588"/>
    <mergeCell ref="H580:I580"/>
    <mergeCell ref="H581:I581"/>
    <mergeCell ref="H582:I582"/>
    <mergeCell ref="H583:I583"/>
    <mergeCell ref="H584:I584"/>
    <mergeCell ref="H585:I585"/>
    <mergeCell ref="B594:R594"/>
    <mergeCell ref="V594:AI594"/>
    <mergeCell ref="D629:D634"/>
    <mergeCell ref="E629:E634"/>
    <mergeCell ref="V629:V634"/>
    <mergeCell ref="H635:I635"/>
    <mergeCell ref="H589:I589"/>
    <mergeCell ref="J589:L589"/>
    <mergeCell ref="H590:I590"/>
    <mergeCell ref="J590:L590"/>
    <mergeCell ref="H591:I591"/>
    <mergeCell ref="J591:L591"/>
    <mergeCell ref="C609:L610"/>
    <mergeCell ref="H651:I651"/>
    <mergeCell ref="D652:D657"/>
    <mergeCell ref="E652:E657"/>
    <mergeCell ref="V652:V657"/>
    <mergeCell ref="M656:N656"/>
    <mergeCell ref="D638:D643"/>
    <mergeCell ref="E638:E643"/>
    <mergeCell ref="V638:V643"/>
    <mergeCell ref="H644:I644"/>
    <mergeCell ref="D649:D650"/>
    <mergeCell ref="E649:E650"/>
    <mergeCell ref="V649:V650"/>
    <mergeCell ref="M654:P654"/>
    <mergeCell ref="D665:D670"/>
    <mergeCell ref="E665:E670"/>
    <mergeCell ref="M665:N665"/>
    <mergeCell ref="V665:V670"/>
    <mergeCell ref="V673:AI673"/>
    <mergeCell ref="D659:D664"/>
    <mergeCell ref="E659:E664"/>
    <mergeCell ref="V659:V664"/>
    <mergeCell ref="M661:O661"/>
    <mergeCell ref="M662:N662"/>
    <mergeCell ref="M663:N663"/>
    <mergeCell ref="M664:N664"/>
    <mergeCell ref="B673:R673"/>
    <mergeCell ref="D722:D723"/>
    <mergeCell ref="E722:E723"/>
    <mergeCell ref="H722:I722"/>
    <mergeCell ref="J722:M722"/>
    <mergeCell ref="V722:V723"/>
    <mergeCell ref="H723:I723"/>
    <mergeCell ref="J723:M723"/>
    <mergeCell ref="H719:I719"/>
    <mergeCell ref="J719:K719"/>
    <mergeCell ref="L719:M719"/>
    <mergeCell ref="D720:D721"/>
    <mergeCell ref="E720:E721"/>
    <mergeCell ref="H720:I721"/>
    <mergeCell ref="J720:M721"/>
    <mergeCell ref="J725:M725"/>
    <mergeCell ref="H726:I726"/>
    <mergeCell ref="J726:M726"/>
    <mergeCell ref="H727:I727"/>
    <mergeCell ref="H732:I732"/>
    <mergeCell ref="J732:M732"/>
    <mergeCell ref="V724:V728"/>
    <mergeCell ref="V729:V733"/>
    <mergeCell ref="V720:V721"/>
    <mergeCell ref="H734:I734"/>
    <mergeCell ref="J734:M734"/>
    <mergeCell ref="D735:D736"/>
    <mergeCell ref="E735:E736"/>
    <mergeCell ref="H735:I735"/>
    <mergeCell ref="J735:M735"/>
    <mergeCell ref="J727:M727"/>
    <mergeCell ref="H729:I729"/>
    <mergeCell ref="J729:M729"/>
    <mergeCell ref="D724:D728"/>
    <mergeCell ref="E724:E728"/>
    <mergeCell ref="H728:I728"/>
    <mergeCell ref="J728:M728"/>
    <mergeCell ref="H733:I733"/>
    <mergeCell ref="J733:M733"/>
    <mergeCell ref="E729:E733"/>
    <mergeCell ref="D729:D733"/>
    <mergeCell ref="H730:I730"/>
    <mergeCell ref="J730:M730"/>
    <mergeCell ref="H731:I731"/>
    <mergeCell ref="J731:M731"/>
    <mergeCell ref="H724:I724"/>
    <mergeCell ref="J724:M724"/>
    <mergeCell ref="H725:I725"/>
    <mergeCell ref="V744:V748"/>
    <mergeCell ref="V739:V743"/>
    <mergeCell ref="V735:V736"/>
    <mergeCell ref="H736:I736"/>
    <mergeCell ref="D737:D738"/>
    <mergeCell ref="E737:E738"/>
    <mergeCell ref="H737:I737"/>
    <mergeCell ref="J737:M737"/>
    <mergeCell ref="V737:V738"/>
    <mergeCell ref="H738:I738"/>
    <mergeCell ref="J738:M738"/>
    <mergeCell ref="J736:M736"/>
    <mergeCell ref="H749:I749"/>
    <mergeCell ref="J749:M749"/>
    <mergeCell ref="H750:I750"/>
    <mergeCell ref="J750:M750"/>
    <mergeCell ref="J742:M742"/>
    <mergeCell ref="H744:I747"/>
    <mergeCell ref="J744:M747"/>
    <mergeCell ref="D739:D743"/>
    <mergeCell ref="E739:E743"/>
    <mergeCell ref="E744:E748"/>
    <mergeCell ref="D744:D748"/>
    <mergeCell ref="H743:I743"/>
    <mergeCell ref="H748:I748"/>
    <mergeCell ref="J748:M748"/>
    <mergeCell ref="J743:M743"/>
    <mergeCell ref="H739:I739"/>
    <mergeCell ref="J739:M739"/>
    <mergeCell ref="H740:I740"/>
    <mergeCell ref="J740:M740"/>
    <mergeCell ref="H741:I741"/>
    <mergeCell ref="J741:M741"/>
    <mergeCell ref="H742:I742"/>
    <mergeCell ref="B757:R757"/>
    <mergeCell ref="V757:AI757"/>
    <mergeCell ref="H771:I771"/>
    <mergeCell ref="J771:L771"/>
    <mergeCell ref="H772:I772"/>
    <mergeCell ref="J772:L772"/>
    <mergeCell ref="H751:I751"/>
    <mergeCell ref="J751:M751"/>
    <mergeCell ref="H752:I752"/>
    <mergeCell ref="J752:M752"/>
    <mergeCell ref="H753:I753"/>
    <mergeCell ref="J753:M753"/>
    <mergeCell ref="D750:D754"/>
    <mergeCell ref="E750:E754"/>
    <mergeCell ref="H754:I754"/>
    <mergeCell ref="J754:M754"/>
    <mergeCell ref="V750:V754"/>
    <mergeCell ref="H776:I776"/>
    <mergeCell ref="J776:L776"/>
    <mergeCell ref="H777:I777"/>
    <mergeCell ref="J777:L777"/>
    <mergeCell ref="H778:I778"/>
    <mergeCell ref="J778:L778"/>
    <mergeCell ref="H773:I773"/>
    <mergeCell ref="J773:L773"/>
    <mergeCell ref="H774:I774"/>
    <mergeCell ref="J774:L774"/>
    <mergeCell ref="H775:I775"/>
    <mergeCell ref="J775:L775"/>
    <mergeCell ref="H782:I782"/>
    <mergeCell ref="J782:L782"/>
    <mergeCell ref="H783:I783"/>
    <mergeCell ref="J783:L783"/>
    <mergeCell ref="H784:I784"/>
    <mergeCell ref="J784:L784"/>
    <mergeCell ref="H779:I779"/>
    <mergeCell ref="J779:L779"/>
    <mergeCell ref="H780:I780"/>
    <mergeCell ref="J780:L780"/>
    <mergeCell ref="H781:I781"/>
    <mergeCell ref="J781:L781"/>
    <mergeCell ref="D788:D789"/>
    <mergeCell ref="E788:E789"/>
    <mergeCell ref="H788:I788"/>
    <mergeCell ref="J788:L788"/>
    <mergeCell ref="V788:V789"/>
    <mergeCell ref="H789:I789"/>
    <mergeCell ref="J789:L789"/>
    <mergeCell ref="H785:I785"/>
    <mergeCell ref="J785:L785"/>
    <mergeCell ref="H786:I786"/>
    <mergeCell ref="J786:L786"/>
    <mergeCell ref="H787:I787"/>
    <mergeCell ref="J787:L787"/>
    <mergeCell ref="V791:V792"/>
    <mergeCell ref="H792:I792"/>
    <mergeCell ref="J792:L792"/>
    <mergeCell ref="B834:R834"/>
    <mergeCell ref="V834:AI834"/>
    <mergeCell ref="H850:I850"/>
    <mergeCell ref="J850:L850"/>
    <mergeCell ref="H790:I790"/>
    <mergeCell ref="J790:L790"/>
    <mergeCell ref="D791:D792"/>
    <mergeCell ref="E791:E792"/>
    <mergeCell ref="H791:I791"/>
    <mergeCell ref="J791:L791"/>
    <mergeCell ref="B795:R795"/>
    <mergeCell ref="V795:AI795"/>
    <mergeCell ref="H810:I810"/>
    <mergeCell ref="J810:L810"/>
    <mergeCell ref="H811:I811"/>
    <mergeCell ref="J811:L811"/>
    <mergeCell ref="H812:I812"/>
    <mergeCell ref="J812:L812"/>
    <mergeCell ref="H813:I813"/>
    <mergeCell ref="J813:L813"/>
    <mergeCell ref="H814:I814"/>
    <mergeCell ref="H854:I854"/>
    <mergeCell ref="J854:L854"/>
    <mergeCell ref="H855:I855"/>
    <mergeCell ref="J855:L855"/>
    <mergeCell ref="D856:D857"/>
    <mergeCell ref="E856:E857"/>
    <mergeCell ref="H856:I856"/>
    <mergeCell ref="J856:L856"/>
    <mergeCell ref="H851:I851"/>
    <mergeCell ref="J851:L851"/>
    <mergeCell ref="H852:I852"/>
    <mergeCell ref="J852:L852"/>
    <mergeCell ref="H853:I853"/>
    <mergeCell ref="J853:L853"/>
    <mergeCell ref="D860:D861"/>
    <mergeCell ref="E860:E861"/>
    <mergeCell ref="H860:I860"/>
    <mergeCell ref="J860:L860"/>
    <mergeCell ref="V860:V861"/>
    <mergeCell ref="H861:I861"/>
    <mergeCell ref="J861:L861"/>
    <mergeCell ref="V856:V857"/>
    <mergeCell ref="H857:I857"/>
    <mergeCell ref="J857:L857"/>
    <mergeCell ref="H858:I858"/>
    <mergeCell ref="J858:L858"/>
    <mergeCell ref="H859:I859"/>
    <mergeCell ref="J859:L859"/>
    <mergeCell ref="H865:I865"/>
    <mergeCell ref="J865:L865"/>
    <mergeCell ref="H866:I866"/>
    <mergeCell ref="J866:L866"/>
    <mergeCell ref="H867:I867"/>
    <mergeCell ref="J867:L867"/>
    <mergeCell ref="H862:I862"/>
    <mergeCell ref="J862:L862"/>
    <mergeCell ref="H863:I863"/>
    <mergeCell ref="J863:L863"/>
    <mergeCell ref="H864:I864"/>
    <mergeCell ref="J864:L864"/>
    <mergeCell ref="D873:D876"/>
    <mergeCell ref="E873:E876"/>
    <mergeCell ref="H873:I873"/>
    <mergeCell ref="J873:L873"/>
    <mergeCell ref="V873:V876"/>
    <mergeCell ref="H868:I868"/>
    <mergeCell ref="J868:L868"/>
    <mergeCell ref="H869:I869"/>
    <mergeCell ref="J869:L869"/>
    <mergeCell ref="H874:I874"/>
    <mergeCell ref="J874:L874"/>
    <mergeCell ref="H875:I875"/>
    <mergeCell ref="J875:L875"/>
    <mergeCell ref="H876:I876"/>
    <mergeCell ref="J876:L876"/>
    <mergeCell ref="V869:V870"/>
    <mergeCell ref="H870:I870"/>
    <mergeCell ref="J870:L870"/>
    <mergeCell ref="H872:I872"/>
    <mergeCell ref="J872:L872"/>
    <mergeCell ref="D869:D871"/>
    <mergeCell ref="E869:E871"/>
    <mergeCell ref="H871:I871"/>
    <mergeCell ref="J871:L871"/>
    <mergeCell ref="G891:H891"/>
    <mergeCell ref="I891:K891"/>
    <mergeCell ref="G892:H892"/>
    <mergeCell ref="I892:K892"/>
    <mergeCell ref="G893:H893"/>
    <mergeCell ref="I893:K893"/>
    <mergeCell ref="B879:R879"/>
    <mergeCell ref="V879:AI879"/>
    <mergeCell ref="G889:H889"/>
    <mergeCell ref="I889:K889"/>
    <mergeCell ref="G890:H890"/>
    <mergeCell ref="I890:K890"/>
    <mergeCell ref="G897:H897"/>
    <mergeCell ref="I897:K897"/>
    <mergeCell ref="G898:H898"/>
    <mergeCell ref="I898:K898"/>
    <mergeCell ref="G899:H899"/>
    <mergeCell ref="I899:K899"/>
    <mergeCell ref="G894:H894"/>
    <mergeCell ref="I894:K894"/>
    <mergeCell ref="G895:H895"/>
    <mergeCell ref="I895:K895"/>
    <mergeCell ref="G896:H896"/>
    <mergeCell ref="I896:K896"/>
    <mergeCell ref="G903:H903"/>
    <mergeCell ref="I903:K903"/>
    <mergeCell ref="G904:H904"/>
    <mergeCell ref="I904:K904"/>
    <mergeCell ref="D905:D906"/>
    <mergeCell ref="G905:H905"/>
    <mergeCell ref="I905:K905"/>
    <mergeCell ref="G900:H900"/>
    <mergeCell ref="I900:K900"/>
    <mergeCell ref="G901:H901"/>
    <mergeCell ref="I901:K901"/>
    <mergeCell ref="G902:H902"/>
    <mergeCell ref="I902:K902"/>
    <mergeCell ref="D948:D955"/>
    <mergeCell ref="V948:V955"/>
    <mergeCell ref="D960:D967"/>
    <mergeCell ref="V960:V967"/>
    <mergeCell ref="D968:D969"/>
    <mergeCell ref="V968:V969"/>
    <mergeCell ref="V905:V906"/>
    <mergeCell ref="G906:H906"/>
    <mergeCell ref="I906:K906"/>
    <mergeCell ref="B909:R909"/>
    <mergeCell ref="V909:AI909"/>
    <mergeCell ref="D946:D947"/>
    <mergeCell ref="V946:V947"/>
    <mergeCell ref="V994:AI994"/>
    <mergeCell ref="H1006:I1006"/>
    <mergeCell ref="J1006:L1006"/>
    <mergeCell ref="H1007:I1007"/>
    <mergeCell ref="J1007:L1007"/>
    <mergeCell ref="D970:D977"/>
    <mergeCell ref="V970:V977"/>
    <mergeCell ref="D978:D985"/>
    <mergeCell ref="G978:G985"/>
    <mergeCell ref="V978:V985"/>
    <mergeCell ref="D990:D991"/>
    <mergeCell ref="V990:V991"/>
    <mergeCell ref="H1008:I1008"/>
    <mergeCell ref="J1008:L1008"/>
    <mergeCell ref="H1009:I1009"/>
    <mergeCell ref="J1009:L1009"/>
    <mergeCell ref="D1010:D1011"/>
    <mergeCell ref="E1010:E1011"/>
    <mergeCell ref="H1010:I1010"/>
    <mergeCell ref="J1010:L1010"/>
    <mergeCell ref="B994:R994"/>
    <mergeCell ref="D1014:D1015"/>
    <mergeCell ref="E1014:E1015"/>
    <mergeCell ref="H1014:I1014"/>
    <mergeCell ref="J1014:L1014"/>
    <mergeCell ref="V1014:V1015"/>
    <mergeCell ref="H1015:I1015"/>
    <mergeCell ref="J1015:L1015"/>
    <mergeCell ref="V1010:V1011"/>
    <mergeCell ref="H1011:I1011"/>
    <mergeCell ref="J1011:L1011"/>
    <mergeCell ref="H1012:I1012"/>
    <mergeCell ref="J1012:L1012"/>
    <mergeCell ref="H1013:I1013"/>
    <mergeCell ref="J1013:L1013"/>
    <mergeCell ref="H1019:I1019"/>
    <mergeCell ref="J1019:L1019"/>
    <mergeCell ref="H1020:I1020"/>
    <mergeCell ref="J1020:L1020"/>
    <mergeCell ref="H1021:I1021"/>
    <mergeCell ref="J1021:L1021"/>
    <mergeCell ref="H1016:I1016"/>
    <mergeCell ref="J1016:L1016"/>
    <mergeCell ref="H1017:I1017"/>
    <mergeCell ref="J1017:L1017"/>
    <mergeCell ref="H1018:I1018"/>
    <mergeCell ref="J1018:L1018"/>
    <mergeCell ref="D1025:D1026"/>
    <mergeCell ref="E1025:E1026"/>
    <mergeCell ref="H1025:I1025"/>
    <mergeCell ref="J1025:L1025"/>
    <mergeCell ref="V1025:V1026"/>
    <mergeCell ref="H1026:I1026"/>
    <mergeCell ref="J1026:L1026"/>
    <mergeCell ref="H1022:I1022"/>
    <mergeCell ref="J1022:L1022"/>
    <mergeCell ref="H1023:I1023"/>
    <mergeCell ref="J1023:L1023"/>
    <mergeCell ref="H1024:I1024"/>
    <mergeCell ref="J1024:L1024"/>
    <mergeCell ref="G1042:H1042"/>
    <mergeCell ref="G1043:H1043"/>
    <mergeCell ref="G1044:H1044"/>
    <mergeCell ref="G1045:H1045"/>
    <mergeCell ref="G1046:H1046"/>
    <mergeCell ref="G1047:H1047"/>
    <mergeCell ref="B1029:R1029"/>
    <mergeCell ref="V1029:AI1029"/>
    <mergeCell ref="G1038:H1038"/>
    <mergeCell ref="G1039:H1039"/>
    <mergeCell ref="G1040:H1040"/>
    <mergeCell ref="G1041:H1041"/>
    <mergeCell ref="B1055:R1055"/>
    <mergeCell ref="V1055:AI1055"/>
    <mergeCell ref="G1068:H1068"/>
    <mergeCell ref="G1069:H1069"/>
    <mergeCell ref="G1070:H1070"/>
    <mergeCell ref="G1071:H1071"/>
    <mergeCell ref="G1048:H1048"/>
    <mergeCell ref="G1049:H1049"/>
    <mergeCell ref="G1050:H1050"/>
    <mergeCell ref="D1051:D1052"/>
    <mergeCell ref="G1051:H1051"/>
    <mergeCell ref="V1051:V1052"/>
    <mergeCell ref="G1052:H1052"/>
    <mergeCell ref="G1078:H1078"/>
    <mergeCell ref="G1079:H1079"/>
    <mergeCell ref="G1080:H1080"/>
    <mergeCell ref="G1081:H1081"/>
    <mergeCell ref="D1082:D1083"/>
    <mergeCell ref="G1082:H1082"/>
    <mergeCell ref="G1072:H1072"/>
    <mergeCell ref="G1073:H1073"/>
    <mergeCell ref="G1074:H1074"/>
    <mergeCell ref="G1075:H1075"/>
    <mergeCell ref="G1076:H1076"/>
    <mergeCell ref="G1077:H1077"/>
    <mergeCell ref="G1100:H1100"/>
    <mergeCell ref="G1101:H1101"/>
    <mergeCell ref="G1102:H1102"/>
    <mergeCell ref="G1103:H1103"/>
    <mergeCell ref="G1104:H1104"/>
    <mergeCell ref="G1105:H1105"/>
    <mergeCell ref="V1082:V1083"/>
    <mergeCell ref="G1083:H1083"/>
    <mergeCell ref="B1086:R1086"/>
    <mergeCell ref="V1086:AI1086"/>
    <mergeCell ref="G1098:H1098"/>
    <mergeCell ref="G1099:H1099"/>
    <mergeCell ref="G1112:H1112"/>
    <mergeCell ref="G1113:H1113"/>
    <mergeCell ref="G1114:H1114"/>
    <mergeCell ref="D1115:D1116"/>
    <mergeCell ref="G1115:H1115"/>
    <mergeCell ref="V1115:V1116"/>
    <mergeCell ref="G1116:H1116"/>
    <mergeCell ref="G1106:H1106"/>
    <mergeCell ref="G1107:H1107"/>
    <mergeCell ref="G1108:H1108"/>
    <mergeCell ref="G1109:H1109"/>
    <mergeCell ref="G1110:H1110"/>
    <mergeCell ref="G1111:H1111"/>
    <mergeCell ref="B1119:R1119"/>
    <mergeCell ref="V1119:AI1119"/>
    <mergeCell ref="C1121:C1122"/>
    <mergeCell ref="D1121:D1122"/>
    <mergeCell ref="E1121:E1122"/>
    <mergeCell ref="F1121:F1122"/>
    <mergeCell ref="G1121:G1122"/>
    <mergeCell ref="H1121:H1122"/>
    <mergeCell ref="I1121:I1122"/>
    <mergeCell ref="J1121:J1122"/>
    <mergeCell ref="R1121:R1122"/>
    <mergeCell ref="O1121:O1122"/>
    <mergeCell ref="P1121:Q1121"/>
    <mergeCell ref="F1158:G1158"/>
    <mergeCell ref="H1158:I1158"/>
    <mergeCell ref="H1159:I1159"/>
    <mergeCell ref="H1160:I1160"/>
    <mergeCell ref="H1161:I1161"/>
    <mergeCell ref="K1121:K1122"/>
    <mergeCell ref="L1121:L1122"/>
    <mergeCell ref="M1121:M1122"/>
    <mergeCell ref="N1121:N1122"/>
    <mergeCell ref="H1186:I1186"/>
    <mergeCell ref="H1187:I1187"/>
    <mergeCell ref="H1188:I1188"/>
    <mergeCell ref="H1190:I1190"/>
    <mergeCell ref="H1191:I1191"/>
    <mergeCell ref="H1175:I1175"/>
    <mergeCell ref="H1176:I1176"/>
    <mergeCell ref="H1178:I1178"/>
    <mergeCell ref="H1179:I1179"/>
    <mergeCell ref="H1180:I1180"/>
    <mergeCell ref="H1184:I1184"/>
    <mergeCell ref="H1177:I1177"/>
    <mergeCell ref="H1243:I1243"/>
    <mergeCell ref="H1244:I1244"/>
    <mergeCell ref="H1245:I1245"/>
    <mergeCell ref="H1247:I1247"/>
    <mergeCell ref="H1248:I1248"/>
    <mergeCell ref="H1246:I1246"/>
    <mergeCell ref="H1280:J1280"/>
    <mergeCell ref="H1279:J1279"/>
    <mergeCell ref="H1281:J1281"/>
    <mergeCell ref="H1241:I1241"/>
    <mergeCell ref="H1242:I1242"/>
    <mergeCell ref="H1228:I1228"/>
    <mergeCell ref="H1229:I1229"/>
    <mergeCell ref="H1230:I1230"/>
    <mergeCell ref="H1231:I1231"/>
    <mergeCell ref="H1232:I1232"/>
    <mergeCell ref="H1234:I1234"/>
    <mergeCell ref="H1235:I1235"/>
    <mergeCell ref="H1236:I1236"/>
    <mergeCell ref="H1239:I1239"/>
    <mergeCell ref="H1240:I1240"/>
    <mergeCell ref="H1237:I1237"/>
    <mergeCell ref="H1238:I1238"/>
    <mergeCell ref="J814:L814"/>
    <mergeCell ref="H815:I815"/>
    <mergeCell ref="J815:L815"/>
    <mergeCell ref="H816:I816"/>
    <mergeCell ref="J816:L816"/>
    <mergeCell ref="H817:I817"/>
    <mergeCell ref="J817:L817"/>
    <mergeCell ref="H818:I818"/>
    <mergeCell ref="J818:L818"/>
    <mergeCell ref="H819:I819"/>
    <mergeCell ref="J819:L819"/>
    <mergeCell ref="H820:I820"/>
    <mergeCell ref="J820:L820"/>
    <mergeCell ref="H821:I821"/>
    <mergeCell ref="J821:L821"/>
    <mergeCell ref="H822:I822"/>
    <mergeCell ref="J822:L822"/>
    <mergeCell ref="H823:I823"/>
    <mergeCell ref="J823:L823"/>
    <mergeCell ref="H1218:I1218"/>
    <mergeCell ref="H1219:I1219"/>
    <mergeCell ref="H1220:I1220"/>
    <mergeCell ref="H1221:I1221"/>
    <mergeCell ref="H1222:I1222"/>
    <mergeCell ref="H824:I824"/>
    <mergeCell ref="J824:L824"/>
    <mergeCell ref="H825:I825"/>
    <mergeCell ref="J825:L825"/>
    <mergeCell ref="H826:I826"/>
    <mergeCell ref="J826:L826"/>
    <mergeCell ref="H827:I827"/>
    <mergeCell ref="J827:L827"/>
    <mergeCell ref="H1205:I1205"/>
    <mergeCell ref="H1209:I1209"/>
    <mergeCell ref="H1211:I1211"/>
    <mergeCell ref="H1212:I1212"/>
    <mergeCell ref="H1214:I1214"/>
    <mergeCell ref="H1215:I1215"/>
    <mergeCell ref="H1217:I1217"/>
    <mergeCell ref="H1198:I1198"/>
    <mergeCell ref="H1199:I1199"/>
    <mergeCell ref="H1200:I1200"/>
    <mergeCell ref="H1201:I1201"/>
    <mergeCell ref="V827:V828"/>
    <mergeCell ref="H828:I828"/>
    <mergeCell ref="J828:L828"/>
    <mergeCell ref="H829:I829"/>
    <mergeCell ref="J829:L829"/>
    <mergeCell ref="D830:D831"/>
    <mergeCell ref="E830:E831"/>
    <mergeCell ref="H830:I830"/>
    <mergeCell ref="J830:L830"/>
    <mergeCell ref="V830:V831"/>
    <mergeCell ref="H831:I831"/>
    <mergeCell ref="J831:L831"/>
    <mergeCell ref="D827:D828"/>
    <mergeCell ref="E827:E828"/>
    <mergeCell ref="D1223:D1225"/>
    <mergeCell ref="H1223:I1223"/>
    <mergeCell ref="V1223:V1225"/>
    <mergeCell ref="H1225:I1225"/>
    <mergeCell ref="D1226:D1227"/>
    <mergeCell ref="E1226:E1227"/>
    <mergeCell ref="F1226:F1227"/>
    <mergeCell ref="G1226:G1227"/>
    <mergeCell ref="H1226:I1227"/>
    <mergeCell ref="H1224:I1224"/>
    <mergeCell ref="D1327:D1328"/>
    <mergeCell ref="V1311:V1312"/>
    <mergeCell ref="I1313:I1314"/>
    <mergeCell ref="K1313:M1313"/>
    <mergeCell ref="N1313:R1313"/>
    <mergeCell ref="D1277:D1278"/>
    <mergeCell ref="E1277:E1278"/>
    <mergeCell ref="D1279:D1282"/>
    <mergeCell ref="E1279:E1282"/>
    <mergeCell ref="D1283:D1286"/>
    <mergeCell ref="E1283:E1286"/>
    <mergeCell ref="V1277:V1278"/>
    <mergeCell ref="V1279:V1282"/>
    <mergeCell ref="V1283:V1286"/>
    <mergeCell ref="V1287:V1288"/>
    <mergeCell ref="V1290:V1293"/>
    <mergeCell ref="D1290:D1293"/>
    <mergeCell ref="E1290:E1293"/>
    <mergeCell ref="D1287:D1288"/>
    <mergeCell ref="E1287:E1288"/>
    <mergeCell ref="H1277:J1277"/>
    <mergeCell ref="H1285:J1285"/>
    <mergeCell ref="H1286:J1286"/>
    <mergeCell ref="H1278:J1278"/>
    <mergeCell ref="H1282:J1282"/>
    <mergeCell ref="H1283:J1283"/>
    <mergeCell ref="H1284:J1284"/>
    <mergeCell ref="H1287:J1287"/>
    <mergeCell ref="H1288:J1288"/>
    <mergeCell ref="H1289:J1289"/>
    <mergeCell ref="H1290:J1290"/>
    <mergeCell ref="D1311:D1312"/>
    <mergeCell ref="H1292:J1292"/>
    <mergeCell ref="H1293:J1293"/>
    <mergeCell ref="H1291:J1291"/>
    <mergeCell ref="H1422:I1422"/>
    <mergeCell ref="J1422:L1422"/>
    <mergeCell ref="H1423:I1423"/>
    <mergeCell ref="J1423:L1423"/>
    <mergeCell ref="D1409:D1412"/>
    <mergeCell ref="E1409:E1412"/>
    <mergeCell ref="H1409:I1409"/>
    <mergeCell ref="J1409:L1409"/>
    <mergeCell ref="F1381:H1381"/>
    <mergeCell ref="F1382:H1382"/>
    <mergeCell ref="D1418:D1420"/>
    <mergeCell ref="E1418:E1420"/>
    <mergeCell ref="H1418:I1418"/>
    <mergeCell ref="J1418:L1418"/>
    <mergeCell ref="J1417:L1417"/>
    <mergeCell ref="H1410:I1410"/>
    <mergeCell ref="J1410:L1410"/>
    <mergeCell ref="H1421:I1421"/>
    <mergeCell ref="H1419:I1419"/>
    <mergeCell ref="J1419:L1419"/>
    <mergeCell ref="H1420:I1420"/>
    <mergeCell ref="J1420:L1420"/>
    <mergeCell ref="H1413:I1413"/>
    <mergeCell ref="J1413:L1413"/>
    <mergeCell ref="J1421:L1421"/>
    <mergeCell ref="H1412:I1412"/>
    <mergeCell ref="J1412:L1412"/>
    <mergeCell ref="H1407:I1407"/>
    <mergeCell ref="J1407:L1407"/>
    <mergeCell ref="H1408:I1408"/>
    <mergeCell ref="V1327:V1328"/>
    <mergeCell ref="D1368:D1373"/>
    <mergeCell ref="V1368:V1373"/>
    <mergeCell ref="V1409:V1412"/>
    <mergeCell ref="H1411:I1411"/>
    <mergeCell ref="J1411:L1411"/>
    <mergeCell ref="V1418:V1420"/>
    <mergeCell ref="D1414:D1417"/>
    <mergeCell ref="E1414:E1417"/>
    <mergeCell ref="H1414:I1414"/>
    <mergeCell ref="J1414:L1414"/>
    <mergeCell ref="V1414:V1417"/>
    <mergeCell ref="H1415:I1415"/>
    <mergeCell ref="J1415:L1415"/>
    <mergeCell ref="H1416:I1416"/>
    <mergeCell ref="J1416:L1416"/>
    <mergeCell ref="H1417:I1417"/>
    <mergeCell ref="J1408:L1408"/>
  </mergeCells>
  <conditionalFormatting sqref="AH487">
    <cfRule type="cellIs" dxfId="295" priority="68" operator="lessThan">
      <formula>-0.1</formula>
    </cfRule>
    <cfRule type="cellIs" dxfId="294" priority="69" operator="greaterThan">
      <formula>0.1</formula>
    </cfRule>
  </conditionalFormatting>
  <conditionalFormatting sqref="AH676:AH695">
    <cfRule type="cellIs" dxfId="293" priority="66" operator="lessThan">
      <formula>-0.1</formula>
    </cfRule>
    <cfRule type="cellIs" dxfId="292" priority="67" operator="greaterThan">
      <formula>0.1</formula>
    </cfRule>
  </conditionalFormatting>
  <conditionalFormatting sqref="AH760:AH762">
    <cfRule type="cellIs" dxfId="291" priority="64" operator="lessThan">
      <formula>-0.1</formula>
    </cfRule>
    <cfRule type="cellIs" dxfId="290" priority="65" operator="greaterThan">
      <formula>0.1</formula>
    </cfRule>
  </conditionalFormatting>
  <conditionalFormatting sqref="AH763:AH764">
    <cfRule type="cellIs" dxfId="289" priority="62" operator="lessThan">
      <formula>-0.1</formula>
    </cfRule>
    <cfRule type="cellIs" dxfId="288" priority="63" operator="greaterThan">
      <formula>0.1</formula>
    </cfRule>
  </conditionalFormatting>
  <conditionalFormatting sqref="AH837:AH839">
    <cfRule type="cellIs" dxfId="287" priority="60" operator="lessThan">
      <formula>-0.1</formula>
    </cfRule>
    <cfRule type="cellIs" dxfId="286" priority="61" operator="greaterThan">
      <formula>0.1</formula>
    </cfRule>
  </conditionalFormatting>
  <conditionalFormatting sqref="AH840">
    <cfRule type="cellIs" dxfId="285" priority="58" operator="lessThan">
      <formula>-0.1</formula>
    </cfRule>
    <cfRule type="cellIs" dxfId="284" priority="59" operator="greaterThan">
      <formula>0.1</formula>
    </cfRule>
  </conditionalFormatting>
  <conditionalFormatting sqref="AH912:AH935">
    <cfRule type="cellIs" dxfId="283" priority="56" operator="lessThan">
      <formula>-0.1</formula>
    </cfRule>
    <cfRule type="cellIs" dxfId="282" priority="57" operator="greaterThan">
      <formula>0.1</formula>
    </cfRule>
  </conditionalFormatting>
  <conditionalFormatting sqref="AH1123:AH1147">
    <cfRule type="cellIs" dxfId="281" priority="54" operator="lessThan">
      <formula>-0.1</formula>
    </cfRule>
    <cfRule type="cellIs" dxfId="280" priority="55" operator="greaterThan">
      <formula>0.1</formula>
    </cfRule>
  </conditionalFormatting>
  <conditionalFormatting sqref="B452:B487 B842:B1301 B834:B840 B1304:B1331 B1:B17 B19:B446 B489:B672 B698:B794 B1333:B1385 B674:B695">
    <cfRule type="cellIs" dxfId="279" priority="53" operator="equal">
      <formula>"x"</formula>
    </cfRule>
  </conditionalFormatting>
  <conditionalFormatting sqref="B18:B21">
    <cfRule type="cellIs" dxfId="278" priority="52" operator="equal">
      <formula>"x"</formula>
    </cfRule>
  </conditionalFormatting>
  <conditionalFormatting sqref="E9">
    <cfRule type="cellIs" dxfId="277" priority="51" operator="equal">
      <formula>"x"</formula>
    </cfRule>
  </conditionalFormatting>
  <conditionalFormatting sqref="E12">
    <cfRule type="cellIs" dxfId="276" priority="50" operator="equal">
      <formula>"x"</formula>
    </cfRule>
  </conditionalFormatting>
  <conditionalFormatting sqref="E15">
    <cfRule type="cellIs" dxfId="275" priority="49" operator="equal">
      <formula>"x"</formula>
    </cfRule>
  </conditionalFormatting>
  <conditionalFormatting sqref="E18:E21">
    <cfRule type="cellIs" dxfId="274" priority="48" operator="equal">
      <formula>"x"</formula>
    </cfRule>
  </conditionalFormatting>
  <conditionalFormatting sqref="E696:E705">
    <cfRule type="cellIs" dxfId="273" priority="38" operator="equal">
      <formula>"x"</formula>
    </cfRule>
  </conditionalFormatting>
  <conditionalFormatting sqref="AH488">
    <cfRule type="cellIs" dxfId="272" priority="46" operator="lessThan">
      <formula>-0.1</formula>
    </cfRule>
    <cfRule type="cellIs" dxfId="271" priority="47" operator="greaterThan">
      <formula>0.1</formula>
    </cfRule>
  </conditionalFormatting>
  <conditionalFormatting sqref="B488">
    <cfRule type="cellIs" dxfId="270" priority="45" operator="equal">
      <formula>"x"</formula>
    </cfRule>
  </conditionalFormatting>
  <conditionalFormatting sqref="E488">
    <cfRule type="cellIs" dxfId="269" priority="44" operator="equal">
      <formula>"x"</formula>
    </cfRule>
  </conditionalFormatting>
  <conditionalFormatting sqref="AH696:AH705">
    <cfRule type="cellIs" dxfId="268" priority="42" operator="lessThan">
      <formula>-0.1</formula>
    </cfRule>
    <cfRule type="cellIs" dxfId="267" priority="43" operator="greaterThan">
      <formula>0.1</formula>
    </cfRule>
  </conditionalFormatting>
  <conditionalFormatting sqref="B696:B705">
    <cfRule type="cellIs" dxfId="266" priority="41" operator="equal">
      <formula>"x"</formula>
    </cfRule>
  </conditionalFormatting>
  <conditionalFormatting sqref="E684:E685">
    <cfRule type="cellIs" dxfId="265" priority="40" operator="equal">
      <formula>"x"</formula>
    </cfRule>
  </conditionalFormatting>
  <conditionalFormatting sqref="E690:E691">
    <cfRule type="cellIs" dxfId="264" priority="39" operator="equal">
      <formula>"x"</formula>
    </cfRule>
  </conditionalFormatting>
  <conditionalFormatting sqref="E914:E915">
    <cfRule type="cellIs" dxfId="263" priority="37" operator="equal">
      <formula>"x"</formula>
    </cfRule>
  </conditionalFormatting>
  <conditionalFormatting sqref="E920:E921">
    <cfRule type="cellIs" dxfId="262" priority="36" operator="equal">
      <formula>"x"</formula>
    </cfRule>
  </conditionalFormatting>
  <conditionalFormatting sqref="E926:E927">
    <cfRule type="cellIs" dxfId="261" priority="35" operator="equal">
      <formula>"x"</formula>
    </cfRule>
  </conditionalFormatting>
  <conditionalFormatting sqref="E932:E933">
    <cfRule type="cellIs" dxfId="260" priority="34" operator="equal">
      <formula>"x"</formula>
    </cfRule>
  </conditionalFormatting>
  <conditionalFormatting sqref="B447:B448">
    <cfRule type="cellIs" dxfId="259" priority="33" operator="equal">
      <formula>"x"</formula>
    </cfRule>
  </conditionalFormatting>
  <conditionalFormatting sqref="B1302:B1303">
    <cfRule type="cellIs" dxfId="258" priority="32" operator="equal">
      <formula>"x"</formula>
    </cfRule>
  </conditionalFormatting>
  <conditionalFormatting sqref="AH841">
    <cfRule type="cellIs" dxfId="257" priority="30" operator="lessThan">
      <formula>-0.1</formula>
    </cfRule>
    <cfRule type="cellIs" dxfId="256" priority="31" operator="greaterThan">
      <formula>0.1</formula>
    </cfRule>
  </conditionalFormatting>
  <conditionalFormatting sqref="B841">
    <cfRule type="cellIs" dxfId="255" priority="29" operator="equal">
      <formula>"x"</formula>
    </cfRule>
  </conditionalFormatting>
  <conditionalFormatting sqref="B449">
    <cfRule type="cellIs" dxfId="254" priority="28" operator="equal">
      <formula>"x"</formula>
    </cfRule>
  </conditionalFormatting>
  <conditionalFormatting sqref="B450:B451">
    <cfRule type="cellIs" dxfId="253" priority="27" operator="equal">
      <formula>"x"</formula>
    </cfRule>
  </conditionalFormatting>
  <conditionalFormatting sqref="AH798:AH800">
    <cfRule type="cellIs" dxfId="252" priority="25" operator="lessThan">
      <formula>-0.1</formula>
    </cfRule>
    <cfRule type="cellIs" dxfId="251" priority="26" operator="greaterThan">
      <formula>0.1</formula>
    </cfRule>
  </conditionalFormatting>
  <conditionalFormatting sqref="AH801:AH802">
    <cfRule type="cellIs" dxfId="250" priority="23" operator="lessThan">
      <formula>-0.1</formula>
    </cfRule>
    <cfRule type="cellIs" dxfId="249" priority="24" operator="greaterThan">
      <formula>0.1</formula>
    </cfRule>
  </conditionalFormatting>
  <conditionalFormatting sqref="B795:B833">
    <cfRule type="cellIs" dxfId="248" priority="22" operator="equal">
      <formula>"x"</formula>
    </cfRule>
  </conditionalFormatting>
  <conditionalFormatting sqref="B1401:B1409 B1413:B1414 B1424">
    <cfRule type="cellIs" dxfId="247" priority="21" operator="equal">
      <formula>"x"</formula>
    </cfRule>
  </conditionalFormatting>
  <conditionalFormatting sqref="A1386:B1389 A1392:B1392 A1395:B1395 A1398:B1398">
    <cfRule type="cellIs" dxfId="246" priority="20" operator="equal">
      <formula>"x"</formula>
    </cfRule>
  </conditionalFormatting>
  <conditionalFormatting sqref="B1418 B1421">
    <cfRule type="cellIs" dxfId="245" priority="19" operator="equal">
      <formula>"x"</formula>
    </cfRule>
  </conditionalFormatting>
  <conditionalFormatting sqref="B1410:B1412">
    <cfRule type="cellIs" dxfId="244" priority="18" operator="equal">
      <formula>"x"</formula>
    </cfRule>
  </conditionalFormatting>
  <conditionalFormatting sqref="B1415:B1417">
    <cfRule type="cellIs" dxfId="243" priority="17" operator="equal">
      <formula>"x"</formula>
    </cfRule>
  </conditionalFormatting>
  <conditionalFormatting sqref="B1419:B1420">
    <cfRule type="cellIs" dxfId="242" priority="16" operator="equal">
      <formula>"x"</formula>
    </cfRule>
  </conditionalFormatting>
  <conditionalFormatting sqref="A1390:B1391">
    <cfRule type="cellIs" dxfId="241" priority="15" operator="equal">
      <formula>"x"</formula>
    </cfRule>
  </conditionalFormatting>
  <conditionalFormatting sqref="A1393:B1394">
    <cfRule type="cellIs" dxfId="240" priority="14" operator="equal">
      <formula>"x"</formula>
    </cfRule>
  </conditionalFormatting>
  <conditionalFormatting sqref="A1396:B1397">
    <cfRule type="cellIs" dxfId="239" priority="13" operator="equal">
      <formula>"x"</formula>
    </cfRule>
  </conditionalFormatting>
  <conditionalFormatting sqref="A1399:B1400">
    <cfRule type="cellIs" dxfId="238" priority="12" operator="equal">
      <formula>"x"</formula>
    </cfRule>
  </conditionalFormatting>
  <conditionalFormatting sqref="B1422:B1423">
    <cfRule type="cellIs" dxfId="237" priority="11" operator="equal">
      <formula>"x"</formula>
    </cfRule>
  </conditionalFormatting>
  <conditionalFormatting sqref="AA1389:AA1400">
    <cfRule type="cellIs" dxfId="236" priority="10" operator="notEqual">
      <formula>Z1389</formula>
    </cfRule>
  </conditionalFormatting>
  <conditionalFormatting sqref="F52:F53">
    <cfRule type="cellIs" dxfId="235" priority="9" operator="equal">
      <formula>"x"</formula>
    </cfRule>
  </conditionalFormatting>
  <conditionalFormatting sqref="AC7:AC21">
    <cfRule type="cellIs" dxfId="234" priority="8" operator="notEqual">
      <formula>AB7</formula>
    </cfRule>
  </conditionalFormatting>
  <conditionalFormatting sqref="AC28:AC33">
    <cfRule type="cellIs" dxfId="233" priority="7" operator="notEqual">
      <formula>AB28</formula>
    </cfRule>
  </conditionalFormatting>
  <conditionalFormatting sqref="AC676:AC703">
    <cfRule type="cellIs" dxfId="232" priority="6" operator="notEqual">
      <formula>AB676</formula>
    </cfRule>
  </conditionalFormatting>
  <conditionalFormatting sqref="AC720:AC754">
    <cfRule type="cellIs" dxfId="231" priority="4" operator="notEqual">
      <formula>AB720</formula>
    </cfRule>
  </conditionalFormatting>
  <conditionalFormatting sqref="B1332">
    <cfRule type="cellIs" dxfId="230" priority="3" operator="equal">
      <formula>"x"</formula>
    </cfRule>
  </conditionalFormatting>
  <conditionalFormatting sqref="B673">
    <cfRule type="cellIs" dxfId="229" priority="1" operator="equal">
      <formula>"x"</formula>
    </cfRule>
  </conditionalFormatting>
  <hyperlinks>
    <hyperlink ref="J1076" r:id="rId1" display="https://www.efis.psc.mo.gov/mpsc/commoncomponents/viewdocument.asp?DocId=935658483"/>
    <hyperlink ref="H1019" r:id="rId2" display="https://www.efis.psc.mo.gov/mpsc/commoncomponents/viewdocument.asp?DocId=935658483"/>
    <hyperlink ref="G1076" r:id="rId3" display="https://www.efis.psc.mo.gov/mpsc/commoncomponents/viewdocument.asp?DocId=935658483"/>
    <hyperlink ref="G1109" r:id="rId4" display="https://www.efis.psc.mo.gov/mpsc/commoncomponents/viewdocument.asp?DocId=935658483"/>
    <hyperlink ref="H784" r:id="rId5" display="https://www.efis.psc.mo.gov/mpsc/commoncomponents/viewdocument.asp?DocId=935658483"/>
    <hyperlink ref="H865" r:id="rId6" display="https://www.efis.psc.mo.gov/mpsc/commoncomponents/viewdocument.asp?DocId=935658483"/>
    <hyperlink ref="H823" r:id="rId7" display="https://www.efis.psc.mo.gov/mpsc/commoncomponents/viewdocument.asp?DocId=935658483"/>
    <hyperlink ref="O733" location="_ftn1" display="_ftn1"/>
    <hyperlink ref="O748" location="_ftn1" display="_ftn1"/>
  </hyperlinks>
  <pageMargins left="0.7" right="0.7" top="0.75" bottom="0.75" header="0.3" footer="0.3"/>
  <pageSetup scale="10" fitToHeight="0" orientation="landscape" r:id="rId8"/>
  <rowBreaks count="4" manualBreakCount="4">
    <brk id="554" max="68" man="1"/>
    <brk id="907" max="68" man="1"/>
    <brk id="1170" max="68" man="1"/>
    <brk id="1253" max="68" man="1"/>
  </rowBreaks>
  <drawing r:id="rId9"/>
  <legacyDrawing r:id="rId1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L26"/>
  <sheetViews>
    <sheetView zoomScale="70" zoomScaleNormal="70" workbookViewId="0">
      <selection sqref="A1:O1"/>
    </sheetView>
  </sheetViews>
  <sheetFormatPr defaultRowHeight="15" outlineLevelRow="1" x14ac:dyDescent="0.25"/>
  <cols>
    <col min="3" max="3" width="19.28515625" style="103" customWidth="1"/>
    <col min="4" max="4" width="18.85546875" style="121" bestFit="1" customWidth="1"/>
    <col min="5" max="5" width="37" style="121"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23" width="14.5703125" customWidth="1"/>
    <col min="24" max="25" width="17.140625" bestFit="1" customWidth="1"/>
    <col min="26" max="26" width="15.85546875" bestFit="1" customWidth="1"/>
    <col min="27" max="27" width="14.5703125" customWidth="1"/>
    <col min="28" max="28" width="17.42578125" bestFit="1" customWidth="1"/>
    <col min="29" max="29" width="17.140625" bestFit="1" customWidth="1"/>
    <col min="30" max="35" width="14.5703125" customWidth="1"/>
    <col min="54" max="54" width="12" bestFit="1" customWidth="1"/>
    <col min="55" max="55" width="29.5703125" bestFit="1" customWidth="1"/>
    <col min="56" max="56" width="9.5703125" bestFit="1" customWidth="1"/>
    <col min="57" max="57" width="18.7109375" customWidth="1"/>
  </cols>
  <sheetData>
    <row r="1" spans="1:57" s="23" customFormat="1" ht="18.75" x14ac:dyDescent="0.3">
      <c r="A1" s="3756" t="s">
        <v>2394</v>
      </c>
      <c r="B1" s="4380"/>
      <c r="C1" s="4380"/>
      <c r="D1" s="4380"/>
      <c r="E1" s="4380"/>
      <c r="F1" s="4380"/>
      <c r="G1" s="4380"/>
      <c r="H1" s="4380"/>
      <c r="I1" s="4380"/>
      <c r="J1" s="4380"/>
      <c r="K1" s="4380"/>
      <c r="L1" s="4380"/>
      <c r="M1" s="4380"/>
      <c r="N1" s="4380"/>
      <c r="O1" s="4380"/>
      <c r="P1" s="3756"/>
      <c r="Q1" s="4380"/>
      <c r="R1" s="4380"/>
      <c r="S1" s="1931"/>
      <c r="T1" s="1931"/>
      <c r="U1" s="1931"/>
      <c r="V1" s="30"/>
      <c r="W1" s="31"/>
      <c r="X1" s="31"/>
      <c r="Y1" s="32"/>
      <c r="Z1" s="32"/>
      <c r="AA1" s="32"/>
      <c r="AB1" s="32"/>
      <c r="AC1" s="32"/>
      <c r="AD1" s="32"/>
      <c r="AE1" s="32"/>
      <c r="AF1" s="32"/>
      <c r="AG1" s="32"/>
      <c r="AH1" s="32"/>
      <c r="AI1" s="1931"/>
      <c r="AJ1" s="1931"/>
      <c r="AK1" s="1931"/>
      <c r="AL1" s="1931"/>
      <c r="AM1" s="1931"/>
      <c r="AN1" s="1931"/>
      <c r="AO1" s="1931"/>
      <c r="AP1" s="1931"/>
      <c r="AQ1" s="1931"/>
      <c r="AR1" s="1931"/>
      <c r="AS1" s="1931"/>
      <c r="AT1" s="1931"/>
      <c r="AU1" s="1931"/>
      <c r="AV1" s="1931"/>
      <c r="AW1" s="1931"/>
      <c r="AX1" s="1931"/>
      <c r="AY1" s="1931"/>
      <c r="AZ1" s="1931"/>
      <c r="BA1" s="1931"/>
      <c r="BB1" s="1931"/>
      <c r="BC1" s="1931"/>
      <c r="BD1" s="1931"/>
      <c r="BE1" s="1931"/>
    </row>
    <row r="2" spans="1:57" s="23" customFormat="1" ht="27.75" customHeight="1" outlineLevel="1" x14ac:dyDescent="0.35">
      <c r="A2" s="1931"/>
      <c r="B2" s="28"/>
      <c r="C2" s="33"/>
      <c r="D2" s="4381" t="s">
        <v>2395</v>
      </c>
      <c r="E2" s="4382"/>
      <c r="F2" s="4383"/>
      <c r="G2" s="4383"/>
      <c r="H2" s="4383"/>
      <c r="I2" s="4383"/>
      <c r="J2" s="4383"/>
      <c r="K2" s="29"/>
      <c r="L2" s="29"/>
      <c r="M2" s="1931"/>
      <c r="N2" s="1931"/>
      <c r="O2" s="1931"/>
      <c r="P2" s="1931"/>
      <c r="Q2" s="1931"/>
      <c r="R2" s="1931"/>
      <c r="S2" s="1931"/>
      <c r="T2" s="1931"/>
      <c r="U2" s="1931"/>
      <c r="V2" s="1931"/>
      <c r="W2" s="1931"/>
      <c r="X2" s="1931"/>
      <c r="Y2" s="1931"/>
      <c r="Z2" s="1931"/>
      <c r="AA2" s="1931"/>
      <c r="AB2" s="1931"/>
      <c r="AC2" s="1931"/>
      <c r="AD2" s="1931"/>
      <c r="AE2" s="1931"/>
      <c r="AF2" s="1931"/>
      <c r="AG2" s="1931"/>
      <c r="AH2" s="1931"/>
      <c r="AI2" s="1931"/>
      <c r="AJ2" s="1931"/>
      <c r="AK2" s="1931"/>
      <c r="AL2" s="1931"/>
      <c r="AM2" s="1931"/>
      <c r="AN2" s="1931"/>
      <c r="AO2" s="1931"/>
      <c r="AP2" s="1931"/>
      <c r="AQ2" s="1931"/>
      <c r="AR2" s="1931"/>
      <c r="AS2" s="1931"/>
      <c r="AT2" s="1931"/>
      <c r="AU2" s="1931"/>
      <c r="AV2" s="1931"/>
      <c r="AW2" s="1931"/>
      <c r="AX2" s="1931"/>
      <c r="AY2" s="1931"/>
      <c r="AZ2" s="1931"/>
      <c r="BA2" s="1931"/>
      <c r="BB2" s="1931"/>
      <c r="BC2" s="1931"/>
      <c r="BD2" s="1931"/>
      <c r="BE2" s="1931"/>
    </row>
    <row r="3" spans="1:57" s="23" customFormat="1" ht="24" customHeight="1" x14ac:dyDescent="0.35">
      <c r="A3" s="1931"/>
      <c r="B3" s="28"/>
      <c r="C3" s="33"/>
      <c r="D3" s="1187"/>
      <c r="E3" s="1188"/>
      <c r="F3" s="1189"/>
      <c r="G3" s="1189"/>
      <c r="H3" s="1189"/>
      <c r="I3" s="1189"/>
      <c r="J3" s="1189"/>
      <c r="K3" s="29"/>
      <c r="L3" s="29"/>
      <c r="M3" s="1931"/>
      <c r="N3" s="1931"/>
      <c r="O3" s="1931"/>
      <c r="P3" s="1931"/>
      <c r="Q3" s="1931"/>
      <c r="R3" s="1931"/>
      <c r="S3" s="1931"/>
      <c r="T3" s="1931"/>
      <c r="U3" s="1931"/>
      <c r="V3" s="1933"/>
      <c r="W3" s="1933"/>
      <c r="X3" s="1933"/>
      <c r="Y3" s="1933"/>
      <c r="Z3" s="1933"/>
      <c r="AA3" s="1933"/>
      <c r="AB3" s="1933"/>
      <c r="AC3" s="1933"/>
      <c r="AD3" s="1933"/>
      <c r="AE3" s="1933"/>
      <c r="AF3" s="1933"/>
      <c r="AG3" s="1933"/>
      <c r="AH3" s="1933"/>
      <c r="AI3" s="1933"/>
      <c r="AJ3" s="1931"/>
      <c r="AK3" s="1931"/>
      <c r="AL3" s="1931"/>
      <c r="AM3" s="1931"/>
      <c r="AN3" s="1931"/>
      <c r="AO3" s="1931"/>
      <c r="AP3" s="1931"/>
      <c r="AQ3" s="1931"/>
      <c r="AR3" s="1931"/>
      <c r="AS3" s="1931"/>
      <c r="AT3" s="1931"/>
      <c r="AU3" s="1931"/>
      <c r="AV3" s="1931"/>
      <c r="AW3" s="1931"/>
      <c r="AX3" s="1931"/>
      <c r="AY3" s="1931"/>
      <c r="AZ3" s="1931"/>
      <c r="BA3" s="1931"/>
      <c r="BB3" s="1931"/>
      <c r="BC3" s="1931"/>
      <c r="BD3" s="1931"/>
      <c r="BE3" s="1931"/>
    </row>
    <row r="4" spans="1:57" x14ac:dyDescent="0.25">
      <c r="A4" s="1930"/>
      <c r="B4" s="3750" t="s">
        <v>2396</v>
      </c>
      <c r="C4" s="3751"/>
      <c r="D4" s="3751"/>
      <c r="E4" s="3751"/>
      <c r="F4" s="3751"/>
      <c r="G4" s="3751"/>
      <c r="H4" s="3751"/>
      <c r="I4" s="3751"/>
      <c r="J4" s="3751"/>
      <c r="K4" s="3751"/>
      <c r="L4" s="3751"/>
      <c r="M4" s="3752"/>
      <c r="N4" s="3752"/>
      <c r="O4" s="3753"/>
      <c r="P4" s="1930"/>
      <c r="Q4" s="1930"/>
      <c r="R4" s="1930"/>
      <c r="S4" s="1930"/>
      <c r="T4" s="1930"/>
      <c r="U4" s="1930"/>
      <c r="V4" s="3750" t="str">
        <f>B4</f>
        <v>Home Energy Report</v>
      </c>
      <c r="W4" s="3751"/>
      <c r="X4" s="3751"/>
      <c r="Y4" s="3751"/>
      <c r="Z4" s="3751"/>
      <c r="AA4" s="3751"/>
      <c r="AB4" s="3751"/>
      <c r="AC4" s="3752"/>
      <c r="AD4" s="3752"/>
      <c r="AE4" s="3752"/>
      <c r="AF4" s="3752"/>
      <c r="AG4" s="3752"/>
      <c r="AH4" s="3752"/>
      <c r="AI4" s="3753"/>
      <c r="AJ4" s="1930"/>
      <c r="AK4" s="1930"/>
      <c r="AL4" s="1930"/>
      <c r="AM4" s="1930"/>
      <c r="AN4" s="1930"/>
      <c r="AO4" s="1930"/>
      <c r="AP4" s="1930"/>
      <c r="AQ4" s="1930"/>
      <c r="AR4" s="1930"/>
      <c r="AS4" s="1930"/>
      <c r="AT4" s="1930"/>
      <c r="AU4" s="1930"/>
      <c r="AV4" s="1930"/>
      <c r="AW4" s="1930"/>
      <c r="AX4" s="1930"/>
      <c r="AY4" s="1930"/>
      <c r="AZ4" s="1930"/>
      <c r="BA4" s="1930"/>
      <c r="BB4" s="1930"/>
      <c r="BC4" s="1930"/>
      <c r="BD4" s="1930"/>
      <c r="BE4" s="1930"/>
    </row>
    <row r="5" spans="1:57" x14ac:dyDescent="0.25">
      <c r="A5" s="1930"/>
      <c r="B5" s="1930"/>
      <c r="F5" s="1930"/>
      <c r="G5" s="1930"/>
      <c r="H5" s="1930"/>
      <c r="I5" s="1930"/>
      <c r="J5" s="1930"/>
      <c r="K5" s="1930"/>
      <c r="L5" s="1930"/>
      <c r="M5" s="1930"/>
      <c r="N5" s="1930"/>
      <c r="O5" s="1930"/>
      <c r="P5" s="1930"/>
      <c r="Q5" s="1930"/>
      <c r="R5" s="1930"/>
      <c r="S5" s="1930"/>
      <c r="T5" s="1930"/>
      <c r="U5" s="1930"/>
      <c r="V5" s="224"/>
      <c r="W5" s="224"/>
      <c r="X5" s="224"/>
      <c r="Y5" s="224"/>
      <c r="Z5" s="224"/>
      <c r="AA5" s="224"/>
      <c r="AB5" s="224"/>
      <c r="AC5" s="224"/>
      <c r="AD5" s="224"/>
      <c r="AE5" s="224"/>
      <c r="AF5" s="224"/>
      <c r="AG5" s="224"/>
      <c r="AH5" s="224"/>
      <c r="AI5" s="224"/>
      <c r="AJ5" s="1930"/>
      <c r="AK5" s="1930"/>
      <c r="AL5" s="1930"/>
      <c r="AM5" s="1930"/>
      <c r="AN5" s="1930"/>
      <c r="AO5" s="1930"/>
      <c r="AP5" s="1930"/>
      <c r="AQ5" s="1930"/>
      <c r="AR5" s="1930"/>
      <c r="AS5" s="1930"/>
      <c r="AT5" s="1930"/>
      <c r="AU5" s="1930"/>
      <c r="AV5" s="1930"/>
      <c r="AW5" s="1930"/>
      <c r="AX5" s="1930"/>
      <c r="AY5" s="1930"/>
      <c r="AZ5" s="1930"/>
      <c r="BA5" s="1930"/>
      <c r="BB5" s="1930"/>
      <c r="BC5" s="1930"/>
      <c r="BD5" s="1930"/>
      <c r="BE5" s="1930"/>
    </row>
    <row r="6" spans="1:57" ht="45" customHeight="1" x14ac:dyDescent="0.25">
      <c r="A6" s="1930"/>
      <c r="B6" s="1930"/>
      <c r="C6" s="3086" t="s">
        <v>28</v>
      </c>
      <c r="D6" s="3086" t="s">
        <v>175</v>
      </c>
      <c r="E6" s="3086" t="s">
        <v>30</v>
      </c>
      <c r="F6" s="3086" t="s">
        <v>4275</v>
      </c>
      <c r="G6" s="3086" t="s">
        <v>176</v>
      </c>
      <c r="H6" s="3086" t="s">
        <v>177</v>
      </c>
      <c r="I6" s="3086" t="s">
        <v>32</v>
      </c>
      <c r="J6" s="3086" t="s">
        <v>4278</v>
      </c>
      <c r="K6" s="3086" t="s">
        <v>170</v>
      </c>
      <c r="L6" s="3086" t="s">
        <v>44</v>
      </c>
      <c r="M6" s="1930"/>
      <c r="N6" s="1930"/>
      <c r="O6" s="1930"/>
      <c r="P6" s="1930"/>
      <c r="Q6" s="1930"/>
      <c r="R6" s="1930"/>
      <c r="S6" s="1930"/>
      <c r="T6" s="1930"/>
      <c r="U6" s="1930"/>
      <c r="V6" s="1936" t="s">
        <v>45</v>
      </c>
      <c r="W6" s="1937">
        <v>43252</v>
      </c>
      <c r="X6" s="1937">
        <v>43465</v>
      </c>
      <c r="Y6" s="1937">
        <v>43800</v>
      </c>
      <c r="Z6" s="1937">
        <v>43862</v>
      </c>
      <c r="AA6" s="1937">
        <v>44013</v>
      </c>
      <c r="AB6" s="1937">
        <v>44166</v>
      </c>
      <c r="AC6" s="1937">
        <v>44531</v>
      </c>
      <c r="AD6" s="1937" t="s">
        <v>46</v>
      </c>
      <c r="AE6" s="1937" t="s">
        <v>46</v>
      </c>
      <c r="AF6" s="1937" t="s">
        <v>46</v>
      </c>
      <c r="AG6" s="1937" t="s">
        <v>46</v>
      </c>
      <c r="AH6" s="224"/>
      <c r="AI6" s="224"/>
      <c r="AJ6" s="1930"/>
      <c r="AK6" s="1930"/>
      <c r="AL6" s="1930"/>
      <c r="AM6" s="1930"/>
      <c r="AN6" s="1930"/>
      <c r="AO6" s="1930"/>
      <c r="AP6" s="1930"/>
      <c r="AQ6" s="1930"/>
      <c r="AR6" s="1930"/>
      <c r="AS6" s="1930"/>
      <c r="AT6" s="1930"/>
      <c r="AU6" s="1930"/>
      <c r="AV6" s="1930"/>
      <c r="AW6" s="1930"/>
      <c r="AX6" s="1930"/>
      <c r="AY6" s="1930"/>
      <c r="AZ6" s="1930"/>
      <c r="BA6" s="1930"/>
      <c r="BB6" s="1938" t="s">
        <v>47</v>
      </c>
      <c r="BC6" s="49" t="s">
        <v>48</v>
      </c>
      <c r="BD6" s="578" t="s">
        <v>49</v>
      </c>
      <c r="BE6" s="50" t="s">
        <v>50</v>
      </c>
    </row>
    <row r="7" spans="1:57" x14ac:dyDescent="0.25">
      <c r="A7" s="1930"/>
      <c r="B7" s="1930"/>
      <c r="C7" s="1975" t="s">
        <v>2397</v>
      </c>
      <c r="D7" s="339" t="s">
        <v>320</v>
      </c>
      <c r="E7" s="3127" t="s">
        <v>2398</v>
      </c>
      <c r="F7" s="527">
        <f>G11</f>
        <v>120.13962118077339</v>
      </c>
      <c r="G7" s="1190" t="s">
        <v>1615</v>
      </c>
      <c r="H7" s="155">
        <f>VLOOKUP(G7,'CP FACTORS'!$A$3:$B$38, 2, FALSE)</f>
        <v>4.6608050000000002E-4</v>
      </c>
      <c r="I7" s="2407">
        <f>ROUND(F7*H7,6)</f>
        <v>5.5995000000000003E-2</v>
      </c>
      <c r="J7" s="117">
        <v>5</v>
      </c>
      <c r="K7" s="482">
        <v>0</v>
      </c>
      <c r="L7" s="63" t="s">
        <v>2399</v>
      </c>
      <c r="M7" s="1930"/>
      <c r="N7" s="1930"/>
      <c r="O7" s="1930"/>
      <c r="P7" s="1930"/>
      <c r="Q7" s="1930"/>
      <c r="R7" s="1930"/>
      <c r="S7" s="1930"/>
      <c r="T7" s="1930"/>
      <c r="U7" s="1930"/>
      <c r="V7" s="160" t="str">
        <f>$F$6</f>
        <v>kWh Annual Savings [1]</v>
      </c>
      <c r="W7" s="161">
        <v>150</v>
      </c>
      <c r="X7" s="881">
        <v>39.1</v>
      </c>
      <c r="Y7" s="115">
        <v>82.4</v>
      </c>
      <c r="Z7" s="160">
        <v>82.4</v>
      </c>
      <c r="AA7" s="160">
        <v>82.4</v>
      </c>
      <c r="AB7" s="1940">
        <v>50.83</v>
      </c>
      <c r="AC7" s="1940">
        <v>120.13962118077339</v>
      </c>
      <c r="AD7" s="160"/>
      <c r="AE7" s="160"/>
      <c r="AF7" s="160"/>
      <c r="AG7" s="160"/>
      <c r="AH7" s="1930"/>
      <c r="AI7" s="1930"/>
      <c r="AJ7" s="1930"/>
      <c r="AK7" s="1930"/>
      <c r="AL7" s="1930"/>
      <c r="AM7" s="1930"/>
      <c r="AN7" s="1930"/>
      <c r="AO7" s="1930"/>
      <c r="AP7" s="1930"/>
      <c r="AQ7" s="1930"/>
      <c r="AR7" s="1930"/>
      <c r="AS7" s="1930"/>
      <c r="AT7" s="1930"/>
      <c r="AU7" s="1930"/>
      <c r="AV7" s="1930"/>
      <c r="AW7" s="1930"/>
      <c r="AX7" s="1930"/>
      <c r="AY7" s="1930"/>
      <c r="AZ7" s="1930"/>
      <c r="BA7" s="1930"/>
      <c r="BB7" s="2424" t="str">
        <f>IFERROR((BD7)/(BE7),"")</f>
        <v/>
      </c>
      <c r="BC7" s="3166" t="str">
        <f>CONCATENATE(G7," ",J7," Year EUL")</f>
        <v>Building Shell RES 5 Year EUL</v>
      </c>
      <c r="BD7" s="2429">
        <f>SUM(BD21:BD25)</f>
        <v>23.885613816539035</v>
      </c>
      <c r="BE7" s="2425">
        <f>K7/(1.0595^(2020-2019))</f>
        <v>0</v>
      </c>
    </row>
    <row r="8" spans="1:57" x14ac:dyDescent="0.25">
      <c r="A8" s="1930"/>
      <c r="B8" s="1930"/>
      <c r="C8" s="328"/>
      <c r="D8" s="329"/>
      <c r="E8" s="329"/>
      <c r="F8" s="1831" t="s">
        <v>4276</v>
      </c>
      <c r="G8" s="123"/>
      <c r="H8" s="123"/>
      <c r="I8" s="123"/>
      <c r="J8" s="1831"/>
      <c r="K8" s="123"/>
      <c r="L8" s="123"/>
      <c r="M8" s="1930"/>
      <c r="N8" s="1930"/>
      <c r="O8" s="1930"/>
      <c r="P8" s="1930"/>
      <c r="Q8" s="1930"/>
      <c r="R8" s="1930"/>
      <c r="S8" s="1930"/>
      <c r="T8" s="1930"/>
      <c r="U8" s="1930"/>
      <c r="V8" s="1930"/>
      <c r="W8" s="1930"/>
      <c r="X8" s="1930"/>
      <c r="Y8" s="1930"/>
      <c r="Z8" s="1930"/>
      <c r="AA8" s="1930"/>
      <c r="AB8" s="1930"/>
      <c r="AC8" s="1930"/>
      <c r="AD8" s="1930"/>
      <c r="AE8" s="1930"/>
      <c r="AF8" s="1930"/>
      <c r="AG8" s="1930"/>
      <c r="AH8" s="1930"/>
      <c r="AI8" s="1930"/>
      <c r="AJ8" s="1930"/>
      <c r="AK8" s="1930"/>
      <c r="AL8" s="1930"/>
      <c r="AM8" s="1930"/>
      <c r="AN8" s="1930"/>
      <c r="AO8" s="1930"/>
      <c r="AP8" s="1930"/>
      <c r="AQ8" s="1930"/>
      <c r="AR8" s="1930"/>
      <c r="AS8" s="1930"/>
      <c r="AT8" s="1930"/>
      <c r="AU8" s="1930"/>
      <c r="AV8" s="1930"/>
      <c r="AW8" s="1930"/>
      <c r="AX8" s="1930"/>
      <c r="AY8" s="1930"/>
      <c r="AZ8" s="1930"/>
      <c r="BA8" s="1930"/>
      <c r="BB8" s="1930"/>
      <c r="BC8" s="1930"/>
      <c r="BD8" s="1930"/>
      <c r="BE8" s="1930"/>
    </row>
    <row r="9" spans="1:57" x14ac:dyDescent="0.25">
      <c r="G9" s="3266">
        <v>36002</v>
      </c>
      <c r="H9" s="100" t="s">
        <v>4273</v>
      </c>
    </row>
    <row r="10" spans="1:57" x14ac:dyDescent="0.25">
      <c r="G10" s="3266">
        <v>299668</v>
      </c>
      <c r="H10" s="100" t="s">
        <v>4274</v>
      </c>
    </row>
    <row r="11" spans="1:57" x14ac:dyDescent="0.25">
      <c r="G11" s="3267">
        <f>(G9*1000)/G10</f>
        <v>120.13962118077339</v>
      </c>
      <c r="H11" s="100" t="s">
        <v>4272</v>
      </c>
    </row>
    <row r="12" spans="1:57" x14ac:dyDescent="0.25">
      <c r="A12" s="1930"/>
      <c r="B12" s="1930"/>
      <c r="H12" s="1930"/>
      <c r="I12" s="1930"/>
      <c r="J12" s="1930"/>
      <c r="K12" s="1930"/>
      <c r="L12" s="1930"/>
      <c r="M12" s="1930"/>
      <c r="N12" s="1930"/>
      <c r="O12" s="1930"/>
      <c r="P12" s="1930"/>
      <c r="Q12" s="1930"/>
      <c r="R12" s="1930"/>
      <c r="S12" s="1930"/>
      <c r="T12" s="1930"/>
      <c r="U12" s="1930"/>
      <c r="V12" s="1930"/>
      <c r="W12" s="1930"/>
      <c r="X12" s="1930"/>
      <c r="Y12" s="1930"/>
      <c r="Z12" s="1930"/>
      <c r="AA12" s="1930"/>
      <c r="AB12" s="1930"/>
      <c r="AC12" s="1930"/>
      <c r="AD12" s="1930"/>
      <c r="AE12" s="1930"/>
      <c r="AF12" s="1930"/>
      <c r="AG12" s="1930"/>
      <c r="AH12" s="1930"/>
      <c r="AI12" s="1930"/>
      <c r="AJ12" s="1930"/>
      <c r="AK12" s="1930"/>
      <c r="AL12" s="1930"/>
      <c r="AM12" s="1930"/>
      <c r="AN12" s="1930"/>
      <c r="AO12" s="1930"/>
      <c r="AP12" s="1930"/>
      <c r="AQ12" s="1930"/>
      <c r="AR12" s="1930"/>
      <c r="AS12" s="1930"/>
      <c r="AT12" s="1930"/>
      <c r="AU12" s="1930"/>
      <c r="AV12" s="1930"/>
      <c r="AW12" s="1930"/>
      <c r="AX12" s="1930"/>
      <c r="AY12" s="1930"/>
      <c r="AZ12" s="1930"/>
      <c r="BA12" s="1930"/>
      <c r="BB12" s="1930"/>
      <c r="BC12" s="1930"/>
      <c r="BD12" s="1930"/>
      <c r="BE12" s="1930"/>
    </row>
    <row r="13" spans="1:57" x14ac:dyDescent="0.25">
      <c r="A13" s="1930"/>
      <c r="B13" s="1930"/>
      <c r="F13" s="4379" t="s">
        <v>4277</v>
      </c>
      <c r="G13" s="4379"/>
      <c r="H13" s="4379"/>
      <c r="I13" s="4379"/>
      <c r="J13" s="4379"/>
      <c r="K13" s="4379"/>
      <c r="L13" s="4379"/>
      <c r="M13" s="1930"/>
      <c r="N13" s="1930"/>
      <c r="O13" s="1930"/>
      <c r="P13" s="1930"/>
      <c r="Q13" s="1930"/>
      <c r="R13" s="1930"/>
      <c r="S13" s="1930"/>
      <c r="T13" s="1930"/>
      <c r="U13" s="1930"/>
      <c r="V13" s="1930"/>
      <c r="W13" s="1930"/>
      <c r="X13" s="1930"/>
      <c r="Y13" s="1930"/>
      <c r="Z13" s="1930"/>
      <c r="AA13" s="1930"/>
      <c r="AB13" s="1930"/>
      <c r="AC13" s="1930"/>
      <c r="AD13" s="1930"/>
      <c r="AE13" s="1930"/>
      <c r="AF13" s="1930"/>
      <c r="AG13" s="1930"/>
      <c r="AH13" s="1930"/>
      <c r="AI13" s="1930"/>
      <c r="AJ13" s="1930"/>
      <c r="AK13" s="1930"/>
      <c r="AL13" s="1930"/>
      <c r="AM13" s="1930"/>
      <c r="AN13" s="1930"/>
      <c r="AO13" s="1930"/>
      <c r="AP13" s="1930"/>
      <c r="AQ13" s="1930"/>
      <c r="AR13" s="1930"/>
      <c r="AS13" s="1930"/>
      <c r="AT13" s="1930"/>
      <c r="AU13" s="1930"/>
      <c r="AV13" s="1930"/>
      <c r="AW13" s="1930"/>
      <c r="AX13" s="1930"/>
      <c r="AY13" s="1930"/>
      <c r="AZ13" s="1930"/>
      <c r="BA13" s="1930"/>
      <c r="BB13" s="1930"/>
      <c r="BC13" s="1930"/>
      <c r="BD13" s="1930"/>
      <c r="BE13" s="1930"/>
    </row>
    <row r="14" spans="1:57" x14ac:dyDescent="0.25">
      <c r="F14" s="4379"/>
      <c r="G14" s="4379"/>
      <c r="H14" s="4379"/>
      <c r="I14" s="4379"/>
      <c r="J14" s="4379"/>
      <c r="K14" s="4379"/>
      <c r="L14" s="4379"/>
    </row>
    <row r="15" spans="1:57" x14ac:dyDescent="0.25">
      <c r="A15" s="1930"/>
      <c r="B15" s="1930"/>
      <c r="I15" s="1930"/>
      <c r="J15" s="1930"/>
      <c r="K15" s="1930"/>
      <c r="L15" s="1930"/>
      <c r="M15" s="1930"/>
      <c r="N15" s="1930"/>
      <c r="O15" s="1930"/>
      <c r="P15" s="1930"/>
      <c r="Q15" s="1930"/>
      <c r="R15" s="1930"/>
      <c r="S15" s="1930"/>
      <c r="T15" s="1930"/>
      <c r="U15" s="1930"/>
      <c r="V15" s="1930"/>
      <c r="W15" s="1930"/>
      <c r="X15" s="1930"/>
      <c r="Y15" s="1930"/>
      <c r="Z15" s="1930"/>
      <c r="AA15" s="1930"/>
      <c r="AB15" s="1930"/>
      <c r="AC15" s="1930"/>
      <c r="AD15" s="1930"/>
      <c r="AE15" s="1930"/>
      <c r="AF15" s="1930"/>
      <c r="AG15" s="1930"/>
      <c r="AH15" s="1930"/>
      <c r="AI15" s="1930"/>
      <c r="AJ15" s="1930"/>
      <c r="AK15" s="1930"/>
      <c r="AL15" s="1930"/>
      <c r="AM15" s="1930"/>
      <c r="AN15" s="1930"/>
      <c r="AO15" s="1930"/>
      <c r="AP15" s="1930"/>
      <c r="AQ15" s="1930"/>
      <c r="AR15" s="1930"/>
      <c r="AS15" s="1930"/>
      <c r="AT15" s="1930"/>
      <c r="AU15" s="1930"/>
      <c r="AV15" s="1930"/>
      <c r="AW15" s="1930"/>
      <c r="AX15" s="1930"/>
      <c r="AY15" s="1930"/>
      <c r="AZ15" s="1930"/>
      <c r="BA15" s="1930"/>
      <c r="BB15" s="1930"/>
      <c r="BC15" s="1930"/>
      <c r="BD15" s="1930"/>
      <c r="BE15" s="1930"/>
    </row>
    <row r="16" spans="1:57" x14ac:dyDescent="0.25">
      <c r="A16" s="1930"/>
      <c r="B16" s="1930"/>
      <c r="G16" s="3265">
        <f>G11</f>
        <v>120.13962118077339</v>
      </c>
      <c r="H16" s="2984" t="s">
        <v>2400</v>
      </c>
      <c r="I16" s="1930"/>
      <c r="J16" s="1930"/>
      <c r="K16" s="1930"/>
      <c r="L16" s="1930"/>
      <c r="M16" s="1930"/>
      <c r="N16" s="1930"/>
      <c r="O16" s="1930"/>
      <c r="P16" s="1930"/>
      <c r="Q16" s="1930"/>
      <c r="R16" s="1930"/>
      <c r="S16" s="1930"/>
      <c r="T16" s="1930"/>
      <c r="U16" s="1930"/>
      <c r="V16" s="1930"/>
      <c r="W16" s="1930"/>
      <c r="X16" s="1930"/>
      <c r="Y16" s="1930"/>
      <c r="Z16" s="1930"/>
      <c r="AA16" s="1930"/>
      <c r="AB16" s="1930"/>
      <c r="AC16" s="1930"/>
      <c r="AD16" s="1930"/>
      <c r="AE16" s="1930"/>
      <c r="AF16" s="1930"/>
      <c r="AG16" s="1930"/>
      <c r="AH16" s="1930"/>
      <c r="AI16" s="1930"/>
      <c r="AJ16" s="1930"/>
      <c r="AK16" s="1930"/>
      <c r="AL16" s="1930"/>
      <c r="AM16" s="1930"/>
      <c r="AN16" s="1930"/>
      <c r="AO16" s="1930"/>
      <c r="AP16" s="1930"/>
      <c r="AQ16" s="1930"/>
      <c r="AR16" s="1930"/>
      <c r="AS16" s="1930"/>
      <c r="AT16" s="1930"/>
      <c r="AU16" s="1930"/>
      <c r="AV16" s="1930"/>
      <c r="AW16" s="1930"/>
      <c r="AX16" s="1930"/>
      <c r="AY16" s="1930"/>
      <c r="AZ16" s="1930"/>
      <c r="BA16" s="1930"/>
      <c r="BB16" s="1930"/>
      <c r="BC16" s="1930"/>
      <c r="BD16" s="1930"/>
      <c r="BE16" s="1930"/>
    </row>
    <row r="17" spans="7:64" x14ac:dyDescent="0.25">
      <c r="G17" s="3265">
        <v>0.2</v>
      </c>
      <c r="H17" s="2984" t="s">
        <v>2401</v>
      </c>
    </row>
    <row r="19" spans="7:64" x14ac:dyDescent="0.25">
      <c r="G19" s="3264" t="s">
        <v>4271</v>
      </c>
      <c r="H19" s="121"/>
    </row>
    <row r="20" spans="7:64" x14ac:dyDescent="0.25">
      <c r="G20" s="2984" t="s">
        <v>2402</v>
      </c>
      <c r="H20" s="2984" t="str">
        <f>F6</f>
        <v>kWh Annual Savings [1]</v>
      </c>
      <c r="BA20" s="3662" t="str">
        <f>G20</f>
        <v>Year</v>
      </c>
      <c r="BB20" s="100"/>
      <c r="BC20" s="100"/>
      <c r="BD20" s="100"/>
      <c r="BE20" s="100"/>
    </row>
    <row r="21" spans="7:64" x14ac:dyDescent="0.25">
      <c r="G21" s="2984">
        <v>1</v>
      </c>
      <c r="H21" s="2985">
        <f>G16</f>
        <v>120.13962118077339</v>
      </c>
      <c r="BA21" s="100">
        <f>G21</f>
        <v>1</v>
      </c>
      <c r="BB21" s="3648" t="str">
        <f>IFERROR((BD21)/(BE21),"")</f>
        <v/>
      </c>
      <c r="BC21" s="3570" t="str">
        <f>CONCATENATE($G$7," ",G21," Year EUL")</f>
        <v>Building Shell RES 1 Year EUL</v>
      </c>
      <c r="BD21" s="3649">
        <f>(INDEX('Avoided Cost Benefits'!$C$4:$C$857,MATCH(BC21,'Avoided Cost Benefits'!$A$4:$A$857,0)))*H21</f>
        <v>6.6863067956965168</v>
      </c>
      <c r="BE21" s="3572">
        <f>K21/(1.0595^(2020-2019))</f>
        <v>0</v>
      </c>
      <c r="BH21" s="1930"/>
      <c r="BI21" s="1930"/>
      <c r="BJ21" s="1930"/>
      <c r="BK21" s="1930"/>
      <c r="BL21" s="1930"/>
    </row>
    <row r="22" spans="7:64" x14ac:dyDescent="0.25">
      <c r="G22" s="2984">
        <v>2</v>
      </c>
      <c r="H22" s="2985">
        <f>H21*(1-$G$17)</f>
        <v>96.111696944618714</v>
      </c>
      <c r="BA22" s="100">
        <f t="shared" ref="BA22:BA25" si="0">G22</f>
        <v>2</v>
      </c>
      <c r="BB22" s="3648" t="str">
        <f t="shared" ref="BB22:BB25" si="1">IFERROR((BD22)/(BE22),"")</f>
        <v/>
      </c>
      <c r="BC22" s="3570" t="str">
        <f>BC21</f>
        <v>Building Shell RES 1 Year EUL</v>
      </c>
      <c r="BD22" s="3649">
        <f>(INDEX('Avoided Cost Benefits'!$D$4:$D$857,MATCH(BC22,'Avoided Cost Benefits'!$A$4:$A$857,0)))*H22</f>
        <v>5.4570300788510311</v>
      </c>
      <c r="BE22" s="3572">
        <f t="shared" ref="BE22:BE25" si="2">K22/(1.0595^(2020-2019))</f>
        <v>0</v>
      </c>
      <c r="BG22" s="1930"/>
      <c r="BH22" s="1930"/>
      <c r="BI22" s="1930"/>
      <c r="BJ22" s="1930"/>
      <c r="BK22" s="1930"/>
      <c r="BL22" s="1930"/>
    </row>
    <row r="23" spans="7:64" x14ac:dyDescent="0.25">
      <c r="G23" s="2984">
        <v>3</v>
      </c>
      <c r="H23" s="2985">
        <f>H22*(1-$G$17)</f>
        <v>76.889357555694971</v>
      </c>
      <c r="BA23" s="100">
        <f t="shared" si="0"/>
        <v>3</v>
      </c>
      <c r="BB23" s="3648" t="str">
        <f t="shared" si="1"/>
        <v/>
      </c>
      <c r="BC23" s="3570" t="str">
        <f t="shared" ref="BC23:BC25" si="3">BC22</f>
        <v>Building Shell RES 1 Year EUL</v>
      </c>
      <c r="BD23" s="3649">
        <f>(INDEX('Avoided Cost Benefits'!$E$4:$E$857,MATCH(BC23,'Avoided Cost Benefits'!$A$4:$A$857,0)))*H23</f>
        <v>4.6224730269037027</v>
      </c>
      <c r="BE23" s="3572">
        <f t="shared" si="2"/>
        <v>0</v>
      </c>
      <c r="BG23" s="1930"/>
      <c r="BH23" s="1930"/>
      <c r="BI23" s="1930"/>
      <c r="BJ23" s="1930"/>
      <c r="BK23" s="1930"/>
      <c r="BL23" s="1930"/>
    </row>
    <row r="24" spans="7:64" x14ac:dyDescent="0.25">
      <c r="G24" s="2984">
        <v>4</v>
      </c>
      <c r="H24" s="2985">
        <f>H23*(1-$G$17)</f>
        <v>61.51148604455598</v>
      </c>
      <c r="BA24" s="100">
        <f t="shared" si="0"/>
        <v>4</v>
      </c>
      <c r="BB24" s="3648" t="str">
        <f t="shared" si="1"/>
        <v/>
      </c>
      <c r="BC24" s="3570" t="str">
        <f t="shared" si="3"/>
        <v>Building Shell RES 1 Year EUL</v>
      </c>
      <c r="BD24" s="3649">
        <f>(INDEX('Avoided Cost Benefits'!$F$4:$F$857,MATCH(BC24,'Avoided Cost Benefits'!$A$4:$A$857,0)))*H24</f>
        <v>3.9060175358435552</v>
      </c>
      <c r="BE24" s="3572">
        <f t="shared" si="2"/>
        <v>0</v>
      </c>
      <c r="BG24" s="1930"/>
      <c r="BH24" s="1930"/>
      <c r="BI24" s="1930"/>
      <c r="BJ24" s="1930"/>
      <c r="BK24" s="1930"/>
      <c r="BL24" s="1930"/>
    </row>
    <row r="25" spans="7:64" x14ac:dyDescent="0.25">
      <c r="G25" s="2984">
        <v>5</v>
      </c>
      <c r="H25" s="2985">
        <f>H24*(1-$G$17)</f>
        <v>49.209188835644788</v>
      </c>
      <c r="BA25" s="100">
        <f t="shared" si="0"/>
        <v>5</v>
      </c>
      <c r="BB25" s="3648" t="str">
        <f t="shared" si="1"/>
        <v/>
      </c>
      <c r="BC25" s="3570" t="str">
        <f t="shared" si="3"/>
        <v>Building Shell RES 1 Year EUL</v>
      </c>
      <c r="BD25" s="3649">
        <f>(INDEX('Avoided Cost Benefits'!$G$4:$G$857,MATCH(BC25,'Avoided Cost Benefits'!$A$4:$A$857,0)))*H25</f>
        <v>3.2137863792442283</v>
      </c>
      <c r="BE25" s="3572">
        <f t="shared" si="2"/>
        <v>0</v>
      </c>
      <c r="BG25" s="1930"/>
      <c r="BH25" s="1930"/>
      <c r="BI25" s="1930"/>
      <c r="BJ25" s="1930"/>
      <c r="BK25" s="1930"/>
      <c r="BL25" s="1930"/>
    </row>
    <row r="26" spans="7:64" x14ac:dyDescent="0.25">
      <c r="G26" s="2984"/>
      <c r="H26" s="2985"/>
      <c r="BB26" s="1930"/>
      <c r="BC26" s="1930"/>
      <c r="BD26" s="1930"/>
      <c r="BE26" s="1930"/>
    </row>
  </sheetData>
  <mergeCells count="6">
    <mergeCell ref="V4:AI4"/>
    <mergeCell ref="F13:L14"/>
    <mergeCell ref="A1:O1"/>
    <mergeCell ref="P1:R1"/>
    <mergeCell ref="D2:J2"/>
    <mergeCell ref="B4:O4"/>
  </mergeCells>
  <pageMargins left="0.7" right="0.7" top="0.75" bottom="0.75" header="0.3" footer="0.3"/>
  <pageSetup scale="15"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616"/>
  <sheetViews>
    <sheetView zoomScale="70" zoomScaleNormal="70" workbookViewId="0">
      <selection sqref="A1:O1"/>
    </sheetView>
  </sheetViews>
  <sheetFormatPr defaultRowHeight="15" outlineLevelRow="1" x14ac:dyDescent="0.25"/>
  <cols>
    <col min="1" max="1" width="3" style="123" customWidth="1"/>
    <col min="2" max="2" width="9.140625" style="123"/>
    <col min="3" max="3" width="20.140625" style="328" bestFit="1" customWidth="1"/>
    <col min="4" max="4" width="19.140625" style="329" customWidth="1"/>
    <col min="5" max="5" width="64" style="329" customWidth="1"/>
    <col min="6" max="6" width="16.140625" style="123" customWidth="1"/>
    <col min="7" max="7" width="19" style="123" customWidth="1"/>
    <col min="8" max="8" width="17.28515625" style="123" customWidth="1"/>
    <col min="9" max="9" width="14.7109375" style="123" customWidth="1"/>
    <col min="10" max="10" width="16.140625" style="123" customWidth="1"/>
    <col min="11" max="11" width="16.7109375" style="123" customWidth="1"/>
    <col min="12" max="12" width="13.42578125" style="123" customWidth="1"/>
    <col min="13" max="13" width="12.5703125" style="123" customWidth="1"/>
    <col min="14" max="14" width="14.42578125" style="123" customWidth="1"/>
    <col min="15" max="15" width="10.7109375" style="123" customWidth="1"/>
    <col min="16" max="16" width="13.140625" style="123" customWidth="1"/>
    <col min="17" max="17" width="12.85546875" style="123" customWidth="1"/>
    <col min="18" max="18" width="16.42578125" style="123" customWidth="1"/>
    <col min="19" max="21" width="9.140625" style="123" customWidth="1"/>
    <col min="22" max="22" width="31.85546875" customWidth="1"/>
    <col min="23" max="23" width="14.5703125" customWidth="1"/>
    <col min="24" max="24" width="18.7109375" customWidth="1"/>
    <col min="25" max="26" width="16.85546875" customWidth="1"/>
    <col min="27" max="27" width="14.5703125" customWidth="1"/>
    <col min="28" max="28" width="18.85546875" customWidth="1"/>
    <col min="29" max="29" width="17.28515625" customWidth="1"/>
    <col min="30" max="35" width="14.5703125" customWidth="1"/>
    <col min="36" max="36" width="20" customWidth="1"/>
    <col min="37" max="37" width="17" customWidth="1"/>
    <col min="38" max="53" width="14.7109375" customWidth="1"/>
    <col min="54" max="54" width="14.7109375" style="950" customWidth="1"/>
    <col min="55" max="55" width="36.85546875" customWidth="1"/>
    <col min="56" max="57" width="14.7109375" customWidth="1"/>
    <col min="58" max="58" width="3.140625" customWidth="1"/>
    <col min="59" max="69" width="14.7109375" customWidth="1"/>
  </cols>
  <sheetData>
    <row r="1" spans="1:57" s="23" customFormat="1" ht="18.75" x14ac:dyDescent="0.3">
      <c r="A1" s="3756" t="s">
        <v>4409</v>
      </c>
      <c r="B1" s="3951"/>
      <c r="C1" s="3951"/>
      <c r="D1" s="3951"/>
      <c r="E1" s="3951" t="s">
        <v>2403</v>
      </c>
      <c r="F1" s="3951"/>
      <c r="G1" s="3951"/>
      <c r="H1" s="3951"/>
      <c r="I1" s="3951"/>
      <c r="J1" s="3951"/>
      <c r="K1" s="3951"/>
      <c r="L1" s="3951"/>
      <c r="M1" s="3951"/>
      <c r="N1" s="3951"/>
      <c r="O1" s="3951"/>
      <c r="P1" s="3758"/>
      <c r="Q1" s="4149"/>
      <c r="R1" s="4149"/>
      <c r="S1" s="1965"/>
      <c r="T1" s="1965"/>
      <c r="U1" s="1965"/>
      <c r="V1" s="30"/>
      <c r="W1" s="31"/>
      <c r="X1" s="31"/>
      <c r="Y1" s="32"/>
      <c r="Z1" s="32"/>
      <c r="AA1" s="32"/>
      <c r="AB1" s="32"/>
      <c r="AC1" s="32"/>
      <c r="AD1" s="32"/>
      <c r="AE1" s="32"/>
      <c r="AF1" s="32"/>
      <c r="AG1" s="32"/>
      <c r="AH1" s="32"/>
      <c r="AI1" s="1931"/>
      <c r="AJ1" s="1931"/>
      <c r="AK1" s="1931"/>
      <c r="AL1" s="1931"/>
      <c r="AM1" s="1931"/>
      <c r="AN1" s="1931"/>
      <c r="AO1" s="1931"/>
      <c r="AP1" s="1931"/>
      <c r="AQ1" s="1931"/>
      <c r="AR1" s="1931"/>
      <c r="AS1" s="1931"/>
      <c r="AT1" s="1931"/>
      <c r="AU1" s="1931"/>
      <c r="AV1" s="1931"/>
      <c r="AW1" s="1931"/>
      <c r="AX1" s="1931"/>
      <c r="AY1" s="1931"/>
      <c r="AZ1" s="1931"/>
      <c r="BA1" s="1931"/>
      <c r="BB1" s="1932"/>
      <c r="BC1" s="1931"/>
      <c r="BD1" s="1931"/>
      <c r="BE1" s="1931"/>
    </row>
    <row r="2" spans="1:57" s="23" customFormat="1" ht="30" hidden="1" customHeight="1" outlineLevel="1" x14ac:dyDescent="0.35">
      <c r="A2" s="1965"/>
      <c r="B2" s="1280"/>
      <c r="C2" s="143"/>
      <c r="D2" s="3760" t="s">
        <v>25</v>
      </c>
      <c r="E2" s="3761"/>
      <c r="F2" s="3762"/>
      <c r="G2" s="3762"/>
      <c r="H2" s="3762"/>
      <c r="I2" s="3762"/>
      <c r="J2" s="3762"/>
      <c r="K2" s="873"/>
      <c r="L2" s="873"/>
      <c r="M2" s="1965"/>
      <c r="N2" s="1965"/>
      <c r="O2" s="1965"/>
      <c r="P2" s="1965"/>
      <c r="Q2" s="1965"/>
      <c r="R2" s="1965"/>
      <c r="S2" s="1965"/>
      <c r="T2" s="1965"/>
      <c r="U2" s="1965"/>
      <c r="V2" s="1931"/>
      <c r="W2" s="1931"/>
      <c r="X2" s="1931"/>
      <c r="Y2" s="1931"/>
      <c r="Z2" s="1931"/>
      <c r="AA2" s="1931"/>
      <c r="AB2" s="1931"/>
      <c r="AC2" s="1931"/>
      <c r="AD2" s="1931"/>
      <c r="AE2" s="1931"/>
      <c r="AF2" s="1931"/>
      <c r="AG2" s="1931"/>
      <c r="AH2" s="1931"/>
      <c r="AI2" s="1931"/>
      <c r="AJ2" s="1931"/>
      <c r="AK2" s="1931"/>
      <c r="AL2" s="1931"/>
      <c r="AM2" s="1931"/>
      <c r="AN2" s="1931"/>
      <c r="AO2" s="1931"/>
      <c r="AP2" s="1931"/>
      <c r="AQ2" s="1931"/>
      <c r="AR2" s="1931"/>
      <c r="AS2" s="1931"/>
      <c r="AT2" s="1931"/>
      <c r="AU2" s="1931"/>
      <c r="AV2" s="1931"/>
      <c r="AW2" s="1931"/>
      <c r="AX2" s="1931"/>
      <c r="AY2" s="1931"/>
      <c r="AZ2" s="1931"/>
      <c r="BA2" s="1931"/>
      <c r="BB2" s="1932"/>
      <c r="BC2" s="1931"/>
      <c r="BD2" s="1931"/>
      <c r="BE2" s="1931"/>
    </row>
    <row r="3" spans="1:57" s="23" customFormat="1" ht="25.5" customHeight="1" collapsed="1" x14ac:dyDescent="0.2">
      <c r="A3" s="1965"/>
      <c r="B3" s="1965"/>
      <c r="C3" s="1965"/>
      <c r="D3" s="1193"/>
      <c r="E3" s="1749"/>
      <c r="F3" s="1750"/>
      <c r="G3" s="1750"/>
      <c r="H3" s="1750"/>
      <c r="I3" s="1750"/>
      <c r="J3" s="1750"/>
      <c r="K3" s="873"/>
      <c r="L3" s="873"/>
      <c r="M3" s="1965"/>
      <c r="N3" s="1965"/>
      <c r="O3" s="1965"/>
      <c r="P3" s="1965"/>
      <c r="Q3" s="1965"/>
      <c r="R3" s="1965"/>
      <c r="S3" s="1965"/>
      <c r="T3" s="1965"/>
      <c r="U3" s="1965"/>
      <c r="V3" s="1933"/>
      <c r="W3" s="1933"/>
      <c r="X3" s="1933"/>
      <c r="Y3" s="1933"/>
      <c r="Z3" s="1933"/>
      <c r="AA3" s="1933"/>
      <c r="AB3" s="1933"/>
      <c r="AC3" s="1933"/>
      <c r="AD3" s="1933"/>
      <c r="AE3" s="1933"/>
      <c r="AF3" s="1933"/>
      <c r="AG3" s="1933"/>
      <c r="AH3" s="1933"/>
      <c r="AI3" s="1933"/>
      <c r="AJ3" s="1931"/>
      <c r="AK3" s="1931"/>
      <c r="AL3" s="1931"/>
      <c r="AM3" s="1931"/>
      <c r="AN3" s="1931"/>
      <c r="AO3" s="1931"/>
      <c r="AP3" s="1931"/>
      <c r="AQ3" s="1931"/>
      <c r="AR3" s="1931"/>
      <c r="AS3" s="1931"/>
      <c r="AT3" s="1931"/>
      <c r="AU3" s="1931"/>
      <c r="AV3" s="1931"/>
      <c r="AW3" s="1931"/>
      <c r="AX3" s="1931"/>
      <c r="AY3" s="1931"/>
      <c r="AZ3" s="1931"/>
      <c r="BA3" s="1931"/>
      <c r="BB3" s="1932"/>
      <c r="BC3" s="1931"/>
      <c r="BD3" s="1931"/>
      <c r="BE3" s="1931"/>
    </row>
    <row r="4" spans="1:57" s="147" customFormat="1" x14ac:dyDescent="0.25">
      <c r="B4" s="3750" t="s">
        <v>1569</v>
      </c>
      <c r="C4" s="3751"/>
      <c r="D4" s="3751"/>
      <c r="E4" s="3751"/>
      <c r="F4" s="3751"/>
      <c r="G4" s="3751"/>
      <c r="H4" s="3751"/>
      <c r="I4" s="3751"/>
      <c r="J4" s="3751"/>
      <c r="K4" s="3751"/>
      <c r="L4" s="3751"/>
      <c r="M4" s="3751"/>
      <c r="N4" s="3751"/>
      <c r="O4" s="3751"/>
      <c r="P4" s="3751"/>
      <c r="Q4" s="4120"/>
      <c r="V4" s="3750" t="str">
        <f>B4</f>
        <v>AC Tune-up</v>
      </c>
      <c r="W4" s="3751"/>
      <c r="X4" s="3751"/>
      <c r="Y4" s="3751"/>
      <c r="Z4" s="3751"/>
      <c r="AA4" s="3751"/>
      <c r="AB4" s="3751"/>
      <c r="AC4" s="3752"/>
      <c r="AD4" s="3752"/>
      <c r="AE4" s="3752"/>
      <c r="AF4" s="3752"/>
      <c r="AG4" s="3752"/>
      <c r="AH4" s="3752"/>
      <c r="AI4" s="3753"/>
      <c r="AJ4" s="1930"/>
      <c r="BB4" s="844"/>
    </row>
    <row r="5" spans="1:57" ht="18" customHeight="1" x14ac:dyDescent="0.25">
      <c r="B5" s="151"/>
      <c r="C5" s="149"/>
      <c r="D5" s="329" t="s">
        <v>2404</v>
      </c>
      <c r="E5" s="150"/>
      <c r="F5" s="151"/>
      <c r="G5" s="151"/>
      <c r="H5" s="151"/>
      <c r="I5" s="151"/>
      <c r="J5" s="151"/>
      <c r="K5" s="151"/>
      <c r="L5" s="151"/>
      <c r="M5" s="151"/>
      <c r="N5" s="151"/>
      <c r="O5" s="151"/>
      <c r="P5" s="151"/>
      <c r="Q5" s="151"/>
      <c r="V5" s="224"/>
      <c r="W5" s="224"/>
      <c r="X5" s="224"/>
      <c r="Y5" s="224"/>
      <c r="Z5" s="224"/>
      <c r="AA5" s="224"/>
      <c r="AB5" s="224"/>
      <c r="AC5" s="224"/>
      <c r="AD5" s="224"/>
      <c r="AE5" s="224"/>
      <c r="AF5" s="224"/>
      <c r="AG5" s="224"/>
      <c r="AH5" s="224"/>
      <c r="AI5" s="224"/>
      <c r="AJ5" s="1930"/>
      <c r="AK5" s="1930"/>
      <c r="AL5" s="1930"/>
      <c r="AM5" s="1930"/>
      <c r="AN5" s="1930"/>
      <c r="AO5" s="1930"/>
      <c r="AP5" s="1930"/>
      <c r="AQ5" s="1930"/>
      <c r="AR5" s="1930"/>
      <c r="AS5" s="1930"/>
      <c r="AT5" s="1930"/>
      <c r="AU5" s="1930"/>
      <c r="AV5" s="1930"/>
      <c r="AW5" s="1930"/>
      <c r="AX5" s="1930"/>
      <c r="AY5" s="1930"/>
      <c r="AZ5" s="1930"/>
      <c r="BA5" s="1930"/>
      <c r="BC5" s="1930"/>
      <c r="BD5" s="1930"/>
      <c r="BE5" s="1930"/>
    </row>
    <row r="6" spans="1:57" ht="30" x14ac:dyDescent="0.25">
      <c r="B6" s="1288"/>
      <c r="C6" s="3086" t="s">
        <v>28</v>
      </c>
      <c r="D6" s="3086" t="s">
        <v>175</v>
      </c>
      <c r="E6" s="3086" t="s">
        <v>30</v>
      </c>
      <c r="F6" s="3086" t="s">
        <v>31</v>
      </c>
      <c r="G6" s="3086" t="s">
        <v>176</v>
      </c>
      <c r="H6" s="3086" t="s">
        <v>177</v>
      </c>
      <c r="I6" s="3086" t="s">
        <v>32</v>
      </c>
      <c r="J6" s="3140" t="s">
        <v>181</v>
      </c>
      <c r="K6" s="3086" t="s">
        <v>170</v>
      </c>
      <c r="L6" s="3086" t="s">
        <v>44</v>
      </c>
      <c r="M6" s="1288"/>
      <c r="N6" s="1288"/>
      <c r="O6" s="1288"/>
      <c r="P6" s="1288"/>
      <c r="Q6" s="1288"/>
      <c r="V6" s="1936" t="s">
        <v>45</v>
      </c>
      <c r="W6" s="1937">
        <v>43252</v>
      </c>
      <c r="X6" s="1937">
        <v>43465</v>
      </c>
      <c r="Y6" s="1937">
        <v>43800</v>
      </c>
      <c r="Z6" s="1937">
        <v>43862</v>
      </c>
      <c r="AA6" s="1937">
        <v>44013</v>
      </c>
      <c r="AB6" s="1937">
        <v>44166</v>
      </c>
      <c r="AC6" s="1937">
        <v>44531</v>
      </c>
      <c r="AD6" s="1937" t="s">
        <v>46</v>
      </c>
      <c r="AE6" s="1937" t="s">
        <v>46</v>
      </c>
      <c r="AF6" s="1937" t="s">
        <v>46</v>
      </c>
      <c r="AG6" s="1937" t="s">
        <v>46</v>
      </c>
      <c r="AH6" s="224"/>
      <c r="AI6" s="224"/>
      <c r="AJ6" s="1930"/>
      <c r="AK6" s="1930"/>
      <c r="AL6" s="1930"/>
      <c r="AM6" s="1930"/>
      <c r="AN6" s="1930"/>
      <c r="AO6" s="1930"/>
      <c r="AP6" s="1930"/>
      <c r="AQ6" s="1930"/>
      <c r="AR6" s="1930"/>
      <c r="AS6" s="1930"/>
      <c r="AT6" s="1930"/>
      <c r="AU6" s="1930"/>
      <c r="AV6" s="1930"/>
      <c r="AW6" s="1930"/>
      <c r="AX6" s="1930"/>
      <c r="AY6" s="1930"/>
      <c r="AZ6" s="1930"/>
      <c r="BA6" s="1930"/>
      <c r="BB6" s="1938" t="s">
        <v>47</v>
      </c>
      <c r="BC6" s="49" t="s">
        <v>48</v>
      </c>
      <c r="BD6" s="578" t="s">
        <v>49</v>
      </c>
      <c r="BE6" s="50" t="s">
        <v>50</v>
      </c>
    </row>
    <row r="7" spans="1:57" x14ac:dyDescent="0.25">
      <c r="B7" s="1288"/>
      <c r="C7" s="1205" t="s">
        <v>2405</v>
      </c>
      <c r="D7" s="2667" t="s">
        <v>2406</v>
      </c>
      <c r="E7" s="204" t="s">
        <v>2407</v>
      </c>
      <c r="F7" s="1601">
        <f>ROUND((G24*G26*(1/G27-1/G28)/G33),2)</f>
        <v>91.43</v>
      </c>
      <c r="G7" s="1553" t="s">
        <v>258</v>
      </c>
      <c r="H7" s="155">
        <f>VLOOKUP(G7,'CP FACTORS'!$A$3:$B$38, 2, FALSE)</f>
        <v>9.4741810000000004E-4</v>
      </c>
      <c r="I7" s="1531">
        <f t="shared" ref="I7:I14" si="0">ROUND(F7*H7,6)</f>
        <v>8.6622000000000005E-2</v>
      </c>
      <c r="J7" s="992">
        <f t="shared" ref="J7:J14" si="1">$G$34</f>
        <v>2</v>
      </c>
      <c r="K7" s="345">
        <f>G35</f>
        <v>70</v>
      </c>
      <c r="L7" s="2666" t="s">
        <v>185</v>
      </c>
      <c r="M7" s="1288"/>
      <c r="N7" s="1288"/>
      <c r="O7" s="1288"/>
      <c r="P7" s="1288"/>
      <c r="Q7" s="1288"/>
      <c r="V7" s="160" t="str">
        <f>F6</f>
        <v>kWh Annual Savings</v>
      </c>
      <c r="W7" s="161">
        <v>80.326093903186262</v>
      </c>
      <c r="X7" s="997">
        <v>80.326093903186262</v>
      </c>
      <c r="Y7" s="996">
        <v>80.33</v>
      </c>
      <c r="Z7" s="2121">
        <v>80.33</v>
      </c>
      <c r="AA7" s="2121">
        <v>80.33</v>
      </c>
      <c r="AB7" s="565">
        <v>80.33</v>
      </c>
      <c r="AC7" s="1601">
        <f>F7</f>
        <v>91.43</v>
      </c>
      <c r="AD7" s="160"/>
      <c r="AE7" s="160"/>
      <c r="AF7" s="160"/>
      <c r="AG7" s="160"/>
      <c r="AH7" s="877"/>
      <c r="AI7" s="877"/>
      <c r="AJ7" s="1930"/>
      <c r="AK7" s="1930"/>
      <c r="AL7" s="1930"/>
      <c r="AM7" s="1930"/>
      <c r="AN7" s="1930"/>
      <c r="AO7" s="1930"/>
      <c r="AP7" s="1930"/>
      <c r="AQ7" s="1930"/>
      <c r="AR7" s="1930"/>
      <c r="AS7" s="1930"/>
      <c r="AT7" s="1930"/>
      <c r="AU7" s="1930"/>
      <c r="AV7" s="1930"/>
      <c r="AW7" s="1930"/>
      <c r="AX7" s="1930"/>
      <c r="AY7" s="1930"/>
      <c r="AZ7" s="1930"/>
      <c r="BA7" s="1930"/>
      <c r="BB7" s="1945">
        <f t="shared" ref="BB7:BB13" si="2">(BD7)/(BE7)</f>
        <v>0.23680707300838599</v>
      </c>
      <c r="BC7" s="3470" t="str">
        <f t="shared" ref="BC7:BC13" si="3">CONCATENATE(G7," ",J7," Year EUL")</f>
        <v>Cooling RES 2 Year EUL</v>
      </c>
      <c r="BD7" s="111">
        <f>(INDEX('Avoided Cost Benefits'!$C$4:$C$857,MATCH(BC7,'Avoided Cost Benefits'!$A$4:$A$857,0)))*F7</f>
        <v>15.645582926462499</v>
      </c>
      <c r="BE7" s="1946">
        <f t="shared" ref="BE7:BE13" si="4">K7/(1.0595^(2020-2019))</f>
        <v>66.068900424728639</v>
      </c>
    </row>
    <row r="8" spans="1:57" x14ac:dyDescent="0.25">
      <c r="B8" s="1288"/>
      <c r="C8" s="1205" t="s">
        <v>2408</v>
      </c>
      <c r="D8" s="2667" t="s">
        <v>2409</v>
      </c>
      <c r="E8" s="3121" t="str">
        <f>CONCATENATE(E7,"_CompE")</f>
        <v>General Tune-Up (no charge or coil clean) / MFMR_CompE</v>
      </c>
      <c r="F8" s="1601">
        <f>ROUND(($G$25*$G$26*(1/$G$27-1/$G$28)/$G$33),2)</f>
        <v>66.5</v>
      </c>
      <c r="G8" s="1553" t="s">
        <v>258</v>
      </c>
      <c r="H8" s="155">
        <f>VLOOKUP(G8,'CP FACTORS'!$A$3:$B$38, 2, FALSE)</f>
        <v>9.4741810000000004E-4</v>
      </c>
      <c r="I8" s="1531">
        <f t="shared" si="0"/>
        <v>6.3003000000000003E-2</v>
      </c>
      <c r="J8" s="992">
        <f t="shared" si="1"/>
        <v>2</v>
      </c>
      <c r="K8" s="345">
        <f>K7</f>
        <v>70</v>
      </c>
      <c r="L8" s="2666" t="s">
        <v>185</v>
      </c>
      <c r="M8" s="1288"/>
      <c r="N8" s="1288"/>
      <c r="O8" s="1288"/>
      <c r="P8" s="1288"/>
      <c r="Q8" s="1288"/>
      <c r="V8" s="160" t="str">
        <f>V7</f>
        <v>kWh Annual Savings</v>
      </c>
      <c r="W8" s="161"/>
      <c r="X8" s="997"/>
      <c r="Y8" s="884">
        <v>58.42</v>
      </c>
      <c r="Z8" s="2121">
        <v>58.42</v>
      </c>
      <c r="AA8" s="2121">
        <v>58.42</v>
      </c>
      <c r="AB8" s="565">
        <v>58.42</v>
      </c>
      <c r="AC8" s="1601">
        <f t="shared" ref="AC8:AC16" si="5">F8</f>
        <v>66.5</v>
      </c>
      <c r="AD8" s="160"/>
      <c r="AE8" s="160"/>
      <c r="AF8" s="160"/>
      <c r="AG8" s="160"/>
      <c r="AH8" s="877"/>
      <c r="AI8" s="877"/>
      <c r="AJ8" s="1930"/>
      <c r="AK8" s="1930"/>
      <c r="AL8" s="1930"/>
      <c r="AM8" s="1930"/>
      <c r="AN8" s="1930"/>
      <c r="AO8" s="1930"/>
      <c r="AP8" s="1930"/>
      <c r="AQ8" s="1930"/>
      <c r="AR8" s="1930"/>
      <c r="AS8" s="1930"/>
      <c r="AT8" s="1930"/>
      <c r="AU8" s="1930"/>
      <c r="AV8" s="1930"/>
      <c r="AW8" s="1930"/>
      <c r="AX8" s="1930"/>
      <c r="AY8" s="1930"/>
      <c r="AZ8" s="1930"/>
      <c r="BA8" s="1930"/>
      <c r="BB8" s="52">
        <f t="shared" si="2"/>
        <v>0.17223745329823545</v>
      </c>
      <c r="BC8" s="1948" t="str">
        <f t="shared" si="3"/>
        <v>Cooling RES 2 Year EUL</v>
      </c>
      <c r="BD8" s="114">
        <f>(INDEX('Avoided Cost Benefits'!$C$4:$C$857,MATCH(BC8,'Avoided Cost Benefits'!$A$4:$A$857,0)))*F8</f>
        <v>11.379539151369967</v>
      </c>
      <c r="BE8" s="1949">
        <f t="shared" si="4"/>
        <v>66.068900424728639</v>
      </c>
    </row>
    <row r="9" spans="1:57" x14ac:dyDescent="0.25">
      <c r="B9" s="151"/>
      <c r="C9" s="1205" t="s">
        <v>2410</v>
      </c>
      <c r="D9" s="2667" t="s">
        <v>2406</v>
      </c>
      <c r="E9" s="204" t="s">
        <v>2411</v>
      </c>
      <c r="F9" s="1601">
        <f>ROUND(($G$24*$G$26*(1/$G$27-1/$G$29)/$G$33),2)</f>
        <v>381.36</v>
      </c>
      <c r="G9" s="1553" t="s">
        <v>258</v>
      </c>
      <c r="H9" s="155">
        <f>VLOOKUP(G9,'CP FACTORS'!$A$3:$B$38, 2, FALSE)</f>
        <v>9.4741810000000004E-4</v>
      </c>
      <c r="I9" s="1531">
        <f t="shared" si="0"/>
        <v>0.36130699999999999</v>
      </c>
      <c r="J9" s="992">
        <f t="shared" si="1"/>
        <v>2</v>
      </c>
      <c r="K9" s="345">
        <f>G36</f>
        <v>81</v>
      </c>
      <c r="L9" s="2666" t="s">
        <v>185</v>
      </c>
      <c r="M9" s="151"/>
      <c r="N9" s="151"/>
      <c r="O9" s="151"/>
      <c r="P9" s="151"/>
      <c r="Q9" s="151"/>
      <c r="T9" s="1478"/>
      <c r="U9" s="685"/>
      <c r="V9" s="160" t="str">
        <f t="shared" ref="V9:V16" si="6">V8</f>
        <v>kWh Annual Savings</v>
      </c>
      <c r="W9" s="161">
        <v>335.03166535854984</v>
      </c>
      <c r="X9" s="997">
        <v>335.03166535854984</v>
      </c>
      <c r="Y9" s="996">
        <v>335.03</v>
      </c>
      <c r="Z9" s="2121">
        <v>335.03</v>
      </c>
      <c r="AA9" s="2121">
        <v>335.03</v>
      </c>
      <c r="AB9" s="565">
        <v>335.03</v>
      </c>
      <c r="AC9" s="1601">
        <f t="shared" si="5"/>
        <v>381.36</v>
      </c>
      <c r="AD9" s="160"/>
      <c r="AE9" s="160"/>
      <c r="AF9" s="160"/>
      <c r="AG9" s="160"/>
      <c r="AH9" s="1930"/>
      <c r="AI9" s="1930"/>
      <c r="AJ9" s="1930"/>
      <c r="AK9" s="1930"/>
      <c r="AL9" s="1930"/>
      <c r="AM9" s="1930"/>
      <c r="AN9" s="1930"/>
      <c r="AO9" s="1930"/>
      <c r="AP9" s="1930"/>
      <c r="AQ9" s="1930"/>
      <c r="AR9" s="1930"/>
      <c r="AS9" s="1930"/>
      <c r="AT9" s="1930"/>
      <c r="AU9" s="1930"/>
      <c r="AV9" s="1930"/>
      <c r="AW9" s="1930"/>
      <c r="AX9" s="1930"/>
      <c r="AY9" s="1930"/>
      <c r="AZ9" s="1930"/>
      <c r="BA9" s="1930"/>
      <c r="BB9" s="52">
        <f t="shared" si="2"/>
        <v>0.85359941767141101</v>
      </c>
      <c r="BC9" s="1948" t="str">
        <f t="shared" si="3"/>
        <v>Cooling RES 2 Year EUL</v>
      </c>
      <c r="BD9" s="114">
        <f>(INDEX('Avoided Cost Benefits'!$C$4:$C$857,MATCH(BC9,'Avoided Cost Benefits'!$A$4:$A$857,0)))*F9</f>
        <v>65.25866241754062</v>
      </c>
      <c r="BE9" s="1949">
        <f t="shared" si="4"/>
        <v>76.451156205757428</v>
      </c>
    </row>
    <row r="10" spans="1:57" x14ac:dyDescent="0.25">
      <c r="B10" s="151"/>
      <c r="C10" s="1205" t="s">
        <v>2412</v>
      </c>
      <c r="D10" s="2667" t="s">
        <v>2409</v>
      </c>
      <c r="E10" s="3121" t="str">
        <f>CONCATENATE(E9,"_CompE")</f>
        <v>AC Tune-up / refrigerant charge / MFMR_CompE</v>
      </c>
      <c r="F10" s="1601">
        <f>ROUND(($G$25*$G$26*(1/$G$27-1/$G$29)/$G$33),2)</f>
        <v>277.35000000000002</v>
      </c>
      <c r="G10" s="1553" t="s">
        <v>258</v>
      </c>
      <c r="H10" s="155">
        <f>VLOOKUP(G10,'CP FACTORS'!$A$3:$B$38, 2, FALSE)</f>
        <v>9.4741810000000004E-4</v>
      </c>
      <c r="I10" s="1531">
        <f t="shared" si="0"/>
        <v>0.262766</v>
      </c>
      <c r="J10" s="992">
        <f t="shared" si="1"/>
        <v>2</v>
      </c>
      <c r="K10" s="345">
        <f>K9</f>
        <v>81</v>
      </c>
      <c r="L10" s="2666" t="s">
        <v>185</v>
      </c>
      <c r="M10" s="151"/>
      <c r="N10" s="151"/>
      <c r="O10" s="151"/>
      <c r="P10" s="151"/>
      <c r="Q10" s="151"/>
      <c r="T10" s="1478"/>
      <c r="U10" s="685"/>
      <c r="V10" s="160" t="str">
        <f t="shared" si="6"/>
        <v>kWh Annual Savings</v>
      </c>
      <c r="W10" s="161"/>
      <c r="X10" s="997"/>
      <c r="Y10" s="884">
        <v>243.66</v>
      </c>
      <c r="Z10" s="2121">
        <v>243.66</v>
      </c>
      <c r="AA10" s="2121">
        <v>243.66</v>
      </c>
      <c r="AB10" s="565">
        <v>243.66</v>
      </c>
      <c r="AC10" s="1601">
        <f t="shared" si="5"/>
        <v>277.35000000000002</v>
      </c>
      <c r="AD10" s="160"/>
      <c r="AE10" s="160"/>
      <c r="AF10" s="160"/>
      <c r="AG10" s="160"/>
      <c r="AH10" s="1930"/>
      <c r="AI10" s="1930"/>
      <c r="AJ10" s="1930"/>
      <c r="AK10" s="1930"/>
      <c r="AL10" s="1930"/>
      <c r="AM10" s="1930"/>
      <c r="AN10" s="1930"/>
      <c r="AO10" s="1930"/>
      <c r="AP10" s="1930"/>
      <c r="AQ10" s="1930"/>
      <c r="AR10" s="1930"/>
      <c r="AS10" s="1930"/>
      <c r="AT10" s="1930"/>
      <c r="AU10" s="1930"/>
      <c r="AV10" s="1930"/>
      <c r="AW10" s="1930"/>
      <c r="AX10" s="1930"/>
      <c r="AY10" s="1930"/>
      <c r="AZ10" s="1930"/>
      <c r="BA10" s="1930"/>
      <c r="BB10" s="52">
        <f t="shared" si="2"/>
        <v>0.6207934720242444</v>
      </c>
      <c r="BC10" s="1948" t="str">
        <f t="shared" si="3"/>
        <v>Cooling RES 2 Year EUL</v>
      </c>
      <c r="BD10" s="114">
        <f>(INDEX('Avoided Cost Benefits'!$C$4:$C$857,MATCH(BC10,'Avoided Cost Benefits'!$A$4:$A$857,0)))*F10</f>
        <v>47.46037870124001</v>
      </c>
      <c r="BE10" s="1949">
        <f t="shared" si="4"/>
        <v>76.451156205757428</v>
      </c>
    </row>
    <row r="11" spans="1:57" s="40" customFormat="1" x14ac:dyDescent="0.25">
      <c r="A11" s="151"/>
      <c r="B11" s="151"/>
      <c r="C11" s="1205" t="s">
        <v>2413</v>
      </c>
      <c r="D11" s="2667" t="s">
        <v>2406</v>
      </c>
      <c r="E11" s="204" t="s">
        <v>2414</v>
      </c>
      <c r="F11" s="1601">
        <f>ROUND(($G$24*$G$26*(1/$G$27-1/$G$30)/$G$33),2)</f>
        <v>63.12</v>
      </c>
      <c r="G11" s="1553" t="s">
        <v>258</v>
      </c>
      <c r="H11" s="155">
        <f>VLOOKUP(G11,'CP FACTORS'!$A$3:$B$38, 2, FALSE)</f>
        <v>9.4741810000000004E-4</v>
      </c>
      <c r="I11" s="1531">
        <f t="shared" si="0"/>
        <v>5.9801E-2</v>
      </c>
      <c r="J11" s="992">
        <f t="shared" si="1"/>
        <v>2</v>
      </c>
      <c r="K11" s="345">
        <f>G37</f>
        <v>63</v>
      </c>
      <c r="L11" s="2666" t="s">
        <v>185</v>
      </c>
      <c r="M11" s="151"/>
      <c r="N11" s="151"/>
      <c r="O11" s="151"/>
      <c r="P11" s="151"/>
      <c r="Q11" s="151"/>
      <c r="R11" s="150"/>
      <c r="S11" s="151"/>
      <c r="T11" s="151"/>
      <c r="U11" s="151"/>
      <c r="V11" s="160" t="str">
        <f t="shared" si="6"/>
        <v>kWh Annual Savings</v>
      </c>
      <c r="W11" s="161">
        <v>55.452200250259111</v>
      </c>
      <c r="X11" s="997">
        <v>55.452200250259111</v>
      </c>
      <c r="Y11" s="996">
        <v>55.45</v>
      </c>
      <c r="Z11" s="2121">
        <v>55.45</v>
      </c>
      <c r="AA11" s="2121">
        <v>55.45</v>
      </c>
      <c r="AB11" s="565">
        <v>55.45</v>
      </c>
      <c r="AC11" s="1601">
        <f t="shared" si="5"/>
        <v>63.12</v>
      </c>
      <c r="AD11" s="160"/>
      <c r="AE11" s="160"/>
      <c r="AF11" s="160"/>
      <c r="AG11" s="160"/>
      <c r="AH11" s="1930"/>
      <c r="AI11" s="1930"/>
      <c r="AJ11" s="1930"/>
      <c r="BB11" s="52">
        <f t="shared" si="2"/>
        <v>0.18164792067142224</v>
      </c>
      <c r="BC11" s="1948" t="str">
        <f t="shared" si="3"/>
        <v>Cooling RES 2 Year EUL</v>
      </c>
      <c r="BD11" s="114">
        <f>(INDEX('Avoided Cost Benefits'!$C$4:$C$857,MATCH(BC11,'Avoided Cost Benefits'!$A$4:$A$857,0)))*F11</f>
        <v>10.801150544879283</v>
      </c>
      <c r="BE11" s="1949">
        <f t="shared" si="4"/>
        <v>59.462010382255777</v>
      </c>
    </row>
    <row r="12" spans="1:57" s="40" customFormat="1" x14ac:dyDescent="0.25">
      <c r="A12" s="151"/>
      <c r="B12" s="151"/>
      <c r="C12" s="1205" t="s">
        <v>2415</v>
      </c>
      <c r="D12" s="2667" t="s">
        <v>2409</v>
      </c>
      <c r="E12" s="3121" t="str">
        <f>CONCATENATE(E11,"_CompE")</f>
        <v>Indoor Coil (Evaporator) Cleaning / MFMR_CompE</v>
      </c>
      <c r="F12" s="1601">
        <f>ROUND(($G$25*$G$26*(1/$G$27-1/$G$30)/$G$33),2)</f>
        <v>45.91</v>
      </c>
      <c r="G12" s="1553" t="s">
        <v>258</v>
      </c>
      <c r="H12" s="155">
        <f>VLOOKUP(G12,'CP FACTORS'!$A$3:$B$38, 2, FALSE)</f>
        <v>9.4741810000000004E-4</v>
      </c>
      <c r="I12" s="1531">
        <f t="shared" si="0"/>
        <v>4.3496E-2</v>
      </c>
      <c r="J12" s="992">
        <f t="shared" si="1"/>
        <v>2</v>
      </c>
      <c r="K12" s="345">
        <f>K11</f>
        <v>63</v>
      </c>
      <c r="L12" s="2666" t="s">
        <v>185</v>
      </c>
      <c r="M12" s="151"/>
      <c r="N12" s="151"/>
      <c r="O12" s="151"/>
      <c r="P12" s="151"/>
      <c r="Q12" s="151"/>
      <c r="R12" s="150"/>
      <c r="S12" s="151"/>
      <c r="T12" s="151"/>
      <c r="U12" s="151"/>
      <c r="V12" s="160" t="str">
        <f t="shared" si="6"/>
        <v>kWh Annual Savings</v>
      </c>
      <c r="W12" s="161"/>
      <c r="X12" s="997"/>
      <c r="Y12" s="884">
        <v>40.33</v>
      </c>
      <c r="Z12" s="2121">
        <v>40.33</v>
      </c>
      <c r="AA12" s="2121">
        <v>40.33</v>
      </c>
      <c r="AB12" s="565">
        <v>40.33</v>
      </c>
      <c r="AC12" s="1601">
        <f t="shared" si="5"/>
        <v>45.91</v>
      </c>
      <c r="AD12" s="160"/>
      <c r="AE12" s="160"/>
      <c r="AF12" s="160"/>
      <c r="AG12" s="160"/>
      <c r="AH12" s="1930"/>
      <c r="AI12" s="1930"/>
      <c r="AJ12" s="1930"/>
      <c r="BB12" s="52">
        <f t="shared" si="2"/>
        <v>0.1321206596645278</v>
      </c>
      <c r="BC12" s="1948" t="str">
        <f t="shared" si="3"/>
        <v>Cooling RES 2 Year EUL</v>
      </c>
      <c r="BD12" s="114">
        <f>(INDEX('Avoided Cost Benefits'!$C$4:$C$857,MATCH(BC12,'Avoided Cost Benefits'!$A$4:$A$857,0)))*F12</f>
        <v>7.8561600366826339</v>
      </c>
      <c r="BE12" s="1949">
        <f t="shared" si="4"/>
        <v>59.462010382255777</v>
      </c>
    </row>
    <row r="13" spans="1:57" s="40" customFormat="1" x14ac:dyDescent="0.25">
      <c r="A13" s="151"/>
      <c r="B13" s="151"/>
      <c r="C13" s="1205" t="s">
        <v>2416</v>
      </c>
      <c r="D13" s="2667" t="s">
        <v>2406</v>
      </c>
      <c r="E13" s="204" t="s">
        <v>2417</v>
      </c>
      <c r="F13" s="1601">
        <f>ROUND(($G$24*$G$26*(1/$G$27-1/$G$31)/$G$33),2)</f>
        <v>126.24</v>
      </c>
      <c r="G13" s="1553" t="s">
        <v>258</v>
      </c>
      <c r="H13" s="155">
        <f>VLOOKUP(G13,'CP FACTORS'!$A$3:$B$38, 2, FALSE)</f>
        <v>9.4741810000000004E-4</v>
      </c>
      <c r="I13" s="1531">
        <f t="shared" si="0"/>
        <v>0.119602</v>
      </c>
      <c r="J13" s="992">
        <f t="shared" si="1"/>
        <v>2</v>
      </c>
      <c r="K13" s="345">
        <f>G38</f>
        <v>31</v>
      </c>
      <c r="L13" s="2666" t="s">
        <v>185</v>
      </c>
      <c r="M13" s="151"/>
      <c r="N13" s="151"/>
      <c r="O13" s="151"/>
      <c r="P13" s="151"/>
      <c r="Q13" s="151"/>
      <c r="R13" s="150"/>
      <c r="S13" s="151"/>
      <c r="T13" s="151"/>
      <c r="U13" s="151"/>
      <c r="V13" s="160" t="str">
        <f t="shared" si="6"/>
        <v>kWh Annual Savings</v>
      </c>
      <c r="W13" s="161">
        <v>110.90169564708388</v>
      </c>
      <c r="X13" s="997">
        <v>110.90169564708388</v>
      </c>
      <c r="Y13" s="996">
        <v>110.9</v>
      </c>
      <c r="Z13" s="2121">
        <v>110.9</v>
      </c>
      <c r="AA13" s="2121">
        <v>110.9</v>
      </c>
      <c r="AB13" s="565">
        <v>110.9</v>
      </c>
      <c r="AC13" s="1601">
        <f t="shared" si="5"/>
        <v>126.24</v>
      </c>
      <c r="AD13" s="160"/>
      <c r="AE13" s="160"/>
      <c r="AF13" s="160"/>
      <c r="AG13" s="160"/>
      <c r="AH13" s="1930"/>
      <c r="AI13" s="1930"/>
      <c r="AJ13" s="1930"/>
      <c r="BB13" s="52">
        <f t="shared" si="2"/>
        <v>0.73831090337416783</v>
      </c>
      <c r="BC13" s="1948" t="str">
        <f t="shared" si="3"/>
        <v>Cooling RES 2 Year EUL</v>
      </c>
      <c r="BD13" s="114">
        <f>(INDEX('Avoided Cost Benefits'!$C$4:$C$857,MATCH(BC13,'Avoided Cost Benefits'!$A$4:$A$857,0)))*F13</f>
        <v>21.602301089758566</v>
      </c>
      <c r="BE13" s="1949">
        <f t="shared" si="4"/>
        <v>29.259084473808397</v>
      </c>
    </row>
    <row r="14" spans="1:57" s="40" customFormat="1" x14ac:dyDescent="0.25">
      <c r="A14" s="151"/>
      <c r="B14" s="151"/>
      <c r="C14" s="1205" t="s">
        <v>2418</v>
      </c>
      <c r="D14" s="2667" t="s">
        <v>2409</v>
      </c>
      <c r="E14" s="3121" t="str">
        <f>CONCATENATE(E13,"_CompE")</f>
        <v>Outdoor Coil (Condenser) Cleaning / MFMR_CompE</v>
      </c>
      <c r="F14" s="1601">
        <f>ROUND(($G$25*$G$26*(1/$G$27-1/$G$31)/$G$33),2)</f>
        <v>91.81</v>
      </c>
      <c r="G14" s="1553" t="s">
        <v>258</v>
      </c>
      <c r="H14" s="155">
        <f>VLOOKUP(G14,'CP FACTORS'!$A$3:$B$38, 2, FALSE)</f>
        <v>9.4741810000000004E-4</v>
      </c>
      <c r="I14" s="1531">
        <f t="shared" si="0"/>
        <v>8.6982000000000004E-2</v>
      </c>
      <c r="J14" s="992">
        <f t="shared" si="1"/>
        <v>2</v>
      </c>
      <c r="K14" s="345">
        <f>K13</f>
        <v>31</v>
      </c>
      <c r="L14" s="2666" t="s">
        <v>185</v>
      </c>
      <c r="M14" s="151"/>
      <c r="N14" s="151"/>
      <c r="O14" s="151"/>
      <c r="P14" s="151"/>
      <c r="Q14" s="151"/>
      <c r="R14" s="150"/>
      <c r="S14" s="151"/>
      <c r="T14" s="151"/>
      <c r="U14" s="151"/>
      <c r="V14" s="160" t="str">
        <f t="shared" si="6"/>
        <v>kWh Annual Savings</v>
      </c>
      <c r="W14" s="161"/>
      <c r="X14" s="997"/>
      <c r="Y14" s="884">
        <v>80.66</v>
      </c>
      <c r="Z14" s="2121">
        <v>80.66</v>
      </c>
      <c r="AA14" s="2121">
        <v>80.66</v>
      </c>
      <c r="AB14" s="565">
        <v>80.66</v>
      </c>
      <c r="AC14" s="1601">
        <f t="shared" si="5"/>
        <v>91.81</v>
      </c>
      <c r="AD14" s="160"/>
      <c r="AE14" s="160"/>
      <c r="AF14" s="160"/>
      <c r="AG14" s="160"/>
      <c r="AH14" s="1930"/>
      <c r="AI14" s="1930"/>
      <c r="AJ14" s="1930"/>
      <c r="BB14" s="52">
        <f t="shared" ref="BB14:BB16" si="7">(BD14)/(BE14)</f>
        <v>0.53694806748084878</v>
      </c>
      <c r="BC14" s="1948" t="str">
        <f t="shared" ref="BC14:BC16" si="8">CONCATENATE(G14," ",J14," Year EUL")</f>
        <v>Cooling RES 2 Year EUL</v>
      </c>
      <c r="BD14" s="114">
        <f>(INDEX('Avoided Cost Benefits'!$C$4:$C$857,MATCH(BC14,'Avoided Cost Benefits'!$A$4:$A$857,0)))*F14</f>
        <v>15.710608864470327</v>
      </c>
      <c r="BE14" s="1949">
        <f t="shared" ref="BE14:BE16" si="9">K14/(1.0595^(2020-2019))</f>
        <v>29.259084473808397</v>
      </c>
    </row>
    <row r="15" spans="1:57" s="1930" customFormat="1" x14ac:dyDescent="0.25">
      <c r="A15" s="123"/>
      <c r="B15" s="1288"/>
      <c r="C15" s="2025" t="s">
        <v>4386</v>
      </c>
      <c r="D15" s="2822" t="s">
        <v>2406</v>
      </c>
      <c r="E15" s="3513" t="s">
        <v>4396</v>
      </c>
      <c r="F15" s="2031">
        <f>G$26*G24*(1/G$27-1/G$32)/G$33</f>
        <v>237.38559042747517</v>
      </c>
      <c r="G15" s="3496" t="s">
        <v>258</v>
      </c>
      <c r="H15" s="2721">
        <v>9.4741810000000004E-4</v>
      </c>
      <c r="I15" s="3514">
        <v>0.105069</v>
      </c>
      <c r="J15" s="3463">
        <v>2</v>
      </c>
      <c r="K15" s="3458">
        <f>G39</f>
        <v>185</v>
      </c>
      <c r="L15" s="2025" t="s">
        <v>185</v>
      </c>
      <c r="M15" s="1288"/>
      <c r="N15" s="1288"/>
      <c r="O15" s="1288"/>
      <c r="P15" s="1288"/>
      <c r="Q15" s="1288"/>
      <c r="R15" s="123"/>
      <c r="S15" s="123"/>
      <c r="T15" s="123"/>
      <c r="U15" s="123"/>
      <c r="V15" s="160" t="str">
        <f t="shared" si="6"/>
        <v>kWh Annual Savings</v>
      </c>
      <c r="W15" s="3459"/>
      <c r="X15" s="3464"/>
      <c r="Y15" s="3553"/>
      <c r="Z15" s="3554"/>
      <c r="AA15" s="3554"/>
      <c r="AB15" s="3555"/>
      <c r="AC15" s="1601">
        <f t="shared" si="5"/>
        <v>237.38559042747517</v>
      </c>
      <c r="AD15" s="160"/>
      <c r="AE15" s="160"/>
      <c r="AF15" s="160"/>
      <c r="AG15" s="160"/>
      <c r="AH15" s="877"/>
      <c r="AI15" s="877"/>
      <c r="BB15" s="3525">
        <f t="shared" si="7"/>
        <v>0.23264119228976562</v>
      </c>
      <c r="BC15" s="3526" t="str">
        <f t="shared" si="8"/>
        <v>Cooling RES 2 Year EUL</v>
      </c>
      <c r="BD15" s="3527">
        <f>(INDEX('Avoided Cost Benefits'!$C$4:$C$857,MATCH(BC15,'Avoided Cost Benefits'!$A$4:$A$857,0)))*F15</f>
        <v>40.621633387075633</v>
      </c>
      <c r="BE15" s="3528">
        <f t="shared" si="9"/>
        <v>174.61066540821139</v>
      </c>
    </row>
    <row r="16" spans="1:57" s="1930" customFormat="1" x14ac:dyDescent="0.25">
      <c r="A16" s="123"/>
      <c r="B16" s="1288"/>
      <c r="C16" s="2025" t="s">
        <v>4387</v>
      </c>
      <c r="D16" s="2822" t="s">
        <v>2409</v>
      </c>
      <c r="E16" s="3513" t="s">
        <v>4397</v>
      </c>
      <c r="F16" s="2031">
        <f>G$26*G25*(1/G$27-1/G$32)/G$33</f>
        <v>172.64406576543647</v>
      </c>
      <c r="G16" s="3496" t="s">
        <v>258</v>
      </c>
      <c r="H16" s="2721">
        <v>9.4741810000000004E-4</v>
      </c>
      <c r="I16" s="3514">
        <v>7.6419000000000001E-2</v>
      </c>
      <c r="J16" s="3463">
        <v>2</v>
      </c>
      <c r="K16" s="3458">
        <f>G39</f>
        <v>185</v>
      </c>
      <c r="L16" s="2025" t="s">
        <v>185</v>
      </c>
      <c r="M16" s="1288"/>
      <c r="N16" s="1288"/>
      <c r="O16" s="1288"/>
      <c r="P16" s="1288"/>
      <c r="Q16" s="1288"/>
      <c r="R16" s="123"/>
      <c r="S16" s="123"/>
      <c r="T16" s="123"/>
      <c r="U16" s="123"/>
      <c r="V16" s="160" t="str">
        <f t="shared" si="6"/>
        <v>kWh Annual Savings</v>
      </c>
      <c r="W16" s="3459"/>
      <c r="X16" s="3464"/>
      <c r="Y16" s="3553"/>
      <c r="Z16" s="3554"/>
      <c r="AA16" s="3554"/>
      <c r="AB16" s="3555"/>
      <c r="AC16" s="1601">
        <f t="shared" si="5"/>
        <v>172.64406576543647</v>
      </c>
      <c r="AD16" s="160"/>
      <c r="AE16" s="160"/>
      <c r="AF16" s="160"/>
      <c r="AG16" s="160"/>
      <c r="AH16" s="877"/>
      <c r="AI16" s="877"/>
      <c r="BB16" s="3581">
        <f t="shared" si="7"/>
        <v>0.1691935943925568</v>
      </c>
      <c r="BC16" s="3526" t="str">
        <f t="shared" si="8"/>
        <v>Cooling RES 2 Year EUL</v>
      </c>
      <c r="BD16" s="3530">
        <f>(INDEX('Avoided Cost Benefits'!$C$4:$C$857,MATCH(BC16,'Avoided Cost Benefits'!$A$4:$A$857,0)))*F16</f>
        <v>29.543006099691365</v>
      </c>
      <c r="BE16" s="3531">
        <f t="shared" si="9"/>
        <v>174.61066540821139</v>
      </c>
    </row>
    <row r="17" spans="1:57" s="40" customFormat="1" x14ac:dyDescent="0.25">
      <c r="A17" s="151"/>
      <c r="B17" s="151"/>
      <c r="C17" s="1664"/>
      <c r="D17" s="907"/>
      <c r="E17" s="907"/>
      <c r="F17" s="907"/>
      <c r="G17" s="3511"/>
      <c r="H17" s="3511"/>
      <c r="I17" s="3511"/>
      <c r="J17" s="3511"/>
      <c r="K17" s="3511"/>
      <c r="L17" s="3511"/>
      <c r="M17" s="3511"/>
      <c r="N17" s="151"/>
      <c r="O17" s="151"/>
      <c r="P17" s="151"/>
      <c r="Q17" s="151"/>
      <c r="R17" s="150"/>
      <c r="S17" s="151"/>
      <c r="T17" s="151"/>
      <c r="U17" s="151"/>
      <c r="V17" s="151"/>
      <c r="W17" s="151"/>
      <c r="X17" s="151"/>
      <c r="Y17" s="151"/>
      <c r="Z17" s="151"/>
      <c r="AA17" s="151"/>
      <c r="AB17" s="151"/>
      <c r="AC17" s="151"/>
      <c r="AD17" s="151"/>
      <c r="AE17" s="151"/>
      <c r="AF17" s="2714"/>
      <c r="AG17" s="2714"/>
      <c r="AH17" s="1930"/>
      <c r="AI17" s="1930"/>
      <c r="AJ17" s="1930"/>
    </row>
    <row r="18" spans="1:57" hidden="1" outlineLevel="1" x14ac:dyDescent="0.25">
      <c r="B18" s="151"/>
      <c r="C18" s="149"/>
      <c r="D18" s="150"/>
      <c r="E18" s="150"/>
      <c r="F18" s="1602"/>
      <c r="G18" s="151"/>
      <c r="H18" s="151"/>
      <c r="I18" s="151"/>
      <c r="J18" s="151"/>
      <c r="K18" s="151"/>
      <c r="L18" s="151"/>
      <c r="M18" s="151"/>
      <c r="Q18" s="151"/>
      <c r="V18" s="123"/>
      <c r="W18" s="123"/>
      <c r="X18" s="123"/>
      <c r="Y18" s="123"/>
      <c r="Z18" s="123"/>
      <c r="AA18" s="123"/>
      <c r="AB18" s="123"/>
      <c r="AC18" s="123"/>
      <c r="AD18" s="123"/>
      <c r="AE18" s="123"/>
      <c r="AF18" s="1930"/>
      <c r="AG18" s="1930"/>
      <c r="AH18" s="1930"/>
      <c r="AI18" s="1930"/>
      <c r="AJ18" s="1930"/>
      <c r="AK18" s="1930"/>
      <c r="AL18" s="1930"/>
      <c r="AM18" s="1930"/>
      <c r="AN18" s="1930"/>
      <c r="AO18" s="1930"/>
      <c r="AP18" s="1930"/>
      <c r="AQ18" s="1930"/>
      <c r="AR18" s="1930"/>
      <c r="AS18" s="1930"/>
      <c r="AT18" s="1930"/>
      <c r="AU18" s="1930"/>
      <c r="AV18" s="1930"/>
      <c r="AW18" s="1930"/>
      <c r="AX18" s="1930"/>
      <c r="AY18" s="1930"/>
      <c r="AZ18" s="1930"/>
      <c r="BA18" s="1930"/>
      <c r="BB18" s="1930"/>
      <c r="BC18" s="1930"/>
      <c r="BD18" s="1930"/>
      <c r="BE18" s="1930"/>
    </row>
    <row r="19" spans="1:57" hidden="1" outlineLevel="1" x14ac:dyDescent="0.25">
      <c r="B19" s="151"/>
      <c r="C19" s="149"/>
      <c r="D19" s="174" t="s">
        <v>108</v>
      </c>
      <c r="E19" s="314"/>
      <c r="F19" s="1603"/>
      <c r="G19" s="151"/>
      <c r="H19" s="151"/>
      <c r="I19" s="151"/>
      <c r="J19" s="151"/>
      <c r="K19" s="151"/>
      <c r="L19" s="151"/>
      <c r="M19" s="151"/>
      <c r="Q19" s="151"/>
      <c r="V19" s="1930"/>
      <c r="W19" s="1930"/>
      <c r="X19" s="1930"/>
      <c r="Y19" s="1930"/>
      <c r="Z19" s="1930"/>
      <c r="AA19" s="1930"/>
      <c r="AB19" s="1930"/>
      <c r="AC19" s="1930"/>
      <c r="AD19" s="1930"/>
      <c r="AE19" s="1930"/>
      <c r="AF19" s="1930"/>
      <c r="AG19" s="1930"/>
      <c r="AH19" s="1930"/>
      <c r="AI19" s="1930"/>
      <c r="AJ19" s="1930"/>
      <c r="AK19" s="1930"/>
      <c r="AL19" s="1930"/>
      <c r="AM19" s="1930"/>
      <c r="AN19" s="1930"/>
      <c r="AO19" s="1930"/>
      <c r="AP19" s="1930"/>
      <c r="AQ19" s="1930"/>
      <c r="AR19" s="1930"/>
      <c r="AS19" s="1930"/>
      <c r="AT19" s="1930"/>
      <c r="AU19" s="1930"/>
      <c r="AV19" s="1930"/>
      <c r="AW19" s="1930"/>
      <c r="AX19" s="1930"/>
      <c r="AY19" s="1930"/>
      <c r="AZ19" s="1930"/>
      <c r="BA19" s="1930"/>
      <c r="BB19" s="1930"/>
      <c r="BC19" s="1930"/>
      <c r="BD19" s="1930"/>
      <c r="BE19" s="1930"/>
    </row>
    <row r="20" spans="1:57" hidden="1" outlineLevel="1" x14ac:dyDescent="0.25">
      <c r="B20" s="151"/>
      <c r="C20" s="149"/>
      <c r="D20" s="1194"/>
      <c r="E20" s="1604"/>
      <c r="F20" s="1603"/>
      <c r="G20" s="151"/>
      <c r="H20" s="151"/>
      <c r="I20" s="151"/>
      <c r="J20" s="151"/>
      <c r="K20" s="151"/>
      <c r="L20" s="151"/>
      <c r="M20" s="151"/>
      <c r="Q20" s="151"/>
      <c r="V20" s="1930"/>
      <c r="W20" s="1930"/>
      <c r="X20" s="1930"/>
      <c r="Y20" s="1930"/>
      <c r="Z20" s="1930"/>
      <c r="AA20" s="1930"/>
      <c r="AB20" s="1930"/>
      <c r="AC20" s="1930"/>
      <c r="AD20" s="1930"/>
      <c r="AE20" s="1930"/>
      <c r="AF20" s="1930"/>
      <c r="AG20" s="1930"/>
      <c r="AH20" s="1930"/>
      <c r="AI20" s="1930"/>
      <c r="AJ20" s="1930"/>
      <c r="AK20" s="1930"/>
      <c r="AL20" s="1930"/>
      <c r="AM20" s="1930"/>
      <c r="AN20" s="1930"/>
      <c r="AO20" s="1930"/>
      <c r="AP20" s="1930"/>
      <c r="AQ20" s="1930"/>
      <c r="AR20" s="1930"/>
      <c r="AS20" s="1930"/>
      <c r="AT20" s="1930"/>
      <c r="AU20" s="1930"/>
      <c r="AV20" s="1930"/>
      <c r="AW20" s="1930"/>
      <c r="AX20" s="1930"/>
      <c r="AY20" s="1930"/>
      <c r="AZ20" s="1930"/>
      <c r="BA20" s="1930"/>
    </row>
    <row r="21" spans="1:57" hidden="1" outlineLevel="1" x14ac:dyDescent="0.25">
      <c r="B21" s="151"/>
      <c r="C21" s="149"/>
      <c r="D21" s="1194"/>
      <c r="E21" s="314"/>
      <c r="F21" s="1603"/>
      <c r="G21" s="151"/>
      <c r="H21" s="151"/>
      <c r="I21" s="151"/>
      <c r="J21" s="151"/>
      <c r="K21" s="151"/>
      <c r="L21" s="151"/>
      <c r="M21" s="151"/>
      <c r="N21" s="151"/>
      <c r="O21" s="151"/>
      <c r="P21" s="151"/>
      <c r="Q21" s="151"/>
      <c r="V21" s="1930"/>
      <c r="W21" s="1930"/>
      <c r="X21" s="1930"/>
      <c r="Y21" s="1930"/>
      <c r="Z21" s="1930"/>
      <c r="AA21" s="1930"/>
      <c r="AB21" s="1930"/>
      <c r="AC21" s="1930"/>
      <c r="AD21" s="1930"/>
      <c r="AE21" s="1930"/>
      <c r="AF21" s="1930"/>
      <c r="AG21" s="1930"/>
      <c r="AH21" s="1930"/>
      <c r="AI21" s="1930"/>
      <c r="AJ21" s="1930"/>
      <c r="AK21" s="1930"/>
      <c r="AL21" s="1930"/>
      <c r="AM21" s="1930"/>
      <c r="AN21" s="1930"/>
      <c r="AO21" s="1930"/>
      <c r="AP21" s="1930"/>
      <c r="AQ21" s="1930"/>
      <c r="AR21" s="1930"/>
      <c r="AS21" s="1930"/>
      <c r="AT21" s="1930"/>
      <c r="AU21" s="1930"/>
      <c r="AV21" s="1930"/>
      <c r="AW21" s="1930"/>
      <c r="AX21" s="1930"/>
      <c r="AY21" s="1930"/>
      <c r="AZ21" s="1930"/>
      <c r="BA21" s="1930"/>
    </row>
    <row r="22" spans="1:57" hidden="1" outlineLevel="1" x14ac:dyDescent="0.25">
      <c r="B22" s="151"/>
      <c r="C22" s="149"/>
      <c r="D22" s="150"/>
      <c r="E22" s="150"/>
      <c r="F22" s="151"/>
      <c r="G22" s="151"/>
      <c r="H22" s="151"/>
      <c r="I22" s="151"/>
      <c r="J22" s="151"/>
      <c r="K22" s="151"/>
      <c r="L22" s="151"/>
      <c r="M22" s="151"/>
      <c r="N22" s="151"/>
      <c r="O22" s="151"/>
      <c r="P22" s="151"/>
      <c r="Q22" s="151"/>
      <c r="V22" s="1930"/>
      <c r="W22" s="1930"/>
      <c r="X22" s="1930"/>
      <c r="Y22" s="1930"/>
      <c r="Z22" s="1930"/>
      <c r="AA22" s="1930"/>
      <c r="AB22" s="1930"/>
      <c r="AC22" s="1930"/>
      <c r="AD22" s="1930"/>
      <c r="AE22" s="1930"/>
      <c r="AF22" s="1930"/>
      <c r="AG22" s="1930"/>
      <c r="AH22" s="1930"/>
      <c r="AI22" s="1930"/>
      <c r="AJ22" s="1930"/>
      <c r="AK22" s="1930"/>
      <c r="AL22" s="1930"/>
      <c r="AM22" s="1930"/>
      <c r="AN22" s="1930"/>
      <c r="AO22" s="1930"/>
      <c r="AP22" s="1930"/>
      <c r="AQ22" s="1930"/>
      <c r="AR22" s="1930"/>
      <c r="AS22" s="1930"/>
      <c r="AT22" s="1930"/>
      <c r="AU22" s="1930"/>
      <c r="AV22" s="1930"/>
      <c r="AW22" s="1930"/>
      <c r="AX22" s="1930"/>
      <c r="AY22" s="1930"/>
      <c r="AZ22" s="1930"/>
      <c r="BA22" s="1930"/>
    </row>
    <row r="23" spans="1:57" ht="15" hidden="1" customHeight="1" outlineLevel="1" x14ac:dyDescent="0.25">
      <c r="B23" s="401"/>
      <c r="C23" s="149"/>
      <c r="D23" s="3236" t="s">
        <v>109</v>
      </c>
      <c r="E23" s="3236" t="s">
        <v>110</v>
      </c>
      <c r="F23" s="3236" t="s">
        <v>186</v>
      </c>
      <c r="G23" s="3086" t="s">
        <v>112</v>
      </c>
      <c r="H23" s="3086" t="s">
        <v>187</v>
      </c>
      <c r="I23" s="3773" t="s">
        <v>113</v>
      </c>
      <c r="J23" s="3773"/>
      <c r="K23" s="3773"/>
      <c r="L23" s="3773"/>
      <c r="M23" s="401"/>
      <c r="N23" s="151"/>
      <c r="O23" s="151"/>
      <c r="P23" s="151"/>
      <c r="Q23" s="401"/>
      <c r="V23" s="1936" t="s">
        <v>45</v>
      </c>
      <c r="W23" s="1937">
        <f>W$6</f>
        <v>43252</v>
      </c>
      <c r="X23" s="1937">
        <f t="shared" ref="X23:AG23" si="10">X$6</f>
        <v>43465</v>
      </c>
      <c r="Y23" s="1937">
        <f t="shared" si="10"/>
        <v>43800</v>
      </c>
      <c r="Z23" s="1937">
        <f t="shared" si="10"/>
        <v>43862</v>
      </c>
      <c r="AA23" s="1937">
        <f t="shared" si="10"/>
        <v>44013</v>
      </c>
      <c r="AB23" s="1937">
        <f t="shared" si="10"/>
        <v>44166</v>
      </c>
      <c r="AC23" s="1937">
        <f t="shared" si="10"/>
        <v>44531</v>
      </c>
      <c r="AD23" s="1937" t="str">
        <f t="shared" si="10"/>
        <v>-</v>
      </c>
      <c r="AE23" s="1937" t="str">
        <f t="shared" si="10"/>
        <v>-</v>
      </c>
      <c r="AF23" s="1937" t="str">
        <f t="shared" si="10"/>
        <v>-</v>
      </c>
      <c r="AG23" s="1937" t="str">
        <f t="shared" si="10"/>
        <v>-</v>
      </c>
      <c r="AH23" s="1930"/>
      <c r="AI23" s="1930"/>
      <c r="AJ23" s="1930"/>
      <c r="AK23" s="1930"/>
      <c r="AL23" s="1930"/>
      <c r="AM23" s="1930"/>
      <c r="AN23" s="1930"/>
      <c r="AO23" s="1930"/>
      <c r="AP23" s="1930"/>
      <c r="AQ23" s="1930"/>
      <c r="AR23" s="1930"/>
      <c r="AS23" s="1930"/>
      <c r="AT23" s="1930"/>
      <c r="AU23" s="1930"/>
      <c r="AV23" s="1930"/>
      <c r="AW23" s="1930"/>
      <c r="AX23" s="1930"/>
      <c r="AY23" s="1930"/>
      <c r="AZ23" s="1930"/>
      <c r="BA23" s="1930"/>
    </row>
    <row r="24" spans="1:57" ht="30" hidden="1" customHeight="1" outlineLevel="1" x14ac:dyDescent="0.25">
      <c r="B24" s="223"/>
      <c r="C24" s="181"/>
      <c r="D24" s="4285" t="s">
        <v>1597</v>
      </c>
      <c r="E24" s="4285" t="s">
        <v>1162</v>
      </c>
      <c r="F24" s="1004" t="s">
        <v>315</v>
      </c>
      <c r="G24" s="1649">
        <v>869</v>
      </c>
      <c r="H24" s="3099" t="s">
        <v>528</v>
      </c>
      <c r="I24" s="3823"/>
      <c r="J24" s="3823"/>
      <c r="K24" s="3823"/>
      <c r="L24" s="3823"/>
      <c r="M24" s="223"/>
      <c r="N24" s="151"/>
      <c r="O24" s="151"/>
      <c r="P24" s="151"/>
      <c r="Q24" s="223"/>
      <c r="V24" s="4285" t="s">
        <v>1597</v>
      </c>
      <c r="W24" s="1195">
        <v>869</v>
      </c>
      <c r="X24" s="1195">
        <v>869</v>
      </c>
      <c r="Y24" s="1195">
        <v>869</v>
      </c>
      <c r="Z24" s="1649">
        <v>869</v>
      </c>
      <c r="AA24" s="1649">
        <v>869</v>
      </c>
      <c r="AB24" s="1195">
        <v>869</v>
      </c>
      <c r="AC24" s="1195">
        <v>869</v>
      </c>
      <c r="AD24" s="1195"/>
      <c r="AE24" s="1195"/>
      <c r="AF24" s="1195"/>
      <c r="AG24" s="1195"/>
      <c r="AH24" s="1930"/>
      <c r="AI24" s="1930"/>
      <c r="AJ24" s="1930"/>
      <c r="AK24" s="1930"/>
      <c r="AL24" s="1930"/>
      <c r="AM24" s="1930"/>
      <c r="AN24" s="1930"/>
      <c r="AO24" s="1930"/>
      <c r="AP24" s="1930"/>
      <c r="AQ24" s="1930"/>
      <c r="AR24" s="1930"/>
      <c r="AS24" s="1930"/>
      <c r="AT24" s="1930"/>
      <c r="AU24" s="1930"/>
      <c r="AV24" s="1930"/>
      <c r="AW24" s="1930"/>
      <c r="AX24" s="1930"/>
      <c r="AY24" s="1930"/>
      <c r="AZ24" s="1930"/>
      <c r="BA24" s="1930"/>
    </row>
    <row r="25" spans="1:57" ht="30" hidden="1" customHeight="1" outlineLevel="1" x14ac:dyDescent="0.25">
      <c r="B25" s="223"/>
      <c r="C25" s="181"/>
      <c r="D25" s="3891"/>
      <c r="E25" s="3891"/>
      <c r="F25" s="1004" t="s">
        <v>527</v>
      </c>
      <c r="G25" s="1649">
        <v>632</v>
      </c>
      <c r="H25" s="3099" t="s">
        <v>528</v>
      </c>
      <c r="I25" s="3823"/>
      <c r="J25" s="3823"/>
      <c r="K25" s="3823"/>
      <c r="L25" s="3823"/>
      <c r="M25" s="223"/>
      <c r="N25" s="151"/>
      <c r="O25" s="151"/>
      <c r="P25" s="151"/>
      <c r="Q25" s="223"/>
      <c r="V25" s="4160"/>
      <c r="W25" s="1195"/>
      <c r="X25" s="1195"/>
      <c r="Y25" s="963">
        <v>632</v>
      </c>
      <c r="Z25" s="1649">
        <v>632</v>
      </c>
      <c r="AA25" s="1649">
        <v>632</v>
      </c>
      <c r="AB25" s="1649">
        <v>632</v>
      </c>
      <c r="AC25" s="1649">
        <v>632</v>
      </c>
      <c r="AD25" s="1195"/>
      <c r="AE25" s="1195"/>
      <c r="AF25" s="1195"/>
      <c r="AG25" s="1195"/>
      <c r="AH25" s="1930"/>
      <c r="AI25" s="1930"/>
      <c r="AJ25" s="1930"/>
      <c r="AK25" s="1930"/>
      <c r="AL25" s="1930"/>
      <c r="AM25" s="1930"/>
      <c r="AN25" s="1930"/>
      <c r="AO25" s="1930"/>
      <c r="AP25" s="1930"/>
      <c r="AQ25" s="1930"/>
      <c r="AR25" s="1930"/>
      <c r="AS25" s="1930"/>
      <c r="AT25" s="1930"/>
      <c r="AU25" s="1930"/>
      <c r="AV25" s="1930"/>
      <c r="AW25" s="1930"/>
      <c r="AX25" s="1930"/>
      <c r="AY25" s="1930"/>
      <c r="AZ25" s="1930"/>
      <c r="BA25" s="1930"/>
    </row>
    <row r="26" spans="1:57" ht="30" hidden="1" outlineLevel="1" x14ac:dyDescent="0.25">
      <c r="B26" s="223"/>
      <c r="C26" s="181"/>
      <c r="D26" s="3469" t="s">
        <v>1598</v>
      </c>
      <c r="E26" s="3469" t="s">
        <v>1562</v>
      </c>
      <c r="F26" s="3457" t="s">
        <v>135</v>
      </c>
      <c r="G26" s="963">
        <v>23610.600000000002</v>
      </c>
      <c r="H26" s="3471" t="s">
        <v>4365</v>
      </c>
      <c r="I26" s="3823"/>
      <c r="J26" s="3823"/>
      <c r="K26" s="3823"/>
      <c r="L26" s="3823"/>
      <c r="M26" s="223"/>
      <c r="N26" s="151"/>
      <c r="O26" s="151"/>
      <c r="P26" s="151"/>
      <c r="Q26" s="223"/>
      <c r="V26" s="3217" t="str">
        <f t="shared" ref="V26:V35" si="11">D26</f>
        <v>Capacitycool</v>
      </c>
      <c r="W26" s="1195">
        <v>20742.434375000001</v>
      </c>
      <c r="X26" s="1195">
        <v>20742.434375000001</v>
      </c>
      <c r="Y26" s="1195">
        <v>20742.434375000001</v>
      </c>
      <c r="Z26" s="1649">
        <v>20742.434375000001</v>
      </c>
      <c r="AA26" s="1649">
        <v>20742.434375000001</v>
      </c>
      <c r="AB26" s="1195">
        <v>20742.434375000001</v>
      </c>
      <c r="AC26" s="963">
        <f>G26</f>
        <v>23610.600000000002</v>
      </c>
      <c r="AD26" s="1195"/>
      <c r="AE26" s="1195"/>
      <c r="AF26" s="1195"/>
      <c r="AG26" s="1195"/>
      <c r="AH26" s="1930"/>
      <c r="AI26" s="1930"/>
      <c r="AJ26" s="1930"/>
      <c r="AK26" s="1930"/>
      <c r="AL26" s="1930"/>
      <c r="AM26" s="1930"/>
      <c r="AN26" s="1930"/>
      <c r="AO26" s="1930"/>
      <c r="AP26" s="1930"/>
      <c r="AQ26" s="1930"/>
      <c r="AR26" s="1930"/>
      <c r="AS26" s="1930"/>
      <c r="AT26" s="1930"/>
      <c r="AU26" s="1930"/>
      <c r="AV26" s="1930"/>
      <c r="AW26" s="1930"/>
      <c r="AX26" s="1930"/>
      <c r="AY26" s="1930"/>
      <c r="AZ26" s="1930"/>
      <c r="BA26" s="1930"/>
    </row>
    <row r="27" spans="1:57" ht="105" hidden="1" customHeight="1" outlineLevel="1" x14ac:dyDescent="0.25">
      <c r="B27" s="223"/>
      <c r="C27" s="181"/>
      <c r="D27" s="3469" t="s">
        <v>2419</v>
      </c>
      <c r="E27" s="3469" t="s">
        <v>1601</v>
      </c>
      <c r="F27" s="3457" t="s">
        <v>135</v>
      </c>
      <c r="G27" s="3216">
        <v>11.9</v>
      </c>
      <c r="H27" s="3099" t="s">
        <v>2420</v>
      </c>
      <c r="I27" s="3823" t="s">
        <v>2421</v>
      </c>
      <c r="J27" s="3823"/>
      <c r="K27" s="3823"/>
      <c r="L27" s="3823"/>
      <c r="M27" s="223"/>
      <c r="N27" s="151"/>
      <c r="O27" s="151"/>
      <c r="P27" s="151"/>
      <c r="Q27" s="223"/>
      <c r="V27" s="3217" t="str">
        <f t="shared" si="11"/>
        <v>SEERtest-in</v>
      </c>
      <c r="W27" s="1196">
        <v>11.9</v>
      </c>
      <c r="X27" s="1196">
        <v>11.9</v>
      </c>
      <c r="Y27" s="1196">
        <v>11.9</v>
      </c>
      <c r="Z27" s="3216">
        <v>11.9</v>
      </c>
      <c r="AA27" s="3216">
        <v>11.9</v>
      </c>
      <c r="AB27" s="1196">
        <v>11.9</v>
      </c>
      <c r="AC27" s="1196">
        <v>11.9</v>
      </c>
      <c r="AD27" s="1196"/>
      <c r="AE27" s="1196"/>
      <c r="AF27" s="1196"/>
      <c r="AG27" s="1196"/>
      <c r="AH27" s="1930"/>
      <c r="AI27" s="1930"/>
      <c r="AJ27" s="1930"/>
      <c r="AK27" s="1930"/>
      <c r="AL27" s="1930"/>
      <c r="AM27" s="1930"/>
      <c r="AN27" s="1930"/>
      <c r="AO27" s="1930"/>
      <c r="AP27" s="1930"/>
      <c r="AQ27" s="1930"/>
      <c r="AR27" s="1930"/>
      <c r="AS27" s="1930"/>
      <c r="AT27" s="1930"/>
      <c r="AU27" s="1930"/>
      <c r="AV27" s="1930"/>
      <c r="AW27" s="1930"/>
      <c r="AX27" s="1930"/>
      <c r="AY27" s="1930"/>
      <c r="AZ27" s="1930"/>
      <c r="BA27" s="1930"/>
    </row>
    <row r="28" spans="1:57" ht="15" hidden="1" customHeight="1" outlineLevel="1" x14ac:dyDescent="0.25">
      <c r="B28" s="223"/>
      <c r="C28" s="181"/>
      <c r="D28" s="4285" t="s">
        <v>1607</v>
      </c>
      <c r="E28" s="4285" t="s">
        <v>1608</v>
      </c>
      <c r="F28" s="1004" t="s">
        <v>1602</v>
      </c>
      <c r="G28" s="3216">
        <f>G27*(1+0.056)</f>
        <v>12.566400000000002</v>
      </c>
      <c r="H28" s="3099" t="s">
        <v>1011</v>
      </c>
      <c r="I28" s="3823" t="s">
        <v>1605</v>
      </c>
      <c r="J28" s="3823"/>
      <c r="K28" s="3823"/>
      <c r="L28" s="3823"/>
      <c r="M28" s="223"/>
      <c r="N28" s="151"/>
      <c r="O28" s="151"/>
      <c r="P28" s="151"/>
      <c r="Q28" s="223"/>
      <c r="V28" s="4354" t="str">
        <f t="shared" si="11"/>
        <v>SEERtest-out</v>
      </c>
      <c r="W28" s="1196">
        <f>W27*(1+0.056)</f>
        <v>12.566400000000002</v>
      </c>
      <c r="X28" s="1196">
        <f>X27*(1+0.056)</f>
        <v>12.566400000000002</v>
      </c>
      <c r="Y28" s="1196">
        <f>Y27*(1+0.056)</f>
        <v>12.566400000000002</v>
      </c>
      <c r="Z28" s="3216">
        <f t="shared" ref="Z28:AA28" si="12">Z27*(1+0.056)</f>
        <v>12.566400000000002</v>
      </c>
      <c r="AA28" s="3216">
        <f t="shared" si="12"/>
        <v>12.566400000000002</v>
      </c>
      <c r="AB28" s="1196">
        <v>12.566400000000002</v>
      </c>
      <c r="AC28" s="1196">
        <v>12.566400000000002</v>
      </c>
      <c r="AD28" s="1196"/>
      <c r="AE28" s="1196"/>
      <c r="AF28" s="1196"/>
      <c r="AG28" s="1196"/>
      <c r="AH28" s="1930"/>
      <c r="AI28" s="1930"/>
      <c r="AJ28" s="1930"/>
      <c r="AK28" s="1930"/>
      <c r="AL28" s="1930"/>
      <c r="AM28" s="1930"/>
      <c r="AN28" s="1930"/>
      <c r="AO28" s="1930"/>
      <c r="AP28" s="1930"/>
      <c r="AQ28" s="1930"/>
      <c r="AR28" s="1930"/>
      <c r="AS28" s="1930"/>
      <c r="AT28" s="1930"/>
      <c r="AU28" s="1930"/>
      <c r="AV28" s="1930"/>
      <c r="AW28" s="1930"/>
      <c r="AX28" s="1930"/>
      <c r="AY28" s="1930"/>
      <c r="AZ28" s="1930"/>
      <c r="BA28" s="1930"/>
    </row>
    <row r="29" spans="1:57" ht="45" hidden="1" outlineLevel="1" x14ac:dyDescent="0.25">
      <c r="B29" s="223"/>
      <c r="C29" s="181"/>
      <c r="D29" s="4286"/>
      <c r="E29" s="4286"/>
      <c r="F29" s="1004" t="s">
        <v>1603</v>
      </c>
      <c r="G29" s="3216">
        <f>G27*(1+0.284)</f>
        <v>15.2796</v>
      </c>
      <c r="H29" s="3099" t="s">
        <v>1011</v>
      </c>
      <c r="I29" s="3823" t="s">
        <v>1605</v>
      </c>
      <c r="J29" s="3823"/>
      <c r="K29" s="3823"/>
      <c r="L29" s="3823"/>
      <c r="M29" s="223"/>
      <c r="N29" s="151"/>
      <c r="O29" s="151"/>
      <c r="P29" s="151"/>
      <c r="Q29" s="223"/>
      <c r="V29" s="4355"/>
      <c r="W29" s="1196">
        <f>W27*(1+0.284)</f>
        <v>15.2796</v>
      </c>
      <c r="X29" s="1196">
        <f>X27*(1+0.284)</f>
        <v>15.2796</v>
      </c>
      <c r="Y29" s="1196">
        <f>Y27*(1+0.284)</f>
        <v>15.2796</v>
      </c>
      <c r="Z29" s="3216">
        <f t="shared" ref="Z29:AA29" si="13">Z27*(1+0.284)</f>
        <v>15.2796</v>
      </c>
      <c r="AA29" s="3216">
        <f t="shared" si="13"/>
        <v>15.2796</v>
      </c>
      <c r="AB29" s="1196">
        <v>15.2796</v>
      </c>
      <c r="AC29" s="1196">
        <v>15.2796</v>
      </c>
      <c r="AD29" s="1196"/>
      <c r="AE29" s="1196"/>
      <c r="AF29" s="1196"/>
      <c r="AG29" s="1196"/>
      <c r="AH29" s="1930"/>
      <c r="AI29" s="1930"/>
      <c r="AJ29" s="1930"/>
      <c r="AK29" s="1930"/>
      <c r="AL29" s="1930"/>
      <c r="AM29" s="1930"/>
      <c r="AN29" s="1930"/>
      <c r="AO29" s="1930"/>
      <c r="AP29" s="1930"/>
      <c r="AQ29" s="1930"/>
      <c r="AR29" s="1930"/>
      <c r="AS29" s="1930"/>
      <c r="AT29" s="1930"/>
      <c r="AU29" s="1930"/>
      <c r="AV29" s="1930"/>
      <c r="AW29" s="1930"/>
      <c r="AX29" s="1930"/>
      <c r="AY29" s="1930"/>
      <c r="AZ29" s="1930"/>
      <c r="BA29" s="1930"/>
    </row>
    <row r="30" spans="1:57" ht="27" hidden="1" customHeight="1" outlineLevel="1" x14ac:dyDescent="0.25">
      <c r="B30" s="223"/>
      <c r="C30" s="181"/>
      <c r="D30" s="4286"/>
      <c r="E30" s="4286"/>
      <c r="F30" s="1751" t="s">
        <v>2422</v>
      </c>
      <c r="G30" s="3216">
        <f>G27*(1+0.038)</f>
        <v>12.352200000000002</v>
      </c>
      <c r="H30" s="3099" t="s">
        <v>1011</v>
      </c>
      <c r="I30" s="3823" t="s">
        <v>1605</v>
      </c>
      <c r="J30" s="3823"/>
      <c r="K30" s="3823"/>
      <c r="L30" s="3823"/>
      <c r="M30" s="223"/>
      <c r="N30" s="151"/>
      <c r="O30" s="151"/>
      <c r="P30" s="151"/>
      <c r="Q30" s="223"/>
      <c r="V30" s="4355"/>
      <c r="W30" s="1196">
        <f>W27*(1+0.038)</f>
        <v>12.352200000000002</v>
      </c>
      <c r="X30" s="1196">
        <f>X27*(1+0.038)</f>
        <v>12.352200000000002</v>
      </c>
      <c r="Y30" s="1196">
        <f>Y27*(1+0.038)</f>
        <v>12.352200000000002</v>
      </c>
      <c r="Z30" s="3216">
        <f t="shared" ref="Z30:AA30" si="14">Z27*(1+0.038)</f>
        <v>12.352200000000002</v>
      </c>
      <c r="AA30" s="3216">
        <f t="shared" si="14"/>
        <v>12.352200000000002</v>
      </c>
      <c r="AB30" s="1196">
        <v>12.352200000000002</v>
      </c>
      <c r="AC30" s="1196">
        <v>12.352200000000002</v>
      </c>
      <c r="AD30" s="1196"/>
      <c r="AE30" s="1196"/>
      <c r="AF30" s="1196"/>
      <c r="AG30" s="1196"/>
      <c r="AH30" s="1930"/>
      <c r="AI30" s="1930"/>
      <c r="AJ30" s="1930"/>
      <c r="AK30" s="1930"/>
      <c r="AL30" s="1930"/>
      <c r="AM30" s="1930"/>
      <c r="AN30" s="1930"/>
      <c r="AO30" s="1930"/>
      <c r="AP30" s="1930"/>
      <c r="AQ30" s="1930"/>
      <c r="AR30" s="1930"/>
      <c r="AS30" s="1930"/>
      <c r="AT30" s="1930"/>
      <c r="AU30" s="1930"/>
      <c r="AV30" s="1930"/>
      <c r="AW30" s="1930"/>
      <c r="AX30" s="1930"/>
      <c r="AY30" s="1930"/>
      <c r="AZ30" s="1930"/>
      <c r="BA30" s="1930"/>
    </row>
    <row r="31" spans="1:57" hidden="1" outlineLevel="1" x14ac:dyDescent="0.25">
      <c r="B31" s="223"/>
      <c r="C31" s="181"/>
      <c r="D31" s="4286"/>
      <c r="E31" s="4286"/>
      <c r="F31" s="1751" t="s">
        <v>2423</v>
      </c>
      <c r="G31" s="3216">
        <f>G27*(1+0.079)</f>
        <v>12.8401</v>
      </c>
      <c r="H31" s="3099" t="s">
        <v>1011</v>
      </c>
      <c r="I31" s="3823" t="s">
        <v>1605</v>
      </c>
      <c r="J31" s="3823"/>
      <c r="K31" s="3823"/>
      <c r="L31" s="3823"/>
      <c r="M31" s="223"/>
      <c r="N31" s="151"/>
      <c r="O31" s="151"/>
      <c r="P31" s="151"/>
      <c r="Q31" s="223"/>
      <c r="V31" s="4355"/>
      <c r="W31" s="1196">
        <f>W27*(1+0.079)</f>
        <v>12.8401</v>
      </c>
      <c r="X31" s="1196">
        <f>X27*(1+0.079)</f>
        <v>12.8401</v>
      </c>
      <c r="Y31" s="1196">
        <f>Y27*(1+0.079)</f>
        <v>12.8401</v>
      </c>
      <c r="Z31" s="3216">
        <f t="shared" ref="Z31:AA31" si="15">Z27*(1+0.079)</f>
        <v>12.8401</v>
      </c>
      <c r="AA31" s="3216">
        <f t="shared" si="15"/>
        <v>12.8401</v>
      </c>
      <c r="AB31" s="1196">
        <v>12.8401</v>
      </c>
      <c r="AC31" s="1196">
        <v>12.8401</v>
      </c>
      <c r="AD31" s="1196"/>
      <c r="AE31" s="1196"/>
      <c r="AF31" s="1196"/>
      <c r="AG31" s="1196"/>
      <c r="AH31" s="1930"/>
      <c r="AI31" s="1930"/>
      <c r="AJ31" s="1930"/>
      <c r="AK31" s="1930"/>
      <c r="AL31" s="1930"/>
      <c r="AM31" s="1930"/>
      <c r="AN31" s="1930"/>
      <c r="AO31" s="1930"/>
      <c r="AP31" s="1930"/>
      <c r="AQ31" s="1930"/>
      <c r="AR31" s="1930"/>
      <c r="AS31" s="1930"/>
      <c r="AT31" s="1930"/>
      <c r="AU31" s="1930"/>
      <c r="AV31" s="1930"/>
      <c r="AW31" s="1930"/>
      <c r="AX31" s="1930"/>
      <c r="AY31" s="1930"/>
      <c r="AZ31" s="1930"/>
      <c r="BA31" s="1930"/>
    </row>
    <row r="32" spans="1:57" s="1930" customFormat="1" ht="105" hidden="1" outlineLevel="1" x14ac:dyDescent="0.25">
      <c r="A32" s="123"/>
      <c r="B32" s="223"/>
      <c r="C32" s="181"/>
      <c r="D32" s="3822"/>
      <c r="E32" s="3822"/>
      <c r="F32" s="3512" t="s">
        <v>4364</v>
      </c>
      <c r="G32" s="3474">
        <v>13.8</v>
      </c>
      <c r="H32" s="3471" t="s">
        <v>4363</v>
      </c>
      <c r="I32" s="3823"/>
      <c r="J32" s="3823"/>
      <c r="K32" s="3823"/>
      <c r="L32" s="3823"/>
      <c r="M32" s="223"/>
      <c r="N32" s="151"/>
      <c r="O32" s="151"/>
      <c r="P32" s="151"/>
      <c r="Q32" s="223"/>
      <c r="R32" s="123"/>
      <c r="S32" s="123"/>
      <c r="T32" s="123"/>
      <c r="U32" s="123"/>
      <c r="V32" s="4356"/>
      <c r="W32" s="3551"/>
      <c r="X32" s="3551"/>
      <c r="Y32" s="3551"/>
      <c r="Z32" s="3552"/>
      <c r="AA32" s="3552"/>
      <c r="AB32" s="3551"/>
      <c r="AC32" s="3474">
        <f>G32</f>
        <v>13.8</v>
      </c>
      <c r="AD32" s="1196"/>
      <c r="AE32" s="1196"/>
      <c r="AF32" s="1196"/>
      <c r="AG32" s="1196"/>
      <c r="BB32" s="950"/>
    </row>
    <row r="33" spans="1:57" ht="30" hidden="1" outlineLevel="1" x14ac:dyDescent="0.25">
      <c r="B33" s="1752"/>
      <c r="C33" s="1753"/>
      <c r="D33" s="1007">
        <v>1000</v>
      </c>
      <c r="E33" s="1197" t="s">
        <v>1609</v>
      </c>
      <c r="F33" s="3457" t="s">
        <v>4351</v>
      </c>
      <c r="G33" s="1649">
        <v>1000</v>
      </c>
      <c r="H33" s="3089" t="s">
        <v>1610</v>
      </c>
      <c r="I33" s="4236"/>
      <c r="J33" s="4236"/>
      <c r="K33" s="4236"/>
      <c r="L33" s="4236"/>
      <c r="V33" s="3217">
        <f t="shared" si="11"/>
        <v>1000</v>
      </c>
      <c r="W33" s="1195">
        <v>1000</v>
      </c>
      <c r="X33" s="1195">
        <v>1000</v>
      </c>
      <c r="Y33" s="1195">
        <v>1000</v>
      </c>
      <c r="Z33" s="1649">
        <v>1000</v>
      </c>
      <c r="AA33" s="1649">
        <v>1000</v>
      </c>
      <c r="AB33" s="1195">
        <v>1000</v>
      </c>
      <c r="AC33" s="1195">
        <v>1000</v>
      </c>
      <c r="AD33" s="1195"/>
      <c r="AE33" s="1195"/>
      <c r="AF33" s="1195"/>
      <c r="AG33" s="1195"/>
      <c r="AH33" s="1930"/>
      <c r="AI33" s="1930"/>
      <c r="AJ33" s="1930"/>
      <c r="AK33" s="1930"/>
      <c r="AL33" s="1930"/>
      <c r="AM33" s="1930"/>
      <c r="AN33" s="1930"/>
      <c r="AO33" s="1930"/>
      <c r="AP33" s="1930"/>
      <c r="AQ33" s="1930"/>
      <c r="AR33" s="1930"/>
      <c r="AS33" s="1930"/>
      <c r="AT33" s="1930"/>
      <c r="AU33" s="1930"/>
      <c r="AV33" s="1930"/>
      <c r="AW33" s="1930"/>
      <c r="AX33" s="1930"/>
      <c r="AY33" s="1930"/>
      <c r="AZ33" s="1930"/>
      <c r="BA33" s="1930"/>
    </row>
    <row r="34" spans="1:57" s="97" customFormat="1" hidden="1" outlineLevel="1" x14ac:dyDescent="0.25">
      <c r="A34" s="346"/>
      <c r="B34" s="346"/>
      <c r="C34" s="149"/>
      <c r="D34" s="3473" t="str">
        <f>$J$6</f>
        <v>EUL</v>
      </c>
      <c r="E34" s="1197" t="str">
        <f>'HVAC Deemed Table'!E89</f>
        <v>End of Useful Life</v>
      </c>
      <c r="F34" s="3457" t="s">
        <v>135</v>
      </c>
      <c r="G34" s="992">
        <v>2</v>
      </c>
      <c r="H34" s="3089"/>
      <c r="I34" s="4236"/>
      <c r="J34" s="4236"/>
      <c r="K34" s="4236"/>
      <c r="L34" s="4236"/>
      <c r="M34" s="223"/>
      <c r="N34" s="223"/>
      <c r="O34" s="223"/>
      <c r="P34" s="223"/>
      <c r="Q34" s="223"/>
      <c r="R34" s="223"/>
      <c r="S34" s="223"/>
      <c r="T34" s="223"/>
      <c r="U34" s="223"/>
      <c r="V34" s="3091" t="str">
        <f t="shared" si="11"/>
        <v>EUL</v>
      </c>
      <c r="W34" s="361">
        <v>2</v>
      </c>
      <c r="X34" s="361">
        <v>2</v>
      </c>
      <c r="Y34" s="992">
        <v>2</v>
      </c>
      <c r="Z34" s="992">
        <v>2</v>
      </c>
      <c r="AA34" s="992">
        <v>2</v>
      </c>
      <c r="AB34" s="992">
        <v>2</v>
      </c>
      <c r="AC34" s="992">
        <v>2</v>
      </c>
      <c r="AD34" s="363"/>
      <c r="AE34" s="363"/>
      <c r="AF34" s="363"/>
      <c r="AG34" s="363"/>
      <c r="AU34" s="164"/>
      <c r="BB34" s="1002"/>
    </row>
    <row r="35" spans="1:57" s="97" customFormat="1" ht="45" hidden="1" outlineLevel="1" x14ac:dyDescent="0.25">
      <c r="A35" s="346"/>
      <c r="B35" s="346"/>
      <c r="C35" s="149"/>
      <c r="D35" s="4203" t="str">
        <f>$K$6</f>
        <v>Inc. Cost</v>
      </c>
      <c r="E35" s="4402" t="str">
        <f>'HVAC Deemed Table'!E101</f>
        <v>Incremental Cost ($)</v>
      </c>
      <c r="F35" s="1004" t="s">
        <v>4378</v>
      </c>
      <c r="G35" s="345">
        <v>70</v>
      </c>
      <c r="H35" s="3089"/>
      <c r="I35" s="4236"/>
      <c r="J35" s="4236"/>
      <c r="K35" s="4236"/>
      <c r="L35" s="4236"/>
      <c r="M35" s="223"/>
      <c r="N35" s="223"/>
      <c r="O35" s="223"/>
      <c r="P35" s="223"/>
      <c r="Q35" s="223"/>
      <c r="R35" s="223"/>
      <c r="S35" s="223"/>
      <c r="T35" s="223"/>
      <c r="U35" s="223"/>
      <c r="V35" s="4158" t="str">
        <f t="shared" si="11"/>
        <v>Inc. Cost</v>
      </c>
      <c r="W35" s="361">
        <v>70</v>
      </c>
      <c r="X35" s="361">
        <v>70</v>
      </c>
      <c r="Y35" s="345">
        <v>70</v>
      </c>
      <c r="Z35" s="345">
        <v>70</v>
      </c>
      <c r="AA35" s="345">
        <v>70</v>
      </c>
      <c r="AB35" s="345">
        <v>70</v>
      </c>
      <c r="AC35" s="345">
        <v>70</v>
      </c>
      <c r="AD35" s="363"/>
      <c r="AE35" s="363"/>
      <c r="AF35" s="363"/>
      <c r="AG35" s="363"/>
      <c r="AU35" s="164"/>
      <c r="BB35" s="1002"/>
    </row>
    <row r="36" spans="1:57" s="97" customFormat="1" ht="45" hidden="1" outlineLevel="1" x14ac:dyDescent="0.25">
      <c r="A36" s="346"/>
      <c r="B36" s="346"/>
      <c r="C36" s="149"/>
      <c r="D36" s="4203"/>
      <c r="E36" s="4402"/>
      <c r="F36" s="1004" t="s">
        <v>4379</v>
      </c>
      <c r="G36" s="345">
        <v>81</v>
      </c>
      <c r="H36" s="3089"/>
      <c r="I36" s="4236"/>
      <c r="J36" s="4236"/>
      <c r="K36" s="4236"/>
      <c r="L36" s="4236"/>
      <c r="M36" s="223"/>
      <c r="N36" s="223"/>
      <c r="O36" s="223"/>
      <c r="P36" s="223"/>
      <c r="Q36" s="223"/>
      <c r="R36" s="223"/>
      <c r="S36" s="223"/>
      <c r="T36" s="223"/>
      <c r="U36" s="223"/>
      <c r="V36" s="4405"/>
      <c r="W36" s="370">
        <v>81</v>
      </c>
      <c r="X36" s="370">
        <v>81</v>
      </c>
      <c r="Y36" s="345">
        <v>81</v>
      </c>
      <c r="Z36" s="345">
        <v>81</v>
      </c>
      <c r="AA36" s="345">
        <v>81</v>
      </c>
      <c r="AB36" s="345">
        <v>81</v>
      </c>
      <c r="AC36" s="345">
        <v>81</v>
      </c>
      <c r="AD36" s="350"/>
      <c r="AE36" s="350"/>
      <c r="AF36" s="350"/>
      <c r="AG36" s="350"/>
      <c r="AU36" s="164"/>
      <c r="BB36" s="1002"/>
    </row>
    <row r="37" spans="1:57" s="97" customFormat="1" ht="45" hidden="1" outlineLevel="1" x14ac:dyDescent="0.25">
      <c r="A37" s="346"/>
      <c r="B37" s="346"/>
      <c r="C37" s="149"/>
      <c r="D37" s="4203"/>
      <c r="E37" s="4402"/>
      <c r="F37" s="1004" t="s">
        <v>4380</v>
      </c>
      <c r="G37" s="345">
        <v>63</v>
      </c>
      <c r="H37" s="3089"/>
      <c r="I37" s="4236"/>
      <c r="J37" s="4236"/>
      <c r="K37" s="4236"/>
      <c r="L37" s="4236"/>
      <c r="M37" s="223"/>
      <c r="N37" s="223"/>
      <c r="O37" s="223"/>
      <c r="P37" s="223"/>
      <c r="Q37" s="223"/>
      <c r="R37" s="223"/>
      <c r="S37" s="223"/>
      <c r="T37" s="223"/>
      <c r="U37" s="223"/>
      <c r="V37" s="4405"/>
      <c r="W37" s="361">
        <v>63</v>
      </c>
      <c r="X37" s="361">
        <v>63</v>
      </c>
      <c r="Y37" s="345">
        <v>63</v>
      </c>
      <c r="Z37" s="345">
        <v>63</v>
      </c>
      <c r="AA37" s="345">
        <v>63</v>
      </c>
      <c r="AB37" s="345">
        <v>63</v>
      </c>
      <c r="AC37" s="345">
        <v>63</v>
      </c>
      <c r="AD37" s="363"/>
      <c r="AE37" s="363"/>
      <c r="AF37" s="363"/>
      <c r="AG37" s="363"/>
      <c r="AU37" s="164"/>
      <c r="BB37" s="1002"/>
    </row>
    <row r="38" spans="1:57" s="97" customFormat="1" ht="45" hidden="1" outlineLevel="1" x14ac:dyDescent="0.25">
      <c r="A38" s="346"/>
      <c r="B38" s="346"/>
      <c r="C38" s="149"/>
      <c r="D38" s="4203"/>
      <c r="E38" s="4402"/>
      <c r="F38" s="1004" t="s">
        <v>4381</v>
      </c>
      <c r="G38" s="345">
        <v>31</v>
      </c>
      <c r="H38" s="3089"/>
      <c r="I38" s="4236"/>
      <c r="J38" s="4236"/>
      <c r="K38" s="4236"/>
      <c r="L38" s="4236"/>
      <c r="M38" s="223"/>
      <c r="N38" s="223"/>
      <c r="O38" s="223"/>
      <c r="P38" s="223"/>
      <c r="Q38" s="223"/>
      <c r="R38" s="223"/>
      <c r="S38" s="223"/>
      <c r="T38" s="223"/>
      <c r="U38" s="223"/>
      <c r="V38" s="4405"/>
      <c r="W38" s="370">
        <v>31</v>
      </c>
      <c r="X38" s="370">
        <v>31</v>
      </c>
      <c r="Y38" s="345">
        <v>31</v>
      </c>
      <c r="Z38" s="345">
        <v>31</v>
      </c>
      <c r="AA38" s="345">
        <v>31</v>
      </c>
      <c r="AB38" s="345">
        <v>31</v>
      </c>
      <c r="AC38" s="345">
        <v>31</v>
      </c>
      <c r="AD38" s="350"/>
      <c r="AE38" s="350"/>
      <c r="AF38" s="350"/>
      <c r="AG38" s="350"/>
      <c r="AU38" s="164"/>
      <c r="BB38" s="1002"/>
    </row>
    <row r="39" spans="1:57" s="97" customFormat="1" ht="105" hidden="1" outlineLevel="1" x14ac:dyDescent="0.25">
      <c r="A39" s="346"/>
      <c r="B39" s="346"/>
      <c r="C39" s="149"/>
      <c r="D39" s="4203"/>
      <c r="E39" s="4402"/>
      <c r="F39" s="3512" t="s">
        <v>4364</v>
      </c>
      <c r="G39" s="3458">
        <v>185</v>
      </c>
      <c r="H39" s="2719" t="s">
        <v>4385</v>
      </c>
      <c r="I39" s="4236"/>
      <c r="J39" s="4236"/>
      <c r="K39" s="4236"/>
      <c r="L39" s="4236"/>
      <c r="M39" s="223"/>
      <c r="N39" s="223"/>
      <c r="O39" s="223"/>
      <c r="P39" s="223"/>
      <c r="Q39" s="223"/>
      <c r="R39" s="223"/>
      <c r="S39" s="223"/>
      <c r="T39" s="223"/>
      <c r="U39" s="223"/>
      <c r="V39" s="4406"/>
      <c r="W39" s="3551"/>
      <c r="X39" s="3551"/>
      <c r="Y39" s="3551"/>
      <c r="Z39" s="3552"/>
      <c r="AA39" s="3552"/>
      <c r="AB39" s="3551"/>
      <c r="AC39" s="3458">
        <f>G39</f>
        <v>185</v>
      </c>
      <c r="AD39" s="350"/>
      <c r="AE39" s="350"/>
      <c r="AF39" s="350"/>
      <c r="AG39" s="350"/>
      <c r="AU39" s="164"/>
      <c r="BB39" s="1002"/>
    </row>
    <row r="40" spans="1:57" hidden="1" outlineLevel="1" x14ac:dyDescent="0.25">
      <c r="B40" s="1752"/>
      <c r="C40" s="1753"/>
      <c r="D40" s="1198"/>
      <c r="E40" s="1198"/>
      <c r="F40" s="1752"/>
      <c r="G40" s="1752"/>
      <c r="H40" s="1752"/>
      <c r="I40" s="1752"/>
      <c r="J40" s="1752"/>
      <c r="K40" s="1752"/>
      <c r="L40" s="1752"/>
      <c r="V40" s="1930"/>
      <c r="W40" s="1930"/>
      <c r="X40" s="1930"/>
      <c r="Y40" s="1930"/>
      <c r="Z40" s="1930"/>
      <c r="AA40" s="1930"/>
      <c r="AB40" s="1930"/>
      <c r="AC40" s="1930"/>
      <c r="AD40" s="1930"/>
      <c r="AE40" s="1930"/>
      <c r="AF40" s="1930"/>
      <c r="AG40" s="1930"/>
      <c r="AH40" s="1930"/>
      <c r="AI40" s="1930"/>
      <c r="AJ40" s="1930"/>
      <c r="AK40" s="1930"/>
      <c r="AL40" s="1930"/>
      <c r="AM40" s="1930"/>
      <c r="AN40" s="1930"/>
      <c r="AO40" s="1930"/>
      <c r="AP40" s="1930"/>
      <c r="AQ40" s="1930"/>
      <c r="AR40" s="1930"/>
      <c r="AS40" s="1930"/>
      <c r="AT40" s="1930"/>
      <c r="AU40" s="1930"/>
      <c r="AV40" s="1930"/>
      <c r="AW40" s="1930"/>
      <c r="AX40" s="1930"/>
      <c r="AY40" s="1930"/>
      <c r="AZ40" s="1930"/>
      <c r="BA40" s="1930"/>
      <c r="BC40" s="1930"/>
      <c r="BD40" s="1930"/>
      <c r="BE40" s="1930"/>
    </row>
    <row r="41" spans="1:57" collapsed="1" x14ac:dyDescent="0.25">
      <c r="B41" s="1752"/>
      <c r="C41" s="1753"/>
      <c r="D41" s="1198"/>
      <c r="E41" s="1198"/>
      <c r="F41" s="1752"/>
      <c r="G41" s="1752"/>
      <c r="H41" s="1752"/>
      <c r="I41" s="1752"/>
      <c r="J41" s="1752"/>
      <c r="K41" s="1752"/>
      <c r="L41" s="1752"/>
      <c r="V41" s="1930"/>
      <c r="W41" s="1930"/>
      <c r="X41" s="1930"/>
      <c r="Y41" s="1930"/>
      <c r="Z41" s="1930"/>
      <c r="AA41" s="1930"/>
      <c r="AB41" s="1930"/>
      <c r="AC41" s="1930"/>
      <c r="AD41" s="1930"/>
      <c r="AE41" s="1930"/>
      <c r="AF41" s="1930"/>
      <c r="AG41" s="1930"/>
      <c r="AH41" s="1930"/>
      <c r="AI41" s="1930"/>
      <c r="AJ41" s="1930"/>
      <c r="AK41" s="1930"/>
      <c r="AL41" s="1930"/>
      <c r="AM41" s="1930"/>
      <c r="AN41" s="1930"/>
      <c r="AO41" s="1930"/>
      <c r="AP41" s="1930"/>
      <c r="AQ41" s="1930"/>
      <c r="AR41" s="1930"/>
      <c r="AS41" s="1930"/>
      <c r="AT41" s="1930"/>
      <c r="AU41" s="1930"/>
      <c r="AV41" s="1930"/>
      <c r="AW41" s="1930"/>
      <c r="AX41" s="1930"/>
      <c r="AY41" s="1930"/>
      <c r="AZ41" s="1930"/>
      <c r="BA41" s="1930"/>
      <c r="BC41" s="1930"/>
      <c r="BD41" s="1930"/>
      <c r="BE41" s="1930"/>
    </row>
    <row r="42" spans="1:57" s="3515" customFormat="1" x14ac:dyDescent="0.25">
      <c r="B42" s="3808" t="s">
        <v>4370</v>
      </c>
      <c r="C42" s="3809"/>
      <c r="D42" s="3809"/>
      <c r="E42" s="3809"/>
      <c r="F42" s="3809"/>
      <c r="G42" s="3809"/>
      <c r="H42" s="3809"/>
      <c r="I42" s="3809"/>
      <c r="J42" s="3809"/>
      <c r="K42" s="3809"/>
      <c r="L42" s="3809"/>
      <c r="M42" s="3809"/>
      <c r="N42" s="3809"/>
      <c r="O42" s="3809"/>
      <c r="P42" s="3809"/>
      <c r="Q42" s="4403"/>
      <c r="V42" s="3808" t="str">
        <f>B42</f>
        <v>HP Tune-up</v>
      </c>
      <c r="W42" s="3809"/>
      <c r="X42" s="3809"/>
      <c r="Y42" s="3809"/>
      <c r="Z42" s="3809"/>
      <c r="AA42" s="3809"/>
      <c r="AB42" s="3809"/>
      <c r="AC42" s="3810"/>
      <c r="AD42" s="3810"/>
      <c r="AE42" s="3810"/>
      <c r="AF42" s="3810"/>
      <c r="AG42" s="3810"/>
      <c r="AH42" s="3810"/>
      <c r="AI42" s="3811"/>
      <c r="AJ42" s="100"/>
      <c r="BB42" s="3516"/>
    </row>
    <row r="43" spans="1:57" s="100" customFormat="1" ht="18" customHeight="1" x14ac:dyDescent="0.25">
      <c r="B43" s="152"/>
      <c r="C43" s="999"/>
      <c r="D43" s="2984" t="s">
        <v>2404</v>
      </c>
      <c r="E43" s="3517"/>
      <c r="F43" s="152"/>
      <c r="G43" s="152"/>
      <c r="H43" s="152"/>
      <c r="I43" s="152"/>
      <c r="J43" s="152"/>
      <c r="K43" s="152"/>
      <c r="L43" s="152"/>
      <c r="M43" s="152"/>
      <c r="N43" s="152"/>
      <c r="O43" s="152"/>
      <c r="P43" s="152"/>
      <c r="Q43" s="152"/>
      <c r="V43" s="2317"/>
      <c r="W43" s="2317"/>
      <c r="X43" s="2317"/>
      <c r="Y43" s="2317"/>
      <c r="Z43" s="2317"/>
      <c r="AA43" s="2317"/>
      <c r="AB43" s="2317"/>
      <c r="AC43" s="2317"/>
      <c r="AD43" s="2317"/>
      <c r="AE43" s="2317"/>
      <c r="AF43" s="2317"/>
      <c r="AG43" s="2317"/>
      <c r="AH43" s="2317"/>
      <c r="AI43" s="2317"/>
      <c r="BB43" s="3518"/>
    </row>
    <row r="44" spans="1:57" s="100" customFormat="1" ht="30" x14ac:dyDescent="0.25">
      <c r="B44" s="3519"/>
      <c r="C44" s="3034" t="s">
        <v>28</v>
      </c>
      <c r="D44" s="3034" t="s">
        <v>175</v>
      </c>
      <c r="E44" s="3034" t="s">
        <v>30</v>
      </c>
      <c r="F44" s="3034" t="s">
        <v>31</v>
      </c>
      <c r="G44" s="3034" t="s">
        <v>176</v>
      </c>
      <c r="H44" s="3034" t="s">
        <v>177</v>
      </c>
      <c r="I44" s="3034" t="s">
        <v>32</v>
      </c>
      <c r="J44" s="3520" t="s">
        <v>181</v>
      </c>
      <c r="K44" s="3034" t="s">
        <v>170</v>
      </c>
      <c r="L44" s="3034" t="s">
        <v>44</v>
      </c>
      <c r="M44" s="3519"/>
      <c r="N44" s="3519"/>
      <c r="O44" s="3519"/>
      <c r="P44" s="3519"/>
      <c r="Q44" s="3519"/>
      <c r="V44" s="3521" t="s">
        <v>45</v>
      </c>
      <c r="W44" s="2082">
        <v>43252</v>
      </c>
      <c r="X44" s="2082">
        <v>43465</v>
      </c>
      <c r="Y44" s="2082">
        <v>43800</v>
      </c>
      <c r="Z44" s="2082">
        <v>43862</v>
      </c>
      <c r="AA44" s="2082">
        <v>44013</v>
      </c>
      <c r="AB44" s="2082">
        <v>44166</v>
      </c>
      <c r="AC44" s="2082">
        <v>44531</v>
      </c>
      <c r="AD44" s="2082" t="s">
        <v>46</v>
      </c>
      <c r="AE44" s="2082" t="s">
        <v>46</v>
      </c>
      <c r="AF44" s="2082" t="s">
        <v>46</v>
      </c>
      <c r="AG44" s="2082" t="s">
        <v>46</v>
      </c>
      <c r="AH44" s="2317"/>
      <c r="AI44" s="2317"/>
      <c r="BB44" s="3522" t="s">
        <v>47</v>
      </c>
      <c r="BC44" s="3559" t="s">
        <v>48</v>
      </c>
      <c r="BD44" s="3523" t="s">
        <v>49</v>
      </c>
      <c r="BE44" s="3524" t="s">
        <v>50</v>
      </c>
    </row>
    <row r="45" spans="1:57" s="100" customFormat="1" x14ac:dyDescent="0.25">
      <c r="B45" s="3519"/>
      <c r="C45" s="2025" t="s">
        <v>4394</v>
      </c>
      <c r="D45" s="2822" t="s">
        <v>2406</v>
      </c>
      <c r="E45" s="3651" t="s">
        <v>4398</v>
      </c>
      <c r="F45" s="2031">
        <f>G$58*G56*(1/G$59-1/G$60)/G$61</f>
        <v>237.38559042747517</v>
      </c>
      <c r="G45" s="3496" t="s">
        <v>258</v>
      </c>
      <c r="H45" s="2721">
        <f>VLOOKUP(G45,'CP FACTORS'!$A$3:$B$38, 2, FALSE)</f>
        <v>9.4741810000000004E-4</v>
      </c>
      <c r="I45" s="3514">
        <f>F45*H45</f>
        <v>0.22490340505017672</v>
      </c>
      <c r="J45" s="3463">
        <v>2</v>
      </c>
      <c r="K45" s="3458">
        <f>G68</f>
        <v>185</v>
      </c>
      <c r="L45" s="2025" t="s">
        <v>185</v>
      </c>
      <c r="M45" s="3519"/>
      <c r="N45" s="3519"/>
      <c r="O45" s="3519"/>
      <c r="P45" s="3519"/>
      <c r="Q45" s="3519"/>
      <c r="V45" s="1958" t="str">
        <f>F44</f>
        <v>kWh Annual Savings</v>
      </c>
      <c r="W45" s="3551"/>
      <c r="X45" s="3551"/>
      <c r="Y45" s="3551"/>
      <c r="Z45" s="3552"/>
      <c r="AA45" s="3552"/>
      <c r="AB45" s="3551"/>
      <c r="AC45" s="884">
        <v>80.33</v>
      </c>
      <c r="AD45" s="1958"/>
      <c r="AE45" s="1958"/>
      <c r="AF45" s="1958"/>
      <c r="AG45" s="1958"/>
      <c r="AH45" s="2317"/>
      <c r="AI45" s="2317"/>
      <c r="BB45" s="3525">
        <f>(BD45+BD46)/(BE45+BE46)</f>
        <v>0.48015221330851682</v>
      </c>
      <c r="BC45" s="3560" t="str">
        <f t="shared" ref="BC45:BC48" si="16">CONCATENATE(G45," ",J45," Year EUL")</f>
        <v>Cooling RES 2 Year EUL</v>
      </c>
      <c r="BD45" s="3527">
        <f>(INDEX('Avoided Cost Benefits'!$C$4:$C$857,MATCH(BC45,'Avoided Cost Benefits'!$A$4:$A$857,0)))*F45</f>
        <v>40.621633387075633</v>
      </c>
      <c r="BE45" s="3528">
        <f t="shared" ref="BE45" si="17">K45/(1.0595^(2020-2019))</f>
        <v>174.61066540821139</v>
      </c>
    </row>
    <row r="46" spans="1:57" s="100" customFormat="1" x14ac:dyDescent="0.25">
      <c r="B46" s="3519"/>
      <c r="C46" s="2025" t="s">
        <v>4394</v>
      </c>
      <c r="D46" s="2822" t="s">
        <v>2406</v>
      </c>
      <c r="E46" s="3652" t="s">
        <v>4398</v>
      </c>
      <c r="F46" s="2031">
        <f>G$64*G62*(1/G$65-1/G$66)/G$61</f>
        <v>761.38748500881786</v>
      </c>
      <c r="G46" s="3496" t="s">
        <v>259</v>
      </c>
      <c r="H46" s="2721">
        <f>VLOOKUP(G46,'CP FACTORS'!$A$3:$B$38, 2, FALSE)</f>
        <v>0</v>
      </c>
      <c r="I46" s="3514">
        <f t="shared" ref="I46:I48" si="18">F46*H46</f>
        <v>0</v>
      </c>
      <c r="J46" s="3463">
        <v>2</v>
      </c>
      <c r="K46" s="3458">
        <f>G69</f>
        <v>0</v>
      </c>
      <c r="L46" s="2025" t="s">
        <v>185</v>
      </c>
      <c r="M46" s="3519"/>
      <c r="N46" s="3519"/>
      <c r="O46" s="3519"/>
      <c r="P46" s="3519"/>
      <c r="Q46" s="3519"/>
      <c r="V46" s="1958" t="str">
        <f>V45</f>
        <v>kWh Annual Savings</v>
      </c>
      <c r="W46" s="3551"/>
      <c r="X46" s="3551"/>
      <c r="Y46" s="3551"/>
      <c r="Z46" s="3552"/>
      <c r="AA46" s="3552"/>
      <c r="AB46" s="3551"/>
      <c r="AC46" s="884">
        <v>80.33</v>
      </c>
      <c r="AD46" s="1958"/>
      <c r="AE46" s="1958"/>
      <c r="AF46" s="1958"/>
      <c r="AG46" s="1958"/>
      <c r="AH46" s="2317"/>
      <c r="AI46" s="2317"/>
      <c r="BB46" s="978"/>
      <c r="BC46" s="3526" t="str">
        <f t="shared" si="16"/>
        <v>Heating RES 2 Year EUL</v>
      </c>
      <c r="BD46" s="3527">
        <f>(INDEX('Avoided Cost Benefits'!$C$4:$C$857,MATCH(BC46,'Avoided Cost Benefits'!$A$4:$A$857,0)))*F46</f>
        <v>43.218064075949947</v>
      </c>
      <c r="BE46" s="3528">
        <f t="shared" ref="BE46:BE48" si="19">K46/(1.0595^(2020-2019))</f>
        <v>0</v>
      </c>
    </row>
    <row r="47" spans="1:57" s="100" customFormat="1" x14ac:dyDescent="0.25">
      <c r="B47" s="3519"/>
      <c r="C47" s="2025" t="s">
        <v>4395</v>
      </c>
      <c r="D47" s="2822" t="s">
        <v>2409</v>
      </c>
      <c r="E47" s="3651" t="s">
        <v>4399</v>
      </c>
      <c r="F47" s="2031">
        <f>G$58*G57*(1/G$59-1/G$60)/G$61</f>
        <v>172.64406576543647</v>
      </c>
      <c r="G47" s="3496" t="s">
        <v>258</v>
      </c>
      <c r="H47" s="2721">
        <f>VLOOKUP(G47,'CP FACTORS'!$A$3:$B$38, 2, FALSE)</f>
        <v>9.4741810000000004E-4</v>
      </c>
      <c r="I47" s="3514">
        <f t="shared" si="18"/>
        <v>0.16356611276376487</v>
      </c>
      <c r="J47" s="3463">
        <v>2</v>
      </c>
      <c r="K47" s="3458">
        <f>G68</f>
        <v>185</v>
      </c>
      <c r="L47" s="2025" t="s">
        <v>185</v>
      </c>
      <c r="M47" s="3519"/>
      <c r="N47" s="3519"/>
      <c r="O47" s="3519"/>
      <c r="P47" s="3519"/>
      <c r="Q47" s="3519"/>
      <c r="V47" s="1958" t="str">
        <f>V45</f>
        <v>kWh Annual Savings</v>
      </c>
      <c r="W47" s="3551"/>
      <c r="X47" s="3551"/>
      <c r="Y47" s="3551"/>
      <c r="Z47" s="3552"/>
      <c r="AA47" s="3552"/>
      <c r="AB47" s="3551"/>
      <c r="AC47" s="884">
        <v>80.33</v>
      </c>
      <c r="AD47" s="1958"/>
      <c r="AE47" s="1958"/>
      <c r="AF47" s="1958"/>
      <c r="AG47" s="1958"/>
      <c r="AH47" s="2317"/>
      <c r="AI47" s="2317"/>
      <c r="BB47" s="3525">
        <f>(BD47+BD48)/(BE47+BE48)</f>
        <v>0.25357235155804014</v>
      </c>
      <c r="BC47" s="3560" t="str">
        <f t="shared" si="16"/>
        <v>Cooling RES 2 Year EUL</v>
      </c>
      <c r="BD47" s="3527">
        <f>(INDEX('Avoided Cost Benefits'!$C$4:$C$857,MATCH(BC47,'Avoided Cost Benefits'!$A$4:$A$857,0)))*F47</f>
        <v>29.543006099691365</v>
      </c>
      <c r="BE47" s="3528">
        <f t="shared" si="19"/>
        <v>174.61066540821139</v>
      </c>
    </row>
    <row r="48" spans="1:57" s="100" customFormat="1" x14ac:dyDescent="0.25">
      <c r="B48" s="3519"/>
      <c r="C48" s="2025" t="s">
        <v>4395</v>
      </c>
      <c r="D48" s="2822" t="s">
        <v>2409</v>
      </c>
      <c r="E48" s="3652" t="s">
        <v>4400</v>
      </c>
      <c r="F48" s="2031">
        <f>G$64*G63*(1/G$65-1/G$66)/G$61</f>
        <v>259.56391534391526</v>
      </c>
      <c r="G48" s="3496" t="s">
        <v>259</v>
      </c>
      <c r="H48" s="2721">
        <f>VLOOKUP(G48,'CP FACTORS'!$A$3:$B$38, 2, FALSE)</f>
        <v>0</v>
      </c>
      <c r="I48" s="3514">
        <f t="shared" si="18"/>
        <v>0</v>
      </c>
      <c r="J48" s="3463">
        <v>2</v>
      </c>
      <c r="K48" s="3458">
        <f>G69</f>
        <v>0</v>
      </c>
      <c r="L48" s="2025" t="s">
        <v>185</v>
      </c>
      <c r="M48" s="3519"/>
      <c r="N48" s="3519"/>
      <c r="O48" s="3519"/>
      <c r="P48" s="3519"/>
      <c r="Q48" s="3519"/>
      <c r="V48" s="1958" t="str">
        <f>V47</f>
        <v>kWh Annual Savings</v>
      </c>
      <c r="W48" s="3551"/>
      <c r="X48" s="3551"/>
      <c r="Y48" s="3551"/>
      <c r="Z48" s="3552"/>
      <c r="AA48" s="3552"/>
      <c r="AB48" s="3551"/>
      <c r="AC48" s="884">
        <v>80.33</v>
      </c>
      <c r="AD48" s="1958"/>
      <c r="AE48" s="1958"/>
      <c r="AF48" s="1958"/>
      <c r="AG48" s="1958"/>
      <c r="AH48" s="2317"/>
      <c r="AI48" s="2317"/>
      <c r="BB48" s="980"/>
      <c r="BC48" s="3526" t="str">
        <f t="shared" si="16"/>
        <v>Heating RES 2 Year EUL</v>
      </c>
      <c r="BD48" s="3530">
        <f>(INDEX('Avoided Cost Benefits'!$C$4:$C$857,MATCH(BC48,'Avoided Cost Benefits'!$A$4:$A$857,0)))*F48</f>
        <v>14.733430934982941</v>
      </c>
      <c r="BE48" s="3531">
        <f t="shared" si="19"/>
        <v>0</v>
      </c>
    </row>
    <row r="49" spans="2:57" s="152" customFormat="1" x14ac:dyDescent="0.25">
      <c r="C49" s="3532"/>
      <c r="D49" s="3533"/>
      <c r="E49" s="3533"/>
      <c r="F49" s="3533"/>
      <c r="G49" s="3534"/>
      <c r="H49" s="3534"/>
      <c r="I49" s="3534"/>
      <c r="J49" s="3534"/>
      <c r="K49" s="3534"/>
      <c r="L49" s="3534"/>
      <c r="M49" s="3534"/>
      <c r="R49" s="3517"/>
      <c r="Z49" s="3502"/>
      <c r="AA49" s="3502"/>
      <c r="AB49" s="3535"/>
      <c r="AC49" s="3506"/>
      <c r="AD49" s="3529"/>
      <c r="AE49" s="3529"/>
      <c r="AF49" s="3529"/>
      <c r="AG49" s="3529"/>
      <c r="AH49" s="100"/>
      <c r="AI49" s="100"/>
      <c r="AJ49" s="100"/>
      <c r="BB49" s="3536"/>
      <c r="BC49" s="3536"/>
      <c r="BD49" s="3536"/>
      <c r="BE49" s="3536"/>
    </row>
    <row r="50" spans="2:57" s="100" customFormat="1" hidden="1" outlineLevel="1" x14ac:dyDescent="0.25">
      <c r="B50" s="152"/>
      <c r="C50" s="999"/>
      <c r="D50" s="3517"/>
      <c r="E50" s="3517"/>
      <c r="F50" s="3537"/>
      <c r="G50" s="152"/>
      <c r="H50" s="152"/>
      <c r="I50" s="152"/>
      <c r="J50" s="152"/>
      <c r="K50" s="152"/>
      <c r="L50" s="152"/>
      <c r="M50" s="152"/>
      <c r="Q50" s="152"/>
      <c r="BB50" s="3518"/>
      <c r="BC50" s="3518"/>
      <c r="BD50" s="3518"/>
      <c r="BE50" s="3518"/>
    </row>
    <row r="51" spans="2:57" s="100" customFormat="1" hidden="1" outlineLevel="1" x14ac:dyDescent="0.25">
      <c r="B51" s="152"/>
      <c r="C51" s="999"/>
      <c r="D51" s="3538" t="s">
        <v>108</v>
      </c>
      <c r="E51" s="3539"/>
      <c r="F51" s="3540"/>
      <c r="G51" s="152"/>
      <c r="H51" s="152"/>
      <c r="I51" s="152"/>
      <c r="J51" s="152"/>
      <c r="K51" s="152"/>
      <c r="L51" s="152"/>
      <c r="M51" s="152"/>
      <c r="Q51" s="152"/>
      <c r="BB51" s="3518"/>
      <c r="BC51" s="3518"/>
      <c r="BD51" s="3518"/>
      <c r="BE51" s="3518"/>
    </row>
    <row r="52" spans="2:57" s="100" customFormat="1" hidden="1" outlineLevel="1" x14ac:dyDescent="0.25">
      <c r="B52" s="152"/>
      <c r="C52" s="999"/>
      <c r="D52" s="3541"/>
      <c r="E52" s="3542"/>
      <c r="F52" s="3540"/>
      <c r="G52" s="152"/>
      <c r="H52" s="152"/>
      <c r="I52" s="152"/>
      <c r="J52" s="152"/>
      <c r="K52" s="152"/>
      <c r="L52" s="152"/>
      <c r="M52" s="152"/>
      <c r="Q52" s="152"/>
      <c r="BB52" s="3518"/>
      <c r="BC52" s="3518"/>
      <c r="BD52" s="3518"/>
      <c r="BE52" s="3518"/>
    </row>
    <row r="53" spans="2:57" s="100" customFormat="1" hidden="1" outlineLevel="1" x14ac:dyDescent="0.25">
      <c r="B53" s="152"/>
      <c r="C53" s="999"/>
      <c r="D53" s="3541"/>
      <c r="E53" s="3539"/>
      <c r="F53" s="3540"/>
      <c r="G53" s="152"/>
      <c r="H53" s="152"/>
      <c r="I53" s="152"/>
      <c r="J53" s="152"/>
      <c r="K53" s="152"/>
      <c r="L53" s="152"/>
      <c r="M53" s="152"/>
      <c r="N53" s="152"/>
      <c r="O53" s="152"/>
      <c r="P53" s="152"/>
      <c r="Q53" s="152"/>
      <c r="BB53" s="3518"/>
      <c r="BC53" s="3518"/>
      <c r="BD53" s="3518"/>
      <c r="BE53" s="3518"/>
    </row>
    <row r="54" spans="2:57" s="100" customFormat="1" hidden="1" outlineLevel="1" x14ac:dyDescent="0.25">
      <c r="B54" s="152"/>
      <c r="C54" s="999"/>
      <c r="D54" s="3517"/>
      <c r="E54" s="3517"/>
      <c r="F54" s="152"/>
      <c r="G54" s="152"/>
      <c r="H54" s="152"/>
      <c r="I54" s="152"/>
      <c r="J54" s="152"/>
      <c r="K54" s="152"/>
      <c r="L54" s="152"/>
      <c r="M54" s="152"/>
      <c r="N54" s="152"/>
      <c r="O54" s="152"/>
      <c r="P54" s="152"/>
      <c r="Q54" s="152"/>
      <c r="BB54" s="3518"/>
      <c r="BC54" s="3518"/>
      <c r="BD54" s="3518"/>
      <c r="BE54" s="3518"/>
    </row>
    <row r="55" spans="2:57" s="100" customFormat="1" ht="15" hidden="1" customHeight="1" outlineLevel="1" x14ac:dyDescent="0.25">
      <c r="B55" s="3543"/>
      <c r="C55" s="999"/>
      <c r="D55" s="3256" t="s">
        <v>109</v>
      </c>
      <c r="E55" s="3256" t="s">
        <v>110</v>
      </c>
      <c r="F55" s="3256" t="s">
        <v>186</v>
      </c>
      <c r="G55" s="3034" t="s">
        <v>112</v>
      </c>
      <c r="H55" s="4407" t="s">
        <v>4376</v>
      </c>
      <c r="I55" s="4408"/>
      <c r="J55" s="4408"/>
      <c r="K55" s="4408"/>
      <c r="L55" s="4409"/>
      <c r="M55" s="3543"/>
      <c r="N55" s="152"/>
      <c r="O55" s="152"/>
      <c r="P55" s="152"/>
      <c r="Q55" s="3543"/>
      <c r="V55" s="3521" t="s">
        <v>45</v>
      </c>
      <c r="W55" s="2082">
        <f>W$6</f>
        <v>43252</v>
      </c>
      <c r="X55" s="2082">
        <f t="shared" ref="X55:AG55" si="20">X$6</f>
        <v>43465</v>
      </c>
      <c r="Y55" s="2082">
        <f t="shared" si="20"/>
        <v>43800</v>
      </c>
      <c r="Z55" s="2082">
        <f t="shared" si="20"/>
        <v>43862</v>
      </c>
      <c r="AA55" s="2082">
        <f t="shared" si="20"/>
        <v>44013</v>
      </c>
      <c r="AB55" s="2082">
        <f t="shared" si="20"/>
        <v>44166</v>
      </c>
      <c r="AC55" s="2082">
        <f t="shared" si="20"/>
        <v>44531</v>
      </c>
      <c r="AD55" s="2082" t="str">
        <f t="shared" si="20"/>
        <v>-</v>
      </c>
      <c r="AE55" s="2082" t="str">
        <f t="shared" si="20"/>
        <v>-</v>
      </c>
      <c r="AF55" s="2082" t="str">
        <f t="shared" si="20"/>
        <v>-</v>
      </c>
      <c r="AG55" s="2082" t="str">
        <f t="shared" si="20"/>
        <v>-</v>
      </c>
      <c r="BB55" s="3518"/>
      <c r="BC55" s="3518"/>
      <c r="BD55" s="3518"/>
      <c r="BE55" s="3518"/>
    </row>
    <row r="56" spans="2:57" s="100" customFormat="1" ht="30" hidden="1" customHeight="1" outlineLevel="1" x14ac:dyDescent="0.25">
      <c r="B56" s="185"/>
      <c r="C56" s="3544"/>
      <c r="D56" s="4396" t="s">
        <v>4366</v>
      </c>
      <c r="E56" s="4396" t="s">
        <v>1162</v>
      </c>
      <c r="F56" s="3457" t="s">
        <v>315</v>
      </c>
      <c r="G56" s="963">
        <v>869</v>
      </c>
      <c r="H56" s="4293" t="s">
        <v>528</v>
      </c>
      <c r="I56" s="4297"/>
      <c r="J56" s="4297"/>
      <c r="K56" s="4297"/>
      <c r="L56" s="4294"/>
      <c r="M56" s="185"/>
      <c r="N56" s="152"/>
      <c r="O56" s="152"/>
      <c r="P56" s="152"/>
      <c r="Q56" s="185"/>
      <c r="V56" s="4396" t="s">
        <v>4366</v>
      </c>
      <c r="W56" s="3551"/>
      <c r="X56" s="3551"/>
      <c r="Y56" s="3551"/>
      <c r="Z56" s="3552"/>
      <c r="AA56" s="3552"/>
      <c r="AB56" s="3551"/>
      <c r="AC56" s="963">
        <f>G56</f>
        <v>869</v>
      </c>
      <c r="AD56" s="963"/>
      <c r="AE56" s="963"/>
      <c r="AF56" s="963"/>
      <c r="AG56" s="963"/>
      <c r="BB56" s="3518"/>
      <c r="BC56" s="3518"/>
      <c r="BD56" s="3518"/>
      <c r="BE56" s="3518"/>
    </row>
    <row r="57" spans="2:57" s="100" customFormat="1" ht="30" hidden="1" customHeight="1" outlineLevel="1" x14ac:dyDescent="0.25">
      <c r="B57" s="185"/>
      <c r="C57" s="3544"/>
      <c r="D57" s="4404"/>
      <c r="E57" s="4404"/>
      <c r="F57" s="3457" t="s">
        <v>527</v>
      </c>
      <c r="G57" s="963">
        <v>632</v>
      </c>
      <c r="H57" s="4293" t="s">
        <v>528</v>
      </c>
      <c r="I57" s="4297"/>
      <c r="J57" s="4297"/>
      <c r="K57" s="4297"/>
      <c r="L57" s="4294"/>
      <c r="M57" s="185"/>
      <c r="N57" s="152"/>
      <c r="O57" s="152"/>
      <c r="P57" s="152"/>
      <c r="Q57" s="185"/>
      <c r="V57" s="4404"/>
      <c r="W57" s="3551"/>
      <c r="X57" s="3551"/>
      <c r="Y57" s="3551"/>
      <c r="Z57" s="3552"/>
      <c r="AA57" s="3552"/>
      <c r="AB57" s="3551"/>
      <c r="AC57" s="963">
        <f t="shared" ref="AC57:AC68" si="21">G57</f>
        <v>632</v>
      </c>
      <c r="AD57" s="963"/>
      <c r="AE57" s="963"/>
      <c r="AF57" s="963"/>
      <c r="AG57" s="963"/>
      <c r="BB57" s="3518"/>
      <c r="BC57" s="3518"/>
      <c r="BD57" s="3518"/>
      <c r="BE57" s="3518"/>
    </row>
    <row r="58" spans="2:57" s="100" customFormat="1" ht="18" hidden="1" outlineLevel="1" x14ac:dyDescent="0.25">
      <c r="B58" s="185"/>
      <c r="C58" s="3544"/>
      <c r="D58" s="3471" t="s">
        <v>4367</v>
      </c>
      <c r="E58" s="3471" t="s">
        <v>1562</v>
      </c>
      <c r="F58" s="3457" t="s">
        <v>135</v>
      </c>
      <c r="G58" s="963">
        <v>23610.600000000002</v>
      </c>
      <c r="H58" s="4293" t="s">
        <v>4365</v>
      </c>
      <c r="I58" s="4297"/>
      <c r="J58" s="4297"/>
      <c r="K58" s="4297"/>
      <c r="L58" s="4294"/>
      <c r="M58" s="185"/>
      <c r="N58" s="152"/>
      <c r="O58" s="152"/>
      <c r="P58" s="152"/>
      <c r="Q58" s="185"/>
      <c r="V58" s="3471" t="str">
        <f t="shared" ref="V58:V59" si="22">D58</f>
        <v>Capacitycool</v>
      </c>
      <c r="W58" s="3551"/>
      <c r="X58" s="3551"/>
      <c r="Y58" s="3551"/>
      <c r="Z58" s="3552"/>
      <c r="AA58" s="3552"/>
      <c r="AB58" s="3551"/>
      <c r="AC58" s="963">
        <f t="shared" si="21"/>
        <v>23610.600000000002</v>
      </c>
      <c r="AD58" s="963"/>
      <c r="AE58" s="963"/>
      <c r="AF58" s="963"/>
      <c r="AG58" s="963"/>
      <c r="BB58" s="3518"/>
      <c r="BC58" s="3518"/>
      <c r="BD58" s="3518"/>
      <c r="BE58" s="3518"/>
    </row>
    <row r="59" spans="2:57" s="100" customFormat="1" ht="105" hidden="1" customHeight="1" outlineLevel="1" x14ac:dyDescent="0.25">
      <c r="B59" s="185"/>
      <c r="C59" s="3544"/>
      <c r="D59" s="3471" t="s">
        <v>4368</v>
      </c>
      <c r="E59" s="3471" t="s">
        <v>1601</v>
      </c>
      <c r="F59" s="3457" t="s">
        <v>135</v>
      </c>
      <c r="G59" s="3474">
        <v>11.9</v>
      </c>
      <c r="H59" s="4293" t="s">
        <v>4375</v>
      </c>
      <c r="I59" s="4297"/>
      <c r="J59" s="4297"/>
      <c r="K59" s="4297"/>
      <c r="L59" s="4294"/>
      <c r="M59" s="185"/>
      <c r="N59" s="152"/>
      <c r="O59" s="152"/>
      <c r="P59" s="152"/>
      <c r="Q59" s="185"/>
      <c r="V59" s="3471" t="str">
        <f t="shared" si="22"/>
        <v>SEERtest-in</v>
      </c>
      <c r="W59" s="3551"/>
      <c r="X59" s="3551"/>
      <c r="Y59" s="3551"/>
      <c r="Z59" s="3552"/>
      <c r="AA59" s="3552"/>
      <c r="AB59" s="3551"/>
      <c r="AC59" s="3474">
        <f t="shared" si="21"/>
        <v>11.9</v>
      </c>
      <c r="AD59" s="3474"/>
      <c r="AE59" s="3474"/>
      <c r="AF59" s="3474"/>
      <c r="AG59" s="3474"/>
      <c r="BB59" s="3518"/>
      <c r="BC59" s="3518"/>
      <c r="BD59" s="3518"/>
      <c r="BE59" s="3518"/>
    </row>
    <row r="60" spans="2:57" s="100" customFormat="1" ht="45" hidden="1" customHeight="1" outlineLevel="1" x14ac:dyDescent="0.25">
      <c r="B60" s="185"/>
      <c r="C60" s="3544"/>
      <c r="D60" s="3471" t="s">
        <v>4369</v>
      </c>
      <c r="E60" s="3558" t="s">
        <v>1608</v>
      </c>
      <c r="F60" s="3512" t="s">
        <v>4364</v>
      </c>
      <c r="G60" s="3474">
        <v>13.8</v>
      </c>
      <c r="H60" s="4293" t="s">
        <v>4363</v>
      </c>
      <c r="I60" s="4297"/>
      <c r="J60" s="4297"/>
      <c r="K60" s="4297"/>
      <c r="L60" s="4294"/>
      <c r="M60" s="185"/>
      <c r="N60" s="152"/>
      <c r="O60" s="152"/>
      <c r="P60" s="152"/>
      <c r="Q60" s="185"/>
      <c r="V60" s="3471" t="str">
        <f>D60</f>
        <v>SEERtest-out</v>
      </c>
      <c r="W60" s="3551"/>
      <c r="X60" s="3551"/>
      <c r="Y60" s="3551"/>
      <c r="Z60" s="3552"/>
      <c r="AA60" s="3552"/>
      <c r="AB60" s="3551"/>
      <c r="AC60" s="3474">
        <f t="shared" si="21"/>
        <v>13.8</v>
      </c>
      <c r="AD60" s="3474"/>
      <c r="AE60" s="3474"/>
      <c r="AF60" s="3474"/>
      <c r="AG60" s="3474"/>
      <c r="BB60" s="3518"/>
      <c r="BC60" s="3518"/>
      <c r="BD60" s="3518"/>
      <c r="BE60" s="3518"/>
    </row>
    <row r="61" spans="2:57" s="100" customFormat="1" hidden="1" outlineLevel="1" x14ac:dyDescent="0.25">
      <c r="B61" s="2052"/>
      <c r="C61" s="3545"/>
      <c r="D61" s="3546">
        <v>1000</v>
      </c>
      <c r="E61" s="3557" t="s">
        <v>1609</v>
      </c>
      <c r="F61" s="3457" t="s">
        <v>4351</v>
      </c>
      <c r="G61" s="963">
        <v>1000</v>
      </c>
      <c r="H61" s="4384" t="s">
        <v>1610</v>
      </c>
      <c r="I61" s="4385"/>
      <c r="J61" s="4385"/>
      <c r="K61" s="4385"/>
      <c r="L61" s="4386"/>
      <c r="V61" s="3471">
        <f t="shared" ref="V61:V68" si="23">D61</f>
        <v>1000</v>
      </c>
      <c r="W61" s="3551"/>
      <c r="X61" s="3551"/>
      <c r="Y61" s="3551"/>
      <c r="Z61" s="3552"/>
      <c r="AA61" s="3552"/>
      <c r="AB61" s="3551"/>
      <c r="AC61" s="963">
        <f t="shared" si="21"/>
        <v>1000</v>
      </c>
      <c r="AD61" s="963"/>
      <c r="AE61" s="963"/>
      <c r="AF61" s="963"/>
      <c r="AG61" s="963"/>
      <c r="BB61" s="3518"/>
      <c r="BC61" s="3518"/>
      <c r="BD61" s="3518"/>
      <c r="BE61" s="3518"/>
    </row>
    <row r="62" spans="2:57" s="100" customFormat="1" ht="15" hidden="1" customHeight="1" outlineLevel="1" x14ac:dyDescent="0.25">
      <c r="B62" s="2052"/>
      <c r="C62" s="3545"/>
      <c r="D62" s="4398" t="s">
        <v>1104</v>
      </c>
      <c r="E62" s="4400" t="s">
        <v>1151</v>
      </c>
      <c r="F62" s="3457" t="s">
        <v>315</v>
      </c>
      <c r="G62" s="887">
        <v>1496</v>
      </c>
      <c r="H62" s="4384" t="s">
        <v>1558</v>
      </c>
      <c r="I62" s="4385"/>
      <c r="J62" s="4385"/>
      <c r="K62" s="4385"/>
      <c r="L62" s="4386"/>
      <c r="V62" s="4396" t="str">
        <f>D62</f>
        <v>EFLHheat</v>
      </c>
      <c r="W62" s="3551"/>
      <c r="X62" s="3551"/>
      <c r="Y62" s="3551"/>
      <c r="Z62" s="3552"/>
      <c r="AA62" s="3552"/>
      <c r="AB62" s="3551"/>
      <c r="AC62" s="963">
        <f t="shared" si="21"/>
        <v>1496</v>
      </c>
      <c r="AD62" s="963"/>
      <c r="AE62" s="963"/>
      <c r="AF62" s="963"/>
      <c r="AG62" s="963"/>
      <c r="BB62" s="3518"/>
      <c r="BC62" s="3518"/>
      <c r="BD62" s="3518"/>
      <c r="BE62" s="3518"/>
    </row>
    <row r="63" spans="2:57" s="100" customFormat="1" ht="15" hidden="1" customHeight="1" outlineLevel="1" x14ac:dyDescent="0.25">
      <c r="B63" s="2052"/>
      <c r="C63" s="3545"/>
      <c r="D63" s="4399"/>
      <c r="E63" s="4401"/>
      <c r="F63" s="3457" t="s">
        <v>317</v>
      </c>
      <c r="G63" s="887">
        <v>510</v>
      </c>
      <c r="H63" s="4384" t="s">
        <v>1558</v>
      </c>
      <c r="I63" s="4385"/>
      <c r="J63" s="4385"/>
      <c r="K63" s="4385"/>
      <c r="L63" s="4386"/>
      <c r="V63" s="4397"/>
      <c r="W63" s="3551"/>
      <c r="X63" s="3551"/>
      <c r="Y63" s="3551"/>
      <c r="Z63" s="3552"/>
      <c r="AA63" s="3552"/>
      <c r="AB63" s="3551"/>
      <c r="AC63" s="963">
        <f t="shared" si="21"/>
        <v>510</v>
      </c>
      <c r="AD63" s="963"/>
      <c r="AE63" s="963"/>
      <c r="AF63" s="963"/>
      <c r="AG63" s="963"/>
      <c r="BB63" s="3518"/>
      <c r="BC63" s="3518"/>
      <c r="BD63" s="3518"/>
      <c r="BE63" s="3518"/>
    </row>
    <row r="64" spans="2:57" s="100" customFormat="1" hidden="1" outlineLevel="1" x14ac:dyDescent="0.25">
      <c r="B64" s="2052"/>
      <c r="C64" s="3545"/>
      <c r="D64" s="3471" t="s">
        <v>1079</v>
      </c>
      <c r="E64" s="3557" t="s">
        <v>1148</v>
      </c>
      <c r="F64" s="3457" t="s">
        <v>322</v>
      </c>
      <c r="G64" s="963">
        <f>G58</f>
        <v>23610.600000000002</v>
      </c>
      <c r="H64" s="4384" t="s">
        <v>4374</v>
      </c>
      <c r="I64" s="4385"/>
      <c r="J64" s="4385"/>
      <c r="K64" s="4385"/>
      <c r="L64" s="4386"/>
      <c r="V64" s="3471" t="str">
        <f>D64</f>
        <v>Capacityheat</v>
      </c>
      <c r="W64" s="3551"/>
      <c r="X64" s="3551"/>
      <c r="Y64" s="3551"/>
      <c r="Z64" s="3552"/>
      <c r="AA64" s="3552"/>
      <c r="AB64" s="3551"/>
      <c r="AC64" s="963">
        <f t="shared" si="21"/>
        <v>23610.600000000002</v>
      </c>
      <c r="AD64" s="963"/>
      <c r="AE64" s="963"/>
      <c r="AF64" s="963"/>
      <c r="AG64" s="963"/>
      <c r="BB64" s="3518"/>
      <c r="BC64" s="3518"/>
      <c r="BD64" s="3518"/>
      <c r="BE64" s="3518"/>
    </row>
    <row r="65" spans="1:57" s="100" customFormat="1" ht="31.5" hidden="1" customHeight="1" outlineLevel="1" x14ac:dyDescent="0.25">
      <c r="B65" s="2052"/>
      <c r="C65" s="3545"/>
      <c r="D65" s="3471" t="s">
        <v>4371</v>
      </c>
      <c r="E65" s="3557" t="s">
        <v>1916</v>
      </c>
      <c r="F65" s="3457" t="s">
        <v>4364</v>
      </c>
      <c r="G65" s="191">
        <v>6.3</v>
      </c>
      <c r="H65" s="4384" t="s">
        <v>1917</v>
      </c>
      <c r="I65" s="4385"/>
      <c r="J65" s="4385"/>
      <c r="K65" s="4385"/>
      <c r="L65" s="4386"/>
      <c r="V65" s="3471" t="str">
        <f>D65</f>
        <v>HSPFtest-in</v>
      </c>
      <c r="W65" s="3551"/>
      <c r="X65" s="3551"/>
      <c r="Y65" s="3551"/>
      <c r="Z65" s="3552"/>
      <c r="AA65" s="3552"/>
      <c r="AB65" s="3551"/>
      <c r="AC65" s="191">
        <f t="shared" si="21"/>
        <v>6.3</v>
      </c>
      <c r="AD65" s="963"/>
      <c r="AE65" s="963"/>
      <c r="AF65" s="963"/>
      <c r="AG65" s="963"/>
      <c r="BB65" s="3518"/>
      <c r="BC65" s="3518"/>
      <c r="BD65" s="3518"/>
      <c r="BE65" s="3518"/>
    </row>
    <row r="66" spans="1:57" s="100" customFormat="1" ht="31.5" hidden="1" customHeight="1" outlineLevel="1" x14ac:dyDescent="0.25">
      <c r="B66" s="2052"/>
      <c r="C66" s="3545"/>
      <c r="D66" s="3471" t="s">
        <v>4372</v>
      </c>
      <c r="E66" s="3557" t="s">
        <v>4373</v>
      </c>
      <c r="F66" s="3457" t="s">
        <v>4364</v>
      </c>
      <c r="G66" s="191">
        <v>7.29</v>
      </c>
      <c r="H66" s="4384" t="s">
        <v>4363</v>
      </c>
      <c r="I66" s="4385"/>
      <c r="J66" s="4385"/>
      <c r="K66" s="4385"/>
      <c r="L66" s="4386"/>
      <c r="V66" s="3471" t="str">
        <f>D66</f>
        <v>HSPFtest-out</v>
      </c>
      <c r="W66" s="3551"/>
      <c r="X66" s="3551"/>
      <c r="Y66" s="3551"/>
      <c r="Z66" s="3552"/>
      <c r="AA66" s="3552"/>
      <c r="AB66" s="3551"/>
      <c r="AC66" s="191">
        <f t="shared" si="21"/>
        <v>7.29</v>
      </c>
      <c r="AD66" s="963"/>
      <c r="AE66" s="963"/>
      <c r="AF66" s="963"/>
      <c r="AG66" s="963"/>
      <c r="BB66" s="3518"/>
      <c r="BC66" s="3518"/>
      <c r="BD66" s="3518"/>
      <c r="BE66" s="3518"/>
    </row>
    <row r="67" spans="1:57" s="185" customFormat="1" ht="31.5" hidden="1" customHeight="1" outlineLevel="1" x14ac:dyDescent="0.25">
      <c r="A67" s="3547"/>
      <c r="B67" s="3547"/>
      <c r="C67" s="999"/>
      <c r="D67" s="3548" t="str">
        <f>$J$6</f>
        <v>EUL</v>
      </c>
      <c r="E67" s="3557" t="s">
        <v>167</v>
      </c>
      <c r="F67" s="3457" t="s">
        <v>135</v>
      </c>
      <c r="G67" s="3463">
        <v>2</v>
      </c>
      <c r="H67" s="4384" t="s">
        <v>1906</v>
      </c>
      <c r="I67" s="4385"/>
      <c r="J67" s="4385"/>
      <c r="K67" s="4385"/>
      <c r="L67" s="4386"/>
      <c r="V67" s="3468" t="str">
        <f t="shared" si="23"/>
        <v>EUL</v>
      </c>
      <c r="W67" s="3551"/>
      <c r="X67" s="3551"/>
      <c r="Y67" s="3551"/>
      <c r="Z67" s="3552"/>
      <c r="AA67" s="3552"/>
      <c r="AB67" s="3551"/>
      <c r="AC67" s="191">
        <f t="shared" si="21"/>
        <v>2</v>
      </c>
      <c r="AD67" s="362"/>
      <c r="AE67" s="362"/>
      <c r="AF67" s="362"/>
      <c r="AG67" s="362"/>
      <c r="AU67" s="2355"/>
      <c r="BB67" s="3549"/>
      <c r="BC67" s="3549"/>
      <c r="BD67" s="3549"/>
      <c r="BE67" s="3549"/>
    </row>
    <row r="68" spans="1:57" s="185" customFormat="1" ht="31.5" hidden="1" customHeight="1" outlineLevel="1" x14ac:dyDescent="0.25">
      <c r="A68" s="3547"/>
      <c r="B68" s="3547"/>
      <c r="C68" s="999"/>
      <c r="D68" s="3556" t="s">
        <v>170</v>
      </c>
      <c r="E68" s="3557" t="s">
        <v>543</v>
      </c>
      <c r="F68" s="3512" t="s">
        <v>4364</v>
      </c>
      <c r="G68" s="3458">
        <f>G39</f>
        <v>185</v>
      </c>
      <c r="H68" s="4384" t="s">
        <v>4385</v>
      </c>
      <c r="I68" s="4385"/>
      <c r="J68" s="4385"/>
      <c r="K68" s="4385"/>
      <c r="L68" s="4386"/>
      <c r="V68" s="3468" t="str">
        <f t="shared" si="23"/>
        <v>Inc. Cost</v>
      </c>
      <c r="W68" s="3551"/>
      <c r="X68" s="3551"/>
      <c r="Y68" s="3551"/>
      <c r="Z68" s="3552"/>
      <c r="AA68" s="3552"/>
      <c r="AB68" s="3551"/>
      <c r="AC68" s="963">
        <f t="shared" si="21"/>
        <v>185</v>
      </c>
      <c r="AD68" s="362"/>
      <c r="AE68" s="362"/>
      <c r="AF68" s="362"/>
      <c r="AG68" s="362"/>
      <c r="AU68" s="2355"/>
      <c r="BB68" s="3549"/>
      <c r="BC68" s="3549"/>
      <c r="BD68" s="3549"/>
      <c r="BE68" s="3549"/>
    </row>
    <row r="69" spans="1:57" s="100" customFormat="1" hidden="1" outlineLevel="1" x14ac:dyDescent="0.25">
      <c r="B69" s="2052"/>
      <c r="C69" s="3545"/>
      <c r="D69" s="3550"/>
      <c r="E69" s="3550"/>
      <c r="F69" s="2052"/>
      <c r="G69" s="2052"/>
      <c r="H69" s="2052"/>
      <c r="I69" s="2052"/>
      <c r="J69" s="2052"/>
      <c r="K69" s="2052"/>
      <c r="L69" s="2052"/>
      <c r="BB69" s="3518"/>
      <c r="BC69" s="3518"/>
      <c r="BD69" s="3518"/>
      <c r="BE69" s="3518"/>
    </row>
    <row r="70" spans="1:57" s="100" customFormat="1" collapsed="1" x14ac:dyDescent="0.25">
      <c r="B70" s="2052"/>
      <c r="C70" s="3545"/>
      <c r="D70" s="3550"/>
      <c r="E70" s="3550"/>
      <c r="F70" s="2052"/>
      <c r="G70" s="2052"/>
      <c r="H70" s="2052"/>
      <c r="I70" s="2052"/>
      <c r="J70" s="2052"/>
      <c r="K70" s="2052"/>
      <c r="L70" s="2052"/>
      <c r="BB70" s="3518"/>
    </row>
    <row r="71" spans="1:57" x14ac:dyDescent="0.25">
      <c r="B71" s="3750" t="s">
        <v>1643</v>
      </c>
      <c r="C71" s="3751"/>
      <c r="D71" s="3751"/>
      <c r="E71" s="3751"/>
      <c r="F71" s="3751"/>
      <c r="G71" s="3751"/>
      <c r="H71" s="3751"/>
      <c r="I71" s="3744"/>
      <c r="J71" s="3744"/>
      <c r="K71" s="3744"/>
      <c r="L71" s="3744"/>
      <c r="M71" s="3744"/>
      <c r="N71" s="3744"/>
      <c r="O71" s="3744"/>
      <c r="P71" s="3744"/>
      <c r="Q71" s="3745"/>
      <c r="V71" s="3750" t="str">
        <f>B71</f>
        <v>Ceiling Insulation</v>
      </c>
      <c r="W71" s="3751"/>
      <c r="X71" s="3751"/>
      <c r="Y71" s="3751"/>
      <c r="Z71" s="3751"/>
      <c r="AA71" s="3751"/>
      <c r="AB71" s="3751"/>
      <c r="AC71" s="3752"/>
      <c r="AD71" s="3752"/>
      <c r="AE71" s="3752"/>
      <c r="AF71" s="3752"/>
      <c r="AG71" s="3752"/>
      <c r="AH71" s="3752"/>
      <c r="AI71" s="3753"/>
      <c r="AJ71" s="1930"/>
      <c r="AK71" s="1930"/>
      <c r="AL71" s="1930"/>
      <c r="AM71" s="1930"/>
      <c r="AN71" s="1930"/>
      <c r="AO71" s="1930"/>
      <c r="AP71" s="1930"/>
      <c r="AQ71" s="1930"/>
      <c r="AR71" s="1930"/>
      <c r="AS71" s="1930"/>
      <c r="AT71" s="1930"/>
      <c r="AU71" s="1930"/>
      <c r="AV71" s="1930"/>
      <c r="AW71" s="1930"/>
      <c r="AX71" s="1930"/>
      <c r="AY71" s="1930"/>
      <c r="AZ71" s="1930"/>
      <c r="BA71" s="1930"/>
      <c r="BC71" s="1930"/>
      <c r="BD71" s="1930"/>
      <c r="BE71" s="1930"/>
    </row>
    <row r="72" spans="1:57" x14ac:dyDescent="0.25">
      <c r="B72" s="1459"/>
      <c r="C72" s="225"/>
      <c r="D72" s="419"/>
      <c r="E72" s="419"/>
      <c r="F72" s="226"/>
      <c r="G72" s="226"/>
      <c r="H72" s="226"/>
      <c r="I72" s="226"/>
      <c r="J72" s="226"/>
      <c r="K72" s="226"/>
      <c r="L72" s="1438"/>
      <c r="M72" s="249"/>
      <c r="N72" s="249"/>
      <c r="O72" s="249"/>
      <c r="P72" s="249"/>
      <c r="Q72" s="249"/>
      <c r="V72" s="1930"/>
      <c r="W72" s="1930"/>
      <c r="X72" s="1930"/>
      <c r="Y72" s="1930"/>
      <c r="Z72" s="1930"/>
      <c r="AA72" s="1930"/>
      <c r="AB72" s="1930"/>
      <c r="AC72" s="1930"/>
      <c r="AD72" s="1930"/>
      <c r="AE72" s="1930"/>
      <c r="AF72" s="1930"/>
      <c r="AG72" s="1930"/>
      <c r="AH72" s="1930"/>
      <c r="AI72" s="1930"/>
      <c r="AJ72" s="1930"/>
      <c r="AK72" s="1930"/>
      <c r="AL72" s="1930"/>
      <c r="AM72" s="1930"/>
      <c r="AN72" s="1930"/>
      <c r="AO72" s="1930"/>
      <c r="AP72" s="1930"/>
      <c r="AQ72" s="1930"/>
      <c r="AR72" s="1930"/>
      <c r="AS72" s="1930"/>
      <c r="AT72" s="1930"/>
      <c r="AU72" s="1930"/>
      <c r="AV72" s="1930"/>
      <c r="AW72" s="1930"/>
      <c r="AX72" s="1930"/>
      <c r="AY72" s="1930"/>
      <c r="AZ72" s="1930"/>
      <c r="BA72" s="1930"/>
      <c r="BC72" s="1930"/>
      <c r="BD72" s="1930"/>
      <c r="BE72" s="1930"/>
    </row>
    <row r="73" spans="1:57" ht="45" x14ac:dyDescent="0.25">
      <c r="B73" s="1233"/>
      <c r="C73" s="3086" t="s">
        <v>28</v>
      </c>
      <c r="D73" s="3086" t="s">
        <v>175</v>
      </c>
      <c r="E73" s="3086" t="s">
        <v>30</v>
      </c>
      <c r="F73" s="3086" t="s">
        <v>31</v>
      </c>
      <c r="G73" s="3086" t="s">
        <v>176</v>
      </c>
      <c r="H73" s="3086" t="s">
        <v>177</v>
      </c>
      <c r="I73" s="3086" t="s">
        <v>506</v>
      </c>
      <c r="J73" s="3086" t="s">
        <v>507</v>
      </c>
      <c r="K73" s="3086" t="s">
        <v>32</v>
      </c>
      <c r="L73" s="3140" t="s">
        <v>181</v>
      </c>
      <c r="M73" s="3086" t="s">
        <v>170</v>
      </c>
      <c r="N73" s="3086" t="s">
        <v>1644</v>
      </c>
      <c r="V73" s="1936" t="s">
        <v>45</v>
      </c>
      <c r="W73" s="1937">
        <f>W$6</f>
        <v>43252</v>
      </c>
      <c r="X73" s="1937">
        <f t="shared" ref="X73:AG73" si="24">X$6</f>
        <v>43465</v>
      </c>
      <c r="Y73" s="1937">
        <f t="shared" si="24"/>
        <v>43800</v>
      </c>
      <c r="Z73" s="1937">
        <f t="shared" si="24"/>
        <v>43862</v>
      </c>
      <c r="AA73" s="1937">
        <f t="shared" si="24"/>
        <v>44013</v>
      </c>
      <c r="AB73" s="1937">
        <f t="shared" si="24"/>
        <v>44166</v>
      </c>
      <c r="AC73" s="1937">
        <f t="shared" si="24"/>
        <v>44531</v>
      </c>
      <c r="AD73" s="1937" t="str">
        <f t="shared" si="24"/>
        <v>-</v>
      </c>
      <c r="AE73" s="1937" t="str">
        <f t="shared" si="24"/>
        <v>-</v>
      </c>
      <c r="AF73" s="1937" t="str">
        <f t="shared" si="24"/>
        <v>-</v>
      </c>
      <c r="AG73" s="1937" t="str">
        <f t="shared" si="24"/>
        <v>-</v>
      </c>
      <c r="AH73" s="1930"/>
      <c r="AI73" s="1930"/>
      <c r="AJ73" s="1930"/>
      <c r="AK73" s="1930"/>
      <c r="AL73" s="1930"/>
      <c r="AM73" s="1930"/>
      <c r="AN73" s="1930"/>
      <c r="AO73" s="1930"/>
      <c r="AP73" s="1930"/>
      <c r="AQ73" s="1930"/>
      <c r="AR73" s="1930"/>
      <c r="AS73" s="1930"/>
      <c r="AT73" s="1930"/>
      <c r="AU73" s="1930"/>
      <c r="AV73" s="1930"/>
      <c r="AW73" s="1930"/>
      <c r="AX73" s="1930"/>
      <c r="AY73" s="1930"/>
      <c r="AZ73" s="1930"/>
      <c r="BA73" s="1930"/>
      <c r="BB73" s="1938" t="str">
        <f>$BB$6</f>
        <v>TRC (2020)</v>
      </c>
      <c r="BC73" s="1953" t="str">
        <f>$BC$6</f>
        <v>Benefit Lookup</v>
      </c>
      <c r="BD73" s="665" t="str">
        <f>$BD$6</f>
        <v>Benefits (2019 $)</v>
      </c>
      <c r="BE73" s="230" t="str">
        <f>$BE$6</f>
        <v>Incremental Cost (2019 $)</v>
      </c>
    </row>
    <row r="74" spans="1:57" x14ac:dyDescent="0.25">
      <c r="B74" s="1233"/>
      <c r="C74" s="3176" t="s">
        <v>2424</v>
      </c>
      <c r="D74" s="2667" t="s">
        <v>2406</v>
      </c>
      <c r="E74" s="3166" t="s">
        <v>2425</v>
      </c>
      <c r="F74" s="579">
        <f>ROUND(I74+J74,2)</f>
        <v>1.06</v>
      </c>
      <c r="G74" s="2667" t="s">
        <v>1615</v>
      </c>
      <c r="H74" s="155">
        <f>VLOOKUP(G74,'CP FACTORS'!$A$3:$B$38, 2, FALSE)</f>
        <v>4.6608050000000002E-4</v>
      </c>
      <c r="I74" s="979">
        <f t="shared" ref="I74:I83" si="25">F94*(1/(F104+5)-1/(F114+5))*F124*(1-F$134)*F$135*24*F$136/(F137*3412)+(F147*F$157*29.3)</f>
        <v>0.95509376709652194</v>
      </c>
      <c r="J74" s="1460">
        <f t="shared" ref="J74:J83" si="26">F160*(1/(F104+5)-1/(F114+5))*F124*(1-F$134)*F$158*24*F$159/(F170*1000)</f>
        <v>0.10025449318181817</v>
      </c>
      <c r="K74" s="893">
        <f>ROUND(H74*F74,6)</f>
        <v>4.9399999999999997E-4</v>
      </c>
      <c r="L74" s="979">
        <f t="shared" ref="L74:L83" si="27">$F$180</f>
        <v>25</v>
      </c>
      <c r="M74" s="1199">
        <f t="shared" ref="M74:M83" si="28">F181</f>
        <v>2.1249043458397581</v>
      </c>
      <c r="N74" s="979">
        <f t="shared" ref="N74:N83" si="29">F124</f>
        <v>1</v>
      </c>
      <c r="V74" s="160" t="str">
        <f>F73</f>
        <v>kWh Annual Savings</v>
      </c>
      <c r="W74" s="649">
        <v>924.01016928670083</v>
      </c>
      <c r="X74" s="1109">
        <v>924.01016928670083</v>
      </c>
      <c r="Y74" s="1797">
        <v>1.06</v>
      </c>
      <c r="Z74" s="1200">
        <v>1.06</v>
      </c>
      <c r="AA74" s="1200">
        <v>1.06</v>
      </c>
      <c r="AB74" s="2231">
        <v>1.06</v>
      </c>
      <c r="AC74" s="579">
        <v>1.06</v>
      </c>
      <c r="AD74" s="160"/>
      <c r="AE74" s="160"/>
      <c r="AF74" s="160"/>
      <c r="AG74" s="160"/>
      <c r="AH74" s="1930"/>
      <c r="AI74" s="1930"/>
      <c r="AJ74" s="1930"/>
      <c r="AK74" s="1930"/>
      <c r="AL74" s="1930"/>
      <c r="AM74" s="1930"/>
      <c r="AN74" s="1930"/>
      <c r="AO74" s="1930"/>
      <c r="AP74" s="1930"/>
      <c r="AQ74" s="1930"/>
      <c r="AR74" s="1930"/>
      <c r="AS74" s="1930"/>
      <c r="AT74" s="1930"/>
      <c r="AU74" s="1930"/>
      <c r="AV74" s="1930"/>
      <c r="AW74" s="1930"/>
      <c r="AX74" s="1930"/>
      <c r="AY74" s="1930"/>
      <c r="AZ74" s="1930"/>
      <c r="BA74" s="1930"/>
      <c r="BB74" s="1945">
        <f t="shared" ref="BB74:BB83" si="30">(BD74)/(BE74)</f>
        <v>0.73564454661671597</v>
      </c>
      <c r="BC74" s="3166" t="str">
        <f>CONCATENATE(G74," ",L74," Year EUL")</f>
        <v>Building Shell RES 25 Year EUL</v>
      </c>
      <c r="BD74" s="111">
        <f>(INDEX('Avoided Cost Benefits'!$C$4:$C$857,MATCH(BC74,'Avoided Cost Benefits'!$A$4:$A$857,0)))*F74</f>
        <v>1.4753886683333441</v>
      </c>
      <c r="BE74" s="1946">
        <f>M74/(1.0595^(2020-2019))</f>
        <v>2.0055727662480018</v>
      </c>
    </row>
    <row r="75" spans="1:57" x14ac:dyDescent="0.25">
      <c r="B75" s="1233"/>
      <c r="C75" s="3176" t="s">
        <v>2426</v>
      </c>
      <c r="D75" s="2667" t="s">
        <v>2406</v>
      </c>
      <c r="E75" s="3166" t="s">
        <v>2427</v>
      </c>
      <c r="F75" s="579">
        <f t="shared" ref="F75:F83" si="31">ROUND(I75+J75,2)</f>
        <v>0.53</v>
      </c>
      <c r="G75" s="2667" t="s">
        <v>1615</v>
      </c>
      <c r="H75" s="155">
        <f>VLOOKUP(G75,'CP FACTORS'!$A$3:$B$38, 2, FALSE)</f>
        <v>4.6608050000000002E-4</v>
      </c>
      <c r="I75" s="979">
        <f t="shared" si="25"/>
        <v>0.42227362172751165</v>
      </c>
      <c r="J75" s="1460">
        <f t="shared" si="26"/>
        <v>0.11016977272727271</v>
      </c>
      <c r="K75" s="893">
        <f t="shared" ref="K75:K83" si="32">ROUND(H75*F75,6)</f>
        <v>2.4699999999999999E-4</v>
      </c>
      <c r="L75" s="979">
        <f t="shared" si="27"/>
        <v>25</v>
      </c>
      <c r="M75" s="1199">
        <f t="shared" si="28"/>
        <v>2.1249043458397581</v>
      </c>
      <c r="N75" s="979">
        <f t="shared" si="29"/>
        <v>1</v>
      </c>
      <c r="V75" s="160" t="str">
        <f>V74</f>
        <v>kWh Annual Savings</v>
      </c>
      <c r="W75" s="649">
        <v>466.18081401488644</v>
      </c>
      <c r="X75" s="1109">
        <v>466.18081401488644</v>
      </c>
      <c r="Y75" s="1797">
        <v>0.53</v>
      </c>
      <c r="Z75" s="1200">
        <v>0.53</v>
      </c>
      <c r="AA75" s="1200">
        <v>0.53</v>
      </c>
      <c r="AB75" s="2231">
        <v>0.53</v>
      </c>
      <c r="AC75" s="579">
        <v>0.53</v>
      </c>
      <c r="AD75" s="160"/>
      <c r="AE75" s="160"/>
      <c r="AF75" s="160"/>
      <c r="AG75" s="160"/>
      <c r="AH75" s="1930"/>
      <c r="AI75" s="1930"/>
      <c r="AJ75" s="1930"/>
      <c r="AK75" s="1930"/>
      <c r="AL75" s="1930"/>
      <c r="AM75" s="1930"/>
      <c r="AN75" s="1930"/>
      <c r="AO75" s="1930"/>
      <c r="AP75" s="1930"/>
      <c r="AQ75" s="1930"/>
      <c r="AR75" s="1930"/>
      <c r="AS75" s="1930"/>
      <c r="AT75" s="1930"/>
      <c r="AU75" s="1930"/>
      <c r="AV75" s="1930"/>
      <c r="AW75" s="1930"/>
      <c r="AX75" s="1930"/>
      <c r="AY75" s="1930"/>
      <c r="AZ75" s="1930"/>
      <c r="BA75" s="1930"/>
      <c r="BB75" s="52">
        <f t="shared" si="30"/>
        <v>0.36782227330835798</v>
      </c>
      <c r="BC75" s="1948" t="str">
        <f t="shared" ref="BC75:BC83" si="33">CONCATENATE(G75," ",L75," Year EUL")</f>
        <v>Building Shell RES 25 Year EUL</v>
      </c>
      <c r="BD75" s="114">
        <f>(INDEX('Avoided Cost Benefits'!$C$4:$C$857,MATCH(BC75,'Avoided Cost Benefits'!$A$4:$A$857,0)))*F75</f>
        <v>0.73769433416667207</v>
      </c>
      <c r="BE75" s="1949">
        <f t="shared" ref="BE75:BE83" si="34">M75/(1.0595^(2020-2019))</f>
        <v>2.0055727662480018</v>
      </c>
    </row>
    <row r="76" spans="1:57" x14ac:dyDescent="0.25">
      <c r="B76" s="1233"/>
      <c r="C76" s="3176" t="s">
        <v>2428</v>
      </c>
      <c r="D76" s="2667" t="s">
        <v>2406</v>
      </c>
      <c r="E76" s="3166" t="s">
        <v>2429</v>
      </c>
      <c r="F76" s="579">
        <f t="shared" si="31"/>
        <v>1.71</v>
      </c>
      <c r="G76" s="2667" t="s">
        <v>1615</v>
      </c>
      <c r="H76" s="155">
        <f>VLOOKUP(G76,'CP FACTORS'!$A$3:$B$38, 2, FALSE)</f>
        <v>4.6608050000000002E-4</v>
      </c>
      <c r="I76" s="979">
        <f t="shared" si="25"/>
        <v>1.5511297270139006</v>
      </c>
      <c r="J76" s="1460">
        <f t="shared" si="26"/>
        <v>0.1628193272727273</v>
      </c>
      <c r="K76" s="893">
        <f t="shared" si="32"/>
        <v>7.9699999999999997E-4</v>
      </c>
      <c r="L76" s="979">
        <f t="shared" si="27"/>
        <v>25</v>
      </c>
      <c r="M76" s="1199">
        <f t="shared" si="28"/>
        <v>1.1631103074141049</v>
      </c>
      <c r="N76" s="979">
        <f t="shared" si="29"/>
        <v>1</v>
      </c>
      <c r="V76" s="160" t="str">
        <f t="shared" ref="V76:V83" si="35">V75</f>
        <v>kWh Annual Savings</v>
      </c>
      <c r="W76" s="649">
        <v>1232.157975126657</v>
      </c>
      <c r="X76" s="1109">
        <v>1232.157975126657</v>
      </c>
      <c r="Y76" s="1797">
        <v>1.71</v>
      </c>
      <c r="Z76" s="1200">
        <v>1.71</v>
      </c>
      <c r="AA76" s="1200">
        <v>1.71</v>
      </c>
      <c r="AB76" s="2231">
        <v>1.71</v>
      </c>
      <c r="AC76" s="579">
        <v>1.71</v>
      </c>
      <c r="AD76" s="160"/>
      <c r="AE76" s="160"/>
      <c r="AF76" s="160"/>
      <c r="AG76" s="160"/>
      <c r="AH76" s="1930"/>
      <c r="AI76" s="1930"/>
      <c r="AJ76" s="1930"/>
      <c r="AK76" s="1930"/>
      <c r="AL76" s="1930"/>
      <c r="AM76" s="1930"/>
      <c r="AN76" s="1930"/>
      <c r="AO76" s="1930"/>
      <c r="AP76" s="1930"/>
      <c r="AQ76" s="1930"/>
      <c r="AR76" s="1930"/>
      <c r="AS76" s="1930"/>
      <c r="AT76" s="1930"/>
      <c r="AU76" s="1930"/>
      <c r="AV76" s="1930"/>
      <c r="AW76" s="1930"/>
      <c r="AX76" s="1930"/>
      <c r="AY76" s="1930"/>
      <c r="AZ76" s="1930"/>
      <c r="BA76" s="1930"/>
      <c r="BB76" s="52">
        <f t="shared" si="30"/>
        <v>2.1680871992176587</v>
      </c>
      <c r="BC76" s="1948" t="str">
        <f t="shared" si="33"/>
        <v>Building Shell RES 25 Year EUL</v>
      </c>
      <c r="BD76" s="114">
        <f>(INDEX('Avoided Cost Benefits'!$C$4:$C$857,MATCH(BC76,'Avoided Cost Benefits'!$A$4:$A$857,0)))*F76</f>
        <v>2.3801081347641682</v>
      </c>
      <c r="BE76" s="1949">
        <f t="shared" si="34"/>
        <v>1.0977917011931144</v>
      </c>
    </row>
    <row r="77" spans="1:57" x14ac:dyDescent="0.25">
      <c r="B77" s="1233"/>
      <c r="C77" s="3176" t="s">
        <v>2430</v>
      </c>
      <c r="D77" s="2667" t="s">
        <v>2406</v>
      </c>
      <c r="E77" s="3166" t="s">
        <v>2431</v>
      </c>
      <c r="F77" s="579">
        <f t="shared" si="31"/>
        <v>0.86</v>
      </c>
      <c r="G77" s="2667" t="s">
        <v>1615</v>
      </c>
      <c r="H77" s="155">
        <f>VLOOKUP(G77,'CP FACTORS'!$A$3:$B$38, 2, FALSE)</f>
        <v>4.6608050000000002E-4</v>
      </c>
      <c r="I77" s="979">
        <f t="shared" si="25"/>
        <v>0.68579776160257533</v>
      </c>
      <c r="J77" s="1460">
        <f t="shared" si="26"/>
        <v>0.17892233766233767</v>
      </c>
      <c r="K77" s="893">
        <f t="shared" si="32"/>
        <v>4.0099999999999999E-4</v>
      </c>
      <c r="L77" s="979">
        <f t="shared" si="27"/>
        <v>25</v>
      </c>
      <c r="M77" s="1199">
        <f t="shared" si="28"/>
        <v>1.1631103074141049</v>
      </c>
      <c r="N77" s="979">
        <f t="shared" si="29"/>
        <v>1</v>
      </c>
      <c r="V77" s="160" t="str">
        <f t="shared" si="35"/>
        <v>kWh Annual Savings</v>
      </c>
      <c r="W77" s="649">
        <v>621.647279361546</v>
      </c>
      <c r="X77" s="1109">
        <v>621.647279361546</v>
      </c>
      <c r="Y77" s="1797">
        <v>0.86</v>
      </c>
      <c r="Z77" s="1200">
        <v>0.86</v>
      </c>
      <c r="AA77" s="1200">
        <v>0.86</v>
      </c>
      <c r="AB77" s="2231">
        <v>0.86</v>
      </c>
      <c r="AC77" s="579">
        <v>0.86</v>
      </c>
      <c r="AD77" s="160"/>
      <c r="AE77" s="160"/>
      <c r="AF77" s="160"/>
      <c r="AG77" s="160"/>
      <c r="AH77" s="1930"/>
      <c r="AI77" s="1930"/>
      <c r="AJ77" s="1930"/>
      <c r="AK77" s="1930"/>
      <c r="AL77" s="1930"/>
      <c r="AM77" s="1930"/>
      <c r="AN77" s="1930"/>
      <c r="AO77" s="1930"/>
      <c r="AP77" s="1930"/>
      <c r="AQ77" s="1930"/>
      <c r="AR77" s="1930"/>
      <c r="AS77" s="1930"/>
      <c r="AT77" s="1930"/>
      <c r="AU77" s="1930"/>
      <c r="AV77" s="1930"/>
      <c r="AW77" s="1930"/>
      <c r="AX77" s="1930"/>
      <c r="AY77" s="1930"/>
      <c r="AZ77" s="1930"/>
      <c r="BA77" s="1930"/>
      <c r="BB77" s="52">
        <f t="shared" si="30"/>
        <v>1.0903830358638518</v>
      </c>
      <c r="BC77" s="1948" t="str">
        <f t="shared" si="33"/>
        <v>Building Shell RES 25 Year EUL</v>
      </c>
      <c r="BD77" s="114">
        <f>(INDEX('Avoided Cost Benefits'!$C$4:$C$857,MATCH(BC77,'Avoided Cost Benefits'!$A$4:$A$857,0)))*F77</f>
        <v>1.1970134478930905</v>
      </c>
      <c r="BE77" s="1949">
        <f t="shared" si="34"/>
        <v>1.0977917011931144</v>
      </c>
    </row>
    <row r="78" spans="1:57" x14ac:dyDescent="0.25">
      <c r="B78" s="1233"/>
      <c r="C78" s="3176" t="s">
        <v>2432</v>
      </c>
      <c r="D78" s="2667" t="s">
        <v>2406</v>
      </c>
      <c r="E78" s="3166" t="s">
        <v>2433</v>
      </c>
      <c r="F78" s="579">
        <f t="shared" si="31"/>
        <v>1.84</v>
      </c>
      <c r="G78" s="2667" t="s">
        <v>1615</v>
      </c>
      <c r="H78" s="155">
        <f>VLOOKUP(G78,'CP FACTORS'!$A$3:$B$38, 2, FALSE)</f>
        <v>4.6608050000000002E-4</v>
      </c>
      <c r="I78" s="979">
        <f t="shared" si="25"/>
        <v>1.6665626369312141</v>
      </c>
      <c r="J78" s="1460">
        <f t="shared" si="26"/>
        <v>0.17493611441860468</v>
      </c>
      <c r="K78" s="893">
        <f t="shared" si="32"/>
        <v>8.5800000000000004E-4</v>
      </c>
      <c r="L78" s="979">
        <f t="shared" si="27"/>
        <v>25</v>
      </c>
      <c r="M78" s="1199">
        <f t="shared" si="28"/>
        <v>1.6810404785088331</v>
      </c>
      <c r="N78" s="979">
        <f t="shared" si="29"/>
        <v>1</v>
      </c>
      <c r="V78" s="160" t="str">
        <f t="shared" si="35"/>
        <v>kWh Annual Savings</v>
      </c>
      <c r="W78" s="649">
        <v>1323.8534523453845</v>
      </c>
      <c r="X78" s="1109">
        <v>1323.8534523453845</v>
      </c>
      <c r="Y78" s="1797">
        <v>1.84</v>
      </c>
      <c r="Z78" s="1200">
        <v>1.84</v>
      </c>
      <c r="AA78" s="1200">
        <v>1.84</v>
      </c>
      <c r="AB78" s="2231">
        <v>1.84</v>
      </c>
      <c r="AC78" s="579">
        <v>1.84</v>
      </c>
      <c r="AD78" s="160"/>
      <c r="AE78" s="160"/>
      <c r="AF78" s="160"/>
      <c r="AG78" s="160"/>
      <c r="AH78" s="1930"/>
      <c r="AI78" s="1930"/>
      <c r="AJ78" s="1930"/>
      <c r="AK78" s="1930"/>
      <c r="AL78" s="1930"/>
      <c r="AM78" s="1930"/>
      <c r="AN78" s="1930"/>
      <c r="AO78" s="1930"/>
      <c r="AP78" s="1930"/>
      <c r="AQ78" s="1930"/>
      <c r="AR78" s="1930"/>
      <c r="AS78" s="1930"/>
      <c r="AT78" s="1930"/>
      <c r="AU78" s="1930"/>
      <c r="AV78" s="1930"/>
      <c r="AW78" s="1930"/>
      <c r="AX78" s="1930"/>
      <c r="AY78" s="1930"/>
      <c r="AZ78" s="1930"/>
      <c r="BA78" s="1930"/>
      <c r="BB78" s="52">
        <f t="shared" si="30"/>
        <v>1.6141399677218247</v>
      </c>
      <c r="BC78" s="1948" t="str">
        <f t="shared" si="33"/>
        <v>Building Shell RES 25 Year EUL</v>
      </c>
      <c r="BD78" s="114">
        <f>(INDEX('Avoided Cost Benefits'!$C$4:$C$857,MATCH(BC78,'Avoided Cost Benefits'!$A$4:$A$857,0)))*F78</f>
        <v>2.5610520280503333</v>
      </c>
      <c r="BE78" s="1949">
        <f t="shared" si="34"/>
        <v>1.5866356569219753</v>
      </c>
    </row>
    <row r="79" spans="1:57" x14ac:dyDescent="0.25">
      <c r="B79" s="1233"/>
      <c r="C79" s="3176" t="s">
        <v>2434</v>
      </c>
      <c r="D79" s="2667" t="s">
        <v>2406</v>
      </c>
      <c r="E79" s="3166" t="s">
        <v>2435</v>
      </c>
      <c r="F79" s="579">
        <f>ROUND(I79+J79,2)</f>
        <v>0.93</v>
      </c>
      <c r="G79" s="2667" t="s">
        <v>1615</v>
      </c>
      <c r="H79" s="155">
        <f>VLOOKUP(G79,'CP FACTORS'!$A$3:$B$38, 2, FALSE)</f>
        <v>4.6608050000000002E-4</v>
      </c>
      <c r="I79" s="979">
        <f t="shared" si="25"/>
        <v>0.73683387409392986</v>
      </c>
      <c r="J79" s="1460">
        <f t="shared" si="26"/>
        <v>0.19223748837209306</v>
      </c>
      <c r="K79" s="893">
        <f t="shared" si="32"/>
        <v>4.3300000000000001E-4</v>
      </c>
      <c r="L79" s="979">
        <f t="shared" si="27"/>
        <v>25</v>
      </c>
      <c r="M79" s="1199">
        <f t="shared" si="28"/>
        <v>1.6810404785088331</v>
      </c>
      <c r="N79" s="979">
        <f t="shared" si="29"/>
        <v>1</v>
      </c>
      <c r="V79" s="160" t="str">
        <f t="shared" si="35"/>
        <v>kWh Annual Savings</v>
      </c>
      <c r="W79" s="649">
        <v>667.90940247682386</v>
      </c>
      <c r="X79" s="1109">
        <v>667.90940247682386</v>
      </c>
      <c r="Y79" s="1797">
        <v>0.93</v>
      </c>
      <c r="Z79" s="1200">
        <v>0.93</v>
      </c>
      <c r="AA79" s="1200">
        <v>0.93</v>
      </c>
      <c r="AB79" s="2231">
        <v>0.93</v>
      </c>
      <c r="AC79" s="579">
        <v>0.93</v>
      </c>
      <c r="AD79" s="160"/>
      <c r="AE79" s="160"/>
      <c r="AF79" s="160"/>
      <c r="AG79" s="160"/>
      <c r="AH79" s="1930"/>
      <c r="AI79" s="1930"/>
      <c r="AJ79" s="1930"/>
      <c r="AK79" s="1930"/>
      <c r="AL79" s="1930"/>
      <c r="AM79" s="1930"/>
      <c r="AN79" s="1930"/>
      <c r="AO79" s="1930"/>
      <c r="AP79" s="1930"/>
      <c r="AQ79" s="1930"/>
      <c r="AR79" s="1930"/>
      <c r="AS79" s="1930"/>
      <c r="AT79" s="1930"/>
      <c r="AU79" s="1930"/>
      <c r="AV79" s="1930"/>
      <c r="AW79" s="1930"/>
      <c r="AX79" s="1930"/>
      <c r="AY79" s="1930"/>
      <c r="AZ79" s="1930"/>
      <c r="BA79" s="1930"/>
      <c r="BB79" s="52">
        <f t="shared" si="30"/>
        <v>0.8158424836854874</v>
      </c>
      <c r="BC79" s="1948" t="str">
        <f t="shared" si="33"/>
        <v>Building Shell RES 25 Year EUL</v>
      </c>
      <c r="BD79" s="114">
        <f>(INDEX('Avoided Cost Benefits'!$C$4:$C$857,MATCH(BC79,'Avoided Cost Benefits'!$A$4:$A$857,0)))*F79</f>
        <v>1.2944447750471793</v>
      </c>
      <c r="BE79" s="1949">
        <f t="shared" si="34"/>
        <v>1.5866356569219753</v>
      </c>
    </row>
    <row r="80" spans="1:57" x14ac:dyDescent="0.25">
      <c r="B80" s="1233"/>
      <c r="C80" s="3176" t="s">
        <v>2436</v>
      </c>
      <c r="D80" s="2667" t="s">
        <v>2406</v>
      </c>
      <c r="E80" s="3166" t="s">
        <v>2437</v>
      </c>
      <c r="F80" s="579">
        <f t="shared" si="31"/>
        <v>1.96</v>
      </c>
      <c r="G80" s="2667" t="s">
        <v>1615</v>
      </c>
      <c r="H80" s="155">
        <f>VLOOKUP(G80,'CP FACTORS'!$A$3:$B$38, 2, FALSE)</f>
        <v>4.6608050000000002E-4</v>
      </c>
      <c r="I80" s="979">
        <f t="shared" si="25"/>
        <v>1.76943687377882</v>
      </c>
      <c r="J80" s="1460">
        <f t="shared" si="26"/>
        <v>0.18573464000000001</v>
      </c>
      <c r="K80" s="893">
        <f t="shared" si="32"/>
        <v>9.1399999999999999E-4</v>
      </c>
      <c r="L80" s="979">
        <f t="shared" si="27"/>
        <v>25</v>
      </c>
      <c r="M80" s="1199">
        <f t="shared" si="28"/>
        <v>2.568757824454027</v>
      </c>
      <c r="N80" s="979">
        <f t="shared" si="29"/>
        <v>1</v>
      </c>
      <c r="V80" s="160" t="str">
        <f t="shared" si="35"/>
        <v>kWh Annual Savings</v>
      </c>
      <c r="W80" s="649">
        <v>1405.5728012555933</v>
      </c>
      <c r="X80" s="1109">
        <v>1405.5728012555933</v>
      </c>
      <c r="Y80" s="1797">
        <v>1.96</v>
      </c>
      <c r="Z80" s="1200">
        <v>1.96</v>
      </c>
      <c r="AA80" s="1200">
        <v>1.96</v>
      </c>
      <c r="AB80" s="2231">
        <v>1.96</v>
      </c>
      <c r="AC80" s="579">
        <v>1.96</v>
      </c>
      <c r="AD80" s="160"/>
      <c r="AE80" s="160"/>
      <c r="AF80" s="160"/>
      <c r="AG80" s="160"/>
      <c r="AH80" s="1930"/>
      <c r="AI80" s="1930"/>
      <c r="AJ80" s="1930"/>
      <c r="AK80" s="1930"/>
      <c r="AL80" s="1930"/>
      <c r="AM80" s="1930"/>
      <c r="AN80" s="1930"/>
      <c r="AO80" s="1930"/>
      <c r="AP80" s="1930"/>
      <c r="AQ80" s="1930"/>
      <c r="AR80" s="1930"/>
      <c r="AS80" s="1930"/>
      <c r="AT80" s="1930"/>
      <c r="AU80" s="1930"/>
      <c r="AV80" s="1930"/>
      <c r="AW80" s="1930"/>
      <c r="AX80" s="1930"/>
      <c r="AY80" s="1930"/>
      <c r="AZ80" s="1930"/>
      <c r="BA80" s="1930"/>
      <c r="BB80" s="52">
        <f t="shared" si="30"/>
        <v>1.1252122422118687</v>
      </c>
      <c r="BC80" s="1948" t="str">
        <f t="shared" si="33"/>
        <v>Building Shell RES 25 Year EUL</v>
      </c>
      <c r="BD80" s="114">
        <f>(INDEX('Avoided Cost Benefits'!$C$4:$C$857,MATCH(BC80,'Avoided Cost Benefits'!$A$4:$A$857,0)))*F80</f>
        <v>2.7280771603144851</v>
      </c>
      <c r="BE80" s="1949">
        <f t="shared" si="34"/>
        <v>2.4245000702727952</v>
      </c>
    </row>
    <row r="81" spans="1:57" x14ac:dyDescent="0.25">
      <c r="B81" s="1233"/>
      <c r="C81" s="3176" t="s">
        <v>2438</v>
      </c>
      <c r="D81" s="2667" t="s">
        <v>2406</v>
      </c>
      <c r="E81" s="3166" t="s">
        <v>2439</v>
      </c>
      <c r="F81" s="579">
        <f t="shared" si="31"/>
        <v>0.99</v>
      </c>
      <c r="G81" s="2667" t="s">
        <v>1615</v>
      </c>
      <c r="H81" s="155">
        <f>VLOOKUP(G81,'CP FACTORS'!$A$3:$B$38, 2, FALSE)</f>
        <v>4.6608050000000002E-4</v>
      </c>
      <c r="I81" s="979">
        <f t="shared" si="25"/>
        <v>0.78231744656886393</v>
      </c>
      <c r="J81" s="1460">
        <f t="shared" si="26"/>
        <v>0.20410400000000001</v>
      </c>
      <c r="K81" s="893">
        <f t="shared" si="32"/>
        <v>4.6099999999999998E-4</v>
      </c>
      <c r="L81" s="979">
        <f t="shared" si="27"/>
        <v>25</v>
      </c>
      <c r="M81" s="1199">
        <f t="shared" si="28"/>
        <v>2.568757824454027</v>
      </c>
      <c r="N81" s="979">
        <f t="shared" si="29"/>
        <v>1</v>
      </c>
      <c r="V81" s="160" t="str">
        <f t="shared" si="35"/>
        <v>kWh Annual Savings</v>
      </c>
      <c r="W81" s="649">
        <v>709.13837793835614</v>
      </c>
      <c r="X81" s="1109">
        <v>709.13837793835614</v>
      </c>
      <c r="Y81" s="1797">
        <v>0.99</v>
      </c>
      <c r="Z81" s="1200">
        <v>0.99</v>
      </c>
      <c r="AA81" s="1200">
        <v>0.99</v>
      </c>
      <c r="AB81" s="2231">
        <v>0.99</v>
      </c>
      <c r="AC81" s="579">
        <v>0.99</v>
      </c>
      <c r="AD81" s="160"/>
      <c r="AE81" s="160"/>
      <c r="AF81" s="160"/>
      <c r="AG81" s="160"/>
      <c r="AH81" s="1930"/>
      <c r="AI81" s="1930"/>
      <c r="AJ81" s="1930"/>
      <c r="AK81" s="1930"/>
      <c r="AL81" s="1930"/>
      <c r="AM81" s="1930"/>
      <c r="AN81" s="1930"/>
      <c r="AO81" s="1930"/>
      <c r="AP81" s="1930"/>
      <c r="AQ81" s="1930"/>
      <c r="AR81" s="1930"/>
      <c r="AS81" s="1930"/>
      <c r="AT81" s="1930"/>
      <c r="AU81" s="1930"/>
      <c r="AV81" s="1930"/>
      <c r="AW81" s="1930"/>
      <c r="AX81" s="1930"/>
      <c r="AY81" s="1930"/>
      <c r="AZ81" s="1930"/>
      <c r="BA81" s="1930"/>
      <c r="BB81" s="52">
        <f t="shared" si="30"/>
        <v>0.56834699989272963</v>
      </c>
      <c r="BC81" s="1948" t="str">
        <f t="shared" si="33"/>
        <v>Building Shell RES 25 Year EUL</v>
      </c>
      <c r="BD81" s="114">
        <f>(INDEX('Avoided Cost Benefits'!$C$4:$C$857,MATCH(BC81,'Avoided Cost Benefits'!$A$4:$A$857,0)))*F81</f>
        <v>1.3779573411792554</v>
      </c>
      <c r="BE81" s="1949">
        <f t="shared" si="34"/>
        <v>2.4245000702727952</v>
      </c>
    </row>
    <row r="82" spans="1:57" x14ac:dyDescent="0.25">
      <c r="B82" s="1233"/>
      <c r="C82" s="3176" t="s">
        <v>2440</v>
      </c>
      <c r="D82" s="2667" t="s">
        <v>2406</v>
      </c>
      <c r="E82" s="3166" t="s">
        <v>2441</v>
      </c>
      <c r="F82" s="579">
        <f t="shared" si="31"/>
        <v>2.0299999999999998</v>
      </c>
      <c r="G82" s="2667" t="s">
        <v>1615</v>
      </c>
      <c r="H82" s="155">
        <f>VLOOKUP(G82,'CP FACTORS'!$A$3:$B$38, 2, FALSE)</f>
        <v>4.6608050000000002E-4</v>
      </c>
      <c r="I82" s="979">
        <f t="shared" si="25"/>
        <v>1.8374921381549281</v>
      </c>
      <c r="J82" s="1460">
        <f t="shared" si="26"/>
        <v>0.19287827999999999</v>
      </c>
      <c r="K82" s="893">
        <f t="shared" si="32"/>
        <v>9.4600000000000001E-4</v>
      </c>
      <c r="L82" s="979">
        <f t="shared" si="27"/>
        <v>25</v>
      </c>
      <c r="M82" s="1199">
        <f t="shared" si="28"/>
        <v>3.424301015440256</v>
      </c>
      <c r="N82" s="979">
        <f t="shared" si="29"/>
        <v>1</v>
      </c>
      <c r="V82" s="160" t="str">
        <f t="shared" si="35"/>
        <v>kWh Annual Savings</v>
      </c>
      <c r="W82" s="649">
        <v>1459.6332936115778</v>
      </c>
      <c r="X82" s="1109">
        <v>1459.6332936115778</v>
      </c>
      <c r="Y82" s="1797">
        <v>2.0299999999999998</v>
      </c>
      <c r="Z82" s="1200">
        <v>2.0299999999999998</v>
      </c>
      <c r="AA82" s="1200">
        <v>2.0299999999999998</v>
      </c>
      <c r="AB82" s="2231">
        <v>2.0299999999999998</v>
      </c>
      <c r="AC82" s="579">
        <v>2.0299999999999998</v>
      </c>
      <c r="AD82" s="160"/>
      <c r="AE82" s="160"/>
      <c r="AF82" s="160"/>
      <c r="AG82" s="160"/>
      <c r="AH82" s="1930"/>
      <c r="AI82" s="1930"/>
      <c r="AJ82" s="1930"/>
      <c r="AK82" s="1930"/>
      <c r="AL82" s="1930"/>
      <c r="AM82" s="1930"/>
      <c r="AN82" s="1930"/>
      <c r="AO82" s="1930"/>
      <c r="AP82" s="1930"/>
      <c r="AQ82" s="1930"/>
      <c r="AR82" s="1930"/>
      <c r="AS82" s="1930"/>
      <c r="AT82" s="1930"/>
      <c r="AU82" s="1930"/>
      <c r="AV82" s="1930"/>
      <c r="AW82" s="1930"/>
      <c r="AX82" s="1930"/>
      <c r="AY82" s="1930"/>
      <c r="AZ82" s="1930"/>
      <c r="BA82" s="1930"/>
      <c r="BB82" s="52">
        <f t="shared" si="30"/>
        <v>0.87422987318422674</v>
      </c>
      <c r="BC82" s="1948" t="str">
        <f t="shared" si="33"/>
        <v>Building Shell RES 25 Year EUL</v>
      </c>
      <c r="BD82" s="114">
        <f>(INDEX('Avoided Cost Benefits'!$C$4:$C$857,MATCH(BC82,'Avoided Cost Benefits'!$A$4:$A$857,0)))*F82</f>
        <v>2.8255084874685736</v>
      </c>
      <c r="BE82" s="1949">
        <f t="shared" si="34"/>
        <v>3.2319971830488492</v>
      </c>
    </row>
    <row r="83" spans="1:57" x14ac:dyDescent="0.25">
      <c r="B83" s="1233"/>
      <c r="C83" s="3176" t="s">
        <v>2442</v>
      </c>
      <c r="D83" s="2667" t="s">
        <v>2406</v>
      </c>
      <c r="E83" s="3166" t="s">
        <v>2443</v>
      </c>
      <c r="F83" s="579">
        <f t="shared" si="31"/>
        <v>1.02</v>
      </c>
      <c r="G83" s="2667" t="s">
        <v>1615</v>
      </c>
      <c r="H83" s="155">
        <f>VLOOKUP(G83,'CP FACTORS'!$A$3:$B$38, 2, FALSE)</f>
        <v>4.6608050000000002E-4</v>
      </c>
      <c r="I83" s="979">
        <f t="shared" si="25"/>
        <v>0.81240657912920466</v>
      </c>
      <c r="J83" s="1460">
        <f t="shared" si="26"/>
        <v>0.21195415384615382</v>
      </c>
      <c r="K83" s="893">
        <f t="shared" si="32"/>
        <v>4.75E-4</v>
      </c>
      <c r="L83" s="979">
        <f t="shared" si="27"/>
        <v>25</v>
      </c>
      <c r="M83" s="1199">
        <f t="shared" si="28"/>
        <v>3.424301015440256</v>
      </c>
      <c r="N83" s="979">
        <f t="shared" si="29"/>
        <v>1</v>
      </c>
      <c r="V83" s="160" t="str">
        <f t="shared" si="35"/>
        <v>kWh Annual Savings</v>
      </c>
      <c r="W83" s="649">
        <v>736.41293093598529</v>
      </c>
      <c r="X83" s="1109">
        <v>736.41293093598529</v>
      </c>
      <c r="Y83" s="1797">
        <v>1.02</v>
      </c>
      <c r="Z83" s="1200">
        <v>1.02</v>
      </c>
      <c r="AA83" s="1200">
        <v>1.02</v>
      </c>
      <c r="AB83" s="2231">
        <v>1.02</v>
      </c>
      <c r="AC83" s="579">
        <v>1.02</v>
      </c>
      <c r="AD83" s="160"/>
      <c r="AE83" s="160"/>
      <c r="AF83" s="160"/>
      <c r="AG83" s="160"/>
      <c r="AH83" s="1930"/>
      <c r="AI83" s="1930"/>
      <c r="AJ83" s="1930"/>
      <c r="AK83" s="1930"/>
      <c r="AL83" s="1930"/>
      <c r="AM83" s="1930"/>
      <c r="AN83" s="1930"/>
      <c r="AO83" s="1930"/>
      <c r="AP83" s="1930"/>
      <c r="AQ83" s="1930"/>
      <c r="AR83" s="1930"/>
      <c r="AS83" s="1930"/>
      <c r="AT83" s="1930"/>
      <c r="AU83" s="1930"/>
      <c r="AV83" s="1930"/>
      <c r="AW83" s="1930"/>
      <c r="AX83" s="1930"/>
      <c r="AY83" s="1930"/>
      <c r="AZ83" s="1930"/>
      <c r="BA83" s="1930"/>
      <c r="BB83" s="53">
        <f t="shared" si="30"/>
        <v>0.43926821214182832</v>
      </c>
      <c r="BC83" s="1948" t="str">
        <f t="shared" si="33"/>
        <v>Building Shell RES 25 Year EUL</v>
      </c>
      <c r="BD83" s="119">
        <f>(INDEX('Avoided Cost Benefits'!$C$4:$C$857,MATCH(BC83,'Avoided Cost Benefits'!$A$4:$A$857,0)))*F83</f>
        <v>1.4197136242452935</v>
      </c>
      <c r="BE83" s="1950">
        <f t="shared" si="34"/>
        <v>3.2319971830488492</v>
      </c>
    </row>
    <row r="84" spans="1:57" hidden="1" outlineLevel="1" x14ac:dyDescent="0.25">
      <c r="B84" s="1233"/>
      <c r="C84" s="907"/>
      <c r="D84" s="429"/>
      <c r="E84" s="429"/>
      <c r="F84" s="1470"/>
      <c r="G84" s="910"/>
      <c r="H84" s="910"/>
      <c r="I84" s="910"/>
      <c r="J84" s="910"/>
      <c r="K84" s="910"/>
      <c r="L84" s="910"/>
      <c r="M84" s="910"/>
      <c r="N84" s="910"/>
      <c r="O84" s="249"/>
      <c r="P84" s="249"/>
      <c r="Q84" s="249"/>
      <c r="V84" s="1930"/>
      <c r="W84" s="1930"/>
      <c r="X84" s="1930"/>
      <c r="Y84" s="1930"/>
      <c r="Z84" s="1930"/>
      <c r="AA84" s="1930"/>
      <c r="AB84" s="1930"/>
      <c r="AC84" s="1930"/>
      <c r="AD84" s="1930"/>
      <c r="AE84" s="1930"/>
      <c r="AF84" s="1930"/>
      <c r="AG84" s="1930"/>
      <c r="AH84" s="1930"/>
      <c r="AI84" s="1930"/>
      <c r="AJ84" s="1930"/>
      <c r="AK84" s="1930"/>
      <c r="AL84" s="1930"/>
      <c r="AM84" s="1930"/>
      <c r="AN84" s="1930"/>
      <c r="AO84" s="1930"/>
      <c r="AP84" s="1930"/>
      <c r="AQ84" s="1930"/>
      <c r="AR84" s="1930"/>
      <c r="AS84" s="1930"/>
      <c r="AT84" s="1930"/>
      <c r="AU84" s="1930"/>
      <c r="AV84" s="1930"/>
      <c r="AW84" s="1930"/>
      <c r="AX84" s="1930"/>
      <c r="AY84" s="1930"/>
      <c r="AZ84" s="1930"/>
      <c r="BA84" s="1930"/>
      <c r="BC84" s="1930"/>
      <c r="BD84" s="1930"/>
      <c r="BE84" s="1930"/>
    </row>
    <row r="85" spans="1:57" hidden="1" outlineLevel="1" x14ac:dyDescent="0.25">
      <c r="B85" s="1233"/>
      <c r="C85" s="907"/>
      <c r="D85" s="429" t="s">
        <v>108</v>
      </c>
      <c r="E85" s="429"/>
      <c r="F85" s="1470"/>
      <c r="G85" s="910"/>
      <c r="H85" s="910"/>
      <c r="I85" s="910"/>
      <c r="J85" s="910"/>
      <c r="K85" s="910"/>
      <c r="L85" s="910"/>
      <c r="M85" s="910"/>
      <c r="N85" s="910"/>
      <c r="O85" s="249"/>
      <c r="P85" s="249"/>
      <c r="Q85" s="249"/>
      <c r="V85" s="1930"/>
      <c r="W85" s="1930"/>
      <c r="X85" s="1930"/>
      <c r="Y85" s="1930"/>
      <c r="Z85" s="1930"/>
      <c r="AA85" s="1930"/>
      <c r="AB85" s="1930"/>
      <c r="AC85" s="1930"/>
      <c r="AD85" s="1930"/>
      <c r="AE85" s="1930"/>
      <c r="AF85" s="1930"/>
      <c r="AG85" s="1930"/>
      <c r="AH85" s="1930"/>
      <c r="AI85" s="1930"/>
      <c r="AJ85" s="1930"/>
      <c r="AK85" s="1930"/>
      <c r="AL85" s="1930"/>
      <c r="AM85" s="1930"/>
      <c r="AN85" s="1930"/>
      <c r="AO85" s="1930"/>
      <c r="AP85" s="1930"/>
      <c r="AQ85" s="1930"/>
      <c r="AR85" s="1930"/>
      <c r="AS85" s="1930"/>
      <c r="AT85" s="1930"/>
      <c r="AU85" s="1930"/>
      <c r="AV85" s="1930"/>
      <c r="AW85" s="1930"/>
      <c r="AX85" s="1930"/>
      <c r="AY85" s="1930"/>
      <c r="AZ85" s="1930"/>
      <c r="BA85" s="1930"/>
      <c r="BC85" s="1930"/>
      <c r="BD85" s="1930"/>
      <c r="BE85" s="1930"/>
    </row>
    <row r="86" spans="1:57" s="1930" customFormat="1" hidden="1" outlineLevel="1" x14ac:dyDescent="0.25">
      <c r="A86" s="123"/>
      <c r="B86" s="1233"/>
      <c r="C86" s="907"/>
      <c r="D86" s="429"/>
      <c r="E86" s="429"/>
      <c r="F86" s="1470"/>
      <c r="G86" s="910"/>
      <c r="H86" s="910"/>
      <c r="I86" s="910"/>
      <c r="J86" s="910"/>
      <c r="K86" s="910"/>
      <c r="L86" s="910"/>
      <c r="M86" s="910"/>
      <c r="N86" s="910"/>
      <c r="O86" s="249"/>
      <c r="P86" s="249"/>
      <c r="Q86" s="249"/>
      <c r="R86" s="123"/>
      <c r="S86" s="123"/>
      <c r="T86" s="123"/>
      <c r="U86" s="123"/>
      <c r="BB86" s="950"/>
    </row>
    <row r="87" spans="1:57" s="1930" customFormat="1" hidden="1" outlineLevel="1" x14ac:dyDescent="0.25">
      <c r="A87" s="123"/>
      <c r="B87" s="1233"/>
      <c r="C87" s="907"/>
      <c r="D87" s="429"/>
      <c r="E87" s="429"/>
      <c r="F87" s="1470"/>
      <c r="G87" s="910"/>
      <c r="H87" s="910"/>
      <c r="I87" s="910"/>
      <c r="J87" s="910"/>
      <c r="K87" s="910"/>
      <c r="L87" s="910"/>
      <c r="M87" s="910"/>
      <c r="N87" s="910"/>
      <c r="O87" s="249"/>
      <c r="P87" s="249"/>
      <c r="Q87" s="249"/>
      <c r="R87" s="123"/>
      <c r="S87" s="123"/>
      <c r="T87" s="123"/>
      <c r="U87" s="123"/>
      <c r="BB87" s="950"/>
    </row>
    <row r="88" spans="1:57" hidden="1" outlineLevel="1" x14ac:dyDescent="0.25">
      <c r="B88" s="1233"/>
      <c r="C88" s="912"/>
      <c r="D88" s="4346"/>
      <c r="E88" s="4346"/>
      <c r="F88" s="4346"/>
      <c r="G88" s="4346"/>
      <c r="H88" s="4346"/>
      <c r="I88" s="4346"/>
      <c r="J88" s="4346"/>
      <c r="K88" s="4346"/>
      <c r="L88" s="4346"/>
      <c r="M88" s="910"/>
      <c r="N88" s="910"/>
      <c r="O88" s="249"/>
      <c r="P88" s="249"/>
      <c r="Q88" s="249"/>
      <c r="V88" s="1930"/>
      <c r="W88" s="1930"/>
      <c r="X88" s="1930"/>
      <c r="Y88" s="1930"/>
      <c r="Z88" s="1930"/>
      <c r="AA88" s="1930"/>
      <c r="AB88" s="1930"/>
      <c r="AC88" s="1930"/>
      <c r="AD88" s="1930"/>
      <c r="AE88" s="1930"/>
      <c r="AF88" s="1930"/>
      <c r="AG88" s="1930"/>
      <c r="AH88" s="1930"/>
      <c r="AI88" s="1930"/>
      <c r="AJ88" s="1930"/>
      <c r="AK88" s="1930"/>
      <c r="AL88" s="1930"/>
      <c r="AM88" s="1930"/>
      <c r="AN88" s="1930"/>
      <c r="AO88" s="1930"/>
      <c r="AP88" s="1930"/>
      <c r="AQ88" s="1930"/>
      <c r="AR88" s="1930"/>
      <c r="AS88" s="1930"/>
      <c r="AT88" s="1930"/>
      <c r="AU88" s="1930"/>
      <c r="AV88" s="1930"/>
      <c r="AW88" s="1930"/>
      <c r="AX88" s="1930"/>
      <c r="AY88" s="1930"/>
      <c r="AZ88" s="1930"/>
      <c r="BA88" s="1930"/>
      <c r="BC88" s="1930"/>
      <c r="BD88" s="1930"/>
      <c r="BE88" s="1930"/>
    </row>
    <row r="89" spans="1:57" ht="66" hidden="1" customHeight="1" outlineLevel="1" x14ac:dyDescent="0.25">
      <c r="B89" s="1233"/>
      <c r="C89" s="913"/>
      <c r="D89" s="4346"/>
      <c r="E89" s="4346"/>
      <c r="F89" s="4346"/>
      <c r="G89" s="4346"/>
      <c r="H89" s="4346"/>
      <c r="I89" s="4346"/>
      <c r="J89" s="4346"/>
      <c r="K89" s="4346"/>
      <c r="L89" s="4346"/>
      <c r="M89" s="910"/>
      <c r="N89" s="910"/>
      <c r="O89" s="249"/>
      <c r="P89" s="249"/>
      <c r="Q89" s="249"/>
      <c r="V89" s="1930"/>
      <c r="W89" s="1930"/>
      <c r="X89" s="1930"/>
      <c r="Y89" s="1930"/>
      <c r="Z89" s="1930"/>
      <c r="AA89" s="1930"/>
      <c r="AB89" s="1930"/>
      <c r="AC89" s="1930"/>
      <c r="AD89" s="1930"/>
      <c r="AE89" s="1930"/>
      <c r="AF89" s="1930"/>
      <c r="AG89" s="1930"/>
      <c r="AH89" s="1930"/>
      <c r="AI89" s="1930"/>
      <c r="AJ89" s="1930"/>
      <c r="AK89" s="1930"/>
      <c r="AL89" s="1930"/>
      <c r="AM89" s="1930"/>
      <c r="AN89" s="1930"/>
      <c r="AO89" s="1930"/>
      <c r="AP89" s="1930"/>
      <c r="AQ89" s="1930"/>
      <c r="AR89" s="1930"/>
      <c r="AS89" s="1930"/>
      <c r="AT89" s="1930"/>
      <c r="AU89" s="1930"/>
      <c r="AV89" s="1930"/>
      <c r="AW89" s="1930"/>
      <c r="AX89" s="1930"/>
      <c r="AY89" s="1930"/>
      <c r="AZ89" s="1930"/>
      <c r="BA89" s="1930"/>
      <c r="BC89" s="1930"/>
      <c r="BD89" s="1930"/>
      <c r="BE89" s="1930"/>
    </row>
    <row r="90" spans="1:57" hidden="1" outlineLevel="1" x14ac:dyDescent="0.25">
      <c r="B90" s="1233"/>
      <c r="C90" s="913"/>
      <c r="D90" s="4346"/>
      <c r="E90" s="4346"/>
      <c r="F90" s="4346"/>
      <c r="G90" s="4346"/>
      <c r="H90" s="4346"/>
      <c r="I90" s="4346"/>
      <c r="J90" s="4346"/>
      <c r="K90" s="4346"/>
      <c r="L90" s="4346"/>
      <c r="M90" s="910"/>
      <c r="N90" s="910"/>
      <c r="O90" s="249"/>
      <c r="P90" s="249"/>
      <c r="Q90" s="249"/>
      <c r="V90" s="1930"/>
      <c r="W90" s="1930"/>
      <c r="X90" s="1930"/>
      <c r="Y90" s="1930"/>
      <c r="Z90" s="1930"/>
      <c r="AA90" s="1930"/>
      <c r="AB90" s="1930"/>
      <c r="AC90" s="1930"/>
      <c r="AD90" s="1930"/>
      <c r="AE90" s="1930"/>
      <c r="AF90" s="1930"/>
      <c r="AG90" s="1930"/>
      <c r="AH90" s="1930"/>
      <c r="AI90" s="1930"/>
      <c r="AJ90" s="1930"/>
      <c r="AK90" s="1930"/>
      <c r="AL90" s="1930"/>
      <c r="AM90" s="1930"/>
      <c r="AN90" s="1930"/>
      <c r="AO90" s="1930"/>
      <c r="AP90" s="1930"/>
      <c r="AQ90" s="1930"/>
      <c r="AR90" s="1930"/>
      <c r="AS90" s="1930"/>
      <c r="AT90" s="1930"/>
      <c r="AU90" s="1930"/>
      <c r="AV90" s="1930"/>
      <c r="AW90" s="1930"/>
      <c r="AX90" s="1930"/>
      <c r="AY90" s="1930"/>
      <c r="AZ90" s="1930"/>
      <c r="BA90" s="1930"/>
      <c r="BC90" s="1930"/>
      <c r="BD90" s="1930"/>
      <c r="BE90" s="1930"/>
    </row>
    <row r="91" spans="1:57" hidden="1" outlineLevel="1" x14ac:dyDescent="0.25">
      <c r="B91" s="1233"/>
      <c r="C91" s="914"/>
      <c r="D91" s="4346"/>
      <c r="E91" s="4346"/>
      <c r="F91" s="4346"/>
      <c r="G91" s="4346"/>
      <c r="H91" s="4346"/>
      <c r="I91" s="4346"/>
      <c r="J91" s="4346"/>
      <c r="K91" s="4346"/>
      <c r="L91" s="4346"/>
      <c r="M91" s="910"/>
      <c r="N91" s="910"/>
      <c r="O91" s="249"/>
      <c r="P91" s="249"/>
      <c r="Q91" s="249"/>
      <c r="V91" s="1930"/>
      <c r="W91" s="1930"/>
      <c r="X91" s="1930"/>
      <c r="Y91" s="1930"/>
      <c r="Z91" s="1930"/>
      <c r="AA91" s="1930"/>
      <c r="AB91" s="1930"/>
      <c r="AC91" s="1930"/>
      <c r="AD91" s="1930"/>
      <c r="AE91" s="1930"/>
      <c r="AF91" s="1930"/>
      <c r="AG91" s="1930"/>
      <c r="AH91" s="1930"/>
      <c r="AI91" s="1930"/>
      <c r="AJ91" s="1930"/>
      <c r="AK91" s="1930"/>
      <c r="AL91" s="1930"/>
      <c r="AM91" s="1930"/>
      <c r="AN91" s="1930"/>
      <c r="AO91" s="1930"/>
      <c r="AP91" s="1930"/>
      <c r="AQ91" s="1930"/>
      <c r="AR91" s="1930"/>
      <c r="AS91" s="1930"/>
      <c r="AT91" s="1930"/>
      <c r="AU91" s="1930"/>
      <c r="AV91" s="1930"/>
      <c r="AW91" s="1930"/>
      <c r="AX91" s="1930"/>
      <c r="AY91" s="1930"/>
      <c r="AZ91" s="1930"/>
      <c r="BA91" s="1930"/>
      <c r="BC91" s="1930"/>
      <c r="BD91" s="1930"/>
      <c r="BE91" s="1930"/>
    </row>
    <row r="92" spans="1:57" hidden="1" outlineLevel="1" x14ac:dyDescent="0.25">
      <c r="B92" s="1233"/>
      <c r="C92" s="907"/>
      <c r="D92" s="429"/>
      <c r="E92" s="429"/>
      <c r="F92" s="910"/>
      <c r="G92" s="910"/>
      <c r="H92" s="910"/>
      <c r="I92" s="910"/>
      <c r="J92" s="910"/>
      <c r="K92" s="910"/>
      <c r="L92" s="910"/>
      <c r="M92" s="910"/>
      <c r="N92" s="910"/>
      <c r="O92" s="249"/>
      <c r="P92" s="249"/>
      <c r="Q92" s="249"/>
      <c r="V92" s="1930"/>
      <c r="W92" s="1930"/>
      <c r="X92" s="1930"/>
      <c r="Y92" s="1930"/>
      <c r="Z92" s="1930"/>
      <c r="AA92" s="1930"/>
      <c r="AB92" s="1930"/>
      <c r="AC92" s="1930"/>
      <c r="AD92" s="1930"/>
      <c r="AE92" s="1930"/>
      <c r="AF92" s="1930"/>
      <c r="AG92" s="1930"/>
      <c r="AH92" s="1930"/>
      <c r="AI92" s="1930"/>
      <c r="AJ92" s="1930"/>
      <c r="AK92" s="1930"/>
      <c r="AL92" s="1930"/>
      <c r="AM92" s="1930"/>
      <c r="AN92" s="1930"/>
      <c r="AO92" s="1930"/>
      <c r="AP92" s="1930"/>
      <c r="AQ92" s="1930"/>
      <c r="AR92" s="1930"/>
      <c r="AS92" s="1930"/>
      <c r="AT92" s="1930"/>
      <c r="AU92" s="1930"/>
      <c r="AV92" s="1930"/>
      <c r="AW92" s="1930"/>
      <c r="AX92" s="1930"/>
      <c r="AY92" s="1930"/>
      <c r="AZ92" s="1930"/>
      <c r="BA92" s="1930"/>
      <c r="BC92" s="1930"/>
      <c r="BD92" s="1930"/>
      <c r="BE92" s="1930"/>
    </row>
    <row r="93" spans="1:57" hidden="1" outlineLevel="1" x14ac:dyDescent="0.25">
      <c r="B93" s="1233"/>
      <c r="C93" s="225"/>
      <c r="D93" s="3236" t="s">
        <v>109</v>
      </c>
      <c r="E93" s="3236" t="s">
        <v>110</v>
      </c>
      <c r="F93" s="3086" t="s">
        <v>112</v>
      </c>
      <c r="G93" s="3086" t="s">
        <v>187</v>
      </c>
      <c r="H93" s="3086" t="s">
        <v>283</v>
      </c>
      <c r="I93" s="910"/>
      <c r="J93" s="910"/>
      <c r="K93" s="249"/>
      <c r="L93" s="249"/>
      <c r="M93" s="249"/>
      <c r="N93" s="249"/>
      <c r="O93" s="249"/>
      <c r="P93" s="249"/>
      <c r="Q93" s="249"/>
      <c r="V93" s="1936" t="s">
        <v>45</v>
      </c>
      <c r="W93" s="1937">
        <f>W$6</f>
        <v>43252</v>
      </c>
      <c r="X93" s="1937">
        <f t="shared" ref="X93:AG93" si="36">X$6</f>
        <v>43465</v>
      </c>
      <c r="Y93" s="1937">
        <f t="shared" si="36"/>
        <v>43800</v>
      </c>
      <c r="Z93" s="1937">
        <f t="shared" si="36"/>
        <v>43862</v>
      </c>
      <c r="AA93" s="1937">
        <f t="shared" si="36"/>
        <v>44013</v>
      </c>
      <c r="AB93" s="1937">
        <f t="shared" si="36"/>
        <v>44166</v>
      </c>
      <c r="AC93" s="1937">
        <f t="shared" si="36"/>
        <v>44531</v>
      </c>
      <c r="AD93" s="1937" t="str">
        <f t="shared" si="36"/>
        <v>-</v>
      </c>
      <c r="AE93" s="1937" t="str">
        <f t="shared" si="36"/>
        <v>-</v>
      </c>
      <c r="AF93" s="1937" t="str">
        <f t="shared" si="36"/>
        <v>-</v>
      </c>
      <c r="AG93" s="1937" t="str">
        <f t="shared" si="36"/>
        <v>-</v>
      </c>
      <c r="AH93" s="1930"/>
      <c r="AI93" s="1930"/>
      <c r="AJ93" s="1930"/>
      <c r="AK93" s="1930"/>
      <c r="AL93" s="1930"/>
      <c r="AM93" s="1930"/>
      <c r="AN93" s="1930"/>
      <c r="AO93" s="1930"/>
      <c r="AP93" s="1930"/>
      <c r="AQ93" s="1930"/>
      <c r="AR93" s="1930"/>
      <c r="AS93" s="1930"/>
      <c r="AT93" s="1930"/>
      <c r="AU93" s="1930"/>
      <c r="AV93" s="1930"/>
      <c r="AW93" s="1930"/>
      <c r="AX93" s="1930"/>
      <c r="AY93" s="1930"/>
      <c r="AZ93" s="1930"/>
      <c r="BA93" s="1930"/>
      <c r="BC93" s="1930"/>
      <c r="BD93" s="1930"/>
      <c r="BE93" s="1930"/>
    </row>
    <row r="94" spans="1:57" hidden="1" outlineLevel="1" x14ac:dyDescent="0.25">
      <c r="B94" s="1233"/>
      <c r="C94" s="225"/>
      <c r="D94" s="4327" t="s">
        <v>284</v>
      </c>
      <c r="E94" s="420" t="s">
        <v>2444</v>
      </c>
      <c r="F94" s="944">
        <v>1</v>
      </c>
      <c r="G94" s="3201"/>
      <c r="H94" s="1204"/>
      <c r="I94" s="910"/>
      <c r="J94" s="910"/>
      <c r="K94" s="249"/>
      <c r="L94" s="249"/>
      <c r="M94" s="249"/>
      <c r="N94" s="249"/>
      <c r="O94" s="249"/>
      <c r="P94" s="249"/>
      <c r="Q94" s="249"/>
      <c r="V94" s="4247" t="str">
        <f>D94</f>
        <v>%ElectricHeat</v>
      </c>
      <c r="W94" s="476">
        <v>1</v>
      </c>
      <c r="X94" s="476">
        <v>1</v>
      </c>
      <c r="Y94" s="944">
        <v>1</v>
      </c>
      <c r="Z94" s="944">
        <v>1</v>
      </c>
      <c r="AA94" s="944">
        <v>1</v>
      </c>
      <c r="AB94" s="476">
        <v>1</v>
      </c>
      <c r="AC94" s="476">
        <v>1</v>
      </c>
      <c r="AD94" s="476"/>
      <c r="AE94" s="476"/>
      <c r="AF94" s="476"/>
      <c r="AG94" s="476"/>
      <c r="AH94" s="1930"/>
      <c r="AI94" s="1930"/>
      <c r="AJ94" s="1930"/>
      <c r="AK94" s="1930"/>
      <c r="AL94" s="1930"/>
      <c r="AM94" s="1930"/>
      <c r="AN94" s="1930"/>
      <c r="AO94" s="1930"/>
      <c r="AP94" s="1930"/>
      <c r="AQ94" s="1930"/>
      <c r="AR94" s="1930"/>
      <c r="AS94" s="1930"/>
      <c r="AT94" s="1930"/>
      <c r="AU94" s="1930"/>
      <c r="AV94" s="1930"/>
      <c r="AW94" s="1930"/>
      <c r="AX94" s="1930"/>
      <c r="AY94" s="1930"/>
      <c r="AZ94" s="1930"/>
      <c r="BA94" s="1930"/>
      <c r="BC94" s="1930"/>
      <c r="BD94" s="1930"/>
      <c r="BE94" s="1930"/>
    </row>
    <row r="95" spans="1:57" hidden="1" outlineLevel="1" x14ac:dyDescent="0.25">
      <c r="B95" s="1233"/>
      <c r="C95" s="225"/>
      <c r="D95" s="4328"/>
      <c r="E95" s="420" t="s">
        <v>2445</v>
      </c>
      <c r="F95" s="944">
        <v>0</v>
      </c>
      <c r="G95" s="3201"/>
      <c r="H95" s="1204"/>
      <c r="I95" s="910"/>
      <c r="J95" s="910"/>
      <c r="K95" s="249"/>
      <c r="L95" s="249"/>
      <c r="M95" s="249"/>
      <c r="N95" s="249"/>
      <c r="O95" s="249"/>
      <c r="P95" s="249"/>
      <c r="Q95" s="249"/>
      <c r="V95" s="4248"/>
      <c r="W95" s="476">
        <v>0</v>
      </c>
      <c r="X95" s="476">
        <v>0</v>
      </c>
      <c r="Y95" s="944">
        <v>0</v>
      </c>
      <c r="Z95" s="944">
        <v>0</v>
      </c>
      <c r="AA95" s="944">
        <v>0</v>
      </c>
      <c r="AB95" s="476">
        <v>0</v>
      </c>
      <c r="AC95" s="476">
        <v>0</v>
      </c>
      <c r="AD95" s="476"/>
      <c r="AE95" s="476"/>
      <c r="AF95" s="476"/>
      <c r="AG95" s="476"/>
      <c r="AH95" s="1930"/>
      <c r="AI95" s="1930"/>
      <c r="AJ95" s="1930"/>
      <c r="AK95" s="1930"/>
      <c r="AL95" s="1930"/>
      <c r="AM95" s="1930"/>
      <c r="AN95" s="1930"/>
      <c r="AO95" s="1930"/>
      <c r="AP95" s="1930"/>
      <c r="AQ95" s="1930"/>
      <c r="AR95" s="1930"/>
      <c r="AS95" s="1930"/>
      <c r="AT95" s="1930"/>
      <c r="AU95" s="1930"/>
      <c r="AV95" s="1930"/>
      <c r="AW95" s="1930"/>
      <c r="AX95" s="1930"/>
      <c r="AY95" s="1930"/>
      <c r="AZ95" s="1930"/>
      <c r="BA95" s="1930"/>
      <c r="BC95" s="1930"/>
      <c r="BD95" s="1930"/>
      <c r="BE95" s="1930"/>
    </row>
    <row r="96" spans="1:57" hidden="1" outlineLevel="1" x14ac:dyDescent="0.25">
      <c r="B96" s="1233"/>
      <c r="C96" s="225"/>
      <c r="D96" s="4328"/>
      <c r="E96" s="420" t="s">
        <v>2446</v>
      </c>
      <c r="F96" s="944">
        <v>1</v>
      </c>
      <c r="G96" s="3201"/>
      <c r="H96" s="1204"/>
      <c r="I96" s="910"/>
      <c r="J96" s="910"/>
      <c r="K96" s="249"/>
      <c r="L96" s="249"/>
      <c r="M96" s="249"/>
      <c r="N96" s="249"/>
      <c r="O96" s="249"/>
      <c r="P96" s="249"/>
      <c r="Q96" s="249"/>
      <c r="V96" s="4248"/>
      <c r="W96" s="476">
        <v>1</v>
      </c>
      <c r="X96" s="476">
        <v>1</v>
      </c>
      <c r="Y96" s="944">
        <v>1</v>
      </c>
      <c r="Z96" s="944">
        <v>1</v>
      </c>
      <c r="AA96" s="944">
        <v>1</v>
      </c>
      <c r="AB96" s="476">
        <v>1</v>
      </c>
      <c r="AC96" s="476">
        <v>1</v>
      </c>
      <c r="AD96" s="476"/>
      <c r="AE96" s="476"/>
      <c r="AF96" s="476"/>
      <c r="AG96" s="476"/>
      <c r="AH96" s="1930"/>
      <c r="AI96" s="1930"/>
      <c r="AJ96" s="1930"/>
      <c r="AK96" s="1930"/>
      <c r="AL96" s="1930"/>
      <c r="AM96" s="1930"/>
      <c r="AN96" s="1930"/>
      <c r="AO96" s="1930"/>
      <c r="AP96" s="1930"/>
      <c r="AQ96" s="1930"/>
      <c r="AR96" s="1930"/>
      <c r="AS96" s="1930"/>
      <c r="AT96" s="1930"/>
      <c r="AU96" s="1930"/>
      <c r="AV96" s="1930"/>
      <c r="AW96" s="1930"/>
      <c r="AX96" s="1930"/>
      <c r="AY96" s="1930"/>
      <c r="AZ96" s="1930"/>
      <c r="BA96" s="1930"/>
      <c r="BC96" s="1930"/>
      <c r="BD96" s="1930"/>
      <c r="BE96" s="1930"/>
    </row>
    <row r="97" spans="2:57" hidden="1" outlineLevel="1" x14ac:dyDescent="0.25">
      <c r="B97" s="1233"/>
      <c r="C97" s="225"/>
      <c r="D97" s="4328"/>
      <c r="E97" s="420" t="s">
        <v>2447</v>
      </c>
      <c r="F97" s="944">
        <v>0</v>
      </c>
      <c r="G97" s="3201"/>
      <c r="H97" s="1204"/>
      <c r="I97" s="910"/>
      <c r="J97" s="910"/>
      <c r="K97" s="249"/>
      <c r="L97" s="249"/>
      <c r="M97" s="249"/>
      <c r="N97" s="249"/>
      <c r="O97" s="249"/>
      <c r="P97" s="249"/>
      <c r="Q97" s="249"/>
      <c r="V97" s="4248"/>
      <c r="W97" s="476">
        <v>0</v>
      </c>
      <c r="X97" s="476">
        <v>0</v>
      </c>
      <c r="Y97" s="944">
        <v>0</v>
      </c>
      <c r="Z97" s="944">
        <v>0</v>
      </c>
      <c r="AA97" s="944">
        <v>0</v>
      </c>
      <c r="AB97" s="476">
        <v>0</v>
      </c>
      <c r="AC97" s="476">
        <v>0</v>
      </c>
      <c r="AD97" s="476"/>
      <c r="AE97" s="476"/>
      <c r="AF97" s="476"/>
      <c r="AG97" s="476"/>
      <c r="AH97" s="1930"/>
      <c r="AI97" s="1930"/>
      <c r="AJ97" s="1930"/>
      <c r="AK97" s="1930"/>
      <c r="AL97" s="1930"/>
      <c r="AM97" s="1930"/>
      <c r="AN97" s="1930"/>
      <c r="AO97" s="1930"/>
      <c r="AP97" s="1930"/>
      <c r="AQ97" s="1930"/>
      <c r="AR97" s="1930"/>
      <c r="AS97" s="1930"/>
      <c r="AT97" s="1930"/>
      <c r="AU97" s="1930"/>
      <c r="AV97" s="1930"/>
      <c r="AW97" s="1930"/>
      <c r="AX97" s="1930"/>
      <c r="AY97" s="1930"/>
      <c r="AZ97" s="1930"/>
      <c r="BA97" s="1930"/>
      <c r="BC97" s="1930"/>
      <c r="BD97" s="1930"/>
      <c r="BE97" s="1930"/>
    </row>
    <row r="98" spans="2:57" hidden="1" outlineLevel="1" x14ac:dyDescent="0.25">
      <c r="B98" s="1233"/>
      <c r="C98" s="225"/>
      <c r="D98" s="4328"/>
      <c r="E98" s="420" t="s">
        <v>2448</v>
      </c>
      <c r="F98" s="944">
        <v>1</v>
      </c>
      <c r="G98" s="3201"/>
      <c r="H98" s="1204"/>
      <c r="I98" s="910"/>
      <c r="J98" s="910"/>
      <c r="K98" s="249"/>
      <c r="L98" s="249"/>
      <c r="M98" s="249"/>
      <c r="N98" s="249"/>
      <c r="O98" s="249"/>
      <c r="P98" s="249"/>
      <c r="Q98" s="249"/>
      <c r="V98" s="4248"/>
      <c r="W98" s="476">
        <v>1</v>
      </c>
      <c r="X98" s="476">
        <v>1</v>
      </c>
      <c r="Y98" s="944">
        <v>1</v>
      </c>
      <c r="Z98" s="944">
        <v>1</v>
      </c>
      <c r="AA98" s="944">
        <v>1</v>
      </c>
      <c r="AB98" s="476">
        <v>1</v>
      </c>
      <c r="AC98" s="476">
        <v>1</v>
      </c>
      <c r="AD98" s="476"/>
      <c r="AE98" s="476"/>
      <c r="AF98" s="476"/>
      <c r="AG98" s="476"/>
      <c r="AH98" s="1930"/>
      <c r="AI98" s="1930"/>
      <c r="AJ98" s="1930"/>
      <c r="AK98" s="1930"/>
      <c r="AL98" s="1930"/>
      <c r="AM98" s="1930"/>
      <c r="AN98" s="1930"/>
      <c r="AO98" s="1930"/>
      <c r="AP98" s="1930"/>
      <c r="AQ98" s="1930"/>
      <c r="AR98" s="1930"/>
      <c r="AS98" s="1930"/>
      <c r="AT98" s="1930"/>
      <c r="AU98" s="1930"/>
      <c r="AV98" s="1930"/>
      <c r="AW98" s="1930"/>
      <c r="AX98" s="1930"/>
      <c r="AY98" s="1930"/>
      <c r="AZ98" s="1930"/>
      <c r="BA98" s="1930"/>
      <c r="BC98" s="1930"/>
      <c r="BD98" s="1930"/>
      <c r="BE98" s="1930"/>
    </row>
    <row r="99" spans="2:57" hidden="1" outlineLevel="1" x14ac:dyDescent="0.25">
      <c r="B99" s="1233"/>
      <c r="C99" s="225"/>
      <c r="D99" s="4328"/>
      <c r="E99" s="420" t="s">
        <v>2449</v>
      </c>
      <c r="F99" s="944">
        <v>0</v>
      </c>
      <c r="G99" s="3201"/>
      <c r="H99" s="1204"/>
      <c r="I99" s="910"/>
      <c r="J99" s="910"/>
      <c r="K99" s="249"/>
      <c r="L99" s="249"/>
      <c r="M99" s="249"/>
      <c r="N99" s="249"/>
      <c r="O99" s="249"/>
      <c r="P99" s="249"/>
      <c r="Q99" s="249"/>
      <c r="V99" s="4248"/>
      <c r="W99" s="476">
        <v>0</v>
      </c>
      <c r="X99" s="476">
        <v>0</v>
      </c>
      <c r="Y99" s="944">
        <v>0</v>
      </c>
      <c r="Z99" s="944">
        <v>0</v>
      </c>
      <c r="AA99" s="944">
        <v>0</v>
      </c>
      <c r="AB99" s="476">
        <v>0</v>
      </c>
      <c r="AC99" s="476">
        <v>0</v>
      </c>
      <c r="AD99" s="476"/>
      <c r="AE99" s="476"/>
      <c r="AF99" s="476"/>
      <c r="AG99" s="476"/>
    </row>
    <row r="100" spans="2:57" hidden="1" outlineLevel="1" x14ac:dyDescent="0.25">
      <c r="B100" s="1233"/>
      <c r="C100" s="225"/>
      <c r="D100" s="4328"/>
      <c r="E100" s="420" t="s">
        <v>2450</v>
      </c>
      <c r="F100" s="944">
        <v>1</v>
      </c>
      <c r="G100" s="3201"/>
      <c r="H100" s="1204"/>
      <c r="I100" s="910"/>
      <c r="J100" s="910"/>
      <c r="K100" s="249"/>
      <c r="L100" s="249"/>
      <c r="M100" s="249"/>
      <c r="N100" s="249"/>
      <c r="O100" s="249"/>
      <c r="P100" s="249"/>
      <c r="Q100" s="249"/>
      <c r="V100" s="4248"/>
      <c r="W100" s="476">
        <v>1</v>
      </c>
      <c r="X100" s="476">
        <v>1</v>
      </c>
      <c r="Y100" s="944">
        <v>1</v>
      </c>
      <c r="Z100" s="944">
        <v>1</v>
      </c>
      <c r="AA100" s="944">
        <v>1</v>
      </c>
      <c r="AB100" s="476">
        <v>1</v>
      </c>
      <c r="AC100" s="476">
        <v>1</v>
      </c>
      <c r="AD100" s="476"/>
      <c r="AE100" s="476"/>
      <c r="AF100" s="476"/>
      <c r="AG100" s="476"/>
    </row>
    <row r="101" spans="2:57" hidden="1" outlineLevel="1" x14ac:dyDescent="0.25">
      <c r="B101" s="1233"/>
      <c r="C101" s="225"/>
      <c r="D101" s="4328"/>
      <c r="E101" s="420" t="s">
        <v>2451</v>
      </c>
      <c r="F101" s="944">
        <v>0</v>
      </c>
      <c r="G101" s="3201"/>
      <c r="H101" s="1204"/>
      <c r="I101" s="910"/>
      <c r="J101" s="910"/>
      <c r="K101" s="249"/>
      <c r="L101" s="249"/>
      <c r="M101" s="249"/>
      <c r="N101" s="249"/>
      <c r="O101" s="249"/>
      <c r="P101" s="249"/>
      <c r="Q101" s="249"/>
      <c r="V101" s="4248"/>
      <c r="W101" s="476">
        <v>0</v>
      </c>
      <c r="X101" s="476">
        <v>0</v>
      </c>
      <c r="Y101" s="944">
        <v>0</v>
      </c>
      <c r="Z101" s="944">
        <v>0</v>
      </c>
      <c r="AA101" s="944">
        <v>0</v>
      </c>
      <c r="AB101" s="476">
        <v>0</v>
      </c>
      <c r="AC101" s="476">
        <v>0</v>
      </c>
      <c r="AD101" s="476"/>
      <c r="AE101" s="476"/>
      <c r="AF101" s="476"/>
      <c r="AG101" s="476"/>
    </row>
    <row r="102" spans="2:57" hidden="1" outlineLevel="1" x14ac:dyDescent="0.25">
      <c r="B102" s="1233"/>
      <c r="C102" s="225"/>
      <c r="D102" s="4328"/>
      <c r="E102" s="420" t="s">
        <v>2452</v>
      </c>
      <c r="F102" s="944">
        <v>1</v>
      </c>
      <c r="G102" s="3201"/>
      <c r="H102" s="1204"/>
      <c r="I102" s="910"/>
      <c r="J102" s="910"/>
      <c r="K102" s="249"/>
      <c r="L102" s="249"/>
      <c r="M102" s="249"/>
      <c r="N102" s="249"/>
      <c r="O102" s="249"/>
      <c r="P102" s="249"/>
      <c r="Q102" s="249"/>
      <c r="V102" s="4248"/>
      <c r="W102" s="476">
        <v>1</v>
      </c>
      <c r="X102" s="476">
        <v>1</v>
      </c>
      <c r="Y102" s="944">
        <v>1</v>
      </c>
      <c r="Z102" s="944">
        <v>1</v>
      </c>
      <c r="AA102" s="944">
        <v>1</v>
      </c>
      <c r="AB102" s="476">
        <v>1</v>
      </c>
      <c r="AC102" s="476">
        <v>1</v>
      </c>
      <c r="AD102" s="476"/>
      <c r="AE102" s="476"/>
      <c r="AF102" s="476"/>
      <c r="AG102" s="476"/>
    </row>
    <row r="103" spans="2:57" hidden="1" outlineLevel="1" x14ac:dyDescent="0.25">
      <c r="B103" s="1233"/>
      <c r="C103" s="225"/>
      <c r="D103" s="4328"/>
      <c r="E103" s="420" t="s">
        <v>2453</v>
      </c>
      <c r="F103" s="944">
        <v>0</v>
      </c>
      <c r="G103" s="3201"/>
      <c r="H103" s="1204"/>
      <c r="I103" s="910"/>
      <c r="J103" s="910"/>
      <c r="K103" s="249"/>
      <c r="L103" s="249"/>
      <c r="M103" s="249"/>
      <c r="N103" s="249"/>
      <c r="O103" s="249"/>
      <c r="P103" s="249"/>
      <c r="Q103" s="249"/>
      <c r="V103" s="4248"/>
      <c r="W103" s="476">
        <v>0</v>
      </c>
      <c r="X103" s="476">
        <v>0</v>
      </c>
      <c r="Y103" s="944">
        <v>0</v>
      </c>
      <c r="Z103" s="944">
        <v>0</v>
      </c>
      <c r="AA103" s="944">
        <v>0</v>
      </c>
      <c r="AB103" s="476">
        <v>0</v>
      </c>
      <c r="AC103" s="476">
        <v>0</v>
      </c>
      <c r="AD103" s="476"/>
      <c r="AE103" s="476"/>
      <c r="AF103" s="476"/>
      <c r="AG103" s="476"/>
    </row>
    <row r="104" spans="2:57" ht="15" hidden="1" customHeight="1" outlineLevel="1" x14ac:dyDescent="0.25">
      <c r="B104" s="1233"/>
      <c r="C104" s="225"/>
      <c r="D104" s="4327" t="s">
        <v>1705</v>
      </c>
      <c r="E104" s="420" t="s">
        <v>2444</v>
      </c>
      <c r="F104" s="1203">
        <v>11</v>
      </c>
      <c r="G104" s="3201"/>
      <c r="H104" s="1204" t="s">
        <v>1706</v>
      </c>
      <c r="I104" s="910"/>
      <c r="J104" s="910"/>
      <c r="K104" s="249"/>
      <c r="L104" s="249"/>
      <c r="M104" s="249"/>
      <c r="N104" s="249"/>
      <c r="O104" s="249"/>
      <c r="P104" s="249"/>
      <c r="Q104" s="249"/>
      <c r="V104" s="4247" t="str">
        <f>D104</f>
        <v>Rold</v>
      </c>
      <c r="W104" s="1201">
        <v>11</v>
      </c>
      <c r="X104" s="1201">
        <v>11</v>
      </c>
      <c r="Y104" s="1203">
        <v>11</v>
      </c>
      <c r="Z104" s="1203">
        <v>11</v>
      </c>
      <c r="AA104" s="1203">
        <v>11</v>
      </c>
      <c r="AB104" s="1201">
        <v>11</v>
      </c>
      <c r="AC104" s="1201">
        <v>11</v>
      </c>
      <c r="AD104" s="1201"/>
      <c r="AE104" s="1201"/>
      <c r="AF104" s="1201"/>
      <c r="AG104" s="1201"/>
    </row>
    <row r="105" spans="2:57" hidden="1" outlineLevel="1" x14ac:dyDescent="0.25">
      <c r="B105" s="1233"/>
      <c r="C105" s="225"/>
      <c r="D105" s="4328"/>
      <c r="E105" s="420" t="s">
        <v>2445</v>
      </c>
      <c r="F105" s="1203">
        <v>11</v>
      </c>
      <c r="G105" s="3201"/>
      <c r="H105" s="1204" t="s">
        <v>1706</v>
      </c>
      <c r="I105" s="910"/>
      <c r="J105" s="910"/>
      <c r="K105" s="249"/>
      <c r="L105" s="249"/>
      <c r="M105" s="249"/>
      <c r="N105" s="249"/>
      <c r="O105" s="249"/>
      <c r="P105" s="249"/>
      <c r="Q105" s="249"/>
      <c r="V105" s="4248"/>
      <c r="W105" s="1201">
        <v>11</v>
      </c>
      <c r="X105" s="1201">
        <v>11</v>
      </c>
      <c r="Y105" s="1203">
        <v>11</v>
      </c>
      <c r="Z105" s="1203">
        <v>11</v>
      </c>
      <c r="AA105" s="1203">
        <v>11</v>
      </c>
      <c r="AB105" s="1201">
        <v>11</v>
      </c>
      <c r="AC105" s="1201">
        <v>11</v>
      </c>
      <c r="AD105" s="1201"/>
      <c r="AE105" s="1201"/>
      <c r="AF105" s="1201"/>
      <c r="AG105" s="1201"/>
    </row>
    <row r="106" spans="2:57" hidden="1" outlineLevel="1" x14ac:dyDescent="0.25">
      <c r="B106" s="1233"/>
      <c r="C106" s="225"/>
      <c r="D106" s="4328"/>
      <c r="E106" s="420" t="s">
        <v>2446</v>
      </c>
      <c r="F106" s="1203">
        <v>5</v>
      </c>
      <c r="G106" s="3201"/>
      <c r="H106" s="1204" t="s">
        <v>1706</v>
      </c>
      <c r="I106" s="910"/>
      <c r="J106" s="910"/>
      <c r="K106" s="249"/>
      <c r="L106" s="249"/>
      <c r="M106" s="249"/>
      <c r="N106" s="249"/>
      <c r="O106" s="249"/>
      <c r="P106" s="249"/>
      <c r="Q106" s="249"/>
      <c r="V106" s="4248"/>
      <c r="W106" s="1201">
        <v>5</v>
      </c>
      <c r="X106" s="1201">
        <v>5</v>
      </c>
      <c r="Y106" s="1203">
        <v>5</v>
      </c>
      <c r="Z106" s="1203">
        <v>5</v>
      </c>
      <c r="AA106" s="1203">
        <v>5</v>
      </c>
      <c r="AB106" s="1201">
        <v>5</v>
      </c>
      <c r="AC106" s="1201">
        <v>5</v>
      </c>
      <c r="AD106" s="1201"/>
      <c r="AE106" s="1201"/>
      <c r="AF106" s="1201"/>
      <c r="AG106" s="1201"/>
    </row>
    <row r="107" spans="2:57" hidden="1" outlineLevel="1" x14ac:dyDescent="0.25">
      <c r="B107" s="1233"/>
      <c r="C107" s="225"/>
      <c r="D107" s="4328"/>
      <c r="E107" s="420" t="s">
        <v>2447</v>
      </c>
      <c r="F107" s="1203">
        <v>5</v>
      </c>
      <c r="G107" s="3201"/>
      <c r="H107" s="1204" t="s">
        <v>1706</v>
      </c>
      <c r="I107" s="910"/>
      <c r="J107" s="910"/>
      <c r="K107" s="249"/>
      <c r="L107" s="249"/>
      <c r="M107" s="249"/>
      <c r="N107" s="249"/>
      <c r="O107" s="249"/>
      <c r="P107" s="249"/>
      <c r="Q107" s="249"/>
      <c r="V107" s="4248"/>
      <c r="W107" s="1201">
        <v>5</v>
      </c>
      <c r="X107" s="1201">
        <v>5</v>
      </c>
      <c r="Y107" s="1203">
        <v>5</v>
      </c>
      <c r="Z107" s="1203">
        <v>5</v>
      </c>
      <c r="AA107" s="1203">
        <v>5</v>
      </c>
      <c r="AB107" s="1201">
        <v>5</v>
      </c>
      <c r="AC107" s="1201">
        <v>5</v>
      </c>
      <c r="AD107" s="1201"/>
      <c r="AE107" s="1201"/>
      <c r="AF107" s="1201"/>
      <c r="AG107" s="1201"/>
    </row>
    <row r="108" spans="2:57" hidden="1" outlineLevel="1" x14ac:dyDescent="0.25">
      <c r="B108" s="1233"/>
      <c r="C108" s="225"/>
      <c r="D108" s="4328"/>
      <c r="E108" s="420" t="s">
        <v>2448</v>
      </c>
      <c r="F108" s="1203">
        <v>5</v>
      </c>
      <c r="G108" s="3201"/>
      <c r="H108" s="1204" t="s">
        <v>1706</v>
      </c>
      <c r="I108" s="910"/>
      <c r="J108" s="910"/>
      <c r="K108" s="249"/>
      <c r="L108" s="249"/>
      <c r="M108" s="249"/>
      <c r="N108" s="249"/>
      <c r="O108" s="249"/>
      <c r="P108" s="249"/>
      <c r="Q108" s="249"/>
      <c r="V108" s="4248"/>
      <c r="W108" s="1201">
        <v>5</v>
      </c>
      <c r="X108" s="1201">
        <v>5</v>
      </c>
      <c r="Y108" s="1203">
        <v>5</v>
      </c>
      <c r="Z108" s="1203">
        <v>5</v>
      </c>
      <c r="AA108" s="1203">
        <v>5</v>
      </c>
      <c r="AB108" s="1201">
        <v>5</v>
      </c>
      <c r="AC108" s="1201">
        <v>5</v>
      </c>
      <c r="AD108" s="1201"/>
      <c r="AE108" s="1201"/>
      <c r="AF108" s="1201"/>
      <c r="AG108" s="1201"/>
    </row>
    <row r="109" spans="2:57" hidden="1" outlineLevel="1" x14ac:dyDescent="0.25">
      <c r="B109" s="1233"/>
      <c r="C109" s="225"/>
      <c r="D109" s="4328"/>
      <c r="E109" s="420" t="s">
        <v>2449</v>
      </c>
      <c r="F109" s="1203">
        <v>5</v>
      </c>
      <c r="G109" s="3201"/>
      <c r="H109" s="1204" t="s">
        <v>1706</v>
      </c>
      <c r="I109" s="910"/>
      <c r="J109" s="910"/>
      <c r="K109" s="249"/>
      <c r="L109" s="249"/>
      <c r="M109" s="249"/>
      <c r="N109" s="249"/>
      <c r="O109" s="249"/>
      <c r="P109" s="249"/>
      <c r="Q109" s="249"/>
      <c r="V109" s="4248"/>
      <c r="W109" s="1201">
        <v>5</v>
      </c>
      <c r="X109" s="1201">
        <v>5</v>
      </c>
      <c r="Y109" s="1203">
        <v>5</v>
      </c>
      <c r="Z109" s="1203">
        <v>5</v>
      </c>
      <c r="AA109" s="1203">
        <v>5</v>
      </c>
      <c r="AB109" s="1201">
        <v>5</v>
      </c>
      <c r="AC109" s="1201">
        <v>5</v>
      </c>
      <c r="AD109" s="1201"/>
      <c r="AE109" s="1201"/>
      <c r="AF109" s="1201"/>
      <c r="AG109" s="1201"/>
    </row>
    <row r="110" spans="2:57" hidden="1" outlineLevel="1" x14ac:dyDescent="0.25">
      <c r="B110" s="1233"/>
      <c r="C110" s="225"/>
      <c r="D110" s="4328"/>
      <c r="E110" s="420" t="s">
        <v>2450</v>
      </c>
      <c r="F110" s="1203">
        <v>5</v>
      </c>
      <c r="G110" s="3201"/>
      <c r="H110" s="1204" t="s">
        <v>1706</v>
      </c>
      <c r="I110" s="910"/>
      <c r="J110" s="910"/>
      <c r="K110" s="249"/>
      <c r="L110" s="249"/>
      <c r="M110" s="249"/>
      <c r="N110" s="249"/>
      <c r="O110" s="249"/>
      <c r="P110" s="249"/>
      <c r="Q110" s="249"/>
      <c r="V110" s="4248"/>
      <c r="W110" s="1201">
        <v>5</v>
      </c>
      <c r="X110" s="1201">
        <v>5</v>
      </c>
      <c r="Y110" s="1203">
        <v>5</v>
      </c>
      <c r="Z110" s="1203">
        <v>5</v>
      </c>
      <c r="AA110" s="1203">
        <v>5</v>
      </c>
      <c r="AB110" s="1201">
        <v>5</v>
      </c>
      <c r="AC110" s="1201">
        <v>5</v>
      </c>
      <c r="AD110" s="1201"/>
      <c r="AE110" s="1201"/>
      <c r="AF110" s="1201"/>
      <c r="AG110" s="1201"/>
    </row>
    <row r="111" spans="2:57" hidden="1" outlineLevel="1" x14ac:dyDescent="0.25">
      <c r="B111" s="1233"/>
      <c r="C111" s="225"/>
      <c r="D111" s="4328"/>
      <c r="E111" s="420" t="s">
        <v>2451</v>
      </c>
      <c r="F111" s="1203">
        <v>5</v>
      </c>
      <c r="G111" s="3201"/>
      <c r="H111" s="1204" t="s">
        <v>1706</v>
      </c>
      <c r="I111" s="910"/>
      <c r="J111" s="910"/>
      <c r="K111" s="249"/>
      <c r="L111" s="249"/>
      <c r="M111" s="249"/>
      <c r="N111" s="249"/>
      <c r="O111" s="249"/>
      <c r="P111" s="249"/>
      <c r="Q111" s="249"/>
      <c r="V111" s="4248"/>
      <c r="W111" s="1201">
        <v>5</v>
      </c>
      <c r="X111" s="1201">
        <v>5</v>
      </c>
      <c r="Y111" s="1203">
        <v>5</v>
      </c>
      <c r="Z111" s="1203">
        <v>5</v>
      </c>
      <c r="AA111" s="1203">
        <v>5</v>
      </c>
      <c r="AB111" s="1201">
        <v>5</v>
      </c>
      <c r="AC111" s="1201">
        <v>5</v>
      </c>
      <c r="AD111" s="1201"/>
      <c r="AE111" s="1201"/>
      <c r="AF111" s="1201"/>
      <c r="AG111" s="1201"/>
    </row>
    <row r="112" spans="2:57" hidden="1" outlineLevel="1" x14ac:dyDescent="0.25">
      <c r="B112" s="1233"/>
      <c r="C112" s="225"/>
      <c r="D112" s="4328"/>
      <c r="E112" s="420" t="s">
        <v>2452</v>
      </c>
      <c r="F112" s="1203">
        <v>5</v>
      </c>
      <c r="G112" s="3201"/>
      <c r="H112" s="1204" t="s">
        <v>1706</v>
      </c>
      <c r="I112" s="910"/>
      <c r="J112" s="910"/>
      <c r="K112" s="249"/>
      <c r="L112" s="249"/>
      <c r="M112" s="249"/>
      <c r="N112" s="249"/>
      <c r="O112" s="249"/>
      <c r="P112" s="249"/>
      <c r="Q112" s="249"/>
      <c r="V112" s="4248"/>
      <c r="W112" s="1201">
        <v>5</v>
      </c>
      <c r="X112" s="1201">
        <v>5</v>
      </c>
      <c r="Y112" s="1203">
        <v>5</v>
      </c>
      <c r="Z112" s="1203">
        <v>5</v>
      </c>
      <c r="AA112" s="1203">
        <v>5</v>
      </c>
      <c r="AB112" s="1201">
        <v>5</v>
      </c>
      <c r="AC112" s="1201">
        <v>5</v>
      </c>
      <c r="AD112" s="1201"/>
      <c r="AE112" s="1201"/>
      <c r="AF112" s="1201"/>
      <c r="AG112" s="1201"/>
    </row>
    <row r="113" spans="2:33" hidden="1" outlineLevel="1" x14ac:dyDescent="0.25">
      <c r="B113" s="1233"/>
      <c r="C113" s="225"/>
      <c r="D113" s="4328"/>
      <c r="E113" s="420" t="s">
        <v>2453</v>
      </c>
      <c r="F113" s="1203">
        <v>5</v>
      </c>
      <c r="G113" s="3201"/>
      <c r="H113" s="1204" t="s">
        <v>1706</v>
      </c>
      <c r="I113" s="910"/>
      <c r="J113" s="910"/>
      <c r="K113" s="249"/>
      <c r="L113" s="249"/>
      <c r="M113" s="249"/>
      <c r="N113" s="249"/>
      <c r="O113" s="249"/>
      <c r="P113" s="249"/>
      <c r="Q113" s="249"/>
      <c r="V113" s="4248"/>
      <c r="W113" s="1201">
        <v>5</v>
      </c>
      <c r="X113" s="1201">
        <v>5</v>
      </c>
      <c r="Y113" s="1203">
        <v>5</v>
      </c>
      <c r="Z113" s="1203">
        <v>5</v>
      </c>
      <c r="AA113" s="1203">
        <v>5</v>
      </c>
      <c r="AB113" s="1201">
        <v>5</v>
      </c>
      <c r="AC113" s="1201">
        <v>5</v>
      </c>
      <c r="AD113" s="1201"/>
      <c r="AE113" s="1201"/>
      <c r="AF113" s="1201"/>
      <c r="AG113" s="1201"/>
    </row>
    <row r="114" spans="2:33" ht="15" hidden="1" customHeight="1" outlineLevel="1" x14ac:dyDescent="0.25">
      <c r="B114" s="1233"/>
      <c r="C114" s="225"/>
      <c r="D114" s="4327" t="s">
        <v>1707</v>
      </c>
      <c r="E114" s="420" t="s">
        <v>2444</v>
      </c>
      <c r="F114" s="1203">
        <v>49</v>
      </c>
      <c r="G114" s="3201"/>
      <c r="H114" s="1204" t="s">
        <v>1706</v>
      </c>
      <c r="I114" s="910"/>
      <c r="J114" s="910"/>
      <c r="K114" s="249"/>
      <c r="L114" s="249"/>
      <c r="M114" s="249"/>
      <c r="N114" s="249"/>
      <c r="O114" s="249"/>
      <c r="P114" s="249"/>
      <c r="Q114" s="249"/>
      <c r="V114" s="4247" t="str">
        <f>D114</f>
        <v>RAttic</v>
      </c>
      <c r="W114" s="1201">
        <v>49</v>
      </c>
      <c r="X114" s="1201">
        <v>49</v>
      </c>
      <c r="Y114" s="1203">
        <v>49</v>
      </c>
      <c r="Z114" s="1203">
        <v>49</v>
      </c>
      <c r="AA114" s="1203">
        <v>49</v>
      </c>
      <c r="AB114" s="1201">
        <v>49</v>
      </c>
      <c r="AC114" s="1201">
        <v>49</v>
      </c>
      <c r="AD114" s="1201"/>
      <c r="AE114" s="1201"/>
      <c r="AF114" s="1201"/>
      <c r="AG114" s="1201"/>
    </row>
    <row r="115" spans="2:33" hidden="1" outlineLevel="1" x14ac:dyDescent="0.25">
      <c r="B115" s="1233"/>
      <c r="C115" s="225"/>
      <c r="D115" s="4328"/>
      <c r="E115" s="420" t="s">
        <v>2445</v>
      </c>
      <c r="F115" s="1203">
        <v>49</v>
      </c>
      <c r="G115" s="3201"/>
      <c r="H115" s="1204" t="s">
        <v>1706</v>
      </c>
      <c r="I115" s="910"/>
      <c r="J115" s="910"/>
      <c r="K115" s="249"/>
      <c r="L115" s="249"/>
      <c r="M115" s="249"/>
      <c r="N115" s="249"/>
      <c r="O115" s="249"/>
      <c r="P115" s="249"/>
      <c r="Q115" s="249"/>
      <c r="V115" s="4248"/>
      <c r="W115" s="1201">
        <v>49</v>
      </c>
      <c r="X115" s="1201">
        <v>49</v>
      </c>
      <c r="Y115" s="1203">
        <v>49</v>
      </c>
      <c r="Z115" s="1203">
        <v>49</v>
      </c>
      <c r="AA115" s="1203">
        <v>49</v>
      </c>
      <c r="AB115" s="1201">
        <v>49</v>
      </c>
      <c r="AC115" s="1201">
        <v>49</v>
      </c>
      <c r="AD115" s="1201"/>
      <c r="AE115" s="1201"/>
      <c r="AF115" s="1201"/>
      <c r="AG115" s="1201"/>
    </row>
    <row r="116" spans="2:33" hidden="1" outlineLevel="1" x14ac:dyDescent="0.25">
      <c r="B116" s="1233"/>
      <c r="C116" s="225"/>
      <c r="D116" s="4328"/>
      <c r="E116" s="420" t="s">
        <v>2446</v>
      </c>
      <c r="F116" s="1203">
        <v>30</v>
      </c>
      <c r="G116" s="3201"/>
      <c r="H116" s="1204" t="s">
        <v>1706</v>
      </c>
      <c r="I116" s="910"/>
      <c r="J116" s="910"/>
      <c r="K116" s="249"/>
      <c r="L116" s="249"/>
      <c r="M116" s="249"/>
      <c r="N116" s="249"/>
      <c r="O116" s="249"/>
      <c r="P116" s="249"/>
      <c r="Q116" s="249"/>
      <c r="V116" s="4248"/>
      <c r="W116" s="1201">
        <v>30</v>
      </c>
      <c r="X116" s="1201">
        <v>30</v>
      </c>
      <c r="Y116" s="1203">
        <v>30</v>
      </c>
      <c r="Z116" s="1203">
        <v>30</v>
      </c>
      <c r="AA116" s="1203">
        <v>30</v>
      </c>
      <c r="AB116" s="1201">
        <v>30</v>
      </c>
      <c r="AC116" s="1201">
        <v>30</v>
      </c>
      <c r="AD116" s="1201"/>
      <c r="AE116" s="1201"/>
      <c r="AF116" s="1201"/>
      <c r="AG116" s="1201"/>
    </row>
    <row r="117" spans="2:33" hidden="1" outlineLevel="1" x14ac:dyDescent="0.25">
      <c r="B117" s="1233"/>
      <c r="C117" s="225"/>
      <c r="D117" s="4328"/>
      <c r="E117" s="420" t="s">
        <v>2447</v>
      </c>
      <c r="F117" s="1203">
        <v>30</v>
      </c>
      <c r="G117" s="3201"/>
      <c r="H117" s="1204" t="s">
        <v>1706</v>
      </c>
      <c r="I117" s="910"/>
      <c r="J117" s="910"/>
      <c r="K117" s="249"/>
      <c r="L117" s="249"/>
      <c r="M117" s="249"/>
      <c r="N117" s="249"/>
      <c r="O117" s="249"/>
      <c r="P117" s="249"/>
      <c r="Q117" s="249"/>
      <c r="V117" s="4248"/>
      <c r="W117" s="1201">
        <v>30</v>
      </c>
      <c r="X117" s="1201">
        <v>30</v>
      </c>
      <c r="Y117" s="1203">
        <v>30</v>
      </c>
      <c r="Z117" s="1203">
        <v>30</v>
      </c>
      <c r="AA117" s="1203">
        <v>30</v>
      </c>
      <c r="AB117" s="1201">
        <v>30</v>
      </c>
      <c r="AC117" s="1201">
        <v>30</v>
      </c>
      <c r="AD117" s="1201"/>
      <c r="AE117" s="1201"/>
      <c r="AF117" s="1201"/>
      <c r="AG117" s="1201"/>
    </row>
    <row r="118" spans="2:33" hidden="1" outlineLevel="1" x14ac:dyDescent="0.25">
      <c r="B118" s="1233"/>
      <c r="C118" s="225"/>
      <c r="D118" s="4328"/>
      <c r="E118" s="420" t="s">
        <v>2448</v>
      </c>
      <c r="F118" s="1203">
        <v>38</v>
      </c>
      <c r="G118" s="3201"/>
      <c r="H118" s="1204" t="s">
        <v>1706</v>
      </c>
      <c r="I118" s="910"/>
      <c r="J118" s="910"/>
      <c r="K118" s="249"/>
      <c r="L118" s="249"/>
      <c r="M118" s="249"/>
      <c r="N118" s="249"/>
      <c r="O118" s="249"/>
      <c r="P118" s="249"/>
      <c r="Q118" s="249"/>
      <c r="V118" s="4248"/>
      <c r="W118" s="1201">
        <v>38</v>
      </c>
      <c r="X118" s="1201">
        <v>38</v>
      </c>
      <c r="Y118" s="1203">
        <v>38</v>
      </c>
      <c r="Z118" s="1203">
        <v>38</v>
      </c>
      <c r="AA118" s="1203">
        <v>38</v>
      </c>
      <c r="AB118" s="1201">
        <v>38</v>
      </c>
      <c r="AC118" s="1201">
        <v>38</v>
      </c>
      <c r="AD118" s="1201"/>
      <c r="AE118" s="1201"/>
      <c r="AF118" s="1201"/>
      <c r="AG118" s="1201"/>
    </row>
    <row r="119" spans="2:33" hidden="1" outlineLevel="1" x14ac:dyDescent="0.25">
      <c r="B119" s="1233"/>
      <c r="C119" s="225"/>
      <c r="D119" s="4328"/>
      <c r="E119" s="420" t="s">
        <v>2449</v>
      </c>
      <c r="F119" s="1203">
        <v>38</v>
      </c>
      <c r="G119" s="3201"/>
      <c r="H119" s="1204" t="s">
        <v>1706</v>
      </c>
      <c r="I119" s="910"/>
      <c r="J119" s="910"/>
      <c r="K119" s="249"/>
      <c r="L119" s="249"/>
      <c r="M119" s="249"/>
      <c r="N119" s="249"/>
      <c r="O119" s="249"/>
      <c r="P119" s="249"/>
      <c r="Q119" s="249"/>
      <c r="V119" s="4248"/>
      <c r="W119" s="1201">
        <v>38</v>
      </c>
      <c r="X119" s="1201">
        <v>38</v>
      </c>
      <c r="Y119" s="1203">
        <v>38</v>
      </c>
      <c r="Z119" s="1203">
        <v>38</v>
      </c>
      <c r="AA119" s="1203">
        <v>38</v>
      </c>
      <c r="AB119" s="1201">
        <v>38</v>
      </c>
      <c r="AC119" s="1201">
        <v>38</v>
      </c>
      <c r="AD119" s="1201"/>
      <c r="AE119" s="1201"/>
      <c r="AF119" s="1201"/>
      <c r="AG119" s="1201"/>
    </row>
    <row r="120" spans="2:33" hidden="1" outlineLevel="1" x14ac:dyDescent="0.25">
      <c r="B120" s="1233"/>
      <c r="C120" s="225"/>
      <c r="D120" s="4328"/>
      <c r="E120" s="420" t="s">
        <v>2450</v>
      </c>
      <c r="F120" s="1203">
        <v>49</v>
      </c>
      <c r="G120" s="3201"/>
      <c r="H120" s="1204" t="s">
        <v>1706</v>
      </c>
      <c r="I120" s="910"/>
      <c r="J120" s="910"/>
      <c r="K120" s="249"/>
      <c r="L120" s="249"/>
      <c r="M120" s="249"/>
      <c r="N120" s="249"/>
      <c r="O120" s="249"/>
      <c r="P120" s="249"/>
      <c r="Q120" s="249"/>
      <c r="V120" s="4248"/>
      <c r="W120" s="1201">
        <v>49</v>
      </c>
      <c r="X120" s="1201">
        <v>49</v>
      </c>
      <c r="Y120" s="1203">
        <v>49</v>
      </c>
      <c r="Z120" s="1203">
        <v>49</v>
      </c>
      <c r="AA120" s="1203">
        <v>49</v>
      </c>
      <c r="AB120" s="1201">
        <v>49</v>
      </c>
      <c r="AC120" s="1201">
        <v>49</v>
      </c>
      <c r="AD120" s="1201"/>
      <c r="AE120" s="1201"/>
      <c r="AF120" s="1201"/>
      <c r="AG120" s="1201"/>
    </row>
    <row r="121" spans="2:33" hidden="1" outlineLevel="1" x14ac:dyDescent="0.25">
      <c r="B121" s="1233"/>
      <c r="C121" s="225"/>
      <c r="D121" s="4328"/>
      <c r="E121" s="420" t="s">
        <v>2451</v>
      </c>
      <c r="F121" s="1203">
        <v>49</v>
      </c>
      <c r="G121" s="3201"/>
      <c r="H121" s="1204" t="s">
        <v>1706</v>
      </c>
      <c r="I121" s="910"/>
      <c r="J121" s="910"/>
      <c r="K121" s="249"/>
      <c r="L121" s="249"/>
      <c r="M121" s="249"/>
      <c r="N121" s="249"/>
      <c r="O121" s="249"/>
      <c r="P121" s="249"/>
      <c r="Q121" s="249"/>
      <c r="V121" s="4248"/>
      <c r="W121" s="1201">
        <v>49</v>
      </c>
      <c r="X121" s="1201">
        <v>49</v>
      </c>
      <c r="Y121" s="1203">
        <v>49</v>
      </c>
      <c r="Z121" s="1203">
        <v>49</v>
      </c>
      <c r="AA121" s="1203">
        <v>49</v>
      </c>
      <c r="AB121" s="1201">
        <v>49</v>
      </c>
      <c r="AC121" s="1201">
        <v>49</v>
      </c>
      <c r="AD121" s="1201"/>
      <c r="AE121" s="1201"/>
      <c r="AF121" s="1201"/>
      <c r="AG121" s="1201"/>
    </row>
    <row r="122" spans="2:33" hidden="1" outlineLevel="1" x14ac:dyDescent="0.25">
      <c r="B122" s="1233"/>
      <c r="C122" s="225"/>
      <c r="D122" s="4328"/>
      <c r="E122" s="420" t="s">
        <v>2452</v>
      </c>
      <c r="F122" s="1203">
        <v>60</v>
      </c>
      <c r="G122" s="3201"/>
      <c r="H122" s="1204" t="s">
        <v>1706</v>
      </c>
      <c r="I122" s="910"/>
      <c r="J122" s="910"/>
      <c r="K122" s="249"/>
      <c r="L122" s="249"/>
      <c r="M122" s="249"/>
      <c r="N122" s="249"/>
      <c r="O122" s="249"/>
      <c r="P122" s="249"/>
      <c r="Q122" s="249"/>
      <c r="V122" s="4248"/>
      <c r="W122" s="1201">
        <v>60</v>
      </c>
      <c r="X122" s="1201">
        <v>60</v>
      </c>
      <c r="Y122" s="1203">
        <v>60</v>
      </c>
      <c r="Z122" s="1203">
        <v>60</v>
      </c>
      <c r="AA122" s="1203">
        <v>60</v>
      </c>
      <c r="AB122" s="1201">
        <v>60</v>
      </c>
      <c r="AC122" s="1201">
        <v>60</v>
      </c>
      <c r="AD122" s="1201"/>
      <c r="AE122" s="1201"/>
      <c r="AF122" s="1201"/>
      <c r="AG122" s="1201"/>
    </row>
    <row r="123" spans="2:33" hidden="1" outlineLevel="1" x14ac:dyDescent="0.25">
      <c r="B123" s="1233"/>
      <c r="C123" s="225"/>
      <c r="D123" s="4328"/>
      <c r="E123" s="420" t="s">
        <v>2453</v>
      </c>
      <c r="F123" s="1203">
        <v>60</v>
      </c>
      <c r="G123" s="3201"/>
      <c r="H123" s="1204" t="s">
        <v>1706</v>
      </c>
      <c r="I123" s="910"/>
      <c r="J123" s="910"/>
      <c r="K123" s="249"/>
      <c r="L123" s="249"/>
      <c r="M123" s="249"/>
      <c r="N123" s="249"/>
      <c r="O123" s="249"/>
      <c r="P123" s="249"/>
      <c r="Q123" s="249"/>
      <c r="V123" s="4248"/>
      <c r="W123" s="1201">
        <v>60</v>
      </c>
      <c r="X123" s="1201">
        <v>60</v>
      </c>
      <c r="Y123" s="1203">
        <v>60</v>
      </c>
      <c r="Z123" s="1203">
        <v>60</v>
      </c>
      <c r="AA123" s="1203">
        <v>60</v>
      </c>
      <c r="AB123" s="1201">
        <v>60</v>
      </c>
      <c r="AC123" s="1201">
        <v>60</v>
      </c>
      <c r="AD123" s="1201"/>
      <c r="AE123" s="1201"/>
      <c r="AF123" s="1201"/>
      <c r="AG123" s="1201"/>
    </row>
    <row r="124" spans="2:33" ht="15" hidden="1" customHeight="1" outlineLevel="1" x14ac:dyDescent="0.25">
      <c r="B124" s="1038"/>
      <c r="C124" s="225"/>
      <c r="D124" s="4327" t="s">
        <v>1708</v>
      </c>
      <c r="E124" s="420" t="s">
        <v>2444</v>
      </c>
      <c r="F124" s="1203">
        <v>1</v>
      </c>
      <c r="G124" s="3201" t="s">
        <v>1709</v>
      </c>
      <c r="H124" s="1204" t="s">
        <v>2454</v>
      </c>
      <c r="I124" s="918"/>
      <c r="J124" s="918"/>
      <c r="K124" s="1038"/>
      <c r="L124" s="1038"/>
      <c r="M124" s="1038"/>
      <c r="N124" s="1038"/>
      <c r="O124" s="1038"/>
      <c r="P124" s="1038"/>
      <c r="Q124" s="1038"/>
      <c r="V124" s="4247" t="str">
        <f>D124</f>
        <v>AAttic</v>
      </c>
      <c r="W124" s="1201">
        <f>1347*0.65</f>
        <v>875.55000000000007</v>
      </c>
      <c r="X124" s="1201">
        <f>1347*0.65</f>
        <v>875.55000000000007</v>
      </c>
      <c r="Y124" s="929">
        <v>1</v>
      </c>
      <c r="Z124" s="1203">
        <v>1</v>
      </c>
      <c r="AA124" s="1203">
        <v>1</v>
      </c>
      <c r="AB124" s="1201">
        <v>1</v>
      </c>
      <c r="AC124" s="1201">
        <v>1</v>
      </c>
      <c r="AD124" s="1201"/>
      <c r="AE124" s="1201"/>
      <c r="AF124" s="1201"/>
      <c r="AG124" s="1201"/>
    </row>
    <row r="125" spans="2:33" hidden="1" outlineLevel="1" x14ac:dyDescent="0.25">
      <c r="B125" s="1233"/>
      <c r="C125" s="225"/>
      <c r="D125" s="4328"/>
      <c r="E125" s="420" t="s">
        <v>2445</v>
      </c>
      <c r="F125" s="1203">
        <v>1</v>
      </c>
      <c r="G125" s="3201" t="s">
        <v>1709</v>
      </c>
      <c r="H125" s="1204" t="s">
        <v>2454</v>
      </c>
      <c r="I125" s="910"/>
      <c r="J125" s="910"/>
      <c r="K125" s="249"/>
      <c r="L125" s="249"/>
      <c r="M125" s="249"/>
      <c r="N125" s="249"/>
      <c r="O125" s="249"/>
      <c r="P125" s="249"/>
      <c r="Q125" s="249"/>
      <c r="V125" s="4248"/>
      <c r="W125" s="1201">
        <f>1347*0.65</f>
        <v>875.55000000000007</v>
      </c>
      <c r="X125" s="1201">
        <f>1347*0.65</f>
        <v>875.55000000000007</v>
      </c>
      <c r="Y125" s="929">
        <v>1</v>
      </c>
      <c r="Z125" s="1203">
        <v>1</v>
      </c>
      <c r="AA125" s="1203">
        <v>1</v>
      </c>
      <c r="AB125" s="1201">
        <v>1</v>
      </c>
      <c r="AC125" s="1201">
        <v>1</v>
      </c>
      <c r="AD125" s="1201"/>
      <c r="AE125" s="1201"/>
      <c r="AF125" s="1201"/>
      <c r="AG125" s="1201"/>
    </row>
    <row r="126" spans="2:33" ht="30" hidden="1" outlineLevel="1" x14ac:dyDescent="0.25">
      <c r="B126" s="1233"/>
      <c r="C126" s="225"/>
      <c r="D126" s="4328"/>
      <c r="E126" s="420" t="s">
        <v>2446</v>
      </c>
      <c r="F126" s="1203">
        <v>1</v>
      </c>
      <c r="G126" s="3201" t="s">
        <v>2455</v>
      </c>
      <c r="H126" s="1204" t="s">
        <v>2456</v>
      </c>
      <c r="I126" s="910"/>
      <c r="J126" s="910"/>
      <c r="K126" s="249"/>
      <c r="L126" s="249"/>
      <c r="M126" s="249"/>
      <c r="N126" s="249"/>
      <c r="O126" s="249"/>
      <c r="P126" s="249"/>
      <c r="Q126" s="249"/>
      <c r="V126" s="4248"/>
      <c r="W126" s="1201">
        <f t="shared" ref="W126:X133" si="37">1106*0.65</f>
        <v>718.9</v>
      </c>
      <c r="X126" s="1201">
        <f t="shared" si="37"/>
        <v>718.9</v>
      </c>
      <c r="Y126" s="929">
        <v>1</v>
      </c>
      <c r="Z126" s="1203">
        <v>1</v>
      </c>
      <c r="AA126" s="1203">
        <v>1</v>
      </c>
      <c r="AB126" s="1201">
        <v>1</v>
      </c>
      <c r="AC126" s="1201">
        <v>1</v>
      </c>
      <c r="AD126" s="1201"/>
      <c r="AE126" s="1201"/>
      <c r="AF126" s="1201"/>
      <c r="AG126" s="1201"/>
    </row>
    <row r="127" spans="2:33" ht="30" hidden="1" outlineLevel="1" x14ac:dyDescent="0.25">
      <c r="B127" s="1233"/>
      <c r="C127" s="225"/>
      <c r="D127" s="4328"/>
      <c r="E127" s="420" t="s">
        <v>2447</v>
      </c>
      <c r="F127" s="1203">
        <v>1</v>
      </c>
      <c r="G127" s="3201" t="s">
        <v>2455</v>
      </c>
      <c r="H127" s="1204" t="s">
        <v>2456</v>
      </c>
      <c r="I127" s="910"/>
      <c r="J127" s="910"/>
      <c r="K127" s="249"/>
      <c r="L127" s="249"/>
      <c r="M127" s="249"/>
      <c r="N127" s="249"/>
      <c r="O127" s="249"/>
      <c r="P127" s="249"/>
      <c r="Q127" s="249"/>
      <c r="V127" s="4248"/>
      <c r="W127" s="1201">
        <f t="shared" si="37"/>
        <v>718.9</v>
      </c>
      <c r="X127" s="1201">
        <f t="shared" si="37"/>
        <v>718.9</v>
      </c>
      <c r="Y127" s="929">
        <v>1</v>
      </c>
      <c r="Z127" s="1203">
        <v>1</v>
      </c>
      <c r="AA127" s="1203">
        <v>1</v>
      </c>
      <c r="AB127" s="1201">
        <v>1</v>
      </c>
      <c r="AC127" s="1201">
        <v>1</v>
      </c>
      <c r="AD127" s="1201"/>
      <c r="AE127" s="1201"/>
      <c r="AF127" s="1201"/>
      <c r="AG127" s="1201"/>
    </row>
    <row r="128" spans="2:33" ht="30" hidden="1" outlineLevel="1" x14ac:dyDescent="0.25">
      <c r="B128" s="1233"/>
      <c r="C128" s="225"/>
      <c r="D128" s="4328"/>
      <c r="E128" s="420" t="s">
        <v>2448</v>
      </c>
      <c r="F128" s="1203">
        <v>1</v>
      </c>
      <c r="G128" s="3201" t="s">
        <v>2455</v>
      </c>
      <c r="H128" s="1204" t="s">
        <v>2456</v>
      </c>
      <c r="I128" s="910"/>
      <c r="J128" s="910"/>
      <c r="K128" s="249"/>
      <c r="L128" s="249"/>
      <c r="M128" s="249"/>
      <c r="N128" s="249"/>
      <c r="O128" s="249"/>
      <c r="P128" s="249"/>
      <c r="Q128" s="249"/>
      <c r="V128" s="4248"/>
      <c r="W128" s="1201">
        <f t="shared" si="37"/>
        <v>718.9</v>
      </c>
      <c r="X128" s="1201">
        <f t="shared" si="37"/>
        <v>718.9</v>
      </c>
      <c r="Y128" s="929">
        <v>1</v>
      </c>
      <c r="Z128" s="1203">
        <v>1</v>
      </c>
      <c r="AA128" s="1203">
        <v>1</v>
      </c>
      <c r="AB128" s="1201">
        <v>1</v>
      </c>
      <c r="AC128" s="1201">
        <v>1</v>
      </c>
      <c r="AD128" s="1201"/>
      <c r="AE128" s="1201"/>
      <c r="AF128" s="1201"/>
      <c r="AG128" s="1201"/>
    </row>
    <row r="129" spans="2:33" ht="30" hidden="1" outlineLevel="1" x14ac:dyDescent="0.25">
      <c r="B129" s="1233"/>
      <c r="C129" s="225"/>
      <c r="D129" s="4328"/>
      <c r="E129" s="420" t="s">
        <v>2449</v>
      </c>
      <c r="F129" s="1203">
        <v>1</v>
      </c>
      <c r="G129" s="3201" t="s">
        <v>2455</v>
      </c>
      <c r="H129" s="1204" t="s">
        <v>2456</v>
      </c>
      <c r="I129" s="910"/>
      <c r="J129" s="910"/>
      <c r="K129" s="249"/>
      <c r="L129" s="249"/>
      <c r="M129" s="249"/>
      <c r="N129" s="249"/>
      <c r="O129" s="249"/>
      <c r="P129" s="249"/>
      <c r="Q129" s="249"/>
      <c r="V129" s="4248"/>
      <c r="W129" s="1201">
        <f t="shared" si="37"/>
        <v>718.9</v>
      </c>
      <c r="X129" s="1201">
        <f t="shared" si="37"/>
        <v>718.9</v>
      </c>
      <c r="Y129" s="929">
        <v>1</v>
      </c>
      <c r="Z129" s="1203">
        <v>1</v>
      </c>
      <c r="AA129" s="1203">
        <v>1</v>
      </c>
      <c r="AB129" s="1201">
        <v>1</v>
      </c>
      <c r="AC129" s="1201">
        <v>1</v>
      </c>
      <c r="AD129" s="1201"/>
      <c r="AE129" s="1201"/>
      <c r="AF129" s="1201"/>
      <c r="AG129" s="1201"/>
    </row>
    <row r="130" spans="2:33" hidden="1" outlineLevel="1" x14ac:dyDescent="0.25">
      <c r="B130" s="1233"/>
      <c r="C130" s="225"/>
      <c r="D130" s="4328"/>
      <c r="E130" s="420" t="s">
        <v>2450</v>
      </c>
      <c r="F130" s="1203">
        <v>1</v>
      </c>
      <c r="G130" s="3201" t="s">
        <v>1709</v>
      </c>
      <c r="H130" s="1204" t="s">
        <v>2456</v>
      </c>
      <c r="I130" s="910"/>
      <c r="J130" s="910"/>
      <c r="K130" s="249"/>
      <c r="L130" s="249"/>
      <c r="M130" s="249"/>
      <c r="N130" s="249"/>
      <c r="O130" s="249"/>
      <c r="P130" s="249"/>
      <c r="Q130" s="249"/>
      <c r="V130" s="4248"/>
      <c r="W130" s="1201">
        <f t="shared" si="37"/>
        <v>718.9</v>
      </c>
      <c r="X130" s="1201">
        <f t="shared" si="37"/>
        <v>718.9</v>
      </c>
      <c r="Y130" s="929">
        <v>1</v>
      </c>
      <c r="Z130" s="1203">
        <v>1</v>
      </c>
      <c r="AA130" s="1203">
        <v>1</v>
      </c>
      <c r="AB130" s="1201">
        <v>1</v>
      </c>
      <c r="AC130" s="1201">
        <v>1</v>
      </c>
      <c r="AD130" s="1201"/>
      <c r="AE130" s="1201"/>
      <c r="AF130" s="1201"/>
      <c r="AG130" s="1201"/>
    </row>
    <row r="131" spans="2:33" hidden="1" outlineLevel="1" x14ac:dyDescent="0.25">
      <c r="B131" s="1233"/>
      <c r="C131" s="225"/>
      <c r="D131" s="4328"/>
      <c r="E131" s="420" t="s">
        <v>2451</v>
      </c>
      <c r="F131" s="1203">
        <v>1</v>
      </c>
      <c r="G131" s="3201" t="s">
        <v>1709</v>
      </c>
      <c r="H131" s="1204" t="s">
        <v>2456</v>
      </c>
      <c r="I131" s="910"/>
      <c r="J131" s="910"/>
      <c r="K131" s="249"/>
      <c r="L131" s="249"/>
      <c r="M131" s="249"/>
      <c r="N131" s="249"/>
      <c r="O131" s="249"/>
      <c r="P131" s="249"/>
      <c r="Q131" s="249"/>
      <c r="V131" s="4248"/>
      <c r="W131" s="1201">
        <f t="shared" si="37"/>
        <v>718.9</v>
      </c>
      <c r="X131" s="1201">
        <f t="shared" si="37"/>
        <v>718.9</v>
      </c>
      <c r="Y131" s="929">
        <v>1</v>
      </c>
      <c r="Z131" s="1203">
        <v>1</v>
      </c>
      <c r="AA131" s="1203">
        <v>1</v>
      </c>
      <c r="AB131" s="1201">
        <v>1</v>
      </c>
      <c r="AC131" s="1201">
        <v>1</v>
      </c>
      <c r="AD131" s="1201"/>
      <c r="AE131" s="1201"/>
      <c r="AF131" s="1201"/>
      <c r="AG131" s="1201"/>
    </row>
    <row r="132" spans="2:33" ht="30" hidden="1" outlineLevel="1" x14ac:dyDescent="0.25">
      <c r="B132" s="1233"/>
      <c r="C132" s="225"/>
      <c r="D132" s="4328"/>
      <c r="E132" s="420" t="s">
        <v>2452</v>
      </c>
      <c r="F132" s="1203">
        <v>1</v>
      </c>
      <c r="G132" s="3201" t="s">
        <v>2455</v>
      </c>
      <c r="H132" s="1204" t="s">
        <v>2456</v>
      </c>
      <c r="I132" s="910"/>
      <c r="J132" s="910"/>
      <c r="K132" s="249"/>
      <c r="L132" s="249"/>
      <c r="M132" s="249"/>
      <c r="N132" s="249"/>
      <c r="O132" s="249"/>
      <c r="P132" s="249"/>
      <c r="Q132" s="249"/>
      <c r="V132" s="4248"/>
      <c r="W132" s="1201">
        <f t="shared" si="37"/>
        <v>718.9</v>
      </c>
      <c r="X132" s="1201">
        <f t="shared" si="37"/>
        <v>718.9</v>
      </c>
      <c r="Y132" s="929">
        <v>1</v>
      </c>
      <c r="Z132" s="1203">
        <v>1</v>
      </c>
      <c r="AA132" s="1203">
        <v>1</v>
      </c>
      <c r="AB132" s="1201">
        <v>1</v>
      </c>
      <c r="AC132" s="1201">
        <v>1</v>
      </c>
      <c r="AD132" s="1201"/>
      <c r="AE132" s="1201"/>
      <c r="AF132" s="1201"/>
      <c r="AG132" s="1201"/>
    </row>
    <row r="133" spans="2:33" ht="30" hidden="1" outlineLevel="1" x14ac:dyDescent="0.25">
      <c r="B133" s="1233"/>
      <c r="C133" s="225"/>
      <c r="D133" s="4328"/>
      <c r="E133" s="420" t="s">
        <v>2453</v>
      </c>
      <c r="F133" s="1203">
        <v>1</v>
      </c>
      <c r="G133" s="3201" t="s">
        <v>2457</v>
      </c>
      <c r="H133" s="1204" t="s">
        <v>2456</v>
      </c>
      <c r="I133" s="910"/>
      <c r="J133" s="910"/>
      <c r="K133" s="249"/>
      <c r="L133" s="249"/>
      <c r="M133" s="249"/>
      <c r="N133" s="249"/>
      <c r="O133" s="249"/>
      <c r="P133" s="249"/>
      <c r="Q133" s="249"/>
      <c r="V133" s="4248"/>
      <c r="W133" s="1201">
        <f t="shared" si="37"/>
        <v>718.9</v>
      </c>
      <c r="X133" s="1201">
        <f t="shared" si="37"/>
        <v>718.9</v>
      </c>
      <c r="Y133" s="929">
        <v>1</v>
      </c>
      <c r="Z133" s="1203">
        <v>1</v>
      </c>
      <c r="AA133" s="1203">
        <v>1</v>
      </c>
      <c r="AB133" s="1201">
        <v>1</v>
      </c>
      <c r="AC133" s="1201">
        <v>1</v>
      </c>
      <c r="AD133" s="1201"/>
      <c r="AE133" s="1201"/>
      <c r="AF133" s="1201"/>
      <c r="AG133" s="1201"/>
    </row>
    <row r="134" spans="2:33" ht="18" hidden="1" outlineLevel="1" x14ac:dyDescent="0.25">
      <c r="B134" s="1038"/>
      <c r="C134" s="225"/>
      <c r="D134" s="3245" t="s">
        <v>1715</v>
      </c>
      <c r="E134" s="420" t="s">
        <v>135</v>
      </c>
      <c r="F134" s="944">
        <v>7.0000000000000007E-2</v>
      </c>
      <c r="G134" s="3201" t="s">
        <v>1716</v>
      </c>
      <c r="H134" s="1204"/>
      <c r="I134" s="918"/>
      <c r="J134" s="918"/>
      <c r="K134" s="1038"/>
      <c r="L134" s="1038"/>
      <c r="M134" s="1038"/>
      <c r="N134" s="1038"/>
      <c r="O134" s="1038"/>
      <c r="P134" s="1038"/>
      <c r="Q134" s="1038"/>
      <c r="V134" s="917" t="str">
        <f>D134</f>
        <v>Framing FactorAttic</v>
      </c>
      <c r="W134" s="476">
        <v>7.0000000000000007E-2</v>
      </c>
      <c r="X134" s="476">
        <v>7.0000000000000007E-2</v>
      </c>
      <c r="Y134" s="944">
        <v>7.0000000000000007E-2</v>
      </c>
      <c r="Z134" s="944">
        <v>7.0000000000000007E-2</v>
      </c>
      <c r="AA134" s="944">
        <v>7.0000000000000007E-2</v>
      </c>
      <c r="AB134" s="476">
        <v>7.0000000000000007E-2</v>
      </c>
      <c r="AC134" s="476">
        <v>7.0000000000000007E-2</v>
      </c>
      <c r="AD134" s="476"/>
      <c r="AE134" s="476"/>
      <c r="AF134" s="476"/>
      <c r="AG134" s="476"/>
    </row>
    <row r="135" spans="2:33" hidden="1" outlineLevel="1" x14ac:dyDescent="0.25">
      <c r="B135" s="1038"/>
      <c r="C135" s="225"/>
      <c r="D135" s="3245" t="s">
        <v>1717</v>
      </c>
      <c r="E135" s="420" t="s">
        <v>135</v>
      </c>
      <c r="F135" s="1203">
        <v>4486</v>
      </c>
      <c r="G135" s="3201" t="s">
        <v>316</v>
      </c>
      <c r="H135" s="1204" t="s">
        <v>1718</v>
      </c>
      <c r="I135" s="918"/>
      <c r="J135" s="918"/>
      <c r="K135" s="1038"/>
      <c r="L135" s="1038"/>
      <c r="M135" s="1038"/>
      <c r="N135" s="1038"/>
      <c r="O135" s="1038"/>
      <c r="P135" s="1038"/>
      <c r="Q135" s="1038"/>
      <c r="V135" s="917" t="str">
        <f>D135</f>
        <v>HDD</v>
      </c>
      <c r="W135" s="1201">
        <v>4486</v>
      </c>
      <c r="X135" s="1201">
        <v>4486</v>
      </c>
      <c r="Y135" s="1203">
        <v>4486</v>
      </c>
      <c r="Z135" s="1203">
        <v>4486</v>
      </c>
      <c r="AA135" s="1203">
        <v>4486</v>
      </c>
      <c r="AB135" s="1201">
        <v>4486</v>
      </c>
      <c r="AC135" s="1201">
        <v>4486</v>
      </c>
      <c r="AD135" s="1201"/>
      <c r="AE135" s="1201"/>
      <c r="AF135" s="1201"/>
      <c r="AG135" s="1201"/>
    </row>
    <row r="136" spans="2:33" ht="18" hidden="1" outlineLevel="1" x14ac:dyDescent="0.25">
      <c r="B136" s="1038"/>
      <c r="C136" s="225"/>
      <c r="D136" s="3245" t="s">
        <v>1719</v>
      </c>
      <c r="E136" s="420" t="s">
        <v>135</v>
      </c>
      <c r="F136" s="944">
        <v>0.74</v>
      </c>
      <c r="G136" s="3201" t="s">
        <v>285</v>
      </c>
      <c r="H136" s="1204"/>
      <c r="I136" s="918"/>
      <c r="J136" s="918"/>
      <c r="K136" s="1038"/>
      <c r="L136" s="1038"/>
      <c r="M136" s="1038"/>
      <c r="N136" s="1038"/>
      <c r="O136" s="1038"/>
      <c r="P136" s="1038"/>
      <c r="Q136" s="1038"/>
      <c r="V136" s="917" t="str">
        <f>D136</f>
        <v>AdjAttic</v>
      </c>
      <c r="W136" s="476">
        <v>0.74</v>
      </c>
      <c r="X136" s="476">
        <v>0.74</v>
      </c>
      <c r="Y136" s="944">
        <v>0.74</v>
      </c>
      <c r="Z136" s="944">
        <v>0.74</v>
      </c>
      <c r="AA136" s="944">
        <v>0.74</v>
      </c>
      <c r="AB136" s="476">
        <v>0.74</v>
      </c>
      <c r="AC136" s="476">
        <v>0.74</v>
      </c>
      <c r="AD136" s="476"/>
      <c r="AE136" s="476"/>
      <c r="AF136" s="476"/>
      <c r="AG136" s="476"/>
    </row>
    <row r="137" spans="2:33" hidden="1" outlineLevel="1" x14ac:dyDescent="0.25">
      <c r="B137" s="1038"/>
      <c r="C137" s="225"/>
      <c r="D137" s="4327" t="s">
        <v>1720</v>
      </c>
      <c r="E137" s="420" t="s">
        <v>2444</v>
      </c>
      <c r="F137" s="940">
        <v>1</v>
      </c>
      <c r="G137" s="1204" t="s">
        <v>2458</v>
      </c>
      <c r="H137" s="4462" t="s">
        <v>289</v>
      </c>
      <c r="I137" s="918"/>
      <c r="J137" s="918"/>
      <c r="K137" s="1038"/>
      <c r="L137" s="1038"/>
      <c r="M137" s="1038"/>
      <c r="N137" s="1038"/>
      <c r="O137" s="1038"/>
      <c r="P137" s="1038"/>
      <c r="Q137" s="1038"/>
      <c r="V137" s="4247" t="str">
        <f>D137</f>
        <v>ƞheat</v>
      </c>
      <c r="W137" s="1202">
        <v>1</v>
      </c>
      <c r="X137" s="1202">
        <v>1</v>
      </c>
      <c r="Y137" s="940">
        <v>1</v>
      </c>
      <c r="Z137" s="940">
        <v>1</v>
      </c>
      <c r="AA137" s="940">
        <v>1</v>
      </c>
      <c r="AB137" s="1202">
        <v>1</v>
      </c>
      <c r="AC137" s="1202">
        <v>1</v>
      </c>
      <c r="AD137" s="1202"/>
      <c r="AE137" s="1202"/>
      <c r="AF137" s="1202"/>
      <c r="AG137" s="1202"/>
    </row>
    <row r="138" spans="2:33" hidden="1" outlineLevel="1" x14ac:dyDescent="0.25">
      <c r="B138" s="1038"/>
      <c r="C138" s="225"/>
      <c r="D138" s="4328"/>
      <c r="E138" s="420" t="s">
        <v>2445</v>
      </c>
      <c r="F138" s="944">
        <v>0.71</v>
      </c>
      <c r="G138" s="1204" t="s">
        <v>1709</v>
      </c>
      <c r="H138" s="4463" t="s">
        <v>1709</v>
      </c>
      <c r="I138" s="918"/>
      <c r="J138" s="918"/>
      <c r="K138" s="1038"/>
      <c r="L138" s="1038"/>
      <c r="M138" s="1038"/>
      <c r="N138" s="1038"/>
      <c r="O138" s="1038"/>
      <c r="P138" s="1038"/>
      <c r="Q138" s="1038"/>
      <c r="V138" s="4248"/>
      <c r="W138" s="476">
        <v>0.71</v>
      </c>
      <c r="X138" s="476">
        <v>0.71</v>
      </c>
      <c r="Y138" s="944">
        <v>0.71</v>
      </c>
      <c r="Z138" s="944">
        <v>0.71</v>
      </c>
      <c r="AA138" s="944">
        <v>0.71</v>
      </c>
      <c r="AB138" s="476">
        <v>0.71</v>
      </c>
      <c r="AC138" s="476">
        <v>0.71</v>
      </c>
      <c r="AD138" s="476"/>
      <c r="AE138" s="476"/>
      <c r="AF138" s="476"/>
      <c r="AG138" s="476"/>
    </row>
    <row r="139" spans="2:33" hidden="1" outlineLevel="1" x14ac:dyDescent="0.25">
      <c r="B139" s="1038"/>
      <c r="C139" s="225"/>
      <c r="D139" s="4328"/>
      <c r="E139" s="420" t="s">
        <v>2446</v>
      </c>
      <c r="F139" s="940">
        <v>1</v>
      </c>
      <c r="G139" s="1204"/>
      <c r="H139" s="4463"/>
      <c r="I139" s="918"/>
      <c r="J139" s="918"/>
      <c r="K139" s="1038"/>
      <c r="L139" s="1038"/>
      <c r="M139" s="1038"/>
      <c r="N139" s="1038"/>
      <c r="O139" s="1038"/>
      <c r="P139" s="1038"/>
      <c r="Q139" s="1038"/>
      <c r="V139" s="4248"/>
      <c r="W139" s="1202">
        <v>1</v>
      </c>
      <c r="X139" s="1202">
        <v>1</v>
      </c>
      <c r="Y139" s="940">
        <v>1</v>
      </c>
      <c r="Z139" s="940">
        <v>1</v>
      </c>
      <c r="AA139" s="940">
        <v>1</v>
      </c>
      <c r="AB139" s="1202">
        <v>1</v>
      </c>
      <c r="AC139" s="1202">
        <v>1</v>
      </c>
      <c r="AD139" s="1202"/>
      <c r="AE139" s="1202"/>
      <c r="AF139" s="1202"/>
      <c r="AG139" s="1202"/>
    </row>
    <row r="140" spans="2:33" hidden="1" outlineLevel="1" x14ac:dyDescent="0.25">
      <c r="B140" s="1038"/>
      <c r="C140" s="225"/>
      <c r="D140" s="4328"/>
      <c r="E140" s="420" t="s">
        <v>2447</v>
      </c>
      <c r="F140" s="944">
        <v>0.71</v>
      </c>
      <c r="G140" s="1204" t="s">
        <v>1709</v>
      </c>
      <c r="H140" s="4463" t="s">
        <v>1709</v>
      </c>
      <c r="I140" s="918"/>
      <c r="J140" s="918"/>
      <c r="K140" s="1038"/>
      <c r="L140" s="1038"/>
      <c r="M140" s="1038"/>
      <c r="N140" s="1038"/>
      <c r="O140" s="1038"/>
      <c r="P140" s="1038"/>
      <c r="Q140" s="1038"/>
      <c r="V140" s="4248"/>
      <c r="W140" s="476">
        <v>0.71</v>
      </c>
      <c r="X140" s="476">
        <v>0.71</v>
      </c>
      <c r="Y140" s="944">
        <v>0.71</v>
      </c>
      <c r="Z140" s="944">
        <v>0.71</v>
      </c>
      <c r="AA140" s="944">
        <v>0.71</v>
      </c>
      <c r="AB140" s="476">
        <v>0.71</v>
      </c>
      <c r="AC140" s="476">
        <v>0.71</v>
      </c>
      <c r="AD140" s="476"/>
      <c r="AE140" s="476"/>
      <c r="AF140" s="476"/>
      <c r="AG140" s="476"/>
    </row>
    <row r="141" spans="2:33" hidden="1" outlineLevel="1" x14ac:dyDescent="0.25">
      <c r="B141" s="1038"/>
      <c r="C141" s="225"/>
      <c r="D141" s="4328"/>
      <c r="E141" s="420" t="s">
        <v>2448</v>
      </c>
      <c r="F141" s="940">
        <v>1</v>
      </c>
      <c r="G141" s="1204"/>
      <c r="H141" s="4463"/>
      <c r="I141" s="918"/>
      <c r="J141" s="918"/>
      <c r="K141" s="1038"/>
      <c r="L141" s="1038"/>
      <c r="M141" s="1038"/>
      <c r="N141" s="1038"/>
      <c r="O141" s="1038"/>
      <c r="P141" s="1038"/>
      <c r="Q141" s="1038"/>
      <c r="V141" s="4248"/>
      <c r="W141" s="1202">
        <v>1</v>
      </c>
      <c r="X141" s="1202">
        <v>1</v>
      </c>
      <c r="Y141" s="940">
        <v>1</v>
      </c>
      <c r="Z141" s="940">
        <v>1</v>
      </c>
      <c r="AA141" s="940">
        <v>1</v>
      </c>
      <c r="AB141" s="1202">
        <v>1</v>
      </c>
      <c r="AC141" s="1202">
        <v>1</v>
      </c>
      <c r="AD141" s="1202"/>
      <c r="AE141" s="1202"/>
      <c r="AF141" s="1202"/>
      <c r="AG141" s="1202"/>
    </row>
    <row r="142" spans="2:33" hidden="1" outlineLevel="1" x14ac:dyDescent="0.25">
      <c r="B142" s="1038"/>
      <c r="C142" s="225"/>
      <c r="D142" s="4328"/>
      <c r="E142" s="420" t="s">
        <v>2449</v>
      </c>
      <c r="F142" s="944">
        <v>0.71</v>
      </c>
      <c r="G142" s="1204" t="s">
        <v>1709</v>
      </c>
      <c r="H142" s="4463" t="s">
        <v>1709</v>
      </c>
      <c r="I142" s="918"/>
      <c r="J142" s="918"/>
      <c r="K142" s="1038"/>
      <c r="L142" s="1038"/>
      <c r="M142" s="1038"/>
      <c r="N142" s="1038"/>
      <c r="O142" s="1038"/>
      <c r="P142" s="1038"/>
      <c r="Q142" s="1038"/>
      <c r="V142" s="4248"/>
      <c r="W142" s="476">
        <v>0.71</v>
      </c>
      <c r="X142" s="476">
        <v>0.71</v>
      </c>
      <c r="Y142" s="944">
        <v>0.71</v>
      </c>
      <c r="Z142" s="944">
        <v>0.71</v>
      </c>
      <c r="AA142" s="944">
        <v>0.71</v>
      </c>
      <c r="AB142" s="476">
        <v>0.71</v>
      </c>
      <c r="AC142" s="476">
        <v>0.71</v>
      </c>
      <c r="AD142" s="476"/>
      <c r="AE142" s="476"/>
      <c r="AF142" s="476"/>
      <c r="AG142" s="476"/>
    </row>
    <row r="143" spans="2:33" hidden="1" outlineLevel="1" x14ac:dyDescent="0.25">
      <c r="B143" s="1038"/>
      <c r="C143" s="225"/>
      <c r="D143" s="4328"/>
      <c r="E143" s="420" t="s">
        <v>2450</v>
      </c>
      <c r="F143" s="940">
        <v>1</v>
      </c>
      <c r="G143" s="1204"/>
      <c r="H143" s="4463"/>
      <c r="I143" s="918"/>
      <c r="J143" s="918"/>
      <c r="K143" s="1038"/>
      <c r="L143" s="1038"/>
      <c r="M143" s="1038"/>
      <c r="N143" s="1038"/>
      <c r="O143" s="1038"/>
      <c r="P143" s="1038"/>
      <c r="Q143" s="1038"/>
      <c r="V143" s="4248"/>
      <c r="W143" s="1202">
        <v>1</v>
      </c>
      <c r="X143" s="1202">
        <v>1</v>
      </c>
      <c r="Y143" s="940">
        <v>1</v>
      </c>
      <c r="Z143" s="940">
        <v>1</v>
      </c>
      <c r="AA143" s="940">
        <v>1</v>
      </c>
      <c r="AB143" s="1202">
        <v>1</v>
      </c>
      <c r="AC143" s="1202">
        <v>1</v>
      </c>
      <c r="AD143" s="1202"/>
      <c r="AE143" s="1202"/>
      <c r="AF143" s="1202"/>
      <c r="AG143" s="1202"/>
    </row>
    <row r="144" spans="2:33" hidden="1" outlineLevel="1" x14ac:dyDescent="0.25">
      <c r="B144" s="1038"/>
      <c r="C144" s="225"/>
      <c r="D144" s="4328"/>
      <c r="E144" s="420" t="s">
        <v>2451</v>
      </c>
      <c r="F144" s="944">
        <v>0.71</v>
      </c>
      <c r="G144" s="1204" t="s">
        <v>1709</v>
      </c>
      <c r="H144" s="4463" t="s">
        <v>1709</v>
      </c>
      <c r="I144" s="918"/>
      <c r="J144" s="918"/>
      <c r="K144" s="1038"/>
      <c r="L144" s="1038"/>
      <c r="M144" s="1038"/>
      <c r="N144" s="1038"/>
      <c r="O144" s="1038"/>
      <c r="P144" s="1038"/>
      <c r="Q144" s="1038"/>
      <c r="V144" s="4248"/>
      <c r="W144" s="476">
        <v>0.71</v>
      </c>
      <c r="X144" s="476">
        <v>0.71</v>
      </c>
      <c r="Y144" s="944">
        <v>0.71</v>
      </c>
      <c r="Z144" s="944">
        <v>0.71</v>
      </c>
      <c r="AA144" s="944">
        <v>0.71</v>
      </c>
      <c r="AB144" s="476">
        <v>0.71</v>
      </c>
      <c r="AC144" s="476">
        <v>0.71</v>
      </c>
      <c r="AD144" s="476"/>
      <c r="AE144" s="476"/>
      <c r="AF144" s="476"/>
      <c r="AG144" s="476"/>
    </row>
    <row r="145" spans="2:33" hidden="1" outlineLevel="1" x14ac:dyDescent="0.25">
      <c r="B145" s="1038"/>
      <c r="C145" s="225"/>
      <c r="D145" s="4328"/>
      <c r="E145" s="420" t="s">
        <v>2452</v>
      </c>
      <c r="F145" s="940">
        <v>1</v>
      </c>
      <c r="G145" s="1204"/>
      <c r="H145" s="4463"/>
      <c r="I145" s="918"/>
      <c r="J145" s="918"/>
      <c r="K145" s="1038"/>
      <c r="L145" s="1038"/>
      <c r="M145" s="1038"/>
      <c r="N145" s="1038"/>
      <c r="O145" s="1038"/>
      <c r="P145" s="1038"/>
      <c r="Q145" s="1038"/>
      <c r="V145" s="4248"/>
      <c r="W145" s="1202">
        <v>1</v>
      </c>
      <c r="X145" s="1202">
        <v>1</v>
      </c>
      <c r="Y145" s="940">
        <v>1</v>
      </c>
      <c r="Z145" s="940">
        <v>1</v>
      </c>
      <c r="AA145" s="940">
        <v>1</v>
      </c>
      <c r="AB145" s="1202">
        <v>1</v>
      </c>
      <c r="AC145" s="1202">
        <v>1</v>
      </c>
      <c r="AD145" s="1202"/>
      <c r="AE145" s="1202"/>
      <c r="AF145" s="1202"/>
      <c r="AG145" s="1202"/>
    </row>
    <row r="146" spans="2:33" hidden="1" outlineLevel="1" x14ac:dyDescent="0.25">
      <c r="B146" s="1038"/>
      <c r="C146" s="225"/>
      <c r="D146" s="4328"/>
      <c r="E146" s="420" t="s">
        <v>2453</v>
      </c>
      <c r="F146" s="944">
        <v>0.71</v>
      </c>
      <c r="G146" s="1204" t="s">
        <v>1709</v>
      </c>
      <c r="H146" s="4464" t="s">
        <v>1709</v>
      </c>
      <c r="I146" s="918"/>
      <c r="J146" s="918"/>
      <c r="K146" s="1038"/>
      <c r="L146" s="1038"/>
      <c r="M146" s="1038"/>
      <c r="N146" s="1038"/>
      <c r="O146" s="1038"/>
      <c r="P146" s="1038"/>
      <c r="Q146" s="1038"/>
      <c r="V146" s="4248"/>
      <c r="W146" s="476">
        <v>0.71</v>
      </c>
      <c r="X146" s="476">
        <v>0.71</v>
      </c>
      <c r="Y146" s="944">
        <v>0.71</v>
      </c>
      <c r="Z146" s="944">
        <v>0.71</v>
      </c>
      <c r="AA146" s="944">
        <v>0.71</v>
      </c>
      <c r="AB146" s="476">
        <v>0.71</v>
      </c>
      <c r="AC146" s="476">
        <v>0.71</v>
      </c>
      <c r="AD146" s="476"/>
      <c r="AE146" s="476"/>
      <c r="AF146" s="476"/>
      <c r="AG146" s="476"/>
    </row>
    <row r="147" spans="2:33" hidden="1" outlineLevel="1" x14ac:dyDescent="0.25">
      <c r="B147" s="1038"/>
      <c r="C147" s="225"/>
      <c r="D147" s="4344" t="s">
        <v>309</v>
      </c>
      <c r="E147" s="420" t="s">
        <v>2444</v>
      </c>
      <c r="F147" s="940">
        <f t="shared" ref="F147:F156" si="38">(1-F94)*(1/(F104+5)-1/(F114+5))*F124*(1-F$134)*F$135*24*F$136/(F137*10000)</f>
        <v>0</v>
      </c>
      <c r="G147" s="3201" t="s">
        <v>310</v>
      </c>
      <c r="H147" s="1204"/>
      <c r="I147" s="918"/>
      <c r="J147" s="918"/>
      <c r="K147" s="1038"/>
      <c r="L147" s="1038"/>
      <c r="M147" s="1038"/>
      <c r="N147" s="1038"/>
      <c r="O147" s="1038"/>
      <c r="P147" s="1038"/>
      <c r="Q147" s="1038"/>
      <c r="V147" s="4465" t="str">
        <f>D147</f>
        <v>∆Therms</v>
      </c>
      <c r="W147" s="1202">
        <f t="shared" ref="W147:Y156" si="39">(1-W94)*(1/(W104+5)-1/(W114+5))*W124*(1-W$134)*W$135*24*W$136/(W137*10000)</f>
        <v>0</v>
      </c>
      <c r="X147" s="1202">
        <f t="shared" si="39"/>
        <v>0</v>
      </c>
      <c r="Y147" s="940">
        <f t="shared" si="39"/>
        <v>0</v>
      </c>
      <c r="Z147" s="940">
        <f t="shared" ref="Z147:AA147" si="40">(1-Z94)*(1/(Z104+5)-1/(Z114+5))*Z124*(1-Z$134)*Z$135*24*Z$136/(Z137*10000)</f>
        <v>0</v>
      </c>
      <c r="AA147" s="940">
        <f t="shared" si="40"/>
        <v>0</v>
      </c>
      <c r="AB147" s="1202">
        <v>0</v>
      </c>
      <c r="AC147" s="1202">
        <v>0</v>
      </c>
      <c r="AD147" s="1202"/>
      <c r="AE147" s="1202"/>
      <c r="AF147" s="1202"/>
      <c r="AG147" s="1202"/>
    </row>
    <row r="148" spans="2:33" hidden="1" outlineLevel="1" x14ac:dyDescent="0.25">
      <c r="B148" s="1038"/>
      <c r="C148" s="225"/>
      <c r="D148" s="4345"/>
      <c r="E148" s="420" t="s">
        <v>2445</v>
      </c>
      <c r="F148" s="940">
        <f t="shared" si="38"/>
        <v>0.45898308920187786</v>
      </c>
      <c r="G148" s="3201" t="s">
        <v>310</v>
      </c>
      <c r="H148" s="1204"/>
      <c r="I148" s="918"/>
      <c r="J148" s="918"/>
      <c r="K148" s="1038"/>
      <c r="L148" s="1038"/>
      <c r="M148" s="1038"/>
      <c r="N148" s="1038"/>
      <c r="O148" s="1038"/>
      <c r="P148" s="1038"/>
      <c r="Q148" s="1038"/>
      <c r="V148" s="4466"/>
      <c r="W148" s="1202">
        <f t="shared" si="39"/>
        <v>401.86264375070419</v>
      </c>
      <c r="X148" s="1202">
        <f t="shared" si="39"/>
        <v>401.86264375070419</v>
      </c>
      <c r="Y148" s="916">
        <f t="shared" si="39"/>
        <v>0.45898308920187786</v>
      </c>
      <c r="Z148" s="940">
        <f t="shared" ref="Z148:AA148" si="41">(1-Z95)*(1/(Z105+5)-1/(Z115+5))*Z125*(1-Z$134)*Z$135*24*Z$136/(Z138*10000)</f>
        <v>0.45898308920187786</v>
      </c>
      <c r="AA148" s="940">
        <f t="shared" si="41"/>
        <v>0.45898308920187786</v>
      </c>
      <c r="AB148" s="1202">
        <v>0.45898308920187786</v>
      </c>
      <c r="AC148" s="1202">
        <v>0.45898308920187786</v>
      </c>
      <c r="AD148" s="1202"/>
      <c r="AE148" s="1202"/>
      <c r="AF148" s="1202"/>
      <c r="AG148" s="1202"/>
    </row>
    <row r="149" spans="2:33" hidden="1" outlineLevel="1" x14ac:dyDescent="0.25">
      <c r="B149" s="1038"/>
      <c r="C149" s="225"/>
      <c r="D149" s="4345"/>
      <c r="E149" s="420" t="s">
        <v>2446</v>
      </c>
      <c r="F149" s="940">
        <f t="shared" si="38"/>
        <v>0</v>
      </c>
      <c r="G149" s="3201" t="s">
        <v>310</v>
      </c>
      <c r="H149" s="1204"/>
      <c r="I149" s="918"/>
      <c r="J149" s="918"/>
      <c r="K149" s="1038"/>
      <c r="L149" s="1038"/>
      <c r="M149" s="1038"/>
      <c r="N149" s="1038"/>
      <c r="O149" s="1038"/>
      <c r="P149" s="1038"/>
      <c r="Q149" s="1038"/>
      <c r="V149" s="4466"/>
      <c r="W149" s="1202">
        <f t="shared" si="39"/>
        <v>0</v>
      </c>
      <c r="X149" s="1202">
        <f t="shared" si="39"/>
        <v>0</v>
      </c>
      <c r="Y149" s="916">
        <f t="shared" si="39"/>
        <v>0</v>
      </c>
      <c r="Z149" s="940">
        <f t="shared" ref="Z149:AA149" si="42">(1-Z96)*(1/(Z106+5)-1/(Z116+5))*Z126*(1-Z$134)*Z$135*24*Z$136/(Z139*10000)</f>
        <v>0</v>
      </c>
      <c r="AA149" s="940">
        <f t="shared" si="42"/>
        <v>0</v>
      </c>
      <c r="AB149" s="1202">
        <v>0</v>
      </c>
      <c r="AC149" s="1202">
        <v>0</v>
      </c>
      <c r="AD149" s="1202"/>
      <c r="AE149" s="1202"/>
      <c r="AF149" s="1202"/>
      <c r="AG149" s="1202"/>
    </row>
    <row r="150" spans="2:33" hidden="1" outlineLevel="1" x14ac:dyDescent="0.25">
      <c r="B150" s="1038"/>
      <c r="C150" s="225"/>
      <c r="D150" s="4345"/>
      <c r="E150" s="420" t="s">
        <v>2447</v>
      </c>
      <c r="F150" s="940">
        <f t="shared" si="38"/>
        <v>0.74541614486921526</v>
      </c>
      <c r="G150" s="3201" t="s">
        <v>310</v>
      </c>
      <c r="H150" s="1204"/>
      <c r="I150" s="918"/>
      <c r="J150" s="918"/>
      <c r="K150" s="1038"/>
      <c r="L150" s="1038"/>
      <c r="M150" s="1038"/>
      <c r="N150" s="1038"/>
      <c r="O150" s="1038"/>
      <c r="P150" s="1038"/>
      <c r="Q150" s="1038"/>
      <c r="V150" s="4466"/>
      <c r="W150" s="1202">
        <f t="shared" si="39"/>
        <v>535.87966654647892</v>
      </c>
      <c r="X150" s="1202">
        <f t="shared" si="39"/>
        <v>535.87966654647892</v>
      </c>
      <c r="Y150" s="916">
        <f t="shared" si="39"/>
        <v>0.74541614486921526</v>
      </c>
      <c r="Z150" s="940">
        <f t="shared" ref="Z150:AA150" si="43">(1-Z97)*(1/(Z107+5)-1/(Z117+5))*Z127*(1-Z$134)*Z$135*24*Z$136/(Z140*10000)</f>
        <v>0.74541614486921526</v>
      </c>
      <c r="AA150" s="940">
        <f t="shared" si="43"/>
        <v>0.74541614486921526</v>
      </c>
      <c r="AB150" s="1202">
        <v>0.74541614486921526</v>
      </c>
      <c r="AC150" s="1202">
        <v>0.74541614486921526</v>
      </c>
      <c r="AD150" s="1202"/>
      <c r="AE150" s="1202"/>
      <c r="AF150" s="1202"/>
      <c r="AG150" s="1202"/>
    </row>
    <row r="151" spans="2:33" hidden="1" outlineLevel="1" x14ac:dyDescent="0.25">
      <c r="B151" s="1038"/>
      <c r="C151" s="225"/>
      <c r="D151" s="4345"/>
      <c r="E151" s="420" t="s">
        <v>2448</v>
      </c>
      <c r="F151" s="940">
        <f t="shared" si="38"/>
        <v>0</v>
      </c>
      <c r="G151" s="3201" t="s">
        <v>310</v>
      </c>
      <c r="H151" s="1204"/>
      <c r="I151" s="918"/>
      <c r="J151" s="918"/>
      <c r="K151" s="1038"/>
      <c r="L151" s="1038"/>
      <c r="M151" s="1038"/>
      <c r="N151" s="1038"/>
      <c r="O151" s="1038"/>
      <c r="P151" s="1038"/>
      <c r="Q151" s="1038"/>
      <c r="V151" s="4466"/>
      <c r="W151" s="1202">
        <f t="shared" si="39"/>
        <v>0</v>
      </c>
      <c r="X151" s="1202">
        <f t="shared" si="39"/>
        <v>0</v>
      </c>
      <c r="Y151" s="916">
        <f t="shared" si="39"/>
        <v>0</v>
      </c>
      <c r="Z151" s="940">
        <f t="shared" ref="Z151:AA151" si="44">(1-Z98)*(1/(Z108+5)-1/(Z118+5))*Z128*(1-Z$134)*Z$135*24*Z$136/(Z141*10000)</f>
        <v>0</v>
      </c>
      <c r="AA151" s="940">
        <f t="shared" si="44"/>
        <v>0</v>
      </c>
      <c r="AB151" s="1202">
        <v>0</v>
      </c>
      <c r="AC151" s="1202">
        <v>0</v>
      </c>
      <c r="AD151" s="1202"/>
      <c r="AE151" s="1202"/>
      <c r="AF151" s="1202"/>
      <c r="AG151" s="1202"/>
    </row>
    <row r="152" spans="2:33" hidden="1" outlineLevel="1" x14ac:dyDescent="0.25">
      <c r="B152" s="1038"/>
      <c r="C152" s="225"/>
      <c r="D152" s="4345"/>
      <c r="E152" s="420" t="s">
        <v>2449</v>
      </c>
      <c r="F152" s="940">
        <f t="shared" si="38"/>
        <v>0.8008889742548313</v>
      </c>
      <c r="G152" s="3201" t="s">
        <v>310</v>
      </c>
      <c r="H152" s="1204"/>
      <c r="I152" s="918"/>
      <c r="J152" s="918"/>
      <c r="K152" s="1038"/>
      <c r="L152" s="1038"/>
      <c r="M152" s="1038"/>
      <c r="N152" s="1038"/>
      <c r="O152" s="1038"/>
      <c r="P152" s="1038"/>
      <c r="Q152" s="1038"/>
      <c r="V152" s="4466"/>
      <c r="W152" s="1202">
        <f t="shared" si="39"/>
        <v>575.75908359179823</v>
      </c>
      <c r="X152" s="1202">
        <f t="shared" si="39"/>
        <v>575.75908359179823</v>
      </c>
      <c r="Y152" s="916">
        <f t="shared" si="39"/>
        <v>0.8008889742548313</v>
      </c>
      <c r="Z152" s="940">
        <f t="shared" ref="Z152:AA152" si="45">(1-Z99)*(1/(Z109+5)-1/(Z119+5))*Z129*(1-Z$134)*Z$135*24*Z$136/(Z142*10000)</f>
        <v>0.8008889742548313</v>
      </c>
      <c r="AA152" s="940">
        <f t="shared" si="45"/>
        <v>0.8008889742548313</v>
      </c>
      <c r="AB152" s="1202">
        <v>0.8008889742548313</v>
      </c>
      <c r="AC152" s="1202">
        <v>0.8008889742548313</v>
      </c>
      <c r="AD152" s="1202"/>
      <c r="AE152" s="1202"/>
      <c r="AF152" s="1202"/>
      <c r="AG152" s="1202"/>
    </row>
    <row r="153" spans="2:33" hidden="1" outlineLevel="1" x14ac:dyDescent="0.25">
      <c r="B153" s="1038"/>
      <c r="C153" s="225"/>
      <c r="D153" s="4345"/>
      <c r="E153" s="420" t="s">
        <v>2450</v>
      </c>
      <c r="F153" s="940">
        <f t="shared" si="38"/>
        <v>0</v>
      </c>
      <c r="G153" s="3201" t="s">
        <v>310</v>
      </c>
      <c r="H153" s="1204"/>
      <c r="I153" s="918"/>
      <c r="J153" s="918"/>
      <c r="K153" s="1038"/>
      <c r="L153" s="1038"/>
      <c r="M153" s="1038"/>
      <c r="N153" s="1038"/>
      <c r="O153" s="1038"/>
      <c r="P153" s="1038"/>
      <c r="Q153" s="1038"/>
      <c r="V153" s="4466"/>
      <c r="W153" s="1202">
        <f t="shared" si="39"/>
        <v>0</v>
      </c>
      <c r="X153" s="1202">
        <f t="shared" si="39"/>
        <v>0</v>
      </c>
      <c r="Y153" s="916">
        <f t="shared" si="39"/>
        <v>0</v>
      </c>
      <c r="Z153" s="940">
        <f t="shared" ref="Z153:AA153" si="46">(1-Z100)*(1/(Z110+5)-1/(Z120+5))*Z130*(1-Z$134)*Z$135*24*Z$136/(Z143*10000)</f>
        <v>0</v>
      </c>
      <c r="AA153" s="940">
        <f t="shared" si="46"/>
        <v>0</v>
      </c>
      <c r="AB153" s="1202">
        <v>0</v>
      </c>
      <c r="AC153" s="1202">
        <v>0</v>
      </c>
      <c r="AD153" s="1202"/>
      <c r="AE153" s="1202"/>
      <c r="AF153" s="1202"/>
      <c r="AG153" s="1202"/>
    </row>
    <row r="154" spans="2:33" hidden="1" outlineLevel="1" x14ac:dyDescent="0.25">
      <c r="B154" s="1038"/>
      <c r="C154" s="225"/>
      <c r="D154" s="4345"/>
      <c r="E154" s="420" t="s">
        <v>2451</v>
      </c>
      <c r="F154" s="940">
        <f t="shared" si="38"/>
        <v>0.85032656525821604</v>
      </c>
      <c r="G154" s="3201" t="s">
        <v>310</v>
      </c>
      <c r="H154" s="1204"/>
      <c r="I154" s="918"/>
      <c r="J154" s="918"/>
      <c r="K154" s="1038"/>
      <c r="L154" s="1038"/>
      <c r="M154" s="1038"/>
      <c r="N154" s="1038"/>
      <c r="O154" s="1038"/>
      <c r="P154" s="1038"/>
      <c r="Q154" s="1038"/>
      <c r="V154" s="4466"/>
      <c r="W154" s="1202">
        <f t="shared" si="39"/>
        <v>611.29976776413139</v>
      </c>
      <c r="X154" s="1202">
        <f t="shared" si="39"/>
        <v>611.29976776413139</v>
      </c>
      <c r="Y154" s="916">
        <f t="shared" si="39"/>
        <v>0.85032656525821604</v>
      </c>
      <c r="Z154" s="940">
        <f t="shared" ref="Z154:AA154" si="47">(1-Z101)*(1/(Z111+5)-1/(Z121+5))*Z131*(1-Z$134)*Z$135*24*Z$136/(Z144*10000)</f>
        <v>0.85032656525821604</v>
      </c>
      <c r="AA154" s="940">
        <f t="shared" si="47"/>
        <v>0.85032656525821604</v>
      </c>
      <c r="AB154" s="1202">
        <v>0.85032656525821604</v>
      </c>
      <c r="AC154" s="1202">
        <v>0.85032656525821604</v>
      </c>
      <c r="AD154" s="1202"/>
      <c r="AE154" s="1202"/>
      <c r="AF154" s="1202"/>
      <c r="AG154" s="1202"/>
    </row>
    <row r="155" spans="2:33" hidden="1" outlineLevel="1" x14ac:dyDescent="0.25">
      <c r="B155" s="1038"/>
      <c r="C155" s="225"/>
      <c r="D155" s="4345"/>
      <c r="E155" s="420" t="s">
        <v>2452</v>
      </c>
      <c r="F155" s="940">
        <f t="shared" si="38"/>
        <v>0</v>
      </c>
      <c r="G155" s="3201" t="s">
        <v>310</v>
      </c>
      <c r="H155" s="1204"/>
      <c r="I155" s="918"/>
      <c r="J155" s="918"/>
      <c r="K155" s="1038"/>
      <c r="L155" s="1038"/>
      <c r="M155" s="1038"/>
      <c r="N155" s="1038"/>
      <c r="O155" s="1038"/>
      <c r="P155" s="1038"/>
      <c r="Q155" s="1038"/>
      <c r="V155" s="4466"/>
      <c r="W155" s="1202">
        <f t="shared" si="39"/>
        <v>0</v>
      </c>
      <c r="X155" s="1202">
        <f t="shared" si="39"/>
        <v>0</v>
      </c>
      <c r="Y155" s="916">
        <f t="shared" si="39"/>
        <v>0</v>
      </c>
      <c r="Z155" s="940">
        <f t="shared" ref="Z155:AA155" si="48">(1-Z102)*(1/(Z112+5)-1/(Z122+5))*Z132*(1-Z$134)*Z$135*24*Z$136/(Z145*10000)</f>
        <v>0</v>
      </c>
      <c r="AA155" s="940">
        <f t="shared" si="48"/>
        <v>0</v>
      </c>
      <c r="AB155" s="1202">
        <v>0</v>
      </c>
      <c r="AC155" s="1202">
        <v>0</v>
      </c>
      <c r="AD155" s="1202"/>
      <c r="AE155" s="1202"/>
      <c r="AF155" s="1202"/>
      <c r="AG155" s="1202"/>
    </row>
    <row r="156" spans="2:33" hidden="1" outlineLevel="1" x14ac:dyDescent="0.25">
      <c r="B156" s="1038"/>
      <c r="C156" s="225"/>
      <c r="D156" s="4345"/>
      <c r="E156" s="420" t="s">
        <v>2453</v>
      </c>
      <c r="F156" s="940">
        <f t="shared" si="38"/>
        <v>0.88303143315276267</v>
      </c>
      <c r="G156" s="3201" t="s">
        <v>310</v>
      </c>
      <c r="H156" s="1204"/>
      <c r="I156" s="918"/>
      <c r="J156" s="918"/>
      <c r="K156" s="1038"/>
      <c r="L156" s="1038"/>
      <c r="M156" s="1038"/>
      <c r="N156" s="1038"/>
      <c r="O156" s="1038"/>
      <c r="P156" s="1038"/>
      <c r="Q156" s="1038"/>
      <c r="V156" s="4466"/>
      <c r="W156" s="1202">
        <f t="shared" si="39"/>
        <v>634.81129729352108</v>
      </c>
      <c r="X156" s="1202">
        <f t="shared" si="39"/>
        <v>634.81129729352108</v>
      </c>
      <c r="Y156" s="916">
        <f t="shared" si="39"/>
        <v>0.88303143315276267</v>
      </c>
      <c r="Z156" s="940">
        <f t="shared" ref="Z156:AA156" si="49">(1-Z103)*(1/(Z113+5)-1/(Z123+5))*Z133*(1-Z$134)*Z$135*24*Z$136/(Z146*10000)</f>
        <v>0.88303143315276267</v>
      </c>
      <c r="AA156" s="940">
        <f t="shared" si="49"/>
        <v>0.88303143315276267</v>
      </c>
      <c r="AB156" s="1202">
        <v>0.88303143315276267</v>
      </c>
      <c r="AC156" s="1202">
        <v>0.88303143315276267</v>
      </c>
      <c r="AD156" s="1202"/>
      <c r="AE156" s="1202"/>
      <c r="AF156" s="1202"/>
      <c r="AG156" s="1202"/>
    </row>
    <row r="157" spans="2:33" hidden="1" outlineLevel="1" x14ac:dyDescent="0.25">
      <c r="B157" s="1038"/>
      <c r="C157" s="225"/>
      <c r="D157" s="3245" t="s">
        <v>311</v>
      </c>
      <c r="E157" s="420" t="s">
        <v>135</v>
      </c>
      <c r="F157" s="943">
        <v>3.1399999999999997E-2</v>
      </c>
      <c r="G157" s="3201" t="s">
        <v>285</v>
      </c>
      <c r="H157" s="1204"/>
      <c r="I157" s="918"/>
      <c r="J157" s="918"/>
      <c r="K157" s="1038"/>
      <c r="L157" s="1038"/>
      <c r="M157" s="1038"/>
      <c r="N157" s="1038"/>
      <c r="O157" s="1038"/>
      <c r="P157" s="1038"/>
      <c r="Q157" s="1038"/>
      <c r="V157" s="917" t="str">
        <f>D157</f>
        <v>Fe</v>
      </c>
      <c r="W157" s="567">
        <v>3.1399999999999997E-2</v>
      </c>
      <c r="X157" s="567">
        <v>3.1399999999999997E-2</v>
      </c>
      <c r="Y157" s="943">
        <v>3.1399999999999997E-2</v>
      </c>
      <c r="Z157" s="943">
        <v>3.1399999999999997E-2</v>
      </c>
      <c r="AA157" s="943">
        <v>3.1399999999999997E-2</v>
      </c>
      <c r="AB157" s="567">
        <v>3.1399999999999997E-2</v>
      </c>
      <c r="AC157" s="567">
        <v>3.1399999999999997E-2</v>
      </c>
      <c r="AD157" s="567"/>
      <c r="AE157" s="567"/>
      <c r="AF157" s="567"/>
      <c r="AG157" s="567"/>
    </row>
    <row r="158" spans="2:33" hidden="1" outlineLevel="1" x14ac:dyDescent="0.25">
      <c r="B158" s="1038"/>
      <c r="C158" s="225"/>
      <c r="D158" s="3245" t="s">
        <v>1721</v>
      </c>
      <c r="E158" s="420" t="s">
        <v>135</v>
      </c>
      <c r="F158" s="1203">
        <v>1646</v>
      </c>
      <c r="G158" s="3201" t="s">
        <v>316</v>
      </c>
      <c r="H158" s="1204" t="s">
        <v>1722</v>
      </c>
      <c r="I158" s="918"/>
      <c r="J158" s="918"/>
      <c r="K158" s="1038"/>
      <c r="L158" s="1038"/>
      <c r="M158" s="1038"/>
      <c r="N158" s="1038"/>
      <c r="O158" s="1038"/>
      <c r="P158" s="1038"/>
      <c r="Q158" s="1038"/>
      <c r="V158" s="917" t="str">
        <f>D158</f>
        <v>CDD</v>
      </c>
      <c r="W158" s="1201">
        <v>1646</v>
      </c>
      <c r="X158" s="1201">
        <v>1646</v>
      </c>
      <c r="Y158" s="1203">
        <v>1646</v>
      </c>
      <c r="Z158" s="1203">
        <v>1646</v>
      </c>
      <c r="AA158" s="1203">
        <v>1646</v>
      </c>
      <c r="AB158" s="1201">
        <v>1646</v>
      </c>
      <c r="AC158" s="1201">
        <v>1646</v>
      </c>
      <c r="AD158" s="1201"/>
      <c r="AE158" s="1201"/>
      <c r="AF158" s="1201"/>
      <c r="AG158" s="1201"/>
    </row>
    <row r="159" spans="2:33" hidden="1" outlineLevel="1" x14ac:dyDescent="0.25">
      <c r="B159" s="1038"/>
      <c r="C159" s="225"/>
      <c r="D159" s="3245" t="s">
        <v>1723</v>
      </c>
      <c r="E159" s="420" t="s">
        <v>135</v>
      </c>
      <c r="F159" s="944">
        <v>0.75</v>
      </c>
      <c r="G159" s="3201" t="s">
        <v>285</v>
      </c>
      <c r="H159" s="1204"/>
      <c r="I159" s="918"/>
      <c r="J159" s="918"/>
      <c r="K159" s="1038"/>
      <c r="L159" s="1038"/>
      <c r="M159" s="1038"/>
      <c r="N159" s="1038"/>
      <c r="O159" s="1038"/>
      <c r="P159" s="1038"/>
      <c r="Q159" s="1038"/>
      <c r="V159" s="917" t="str">
        <f>D159</f>
        <v>DUA</v>
      </c>
      <c r="W159" s="476">
        <v>0.75</v>
      </c>
      <c r="X159" s="476">
        <v>0.75</v>
      </c>
      <c r="Y159" s="944">
        <v>0.75</v>
      </c>
      <c r="Z159" s="944">
        <v>0.75</v>
      </c>
      <c r="AA159" s="944">
        <v>0.75</v>
      </c>
      <c r="AB159" s="476">
        <v>0.75</v>
      </c>
      <c r="AC159" s="476">
        <v>0.75</v>
      </c>
      <c r="AD159" s="476"/>
      <c r="AE159" s="476"/>
      <c r="AF159" s="476"/>
      <c r="AG159" s="476"/>
    </row>
    <row r="160" spans="2:33" hidden="1" outlineLevel="1" x14ac:dyDescent="0.25">
      <c r="B160" s="1038"/>
      <c r="C160" s="225"/>
      <c r="D160" s="4327" t="s">
        <v>1724</v>
      </c>
      <c r="E160" s="420" t="s">
        <v>2444</v>
      </c>
      <c r="F160" s="944">
        <v>0.91</v>
      </c>
      <c r="G160" s="3201" t="s">
        <v>285</v>
      </c>
      <c r="H160" s="1204" t="s">
        <v>1726</v>
      </c>
      <c r="I160" s="918"/>
      <c r="J160" s="918"/>
      <c r="K160" s="1038"/>
      <c r="L160" s="1038"/>
      <c r="M160" s="1038"/>
      <c r="N160" s="1038"/>
      <c r="O160" s="1038"/>
      <c r="P160" s="1038"/>
      <c r="Q160" s="1038"/>
      <c r="V160" s="4247" t="str">
        <f>D160</f>
        <v>%cool</v>
      </c>
      <c r="W160" s="476">
        <v>0.91</v>
      </c>
      <c r="X160" s="476">
        <v>0.91</v>
      </c>
      <c r="Y160" s="944">
        <v>0.91</v>
      </c>
      <c r="Z160" s="944">
        <v>0.91</v>
      </c>
      <c r="AA160" s="944">
        <v>0.91</v>
      </c>
      <c r="AB160" s="476">
        <v>0.91</v>
      </c>
      <c r="AC160" s="476">
        <v>0.91</v>
      </c>
      <c r="AD160" s="476"/>
      <c r="AE160" s="476"/>
      <c r="AF160" s="476"/>
      <c r="AG160" s="476"/>
    </row>
    <row r="161" spans="2:33" hidden="1" outlineLevel="1" x14ac:dyDescent="0.25">
      <c r="B161" s="1038"/>
      <c r="C161" s="225"/>
      <c r="D161" s="4328"/>
      <c r="E161" s="420" t="s">
        <v>2445</v>
      </c>
      <c r="F161" s="944">
        <v>1</v>
      </c>
      <c r="G161" s="3201" t="s">
        <v>2459</v>
      </c>
      <c r="H161" s="1204" t="s">
        <v>1726</v>
      </c>
      <c r="I161" s="918"/>
      <c r="J161" s="918"/>
      <c r="K161" s="1038"/>
      <c r="L161" s="1038"/>
      <c r="M161" s="1038"/>
      <c r="N161" s="1038"/>
      <c r="O161" s="1038"/>
      <c r="P161" s="1038"/>
      <c r="Q161" s="1038"/>
      <c r="V161" s="4248"/>
      <c r="W161" s="476">
        <v>1</v>
      </c>
      <c r="X161" s="476">
        <v>1</v>
      </c>
      <c r="Y161" s="944">
        <v>1</v>
      </c>
      <c r="Z161" s="944">
        <v>1</v>
      </c>
      <c r="AA161" s="944">
        <v>1</v>
      </c>
      <c r="AB161" s="476">
        <v>1</v>
      </c>
      <c r="AC161" s="476">
        <v>1</v>
      </c>
      <c r="AD161" s="476"/>
      <c r="AE161" s="476"/>
      <c r="AF161" s="476"/>
      <c r="AG161" s="476"/>
    </row>
    <row r="162" spans="2:33" hidden="1" outlineLevel="1" x14ac:dyDescent="0.25">
      <c r="B162" s="1038"/>
      <c r="C162" s="225"/>
      <c r="D162" s="4328"/>
      <c r="E162" s="420" t="s">
        <v>2446</v>
      </c>
      <c r="F162" s="944">
        <v>0.91</v>
      </c>
      <c r="G162" s="3201" t="s">
        <v>285</v>
      </c>
      <c r="H162" s="1204" t="s">
        <v>1726</v>
      </c>
      <c r="I162" s="918"/>
      <c r="J162" s="918"/>
      <c r="K162" s="1038"/>
      <c r="L162" s="1038"/>
      <c r="M162" s="1038"/>
      <c r="N162" s="1038"/>
      <c r="O162" s="1038"/>
      <c r="P162" s="1038"/>
      <c r="Q162" s="1038"/>
      <c r="V162" s="4248"/>
      <c r="W162" s="476">
        <v>0.91</v>
      </c>
      <c r="X162" s="476">
        <v>0.91</v>
      </c>
      <c r="Y162" s="944">
        <v>0.91</v>
      </c>
      <c r="Z162" s="944">
        <v>0.91</v>
      </c>
      <c r="AA162" s="944">
        <v>0.91</v>
      </c>
      <c r="AB162" s="476">
        <v>0.91</v>
      </c>
      <c r="AC162" s="476">
        <v>0.91</v>
      </c>
      <c r="AD162" s="476"/>
      <c r="AE162" s="476"/>
      <c r="AF162" s="476"/>
      <c r="AG162" s="476"/>
    </row>
    <row r="163" spans="2:33" hidden="1" outlineLevel="1" x14ac:dyDescent="0.25">
      <c r="B163" s="1038"/>
      <c r="C163" s="225"/>
      <c r="D163" s="4328"/>
      <c r="E163" s="420" t="s">
        <v>2447</v>
      </c>
      <c r="F163" s="944">
        <v>1</v>
      </c>
      <c r="G163" s="3201" t="s">
        <v>285</v>
      </c>
      <c r="H163" s="1204" t="s">
        <v>1726</v>
      </c>
      <c r="I163" s="918"/>
      <c r="J163" s="918"/>
      <c r="K163" s="1038"/>
      <c r="L163" s="1038"/>
      <c r="M163" s="1038"/>
      <c r="N163" s="1038"/>
      <c r="O163" s="1038"/>
      <c r="P163" s="1038"/>
      <c r="Q163" s="1038"/>
      <c r="V163" s="4248"/>
      <c r="W163" s="476">
        <v>1</v>
      </c>
      <c r="X163" s="476">
        <v>1</v>
      </c>
      <c r="Y163" s="944">
        <v>1</v>
      </c>
      <c r="Z163" s="944">
        <v>1</v>
      </c>
      <c r="AA163" s="944">
        <v>1</v>
      </c>
      <c r="AB163" s="476">
        <v>1</v>
      </c>
      <c r="AC163" s="476">
        <v>1</v>
      </c>
      <c r="AD163" s="476"/>
      <c r="AE163" s="476"/>
      <c r="AF163" s="476"/>
      <c r="AG163" s="476"/>
    </row>
    <row r="164" spans="2:33" hidden="1" outlineLevel="1" x14ac:dyDescent="0.25">
      <c r="B164" s="1038"/>
      <c r="C164" s="225"/>
      <c r="D164" s="4328"/>
      <c r="E164" s="420" t="s">
        <v>2448</v>
      </c>
      <c r="F164" s="944">
        <v>0.91</v>
      </c>
      <c r="G164" s="3201" t="s">
        <v>285</v>
      </c>
      <c r="H164" s="1204" t="s">
        <v>1726</v>
      </c>
      <c r="I164" s="918"/>
      <c r="J164" s="918"/>
      <c r="K164" s="1038"/>
      <c r="L164" s="1038"/>
      <c r="M164" s="1038"/>
      <c r="N164" s="1038"/>
      <c r="O164" s="1038"/>
      <c r="P164" s="1038"/>
      <c r="Q164" s="1038"/>
      <c r="V164" s="4248"/>
      <c r="W164" s="476">
        <v>0.91</v>
      </c>
      <c r="X164" s="476">
        <v>0.91</v>
      </c>
      <c r="Y164" s="944">
        <v>0.91</v>
      </c>
      <c r="Z164" s="944">
        <v>0.91</v>
      </c>
      <c r="AA164" s="944">
        <v>0.91</v>
      </c>
      <c r="AB164" s="476">
        <v>0.91</v>
      </c>
      <c r="AC164" s="476">
        <v>0.91</v>
      </c>
      <c r="AD164" s="476"/>
      <c r="AE164" s="476"/>
      <c r="AF164" s="476"/>
      <c r="AG164" s="476"/>
    </row>
    <row r="165" spans="2:33" hidden="1" outlineLevel="1" x14ac:dyDescent="0.25">
      <c r="B165" s="1038"/>
      <c r="C165" s="225"/>
      <c r="D165" s="4328"/>
      <c r="E165" s="420" t="s">
        <v>2449</v>
      </c>
      <c r="F165" s="944">
        <v>1</v>
      </c>
      <c r="G165" s="3201" t="s">
        <v>285</v>
      </c>
      <c r="H165" s="1204" t="s">
        <v>1726</v>
      </c>
      <c r="I165" s="918"/>
      <c r="J165" s="918"/>
      <c r="K165" s="1038"/>
      <c r="L165" s="1038"/>
      <c r="M165" s="1038"/>
      <c r="N165" s="1038"/>
      <c r="O165" s="1038"/>
      <c r="P165" s="1038"/>
      <c r="Q165" s="1038"/>
      <c r="V165" s="4248"/>
      <c r="W165" s="476">
        <v>1</v>
      </c>
      <c r="X165" s="476">
        <v>1</v>
      </c>
      <c r="Y165" s="944">
        <v>1</v>
      </c>
      <c r="Z165" s="944">
        <v>1</v>
      </c>
      <c r="AA165" s="944">
        <v>1</v>
      </c>
      <c r="AB165" s="476">
        <v>1</v>
      </c>
      <c r="AC165" s="476">
        <v>1</v>
      </c>
      <c r="AD165" s="476"/>
      <c r="AE165" s="476"/>
      <c r="AF165" s="476"/>
      <c r="AG165" s="476"/>
    </row>
    <row r="166" spans="2:33" hidden="1" outlineLevel="1" x14ac:dyDescent="0.25">
      <c r="B166" s="1038"/>
      <c r="C166" s="225"/>
      <c r="D166" s="4328"/>
      <c r="E166" s="420" t="s">
        <v>2450</v>
      </c>
      <c r="F166" s="944">
        <v>0.91</v>
      </c>
      <c r="G166" s="3201" t="s">
        <v>285</v>
      </c>
      <c r="H166" s="1204" t="s">
        <v>1726</v>
      </c>
      <c r="I166" s="918"/>
      <c r="J166" s="918"/>
      <c r="K166" s="1038"/>
      <c r="L166" s="1038"/>
      <c r="M166" s="1038"/>
      <c r="N166" s="1038"/>
      <c r="O166" s="1038"/>
      <c r="P166" s="1038"/>
      <c r="Q166" s="1038"/>
      <c r="V166" s="4248"/>
      <c r="W166" s="476">
        <v>0.91</v>
      </c>
      <c r="X166" s="476">
        <v>0.91</v>
      </c>
      <c r="Y166" s="944">
        <v>0.91</v>
      </c>
      <c r="Z166" s="944">
        <v>0.91</v>
      </c>
      <c r="AA166" s="944">
        <v>0.91</v>
      </c>
      <c r="AB166" s="476">
        <v>0.91</v>
      </c>
      <c r="AC166" s="476">
        <v>0.91</v>
      </c>
      <c r="AD166" s="476"/>
      <c r="AE166" s="476"/>
      <c r="AF166" s="476"/>
      <c r="AG166" s="476"/>
    </row>
    <row r="167" spans="2:33" hidden="1" outlineLevel="1" x14ac:dyDescent="0.25">
      <c r="B167" s="1038"/>
      <c r="C167" s="225"/>
      <c r="D167" s="4328"/>
      <c r="E167" s="420" t="s">
        <v>2451</v>
      </c>
      <c r="F167" s="944">
        <v>1</v>
      </c>
      <c r="G167" s="3201" t="s">
        <v>285</v>
      </c>
      <c r="H167" s="1204" t="s">
        <v>1726</v>
      </c>
      <c r="I167" s="918"/>
      <c r="J167" s="918"/>
      <c r="K167" s="1038"/>
      <c r="L167" s="1038"/>
      <c r="M167" s="1038"/>
      <c r="N167" s="1038"/>
      <c r="O167" s="1038"/>
      <c r="P167" s="1038"/>
      <c r="Q167" s="1038"/>
      <c r="V167" s="4248"/>
      <c r="W167" s="476">
        <v>1</v>
      </c>
      <c r="X167" s="476">
        <v>1</v>
      </c>
      <c r="Y167" s="944">
        <v>1</v>
      </c>
      <c r="Z167" s="944">
        <v>1</v>
      </c>
      <c r="AA167" s="944">
        <v>1</v>
      </c>
      <c r="AB167" s="476">
        <v>1</v>
      </c>
      <c r="AC167" s="476">
        <v>1</v>
      </c>
      <c r="AD167" s="476"/>
      <c r="AE167" s="476"/>
      <c r="AF167" s="476"/>
      <c r="AG167" s="476"/>
    </row>
    <row r="168" spans="2:33" hidden="1" outlineLevel="1" x14ac:dyDescent="0.25">
      <c r="B168" s="1038"/>
      <c r="C168" s="225"/>
      <c r="D168" s="4328"/>
      <c r="E168" s="420" t="s">
        <v>2452</v>
      </c>
      <c r="F168" s="944">
        <v>0.91</v>
      </c>
      <c r="G168" s="3201" t="s">
        <v>285</v>
      </c>
      <c r="H168" s="1204" t="s">
        <v>1726</v>
      </c>
      <c r="I168" s="918"/>
      <c r="J168" s="918"/>
      <c r="K168" s="1038"/>
      <c r="L168" s="1038"/>
      <c r="M168" s="1038"/>
      <c r="N168" s="1038"/>
      <c r="O168" s="1038"/>
      <c r="P168" s="1038"/>
      <c r="Q168" s="1038"/>
      <c r="V168" s="4248"/>
      <c r="W168" s="476">
        <v>0.91</v>
      </c>
      <c r="X168" s="476">
        <v>0.91</v>
      </c>
      <c r="Y168" s="944">
        <v>0.91</v>
      </c>
      <c r="Z168" s="944">
        <v>0.91</v>
      </c>
      <c r="AA168" s="944">
        <v>0.91</v>
      </c>
      <c r="AB168" s="476">
        <v>0.91</v>
      </c>
      <c r="AC168" s="476">
        <v>0.91</v>
      </c>
      <c r="AD168" s="476"/>
      <c r="AE168" s="476"/>
      <c r="AF168" s="476"/>
      <c r="AG168" s="476"/>
    </row>
    <row r="169" spans="2:33" hidden="1" outlineLevel="1" x14ac:dyDescent="0.25">
      <c r="B169" s="1038"/>
      <c r="C169" s="225"/>
      <c r="D169" s="4328"/>
      <c r="E169" s="420" t="s">
        <v>2453</v>
      </c>
      <c r="F169" s="944">
        <v>1</v>
      </c>
      <c r="G169" s="3201" t="s">
        <v>285</v>
      </c>
      <c r="H169" s="1204" t="s">
        <v>1726</v>
      </c>
      <c r="I169" s="918"/>
      <c r="J169" s="918"/>
      <c r="K169" s="1038"/>
      <c r="L169" s="1038"/>
      <c r="M169" s="1038"/>
      <c r="N169" s="1038"/>
      <c r="O169" s="1038"/>
      <c r="P169" s="1038"/>
      <c r="Q169" s="1038"/>
      <c r="V169" s="4248"/>
      <c r="W169" s="476">
        <v>1</v>
      </c>
      <c r="X169" s="476">
        <v>1</v>
      </c>
      <c r="Y169" s="944">
        <v>1</v>
      </c>
      <c r="Z169" s="944">
        <v>1</v>
      </c>
      <c r="AA169" s="944">
        <v>1</v>
      </c>
      <c r="AB169" s="476">
        <v>1</v>
      </c>
      <c r="AC169" s="476">
        <v>1</v>
      </c>
      <c r="AD169" s="476"/>
      <c r="AE169" s="476"/>
      <c r="AF169" s="476"/>
      <c r="AG169" s="476"/>
    </row>
    <row r="170" spans="2:33" hidden="1" outlineLevel="1" x14ac:dyDescent="0.25">
      <c r="B170" s="1038"/>
      <c r="C170" s="225"/>
      <c r="D170" s="4327" t="s">
        <v>1727</v>
      </c>
      <c r="E170" s="420" t="s">
        <v>2444</v>
      </c>
      <c r="F170" s="1203">
        <v>11</v>
      </c>
      <c r="G170" s="1204" t="s">
        <v>1709</v>
      </c>
      <c r="H170" s="4462" t="s">
        <v>289</v>
      </c>
      <c r="I170" s="918"/>
      <c r="J170" s="918"/>
      <c r="K170" s="1038"/>
      <c r="L170" s="1038"/>
      <c r="M170" s="1038"/>
      <c r="N170" s="1038"/>
      <c r="O170" s="1038"/>
      <c r="P170" s="1038"/>
      <c r="Q170" s="1038"/>
      <c r="V170" s="4327" t="str">
        <f>D170</f>
        <v>ƞcool</v>
      </c>
      <c r="W170" s="1201">
        <v>11</v>
      </c>
      <c r="X170" s="1201">
        <v>11</v>
      </c>
      <c r="Y170" s="1203">
        <v>11</v>
      </c>
      <c r="Z170" s="1203">
        <v>11</v>
      </c>
      <c r="AA170" s="1203">
        <v>11</v>
      </c>
      <c r="AB170" s="1201">
        <v>11</v>
      </c>
      <c r="AC170" s="1201">
        <v>11</v>
      </c>
      <c r="AD170" s="1201"/>
      <c r="AE170" s="1201"/>
      <c r="AF170" s="1201"/>
      <c r="AG170" s="1201"/>
    </row>
    <row r="171" spans="2:33" hidden="1" outlineLevel="1" x14ac:dyDescent="0.25">
      <c r="B171" s="1038"/>
      <c r="C171" s="225"/>
      <c r="D171" s="4328"/>
      <c r="E171" s="420" t="s">
        <v>2445</v>
      </c>
      <c r="F171" s="1203">
        <v>11</v>
      </c>
      <c r="G171" s="1204" t="s">
        <v>1709</v>
      </c>
      <c r="H171" s="4463" t="s">
        <v>1709</v>
      </c>
      <c r="I171" s="918"/>
      <c r="J171" s="918"/>
      <c r="K171" s="1038"/>
      <c r="L171" s="1038"/>
      <c r="M171" s="1038"/>
      <c r="N171" s="1038"/>
      <c r="O171" s="1038"/>
      <c r="P171" s="1038"/>
      <c r="Q171" s="1038"/>
      <c r="V171" s="4328"/>
      <c r="W171" s="1201">
        <v>11</v>
      </c>
      <c r="X171" s="1201">
        <v>11</v>
      </c>
      <c r="Y171" s="1203">
        <v>11</v>
      </c>
      <c r="Z171" s="1203">
        <v>11</v>
      </c>
      <c r="AA171" s="1203">
        <v>11</v>
      </c>
      <c r="AB171" s="1201">
        <v>11</v>
      </c>
      <c r="AC171" s="1201">
        <v>11</v>
      </c>
      <c r="AD171" s="1201"/>
      <c r="AE171" s="1201"/>
      <c r="AF171" s="1201"/>
      <c r="AG171" s="1201"/>
    </row>
    <row r="172" spans="2:33" hidden="1" outlineLevel="1" x14ac:dyDescent="0.25">
      <c r="B172" s="1038"/>
      <c r="C172" s="225"/>
      <c r="D172" s="4328"/>
      <c r="E172" s="420" t="s">
        <v>2446</v>
      </c>
      <c r="F172" s="1203">
        <v>11</v>
      </c>
      <c r="G172" s="1204" t="s">
        <v>1709</v>
      </c>
      <c r="H172" s="4463"/>
      <c r="I172" s="918"/>
      <c r="J172" s="918"/>
      <c r="K172" s="1038"/>
      <c r="L172" s="1038"/>
      <c r="M172" s="1038"/>
      <c r="N172" s="1038"/>
      <c r="O172" s="1038"/>
      <c r="P172" s="1038"/>
      <c r="Q172" s="1038"/>
      <c r="V172" s="4328"/>
      <c r="W172" s="1201">
        <v>11</v>
      </c>
      <c r="X172" s="1201">
        <v>11</v>
      </c>
      <c r="Y172" s="1203">
        <v>11</v>
      </c>
      <c r="Z172" s="1203">
        <v>11</v>
      </c>
      <c r="AA172" s="1203">
        <v>11</v>
      </c>
      <c r="AB172" s="1201">
        <v>11</v>
      </c>
      <c r="AC172" s="1201">
        <v>11</v>
      </c>
      <c r="AD172" s="1201"/>
      <c r="AE172" s="1201"/>
      <c r="AF172" s="1201"/>
      <c r="AG172" s="1201"/>
    </row>
    <row r="173" spans="2:33" hidden="1" outlineLevel="1" x14ac:dyDescent="0.25">
      <c r="B173" s="1038"/>
      <c r="C173" s="225"/>
      <c r="D173" s="4328"/>
      <c r="E173" s="420" t="s">
        <v>2447</v>
      </c>
      <c r="F173" s="1203">
        <v>11</v>
      </c>
      <c r="G173" s="1204" t="s">
        <v>1709</v>
      </c>
      <c r="H173" s="4463" t="s">
        <v>1709</v>
      </c>
      <c r="I173" s="918"/>
      <c r="J173" s="918"/>
      <c r="K173" s="1038"/>
      <c r="L173" s="1038"/>
      <c r="M173" s="1038"/>
      <c r="N173" s="1038"/>
      <c r="O173" s="1038"/>
      <c r="P173" s="1038"/>
      <c r="Q173" s="1038"/>
      <c r="V173" s="4328"/>
      <c r="W173" s="1201">
        <v>11</v>
      </c>
      <c r="X173" s="1201">
        <v>11</v>
      </c>
      <c r="Y173" s="1203">
        <v>11</v>
      </c>
      <c r="Z173" s="1203">
        <v>11</v>
      </c>
      <c r="AA173" s="1203">
        <v>11</v>
      </c>
      <c r="AB173" s="1201">
        <v>11</v>
      </c>
      <c r="AC173" s="1201">
        <v>11</v>
      </c>
      <c r="AD173" s="1201"/>
      <c r="AE173" s="1201"/>
      <c r="AF173" s="1201"/>
      <c r="AG173" s="1201"/>
    </row>
    <row r="174" spans="2:33" hidden="1" outlineLevel="1" x14ac:dyDescent="0.25">
      <c r="B174" s="1038"/>
      <c r="C174" s="225"/>
      <c r="D174" s="4328"/>
      <c r="E174" s="420" t="s">
        <v>2448</v>
      </c>
      <c r="F174" s="1203">
        <v>11</v>
      </c>
      <c r="G174" s="1204" t="s">
        <v>1709</v>
      </c>
      <c r="H174" s="4463"/>
      <c r="I174" s="918"/>
      <c r="J174" s="918"/>
      <c r="K174" s="1038"/>
      <c r="L174" s="1038"/>
      <c r="M174" s="1038"/>
      <c r="N174" s="1038"/>
      <c r="O174" s="1038"/>
      <c r="P174" s="1038"/>
      <c r="Q174" s="1038"/>
      <c r="V174" s="4328"/>
      <c r="W174" s="1201">
        <v>11</v>
      </c>
      <c r="X174" s="1201">
        <v>11</v>
      </c>
      <c r="Y174" s="1203">
        <v>11</v>
      </c>
      <c r="Z174" s="1203">
        <v>11</v>
      </c>
      <c r="AA174" s="1203">
        <v>11</v>
      </c>
      <c r="AB174" s="1201">
        <v>11</v>
      </c>
      <c r="AC174" s="1201">
        <v>11</v>
      </c>
      <c r="AD174" s="1201"/>
      <c r="AE174" s="1201"/>
      <c r="AF174" s="1201"/>
      <c r="AG174" s="1201"/>
    </row>
    <row r="175" spans="2:33" hidden="1" outlineLevel="1" x14ac:dyDescent="0.25">
      <c r="B175" s="1038"/>
      <c r="C175" s="225"/>
      <c r="D175" s="4328"/>
      <c r="E175" s="420" t="s">
        <v>2449</v>
      </c>
      <c r="F175" s="1203">
        <v>11</v>
      </c>
      <c r="G175" s="1204" t="s">
        <v>1709</v>
      </c>
      <c r="H175" s="4463" t="s">
        <v>1709</v>
      </c>
      <c r="I175" s="918"/>
      <c r="J175" s="918"/>
      <c r="K175" s="1038"/>
      <c r="L175" s="1038"/>
      <c r="M175" s="1038"/>
      <c r="N175" s="1038"/>
      <c r="O175" s="1038"/>
      <c r="P175" s="1038"/>
      <c r="Q175" s="1038"/>
      <c r="V175" s="4328"/>
      <c r="W175" s="1201">
        <v>11</v>
      </c>
      <c r="X175" s="1201">
        <v>11</v>
      </c>
      <c r="Y175" s="1203">
        <v>11</v>
      </c>
      <c r="Z175" s="1203">
        <v>11</v>
      </c>
      <c r="AA175" s="1203">
        <v>11</v>
      </c>
      <c r="AB175" s="1201">
        <v>11</v>
      </c>
      <c r="AC175" s="1201">
        <v>11</v>
      </c>
      <c r="AD175" s="1201"/>
      <c r="AE175" s="1201"/>
      <c r="AF175" s="1201"/>
      <c r="AG175" s="1201"/>
    </row>
    <row r="176" spans="2:33" hidden="1" outlineLevel="1" x14ac:dyDescent="0.25">
      <c r="B176" s="1038"/>
      <c r="C176" s="225"/>
      <c r="D176" s="4328"/>
      <c r="E176" s="420" t="s">
        <v>2450</v>
      </c>
      <c r="F176" s="1203">
        <v>11</v>
      </c>
      <c r="G176" s="1204" t="s">
        <v>1709</v>
      </c>
      <c r="H176" s="4463"/>
      <c r="I176" s="918"/>
      <c r="J176" s="918"/>
      <c r="K176" s="1038"/>
      <c r="L176" s="1038"/>
      <c r="M176" s="1038"/>
      <c r="N176" s="1038"/>
      <c r="O176" s="1038"/>
      <c r="P176" s="1038"/>
      <c r="Q176" s="1038"/>
      <c r="V176" s="4328"/>
      <c r="W176" s="1201">
        <v>11</v>
      </c>
      <c r="X176" s="1201">
        <v>11</v>
      </c>
      <c r="Y176" s="1203">
        <v>11</v>
      </c>
      <c r="Z176" s="1203">
        <v>11</v>
      </c>
      <c r="AA176" s="1203">
        <v>11</v>
      </c>
      <c r="AB176" s="1201">
        <v>11</v>
      </c>
      <c r="AC176" s="1201">
        <v>11</v>
      </c>
      <c r="AD176" s="1201"/>
      <c r="AE176" s="1201"/>
      <c r="AF176" s="1201"/>
      <c r="AG176" s="1201"/>
    </row>
    <row r="177" spans="2:35" hidden="1" outlineLevel="1" x14ac:dyDescent="0.25">
      <c r="B177" s="1038"/>
      <c r="C177" s="225"/>
      <c r="D177" s="4328"/>
      <c r="E177" s="420" t="s">
        <v>2451</v>
      </c>
      <c r="F177" s="1203">
        <v>11</v>
      </c>
      <c r="G177" s="1204" t="s">
        <v>1709</v>
      </c>
      <c r="H177" s="4463" t="s">
        <v>1709</v>
      </c>
      <c r="I177" s="918"/>
      <c r="J177" s="918"/>
      <c r="K177" s="1038"/>
      <c r="L177" s="1038"/>
      <c r="M177" s="1038"/>
      <c r="N177" s="1038"/>
      <c r="O177" s="1038"/>
      <c r="P177" s="1038"/>
      <c r="Q177" s="1038"/>
      <c r="V177" s="4328"/>
      <c r="W177" s="1201">
        <v>11</v>
      </c>
      <c r="X177" s="1201">
        <v>11</v>
      </c>
      <c r="Y177" s="1203">
        <v>11</v>
      </c>
      <c r="Z177" s="1203">
        <v>11</v>
      </c>
      <c r="AA177" s="1203">
        <v>11</v>
      </c>
      <c r="AB177" s="1201">
        <v>11</v>
      </c>
      <c r="AC177" s="1201">
        <v>11</v>
      </c>
      <c r="AD177" s="1201"/>
      <c r="AE177" s="1201"/>
      <c r="AF177" s="1201"/>
      <c r="AG177" s="1201"/>
    </row>
    <row r="178" spans="2:35" hidden="1" outlineLevel="1" x14ac:dyDescent="0.25">
      <c r="B178" s="1038"/>
      <c r="C178" s="225"/>
      <c r="D178" s="4328"/>
      <c r="E178" s="420" t="s">
        <v>2452</v>
      </c>
      <c r="F178" s="1203">
        <v>11</v>
      </c>
      <c r="G178" s="1204" t="s">
        <v>1709</v>
      </c>
      <c r="H178" s="4463"/>
      <c r="I178" s="918"/>
      <c r="J178" s="918"/>
      <c r="K178" s="1038"/>
      <c r="L178" s="1038"/>
      <c r="M178" s="1038"/>
      <c r="N178" s="1038"/>
      <c r="O178" s="1038"/>
      <c r="P178" s="1038"/>
      <c r="Q178" s="1038"/>
      <c r="V178" s="4328"/>
      <c r="W178" s="1201">
        <v>11</v>
      </c>
      <c r="X178" s="1201">
        <v>11</v>
      </c>
      <c r="Y178" s="1203">
        <v>11</v>
      </c>
      <c r="Z178" s="1203">
        <v>11</v>
      </c>
      <c r="AA178" s="1203">
        <v>11</v>
      </c>
      <c r="AB178" s="1201">
        <v>11</v>
      </c>
      <c r="AC178" s="1201">
        <v>11</v>
      </c>
      <c r="AD178" s="1201"/>
      <c r="AE178" s="1201"/>
      <c r="AF178" s="1201"/>
      <c r="AG178" s="1201"/>
    </row>
    <row r="179" spans="2:35" hidden="1" outlineLevel="1" x14ac:dyDescent="0.25">
      <c r="B179" s="1038"/>
      <c r="C179" s="225"/>
      <c r="D179" s="4329"/>
      <c r="E179" s="420" t="s">
        <v>2453</v>
      </c>
      <c r="F179" s="1203">
        <v>11</v>
      </c>
      <c r="G179" s="1204" t="s">
        <v>1709</v>
      </c>
      <c r="H179" s="4464" t="s">
        <v>1709</v>
      </c>
      <c r="I179" s="918"/>
      <c r="J179" s="918"/>
      <c r="K179" s="1038"/>
      <c r="L179" s="1038"/>
      <c r="M179" s="1038"/>
      <c r="N179" s="1038"/>
      <c r="O179" s="1038"/>
      <c r="P179" s="1038"/>
      <c r="Q179" s="1038"/>
      <c r="V179" s="4329"/>
      <c r="W179" s="1201">
        <v>11</v>
      </c>
      <c r="X179" s="1201">
        <v>11</v>
      </c>
      <c r="Y179" s="1203">
        <v>11</v>
      </c>
      <c r="Z179" s="1203">
        <v>11</v>
      </c>
      <c r="AA179" s="1203">
        <v>11</v>
      </c>
      <c r="AB179" s="1201">
        <v>11</v>
      </c>
      <c r="AC179" s="1201">
        <v>11</v>
      </c>
      <c r="AD179" s="1201"/>
      <c r="AE179" s="1201"/>
      <c r="AF179" s="1201"/>
      <c r="AG179" s="1201"/>
      <c r="AH179" s="1930"/>
      <c r="AI179" s="1930"/>
    </row>
    <row r="180" spans="2:35" hidden="1" outlineLevel="1" x14ac:dyDescent="0.25">
      <c r="B180" s="1038"/>
      <c r="C180" s="225"/>
      <c r="D180" s="3244" t="str">
        <f>$D$34</f>
        <v>EUL</v>
      </c>
      <c r="E180" s="420"/>
      <c r="F180" s="1203">
        <v>25</v>
      </c>
      <c r="G180" s="3201"/>
      <c r="H180" s="1204"/>
      <c r="I180" s="918"/>
      <c r="J180" s="918"/>
      <c r="K180" s="1038"/>
      <c r="L180" s="1038"/>
      <c r="M180" s="1038"/>
      <c r="N180" s="1038"/>
      <c r="O180" s="1038"/>
      <c r="P180" s="1038"/>
      <c r="Q180" s="1038"/>
      <c r="V180" s="3245" t="str">
        <f>D180</f>
        <v>EUL</v>
      </c>
      <c r="W180" s="1203">
        <v>25</v>
      </c>
      <c r="X180" s="1203">
        <v>25</v>
      </c>
      <c r="Y180" s="1203">
        <v>25</v>
      </c>
      <c r="Z180" s="1203">
        <v>25</v>
      </c>
      <c r="AA180" s="1203">
        <v>25</v>
      </c>
      <c r="AB180" s="2370">
        <v>25</v>
      </c>
      <c r="AC180" s="2370">
        <v>25</v>
      </c>
      <c r="AD180" s="476"/>
      <c r="AE180" s="476"/>
      <c r="AF180" s="476"/>
      <c r="AG180" s="476"/>
      <c r="AH180" s="1930"/>
      <c r="AI180" s="1930"/>
    </row>
    <row r="181" spans="2:35" hidden="1" outlineLevel="1" x14ac:dyDescent="0.25">
      <c r="B181" s="1038"/>
      <c r="C181" s="225"/>
      <c r="D181" s="4460" t="str">
        <f>$D$35</f>
        <v>Inc. Cost</v>
      </c>
      <c r="E181" s="420"/>
      <c r="F181" s="1199">
        <f>1860.46/875.55</f>
        <v>2.1249043458397581</v>
      </c>
      <c r="G181" s="4462" t="s">
        <v>1641</v>
      </c>
      <c r="H181" s="1204" t="str">
        <f>CONCATENATE("Avg. size home ",I181," sq.ft.")</f>
        <v>Avg. size home 875.55 sq.ft.</v>
      </c>
      <c r="I181" s="427">
        <v>875.55000000000007</v>
      </c>
      <c r="J181" s="918"/>
      <c r="K181" s="1038"/>
      <c r="L181" s="1038"/>
      <c r="M181" s="1038"/>
      <c r="N181" s="1038"/>
      <c r="O181" s="1038"/>
      <c r="P181" s="1038"/>
      <c r="Q181" s="1038"/>
      <c r="V181" s="4461" t="str">
        <f>D181</f>
        <v>Inc. Cost</v>
      </c>
      <c r="W181" s="1199">
        <v>1860.46</v>
      </c>
      <c r="X181" s="1199">
        <v>1860.46</v>
      </c>
      <c r="Y181" s="1796">
        <f>1860.46/875.55</f>
        <v>2.1249043458397581</v>
      </c>
      <c r="Z181" s="1199">
        <f t="shared" ref="Z181:AA182" si="50">1860.46/875.55</f>
        <v>2.1249043458397581</v>
      </c>
      <c r="AA181" s="1199">
        <f t="shared" si="50"/>
        <v>2.1249043458397581</v>
      </c>
      <c r="AB181" s="659">
        <v>2.1249043458397581</v>
      </c>
      <c r="AC181" s="659">
        <v>2.1249043458397581</v>
      </c>
      <c r="AD181" s="476"/>
      <c r="AE181" s="476"/>
      <c r="AF181" s="476"/>
      <c r="AG181" s="476"/>
      <c r="AH181" s="1930"/>
      <c r="AI181" s="1930"/>
    </row>
    <row r="182" spans="2:35" hidden="1" outlineLevel="1" x14ac:dyDescent="0.25">
      <c r="B182" s="1038"/>
      <c r="C182" s="225"/>
      <c r="D182" s="4461"/>
      <c r="E182" s="420"/>
      <c r="F182" s="1199">
        <f>1860.46/875.55</f>
        <v>2.1249043458397581</v>
      </c>
      <c r="G182" s="4463"/>
      <c r="H182" s="1204" t="str">
        <f t="shared" ref="H182:H190" si="51">CONCATENATE("Avg. size home ",I182," sq.ft.")</f>
        <v>Avg. size home 875.55 sq.ft.</v>
      </c>
      <c r="I182" s="427">
        <v>875.55000000000007</v>
      </c>
      <c r="J182" s="918"/>
      <c r="K182" s="1038"/>
      <c r="L182" s="1038"/>
      <c r="M182" s="1038"/>
      <c r="N182" s="1038"/>
      <c r="O182" s="1038"/>
      <c r="P182" s="1038"/>
      <c r="Q182" s="1038"/>
      <c r="V182" s="4461"/>
      <c r="W182" s="1199">
        <v>1860.46</v>
      </c>
      <c r="X182" s="1199">
        <v>1860.46</v>
      </c>
      <c r="Y182" s="1796">
        <f>1860.46/875.55</f>
        <v>2.1249043458397581</v>
      </c>
      <c r="Z182" s="1199">
        <f t="shared" si="50"/>
        <v>2.1249043458397581</v>
      </c>
      <c r="AA182" s="1199">
        <f t="shared" si="50"/>
        <v>2.1249043458397581</v>
      </c>
      <c r="AB182" s="659">
        <v>2.1249043458397581</v>
      </c>
      <c r="AC182" s="659">
        <v>2.1249043458397581</v>
      </c>
      <c r="AD182" s="476"/>
      <c r="AE182" s="476"/>
      <c r="AF182" s="476"/>
      <c r="AG182" s="476"/>
      <c r="AH182" s="1930"/>
      <c r="AI182" s="1930"/>
    </row>
    <row r="183" spans="2:35" hidden="1" outlineLevel="1" x14ac:dyDescent="0.25">
      <c r="B183" s="1038"/>
      <c r="C183" s="225"/>
      <c r="D183" s="4461"/>
      <c r="E183" s="420"/>
      <c r="F183" s="1199">
        <f>836.16/718.9</f>
        <v>1.1631103074141049</v>
      </c>
      <c r="G183" s="4463"/>
      <c r="H183" s="1204" t="str">
        <f t="shared" si="51"/>
        <v>Avg. size home 718.9 sq.ft.</v>
      </c>
      <c r="I183" s="427">
        <v>718.9</v>
      </c>
      <c r="J183" s="918"/>
      <c r="K183" s="1038"/>
      <c r="L183" s="1038"/>
      <c r="M183" s="1038"/>
      <c r="N183" s="1038"/>
      <c r="O183" s="1038"/>
      <c r="P183" s="1038"/>
      <c r="Q183" s="1038"/>
      <c r="V183" s="4461"/>
      <c r="W183" s="1199">
        <v>836.16</v>
      </c>
      <c r="X183" s="1199">
        <v>836.16</v>
      </c>
      <c r="Y183" s="1796">
        <f>836.16/718.9</f>
        <v>1.1631103074141049</v>
      </c>
      <c r="Z183" s="1199">
        <f t="shared" ref="Z183:AA184" si="52">836.16/718.9</f>
        <v>1.1631103074141049</v>
      </c>
      <c r="AA183" s="1199">
        <f t="shared" si="52"/>
        <v>1.1631103074141049</v>
      </c>
      <c r="AB183" s="659">
        <v>1.1631103074141049</v>
      </c>
      <c r="AC183" s="659">
        <v>1.1631103074141049</v>
      </c>
      <c r="AD183" s="476"/>
      <c r="AE183" s="476"/>
      <c r="AF183" s="476"/>
      <c r="AG183" s="476"/>
      <c r="AH183" s="1930"/>
      <c r="AI183" s="1930"/>
    </row>
    <row r="184" spans="2:35" hidden="1" outlineLevel="1" x14ac:dyDescent="0.25">
      <c r="B184" s="1038"/>
      <c r="C184" s="225"/>
      <c r="D184" s="4461"/>
      <c r="E184" s="420"/>
      <c r="F184" s="1199">
        <f>836.16/718.9</f>
        <v>1.1631103074141049</v>
      </c>
      <c r="G184" s="4463"/>
      <c r="H184" s="1204" t="str">
        <f t="shared" si="51"/>
        <v>Avg. size home 718.9 sq.ft.</v>
      </c>
      <c r="I184" s="427">
        <v>718.9</v>
      </c>
      <c r="J184" s="918"/>
      <c r="K184" s="1038"/>
      <c r="L184" s="1038"/>
      <c r="M184" s="1038"/>
      <c r="N184" s="1038"/>
      <c r="O184" s="1038"/>
      <c r="P184" s="1038"/>
      <c r="Q184" s="1038"/>
      <c r="V184" s="4461"/>
      <c r="W184" s="1199">
        <v>836.16</v>
      </c>
      <c r="X184" s="1199">
        <v>836.16</v>
      </c>
      <c r="Y184" s="1796">
        <f>836.16/718.9</f>
        <v>1.1631103074141049</v>
      </c>
      <c r="Z184" s="1199">
        <f t="shared" si="52"/>
        <v>1.1631103074141049</v>
      </c>
      <c r="AA184" s="1199">
        <f t="shared" si="52"/>
        <v>1.1631103074141049</v>
      </c>
      <c r="AB184" s="659">
        <v>1.1631103074141049</v>
      </c>
      <c r="AC184" s="659">
        <v>1.1631103074141049</v>
      </c>
      <c r="AD184" s="476"/>
      <c r="AE184" s="476"/>
      <c r="AF184" s="476"/>
      <c r="AG184" s="476"/>
      <c r="AH184" s="1930"/>
      <c r="AI184" s="1930"/>
    </row>
    <row r="185" spans="2:35" hidden="1" outlineLevel="1" x14ac:dyDescent="0.25">
      <c r="B185" s="1038"/>
      <c r="C185" s="225"/>
      <c r="D185" s="4461"/>
      <c r="E185" s="420"/>
      <c r="F185" s="1199">
        <f>1208.5/718.9</f>
        <v>1.6810404785088331</v>
      </c>
      <c r="G185" s="4463"/>
      <c r="H185" s="1204" t="str">
        <f t="shared" si="51"/>
        <v>Avg. size home 718.9 sq.ft.</v>
      </c>
      <c r="I185" s="427">
        <v>718.9</v>
      </c>
      <c r="J185" s="918"/>
      <c r="K185" s="1038"/>
      <c r="L185" s="1038"/>
      <c r="M185" s="1038"/>
      <c r="N185" s="1038"/>
      <c r="O185" s="1038"/>
      <c r="P185" s="1038"/>
      <c r="Q185" s="1038"/>
      <c r="V185" s="4461"/>
      <c r="W185" s="1199">
        <v>1208.5</v>
      </c>
      <c r="X185" s="1199">
        <v>1208.5</v>
      </c>
      <c r="Y185" s="1796">
        <f>1208.5/718.9</f>
        <v>1.6810404785088331</v>
      </c>
      <c r="Z185" s="1199">
        <f t="shared" ref="Z185:AA186" si="53">1208.5/718.9</f>
        <v>1.6810404785088331</v>
      </c>
      <c r="AA185" s="1199">
        <f t="shared" si="53"/>
        <v>1.6810404785088331</v>
      </c>
      <c r="AB185" s="659">
        <v>1.6810404785088331</v>
      </c>
      <c r="AC185" s="659">
        <v>1.6810404785088331</v>
      </c>
      <c r="AD185" s="476"/>
      <c r="AE185" s="476"/>
      <c r="AF185" s="476"/>
      <c r="AG185" s="476"/>
      <c r="AH185" s="1930"/>
      <c r="AI185" s="1930"/>
    </row>
    <row r="186" spans="2:35" hidden="1" outlineLevel="1" x14ac:dyDescent="0.25">
      <c r="B186" s="1038"/>
      <c r="C186" s="225"/>
      <c r="D186" s="4461"/>
      <c r="E186" s="420"/>
      <c r="F186" s="1199">
        <f>1208.5/718.9</f>
        <v>1.6810404785088331</v>
      </c>
      <c r="G186" s="4463"/>
      <c r="H186" s="1204" t="str">
        <f t="shared" si="51"/>
        <v>Avg. size home 718.9 sq.ft.</v>
      </c>
      <c r="I186" s="427">
        <v>718.9</v>
      </c>
      <c r="J186" s="918"/>
      <c r="K186" s="1038"/>
      <c r="L186" s="1038"/>
      <c r="M186" s="1038"/>
      <c r="N186" s="1038"/>
      <c r="O186" s="1038"/>
      <c r="P186" s="1038"/>
      <c r="Q186" s="1038"/>
      <c r="V186" s="4461"/>
      <c r="W186" s="1199">
        <v>1208.5</v>
      </c>
      <c r="X186" s="1199">
        <v>1208.5</v>
      </c>
      <c r="Y186" s="1796">
        <f>1208.5/718.9</f>
        <v>1.6810404785088331</v>
      </c>
      <c r="Z186" s="1199">
        <f t="shared" si="53"/>
        <v>1.6810404785088331</v>
      </c>
      <c r="AA186" s="1199">
        <f t="shared" si="53"/>
        <v>1.6810404785088331</v>
      </c>
      <c r="AB186" s="659">
        <v>1.6810404785088331</v>
      </c>
      <c r="AC186" s="659">
        <v>1.6810404785088331</v>
      </c>
      <c r="AD186" s="476"/>
      <c r="AE186" s="476"/>
      <c r="AF186" s="476"/>
      <c r="AG186" s="476"/>
      <c r="AH186" s="1930"/>
      <c r="AI186" s="1930"/>
    </row>
    <row r="187" spans="2:35" hidden="1" outlineLevel="1" x14ac:dyDescent="0.25">
      <c r="B187" s="1038"/>
      <c r="C187" s="225"/>
      <c r="D187" s="4461"/>
      <c r="E187" s="420"/>
      <c r="F187" s="1199">
        <f>1846.68/718.9</f>
        <v>2.568757824454027</v>
      </c>
      <c r="G187" s="4463"/>
      <c r="H187" s="1204" t="str">
        <f t="shared" si="51"/>
        <v>Avg. size home 718.9 sq.ft.</v>
      </c>
      <c r="I187" s="427">
        <v>718.9</v>
      </c>
      <c r="J187" s="918"/>
      <c r="K187" s="1038"/>
      <c r="L187" s="1038"/>
      <c r="M187" s="1038"/>
      <c r="N187" s="1038"/>
      <c r="O187" s="1038"/>
      <c r="P187" s="1038"/>
      <c r="Q187" s="1038"/>
      <c r="V187" s="4461"/>
      <c r="W187" s="1199">
        <v>1846.68</v>
      </c>
      <c r="X187" s="1199">
        <v>1846.68</v>
      </c>
      <c r="Y187" s="1796">
        <f>1846.68/718.9</f>
        <v>2.568757824454027</v>
      </c>
      <c r="Z187" s="1199">
        <f t="shared" ref="Z187:AA188" si="54">1846.68/718.9</f>
        <v>2.568757824454027</v>
      </c>
      <c r="AA187" s="1199">
        <f t="shared" si="54"/>
        <v>2.568757824454027</v>
      </c>
      <c r="AB187" s="659">
        <v>2.568757824454027</v>
      </c>
      <c r="AC187" s="659">
        <v>2.568757824454027</v>
      </c>
      <c r="AD187" s="476"/>
      <c r="AE187" s="476"/>
      <c r="AF187" s="476"/>
      <c r="AG187" s="476"/>
      <c r="AH187" s="1930"/>
      <c r="AI187" s="1930"/>
    </row>
    <row r="188" spans="2:35" hidden="1" outlineLevel="1" x14ac:dyDescent="0.25">
      <c r="B188" s="1038"/>
      <c r="C188" s="225"/>
      <c r="D188" s="4461"/>
      <c r="E188" s="420"/>
      <c r="F188" s="1199">
        <f>1846.68/718.9</f>
        <v>2.568757824454027</v>
      </c>
      <c r="G188" s="4463"/>
      <c r="H188" s="1204" t="str">
        <f t="shared" si="51"/>
        <v>Avg. size home 718.9 sq.ft.</v>
      </c>
      <c r="I188" s="427">
        <v>718.9</v>
      </c>
      <c r="J188" s="918"/>
      <c r="K188" s="1038"/>
      <c r="L188" s="1038"/>
      <c r="M188" s="1038"/>
      <c r="N188" s="1038"/>
      <c r="O188" s="1038"/>
      <c r="P188" s="1038"/>
      <c r="Q188" s="1038"/>
      <c r="V188" s="4461"/>
      <c r="W188" s="1199">
        <v>1846.68</v>
      </c>
      <c r="X188" s="1199">
        <v>1846.68</v>
      </c>
      <c r="Y188" s="1796">
        <f>1846.68/718.9</f>
        <v>2.568757824454027</v>
      </c>
      <c r="Z188" s="1199">
        <f t="shared" si="54"/>
        <v>2.568757824454027</v>
      </c>
      <c r="AA188" s="1199">
        <f t="shared" si="54"/>
        <v>2.568757824454027</v>
      </c>
      <c r="AB188" s="659">
        <v>2.568757824454027</v>
      </c>
      <c r="AC188" s="659">
        <v>2.568757824454027</v>
      </c>
      <c r="AD188" s="476"/>
      <c r="AE188" s="476"/>
      <c r="AF188" s="476"/>
      <c r="AG188" s="476"/>
      <c r="AH188" s="1930"/>
      <c r="AI188" s="1930"/>
    </row>
    <row r="189" spans="2:35" hidden="1" outlineLevel="1" x14ac:dyDescent="0.25">
      <c r="B189" s="1038"/>
      <c r="C189" s="225"/>
      <c r="D189" s="4461"/>
      <c r="E189" s="420"/>
      <c r="F189" s="1199">
        <f>2461.73/718.9</f>
        <v>3.424301015440256</v>
      </c>
      <c r="G189" s="4463"/>
      <c r="H189" s="1204" t="str">
        <f t="shared" si="51"/>
        <v>Avg. size home 718.9 sq.ft.</v>
      </c>
      <c r="I189" s="427">
        <v>718.9</v>
      </c>
      <c r="J189" s="918"/>
      <c r="K189" s="1038"/>
      <c r="L189" s="1038"/>
      <c r="M189" s="1038"/>
      <c r="N189" s="1038"/>
      <c r="O189" s="1038"/>
      <c r="P189" s="1038"/>
      <c r="Q189" s="1038"/>
      <c r="V189" s="4461"/>
      <c r="W189" s="1199">
        <v>2461.73</v>
      </c>
      <c r="X189" s="1199">
        <v>2461.73</v>
      </c>
      <c r="Y189" s="1796">
        <f>2461.73/718.9</f>
        <v>3.424301015440256</v>
      </c>
      <c r="Z189" s="1199">
        <f t="shared" ref="Z189:AA190" si="55">2461.73/718.9</f>
        <v>3.424301015440256</v>
      </c>
      <c r="AA189" s="1199">
        <f t="shared" si="55"/>
        <v>3.424301015440256</v>
      </c>
      <c r="AB189" s="659">
        <v>3.424301015440256</v>
      </c>
      <c r="AC189" s="659">
        <v>3.424301015440256</v>
      </c>
      <c r="AD189" s="476"/>
      <c r="AE189" s="476"/>
      <c r="AF189" s="476"/>
      <c r="AG189" s="476"/>
      <c r="AH189" s="1930"/>
      <c r="AI189" s="1930"/>
    </row>
    <row r="190" spans="2:35" hidden="1" outlineLevel="1" x14ac:dyDescent="0.25">
      <c r="B190" s="1038"/>
      <c r="C190" s="225"/>
      <c r="D190" s="4461"/>
      <c r="E190" s="420"/>
      <c r="F190" s="1199">
        <f>2461.73/718.9</f>
        <v>3.424301015440256</v>
      </c>
      <c r="G190" s="4464"/>
      <c r="H190" s="1204" t="str">
        <f t="shared" si="51"/>
        <v>Avg. size home 718.9 sq.ft.</v>
      </c>
      <c r="I190" s="427">
        <v>718.9</v>
      </c>
      <c r="J190" s="918"/>
      <c r="K190" s="1038"/>
      <c r="L190" s="1038"/>
      <c r="M190" s="1038"/>
      <c r="N190" s="1038"/>
      <c r="O190" s="1038"/>
      <c r="P190" s="1038"/>
      <c r="Q190" s="1038"/>
      <c r="V190" s="4461"/>
      <c r="W190" s="1199">
        <v>2461.73</v>
      </c>
      <c r="X190" s="1199">
        <v>2461.73</v>
      </c>
      <c r="Y190" s="1796">
        <f>2461.73/718.9</f>
        <v>3.424301015440256</v>
      </c>
      <c r="Z190" s="1199">
        <f t="shared" si="55"/>
        <v>3.424301015440256</v>
      </c>
      <c r="AA190" s="1199">
        <f t="shared" si="55"/>
        <v>3.424301015440256</v>
      </c>
      <c r="AB190" s="659">
        <v>3.424301015440256</v>
      </c>
      <c r="AC190" s="659">
        <v>3.424301015440256</v>
      </c>
      <c r="AD190" s="476"/>
      <c r="AE190" s="476"/>
      <c r="AF190" s="476"/>
      <c r="AG190" s="476"/>
      <c r="AH190" s="1930"/>
      <c r="AI190" s="1930"/>
    </row>
    <row r="191" spans="2:35" collapsed="1" x14ac:dyDescent="0.25">
      <c r="B191" s="1233"/>
      <c r="C191" s="225"/>
      <c r="D191" s="247"/>
      <c r="E191" s="247"/>
      <c r="F191" s="249"/>
      <c r="G191" s="249"/>
      <c r="H191" s="249"/>
      <c r="I191" s="249"/>
      <c r="J191" s="249"/>
      <c r="K191" s="249"/>
      <c r="L191" s="249"/>
      <c r="M191" s="249"/>
      <c r="N191" s="249"/>
      <c r="O191" s="249"/>
      <c r="P191" s="249"/>
      <c r="Q191" s="249"/>
      <c r="V191" s="1930"/>
      <c r="W191" s="1930"/>
      <c r="X191" s="1930"/>
      <c r="Y191" s="1930"/>
      <c r="Z191" s="1930"/>
      <c r="AA191" s="1930"/>
      <c r="AB191" s="1930"/>
      <c r="AC191" s="1930"/>
      <c r="AD191" s="1930"/>
      <c r="AE191" s="1930"/>
      <c r="AF191" s="1930"/>
      <c r="AG191" s="1930"/>
      <c r="AH191" s="1930"/>
      <c r="AI191" s="1930"/>
    </row>
    <row r="193" spans="1:57" x14ac:dyDescent="0.25">
      <c r="B193" s="3750" t="s">
        <v>505</v>
      </c>
      <c r="C193" s="3751"/>
      <c r="D193" s="3751"/>
      <c r="E193" s="3751"/>
      <c r="F193" s="3751"/>
      <c r="G193" s="3751"/>
      <c r="H193" s="3751"/>
      <c r="I193" s="3744"/>
      <c r="J193" s="3744"/>
      <c r="K193" s="3744"/>
      <c r="L193" s="3744"/>
      <c r="M193" s="3744"/>
      <c r="N193" s="3744"/>
      <c r="O193" s="3744"/>
      <c r="P193" s="3744"/>
      <c r="Q193" s="3745"/>
      <c r="V193" s="3750" t="str">
        <f>B193</f>
        <v>Dirty Filter Alarm</v>
      </c>
      <c r="W193" s="3751"/>
      <c r="X193" s="3751"/>
      <c r="Y193" s="3751"/>
      <c r="Z193" s="3751"/>
      <c r="AA193" s="3751"/>
      <c r="AB193" s="3751"/>
      <c r="AC193" s="3752"/>
      <c r="AD193" s="3752"/>
      <c r="AE193" s="3752"/>
      <c r="AF193" s="3752"/>
      <c r="AG193" s="3752"/>
      <c r="AH193" s="3752"/>
      <c r="AI193" s="3753"/>
    </row>
    <row r="194" spans="1:57" x14ac:dyDescent="0.25">
      <c r="B194" s="1233"/>
      <c r="C194" s="225"/>
      <c r="D194" s="329" t="s">
        <v>2404</v>
      </c>
      <c r="E194" s="419"/>
      <c r="F194" s="226"/>
      <c r="G194" s="226"/>
      <c r="H194" s="226"/>
      <c r="I194" s="226"/>
      <c r="J194" s="226"/>
      <c r="K194" s="226"/>
      <c r="L194" s="1438"/>
      <c r="M194" s="249"/>
      <c r="N194" s="249"/>
      <c r="O194" s="249"/>
      <c r="P194" s="249"/>
      <c r="Q194" s="249"/>
      <c r="V194" s="1930"/>
      <c r="W194" s="1930"/>
      <c r="X194" s="1930"/>
      <c r="Y194" s="1930"/>
      <c r="Z194" s="1930"/>
      <c r="AA194" s="1930"/>
      <c r="AB194" s="1930"/>
      <c r="AC194" s="1930"/>
      <c r="AD194" s="1930"/>
      <c r="AE194" s="1930"/>
      <c r="AF194" s="1930"/>
      <c r="AG194" s="1930"/>
      <c r="AH194" s="1930"/>
      <c r="AI194" s="1930"/>
    </row>
    <row r="195" spans="1:57" ht="30" x14ac:dyDescent="0.25">
      <c r="B195" s="1233"/>
      <c r="C195" s="3086" t="s">
        <v>28</v>
      </c>
      <c r="D195" s="3086" t="s">
        <v>175</v>
      </c>
      <c r="E195" s="3086" t="s">
        <v>30</v>
      </c>
      <c r="F195" s="3086" t="s">
        <v>31</v>
      </c>
      <c r="G195" s="3086" t="s">
        <v>176</v>
      </c>
      <c r="H195" s="3086" t="s">
        <v>177</v>
      </c>
      <c r="I195" s="3086" t="s">
        <v>506</v>
      </c>
      <c r="J195" s="3086" t="s">
        <v>507</v>
      </c>
      <c r="K195" s="3086" t="s">
        <v>32</v>
      </c>
      <c r="L195" s="3140" t="s">
        <v>181</v>
      </c>
      <c r="M195" s="3086" t="s">
        <v>170</v>
      </c>
      <c r="N195" s="3086" t="s">
        <v>44</v>
      </c>
      <c r="V195" s="1936" t="s">
        <v>45</v>
      </c>
      <c r="W195" s="1937">
        <f>W$6</f>
        <v>43252</v>
      </c>
      <c r="X195" s="1937">
        <f t="shared" ref="X195:AG195" si="56">X$6</f>
        <v>43465</v>
      </c>
      <c r="Y195" s="1937">
        <f t="shared" si="56"/>
        <v>43800</v>
      </c>
      <c r="Z195" s="1937">
        <f t="shared" si="56"/>
        <v>43862</v>
      </c>
      <c r="AA195" s="1937">
        <f t="shared" si="56"/>
        <v>44013</v>
      </c>
      <c r="AB195" s="1937">
        <f t="shared" si="56"/>
        <v>44166</v>
      </c>
      <c r="AC195" s="1937">
        <f t="shared" si="56"/>
        <v>44531</v>
      </c>
      <c r="AD195" s="1937" t="str">
        <f t="shared" si="56"/>
        <v>-</v>
      </c>
      <c r="AE195" s="1937" t="str">
        <f t="shared" si="56"/>
        <v>-</v>
      </c>
      <c r="AF195" s="1937" t="str">
        <f t="shared" si="56"/>
        <v>-</v>
      </c>
      <c r="AG195" s="1937" t="str">
        <f t="shared" si="56"/>
        <v>-</v>
      </c>
      <c r="AH195" s="1930"/>
      <c r="AI195" s="1930"/>
      <c r="AJ195" s="1930"/>
      <c r="AK195" s="1930"/>
      <c r="AL195" s="1930"/>
      <c r="AM195" s="1930"/>
      <c r="AN195" s="1930"/>
      <c r="AO195" s="1930"/>
      <c r="AP195" s="1930"/>
      <c r="AQ195" s="1930"/>
      <c r="AR195" s="1930"/>
      <c r="AS195" s="1930"/>
      <c r="AT195" s="1930"/>
      <c r="AU195" s="1930"/>
      <c r="AV195" s="1930"/>
      <c r="AW195" s="1930"/>
      <c r="AX195" s="1930"/>
      <c r="AY195" s="1930"/>
      <c r="AZ195" s="1930"/>
      <c r="BA195" s="1930"/>
      <c r="BB195" s="1938" t="str">
        <f>$BB$6</f>
        <v>TRC (2020)</v>
      </c>
      <c r="BC195" s="1953" t="str">
        <f>$BC$6</f>
        <v>Benefit Lookup</v>
      </c>
      <c r="BD195" s="665" t="str">
        <f>$BD$6</f>
        <v>Benefits (2019 $)</v>
      </c>
      <c r="BE195" s="230" t="str">
        <f>$BE$6</f>
        <v>Incremental Cost (2019 $)</v>
      </c>
    </row>
    <row r="196" spans="1:57" x14ac:dyDescent="0.25">
      <c r="B196" s="1233"/>
      <c r="C196" s="2666" t="s">
        <v>2460</v>
      </c>
      <c r="D196" s="2667" t="s">
        <v>2406</v>
      </c>
      <c r="E196" s="3240" t="s">
        <v>2461</v>
      </c>
      <c r="F196" s="1443">
        <f>ROUND(I196+J196,2)</f>
        <v>79.2</v>
      </c>
      <c r="G196" s="3176" t="s">
        <v>438</v>
      </c>
      <c r="H196" s="155">
        <f>VLOOKUP(G196,'CP FACTORS'!$A$3:$B$38, 2, FALSE)</f>
        <v>4.6608050000000002E-4</v>
      </c>
      <c r="I196" s="1207">
        <f>F$209*F$210*F$211*F$213*F214*F215</f>
        <v>50.097299999999997</v>
      </c>
      <c r="J196" s="1207">
        <f>F$216*F$210*F$217*F$213*F214*F215</f>
        <v>29.100637499999994</v>
      </c>
      <c r="K196" s="893">
        <f>ROUND(H196*F196,6)</f>
        <v>3.6914000000000002E-2</v>
      </c>
      <c r="L196" s="1207">
        <f>F219</f>
        <v>14</v>
      </c>
      <c r="M196" s="1199">
        <f>F220</f>
        <v>5</v>
      </c>
      <c r="N196" s="2666" t="s">
        <v>185</v>
      </c>
      <c r="V196" s="160" t="str">
        <f>F195</f>
        <v>kWh Annual Savings</v>
      </c>
      <c r="W196" s="421">
        <v>79.197937499999995</v>
      </c>
      <c r="X196" s="1200">
        <v>79.197937499999995</v>
      </c>
      <c r="Y196" s="293">
        <v>79.2</v>
      </c>
      <c r="Z196" s="1443">
        <v>79.2</v>
      </c>
      <c r="AA196" s="1443">
        <v>79.2</v>
      </c>
      <c r="AB196" s="1443">
        <v>79.2</v>
      </c>
      <c r="AC196" s="1443">
        <v>79.2</v>
      </c>
      <c r="AD196" s="160"/>
      <c r="AE196" s="160"/>
      <c r="AF196" s="160"/>
      <c r="AG196" s="160"/>
      <c r="AH196" s="1930"/>
      <c r="AI196" s="1930"/>
      <c r="AJ196" s="1930"/>
      <c r="AK196" s="1930"/>
      <c r="AL196" s="1930"/>
      <c r="AM196" s="1930"/>
      <c r="AN196" s="1930"/>
      <c r="AO196" s="1930"/>
      <c r="AP196" s="1930"/>
      <c r="AQ196" s="1930"/>
      <c r="AR196" s="1930"/>
      <c r="AS196" s="1930"/>
      <c r="AT196" s="1930"/>
      <c r="AU196" s="1930"/>
      <c r="AV196" s="1930"/>
      <c r="AW196" s="1930"/>
      <c r="AX196" s="1930"/>
      <c r="AY196" s="1930"/>
      <c r="AZ196" s="1930"/>
      <c r="BA196" s="1930"/>
      <c r="BB196" s="1945">
        <f>(BD196)/(BE196)</f>
        <v>14.901460188305345</v>
      </c>
      <c r="BC196" s="3166" t="str">
        <f>CONCATENATE(G196," ",L196," Year EUL")</f>
        <v>HVAC RES 14 Year EUL</v>
      </c>
      <c r="BD196" s="111">
        <f>(INDEX('Avoided Cost Benefits'!$C$4:$C$857,MATCH(BC196,'Avoided Cost Benefits'!$A$4:$A$857,0)))*F196</f>
        <v>70.323077811728851</v>
      </c>
      <c r="BE196" s="1946">
        <f>M196/(1.0595^(2020-2019))</f>
        <v>4.7192071731949028</v>
      </c>
    </row>
    <row r="197" spans="1:57" x14ac:dyDescent="0.25">
      <c r="B197" s="1233"/>
      <c r="C197" s="2666" t="s">
        <v>2462</v>
      </c>
      <c r="D197" s="2667" t="s">
        <v>2409</v>
      </c>
      <c r="E197" s="3121" t="str">
        <f>CONCATENATE(E196,"_CompE")</f>
        <v>Dirty Filter Alarm_MFMR_CompE</v>
      </c>
      <c r="F197" s="1443">
        <f>ROUND(I197+J197,2)</f>
        <v>38.24</v>
      </c>
      <c r="G197" s="3176" t="s">
        <v>438</v>
      </c>
      <c r="H197" s="155">
        <f>VLOOKUP(G197,'CP FACTORS'!$A$3:$B$38, 2, FALSE)</f>
        <v>4.6608050000000002E-4</v>
      </c>
      <c r="I197" s="1207">
        <f>F$209*F$210*F$212*F$213*F214*F215</f>
        <v>17.078624999999999</v>
      </c>
      <c r="J197" s="1207">
        <f>F$216*F$210*F$218*F$213*F214*F215</f>
        <v>21.164099999999998</v>
      </c>
      <c r="K197" s="893">
        <f>ROUND(H197*F197,6)</f>
        <v>1.7822999999999999E-2</v>
      </c>
      <c r="L197" s="1207">
        <f>L196</f>
        <v>14</v>
      </c>
      <c r="M197" s="1199">
        <f>M196</f>
        <v>5</v>
      </c>
      <c r="N197" s="2666" t="s">
        <v>185</v>
      </c>
      <c r="V197" s="160" t="str">
        <f>V196</f>
        <v>kWh Annual Savings</v>
      </c>
      <c r="W197" s="421"/>
      <c r="X197" s="1200"/>
      <c r="Y197" s="290">
        <v>38.24</v>
      </c>
      <c r="Z197" s="1443">
        <v>38.24</v>
      </c>
      <c r="AA197" s="1443">
        <v>38.24</v>
      </c>
      <c r="AB197" s="1443">
        <v>38.24</v>
      </c>
      <c r="AC197" s="1443">
        <v>38.24</v>
      </c>
      <c r="AD197" s="160"/>
      <c r="AE197" s="160"/>
      <c r="AF197" s="160"/>
      <c r="AG197" s="160"/>
      <c r="AH197" s="1930"/>
      <c r="AI197" s="1930"/>
      <c r="AJ197" s="1930"/>
      <c r="AK197" s="1930"/>
      <c r="AL197" s="1930"/>
      <c r="AM197" s="1930"/>
      <c r="AN197" s="1930"/>
      <c r="AO197" s="1930"/>
      <c r="AP197" s="1930"/>
      <c r="AQ197" s="1930"/>
      <c r="AR197" s="1930"/>
      <c r="AS197" s="1930"/>
      <c r="AT197" s="1930"/>
      <c r="AU197" s="1930"/>
      <c r="AV197" s="1930"/>
      <c r="AW197" s="1930"/>
      <c r="AX197" s="1930"/>
      <c r="AY197" s="1930"/>
      <c r="AZ197" s="1930"/>
      <c r="BA197" s="1930"/>
      <c r="BB197" s="53">
        <f>(BD197)/(BE197)</f>
        <v>7.1948464343534893</v>
      </c>
      <c r="BC197" s="1948" t="str">
        <f>CONCATENATE(G197," ",L197," Year EUL")</f>
        <v>HVAC RES 14 Year EUL</v>
      </c>
      <c r="BD197" s="119">
        <f>(INDEX('Avoided Cost Benefits'!$C$4:$C$857,MATCH(BC197,'Avoided Cost Benefits'!$A$4:$A$857,0)))*F197</f>
        <v>33.953970903036755</v>
      </c>
      <c r="BE197" s="1950">
        <f>M197/(1.0595^(2020-2019))</f>
        <v>4.7192071731949028</v>
      </c>
    </row>
    <row r="198" spans="1:57" hidden="1" outlineLevel="1" x14ac:dyDescent="0.25">
      <c r="B198" s="1233"/>
      <c r="C198" s="225"/>
      <c r="D198" s="1208"/>
      <c r="E198" s="1208"/>
      <c r="F198" s="1754"/>
      <c r="G198" s="1463"/>
      <c r="H198" s="1464"/>
      <c r="I198" s="1755"/>
      <c r="J198" s="1756"/>
      <c r="K198" s="1026"/>
      <c r="L198" s="1026"/>
      <c r="M198" s="1757"/>
      <c r="N198" s="1758"/>
      <c r="O198" s="1757"/>
      <c r="P198" s="1727"/>
      <c r="Q198" s="1038"/>
      <c r="V198" s="1930"/>
      <c r="W198" s="1930"/>
      <c r="X198" s="1930"/>
      <c r="Y198" s="1930"/>
      <c r="Z198" s="1930"/>
      <c r="AA198" s="1930"/>
      <c r="AB198" s="1930"/>
      <c r="AC198" s="1930"/>
      <c r="AD198" s="1930"/>
      <c r="AE198" s="1930"/>
      <c r="AF198" s="1930"/>
      <c r="AG198" s="1930"/>
      <c r="AH198" s="1930"/>
      <c r="AI198" s="1930"/>
      <c r="AJ198" s="1930"/>
      <c r="AK198" s="1930"/>
      <c r="AL198" s="1930"/>
      <c r="AM198" s="1930"/>
      <c r="AN198" s="1930"/>
      <c r="AO198" s="1930"/>
      <c r="AP198" s="1930"/>
      <c r="AQ198" s="1930"/>
      <c r="AR198" s="1930"/>
      <c r="AS198" s="1930"/>
      <c r="AT198" s="1930"/>
      <c r="AU198" s="1930"/>
      <c r="AV198" s="1930"/>
      <c r="AW198" s="1930"/>
      <c r="AX198" s="1930"/>
      <c r="AY198" s="1930"/>
      <c r="AZ198" s="1930"/>
      <c r="BA198" s="1930"/>
      <c r="BC198" s="1930"/>
      <c r="BD198" s="1930"/>
      <c r="BE198" s="1930"/>
    </row>
    <row r="199" spans="1:57" hidden="1" outlineLevel="1" x14ac:dyDescent="0.25">
      <c r="B199" s="1233"/>
      <c r="C199" s="225"/>
      <c r="D199" s="174" t="s">
        <v>108</v>
      </c>
      <c r="E199" s="1641"/>
      <c r="F199" s="1759"/>
      <c r="G199" s="958"/>
      <c r="H199" s="958"/>
      <c r="I199" s="958"/>
      <c r="J199" s="958"/>
      <c r="K199" s="958"/>
      <c r="L199" s="958"/>
      <c r="M199" s="910"/>
      <c r="N199" s="910"/>
      <c r="O199" s="249"/>
      <c r="P199" s="249"/>
      <c r="Q199" s="249"/>
      <c r="V199" s="1930"/>
      <c r="W199" s="1930"/>
      <c r="X199" s="1930"/>
      <c r="Y199" s="1930"/>
      <c r="Z199" s="1930"/>
      <c r="AA199" s="1930"/>
      <c r="AB199" s="1930"/>
      <c r="AC199" s="1930"/>
      <c r="AD199" s="1930"/>
      <c r="AE199" s="1930"/>
      <c r="AF199" s="1930"/>
      <c r="AG199" s="1930"/>
      <c r="AH199" s="1930"/>
      <c r="AI199" s="1930"/>
      <c r="AJ199" s="1930"/>
      <c r="AK199" s="1930"/>
      <c r="AL199" s="1930"/>
      <c r="AM199" s="1930"/>
      <c r="AN199" s="1930"/>
      <c r="AO199" s="1930"/>
      <c r="AP199" s="1930"/>
      <c r="AQ199" s="1930"/>
      <c r="AR199" s="1930"/>
      <c r="AS199" s="1930"/>
      <c r="AT199" s="1930"/>
      <c r="AU199" s="1930"/>
      <c r="AV199" s="1930"/>
      <c r="AW199" s="1930"/>
      <c r="AX199" s="1930"/>
      <c r="AY199" s="1930"/>
      <c r="AZ199" s="1930"/>
      <c r="BA199" s="1930"/>
      <c r="BC199" s="1930"/>
      <c r="BD199" s="1930"/>
      <c r="BE199" s="1930"/>
    </row>
    <row r="200" spans="1:57" s="1930" customFormat="1" hidden="1" outlineLevel="1" x14ac:dyDescent="0.25">
      <c r="A200" s="123"/>
      <c r="B200" s="1233"/>
      <c r="C200" s="225"/>
      <c r="D200" s="174"/>
      <c r="E200" s="1641"/>
      <c r="F200" s="1759"/>
      <c r="G200" s="958"/>
      <c r="H200" s="958"/>
      <c r="I200" s="958"/>
      <c r="J200" s="958"/>
      <c r="K200" s="958"/>
      <c r="L200" s="958"/>
      <c r="M200" s="910"/>
      <c r="N200" s="910"/>
      <c r="O200" s="249"/>
      <c r="P200" s="249"/>
      <c r="Q200" s="249"/>
      <c r="R200" s="123"/>
      <c r="S200" s="123"/>
      <c r="T200" s="123"/>
      <c r="U200" s="123"/>
      <c r="BB200" s="950"/>
    </row>
    <row r="201" spans="1:57" s="1930" customFormat="1" hidden="1" outlineLevel="1" x14ac:dyDescent="0.25">
      <c r="A201" s="123"/>
      <c r="B201" s="1233"/>
      <c r="C201" s="225"/>
      <c r="D201" s="174"/>
      <c r="E201" s="1641"/>
      <c r="F201" s="1759"/>
      <c r="G201" s="958"/>
      <c r="H201" s="958"/>
      <c r="I201" s="958"/>
      <c r="J201" s="958"/>
      <c r="K201" s="958"/>
      <c r="L201" s="958"/>
      <c r="M201" s="910"/>
      <c r="N201" s="910"/>
      <c r="O201" s="249"/>
      <c r="P201" s="249"/>
      <c r="Q201" s="249"/>
      <c r="R201" s="123"/>
      <c r="S201" s="123"/>
      <c r="T201" s="123"/>
      <c r="U201" s="123"/>
      <c r="BB201" s="950"/>
    </row>
    <row r="202" spans="1:57" s="1930" customFormat="1" hidden="1" outlineLevel="1" x14ac:dyDescent="0.25">
      <c r="A202" s="123"/>
      <c r="B202" s="1233"/>
      <c r="C202" s="225"/>
      <c r="D202" s="174"/>
      <c r="E202" s="1641"/>
      <c r="F202" s="1759"/>
      <c r="G202" s="958"/>
      <c r="H202" s="958"/>
      <c r="I202" s="958"/>
      <c r="J202" s="958"/>
      <c r="K202" s="958"/>
      <c r="L202" s="958"/>
      <c r="M202" s="910"/>
      <c r="N202" s="910"/>
      <c r="O202" s="249"/>
      <c r="P202" s="249"/>
      <c r="Q202" s="249"/>
      <c r="R202" s="123"/>
      <c r="S202" s="123"/>
      <c r="T202" s="123"/>
      <c r="U202" s="123"/>
      <c r="BB202" s="950"/>
    </row>
    <row r="203" spans="1:57" hidden="1" outlineLevel="1" x14ac:dyDescent="0.25">
      <c r="B203" s="1233"/>
      <c r="C203" s="225"/>
      <c r="D203" s="2482"/>
      <c r="E203" s="2482"/>
      <c r="F203" s="2482"/>
      <c r="G203" s="2482"/>
      <c r="H203" s="2482"/>
      <c r="I203" s="2482"/>
      <c r="J203" s="2482"/>
      <c r="K203" s="2482"/>
      <c r="L203" s="2482"/>
      <c r="M203" s="910"/>
      <c r="N203" s="910"/>
      <c r="O203" s="249"/>
      <c r="P203" s="249"/>
      <c r="Q203" s="249"/>
      <c r="V203" s="1930"/>
      <c r="W203" s="1930"/>
      <c r="X203" s="1930"/>
      <c r="Y203" s="1930"/>
      <c r="Z203" s="1930"/>
      <c r="AA203" s="1930"/>
      <c r="AB203" s="1930"/>
      <c r="AC203" s="1930"/>
      <c r="AD203" s="1930"/>
      <c r="AE203" s="1930"/>
      <c r="AF203" s="1930"/>
      <c r="AG203" s="1930"/>
      <c r="AH203" s="1930"/>
      <c r="AI203" s="1930"/>
      <c r="AJ203" s="1930"/>
      <c r="AK203" s="1930"/>
      <c r="AL203" s="1930"/>
      <c r="AM203" s="1930"/>
      <c r="AN203" s="1930"/>
      <c r="AO203" s="1930"/>
      <c r="AP203" s="1930"/>
      <c r="AQ203" s="1930"/>
      <c r="AR203" s="1930"/>
      <c r="AS203" s="1930"/>
      <c r="AT203" s="1930"/>
      <c r="AU203" s="1930"/>
      <c r="AV203" s="1930"/>
      <c r="AW203" s="1930"/>
      <c r="AX203" s="1930"/>
      <c r="AY203" s="1930"/>
      <c r="AZ203" s="1930"/>
      <c r="BA203" s="1930"/>
      <c r="BC203" s="1930"/>
      <c r="BD203" s="1930"/>
      <c r="BE203" s="1930"/>
    </row>
    <row r="204" spans="1:57" hidden="1" outlineLevel="1" x14ac:dyDescent="0.25">
      <c r="B204" s="1233"/>
      <c r="C204" s="225"/>
      <c r="D204" s="2482"/>
      <c r="E204" s="2482"/>
      <c r="F204" s="2482"/>
      <c r="G204" s="2482"/>
      <c r="H204" s="2482"/>
      <c r="I204" s="2482"/>
      <c r="J204" s="2482"/>
      <c r="K204" s="2482"/>
      <c r="L204" s="2482"/>
      <c r="M204" s="910"/>
      <c r="N204" s="910"/>
      <c r="O204" s="249"/>
      <c r="P204" s="249"/>
      <c r="Q204" s="249"/>
      <c r="V204" s="1930"/>
      <c r="W204" s="1930"/>
      <c r="X204" s="1930"/>
      <c r="Y204" s="1930"/>
      <c r="Z204" s="1930"/>
      <c r="AA204" s="1930"/>
      <c r="AB204" s="1930"/>
      <c r="AC204" s="1930"/>
      <c r="AD204" s="1930"/>
      <c r="AE204" s="1930"/>
      <c r="AF204" s="1930"/>
      <c r="AG204" s="1930"/>
      <c r="AH204" s="1930"/>
      <c r="AI204" s="1930"/>
      <c r="AJ204" s="1930"/>
      <c r="AK204" s="1930"/>
      <c r="AL204" s="1930"/>
      <c r="AM204" s="1930"/>
      <c r="AN204" s="1930"/>
      <c r="AO204" s="1930"/>
      <c r="AP204" s="1930"/>
      <c r="AQ204" s="1930"/>
      <c r="AR204" s="1930"/>
      <c r="AS204" s="1930"/>
      <c r="AT204" s="1930"/>
      <c r="AU204" s="1930"/>
      <c r="AV204" s="1930"/>
      <c r="AW204" s="1930"/>
      <c r="AX204" s="1930"/>
      <c r="AY204" s="1930"/>
      <c r="AZ204" s="1930"/>
      <c r="BA204" s="1930"/>
      <c r="BC204" s="1930"/>
      <c r="BD204" s="1930"/>
      <c r="BE204" s="1930"/>
    </row>
    <row r="205" spans="1:57" hidden="1" outlineLevel="1" x14ac:dyDescent="0.25">
      <c r="B205" s="1233"/>
      <c r="C205" s="225"/>
      <c r="D205" s="2482"/>
      <c r="E205" s="2482"/>
      <c r="F205" s="2482"/>
      <c r="G205" s="2482"/>
      <c r="H205" s="2482"/>
      <c r="I205" s="2482"/>
      <c r="J205" s="2482"/>
      <c r="K205" s="2482"/>
      <c r="L205" s="2482"/>
      <c r="M205" s="910"/>
      <c r="N205" s="910"/>
      <c r="O205" s="249"/>
      <c r="P205" s="249"/>
      <c r="Q205" s="249"/>
      <c r="V205" s="1930"/>
      <c r="W205" s="1930"/>
      <c r="X205" s="1930"/>
      <c r="Y205" s="1930"/>
      <c r="Z205" s="1930"/>
      <c r="AA205" s="1930"/>
      <c r="AB205" s="1930"/>
      <c r="AC205" s="1930"/>
      <c r="AD205" s="1930"/>
      <c r="AE205" s="1930"/>
      <c r="AF205" s="1930"/>
      <c r="AG205" s="1930"/>
      <c r="AH205" s="1930"/>
      <c r="AI205" s="1930"/>
      <c r="AJ205" s="1930"/>
      <c r="AK205" s="1930"/>
      <c r="AL205" s="1930"/>
      <c r="AM205" s="1930"/>
      <c r="AN205" s="1930"/>
      <c r="AO205" s="1930"/>
      <c r="AP205" s="1930"/>
      <c r="AQ205" s="1930"/>
      <c r="AR205" s="1930"/>
      <c r="AS205" s="1930"/>
      <c r="AT205" s="1930"/>
      <c r="AU205" s="1930"/>
      <c r="AV205" s="1930"/>
      <c r="AW205" s="1930"/>
      <c r="AX205" s="1930"/>
      <c r="AY205" s="1930"/>
      <c r="AZ205" s="1930"/>
      <c r="BA205" s="1930"/>
      <c r="BC205" s="1930"/>
      <c r="BD205" s="1930"/>
      <c r="BE205" s="1930"/>
    </row>
    <row r="206" spans="1:57" hidden="1" outlineLevel="1" x14ac:dyDescent="0.25">
      <c r="B206" s="1233"/>
      <c r="C206" s="225"/>
      <c r="D206" s="2482"/>
      <c r="E206" s="2482"/>
      <c r="F206" s="2482"/>
      <c r="G206" s="2482"/>
      <c r="H206" s="2482"/>
      <c r="I206" s="2482"/>
      <c r="J206" s="2482"/>
      <c r="K206" s="2482"/>
      <c r="L206" s="2482"/>
      <c r="M206" s="910"/>
      <c r="N206" s="910"/>
      <c r="O206" s="249"/>
      <c r="P206" s="249"/>
      <c r="Q206" s="249"/>
      <c r="V206" s="1930"/>
      <c r="W206" s="1930"/>
      <c r="X206" s="1930"/>
      <c r="Y206" s="1930"/>
      <c r="Z206" s="1930"/>
      <c r="AA206" s="1930"/>
      <c r="AB206" s="1930"/>
      <c r="AC206" s="1930"/>
      <c r="AD206" s="1930"/>
      <c r="AE206" s="1930"/>
      <c r="AF206" s="1930"/>
      <c r="AG206" s="1930"/>
      <c r="AH206" s="1930"/>
      <c r="AI206" s="1930"/>
      <c r="AJ206" s="1930"/>
      <c r="AK206" s="1930"/>
      <c r="AL206" s="1930"/>
      <c r="AM206" s="1930"/>
      <c r="AN206" s="1930"/>
      <c r="AO206" s="1930"/>
      <c r="AP206" s="1930"/>
      <c r="AQ206" s="1930"/>
      <c r="AR206" s="1930"/>
      <c r="AS206" s="1930"/>
      <c r="AT206" s="1930"/>
      <c r="AU206" s="1930"/>
      <c r="AV206" s="1930"/>
      <c r="AW206" s="1930"/>
      <c r="AX206" s="1930"/>
      <c r="AY206" s="1930"/>
      <c r="AZ206" s="1930"/>
      <c r="BA206" s="1930"/>
      <c r="BC206" s="1930"/>
      <c r="BD206" s="1930"/>
      <c r="BE206" s="1930"/>
    </row>
    <row r="207" spans="1:57" hidden="1" outlineLevel="1" x14ac:dyDescent="0.25">
      <c r="B207" s="1233"/>
      <c r="C207" s="225"/>
      <c r="D207" s="247"/>
      <c r="E207" s="247"/>
      <c r="F207" s="249"/>
      <c r="G207" s="249"/>
      <c r="H207" s="249"/>
      <c r="I207" s="249"/>
      <c r="J207" s="249"/>
      <c r="K207" s="249"/>
      <c r="L207" s="249"/>
      <c r="M207" s="249"/>
      <c r="N207" s="249"/>
      <c r="O207" s="249"/>
      <c r="P207" s="249"/>
      <c r="Q207" s="249"/>
      <c r="V207" s="1930"/>
      <c r="W207" s="1930"/>
      <c r="X207" s="1930"/>
      <c r="Y207" s="1930"/>
      <c r="Z207" s="1930"/>
      <c r="AA207" s="1930"/>
      <c r="AB207" s="1930"/>
      <c r="AC207" s="1930"/>
      <c r="AD207" s="1930"/>
      <c r="AE207" s="1930"/>
      <c r="AF207" s="1930"/>
      <c r="AG207" s="1930"/>
      <c r="AH207" s="1930"/>
      <c r="AI207" s="1930"/>
      <c r="AJ207" s="1930"/>
      <c r="AK207" s="1930"/>
      <c r="AL207" s="1930"/>
      <c r="AM207" s="1930"/>
      <c r="AN207" s="1930"/>
      <c r="AO207" s="1930"/>
      <c r="AP207" s="1930"/>
      <c r="AQ207" s="1930"/>
      <c r="AR207" s="1930"/>
      <c r="AS207" s="1930"/>
      <c r="AT207" s="1930"/>
      <c r="AU207" s="1930"/>
      <c r="AV207" s="1930"/>
      <c r="AW207" s="1930"/>
      <c r="AX207" s="1930"/>
      <c r="AY207" s="1930"/>
      <c r="AZ207" s="1930"/>
      <c r="BA207" s="1930"/>
      <c r="BC207" s="1930"/>
      <c r="BD207" s="1930"/>
      <c r="BE207" s="1930"/>
    </row>
    <row r="208" spans="1:57" hidden="1" outlineLevel="1" x14ac:dyDescent="0.25">
      <c r="B208" s="1233"/>
      <c r="C208" s="225"/>
      <c r="D208" s="3236" t="s">
        <v>109</v>
      </c>
      <c r="E208" s="3236" t="s">
        <v>110</v>
      </c>
      <c r="F208" s="3086" t="s">
        <v>112</v>
      </c>
      <c r="G208" s="3086" t="s">
        <v>187</v>
      </c>
      <c r="H208" s="3086" t="s">
        <v>283</v>
      </c>
      <c r="I208" s="249"/>
      <c r="J208" s="249"/>
      <c r="K208" s="249"/>
      <c r="L208" s="249"/>
      <c r="M208" s="249"/>
      <c r="N208" s="249"/>
      <c r="O208" s="249"/>
      <c r="P208" s="249"/>
      <c r="Q208" s="249"/>
      <c r="V208" s="1936" t="s">
        <v>45</v>
      </c>
      <c r="W208" s="1937">
        <f>W$6</f>
        <v>43252</v>
      </c>
      <c r="X208" s="1937">
        <f t="shared" ref="X208:AG208" si="57">X$6</f>
        <v>43465</v>
      </c>
      <c r="Y208" s="1937">
        <f t="shared" si="57"/>
        <v>43800</v>
      </c>
      <c r="Z208" s="1937">
        <f t="shared" si="57"/>
        <v>43862</v>
      </c>
      <c r="AA208" s="1937">
        <f t="shared" si="57"/>
        <v>44013</v>
      </c>
      <c r="AB208" s="1937">
        <f t="shared" si="57"/>
        <v>44166</v>
      </c>
      <c r="AC208" s="1937">
        <f t="shared" si="57"/>
        <v>44531</v>
      </c>
      <c r="AD208" s="1937" t="str">
        <f t="shared" si="57"/>
        <v>-</v>
      </c>
      <c r="AE208" s="1937" t="str">
        <f t="shared" si="57"/>
        <v>-</v>
      </c>
      <c r="AF208" s="1937" t="str">
        <f t="shared" si="57"/>
        <v>-</v>
      </c>
      <c r="AG208" s="1937" t="str">
        <f t="shared" si="57"/>
        <v>-</v>
      </c>
      <c r="AH208" s="1930"/>
      <c r="AI208" s="1930"/>
      <c r="AJ208" s="1930"/>
      <c r="AK208" s="1930"/>
      <c r="AL208" s="1930"/>
      <c r="AM208" s="1930"/>
      <c r="AN208" s="1930"/>
      <c r="AO208" s="1930"/>
      <c r="AP208" s="1930"/>
      <c r="AQ208" s="1930"/>
      <c r="AR208" s="1930"/>
      <c r="AS208" s="1930"/>
      <c r="AT208" s="1930"/>
      <c r="AU208" s="1930"/>
      <c r="AV208" s="1930"/>
      <c r="AW208" s="1930"/>
      <c r="AX208" s="1930"/>
      <c r="AY208" s="1930"/>
      <c r="AZ208" s="1930"/>
      <c r="BA208" s="1930"/>
      <c r="BC208" s="1930"/>
      <c r="BD208" s="1930"/>
      <c r="BE208" s="1930"/>
    </row>
    <row r="209" spans="2:57" hidden="1" outlineLevel="1" x14ac:dyDescent="0.25">
      <c r="B209" s="1233"/>
      <c r="C209" s="225"/>
      <c r="D209" s="1209" t="s">
        <v>520</v>
      </c>
      <c r="E209" s="311" t="s">
        <v>135</v>
      </c>
      <c r="F209" s="289">
        <v>0.95</v>
      </c>
      <c r="G209" s="1163" t="s">
        <v>524</v>
      </c>
      <c r="H209" s="1164"/>
      <c r="I209" s="249"/>
      <c r="J209" s="249"/>
      <c r="K209" s="249"/>
      <c r="L209" s="249"/>
      <c r="M209" s="249"/>
      <c r="N209" s="249"/>
      <c r="O209" s="249"/>
      <c r="P209" s="249"/>
      <c r="Q209" s="249"/>
      <c r="V209" s="3217" t="str">
        <f>D209</f>
        <v>%Heating</v>
      </c>
      <c r="W209" s="271">
        <v>0.95</v>
      </c>
      <c r="X209" s="271">
        <v>0.95</v>
      </c>
      <c r="Y209" s="271">
        <v>0.95</v>
      </c>
      <c r="Z209" s="289">
        <v>0.95</v>
      </c>
      <c r="AA209" s="289">
        <v>0.95</v>
      </c>
      <c r="AB209" s="289">
        <v>0.95</v>
      </c>
      <c r="AC209" s="289">
        <v>0.95</v>
      </c>
      <c r="AD209" s="271"/>
      <c r="AE209" s="271"/>
      <c r="AF209" s="271"/>
      <c r="AG209" s="271"/>
      <c r="AH209" s="1930"/>
      <c r="AI209" s="1930"/>
      <c r="AJ209" s="1930"/>
      <c r="AK209" s="1930"/>
      <c r="AL209" s="1930"/>
      <c r="AM209" s="1930"/>
      <c r="AN209" s="1930"/>
      <c r="AO209" s="1930"/>
      <c r="AP209" s="1930"/>
      <c r="AQ209" s="1930"/>
      <c r="AR209" s="1930"/>
      <c r="AS209" s="1930"/>
      <c r="AT209" s="1930"/>
      <c r="AU209" s="1930"/>
      <c r="AV209" s="1930"/>
      <c r="AW209" s="1930"/>
      <c r="AX209" s="1930"/>
      <c r="AY209" s="1930"/>
      <c r="AZ209" s="1930"/>
      <c r="BA209" s="1930"/>
      <c r="BC209" s="1930"/>
      <c r="BD209" s="1930"/>
      <c r="BE209" s="1930"/>
    </row>
    <row r="210" spans="2:57" hidden="1" outlineLevel="1" x14ac:dyDescent="0.25">
      <c r="B210" s="1233"/>
      <c r="C210" s="225"/>
      <c r="D210" s="1209" t="s">
        <v>32</v>
      </c>
      <c r="E210" s="311" t="s">
        <v>135</v>
      </c>
      <c r="F210" s="436">
        <v>0.5</v>
      </c>
      <c r="G210" s="1163" t="s">
        <v>285</v>
      </c>
      <c r="H210" s="1164"/>
      <c r="I210" s="249"/>
      <c r="J210" s="249"/>
      <c r="K210" s="249"/>
      <c r="L210" s="249"/>
      <c r="M210" s="249"/>
      <c r="N210" s="249"/>
      <c r="O210" s="249"/>
      <c r="P210" s="249"/>
      <c r="Q210" s="249"/>
      <c r="V210" s="3217" t="str">
        <f t="shared" ref="V210:V217" si="58">D210</f>
        <v>kW</v>
      </c>
      <c r="W210" s="1210">
        <v>0.5</v>
      </c>
      <c r="X210" s="1210">
        <v>0.5</v>
      </c>
      <c r="Y210" s="1210">
        <v>0.5</v>
      </c>
      <c r="Z210" s="436">
        <v>0.5</v>
      </c>
      <c r="AA210" s="436">
        <v>0.5</v>
      </c>
      <c r="AB210" s="436">
        <v>0.5</v>
      </c>
      <c r="AC210" s="436">
        <v>0.5</v>
      </c>
      <c r="AD210" s="1210"/>
      <c r="AE210" s="1210"/>
      <c r="AF210" s="1210"/>
      <c r="AG210" s="1210"/>
      <c r="AH210" s="1930"/>
      <c r="AI210" s="1930"/>
      <c r="AJ210" s="1930"/>
      <c r="AK210" s="1930"/>
      <c r="AL210" s="1930"/>
      <c r="AM210" s="1930"/>
      <c r="AN210" s="1930"/>
      <c r="AO210" s="1930"/>
      <c r="AP210" s="1930"/>
      <c r="AQ210" s="1930"/>
      <c r="AR210" s="1930"/>
      <c r="AS210" s="1930"/>
      <c r="AT210" s="1930"/>
      <c r="AU210" s="1930"/>
      <c r="AV210" s="1930"/>
      <c r="AW210" s="1930"/>
      <c r="AX210" s="1930"/>
      <c r="AY210" s="1930"/>
      <c r="AZ210" s="1930"/>
      <c r="BA210" s="1930"/>
      <c r="BC210" s="1930"/>
      <c r="BD210" s="1930"/>
      <c r="BE210" s="1930"/>
    </row>
    <row r="211" spans="2:57" hidden="1" outlineLevel="1" x14ac:dyDescent="0.25">
      <c r="B211" s="1233"/>
      <c r="C211" s="225"/>
      <c r="D211" s="4458" t="s">
        <v>2463</v>
      </c>
      <c r="E211" s="2051" t="s">
        <v>315</v>
      </c>
      <c r="F211" s="437">
        <v>1496</v>
      </c>
      <c r="G211" s="1163" t="s">
        <v>285</v>
      </c>
      <c r="H211" s="1164"/>
      <c r="I211" s="249"/>
      <c r="J211" s="249"/>
      <c r="K211" s="249"/>
      <c r="L211" s="249"/>
      <c r="M211" s="249"/>
      <c r="N211" s="249"/>
      <c r="O211" s="249"/>
      <c r="P211" s="249"/>
      <c r="Q211" s="249"/>
      <c r="V211" s="4354" t="str">
        <f t="shared" si="58"/>
        <v>EFLHheat</v>
      </c>
      <c r="W211" s="277">
        <v>1496</v>
      </c>
      <c r="X211" s="277">
        <v>1496</v>
      </c>
      <c r="Y211" s="277">
        <v>1496</v>
      </c>
      <c r="Z211" s="305">
        <v>1496</v>
      </c>
      <c r="AA211" s="305">
        <v>1496</v>
      </c>
      <c r="AB211" s="305">
        <v>1496</v>
      </c>
      <c r="AC211" s="305">
        <v>1496</v>
      </c>
      <c r="AD211" s="277"/>
      <c r="AE211" s="277"/>
      <c r="AF211" s="277"/>
      <c r="AG211" s="277"/>
      <c r="AH211" s="1930"/>
      <c r="AI211" s="1930"/>
      <c r="AJ211" s="1930"/>
      <c r="AK211" s="1930"/>
      <c r="AL211" s="1930"/>
      <c r="AM211" s="1930"/>
      <c r="AN211" s="1930"/>
      <c r="AO211" s="1930"/>
      <c r="AP211" s="1930"/>
      <c r="AQ211" s="1930"/>
      <c r="AR211" s="1930"/>
      <c r="AS211" s="1930"/>
      <c r="AT211" s="1930"/>
      <c r="AU211" s="1930"/>
      <c r="AV211" s="1930"/>
      <c r="AW211" s="1930"/>
      <c r="AX211" s="1930"/>
      <c r="AY211" s="1930"/>
      <c r="AZ211" s="1930"/>
      <c r="BA211" s="1930"/>
      <c r="BC211" s="1930"/>
      <c r="BD211" s="1930"/>
      <c r="BE211" s="1930"/>
    </row>
    <row r="212" spans="2:57" ht="38.25" hidden="1" outlineLevel="1" x14ac:dyDescent="0.25">
      <c r="B212" s="1233"/>
      <c r="C212" s="225"/>
      <c r="D212" s="3804"/>
      <c r="E212" s="2051" t="s">
        <v>527</v>
      </c>
      <c r="F212" s="440">
        <v>510</v>
      </c>
      <c r="G212" s="1479" t="s">
        <v>528</v>
      </c>
      <c r="H212" s="1164"/>
      <c r="I212" s="249"/>
      <c r="J212" s="249"/>
      <c r="K212" s="249"/>
      <c r="L212" s="249"/>
      <c r="M212" s="249"/>
      <c r="N212" s="249"/>
      <c r="O212" s="249"/>
      <c r="P212" s="249"/>
      <c r="Q212" s="249"/>
      <c r="V212" s="4160"/>
      <c r="W212" s="277"/>
      <c r="X212" s="277"/>
      <c r="Y212" s="303">
        <v>510</v>
      </c>
      <c r="Z212" s="305">
        <v>510</v>
      </c>
      <c r="AA212" s="305">
        <v>510</v>
      </c>
      <c r="AB212" s="305">
        <v>510</v>
      </c>
      <c r="AC212" s="305">
        <v>510</v>
      </c>
      <c r="AD212" s="277"/>
      <c r="AE212" s="277"/>
      <c r="AF212" s="277"/>
      <c r="AG212" s="277"/>
      <c r="AH212" s="1930"/>
      <c r="AI212" s="1930"/>
      <c r="AJ212" s="1930"/>
      <c r="AK212" s="1930"/>
      <c r="AL212" s="1930"/>
      <c r="AM212" s="1930"/>
      <c r="AN212" s="1930"/>
      <c r="AO212" s="1930"/>
      <c r="AP212" s="1930"/>
      <c r="AQ212" s="1930"/>
      <c r="AR212" s="1930"/>
      <c r="AS212" s="1930"/>
      <c r="AT212" s="1930"/>
      <c r="AU212" s="1930"/>
      <c r="AV212" s="1930"/>
      <c r="AW212" s="1930"/>
      <c r="AX212" s="1930"/>
      <c r="AY212" s="1930"/>
      <c r="AZ212" s="1930"/>
      <c r="BA212" s="1930"/>
      <c r="BC212" s="1930"/>
      <c r="BD212" s="1930"/>
      <c r="BE212" s="1930"/>
    </row>
    <row r="213" spans="2:57" hidden="1" outlineLevel="1" x14ac:dyDescent="0.25">
      <c r="B213" s="1233"/>
      <c r="C213" s="225"/>
      <c r="D213" s="311" t="s">
        <v>529</v>
      </c>
      <c r="E213" s="311" t="s">
        <v>135</v>
      </c>
      <c r="F213" s="289">
        <v>0.15</v>
      </c>
      <c r="G213" s="1163" t="s">
        <v>285</v>
      </c>
      <c r="H213" s="1164"/>
      <c r="I213" s="249"/>
      <c r="J213" s="249"/>
      <c r="K213" s="249"/>
      <c r="L213" s="249"/>
      <c r="M213" s="249"/>
      <c r="N213" s="249"/>
      <c r="O213" s="249"/>
      <c r="P213" s="249"/>
      <c r="Q213" s="249"/>
      <c r="V213" s="3217" t="str">
        <f t="shared" si="58"/>
        <v>EI</v>
      </c>
      <c r="W213" s="271">
        <v>0.15</v>
      </c>
      <c r="X213" s="271">
        <v>0.15</v>
      </c>
      <c r="Y213" s="271">
        <v>0.15</v>
      </c>
      <c r="Z213" s="289">
        <v>0.15</v>
      </c>
      <c r="AA213" s="289">
        <v>0.15</v>
      </c>
      <c r="AB213" s="289">
        <v>0.15</v>
      </c>
      <c r="AC213" s="289">
        <v>0.15</v>
      </c>
      <c r="AD213" s="271"/>
      <c r="AE213" s="271"/>
      <c r="AF213" s="271"/>
      <c r="AG213" s="271"/>
      <c r="AH213" s="1930"/>
      <c r="AI213" s="1930"/>
      <c r="AJ213" s="1930"/>
      <c r="AK213" s="1930"/>
      <c r="AL213" s="1930"/>
      <c r="AM213" s="1930"/>
      <c r="AN213" s="1930"/>
      <c r="AO213" s="1930"/>
      <c r="AP213" s="1930"/>
      <c r="AQ213" s="1930"/>
      <c r="AR213" s="1930"/>
      <c r="AS213" s="1930"/>
      <c r="AT213" s="1930"/>
      <c r="AU213" s="1930"/>
      <c r="AV213" s="1930"/>
      <c r="AW213" s="1930"/>
      <c r="AX213" s="1930"/>
      <c r="AY213" s="1930"/>
      <c r="AZ213" s="1930"/>
      <c r="BA213" s="1930"/>
      <c r="BC213" s="1930"/>
      <c r="BD213" s="1930"/>
      <c r="BE213" s="1930"/>
    </row>
    <row r="214" spans="2:57" ht="15" hidden="1" customHeight="1" outlineLevel="1" x14ac:dyDescent="0.25">
      <c r="B214" s="1233"/>
      <c r="C214" s="225"/>
      <c r="D214" s="1209" t="s">
        <v>531</v>
      </c>
      <c r="E214" s="311" t="s">
        <v>2464</v>
      </c>
      <c r="F214" s="289">
        <v>1</v>
      </c>
      <c r="G214" s="1163" t="s">
        <v>285</v>
      </c>
      <c r="H214" s="1164" t="s">
        <v>2465</v>
      </c>
      <c r="I214" s="249"/>
      <c r="J214" s="249"/>
      <c r="K214" s="249"/>
      <c r="L214" s="249"/>
      <c r="M214" s="249"/>
      <c r="N214" s="249"/>
      <c r="O214" s="249"/>
      <c r="P214" s="249"/>
      <c r="Q214" s="249"/>
      <c r="V214" s="3217" t="str">
        <f t="shared" si="58"/>
        <v>Utility Adjustment</v>
      </c>
      <c r="W214" s="271">
        <v>1</v>
      </c>
      <c r="X214" s="271">
        <v>1</v>
      </c>
      <c r="Y214" s="271">
        <v>1</v>
      </c>
      <c r="Z214" s="289">
        <v>1</v>
      </c>
      <c r="AA214" s="289">
        <v>1</v>
      </c>
      <c r="AB214" s="289">
        <v>1</v>
      </c>
      <c r="AC214" s="289">
        <v>1</v>
      </c>
      <c r="AD214" s="271"/>
      <c r="AE214" s="271"/>
      <c r="AF214" s="271"/>
      <c r="AG214" s="271"/>
      <c r="AH214" s="1930"/>
      <c r="AI214" s="1930"/>
      <c r="AJ214" s="1930"/>
      <c r="AK214" s="1930"/>
      <c r="AL214" s="1930"/>
      <c r="AM214" s="1930"/>
      <c r="AN214" s="1930"/>
      <c r="AO214" s="1930"/>
      <c r="AP214" s="1930"/>
      <c r="AQ214" s="1930"/>
      <c r="AR214" s="1930"/>
      <c r="AS214" s="1930"/>
      <c r="AT214" s="1930"/>
      <c r="AU214" s="1930"/>
      <c r="AV214" s="1930"/>
      <c r="AW214" s="1930"/>
      <c r="AX214" s="1930"/>
      <c r="AY214" s="1930"/>
      <c r="AZ214" s="1930"/>
      <c r="BA214" s="1930"/>
      <c r="BC214" s="1930"/>
      <c r="BD214" s="1930"/>
      <c r="BE214" s="1930"/>
    </row>
    <row r="215" spans="2:57" hidden="1" outlineLevel="1" x14ac:dyDescent="0.25">
      <c r="B215" s="1233"/>
      <c r="C215" s="225"/>
      <c r="D215" s="1209" t="s">
        <v>133</v>
      </c>
      <c r="E215" s="311" t="s">
        <v>2464</v>
      </c>
      <c r="F215" s="269">
        <v>0.47</v>
      </c>
      <c r="G215" s="1163" t="s">
        <v>285</v>
      </c>
      <c r="H215" s="1164" t="s">
        <v>2466</v>
      </c>
      <c r="I215" s="249"/>
      <c r="J215" s="249"/>
      <c r="K215" s="249"/>
      <c r="L215" s="249"/>
      <c r="M215" s="249"/>
      <c r="N215" s="249"/>
      <c r="O215" s="249"/>
      <c r="P215" s="249"/>
      <c r="Q215" s="249"/>
      <c r="V215" s="3217" t="str">
        <f t="shared" si="58"/>
        <v>ISR</v>
      </c>
      <c r="W215" s="272">
        <v>0.47</v>
      </c>
      <c r="X215" s="272">
        <v>0.47</v>
      </c>
      <c r="Y215" s="272">
        <v>0.47</v>
      </c>
      <c r="Z215" s="269">
        <v>0.47</v>
      </c>
      <c r="AA215" s="269">
        <v>0.47</v>
      </c>
      <c r="AB215" s="269">
        <v>0.47</v>
      </c>
      <c r="AC215" s="269">
        <v>0.47</v>
      </c>
      <c r="AD215" s="272"/>
      <c r="AE215" s="272"/>
      <c r="AF215" s="272"/>
      <c r="AG215" s="272"/>
      <c r="AH215" s="1930"/>
      <c r="AI215" s="1930"/>
      <c r="AJ215" s="1930"/>
      <c r="AK215" s="1930"/>
      <c r="AL215" s="1930"/>
      <c r="AM215" s="1930"/>
      <c r="AN215" s="1930"/>
      <c r="AO215" s="1930"/>
      <c r="AP215" s="1930"/>
      <c r="AQ215" s="1930"/>
      <c r="AR215" s="1930"/>
      <c r="AS215" s="1930"/>
      <c r="AT215" s="1930"/>
      <c r="AU215" s="1930"/>
      <c r="AV215" s="1930"/>
      <c r="AW215" s="1930"/>
      <c r="AX215" s="1930"/>
      <c r="AY215" s="1930"/>
      <c r="AZ215" s="1930"/>
      <c r="BA215" s="1930"/>
      <c r="BC215" s="1930"/>
      <c r="BD215" s="1930"/>
      <c r="BE215" s="1930"/>
    </row>
    <row r="216" spans="2:57" hidden="1" outlineLevel="1" x14ac:dyDescent="0.25">
      <c r="B216" s="1233"/>
      <c r="C216" s="225"/>
      <c r="D216" s="1209" t="s">
        <v>313</v>
      </c>
      <c r="E216" s="311" t="s">
        <v>135</v>
      </c>
      <c r="F216" s="289">
        <v>0.95</v>
      </c>
      <c r="G216" s="1163" t="s">
        <v>2467</v>
      </c>
      <c r="H216" s="1164"/>
      <c r="I216" s="249"/>
      <c r="J216" s="249"/>
      <c r="K216" s="249"/>
      <c r="L216" s="249"/>
      <c r="M216" s="249"/>
      <c r="N216" s="249"/>
      <c r="O216" s="249"/>
      <c r="P216" s="249"/>
      <c r="Q216" s="249"/>
      <c r="V216" s="3217" t="str">
        <f t="shared" si="58"/>
        <v>%AC</v>
      </c>
      <c r="W216" s="271">
        <v>0.95</v>
      </c>
      <c r="X216" s="271">
        <v>0.95</v>
      </c>
      <c r="Y216" s="271">
        <v>0.95</v>
      </c>
      <c r="Z216" s="289">
        <v>0.95</v>
      </c>
      <c r="AA216" s="289">
        <v>0.95</v>
      </c>
      <c r="AB216" s="289">
        <v>0.95</v>
      </c>
      <c r="AC216" s="289">
        <v>0.95</v>
      </c>
      <c r="AD216" s="271"/>
      <c r="AE216" s="271"/>
      <c r="AF216" s="271"/>
      <c r="AG216" s="271"/>
      <c r="AH216" s="1930"/>
      <c r="AI216" s="1930"/>
      <c r="AJ216" s="1930"/>
      <c r="AK216" s="1930"/>
      <c r="AL216" s="1930"/>
      <c r="AM216" s="1930"/>
      <c r="AN216" s="1930"/>
      <c r="AO216" s="1930"/>
      <c r="AP216" s="1930"/>
      <c r="AQ216" s="1930"/>
      <c r="AR216" s="1930"/>
      <c r="AS216" s="1930"/>
      <c r="AT216" s="1930"/>
      <c r="AU216" s="1930"/>
      <c r="AV216" s="1930"/>
      <c r="AW216" s="1930"/>
      <c r="AX216" s="1930"/>
      <c r="AY216" s="1930"/>
      <c r="AZ216" s="1930"/>
      <c r="BA216" s="1930"/>
      <c r="BC216" s="1930"/>
      <c r="BD216" s="1930"/>
      <c r="BE216" s="1930"/>
    </row>
    <row r="217" spans="2:57" hidden="1" outlineLevel="1" x14ac:dyDescent="0.25">
      <c r="B217" s="1233"/>
      <c r="C217" s="225"/>
      <c r="D217" s="4458" t="s">
        <v>2468</v>
      </c>
      <c r="E217" s="2051" t="s">
        <v>315</v>
      </c>
      <c r="F217" s="440">
        <v>869</v>
      </c>
      <c r="G217" s="1163" t="s">
        <v>285</v>
      </c>
      <c r="H217" s="1164"/>
      <c r="I217" s="249"/>
      <c r="J217" s="249"/>
      <c r="K217" s="249"/>
      <c r="L217" s="249"/>
      <c r="M217" s="249"/>
      <c r="N217" s="249"/>
      <c r="O217" s="249"/>
      <c r="P217" s="249"/>
      <c r="Q217" s="249"/>
      <c r="V217" s="4285" t="str">
        <f t="shared" si="58"/>
        <v>EFLHcool</v>
      </c>
      <c r="W217" s="277">
        <v>869</v>
      </c>
      <c r="X217" s="277">
        <v>869</v>
      </c>
      <c r="Y217" s="277">
        <v>869</v>
      </c>
      <c r="Z217" s="305">
        <v>869</v>
      </c>
      <c r="AA217" s="305">
        <v>869</v>
      </c>
      <c r="AB217" s="305">
        <v>869</v>
      </c>
      <c r="AC217" s="305">
        <v>869</v>
      </c>
      <c r="AD217" s="277"/>
      <c r="AE217" s="277"/>
      <c r="AF217" s="277"/>
      <c r="AG217" s="277"/>
      <c r="AH217" s="1930"/>
      <c r="AI217" s="1930"/>
      <c r="AJ217" s="1930"/>
      <c r="AK217" s="1930"/>
      <c r="AL217" s="1930"/>
      <c r="AM217" s="1930"/>
      <c r="AN217" s="1930"/>
      <c r="AO217" s="1930"/>
      <c r="AP217" s="1930"/>
      <c r="AQ217" s="1930"/>
      <c r="AR217" s="1930"/>
      <c r="AS217" s="1930"/>
      <c r="AT217" s="1930"/>
      <c r="AU217" s="1930"/>
      <c r="AV217" s="1930"/>
      <c r="AW217" s="1930"/>
      <c r="AX217" s="1930"/>
      <c r="AY217" s="1930"/>
      <c r="AZ217" s="1930"/>
      <c r="BA217" s="1930"/>
      <c r="BC217" s="1930"/>
      <c r="BD217" s="1930"/>
      <c r="BE217" s="1930"/>
    </row>
    <row r="218" spans="2:57" ht="38.25" hidden="1" outlineLevel="1" x14ac:dyDescent="0.25">
      <c r="B218" s="1233"/>
      <c r="C218" s="225"/>
      <c r="D218" s="3804"/>
      <c r="E218" s="2051" t="s">
        <v>527</v>
      </c>
      <c r="F218" s="440">
        <v>632</v>
      </c>
      <c r="G218" s="1479" t="s">
        <v>528</v>
      </c>
      <c r="H218" s="1164"/>
      <c r="I218" s="249"/>
      <c r="J218" s="249"/>
      <c r="K218" s="249"/>
      <c r="L218" s="249"/>
      <c r="M218" s="249"/>
      <c r="N218" s="249"/>
      <c r="O218" s="249"/>
      <c r="P218" s="249"/>
      <c r="Q218" s="249"/>
      <c r="V218" s="4160"/>
      <c r="W218" s="277"/>
      <c r="X218" s="277"/>
      <c r="Y218" s="303">
        <v>632</v>
      </c>
      <c r="Z218" s="305">
        <v>632</v>
      </c>
      <c r="AA218" s="305">
        <v>632</v>
      </c>
      <c r="AB218" s="305">
        <v>632</v>
      </c>
      <c r="AC218" s="305">
        <v>632</v>
      </c>
      <c r="AD218" s="277"/>
      <c r="AE218" s="277"/>
      <c r="AF218" s="277"/>
      <c r="AG218" s="277"/>
      <c r="AH218" s="1930"/>
      <c r="AI218" s="1930"/>
      <c r="AJ218" s="1930"/>
      <c r="AK218" s="1930"/>
      <c r="AL218" s="1930"/>
      <c r="AM218" s="1930"/>
      <c r="AN218" s="1930"/>
      <c r="AO218" s="1930"/>
      <c r="AP218" s="1930"/>
      <c r="AQ218" s="1930"/>
      <c r="AR218" s="1930"/>
      <c r="AS218" s="1930"/>
      <c r="AT218" s="1930"/>
      <c r="AU218" s="1930"/>
      <c r="AV218" s="1930"/>
      <c r="AW218" s="1930"/>
      <c r="AX218" s="1930"/>
      <c r="AY218" s="1930"/>
      <c r="AZ218" s="1930"/>
      <c r="BA218" s="1930"/>
      <c r="BC218" s="1930"/>
      <c r="BD218" s="1930"/>
      <c r="BE218" s="1930"/>
    </row>
    <row r="219" spans="2:57" hidden="1" outlineLevel="1" x14ac:dyDescent="0.25">
      <c r="B219" s="1233"/>
      <c r="C219" s="225"/>
      <c r="D219" s="2051" t="s">
        <v>542</v>
      </c>
      <c r="E219" s="2051" t="s">
        <v>167</v>
      </c>
      <c r="F219" s="2298">
        <v>14</v>
      </c>
      <c r="G219" s="435"/>
      <c r="H219" s="270"/>
      <c r="I219" s="249"/>
      <c r="J219" s="249"/>
      <c r="K219" s="249"/>
      <c r="L219" s="249"/>
      <c r="M219" s="1159"/>
      <c r="N219" s="249"/>
      <c r="O219" s="249"/>
      <c r="P219" s="249"/>
      <c r="Q219" s="249"/>
      <c r="V219" s="1209" t="str">
        <f>D219</f>
        <v xml:space="preserve">EUL </v>
      </c>
      <c r="W219" s="441">
        <f>F219</f>
        <v>14</v>
      </c>
      <c r="X219" s="441">
        <f>W219</f>
        <v>14</v>
      </c>
      <c r="Y219" s="441">
        <f>X219</f>
        <v>14</v>
      </c>
      <c r="Z219" s="441">
        <f t="shared" ref="Z219:AA219" si="59">Y219</f>
        <v>14</v>
      </c>
      <c r="AA219" s="441">
        <f t="shared" si="59"/>
        <v>14</v>
      </c>
      <c r="AB219" s="441">
        <v>14</v>
      </c>
      <c r="AC219" s="441">
        <v>14</v>
      </c>
      <c r="AD219" s="441"/>
      <c r="AE219" s="441"/>
      <c r="AF219" s="441"/>
      <c r="AG219" s="441"/>
      <c r="AH219" s="1930"/>
      <c r="AI219" s="1930"/>
      <c r="AJ219" s="1930"/>
      <c r="AK219" s="1930"/>
      <c r="AL219" s="1930"/>
      <c r="AM219" s="1930"/>
      <c r="AN219" s="1930"/>
      <c r="AO219" s="1930"/>
      <c r="AP219" s="1930"/>
      <c r="AQ219" s="1930"/>
      <c r="AR219" s="1930"/>
      <c r="AS219" s="1930"/>
      <c r="AT219" s="1930"/>
      <c r="AU219" s="1930"/>
      <c r="AV219" s="1930"/>
      <c r="AW219" s="1930"/>
      <c r="AX219" s="1930"/>
      <c r="AY219" s="1930"/>
      <c r="AZ219" s="1930"/>
      <c r="BA219" s="1930"/>
      <c r="BC219" s="1930"/>
      <c r="BD219" s="1930"/>
      <c r="BE219" s="1930"/>
    </row>
    <row r="220" spans="2:57" hidden="1" outlineLevel="1" x14ac:dyDescent="0.25">
      <c r="B220" s="1233"/>
      <c r="C220" s="225"/>
      <c r="D220" s="3110" t="s">
        <v>170</v>
      </c>
      <c r="E220" s="2051" t="s">
        <v>543</v>
      </c>
      <c r="F220" s="2297">
        <v>5</v>
      </c>
      <c r="G220" s="435"/>
      <c r="H220" s="270"/>
      <c r="I220" s="249"/>
      <c r="J220" s="249"/>
      <c r="K220" s="249"/>
      <c r="L220" s="249"/>
      <c r="M220" s="1159"/>
      <c r="N220" s="249"/>
      <c r="O220" s="249"/>
      <c r="P220" s="249"/>
      <c r="Q220" s="249"/>
      <c r="V220" s="3243" t="str">
        <f>D220</f>
        <v>Inc. Cost</v>
      </c>
      <c r="W220" s="442">
        <f>F220</f>
        <v>5</v>
      </c>
      <c r="X220" s="442">
        <f>W220</f>
        <v>5</v>
      </c>
      <c r="Y220" s="442">
        <f>X220</f>
        <v>5</v>
      </c>
      <c r="Z220" s="442">
        <f t="shared" ref="Z220:AA220" si="60">Y220</f>
        <v>5</v>
      </c>
      <c r="AA220" s="442">
        <f t="shared" si="60"/>
        <v>5</v>
      </c>
      <c r="AB220" s="442">
        <v>5</v>
      </c>
      <c r="AC220" s="442">
        <v>5</v>
      </c>
      <c r="AD220" s="443"/>
      <c r="AE220" s="443"/>
      <c r="AF220" s="443"/>
      <c r="AG220" s="443"/>
      <c r="AH220" s="1930"/>
      <c r="AI220" s="1930"/>
      <c r="AJ220" s="1930"/>
      <c r="AK220" s="1930"/>
      <c r="AL220" s="1930"/>
      <c r="AM220" s="1930"/>
      <c r="AN220" s="1930"/>
      <c r="AO220" s="1930"/>
      <c r="AP220" s="1930"/>
      <c r="AQ220" s="1930"/>
      <c r="AR220" s="1930"/>
      <c r="AS220" s="1930"/>
      <c r="AT220" s="1930"/>
      <c r="AU220" s="1930"/>
      <c r="AV220" s="1930"/>
      <c r="AW220" s="1930"/>
      <c r="AX220" s="1930"/>
      <c r="AY220" s="1930"/>
      <c r="AZ220" s="1930"/>
      <c r="BA220" s="1930"/>
      <c r="BC220" s="1930"/>
      <c r="BD220" s="1930"/>
      <c r="BE220" s="1930"/>
    </row>
    <row r="221" spans="2:57" hidden="1" outlineLevel="1" x14ac:dyDescent="0.25">
      <c r="B221" s="1233"/>
      <c r="C221" s="947"/>
      <c r="D221" s="3110" t="s">
        <v>544</v>
      </c>
      <c r="E221" s="2051" t="s">
        <v>545</v>
      </c>
      <c r="F221" s="444" t="s">
        <v>546</v>
      </c>
      <c r="G221" s="435"/>
      <c r="H221" s="270"/>
      <c r="I221" s="249"/>
      <c r="J221" s="249"/>
      <c r="K221" s="249"/>
      <c r="L221" s="249"/>
      <c r="M221" s="1159"/>
      <c r="N221" s="249"/>
      <c r="O221" s="249"/>
      <c r="P221" s="249"/>
      <c r="Q221" s="249"/>
      <c r="V221" s="1209" t="str">
        <f>D221</f>
        <v>P</v>
      </c>
      <c r="W221" s="441" t="s">
        <v>546</v>
      </c>
      <c r="X221" s="441" t="s">
        <v>546</v>
      </c>
      <c r="Y221" s="441" t="s">
        <v>546</v>
      </c>
      <c r="Z221" s="441" t="s">
        <v>546</v>
      </c>
      <c r="AA221" s="441" t="s">
        <v>546</v>
      </c>
      <c r="AB221" s="441" t="s">
        <v>546</v>
      </c>
      <c r="AC221" s="441" t="s">
        <v>546</v>
      </c>
      <c r="AD221" s="441"/>
      <c r="AE221" s="441"/>
      <c r="AF221" s="441"/>
      <c r="AG221" s="441"/>
      <c r="AH221" s="1930"/>
      <c r="AI221" s="1930"/>
      <c r="AJ221" s="1930"/>
      <c r="AK221" s="1930"/>
      <c r="AL221" s="1930"/>
      <c r="AM221" s="1930"/>
      <c r="AN221" s="1930"/>
      <c r="AO221" s="1930"/>
      <c r="AP221" s="1930"/>
      <c r="AQ221" s="1930"/>
      <c r="AR221" s="1930"/>
      <c r="AS221" s="1930"/>
      <c r="AT221" s="1930"/>
      <c r="AU221" s="1930"/>
      <c r="AV221" s="1930"/>
      <c r="AW221" s="1930"/>
      <c r="AX221" s="1930"/>
      <c r="AY221" s="1930"/>
      <c r="AZ221" s="1930"/>
      <c r="BA221" s="1930"/>
      <c r="BC221" s="1930"/>
      <c r="BD221" s="1930"/>
      <c r="BE221" s="1930"/>
    </row>
    <row r="222" spans="2:57" collapsed="1" x14ac:dyDescent="0.25">
      <c r="B222" s="1233"/>
      <c r="C222" s="225"/>
      <c r="D222" s="247"/>
      <c r="E222" s="3149"/>
      <c r="F222" s="249"/>
      <c r="G222" s="249"/>
      <c r="H222" s="249"/>
      <c r="I222" s="249"/>
      <c r="J222" s="249"/>
      <c r="K222" s="249"/>
      <c r="L222" s="249"/>
      <c r="M222" s="249"/>
      <c r="N222" s="249"/>
      <c r="O222" s="249"/>
      <c r="P222" s="249"/>
      <c r="Q222" s="249"/>
      <c r="V222" s="1930"/>
      <c r="W222" s="1930"/>
      <c r="X222" s="1930"/>
      <c r="Y222" s="1930"/>
      <c r="Z222" s="1930"/>
      <c r="AA222" s="1930"/>
      <c r="AB222" s="1930"/>
      <c r="AC222" s="1930"/>
      <c r="AD222" s="1930"/>
      <c r="AE222" s="1930"/>
      <c r="AF222" s="1930"/>
      <c r="AG222" s="1930"/>
      <c r="AH222" s="1930"/>
      <c r="AI222" s="1930"/>
      <c r="AJ222" s="1930"/>
      <c r="AK222" s="1930"/>
      <c r="AL222" s="1930"/>
      <c r="AM222" s="1930"/>
      <c r="AN222" s="1930"/>
      <c r="AO222" s="1930"/>
      <c r="AP222" s="1930"/>
      <c r="AQ222" s="1930"/>
      <c r="AR222" s="1930"/>
      <c r="AS222" s="1930"/>
      <c r="AT222" s="1930"/>
      <c r="AU222" s="1930"/>
      <c r="AV222" s="1930"/>
      <c r="AW222" s="1930"/>
      <c r="AX222" s="1930"/>
      <c r="AY222" s="1930"/>
      <c r="AZ222" s="1930"/>
      <c r="BA222" s="1930"/>
      <c r="BC222" s="1930"/>
      <c r="BD222" s="1930"/>
      <c r="BE222" s="1930"/>
    </row>
    <row r="223" spans="2:57" x14ac:dyDescent="0.25">
      <c r="B223" s="1233"/>
      <c r="C223" s="225"/>
      <c r="D223" s="247"/>
      <c r="E223" s="247"/>
      <c r="F223" s="249"/>
      <c r="G223" s="249"/>
      <c r="H223" s="249"/>
      <c r="I223" s="249"/>
      <c r="J223" s="249"/>
      <c r="K223" s="249"/>
      <c r="L223" s="249"/>
      <c r="M223" s="249"/>
      <c r="N223" s="249"/>
      <c r="O223" s="249"/>
      <c r="P223" s="249"/>
      <c r="Q223" s="249"/>
      <c r="V223" s="1930"/>
      <c r="W223" s="1930"/>
      <c r="X223" s="1930"/>
      <c r="Y223" s="1930"/>
      <c r="Z223" s="1930"/>
      <c r="AA223" s="1930"/>
      <c r="AB223" s="1930"/>
      <c r="AC223" s="1930"/>
      <c r="AD223" s="1930"/>
      <c r="AE223" s="1930"/>
      <c r="AF223" s="1930"/>
      <c r="AG223" s="1930"/>
      <c r="AH223" s="1930"/>
      <c r="AI223" s="1930"/>
      <c r="AJ223" s="1930"/>
      <c r="AK223" s="1930"/>
      <c r="AL223" s="1930"/>
      <c r="AM223" s="1930"/>
      <c r="AN223" s="1930"/>
      <c r="AO223" s="1930"/>
      <c r="AP223" s="1930"/>
      <c r="AQ223" s="1930"/>
      <c r="AR223" s="1930"/>
      <c r="AS223" s="1930"/>
      <c r="AT223" s="1930"/>
      <c r="AU223" s="1930"/>
      <c r="AV223" s="1930"/>
      <c r="AW223" s="1930"/>
      <c r="AX223" s="1930"/>
      <c r="AY223" s="1930"/>
      <c r="AZ223" s="1930"/>
      <c r="BA223" s="1930"/>
      <c r="BC223" s="1930"/>
      <c r="BD223" s="1930"/>
      <c r="BE223" s="1930"/>
    </row>
    <row r="224" spans="2:57" x14ac:dyDescent="0.25">
      <c r="B224" s="3750" t="str">
        <f>'Income Eligible Deemed Table'!B594:L594</f>
        <v>ECM/ Blower Motor</v>
      </c>
      <c r="C224" s="3751"/>
      <c r="D224" s="3751"/>
      <c r="E224" s="3751"/>
      <c r="F224" s="3751"/>
      <c r="G224" s="3751"/>
      <c r="H224" s="3751"/>
      <c r="I224" s="3744"/>
      <c r="J224" s="3744"/>
      <c r="K224" s="3744"/>
      <c r="L224" s="3744"/>
      <c r="M224" s="3744"/>
      <c r="N224" s="3744"/>
      <c r="O224" s="3744"/>
      <c r="P224" s="3744"/>
      <c r="Q224" s="3745"/>
      <c r="V224" s="3750" t="str">
        <f>B224</f>
        <v>ECM/ Blower Motor</v>
      </c>
      <c r="W224" s="3751"/>
      <c r="X224" s="3751"/>
      <c r="Y224" s="3751"/>
      <c r="Z224" s="3751"/>
      <c r="AA224" s="3751"/>
      <c r="AB224" s="3751"/>
      <c r="AC224" s="3752"/>
      <c r="AD224" s="3752"/>
      <c r="AE224" s="3752"/>
      <c r="AF224" s="3752"/>
      <c r="AG224" s="3752"/>
      <c r="AH224" s="3752"/>
      <c r="AI224" s="3753"/>
      <c r="AJ224" s="1930"/>
      <c r="AK224" s="1930"/>
      <c r="AL224" s="1930"/>
      <c r="AM224" s="1930"/>
      <c r="AN224" s="1930"/>
      <c r="AO224" s="1930"/>
      <c r="AP224" s="1930"/>
      <c r="AQ224" s="1930"/>
      <c r="AR224" s="1930"/>
      <c r="AS224" s="1930"/>
      <c r="AT224" s="1930"/>
      <c r="AU224" s="1930"/>
      <c r="AV224" s="1930"/>
      <c r="AW224" s="1930"/>
      <c r="AX224" s="1930"/>
      <c r="AY224" s="1930"/>
      <c r="AZ224" s="1930"/>
      <c r="BA224" s="1930"/>
      <c r="BC224" s="1930"/>
      <c r="BD224" s="1930"/>
      <c r="BE224" s="1930"/>
    </row>
    <row r="225" spans="1:57" x14ac:dyDescent="0.25">
      <c r="B225" s="1233"/>
      <c r="C225" s="225"/>
      <c r="D225" s="419"/>
      <c r="E225" s="419"/>
      <c r="F225" s="226"/>
      <c r="G225" s="226"/>
      <c r="H225" s="226"/>
      <c r="I225" s="226"/>
      <c r="J225" s="226"/>
      <c r="K225" s="226"/>
      <c r="L225" s="1438"/>
      <c r="M225" s="249"/>
      <c r="N225" s="249"/>
      <c r="O225" s="249"/>
      <c r="P225" s="249"/>
      <c r="Q225" s="249"/>
      <c r="V225" s="1930"/>
      <c r="W225" s="1930"/>
      <c r="X225" s="1930"/>
      <c r="Y225" s="1930"/>
      <c r="Z225" s="1930"/>
      <c r="AA225" s="1930"/>
      <c r="AB225" s="1930"/>
      <c r="AC225" s="1930"/>
      <c r="AD225" s="1930"/>
      <c r="AE225" s="1930"/>
      <c r="AF225" s="1930"/>
      <c r="AG225" s="1930"/>
      <c r="AH225" s="1930"/>
      <c r="AI225" s="1930"/>
      <c r="AJ225" s="1930"/>
      <c r="AK225" s="1930"/>
      <c r="AL225" s="1930"/>
      <c r="AM225" s="1930"/>
      <c r="AN225" s="1930"/>
      <c r="AO225" s="1930"/>
      <c r="AP225" s="1930"/>
      <c r="AQ225" s="1930"/>
      <c r="AR225" s="1930"/>
      <c r="AS225" s="1930"/>
      <c r="AT225" s="1930"/>
      <c r="AU225" s="1930"/>
      <c r="AV225" s="1930"/>
      <c r="AW225" s="1930"/>
      <c r="AX225" s="1930"/>
      <c r="AY225" s="1930"/>
      <c r="AZ225" s="1930"/>
      <c r="BA225" s="1930"/>
      <c r="BC225" s="1930"/>
      <c r="BD225" s="1930"/>
      <c r="BE225" s="1930"/>
    </row>
    <row r="226" spans="1:57" ht="30" x14ac:dyDescent="0.25">
      <c r="B226" s="1233"/>
      <c r="C226" s="3086" t="s">
        <v>28</v>
      </c>
      <c r="D226" s="3086" t="s">
        <v>175</v>
      </c>
      <c r="E226" s="3086" t="s">
        <v>30</v>
      </c>
      <c r="F226" s="3086" t="s">
        <v>31</v>
      </c>
      <c r="G226" s="3086" t="s">
        <v>176</v>
      </c>
      <c r="H226" s="3086" t="s">
        <v>177</v>
      </c>
      <c r="I226" s="3086" t="s">
        <v>506</v>
      </c>
      <c r="J226" s="3086" t="s">
        <v>507</v>
      </c>
      <c r="K226" s="3086" t="s">
        <v>805</v>
      </c>
      <c r="L226" s="3086" t="s">
        <v>806</v>
      </c>
      <c r="M226" s="3086" t="s">
        <v>32</v>
      </c>
      <c r="N226" s="3140" t="s">
        <v>2469</v>
      </c>
      <c r="O226" s="3086" t="s">
        <v>170</v>
      </c>
      <c r="P226" s="3086" t="s">
        <v>44</v>
      </c>
      <c r="R226" s="228"/>
      <c r="S226" s="228"/>
      <c r="T226" s="228"/>
      <c r="U226" s="228"/>
      <c r="V226" s="1936" t="s">
        <v>45</v>
      </c>
      <c r="W226" s="1937">
        <f>W$6</f>
        <v>43252</v>
      </c>
      <c r="X226" s="1937">
        <f t="shared" ref="X226:AG226" si="61">X$6</f>
        <v>43465</v>
      </c>
      <c r="Y226" s="1937">
        <f t="shared" si="61"/>
        <v>43800</v>
      </c>
      <c r="Z226" s="1937">
        <f t="shared" si="61"/>
        <v>43862</v>
      </c>
      <c r="AA226" s="1937">
        <f t="shared" si="61"/>
        <v>44013</v>
      </c>
      <c r="AB226" s="1937">
        <f t="shared" si="61"/>
        <v>44166</v>
      </c>
      <c r="AC226" s="1937">
        <f t="shared" si="61"/>
        <v>44531</v>
      </c>
      <c r="AD226" s="1937" t="str">
        <f t="shared" si="61"/>
        <v>-</v>
      </c>
      <c r="AE226" s="1937" t="str">
        <f t="shared" si="61"/>
        <v>-</v>
      </c>
      <c r="AF226" s="1937" t="str">
        <f t="shared" si="61"/>
        <v>-</v>
      </c>
      <c r="AG226" s="1937" t="str">
        <f t="shared" si="61"/>
        <v>-</v>
      </c>
      <c r="AH226" s="1930"/>
      <c r="AI226" s="1930"/>
      <c r="AJ226" s="1930"/>
      <c r="AK226" s="1930"/>
      <c r="AL226" s="1930"/>
      <c r="AM226" s="1930"/>
      <c r="AN226" s="1930"/>
      <c r="AO226" s="1930"/>
      <c r="AP226" s="1930"/>
      <c r="AQ226" s="1930"/>
      <c r="AR226" s="1930"/>
      <c r="AS226" s="1930"/>
      <c r="AT226" s="1930"/>
      <c r="AU226" s="1930"/>
      <c r="AV226" s="1930"/>
      <c r="AW226" s="1930"/>
      <c r="AX226" s="1930"/>
      <c r="AY226" s="1930"/>
      <c r="AZ226" s="1930"/>
      <c r="BA226" s="1930"/>
      <c r="BB226" s="1938" t="str">
        <f>$BB$6</f>
        <v>TRC (2020)</v>
      </c>
      <c r="BC226" s="1953" t="str">
        <f>$BC$6</f>
        <v>Benefit Lookup</v>
      </c>
      <c r="BD226" s="665" t="str">
        <f>$BD$6</f>
        <v>Benefits (2019 $)</v>
      </c>
      <c r="BE226" s="230" t="str">
        <f>$BE$6</f>
        <v>Incremental Cost (2019 $)</v>
      </c>
    </row>
    <row r="227" spans="1:57" x14ac:dyDescent="0.25">
      <c r="B227" s="1233"/>
      <c r="C227" s="2734" t="s">
        <v>2470</v>
      </c>
      <c r="D227" s="2667" t="s">
        <v>2406</v>
      </c>
      <c r="E227" s="583" t="s">
        <v>2471</v>
      </c>
      <c r="F227" s="672">
        <f>ROUND(I227+J227+K227+L227,2)</f>
        <v>582</v>
      </c>
      <c r="G227" s="3176" t="s">
        <v>438</v>
      </c>
      <c r="H227" s="155">
        <f>VLOOKUP(G227,'CP FACTORS'!$A$3:$B$38, 2, FALSE)</f>
        <v>4.6608050000000002E-4</v>
      </c>
      <c r="I227" s="441">
        <f>(1-I248)*400*I$251/I$252*I263*$I$265</f>
        <v>264.14545423487061</v>
      </c>
      <c r="J227" s="441">
        <f>(1-I253)*70*I$256/I$257*I263*$I$265</f>
        <v>31.133309957924254</v>
      </c>
      <c r="K227" s="441">
        <f>(25*I$256/I$257+2960*0.0880846122963064-30)*I263*$I$265</f>
        <v>286.72123580720518</v>
      </c>
      <c r="L227" s="441">
        <v>0</v>
      </c>
      <c r="M227" s="1211">
        <f>ROUND(H227*F227,6)</f>
        <v>0.27125899999999997</v>
      </c>
      <c r="N227" s="441">
        <f>I266</f>
        <v>6</v>
      </c>
      <c r="O227" s="1199">
        <f>I268</f>
        <v>74.327224020150311</v>
      </c>
      <c r="P227" s="2666" t="s">
        <v>185</v>
      </c>
      <c r="R227" s="228"/>
      <c r="S227" s="228"/>
      <c r="T227" s="228"/>
      <c r="U227" s="228"/>
      <c r="V227" s="160" t="str">
        <f>F226</f>
        <v>kWh Annual Savings</v>
      </c>
      <c r="W227" s="421">
        <v>513.93550400425124</v>
      </c>
      <c r="X227" s="421">
        <v>513.93550400425124</v>
      </c>
      <c r="Y227" s="675">
        <v>582</v>
      </c>
      <c r="Z227" s="579">
        <v>582</v>
      </c>
      <c r="AA227" s="579">
        <v>582</v>
      </c>
      <c r="AB227" s="579">
        <v>582</v>
      </c>
      <c r="AC227" s="672">
        <v>582</v>
      </c>
      <c r="AD227" s="421"/>
      <c r="AE227" s="421"/>
      <c r="AF227" s="421"/>
      <c r="AG227" s="421"/>
      <c r="AH227" s="1930"/>
      <c r="AI227" s="1930"/>
      <c r="AJ227" s="1930"/>
      <c r="AK227" s="1930"/>
      <c r="AL227" s="1930"/>
      <c r="AM227" s="1930"/>
      <c r="AN227" s="1930"/>
      <c r="AO227" s="1930"/>
      <c r="AP227" s="1930"/>
      <c r="AQ227" s="1930"/>
      <c r="AR227" s="1930"/>
      <c r="AS227" s="1930"/>
      <c r="AT227" s="1930"/>
      <c r="AU227" s="1930"/>
      <c r="AV227" s="1930"/>
      <c r="AW227" s="1930"/>
      <c r="AX227" s="1930"/>
      <c r="AY227" s="1930"/>
      <c r="AZ227" s="1930"/>
      <c r="BA227" s="1930"/>
      <c r="BB227" s="1945">
        <f>IFERROR((BD227+BD228)/(BE227+BE228),"")</f>
        <v>3.0599660110586155</v>
      </c>
      <c r="BC227" s="3166" t="str">
        <f>CONCATENATE(G227," ",N227," Year EUL")</f>
        <v>HVAC RES 6 Year EUL</v>
      </c>
      <c r="BD227" s="111">
        <f>(INDEX('Avoided Cost Benefits'!$C$4:$C$857,MATCH(BC227,'Avoided Cost Benefits'!$A$4:$A$857,0)))*F227</f>
        <v>214.66614365077814</v>
      </c>
      <c r="BE227" s="1946">
        <f>O227/(1.0595^(2020-2019))</f>
        <v>70.153113751911562</v>
      </c>
    </row>
    <row r="228" spans="1:57" x14ac:dyDescent="0.25">
      <c r="B228" s="1233"/>
      <c r="C228" s="2734" t="s">
        <v>2470</v>
      </c>
      <c r="D228" s="2667" t="s">
        <v>2406</v>
      </c>
      <c r="E228" s="1948" t="s">
        <v>2472</v>
      </c>
      <c r="F228" s="238">
        <f>ROUND(I228+J228+K228+L228,2)</f>
        <v>0</v>
      </c>
      <c r="G228" s="3176" t="s">
        <v>2473</v>
      </c>
      <c r="H228" s="155">
        <f>VLOOKUP(G228,'CP FACTORS'!$A$3:$B$38, 2, FALSE)</f>
        <v>4.6608050000000002E-4</v>
      </c>
      <c r="I228" s="545">
        <f>0</f>
        <v>0</v>
      </c>
      <c r="J228" s="545">
        <f>0</f>
        <v>0</v>
      </c>
      <c r="K228" s="545">
        <f>0</f>
        <v>0</v>
      </c>
      <c r="L228" s="441">
        <v>0</v>
      </c>
      <c r="M228" s="1211">
        <f>ROUND(H228*F228,6)</f>
        <v>0</v>
      </c>
      <c r="N228" s="545">
        <f>I267</f>
        <v>0</v>
      </c>
      <c r="O228" s="1199"/>
      <c r="P228" s="2666" t="s">
        <v>185</v>
      </c>
      <c r="V228" s="160" t="str">
        <f>V227</f>
        <v>kWh Annual Savings</v>
      </c>
      <c r="W228" s="421">
        <v>513.93550400425124</v>
      </c>
      <c r="X228" s="421">
        <v>513.93550400425124</v>
      </c>
      <c r="Y228" s="675">
        <v>582</v>
      </c>
      <c r="Z228" s="579">
        <v>582</v>
      </c>
      <c r="AA228" s="579">
        <v>582</v>
      </c>
      <c r="AB228" s="579">
        <v>582</v>
      </c>
      <c r="AC228" s="238">
        <v>0</v>
      </c>
      <c r="AD228" s="421"/>
      <c r="AE228" s="421"/>
      <c r="AF228" s="421"/>
      <c r="AG228" s="421"/>
      <c r="AH228" s="1930"/>
      <c r="AI228" s="1930"/>
      <c r="AJ228" s="1930"/>
      <c r="AK228" s="1930"/>
      <c r="AL228" s="1930"/>
      <c r="AM228" s="1930"/>
      <c r="AN228" s="1930"/>
      <c r="AO228" s="1930"/>
      <c r="AP228" s="1930"/>
      <c r="AQ228" s="1930"/>
      <c r="AR228" s="1930"/>
      <c r="AS228" s="1930"/>
      <c r="AT228" s="1930"/>
      <c r="AU228" s="1930"/>
      <c r="AV228" s="1930"/>
      <c r="AW228" s="1930"/>
      <c r="AX228" s="1930"/>
      <c r="AY228" s="1930"/>
      <c r="AZ228" s="1930"/>
      <c r="BA228" s="1930"/>
      <c r="BB228" s="980"/>
      <c r="BC228" s="3166" t="str">
        <f>CONCATENATE(G228," ",N228," Year EUL")</f>
        <v>HVAC RES ER2 0 Year EUL</v>
      </c>
      <c r="BD228" s="3531">
        <v>0</v>
      </c>
      <c r="BE228" s="1950">
        <f>O228/(1.0595^(2020-2019))</f>
        <v>0</v>
      </c>
    </row>
    <row r="229" spans="1:57" x14ac:dyDescent="0.25">
      <c r="B229" s="1233"/>
      <c r="C229" s="3981" t="s">
        <v>827</v>
      </c>
      <c r="D229" s="3981"/>
      <c r="E229" s="3981"/>
      <c r="F229" s="3981"/>
      <c r="G229" s="3981"/>
      <c r="H229" s="3981"/>
      <c r="I229" s="3981"/>
      <c r="J229" s="3981"/>
      <c r="K229" s="3981"/>
      <c r="L229" s="3981"/>
      <c r="M229" s="1214"/>
      <c r="N229" s="1027"/>
      <c r="O229" s="1027"/>
      <c r="P229" s="1027"/>
      <c r="Q229" s="249"/>
      <c r="V229" s="1930"/>
      <c r="W229" s="1930"/>
      <c r="X229" s="1930"/>
      <c r="Y229" s="1930"/>
      <c r="Z229" s="1930"/>
      <c r="AA229" s="1930"/>
      <c r="AB229" s="1930"/>
      <c r="AC229" s="1930"/>
      <c r="AD229" s="1930"/>
      <c r="AE229" s="1930"/>
      <c r="AF229" s="1930"/>
      <c r="AG229" s="1930"/>
      <c r="AH229" s="1930"/>
      <c r="AI229" s="1930"/>
      <c r="AJ229" s="1930"/>
      <c r="AK229" s="1930"/>
      <c r="AL229" s="1930"/>
      <c r="AM229" s="1930"/>
      <c r="AN229" s="1930"/>
      <c r="AO229" s="1930"/>
      <c r="AP229" s="1930"/>
      <c r="AQ229" s="1930"/>
      <c r="AR229" s="1930"/>
      <c r="AS229" s="1930"/>
      <c r="AT229" s="1930"/>
      <c r="AU229" s="1930"/>
      <c r="AV229" s="1930"/>
      <c r="AW229" s="1930"/>
      <c r="AX229" s="1930"/>
      <c r="AY229" s="1930"/>
      <c r="AZ229" s="1930"/>
      <c r="BA229" s="1930"/>
      <c r="BC229" s="1930"/>
      <c r="BD229" s="1930"/>
      <c r="BE229" s="1930"/>
    </row>
    <row r="230" spans="1:57" s="1930" customFormat="1" x14ac:dyDescent="0.25">
      <c r="A230" s="123"/>
      <c r="B230" s="1233"/>
      <c r="C230" s="3982"/>
      <c r="D230" s="3982"/>
      <c r="E230" s="3982"/>
      <c r="F230" s="3982"/>
      <c r="G230" s="3982"/>
      <c r="H230" s="3982"/>
      <c r="I230" s="3982"/>
      <c r="J230" s="3982"/>
      <c r="K230" s="3982"/>
      <c r="L230" s="3982"/>
      <c r="M230" s="1214"/>
      <c r="N230" s="1027"/>
      <c r="O230" s="1027"/>
      <c r="P230" s="1027"/>
      <c r="Q230" s="249"/>
      <c r="R230" s="123"/>
      <c r="S230" s="123"/>
      <c r="T230" s="123"/>
      <c r="U230" s="123"/>
      <c r="BB230" s="950"/>
    </row>
    <row r="231" spans="1:57" s="1930" customFormat="1" x14ac:dyDescent="0.25">
      <c r="A231" s="123"/>
      <c r="B231" s="1233"/>
      <c r="C231" s="3584"/>
      <c r="D231" s="3584"/>
      <c r="E231" s="3584"/>
      <c r="F231" s="3584"/>
      <c r="G231" s="3584"/>
      <c r="H231" s="3584"/>
      <c r="I231" s="3584"/>
      <c r="J231" s="3584"/>
      <c r="K231" s="3584"/>
      <c r="L231" s="3584"/>
      <c r="M231" s="1214"/>
      <c r="N231" s="1027"/>
      <c r="O231" s="1027"/>
      <c r="P231" s="1027"/>
      <c r="Q231" s="249"/>
      <c r="R231" s="123"/>
      <c r="S231" s="123"/>
      <c r="T231" s="123"/>
      <c r="U231" s="123"/>
      <c r="BB231" s="950"/>
    </row>
    <row r="232" spans="1:57" hidden="1" outlineLevel="1" x14ac:dyDescent="0.25">
      <c r="B232" s="1233"/>
      <c r="C232" s="225"/>
      <c r="D232" s="174" t="s">
        <v>108</v>
      </c>
      <c r="E232" s="1641"/>
      <c r="F232" s="1759"/>
      <c r="G232" s="958"/>
      <c r="H232" s="958"/>
      <c r="I232" s="958"/>
      <c r="J232" s="958"/>
      <c r="K232" s="958"/>
      <c r="L232" s="958"/>
      <c r="M232" s="1214"/>
      <c r="N232" s="1027"/>
      <c r="O232" s="1027"/>
      <c r="P232" s="1027"/>
      <c r="Q232" s="249"/>
      <c r="V232" s="1930"/>
      <c r="W232" s="1930"/>
      <c r="X232" s="1930"/>
      <c r="Y232" s="1930"/>
      <c r="Z232" s="1930"/>
      <c r="AA232" s="1930"/>
      <c r="AB232" s="1930"/>
      <c r="AC232" s="1930"/>
      <c r="AD232" s="1930"/>
      <c r="AE232" s="1930"/>
      <c r="AF232" s="1930"/>
      <c r="AG232" s="1930"/>
      <c r="AH232" s="1930"/>
      <c r="AI232" s="1930"/>
      <c r="AJ232" s="1930"/>
      <c r="AK232" s="1930"/>
      <c r="AL232" s="1930"/>
      <c r="AM232" s="1930"/>
      <c r="AN232" s="1930"/>
      <c r="AO232" s="1930"/>
      <c r="AP232" s="1930"/>
      <c r="AQ232" s="1930"/>
      <c r="AR232" s="1930"/>
      <c r="AS232" s="1930"/>
      <c r="AT232" s="1930"/>
      <c r="AU232" s="1930"/>
      <c r="AV232" s="1930"/>
      <c r="AW232" s="1930"/>
      <c r="AX232" s="1930"/>
      <c r="AY232" s="1930"/>
      <c r="AZ232" s="1930"/>
      <c r="BA232" s="1930"/>
      <c r="BC232" s="1930"/>
      <c r="BD232" s="1930"/>
      <c r="BE232" s="1930"/>
    </row>
    <row r="233" spans="1:57" s="1930" customFormat="1" hidden="1" outlineLevel="1" x14ac:dyDescent="0.25">
      <c r="A233" s="123"/>
      <c r="B233" s="1233"/>
      <c r="C233" s="225"/>
      <c r="D233" s="174"/>
      <c r="E233" s="1641"/>
      <c r="F233" s="1759"/>
      <c r="G233" s="958"/>
      <c r="H233" s="958"/>
      <c r="I233" s="958"/>
      <c r="J233" s="958"/>
      <c r="K233" s="958"/>
      <c r="L233" s="958"/>
      <c r="M233" s="1214"/>
      <c r="N233" s="1027"/>
      <c r="O233" s="1027"/>
      <c r="P233" s="1027"/>
      <c r="Q233" s="249"/>
      <c r="R233" s="123"/>
      <c r="S233" s="123"/>
      <c r="T233" s="123"/>
      <c r="U233" s="123"/>
      <c r="BB233" s="950"/>
    </row>
    <row r="234" spans="1:57" s="1930" customFormat="1" hidden="1" outlineLevel="1" x14ac:dyDescent="0.25">
      <c r="A234" s="123"/>
      <c r="B234" s="1233"/>
      <c r="C234" s="225"/>
      <c r="D234" s="174"/>
      <c r="E234" s="1641"/>
      <c r="F234" s="1759"/>
      <c r="G234" s="958"/>
      <c r="H234" s="958"/>
      <c r="I234" s="958"/>
      <c r="J234" s="958"/>
      <c r="K234" s="958"/>
      <c r="L234" s="958"/>
      <c r="M234" s="1214"/>
      <c r="N234" s="1027"/>
      <c r="O234" s="1027"/>
      <c r="P234" s="1027"/>
      <c r="Q234" s="249"/>
      <c r="R234" s="123"/>
      <c r="S234" s="123"/>
      <c r="T234" s="123"/>
      <c r="U234" s="123"/>
      <c r="BB234" s="950"/>
    </row>
    <row r="235" spans="1:57" s="1930" customFormat="1" hidden="1" outlineLevel="1" x14ac:dyDescent="0.25">
      <c r="A235" s="123"/>
      <c r="B235" s="1233"/>
      <c r="C235" s="225"/>
      <c r="D235" s="174"/>
      <c r="E235" s="1641"/>
      <c r="F235" s="1759"/>
      <c r="G235" s="958"/>
      <c r="H235" s="958"/>
      <c r="I235" s="958"/>
      <c r="J235" s="958"/>
      <c r="K235" s="958"/>
      <c r="L235" s="958"/>
      <c r="M235" s="1214"/>
      <c r="N235" s="1027"/>
      <c r="O235" s="1027"/>
      <c r="P235" s="1027"/>
      <c r="Q235" s="249"/>
      <c r="R235" s="123"/>
      <c r="S235" s="123"/>
      <c r="T235" s="123"/>
      <c r="U235" s="123"/>
      <c r="BB235" s="950"/>
    </row>
    <row r="236" spans="1:57" ht="18" hidden="1" customHeight="1" outlineLevel="1" x14ac:dyDescent="0.25">
      <c r="B236" s="1233"/>
      <c r="C236" s="253"/>
      <c r="D236" s="2482"/>
      <c r="E236" s="2482"/>
      <c r="F236" s="2482"/>
      <c r="G236" s="2482"/>
      <c r="H236" s="2482"/>
      <c r="I236" s="2482"/>
      <c r="J236" s="2482"/>
      <c r="K236" s="2482"/>
      <c r="L236" s="2482"/>
      <c r="M236" s="1214"/>
      <c r="N236" s="1027"/>
      <c r="O236" s="1027"/>
      <c r="P236" s="1027"/>
      <c r="Q236" s="249"/>
      <c r="V236" s="1930"/>
      <c r="W236" s="1930"/>
      <c r="X236" s="1930"/>
      <c r="Y236" s="1930"/>
      <c r="Z236" s="1930"/>
      <c r="AA236" s="1930"/>
      <c r="AB236" s="1930"/>
      <c r="AC236" s="1930"/>
      <c r="AD236" s="1930"/>
      <c r="AE236" s="1930"/>
      <c r="AF236" s="1930"/>
      <c r="AG236" s="1930"/>
      <c r="AH236" s="1930"/>
      <c r="AI236" s="1930"/>
      <c r="AJ236" s="1930"/>
      <c r="AK236" s="1930"/>
      <c r="AL236" s="1930"/>
      <c r="AM236" s="1930"/>
      <c r="AN236" s="1930"/>
      <c r="AO236" s="1930"/>
      <c r="AP236" s="1930"/>
      <c r="AQ236" s="1930"/>
      <c r="AR236" s="1930"/>
      <c r="AS236" s="1930"/>
      <c r="AT236" s="1930"/>
      <c r="AU236" s="1930"/>
      <c r="AV236" s="1930"/>
      <c r="AW236" s="1930"/>
      <c r="AX236" s="1930"/>
      <c r="AY236" s="1930"/>
      <c r="AZ236" s="1930"/>
      <c r="BA236" s="1930"/>
      <c r="BC236" s="1930"/>
      <c r="BD236" s="1930"/>
      <c r="BE236" s="1930"/>
    </row>
    <row r="237" spans="1:57" s="1930" customFormat="1" ht="18" hidden="1" customHeight="1" outlineLevel="1" x14ac:dyDescent="0.25">
      <c r="A237" s="123"/>
      <c r="B237" s="1233"/>
      <c r="C237" s="253"/>
      <c r="D237" s="2482"/>
      <c r="E237" s="2482"/>
      <c r="F237" s="2482"/>
      <c r="G237" s="2482"/>
      <c r="H237" s="2482"/>
      <c r="I237" s="2482"/>
      <c r="J237" s="2482"/>
      <c r="K237" s="2482"/>
      <c r="L237" s="2482"/>
      <c r="M237" s="1214"/>
      <c r="N237" s="1027"/>
      <c r="O237" s="1027"/>
      <c r="P237" s="1027"/>
      <c r="Q237" s="249"/>
      <c r="R237" s="123"/>
      <c r="S237" s="123"/>
      <c r="T237" s="123"/>
      <c r="U237" s="123"/>
      <c r="BB237" s="950"/>
    </row>
    <row r="238" spans="1:57" s="1930" customFormat="1" ht="18" hidden="1" customHeight="1" outlineLevel="1" x14ac:dyDescent="0.25">
      <c r="A238" s="123"/>
      <c r="B238" s="1233"/>
      <c r="C238" s="253"/>
      <c r="D238" s="2482"/>
      <c r="E238" s="2482"/>
      <c r="F238" s="2482"/>
      <c r="G238" s="2482"/>
      <c r="H238" s="2482"/>
      <c r="I238" s="2482"/>
      <c r="J238" s="2482"/>
      <c r="K238" s="2482"/>
      <c r="L238" s="2482"/>
      <c r="M238" s="1214"/>
      <c r="N238" s="1027"/>
      <c r="O238" s="1027"/>
      <c r="P238" s="1027"/>
      <c r="Q238" s="249"/>
      <c r="R238" s="123"/>
      <c r="S238" s="123"/>
      <c r="T238" s="123"/>
      <c r="U238" s="123"/>
      <c r="BB238" s="950"/>
    </row>
    <row r="239" spans="1:57" s="1930" customFormat="1" ht="18" hidden="1" customHeight="1" outlineLevel="1" x14ac:dyDescent="0.25">
      <c r="A239" s="123"/>
      <c r="B239" s="1233"/>
      <c r="C239" s="253"/>
      <c r="D239" s="2482"/>
      <c r="E239" s="2482"/>
      <c r="F239" s="2482"/>
      <c r="G239" s="2482"/>
      <c r="H239" s="2482"/>
      <c r="I239" s="2482"/>
      <c r="J239" s="2482"/>
      <c r="K239" s="2482"/>
      <c r="L239" s="2482"/>
      <c r="M239" s="1214"/>
      <c r="N239" s="1027"/>
      <c r="O239" s="1027"/>
      <c r="P239" s="1027"/>
      <c r="Q239" s="249"/>
      <c r="R239" s="123"/>
      <c r="S239" s="123"/>
      <c r="T239" s="123"/>
      <c r="U239" s="123"/>
      <c r="BB239" s="950"/>
    </row>
    <row r="240" spans="1:57" s="1930" customFormat="1" ht="18" hidden="1" customHeight="1" outlineLevel="1" x14ac:dyDescent="0.25">
      <c r="A240" s="123"/>
      <c r="B240" s="1233"/>
      <c r="C240" s="253"/>
      <c r="D240" s="2482"/>
      <c r="E240" s="2482"/>
      <c r="F240" s="2482"/>
      <c r="G240" s="2482"/>
      <c r="H240" s="2482"/>
      <c r="I240" s="2482"/>
      <c r="J240" s="2482"/>
      <c r="K240" s="2482"/>
      <c r="L240" s="2482"/>
      <c r="M240" s="1214"/>
      <c r="N240" s="1027"/>
      <c r="O240" s="1027"/>
      <c r="P240" s="1027"/>
      <c r="Q240" s="249"/>
      <c r="R240" s="123"/>
      <c r="S240" s="123"/>
      <c r="T240" s="123"/>
      <c r="U240" s="123"/>
      <c r="BB240" s="950"/>
    </row>
    <row r="241" spans="1:57" s="1930" customFormat="1" ht="18" hidden="1" customHeight="1" outlineLevel="1" x14ac:dyDescent="0.25">
      <c r="A241" s="123"/>
      <c r="B241" s="1233"/>
      <c r="C241" s="253"/>
      <c r="D241" s="2482"/>
      <c r="E241" s="2482"/>
      <c r="F241" s="2482"/>
      <c r="G241" s="2482"/>
      <c r="H241" s="2482"/>
      <c r="I241" s="2482"/>
      <c r="J241" s="2482"/>
      <c r="K241" s="2482"/>
      <c r="L241" s="2482"/>
      <c r="M241" s="1214"/>
      <c r="N241" s="1027"/>
      <c r="O241" s="1027"/>
      <c r="P241" s="1027"/>
      <c r="Q241" s="249"/>
      <c r="R241" s="123"/>
      <c r="S241" s="123"/>
      <c r="T241" s="123"/>
      <c r="U241" s="123"/>
      <c r="BB241" s="950"/>
    </row>
    <row r="242" spans="1:57" s="1930" customFormat="1" ht="18" hidden="1" customHeight="1" outlineLevel="1" x14ac:dyDescent="0.25">
      <c r="A242" s="123"/>
      <c r="B242" s="1233"/>
      <c r="C242" s="253"/>
      <c r="D242" s="2482"/>
      <c r="E242" s="2482"/>
      <c r="F242" s="2482"/>
      <c r="G242" s="2482"/>
      <c r="H242" s="2482"/>
      <c r="I242" s="2482"/>
      <c r="J242" s="2482"/>
      <c r="K242" s="2482"/>
      <c r="L242" s="2482"/>
      <c r="M242" s="1214"/>
      <c r="N242" s="1027"/>
      <c r="O242" s="1027"/>
      <c r="P242" s="1027"/>
      <c r="Q242" s="249"/>
      <c r="R242" s="123"/>
      <c r="S242" s="123"/>
      <c r="T242" s="123"/>
      <c r="U242" s="123"/>
      <c r="BB242" s="950"/>
    </row>
    <row r="243" spans="1:57" s="1930" customFormat="1" ht="18" hidden="1" customHeight="1" outlineLevel="1" x14ac:dyDescent="0.25">
      <c r="A243" s="123"/>
      <c r="B243" s="1233"/>
      <c r="C243" s="253"/>
      <c r="D243" s="2482"/>
      <c r="E243" s="2482"/>
      <c r="F243" s="2482"/>
      <c r="G243" s="2482"/>
      <c r="H243" s="2482"/>
      <c r="I243" s="2482"/>
      <c r="J243" s="2482"/>
      <c r="K243" s="2482"/>
      <c r="L243" s="2482"/>
      <c r="M243" s="1214"/>
      <c r="N243" s="1027"/>
      <c r="O243" s="1027"/>
      <c r="P243" s="1027"/>
      <c r="Q243" s="249"/>
      <c r="R243" s="123"/>
      <c r="S243" s="123"/>
      <c r="T243" s="123"/>
      <c r="U243" s="123"/>
      <c r="BB243" s="950"/>
    </row>
    <row r="244" spans="1:57" hidden="1" outlineLevel="1" x14ac:dyDescent="0.25">
      <c r="B244" s="1233"/>
      <c r="C244" s="267"/>
      <c r="D244" s="2482"/>
      <c r="E244" s="2482"/>
      <c r="F244" s="2482"/>
      <c r="G244" s="2482"/>
      <c r="H244" s="2482"/>
      <c r="I244" s="2482"/>
      <c r="J244" s="2482"/>
      <c r="K244" s="2482"/>
      <c r="L244" s="2482"/>
      <c r="M244" s="1214"/>
      <c r="N244" s="1027"/>
      <c r="O244" s="1027"/>
      <c r="P244" s="1027"/>
      <c r="Q244" s="249"/>
      <c r="V244" s="1930"/>
      <c r="W244" s="1930"/>
      <c r="X244" s="1930"/>
      <c r="Y244" s="1930"/>
      <c r="Z244" s="1930"/>
      <c r="AA244" s="1930"/>
      <c r="AB244" s="1930"/>
      <c r="AC244" s="1930"/>
      <c r="AD244" s="1930"/>
      <c r="AE244" s="1930"/>
      <c r="AF244" s="1930"/>
      <c r="AG244" s="1930"/>
      <c r="AH244" s="1930"/>
      <c r="AI244" s="1930"/>
      <c r="AJ244" s="1930"/>
      <c r="AK244" s="1930"/>
      <c r="AL244" s="1930"/>
      <c r="AM244" s="1930"/>
      <c r="AN244" s="1930"/>
      <c r="AO244" s="1930"/>
      <c r="AP244" s="1930"/>
      <c r="AQ244" s="1930"/>
      <c r="AR244" s="1930"/>
      <c r="AS244" s="1930"/>
      <c r="AT244" s="1930"/>
      <c r="AU244" s="1930"/>
      <c r="AV244" s="1930"/>
      <c r="AW244" s="1930"/>
      <c r="AX244" s="1930"/>
      <c r="AY244" s="1930"/>
      <c r="AZ244" s="1930"/>
      <c r="BA244" s="1930"/>
      <c r="BC244" s="1930"/>
      <c r="BD244" s="1930"/>
      <c r="BE244" s="1930"/>
    </row>
    <row r="245" spans="1:57" ht="75" hidden="1" customHeight="1" outlineLevel="1" x14ac:dyDescent="0.25">
      <c r="B245" s="1233"/>
      <c r="C245" s="268"/>
      <c r="D245" s="2482"/>
      <c r="E245" s="2482"/>
      <c r="F245" s="2482"/>
      <c r="G245" s="2482"/>
      <c r="H245" s="2482"/>
      <c r="I245" s="2482"/>
      <c r="J245" s="2482"/>
      <c r="K245" s="2482"/>
      <c r="L245" s="2482"/>
      <c r="M245" s="1214"/>
      <c r="N245" s="1027"/>
      <c r="O245" s="1027"/>
      <c r="P245" s="1027"/>
      <c r="Q245" s="249"/>
      <c r="V245" s="1930"/>
      <c r="W245" s="1930"/>
      <c r="X245" s="1930"/>
      <c r="Y245" s="1930"/>
      <c r="Z245" s="1930"/>
      <c r="AA245" s="1930"/>
      <c r="AB245" s="1930"/>
      <c r="AC245" s="1930"/>
      <c r="AD245" s="1930"/>
      <c r="AE245" s="1930"/>
      <c r="AF245" s="1930"/>
      <c r="AG245" s="1930"/>
      <c r="AH245" s="1930"/>
      <c r="AI245" s="1930"/>
      <c r="AJ245" s="1930"/>
      <c r="AK245" s="1930"/>
      <c r="AL245" s="1930"/>
      <c r="AM245" s="1930"/>
      <c r="AN245" s="1930"/>
      <c r="AO245" s="1930"/>
      <c r="AP245" s="1930"/>
      <c r="AQ245" s="1930"/>
      <c r="AR245" s="1930"/>
      <c r="AS245" s="1930"/>
      <c r="AT245" s="1930"/>
      <c r="AU245" s="1930"/>
      <c r="AV245" s="1930"/>
      <c r="AW245" s="1930"/>
      <c r="AX245" s="1930"/>
      <c r="AY245" s="1930"/>
      <c r="AZ245" s="1930"/>
      <c r="BA245" s="1930"/>
      <c r="BC245" s="1930"/>
      <c r="BD245" s="1930"/>
      <c r="BE245" s="1930"/>
    </row>
    <row r="246" spans="1:57" hidden="1" outlineLevel="1" x14ac:dyDescent="0.25">
      <c r="B246" s="1233"/>
      <c r="C246" s="225"/>
      <c r="D246" s="1213"/>
      <c r="E246" s="1213"/>
      <c r="F246" s="1027"/>
      <c r="G246" s="1027"/>
      <c r="H246" s="1027"/>
      <c r="I246" s="1027"/>
      <c r="J246" s="1027"/>
      <c r="K246" s="1027"/>
      <c r="L246" s="1027"/>
      <c r="M246" s="1214"/>
      <c r="N246" s="1027"/>
      <c r="O246" s="1027"/>
      <c r="P246" s="1027"/>
      <c r="Q246" s="249"/>
      <c r="V246" s="1930"/>
      <c r="W246" s="1930"/>
      <c r="X246" s="1930"/>
      <c r="Y246" s="1930"/>
      <c r="Z246" s="1930"/>
      <c r="AA246" s="1930"/>
      <c r="AB246" s="1930"/>
      <c r="AC246" s="1930"/>
      <c r="AD246" s="1930"/>
      <c r="AE246" s="1930"/>
      <c r="AF246" s="1930"/>
      <c r="AG246" s="1930"/>
      <c r="AH246" s="1930"/>
      <c r="AI246" s="1930"/>
      <c r="AJ246" s="1930"/>
      <c r="AK246" s="1930"/>
      <c r="AL246" s="1930"/>
      <c r="AM246" s="1930"/>
      <c r="AN246" s="1930"/>
      <c r="AO246" s="1930"/>
      <c r="AP246" s="1930"/>
      <c r="AQ246" s="1930"/>
      <c r="AR246" s="1930"/>
      <c r="AS246" s="1930"/>
      <c r="AT246" s="1930"/>
      <c r="AU246" s="1930"/>
      <c r="AV246" s="1930"/>
      <c r="AW246" s="1930"/>
      <c r="AX246" s="1930"/>
      <c r="AY246" s="1930"/>
      <c r="AZ246" s="1930"/>
      <c r="BA246" s="1930"/>
      <c r="BC246" s="1930"/>
      <c r="BD246" s="1930"/>
      <c r="BE246" s="1930"/>
    </row>
    <row r="247" spans="1:57" hidden="1" outlineLevel="1" x14ac:dyDescent="0.25">
      <c r="B247" s="1233"/>
      <c r="C247" s="225"/>
      <c r="D247" s="3189" t="s">
        <v>109</v>
      </c>
      <c r="E247" s="3189"/>
      <c r="F247" s="4190" t="s">
        <v>110</v>
      </c>
      <c r="G247" s="4459"/>
      <c r="H247" s="4459"/>
      <c r="I247" s="3189" t="s">
        <v>112</v>
      </c>
      <c r="J247" s="3189" t="s">
        <v>187</v>
      </c>
      <c r="K247" s="3189" t="s">
        <v>283</v>
      </c>
      <c r="L247" s="229"/>
      <c r="M247" s="1214"/>
      <c r="N247" s="229"/>
      <c r="O247" s="1027"/>
      <c r="P247" s="1027"/>
      <c r="Q247" s="249"/>
      <c r="V247" s="1936" t="s">
        <v>45</v>
      </c>
      <c r="W247" s="1937">
        <f t="shared" ref="W247:AG247" si="62">W$6</f>
        <v>43252</v>
      </c>
      <c r="X247" s="1937">
        <f t="shared" si="62"/>
        <v>43465</v>
      </c>
      <c r="Y247" s="1937">
        <f t="shared" si="62"/>
        <v>43800</v>
      </c>
      <c r="Z247" s="1937">
        <f t="shared" si="62"/>
        <v>43862</v>
      </c>
      <c r="AA247" s="1937">
        <f t="shared" si="62"/>
        <v>44013</v>
      </c>
      <c r="AB247" s="1937">
        <f t="shared" si="62"/>
        <v>44166</v>
      </c>
      <c r="AC247" s="1937">
        <f t="shared" si="62"/>
        <v>44531</v>
      </c>
      <c r="AD247" s="1937" t="str">
        <f t="shared" si="62"/>
        <v>-</v>
      </c>
      <c r="AE247" s="1937" t="str">
        <f t="shared" si="62"/>
        <v>-</v>
      </c>
      <c r="AF247" s="1937" t="str">
        <f t="shared" si="62"/>
        <v>-</v>
      </c>
      <c r="AG247" s="1937" t="str">
        <f t="shared" si="62"/>
        <v>-</v>
      </c>
      <c r="AH247" s="1930"/>
      <c r="AI247" s="1930"/>
      <c r="AJ247" s="1930"/>
      <c r="AK247" s="1930"/>
      <c r="AL247" s="1930"/>
      <c r="AM247" s="1930"/>
      <c r="AN247" s="1930"/>
      <c r="AO247" s="1930"/>
      <c r="AP247" s="1930"/>
      <c r="AQ247" s="1930"/>
      <c r="AR247" s="1930"/>
      <c r="AS247" s="1930"/>
      <c r="AT247" s="1930"/>
      <c r="AU247" s="1930"/>
      <c r="AV247" s="1930"/>
      <c r="AW247" s="1930"/>
      <c r="AX247" s="1930"/>
      <c r="AY247" s="1930"/>
      <c r="AZ247" s="1930"/>
      <c r="BA247" s="1930"/>
      <c r="BC247" s="1930"/>
      <c r="BD247" s="1930"/>
      <c r="BE247" s="1930"/>
    </row>
    <row r="248" spans="1:57" hidden="1" outlineLevel="1" x14ac:dyDescent="0.25">
      <c r="B248" s="1233"/>
      <c r="C248" s="225"/>
      <c r="D248" s="4456" t="s">
        <v>828</v>
      </c>
      <c r="E248" s="3912" t="s">
        <v>829</v>
      </c>
      <c r="F248" s="4443" t="s">
        <v>1864</v>
      </c>
      <c r="G248" s="3774"/>
      <c r="H248" s="3774"/>
      <c r="I248" s="1760">
        <v>0.16336956521739129</v>
      </c>
      <c r="J248" s="2308" t="s">
        <v>285</v>
      </c>
      <c r="K248" s="948"/>
      <c r="L248" s="229"/>
      <c r="M248" s="1214"/>
      <c r="N248" s="229"/>
      <c r="O248" s="1027"/>
      <c r="P248" s="1027"/>
      <c r="Q248" s="249"/>
      <c r="V248" s="4457" t="s">
        <v>828</v>
      </c>
      <c r="W248" s="288">
        <v>0</v>
      </c>
      <c r="X248" s="288">
        <v>0</v>
      </c>
      <c r="Y248" s="598">
        <v>0.16336956521739129</v>
      </c>
      <c r="Z248" s="599">
        <v>0.16336956521739129</v>
      </c>
      <c r="AA248" s="599">
        <v>0.16336956521739129</v>
      </c>
      <c r="AB248" s="599">
        <v>0.16336956521739129</v>
      </c>
      <c r="AC248" s="599">
        <v>0.16336956521739129</v>
      </c>
      <c r="AD248" s="288"/>
      <c r="AE248" s="288"/>
      <c r="AF248" s="288"/>
      <c r="AG248" s="288"/>
      <c r="AH248" s="1930"/>
      <c r="AI248" s="1930"/>
      <c r="AJ248" s="1930"/>
      <c r="AK248" s="1930"/>
      <c r="AL248" s="1930"/>
      <c r="AM248" s="1930"/>
      <c r="AN248" s="1930"/>
      <c r="AO248" s="1930"/>
      <c r="AP248" s="1930"/>
      <c r="AQ248" s="1930"/>
      <c r="AR248" s="1930"/>
      <c r="AS248" s="1930"/>
      <c r="AT248" s="1930"/>
      <c r="AU248" s="1930"/>
      <c r="AV248" s="1930"/>
      <c r="AW248" s="1930"/>
      <c r="AX248" s="1930"/>
      <c r="AY248" s="1930"/>
      <c r="AZ248" s="1930"/>
      <c r="BA248" s="1930"/>
      <c r="BC248" s="1930"/>
      <c r="BD248" s="1930"/>
      <c r="BE248" s="1930"/>
    </row>
    <row r="249" spans="1:57" hidden="1" outlineLevel="1" x14ac:dyDescent="0.25">
      <c r="B249" s="1233"/>
      <c r="C249" s="225"/>
      <c r="D249" s="4456"/>
      <c r="E249" s="3912"/>
      <c r="F249" s="4443" t="s">
        <v>1865</v>
      </c>
      <c r="G249" s="3774"/>
      <c r="H249" s="3774"/>
      <c r="I249" s="599">
        <v>0.16336956521739129</v>
      </c>
      <c r="J249" s="2308" t="s">
        <v>285</v>
      </c>
      <c r="K249" s="948"/>
      <c r="L249" s="229"/>
      <c r="M249" s="1214"/>
      <c r="N249" s="229"/>
      <c r="V249" s="4457"/>
      <c r="W249" s="288">
        <v>0</v>
      </c>
      <c r="X249" s="288">
        <v>0</v>
      </c>
      <c r="Y249" s="598">
        <v>0.16336956521739129</v>
      </c>
      <c r="Z249" s="599">
        <v>0.16336956521739129</v>
      </c>
      <c r="AA249" s="599">
        <v>0.16336956521739129</v>
      </c>
      <c r="AB249" s="599">
        <v>0.16336956521739129</v>
      </c>
      <c r="AC249" s="599">
        <v>0.16336956521739129</v>
      </c>
      <c r="AD249" s="288"/>
      <c r="AE249" s="288"/>
      <c r="AF249" s="288"/>
      <c r="AG249" s="288"/>
      <c r="AH249" s="1930"/>
      <c r="AI249" s="1930"/>
      <c r="AJ249" s="1930"/>
      <c r="AK249" s="1930"/>
      <c r="AL249" s="1930"/>
      <c r="AM249" s="1930"/>
      <c r="AN249" s="1930"/>
      <c r="AO249" s="1930"/>
      <c r="AP249" s="1930"/>
      <c r="AQ249" s="1930"/>
      <c r="AR249" s="1930"/>
      <c r="AS249" s="1930"/>
      <c r="AT249" s="1930"/>
      <c r="AU249" s="1930"/>
      <c r="AV249" s="1930"/>
      <c r="AW249" s="1930"/>
      <c r="AX249" s="1930"/>
      <c r="AY249" s="1930"/>
      <c r="AZ249" s="1930"/>
      <c r="BA249" s="1930"/>
      <c r="BC249" s="1930"/>
      <c r="BD249" s="1930"/>
      <c r="BE249" s="1930"/>
    </row>
    <row r="250" spans="1:57" hidden="1" outlineLevel="1" x14ac:dyDescent="0.25">
      <c r="B250" s="1233"/>
      <c r="C250" s="225"/>
      <c r="D250" s="3241" t="s">
        <v>831</v>
      </c>
      <c r="E250" s="3121" t="s">
        <v>832</v>
      </c>
      <c r="F250" s="4451" t="s">
        <v>135</v>
      </c>
      <c r="G250" s="4452"/>
      <c r="H250" s="4453"/>
      <c r="I250" s="1761">
        <v>400</v>
      </c>
      <c r="J250" s="4444" t="s">
        <v>833</v>
      </c>
      <c r="K250" s="4257"/>
      <c r="L250" s="229"/>
      <c r="M250" s="1214"/>
      <c r="N250" s="229"/>
      <c r="V250" s="3242" t="s">
        <v>831</v>
      </c>
      <c r="W250" s="288"/>
      <c r="X250" s="288"/>
      <c r="Y250" s="942">
        <v>400</v>
      </c>
      <c r="Z250" s="946">
        <v>400</v>
      </c>
      <c r="AA250" s="946">
        <v>400</v>
      </c>
      <c r="AB250" s="946">
        <v>400</v>
      </c>
      <c r="AC250" s="946">
        <v>400</v>
      </c>
      <c r="AD250" s="288"/>
      <c r="AE250" s="288"/>
      <c r="AF250" s="288"/>
      <c r="AG250" s="288"/>
      <c r="AH250" s="1930"/>
      <c r="AI250" s="1930"/>
      <c r="AJ250" s="1930"/>
      <c r="AK250" s="1930"/>
      <c r="AL250" s="1930"/>
      <c r="AM250" s="1930"/>
      <c r="AN250" s="1930"/>
      <c r="AO250" s="1930"/>
      <c r="AP250" s="1930"/>
      <c r="AQ250" s="1930"/>
      <c r="AR250" s="1930"/>
      <c r="AS250" s="1930"/>
      <c r="AT250" s="1930"/>
      <c r="AU250" s="1930"/>
      <c r="AV250" s="1930"/>
      <c r="AW250" s="1930"/>
      <c r="AX250" s="1930"/>
      <c r="AY250" s="1930"/>
      <c r="AZ250" s="1930"/>
      <c r="BA250" s="1930"/>
      <c r="BC250" s="1930"/>
      <c r="BD250" s="1930"/>
      <c r="BE250" s="1930"/>
    </row>
    <row r="251" spans="1:57" ht="18" hidden="1" outlineLevel="1" x14ac:dyDescent="0.25">
      <c r="B251" s="1233"/>
      <c r="C251" s="225"/>
      <c r="D251" s="3241" t="s">
        <v>2474</v>
      </c>
      <c r="E251" s="3246" t="str">
        <f>'HVAC Deemed Table'!E54</f>
        <v>Effective full load heating hours (in St. Louis)</v>
      </c>
      <c r="F251" s="4443" t="s">
        <v>135</v>
      </c>
      <c r="G251" s="3774"/>
      <c r="H251" s="3774"/>
      <c r="I251" s="276">
        <v>2009</v>
      </c>
      <c r="J251" s="2308" t="s">
        <v>285</v>
      </c>
      <c r="K251" s="948"/>
      <c r="L251" s="229"/>
      <c r="M251" s="1214"/>
      <c r="N251" s="229"/>
      <c r="V251" s="3242" t="s">
        <v>2475</v>
      </c>
      <c r="W251" s="279">
        <v>2009</v>
      </c>
      <c r="X251" s="279">
        <v>2009</v>
      </c>
      <c r="Y251" s="276">
        <v>2009</v>
      </c>
      <c r="Z251" s="276">
        <v>2009</v>
      </c>
      <c r="AA251" s="276">
        <v>2009</v>
      </c>
      <c r="AB251" s="276">
        <v>2009</v>
      </c>
      <c r="AC251" s="276">
        <v>2009</v>
      </c>
      <c r="AD251" s="279"/>
      <c r="AE251" s="279"/>
      <c r="AF251" s="279"/>
      <c r="AG251" s="279"/>
      <c r="AH251" s="1930"/>
      <c r="AI251" s="1930"/>
      <c r="AJ251" s="1930"/>
      <c r="AK251" s="1930"/>
      <c r="AL251" s="1930"/>
      <c r="AM251" s="1930"/>
      <c r="AN251" s="1930"/>
      <c r="AO251" s="1930"/>
      <c r="AP251" s="1930"/>
      <c r="AQ251" s="1930"/>
      <c r="AR251" s="1930"/>
      <c r="AS251" s="1930"/>
      <c r="AT251" s="1930"/>
      <c r="AU251" s="1930"/>
      <c r="AV251" s="1930"/>
      <c r="AW251" s="1930"/>
      <c r="AX251" s="1930"/>
      <c r="AY251" s="1930"/>
      <c r="AZ251" s="1930"/>
      <c r="BA251" s="1930"/>
      <c r="BC251" s="1930"/>
      <c r="BD251" s="1930"/>
      <c r="BE251" s="1930"/>
    </row>
    <row r="252" spans="1:57" ht="18" hidden="1" outlineLevel="1" x14ac:dyDescent="0.25">
      <c r="B252" s="1233"/>
      <c r="C252" s="225"/>
      <c r="D252" s="3241" t="s">
        <v>2476</v>
      </c>
      <c r="E252" s="3246" t="str">
        <f>'HVAC Deemed Table'!E55</f>
        <v>Wisconsin effective full load heating hours</v>
      </c>
      <c r="F252" s="4443" t="s">
        <v>135</v>
      </c>
      <c r="G252" s="3774"/>
      <c r="H252" s="3774"/>
      <c r="I252" s="1215">
        <v>2545.25</v>
      </c>
      <c r="J252" s="2308" t="s">
        <v>285</v>
      </c>
      <c r="K252" s="948"/>
      <c r="L252" s="229"/>
      <c r="M252" s="1214"/>
      <c r="N252" s="229"/>
      <c r="O252" s="229"/>
      <c r="P252" s="229"/>
      <c r="Q252" s="229"/>
      <c r="R252" s="229"/>
      <c r="V252" s="3242" t="s">
        <v>2477</v>
      </c>
      <c r="W252" s="1216">
        <v>2545.25</v>
      </c>
      <c r="X252" s="1216">
        <v>2545.25</v>
      </c>
      <c r="Y252" s="1215">
        <v>2545.25</v>
      </c>
      <c r="Z252" s="1215">
        <v>2545.25</v>
      </c>
      <c r="AA252" s="1215">
        <v>2545.25</v>
      </c>
      <c r="AB252" s="1215">
        <v>2545.25</v>
      </c>
      <c r="AC252" s="1215">
        <v>2545.25</v>
      </c>
      <c r="AD252" s="1216"/>
      <c r="AE252" s="1216"/>
      <c r="AF252" s="1216"/>
      <c r="AG252" s="1216"/>
      <c r="AH252" s="1930"/>
      <c r="AI252" s="1930"/>
      <c r="AJ252" s="1930"/>
      <c r="AK252" s="1930"/>
      <c r="AL252" s="1930"/>
      <c r="AM252" s="1930"/>
      <c r="AN252" s="1930"/>
      <c r="AO252" s="1930"/>
      <c r="AP252" s="1930"/>
      <c r="AQ252" s="1930"/>
      <c r="AR252" s="1930"/>
      <c r="AS252" s="1930"/>
      <c r="AT252" s="1930"/>
      <c r="AU252" s="1930"/>
      <c r="AV252" s="1930"/>
      <c r="AW252" s="1930"/>
      <c r="AX252" s="1930"/>
      <c r="AY252" s="1930"/>
      <c r="AZ252" s="1930"/>
      <c r="BA252" s="1930"/>
      <c r="BC252" s="1930"/>
      <c r="BD252" s="1930"/>
      <c r="BE252" s="1930"/>
    </row>
    <row r="253" spans="1:57" ht="15" hidden="1" customHeight="1" outlineLevel="1" x14ac:dyDescent="0.25">
      <c r="B253" s="1233"/>
      <c r="C253" s="225"/>
      <c r="D253" s="4454" t="s">
        <v>839</v>
      </c>
      <c r="E253" s="3912" t="str">
        <f>'HVAC Deemed Table'!E56</f>
        <v>% of furnaces with new central cooling</v>
      </c>
      <c r="F253" s="4443" t="s">
        <v>1864</v>
      </c>
      <c r="G253" s="3774"/>
      <c r="H253" s="3774"/>
      <c r="I253" s="595">
        <v>0.80141304347826092</v>
      </c>
      <c r="J253" s="2308" t="s">
        <v>285</v>
      </c>
      <c r="K253" s="948"/>
      <c r="L253" s="229"/>
      <c r="M253" s="1214"/>
      <c r="N253" s="229"/>
      <c r="O253" s="229"/>
      <c r="P253" s="1218"/>
      <c r="Q253" s="229"/>
      <c r="R253" s="1218"/>
      <c r="S253" s="249"/>
      <c r="V253" s="4455" t="s">
        <v>839</v>
      </c>
      <c r="W253" s="272">
        <v>0.97</v>
      </c>
      <c r="X253" s="272">
        <v>0.97</v>
      </c>
      <c r="Y253" s="1217">
        <v>0.80141304347826092</v>
      </c>
      <c r="Z253" s="595">
        <v>0.80141304347826092</v>
      </c>
      <c r="AA253" s="595">
        <v>0.80141304347826092</v>
      </c>
      <c r="AB253" s="595">
        <v>0.80141304347826092</v>
      </c>
      <c r="AC253" s="595">
        <v>0.80141304347826092</v>
      </c>
      <c r="AD253" s="272"/>
      <c r="AE253" s="272"/>
      <c r="AF253" s="272"/>
      <c r="AG253" s="272"/>
      <c r="AH253" s="1930"/>
      <c r="AI253" s="1930"/>
      <c r="AJ253" s="1930"/>
      <c r="AK253" s="1930"/>
      <c r="AL253" s="1930"/>
      <c r="AM253" s="1930"/>
      <c r="AN253" s="1930"/>
      <c r="AO253" s="1930"/>
      <c r="AP253" s="1930"/>
      <c r="AQ253" s="1930"/>
      <c r="AR253" s="1930"/>
      <c r="AS253" s="1930"/>
      <c r="AT253" s="1930"/>
      <c r="AU253" s="1930"/>
      <c r="AV253" s="1930"/>
      <c r="AW253" s="1930"/>
      <c r="AX253" s="1930"/>
      <c r="AY253" s="1930"/>
      <c r="AZ253" s="1930"/>
      <c r="BA253" s="1930"/>
      <c r="BC253" s="1930"/>
      <c r="BD253" s="1930"/>
      <c r="BE253" s="1930"/>
    </row>
    <row r="254" spans="1:57" ht="24.75" hidden="1" customHeight="1" outlineLevel="1" x14ac:dyDescent="0.25">
      <c r="B254" s="1233"/>
      <c r="C254" s="225"/>
      <c r="D254" s="4454"/>
      <c r="E254" s="3912"/>
      <c r="F254" s="4443" t="s">
        <v>1865</v>
      </c>
      <c r="G254" s="3774"/>
      <c r="H254" s="3774"/>
      <c r="I254" s="269">
        <v>0.80141304347826092</v>
      </c>
      <c r="J254" s="2308" t="s">
        <v>285</v>
      </c>
      <c r="K254" s="948"/>
      <c r="L254" s="229"/>
      <c r="M254" s="1214"/>
      <c r="N254" s="229"/>
      <c r="O254" s="229"/>
      <c r="P254" s="229"/>
      <c r="Q254" s="229"/>
      <c r="R254" s="229"/>
      <c r="S254" s="249"/>
      <c r="V254" s="4455"/>
      <c r="W254" s="272">
        <v>0.97</v>
      </c>
      <c r="X254" s="272">
        <v>0.97</v>
      </c>
      <c r="Y254" s="273">
        <v>0.80141304347826092</v>
      </c>
      <c r="Z254" s="269">
        <v>0.80141304347826092</v>
      </c>
      <c r="AA254" s="269">
        <v>0.80141304347826092</v>
      </c>
      <c r="AB254" s="269">
        <v>0.80141304347826092</v>
      </c>
      <c r="AC254" s="269">
        <v>0.80141304347826092</v>
      </c>
      <c r="AD254" s="272"/>
      <c r="AE254" s="272"/>
      <c r="AF254" s="272"/>
      <c r="AG254" s="272"/>
      <c r="AH254" s="1930"/>
      <c r="AI254" s="1930"/>
      <c r="AJ254" s="1930"/>
      <c r="AK254" s="1930"/>
      <c r="AL254" s="1930"/>
      <c r="AM254" s="1930"/>
      <c r="AN254" s="1930"/>
      <c r="AO254" s="1930"/>
      <c r="AP254" s="1930"/>
      <c r="AQ254" s="1930"/>
      <c r="AR254" s="1930"/>
      <c r="AS254" s="1930"/>
      <c r="AT254" s="1930"/>
      <c r="AU254" s="1930"/>
      <c r="AV254" s="1930"/>
      <c r="AW254" s="1930"/>
      <c r="AX254" s="1930"/>
      <c r="AY254" s="1930"/>
      <c r="AZ254" s="1930"/>
      <c r="BA254" s="1930"/>
      <c r="BC254" s="1930"/>
      <c r="BD254" s="1930"/>
      <c r="BE254" s="1930"/>
    </row>
    <row r="255" spans="1:57" ht="30" hidden="1" outlineLevel="1" x14ac:dyDescent="0.25">
      <c r="B255" s="1233"/>
      <c r="C255" s="225"/>
      <c r="D255" s="3241" t="s">
        <v>841</v>
      </c>
      <c r="E255" s="3121" t="s">
        <v>842</v>
      </c>
      <c r="F255" s="4451" t="s">
        <v>135</v>
      </c>
      <c r="G255" s="4452"/>
      <c r="H255" s="4453"/>
      <c r="I255" s="1761">
        <v>70</v>
      </c>
      <c r="J255" s="4444" t="s">
        <v>833</v>
      </c>
      <c r="K255" s="4257"/>
      <c r="L255" s="229"/>
      <c r="M255" s="1214"/>
      <c r="N255" s="229"/>
      <c r="O255" s="3923" t="s">
        <v>2478</v>
      </c>
      <c r="P255" s="4115"/>
      <c r="Q255" s="3140"/>
      <c r="R255" s="3161" t="s">
        <v>2479</v>
      </c>
      <c r="S255" s="249"/>
      <c r="V255" s="3242" t="s">
        <v>841</v>
      </c>
      <c r="W255" s="272"/>
      <c r="X255" s="272"/>
      <c r="Y255" s="942">
        <v>70</v>
      </c>
      <c r="Z255" s="946">
        <v>70</v>
      </c>
      <c r="AA255" s="946">
        <v>70</v>
      </c>
      <c r="AB255" s="946">
        <v>70</v>
      </c>
      <c r="AC255" s="946">
        <v>70</v>
      </c>
      <c r="AD255" s="272"/>
      <c r="AE255" s="272"/>
      <c r="AF255" s="272"/>
      <c r="AG255" s="272"/>
      <c r="AH255" s="1930"/>
      <c r="AI255" s="1930"/>
      <c r="AJ255" s="1930"/>
      <c r="AK255" s="1930"/>
      <c r="AL255" s="1930"/>
      <c r="AM255" s="1930"/>
      <c r="AN255" s="1930"/>
      <c r="AO255" s="1930"/>
      <c r="AP255" s="1930"/>
      <c r="AQ255" s="1930"/>
      <c r="AR255" s="1930"/>
      <c r="AS255" s="1930"/>
      <c r="AT255" s="1930"/>
      <c r="AU255" s="1930"/>
      <c r="AV255" s="1930"/>
      <c r="AW255" s="1930"/>
      <c r="AX255" s="1930"/>
      <c r="AY255" s="1930"/>
      <c r="AZ255" s="1930"/>
      <c r="BA255" s="1930"/>
      <c r="BC255" s="1930"/>
      <c r="BD255" s="1930"/>
      <c r="BE255" s="1930"/>
    </row>
    <row r="256" spans="1:57" ht="18" hidden="1" outlineLevel="1" x14ac:dyDescent="0.25">
      <c r="B256" s="1233"/>
      <c r="C256" s="225"/>
      <c r="D256" s="3241" t="s">
        <v>2480</v>
      </c>
      <c r="E256" s="3246" t="str">
        <f>'HVAC Deemed Table'!E69</f>
        <v>Effective full load cooling hours (in St. Louis)</v>
      </c>
      <c r="F256" s="4388" t="s">
        <v>135</v>
      </c>
      <c r="G256" s="4389"/>
      <c r="H256" s="4390"/>
      <c r="I256" s="1215">
        <v>1215</v>
      </c>
      <c r="J256" s="2308" t="s">
        <v>285</v>
      </c>
      <c r="K256" s="948"/>
      <c r="L256" s="229"/>
      <c r="M256" s="1214"/>
      <c r="N256" s="229"/>
      <c r="O256" s="3136"/>
      <c r="P256" s="3152"/>
      <c r="Q256" s="3140"/>
      <c r="R256" s="3161"/>
      <c r="S256" s="249"/>
      <c r="T256" s="986"/>
      <c r="V256" s="3242" t="s">
        <v>2481</v>
      </c>
      <c r="W256" s="1216">
        <v>1215</v>
      </c>
      <c r="X256" s="1216">
        <v>1215</v>
      </c>
      <c r="Y256" s="1215">
        <v>1215</v>
      </c>
      <c r="Z256" s="1215">
        <v>1215</v>
      </c>
      <c r="AA256" s="1215">
        <v>1215</v>
      </c>
      <c r="AB256" s="1215">
        <v>1215</v>
      </c>
      <c r="AC256" s="1215">
        <v>1215</v>
      </c>
      <c r="AD256" s="1216"/>
      <c r="AE256" s="1216"/>
      <c r="AF256" s="1216"/>
      <c r="AG256" s="1216"/>
      <c r="AH256" s="1930"/>
      <c r="AI256" s="1930"/>
      <c r="AJ256" s="1930"/>
      <c r="AK256" s="1930"/>
      <c r="AL256" s="1930"/>
      <c r="AM256" s="1930"/>
      <c r="AN256" s="1930"/>
      <c r="AO256" s="1930"/>
      <c r="AP256" s="1930"/>
      <c r="AQ256" s="1930"/>
      <c r="AR256" s="1930"/>
      <c r="AS256" s="1930"/>
      <c r="AT256" s="1930"/>
      <c r="AU256" s="1930"/>
      <c r="AV256" s="1930"/>
      <c r="AW256" s="1930"/>
      <c r="AX256" s="1930"/>
      <c r="AY256" s="1930"/>
      <c r="AZ256" s="1930"/>
      <c r="BA256" s="1930"/>
      <c r="BC256" s="1930"/>
      <c r="BD256" s="1930"/>
      <c r="BE256" s="1930"/>
    </row>
    <row r="257" spans="1:57" ht="18" hidden="1" outlineLevel="1" x14ac:dyDescent="0.25">
      <c r="B257" s="1233"/>
      <c r="C257" s="225"/>
      <c r="D257" s="3241" t="s">
        <v>2482</v>
      </c>
      <c r="E257" s="3246" t="str">
        <f>'HVAC Deemed Table'!E70</f>
        <v>Wisconsin effective full load cooling hours</v>
      </c>
      <c r="F257" s="4388" t="s">
        <v>135</v>
      </c>
      <c r="G257" s="4389"/>
      <c r="H257" s="4390"/>
      <c r="I257" s="1219">
        <v>542.5</v>
      </c>
      <c r="J257" s="2308" t="s">
        <v>285</v>
      </c>
      <c r="K257" s="948"/>
      <c r="L257" s="229"/>
      <c r="M257" s="1214"/>
      <c r="N257" s="229"/>
      <c r="O257" s="4131" t="s">
        <v>2483</v>
      </c>
      <c r="P257" s="4132"/>
      <c r="Q257" s="651">
        <v>0</v>
      </c>
      <c r="R257" s="1220">
        <f>($Q$263/1+Q257)-$Q$262/((1+$Q$265)^($Q$266-1))</f>
        <v>74.327224020150311</v>
      </c>
      <c r="V257" s="3242" t="s">
        <v>2484</v>
      </c>
      <c r="W257" s="1221">
        <v>542.5</v>
      </c>
      <c r="X257" s="1221">
        <v>542.5</v>
      </c>
      <c r="Y257" s="1219">
        <v>542.5</v>
      </c>
      <c r="Z257" s="1219">
        <v>542.5</v>
      </c>
      <c r="AA257" s="1219">
        <v>542.5</v>
      </c>
      <c r="AB257" s="1219">
        <v>542.5</v>
      </c>
      <c r="AC257" s="1219">
        <v>542.5</v>
      </c>
      <c r="AD257" s="1221"/>
      <c r="AE257" s="1221"/>
      <c r="AF257" s="1221"/>
      <c r="AG257" s="1221"/>
      <c r="AH257" s="1930"/>
      <c r="AI257" s="1930"/>
      <c r="AJ257" s="1930"/>
      <c r="AK257" s="1930"/>
      <c r="AL257" s="1930"/>
      <c r="AM257" s="1930"/>
      <c r="AN257" s="1930"/>
      <c r="AO257" s="1930"/>
      <c r="AP257" s="1930"/>
      <c r="AQ257" s="1930"/>
      <c r="AR257" s="1930"/>
      <c r="AS257" s="1930"/>
      <c r="AT257" s="1930"/>
      <c r="AU257" s="1930"/>
      <c r="AV257" s="1930"/>
      <c r="AW257" s="1930"/>
      <c r="AX257" s="1930"/>
      <c r="AY257" s="1930"/>
      <c r="AZ257" s="1930"/>
      <c r="BA257" s="1930"/>
      <c r="BC257" s="1930"/>
      <c r="BD257" s="1930"/>
      <c r="BE257" s="1930"/>
    </row>
    <row r="258" spans="1:57" hidden="1" outlineLevel="1" x14ac:dyDescent="0.25">
      <c r="B258" s="1233"/>
      <c r="C258" s="225"/>
      <c r="D258" s="3175" t="s">
        <v>848</v>
      </c>
      <c r="E258" s="3246" t="s">
        <v>849</v>
      </c>
      <c r="F258" s="4388" t="s">
        <v>135</v>
      </c>
      <c r="G258" s="4389"/>
      <c r="H258" s="4390"/>
      <c r="I258" s="952">
        <v>25</v>
      </c>
      <c r="J258" s="4445" t="s">
        <v>833</v>
      </c>
      <c r="K258" s="4446"/>
      <c r="L258" s="229"/>
      <c r="M258" s="1214"/>
      <c r="N258" s="229"/>
      <c r="R258" s="229"/>
      <c r="V258" s="3175" t="s">
        <v>848</v>
      </c>
      <c r="W258" s="272"/>
      <c r="X258" s="272"/>
      <c r="Y258" s="628">
        <v>25</v>
      </c>
      <c r="Z258" s="952">
        <v>25</v>
      </c>
      <c r="AA258" s="952">
        <v>25</v>
      </c>
      <c r="AB258" s="952">
        <v>25</v>
      </c>
      <c r="AC258" s="952">
        <v>25</v>
      </c>
      <c r="AD258" s="272"/>
      <c r="AE258" s="272"/>
      <c r="AF258" s="272"/>
      <c r="AG258" s="272"/>
      <c r="AH258" s="1930"/>
      <c r="AI258" s="1930"/>
      <c r="AJ258" s="1930"/>
      <c r="AK258" s="1930"/>
      <c r="AL258" s="1930"/>
      <c r="AM258" s="1930"/>
      <c r="AN258" s="1930"/>
      <c r="AO258" s="1930"/>
      <c r="AP258" s="1930"/>
      <c r="AQ258" s="1930"/>
      <c r="AR258" s="1930"/>
      <c r="AS258" s="1930"/>
      <c r="AT258" s="1930"/>
      <c r="AU258" s="1930"/>
      <c r="AV258" s="1930"/>
      <c r="AW258" s="1930"/>
      <c r="AX258" s="1930"/>
      <c r="AY258" s="1930"/>
      <c r="AZ258" s="1930"/>
      <c r="BA258" s="1930"/>
      <c r="BC258" s="1930"/>
      <c r="BD258" s="1930"/>
      <c r="BE258" s="1930"/>
    </row>
    <row r="259" spans="1:57" hidden="1" outlineLevel="1" x14ac:dyDescent="0.25">
      <c r="B259" s="1233"/>
      <c r="C259" s="225"/>
      <c r="D259" s="3175" t="s">
        <v>850</v>
      </c>
      <c r="E259" s="3246" t="s">
        <v>851</v>
      </c>
      <c r="F259" s="4388" t="s">
        <v>135</v>
      </c>
      <c r="G259" s="4389"/>
      <c r="H259" s="4390"/>
      <c r="I259" s="952">
        <v>2960</v>
      </c>
      <c r="J259" s="4447"/>
      <c r="K259" s="4448"/>
      <c r="L259" s="229"/>
      <c r="M259" s="1214"/>
      <c r="N259" s="229"/>
      <c r="R259" s="229"/>
      <c r="V259" s="3175" t="s">
        <v>850</v>
      </c>
      <c r="W259" s="272"/>
      <c r="X259" s="272"/>
      <c r="Y259" s="628">
        <v>2960</v>
      </c>
      <c r="Z259" s="952">
        <v>2960</v>
      </c>
      <c r="AA259" s="952">
        <v>2960</v>
      </c>
      <c r="AB259" s="952">
        <v>2960</v>
      </c>
      <c r="AC259" s="952">
        <v>2960</v>
      </c>
      <c r="AD259" s="272"/>
      <c r="AE259" s="272"/>
      <c r="AF259" s="272"/>
      <c r="AG259" s="272"/>
      <c r="AH259" s="1930"/>
      <c r="AI259" s="1930"/>
      <c r="AJ259" s="1930"/>
      <c r="AK259" s="1930"/>
      <c r="AL259" s="1930"/>
      <c r="AM259" s="1930"/>
      <c r="AN259" s="1930"/>
      <c r="AO259" s="1930"/>
      <c r="AP259" s="1930"/>
      <c r="AQ259" s="1930"/>
      <c r="AR259" s="1930"/>
      <c r="AS259" s="1930"/>
      <c r="AT259" s="1930"/>
      <c r="AU259" s="1930"/>
      <c r="AV259" s="1930"/>
      <c r="AW259" s="1930"/>
      <c r="AX259" s="1930"/>
      <c r="AY259" s="1930"/>
      <c r="AZ259" s="1930"/>
      <c r="BA259" s="1930"/>
      <c r="BC259" s="1930"/>
      <c r="BD259" s="1930"/>
      <c r="BE259" s="1930"/>
    </row>
    <row r="260" spans="1:57" ht="15" hidden="1" customHeight="1" outlineLevel="1" x14ac:dyDescent="0.25">
      <c r="B260" s="1233"/>
      <c r="C260" s="225"/>
      <c r="D260" s="4147" t="s">
        <v>2485</v>
      </c>
      <c r="E260" s="4449" t="s">
        <v>853</v>
      </c>
      <c r="F260" s="4388" t="s">
        <v>854</v>
      </c>
      <c r="G260" s="4389"/>
      <c r="H260" s="4390"/>
      <c r="I260" s="633">
        <v>8.8084612296306403E-2</v>
      </c>
      <c r="J260" s="4444" t="s">
        <v>855</v>
      </c>
      <c r="K260" s="4257"/>
      <c r="L260" s="229"/>
      <c r="M260" s="1214"/>
      <c r="N260" s="229"/>
      <c r="R260" s="229"/>
      <c r="V260" s="4147" t="s">
        <v>2485</v>
      </c>
      <c r="W260" s="272"/>
      <c r="X260" s="272"/>
      <c r="Y260" s="632">
        <v>8.8084612296306403E-2</v>
      </c>
      <c r="Z260" s="633">
        <v>8.8084612296306403E-2</v>
      </c>
      <c r="AA260" s="633">
        <v>8.8084612296306403E-2</v>
      </c>
      <c r="AB260" s="633">
        <v>8.8084612296306403E-2</v>
      </c>
      <c r="AC260" s="633">
        <v>8.8084612296306403E-2</v>
      </c>
      <c r="AD260" s="272"/>
      <c r="AE260" s="272"/>
      <c r="AF260" s="272"/>
      <c r="AG260" s="272"/>
      <c r="AH260" s="1930"/>
      <c r="AI260" s="1930"/>
      <c r="AJ260" s="1930"/>
      <c r="AK260" s="1930"/>
      <c r="AL260" s="1930"/>
      <c r="AM260" s="1930"/>
      <c r="AN260" s="1930"/>
      <c r="AO260" s="1930"/>
      <c r="AP260" s="1930"/>
      <c r="AQ260" s="1930"/>
      <c r="AR260" s="1930"/>
      <c r="AS260" s="1930"/>
      <c r="AT260" s="1930"/>
      <c r="AU260" s="1930"/>
      <c r="AV260" s="1930"/>
      <c r="AW260" s="1930"/>
      <c r="AX260" s="1930"/>
      <c r="AY260" s="1930"/>
      <c r="AZ260" s="1930"/>
      <c r="BA260" s="1930"/>
      <c r="BC260" s="1930"/>
      <c r="BD260" s="1930"/>
      <c r="BE260" s="1930"/>
    </row>
    <row r="261" spans="1:57" hidden="1" outlineLevel="1" x14ac:dyDescent="0.25">
      <c r="B261" s="1233"/>
      <c r="C261" s="225"/>
      <c r="D261" s="4147"/>
      <c r="E261" s="4450"/>
      <c r="F261" s="4388" t="s">
        <v>856</v>
      </c>
      <c r="G261" s="4389"/>
      <c r="H261" s="4390"/>
      <c r="I261" s="633">
        <v>8.8084612296306403E-2</v>
      </c>
      <c r="J261" s="4444" t="s">
        <v>855</v>
      </c>
      <c r="K261" s="4257"/>
      <c r="L261" s="229"/>
      <c r="M261" s="1214"/>
      <c r="N261" s="229"/>
      <c r="O261" s="3923" t="s">
        <v>866</v>
      </c>
      <c r="P261" s="4115"/>
      <c r="Q261" s="3924"/>
      <c r="R261" s="229"/>
      <c r="V261" s="4147"/>
      <c r="W261" s="272"/>
      <c r="X261" s="272"/>
      <c r="Y261" s="632">
        <v>8.8084612296306403E-2</v>
      </c>
      <c r="Z261" s="633">
        <v>8.8084612296306403E-2</v>
      </c>
      <c r="AA261" s="633">
        <v>8.8084612296306403E-2</v>
      </c>
      <c r="AB261" s="633">
        <v>8.8084612296306403E-2</v>
      </c>
      <c r="AC261" s="633">
        <v>8.8084612296306403E-2</v>
      </c>
      <c r="AD261" s="272"/>
      <c r="AE261" s="272"/>
      <c r="AF261" s="272"/>
      <c r="AG261" s="272"/>
      <c r="AH261" s="1930"/>
      <c r="AI261" s="1930"/>
      <c r="AJ261" s="1930"/>
      <c r="AK261" s="1930"/>
      <c r="AL261" s="1930"/>
      <c r="AM261" s="1930"/>
      <c r="AN261" s="1930"/>
      <c r="AO261" s="1930"/>
      <c r="AP261" s="1930"/>
      <c r="AQ261" s="1930"/>
      <c r="AR261" s="1930"/>
      <c r="AS261" s="1930"/>
      <c r="AT261" s="1930"/>
      <c r="AU261" s="1930"/>
      <c r="AV261" s="1930"/>
      <c r="AW261" s="1930"/>
      <c r="AX261" s="1930"/>
      <c r="AY261" s="1930"/>
      <c r="AZ261" s="1930"/>
      <c r="BA261" s="1930"/>
      <c r="BC261" s="1930"/>
      <c r="BD261" s="1930"/>
      <c r="BE261" s="1930"/>
    </row>
    <row r="262" spans="1:57" hidden="1" outlineLevel="1" x14ac:dyDescent="0.25">
      <c r="B262" s="1233"/>
      <c r="C262" s="225"/>
      <c r="D262" s="3175" t="s">
        <v>857</v>
      </c>
      <c r="E262" s="3246" t="s">
        <v>858</v>
      </c>
      <c r="F262" s="4388" t="s">
        <v>135</v>
      </c>
      <c r="G262" s="4389"/>
      <c r="H262" s="4390"/>
      <c r="I262" s="952">
        <v>30</v>
      </c>
      <c r="J262" s="4445" t="s">
        <v>833</v>
      </c>
      <c r="K262" s="4446"/>
      <c r="L262" s="229"/>
      <c r="M262" s="1214"/>
      <c r="N262" s="229"/>
      <c r="O262" s="4111" t="s">
        <v>867</v>
      </c>
      <c r="P262" s="4112"/>
      <c r="Q262" s="658">
        <f>Q263*(1+Q264)^Q266</f>
        <v>534.92714915040006</v>
      </c>
      <c r="R262" s="229"/>
      <c r="V262" s="3175" t="s">
        <v>857</v>
      </c>
      <c r="W262" s="272"/>
      <c r="X262" s="272"/>
      <c r="Y262" s="942">
        <v>30</v>
      </c>
      <c r="Z262" s="946">
        <v>30</v>
      </c>
      <c r="AA262" s="946">
        <v>30</v>
      </c>
      <c r="AB262" s="946">
        <v>30</v>
      </c>
      <c r="AC262" s="946">
        <v>30</v>
      </c>
      <c r="AD262" s="272"/>
      <c r="AE262" s="272"/>
      <c r="AF262" s="272"/>
      <c r="AG262" s="272"/>
      <c r="AH262" s="1930"/>
      <c r="AI262" s="1930"/>
      <c r="AJ262" s="1930"/>
      <c r="AK262" s="1930"/>
      <c r="AL262" s="1930"/>
      <c r="AM262" s="1930"/>
      <c r="AN262" s="1930"/>
      <c r="AO262" s="1930"/>
      <c r="AP262" s="1930"/>
      <c r="AQ262" s="1930"/>
      <c r="AR262" s="1930"/>
      <c r="AS262" s="1930"/>
      <c r="AT262" s="1930"/>
      <c r="AU262" s="1930"/>
      <c r="AV262" s="1930"/>
      <c r="AW262" s="1930"/>
      <c r="AX262" s="1930"/>
      <c r="AY262" s="1930"/>
      <c r="AZ262" s="1930"/>
      <c r="BA262" s="1930"/>
      <c r="BC262" s="1930"/>
      <c r="BD262" s="1930"/>
      <c r="BE262" s="1930"/>
    </row>
    <row r="263" spans="1:57" hidden="1" outlineLevel="1" x14ac:dyDescent="0.25">
      <c r="B263" s="1233"/>
      <c r="C263" s="225"/>
      <c r="D263" s="4441" t="s">
        <v>294</v>
      </c>
      <c r="E263" s="3912" t="str">
        <f>'HVAC Deemed Table'!E76</f>
        <v>65% MF value is not applicable in this case, because it should be based upon pressure drop in the system and many of the components will have the same pressure drop, filters, coils, grills, duct length, etc.</v>
      </c>
      <c r="F263" s="4443" t="s">
        <v>1864</v>
      </c>
      <c r="G263" s="3774"/>
      <c r="H263" s="3774"/>
      <c r="I263" s="1222">
        <v>1</v>
      </c>
      <c r="J263" s="4447"/>
      <c r="K263" s="4448"/>
      <c r="L263" s="229"/>
      <c r="M263" s="1214"/>
      <c r="N263" s="229"/>
      <c r="O263" s="4111" t="s">
        <v>868</v>
      </c>
      <c r="P263" s="4112"/>
      <c r="Q263" s="2670">
        <v>475</v>
      </c>
      <c r="R263" s="1223" t="s">
        <v>869</v>
      </c>
      <c r="V263" s="4442" t="s">
        <v>294</v>
      </c>
      <c r="W263" s="272">
        <v>0.8</v>
      </c>
      <c r="X263" s="272">
        <v>0.8</v>
      </c>
      <c r="Y263" s="269">
        <v>1</v>
      </c>
      <c r="Z263" s="269">
        <v>1</v>
      </c>
      <c r="AA263" s="269">
        <v>1</v>
      </c>
      <c r="AB263" s="269">
        <v>1</v>
      </c>
      <c r="AC263" s="269">
        <v>1</v>
      </c>
      <c r="AD263" s="272"/>
      <c r="AE263" s="272"/>
      <c r="AF263" s="272"/>
      <c r="AG263" s="272"/>
      <c r="AH263" s="1930"/>
      <c r="AI263" s="1930"/>
      <c r="AJ263" s="1930"/>
      <c r="AK263" s="1930"/>
      <c r="AL263" s="1930"/>
      <c r="AM263" s="1930"/>
      <c r="AN263" s="1930"/>
      <c r="AO263" s="1930"/>
      <c r="AP263" s="1930"/>
      <c r="AQ263" s="1930"/>
      <c r="AR263" s="1930"/>
      <c r="AS263" s="1930"/>
      <c r="AT263" s="1930"/>
      <c r="AU263" s="1930"/>
      <c r="AV263" s="1930"/>
      <c r="AW263" s="1930"/>
      <c r="AX263" s="1930"/>
      <c r="AY263" s="1930"/>
      <c r="AZ263" s="1930"/>
      <c r="BA263" s="1930"/>
      <c r="BC263" s="1930"/>
      <c r="BD263" s="1930"/>
      <c r="BE263" s="1930"/>
    </row>
    <row r="264" spans="1:57" hidden="1" outlineLevel="1" x14ac:dyDescent="0.25">
      <c r="B264" s="1233"/>
      <c r="C264" s="225"/>
      <c r="D264" s="4442"/>
      <c r="E264" s="3912"/>
      <c r="F264" s="4443" t="s">
        <v>1865</v>
      </c>
      <c r="G264" s="3774"/>
      <c r="H264" s="3774"/>
      <c r="I264" s="269">
        <v>1</v>
      </c>
      <c r="J264" s="948"/>
      <c r="K264" s="948"/>
      <c r="L264" s="229"/>
      <c r="M264" s="1214"/>
      <c r="N264" s="229"/>
      <c r="O264" s="4111" t="s">
        <v>870</v>
      </c>
      <c r="P264" s="4112"/>
      <c r="Q264" s="660">
        <v>0.02</v>
      </c>
      <c r="R264" s="229"/>
      <c r="V264" s="4442"/>
      <c r="W264" s="272">
        <v>0.8</v>
      </c>
      <c r="X264" s="272">
        <v>0.8</v>
      </c>
      <c r="Y264" s="269">
        <v>1</v>
      </c>
      <c r="Z264" s="269">
        <v>1</v>
      </c>
      <c r="AA264" s="269">
        <v>1</v>
      </c>
      <c r="AB264" s="269">
        <v>1</v>
      </c>
      <c r="AC264" s="269">
        <v>1</v>
      </c>
      <c r="AD264" s="272"/>
      <c r="AE264" s="272"/>
      <c r="AF264" s="272"/>
      <c r="AG264" s="272"/>
      <c r="AH264" s="1930"/>
      <c r="AI264" s="1930"/>
      <c r="AJ264" s="1930"/>
      <c r="AK264" s="1930"/>
      <c r="AL264" s="1930"/>
      <c r="AM264" s="1930"/>
      <c r="AN264" s="1930"/>
      <c r="AO264" s="1930"/>
      <c r="AP264" s="1930"/>
      <c r="AQ264" s="1930"/>
      <c r="AR264" s="1930"/>
      <c r="AS264" s="1930"/>
      <c r="AT264" s="1930"/>
      <c r="AU264" s="1930"/>
      <c r="AV264" s="1930"/>
      <c r="AW264" s="1930"/>
      <c r="AX264" s="1930"/>
      <c r="AY264" s="1930"/>
      <c r="AZ264" s="1930"/>
      <c r="BA264" s="1930"/>
      <c r="BC264" s="1930"/>
      <c r="BD264" s="1930"/>
      <c r="BE264" s="1930"/>
    </row>
    <row r="265" spans="1:57" s="1930" customFormat="1" ht="135" hidden="1" outlineLevel="1" x14ac:dyDescent="0.25">
      <c r="A265" s="123"/>
      <c r="B265" s="1233"/>
      <c r="C265" s="225"/>
      <c r="D265" s="3239" t="s">
        <v>133</v>
      </c>
      <c r="E265" s="3129" t="s">
        <v>860</v>
      </c>
      <c r="F265" s="4388" t="s">
        <v>135</v>
      </c>
      <c r="G265" s="4389"/>
      <c r="H265" s="4390"/>
      <c r="I265" s="269">
        <v>1</v>
      </c>
      <c r="J265" s="2705" t="s">
        <v>2486</v>
      </c>
      <c r="K265" s="948"/>
      <c r="L265" s="229"/>
      <c r="M265" s="1214"/>
      <c r="N265" s="229"/>
      <c r="O265" s="3171" t="s">
        <v>871</v>
      </c>
      <c r="P265" s="3172"/>
      <c r="Q265" s="660">
        <v>5.9499999999999997E-2</v>
      </c>
      <c r="R265" s="229"/>
      <c r="S265" s="123"/>
      <c r="T265" s="123"/>
      <c r="U265" s="123"/>
      <c r="V265" s="3239" t="s">
        <v>133</v>
      </c>
      <c r="W265" s="272"/>
      <c r="X265" s="272"/>
      <c r="Y265" s="269"/>
      <c r="Z265" s="269"/>
      <c r="AA265" s="269"/>
      <c r="AB265" s="273">
        <v>1</v>
      </c>
      <c r="AC265" s="269">
        <v>1</v>
      </c>
      <c r="AD265" s="272"/>
      <c r="AE265" s="272"/>
      <c r="AF265" s="272"/>
      <c r="AG265" s="272"/>
      <c r="BB265" s="950"/>
    </row>
    <row r="266" spans="1:57" hidden="1" outlineLevel="1" x14ac:dyDescent="0.25">
      <c r="A266" s="576"/>
      <c r="B266" s="1233"/>
      <c r="C266" s="267"/>
      <c r="D266" s="4440" t="str">
        <f>D34</f>
        <v>EUL</v>
      </c>
      <c r="E266" s="4440" t="str">
        <f>E34</f>
        <v>End of Useful Life</v>
      </c>
      <c r="F266" s="4110" t="str">
        <f>E227</f>
        <v>ECM Auto Fan Early Replacement ER1 (Full Cost) - MFMR</v>
      </c>
      <c r="G266" s="4110"/>
      <c r="H266" s="4110"/>
      <c r="I266" s="1224">
        <v>6</v>
      </c>
      <c r="J266" s="640"/>
      <c r="K266" s="640" t="s">
        <v>185</v>
      </c>
      <c r="L266" s="229"/>
      <c r="M266" s="1214"/>
      <c r="N266" s="1218"/>
      <c r="O266" s="661" t="s">
        <v>872</v>
      </c>
      <c r="P266" s="662"/>
      <c r="Q266" s="2670">
        <v>6</v>
      </c>
      <c r="R266" s="229"/>
      <c r="V266" s="4440" t="str">
        <f>V34</f>
        <v>EUL</v>
      </c>
      <c r="W266" s="649">
        <v>6</v>
      </c>
      <c r="X266" s="649">
        <v>6</v>
      </c>
      <c r="Y266" s="1224">
        <v>6</v>
      </c>
      <c r="Z266" s="1224">
        <v>6</v>
      </c>
      <c r="AA266" s="1224">
        <v>6</v>
      </c>
      <c r="AB266" s="1224">
        <v>6</v>
      </c>
      <c r="AC266" s="1224">
        <v>6</v>
      </c>
      <c r="AD266" s="649"/>
      <c r="AE266" s="649"/>
      <c r="AF266" s="649"/>
      <c r="AG266" s="649"/>
      <c r="AH266" s="1930"/>
      <c r="AI266" s="1930"/>
      <c r="AJ266" s="1930"/>
      <c r="AK266" s="1930"/>
      <c r="AL266" s="1930"/>
      <c r="AM266" s="1930"/>
      <c r="AN266" s="1930"/>
      <c r="AO266" s="1930"/>
      <c r="AP266" s="1930"/>
      <c r="AQ266" s="1930"/>
      <c r="AR266" s="1930"/>
      <c r="AS266" s="1930"/>
      <c r="AT266" s="1930"/>
      <c r="AU266" s="1930"/>
      <c r="AV266" s="1930"/>
      <c r="AW266" s="1930"/>
      <c r="AX266" s="1930"/>
      <c r="AY266" s="1930"/>
      <c r="AZ266" s="1930"/>
      <c r="BA266" s="1930"/>
      <c r="BC266" s="1930"/>
      <c r="BD266" s="1930"/>
      <c r="BE266" s="1930"/>
    </row>
    <row r="267" spans="1:57" hidden="1" outlineLevel="1" x14ac:dyDescent="0.25">
      <c r="A267" s="576"/>
      <c r="B267" s="1233"/>
      <c r="C267" s="268"/>
      <c r="D267" s="4147"/>
      <c r="E267" s="4147"/>
      <c r="F267" s="4110" t="str">
        <f>E228</f>
        <v>ECM Auto Fan Early Replacement ER2 (Remaining Life) - MFMR</v>
      </c>
      <c r="G267" s="4110"/>
      <c r="H267" s="4110"/>
      <c r="I267" s="3663">
        <v>0</v>
      </c>
      <c r="J267" s="640"/>
      <c r="K267" s="640" t="s">
        <v>185</v>
      </c>
      <c r="L267" s="229"/>
      <c r="M267" s="1214"/>
      <c r="N267" s="1218"/>
      <c r="R267" s="229"/>
      <c r="V267" s="4147"/>
      <c r="W267" s="649">
        <v>12</v>
      </c>
      <c r="X267" s="649">
        <v>12</v>
      </c>
      <c r="Y267" s="1224">
        <v>12</v>
      </c>
      <c r="Z267" s="1224">
        <v>12</v>
      </c>
      <c r="AA267" s="1224">
        <v>12</v>
      </c>
      <c r="AB267" s="1224">
        <v>12</v>
      </c>
      <c r="AC267" s="2923">
        <v>0</v>
      </c>
      <c r="AD267" s="649"/>
      <c r="AE267" s="649"/>
      <c r="AF267" s="649"/>
      <c r="AG267" s="649"/>
      <c r="AH267" s="1930"/>
      <c r="AI267" s="1930"/>
      <c r="AJ267" s="1930"/>
      <c r="AK267" s="1930"/>
      <c r="AL267" s="1930"/>
      <c r="AM267" s="1930"/>
      <c r="AN267" s="1930"/>
      <c r="AO267" s="1930"/>
      <c r="AP267" s="1930"/>
      <c r="AQ267" s="1930"/>
      <c r="AR267" s="1930"/>
      <c r="AS267" s="1930"/>
      <c r="AT267" s="1930"/>
      <c r="AU267" s="1930"/>
      <c r="AV267" s="1930"/>
      <c r="AW267" s="1930"/>
      <c r="AX267" s="1930"/>
      <c r="AY267" s="1930"/>
      <c r="AZ267" s="1930"/>
      <c r="BA267" s="1930"/>
      <c r="BC267" s="1930"/>
      <c r="BD267" s="1930"/>
      <c r="BE267" s="1930"/>
    </row>
    <row r="268" spans="1:57" ht="18" hidden="1" customHeight="1" outlineLevel="1" x14ac:dyDescent="0.25">
      <c r="A268" s="576"/>
      <c r="B268" s="1233"/>
      <c r="C268" s="253"/>
      <c r="D268" s="4438" t="str">
        <f>D35</f>
        <v>Inc. Cost</v>
      </c>
      <c r="E268" s="4438" t="str">
        <f>E35</f>
        <v>Incremental Cost ($)</v>
      </c>
      <c r="F268" s="4110" t="str">
        <f>E227</f>
        <v>ECM Auto Fan Early Replacement ER1 (Full Cost) - MFMR</v>
      </c>
      <c r="G268" s="4110"/>
      <c r="H268" s="4110"/>
      <c r="I268" s="1225">
        <f>R257</f>
        <v>74.327224020150311</v>
      </c>
      <c r="J268" s="640"/>
      <c r="K268" s="640" t="s">
        <v>185</v>
      </c>
      <c r="L268" s="229"/>
      <c r="M268" s="1214"/>
      <c r="N268" s="1218"/>
      <c r="V268" s="4440" t="str">
        <f>V35</f>
        <v>Inc. Cost</v>
      </c>
      <c r="W268" s="659">
        <v>96.828432298395683</v>
      </c>
      <c r="X268" s="659">
        <v>96.828432298395683</v>
      </c>
      <c r="Y268" s="1226">
        <v>74.327224020150311</v>
      </c>
      <c r="Z268" s="1225">
        <v>74.327224020150311</v>
      </c>
      <c r="AA268" s="1225">
        <v>74.327224020150311</v>
      </c>
      <c r="AB268" s="1225">
        <v>74.327224020150311</v>
      </c>
      <c r="AC268" s="1225">
        <v>74.327224020150311</v>
      </c>
      <c r="AD268" s="659"/>
      <c r="AE268" s="659"/>
      <c r="AF268" s="659"/>
      <c r="AG268" s="659"/>
      <c r="AH268" s="1930"/>
      <c r="AI268" s="1930"/>
      <c r="AJ268" s="1930"/>
      <c r="AK268" s="1930"/>
      <c r="AL268" s="1930"/>
      <c r="AM268" s="1930"/>
      <c r="AN268" s="1930"/>
      <c r="AO268" s="1930"/>
      <c r="AP268" s="1930"/>
      <c r="AQ268" s="1930"/>
      <c r="AR268" s="1930"/>
      <c r="AS268" s="1930"/>
      <c r="AT268" s="1930"/>
      <c r="AU268" s="1930"/>
      <c r="AV268" s="1930"/>
      <c r="AW268" s="1930"/>
      <c r="AX268" s="1930"/>
      <c r="AY268" s="1930"/>
      <c r="AZ268" s="1930"/>
      <c r="BA268" s="1930"/>
      <c r="BC268" s="1930"/>
      <c r="BD268" s="1930"/>
      <c r="BE268" s="1930"/>
    </row>
    <row r="269" spans="1:57" hidden="1" outlineLevel="1" x14ac:dyDescent="0.25">
      <c r="A269" s="576"/>
      <c r="B269" s="1038"/>
      <c r="C269" s="225"/>
      <c r="D269" s="3891"/>
      <c r="E269" s="3891"/>
      <c r="F269" s="4110" t="str">
        <f>E228</f>
        <v>ECM Auto Fan Early Replacement ER2 (Remaining Life) - MFMR</v>
      </c>
      <c r="G269" s="4110"/>
      <c r="H269" s="4110"/>
      <c r="I269" s="1225"/>
      <c r="J269" s="640"/>
      <c r="K269" s="640"/>
      <c r="L269" s="229"/>
      <c r="M269" s="1214"/>
      <c r="N269" s="1218"/>
      <c r="O269" s="249"/>
      <c r="P269" s="249"/>
      <c r="Q269" s="249"/>
      <c r="R269" s="249"/>
      <c r="V269" s="3910"/>
      <c r="W269" s="659"/>
      <c r="X269" s="659"/>
      <c r="Y269" s="1225"/>
      <c r="Z269" s="1225"/>
      <c r="AA269" s="1225"/>
      <c r="AB269" s="1225"/>
      <c r="AC269" s="1225"/>
      <c r="AD269" s="659"/>
      <c r="AE269" s="659"/>
      <c r="AF269" s="659"/>
      <c r="AG269" s="659"/>
      <c r="AH269" s="1930"/>
      <c r="AI269" s="1930"/>
      <c r="AJ269" s="1930"/>
      <c r="AK269" s="1930"/>
      <c r="AL269" s="1930"/>
      <c r="AM269" s="1930"/>
      <c r="AN269" s="1930"/>
      <c r="AO269" s="1930"/>
      <c r="AP269" s="1930"/>
      <c r="AQ269" s="1930"/>
      <c r="AR269" s="1930"/>
      <c r="AS269" s="1930"/>
      <c r="AT269" s="1930"/>
      <c r="AU269" s="1930"/>
      <c r="AV269" s="1930"/>
      <c r="AW269" s="1930"/>
      <c r="AX269" s="1930"/>
      <c r="AY269" s="1930"/>
      <c r="AZ269" s="1930"/>
      <c r="BA269" s="1930"/>
      <c r="BC269" s="1930"/>
      <c r="BD269" s="1930"/>
      <c r="BE269" s="1930"/>
    </row>
    <row r="270" spans="1:57" hidden="1" outlineLevel="1" x14ac:dyDescent="0.25">
      <c r="D270" s="828"/>
      <c r="E270" s="828"/>
      <c r="F270" s="576"/>
      <c r="G270" s="576"/>
      <c r="H270" s="576"/>
      <c r="I270" s="576"/>
      <c r="J270" s="576"/>
      <c r="K270" s="576"/>
      <c r="L270" s="228"/>
      <c r="M270" s="228"/>
      <c r="N270" s="228"/>
      <c r="O270" s="576"/>
      <c r="P270" s="576"/>
      <c r="V270" s="1930"/>
      <c r="W270" s="1930"/>
      <c r="X270" s="1930"/>
      <c r="Y270" s="1930"/>
      <c r="Z270" s="1930"/>
      <c r="AA270" s="1930"/>
      <c r="AB270" s="1930"/>
      <c r="AC270" s="1930"/>
      <c r="AD270" s="1930"/>
      <c r="AE270" s="1930"/>
      <c r="AF270" s="1930"/>
      <c r="AG270" s="1930"/>
      <c r="AH270" s="1930"/>
      <c r="AI270" s="1930"/>
      <c r="AJ270" s="1930"/>
      <c r="AK270" s="1930"/>
      <c r="AL270" s="1930"/>
      <c r="AM270" s="1930"/>
      <c r="AN270" s="1930"/>
      <c r="AO270" s="1930"/>
      <c r="AP270" s="1930"/>
      <c r="AQ270" s="1930"/>
      <c r="AR270" s="1930"/>
      <c r="AS270" s="1930"/>
      <c r="AT270" s="1930"/>
      <c r="AU270" s="1930"/>
      <c r="AV270" s="1930"/>
      <c r="AW270" s="1930"/>
      <c r="AX270" s="1930"/>
      <c r="AY270" s="1930"/>
      <c r="AZ270" s="1930"/>
      <c r="BA270" s="1930"/>
      <c r="BC270" s="1930"/>
      <c r="BD270" s="1930"/>
      <c r="BE270" s="1930"/>
    </row>
    <row r="271" spans="1:57" collapsed="1" x14ac:dyDescent="0.25">
      <c r="L271" s="228"/>
      <c r="M271" s="228"/>
      <c r="N271" s="228"/>
      <c r="V271" s="1930"/>
      <c r="W271" s="1930"/>
      <c r="X271" s="1930"/>
      <c r="Y271" s="1930"/>
      <c r="Z271" s="1930"/>
      <c r="AA271" s="1930"/>
      <c r="AB271" s="1930"/>
      <c r="AC271" s="1930"/>
      <c r="AD271" s="1930"/>
      <c r="AE271" s="1930"/>
      <c r="AF271" s="1930"/>
      <c r="AG271" s="1930"/>
      <c r="AH271" s="1930"/>
      <c r="AI271" s="1930"/>
      <c r="AJ271" s="1930"/>
      <c r="AK271" s="1930"/>
      <c r="AL271" s="1930"/>
      <c r="AM271" s="1930"/>
      <c r="AN271" s="1930"/>
      <c r="AO271" s="1930"/>
      <c r="AP271" s="1930"/>
      <c r="AQ271" s="1930"/>
      <c r="AR271" s="1930"/>
      <c r="AS271" s="1930"/>
      <c r="AT271" s="1930"/>
      <c r="AU271" s="1930"/>
      <c r="AV271" s="1930"/>
      <c r="AW271" s="1930"/>
      <c r="AX271" s="1930"/>
      <c r="AY271" s="1930"/>
      <c r="AZ271" s="1930"/>
      <c r="BA271" s="1930"/>
      <c r="BC271" s="1930"/>
      <c r="BD271" s="1930"/>
      <c r="BE271" s="1930"/>
    </row>
    <row r="272" spans="1:57" x14ac:dyDescent="0.25">
      <c r="B272" s="3750" t="s">
        <v>52</v>
      </c>
      <c r="C272" s="3751"/>
      <c r="D272" s="3751"/>
      <c r="E272" s="3751"/>
      <c r="F272" s="3751"/>
      <c r="G272" s="3751"/>
      <c r="H272" s="3751"/>
      <c r="I272" s="3744"/>
      <c r="J272" s="3744"/>
      <c r="K272" s="3744"/>
      <c r="L272" s="3744"/>
      <c r="M272" s="3744"/>
      <c r="N272" s="3744"/>
      <c r="O272" s="3744"/>
      <c r="P272" s="3744"/>
      <c r="Q272" s="3745"/>
      <c r="V272" s="3750" t="str">
        <f>B272</f>
        <v>Lighting</v>
      </c>
      <c r="W272" s="3751"/>
      <c r="X272" s="3751"/>
      <c r="Y272" s="3751"/>
      <c r="Z272" s="3751"/>
      <c r="AA272" s="3751"/>
      <c r="AB272" s="3751"/>
      <c r="AC272" s="3752"/>
      <c r="AD272" s="3752"/>
      <c r="AE272" s="3752"/>
      <c r="AF272" s="3752"/>
      <c r="AG272" s="3752"/>
      <c r="AH272" s="3752"/>
      <c r="AI272" s="3753"/>
      <c r="AJ272" s="1930"/>
      <c r="AK272" s="1930"/>
      <c r="AL272" s="1930"/>
      <c r="AM272" s="1930"/>
      <c r="AN272" s="1930"/>
      <c r="AO272" s="1930"/>
      <c r="AP272" s="1930"/>
      <c r="AQ272" s="1930"/>
      <c r="AR272" s="1930"/>
      <c r="AS272" s="1930"/>
      <c r="AT272" s="1930"/>
      <c r="AU272" s="1930"/>
      <c r="AV272" s="1930"/>
      <c r="AW272" s="1930"/>
      <c r="AX272" s="1930"/>
      <c r="AY272" s="1930"/>
      <c r="AZ272" s="1930"/>
      <c r="BA272" s="1930"/>
      <c r="BC272" s="1930"/>
      <c r="BD272" s="1930"/>
      <c r="BE272" s="1930"/>
    </row>
    <row r="274" spans="1:57" ht="30" x14ac:dyDescent="0.25">
      <c r="C274" s="3086" t="s">
        <v>28</v>
      </c>
      <c r="D274" s="3086" t="s">
        <v>175</v>
      </c>
      <c r="E274" s="3086" t="s">
        <v>30</v>
      </c>
      <c r="F274" s="3086" t="s">
        <v>31</v>
      </c>
      <c r="G274" s="3086" t="s">
        <v>33</v>
      </c>
      <c r="H274" s="3086" t="s">
        <v>34</v>
      </c>
      <c r="I274" s="3086" t="s">
        <v>35</v>
      </c>
      <c r="J274" s="3086" t="s">
        <v>36</v>
      </c>
      <c r="K274" s="3086" t="s">
        <v>37</v>
      </c>
      <c r="L274" s="3086" t="s">
        <v>38</v>
      </c>
      <c r="M274" s="3086" t="s">
        <v>32</v>
      </c>
      <c r="N274" s="3086" t="s">
        <v>41</v>
      </c>
      <c r="O274" s="3086" t="s">
        <v>42</v>
      </c>
      <c r="P274" s="3086" t="s">
        <v>43</v>
      </c>
      <c r="Q274" s="3086" t="s">
        <v>44</v>
      </c>
      <c r="R274" s="576"/>
      <c r="S274" s="576"/>
      <c r="T274" s="576"/>
      <c r="U274" s="576"/>
      <c r="V274" s="1936" t="s">
        <v>45</v>
      </c>
      <c r="W274" s="1937">
        <f>W$6</f>
        <v>43252</v>
      </c>
      <c r="X274" s="1937">
        <f t="shared" ref="X274:AG274" si="63">X$6</f>
        <v>43465</v>
      </c>
      <c r="Y274" s="1937">
        <f t="shared" si="63"/>
        <v>43800</v>
      </c>
      <c r="Z274" s="1937">
        <f t="shared" si="63"/>
        <v>43862</v>
      </c>
      <c r="AA274" s="1937">
        <f t="shared" si="63"/>
        <v>44013</v>
      </c>
      <c r="AB274" s="1937">
        <f t="shared" si="63"/>
        <v>44166</v>
      </c>
      <c r="AC274" s="1937">
        <f t="shared" si="63"/>
        <v>44531</v>
      </c>
      <c r="AD274" s="1937" t="str">
        <f t="shared" si="63"/>
        <v>-</v>
      </c>
      <c r="AE274" s="1937" t="str">
        <f t="shared" si="63"/>
        <v>-</v>
      </c>
      <c r="AF274" s="1937" t="str">
        <f t="shared" si="63"/>
        <v>-</v>
      </c>
      <c r="AG274" s="1937" t="str">
        <f t="shared" si="63"/>
        <v>-</v>
      </c>
      <c r="AH274" s="1930"/>
      <c r="AI274" s="1930"/>
      <c r="AJ274" s="1930"/>
      <c r="AK274" s="1930"/>
      <c r="AL274" s="1930"/>
      <c r="AM274" s="1930"/>
      <c r="AN274" s="1930"/>
      <c r="AO274" s="1930"/>
      <c r="AP274" s="1930"/>
      <c r="AQ274" s="1930"/>
      <c r="AR274" s="1930"/>
      <c r="AS274" s="1930"/>
      <c r="AT274" s="1930"/>
      <c r="AU274" s="1930"/>
      <c r="AV274" s="1930"/>
      <c r="AW274" s="1930"/>
      <c r="AX274" s="1930"/>
      <c r="AY274" s="1930"/>
      <c r="AZ274" s="1930"/>
      <c r="BA274" s="1930"/>
      <c r="BB274" s="1938" t="str">
        <f>$BB$6</f>
        <v>TRC (2020)</v>
      </c>
      <c r="BC274" s="1953" t="str">
        <f>$BC$6</f>
        <v>Benefit Lookup</v>
      </c>
      <c r="BD274" s="665" t="str">
        <f>$BD$6</f>
        <v>Benefits (2019 $)</v>
      </c>
      <c r="BE274" s="230" t="str">
        <f>$BE$6</f>
        <v>Incremental Cost (2019 $)</v>
      </c>
    </row>
    <row r="275" spans="1:57" x14ac:dyDescent="0.25">
      <c r="C275" s="63" t="s">
        <v>2487</v>
      </c>
      <c r="D275" s="2667" t="s">
        <v>2406</v>
      </c>
      <c r="E275" s="3127" t="s">
        <v>60</v>
      </c>
      <c r="F275" s="2162">
        <f>ROUND(K275+L275,2)</f>
        <v>4.1100000000000003</v>
      </c>
      <c r="G275" s="331" t="s">
        <v>54</v>
      </c>
      <c r="H275" s="155">
        <f>VLOOKUP(G275,'CP FACTORS'!$A$3:$B$38, 2, FALSE)</f>
        <v>1.4925290000000001E-4</v>
      </c>
      <c r="I275" s="331" t="s">
        <v>55</v>
      </c>
      <c r="J275" s="155">
        <f>VLOOKUP(I275,'CP FACTORS'!$A$3:$B$38, 2, FALSE)</f>
        <v>1.899635E-4</v>
      </c>
      <c r="K275" s="2718">
        <f t="shared" ref="K275:K289" si="64">(((F304-F321)*$F$338*(1-$F$339)*$F$340*$F$342/1000)*$F$346)</f>
        <v>4.1104694483127764</v>
      </c>
      <c r="L275" s="1224">
        <f t="shared" ref="L275:L289" si="65">(((F304-F321)*$F$338*(1-$F$339)*$F$343*$F$345/1000)*(1-$F$346))</f>
        <v>0</v>
      </c>
      <c r="M275" s="106">
        <f>ROUND(((K275/F275)*H275+(L275/F275)*J275)*F275,6)</f>
        <v>6.1300000000000005E-4</v>
      </c>
      <c r="N275" s="108">
        <v>19</v>
      </c>
      <c r="O275" s="2718">
        <f t="shared" ref="O275:O291" si="66">20000/3351</f>
        <v>5.9683676514473287</v>
      </c>
      <c r="P275" s="1199">
        <v>2.0299999999999998</v>
      </c>
      <c r="Q275" s="2666" t="s">
        <v>185</v>
      </c>
      <c r="V275" s="160" t="s">
        <v>31</v>
      </c>
      <c r="W275" s="1964">
        <v>4.1104694483127764</v>
      </c>
      <c r="X275" s="1964">
        <v>4.1104694483127764</v>
      </c>
      <c r="Y275" s="61">
        <v>4.1100000000000003</v>
      </c>
      <c r="Z275" s="61">
        <v>4.1100000000000003</v>
      </c>
      <c r="AA275" s="61">
        <v>4.1100000000000003</v>
      </c>
      <c r="AB275" s="2231">
        <v>4.1100000000000003</v>
      </c>
      <c r="AC275" s="2162">
        <v>4.1100000000000003</v>
      </c>
      <c r="AD275" s="1964"/>
      <c r="AE275" s="1964"/>
      <c r="AF275" s="1964"/>
      <c r="AG275" s="1964"/>
      <c r="AH275" s="1930"/>
      <c r="AI275" s="1930"/>
      <c r="AJ275" s="1930"/>
      <c r="AK275" s="1930"/>
      <c r="AL275" s="1930"/>
      <c r="AM275" s="1930"/>
      <c r="AN275" s="1930"/>
      <c r="AO275" s="1930"/>
      <c r="AP275" s="1930"/>
      <c r="AQ275" s="1930"/>
      <c r="AR275" s="1930"/>
      <c r="AS275" s="1930"/>
      <c r="AT275" s="1930"/>
      <c r="AU275" s="1930"/>
      <c r="AV275" s="1930"/>
      <c r="AW275" s="1930"/>
      <c r="AX275" s="1930"/>
      <c r="AY275" s="1930"/>
      <c r="AZ275" s="1930"/>
      <c r="BA275" s="1930"/>
      <c r="BB275" s="1945">
        <f t="shared" ref="BB275:BB291" si="67">(BD275)/(BE275)</f>
        <v>1.256579415716806</v>
      </c>
      <c r="BC275" s="3166" t="str">
        <f>CONCATENATE(G275," ",N275," Year EUL")</f>
        <v>Lighting RES 19 Year EUL</v>
      </c>
      <c r="BD275" s="111">
        <f>(INDEX('Avoided Cost Benefits'!$C$4:$C$857,MATCH(BC275,'Avoided Cost Benefits'!$A$4:$A$857,0)))*F275</f>
        <v>2.407603788489963</v>
      </c>
      <c r="BE275" s="1946">
        <f>P275/(1.0595^(2020-2019))</f>
        <v>1.9159981123171304</v>
      </c>
    </row>
    <row r="276" spans="1:57" x14ac:dyDescent="0.25">
      <c r="C276" s="63" t="s">
        <v>2488</v>
      </c>
      <c r="D276" s="2667" t="s">
        <v>2406</v>
      </c>
      <c r="E276" s="3127" t="s">
        <v>62</v>
      </c>
      <c r="F276" s="2162">
        <f t="shared" ref="F276:F289" si="68">ROUND(K276+L276,2)</f>
        <v>23.12</v>
      </c>
      <c r="G276" s="331" t="s">
        <v>54</v>
      </c>
      <c r="H276" s="155">
        <f>VLOOKUP(G276,'CP FACTORS'!$A$3:$B$38, 2, FALSE)</f>
        <v>1.4925290000000001E-4</v>
      </c>
      <c r="I276" s="331" t="s">
        <v>55</v>
      </c>
      <c r="J276" s="155">
        <f>VLOOKUP(I276,'CP FACTORS'!$A$3:$B$38, 2, FALSE)</f>
        <v>1.899635E-4</v>
      </c>
      <c r="K276" s="2718">
        <f t="shared" si="64"/>
        <v>23.121390646759359</v>
      </c>
      <c r="L276" s="1224">
        <f t="shared" si="65"/>
        <v>0</v>
      </c>
      <c r="M276" s="106">
        <f t="shared" ref="M276:M289" si="69">ROUND(((K276/F276)*H276+(L276/F276)*J276)*F276,6)</f>
        <v>3.4510000000000001E-3</v>
      </c>
      <c r="N276" s="108">
        <v>19</v>
      </c>
      <c r="O276" s="2718">
        <f t="shared" si="66"/>
        <v>5.9683676514473287</v>
      </c>
      <c r="P276" s="1199">
        <v>2.0299999999999998</v>
      </c>
      <c r="Q276" s="2666" t="s">
        <v>185</v>
      </c>
      <c r="V276" s="1962" t="s">
        <v>31</v>
      </c>
      <c r="W276" s="1964">
        <v>22.042392416577254</v>
      </c>
      <c r="X276" s="1964">
        <v>22.042392416577254</v>
      </c>
      <c r="Y276" s="61">
        <v>22.04</v>
      </c>
      <c r="Z276" s="61">
        <v>22.04</v>
      </c>
      <c r="AA276" s="61">
        <v>22.04</v>
      </c>
      <c r="AB276" s="425">
        <v>23.12</v>
      </c>
      <c r="AC276" s="2162">
        <v>23.12</v>
      </c>
      <c r="AD276" s="1964"/>
      <c r="AE276" s="1964"/>
      <c r="AF276" s="1964"/>
      <c r="AG276" s="1964"/>
      <c r="AH276" s="1930"/>
      <c r="AI276" s="1930"/>
      <c r="AJ276" s="1930"/>
      <c r="AK276" s="1930"/>
      <c r="AL276" s="1930"/>
      <c r="AM276" s="1930"/>
      <c r="AN276" s="1930"/>
      <c r="AO276" s="1930"/>
      <c r="AP276" s="1930"/>
      <c r="AQ276" s="1930"/>
      <c r="AR276" s="1930"/>
      <c r="AS276" s="1930"/>
      <c r="AT276" s="1930"/>
      <c r="AU276" s="1930"/>
      <c r="AV276" s="1930"/>
      <c r="AW276" s="1930"/>
      <c r="AX276" s="1930"/>
      <c r="AY276" s="1930"/>
      <c r="AZ276" s="1930"/>
      <c r="BA276" s="1930"/>
      <c r="BB276" s="52">
        <f t="shared" si="67"/>
        <v>7.0686413847621781</v>
      </c>
      <c r="BC276" s="1948" t="str">
        <f t="shared" ref="BC276:BC291" si="70">CONCATENATE(G276," ",N276," Year EUL")</f>
        <v>Lighting RES 19 Year EUL</v>
      </c>
      <c r="BD276" s="114">
        <f>(INDEX('Avoided Cost Benefits'!$C$4:$C$857,MATCH(BC276,'Avoided Cost Benefits'!$A$4:$A$857,0)))*F276</f>
        <v>13.54350354985108</v>
      </c>
      <c r="BE276" s="1949">
        <f t="shared" ref="BE276:BE291" si="71">P276/(1.0595^(2020-2019))</f>
        <v>1.9159981123171304</v>
      </c>
    </row>
    <row r="277" spans="1:57" x14ac:dyDescent="0.25">
      <c r="C277" s="63" t="s">
        <v>2489</v>
      </c>
      <c r="D277" s="2667" t="s">
        <v>2406</v>
      </c>
      <c r="E277" s="3127" t="s">
        <v>64</v>
      </c>
      <c r="F277" s="2162">
        <f t="shared" si="68"/>
        <v>5.46</v>
      </c>
      <c r="G277" s="331" t="s">
        <v>54</v>
      </c>
      <c r="H277" s="155">
        <f>VLOOKUP(G277,'CP FACTORS'!$A$3:$B$38, 2, FALSE)</f>
        <v>1.4925290000000001E-4</v>
      </c>
      <c r="I277" s="331" t="s">
        <v>55</v>
      </c>
      <c r="J277" s="155">
        <f>VLOOKUP(I277,'CP FACTORS'!$A$3:$B$38, 2, FALSE)</f>
        <v>1.899635E-4</v>
      </c>
      <c r="K277" s="2718">
        <f t="shared" si="64"/>
        <v>5.4592172360404048</v>
      </c>
      <c r="L277" s="1224">
        <f t="shared" si="65"/>
        <v>0</v>
      </c>
      <c r="M277" s="106">
        <f t="shared" si="69"/>
        <v>8.1499999999999997E-4</v>
      </c>
      <c r="N277" s="108">
        <v>19</v>
      </c>
      <c r="O277" s="2718">
        <f t="shared" si="66"/>
        <v>5.9683676514473287</v>
      </c>
      <c r="P277" s="1199">
        <v>4.1399999999999997</v>
      </c>
      <c r="Q277" s="2666" t="s">
        <v>185</v>
      </c>
      <c r="V277" s="1962" t="s">
        <v>31</v>
      </c>
      <c r="W277" s="1964">
        <v>5.4592172360404048</v>
      </c>
      <c r="X277" s="1964">
        <v>5.4592172360404048</v>
      </c>
      <c r="Y277" s="61">
        <v>5.46</v>
      </c>
      <c r="Z277" s="61">
        <v>5.46</v>
      </c>
      <c r="AA277" s="61">
        <v>5.46</v>
      </c>
      <c r="AB277" s="2231">
        <v>5.46</v>
      </c>
      <c r="AC277" s="2162">
        <v>5.46</v>
      </c>
      <c r="AD277" s="1964"/>
      <c r="AE277" s="1964"/>
      <c r="AF277" s="1964"/>
      <c r="AG277" s="1964"/>
      <c r="AH277" s="1930"/>
      <c r="AI277" s="1930"/>
      <c r="AJ277" s="1930"/>
      <c r="AK277" s="1930"/>
      <c r="AL277" s="1930"/>
      <c r="AM277" s="1930"/>
      <c r="AN277" s="1930"/>
      <c r="AO277" s="1930"/>
      <c r="AP277" s="1930"/>
      <c r="AQ277" s="1930"/>
      <c r="AR277" s="1930"/>
      <c r="AS277" s="1930"/>
      <c r="AT277" s="1930"/>
      <c r="AU277" s="1930"/>
      <c r="AV277" s="1930"/>
      <c r="AW277" s="1930"/>
      <c r="AX277" s="1930"/>
      <c r="AY277" s="1930"/>
      <c r="AZ277" s="1930"/>
      <c r="BA277" s="1930"/>
      <c r="BB277" s="52">
        <f t="shared" si="67"/>
        <v>0.81853350070653241</v>
      </c>
      <c r="BC277" s="1948" t="str">
        <f t="shared" si="70"/>
        <v>Lighting RES 19 Year EUL</v>
      </c>
      <c r="BD277" s="114">
        <f>(INDEX('Avoided Cost Benefits'!$C$4:$C$857,MATCH(BC277,'Avoided Cost Benefits'!$A$4:$A$857,0)))*F277</f>
        <v>3.1984225511326509</v>
      </c>
      <c r="BE277" s="1949">
        <f t="shared" si="71"/>
        <v>3.9075035394053792</v>
      </c>
    </row>
    <row r="278" spans="1:57" x14ac:dyDescent="0.25">
      <c r="C278" s="63" t="s">
        <v>2490</v>
      </c>
      <c r="D278" s="2667" t="s">
        <v>2406</v>
      </c>
      <c r="E278" s="3127" t="s">
        <v>66</v>
      </c>
      <c r="F278" s="2162">
        <f t="shared" si="68"/>
        <v>42.87</v>
      </c>
      <c r="G278" s="331" t="s">
        <v>54</v>
      </c>
      <c r="H278" s="155">
        <f>VLOOKUP(G278,'CP FACTORS'!$A$3:$B$38, 2, FALSE)</f>
        <v>1.4925290000000001E-4</v>
      </c>
      <c r="I278" s="331" t="s">
        <v>55</v>
      </c>
      <c r="J278" s="155">
        <f>VLOOKUP(I278,'CP FACTORS'!$A$3:$B$38, 2, FALSE)</f>
        <v>1.899635E-4</v>
      </c>
      <c r="K278" s="2718">
        <f t="shared" si="64"/>
        <v>42.870911824199645</v>
      </c>
      <c r="L278" s="1224">
        <f t="shared" si="65"/>
        <v>0</v>
      </c>
      <c r="M278" s="106">
        <f>ROUND(((K278/F278)*H278+(L278/F278)*J278)*F278,6)</f>
        <v>6.3990000000000002E-3</v>
      </c>
      <c r="N278" s="108">
        <v>19</v>
      </c>
      <c r="O278" s="2718">
        <f t="shared" si="66"/>
        <v>5.9683676514473287</v>
      </c>
      <c r="P278" s="1199">
        <v>4.1399999999999997</v>
      </c>
      <c r="Q278" s="2666" t="s">
        <v>185</v>
      </c>
      <c r="V278" s="1962" t="s">
        <v>31</v>
      </c>
      <c r="W278" s="1964">
        <v>42.870911824199645</v>
      </c>
      <c r="X278" s="1964">
        <v>42.870911824199645</v>
      </c>
      <c r="Y278" s="61">
        <v>42.87</v>
      </c>
      <c r="Z278" s="61">
        <v>42.87</v>
      </c>
      <c r="AA278" s="61">
        <v>42.87</v>
      </c>
      <c r="AB278" s="2231">
        <v>42.87</v>
      </c>
      <c r="AC278" s="2162">
        <v>42.87</v>
      </c>
      <c r="AD278" s="1964"/>
      <c r="AE278" s="1964"/>
      <c r="AF278" s="1964"/>
      <c r="AG278" s="1964"/>
      <c r="AH278" s="1930"/>
      <c r="AI278" s="1930"/>
      <c r="AJ278" s="1930"/>
      <c r="AK278" s="1930"/>
      <c r="AL278" s="1930"/>
      <c r="AM278" s="1930"/>
      <c r="AN278" s="1930"/>
      <c r="AO278" s="1930"/>
      <c r="AP278" s="1930"/>
      <c r="AQ278" s="1930"/>
      <c r="AR278" s="1930"/>
      <c r="AS278" s="1930"/>
      <c r="AT278" s="1930"/>
      <c r="AU278" s="1930"/>
      <c r="AV278" s="1930"/>
      <c r="AW278" s="1930"/>
      <c r="AX278" s="1930"/>
      <c r="AY278" s="1930"/>
      <c r="AZ278" s="1930"/>
      <c r="BA278" s="1930"/>
      <c r="BB278" s="52">
        <f t="shared" si="67"/>
        <v>6.4268372115914003</v>
      </c>
      <c r="BC278" s="1948" t="str">
        <f t="shared" si="70"/>
        <v>Lighting RES 19 Year EUL</v>
      </c>
      <c r="BD278" s="114">
        <f>(INDEX('Avoided Cost Benefits'!$C$4:$C$857,MATCH(BC278,'Avoided Cost Benefits'!$A$4:$A$857,0)))*F278</f>
        <v>25.112889151475596</v>
      </c>
      <c r="BE278" s="1949">
        <f t="shared" si="71"/>
        <v>3.9075035394053792</v>
      </c>
    </row>
    <row r="279" spans="1:57" x14ac:dyDescent="0.25">
      <c r="C279" s="63" t="s">
        <v>2491</v>
      </c>
      <c r="D279" s="2667" t="s">
        <v>2406</v>
      </c>
      <c r="E279" s="3127" t="s">
        <v>2492</v>
      </c>
      <c r="F279" s="2162">
        <f t="shared" si="68"/>
        <v>22.49</v>
      </c>
      <c r="G279" s="331" t="s">
        <v>54</v>
      </c>
      <c r="H279" s="155">
        <f>VLOOKUP(G279,'CP FACTORS'!$A$3:$B$38, 2, FALSE)</f>
        <v>1.4925290000000001E-4</v>
      </c>
      <c r="I279" s="331" t="s">
        <v>55</v>
      </c>
      <c r="J279" s="155">
        <f>VLOOKUP(I279,'CP FACTORS'!$A$3:$B$38, 2, FALSE)</f>
        <v>1.899635E-4</v>
      </c>
      <c r="K279" s="2718">
        <f t="shared" si="64"/>
        <v>22.491975012486467</v>
      </c>
      <c r="L279" s="1224">
        <f t="shared" si="65"/>
        <v>0</v>
      </c>
      <c r="M279" s="106">
        <f t="shared" si="69"/>
        <v>3.3570000000000002E-3</v>
      </c>
      <c r="N279" s="108">
        <v>19</v>
      </c>
      <c r="O279" s="2718">
        <f t="shared" si="66"/>
        <v>5.9683676514473287</v>
      </c>
      <c r="P279" s="1199">
        <v>4.72</v>
      </c>
      <c r="Q279" s="2666" t="s">
        <v>185</v>
      </c>
      <c r="V279" s="1962" t="s">
        <v>31</v>
      </c>
      <c r="W279" s="1964">
        <v>27.938347031500896</v>
      </c>
      <c r="X279" s="1964">
        <v>22.491975012486467</v>
      </c>
      <c r="Y279" s="61">
        <v>22.49</v>
      </c>
      <c r="Z279" s="61">
        <v>22.49</v>
      </c>
      <c r="AA279" s="61">
        <v>22.49</v>
      </c>
      <c r="AB279" s="2231">
        <v>22.49</v>
      </c>
      <c r="AC279" s="2162">
        <v>22.49</v>
      </c>
      <c r="AD279" s="1964"/>
      <c r="AE279" s="1964"/>
      <c r="AF279" s="1964"/>
      <c r="AG279" s="1964"/>
      <c r="AH279" s="1930"/>
      <c r="AI279" s="1930"/>
      <c r="AJ279" s="1930"/>
      <c r="AK279" s="1930"/>
      <c r="AL279" s="1930"/>
      <c r="AM279" s="1930"/>
      <c r="AN279" s="1930"/>
      <c r="AO279" s="1930"/>
      <c r="AP279" s="1930"/>
      <c r="AQ279" s="1930"/>
      <c r="AR279" s="1930"/>
      <c r="AS279" s="1930"/>
      <c r="AT279" s="1930"/>
      <c r="AU279" s="1930"/>
      <c r="AV279" s="1930"/>
      <c r="AW279" s="1930"/>
      <c r="AX279" s="1930"/>
      <c r="AY279" s="1930"/>
      <c r="AZ279" s="1930"/>
      <c r="BA279" s="1930"/>
      <c r="BB279" s="52">
        <f t="shared" si="67"/>
        <v>2.9572743335150959</v>
      </c>
      <c r="BC279" s="1948" t="str">
        <f t="shared" si="70"/>
        <v>Lighting RES 19 Year EUL</v>
      </c>
      <c r="BD279" s="114">
        <f>(INDEX('Avoided Cost Benefits'!$C$4:$C$857,MATCH(BC279,'Avoided Cost Benefits'!$A$4:$A$857,0)))*F279</f>
        <v>13.174454793951156</v>
      </c>
      <c r="BE279" s="1949">
        <f t="shared" si="71"/>
        <v>4.4549315714959876</v>
      </c>
    </row>
    <row r="280" spans="1:57" x14ac:dyDescent="0.25">
      <c r="C280" s="63" t="s">
        <v>2493</v>
      </c>
      <c r="D280" s="2667" t="s">
        <v>2406</v>
      </c>
      <c r="E280" s="3127" t="s">
        <v>2494</v>
      </c>
      <c r="F280" s="2162">
        <f t="shared" si="68"/>
        <v>5.46</v>
      </c>
      <c r="G280" s="331" t="s">
        <v>54</v>
      </c>
      <c r="H280" s="155">
        <f>VLOOKUP(G280,'CP FACTORS'!$A$3:$B$38, 2, FALSE)</f>
        <v>1.4925290000000001E-4</v>
      </c>
      <c r="I280" s="331" t="s">
        <v>55</v>
      </c>
      <c r="J280" s="155">
        <f>VLOOKUP(I280,'CP FACTORS'!$A$3:$B$38, 2, FALSE)</f>
        <v>1.899635E-4</v>
      </c>
      <c r="K280" s="2718">
        <f t="shared" si="64"/>
        <v>5.4592172360404048</v>
      </c>
      <c r="L280" s="1224">
        <f t="shared" si="65"/>
        <v>0</v>
      </c>
      <c r="M280" s="106">
        <f t="shared" si="69"/>
        <v>8.1499999999999997E-4</v>
      </c>
      <c r="N280" s="108">
        <v>19</v>
      </c>
      <c r="O280" s="2718">
        <f t="shared" si="66"/>
        <v>5.9683676514473287</v>
      </c>
      <c r="P280" s="1199">
        <v>4.72</v>
      </c>
      <c r="Q280" s="2666" t="s">
        <v>185</v>
      </c>
      <c r="V280" s="1962" t="s">
        <v>31</v>
      </c>
      <c r="W280" s="1964">
        <v>5.4592172360404048</v>
      </c>
      <c r="X280" s="1964">
        <v>5.4592172360404048</v>
      </c>
      <c r="Y280" s="61">
        <v>5.46</v>
      </c>
      <c r="Z280" s="61">
        <v>5.46</v>
      </c>
      <c r="AA280" s="61">
        <v>5.46</v>
      </c>
      <c r="AB280" s="2231">
        <v>5.46</v>
      </c>
      <c r="AC280" s="2162">
        <v>5.46</v>
      </c>
      <c r="AD280" s="1964"/>
      <c r="AE280" s="1964"/>
      <c r="AF280" s="1964"/>
      <c r="AG280" s="1964"/>
      <c r="AH280" s="1930"/>
      <c r="AI280" s="1930"/>
      <c r="AJ280" s="1930"/>
      <c r="AK280" s="1930"/>
      <c r="AL280" s="1930"/>
      <c r="AM280" s="1930"/>
      <c r="AN280" s="1930"/>
      <c r="AO280" s="1930"/>
      <c r="AP280" s="1930"/>
      <c r="AQ280" s="1930"/>
      <c r="AR280" s="1930"/>
      <c r="AS280" s="1930"/>
      <c r="AT280" s="1930"/>
      <c r="AU280" s="1930"/>
      <c r="AV280" s="1930"/>
      <c r="AW280" s="1930"/>
      <c r="AX280" s="1930"/>
      <c r="AY280" s="1930"/>
      <c r="AZ280" s="1930"/>
      <c r="BA280" s="1930"/>
      <c r="BB280" s="52">
        <f t="shared" si="67"/>
        <v>0.71795099426378062</v>
      </c>
      <c r="BC280" s="1948" t="str">
        <f t="shared" si="70"/>
        <v>Lighting RES 19 Year EUL</v>
      </c>
      <c r="BD280" s="114">
        <f>(INDEX('Avoided Cost Benefits'!$C$4:$C$857,MATCH(BC280,'Avoided Cost Benefits'!$A$4:$A$857,0)))*F280</f>
        <v>3.1984225511326509</v>
      </c>
      <c r="BE280" s="1949">
        <f t="shared" si="71"/>
        <v>4.4549315714959876</v>
      </c>
    </row>
    <row r="281" spans="1:57" x14ac:dyDescent="0.25">
      <c r="C281" s="63" t="s">
        <v>2495</v>
      </c>
      <c r="D281" s="2667" t="s">
        <v>2406</v>
      </c>
      <c r="E281" s="3127" t="s">
        <v>68</v>
      </c>
      <c r="F281" s="2162">
        <f t="shared" si="68"/>
        <v>27.23</v>
      </c>
      <c r="G281" s="331" t="s">
        <v>54</v>
      </c>
      <c r="H281" s="155">
        <f>VLOOKUP(G281,'CP FACTORS'!$A$3:$B$38, 2, FALSE)</f>
        <v>1.4925290000000001E-4</v>
      </c>
      <c r="I281" s="331" t="s">
        <v>55</v>
      </c>
      <c r="J281" s="155">
        <f>VLOOKUP(I281,'CP FACTORS'!$A$3:$B$38, 2, FALSE)</f>
        <v>1.899635E-4</v>
      </c>
      <c r="K281" s="2718">
        <f t="shared" si="64"/>
        <v>27.231860095072133</v>
      </c>
      <c r="L281" s="1224">
        <f t="shared" si="65"/>
        <v>0</v>
      </c>
      <c r="M281" s="106">
        <f>ROUND(((K281/F281)*H281+(L281/F281)*J281)*F281,6)</f>
        <v>4.0639999999999999E-3</v>
      </c>
      <c r="N281" s="108">
        <v>19</v>
      </c>
      <c r="O281" s="2718">
        <f t="shared" si="66"/>
        <v>5.9683676514473287</v>
      </c>
      <c r="P281" s="1199">
        <v>6.27</v>
      </c>
      <c r="Q281" s="2666" t="s">
        <v>185</v>
      </c>
      <c r="V281" s="1962" t="s">
        <v>31</v>
      </c>
      <c r="W281" s="1964">
        <v>27.231860095072133</v>
      </c>
      <c r="X281" s="1964">
        <v>27.231860095072133</v>
      </c>
      <c r="Y281" s="61">
        <v>27.23</v>
      </c>
      <c r="Z281" s="61">
        <v>27.23</v>
      </c>
      <c r="AA281" s="61">
        <v>27.23</v>
      </c>
      <c r="AB281" s="2231">
        <v>27.23</v>
      </c>
      <c r="AC281" s="2162">
        <v>27.23</v>
      </c>
      <c r="AD281" s="1964"/>
      <c r="AE281" s="1964"/>
      <c r="AF281" s="1964"/>
      <c r="AG281" s="1964"/>
      <c r="AH281" s="1930"/>
      <c r="AI281" s="1930"/>
      <c r="AJ281" s="1930"/>
      <c r="AK281" s="1930"/>
      <c r="AL281" s="1930"/>
      <c r="AM281" s="1930"/>
      <c r="AN281" s="1930"/>
      <c r="AO281" s="1930"/>
      <c r="AP281" s="1930"/>
      <c r="AQ281" s="1930"/>
      <c r="AR281" s="1930"/>
      <c r="AS281" s="1930"/>
      <c r="AT281" s="1930"/>
      <c r="AU281" s="1930"/>
      <c r="AV281" s="1930"/>
      <c r="AW281" s="1930"/>
      <c r="AX281" s="1930"/>
      <c r="AY281" s="1930"/>
      <c r="AZ281" s="1930"/>
      <c r="BA281" s="1930"/>
      <c r="BB281" s="52">
        <f t="shared" si="67"/>
        <v>2.6954064154660826</v>
      </c>
      <c r="BC281" s="1948" t="str">
        <f t="shared" si="70"/>
        <v>Lighting RES 19 Year EUL</v>
      </c>
      <c r="BD281" s="114">
        <f>(INDEX('Avoided Cost Benefits'!$C$4:$C$857,MATCH(BC281,'Avoided Cost Benefits'!$A$4:$A$857,0)))*F281</f>
        <v>15.951107338341043</v>
      </c>
      <c r="BE281" s="1949">
        <f t="shared" si="71"/>
        <v>5.9178857951864074</v>
      </c>
    </row>
    <row r="282" spans="1:57" x14ac:dyDescent="0.25">
      <c r="C282" s="63" t="s">
        <v>2496</v>
      </c>
      <c r="D282" s="2667" t="s">
        <v>2406</v>
      </c>
      <c r="E282" s="3127" t="s">
        <v>70</v>
      </c>
      <c r="F282" s="2162">
        <f t="shared" si="68"/>
        <v>5.33</v>
      </c>
      <c r="G282" s="331" t="s">
        <v>54</v>
      </c>
      <c r="H282" s="155">
        <f>VLOOKUP(G282,'CP FACTORS'!$A$3:$B$38, 2, FALSE)</f>
        <v>1.4925290000000001E-4</v>
      </c>
      <c r="I282" s="331" t="s">
        <v>55</v>
      </c>
      <c r="J282" s="155">
        <f>VLOOKUP(I282,'CP FACTORS'!$A$3:$B$38, 2, FALSE)</f>
        <v>1.899635E-4</v>
      </c>
      <c r="K282" s="2718">
        <f t="shared" si="64"/>
        <v>5.3307650657806303</v>
      </c>
      <c r="L282" s="1224">
        <f t="shared" si="65"/>
        <v>0</v>
      </c>
      <c r="M282" s="106">
        <f t="shared" si="69"/>
        <v>7.9600000000000005E-4</v>
      </c>
      <c r="N282" s="108">
        <v>19</v>
      </c>
      <c r="O282" s="2718">
        <f t="shared" si="66"/>
        <v>5.9683676514473287</v>
      </c>
      <c r="P282" s="1199">
        <v>6.27</v>
      </c>
      <c r="Q282" s="2666" t="s">
        <v>185</v>
      </c>
      <c r="V282" s="1962" t="s">
        <v>31</v>
      </c>
      <c r="W282" s="1964">
        <v>5.3307650657806303</v>
      </c>
      <c r="X282" s="1964">
        <v>5.3307650657806303</v>
      </c>
      <c r="Y282" s="61">
        <v>5.33</v>
      </c>
      <c r="Z282" s="61">
        <v>5.33</v>
      </c>
      <c r="AA282" s="61">
        <v>5.33</v>
      </c>
      <c r="AB282" s="2231">
        <v>5.33</v>
      </c>
      <c r="AC282" s="2162">
        <v>5.33</v>
      </c>
      <c r="AD282" s="1964"/>
      <c r="AE282" s="1964"/>
      <c r="AF282" s="1964"/>
      <c r="AG282" s="1964"/>
      <c r="AH282" s="1930"/>
      <c r="AI282" s="1930"/>
      <c r="AJ282" s="1930"/>
      <c r="AK282" s="1930"/>
      <c r="AL282" s="1930"/>
      <c r="AM282" s="1930"/>
      <c r="AN282" s="1930"/>
      <c r="AO282" s="1930"/>
      <c r="AP282" s="1930"/>
      <c r="AQ282" s="1930"/>
      <c r="AR282" s="1930"/>
      <c r="AS282" s="1930"/>
      <c r="AT282" s="1930"/>
      <c r="AU282" s="1930"/>
      <c r="AV282" s="1930"/>
      <c r="AW282" s="1930"/>
      <c r="AX282" s="1930"/>
      <c r="AY282" s="1930"/>
      <c r="AZ282" s="1930"/>
      <c r="BA282" s="1930"/>
      <c r="BB282" s="52">
        <f t="shared" si="67"/>
        <v>0.52759883196600144</v>
      </c>
      <c r="BC282" s="1948" t="str">
        <f t="shared" si="70"/>
        <v>Lighting RES 19 Year EUL</v>
      </c>
      <c r="BD282" s="114">
        <f>(INDEX('Avoided Cost Benefits'!$C$4:$C$857,MATCH(BC282,'Avoided Cost Benefits'!$A$4:$A$857,0)))*F282</f>
        <v>3.1222696332485405</v>
      </c>
      <c r="BE282" s="1949">
        <f t="shared" si="71"/>
        <v>5.9178857951864074</v>
      </c>
    </row>
    <row r="283" spans="1:57" x14ac:dyDescent="0.25">
      <c r="C283" s="63" t="s">
        <v>2497</v>
      </c>
      <c r="D283" s="2667" t="s">
        <v>2406</v>
      </c>
      <c r="E283" s="3127" t="s">
        <v>86</v>
      </c>
      <c r="F283" s="2162">
        <f t="shared" si="68"/>
        <v>36.61</v>
      </c>
      <c r="G283" s="331" t="s">
        <v>54</v>
      </c>
      <c r="H283" s="155">
        <f>VLOOKUP(G283,'CP FACTORS'!$A$3:$B$38, 2, FALSE)</f>
        <v>1.4925290000000001E-4</v>
      </c>
      <c r="I283" s="331" t="s">
        <v>55</v>
      </c>
      <c r="J283" s="155">
        <f>VLOOKUP(I283,'CP FACTORS'!$A$3:$B$38, 2, FALSE)</f>
        <v>1.899635E-4</v>
      </c>
      <c r="K283" s="2718">
        <f t="shared" si="64"/>
        <v>36.60886852403565</v>
      </c>
      <c r="L283" s="1224">
        <f t="shared" si="65"/>
        <v>0</v>
      </c>
      <c r="M283" s="106">
        <f t="shared" si="69"/>
        <v>5.4640000000000001E-3</v>
      </c>
      <c r="N283" s="108">
        <v>19</v>
      </c>
      <c r="O283" s="2718">
        <f t="shared" si="66"/>
        <v>5.9683676514473287</v>
      </c>
      <c r="P283" s="1199">
        <v>7.83</v>
      </c>
      <c r="Q283" s="2666" t="s">
        <v>185</v>
      </c>
      <c r="V283" s="1962" t="s">
        <v>31</v>
      </c>
      <c r="W283" s="1964">
        <v>36.60886852403565</v>
      </c>
      <c r="X283" s="1964">
        <v>36.60886852403565</v>
      </c>
      <c r="Y283" s="61">
        <v>36.61</v>
      </c>
      <c r="Z283" s="61">
        <v>36.61</v>
      </c>
      <c r="AA283" s="61">
        <v>36.61</v>
      </c>
      <c r="AB283" s="2231">
        <v>36.61</v>
      </c>
      <c r="AC283" s="2162">
        <v>36.61</v>
      </c>
      <c r="AD283" s="1964"/>
      <c r="AE283" s="1964"/>
      <c r="AF283" s="1964"/>
      <c r="AG283" s="1964"/>
      <c r="AH283" s="1930"/>
      <c r="AI283" s="1930"/>
      <c r="AJ283" s="1930"/>
      <c r="AK283" s="1930"/>
      <c r="AL283" s="1930"/>
      <c r="AM283" s="1930"/>
      <c r="AN283" s="1930"/>
      <c r="AO283" s="1930"/>
      <c r="AP283" s="1930"/>
      <c r="AQ283" s="1930"/>
      <c r="AR283" s="1930"/>
      <c r="AS283" s="1930"/>
      <c r="AT283" s="1930"/>
      <c r="AU283" s="1930"/>
      <c r="AV283" s="1930"/>
      <c r="AW283" s="1930"/>
      <c r="AX283" s="1930"/>
      <c r="AY283" s="1930"/>
      <c r="AZ283" s="1930"/>
      <c r="BA283" s="1930"/>
      <c r="BB283" s="52">
        <f t="shared" si="67"/>
        <v>2.9018978720892656</v>
      </c>
      <c r="BC283" s="1948" t="str">
        <f t="shared" si="70"/>
        <v>Lighting RES 19 Year EUL</v>
      </c>
      <c r="BD283" s="114">
        <f>(INDEX('Avoided Cost Benefits'!$C$4:$C$857,MATCH(BC283,'Avoided Cost Benefits'!$A$4:$A$857,0)))*F283</f>
        <v>21.445833259517649</v>
      </c>
      <c r="BE283" s="1949">
        <f t="shared" si="71"/>
        <v>7.3902784332232176</v>
      </c>
    </row>
    <row r="284" spans="1:57" x14ac:dyDescent="0.25">
      <c r="C284" s="63" t="s">
        <v>2498</v>
      </c>
      <c r="D284" s="2667" t="s">
        <v>2406</v>
      </c>
      <c r="E284" s="3127" t="s">
        <v>84</v>
      </c>
      <c r="F284" s="2162">
        <f t="shared" si="68"/>
        <v>6.29</v>
      </c>
      <c r="G284" s="331" t="s">
        <v>54</v>
      </c>
      <c r="H284" s="155">
        <f>VLOOKUP(G284,'CP FACTORS'!$A$3:$B$38, 2, FALSE)</f>
        <v>1.4925290000000001E-4</v>
      </c>
      <c r="I284" s="331" t="s">
        <v>55</v>
      </c>
      <c r="J284" s="155">
        <f>VLOOKUP(I284,'CP FACTORS'!$A$3:$B$38, 2, FALSE)</f>
        <v>1.899635E-4</v>
      </c>
      <c r="K284" s="2718">
        <f t="shared" si="64"/>
        <v>6.2941563427289378</v>
      </c>
      <c r="L284" s="1224">
        <f t="shared" si="65"/>
        <v>0</v>
      </c>
      <c r="M284" s="106">
        <f>ROUND(((K284/F284)*H284+(L284/F284)*J284)*F284,6)</f>
        <v>9.3899999999999995E-4</v>
      </c>
      <c r="N284" s="108">
        <v>19</v>
      </c>
      <c r="O284" s="2718">
        <f t="shared" si="66"/>
        <v>5.9683676514473287</v>
      </c>
      <c r="P284" s="1199">
        <v>7.83</v>
      </c>
      <c r="Q284" s="2666" t="s">
        <v>185</v>
      </c>
      <c r="V284" s="1962" t="s">
        <v>31</v>
      </c>
      <c r="W284" s="1964">
        <v>6.2941563427289378</v>
      </c>
      <c r="X284" s="1964">
        <v>6.2941563427289378</v>
      </c>
      <c r="Y284" s="61">
        <v>6.29</v>
      </c>
      <c r="Z284" s="61">
        <v>6.29</v>
      </c>
      <c r="AA284" s="61">
        <v>6.29</v>
      </c>
      <c r="AB284" s="2231">
        <v>6.29</v>
      </c>
      <c r="AC284" s="2162">
        <v>6.29</v>
      </c>
      <c r="AD284" s="1964"/>
      <c r="AE284" s="1964"/>
      <c r="AF284" s="1964"/>
      <c r="AG284" s="1964"/>
      <c r="AH284" s="1930"/>
      <c r="AI284" s="1930"/>
      <c r="AJ284" s="1930"/>
      <c r="AK284" s="1930"/>
      <c r="AL284" s="1930"/>
      <c r="AM284" s="1930"/>
      <c r="AN284" s="1930"/>
      <c r="AO284" s="1930"/>
      <c r="AP284" s="1930"/>
      <c r="AQ284" s="1930"/>
      <c r="AR284" s="1930"/>
      <c r="AS284" s="1930"/>
      <c r="AT284" s="1930"/>
      <c r="AU284" s="1930"/>
      <c r="AV284" s="1930"/>
      <c r="AW284" s="1930"/>
      <c r="AX284" s="1930"/>
      <c r="AY284" s="1930"/>
      <c r="AZ284" s="1930"/>
      <c r="BA284" s="1930"/>
      <c r="BB284" s="52">
        <f t="shared" si="67"/>
        <v>0.49857791902325815</v>
      </c>
      <c r="BC284" s="1948" t="str">
        <f t="shared" si="70"/>
        <v>Lighting RES 19 Year EUL</v>
      </c>
      <c r="BD284" s="114">
        <f>(INDEX('Avoided Cost Benefits'!$C$4:$C$857,MATCH(BC284,'Avoided Cost Benefits'!$A$4:$A$857,0)))*F284</f>
        <v>3.6846296422388964</v>
      </c>
      <c r="BE284" s="1949">
        <f t="shared" si="71"/>
        <v>7.3902784332232176</v>
      </c>
    </row>
    <row r="285" spans="1:57" s="1930" customFormat="1" x14ac:dyDescent="0.25">
      <c r="A285" s="123"/>
      <c r="B285" s="123"/>
      <c r="C285" s="63" t="s">
        <v>2499</v>
      </c>
      <c r="D285" s="2667" t="s">
        <v>2406</v>
      </c>
      <c r="E285" s="3127" t="s">
        <v>2500</v>
      </c>
      <c r="F285" s="2162">
        <f t="shared" si="68"/>
        <v>34.68</v>
      </c>
      <c r="G285" s="331" t="s">
        <v>54</v>
      </c>
      <c r="H285" s="155">
        <f>VLOOKUP(G285,'CP FACTORS'!$A$3:$B$38, 2, FALSE)</f>
        <v>1.4925290000000001E-4</v>
      </c>
      <c r="I285" s="331" t="s">
        <v>55</v>
      </c>
      <c r="J285" s="155">
        <f>VLOOKUP(I285,'CP FACTORS'!$A$3:$B$38, 2, FALSE)</f>
        <v>1.899635E-4</v>
      </c>
      <c r="K285" s="2718">
        <f t="shared" si="64"/>
        <v>34.682085970139042</v>
      </c>
      <c r="L285" s="1224">
        <f t="shared" si="65"/>
        <v>0</v>
      </c>
      <c r="M285" s="106">
        <f>ROUND(((K285/F285)*H285+(L285/F285)*J285)*F285,6)</f>
        <v>5.176E-3</v>
      </c>
      <c r="N285" s="108">
        <v>19</v>
      </c>
      <c r="O285" s="2718">
        <f t="shared" si="66"/>
        <v>5.9683676514473287</v>
      </c>
      <c r="P285" s="1199">
        <v>1.66</v>
      </c>
      <c r="Q285" s="2666" t="s">
        <v>185</v>
      </c>
      <c r="R285" s="123"/>
      <c r="S285" s="123"/>
      <c r="T285" s="123"/>
      <c r="U285" s="123"/>
      <c r="V285" s="1962" t="s">
        <v>31</v>
      </c>
      <c r="W285" s="1964"/>
      <c r="X285" s="1964"/>
      <c r="Y285" s="61"/>
      <c r="Z285" s="61"/>
      <c r="AA285" s="61"/>
      <c r="AB285" s="425">
        <v>34.68</v>
      </c>
      <c r="AC285" s="2162">
        <v>34.68</v>
      </c>
      <c r="AD285" s="1964"/>
      <c r="AE285" s="1964"/>
      <c r="AF285" s="1964"/>
      <c r="AG285" s="1964"/>
      <c r="BB285" s="52">
        <f t="shared" ref="BB285:BB290" si="72">(BD285)/(BE285)</f>
        <v>12.966272901566766</v>
      </c>
      <c r="BC285" s="1948" t="str">
        <f t="shared" ref="BC285:BC290" si="73">CONCATENATE(G285," ",N285," Year EUL")</f>
        <v>Lighting RES 19 Year EUL</v>
      </c>
      <c r="BD285" s="114">
        <f>(INDEX('Avoided Cost Benefits'!$C$4:$C$857,MATCH(BC285,'Avoided Cost Benefits'!$A$4:$A$857,0)))*F285</f>
        <v>20.315255324776619</v>
      </c>
      <c r="BE285" s="1949">
        <f t="shared" ref="BE285:BE289" si="74">P285/(1.0595^(2020-2019))</f>
        <v>1.5667767815007076</v>
      </c>
    </row>
    <row r="286" spans="1:57" s="1930" customFormat="1" x14ac:dyDescent="0.25">
      <c r="A286" s="123"/>
      <c r="B286" s="123"/>
      <c r="C286" s="63" t="s">
        <v>2501</v>
      </c>
      <c r="D286" s="2667" t="s">
        <v>2406</v>
      </c>
      <c r="E286" s="3127" t="s">
        <v>72</v>
      </c>
      <c r="F286" s="2162">
        <f t="shared" si="68"/>
        <v>5.07</v>
      </c>
      <c r="G286" s="331" t="s">
        <v>54</v>
      </c>
      <c r="H286" s="155">
        <f>VLOOKUP(G286,'CP FACTORS'!$A$3:$B$38, 2, FALSE)</f>
        <v>1.4925290000000001E-4</v>
      </c>
      <c r="I286" s="331" t="s">
        <v>55</v>
      </c>
      <c r="J286" s="155">
        <f>VLOOKUP(I286,'CP FACTORS'!$A$3:$B$38, 2, FALSE)</f>
        <v>1.899635E-4</v>
      </c>
      <c r="K286" s="2718">
        <f t="shared" si="64"/>
        <v>5.0667244935799838</v>
      </c>
      <c r="L286" s="1224">
        <f t="shared" si="65"/>
        <v>0</v>
      </c>
      <c r="M286" s="106">
        <f>ROUND(((K286/F286)*H286+(L286/F286)*J286)*F286,6)</f>
        <v>7.5600000000000005E-4</v>
      </c>
      <c r="N286" s="108">
        <v>19</v>
      </c>
      <c r="O286" s="2718">
        <f t="shared" si="66"/>
        <v>5.9683676514473287</v>
      </c>
      <c r="P286" s="1199">
        <v>1.66</v>
      </c>
      <c r="Q286" s="2666" t="s">
        <v>185</v>
      </c>
      <c r="R286" s="123"/>
      <c r="S286" s="123"/>
      <c r="T286" s="123"/>
      <c r="U286" s="123"/>
      <c r="V286" s="1962" t="s">
        <v>31</v>
      </c>
      <c r="W286" s="1964"/>
      <c r="X286" s="1964"/>
      <c r="Y286" s="61"/>
      <c r="Z286" s="61"/>
      <c r="AA286" s="61"/>
      <c r="AB286" s="425">
        <v>5.07</v>
      </c>
      <c r="AC286" s="2162">
        <v>5.07</v>
      </c>
      <c r="AD286" s="1964"/>
      <c r="AE286" s="1964"/>
      <c r="AF286" s="1964"/>
      <c r="AG286" s="1964"/>
      <c r="BB286" s="52">
        <f t="shared" si="72"/>
        <v>1.8955883394159028</v>
      </c>
      <c r="BC286" s="1948" t="str">
        <f t="shared" si="73"/>
        <v>Lighting RES 19 Year EUL</v>
      </c>
      <c r="BD286" s="114">
        <f>(INDEX('Avoided Cost Benefits'!$C$4:$C$857,MATCH(BC286,'Avoided Cost Benefits'!$A$4:$A$857,0)))*F286</f>
        <v>2.969963797480319</v>
      </c>
      <c r="BE286" s="1949">
        <f t="shared" si="74"/>
        <v>1.5667767815007076</v>
      </c>
    </row>
    <row r="287" spans="1:57" x14ac:dyDescent="0.25">
      <c r="C287" s="63" t="s">
        <v>2502</v>
      </c>
      <c r="D287" s="2667" t="s">
        <v>2406</v>
      </c>
      <c r="E287" s="3127" t="s">
        <v>78</v>
      </c>
      <c r="F287" s="2162">
        <f t="shared" si="68"/>
        <v>32.31</v>
      </c>
      <c r="G287" s="331" t="s">
        <v>54</v>
      </c>
      <c r="H287" s="155">
        <f>VLOOKUP(G287,'CP FACTORS'!$A$3:$B$38, 2, FALSE)</f>
        <v>1.4925290000000001E-4</v>
      </c>
      <c r="I287" s="331" t="s">
        <v>55</v>
      </c>
      <c r="J287" s="155">
        <f>VLOOKUP(I287,'CP FACTORS'!$A$3:$B$38, 2, FALSE)</f>
        <v>1.899635E-4</v>
      </c>
      <c r="K287" s="2718">
        <f t="shared" si="64"/>
        <v>32.305720820333214</v>
      </c>
      <c r="L287" s="1224">
        <f t="shared" si="65"/>
        <v>0</v>
      </c>
      <c r="M287" s="106">
        <f t="shared" si="69"/>
        <v>4.8219999999999999E-3</v>
      </c>
      <c r="N287" s="108">
        <v>19</v>
      </c>
      <c r="O287" s="2718">
        <f t="shared" si="66"/>
        <v>5.9683676514473287</v>
      </c>
      <c r="P287" s="1199">
        <v>3.05</v>
      </c>
      <c r="Q287" s="2666" t="s">
        <v>185</v>
      </c>
      <c r="V287" s="1962" t="s">
        <v>31</v>
      </c>
      <c r="W287" s="1964">
        <v>32.691077331112538</v>
      </c>
      <c r="X287" s="1964">
        <v>32.305720820333214</v>
      </c>
      <c r="Y287" s="61">
        <v>32.31</v>
      </c>
      <c r="Z287" s="61">
        <v>32.31</v>
      </c>
      <c r="AA287" s="61">
        <v>32.31</v>
      </c>
      <c r="AB287" s="2231">
        <v>32.31</v>
      </c>
      <c r="AC287" s="2162">
        <v>32.31</v>
      </c>
      <c r="AD287" s="1964"/>
      <c r="AE287" s="1964"/>
      <c r="AF287" s="1964"/>
      <c r="AG287" s="1964"/>
      <c r="AH287" s="1930"/>
      <c r="AI287" s="1930"/>
      <c r="AJ287" s="1930"/>
      <c r="AK287" s="1930"/>
      <c r="AL287" s="1930"/>
      <c r="AM287" s="1930"/>
      <c r="AN287" s="1930"/>
      <c r="AO287" s="1930"/>
      <c r="AP287" s="1930"/>
      <c r="AQ287" s="1930"/>
      <c r="AR287" s="1930"/>
      <c r="AS287" s="1930"/>
      <c r="AT287" s="1930"/>
      <c r="AU287" s="1930"/>
      <c r="AV287" s="1930"/>
      <c r="AW287" s="1930"/>
      <c r="AX287" s="1930"/>
      <c r="AY287" s="1930"/>
      <c r="AZ287" s="1930"/>
      <c r="BA287" s="1930"/>
      <c r="BB287" s="52">
        <f t="shared" si="72"/>
        <v>6.5747807643312424</v>
      </c>
      <c r="BC287" s="1948" t="str">
        <f t="shared" si="73"/>
        <v>Lighting RES 19 Year EUL</v>
      </c>
      <c r="BD287" s="114">
        <f>(INDEX('Avoided Cost Benefits'!$C$4:$C$857,MATCH(BC287,'Avoided Cost Benefits'!$A$4:$A$857,0)))*F287</f>
        <v>18.926929052581677</v>
      </c>
      <c r="BE287" s="1949">
        <f t="shared" si="74"/>
        <v>2.8787163756488905</v>
      </c>
    </row>
    <row r="288" spans="1:57" x14ac:dyDescent="0.25">
      <c r="C288" s="63" t="s">
        <v>2503</v>
      </c>
      <c r="D288" s="2667" t="s">
        <v>2406</v>
      </c>
      <c r="E288" s="3127" t="s">
        <v>76</v>
      </c>
      <c r="F288" s="2162">
        <f t="shared" si="68"/>
        <v>3.08</v>
      </c>
      <c r="G288" s="331" t="s">
        <v>54</v>
      </c>
      <c r="H288" s="155">
        <f>VLOOKUP(G288,'CP FACTORS'!$A$3:$B$38, 2, FALSE)</f>
        <v>1.4925290000000001E-4</v>
      </c>
      <c r="I288" s="331" t="s">
        <v>55</v>
      </c>
      <c r="J288" s="155">
        <f>VLOOKUP(I288,'CP FACTORS'!$A$3:$B$38, 2, FALSE)</f>
        <v>1.899635E-4</v>
      </c>
      <c r="K288" s="2718">
        <f t="shared" si="64"/>
        <v>3.0828520862345816</v>
      </c>
      <c r="L288" s="1224">
        <f t="shared" si="65"/>
        <v>0</v>
      </c>
      <c r="M288" s="106">
        <f t="shared" si="69"/>
        <v>4.6000000000000001E-4</v>
      </c>
      <c r="N288" s="108">
        <v>19</v>
      </c>
      <c r="O288" s="2718">
        <f t="shared" si="66"/>
        <v>5.9683676514473287</v>
      </c>
      <c r="P288" s="1199">
        <v>3.05</v>
      </c>
      <c r="Q288" s="2666" t="s">
        <v>185</v>
      </c>
      <c r="V288" s="1962" t="s">
        <v>31</v>
      </c>
      <c r="W288" s="1964">
        <v>3.0828520862345816</v>
      </c>
      <c r="X288" s="1964">
        <v>3.0828520862345816</v>
      </c>
      <c r="Y288" s="61">
        <v>3.08</v>
      </c>
      <c r="Z288" s="61">
        <v>3.08</v>
      </c>
      <c r="AA288" s="61">
        <v>3.08</v>
      </c>
      <c r="AB288" s="2231">
        <v>3.08</v>
      </c>
      <c r="AC288" s="2162">
        <v>3.08</v>
      </c>
      <c r="AD288" s="1964"/>
      <c r="AE288" s="1964"/>
      <c r="AF288" s="1964"/>
      <c r="AG288" s="1964"/>
      <c r="AH288" s="1930"/>
      <c r="AI288" s="1930"/>
      <c r="AJ288" s="1930"/>
      <c r="AK288" s="1930"/>
      <c r="AL288" s="1930"/>
      <c r="AM288" s="1930"/>
      <c r="AN288" s="1930"/>
      <c r="AO288" s="1930"/>
      <c r="AP288" s="1930"/>
      <c r="AQ288" s="1930"/>
      <c r="AR288" s="1930"/>
      <c r="AS288" s="1930"/>
      <c r="AT288" s="1930"/>
      <c r="AU288" s="1930"/>
      <c r="AV288" s="1930"/>
      <c r="AW288" s="1930"/>
      <c r="AX288" s="1930"/>
      <c r="AY288" s="1930"/>
      <c r="AZ288" s="1930"/>
      <c r="BA288" s="1930"/>
      <c r="BB288" s="52">
        <f t="shared" si="72"/>
        <v>0.62675099827113057</v>
      </c>
      <c r="BC288" s="1948" t="str">
        <f t="shared" si="73"/>
        <v>Lighting RES 19 Year EUL</v>
      </c>
      <c r="BD288" s="114">
        <f>(INDEX('Avoided Cost Benefits'!$C$4:$C$857,MATCH(BC288,'Avoided Cost Benefits'!$A$4:$A$857,0)))*F288</f>
        <v>1.804238362177393</v>
      </c>
      <c r="BE288" s="1949">
        <f t="shared" si="74"/>
        <v>2.8787163756488905</v>
      </c>
    </row>
    <row r="289" spans="1:57" s="1930" customFormat="1" x14ac:dyDescent="0.25">
      <c r="A289" s="123"/>
      <c r="B289" s="123"/>
      <c r="C289" s="63" t="s">
        <v>2504</v>
      </c>
      <c r="D289" s="2667" t="s">
        <v>2406</v>
      </c>
      <c r="E289" s="3127" t="s">
        <v>2505</v>
      </c>
      <c r="F289" s="2162">
        <f t="shared" si="68"/>
        <v>14.77</v>
      </c>
      <c r="G289" s="331" t="s">
        <v>54</v>
      </c>
      <c r="H289" s="155">
        <f>VLOOKUP(G289,'CP FACTORS'!$A$3:$B$38, 2, FALSE)</f>
        <v>1.4925290000000001E-4</v>
      </c>
      <c r="I289" s="331" t="s">
        <v>55</v>
      </c>
      <c r="J289" s="155">
        <f>VLOOKUP(I289,'CP FACTORS'!$A$3:$B$38, 2, FALSE)</f>
        <v>1.899635E-4</v>
      </c>
      <c r="K289" s="2718">
        <f t="shared" si="64"/>
        <v>14.771999579874034</v>
      </c>
      <c r="L289" s="1224">
        <f t="shared" si="65"/>
        <v>0</v>
      </c>
      <c r="M289" s="106">
        <f t="shared" si="69"/>
        <v>2.2049999999999999E-3</v>
      </c>
      <c r="N289" s="108">
        <v>19</v>
      </c>
      <c r="O289" s="2718">
        <f t="shared" si="66"/>
        <v>5.9683676514473287</v>
      </c>
      <c r="P289" s="1199">
        <v>2.0299999999999998</v>
      </c>
      <c r="Q289" s="2666" t="s">
        <v>185</v>
      </c>
      <c r="R289" s="123"/>
      <c r="S289" s="123"/>
      <c r="T289" s="123"/>
      <c r="U289" s="123"/>
      <c r="V289" s="1962" t="s">
        <v>31</v>
      </c>
      <c r="W289" s="1964"/>
      <c r="X289" s="1964"/>
      <c r="Y289" s="61"/>
      <c r="Z289" s="61"/>
      <c r="AA289" s="61"/>
      <c r="AB289" s="425">
        <v>14.77</v>
      </c>
      <c r="AC289" s="2162">
        <v>14.77</v>
      </c>
      <c r="AD289" s="1964"/>
      <c r="AE289" s="1964"/>
      <c r="AF289" s="1964"/>
      <c r="AG289" s="1964"/>
      <c r="BB289" s="52">
        <f t="shared" si="72"/>
        <v>4.5157367323934849</v>
      </c>
      <c r="BC289" s="1948" t="str">
        <f t="shared" si="73"/>
        <v>Lighting RES 19 Year EUL</v>
      </c>
      <c r="BD289" s="114">
        <f>(INDEX('Avoided Cost Benefits'!$C$4:$C$857,MATCH(BC289,'Avoided Cost Benefits'!$A$4:$A$857,0)))*F289</f>
        <v>8.6521430549870431</v>
      </c>
      <c r="BE289" s="1949">
        <f t="shared" si="74"/>
        <v>1.9159981123171304</v>
      </c>
    </row>
    <row r="290" spans="1:57" s="1930" customFormat="1" x14ac:dyDescent="0.25">
      <c r="A290" s="123"/>
      <c r="B290" s="123"/>
      <c r="C290" s="1975" t="s">
        <v>2506</v>
      </c>
      <c r="D290" s="2734" t="s">
        <v>2406</v>
      </c>
      <c r="E290" s="2922" t="s">
        <v>2507</v>
      </c>
      <c r="F290" s="425">
        <f t="shared" ref="F290:F291" si="75">ROUND(K290+L290,2)</f>
        <v>3.7</v>
      </c>
      <c r="G290" s="2720" t="s">
        <v>54</v>
      </c>
      <c r="H290" s="2867">
        <f>VLOOKUP(G290,'CP FACTORS'!$A$3:$B$38, 2, FALSE)</f>
        <v>1.4925290000000001E-4</v>
      </c>
      <c r="I290" s="2720" t="s">
        <v>55</v>
      </c>
      <c r="J290" s="2867">
        <f>VLOOKUP(I290,'CP FACTORS'!$A$3:$B$38, 2, FALSE)</f>
        <v>1.899635E-4</v>
      </c>
      <c r="K290" s="117">
        <f t="shared" ref="K290" si="76">(((F319-F336)*$F$338*(1-$F$339)*$F$340*$F$342/1000)*$F$346)</f>
        <v>3.7037042424901574</v>
      </c>
      <c r="L290" s="2923">
        <f t="shared" ref="L290" si="77">(((F319-F336)*$F$338*(1-$F$339)*$F$343*$F$345/1000)*(1-$F$346))</f>
        <v>0</v>
      </c>
      <c r="M290" s="2869">
        <f t="shared" ref="M290:M291" si="78">ROUND(((K290/F290)*H290+(L290/F290)*J290)*F290,6)</f>
        <v>5.53E-4</v>
      </c>
      <c r="N290" s="116">
        <v>19</v>
      </c>
      <c r="O290" s="117">
        <f t="shared" si="66"/>
        <v>5.9683676514473287</v>
      </c>
      <c r="P290" s="1796">
        <v>2.0299999999999998</v>
      </c>
      <c r="Q290" s="2032" t="s">
        <v>185</v>
      </c>
      <c r="R290" s="123"/>
      <c r="S290" s="123"/>
      <c r="T290" s="123"/>
      <c r="U290" s="123"/>
      <c r="V290" s="1958" t="s">
        <v>31</v>
      </c>
      <c r="W290" s="1964"/>
      <c r="X290" s="1964"/>
      <c r="Y290" s="61"/>
      <c r="Z290" s="61"/>
      <c r="AA290" s="61"/>
      <c r="AB290" s="425"/>
      <c r="AC290" s="425">
        <v>3.7</v>
      </c>
      <c r="AD290" s="1964"/>
      <c r="AE290" s="1964"/>
      <c r="AF290" s="1964"/>
      <c r="AG290" s="1964"/>
      <c r="BB290" s="52">
        <f t="shared" si="72"/>
        <v>1.1312272112292412</v>
      </c>
      <c r="BC290" s="1948" t="str">
        <f t="shared" si="73"/>
        <v>Lighting RES 19 Year EUL</v>
      </c>
      <c r="BD290" s="114">
        <f>(INDEX('Avoided Cost Benefits'!$C$4:$C$857,MATCH(BC290,'Avoided Cost Benefits'!$A$4:$A$857,0)))*F290</f>
        <v>2.167429201316998</v>
      </c>
      <c r="BE290" s="1949">
        <f t="shared" ref="BE290" si="79">P290/(1.0595^(2020-2019))</f>
        <v>1.9159981123171304</v>
      </c>
    </row>
    <row r="291" spans="1:57" x14ac:dyDescent="0.25">
      <c r="C291" s="1975" t="s">
        <v>2147</v>
      </c>
      <c r="D291" s="2667" t="s">
        <v>2406</v>
      </c>
      <c r="E291" s="3246" t="s">
        <v>105</v>
      </c>
      <c r="F291" s="425">
        <f t="shared" si="75"/>
        <v>27.18</v>
      </c>
      <c r="G291" s="331" t="s">
        <v>54</v>
      </c>
      <c r="H291" s="155">
        <f>VLOOKUP(G291,'CP FACTORS'!$A$3:$B$38, 2, FALSE)</f>
        <v>1.4925290000000001E-4</v>
      </c>
      <c r="I291" s="331" t="s">
        <v>55</v>
      </c>
      <c r="J291" s="155">
        <f>VLOOKUP(I291,'CP FACTORS'!$A$3:$B$38, 2, FALSE)</f>
        <v>1.899635E-4</v>
      </c>
      <c r="K291" s="117">
        <f>(((F320-F337)*$F$338*(1-$F$339)*$F$341*$F$342/1000)*$F$346)</f>
        <v>27.177774970752232</v>
      </c>
      <c r="L291" s="2923">
        <f>(((F320-F337)*$F$338*(1-$F$339)*$F$344*$F$345/1000)*(1-$F$346))</f>
        <v>0</v>
      </c>
      <c r="M291" s="106">
        <f t="shared" si="78"/>
        <v>4.0559999999999997E-3</v>
      </c>
      <c r="N291" s="108">
        <v>19</v>
      </c>
      <c r="O291" s="2718">
        <f t="shared" si="66"/>
        <v>5.9683676514473287</v>
      </c>
      <c r="P291" s="1796">
        <v>3.35</v>
      </c>
      <c r="Q291" s="2666" t="s">
        <v>185</v>
      </c>
      <c r="V291" s="1962" t="s">
        <v>31</v>
      </c>
      <c r="W291" s="1964">
        <v>22</v>
      </c>
      <c r="X291" s="1964">
        <v>22</v>
      </c>
      <c r="Y291" s="61">
        <v>22</v>
      </c>
      <c r="Z291" s="61">
        <v>22</v>
      </c>
      <c r="AA291" s="61">
        <v>22</v>
      </c>
      <c r="AB291" s="2231">
        <v>22</v>
      </c>
      <c r="AC291" s="425">
        <v>27.18</v>
      </c>
      <c r="AD291" s="1964"/>
      <c r="AE291" s="1964"/>
      <c r="AF291" s="1964"/>
      <c r="AG291" s="1964"/>
      <c r="AH291" s="1930"/>
      <c r="AI291" s="1930"/>
      <c r="AJ291" s="1930"/>
      <c r="AK291" s="1930"/>
      <c r="AL291" s="1930"/>
      <c r="AM291" s="1930"/>
      <c r="AN291" s="1930"/>
      <c r="AO291" s="1930"/>
      <c r="AP291" s="1930"/>
      <c r="AQ291" s="1930"/>
      <c r="AR291" s="1930"/>
      <c r="AS291" s="1930"/>
      <c r="AT291" s="1930"/>
      <c r="AU291" s="1930"/>
      <c r="AV291" s="1930"/>
      <c r="AW291" s="1930"/>
      <c r="AX291" s="1930"/>
      <c r="AY291" s="1930"/>
      <c r="AZ291" s="1930"/>
      <c r="BA291" s="1930"/>
      <c r="BB291" s="53">
        <f t="shared" si="67"/>
        <v>5.0355719137118085</v>
      </c>
      <c r="BC291" s="1948" t="str">
        <f t="shared" si="70"/>
        <v>Lighting RES 19 Year EUL</v>
      </c>
      <c r="BD291" s="119">
        <f>(INDEX('Avoided Cost Benefits'!$C$4:$C$857,MATCH(BC291,'Avoided Cost Benefits'!$A$4:$A$857,0)))*F291</f>
        <v>15.921817754539461</v>
      </c>
      <c r="BE291" s="1950">
        <f t="shared" si="71"/>
        <v>3.1618688060405851</v>
      </c>
    </row>
    <row r="292" spans="1:57" hidden="1" outlineLevel="1" x14ac:dyDescent="0.25">
      <c r="D292" s="530"/>
      <c r="E292" s="1113"/>
      <c r="F292" s="685"/>
      <c r="G292" s="1724"/>
      <c r="H292" s="1227"/>
      <c r="I292" s="1762"/>
      <c r="J292" s="123" t="s">
        <v>107</v>
      </c>
      <c r="L292" s="1727"/>
      <c r="M292" s="685"/>
      <c r="V292" s="1930"/>
      <c r="W292" s="1930"/>
      <c r="X292" s="1930"/>
      <c r="Y292" s="1930"/>
      <c r="Z292" s="1930"/>
      <c r="AA292" s="1930"/>
      <c r="AB292" s="1930"/>
      <c r="AC292" s="1930"/>
      <c r="AD292" s="1930"/>
      <c r="AE292" s="1930"/>
      <c r="AF292" s="1930"/>
      <c r="AG292" s="1930"/>
      <c r="AH292" s="1930"/>
      <c r="AI292" s="1930"/>
      <c r="AJ292" s="1930"/>
      <c r="AK292" s="1930"/>
      <c r="AL292" s="1930"/>
      <c r="AM292" s="1930"/>
      <c r="AN292" s="1930"/>
      <c r="AO292" s="1930"/>
      <c r="AP292" s="1930"/>
      <c r="AQ292" s="1930"/>
      <c r="AR292" s="1930"/>
      <c r="AS292" s="1930"/>
      <c r="AT292" s="1930"/>
      <c r="AU292" s="1930"/>
      <c r="AV292" s="1930"/>
      <c r="AW292" s="1930"/>
      <c r="AX292" s="1930"/>
      <c r="AY292" s="1930"/>
      <c r="AZ292" s="1930"/>
      <c r="BA292" s="1930"/>
      <c r="BC292" s="1930"/>
      <c r="BD292" s="1930"/>
      <c r="BE292" s="1930"/>
    </row>
    <row r="293" spans="1:57" hidden="1" outlineLevel="1" x14ac:dyDescent="0.25">
      <c r="D293" s="530"/>
      <c r="E293" s="477" t="s">
        <v>2508</v>
      </c>
      <c r="L293" s="1727"/>
      <c r="M293" s="685"/>
      <c r="V293" s="1930"/>
      <c r="W293" s="1930"/>
      <c r="X293" s="1930"/>
      <c r="Y293" s="1930"/>
      <c r="Z293" s="1930"/>
      <c r="AA293" s="1930"/>
      <c r="AB293" s="1930"/>
      <c r="AC293" s="1930"/>
      <c r="AD293" s="1930"/>
      <c r="AE293" s="1930"/>
      <c r="AF293" s="1930"/>
      <c r="AG293" s="1930"/>
      <c r="AH293" s="1930"/>
      <c r="AI293" s="1930"/>
      <c r="AJ293" s="1930"/>
      <c r="AK293" s="1930"/>
      <c r="AL293" s="1930"/>
      <c r="AM293" s="1930"/>
      <c r="AN293" s="1930"/>
      <c r="AO293" s="1930"/>
      <c r="AP293" s="1930"/>
      <c r="AQ293" s="1930"/>
      <c r="AR293" s="1930"/>
      <c r="AS293" s="1930"/>
      <c r="AT293" s="1930"/>
      <c r="AU293" s="1930"/>
      <c r="AV293" s="1930"/>
      <c r="AW293" s="1930"/>
      <c r="AX293" s="1930"/>
      <c r="AY293" s="1930"/>
      <c r="AZ293" s="1930"/>
      <c r="BA293" s="1930"/>
      <c r="BC293" s="1930"/>
      <c r="BD293" s="1930"/>
      <c r="BE293" s="1930"/>
    </row>
    <row r="294" spans="1:57" hidden="1" outlineLevel="1" x14ac:dyDescent="0.25">
      <c r="D294" s="530"/>
      <c r="L294" s="1727"/>
      <c r="M294" s="685"/>
      <c r="V294" s="1930"/>
      <c r="W294" s="1930"/>
      <c r="X294" s="1930"/>
      <c r="Y294" s="1930"/>
      <c r="Z294" s="1930"/>
      <c r="AA294" s="1930"/>
      <c r="AB294" s="1930"/>
      <c r="AC294" s="1930"/>
      <c r="AD294" s="1930"/>
      <c r="AE294" s="1930"/>
      <c r="AF294" s="1930"/>
      <c r="AG294" s="1930"/>
      <c r="AH294" s="1930"/>
      <c r="AI294" s="1930"/>
      <c r="AJ294" s="1930"/>
      <c r="AK294" s="1930"/>
      <c r="AL294" s="1930"/>
      <c r="AM294" s="1930"/>
      <c r="AN294" s="1930"/>
      <c r="AO294" s="1930"/>
      <c r="AP294" s="1930"/>
      <c r="AQ294" s="1930"/>
      <c r="AR294" s="1930"/>
      <c r="AS294" s="1930"/>
      <c r="AT294" s="1930"/>
      <c r="AU294" s="1930"/>
      <c r="AV294" s="1930"/>
      <c r="AW294" s="1930"/>
      <c r="AX294" s="1930"/>
      <c r="AY294" s="1930"/>
      <c r="AZ294" s="1930"/>
      <c r="BA294" s="1930"/>
      <c r="BC294" s="1930"/>
      <c r="BD294" s="1930"/>
      <c r="BE294" s="1930"/>
    </row>
    <row r="295" spans="1:57" hidden="1" outlineLevel="1" x14ac:dyDescent="0.25">
      <c r="D295" s="530"/>
      <c r="L295" s="1727"/>
      <c r="M295" s="685"/>
      <c r="V295" s="1930"/>
      <c r="W295" s="1930"/>
      <c r="X295" s="1930"/>
      <c r="Y295" s="1930"/>
      <c r="Z295" s="1930"/>
      <c r="AA295" s="1930"/>
      <c r="AB295" s="1930"/>
      <c r="AC295" s="1930"/>
      <c r="AD295" s="1930"/>
      <c r="AE295" s="1930"/>
      <c r="AF295" s="1930"/>
      <c r="AG295" s="1930"/>
      <c r="AH295" s="1930"/>
      <c r="AI295" s="1930"/>
      <c r="AJ295" s="1930"/>
      <c r="AK295" s="1930"/>
      <c r="AL295" s="1930"/>
      <c r="AM295" s="1930"/>
      <c r="AN295" s="1930"/>
      <c r="AO295" s="1930"/>
      <c r="AP295" s="1930"/>
      <c r="AQ295" s="1930"/>
      <c r="AR295" s="1930"/>
      <c r="AS295" s="1930"/>
      <c r="AT295" s="1930"/>
      <c r="AU295" s="1930"/>
      <c r="AV295" s="1930"/>
      <c r="AW295" s="1930"/>
      <c r="AX295" s="1930"/>
      <c r="AY295" s="1930"/>
      <c r="AZ295" s="1930"/>
      <c r="BA295" s="1930"/>
      <c r="BC295" s="1930"/>
      <c r="BD295" s="1930"/>
      <c r="BE295" s="1930"/>
    </row>
    <row r="296" spans="1:57" hidden="1" outlineLevel="1" x14ac:dyDescent="0.25">
      <c r="D296" s="530"/>
      <c r="L296" s="1727"/>
      <c r="M296" s="685"/>
      <c r="V296" s="1930"/>
      <c r="W296" s="1930"/>
      <c r="X296" s="1930"/>
      <c r="Y296" s="1930"/>
      <c r="Z296" s="1930"/>
      <c r="AA296" s="1930"/>
      <c r="AB296" s="1930"/>
      <c r="AC296" s="1930"/>
      <c r="AD296" s="1930"/>
      <c r="AE296" s="1930"/>
      <c r="AF296" s="1930"/>
      <c r="AG296" s="1930"/>
      <c r="AH296" s="1930"/>
      <c r="AI296" s="1930"/>
      <c r="AJ296" s="1930"/>
      <c r="AK296" s="1930"/>
      <c r="AL296" s="1930"/>
      <c r="AM296" s="1930"/>
      <c r="AN296" s="1930"/>
      <c r="AO296" s="1930"/>
      <c r="AP296" s="1930"/>
      <c r="AQ296" s="1930"/>
      <c r="AR296" s="1930"/>
      <c r="AS296" s="1930"/>
      <c r="AT296" s="1930"/>
      <c r="AU296" s="1930"/>
      <c r="AV296" s="1930"/>
      <c r="AW296" s="1930"/>
      <c r="AX296" s="1930"/>
      <c r="AY296" s="1930"/>
      <c r="AZ296" s="1930"/>
      <c r="BA296" s="1930"/>
      <c r="BC296" s="1930"/>
      <c r="BD296" s="1930"/>
      <c r="BE296" s="1930"/>
    </row>
    <row r="297" spans="1:57" hidden="1" outlineLevel="1" x14ac:dyDescent="0.25">
      <c r="D297" s="530"/>
      <c r="L297" s="1727"/>
      <c r="M297" s="685"/>
      <c r="V297" s="1930"/>
      <c r="W297" s="1930"/>
      <c r="X297" s="1930"/>
      <c r="Y297" s="1930"/>
      <c r="Z297" s="1930"/>
      <c r="AA297" s="1930"/>
      <c r="AB297" s="1930"/>
      <c r="AC297" s="1930"/>
      <c r="AD297" s="1930"/>
      <c r="AE297" s="1930"/>
      <c r="AF297" s="1930"/>
      <c r="AG297" s="1930"/>
      <c r="AH297" s="1930"/>
      <c r="AI297" s="1930"/>
      <c r="AJ297" s="1930"/>
      <c r="AK297" s="1930"/>
      <c r="AL297" s="1930"/>
      <c r="AM297" s="1930"/>
      <c r="AN297" s="1930"/>
      <c r="AO297" s="1930"/>
      <c r="AP297" s="1930"/>
      <c r="AQ297" s="1930"/>
      <c r="AR297" s="1930"/>
      <c r="AS297" s="1930"/>
      <c r="AT297" s="1930"/>
      <c r="AU297" s="1930"/>
      <c r="AV297" s="1930"/>
      <c r="AW297" s="1930"/>
      <c r="AX297" s="1930"/>
      <c r="AY297" s="1930"/>
      <c r="AZ297" s="1930"/>
      <c r="BA297" s="1930"/>
      <c r="BC297" s="1930"/>
      <c r="BD297" s="1930"/>
      <c r="BE297" s="1930"/>
    </row>
    <row r="298" spans="1:57" hidden="1" outlineLevel="1" x14ac:dyDescent="0.25">
      <c r="D298" s="530"/>
      <c r="L298" s="1727"/>
      <c r="M298" s="685"/>
      <c r="V298" s="1930"/>
      <c r="W298" s="1930"/>
      <c r="X298" s="1930"/>
      <c r="Y298" s="1930"/>
      <c r="Z298" s="1930"/>
      <c r="AA298" s="1930"/>
      <c r="AB298" s="1930"/>
      <c r="AC298" s="1930"/>
      <c r="AD298" s="1930"/>
      <c r="AE298" s="1930"/>
      <c r="AF298" s="1930"/>
      <c r="AG298" s="1930"/>
      <c r="AH298" s="1930"/>
      <c r="AI298" s="1930"/>
      <c r="AJ298" s="1930"/>
      <c r="AK298" s="1930"/>
      <c r="AL298" s="1930"/>
      <c r="AM298" s="1930"/>
      <c r="AN298" s="1930"/>
      <c r="AO298" s="1930"/>
      <c r="AP298" s="1930"/>
      <c r="AQ298" s="1930"/>
      <c r="AR298" s="1930"/>
      <c r="AS298" s="1930"/>
      <c r="AT298" s="1930"/>
      <c r="AU298" s="1930"/>
      <c r="AV298" s="1930"/>
      <c r="AW298" s="1930"/>
      <c r="AX298" s="1930"/>
      <c r="AY298" s="1930"/>
      <c r="AZ298" s="1930"/>
      <c r="BA298" s="1930"/>
      <c r="BC298" s="1930"/>
      <c r="BD298" s="1930"/>
      <c r="BE298" s="1930"/>
    </row>
    <row r="299" spans="1:57" hidden="1" outlineLevel="1" x14ac:dyDescent="0.25">
      <c r="D299" s="530"/>
      <c r="L299" s="1727"/>
      <c r="M299" s="685"/>
      <c r="V299" s="1930"/>
      <c r="W299" s="1930"/>
      <c r="X299" s="1930"/>
      <c r="Y299" s="1930"/>
      <c r="Z299" s="1930"/>
      <c r="AA299" s="1930"/>
      <c r="AB299" s="1930"/>
      <c r="AC299" s="1930"/>
      <c r="AD299" s="1930"/>
      <c r="AE299" s="1930"/>
      <c r="AF299" s="1930"/>
      <c r="AG299" s="1930"/>
      <c r="AH299" s="1930"/>
      <c r="AI299" s="1930"/>
      <c r="AJ299" s="1930"/>
      <c r="AK299" s="1930"/>
      <c r="AL299" s="1930"/>
      <c r="AM299" s="1930"/>
      <c r="AN299" s="1930"/>
      <c r="AO299" s="1930"/>
      <c r="AP299" s="1930"/>
      <c r="AQ299" s="1930"/>
      <c r="AR299" s="1930"/>
      <c r="AS299" s="1930"/>
      <c r="AT299" s="1930"/>
      <c r="AU299" s="1930"/>
      <c r="AV299" s="1930"/>
      <c r="AW299" s="1930"/>
      <c r="AX299" s="1930"/>
      <c r="AY299" s="1930"/>
      <c r="AZ299" s="1930"/>
      <c r="BA299" s="1930"/>
      <c r="BC299" s="1930"/>
      <c r="BD299" s="1930"/>
      <c r="BE299" s="1930"/>
    </row>
    <row r="300" spans="1:57" hidden="1" outlineLevel="1" x14ac:dyDescent="0.25">
      <c r="V300" s="1930"/>
      <c r="W300" s="1930"/>
      <c r="X300" s="1930"/>
      <c r="Y300" s="1930"/>
      <c r="Z300" s="1930"/>
      <c r="AA300" s="1930"/>
      <c r="AB300" s="1930"/>
      <c r="AC300" s="1930"/>
      <c r="AD300" s="1930"/>
      <c r="AE300" s="1930"/>
      <c r="AF300" s="1930"/>
      <c r="AG300" s="1930"/>
      <c r="AH300" s="1930"/>
      <c r="AI300" s="1930"/>
      <c r="AJ300" s="1930"/>
      <c r="AK300" s="1930"/>
      <c r="AL300" s="1930"/>
      <c r="AM300" s="1930"/>
      <c r="AN300" s="1930"/>
      <c r="AO300" s="1930"/>
      <c r="AP300" s="1930"/>
      <c r="AQ300" s="1930"/>
      <c r="AR300" s="1930"/>
      <c r="AS300" s="1930"/>
      <c r="AT300" s="1930"/>
      <c r="AU300" s="1930"/>
      <c r="AV300" s="1930"/>
      <c r="AW300" s="1930"/>
      <c r="AX300" s="1930"/>
      <c r="AY300" s="1930"/>
      <c r="AZ300" s="1930"/>
      <c r="BA300" s="1930"/>
      <c r="BC300" s="1930"/>
      <c r="BD300" s="1930"/>
      <c r="BE300" s="1930"/>
    </row>
    <row r="301" spans="1:57" hidden="1" outlineLevel="1" x14ac:dyDescent="0.25">
      <c r="V301" s="1930"/>
      <c r="W301" s="1930"/>
      <c r="X301" s="1930"/>
      <c r="Y301" s="1930"/>
      <c r="Z301" s="1930"/>
      <c r="AA301" s="1930"/>
      <c r="AB301" s="1930"/>
      <c r="AC301" s="1930"/>
      <c r="AD301" s="1930"/>
      <c r="AE301" s="1930"/>
      <c r="AF301" s="1930"/>
      <c r="AG301" s="1930"/>
      <c r="AH301" s="1930"/>
      <c r="AI301" s="1930"/>
      <c r="AJ301" s="1930"/>
      <c r="AK301" s="1930"/>
      <c r="AL301" s="1930"/>
      <c r="AM301" s="1930"/>
      <c r="AN301" s="1930"/>
      <c r="AO301" s="1930"/>
      <c r="AP301" s="1930"/>
      <c r="AQ301" s="1930"/>
      <c r="AR301" s="1930"/>
      <c r="AS301" s="1930"/>
      <c r="AT301" s="1930"/>
      <c r="AU301" s="1930"/>
      <c r="AV301" s="1930"/>
      <c r="AW301" s="1930"/>
      <c r="AX301" s="1930"/>
      <c r="AY301" s="1930"/>
      <c r="AZ301" s="1930"/>
      <c r="BA301" s="1930"/>
      <c r="BC301" s="1930"/>
      <c r="BD301" s="1930"/>
      <c r="BE301" s="1930"/>
    </row>
    <row r="302" spans="1:57" hidden="1" outlineLevel="1" x14ac:dyDescent="0.25">
      <c r="V302" s="1930"/>
      <c r="W302" s="1930"/>
      <c r="X302" s="1930"/>
      <c r="Y302" s="1930"/>
      <c r="Z302" s="1930"/>
      <c r="AA302" s="1930"/>
      <c r="AB302" s="1930"/>
      <c r="AC302" s="1930"/>
      <c r="AD302" s="1930"/>
      <c r="AE302" s="1930"/>
      <c r="AF302" s="1930"/>
      <c r="AG302" s="1930"/>
      <c r="AH302" s="1930"/>
      <c r="AI302" s="1930"/>
      <c r="AJ302" s="1930"/>
      <c r="AK302" s="1930"/>
      <c r="AL302" s="1930"/>
      <c r="AM302" s="1930"/>
      <c r="AN302" s="1930"/>
      <c r="AO302" s="1930"/>
      <c r="AP302" s="1930"/>
      <c r="AQ302" s="1930"/>
      <c r="AR302" s="1930"/>
      <c r="AS302" s="1930"/>
      <c r="AT302" s="1930"/>
      <c r="AU302" s="1930"/>
      <c r="AV302" s="1930"/>
      <c r="AW302" s="1930"/>
      <c r="AX302" s="1930"/>
      <c r="AY302" s="1930"/>
      <c r="AZ302" s="1930"/>
      <c r="BA302" s="1930"/>
      <c r="BC302" s="1930"/>
      <c r="BD302" s="1930"/>
      <c r="BE302" s="1930"/>
    </row>
    <row r="303" spans="1:57" hidden="1" outlineLevel="1" x14ac:dyDescent="0.25">
      <c r="D303" s="1120" t="s">
        <v>110</v>
      </c>
      <c r="E303" s="1120" t="s">
        <v>111</v>
      </c>
      <c r="F303" s="3196" t="s">
        <v>112</v>
      </c>
      <c r="G303" s="4226" t="s">
        <v>113</v>
      </c>
      <c r="H303" s="4226"/>
      <c r="V303" s="1936" t="s">
        <v>45</v>
      </c>
      <c r="W303" s="1937">
        <f>W$6</f>
        <v>43252</v>
      </c>
      <c r="X303" s="1937">
        <f t="shared" ref="X303:AG303" si="80">X$6</f>
        <v>43465</v>
      </c>
      <c r="Y303" s="1937">
        <f t="shared" si="80"/>
        <v>43800</v>
      </c>
      <c r="Z303" s="1937">
        <f t="shared" si="80"/>
        <v>43862</v>
      </c>
      <c r="AA303" s="360">
        <f t="shared" si="80"/>
        <v>44013</v>
      </c>
      <c r="AB303" s="360">
        <f t="shared" si="80"/>
        <v>44166</v>
      </c>
      <c r="AC303" s="1937">
        <f t="shared" si="80"/>
        <v>44531</v>
      </c>
      <c r="AD303" s="1937" t="str">
        <f t="shared" si="80"/>
        <v>-</v>
      </c>
      <c r="AE303" s="1937" t="str">
        <f t="shared" si="80"/>
        <v>-</v>
      </c>
      <c r="AF303" s="1937" t="str">
        <f t="shared" si="80"/>
        <v>-</v>
      </c>
      <c r="AG303" s="1937" t="str">
        <f t="shared" si="80"/>
        <v>-</v>
      </c>
      <c r="AH303" s="1930"/>
      <c r="AI303" s="1930"/>
      <c r="AJ303" s="1930"/>
      <c r="AK303" s="1930"/>
      <c r="AL303" s="1930"/>
      <c r="AM303" s="1930"/>
      <c r="AN303" s="1930"/>
      <c r="AO303" s="1930"/>
      <c r="AP303" s="1930"/>
      <c r="AQ303" s="1930"/>
      <c r="AR303" s="1930"/>
      <c r="AS303" s="1930"/>
      <c r="AT303" s="1930"/>
      <c r="AU303" s="1930"/>
      <c r="AV303" s="1930"/>
      <c r="AW303" s="1930"/>
      <c r="AX303" s="1930"/>
      <c r="AY303" s="1930"/>
      <c r="AZ303" s="1930"/>
      <c r="BA303" s="1930"/>
      <c r="BC303" s="1930"/>
      <c r="BD303" s="1930"/>
      <c r="BE303" s="1930"/>
    </row>
    <row r="304" spans="1:57" ht="15" hidden="1" customHeight="1" outlineLevel="1" x14ac:dyDescent="0.25">
      <c r="D304" s="4439" t="s">
        <v>2148</v>
      </c>
      <c r="E304" s="3246" t="str">
        <f t="shared" ref="E304:E313" si="81">E275</f>
        <v>LED - 10W (CFL baseline) (750-1049 lumens)</v>
      </c>
      <c r="F304" s="62">
        <v>13.4</v>
      </c>
      <c r="G304" s="4426"/>
      <c r="H304" s="4426"/>
      <c r="V304" s="4354" t="str">
        <f>D304</f>
        <v>Watt Base</v>
      </c>
      <c r="W304" s="61">
        <v>13.4</v>
      </c>
      <c r="X304" s="61">
        <v>13.4</v>
      </c>
      <c r="Y304" s="62">
        <v>13.4</v>
      </c>
      <c r="Z304" s="62">
        <v>13.4</v>
      </c>
      <c r="AA304" s="62">
        <v>13.4</v>
      </c>
      <c r="AB304" s="62">
        <v>13.4</v>
      </c>
      <c r="AC304" s="62">
        <v>13.4</v>
      </c>
      <c r="AD304" s="61"/>
      <c r="AE304" s="61"/>
      <c r="AF304" s="61"/>
      <c r="AG304" s="61"/>
      <c r="AH304" s="1930"/>
      <c r="AI304" s="1930"/>
      <c r="AJ304" s="1930"/>
      <c r="AK304" s="1930"/>
      <c r="AL304" s="1930"/>
      <c r="AM304" s="1930"/>
      <c r="AN304" s="1930"/>
      <c r="AO304" s="1930"/>
      <c r="AP304" s="1930"/>
      <c r="AQ304" s="1930"/>
      <c r="AR304" s="1930"/>
      <c r="AS304" s="1930"/>
      <c r="AT304" s="1930"/>
      <c r="AU304" s="1930"/>
      <c r="AV304" s="1930"/>
      <c r="AW304" s="1930"/>
      <c r="AX304" s="1930"/>
      <c r="AY304" s="1930"/>
      <c r="AZ304" s="1930"/>
      <c r="BA304" s="1930"/>
      <c r="BC304" s="1930"/>
      <c r="BD304" s="1930"/>
      <c r="BE304" s="1930"/>
    </row>
    <row r="305" spans="1:57" ht="15" hidden="1" customHeight="1" outlineLevel="1" x14ac:dyDescent="0.25">
      <c r="D305" s="4435"/>
      <c r="E305" s="3246" t="str">
        <f t="shared" si="81"/>
        <v>LED - 10W (Halogen baseline) (750-1049 lumens)</v>
      </c>
      <c r="F305" s="62">
        <v>43</v>
      </c>
      <c r="G305" s="4437" t="s">
        <v>123</v>
      </c>
      <c r="H305" s="4437"/>
      <c r="V305" s="4355"/>
      <c r="W305" s="61">
        <v>41.32</v>
      </c>
      <c r="X305" s="61">
        <v>41.32</v>
      </c>
      <c r="Y305" s="62">
        <v>41.32</v>
      </c>
      <c r="Z305" s="62">
        <v>41.32</v>
      </c>
      <c r="AA305" s="62">
        <v>41.32</v>
      </c>
      <c r="AB305" s="1951">
        <v>43</v>
      </c>
      <c r="AC305" s="62">
        <v>43</v>
      </c>
      <c r="AD305" s="61"/>
      <c r="AE305" s="61"/>
      <c r="AF305" s="61"/>
      <c r="AG305" s="61"/>
      <c r="AH305" s="1930"/>
      <c r="AI305" s="1930"/>
      <c r="AJ305" s="1930"/>
      <c r="AK305" s="1930"/>
      <c r="AL305" s="1930"/>
      <c r="AM305" s="1930"/>
      <c r="AN305" s="1930"/>
      <c r="AO305" s="1930"/>
      <c r="AP305" s="1930"/>
      <c r="AQ305" s="1930"/>
      <c r="AR305" s="1930"/>
      <c r="AS305" s="1930"/>
      <c r="AT305" s="1930"/>
      <c r="AU305" s="1930"/>
      <c r="AV305" s="1930"/>
      <c r="AW305" s="1930"/>
      <c r="AX305" s="1930"/>
      <c r="AY305" s="1930"/>
      <c r="AZ305" s="1930"/>
      <c r="BA305" s="1930"/>
      <c r="BC305" s="1930"/>
      <c r="BD305" s="1930"/>
      <c r="BE305" s="1930"/>
    </row>
    <row r="306" spans="1:57" ht="15" hidden="1" customHeight="1" outlineLevel="1" x14ac:dyDescent="0.25">
      <c r="D306" s="4435"/>
      <c r="E306" s="3246" t="str">
        <f t="shared" si="81"/>
        <v>LED - 12W Dimmable Light Bulb (Replacing CFL)</v>
      </c>
      <c r="F306" s="62">
        <v>18</v>
      </c>
      <c r="G306" s="4426"/>
      <c r="H306" s="4426"/>
      <c r="V306" s="4355"/>
      <c r="W306" s="1229">
        <f>'Lighting Deemed Table'!W48</f>
        <v>18</v>
      </c>
      <c r="X306" s="1229">
        <f>'Lighting Deemed Table'!X48</f>
        <v>18</v>
      </c>
      <c r="Y306" s="65">
        <v>18</v>
      </c>
      <c r="Z306" s="65">
        <v>18</v>
      </c>
      <c r="AA306" s="65">
        <v>18</v>
      </c>
      <c r="AB306" s="62">
        <v>18</v>
      </c>
      <c r="AC306" s="62">
        <v>18</v>
      </c>
      <c r="AD306" s="1229"/>
      <c r="AE306" s="1229"/>
      <c r="AF306" s="1229"/>
      <c r="AG306" s="1229"/>
      <c r="AH306" s="1930"/>
      <c r="AI306" s="1930"/>
      <c r="AJ306" s="1930"/>
      <c r="AK306" s="1930"/>
      <c r="AL306" s="1930"/>
      <c r="AM306" s="1930"/>
      <c r="AN306" s="1930"/>
      <c r="AO306" s="1930"/>
      <c r="AP306" s="1930"/>
      <c r="AQ306" s="1930"/>
      <c r="AR306" s="1930"/>
      <c r="AS306" s="1930"/>
      <c r="AT306" s="1930"/>
      <c r="AU306" s="1930"/>
      <c r="AV306" s="1930"/>
      <c r="AW306" s="1930"/>
      <c r="AX306" s="1930"/>
      <c r="AY306" s="1930"/>
      <c r="AZ306" s="1930"/>
      <c r="BA306" s="1930"/>
      <c r="BC306" s="1930"/>
      <c r="BD306" s="1930"/>
      <c r="BE306" s="1930"/>
    </row>
    <row r="307" spans="1:57" ht="15" hidden="1" customHeight="1" outlineLevel="1" x14ac:dyDescent="0.25">
      <c r="D307" s="4435"/>
      <c r="E307" s="3246" t="str">
        <f t="shared" si="81"/>
        <v>LED - 12W Dimmable Light Bulb (Replacing Specialty Incandescent)</v>
      </c>
      <c r="F307" s="62">
        <v>76.25</v>
      </c>
      <c r="G307" s="4437" t="s">
        <v>123</v>
      </c>
      <c r="H307" s="4437"/>
      <c r="V307" s="4355"/>
      <c r="W307" s="1229">
        <v>76.25</v>
      </c>
      <c r="X307" s="1229">
        <v>76.25</v>
      </c>
      <c r="Y307" s="65">
        <v>76.25</v>
      </c>
      <c r="Z307" s="65">
        <v>76.25</v>
      </c>
      <c r="AA307" s="65">
        <v>76.25</v>
      </c>
      <c r="AB307" s="62">
        <v>76.25</v>
      </c>
      <c r="AC307" s="62">
        <v>76.25</v>
      </c>
      <c r="AD307" s="1229"/>
      <c r="AE307" s="1229"/>
      <c r="AF307" s="1229"/>
      <c r="AG307" s="1229"/>
      <c r="AH307" s="1930"/>
      <c r="AI307" s="1930"/>
      <c r="AJ307" s="1930"/>
      <c r="AK307" s="1930"/>
      <c r="AL307" s="1930"/>
      <c r="AM307" s="1930"/>
      <c r="AN307" s="1930"/>
      <c r="AO307" s="1930"/>
      <c r="AP307" s="1930"/>
      <c r="AQ307" s="1930"/>
      <c r="AR307" s="1930"/>
      <c r="AS307" s="1930"/>
      <c r="AT307" s="1930"/>
      <c r="AU307" s="1930"/>
      <c r="AV307" s="1930"/>
      <c r="AW307" s="1930"/>
      <c r="AX307" s="1930"/>
      <c r="AY307" s="1930"/>
      <c r="AZ307" s="1930"/>
      <c r="BA307" s="1930"/>
      <c r="BC307" s="1930"/>
      <c r="BD307" s="1930"/>
      <c r="BE307" s="1930"/>
    </row>
    <row r="308" spans="1:57" ht="15" hidden="1" customHeight="1" outlineLevel="1" x14ac:dyDescent="0.25">
      <c r="D308" s="4435"/>
      <c r="E308" s="3246" t="str">
        <f t="shared" si="81"/>
        <v>LED - 12W (Halogen baseline)</v>
      </c>
      <c r="F308" s="62">
        <v>44.25</v>
      </c>
      <c r="G308" s="2071" t="str">
        <f>'Income Eligible Deemed Table'!H1161</f>
        <v>Ameren Missouri Community Savers Evaluation PY2018</v>
      </c>
      <c r="H308" s="3238"/>
      <c r="V308" s="4355"/>
      <c r="W308" s="1229">
        <f>'Income Eligible Deemed Table'!W1161</f>
        <v>53</v>
      </c>
      <c r="X308" s="549">
        <f>'Income Eligible Deemed Table'!X1161</f>
        <v>44.25</v>
      </c>
      <c r="Y308" s="65">
        <v>44.25</v>
      </c>
      <c r="Z308" s="65">
        <v>44.25</v>
      </c>
      <c r="AA308" s="65">
        <v>44.25</v>
      </c>
      <c r="AB308" s="62">
        <v>44.25</v>
      </c>
      <c r="AC308" s="62">
        <v>44.25</v>
      </c>
      <c r="AD308" s="1229"/>
      <c r="AE308" s="1229"/>
      <c r="AF308" s="1229"/>
      <c r="AG308" s="1229"/>
      <c r="AH308" s="1930"/>
      <c r="AI308" s="1930"/>
      <c r="AJ308" s="1930"/>
      <c r="AK308" s="1930"/>
      <c r="AL308" s="1930"/>
      <c r="AM308" s="1930"/>
      <c r="AN308" s="1930"/>
      <c r="AO308" s="1930"/>
      <c r="AP308" s="1930"/>
      <c r="AQ308" s="1930"/>
      <c r="AR308" s="1930"/>
      <c r="AS308" s="1930"/>
      <c r="AT308" s="1930"/>
      <c r="AU308" s="1930"/>
      <c r="AV308" s="1930"/>
      <c r="AW308" s="1930"/>
      <c r="AX308" s="1930"/>
      <c r="AY308" s="1930"/>
      <c r="AZ308" s="1930"/>
      <c r="BA308" s="1930"/>
      <c r="BC308" s="1930"/>
      <c r="BD308" s="1930"/>
      <c r="BE308" s="1930"/>
    </row>
    <row r="309" spans="1:57" ht="15" hidden="1" customHeight="1" outlineLevel="1" x14ac:dyDescent="0.25">
      <c r="D309" s="4435"/>
      <c r="E309" s="3246" t="str">
        <f t="shared" si="81"/>
        <v>LED - 12W (Replacing CFL)</v>
      </c>
      <c r="F309" s="62">
        <v>18</v>
      </c>
      <c r="G309" s="4427"/>
      <c r="H309" s="4428"/>
      <c r="V309" s="4355"/>
      <c r="W309" s="1229">
        <f>'Income Eligible Deemed Table'!W1175</f>
        <v>18</v>
      </c>
      <c r="X309" s="1229">
        <f>'Income Eligible Deemed Table'!X1175</f>
        <v>18</v>
      </c>
      <c r="Y309" s="65">
        <v>18</v>
      </c>
      <c r="Z309" s="65">
        <v>18</v>
      </c>
      <c r="AA309" s="65">
        <v>18</v>
      </c>
      <c r="AB309" s="62">
        <v>18</v>
      </c>
      <c r="AC309" s="62">
        <v>18</v>
      </c>
      <c r="AD309" s="1229"/>
      <c r="AE309" s="1229"/>
      <c r="AF309" s="1229"/>
      <c r="AG309" s="1229"/>
      <c r="AH309" s="1930"/>
      <c r="AI309" s="1930"/>
      <c r="AJ309" s="1930"/>
      <c r="AK309" s="1930"/>
      <c r="AL309" s="1930"/>
      <c r="AM309" s="1930"/>
      <c r="AN309" s="1930"/>
      <c r="AO309" s="1930"/>
      <c r="AP309" s="1930"/>
      <c r="AQ309" s="1930"/>
      <c r="AR309" s="1930"/>
      <c r="AS309" s="1930"/>
      <c r="AT309" s="1930"/>
      <c r="AU309" s="1930"/>
      <c r="AV309" s="1930"/>
      <c r="AW309" s="1930"/>
      <c r="AX309" s="1930"/>
      <c r="AY309" s="1930"/>
      <c r="AZ309" s="1930"/>
      <c r="BA309" s="1930"/>
      <c r="BC309" s="1930"/>
      <c r="BD309" s="1930"/>
      <c r="BE309" s="1930"/>
    </row>
    <row r="310" spans="1:57" ht="15" hidden="1" customHeight="1" outlineLevel="1" x14ac:dyDescent="0.25">
      <c r="D310" s="4435"/>
      <c r="E310" s="3246" t="str">
        <f t="shared" si="81"/>
        <v>LED - 15W (Halogen baseline) (1050-1489 lumens)</v>
      </c>
      <c r="F310" s="62">
        <v>53</v>
      </c>
      <c r="G310" s="2071" t="str">
        <f>'Income Eligible Deemed Table'!H1163</f>
        <v>Average lumen-equivalent halogen wattage for program bulbs</v>
      </c>
      <c r="H310" s="3238"/>
      <c r="V310" s="4355"/>
      <c r="W310" s="1229">
        <f>'Income Eligible Deemed Table'!W1163</f>
        <v>53</v>
      </c>
      <c r="X310" s="1229">
        <f>'Income Eligible Deemed Table'!X1163</f>
        <v>53</v>
      </c>
      <c r="Y310" s="65">
        <v>53</v>
      </c>
      <c r="Z310" s="65">
        <v>53</v>
      </c>
      <c r="AA310" s="65">
        <v>53</v>
      </c>
      <c r="AB310" s="62">
        <v>53</v>
      </c>
      <c r="AC310" s="62">
        <v>53</v>
      </c>
      <c r="AD310" s="1229"/>
      <c r="AE310" s="1229"/>
      <c r="AF310" s="1229"/>
      <c r="AG310" s="1229"/>
      <c r="AH310" s="1930"/>
      <c r="AI310" s="1930"/>
      <c r="AJ310" s="1930"/>
      <c r="AK310" s="1930"/>
      <c r="AL310" s="1930"/>
      <c r="AM310" s="1930"/>
      <c r="AN310" s="1930"/>
      <c r="AO310" s="1930"/>
      <c r="AP310" s="1930"/>
      <c r="AQ310" s="1930"/>
      <c r="AR310" s="1930"/>
      <c r="AS310" s="1930"/>
      <c r="AT310" s="1930"/>
      <c r="AU310" s="1930"/>
      <c r="AV310" s="1930"/>
      <c r="AW310" s="1930"/>
      <c r="AX310" s="1930"/>
      <c r="AY310" s="1930"/>
      <c r="AZ310" s="1930"/>
      <c r="BA310" s="1930"/>
      <c r="BC310" s="1930"/>
      <c r="BD310" s="1930"/>
      <c r="BE310" s="1930"/>
    </row>
    <row r="311" spans="1:57" ht="15" hidden="1" customHeight="1" outlineLevel="1" x14ac:dyDescent="0.25">
      <c r="D311" s="4435"/>
      <c r="E311" s="3246" t="str">
        <f t="shared" si="81"/>
        <v>LED - 15W (CFL baseline) (1050-1489 lumens)</v>
      </c>
      <c r="F311" s="62">
        <v>18.899999999999999</v>
      </c>
      <c r="G311" s="4427"/>
      <c r="H311" s="4428"/>
      <c r="V311" s="4355"/>
      <c r="W311" s="1229">
        <f>'Income Eligible Deemed Table'!W1176</f>
        <v>18.899999999999999</v>
      </c>
      <c r="X311" s="1229">
        <f>'Income Eligible Deemed Table'!X1176</f>
        <v>18.899999999999999</v>
      </c>
      <c r="Y311" s="65">
        <v>18.899999999999999</v>
      </c>
      <c r="Z311" s="65">
        <v>18.899999999999999</v>
      </c>
      <c r="AA311" s="65">
        <v>18.899999999999999</v>
      </c>
      <c r="AB311" s="62">
        <v>18.899999999999999</v>
      </c>
      <c r="AC311" s="62">
        <v>18.899999999999999</v>
      </c>
      <c r="AD311" s="1229"/>
      <c r="AE311" s="1229"/>
      <c r="AF311" s="1229"/>
      <c r="AG311" s="1229"/>
      <c r="AH311" s="1930"/>
      <c r="AI311" s="1930"/>
      <c r="AJ311" s="1930"/>
      <c r="AK311" s="1930"/>
      <c r="AL311" s="1930"/>
      <c r="AM311" s="1930"/>
      <c r="AN311" s="1930"/>
      <c r="AO311" s="1930"/>
      <c r="AP311" s="1930"/>
      <c r="AQ311" s="1930"/>
      <c r="AR311" s="1930"/>
      <c r="AS311" s="1930"/>
      <c r="AT311" s="1930"/>
      <c r="AU311" s="1930"/>
      <c r="AV311" s="1930"/>
      <c r="AW311" s="1930"/>
      <c r="AX311" s="1930"/>
      <c r="AY311" s="1930"/>
      <c r="AZ311" s="1930"/>
      <c r="BA311" s="1930"/>
      <c r="BC311" s="1930"/>
      <c r="BD311" s="1930"/>
      <c r="BE311" s="1930"/>
    </row>
    <row r="312" spans="1:57" ht="15" hidden="1" customHeight="1" outlineLevel="1" x14ac:dyDescent="0.25">
      <c r="D312" s="4435"/>
      <c r="E312" s="3246" t="str">
        <f t="shared" si="81"/>
        <v>LED - 20W (Halogen baseline) (1490-2600 lumens)</v>
      </c>
      <c r="F312" s="62">
        <v>72</v>
      </c>
      <c r="G312" s="2071" t="str">
        <f>'Income Eligible Deemed Table'!H1167</f>
        <v>Average lumen-equivalent halogen wattage for program bulbs</v>
      </c>
      <c r="H312" s="3238"/>
      <c r="V312" s="4355"/>
      <c r="W312" s="1229">
        <f>'Income Eligible Deemed Table'!W1167</f>
        <v>72</v>
      </c>
      <c r="X312" s="1229">
        <f>'Income Eligible Deemed Table'!X1167</f>
        <v>72</v>
      </c>
      <c r="Y312" s="65">
        <v>72</v>
      </c>
      <c r="Z312" s="65">
        <v>72</v>
      </c>
      <c r="AA312" s="65">
        <v>72</v>
      </c>
      <c r="AB312" s="62">
        <v>72</v>
      </c>
      <c r="AC312" s="62">
        <v>72</v>
      </c>
      <c r="AD312" s="1229"/>
      <c r="AE312" s="1229"/>
      <c r="AF312" s="1229"/>
      <c r="AG312" s="1229"/>
      <c r="AH312" s="1930"/>
      <c r="AI312" s="1930"/>
      <c r="AJ312" s="1930"/>
      <c r="AK312" s="1930"/>
      <c r="AL312" s="1930"/>
      <c r="AM312" s="1930"/>
      <c r="AN312" s="1930"/>
      <c r="AO312" s="1930"/>
      <c r="AP312" s="1930"/>
      <c r="AQ312" s="1930"/>
      <c r="AR312" s="1930"/>
      <c r="AS312" s="1930"/>
      <c r="AT312" s="1930"/>
      <c r="AU312" s="1930"/>
      <c r="AV312" s="1930"/>
      <c r="AW312" s="1930"/>
      <c r="AX312" s="1930"/>
      <c r="AY312" s="1930"/>
      <c r="AZ312" s="1930"/>
      <c r="BA312" s="1930"/>
      <c r="BC312" s="1930"/>
      <c r="BD312" s="1930"/>
      <c r="BE312" s="1930"/>
    </row>
    <row r="313" spans="1:57" ht="15" hidden="1" customHeight="1" outlineLevel="1" x14ac:dyDescent="0.25">
      <c r="D313" s="4435"/>
      <c r="E313" s="3246" t="str">
        <f t="shared" si="81"/>
        <v>LED - 20W (CFL baseline) (1490-2600 lumens)</v>
      </c>
      <c r="F313" s="62">
        <v>24.8</v>
      </c>
      <c r="G313" s="4427"/>
      <c r="H313" s="4428"/>
      <c r="V313" s="4355"/>
      <c r="W313" s="1229">
        <f>'Income Eligible Deemed Table'!W1180</f>
        <v>24.8</v>
      </c>
      <c r="X313" s="1229">
        <f>'Income Eligible Deemed Table'!X1180</f>
        <v>24.8</v>
      </c>
      <c r="Y313" s="65">
        <v>24.8</v>
      </c>
      <c r="Z313" s="65">
        <v>24.8</v>
      </c>
      <c r="AA313" s="65">
        <v>24.8</v>
      </c>
      <c r="AB313" s="62">
        <v>24.8</v>
      </c>
      <c r="AC313" s="62">
        <v>24.8</v>
      </c>
      <c r="AD313" s="1229"/>
      <c r="AE313" s="1229"/>
      <c r="AF313" s="1229"/>
      <c r="AG313" s="1229"/>
      <c r="AH313" s="1930"/>
      <c r="AI313" s="1930"/>
      <c r="AJ313" s="1930"/>
      <c r="AK313" s="1930"/>
      <c r="AL313" s="1930"/>
      <c r="AM313" s="1930"/>
      <c r="AN313" s="1930"/>
      <c r="AO313" s="1930"/>
      <c r="AP313" s="1930"/>
      <c r="AQ313" s="1930"/>
      <c r="AR313" s="1930"/>
      <c r="AS313" s="1930"/>
      <c r="AT313" s="1930"/>
      <c r="AU313" s="1930"/>
      <c r="AV313" s="1930"/>
      <c r="AW313" s="1930"/>
      <c r="AX313" s="1930"/>
      <c r="AY313" s="1930"/>
      <c r="AZ313" s="1930"/>
      <c r="BA313" s="1930"/>
      <c r="BC313" s="1930"/>
      <c r="BD313" s="1930"/>
      <c r="BE313" s="1930"/>
    </row>
    <row r="314" spans="1:57" s="1930" customFormat="1" ht="15" hidden="1" customHeight="1" outlineLevel="1" x14ac:dyDescent="0.25">
      <c r="A314" s="123"/>
      <c r="B314" s="123"/>
      <c r="C314" s="328"/>
      <c r="D314" s="4435"/>
      <c r="E314" s="3246" t="s">
        <v>2500</v>
      </c>
      <c r="F314" s="62">
        <v>65</v>
      </c>
      <c r="G314" s="4427" t="s">
        <v>121</v>
      </c>
      <c r="H314" s="4428"/>
      <c r="I314" s="123"/>
      <c r="J314" s="123"/>
      <c r="K314" s="123"/>
      <c r="L314" s="123"/>
      <c r="M314" s="123"/>
      <c r="N314" s="123"/>
      <c r="O314" s="123"/>
      <c r="P314" s="123"/>
      <c r="Q314" s="123"/>
      <c r="R314" s="123"/>
      <c r="S314" s="123"/>
      <c r="T314" s="123"/>
      <c r="U314" s="123"/>
      <c r="V314" s="4355"/>
      <c r="W314" s="1229"/>
      <c r="X314" s="1229"/>
      <c r="Y314" s="65"/>
      <c r="Z314" s="65"/>
      <c r="AA314" s="65"/>
      <c r="AB314" s="1951">
        <v>65</v>
      </c>
      <c r="AC314" s="62">
        <v>65</v>
      </c>
      <c r="AD314" s="1229"/>
      <c r="AE314" s="1229"/>
      <c r="AF314" s="1229"/>
      <c r="AG314" s="1229"/>
      <c r="BB314" s="950"/>
    </row>
    <row r="315" spans="1:57" s="1930" customFormat="1" ht="15" hidden="1" customHeight="1" outlineLevel="1" x14ac:dyDescent="0.25">
      <c r="A315" s="123"/>
      <c r="B315" s="123"/>
      <c r="C315" s="328"/>
      <c r="D315" s="4435"/>
      <c r="E315" s="3246" t="s">
        <v>72</v>
      </c>
      <c r="F315" s="62">
        <v>18.888888888888889</v>
      </c>
      <c r="G315" s="4427" t="s">
        <v>120</v>
      </c>
      <c r="H315" s="4428"/>
      <c r="I315" s="123"/>
      <c r="J315" s="123"/>
      <c r="K315" s="123"/>
      <c r="L315" s="123"/>
      <c r="M315" s="123"/>
      <c r="N315" s="123"/>
      <c r="O315" s="123"/>
      <c r="P315" s="123"/>
      <c r="Q315" s="123"/>
      <c r="R315" s="123"/>
      <c r="S315" s="123"/>
      <c r="T315" s="123"/>
      <c r="U315" s="123"/>
      <c r="V315" s="4355"/>
      <c r="W315" s="1229"/>
      <c r="X315" s="1229"/>
      <c r="Y315" s="65"/>
      <c r="Z315" s="65"/>
      <c r="AA315" s="65"/>
      <c r="AB315" s="1951">
        <v>18.888888888888889</v>
      </c>
      <c r="AC315" s="62">
        <v>18.888888888888889</v>
      </c>
      <c r="AD315" s="1229"/>
      <c r="AE315" s="1229"/>
      <c r="AF315" s="1229"/>
      <c r="AG315" s="1229"/>
      <c r="BB315" s="950"/>
    </row>
    <row r="316" spans="1:57" ht="15" hidden="1" customHeight="1" outlineLevel="1" x14ac:dyDescent="0.25">
      <c r="D316" s="4435"/>
      <c r="E316" s="3246" t="str">
        <f>E287</f>
        <v>LED - 15W Flood Light PAR30 Bulb (Halogen baseline)</v>
      </c>
      <c r="F316" s="62">
        <v>60.9</v>
      </c>
      <c r="G316" s="4427"/>
      <c r="H316" s="4428"/>
      <c r="V316" s="4355"/>
      <c r="W316" s="1229">
        <f>'Lighting Deemed Table'!W55</f>
        <v>62.1</v>
      </c>
      <c r="X316" s="549">
        <f>'Lighting Deemed Table'!X55</f>
        <v>60.9</v>
      </c>
      <c r="Y316" s="65">
        <v>60.9</v>
      </c>
      <c r="Z316" s="65">
        <v>60.9</v>
      </c>
      <c r="AA316" s="65">
        <v>60.9</v>
      </c>
      <c r="AB316" s="62">
        <v>60.9</v>
      </c>
      <c r="AC316" s="62">
        <v>60.9</v>
      </c>
      <c r="AD316" s="1229"/>
      <c r="AE316" s="1229"/>
      <c r="AF316" s="1229"/>
      <c r="AG316" s="1229"/>
      <c r="AH316" s="1930"/>
      <c r="AI316" s="1930"/>
      <c r="AJ316" s="1930"/>
      <c r="AK316" s="1930"/>
      <c r="AL316" s="1930"/>
      <c r="AM316" s="1930"/>
      <c r="AN316" s="1930"/>
      <c r="AO316" s="1930"/>
      <c r="AP316" s="1930"/>
      <c r="AQ316" s="1930"/>
      <c r="AR316" s="1930"/>
      <c r="AS316" s="1930"/>
      <c r="AT316" s="1930"/>
      <c r="AU316" s="1930"/>
      <c r="AV316" s="1930"/>
      <c r="AW316" s="1930"/>
      <c r="AX316" s="1930"/>
      <c r="AY316" s="1930"/>
      <c r="AZ316" s="1930"/>
      <c r="BA316" s="1930"/>
      <c r="BC316" s="1930"/>
      <c r="BD316" s="1930"/>
      <c r="BE316" s="1930"/>
    </row>
    <row r="317" spans="1:57" ht="15" hidden="1" customHeight="1" outlineLevel="1" x14ac:dyDescent="0.25">
      <c r="D317" s="4435"/>
      <c r="E317" s="3246" t="str">
        <f>E288</f>
        <v>LED - 15W Flood Light PAR30 Bulb (CFL baseline)</v>
      </c>
      <c r="F317" s="62">
        <v>16</v>
      </c>
      <c r="G317" s="4427"/>
      <c r="H317" s="4428"/>
      <c r="V317" s="4355"/>
      <c r="W317" s="1133">
        <f>'Lighting Deemed Table'!W54</f>
        <v>16</v>
      </c>
      <c r="X317" s="1133">
        <f>'Lighting Deemed Table'!X54</f>
        <v>16</v>
      </c>
      <c r="Y317" s="1133">
        <v>16</v>
      </c>
      <c r="Z317" s="1133">
        <v>16</v>
      </c>
      <c r="AA317" s="1133">
        <v>16</v>
      </c>
      <c r="AB317" s="62">
        <v>16</v>
      </c>
      <c r="AC317" s="62">
        <v>16</v>
      </c>
      <c r="AD317" s="1133"/>
      <c r="AE317" s="1133"/>
      <c r="AF317" s="1133"/>
      <c r="AG317" s="1133"/>
      <c r="AH317" s="1930"/>
      <c r="AI317" s="1930"/>
      <c r="AJ317" s="1930"/>
      <c r="AK317" s="1930"/>
      <c r="AL317" s="1930"/>
      <c r="AM317" s="1930"/>
      <c r="AN317" s="1930"/>
      <c r="AO317" s="1930"/>
      <c r="AP317" s="1930"/>
      <c r="AQ317" s="1930"/>
      <c r="AR317" s="1930"/>
      <c r="AS317" s="1930"/>
      <c r="AT317" s="1930"/>
      <c r="AU317" s="1930"/>
      <c r="AV317" s="1930"/>
      <c r="AW317" s="1930"/>
      <c r="AX317" s="1930"/>
      <c r="AY317" s="1930"/>
      <c r="AZ317" s="1930"/>
      <c r="BA317" s="1930"/>
      <c r="BC317" s="1930"/>
      <c r="BD317" s="1930"/>
      <c r="BE317" s="1930"/>
    </row>
    <row r="318" spans="1:57" s="1930" customFormat="1" ht="15" hidden="1" customHeight="1" outlineLevel="1" x14ac:dyDescent="0.25">
      <c r="A318" s="123"/>
      <c r="B318" s="123"/>
      <c r="C318" s="328"/>
      <c r="D318" s="4435"/>
      <c r="E318" s="3246" t="s">
        <v>2505</v>
      </c>
      <c r="F318" s="62">
        <v>29</v>
      </c>
      <c r="G318" s="4427" t="s">
        <v>127</v>
      </c>
      <c r="H318" s="4428"/>
      <c r="I318" s="123"/>
      <c r="J318" s="123"/>
      <c r="K318" s="123"/>
      <c r="L318" s="123"/>
      <c r="M318" s="123"/>
      <c r="N318" s="123"/>
      <c r="O318" s="123"/>
      <c r="P318" s="123"/>
      <c r="Q318" s="123"/>
      <c r="R318" s="123"/>
      <c r="S318" s="123"/>
      <c r="T318" s="123"/>
      <c r="U318" s="123"/>
      <c r="V318" s="4355"/>
      <c r="W318" s="1133"/>
      <c r="X318" s="1133"/>
      <c r="Y318" s="1133"/>
      <c r="Z318" s="1133"/>
      <c r="AA318" s="1133"/>
      <c r="AB318" s="1951">
        <v>29</v>
      </c>
      <c r="AC318" s="62">
        <v>29</v>
      </c>
      <c r="AD318" s="1133"/>
      <c r="AE318" s="1133"/>
      <c r="AF318" s="1133"/>
      <c r="AG318" s="1133"/>
      <c r="BB318" s="950"/>
    </row>
    <row r="319" spans="1:57" s="1930" customFormat="1" ht="15" hidden="1" customHeight="1" outlineLevel="1" x14ac:dyDescent="0.25">
      <c r="A319" s="123"/>
      <c r="B319" s="123"/>
      <c r="C319" s="328"/>
      <c r="D319" s="4435"/>
      <c r="E319" s="2926" t="s">
        <v>2507</v>
      </c>
      <c r="F319" s="2925">
        <f>AVERAGE(310,749)/45</f>
        <v>11.766666666666667</v>
      </c>
      <c r="G319" s="2927" t="s">
        <v>127</v>
      </c>
      <c r="H319" s="2928"/>
      <c r="I319" s="123"/>
      <c r="J319" s="123"/>
      <c r="K319" s="123"/>
      <c r="L319" s="123"/>
      <c r="M319" s="123"/>
      <c r="N319" s="123"/>
      <c r="O319" s="123"/>
      <c r="P319" s="123"/>
      <c r="Q319" s="123"/>
      <c r="R319" s="123"/>
      <c r="S319" s="123"/>
      <c r="T319" s="123"/>
      <c r="U319" s="123"/>
      <c r="V319" s="4355"/>
      <c r="W319" s="2924"/>
      <c r="X319" s="2924"/>
      <c r="Y319" s="2924"/>
      <c r="Z319" s="2924"/>
      <c r="AA319" s="2924"/>
      <c r="AB319" s="2925"/>
      <c r="AC319" s="2925">
        <v>11.766666666666667</v>
      </c>
      <c r="AD319" s="2924"/>
      <c r="AE319" s="2924"/>
      <c r="AF319" s="2924"/>
      <c r="AG319" s="2924"/>
      <c r="BB319" s="950"/>
    </row>
    <row r="320" spans="1:57" ht="15" hidden="1" customHeight="1" outlineLevel="1" thickBot="1" x14ac:dyDescent="0.3">
      <c r="D320" s="4371"/>
      <c r="E320" s="2073" t="str">
        <f t="shared" ref="E320" si="82">E291</f>
        <v>LED Nightlights</v>
      </c>
      <c r="F320" s="2931">
        <v>7</v>
      </c>
      <c r="G320" s="4434" t="s">
        <v>128</v>
      </c>
      <c r="H320" s="4434"/>
      <c r="V320" s="4391"/>
      <c r="W320" s="2372" t="s">
        <v>493</v>
      </c>
      <c r="X320" s="2372" t="s">
        <v>493</v>
      </c>
      <c r="Y320" s="1129" t="s">
        <v>493</v>
      </c>
      <c r="Z320" s="1129" t="s">
        <v>493</v>
      </c>
      <c r="AA320" s="1129" t="s">
        <v>493</v>
      </c>
      <c r="AB320" s="2074" t="s">
        <v>493</v>
      </c>
      <c r="AC320" s="2931">
        <v>7</v>
      </c>
      <c r="AD320" s="2372"/>
      <c r="AE320" s="2372"/>
      <c r="AF320" s="2372"/>
      <c r="AG320" s="2372"/>
      <c r="AH320" s="1930"/>
      <c r="AI320" s="1930"/>
      <c r="AJ320" s="1930"/>
      <c r="AK320" s="1930"/>
      <c r="AL320" s="1930"/>
      <c r="AM320" s="1930"/>
      <c r="AN320" s="1930"/>
      <c r="AO320" s="1930"/>
      <c r="AP320" s="1930"/>
      <c r="AQ320" s="1930"/>
      <c r="AR320" s="1930"/>
      <c r="AS320" s="1930"/>
      <c r="AT320" s="1930"/>
      <c r="AU320" s="1930"/>
      <c r="AV320" s="1930"/>
      <c r="AW320" s="1930"/>
      <c r="AX320" s="1930"/>
      <c r="AY320" s="1930"/>
      <c r="AZ320" s="1930"/>
      <c r="BA320" s="1930"/>
      <c r="BC320" s="1930"/>
      <c r="BD320" s="1930"/>
      <c r="BE320" s="1930"/>
    </row>
    <row r="321" spans="1:57" hidden="1" outlineLevel="1" x14ac:dyDescent="0.25">
      <c r="D321" s="4370" t="s">
        <v>2154</v>
      </c>
      <c r="E321" s="2076" t="str">
        <f t="shared" ref="E321:E330" si="83">E275</f>
        <v>LED - 10W (CFL baseline) (750-1049 lumens)</v>
      </c>
      <c r="F321" s="2077">
        <v>7</v>
      </c>
      <c r="G321" s="4431" t="s">
        <v>131</v>
      </c>
      <c r="H321" s="4431"/>
      <c r="V321" s="4392" t="str">
        <f t="shared" ref="V321:V346" si="84">D321</f>
        <v>Watt EE</v>
      </c>
      <c r="W321" s="2371">
        <v>7</v>
      </c>
      <c r="X321" s="2371">
        <v>7</v>
      </c>
      <c r="Y321" s="2323">
        <v>7</v>
      </c>
      <c r="Z321" s="2323">
        <v>7</v>
      </c>
      <c r="AA321" s="2323">
        <v>7</v>
      </c>
      <c r="AB321" s="2077">
        <v>7</v>
      </c>
      <c r="AC321" s="2077">
        <v>7</v>
      </c>
      <c r="AD321" s="2371"/>
      <c r="AE321" s="2371"/>
      <c r="AF321" s="2371"/>
      <c r="AG321" s="2371"/>
      <c r="AH321" s="1930"/>
      <c r="AI321" s="1930"/>
      <c r="AJ321" s="1930"/>
      <c r="AK321" s="1930"/>
      <c r="AL321" s="1930"/>
      <c r="AM321" s="1930"/>
      <c r="AN321" s="1930"/>
      <c r="AO321" s="1930"/>
      <c r="AP321" s="1930"/>
      <c r="AQ321" s="1930"/>
      <c r="AR321" s="1930"/>
      <c r="AS321" s="1930"/>
      <c r="AT321" s="1930"/>
      <c r="AU321" s="1930"/>
      <c r="AV321" s="1930"/>
      <c r="AW321" s="1930"/>
      <c r="AX321" s="1930"/>
      <c r="AY321" s="1930"/>
      <c r="AZ321" s="1930"/>
      <c r="BA321" s="1930"/>
      <c r="BC321" s="1930"/>
      <c r="BD321" s="1930"/>
      <c r="BE321" s="1930"/>
    </row>
    <row r="322" spans="1:57" hidden="1" outlineLevel="1" x14ac:dyDescent="0.25">
      <c r="D322" s="4435"/>
      <c r="E322" s="3246" t="str">
        <f t="shared" si="83"/>
        <v>LED - 10W (Halogen baseline) (750-1049 lumens)</v>
      </c>
      <c r="F322" s="62">
        <v>7</v>
      </c>
      <c r="G322" s="4426" t="s">
        <v>131</v>
      </c>
      <c r="H322" s="4426"/>
      <c r="V322" s="4355"/>
      <c r="W322" s="1229">
        <v>7</v>
      </c>
      <c r="X322" s="1229">
        <v>7</v>
      </c>
      <c r="Y322" s="65">
        <v>7</v>
      </c>
      <c r="Z322" s="65">
        <v>7</v>
      </c>
      <c r="AA322" s="65">
        <v>7</v>
      </c>
      <c r="AB322" s="62">
        <v>7</v>
      </c>
      <c r="AC322" s="62">
        <v>7</v>
      </c>
      <c r="AD322" s="1229"/>
      <c r="AE322" s="1229"/>
      <c r="AF322" s="1229"/>
      <c r="AG322" s="1229"/>
      <c r="AH322" s="1930"/>
      <c r="AI322" s="1930"/>
      <c r="AJ322" s="1930"/>
      <c r="AK322" s="1930"/>
      <c r="AL322" s="1930"/>
      <c r="AM322" s="1930"/>
      <c r="AN322" s="1930"/>
      <c r="AO322" s="1930"/>
      <c r="AP322" s="1930"/>
      <c r="AQ322" s="1930"/>
      <c r="AR322" s="1930"/>
      <c r="AS322" s="1930"/>
      <c r="AT322" s="1930"/>
      <c r="AU322" s="1930"/>
      <c r="AV322" s="1930"/>
      <c r="AW322" s="1930"/>
      <c r="AX322" s="1930"/>
      <c r="AY322" s="1930"/>
      <c r="AZ322" s="1930"/>
      <c r="BA322" s="1930"/>
      <c r="BC322" s="1930"/>
      <c r="BD322" s="1930"/>
      <c r="BE322" s="1930"/>
    </row>
    <row r="323" spans="1:57" hidden="1" outlineLevel="1" x14ac:dyDescent="0.25">
      <c r="D323" s="4435"/>
      <c r="E323" s="3246" t="str">
        <f t="shared" si="83"/>
        <v>LED - 12W Dimmable Light Bulb (Replacing CFL)</v>
      </c>
      <c r="F323" s="62">
        <v>9.5</v>
      </c>
      <c r="G323" s="4425" t="s">
        <v>131</v>
      </c>
      <c r="H323" s="4425"/>
      <c r="V323" s="4355"/>
      <c r="W323" s="1229">
        <f>'Lighting Deemed Table'!W74</f>
        <v>9.5</v>
      </c>
      <c r="X323" s="1229">
        <f>'Lighting Deemed Table'!X74</f>
        <v>9.5</v>
      </c>
      <c r="Y323" s="65">
        <v>9.5</v>
      </c>
      <c r="Z323" s="65">
        <v>9.5</v>
      </c>
      <c r="AA323" s="65">
        <v>9.5</v>
      </c>
      <c r="AB323" s="62">
        <v>9.5</v>
      </c>
      <c r="AC323" s="62">
        <v>9.5</v>
      </c>
      <c r="AD323" s="65"/>
      <c r="AE323" s="65"/>
      <c r="AF323" s="65"/>
      <c r="AG323" s="65"/>
      <c r="AH323" s="1930"/>
      <c r="AI323" s="1930"/>
      <c r="AJ323" s="1930"/>
      <c r="AK323" s="1930"/>
      <c r="AL323" s="1930"/>
      <c r="AM323" s="1930"/>
      <c r="AN323" s="1930"/>
      <c r="AO323" s="1930"/>
      <c r="AP323" s="1930"/>
      <c r="AQ323" s="1930"/>
      <c r="AR323" s="1930"/>
      <c r="AS323" s="1930"/>
      <c r="AT323" s="1930"/>
      <c r="AU323" s="1930"/>
      <c r="AV323" s="1930"/>
      <c r="AW323" s="1930"/>
      <c r="AX323" s="1930"/>
      <c r="AY323" s="1930"/>
      <c r="AZ323" s="1930"/>
      <c r="BA323" s="1930"/>
      <c r="BC323" s="1930"/>
      <c r="BD323" s="1930"/>
      <c r="BE323" s="1930"/>
    </row>
    <row r="324" spans="1:57" hidden="1" outlineLevel="1" x14ac:dyDescent="0.25">
      <c r="D324" s="4435"/>
      <c r="E324" s="3246" t="str">
        <f t="shared" si="83"/>
        <v>LED - 12W Dimmable Light Bulb (Replacing Specialty Incandescent)</v>
      </c>
      <c r="F324" s="62">
        <v>9.5</v>
      </c>
      <c r="G324" s="4425" t="s">
        <v>131</v>
      </c>
      <c r="H324" s="4425"/>
      <c r="V324" s="4355"/>
      <c r="W324" s="65">
        <v>9.5</v>
      </c>
      <c r="X324" s="65">
        <v>9.5</v>
      </c>
      <c r="Y324" s="65">
        <v>9.5</v>
      </c>
      <c r="Z324" s="65">
        <v>9.5</v>
      </c>
      <c r="AA324" s="65">
        <v>9.5</v>
      </c>
      <c r="AB324" s="62">
        <v>9.5</v>
      </c>
      <c r="AC324" s="62">
        <v>9.5</v>
      </c>
      <c r="AD324" s="65"/>
      <c r="AE324" s="65"/>
      <c r="AF324" s="65"/>
      <c r="AG324" s="65"/>
      <c r="AH324" s="1930"/>
      <c r="AI324" s="1930"/>
      <c r="AJ324" s="1930"/>
      <c r="AK324" s="1930"/>
      <c r="AL324" s="1930"/>
      <c r="AM324" s="1930"/>
      <c r="AN324" s="1930"/>
      <c r="AO324" s="1930"/>
      <c r="AP324" s="1930"/>
      <c r="AQ324" s="1930"/>
      <c r="AR324" s="1930"/>
      <c r="AS324" s="1930"/>
      <c r="AT324" s="1930"/>
      <c r="AU324" s="1930"/>
      <c r="AV324" s="1930"/>
      <c r="AW324" s="1930"/>
      <c r="AX324" s="1930"/>
      <c r="AY324" s="1930"/>
      <c r="AZ324" s="1930"/>
      <c r="BA324" s="1930"/>
    </row>
    <row r="325" spans="1:57" ht="15" hidden="1" customHeight="1" outlineLevel="1" x14ac:dyDescent="0.25">
      <c r="D325" s="4435"/>
      <c r="E325" s="3246" t="str">
        <f t="shared" si="83"/>
        <v>LED - 12W (Halogen baseline)</v>
      </c>
      <c r="F325" s="62">
        <v>9.23</v>
      </c>
      <c r="G325" s="2071" t="str">
        <f>'Income Eligible Deemed Table'!H1186</f>
        <v>Program Wattage - Ameren Missouri Community Savers Evaluation PY2017 workpapers</v>
      </c>
      <c r="H325" s="3238"/>
      <c r="V325" s="4355"/>
      <c r="W325" s="1229">
        <f>'Income Eligible Deemed Table'!W1186</f>
        <v>9.5</v>
      </c>
      <c r="X325" s="549">
        <f>'Income Eligible Deemed Table'!X1186</f>
        <v>9.23</v>
      </c>
      <c r="Y325" s="65">
        <v>9.23</v>
      </c>
      <c r="Z325" s="65">
        <v>9.23</v>
      </c>
      <c r="AA325" s="65">
        <v>9.23</v>
      </c>
      <c r="AB325" s="62">
        <v>9.23</v>
      </c>
      <c r="AC325" s="62">
        <v>9.23</v>
      </c>
      <c r="AD325" s="1229"/>
      <c r="AE325" s="1229"/>
      <c r="AF325" s="1229"/>
      <c r="AG325" s="1229"/>
      <c r="AH325" s="1930"/>
      <c r="AI325" s="1930"/>
      <c r="AJ325" s="1930"/>
      <c r="AK325" s="1930"/>
      <c r="AL325" s="1930"/>
      <c r="AM325" s="1930"/>
      <c r="AN325" s="1930"/>
      <c r="AO325" s="1930"/>
      <c r="AP325" s="1930"/>
      <c r="AQ325" s="1930"/>
      <c r="AR325" s="1930"/>
      <c r="AS325" s="1930"/>
      <c r="AT325" s="1930"/>
      <c r="AU325" s="1930"/>
      <c r="AV325" s="1930"/>
      <c r="AW325" s="1930"/>
      <c r="AX325" s="1930"/>
      <c r="AY325" s="1930"/>
      <c r="AZ325" s="1930"/>
      <c r="BA325" s="1930"/>
    </row>
    <row r="326" spans="1:57" ht="15" hidden="1" customHeight="1" outlineLevel="1" x14ac:dyDescent="0.25">
      <c r="D326" s="4435"/>
      <c r="E326" s="3246" t="str">
        <f t="shared" si="83"/>
        <v>LED - 12W (Replacing CFL)</v>
      </c>
      <c r="F326" s="62">
        <v>9.5</v>
      </c>
      <c r="G326" s="4427"/>
      <c r="H326" s="4428"/>
      <c r="V326" s="4355"/>
      <c r="W326" s="1229">
        <f>'Income Eligible Deemed Table'!W1200</f>
        <v>9.5</v>
      </c>
      <c r="X326" s="1229">
        <f>'Income Eligible Deemed Table'!X1200</f>
        <v>9.5</v>
      </c>
      <c r="Y326" s="65">
        <v>9.5</v>
      </c>
      <c r="Z326" s="65">
        <v>9.5</v>
      </c>
      <c r="AA326" s="65">
        <v>9.5</v>
      </c>
      <c r="AB326" s="62">
        <v>9.5</v>
      </c>
      <c r="AC326" s="62">
        <v>9.5</v>
      </c>
      <c r="AD326" s="1229"/>
      <c r="AE326" s="1229"/>
      <c r="AF326" s="1229"/>
      <c r="AG326" s="1229"/>
      <c r="AH326" s="1930"/>
      <c r="AI326" s="1930"/>
      <c r="AJ326" s="1930"/>
      <c r="AK326" s="1930"/>
      <c r="AL326" s="1930"/>
      <c r="AM326" s="1930"/>
      <c r="AN326" s="1930"/>
      <c r="AO326" s="1930"/>
      <c r="AP326" s="1930"/>
      <c r="AQ326" s="1930"/>
      <c r="AR326" s="1930"/>
      <c r="AS326" s="1930"/>
      <c r="AT326" s="1930"/>
      <c r="AU326" s="1930"/>
      <c r="AV326" s="1930"/>
      <c r="AW326" s="1930"/>
      <c r="AX326" s="1930"/>
      <c r="AY326" s="1930"/>
      <c r="AZ326" s="1930"/>
      <c r="BA326" s="1930"/>
    </row>
    <row r="327" spans="1:57" ht="15" hidden="1" customHeight="1" outlineLevel="1" x14ac:dyDescent="0.25">
      <c r="D327" s="4435"/>
      <c r="E327" s="3246" t="str">
        <f t="shared" si="83"/>
        <v>LED - 15W (Halogen baseline) (1050-1489 lumens)</v>
      </c>
      <c r="F327" s="62">
        <v>10.6</v>
      </c>
      <c r="G327" s="4427" t="str">
        <f>'Income Eligible Deemed Table'!H1188</f>
        <v>Program Wattage</v>
      </c>
      <c r="H327" s="4428"/>
      <c r="V327" s="4355"/>
      <c r="W327" s="1229">
        <f>'Income Eligible Deemed Table'!W1188</f>
        <v>10.6</v>
      </c>
      <c r="X327" s="1229">
        <f>'Income Eligible Deemed Table'!X1188</f>
        <v>10.6</v>
      </c>
      <c r="Y327" s="65">
        <v>10.6</v>
      </c>
      <c r="Z327" s="65">
        <v>10.6</v>
      </c>
      <c r="AA327" s="65">
        <v>10.6</v>
      </c>
      <c r="AB327" s="62">
        <v>10.6</v>
      </c>
      <c r="AC327" s="62">
        <v>10.6</v>
      </c>
      <c r="AD327" s="1229"/>
      <c r="AE327" s="1229"/>
      <c r="AF327" s="1229"/>
      <c r="AG327" s="1229"/>
      <c r="AH327" s="1930"/>
      <c r="AI327" s="1930"/>
      <c r="AJ327" s="1930"/>
      <c r="AK327" s="1930"/>
      <c r="AL327" s="1930"/>
      <c r="AM327" s="1930"/>
      <c r="AN327" s="1930"/>
      <c r="AO327" s="1930"/>
      <c r="AP327" s="1930"/>
      <c r="AQ327" s="1930"/>
      <c r="AR327" s="1930"/>
      <c r="AS327" s="1930"/>
      <c r="AT327" s="1930"/>
      <c r="AU327" s="1930"/>
      <c r="AV327" s="1930"/>
      <c r="AW327" s="1930"/>
      <c r="AX327" s="1930"/>
      <c r="AY327" s="1930"/>
      <c r="AZ327" s="1930"/>
      <c r="BA327" s="1930"/>
    </row>
    <row r="328" spans="1:57" ht="15" hidden="1" customHeight="1" outlineLevel="1" x14ac:dyDescent="0.25">
      <c r="D328" s="4435"/>
      <c r="E328" s="3246" t="str">
        <f t="shared" si="83"/>
        <v>LED - 15W (CFL baseline) (1050-1489 lumens)</v>
      </c>
      <c r="F328" s="62">
        <v>10.6</v>
      </c>
      <c r="G328" s="4427"/>
      <c r="H328" s="4428"/>
      <c r="V328" s="4355"/>
      <c r="W328" s="1229">
        <f>'Income Eligible Deemed Table'!W1201</f>
        <v>10.6</v>
      </c>
      <c r="X328" s="1229">
        <f>'Income Eligible Deemed Table'!X1201</f>
        <v>10.6</v>
      </c>
      <c r="Y328" s="65">
        <v>10.6</v>
      </c>
      <c r="Z328" s="65">
        <v>10.6</v>
      </c>
      <c r="AA328" s="65">
        <v>10.6</v>
      </c>
      <c r="AB328" s="62">
        <v>10.6</v>
      </c>
      <c r="AC328" s="62">
        <v>10.6</v>
      </c>
      <c r="AD328" s="1229"/>
      <c r="AE328" s="1229"/>
      <c r="AF328" s="1229"/>
      <c r="AG328" s="1229"/>
      <c r="AH328" s="1930"/>
      <c r="AI328" s="1930"/>
      <c r="AJ328" s="1930"/>
      <c r="AK328" s="1930"/>
      <c r="AL328" s="1930"/>
      <c r="AM328" s="1930"/>
      <c r="AN328" s="1930"/>
      <c r="AO328" s="1930"/>
      <c r="AP328" s="1930"/>
      <c r="AQ328" s="1930"/>
      <c r="AR328" s="1930"/>
      <c r="AS328" s="1930"/>
      <c r="AT328" s="1930"/>
      <c r="AU328" s="1930"/>
      <c r="AV328" s="1930"/>
      <c r="AW328" s="1930"/>
      <c r="AX328" s="1930"/>
      <c r="AY328" s="1930"/>
      <c r="AZ328" s="1930"/>
      <c r="BA328" s="1930"/>
    </row>
    <row r="329" spans="1:57" ht="15" hidden="1" customHeight="1" outlineLevel="1" x14ac:dyDescent="0.25">
      <c r="D329" s="4435"/>
      <c r="E329" s="3246" t="str">
        <f t="shared" si="83"/>
        <v>LED - 20W (Halogen baseline) (1490-2600 lumens)</v>
      </c>
      <c r="F329" s="62">
        <v>15</v>
      </c>
      <c r="G329" s="4427" t="str">
        <f>'Income Eligible Deemed Table'!H1192</f>
        <v>Program Wattage</v>
      </c>
      <c r="H329" s="4428"/>
      <c r="V329" s="4355"/>
      <c r="W329" s="1229">
        <f>'Income Eligible Deemed Table'!W1192</f>
        <v>15</v>
      </c>
      <c r="X329" s="1229">
        <f>'Income Eligible Deemed Table'!X1192</f>
        <v>15</v>
      </c>
      <c r="Y329" s="65">
        <v>15</v>
      </c>
      <c r="Z329" s="65">
        <v>15</v>
      </c>
      <c r="AA329" s="65">
        <v>15</v>
      </c>
      <c r="AB329" s="62">
        <v>15</v>
      </c>
      <c r="AC329" s="62">
        <v>15</v>
      </c>
      <c r="AD329" s="1229"/>
      <c r="AE329" s="1229"/>
      <c r="AF329" s="1229"/>
      <c r="AG329" s="1229"/>
      <c r="AH329" s="1930"/>
      <c r="AI329" s="1930"/>
      <c r="AJ329" s="1930"/>
      <c r="AK329" s="1930"/>
      <c r="AL329" s="1930"/>
      <c r="AM329" s="1930"/>
      <c r="AN329" s="1930"/>
      <c r="AO329" s="1930"/>
      <c r="AP329" s="1930"/>
      <c r="AQ329" s="1930"/>
      <c r="AR329" s="1930"/>
      <c r="AS329" s="1930"/>
      <c r="AT329" s="1930"/>
      <c r="AU329" s="1930"/>
      <c r="AV329" s="1930"/>
      <c r="AW329" s="1930"/>
      <c r="AX329" s="1930"/>
      <c r="AY329" s="1930"/>
      <c r="AZ329" s="1930"/>
      <c r="BA329" s="1930"/>
    </row>
    <row r="330" spans="1:57" ht="15" hidden="1" customHeight="1" outlineLevel="1" x14ac:dyDescent="0.25">
      <c r="D330" s="4435"/>
      <c r="E330" s="3246" t="str">
        <f t="shared" si="83"/>
        <v>LED - 20W (CFL baseline) (1490-2600 lumens)</v>
      </c>
      <c r="F330" s="62">
        <v>15</v>
      </c>
      <c r="G330" s="4427"/>
      <c r="H330" s="4428"/>
      <c r="V330" s="4355"/>
      <c r="W330" s="1229">
        <f>'Income Eligible Deemed Table'!W1205</f>
        <v>15</v>
      </c>
      <c r="X330" s="1229">
        <f>'Income Eligible Deemed Table'!X1205</f>
        <v>15</v>
      </c>
      <c r="Y330" s="65">
        <v>15</v>
      </c>
      <c r="Z330" s="65">
        <v>15</v>
      </c>
      <c r="AA330" s="65">
        <v>15</v>
      </c>
      <c r="AB330" s="62">
        <v>15</v>
      </c>
      <c r="AC330" s="62">
        <v>15</v>
      </c>
      <c r="AD330" s="1229"/>
      <c r="AE330" s="1229"/>
      <c r="AF330" s="1229"/>
      <c r="AG330" s="1229"/>
      <c r="AH330" s="1930"/>
      <c r="AI330" s="1930"/>
      <c r="AJ330" s="1930"/>
      <c r="AK330" s="1930"/>
      <c r="AL330" s="1930"/>
      <c r="AM330" s="1930"/>
      <c r="AN330" s="1930"/>
      <c r="AO330" s="1930"/>
      <c r="AP330" s="1930"/>
      <c r="AQ330" s="1930"/>
      <c r="AR330" s="1930"/>
      <c r="AS330" s="1930"/>
      <c r="AT330" s="1930"/>
      <c r="AU330" s="1930"/>
      <c r="AV330" s="1930"/>
      <c r="AW330" s="1930"/>
      <c r="AX330" s="1930"/>
      <c r="AY330" s="1930"/>
      <c r="AZ330" s="1930"/>
      <c r="BA330" s="1930"/>
    </row>
    <row r="331" spans="1:57" s="1930" customFormat="1" ht="15" hidden="1" customHeight="1" outlineLevel="1" x14ac:dyDescent="0.25">
      <c r="A331" s="123"/>
      <c r="B331" s="123"/>
      <c r="C331" s="328"/>
      <c r="D331" s="4435"/>
      <c r="E331" s="3246" t="s">
        <v>2500</v>
      </c>
      <c r="F331" s="62">
        <v>11</v>
      </c>
      <c r="G331" s="4427" t="s">
        <v>131</v>
      </c>
      <c r="H331" s="4428"/>
      <c r="I331" s="123"/>
      <c r="J331" s="123"/>
      <c r="K331" s="123"/>
      <c r="L331" s="123"/>
      <c r="M331" s="123"/>
      <c r="N331" s="123"/>
      <c r="O331" s="123"/>
      <c r="P331" s="123"/>
      <c r="Q331" s="123"/>
      <c r="R331" s="123"/>
      <c r="S331" s="123"/>
      <c r="T331" s="123"/>
      <c r="U331" s="123"/>
      <c r="V331" s="4355"/>
      <c r="W331" s="1229"/>
      <c r="X331" s="1229"/>
      <c r="Y331" s="65"/>
      <c r="Z331" s="65"/>
      <c r="AA331" s="65"/>
      <c r="AB331" s="1951">
        <v>11</v>
      </c>
      <c r="AC331" s="62">
        <v>11</v>
      </c>
      <c r="AD331" s="1229"/>
      <c r="AE331" s="1229"/>
      <c r="AF331" s="1229"/>
      <c r="AG331" s="1229"/>
      <c r="BB331" s="950"/>
    </row>
    <row r="332" spans="1:57" s="1930" customFormat="1" ht="15" hidden="1" customHeight="1" outlineLevel="1" x14ac:dyDescent="0.25">
      <c r="A332" s="123"/>
      <c r="B332" s="123"/>
      <c r="C332" s="328"/>
      <c r="D332" s="4435"/>
      <c r="E332" s="3246" t="s">
        <v>72</v>
      </c>
      <c r="F332" s="62">
        <v>11</v>
      </c>
      <c r="G332" s="4427" t="s">
        <v>131</v>
      </c>
      <c r="H332" s="4428"/>
      <c r="I332" s="123"/>
      <c r="J332" s="123"/>
      <c r="K332" s="123"/>
      <c r="L332" s="123"/>
      <c r="M332" s="123"/>
      <c r="N332" s="123"/>
      <c r="O332" s="123"/>
      <c r="P332" s="123"/>
      <c r="Q332" s="123"/>
      <c r="R332" s="123"/>
      <c r="S332" s="123"/>
      <c r="T332" s="123"/>
      <c r="U332" s="123"/>
      <c r="V332" s="4355"/>
      <c r="W332" s="1229"/>
      <c r="X332" s="1229"/>
      <c r="Y332" s="65"/>
      <c r="Z332" s="65"/>
      <c r="AA332" s="65"/>
      <c r="AB332" s="1951">
        <v>11</v>
      </c>
      <c r="AC332" s="62">
        <v>11</v>
      </c>
      <c r="AD332" s="1229"/>
      <c r="AE332" s="1229"/>
      <c r="AF332" s="1229"/>
      <c r="AG332" s="1229"/>
      <c r="BB332" s="950"/>
    </row>
    <row r="333" spans="1:57" ht="15" hidden="1" customHeight="1" outlineLevel="1" x14ac:dyDescent="0.25">
      <c r="D333" s="4435"/>
      <c r="E333" s="3246" t="str">
        <f>E287</f>
        <v>LED - 15W Flood Light PAR30 Bulb (Halogen baseline)</v>
      </c>
      <c r="F333" s="62">
        <v>10.6</v>
      </c>
      <c r="G333" s="4427"/>
      <c r="H333" s="4428"/>
      <c r="V333" s="4355"/>
      <c r="W333" s="1229">
        <f>'Lighting Deemed Table'!W81</f>
        <v>11.2</v>
      </c>
      <c r="X333" s="549">
        <f>'Lighting Deemed Table'!X81</f>
        <v>10.6</v>
      </c>
      <c r="Y333" s="65">
        <v>10.6</v>
      </c>
      <c r="Z333" s="65">
        <v>10.6</v>
      </c>
      <c r="AA333" s="65">
        <v>10.6</v>
      </c>
      <c r="AB333" s="62">
        <v>10.6</v>
      </c>
      <c r="AC333" s="62">
        <v>10.6</v>
      </c>
      <c r="AD333" s="1229"/>
      <c r="AE333" s="1229"/>
      <c r="AF333" s="1229"/>
      <c r="AG333" s="1229"/>
      <c r="AH333" s="1930"/>
      <c r="AI333" s="1930"/>
      <c r="AJ333" s="1930"/>
      <c r="AK333" s="1930"/>
      <c r="AL333" s="1930"/>
      <c r="AM333" s="1930"/>
      <c r="AN333" s="1930"/>
      <c r="AO333" s="1930"/>
      <c r="AP333" s="1930"/>
      <c r="AQ333" s="1930"/>
      <c r="AR333" s="1930"/>
      <c r="AS333" s="1930"/>
      <c r="AT333" s="1930"/>
      <c r="AU333" s="1930"/>
      <c r="AV333" s="1930"/>
      <c r="AW333" s="1930"/>
      <c r="AX333" s="1930"/>
      <c r="AY333" s="1930"/>
      <c r="AZ333" s="1930"/>
      <c r="BA333" s="1930"/>
    </row>
    <row r="334" spans="1:57" hidden="1" outlineLevel="1" x14ac:dyDescent="0.25">
      <c r="D334" s="4435"/>
      <c r="E334" s="3246" t="str">
        <f>E288</f>
        <v>LED - 15W Flood Light PAR30 Bulb (CFL baseline)</v>
      </c>
      <c r="F334" s="62">
        <v>11.2</v>
      </c>
      <c r="G334" s="4426" t="s">
        <v>131</v>
      </c>
      <c r="H334" s="4426"/>
      <c r="V334" s="4355"/>
      <c r="W334" s="1229">
        <f>'Lighting Deemed Table'!W80</f>
        <v>11.2</v>
      </c>
      <c r="X334" s="1229">
        <f>'Lighting Deemed Table'!X80</f>
        <v>11.2</v>
      </c>
      <c r="Y334" s="65">
        <v>11.2</v>
      </c>
      <c r="Z334" s="65">
        <v>11.2</v>
      </c>
      <c r="AA334" s="65">
        <v>11.2</v>
      </c>
      <c r="AB334" s="62">
        <v>11.2</v>
      </c>
      <c r="AC334" s="62">
        <v>11.2</v>
      </c>
      <c r="AD334" s="1229"/>
      <c r="AE334" s="1229"/>
      <c r="AF334" s="1229"/>
      <c r="AG334" s="1229"/>
      <c r="AH334" s="1930"/>
      <c r="AI334" s="1930"/>
      <c r="AJ334" s="1930"/>
      <c r="AK334" s="1930"/>
      <c r="AL334" s="1930"/>
      <c r="AM334" s="1930"/>
      <c r="AN334" s="1930"/>
      <c r="AO334" s="1930"/>
      <c r="AP334" s="1930"/>
      <c r="AQ334" s="1930"/>
      <c r="AR334" s="1930"/>
      <c r="AS334" s="1930"/>
      <c r="AT334" s="1930"/>
      <c r="AU334" s="1930"/>
      <c r="AV334" s="1930"/>
      <c r="AW334" s="1930"/>
      <c r="AX334" s="1930"/>
      <c r="AY334" s="1930"/>
      <c r="AZ334" s="1930"/>
      <c r="BA334" s="1930"/>
    </row>
    <row r="335" spans="1:57" s="1930" customFormat="1" hidden="1" outlineLevel="1" x14ac:dyDescent="0.25">
      <c r="A335" s="123"/>
      <c r="B335" s="123"/>
      <c r="C335" s="328"/>
      <c r="D335" s="4435"/>
      <c r="E335" s="3246" t="s">
        <v>2505</v>
      </c>
      <c r="F335" s="62">
        <v>6</v>
      </c>
      <c r="G335" s="4427" t="s">
        <v>131</v>
      </c>
      <c r="H335" s="4428"/>
      <c r="I335" s="123"/>
      <c r="J335" s="123"/>
      <c r="K335" s="123"/>
      <c r="L335" s="123"/>
      <c r="M335" s="123"/>
      <c r="N335" s="123"/>
      <c r="O335" s="123"/>
      <c r="P335" s="123"/>
      <c r="Q335" s="123"/>
      <c r="R335" s="123"/>
      <c r="S335" s="123"/>
      <c r="T335" s="123"/>
      <c r="U335" s="123"/>
      <c r="V335" s="4355"/>
      <c r="W335" s="1229"/>
      <c r="X335" s="1229"/>
      <c r="Y335" s="65"/>
      <c r="Z335" s="65"/>
      <c r="AA335" s="65"/>
      <c r="AB335" s="1951">
        <v>6</v>
      </c>
      <c r="AC335" s="62">
        <v>6</v>
      </c>
      <c r="AD335" s="1229"/>
      <c r="AE335" s="1229"/>
      <c r="AF335" s="1229"/>
      <c r="AG335" s="1229"/>
      <c r="BB335" s="950"/>
    </row>
    <row r="336" spans="1:57" s="1930" customFormat="1" hidden="1" outlineLevel="1" x14ac:dyDescent="0.25">
      <c r="A336" s="123"/>
      <c r="B336" s="123"/>
      <c r="C336" s="328"/>
      <c r="D336" s="4435"/>
      <c r="E336" s="2926" t="s">
        <v>2507</v>
      </c>
      <c r="F336" s="2925">
        <v>6</v>
      </c>
      <c r="G336" s="4467" t="s">
        <v>131</v>
      </c>
      <c r="H336" s="4468"/>
      <c r="I336" s="123"/>
      <c r="J336" s="123"/>
      <c r="K336" s="123"/>
      <c r="L336" s="123"/>
      <c r="M336" s="123"/>
      <c r="N336" s="123"/>
      <c r="O336" s="123"/>
      <c r="P336" s="123"/>
      <c r="Q336" s="123"/>
      <c r="R336" s="123"/>
      <c r="S336" s="123"/>
      <c r="T336" s="123"/>
      <c r="U336" s="123"/>
      <c r="V336" s="4355"/>
      <c r="W336" s="2929"/>
      <c r="X336" s="2929"/>
      <c r="Y336" s="2871"/>
      <c r="Z336" s="2871"/>
      <c r="AA336" s="2871"/>
      <c r="AB336" s="2925"/>
      <c r="AC336" s="2925">
        <v>6</v>
      </c>
      <c r="AD336" s="2929"/>
      <c r="AE336" s="2929"/>
      <c r="AF336" s="2929"/>
      <c r="AG336" s="2929"/>
      <c r="BB336" s="950"/>
    </row>
    <row r="337" spans="1:54" ht="15.75" hidden="1" outlineLevel="1" thickBot="1" x14ac:dyDescent="0.3">
      <c r="D337" s="4371"/>
      <c r="E337" s="2073" t="s">
        <v>105</v>
      </c>
      <c r="F337" s="2930">
        <v>0.3</v>
      </c>
      <c r="G337" s="4436" t="s">
        <v>131</v>
      </c>
      <c r="H337" s="4436"/>
      <c r="V337" s="4391"/>
      <c r="W337" s="2372" t="s">
        <v>493</v>
      </c>
      <c r="X337" s="2372" t="s">
        <v>493</v>
      </c>
      <c r="Y337" s="1129" t="s">
        <v>493</v>
      </c>
      <c r="Z337" s="1129" t="s">
        <v>493</v>
      </c>
      <c r="AA337" s="1129" t="s">
        <v>493</v>
      </c>
      <c r="AB337" s="1129" t="s">
        <v>493</v>
      </c>
      <c r="AC337" s="2068">
        <v>0.3</v>
      </c>
      <c r="AD337" s="2372"/>
      <c r="AE337" s="2372"/>
      <c r="AF337" s="2372"/>
      <c r="AG337" s="2372"/>
      <c r="AH337" s="1930"/>
      <c r="AI337" s="1930"/>
      <c r="AJ337" s="1930"/>
      <c r="AK337" s="1930"/>
      <c r="AL337" s="1930"/>
      <c r="AM337" s="1930"/>
      <c r="AN337" s="1930"/>
      <c r="AO337" s="1930"/>
      <c r="AP337" s="1930"/>
      <c r="AQ337" s="1930"/>
      <c r="AR337" s="1930"/>
      <c r="AS337" s="1930"/>
      <c r="AT337" s="1930"/>
      <c r="AU337" s="1930"/>
      <c r="AV337" s="1930"/>
      <c r="AW337" s="1930"/>
      <c r="AX337" s="1930"/>
      <c r="AY337" s="1930"/>
      <c r="AZ337" s="1930"/>
      <c r="BA337" s="1930"/>
    </row>
    <row r="338" spans="1:54" ht="15" hidden="1" customHeight="1" outlineLevel="1" x14ac:dyDescent="0.25">
      <c r="D338" s="2072" t="s">
        <v>133</v>
      </c>
      <c r="E338" s="2072" t="s">
        <v>135</v>
      </c>
      <c r="F338" s="2075">
        <v>0.95118909047730049</v>
      </c>
      <c r="G338" s="4429" t="s">
        <v>2509</v>
      </c>
      <c r="H338" s="4429"/>
      <c r="V338" s="3214" t="str">
        <f t="shared" si="84"/>
        <v>ISR</v>
      </c>
      <c r="W338" s="2373">
        <v>0.95118909047730049</v>
      </c>
      <c r="X338" s="2373">
        <v>0.95118909047730049</v>
      </c>
      <c r="Y338" s="2075">
        <v>0.95118909047730049</v>
      </c>
      <c r="Z338" s="2075">
        <v>0.95118909047730049</v>
      </c>
      <c r="AA338" s="2075">
        <v>0.95118909047730049</v>
      </c>
      <c r="AB338" s="2075">
        <v>0.95118909047730049</v>
      </c>
      <c r="AC338" s="2075">
        <v>0.95118909047730049</v>
      </c>
      <c r="AD338" s="2373"/>
      <c r="AE338" s="2373"/>
      <c r="AF338" s="2373"/>
      <c r="AG338" s="2373"/>
      <c r="AH338" s="1930"/>
      <c r="AI338" s="1930"/>
      <c r="AJ338" s="1930"/>
      <c r="AK338" s="1930"/>
      <c r="AL338" s="1930"/>
      <c r="AM338" s="1930"/>
      <c r="AN338" s="1930"/>
      <c r="AO338" s="1930"/>
      <c r="AP338" s="1930"/>
      <c r="AQ338" s="1930"/>
      <c r="AR338" s="1930"/>
      <c r="AS338" s="1930"/>
      <c r="AT338" s="1930"/>
      <c r="AU338" s="1930"/>
      <c r="AV338" s="1930"/>
      <c r="AW338" s="1930"/>
      <c r="AX338" s="1930"/>
      <c r="AY338" s="1930"/>
      <c r="AZ338" s="1930"/>
      <c r="BA338" s="1930"/>
    </row>
    <row r="339" spans="1:54" ht="15.75" hidden="1" outlineLevel="1" thickBot="1" x14ac:dyDescent="0.3">
      <c r="D339" s="2919" t="s">
        <v>144</v>
      </c>
      <c r="E339" s="2919" t="s">
        <v>135</v>
      </c>
      <c r="F339" s="2934">
        <v>1.6525893496695268E-2</v>
      </c>
      <c r="G339" s="4430" t="s">
        <v>2165</v>
      </c>
      <c r="H339" s="4430"/>
      <c r="V339" s="2940" t="str">
        <f t="shared" si="84"/>
        <v>Leakage</v>
      </c>
      <c r="W339" s="2941">
        <v>1.6525893496695268E-2</v>
      </c>
      <c r="X339" s="2941">
        <v>1.6525893496695268E-2</v>
      </c>
      <c r="Y339" s="2934">
        <v>1.6525893496695268E-2</v>
      </c>
      <c r="Z339" s="2934">
        <v>1.6525893496695268E-2</v>
      </c>
      <c r="AA339" s="2934">
        <v>1.6525893496695268E-2</v>
      </c>
      <c r="AB339" s="2934">
        <v>1.6525893496695268E-2</v>
      </c>
      <c r="AC339" s="2934">
        <v>1.6525893496695268E-2</v>
      </c>
      <c r="AD339" s="2941"/>
      <c r="AE339" s="2941"/>
      <c r="AF339" s="2941"/>
      <c r="AG339" s="2941"/>
      <c r="AH339" s="1930"/>
      <c r="AI339" s="1930"/>
      <c r="AJ339" s="1930"/>
      <c r="AK339" s="1930"/>
      <c r="AL339" s="1930"/>
      <c r="AM339" s="1930"/>
      <c r="AN339" s="1930"/>
      <c r="AO339" s="1930"/>
      <c r="AP339" s="1930"/>
      <c r="AQ339" s="1930"/>
      <c r="AR339" s="1930"/>
      <c r="AS339" s="1930"/>
      <c r="AT339" s="1930"/>
      <c r="AU339" s="1930"/>
      <c r="AV339" s="1930"/>
      <c r="AW339" s="1930"/>
      <c r="AX339" s="1930"/>
      <c r="AY339" s="1930"/>
      <c r="AZ339" s="1930"/>
      <c r="BA339" s="1930"/>
    </row>
    <row r="340" spans="1:54" ht="15" hidden="1" customHeight="1" outlineLevel="1" x14ac:dyDescent="0.25">
      <c r="D340" s="4439" t="s">
        <v>148</v>
      </c>
      <c r="E340" s="2932" t="s">
        <v>150</v>
      </c>
      <c r="F340" s="138">
        <v>693.5</v>
      </c>
      <c r="G340" s="4471" t="s">
        <v>2510</v>
      </c>
      <c r="H340" s="4472"/>
      <c r="V340" s="4355" t="str">
        <f t="shared" si="84"/>
        <v>HOU_Res</v>
      </c>
      <c r="W340" s="2938">
        <f>1.9*365</f>
        <v>693.5</v>
      </c>
      <c r="X340" s="2938">
        <f>1.9*365</f>
        <v>693.5</v>
      </c>
      <c r="Y340" s="2933">
        <f>1.9*365</f>
        <v>693.5</v>
      </c>
      <c r="Z340" s="2933">
        <f t="shared" ref="Z340:AA340" si="85">1.9*365</f>
        <v>693.5</v>
      </c>
      <c r="AA340" s="2933">
        <f t="shared" si="85"/>
        <v>693.5</v>
      </c>
      <c r="AB340" s="2933">
        <v>693.5</v>
      </c>
      <c r="AC340" s="2933">
        <v>693.5</v>
      </c>
      <c r="AD340" s="2938"/>
      <c r="AE340" s="2938"/>
      <c r="AF340" s="2938"/>
      <c r="AG340" s="2938"/>
      <c r="AH340" s="1930"/>
      <c r="AI340" s="1930"/>
      <c r="AJ340" s="1930"/>
      <c r="AK340" s="1930"/>
      <c r="AL340" s="1930"/>
      <c r="AM340" s="1930"/>
      <c r="AN340" s="1930"/>
      <c r="AO340" s="1930"/>
      <c r="AP340" s="1930"/>
      <c r="AQ340" s="1930"/>
      <c r="AR340" s="1930"/>
      <c r="AS340" s="1930"/>
      <c r="AT340" s="1930"/>
      <c r="AU340" s="1930"/>
      <c r="AV340" s="1930"/>
      <c r="AW340" s="1930"/>
      <c r="AX340" s="1930"/>
      <c r="AY340" s="1930"/>
      <c r="AZ340" s="1930"/>
      <c r="BA340" s="1930"/>
    </row>
    <row r="341" spans="1:54" s="1930" customFormat="1" ht="15" hidden="1" customHeight="1" outlineLevel="1" thickBot="1" x14ac:dyDescent="0.3">
      <c r="A341" s="123"/>
      <c r="B341" s="123"/>
      <c r="C341" s="328"/>
      <c r="D341" s="4371"/>
      <c r="E341" s="2935" t="s">
        <v>152</v>
      </c>
      <c r="F341" s="2936">
        <v>4380</v>
      </c>
      <c r="G341" s="4434" t="s">
        <v>128</v>
      </c>
      <c r="H341" s="4434"/>
      <c r="I341" s="123"/>
      <c r="J341" s="123"/>
      <c r="K341" s="123"/>
      <c r="L341" s="123"/>
      <c r="M341" s="123"/>
      <c r="N341" s="123"/>
      <c r="O341" s="123"/>
      <c r="P341" s="123"/>
      <c r="Q341" s="123"/>
      <c r="R341" s="123"/>
      <c r="S341" s="123"/>
      <c r="T341" s="123"/>
      <c r="U341" s="123"/>
      <c r="V341" s="4391"/>
      <c r="W341" s="2942"/>
      <c r="X341" s="2942"/>
      <c r="Y341" s="2937"/>
      <c r="Z341" s="2937"/>
      <c r="AA341" s="2937"/>
      <c r="AB341" s="2937"/>
      <c r="AC341" s="2936">
        <v>4380</v>
      </c>
      <c r="AD341" s="2942"/>
      <c r="AE341" s="2942"/>
      <c r="AF341" s="2942"/>
      <c r="AG341" s="2942"/>
      <c r="BB341" s="950"/>
    </row>
    <row r="342" spans="1:54" ht="15.75" hidden="1" outlineLevel="1" thickBot="1" x14ac:dyDescent="0.3">
      <c r="D342" s="2919" t="s">
        <v>153</v>
      </c>
      <c r="E342" s="2919" t="s">
        <v>155</v>
      </c>
      <c r="F342" s="2937">
        <v>0.99</v>
      </c>
      <c r="G342" s="4430" t="s">
        <v>156</v>
      </c>
      <c r="H342" s="4430"/>
      <c r="V342" s="3234" t="str">
        <f t="shared" si="84"/>
        <v>WHF_Res</v>
      </c>
      <c r="W342" s="2943">
        <v>0.99</v>
      </c>
      <c r="X342" s="2943">
        <v>0.99</v>
      </c>
      <c r="Y342" s="2939">
        <v>0.99</v>
      </c>
      <c r="Z342" s="2939">
        <v>0.99</v>
      </c>
      <c r="AA342" s="2939">
        <v>0.99</v>
      </c>
      <c r="AB342" s="2939">
        <v>0.99</v>
      </c>
      <c r="AC342" s="2939">
        <v>0.99</v>
      </c>
      <c r="AD342" s="2943"/>
      <c r="AE342" s="2943"/>
      <c r="AF342" s="2943"/>
      <c r="AG342" s="2943"/>
      <c r="AH342" s="1930"/>
      <c r="AI342" s="1930"/>
      <c r="AJ342" s="1930"/>
      <c r="AK342" s="1930"/>
      <c r="AL342" s="1930"/>
      <c r="AM342" s="1930"/>
      <c r="AN342" s="1930"/>
      <c r="AO342" s="1930"/>
      <c r="AP342" s="1930"/>
      <c r="AQ342" s="1930"/>
      <c r="AR342" s="1930"/>
      <c r="AS342" s="1930"/>
      <c r="AT342" s="1930"/>
      <c r="AU342" s="1930"/>
      <c r="AV342" s="1930"/>
      <c r="AW342" s="1930"/>
      <c r="AX342" s="1930"/>
      <c r="AY342" s="1930"/>
      <c r="AZ342" s="1930"/>
      <c r="BA342" s="1930"/>
    </row>
    <row r="343" spans="1:54" ht="15" hidden="1" customHeight="1" outlineLevel="1" x14ac:dyDescent="0.25">
      <c r="D343" s="4439" t="s">
        <v>157</v>
      </c>
      <c r="E343" s="2932" t="s">
        <v>150</v>
      </c>
      <c r="F343" s="138">
        <v>3611.9999999999986</v>
      </c>
      <c r="G343" s="4437" t="s">
        <v>159</v>
      </c>
      <c r="H343" s="4437"/>
      <c r="V343" s="4355" t="str">
        <f t="shared" si="84"/>
        <v>HOU_NRES</v>
      </c>
      <c r="W343" s="2938">
        <f>9.8958904109589*365</f>
        <v>3611.9999999999986</v>
      </c>
      <c r="X343" s="2938">
        <f>9.8958904109589*365</f>
        <v>3611.9999999999986</v>
      </c>
      <c r="Y343" s="2933">
        <f>9.8958904109589*365</f>
        <v>3611.9999999999986</v>
      </c>
      <c r="Z343" s="2933">
        <f t="shared" ref="Z343:AA343" si="86">9.8958904109589*365</f>
        <v>3611.9999999999986</v>
      </c>
      <c r="AA343" s="2933">
        <f t="shared" si="86"/>
        <v>3611.9999999999986</v>
      </c>
      <c r="AB343" s="2933">
        <v>3611.9999999999986</v>
      </c>
      <c r="AC343" s="2933">
        <v>3611.9999999999986</v>
      </c>
      <c r="AD343" s="2938"/>
      <c r="AE343" s="2938"/>
      <c r="AF343" s="2938"/>
      <c r="AG343" s="2938"/>
      <c r="AH343" s="1930"/>
      <c r="AI343" s="1930"/>
      <c r="AJ343" s="1930"/>
      <c r="AK343" s="1930"/>
      <c r="AL343" s="1930"/>
      <c r="AM343" s="1930"/>
      <c r="AN343" s="1930"/>
      <c r="AO343" s="1930"/>
      <c r="AP343" s="1930"/>
      <c r="AQ343" s="1930"/>
      <c r="AR343" s="1930"/>
      <c r="AS343" s="1930"/>
      <c r="AT343" s="1930"/>
      <c r="AU343" s="1930"/>
      <c r="AV343" s="1930"/>
      <c r="AW343" s="1930"/>
      <c r="AX343" s="1930"/>
      <c r="AY343" s="1930"/>
      <c r="AZ343" s="1930"/>
      <c r="BA343" s="1930"/>
    </row>
    <row r="344" spans="1:54" s="1930" customFormat="1" ht="15" hidden="1" customHeight="1" outlineLevel="1" thickBot="1" x14ac:dyDescent="0.3">
      <c r="A344" s="123"/>
      <c r="B344" s="123"/>
      <c r="C344" s="328"/>
      <c r="D344" s="4371"/>
      <c r="E344" s="2935" t="s">
        <v>152</v>
      </c>
      <c r="F344" s="2936">
        <v>4380</v>
      </c>
      <c r="G344" s="4434" t="s">
        <v>128</v>
      </c>
      <c r="H344" s="4434"/>
      <c r="I344" s="123"/>
      <c r="J344" s="123"/>
      <c r="K344" s="123"/>
      <c r="L344" s="123"/>
      <c r="M344" s="123"/>
      <c r="N344" s="123"/>
      <c r="O344" s="123"/>
      <c r="P344" s="123"/>
      <c r="Q344" s="123"/>
      <c r="R344" s="123"/>
      <c r="S344" s="123"/>
      <c r="T344" s="123"/>
      <c r="U344" s="123"/>
      <c r="V344" s="4391"/>
      <c r="W344" s="2942"/>
      <c r="X344" s="2942"/>
      <c r="Y344" s="2937"/>
      <c r="Z344" s="2937"/>
      <c r="AA344" s="2937"/>
      <c r="AB344" s="2937"/>
      <c r="AC344" s="2936">
        <v>4380</v>
      </c>
      <c r="AD344" s="2942"/>
      <c r="AE344" s="2942"/>
      <c r="AF344" s="2942"/>
      <c r="AG344" s="2942"/>
      <c r="BB344" s="950"/>
    </row>
    <row r="345" spans="1:54" hidden="1" outlineLevel="1" x14ac:dyDescent="0.25">
      <c r="D345" s="2072" t="s">
        <v>160</v>
      </c>
      <c r="E345" s="2072" t="s">
        <v>2163</v>
      </c>
      <c r="F345" s="2933">
        <v>1.1000000000000001</v>
      </c>
      <c r="G345" s="4429" t="s">
        <v>162</v>
      </c>
      <c r="H345" s="4429"/>
      <c r="V345" s="3098" t="str">
        <f t="shared" si="84"/>
        <v>WHF_Nres</v>
      </c>
      <c r="W345" s="2938">
        <v>1.1000000000000001</v>
      </c>
      <c r="X345" s="2938">
        <v>1.1000000000000001</v>
      </c>
      <c r="Y345" s="2933">
        <v>1.1000000000000001</v>
      </c>
      <c r="Z345" s="2933">
        <v>1.1000000000000001</v>
      </c>
      <c r="AA345" s="2933">
        <v>1.1000000000000001</v>
      </c>
      <c r="AB345" s="2933">
        <v>1.1000000000000001</v>
      </c>
      <c r="AC345" s="2933">
        <v>1.1000000000000001</v>
      </c>
      <c r="AD345" s="2938"/>
      <c r="AE345" s="2938"/>
      <c r="AF345" s="2938"/>
      <c r="AG345" s="2938"/>
      <c r="AH345" s="1930"/>
      <c r="AI345" s="1930"/>
      <c r="AJ345" s="1930"/>
      <c r="AK345" s="1930"/>
      <c r="AL345" s="1930"/>
      <c r="AM345" s="1930"/>
      <c r="AN345" s="1930"/>
      <c r="AO345" s="1930"/>
      <c r="AP345" s="1930"/>
      <c r="AQ345" s="1930"/>
      <c r="AR345" s="1930"/>
      <c r="AS345" s="1930"/>
      <c r="AT345" s="1930"/>
      <c r="AU345" s="1930"/>
      <c r="AV345" s="1930"/>
      <c r="AW345" s="1930"/>
      <c r="AX345" s="1930"/>
      <c r="AY345" s="1930"/>
      <c r="AZ345" s="1930"/>
      <c r="BA345" s="1930"/>
    </row>
    <row r="346" spans="1:54" ht="15.75" hidden="1" outlineLevel="1" thickBot="1" x14ac:dyDescent="0.3">
      <c r="D346" s="2919" t="s">
        <v>163</v>
      </c>
      <c r="E346" s="2919" t="s">
        <v>135</v>
      </c>
      <c r="F346" s="2947">
        <v>1</v>
      </c>
      <c r="G346" s="4430" t="s">
        <v>2165</v>
      </c>
      <c r="H346" s="4430"/>
      <c r="V346" s="3101" t="str">
        <f t="shared" si="84"/>
        <v>%Res</v>
      </c>
      <c r="W346" s="2947">
        <v>1</v>
      </c>
      <c r="X346" s="2947">
        <v>1</v>
      </c>
      <c r="Y346" s="2947">
        <v>1</v>
      </c>
      <c r="Z346" s="2947">
        <v>1</v>
      </c>
      <c r="AA346" s="2947">
        <v>1</v>
      </c>
      <c r="AB346" s="2947">
        <v>1</v>
      </c>
      <c r="AC346" s="2947">
        <v>1</v>
      </c>
      <c r="AD346" s="2947"/>
      <c r="AE346" s="2947"/>
      <c r="AF346" s="2947"/>
      <c r="AG346" s="2947"/>
      <c r="AH346" s="1930"/>
      <c r="AI346" s="1930"/>
      <c r="AJ346" s="1930"/>
      <c r="AK346" s="1930"/>
      <c r="AL346" s="1930"/>
      <c r="AM346" s="1930"/>
      <c r="AN346" s="1930"/>
      <c r="AO346" s="1930"/>
      <c r="AP346" s="1930"/>
      <c r="AQ346" s="1930"/>
      <c r="AR346" s="1930"/>
      <c r="AS346" s="1930"/>
      <c r="AT346" s="1930"/>
      <c r="AU346" s="1930"/>
      <c r="AV346" s="1930"/>
      <c r="AW346" s="1930"/>
      <c r="AX346" s="1930"/>
      <c r="AY346" s="1930"/>
      <c r="AZ346" s="1930"/>
      <c r="BA346" s="1930"/>
    </row>
    <row r="347" spans="1:54" hidden="1" outlineLevel="1" x14ac:dyDescent="0.25">
      <c r="B347" s="1233"/>
      <c r="C347" s="225"/>
      <c r="D347" s="4469" t="s">
        <v>542</v>
      </c>
      <c r="E347" s="2950" t="s">
        <v>150</v>
      </c>
      <c r="F347" s="2949">
        <v>19</v>
      </c>
      <c r="G347" s="4431"/>
      <c r="H347" s="4431"/>
      <c r="K347" s="249"/>
      <c r="L347" s="249"/>
      <c r="M347" s="1159"/>
      <c r="N347" s="249"/>
      <c r="O347" s="249"/>
      <c r="P347" s="249"/>
      <c r="Q347" s="249"/>
      <c r="V347" s="4469" t="str">
        <f>D347</f>
        <v xml:space="preserve">EUL </v>
      </c>
      <c r="W347" s="2945">
        <v>19</v>
      </c>
      <c r="X347" s="2945">
        <v>19</v>
      </c>
      <c r="Y347" s="2945">
        <v>19</v>
      </c>
      <c r="Z347" s="2945">
        <v>19</v>
      </c>
      <c r="AA347" s="2945">
        <v>19</v>
      </c>
      <c r="AB347" s="2945">
        <v>19</v>
      </c>
      <c r="AC347" s="2945">
        <v>19</v>
      </c>
      <c r="AD347" s="2946"/>
      <c r="AE347" s="2946"/>
      <c r="AF347" s="2946"/>
      <c r="AG347" s="2946"/>
      <c r="AH347" s="1930"/>
      <c r="AI347" s="1930"/>
      <c r="AJ347" s="1930"/>
      <c r="AK347" s="1930"/>
      <c r="AL347" s="1930"/>
      <c r="AM347" s="1930"/>
      <c r="AN347" s="1930"/>
      <c r="AO347" s="1930"/>
      <c r="AP347" s="1930"/>
      <c r="AQ347" s="1930"/>
      <c r="AR347" s="1930"/>
      <c r="AS347" s="1930"/>
      <c r="AT347" s="1930"/>
      <c r="AU347" s="1930"/>
      <c r="AV347" s="1930"/>
      <c r="AW347" s="1930"/>
      <c r="AX347" s="1930"/>
      <c r="AY347" s="1930"/>
      <c r="AZ347" s="1930"/>
      <c r="BA347" s="1930"/>
    </row>
    <row r="348" spans="1:54" s="1930" customFormat="1" ht="54" hidden="1" customHeight="1" outlineLevel="1" thickBot="1" x14ac:dyDescent="0.3">
      <c r="A348" s="123"/>
      <c r="B348" s="1233"/>
      <c r="C348" s="225"/>
      <c r="D348" s="3869"/>
      <c r="E348" s="2951" t="s">
        <v>152</v>
      </c>
      <c r="F348" s="2948">
        <f>MIN(19, ROUND(100000/F337,0))</f>
        <v>19</v>
      </c>
      <c r="G348" s="4470" t="s">
        <v>168</v>
      </c>
      <c r="H348" s="4470"/>
      <c r="I348" s="123"/>
      <c r="J348" s="123"/>
      <c r="K348" s="249"/>
      <c r="L348" s="249"/>
      <c r="M348" s="1159"/>
      <c r="N348" s="249"/>
      <c r="O348" s="249"/>
      <c r="P348" s="249"/>
      <c r="Q348" s="249"/>
      <c r="R348" s="123"/>
      <c r="S348" s="123"/>
      <c r="T348" s="123"/>
      <c r="U348" s="123"/>
      <c r="V348" s="3869"/>
      <c r="W348" s="3104"/>
      <c r="X348" s="3104"/>
      <c r="Y348" s="3104"/>
      <c r="Z348" s="3104"/>
      <c r="AA348" s="3104"/>
      <c r="AB348" s="3104"/>
      <c r="AC348" s="2948">
        <v>19</v>
      </c>
      <c r="AD348" s="2944"/>
      <c r="AE348" s="2944"/>
      <c r="AF348" s="2944"/>
      <c r="AG348" s="2944"/>
      <c r="BB348" s="950"/>
    </row>
    <row r="349" spans="1:54" ht="15" hidden="1" customHeight="1" outlineLevel="1" x14ac:dyDescent="0.25">
      <c r="B349" s="1233"/>
      <c r="C349" s="225"/>
      <c r="D349" s="4432" t="s">
        <v>170</v>
      </c>
      <c r="E349" s="2374" t="str">
        <f t="shared" ref="E349:E361" si="87">E321</f>
        <v>LED - 10W (CFL baseline) (750-1049 lumens)</v>
      </c>
      <c r="F349" s="2375">
        <v>2.0299999999999998</v>
      </c>
      <c r="G349" s="4433"/>
      <c r="H349" s="4433"/>
      <c r="K349" s="249"/>
      <c r="L349" s="249"/>
      <c r="M349" s="1159"/>
      <c r="N349" s="249"/>
      <c r="O349" s="249"/>
      <c r="P349" s="249"/>
      <c r="Q349" s="249"/>
      <c r="V349" s="4423" t="str">
        <f>D349</f>
        <v>Inc. Cost</v>
      </c>
      <c r="W349" s="2375">
        <v>2.0299999999999998</v>
      </c>
      <c r="X349" s="2375">
        <v>2.0299999999999998</v>
      </c>
      <c r="Y349" s="2375">
        <v>2.0299999999999998</v>
      </c>
      <c r="Z349" s="2375">
        <v>2.0299999999999998</v>
      </c>
      <c r="AA349" s="2375">
        <v>2.0299999999999998</v>
      </c>
      <c r="AB349" s="2375">
        <v>2.0299999999999998</v>
      </c>
      <c r="AC349" s="2375">
        <v>2.0299999999999998</v>
      </c>
      <c r="AD349" s="2376"/>
      <c r="AE349" s="2376"/>
      <c r="AF349" s="2376"/>
      <c r="AG349" s="2376"/>
      <c r="AH349" s="1930"/>
      <c r="AI349" s="1930"/>
      <c r="AJ349" s="1930"/>
      <c r="AK349" s="1930"/>
      <c r="AL349" s="1930"/>
      <c r="AM349" s="1930"/>
      <c r="AN349" s="1930"/>
      <c r="AO349" s="1930"/>
      <c r="AP349" s="1930"/>
      <c r="AQ349" s="1930"/>
      <c r="AR349" s="1930"/>
      <c r="AS349" s="1930"/>
      <c r="AT349" s="1930"/>
      <c r="AU349" s="1930"/>
      <c r="AV349" s="1930"/>
      <c r="AW349" s="1930"/>
      <c r="AX349" s="1930"/>
      <c r="AY349" s="1930"/>
      <c r="AZ349" s="1930"/>
      <c r="BA349" s="1930"/>
    </row>
    <row r="350" spans="1:54" ht="15" hidden="1" customHeight="1" outlineLevel="1" x14ac:dyDescent="0.25">
      <c r="D350" s="3910"/>
      <c r="E350" s="3122" t="str">
        <f t="shared" si="87"/>
        <v>LED - 10W (Halogen baseline) (750-1049 lumens)</v>
      </c>
      <c r="F350" s="1199">
        <v>2.0299999999999998</v>
      </c>
      <c r="G350" s="3746"/>
      <c r="H350" s="3746"/>
      <c r="V350" s="3890"/>
      <c r="W350" s="1199">
        <v>2.0299999999999998</v>
      </c>
      <c r="X350" s="1199">
        <v>2.0299999999999998</v>
      </c>
      <c r="Y350" s="1199">
        <v>2.0299999999999998</v>
      </c>
      <c r="Z350" s="1199">
        <v>2.0299999999999998</v>
      </c>
      <c r="AA350" s="1199">
        <v>2.0299999999999998</v>
      </c>
      <c r="AB350" s="1199">
        <v>2.0299999999999998</v>
      </c>
      <c r="AC350" s="1199">
        <v>2.0299999999999998</v>
      </c>
      <c r="AD350" s="1231"/>
      <c r="AE350" s="1231"/>
      <c r="AF350" s="1231"/>
      <c r="AG350" s="1231"/>
      <c r="AH350" s="1930"/>
      <c r="AI350" s="1930"/>
      <c r="AJ350" s="1930"/>
      <c r="AK350" s="1930"/>
      <c r="AL350" s="1930"/>
      <c r="AM350" s="1930"/>
      <c r="AN350" s="1930"/>
      <c r="AO350" s="1930"/>
      <c r="AP350" s="1930"/>
      <c r="AQ350" s="1930"/>
      <c r="AR350" s="1930"/>
      <c r="AS350" s="1930"/>
      <c r="AT350" s="1930"/>
      <c r="AU350" s="1930"/>
      <c r="AV350" s="1930"/>
      <c r="AW350" s="1930"/>
      <c r="AX350" s="1930"/>
      <c r="AY350" s="1930"/>
      <c r="AZ350" s="1930"/>
      <c r="BA350" s="1930"/>
    </row>
    <row r="351" spans="1:54" ht="15" hidden="1" customHeight="1" outlineLevel="1" x14ac:dyDescent="0.25">
      <c r="D351" s="3910"/>
      <c r="E351" s="3122" t="str">
        <f t="shared" si="87"/>
        <v>LED - 12W Dimmable Light Bulb (Replacing CFL)</v>
      </c>
      <c r="F351" s="1199">
        <v>4.1399999999999997</v>
      </c>
      <c r="G351" s="3746"/>
      <c r="H351" s="3746"/>
      <c r="V351" s="3890"/>
      <c r="W351" s="1199">
        <v>4.1399999999999997</v>
      </c>
      <c r="X351" s="1199">
        <v>4.1399999999999997</v>
      </c>
      <c r="Y351" s="1199">
        <v>4.1399999999999997</v>
      </c>
      <c r="Z351" s="1199">
        <v>4.1399999999999997</v>
      </c>
      <c r="AA351" s="1199">
        <v>4.1399999999999997</v>
      </c>
      <c r="AB351" s="1199">
        <v>4.1399999999999997</v>
      </c>
      <c r="AC351" s="1199">
        <v>4.1399999999999997</v>
      </c>
      <c r="AD351" s="1231"/>
      <c r="AE351" s="1231"/>
      <c r="AF351" s="1231"/>
      <c r="AG351" s="1231"/>
      <c r="AH351" s="1930"/>
      <c r="AI351" s="1930"/>
      <c r="AJ351" s="1930"/>
      <c r="AK351" s="1930"/>
      <c r="AL351" s="1930"/>
      <c r="AM351" s="1930"/>
      <c r="AN351" s="1930"/>
      <c r="AO351" s="1930"/>
      <c r="AP351" s="1930"/>
      <c r="AQ351" s="1930"/>
      <c r="AR351" s="1930"/>
      <c r="AS351" s="1930"/>
      <c r="AT351" s="1930"/>
      <c r="AU351" s="1930"/>
      <c r="AV351" s="1930"/>
      <c r="AW351" s="1930"/>
      <c r="AX351" s="1930"/>
      <c r="AY351" s="1930"/>
      <c r="AZ351" s="1930"/>
      <c r="BA351" s="1930"/>
    </row>
    <row r="352" spans="1:54" ht="15" hidden="1" customHeight="1" outlineLevel="1" x14ac:dyDescent="0.25">
      <c r="D352" s="3910"/>
      <c r="E352" s="3122" t="str">
        <f t="shared" si="87"/>
        <v>LED - 12W Dimmable Light Bulb (Replacing Specialty Incandescent)</v>
      </c>
      <c r="F352" s="1199">
        <v>4.1399999999999997</v>
      </c>
      <c r="G352" s="3746"/>
      <c r="H352" s="3746"/>
      <c r="V352" s="3890"/>
      <c r="W352" s="1199">
        <v>4.1399999999999997</v>
      </c>
      <c r="X352" s="1199">
        <v>4.1399999999999997</v>
      </c>
      <c r="Y352" s="1199">
        <v>4.1399999999999997</v>
      </c>
      <c r="Z352" s="1199">
        <v>4.1399999999999997</v>
      </c>
      <c r="AA352" s="1199">
        <v>4.1399999999999997</v>
      </c>
      <c r="AB352" s="1199">
        <v>4.1399999999999997</v>
      </c>
      <c r="AC352" s="1199">
        <v>4.1399999999999997</v>
      </c>
      <c r="AD352" s="1231"/>
      <c r="AE352" s="1231"/>
      <c r="AF352" s="1231"/>
      <c r="AG352" s="1231"/>
      <c r="AH352" s="1930"/>
      <c r="AI352" s="1930"/>
      <c r="AJ352" s="1930"/>
      <c r="AK352" s="1930"/>
      <c r="AL352" s="1930"/>
      <c r="AM352" s="1930"/>
      <c r="AN352" s="1930"/>
      <c r="AO352" s="1930"/>
      <c r="AP352" s="1930"/>
      <c r="AQ352" s="1930"/>
      <c r="AR352" s="1930"/>
      <c r="AS352" s="1930"/>
      <c r="AT352" s="1930"/>
      <c r="AU352" s="1930"/>
      <c r="AV352" s="1930"/>
      <c r="AW352" s="1930"/>
      <c r="AX352" s="1930"/>
      <c r="AY352" s="1930"/>
      <c r="AZ352" s="1930"/>
      <c r="BA352" s="1930"/>
    </row>
    <row r="353" spans="1:57" ht="15" hidden="1" customHeight="1" outlineLevel="1" x14ac:dyDescent="0.25">
      <c r="D353" s="3910"/>
      <c r="E353" s="3122" t="str">
        <f t="shared" si="87"/>
        <v>LED - 12W (Halogen baseline)</v>
      </c>
      <c r="F353" s="1199">
        <f>'Income Eligible Deemed Table'!$Q$1125</f>
        <v>4.72</v>
      </c>
      <c r="G353" s="3746"/>
      <c r="H353" s="3746"/>
      <c r="V353" s="3890"/>
      <c r="W353" s="1199">
        <f>'Income Eligible Deemed Table'!$Q$1125</f>
        <v>4.72</v>
      </c>
      <c r="X353" s="1199">
        <v>4.72</v>
      </c>
      <c r="Y353" s="1199">
        <v>4.72</v>
      </c>
      <c r="Z353" s="1199">
        <v>4.72</v>
      </c>
      <c r="AA353" s="1199">
        <v>4.72</v>
      </c>
      <c r="AB353" s="1199">
        <v>4.72</v>
      </c>
      <c r="AC353" s="1199">
        <v>4.72</v>
      </c>
      <c r="AD353" s="1231"/>
      <c r="AE353" s="1231"/>
      <c r="AF353" s="1231"/>
      <c r="AG353" s="1231"/>
      <c r="AH353" s="1930"/>
      <c r="AI353" s="1930"/>
      <c r="AJ353" s="1930"/>
      <c r="AK353" s="1930"/>
      <c r="AL353" s="1930"/>
      <c r="AM353" s="1930"/>
      <c r="AN353" s="1930"/>
      <c r="AO353" s="1930"/>
      <c r="AP353" s="1930"/>
      <c r="AQ353" s="1930"/>
      <c r="AR353" s="1930"/>
      <c r="AS353" s="1930"/>
      <c r="AT353" s="1930"/>
      <c r="AU353" s="1930"/>
      <c r="AV353" s="1930"/>
      <c r="AW353" s="1930"/>
      <c r="AX353" s="1930"/>
      <c r="AY353" s="1930"/>
      <c r="AZ353" s="1930"/>
      <c r="BA353" s="1930"/>
    </row>
    <row r="354" spans="1:57" ht="15" hidden="1" customHeight="1" outlineLevel="1" x14ac:dyDescent="0.25">
      <c r="D354" s="3910"/>
      <c r="E354" s="3122" t="str">
        <f t="shared" si="87"/>
        <v>LED - 12W (Replacing CFL)</v>
      </c>
      <c r="F354" s="1199">
        <f>$P$279</f>
        <v>4.72</v>
      </c>
      <c r="G354" s="3746"/>
      <c r="H354" s="3746"/>
      <c r="V354" s="3890"/>
      <c r="W354" s="1199">
        <f>$P$279</f>
        <v>4.72</v>
      </c>
      <c r="X354" s="1199">
        <v>4.72</v>
      </c>
      <c r="Y354" s="1199">
        <v>4.72</v>
      </c>
      <c r="Z354" s="1199">
        <v>4.72</v>
      </c>
      <c r="AA354" s="1199">
        <v>4.72</v>
      </c>
      <c r="AB354" s="1199">
        <v>4.72</v>
      </c>
      <c r="AC354" s="1199">
        <v>4.72</v>
      </c>
      <c r="AD354" s="1231"/>
      <c r="AE354" s="1231"/>
      <c r="AF354" s="1231"/>
      <c r="AG354" s="1231"/>
      <c r="AH354" s="1930"/>
      <c r="AI354" s="1930"/>
      <c r="AJ354" s="1930"/>
      <c r="AK354" s="1930"/>
      <c r="AL354" s="1930"/>
      <c r="AM354" s="1930"/>
      <c r="AN354" s="1930"/>
      <c r="AO354" s="1930"/>
      <c r="AP354" s="1930"/>
      <c r="AQ354" s="1930"/>
      <c r="AR354" s="1930"/>
      <c r="AS354" s="1930"/>
      <c r="AT354" s="1930"/>
      <c r="AU354" s="1930"/>
      <c r="AV354" s="1930"/>
      <c r="AW354" s="1930"/>
      <c r="AX354" s="1930"/>
      <c r="AY354" s="1930"/>
      <c r="AZ354" s="1930"/>
      <c r="BA354" s="1930"/>
    </row>
    <row r="355" spans="1:57" ht="15" hidden="1" customHeight="1" outlineLevel="1" x14ac:dyDescent="0.25">
      <c r="D355" s="3910"/>
      <c r="E355" s="3122" t="str">
        <f t="shared" si="87"/>
        <v>LED - 15W (Halogen baseline) (1050-1489 lumens)</v>
      </c>
      <c r="F355" s="1199">
        <f>'Income Eligible Deemed Table'!$Q$1127</f>
        <v>6.27</v>
      </c>
      <c r="G355" s="3746"/>
      <c r="H355" s="3746"/>
      <c r="V355" s="3890"/>
      <c r="W355" s="1199">
        <f>'Income Eligible Deemed Table'!$Q$1127</f>
        <v>6.27</v>
      </c>
      <c r="X355" s="1199">
        <v>6.27</v>
      </c>
      <c r="Y355" s="1199">
        <v>6.27</v>
      </c>
      <c r="Z355" s="1199">
        <v>6.27</v>
      </c>
      <c r="AA355" s="1199">
        <v>6.27</v>
      </c>
      <c r="AB355" s="1199">
        <v>6.27</v>
      </c>
      <c r="AC355" s="1199">
        <v>6.27</v>
      </c>
      <c r="AD355" s="1231"/>
      <c r="AE355" s="1231"/>
      <c r="AF355" s="1231"/>
      <c r="AG355" s="1231"/>
      <c r="AH355" s="1930"/>
      <c r="AI355" s="1930"/>
      <c r="AJ355" s="1930"/>
      <c r="AK355" s="1930"/>
      <c r="AL355" s="1930"/>
      <c r="AM355" s="1930"/>
      <c r="AN355" s="1930"/>
      <c r="AO355" s="1930"/>
      <c r="AP355" s="1930"/>
      <c r="AQ355" s="1930"/>
      <c r="AR355" s="1930"/>
      <c r="AS355" s="1930"/>
      <c r="AT355" s="1930"/>
      <c r="AU355" s="1930"/>
      <c r="AV355" s="1930"/>
      <c r="AW355" s="1930"/>
      <c r="AX355" s="1930"/>
      <c r="AY355" s="1930"/>
      <c r="AZ355" s="1930"/>
      <c r="BA355" s="1930"/>
    </row>
    <row r="356" spans="1:57" ht="15" hidden="1" customHeight="1" outlineLevel="1" x14ac:dyDescent="0.25">
      <c r="D356" s="3910"/>
      <c r="E356" s="3122" t="str">
        <f t="shared" si="87"/>
        <v>LED - 15W (CFL baseline) (1050-1489 lumens)</v>
      </c>
      <c r="F356" s="1199">
        <f>$P$281</f>
        <v>6.27</v>
      </c>
      <c r="G356" s="3746"/>
      <c r="H356" s="3746"/>
      <c r="V356" s="3890"/>
      <c r="W356" s="1199">
        <f>$P$281</f>
        <v>6.27</v>
      </c>
      <c r="X356" s="1199">
        <v>6.27</v>
      </c>
      <c r="Y356" s="1199">
        <v>6.27</v>
      </c>
      <c r="Z356" s="1199">
        <v>6.27</v>
      </c>
      <c r="AA356" s="1199">
        <v>6.27</v>
      </c>
      <c r="AB356" s="1199">
        <v>6.27</v>
      </c>
      <c r="AC356" s="1199">
        <v>6.27</v>
      </c>
      <c r="AD356" s="1231"/>
      <c r="AE356" s="1231"/>
      <c r="AF356" s="1231"/>
      <c r="AG356" s="1231"/>
      <c r="AH356" s="1930"/>
      <c r="AI356" s="1930"/>
      <c r="AJ356" s="1930"/>
      <c r="AK356" s="1930"/>
      <c r="AL356" s="1930"/>
      <c r="AM356" s="1930"/>
      <c r="AN356" s="1930"/>
      <c r="AO356" s="1930"/>
      <c r="AP356" s="1930"/>
      <c r="AQ356" s="1930"/>
      <c r="AR356" s="1930"/>
      <c r="AS356" s="1930"/>
      <c r="AT356" s="1930"/>
      <c r="AU356" s="1930"/>
      <c r="AV356" s="1930"/>
      <c r="AW356" s="1930"/>
      <c r="AX356" s="1930"/>
      <c r="AY356" s="1930"/>
      <c r="AZ356" s="1930"/>
      <c r="BA356" s="1930"/>
      <c r="BC356" s="1930"/>
      <c r="BD356" s="1930"/>
      <c r="BE356" s="1930"/>
    </row>
    <row r="357" spans="1:57" ht="15" hidden="1" customHeight="1" outlineLevel="1" x14ac:dyDescent="0.25">
      <c r="D357" s="3910"/>
      <c r="E357" s="3122" t="str">
        <f t="shared" si="87"/>
        <v>LED - 20W (Halogen baseline) (1490-2600 lumens)</v>
      </c>
      <c r="F357" s="1199">
        <f>'Income Eligible Deemed Table'!$Q$1131</f>
        <v>7.83</v>
      </c>
      <c r="G357" s="3746"/>
      <c r="H357" s="3746"/>
      <c r="V357" s="3890"/>
      <c r="W357" s="1199">
        <f>'Income Eligible Deemed Table'!$Q$1131</f>
        <v>7.83</v>
      </c>
      <c r="X357" s="1199">
        <v>7.83</v>
      </c>
      <c r="Y357" s="1199">
        <v>7.83</v>
      </c>
      <c r="Z357" s="1199">
        <v>7.83</v>
      </c>
      <c r="AA357" s="1199">
        <v>7.83</v>
      </c>
      <c r="AB357" s="1199">
        <v>7.83</v>
      </c>
      <c r="AC357" s="1199">
        <v>7.83</v>
      </c>
      <c r="AD357" s="1231"/>
      <c r="AE357" s="1231"/>
      <c r="AF357" s="1231"/>
      <c r="AG357" s="1231"/>
      <c r="AH357" s="1930"/>
      <c r="AI357" s="1930"/>
      <c r="AJ357" s="1930"/>
      <c r="AK357" s="1930"/>
      <c r="AL357" s="1930"/>
      <c r="AM357" s="1930"/>
      <c r="AN357" s="1930"/>
      <c r="AO357" s="1930"/>
      <c r="AP357" s="1930"/>
      <c r="AQ357" s="1930"/>
      <c r="AR357" s="1930"/>
      <c r="AS357" s="1930"/>
      <c r="AT357" s="1930"/>
      <c r="AU357" s="1930"/>
      <c r="AV357" s="1930"/>
      <c r="AW357" s="1930"/>
      <c r="AX357" s="1930"/>
      <c r="AY357" s="1930"/>
      <c r="AZ357" s="1930"/>
      <c r="BA357" s="1930"/>
      <c r="BC357" s="1930"/>
      <c r="BD357" s="1930"/>
      <c r="BE357" s="1930"/>
    </row>
    <row r="358" spans="1:57" ht="15" hidden="1" customHeight="1" outlineLevel="1" x14ac:dyDescent="0.25">
      <c r="D358" s="3910"/>
      <c r="E358" s="3122" t="str">
        <f t="shared" si="87"/>
        <v>LED - 20W (CFL baseline) (1490-2600 lumens)</v>
      </c>
      <c r="F358" s="1199">
        <f>$P$283</f>
        <v>7.83</v>
      </c>
      <c r="G358" s="3746"/>
      <c r="H358" s="3746"/>
      <c r="V358" s="3890"/>
      <c r="W358" s="1199">
        <f>$P$283</f>
        <v>7.83</v>
      </c>
      <c r="X358" s="1199">
        <v>7.83</v>
      </c>
      <c r="Y358" s="1199">
        <v>7.83</v>
      </c>
      <c r="Z358" s="1199">
        <v>7.83</v>
      </c>
      <c r="AA358" s="1199">
        <v>7.83</v>
      </c>
      <c r="AB358" s="1199">
        <v>7.83</v>
      </c>
      <c r="AC358" s="1199">
        <v>7.83</v>
      </c>
      <c r="AD358" s="1231"/>
      <c r="AE358" s="1231"/>
      <c r="AF358" s="1231"/>
      <c r="AG358" s="1231"/>
      <c r="AH358" s="1930"/>
      <c r="AI358" s="1930"/>
      <c r="AJ358" s="1930"/>
      <c r="AK358" s="1930"/>
      <c r="AL358" s="1930"/>
      <c r="AM358" s="1930"/>
      <c r="AN358" s="1930"/>
      <c r="AO358" s="1930"/>
      <c r="AP358" s="1930"/>
      <c r="AQ358" s="1930"/>
      <c r="AR358" s="1930"/>
      <c r="AS358" s="1930"/>
      <c r="AT358" s="1930"/>
      <c r="AU358" s="1930"/>
      <c r="AV358" s="1930"/>
      <c r="AW358" s="1930"/>
      <c r="AX358" s="1930"/>
      <c r="AY358" s="1930"/>
      <c r="AZ358" s="1930"/>
      <c r="BA358" s="1930"/>
      <c r="BC358" s="1930"/>
      <c r="BD358" s="1930"/>
      <c r="BE358" s="1930"/>
    </row>
    <row r="359" spans="1:57" s="1930" customFormat="1" ht="15" hidden="1" customHeight="1" outlineLevel="1" x14ac:dyDescent="0.25">
      <c r="A359" s="123"/>
      <c r="B359" s="123"/>
      <c r="C359" s="328"/>
      <c r="D359" s="3910"/>
      <c r="E359" s="3122" t="str">
        <f t="shared" si="87"/>
        <v>LED - 11W Flood Light BR30 Bulb (Halogen baseline)</v>
      </c>
      <c r="F359" s="1199">
        <v>1.66</v>
      </c>
      <c r="G359" s="3746" t="s">
        <v>121</v>
      </c>
      <c r="H359" s="3746"/>
      <c r="I359" s="123"/>
      <c r="J359" s="123"/>
      <c r="K359" s="123"/>
      <c r="L359" s="123"/>
      <c r="M359" s="123"/>
      <c r="N359" s="123"/>
      <c r="O359" s="123"/>
      <c r="P359" s="123"/>
      <c r="Q359" s="123"/>
      <c r="R359" s="123"/>
      <c r="S359" s="123"/>
      <c r="T359" s="123"/>
      <c r="U359" s="123"/>
      <c r="V359" s="3890"/>
      <c r="W359" s="1199"/>
      <c r="X359" s="1199"/>
      <c r="Y359" s="1199"/>
      <c r="Z359" s="1199"/>
      <c r="AA359" s="1199"/>
      <c r="AB359" s="1796">
        <v>1.66</v>
      </c>
      <c r="AC359" s="1199">
        <v>1.66</v>
      </c>
      <c r="AD359" s="1231"/>
      <c r="AE359" s="1231"/>
      <c r="AF359" s="1231"/>
      <c r="AG359" s="1231"/>
      <c r="BB359" s="950"/>
    </row>
    <row r="360" spans="1:57" s="1930" customFormat="1" ht="15" hidden="1" customHeight="1" outlineLevel="1" x14ac:dyDescent="0.25">
      <c r="A360" s="123"/>
      <c r="B360" s="123"/>
      <c r="C360" s="328"/>
      <c r="D360" s="3910"/>
      <c r="E360" s="3122" t="str">
        <f t="shared" si="87"/>
        <v>LED - 11W Flood Light BR30 Bulb (CFL baseline)</v>
      </c>
      <c r="F360" s="1199">
        <v>1.66</v>
      </c>
      <c r="G360" s="3746" t="s">
        <v>121</v>
      </c>
      <c r="H360" s="3746"/>
      <c r="I360" s="123"/>
      <c r="J360" s="123"/>
      <c r="K360" s="123"/>
      <c r="L360" s="123"/>
      <c r="M360" s="123"/>
      <c r="N360" s="123"/>
      <c r="O360" s="123"/>
      <c r="P360" s="123"/>
      <c r="Q360" s="123"/>
      <c r="R360" s="123"/>
      <c r="S360" s="123"/>
      <c r="T360" s="123"/>
      <c r="U360" s="123"/>
      <c r="V360" s="3890"/>
      <c r="W360" s="1199"/>
      <c r="X360" s="1199"/>
      <c r="Y360" s="1199"/>
      <c r="Z360" s="1199"/>
      <c r="AA360" s="1199"/>
      <c r="AB360" s="1796">
        <v>1.66</v>
      </c>
      <c r="AC360" s="1199">
        <v>1.66</v>
      </c>
      <c r="AD360" s="1231"/>
      <c r="AE360" s="1231"/>
      <c r="AF360" s="1231"/>
      <c r="AG360" s="1231"/>
      <c r="BB360" s="950"/>
    </row>
    <row r="361" spans="1:57" ht="15" hidden="1" customHeight="1" outlineLevel="1" x14ac:dyDescent="0.25">
      <c r="D361" s="3910"/>
      <c r="E361" s="3122" t="str">
        <f t="shared" si="87"/>
        <v>LED - 15W Flood Light PAR30 Bulb (Halogen baseline)</v>
      </c>
      <c r="F361" s="1199">
        <f>$P$288</f>
        <v>3.05</v>
      </c>
      <c r="G361" s="3746"/>
      <c r="H361" s="3746"/>
      <c r="V361" s="3890"/>
      <c r="W361" s="1199">
        <f>$P$288</f>
        <v>3.05</v>
      </c>
      <c r="X361" s="1199">
        <v>3.05</v>
      </c>
      <c r="Y361" s="1199">
        <v>3.05</v>
      </c>
      <c r="Z361" s="1199">
        <v>3.05</v>
      </c>
      <c r="AA361" s="1199">
        <v>3.05</v>
      </c>
      <c r="AB361" s="1199">
        <v>3.05</v>
      </c>
      <c r="AC361" s="1199">
        <v>3.05</v>
      </c>
      <c r="AD361" s="1231"/>
      <c r="AE361" s="1231"/>
      <c r="AF361" s="1231"/>
      <c r="AG361" s="1231"/>
      <c r="AH361" s="1930"/>
      <c r="AI361" s="1930"/>
      <c r="AJ361" s="1930"/>
      <c r="AK361" s="1930"/>
      <c r="AL361" s="1930"/>
      <c r="AM361" s="1930"/>
      <c r="AN361" s="1930"/>
      <c r="AO361" s="1930"/>
      <c r="AP361" s="1930"/>
      <c r="AQ361" s="1930"/>
      <c r="AR361" s="1930"/>
      <c r="AS361" s="1930"/>
      <c r="AT361" s="1930"/>
      <c r="AU361" s="1930"/>
      <c r="AV361" s="1930"/>
      <c r="AW361" s="1930"/>
      <c r="AX361" s="1930"/>
      <c r="AY361" s="1930"/>
      <c r="AZ361" s="1930"/>
      <c r="BA361" s="1930"/>
      <c r="BC361" s="1930"/>
      <c r="BD361" s="1930"/>
      <c r="BE361" s="1930"/>
    </row>
    <row r="362" spans="1:57" ht="15" hidden="1" customHeight="1" outlineLevel="1" x14ac:dyDescent="0.25">
      <c r="D362" s="3910"/>
      <c r="E362" s="3122" t="str">
        <f t="shared" ref="E362:E364" si="88">E334</f>
        <v>LED - 15W Flood Light PAR30 Bulb (CFL baseline)</v>
      </c>
      <c r="F362" s="1199">
        <v>3.05</v>
      </c>
      <c r="G362" s="3746"/>
      <c r="H362" s="3746"/>
      <c r="V362" s="3890"/>
      <c r="W362" s="1199">
        <v>3.05</v>
      </c>
      <c r="X362" s="1199">
        <v>3.05</v>
      </c>
      <c r="Y362" s="1199">
        <v>3.05</v>
      </c>
      <c r="Z362" s="1199">
        <v>3.05</v>
      </c>
      <c r="AA362" s="1199">
        <v>3.05</v>
      </c>
      <c r="AB362" s="1199">
        <v>3.05</v>
      </c>
      <c r="AC362" s="1199">
        <v>3.05</v>
      </c>
      <c r="AD362" s="1231"/>
      <c r="AE362" s="1231"/>
      <c r="AF362" s="1231"/>
      <c r="AG362" s="1231"/>
      <c r="AH362" s="1930"/>
      <c r="AI362" s="1930"/>
      <c r="AJ362" s="1930"/>
      <c r="AK362" s="1930"/>
      <c r="AL362" s="1930"/>
      <c r="AM362" s="1930"/>
      <c r="AN362" s="1930"/>
      <c r="AO362" s="1930"/>
      <c r="AP362" s="1930"/>
      <c r="AQ362" s="1930"/>
      <c r="AR362" s="1930"/>
      <c r="AS362" s="1930"/>
      <c r="AT362" s="1930"/>
      <c r="AU362" s="1930"/>
      <c r="AV362" s="1930"/>
      <c r="AW362" s="1930"/>
      <c r="AX362" s="1930"/>
      <c r="AY362" s="1930"/>
      <c r="AZ362" s="1930"/>
      <c r="BA362" s="1930"/>
      <c r="BC362" s="1930"/>
      <c r="BD362" s="1930"/>
      <c r="BE362" s="1930"/>
    </row>
    <row r="363" spans="1:57" s="1930" customFormat="1" ht="15" hidden="1" customHeight="1" outlineLevel="1" x14ac:dyDescent="0.25">
      <c r="A363" s="123"/>
      <c r="B363" s="123"/>
      <c r="C363" s="328"/>
      <c r="D363" s="3910"/>
      <c r="E363" s="3122" t="str">
        <f t="shared" si="88"/>
        <v xml:space="preserve">LED - 6W (Halogen baseline) (310-749 lumens) </v>
      </c>
      <c r="F363" s="1199">
        <f>F350</f>
        <v>2.0299999999999998</v>
      </c>
      <c r="G363" s="3746" t="s">
        <v>2511</v>
      </c>
      <c r="H363" s="3746"/>
      <c r="I363" s="123"/>
      <c r="J363" s="123"/>
      <c r="K363" s="123"/>
      <c r="L363" s="123"/>
      <c r="M363" s="123"/>
      <c r="N363" s="123"/>
      <c r="O363" s="123"/>
      <c r="P363" s="123"/>
      <c r="Q363" s="123"/>
      <c r="R363" s="123"/>
      <c r="S363" s="123"/>
      <c r="T363" s="123"/>
      <c r="U363" s="123"/>
      <c r="V363" s="3890"/>
      <c r="W363" s="1199"/>
      <c r="X363" s="1199"/>
      <c r="Y363" s="1199"/>
      <c r="Z363" s="1199"/>
      <c r="AA363" s="1199"/>
      <c r="AB363" s="1796">
        <v>2.0299999999999998</v>
      </c>
      <c r="AC363" s="1199">
        <v>2.0299999999999998</v>
      </c>
      <c r="AD363" s="1231"/>
      <c r="AE363" s="1231"/>
      <c r="AF363" s="1231"/>
      <c r="AG363" s="1231"/>
      <c r="BB363" s="950"/>
    </row>
    <row r="364" spans="1:57" s="1930" customFormat="1" ht="15" hidden="1" customHeight="1" outlineLevel="1" x14ac:dyDescent="0.25">
      <c r="A364" s="123"/>
      <c r="B364" s="123"/>
      <c r="C364" s="328"/>
      <c r="D364" s="3889"/>
      <c r="E364" s="2953" t="str">
        <f t="shared" si="88"/>
        <v xml:space="preserve">LED - 6W (CFL baseline) (310-749 lumens) </v>
      </c>
      <c r="F364" s="1796">
        <f>F349</f>
        <v>2.0299999999999998</v>
      </c>
      <c r="G364" s="4424" t="s">
        <v>2512</v>
      </c>
      <c r="H364" s="4424"/>
      <c r="I364" s="123"/>
      <c r="J364" s="123"/>
      <c r="K364" s="123"/>
      <c r="L364" s="123"/>
      <c r="M364" s="123"/>
      <c r="N364" s="123"/>
      <c r="O364" s="123"/>
      <c r="P364" s="123"/>
      <c r="Q364" s="123"/>
      <c r="R364" s="123"/>
      <c r="S364" s="123"/>
      <c r="T364" s="123"/>
      <c r="U364" s="123"/>
      <c r="V364" s="3890"/>
      <c r="W364" s="1199"/>
      <c r="X364" s="1199"/>
      <c r="Y364" s="1199"/>
      <c r="Z364" s="1199"/>
      <c r="AA364" s="1199"/>
      <c r="AB364" s="2952"/>
      <c r="AC364" s="1796">
        <v>2.0299999999999998</v>
      </c>
      <c r="AD364" s="1231"/>
      <c r="AE364" s="1231"/>
      <c r="AF364" s="1231"/>
      <c r="AG364" s="1231"/>
      <c r="BB364" s="950"/>
    </row>
    <row r="365" spans="1:57" ht="15" hidden="1" customHeight="1" outlineLevel="1" thickBot="1" x14ac:dyDescent="0.3">
      <c r="D365" s="3997"/>
      <c r="E365" s="2078" t="str">
        <f t="shared" ref="E365" si="89">E337</f>
        <v>LED Nightlights</v>
      </c>
      <c r="F365" s="2954">
        <v>3.35</v>
      </c>
      <c r="G365" s="4434" t="s">
        <v>128</v>
      </c>
      <c r="H365" s="4434"/>
      <c r="V365" s="3891"/>
      <c r="W365" s="1199">
        <v>0.35</v>
      </c>
      <c r="X365" s="1199">
        <v>0.35</v>
      </c>
      <c r="Y365" s="1199">
        <v>0.35</v>
      </c>
      <c r="Z365" s="1199">
        <v>0.35</v>
      </c>
      <c r="AA365" s="1199">
        <v>0.35</v>
      </c>
      <c r="AB365" s="1199">
        <v>0.35</v>
      </c>
      <c r="AC365" s="1796">
        <v>3.35</v>
      </c>
      <c r="AD365" s="1231"/>
      <c r="AE365" s="1231"/>
      <c r="AF365" s="1231"/>
      <c r="AG365" s="1231"/>
      <c r="AH365" s="1930"/>
      <c r="AI365" s="1930"/>
      <c r="AJ365" s="1930"/>
      <c r="AK365" s="1930"/>
      <c r="AL365" s="1930"/>
      <c r="AM365" s="1930"/>
      <c r="AN365" s="1930"/>
      <c r="AO365" s="1930"/>
      <c r="AP365" s="1930"/>
      <c r="AQ365" s="1930"/>
      <c r="AR365" s="1930"/>
      <c r="AS365" s="1930"/>
      <c r="AT365" s="1930"/>
      <c r="AU365" s="1930"/>
      <c r="AV365" s="1930"/>
      <c r="AW365" s="1930"/>
      <c r="AX365" s="1930"/>
      <c r="AY365" s="1930"/>
      <c r="AZ365" s="1930"/>
      <c r="BA365" s="1930"/>
      <c r="BC365" s="1930"/>
      <c r="BD365" s="1930"/>
      <c r="BE365" s="1930"/>
    </row>
    <row r="366" spans="1:57" collapsed="1" x14ac:dyDescent="0.25">
      <c r="V366" s="1930"/>
      <c r="W366" s="1930"/>
      <c r="X366" s="1930"/>
      <c r="Y366" s="1930"/>
      <c r="Z366" s="1930"/>
      <c r="AA366" s="1930"/>
      <c r="AB366" s="1930"/>
      <c r="AC366" s="1930"/>
      <c r="AD366" s="1930"/>
      <c r="AE366" s="1930"/>
      <c r="AF366" s="1930"/>
      <c r="AG366" s="1930"/>
      <c r="AH366" s="1930"/>
      <c r="AI366" s="1930"/>
      <c r="AJ366" s="1930"/>
      <c r="AK366" s="1930"/>
      <c r="AL366" s="1930"/>
      <c r="AM366" s="1930"/>
      <c r="AN366" s="1930"/>
      <c r="AO366" s="1930"/>
      <c r="AP366" s="1930"/>
      <c r="AQ366" s="1930"/>
      <c r="AR366" s="1930"/>
      <c r="AS366" s="1930"/>
      <c r="AT366" s="1930"/>
      <c r="AU366" s="1930"/>
      <c r="AV366" s="1930"/>
      <c r="AW366" s="1930"/>
      <c r="AX366" s="1930"/>
      <c r="AY366" s="1930"/>
      <c r="AZ366" s="1930"/>
      <c r="BA366" s="1930"/>
      <c r="BC366" s="1930"/>
      <c r="BD366" s="1930"/>
      <c r="BE366" s="1930"/>
    </row>
    <row r="368" spans="1:57" s="147" customFormat="1" x14ac:dyDescent="0.25">
      <c r="B368" s="3750" t="s">
        <v>2513</v>
      </c>
      <c r="C368" s="3751"/>
      <c r="D368" s="3751"/>
      <c r="E368" s="3751"/>
      <c r="F368" s="3751"/>
      <c r="G368" s="3751"/>
      <c r="H368" s="3751"/>
      <c r="I368" s="3744"/>
      <c r="J368" s="3744"/>
      <c r="K368" s="3744"/>
      <c r="L368" s="3744"/>
      <c r="M368" s="3744"/>
      <c r="N368" s="3744"/>
      <c r="O368" s="3744"/>
      <c r="P368" s="3744"/>
      <c r="Q368" s="3745"/>
      <c r="V368" s="3750" t="str">
        <f>B368</f>
        <v>Faucet Aerators (Kitchen)</v>
      </c>
      <c r="W368" s="3751"/>
      <c r="X368" s="3751"/>
      <c r="Y368" s="3751"/>
      <c r="Z368" s="3751"/>
      <c r="AA368" s="3751"/>
      <c r="AB368" s="3751"/>
      <c r="AC368" s="3752"/>
      <c r="AD368" s="3752"/>
      <c r="AE368" s="3752"/>
      <c r="AF368" s="3752"/>
      <c r="AG368" s="3752"/>
      <c r="AH368" s="3752"/>
      <c r="AI368" s="3753"/>
      <c r="AJ368" s="1930"/>
      <c r="BB368" s="844"/>
    </row>
    <row r="369" spans="3:57" ht="18" customHeight="1" x14ac:dyDescent="0.25">
      <c r="V369" s="1930"/>
      <c r="W369" s="1930"/>
      <c r="X369" s="1930"/>
      <c r="Y369" s="1930"/>
      <c r="Z369" s="1930"/>
      <c r="AA369" s="1930"/>
      <c r="AB369" s="1930"/>
      <c r="AC369" s="1930"/>
      <c r="AD369" s="1930"/>
      <c r="AE369" s="1930"/>
      <c r="AF369" s="1930"/>
      <c r="AG369" s="1930"/>
      <c r="AH369" s="1930"/>
      <c r="AI369" s="1930"/>
      <c r="AJ369" s="1930"/>
      <c r="AK369" s="1930"/>
      <c r="AL369" s="1930"/>
      <c r="AM369" s="1930"/>
      <c r="AN369" s="1930"/>
      <c r="AO369" s="1930"/>
      <c r="AP369" s="1930"/>
      <c r="AQ369" s="1930"/>
      <c r="AR369" s="1930"/>
      <c r="AS369" s="1930"/>
      <c r="AT369" s="1930"/>
      <c r="AU369" s="1930"/>
      <c r="AV369" s="1930"/>
      <c r="AW369" s="1930"/>
      <c r="AX369" s="1930"/>
      <c r="AY369" s="1930"/>
      <c r="AZ369" s="1930"/>
      <c r="BA369" s="1930"/>
      <c r="BC369" s="1930"/>
      <c r="BD369" s="1930"/>
      <c r="BE369" s="1930"/>
    </row>
    <row r="370" spans="3:57" ht="30" x14ac:dyDescent="0.25">
      <c r="C370" s="3086" t="s">
        <v>28</v>
      </c>
      <c r="D370" s="3086" t="s">
        <v>175</v>
      </c>
      <c r="E370" s="3086" t="s">
        <v>30</v>
      </c>
      <c r="F370" s="3086" t="s">
        <v>31</v>
      </c>
      <c r="G370" s="3086" t="s">
        <v>176</v>
      </c>
      <c r="H370" s="3086" t="s">
        <v>177</v>
      </c>
      <c r="I370" s="3086" t="s">
        <v>606</v>
      </c>
      <c r="J370" s="3086" t="s">
        <v>32</v>
      </c>
      <c r="K370" s="3086" t="s">
        <v>181</v>
      </c>
      <c r="L370" s="3086" t="s">
        <v>170</v>
      </c>
      <c r="M370" s="3086" t="s">
        <v>44</v>
      </c>
      <c r="V370" s="1936" t="s">
        <v>45</v>
      </c>
      <c r="W370" s="1937">
        <f>W$6</f>
        <v>43252</v>
      </c>
      <c r="X370" s="1937">
        <f t="shared" ref="X370:AG370" si="90">X$6</f>
        <v>43465</v>
      </c>
      <c r="Y370" s="1937">
        <f t="shared" si="90"/>
        <v>43800</v>
      </c>
      <c r="Z370" s="1937">
        <f t="shared" si="90"/>
        <v>43862</v>
      </c>
      <c r="AA370" s="1937">
        <f t="shared" si="90"/>
        <v>44013</v>
      </c>
      <c r="AB370" s="1937">
        <f t="shared" si="90"/>
        <v>44166</v>
      </c>
      <c r="AC370" s="1937">
        <f t="shared" si="90"/>
        <v>44531</v>
      </c>
      <c r="AD370" s="1937" t="str">
        <f t="shared" si="90"/>
        <v>-</v>
      </c>
      <c r="AE370" s="1937" t="str">
        <f t="shared" si="90"/>
        <v>-</v>
      </c>
      <c r="AF370" s="1937" t="str">
        <f t="shared" si="90"/>
        <v>-</v>
      </c>
      <c r="AG370" s="1937" t="str">
        <f t="shared" si="90"/>
        <v>-</v>
      </c>
      <c r="AH370" s="1930"/>
      <c r="AI370" s="1930"/>
      <c r="AJ370" s="1930"/>
      <c r="AK370" s="1930"/>
      <c r="AL370" s="1930"/>
      <c r="AM370" s="1930"/>
      <c r="AN370" s="1930"/>
      <c r="AO370" s="1930"/>
      <c r="AP370" s="1930"/>
      <c r="AQ370" s="1930"/>
      <c r="AR370" s="1930"/>
      <c r="AS370" s="1930"/>
      <c r="AT370" s="1930"/>
      <c r="AU370" s="1930"/>
      <c r="AV370" s="1930"/>
      <c r="AW370" s="1930"/>
      <c r="AX370" s="1930"/>
      <c r="AY370" s="1930"/>
      <c r="AZ370" s="1930"/>
      <c r="BA370" s="1930"/>
      <c r="BB370" s="1938" t="str">
        <f>$BB$6</f>
        <v>TRC (2020)</v>
      </c>
      <c r="BC370" s="1953" t="str">
        <f>$BC$6</f>
        <v>Benefit Lookup</v>
      </c>
      <c r="BD370" s="665" t="str">
        <f>$BD$6</f>
        <v>Benefits (2019 $)</v>
      </c>
      <c r="BE370" s="230" t="str">
        <f>$BE$6</f>
        <v>Incremental Cost (2019 $)</v>
      </c>
    </row>
    <row r="371" spans="3:57" x14ac:dyDescent="0.25">
      <c r="C371" s="1975" t="s">
        <v>2514</v>
      </c>
      <c r="D371" s="2667" t="s">
        <v>2406</v>
      </c>
      <c r="E371" s="1763" t="s">
        <v>2515</v>
      </c>
      <c r="F371" s="531">
        <f>ROUND(F382*(F383*F384-F385*F386)*F387*F388*F389/F390*I371*F398*F397,2)</f>
        <v>115.98</v>
      </c>
      <c r="G371" s="3227" t="s">
        <v>184</v>
      </c>
      <c r="H371" s="155">
        <f>VLOOKUP(G371,'CP FACTORS'!$A$3:$B$38, 2, FALSE)</f>
        <v>8.8731800000000003E-5</v>
      </c>
      <c r="I371" s="526">
        <f>F391*F392*(F393-F394)/(F395*F396)</f>
        <v>7.8971277842907403E-2</v>
      </c>
      <c r="J371" s="106">
        <f>ROUND(F371*H371,6)</f>
        <v>1.0291E-2</v>
      </c>
      <c r="K371" s="108">
        <f>F399</f>
        <v>10</v>
      </c>
      <c r="L371" s="1199">
        <f>F400</f>
        <v>8</v>
      </c>
      <c r="M371" s="2666" t="s">
        <v>185</v>
      </c>
      <c r="N371" s="228"/>
      <c r="O371" s="228"/>
      <c r="P371" s="228"/>
      <c r="Q371" s="228"/>
      <c r="R371" s="228"/>
      <c r="S371" s="228"/>
      <c r="T371" s="228"/>
      <c r="U371" s="228"/>
      <c r="V371" s="160" t="str">
        <f>F370</f>
        <v>kWh Annual Savings</v>
      </c>
      <c r="W371" s="421">
        <v>115.90265988240036</v>
      </c>
      <c r="X371" s="1200">
        <v>115.90265988240036</v>
      </c>
      <c r="Y371" s="1200">
        <v>115.9</v>
      </c>
      <c r="Z371" s="1200">
        <v>115.9</v>
      </c>
      <c r="AA371" s="1200">
        <v>115.9</v>
      </c>
      <c r="AB371" s="1200">
        <v>115.9</v>
      </c>
      <c r="AC371" s="527">
        <v>115.98</v>
      </c>
      <c r="AD371" s="160"/>
      <c r="AE371" s="160"/>
      <c r="AF371" s="160"/>
      <c r="AG371" s="160"/>
      <c r="AH371" s="1930"/>
      <c r="AI371" s="1930"/>
      <c r="AJ371" s="1930"/>
      <c r="AK371" s="1930"/>
      <c r="AL371" s="1930"/>
      <c r="AM371" s="1930"/>
      <c r="AN371" s="1930"/>
      <c r="AO371" s="1930"/>
      <c r="AP371" s="1930"/>
      <c r="AQ371" s="1930"/>
      <c r="AR371" s="1930"/>
      <c r="AS371" s="1930"/>
      <c r="AT371" s="1930"/>
      <c r="AU371" s="1930"/>
      <c r="AV371" s="1930"/>
      <c r="AW371" s="1930"/>
      <c r="AX371" s="1930"/>
      <c r="AY371" s="1930"/>
      <c r="AZ371" s="1930"/>
      <c r="BA371" s="1930"/>
      <c r="BB371" s="1954">
        <f>(BD371)/(BE371)</f>
        <v>5.1806769101660191</v>
      </c>
      <c r="BC371" s="3166" t="str">
        <f>CONCATENATE(G371," ",K371," Year EUL")</f>
        <v>Water Heating RES 10 Year EUL</v>
      </c>
      <c r="BD371" s="166">
        <f>(INDEX('Avoided Cost Benefits'!$C$4:$C$857,MATCH(BC371,'Avoided Cost Benefits'!$A$4:$A$857,0)))*F371</f>
        <v>39.117900218337091</v>
      </c>
      <c r="BE371" s="1956">
        <f>L371/(1.0595^(2020-2019))</f>
        <v>7.5507314771118441</v>
      </c>
    </row>
    <row r="372" spans="3:57" hidden="1" outlineLevel="1" x14ac:dyDescent="0.25">
      <c r="G372" s="1492"/>
      <c r="V372" s="1930"/>
      <c r="W372" s="1930"/>
      <c r="X372" s="1930"/>
      <c r="Y372" s="1930"/>
      <c r="Z372" s="1930"/>
      <c r="AA372" s="1930"/>
      <c r="AB372" s="1930"/>
      <c r="AC372" s="1930"/>
      <c r="AD372" s="1930"/>
      <c r="AE372" s="1930"/>
      <c r="AF372" s="1930"/>
      <c r="AG372" s="1930"/>
      <c r="AH372" s="1930"/>
      <c r="AI372" s="1930"/>
      <c r="AJ372" s="1930"/>
      <c r="AK372" s="1930"/>
      <c r="AL372" s="1930"/>
      <c r="AM372" s="1930"/>
      <c r="AN372" s="1930"/>
      <c r="AO372" s="1930"/>
      <c r="AP372" s="1930"/>
      <c r="AQ372" s="1930"/>
      <c r="AR372" s="1930"/>
      <c r="AS372" s="1930"/>
      <c r="AT372" s="1930"/>
      <c r="AU372" s="1930"/>
      <c r="AV372" s="1930"/>
      <c r="AW372" s="1930"/>
      <c r="AX372" s="1930"/>
      <c r="AY372" s="1930"/>
      <c r="AZ372" s="1930"/>
      <c r="BA372" s="1930"/>
      <c r="BC372" s="1930"/>
      <c r="BD372" s="1930"/>
      <c r="BE372" s="1930"/>
    </row>
    <row r="373" spans="3:57" hidden="1" outlineLevel="1" x14ac:dyDescent="0.25">
      <c r="D373" s="174" t="s">
        <v>108</v>
      </c>
      <c r="V373" s="1930"/>
      <c r="W373" s="1930"/>
      <c r="X373" s="1930"/>
      <c r="Y373" s="1930"/>
      <c r="Z373" s="1930"/>
      <c r="AA373" s="1930"/>
      <c r="AB373" s="1930"/>
      <c r="AC373" s="1930"/>
      <c r="AD373" s="1930"/>
      <c r="AE373" s="1930"/>
      <c r="AF373" s="1930"/>
      <c r="AG373" s="1930"/>
      <c r="AH373" s="1930"/>
      <c r="AI373" s="1930"/>
      <c r="AJ373" s="1930"/>
      <c r="AK373" s="1930"/>
      <c r="AL373" s="1930"/>
      <c r="AM373" s="1930"/>
      <c r="AN373" s="1930"/>
      <c r="AO373" s="1930"/>
      <c r="AP373" s="1930"/>
      <c r="AQ373" s="1930"/>
      <c r="AR373" s="1930"/>
      <c r="AS373" s="1930"/>
      <c r="AT373" s="1930"/>
      <c r="AU373" s="1930"/>
      <c r="AV373" s="1930"/>
      <c r="AW373" s="1930"/>
      <c r="AX373" s="1930"/>
      <c r="AY373" s="1930"/>
      <c r="AZ373" s="1930"/>
      <c r="BA373" s="1930"/>
      <c r="BC373" s="1930"/>
      <c r="BD373" s="1930"/>
      <c r="BE373" s="1930"/>
    </row>
    <row r="374" spans="3:57" hidden="1" outlineLevel="1" x14ac:dyDescent="0.25">
      <c r="V374" s="1930"/>
      <c r="W374" s="1930"/>
      <c r="X374" s="1930"/>
      <c r="Y374" s="1930"/>
      <c r="Z374" s="1930"/>
      <c r="AA374" s="1930"/>
      <c r="AB374" s="1930"/>
      <c r="AC374" s="1930"/>
      <c r="AD374" s="1930"/>
      <c r="AE374" s="1930"/>
      <c r="AF374" s="1930"/>
      <c r="AG374" s="1930"/>
      <c r="AH374" s="1930"/>
      <c r="AI374" s="1930"/>
      <c r="AJ374" s="1930"/>
      <c r="AK374" s="1930"/>
      <c r="AL374" s="1930"/>
      <c r="AM374" s="1930"/>
      <c r="AN374" s="1930"/>
      <c r="AO374" s="1930"/>
      <c r="AP374" s="1930"/>
      <c r="AQ374" s="1930"/>
      <c r="AR374" s="1930"/>
      <c r="AS374" s="1930"/>
      <c r="AT374" s="1930"/>
      <c r="AU374" s="1930"/>
      <c r="AV374" s="1930"/>
      <c r="AW374" s="1930"/>
      <c r="AX374" s="1930"/>
      <c r="AY374" s="1930"/>
      <c r="AZ374" s="1930"/>
      <c r="BA374" s="1930"/>
      <c r="BC374" s="1930"/>
      <c r="BD374" s="1930"/>
      <c r="BE374" s="1930"/>
    </row>
    <row r="375" spans="3:57" hidden="1" outlineLevel="1" x14ac:dyDescent="0.25">
      <c r="V375" s="1930"/>
      <c r="W375" s="1930"/>
      <c r="X375" s="1930"/>
      <c r="Y375" s="1930"/>
      <c r="Z375" s="1930"/>
      <c r="AA375" s="1930"/>
      <c r="AB375" s="1930"/>
      <c r="AC375" s="1930"/>
      <c r="AD375" s="1930"/>
      <c r="AE375" s="1930"/>
      <c r="AF375" s="1930"/>
      <c r="AG375" s="1930"/>
      <c r="AH375" s="1930"/>
      <c r="AI375" s="1930"/>
      <c r="AJ375" s="1930"/>
      <c r="AK375" s="1930"/>
      <c r="AL375" s="1930"/>
      <c r="AM375" s="1930"/>
      <c r="AN375" s="1930"/>
      <c r="AO375" s="1930"/>
      <c r="AP375" s="1930"/>
      <c r="AQ375" s="1930"/>
      <c r="AR375" s="1930"/>
      <c r="AS375" s="1930"/>
      <c r="AT375" s="1930"/>
      <c r="AU375" s="1930"/>
      <c r="AV375" s="1930"/>
      <c r="AW375" s="1930"/>
      <c r="AX375" s="1930"/>
      <c r="AY375" s="1930"/>
      <c r="AZ375" s="1930"/>
      <c r="BA375" s="1930"/>
      <c r="BC375" s="1930"/>
      <c r="BD375" s="1930"/>
      <c r="BE375" s="1930"/>
    </row>
    <row r="376" spans="3:57" hidden="1" outlineLevel="1" x14ac:dyDescent="0.25">
      <c r="V376" s="1930"/>
      <c r="W376" s="1930"/>
      <c r="X376" s="1930"/>
      <c r="Y376" s="1930"/>
      <c r="Z376" s="1930"/>
      <c r="AA376" s="1930"/>
      <c r="AB376" s="1930"/>
      <c r="AC376" s="1930"/>
      <c r="AD376" s="1930"/>
      <c r="AE376" s="1930"/>
      <c r="AF376" s="1930"/>
      <c r="AG376" s="1930"/>
      <c r="AH376" s="1930"/>
      <c r="AI376" s="1930"/>
      <c r="AJ376" s="1930"/>
      <c r="AK376" s="1930"/>
      <c r="AL376" s="1930"/>
      <c r="AM376" s="1930"/>
      <c r="AN376" s="1930"/>
      <c r="AO376" s="1930"/>
      <c r="AP376" s="1930"/>
      <c r="AQ376" s="1930"/>
      <c r="AR376" s="1930"/>
      <c r="AS376" s="1930"/>
      <c r="AT376" s="1930"/>
      <c r="AU376" s="1930"/>
      <c r="AV376" s="1930"/>
      <c r="AW376" s="1930"/>
      <c r="AX376" s="1930"/>
      <c r="AY376" s="1930"/>
      <c r="AZ376" s="1930"/>
      <c r="BA376" s="1930"/>
      <c r="BC376" s="1930"/>
      <c r="BD376" s="1930"/>
      <c r="BE376" s="1930"/>
    </row>
    <row r="377" spans="3:57" hidden="1" outlineLevel="1" x14ac:dyDescent="0.25">
      <c r="V377" s="1930"/>
      <c r="W377" s="1930"/>
      <c r="X377" s="1930"/>
      <c r="Y377" s="1930"/>
      <c r="Z377" s="1930"/>
      <c r="AA377" s="1930"/>
      <c r="AB377" s="1930"/>
      <c r="AC377" s="1930"/>
      <c r="AD377" s="1930"/>
      <c r="AE377" s="1930"/>
      <c r="AF377" s="1930"/>
      <c r="AG377" s="1930"/>
      <c r="AH377" s="1930"/>
      <c r="AI377" s="1930"/>
      <c r="AJ377" s="1930"/>
      <c r="AK377" s="1930"/>
      <c r="AL377" s="1930"/>
      <c r="AM377" s="1930"/>
      <c r="AN377" s="1930"/>
      <c r="AO377" s="1930"/>
      <c r="AP377" s="1930"/>
      <c r="AQ377" s="1930"/>
      <c r="AR377" s="1930"/>
      <c r="AS377" s="1930"/>
      <c r="AT377" s="1930"/>
      <c r="AU377" s="1930"/>
      <c r="AV377" s="1930"/>
      <c r="AW377" s="1930"/>
      <c r="AX377" s="1930"/>
      <c r="AY377" s="1930"/>
      <c r="AZ377" s="1930"/>
      <c r="BA377" s="1930"/>
      <c r="BC377" s="1930"/>
      <c r="BD377" s="1930"/>
      <c r="BE377" s="1930"/>
    </row>
    <row r="378" spans="3:57" hidden="1" outlineLevel="1" x14ac:dyDescent="0.25">
      <c r="V378" s="1930"/>
      <c r="W378" s="1930"/>
      <c r="X378" s="1930"/>
      <c r="Y378" s="1930"/>
      <c r="Z378" s="1930"/>
      <c r="AA378" s="1930"/>
      <c r="AB378" s="1930"/>
      <c r="AC378" s="1930"/>
      <c r="AD378" s="1930"/>
      <c r="AE378" s="1930"/>
      <c r="AF378" s="1930"/>
      <c r="AG378" s="1930"/>
      <c r="AH378" s="1930"/>
      <c r="AI378" s="1930"/>
      <c r="AJ378" s="1930"/>
      <c r="AK378" s="1930"/>
      <c r="AL378" s="1930"/>
      <c r="AM378" s="1930"/>
      <c r="AN378" s="1930"/>
      <c r="AO378" s="1930"/>
      <c r="AP378" s="1930"/>
      <c r="AQ378" s="1930"/>
      <c r="AR378" s="1930"/>
      <c r="AS378" s="1930"/>
      <c r="AT378" s="1930"/>
      <c r="AU378" s="1930"/>
      <c r="AV378" s="1930"/>
      <c r="AW378" s="1930"/>
      <c r="AX378" s="1930"/>
      <c r="AY378" s="1930"/>
      <c r="AZ378" s="1930"/>
      <c r="BA378" s="1930"/>
      <c r="BC378" s="1930"/>
      <c r="BD378" s="1930"/>
      <c r="BE378" s="1930"/>
    </row>
    <row r="379" spans="3:57" hidden="1" outlineLevel="1" x14ac:dyDescent="0.25">
      <c r="D379" s="3247"/>
      <c r="E379" s="3247"/>
      <c r="F379" s="3220"/>
      <c r="G379" s="3220"/>
      <c r="H379" s="3220"/>
      <c r="I379" s="3220"/>
      <c r="J379" s="3220"/>
      <c r="K379" s="3220"/>
      <c r="L379" s="3220"/>
      <c r="M379" s="3220"/>
      <c r="V379" s="1930"/>
      <c r="W379" s="1930"/>
      <c r="X379" s="1930"/>
      <c r="Y379" s="1930"/>
      <c r="Z379" s="1930"/>
      <c r="AA379" s="1930"/>
      <c r="AB379" s="1930"/>
      <c r="AC379" s="1930"/>
      <c r="AD379" s="1930"/>
      <c r="AE379" s="1930"/>
      <c r="AF379" s="1930"/>
      <c r="AG379" s="1930"/>
      <c r="AH379" s="1930"/>
      <c r="AI379" s="1930"/>
      <c r="AJ379" s="1930"/>
      <c r="AK379" s="1930"/>
      <c r="AL379" s="1930"/>
      <c r="AM379" s="1930"/>
      <c r="AN379" s="1930"/>
      <c r="AO379" s="1930"/>
      <c r="AP379" s="1930"/>
      <c r="AQ379" s="1930"/>
      <c r="AR379" s="1930"/>
      <c r="AS379" s="1930"/>
      <c r="AT379" s="1930"/>
      <c r="AU379" s="1930"/>
      <c r="AV379" s="1930"/>
      <c r="AW379" s="1930"/>
      <c r="AX379" s="1930"/>
      <c r="AY379" s="1930"/>
      <c r="AZ379" s="1930"/>
      <c r="BA379" s="1930"/>
      <c r="BC379" s="1930"/>
      <c r="BD379" s="1930"/>
      <c r="BE379" s="1930"/>
    </row>
    <row r="380" spans="3:57" hidden="1" outlineLevel="1" x14ac:dyDescent="0.25">
      <c r="D380" s="3247"/>
      <c r="E380" s="3247"/>
      <c r="F380" s="3220"/>
      <c r="G380" s="3220"/>
      <c r="H380" s="3220"/>
      <c r="I380" s="3220"/>
      <c r="J380" s="3220"/>
      <c r="K380" s="3220"/>
      <c r="L380" s="3220"/>
      <c r="M380" s="3220"/>
      <c r="V380" s="1930"/>
      <c r="W380" s="1930"/>
      <c r="X380" s="1930"/>
      <c r="Y380" s="1930"/>
      <c r="Z380" s="1930"/>
      <c r="AA380" s="1930"/>
      <c r="AB380" s="1930"/>
      <c r="AC380" s="1930"/>
      <c r="AD380" s="1930"/>
      <c r="AE380" s="1930"/>
      <c r="AF380" s="1930"/>
      <c r="AG380" s="1930"/>
      <c r="AH380" s="1930"/>
      <c r="AI380" s="1930"/>
      <c r="AJ380" s="1930"/>
      <c r="AK380" s="1930"/>
      <c r="AL380" s="1930"/>
      <c r="AM380" s="1930"/>
      <c r="AN380" s="1930"/>
      <c r="AO380" s="1930"/>
      <c r="AP380" s="1930"/>
      <c r="AQ380" s="1930"/>
      <c r="AR380" s="1930"/>
      <c r="AS380" s="1930"/>
      <c r="AT380" s="1930"/>
      <c r="AU380" s="1930"/>
      <c r="AV380" s="1930"/>
      <c r="AW380" s="1930"/>
      <c r="AX380" s="1930"/>
      <c r="AY380" s="1930"/>
      <c r="AZ380" s="1930"/>
      <c r="BA380" s="1930"/>
      <c r="BC380" s="1930"/>
      <c r="BD380" s="1930"/>
      <c r="BE380" s="1930"/>
    </row>
    <row r="381" spans="3:57" hidden="1" outlineLevel="1" x14ac:dyDescent="0.25">
      <c r="D381" s="3236" t="s">
        <v>109</v>
      </c>
      <c r="E381" s="3236" t="s">
        <v>110</v>
      </c>
      <c r="F381" s="3086" t="s">
        <v>112</v>
      </c>
      <c r="G381" s="3773" t="s">
        <v>187</v>
      </c>
      <c r="H381" s="3773"/>
      <c r="I381" s="3923" t="s">
        <v>113</v>
      </c>
      <c r="J381" s="4037"/>
      <c r="K381" s="3931"/>
      <c r="V381" s="1936" t="s">
        <v>45</v>
      </c>
      <c r="W381" s="1937">
        <f>W$6</f>
        <v>43252</v>
      </c>
      <c r="X381" s="1937">
        <f t="shared" ref="X381:AG381" si="91">X$6</f>
        <v>43465</v>
      </c>
      <c r="Y381" s="1937">
        <f t="shared" si="91"/>
        <v>43800</v>
      </c>
      <c r="Z381" s="1937">
        <f t="shared" si="91"/>
        <v>43862</v>
      </c>
      <c r="AA381" s="1937">
        <f t="shared" si="91"/>
        <v>44013</v>
      </c>
      <c r="AB381" s="1937">
        <f t="shared" si="91"/>
        <v>44166</v>
      </c>
      <c r="AC381" s="1937">
        <f t="shared" si="91"/>
        <v>44531</v>
      </c>
      <c r="AD381" s="1937" t="str">
        <f t="shared" si="91"/>
        <v>-</v>
      </c>
      <c r="AE381" s="1937" t="str">
        <f t="shared" si="91"/>
        <v>-</v>
      </c>
      <c r="AF381" s="1937" t="str">
        <f t="shared" si="91"/>
        <v>-</v>
      </c>
      <c r="AG381" s="1937" t="str">
        <f t="shared" si="91"/>
        <v>-</v>
      </c>
      <c r="AH381" s="1930"/>
      <c r="AI381" s="1930"/>
      <c r="AJ381" s="1930"/>
      <c r="AK381" s="1930"/>
      <c r="AL381" s="1930"/>
      <c r="AM381" s="1930"/>
      <c r="AN381" s="1930"/>
      <c r="AO381" s="1930"/>
      <c r="AP381" s="1930"/>
      <c r="AQ381" s="1930"/>
      <c r="AR381" s="1930"/>
      <c r="AS381" s="1930"/>
      <c r="AT381" s="1930"/>
      <c r="AU381" s="1930"/>
      <c r="AV381" s="1930"/>
      <c r="AW381" s="1930"/>
      <c r="AX381" s="1930"/>
      <c r="AY381" s="1930"/>
      <c r="AZ381" s="1930"/>
      <c r="BA381" s="1930"/>
      <c r="BC381" s="1930"/>
      <c r="BD381" s="1930"/>
      <c r="BE381" s="1930"/>
    </row>
    <row r="382" spans="3:57" hidden="1" outlineLevel="1" x14ac:dyDescent="0.25">
      <c r="D382" s="3089" t="s">
        <v>615</v>
      </c>
      <c r="E382" s="3089" t="s">
        <v>616</v>
      </c>
      <c r="F382" s="1040">
        <v>1</v>
      </c>
      <c r="G382" s="3867" t="s">
        <v>600</v>
      </c>
      <c r="H382" s="3867"/>
      <c r="I382" s="3785" t="s">
        <v>2516</v>
      </c>
      <c r="J382" s="3785"/>
      <c r="K382" s="3785"/>
      <c r="L382" s="3220"/>
      <c r="V382" s="3217" t="str">
        <f>D382</f>
        <v>%Electric DHW</v>
      </c>
      <c r="W382" s="489">
        <v>1</v>
      </c>
      <c r="X382" s="489">
        <v>1</v>
      </c>
      <c r="Y382" s="489">
        <v>1</v>
      </c>
      <c r="Z382" s="489">
        <v>1</v>
      </c>
      <c r="AA382" s="489">
        <v>1</v>
      </c>
      <c r="AB382" s="489">
        <v>1</v>
      </c>
      <c r="AC382" s="1040">
        <v>1</v>
      </c>
      <c r="AD382" s="489"/>
      <c r="AE382" s="489"/>
      <c r="AF382" s="489"/>
      <c r="AG382" s="489"/>
      <c r="AH382" s="1930"/>
      <c r="AI382" s="1930"/>
      <c r="AJ382" s="1930"/>
      <c r="AK382" s="1930"/>
      <c r="AL382" s="1930"/>
      <c r="AM382" s="1930"/>
      <c r="AN382" s="1930"/>
      <c r="AO382" s="1930"/>
      <c r="AP382" s="1930"/>
      <c r="AQ382" s="1930"/>
      <c r="AR382" s="1930"/>
      <c r="AS382" s="1930"/>
      <c r="AT382" s="1930"/>
      <c r="AU382" s="1930"/>
      <c r="AV382" s="1930"/>
      <c r="AW382" s="1930"/>
      <c r="AX382" s="1930"/>
      <c r="AY382" s="1930"/>
      <c r="AZ382" s="1930"/>
      <c r="BA382" s="1930"/>
      <c r="BC382" s="1930"/>
      <c r="BD382" s="1930"/>
      <c r="BE382" s="1930"/>
    </row>
    <row r="383" spans="3:57" ht="31.5" hidden="1" customHeight="1" outlineLevel="1" x14ac:dyDescent="0.25">
      <c r="D383" s="3089" t="s">
        <v>621</v>
      </c>
      <c r="E383" s="3089" t="s">
        <v>622</v>
      </c>
      <c r="F383" s="3227">
        <v>2.2000000000000002</v>
      </c>
      <c r="G383" s="3776" t="s">
        <v>623</v>
      </c>
      <c r="H383" s="3776"/>
      <c r="I383" s="3785" t="s">
        <v>1017</v>
      </c>
      <c r="J383" s="3785"/>
      <c r="K383" s="3785"/>
      <c r="L383" s="3220"/>
      <c r="V383" s="3217" t="str">
        <f t="shared" ref="V383:V398" si="92">D383</f>
        <v>GPM_base</v>
      </c>
      <c r="W383" s="481">
        <v>2.2000000000000002</v>
      </c>
      <c r="X383" s="481">
        <v>2.2000000000000002</v>
      </c>
      <c r="Y383" s="481">
        <v>2.2000000000000002</v>
      </c>
      <c r="Z383" s="481">
        <v>2.2000000000000002</v>
      </c>
      <c r="AA383" s="481">
        <v>2.2000000000000002</v>
      </c>
      <c r="AB383" s="481">
        <v>2.2000000000000002</v>
      </c>
      <c r="AC383" s="3227">
        <v>2.2000000000000002</v>
      </c>
      <c r="AD383" s="481"/>
      <c r="AE383" s="481"/>
      <c r="AF383" s="481"/>
      <c r="AG383" s="481"/>
      <c r="AH383" s="1930"/>
      <c r="AI383" s="1930"/>
      <c r="AJ383" s="1930"/>
      <c r="AK383" s="1930"/>
      <c r="AL383" s="1930"/>
      <c r="AM383" s="1930"/>
      <c r="AN383" s="1930"/>
      <c r="AO383" s="1930"/>
      <c r="AP383" s="1930"/>
      <c r="AQ383" s="1930"/>
      <c r="AR383" s="1930"/>
      <c r="AS383" s="1930"/>
      <c r="AT383" s="1930"/>
      <c r="AU383" s="1930"/>
      <c r="AV383" s="1930"/>
      <c r="AW383" s="1930"/>
      <c r="AX383" s="1930"/>
      <c r="AY383" s="1930"/>
      <c r="AZ383" s="1930"/>
      <c r="BA383" s="1930"/>
      <c r="BC383" s="1930"/>
      <c r="BD383" s="1930"/>
      <c r="BE383" s="1930"/>
    </row>
    <row r="384" spans="3:57" ht="14.45" hidden="1" customHeight="1" outlineLevel="1" x14ac:dyDescent="0.25">
      <c r="D384" s="3089" t="s">
        <v>624</v>
      </c>
      <c r="E384" s="3127" t="s">
        <v>625</v>
      </c>
      <c r="F384" s="3227">
        <v>3.7</v>
      </c>
      <c r="G384" s="3776" t="s">
        <v>627</v>
      </c>
      <c r="H384" s="3776"/>
      <c r="I384" s="4422" t="s">
        <v>2517</v>
      </c>
      <c r="J384" s="4422"/>
      <c r="K384" s="4422"/>
      <c r="L384" s="3220"/>
      <c r="V384" s="3217" t="str">
        <f t="shared" si="92"/>
        <v>L_base</v>
      </c>
      <c r="W384" s="481">
        <v>3.7</v>
      </c>
      <c r="X384" s="481">
        <v>3.7</v>
      </c>
      <c r="Y384" s="481">
        <v>3.7</v>
      </c>
      <c r="Z384" s="481">
        <v>3.7</v>
      </c>
      <c r="AA384" s="481">
        <v>3.7</v>
      </c>
      <c r="AB384" s="481">
        <v>3.7</v>
      </c>
      <c r="AC384" s="3227">
        <v>3.7</v>
      </c>
      <c r="AD384" s="481"/>
      <c r="AE384" s="481"/>
      <c r="AF384" s="481"/>
      <c r="AG384" s="481"/>
      <c r="AH384" s="1930"/>
      <c r="AI384" s="1930"/>
      <c r="AJ384" s="1930"/>
      <c r="AK384" s="1930"/>
      <c r="AL384" s="1930"/>
      <c r="AM384" s="1930"/>
      <c r="AN384" s="1930"/>
      <c r="AO384" s="1930"/>
      <c r="AP384" s="1930"/>
      <c r="AQ384" s="1930"/>
      <c r="AR384" s="1930"/>
      <c r="AS384" s="1930"/>
      <c r="AT384" s="1930"/>
      <c r="AU384" s="1930"/>
      <c r="AV384" s="1930"/>
      <c r="AW384" s="1930"/>
      <c r="AX384" s="1930"/>
      <c r="AY384" s="1930"/>
      <c r="AZ384" s="1930"/>
      <c r="BA384" s="1930"/>
      <c r="BC384" s="1930"/>
      <c r="BD384" s="1930"/>
      <c r="BE384" s="1930"/>
    </row>
    <row r="385" spans="1:57" ht="14.45" hidden="1" customHeight="1" outlineLevel="1" x14ac:dyDescent="0.25">
      <c r="D385" s="3089" t="s">
        <v>629</v>
      </c>
      <c r="E385" s="3089" t="s">
        <v>630</v>
      </c>
      <c r="F385" s="375">
        <v>1.5</v>
      </c>
      <c r="G385" s="3776" t="s">
        <v>631</v>
      </c>
      <c r="H385" s="3776"/>
      <c r="I385" s="3785" t="s">
        <v>1017</v>
      </c>
      <c r="J385" s="3785"/>
      <c r="K385" s="3785"/>
      <c r="L385" s="3220"/>
      <c r="V385" s="3217" t="str">
        <f t="shared" si="92"/>
        <v>GPM_low</v>
      </c>
      <c r="W385" s="468">
        <v>1.5</v>
      </c>
      <c r="X385" s="468">
        <v>1.5</v>
      </c>
      <c r="Y385" s="468">
        <v>1.5</v>
      </c>
      <c r="Z385" s="468">
        <v>1.5</v>
      </c>
      <c r="AA385" s="468">
        <v>1.5</v>
      </c>
      <c r="AB385" s="468">
        <v>1.5</v>
      </c>
      <c r="AC385" s="375">
        <v>1.5</v>
      </c>
      <c r="AD385" s="468"/>
      <c r="AE385" s="468"/>
      <c r="AF385" s="468"/>
      <c r="AG385" s="468"/>
      <c r="AH385" s="1930"/>
      <c r="AI385" s="1930"/>
      <c r="AJ385" s="1930"/>
      <c r="AK385" s="1930"/>
      <c r="AL385" s="1930"/>
      <c r="AM385" s="1930"/>
      <c r="AN385" s="1930"/>
      <c r="AO385" s="1930"/>
      <c r="AP385" s="1930"/>
      <c r="AQ385" s="1930"/>
      <c r="AR385" s="1930"/>
      <c r="AS385" s="1930"/>
      <c r="AT385" s="1930"/>
      <c r="AU385" s="1930"/>
      <c r="AV385" s="1930"/>
      <c r="AW385" s="1930"/>
      <c r="AX385" s="1930"/>
      <c r="AY385" s="1930"/>
      <c r="AZ385" s="1930"/>
      <c r="BA385" s="1930"/>
      <c r="BC385" s="1930"/>
      <c r="BD385" s="1930"/>
      <c r="BE385" s="1930"/>
    </row>
    <row r="386" spans="1:57" hidden="1" outlineLevel="1" x14ac:dyDescent="0.25">
      <c r="D386" s="3089" t="s">
        <v>632</v>
      </c>
      <c r="E386" s="3127" t="s">
        <v>633</v>
      </c>
      <c r="F386" s="3227">
        <v>3.7</v>
      </c>
      <c r="G386" s="3776" t="s">
        <v>627</v>
      </c>
      <c r="H386" s="3776"/>
      <c r="I386" s="3785" t="s">
        <v>2517</v>
      </c>
      <c r="J386" s="3785"/>
      <c r="K386" s="3785"/>
      <c r="L386" s="3220"/>
      <c r="V386" s="3217" t="str">
        <f t="shared" si="92"/>
        <v>L_low</v>
      </c>
      <c r="W386" s="481">
        <v>3.7</v>
      </c>
      <c r="X386" s="481">
        <v>3.7</v>
      </c>
      <c r="Y386" s="481">
        <v>3.7</v>
      </c>
      <c r="Z386" s="481">
        <v>3.7</v>
      </c>
      <c r="AA386" s="481">
        <v>3.7</v>
      </c>
      <c r="AB386" s="481">
        <v>3.7</v>
      </c>
      <c r="AC386" s="3227">
        <v>3.7</v>
      </c>
      <c r="AD386" s="481"/>
      <c r="AE386" s="481"/>
      <c r="AF386" s="481"/>
      <c r="AG386" s="481"/>
      <c r="AH386" s="1930"/>
      <c r="AI386" s="1930"/>
      <c r="AJ386" s="1930"/>
      <c r="AK386" s="1930"/>
      <c r="AL386" s="1930"/>
      <c r="AM386" s="1930"/>
      <c r="AN386" s="1930"/>
      <c r="AO386" s="1930"/>
      <c r="AP386" s="1930"/>
      <c r="AQ386" s="1930"/>
      <c r="AR386" s="1930"/>
      <c r="AS386" s="1930"/>
      <c r="AT386" s="1930"/>
      <c r="AU386" s="1930"/>
      <c r="AV386" s="1930"/>
      <c r="AW386" s="1930"/>
      <c r="AX386" s="1930"/>
      <c r="AY386" s="1930"/>
      <c r="AZ386" s="1930"/>
      <c r="BA386" s="1930"/>
      <c r="BC386" s="1930"/>
      <c r="BD386" s="1930"/>
      <c r="BE386" s="1930"/>
    </row>
    <row r="387" spans="1:57" hidden="1" outlineLevel="1" x14ac:dyDescent="0.25">
      <c r="D387" s="3089" t="s">
        <v>200</v>
      </c>
      <c r="E387" s="3127" t="s">
        <v>634</v>
      </c>
      <c r="F387" s="3227">
        <v>2.0699999999999998</v>
      </c>
      <c r="G387" s="3776" t="s">
        <v>2518</v>
      </c>
      <c r="H387" s="3776"/>
      <c r="I387" s="3785" t="s">
        <v>2517</v>
      </c>
      <c r="J387" s="3785"/>
      <c r="K387" s="3785"/>
      <c r="L387" s="3220"/>
      <c r="V387" s="3217" t="str">
        <f t="shared" si="92"/>
        <v>Household</v>
      </c>
      <c r="W387" s="481">
        <v>2.0699999999999998</v>
      </c>
      <c r="X387" s="481">
        <v>2.0699999999999998</v>
      </c>
      <c r="Y387" s="481">
        <v>2.0699999999999998</v>
      </c>
      <c r="Z387" s="481">
        <v>2.0699999999999998</v>
      </c>
      <c r="AA387" s="481">
        <v>2.0699999999999998</v>
      </c>
      <c r="AB387" s="481">
        <v>2.0699999999999998</v>
      </c>
      <c r="AC387" s="3227">
        <v>2.0699999999999998</v>
      </c>
      <c r="AD387" s="481"/>
      <c r="AE387" s="481"/>
      <c r="AF387" s="481"/>
      <c r="AG387" s="481"/>
      <c r="AH387" s="1930"/>
      <c r="AI387" s="1930"/>
      <c r="AJ387" s="1930"/>
      <c r="AK387" s="1930"/>
      <c r="AL387" s="1930"/>
      <c r="AM387" s="1930"/>
      <c r="AN387" s="1930"/>
      <c r="AO387" s="1930"/>
      <c r="AP387" s="1930"/>
      <c r="AQ387" s="1930"/>
      <c r="AR387" s="1930"/>
      <c r="AS387" s="1930"/>
      <c r="AT387" s="1930"/>
      <c r="AU387" s="1930"/>
      <c r="AV387" s="1930"/>
      <c r="AW387" s="1930"/>
      <c r="AX387" s="1930"/>
      <c r="AY387" s="1930"/>
      <c r="AZ387" s="1930"/>
      <c r="BA387" s="1930"/>
      <c r="BC387" s="1930"/>
      <c r="BD387" s="1930"/>
      <c r="BE387" s="1930"/>
    </row>
    <row r="388" spans="1:57" ht="78.75" hidden="1" customHeight="1" outlineLevel="1" x14ac:dyDescent="0.25">
      <c r="D388" s="447" t="s">
        <v>638</v>
      </c>
      <c r="E388" s="3127" t="s">
        <v>639</v>
      </c>
      <c r="F388" s="3227">
        <v>0.75</v>
      </c>
      <c r="G388" s="3910" t="s">
        <v>641</v>
      </c>
      <c r="H388" s="3910"/>
      <c r="I388" s="3785" t="s">
        <v>2517</v>
      </c>
      <c r="J388" s="3785"/>
      <c r="K388" s="3785"/>
      <c r="L388" s="3220"/>
      <c r="V388" s="3217" t="str">
        <f t="shared" si="92"/>
        <v>DF</v>
      </c>
      <c r="W388" s="481">
        <v>0.75</v>
      </c>
      <c r="X388" s="481">
        <v>0.75</v>
      </c>
      <c r="Y388" s="481">
        <v>0.75</v>
      </c>
      <c r="Z388" s="481">
        <v>0.75</v>
      </c>
      <c r="AA388" s="481">
        <v>0.75</v>
      </c>
      <c r="AB388" s="481">
        <v>0.75</v>
      </c>
      <c r="AC388" s="3227">
        <v>0.75</v>
      </c>
      <c r="AD388" s="481"/>
      <c r="AE388" s="481"/>
      <c r="AF388" s="481"/>
      <c r="AG388" s="481"/>
      <c r="AH388" s="1930"/>
      <c r="AI388" s="1930"/>
      <c r="AJ388" s="1930"/>
      <c r="AK388" s="1930"/>
      <c r="AL388" s="1930"/>
      <c r="AM388" s="1930"/>
      <c r="AN388" s="1930"/>
      <c r="AO388" s="1930"/>
      <c r="AP388" s="1930"/>
      <c r="AQ388" s="1930"/>
      <c r="AR388" s="1930"/>
      <c r="AS388" s="1930"/>
      <c r="AT388" s="1930"/>
      <c r="AU388" s="1930"/>
      <c r="AV388" s="1930"/>
      <c r="AW388" s="1930"/>
      <c r="AX388" s="1930"/>
      <c r="AY388" s="1930"/>
      <c r="AZ388" s="1930"/>
      <c r="BA388" s="1930"/>
      <c r="BC388" s="1930"/>
      <c r="BD388" s="1930"/>
      <c r="BE388" s="1930"/>
    </row>
    <row r="389" spans="1:57" hidden="1" outlineLevel="1" x14ac:dyDescent="0.25">
      <c r="D389" s="447">
        <v>365.25</v>
      </c>
      <c r="E389" s="3127" t="s">
        <v>586</v>
      </c>
      <c r="F389" s="330">
        <v>365.25</v>
      </c>
      <c r="G389" s="3776" t="s">
        <v>587</v>
      </c>
      <c r="H389" s="3776"/>
      <c r="I389" s="3785" t="s">
        <v>2517</v>
      </c>
      <c r="J389" s="3785"/>
      <c r="K389" s="3785"/>
      <c r="L389" s="3220"/>
      <c r="V389" s="3217">
        <f t="shared" si="92"/>
        <v>365.25</v>
      </c>
      <c r="W389" s="499">
        <v>365</v>
      </c>
      <c r="X389" s="499">
        <v>365</v>
      </c>
      <c r="Y389" s="499">
        <v>365</v>
      </c>
      <c r="Z389" s="499">
        <v>365</v>
      </c>
      <c r="AA389" s="499">
        <v>365</v>
      </c>
      <c r="AB389" s="499">
        <v>365</v>
      </c>
      <c r="AC389" s="330">
        <v>365.25</v>
      </c>
      <c r="AD389" s="499"/>
      <c r="AE389" s="499"/>
      <c r="AF389" s="499"/>
      <c r="AG389" s="499"/>
      <c r="AH389" s="1930"/>
      <c r="AI389" s="1930"/>
      <c r="AJ389" s="1930"/>
      <c r="AK389" s="1930"/>
      <c r="AL389" s="1930"/>
      <c r="AM389" s="1930"/>
      <c r="AN389" s="1930"/>
      <c r="AO389" s="1930"/>
      <c r="AP389" s="1930"/>
      <c r="AQ389" s="1930"/>
      <c r="AR389" s="1930"/>
      <c r="AS389" s="1930"/>
      <c r="AT389" s="1930"/>
      <c r="AU389" s="1930"/>
      <c r="AV389" s="1930"/>
      <c r="AW389" s="1930"/>
      <c r="AX389" s="1930"/>
      <c r="AY389" s="1930"/>
      <c r="AZ389" s="1930"/>
      <c r="BA389" s="1930"/>
      <c r="BC389" s="1930"/>
      <c r="BD389" s="1930"/>
      <c r="BE389" s="1930"/>
    </row>
    <row r="390" spans="1:57" hidden="1" outlineLevel="1" x14ac:dyDescent="0.25">
      <c r="D390" s="447" t="s">
        <v>642</v>
      </c>
      <c r="E390" s="3127" t="s">
        <v>643</v>
      </c>
      <c r="F390" s="1764">
        <v>1</v>
      </c>
      <c r="G390" s="3867" t="s">
        <v>645</v>
      </c>
      <c r="H390" s="3867"/>
      <c r="I390" s="3785" t="s">
        <v>2517</v>
      </c>
      <c r="J390" s="3785"/>
      <c r="K390" s="3785"/>
      <c r="L390" s="3220"/>
      <c r="V390" s="3217" t="str">
        <f t="shared" si="92"/>
        <v>FPH</v>
      </c>
      <c r="W390" s="505">
        <v>1</v>
      </c>
      <c r="X390" s="505">
        <v>1</v>
      </c>
      <c r="Y390" s="505">
        <v>1</v>
      </c>
      <c r="Z390" s="505">
        <v>1</v>
      </c>
      <c r="AA390" s="505">
        <v>1</v>
      </c>
      <c r="AB390" s="505">
        <v>1</v>
      </c>
      <c r="AC390" s="1764">
        <v>1</v>
      </c>
      <c r="AD390" s="505"/>
      <c r="AE390" s="505"/>
      <c r="AF390" s="505"/>
      <c r="AG390" s="505"/>
      <c r="AH390" s="1930"/>
      <c r="AI390" s="1930"/>
      <c r="AJ390" s="1930"/>
      <c r="AK390" s="1930"/>
      <c r="AL390" s="1930"/>
      <c r="AM390" s="1930"/>
      <c r="AN390" s="1930"/>
      <c r="AO390" s="1930"/>
      <c r="AP390" s="1930"/>
      <c r="AQ390" s="1930"/>
      <c r="AR390" s="1930"/>
      <c r="AS390" s="1930"/>
      <c r="AT390" s="1930"/>
      <c r="AU390" s="1930"/>
      <c r="AV390" s="1930"/>
      <c r="AW390" s="1930"/>
      <c r="AX390" s="1930"/>
      <c r="AY390" s="1930"/>
      <c r="AZ390" s="1930"/>
      <c r="BA390" s="1930"/>
      <c r="BC390" s="1930"/>
      <c r="BD390" s="1930"/>
      <c r="BE390" s="1930"/>
    </row>
    <row r="391" spans="1:57" hidden="1" outlineLevel="1" x14ac:dyDescent="0.25">
      <c r="D391" s="447">
        <v>8.33</v>
      </c>
      <c r="E391" s="3237" t="s">
        <v>647</v>
      </c>
      <c r="F391" s="104">
        <v>8.33</v>
      </c>
      <c r="G391" s="4420" t="s">
        <v>648</v>
      </c>
      <c r="H391" s="4420"/>
      <c r="I391" s="3785" t="s">
        <v>2517</v>
      </c>
      <c r="J391" s="3785"/>
      <c r="K391" s="3785"/>
      <c r="L391" s="3220"/>
      <c r="V391" s="3217">
        <f t="shared" si="92"/>
        <v>8.33</v>
      </c>
      <c r="W391" s="499">
        <v>8.33</v>
      </c>
      <c r="X391" s="499">
        <v>8.33</v>
      </c>
      <c r="Y391" s="499">
        <v>8.33</v>
      </c>
      <c r="Z391" s="499">
        <v>8.33</v>
      </c>
      <c r="AA391" s="499">
        <v>8.33</v>
      </c>
      <c r="AB391" s="499">
        <v>8.33</v>
      </c>
      <c r="AC391" s="104">
        <v>8.33</v>
      </c>
      <c r="AD391" s="499"/>
      <c r="AE391" s="499"/>
      <c r="AF391" s="499"/>
      <c r="AG391" s="499"/>
      <c r="AH391" s="1930"/>
      <c r="AI391" s="1930"/>
      <c r="AJ391" s="1930"/>
      <c r="AK391" s="1930"/>
      <c r="AL391" s="1930"/>
      <c r="AM391" s="1930"/>
      <c r="AN391" s="1930"/>
      <c r="AO391" s="1930"/>
      <c r="AP391" s="1930"/>
      <c r="AQ391" s="1930"/>
      <c r="AR391" s="1930"/>
      <c r="AS391" s="1930"/>
      <c r="AT391" s="1930"/>
      <c r="AU391" s="1930"/>
      <c r="AV391" s="1930"/>
      <c r="AW391" s="1930"/>
      <c r="AX391" s="1930"/>
      <c r="AY391" s="1930"/>
      <c r="AZ391" s="1930"/>
      <c r="BA391" s="1930"/>
      <c r="BC391" s="1930"/>
      <c r="BD391" s="1930"/>
      <c r="BE391" s="1930"/>
    </row>
    <row r="392" spans="1:57" hidden="1" outlineLevel="1" x14ac:dyDescent="0.25">
      <c r="D392" s="447">
        <v>1</v>
      </c>
      <c r="E392" s="3127" t="s">
        <v>649</v>
      </c>
      <c r="F392" s="108">
        <v>1</v>
      </c>
      <c r="G392" s="3910" t="s">
        <v>650</v>
      </c>
      <c r="H392" s="3910"/>
      <c r="I392" s="3785" t="s">
        <v>2517</v>
      </c>
      <c r="J392" s="3785"/>
      <c r="K392" s="3785"/>
      <c r="L392" s="3220"/>
      <c r="V392" s="3217">
        <f t="shared" si="92"/>
        <v>1</v>
      </c>
      <c r="W392" s="332">
        <v>1</v>
      </c>
      <c r="X392" s="332">
        <v>1</v>
      </c>
      <c r="Y392" s="332">
        <v>1</v>
      </c>
      <c r="Z392" s="332">
        <v>1</v>
      </c>
      <c r="AA392" s="332">
        <v>1</v>
      </c>
      <c r="AB392" s="332">
        <v>1</v>
      </c>
      <c r="AC392" s="108">
        <v>1</v>
      </c>
      <c r="AD392" s="332"/>
      <c r="AE392" s="332"/>
      <c r="AF392" s="332"/>
      <c r="AG392" s="332"/>
      <c r="AH392" s="1930"/>
      <c r="AI392" s="1930"/>
      <c r="AJ392" s="1930"/>
      <c r="AK392" s="1930"/>
      <c r="AL392" s="1930"/>
      <c r="AM392" s="1930"/>
      <c r="AN392" s="1930"/>
      <c r="AO392" s="1930"/>
      <c r="AP392" s="1930"/>
      <c r="AQ392" s="1930"/>
      <c r="AR392" s="1930"/>
      <c r="AS392" s="1930"/>
      <c r="AT392" s="1930"/>
      <c r="AU392" s="1930"/>
      <c r="AV392" s="1930"/>
      <c r="AW392" s="1930"/>
      <c r="AX392" s="1930"/>
      <c r="AY392" s="1930"/>
      <c r="AZ392" s="1930"/>
      <c r="BA392" s="1930"/>
      <c r="BC392" s="1930"/>
      <c r="BD392" s="1930"/>
      <c r="BE392" s="1930"/>
    </row>
    <row r="393" spans="1:57" ht="78" hidden="1" customHeight="1" outlineLevel="1" x14ac:dyDescent="0.25">
      <c r="D393" s="3089" t="s">
        <v>651</v>
      </c>
      <c r="E393" s="3127" t="s">
        <v>652</v>
      </c>
      <c r="F393" s="104">
        <v>93</v>
      </c>
      <c r="G393" s="3910" t="s">
        <v>653</v>
      </c>
      <c r="H393" s="3910"/>
      <c r="I393" s="3785" t="s">
        <v>2517</v>
      </c>
      <c r="J393" s="3785"/>
      <c r="K393" s="3785"/>
      <c r="L393" s="3220"/>
      <c r="V393" s="3217" t="str">
        <f t="shared" si="92"/>
        <v>WaterTemp</v>
      </c>
      <c r="W393" s="499">
        <v>93</v>
      </c>
      <c r="X393" s="499">
        <v>93</v>
      </c>
      <c r="Y393" s="499">
        <v>93</v>
      </c>
      <c r="Z393" s="499">
        <v>93</v>
      </c>
      <c r="AA393" s="499">
        <v>93</v>
      </c>
      <c r="AB393" s="499">
        <v>93</v>
      </c>
      <c r="AC393" s="104">
        <v>93</v>
      </c>
      <c r="AD393" s="499"/>
      <c r="AE393" s="499"/>
      <c r="AF393" s="499"/>
      <c r="AG393" s="499"/>
      <c r="AH393" s="1930"/>
      <c r="AI393" s="1930"/>
      <c r="AJ393" s="1930"/>
      <c r="AK393" s="1930"/>
      <c r="AL393" s="1930"/>
      <c r="AM393" s="1930"/>
      <c r="AN393" s="1930"/>
      <c r="AO393" s="1930"/>
      <c r="AP393" s="1930"/>
      <c r="AQ393" s="1930"/>
      <c r="AR393" s="1930"/>
      <c r="AS393" s="1930"/>
      <c r="AT393" s="1930"/>
      <c r="AU393" s="1930"/>
      <c r="AV393" s="1930"/>
      <c r="AW393" s="1930"/>
      <c r="AX393" s="1930"/>
      <c r="AY393" s="1930"/>
      <c r="AZ393" s="1930"/>
      <c r="BA393" s="1930"/>
      <c r="BC393" s="1930"/>
      <c r="BD393" s="1930"/>
      <c r="BE393" s="1930"/>
    </row>
    <row r="394" spans="1:57" s="456" customFormat="1" ht="60.75" hidden="1" customHeight="1" outlineLevel="1" x14ac:dyDescent="0.25">
      <c r="A394" s="3220"/>
      <c r="B394" s="3220"/>
      <c r="C394" s="1482"/>
      <c r="D394" s="3089" t="s">
        <v>654</v>
      </c>
      <c r="E394" s="3127" t="s">
        <v>655</v>
      </c>
      <c r="F394" s="104">
        <v>61.3</v>
      </c>
      <c r="G394" s="3910" t="s">
        <v>656</v>
      </c>
      <c r="H394" s="3910"/>
      <c r="I394" s="3785" t="s">
        <v>2517</v>
      </c>
      <c r="J394" s="3785"/>
      <c r="K394" s="3785"/>
      <c r="L394" s="3220"/>
      <c r="M394" s="3220"/>
      <c r="N394" s="3220"/>
      <c r="O394" s="3220"/>
      <c r="P394" s="3220"/>
      <c r="Q394" s="3220"/>
      <c r="R394" s="3220"/>
      <c r="S394" s="3220"/>
      <c r="T394" s="3220"/>
      <c r="U394" s="3220"/>
      <c r="V394" s="3217" t="str">
        <f t="shared" si="92"/>
        <v>SupplyTemp</v>
      </c>
      <c r="W394" s="499">
        <v>61.3</v>
      </c>
      <c r="X394" s="499">
        <v>61.3</v>
      </c>
      <c r="Y394" s="499">
        <v>61.3</v>
      </c>
      <c r="Z394" s="499">
        <v>61.3</v>
      </c>
      <c r="AA394" s="499">
        <v>61.3</v>
      </c>
      <c r="AB394" s="499">
        <v>61.3</v>
      </c>
      <c r="AC394" s="104">
        <v>61.3</v>
      </c>
      <c r="AD394" s="499"/>
      <c r="AE394" s="499"/>
      <c r="AF394" s="499"/>
      <c r="AG394" s="499"/>
      <c r="AH394" s="1930"/>
      <c r="AI394" s="1930"/>
      <c r="AJ394" s="1930"/>
      <c r="BB394" s="1232"/>
    </row>
    <row r="395" spans="1:57" s="456" customFormat="1" ht="59.25" hidden="1" customHeight="1" outlineLevel="1" x14ac:dyDescent="0.25">
      <c r="A395" s="3220"/>
      <c r="B395" s="3220"/>
      <c r="C395" s="1482"/>
      <c r="D395" s="3089" t="s">
        <v>657</v>
      </c>
      <c r="E395" s="3127" t="s">
        <v>658</v>
      </c>
      <c r="F395" s="104">
        <v>0.98</v>
      </c>
      <c r="G395" s="4420" t="s">
        <v>659</v>
      </c>
      <c r="H395" s="4420"/>
      <c r="I395" s="3785" t="s">
        <v>2517</v>
      </c>
      <c r="J395" s="3785"/>
      <c r="K395" s="3785"/>
      <c r="L395" s="3220"/>
      <c r="M395" s="3220"/>
      <c r="N395" s="3220"/>
      <c r="O395" s="3220"/>
      <c r="P395" s="3220"/>
      <c r="Q395" s="3220"/>
      <c r="R395" s="3220"/>
      <c r="S395" s="3220"/>
      <c r="T395" s="3220"/>
      <c r="U395" s="3220"/>
      <c r="V395" s="3217" t="str">
        <f t="shared" si="92"/>
        <v>RE_electric</v>
      </c>
      <c r="W395" s="499">
        <v>0.98</v>
      </c>
      <c r="X395" s="499">
        <v>0.98</v>
      </c>
      <c r="Y395" s="499">
        <v>0.98</v>
      </c>
      <c r="Z395" s="499">
        <v>0.98</v>
      </c>
      <c r="AA395" s="499">
        <v>0.98</v>
      </c>
      <c r="AB395" s="499">
        <v>0.98</v>
      </c>
      <c r="AC395" s="104">
        <v>0.98</v>
      </c>
      <c r="AD395" s="499"/>
      <c r="AE395" s="499"/>
      <c r="AF395" s="499"/>
      <c r="AG395" s="499"/>
      <c r="AH395" s="1930"/>
      <c r="AI395" s="1930"/>
      <c r="AJ395" s="1930"/>
      <c r="BB395" s="1232"/>
    </row>
    <row r="396" spans="1:57" s="456" customFormat="1" hidden="1" outlineLevel="1" x14ac:dyDescent="0.25">
      <c r="A396" s="3220"/>
      <c r="B396" s="3220"/>
      <c r="C396" s="1482"/>
      <c r="D396" s="3089">
        <v>3412</v>
      </c>
      <c r="E396" s="3237" t="s">
        <v>660</v>
      </c>
      <c r="F396" s="384">
        <v>3412</v>
      </c>
      <c r="G396" s="4420" t="s">
        <v>218</v>
      </c>
      <c r="H396" s="4420"/>
      <c r="I396" s="3785" t="s">
        <v>2517</v>
      </c>
      <c r="J396" s="3785"/>
      <c r="K396" s="3785"/>
      <c r="L396" s="3220"/>
      <c r="M396" s="3220"/>
      <c r="N396" s="3220"/>
      <c r="O396" s="3220"/>
      <c r="P396" s="3220"/>
      <c r="Q396" s="3220"/>
      <c r="R396" s="3220"/>
      <c r="S396" s="3220"/>
      <c r="T396" s="3220"/>
      <c r="U396" s="3220"/>
      <c r="V396" s="3217">
        <f t="shared" si="92"/>
        <v>3412</v>
      </c>
      <c r="W396" s="508">
        <v>3412</v>
      </c>
      <c r="X396" s="508">
        <v>3412</v>
      </c>
      <c r="Y396" s="508">
        <v>3412</v>
      </c>
      <c r="Z396" s="508">
        <v>3412</v>
      </c>
      <c r="AA396" s="508">
        <v>3412</v>
      </c>
      <c r="AB396" s="508">
        <v>3412</v>
      </c>
      <c r="AC396" s="384">
        <v>3412</v>
      </c>
      <c r="AD396" s="508"/>
      <c r="AE396" s="508"/>
      <c r="AF396" s="508"/>
      <c r="AG396" s="508"/>
      <c r="AH396" s="1930"/>
      <c r="AI396" s="1930"/>
      <c r="AJ396" s="1930"/>
      <c r="BB396" s="1232"/>
    </row>
    <row r="397" spans="1:57" s="456" customFormat="1" ht="15" hidden="1" customHeight="1" outlineLevel="1" x14ac:dyDescent="0.25">
      <c r="A397" s="3220"/>
      <c r="B397" s="3220"/>
      <c r="C397" s="1482"/>
      <c r="D397" s="3089" t="s">
        <v>531</v>
      </c>
      <c r="E397" s="3089" t="s">
        <v>595</v>
      </c>
      <c r="F397" s="1040">
        <v>1</v>
      </c>
      <c r="G397" s="3867" t="s">
        <v>600</v>
      </c>
      <c r="H397" s="3867"/>
      <c r="I397" s="3785" t="s">
        <v>2516</v>
      </c>
      <c r="J397" s="3785"/>
      <c r="K397" s="3785"/>
      <c r="L397" s="3220"/>
      <c r="M397" s="3220"/>
      <c r="N397" s="3220"/>
      <c r="O397" s="3220"/>
      <c r="P397" s="3220"/>
      <c r="Q397" s="3220"/>
      <c r="R397" s="3220"/>
      <c r="S397" s="3220"/>
      <c r="T397" s="3220"/>
      <c r="U397" s="3220"/>
      <c r="V397" s="3217" t="str">
        <f t="shared" si="92"/>
        <v>Utility Adjustment</v>
      </c>
      <c r="W397" s="489">
        <v>1</v>
      </c>
      <c r="X397" s="489">
        <v>1</v>
      </c>
      <c r="Y397" s="489">
        <v>1</v>
      </c>
      <c r="Z397" s="489">
        <v>1</v>
      </c>
      <c r="AA397" s="489">
        <v>1</v>
      </c>
      <c r="AB397" s="489">
        <v>1</v>
      </c>
      <c r="AC397" s="1040">
        <v>1</v>
      </c>
      <c r="AD397" s="489"/>
      <c r="AE397" s="489"/>
      <c r="AF397" s="489"/>
      <c r="AG397" s="489"/>
      <c r="AH397" s="1930"/>
      <c r="AI397" s="1930"/>
      <c r="AJ397" s="1930"/>
      <c r="BB397" s="1232"/>
    </row>
    <row r="398" spans="1:57" s="456" customFormat="1" hidden="1" outlineLevel="1" x14ac:dyDescent="0.25">
      <c r="A398" s="3220"/>
      <c r="B398" s="3220"/>
      <c r="C398" s="1482"/>
      <c r="D398" s="3089" t="s">
        <v>133</v>
      </c>
      <c r="E398" s="3089" t="s">
        <v>252</v>
      </c>
      <c r="F398" s="1040">
        <v>1</v>
      </c>
      <c r="G398" s="3867" t="s">
        <v>2519</v>
      </c>
      <c r="H398" s="3867"/>
      <c r="I398" s="3785" t="s">
        <v>2517</v>
      </c>
      <c r="J398" s="3785"/>
      <c r="K398" s="3785"/>
      <c r="L398" s="3220"/>
      <c r="M398" s="3220"/>
      <c r="N398" s="3220"/>
      <c r="O398" s="3220"/>
      <c r="P398" s="3220"/>
      <c r="Q398" s="3220"/>
      <c r="R398" s="3220"/>
      <c r="S398" s="3220"/>
      <c r="T398" s="3220"/>
      <c r="U398" s="3220"/>
      <c r="V398" s="3217" t="str">
        <f t="shared" si="92"/>
        <v>ISR</v>
      </c>
      <c r="W398" s="489">
        <v>1</v>
      </c>
      <c r="X398" s="489">
        <v>1</v>
      </c>
      <c r="Y398" s="489">
        <v>1</v>
      </c>
      <c r="Z398" s="489">
        <v>1</v>
      </c>
      <c r="AA398" s="489">
        <v>1</v>
      </c>
      <c r="AB398" s="489">
        <v>1</v>
      </c>
      <c r="AC398" s="1040">
        <v>1</v>
      </c>
      <c r="AD398" s="489"/>
      <c r="AE398" s="489"/>
      <c r="AF398" s="489"/>
      <c r="AG398" s="489"/>
      <c r="AH398" s="1930"/>
      <c r="AI398" s="1930"/>
      <c r="AJ398" s="1930"/>
      <c r="BB398" s="1232"/>
    </row>
    <row r="399" spans="1:57" s="249" customFormat="1" ht="15" hidden="1" customHeight="1" outlineLevel="1" x14ac:dyDescent="0.25">
      <c r="B399" s="1233"/>
      <c r="C399" s="905"/>
      <c r="D399" s="1798" t="str">
        <f>$D$34</f>
        <v>EUL</v>
      </c>
      <c r="E399" s="3089" t="s">
        <v>135</v>
      </c>
      <c r="F399" s="1032">
        <v>10</v>
      </c>
      <c r="G399" s="3867"/>
      <c r="H399" s="3867"/>
      <c r="I399" s="3785"/>
      <c r="J399" s="3785"/>
      <c r="K399" s="3785"/>
      <c r="V399" s="3192" t="str">
        <f>D399</f>
        <v>EUL</v>
      </c>
      <c r="W399" s="1032">
        <v>10</v>
      </c>
      <c r="X399" s="1032">
        <v>10</v>
      </c>
      <c r="Y399" s="1032">
        <v>10</v>
      </c>
      <c r="Z399" s="1032">
        <v>10</v>
      </c>
      <c r="AA399" s="1032">
        <v>10</v>
      </c>
      <c r="AB399" s="1032">
        <v>10</v>
      </c>
      <c r="AC399" s="1032">
        <v>10</v>
      </c>
      <c r="AD399" s="1164"/>
      <c r="AE399" s="1164"/>
      <c r="AF399" s="1164"/>
      <c r="AG399" s="1164"/>
      <c r="AK399" s="1234"/>
      <c r="BB399" s="1235"/>
    </row>
    <row r="400" spans="1:57" s="249" customFormat="1" ht="15" hidden="1" customHeight="1" outlineLevel="1" x14ac:dyDescent="0.25">
      <c r="B400" s="1233"/>
      <c r="C400" s="905"/>
      <c r="D400" s="1798" t="str">
        <f>$D$35</f>
        <v>Inc. Cost</v>
      </c>
      <c r="E400" s="3089" t="s">
        <v>430</v>
      </c>
      <c r="F400" s="1054">
        <v>8</v>
      </c>
      <c r="G400" s="3867"/>
      <c r="H400" s="3867"/>
      <c r="I400" s="3785"/>
      <c r="J400" s="3785"/>
      <c r="K400" s="3785"/>
      <c r="V400" s="3192" t="str">
        <f>D400</f>
        <v>Inc. Cost</v>
      </c>
      <c r="W400" s="1054">
        <v>8</v>
      </c>
      <c r="X400" s="1054">
        <v>8</v>
      </c>
      <c r="Y400" s="1054">
        <v>8</v>
      </c>
      <c r="Z400" s="1054">
        <v>8</v>
      </c>
      <c r="AA400" s="1054">
        <v>8</v>
      </c>
      <c r="AB400" s="1054">
        <v>8</v>
      </c>
      <c r="AC400" s="1054">
        <v>8</v>
      </c>
      <c r="AD400" s="1164"/>
      <c r="AE400" s="1164"/>
      <c r="AF400" s="1164"/>
      <c r="AG400" s="1164"/>
      <c r="AK400" s="1234"/>
      <c r="BB400" s="1235"/>
    </row>
    <row r="401" spans="2:57" collapsed="1" x14ac:dyDescent="0.25">
      <c r="B401" s="1752"/>
      <c r="C401" s="1753"/>
      <c r="D401" s="1198"/>
      <c r="E401" s="1198"/>
      <c r="F401" s="1752"/>
      <c r="G401" s="1752"/>
      <c r="H401" s="1752"/>
      <c r="I401" s="1752"/>
      <c r="J401" s="1752"/>
      <c r="K401" s="1752"/>
      <c r="L401" s="1752"/>
      <c r="V401" s="1930"/>
      <c r="W401" s="1930"/>
      <c r="X401" s="1930"/>
      <c r="Y401" s="1930"/>
      <c r="Z401" s="1930"/>
      <c r="AA401" s="1930"/>
      <c r="AB401" s="1930"/>
      <c r="AC401" s="1930"/>
      <c r="AD401" s="1930"/>
      <c r="AE401" s="1930"/>
      <c r="AF401" s="1930"/>
      <c r="AG401" s="1930"/>
      <c r="AH401" s="1930"/>
      <c r="AI401" s="1930"/>
      <c r="AJ401" s="1930"/>
      <c r="AK401" s="1930"/>
      <c r="AL401" s="1930"/>
      <c r="AM401" s="1930"/>
      <c r="AN401" s="1930"/>
      <c r="AO401" s="1930"/>
      <c r="AP401" s="1930"/>
      <c r="AQ401" s="1930"/>
      <c r="AR401" s="1930"/>
      <c r="AS401" s="1930"/>
      <c r="AT401" s="1930"/>
      <c r="AU401" s="1930"/>
      <c r="AV401" s="1930"/>
      <c r="AW401" s="1930"/>
      <c r="AX401" s="1930"/>
      <c r="AY401" s="1930"/>
      <c r="AZ401" s="1930"/>
      <c r="BA401" s="1930"/>
      <c r="BC401" s="1930"/>
      <c r="BD401" s="1930"/>
      <c r="BE401" s="1930"/>
    </row>
    <row r="402" spans="2:57" x14ac:dyDescent="0.25">
      <c r="B402" s="1752"/>
      <c r="C402" s="1753"/>
      <c r="D402" s="1198"/>
      <c r="E402" s="1198"/>
      <c r="F402" s="1752"/>
      <c r="G402" s="1752"/>
      <c r="H402" s="1752"/>
      <c r="I402" s="1752"/>
      <c r="J402" s="1752"/>
      <c r="K402" s="1752"/>
      <c r="L402" s="1752"/>
      <c r="V402" s="1930"/>
      <c r="W402" s="1930"/>
      <c r="X402" s="1930"/>
      <c r="Y402" s="1930"/>
      <c r="Z402" s="1930"/>
      <c r="AA402" s="1930"/>
      <c r="AB402" s="1930"/>
      <c r="AC402" s="1930"/>
      <c r="AD402" s="1930"/>
      <c r="AE402" s="1930"/>
      <c r="AF402" s="1930"/>
      <c r="AG402" s="1930"/>
      <c r="AH402" s="1930"/>
      <c r="AI402" s="1930"/>
      <c r="AJ402" s="1930"/>
      <c r="AK402" s="1930"/>
      <c r="AL402" s="1930"/>
      <c r="AM402" s="1930"/>
      <c r="AN402" s="1930"/>
      <c r="AO402" s="1930"/>
      <c r="AP402" s="1930"/>
      <c r="AQ402" s="1930"/>
      <c r="AR402" s="1930"/>
      <c r="AS402" s="1930"/>
      <c r="AT402" s="1930"/>
      <c r="AU402" s="1930"/>
      <c r="AV402" s="1930"/>
      <c r="AW402" s="1930"/>
      <c r="AX402" s="1930"/>
      <c r="AY402" s="1930"/>
      <c r="AZ402" s="1930"/>
      <c r="BA402" s="1930"/>
      <c r="BC402" s="1930"/>
      <c r="BD402" s="1930"/>
      <c r="BE402" s="1930"/>
    </row>
    <row r="403" spans="2:57" s="147" customFormat="1" x14ac:dyDescent="0.25">
      <c r="B403" s="3750" t="s">
        <v>2520</v>
      </c>
      <c r="C403" s="3751"/>
      <c r="D403" s="3751"/>
      <c r="E403" s="3751"/>
      <c r="F403" s="3751"/>
      <c r="G403" s="3751"/>
      <c r="H403" s="3751"/>
      <c r="I403" s="3744"/>
      <c r="J403" s="3744"/>
      <c r="K403" s="3744"/>
      <c r="L403" s="3744"/>
      <c r="M403" s="3744"/>
      <c r="N403" s="3744"/>
      <c r="O403" s="3744"/>
      <c r="P403" s="3744"/>
      <c r="Q403" s="3745"/>
      <c r="V403" s="3750" t="str">
        <f>B403</f>
        <v>Faucet Aerators (Bathroom)</v>
      </c>
      <c r="W403" s="3751"/>
      <c r="X403" s="3751"/>
      <c r="Y403" s="3751"/>
      <c r="Z403" s="3751"/>
      <c r="AA403" s="3751"/>
      <c r="AB403" s="3751"/>
      <c r="AC403" s="3752"/>
      <c r="AD403" s="3752"/>
      <c r="AE403" s="3752"/>
      <c r="AF403" s="3752"/>
      <c r="AG403" s="3752"/>
      <c r="AH403" s="3752"/>
      <c r="AI403" s="3753"/>
      <c r="AJ403" s="1930"/>
      <c r="BB403" s="844"/>
    </row>
    <row r="404" spans="2:57" ht="18" customHeight="1" x14ac:dyDescent="0.25">
      <c r="B404" s="1752"/>
      <c r="C404" s="1753"/>
      <c r="D404" s="1198"/>
      <c r="E404" s="1198"/>
      <c r="F404" s="1752"/>
      <c r="G404" s="1752"/>
      <c r="H404" s="1752"/>
      <c r="I404" s="1752"/>
      <c r="J404" s="1752"/>
      <c r="K404" s="1752"/>
      <c r="L404" s="1752"/>
      <c r="V404" s="1930"/>
      <c r="W404" s="1930"/>
      <c r="X404" s="1930"/>
      <c r="Y404" s="1930"/>
      <c r="Z404" s="1930"/>
      <c r="AA404" s="1930"/>
      <c r="AB404" s="1930"/>
      <c r="AC404" s="1930"/>
      <c r="AD404" s="1930"/>
      <c r="AE404" s="1930"/>
      <c r="AF404" s="1930"/>
      <c r="AG404" s="1930"/>
      <c r="AH404" s="1930"/>
      <c r="AI404" s="1930"/>
      <c r="AJ404" s="1930"/>
      <c r="AK404" s="1930"/>
      <c r="AL404" s="1930"/>
      <c r="AM404" s="1930"/>
      <c r="AN404" s="1930"/>
      <c r="AO404" s="1930"/>
      <c r="AP404" s="1930"/>
      <c r="AQ404" s="1930"/>
      <c r="AR404" s="1930"/>
      <c r="AS404" s="1930"/>
      <c r="AT404" s="1930"/>
      <c r="AU404" s="1930"/>
      <c r="AV404" s="1930"/>
      <c r="AW404" s="1930"/>
      <c r="AX404" s="1930"/>
      <c r="AY404" s="1930"/>
      <c r="AZ404" s="1930"/>
      <c r="BA404" s="1930"/>
      <c r="BC404" s="1930"/>
      <c r="BD404" s="1930"/>
      <c r="BE404" s="1930"/>
    </row>
    <row r="405" spans="2:57" ht="30" x14ac:dyDescent="0.25">
      <c r="B405" s="1752"/>
      <c r="C405" s="3086" t="s">
        <v>28</v>
      </c>
      <c r="D405" s="3086" t="s">
        <v>175</v>
      </c>
      <c r="E405" s="3086" t="s">
        <v>30</v>
      </c>
      <c r="F405" s="3086" t="s">
        <v>31</v>
      </c>
      <c r="G405" s="3086" t="s">
        <v>176</v>
      </c>
      <c r="H405" s="3086" t="s">
        <v>177</v>
      </c>
      <c r="I405" s="3086" t="s">
        <v>606</v>
      </c>
      <c r="J405" s="3086" t="s">
        <v>32</v>
      </c>
      <c r="K405" s="3086" t="s">
        <v>181</v>
      </c>
      <c r="L405" s="3086" t="s">
        <v>170</v>
      </c>
      <c r="M405" s="3086" t="s">
        <v>44</v>
      </c>
      <c r="V405" s="1936" t="s">
        <v>45</v>
      </c>
      <c r="W405" s="1937">
        <f>W$6</f>
        <v>43252</v>
      </c>
      <c r="X405" s="1937">
        <f t="shared" ref="X405:AG405" si="93">X$6</f>
        <v>43465</v>
      </c>
      <c r="Y405" s="1937">
        <f t="shared" si="93"/>
        <v>43800</v>
      </c>
      <c r="Z405" s="1937">
        <f t="shared" si="93"/>
        <v>43862</v>
      </c>
      <c r="AA405" s="1937">
        <f t="shared" si="93"/>
        <v>44013</v>
      </c>
      <c r="AB405" s="1937">
        <f t="shared" si="93"/>
        <v>44166</v>
      </c>
      <c r="AC405" s="1937">
        <f t="shared" si="93"/>
        <v>44531</v>
      </c>
      <c r="AD405" s="1937" t="str">
        <f t="shared" si="93"/>
        <v>-</v>
      </c>
      <c r="AE405" s="1937" t="str">
        <f t="shared" si="93"/>
        <v>-</v>
      </c>
      <c r="AF405" s="1937" t="str">
        <f t="shared" si="93"/>
        <v>-</v>
      </c>
      <c r="AG405" s="1937" t="str">
        <f t="shared" si="93"/>
        <v>-</v>
      </c>
      <c r="AH405" s="1930"/>
      <c r="AI405" s="1930"/>
      <c r="AJ405" s="1930"/>
      <c r="AK405" s="1930"/>
      <c r="AL405" s="1930"/>
      <c r="AM405" s="1930"/>
      <c r="AN405" s="1930"/>
      <c r="AO405" s="1930"/>
      <c r="AP405" s="1930"/>
      <c r="AQ405" s="1930"/>
      <c r="AR405" s="1930"/>
      <c r="AS405" s="1930"/>
      <c r="AT405" s="1930"/>
      <c r="AU405" s="1930"/>
      <c r="AV405" s="1930"/>
      <c r="AW405" s="1930"/>
      <c r="AX405" s="1930"/>
      <c r="AY405" s="1930"/>
      <c r="AZ405" s="1930"/>
      <c r="BA405" s="1930"/>
      <c r="BB405" s="1938" t="str">
        <f>$BB$6</f>
        <v>TRC (2020)</v>
      </c>
      <c r="BC405" s="1953" t="str">
        <f>$BC$6</f>
        <v>Benefit Lookup</v>
      </c>
      <c r="BD405" s="665" t="str">
        <f>$BD$6</f>
        <v>Benefits (2019 $)</v>
      </c>
      <c r="BE405" s="230" t="str">
        <f>$BE$6</f>
        <v>Incremental Cost (2019 $)</v>
      </c>
    </row>
    <row r="406" spans="2:57" x14ac:dyDescent="0.25">
      <c r="B406" s="1752"/>
      <c r="C406" s="1975" t="s">
        <v>2521</v>
      </c>
      <c r="D406" s="2667" t="s">
        <v>2406</v>
      </c>
      <c r="E406" s="1763" t="s">
        <v>2522</v>
      </c>
      <c r="F406" s="531">
        <f>ROUND(F416*(F417*F418-F419*F420)*F421*F422*F423/F424*I406*F432*F431,2)</f>
        <v>33.5</v>
      </c>
      <c r="G406" s="3227" t="s">
        <v>184</v>
      </c>
      <c r="H406" s="155">
        <f>VLOOKUP(G406,'CP FACTORS'!$A$3:$B$38, 2, FALSE)</f>
        <v>8.8731800000000003E-5</v>
      </c>
      <c r="I406" s="526">
        <f>F425*F426*(F427-F428)/(F429*F430)</f>
        <v>6.1532825322391571E-2</v>
      </c>
      <c r="J406" s="106">
        <f>ROUND(F406*H406,6)</f>
        <v>2.9729999999999999E-3</v>
      </c>
      <c r="K406" s="108">
        <f>F433</f>
        <v>10</v>
      </c>
      <c r="L406" s="1199">
        <f>F434</f>
        <v>8</v>
      </c>
      <c r="M406" s="2666" t="s">
        <v>185</v>
      </c>
      <c r="V406" s="160" t="str">
        <f>F405</f>
        <v>kWh Annual Savings</v>
      </c>
      <c r="W406" s="421">
        <v>33.473610844079722</v>
      </c>
      <c r="X406" s="1200">
        <v>33.473610844079722</v>
      </c>
      <c r="Y406" s="1200">
        <v>33.47</v>
      </c>
      <c r="Z406" s="1200">
        <v>33.47</v>
      </c>
      <c r="AA406" s="1200">
        <v>33.47</v>
      </c>
      <c r="AB406" s="1200">
        <v>33.47</v>
      </c>
      <c r="AC406" s="527">
        <v>33.5</v>
      </c>
      <c r="AD406" s="160"/>
      <c r="AE406" s="160"/>
      <c r="AF406" s="160"/>
      <c r="AG406" s="160"/>
      <c r="AH406" s="1930"/>
      <c r="AI406" s="1930"/>
      <c r="AJ406" s="1930"/>
      <c r="AK406" s="1930"/>
      <c r="AL406" s="1930"/>
      <c r="AM406" s="1930"/>
      <c r="AN406" s="1930"/>
      <c r="AO406" s="1930"/>
      <c r="AP406" s="1930"/>
      <c r="AQ406" s="1930"/>
      <c r="AR406" s="1930"/>
      <c r="AS406" s="1930"/>
      <c r="AT406" s="1930"/>
      <c r="AU406" s="1930"/>
      <c r="AV406" s="1930"/>
      <c r="AW406" s="1930"/>
      <c r="AX406" s="1930"/>
      <c r="AY406" s="1930"/>
      <c r="AZ406" s="1930"/>
      <c r="BA406" s="1930"/>
      <c r="BB406" s="1954">
        <f>(BD406)/(BE406)</f>
        <v>1.4964017631536612</v>
      </c>
      <c r="BC406" s="3166" t="str">
        <f>CONCATENATE(G406," ",K406," Year EUL")</f>
        <v>Water Heating RES 10 Year EUL</v>
      </c>
      <c r="BD406" s="166">
        <f>(INDEX('Avoided Cost Benefits'!$C$4:$C$857,MATCH(BC406,'Avoided Cost Benefits'!$A$4:$A$857,0)))*F406</f>
        <v>11.298927895450012</v>
      </c>
      <c r="BE406" s="1956">
        <f>L406/(1.0595^(2020-2019))</f>
        <v>7.5507314771118441</v>
      </c>
    </row>
    <row r="407" spans="2:57" hidden="1" outlineLevel="1" x14ac:dyDescent="0.25">
      <c r="B407" s="1752"/>
      <c r="C407" s="1753"/>
      <c r="D407" s="1198"/>
      <c r="E407" s="1198"/>
      <c r="F407" s="1752"/>
      <c r="G407" s="1765"/>
      <c r="H407" s="1752"/>
      <c r="I407" s="1752"/>
      <c r="J407" s="1752"/>
      <c r="K407" s="1752"/>
      <c r="L407" s="1752"/>
      <c r="V407" s="1930"/>
      <c r="W407" s="1930"/>
      <c r="X407" s="1930"/>
      <c r="Y407" s="1930"/>
      <c r="Z407" s="1930"/>
      <c r="AA407" s="1930"/>
      <c r="AB407" s="1930"/>
      <c r="AC407" s="1930"/>
      <c r="AD407" s="1930"/>
      <c r="AE407" s="1930"/>
      <c r="AF407" s="1930"/>
      <c r="AG407" s="1930"/>
      <c r="AH407" s="1930"/>
      <c r="AI407" s="1930"/>
      <c r="AJ407" s="1930"/>
      <c r="AK407" s="1930"/>
      <c r="AL407" s="1930"/>
      <c r="AM407" s="1930"/>
      <c r="AN407" s="1930"/>
      <c r="AO407" s="1930"/>
      <c r="AP407" s="1930"/>
      <c r="AQ407" s="1930"/>
      <c r="AR407" s="1930"/>
      <c r="AS407" s="1930"/>
      <c r="AT407" s="1930"/>
      <c r="AU407" s="1930"/>
      <c r="AV407" s="1930"/>
      <c r="AW407" s="1930"/>
      <c r="AX407" s="1930"/>
      <c r="AY407" s="1930"/>
      <c r="AZ407" s="1930"/>
      <c r="BA407" s="1930"/>
      <c r="BC407" s="1930"/>
      <c r="BD407" s="1930"/>
      <c r="BE407" s="1930"/>
    </row>
    <row r="408" spans="2:57" hidden="1" outlineLevel="1" x14ac:dyDescent="0.25">
      <c r="B408" s="1752"/>
      <c r="C408" s="1753"/>
      <c r="D408" s="174" t="s">
        <v>108</v>
      </c>
      <c r="E408" s="1198"/>
      <c r="F408" s="1752"/>
      <c r="G408" s="1752"/>
      <c r="H408" s="1752"/>
      <c r="I408" s="1752"/>
      <c r="J408" s="1752"/>
      <c r="K408" s="1752"/>
      <c r="L408" s="1752"/>
      <c r="V408" s="1930"/>
      <c r="W408" s="1930"/>
      <c r="X408" s="1930"/>
      <c r="Y408" s="1930"/>
      <c r="Z408" s="1930"/>
      <c r="AA408" s="1930"/>
      <c r="AB408" s="1930"/>
      <c r="AC408" s="1930"/>
      <c r="AD408" s="1930"/>
      <c r="AE408" s="1930"/>
      <c r="AF408" s="1930"/>
      <c r="AG408" s="1930"/>
      <c r="AH408" s="1930"/>
      <c r="AI408" s="1930"/>
      <c r="AJ408" s="1930"/>
      <c r="AK408" s="1930"/>
      <c r="AL408" s="1930"/>
      <c r="AM408" s="1930"/>
      <c r="AN408" s="1930"/>
      <c r="AO408" s="1930"/>
      <c r="AP408" s="1930"/>
      <c r="AQ408" s="1930"/>
      <c r="AR408" s="1930"/>
      <c r="AS408" s="1930"/>
      <c r="AT408" s="1930"/>
      <c r="AU408" s="1930"/>
      <c r="AV408" s="1930"/>
      <c r="AW408" s="1930"/>
      <c r="AX408" s="1930"/>
      <c r="AY408" s="1930"/>
      <c r="AZ408" s="1930"/>
      <c r="BA408" s="1930"/>
      <c r="BC408" s="1930"/>
      <c r="BD408" s="1930"/>
      <c r="BE408" s="1930"/>
    </row>
    <row r="409" spans="2:57" hidden="1" outlineLevel="1" x14ac:dyDescent="0.25">
      <c r="B409" s="1752"/>
      <c r="C409" s="1753"/>
      <c r="D409" s="1198"/>
      <c r="E409" s="1198"/>
      <c r="F409" s="1752"/>
      <c r="G409" s="1752"/>
      <c r="H409" s="1752"/>
      <c r="I409" s="1752"/>
      <c r="J409" s="1752"/>
      <c r="K409" s="1752"/>
      <c r="L409" s="1752"/>
      <c r="V409" s="1930"/>
      <c r="W409" s="1930"/>
      <c r="X409" s="1930"/>
      <c r="Y409" s="1930"/>
      <c r="Z409" s="1930"/>
      <c r="AA409" s="1930"/>
      <c r="AB409" s="1930"/>
      <c r="AC409" s="1930"/>
      <c r="AD409" s="1930"/>
      <c r="AE409" s="1930"/>
      <c r="AF409" s="1930"/>
      <c r="AG409" s="1930"/>
      <c r="AH409" s="1930"/>
      <c r="AI409" s="1930"/>
      <c r="AJ409" s="1930"/>
      <c r="AK409" s="1930"/>
      <c r="AL409" s="1930"/>
      <c r="AM409" s="1930"/>
      <c r="AN409" s="1930"/>
      <c r="AO409" s="1930"/>
      <c r="AP409" s="1930"/>
      <c r="AQ409" s="1930"/>
      <c r="AR409" s="1930"/>
      <c r="AS409" s="1930"/>
      <c r="AT409" s="1930"/>
      <c r="AU409" s="1930"/>
      <c r="AV409" s="1930"/>
      <c r="AW409" s="1930"/>
      <c r="AX409" s="1930"/>
      <c r="AY409" s="1930"/>
      <c r="AZ409" s="1930"/>
      <c r="BA409" s="1930"/>
      <c r="BC409" s="1930"/>
      <c r="BD409" s="1930"/>
      <c r="BE409" s="1930"/>
    </row>
    <row r="410" spans="2:57" hidden="1" outlineLevel="1" x14ac:dyDescent="0.25">
      <c r="B410" s="1752"/>
      <c r="C410" s="1753"/>
      <c r="D410" s="1198"/>
      <c r="E410" s="1198"/>
      <c r="F410" s="1752"/>
      <c r="G410" s="1752"/>
      <c r="H410" s="1752"/>
      <c r="I410" s="1752"/>
      <c r="J410" s="1752"/>
      <c r="K410" s="1752"/>
      <c r="L410" s="1752"/>
      <c r="V410" s="1930"/>
      <c r="W410" s="1930"/>
      <c r="X410" s="1930"/>
      <c r="Y410" s="1930"/>
      <c r="Z410" s="1930"/>
      <c r="AA410" s="1930"/>
      <c r="AB410" s="1930"/>
      <c r="AC410" s="1930"/>
      <c r="AD410" s="1930"/>
      <c r="AE410" s="1930"/>
      <c r="AF410" s="1930"/>
      <c r="AG410" s="1930"/>
      <c r="AH410" s="1930"/>
      <c r="AI410" s="1930"/>
      <c r="AJ410" s="1930"/>
      <c r="AK410" s="1930"/>
      <c r="AL410" s="1930"/>
      <c r="AM410" s="1930"/>
      <c r="AN410" s="1930"/>
      <c r="AO410" s="1930"/>
      <c r="AP410" s="1930"/>
      <c r="AQ410" s="1930"/>
      <c r="AR410" s="1930"/>
      <c r="AS410" s="1930"/>
      <c r="AT410" s="1930"/>
      <c r="AU410" s="1930"/>
      <c r="AV410" s="1930"/>
      <c r="AW410" s="1930"/>
      <c r="AX410" s="1930"/>
      <c r="AY410" s="1930"/>
      <c r="AZ410" s="1930"/>
      <c r="BA410" s="1930"/>
      <c r="BC410" s="1930"/>
      <c r="BD410" s="1930"/>
      <c r="BE410" s="1930"/>
    </row>
    <row r="411" spans="2:57" hidden="1" outlineLevel="1" x14ac:dyDescent="0.25">
      <c r="B411" s="1752"/>
      <c r="C411" s="1753"/>
      <c r="D411" s="1198"/>
      <c r="E411" s="1198"/>
      <c r="F411" s="1752"/>
      <c r="G411" s="1752"/>
      <c r="H411" s="1752"/>
      <c r="I411" s="1752"/>
      <c r="J411" s="1752"/>
      <c r="K411" s="1752"/>
      <c r="L411" s="1752"/>
      <c r="V411" s="1930"/>
      <c r="W411" s="1930"/>
      <c r="X411" s="1930"/>
      <c r="Y411" s="1930"/>
      <c r="Z411" s="1930"/>
      <c r="AA411" s="1930"/>
      <c r="AB411" s="1930"/>
      <c r="AC411" s="1930"/>
      <c r="AD411" s="1930"/>
      <c r="AE411" s="1930"/>
      <c r="AF411" s="1930"/>
      <c r="AG411" s="1930"/>
      <c r="AH411" s="1930"/>
      <c r="AI411" s="1930"/>
      <c r="AJ411" s="1930"/>
      <c r="AK411" s="1930"/>
      <c r="AL411" s="1930"/>
      <c r="AM411" s="1930"/>
      <c r="AN411" s="1930"/>
      <c r="AO411" s="1930"/>
      <c r="AP411" s="1930"/>
      <c r="AQ411" s="1930"/>
      <c r="AR411" s="1930"/>
      <c r="AS411" s="1930"/>
      <c r="AT411" s="1930"/>
      <c r="AU411" s="1930"/>
      <c r="AV411" s="1930"/>
      <c r="AW411" s="1930"/>
      <c r="AX411" s="1930"/>
      <c r="AY411" s="1930"/>
      <c r="AZ411" s="1930"/>
      <c r="BA411" s="1930"/>
      <c r="BC411" s="1930"/>
      <c r="BD411" s="1930"/>
      <c r="BE411" s="1930"/>
    </row>
    <row r="412" spans="2:57" hidden="1" outlineLevel="1" x14ac:dyDescent="0.25">
      <c r="B412" s="1752"/>
      <c r="C412" s="1753"/>
      <c r="D412" s="1198"/>
      <c r="E412" s="1198"/>
      <c r="F412" s="1752"/>
      <c r="G412" s="1752"/>
      <c r="H412" s="1752"/>
      <c r="I412" s="1752"/>
      <c r="J412" s="1752"/>
      <c r="K412" s="1752"/>
      <c r="L412" s="1752"/>
      <c r="V412" s="1930"/>
      <c r="W412" s="1930"/>
      <c r="X412" s="1930"/>
      <c r="Y412" s="1930"/>
      <c r="Z412" s="1930"/>
      <c r="AA412" s="1930"/>
      <c r="AB412" s="1930"/>
      <c r="AC412" s="1930"/>
      <c r="AD412" s="1930"/>
      <c r="AE412" s="1930"/>
      <c r="AF412" s="1930"/>
      <c r="AG412" s="1930"/>
      <c r="AH412" s="1930"/>
      <c r="AI412" s="1930"/>
      <c r="AJ412" s="1930"/>
      <c r="AK412" s="1930"/>
      <c r="AL412" s="1930"/>
      <c r="AM412" s="1930"/>
      <c r="AN412" s="1930"/>
      <c r="AO412" s="1930"/>
      <c r="AP412" s="1930"/>
      <c r="AQ412" s="1930"/>
      <c r="AR412" s="1930"/>
      <c r="AS412" s="1930"/>
      <c r="AT412" s="1930"/>
      <c r="AU412" s="1930"/>
      <c r="AV412" s="1930"/>
      <c r="AW412" s="1930"/>
      <c r="AX412" s="1930"/>
      <c r="AY412" s="1930"/>
      <c r="AZ412" s="1930"/>
      <c r="BA412" s="1930"/>
      <c r="BC412" s="1930"/>
      <c r="BD412" s="1930"/>
      <c r="BE412" s="1930"/>
    </row>
    <row r="413" spans="2:57" hidden="1" outlineLevel="1" x14ac:dyDescent="0.25">
      <c r="B413" s="1752"/>
      <c r="C413" s="1753"/>
      <c r="D413" s="1198"/>
      <c r="E413" s="1198"/>
      <c r="F413" s="1752"/>
      <c r="G413" s="1752"/>
      <c r="H413" s="1752"/>
      <c r="I413" s="1752"/>
      <c r="J413" s="1752"/>
      <c r="K413" s="1752"/>
      <c r="L413" s="1752"/>
      <c r="V413" s="1930"/>
      <c r="W413" s="1930"/>
      <c r="X413" s="1930"/>
      <c r="Y413" s="1930"/>
      <c r="Z413" s="1930"/>
      <c r="AA413" s="1930"/>
      <c r="AB413" s="1930"/>
      <c r="AC413" s="1930"/>
      <c r="AD413" s="1930"/>
      <c r="AE413" s="1930"/>
      <c r="AF413" s="1930"/>
      <c r="AG413" s="1930"/>
      <c r="AH413" s="1930"/>
      <c r="AI413" s="1930"/>
      <c r="AJ413" s="1930"/>
      <c r="AK413" s="1930"/>
      <c r="AL413" s="1930"/>
      <c r="AM413" s="1930"/>
      <c r="AN413" s="1930"/>
      <c r="AO413" s="1930"/>
      <c r="AP413" s="1930"/>
      <c r="AQ413" s="1930"/>
      <c r="AR413" s="1930"/>
      <c r="AS413" s="1930"/>
      <c r="AT413" s="1930"/>
      <c r="AU413" s="1930"/>
      <c r="AV413" s="1930"/>
      <c r="AW413" s="1930"/>
      <c r="AX413" s="1930"/>
      <c r="AY413" s="1930"/>
      <c r="AZ413" s="1930"/>
      <c r="BA413" s="1930"/>
      <c r="BC413" s="1930"/>
      <c r="BD413" s="1930"/>
      <c r="BE413" s="1930"/>
    </row>
    <row r="414" spans="2:57" hidden="1" outlineLevel="1" x14ac:dyDescent="0.25">
      <c r="B414" s="1752"/>
      <c r="C414" s="1753"/>
      <c r="D414" s="1198"/>
      <c r="E414" s="1198"/>
      <c r="F414" s="1752"/>
      <c r="G414" s="1752"/>
      <c r="H414" s="1752"/>
      <c r="I414" s="1752"/>
      <c r="J414" s="1752"/>
      <c r="K414" s="1752"/>
      <c r="L414" s="1752"/>
      <c r="V414" s="1930"/>
      <c r="W414" s="1930"/>
      <c r="X414" s="1930"/>
      <c r="Y414" s="1930"/>
      <c r="Z414" s="1930"/>
      <c r="AA414" s="1930"/>
      <c r="AB414" s="1930"/>
      <c r="AC414" s="1930"/>
      <c r="AD414" s="1930"/>
      <c r="AE414" s="1930"/>
      <c r="AF414" s="1930"/>
      <c r="AG414" s="1930"/>
      <c r="AH414" s="1930"/>
      <c r="AI414" s="1930"/>
      <c r="AJ414" s="1930"/>
      <c r="AK414" s="1930"/>
      <c r="AL414" s="1930"/>
      <c r="AM414" s="1930"/>
      <c r="AN414" s="1930"/>
      <c r="AO414" s="1930"/>
      <c r="AP414" s="1930"/>
      <c r="AQ414" s="1930"/>
      <c r="AR414" s="1930"/>
      <c r="AS414" s="1930"/>
      <c r="AT414" s="1930"/>
      <c r="AU414" s="1930"/>
      <c r="AV414" s="1930"/>
      <c r="AW414" s="1930"/>
      <c r="AX414" s="1930"/>
      <c r="AY414" s="1930"/>
      <c r="AZ414" s="1930"/>
      <c r="BA414" s="1930"/>
      <c r="BC414" s="1930"/>
      <c r="BD414" s="1930"/>
      <c r="BE414" s="1930"/>
    </row>
    <row r="415" spans="2:57" ht="15" hidden="1" customHeight="1" outlineLevel="1" x14ac:dyDescent="0.25">
      <c r="B415" s="1752"/>
      <c r="C415" s="1753"/>
      <c r="D415" s="3236" t="s">
        <v>109</v>
      </c>
      <c r="E415" s="3236" t="s">
        <v>110</v>
      </c>
      <c r="F415" s="3086" t="s">
        <v>2523</v>
      </c>
      <c r="G415" s="3773" t="s">
        <v>2524</v>
      </c>
      <c r="H415" s="3773"/>
      <c r="I415" s="3773" t="s">
        <v>113</v>
      </c>
      <c r="J415" s="3773"/>
      <c r="K415" s="3086"/>
      <c r="L415" s="1752"/>
      <c r="V415" s="1936" t="s">
        <v>45</v>
      </c>
      <c r="W415" s="1937">
        <f>W$6</f>
        <v>43252</v>
      </c>
      <c r="X415" s="1937">
        <f t="shared" ref="X415:AG415" si="94">X$6</f>
        <v>43465</v>
      </c>
      <c r="Y415" s="1937">
        <f t="shared" si="94"/>
        <v>43800</v>
      </c>
      <c r="Z415" s="1937">
        <f t="shared" si="94"/>
        <v>43862</v>
      </c>
      <c r="AA415" s="1937">
        <f t="shared" si="94"/>
        <v>44013</v>
      </c>
      <c r="AB415" s="1937">
        <f t="shared" si="94"/>
        <v>44166</v>
      </c>
      <c r="AC415" s="1937">
        <f t="shared" si="94"/>
        <v>44531</v>
      </c>
      <c r="AD415" s="1937" t="str">
        <f t="shared" si="94"/>
        <v>-</v>
      </c>
      <c r="AE415" s="1937" t="str">
        <f t="shared" si="94"/>
        <v>-</v>
      </c>
      <c r="AF415" s="1937" t="str">
        <f t="shared" si="94"/>
        <v>-</v>
      </c>
      <c r="AG415" s="1937" t="str">
        <f t="shared" si="94"/>
        <v>-</v>
      </c>
      <c r="AH415" s="1930"/>
      <c r="AI415" s="1930"/>
      <c r="AJ415" s="1930"/>
      <c r="AK415" s="1930"/>
      <c r="AL415" s="1930"/>
      <c r="AM415" s="1930"/>
      <c r="AN415" s="1930"/>
      <c r="AO415" s="1930"/>
      <c r="AP415" s="1930"/>
      <c r="AQ415" s="1930"/>
      <c r="AR415" s="1930"/>
      <c r="AS415" s="1930"/>
      <c r="AT415" s="1930"/>
      <c r="AU415" s="1930"/>
      <c r="AV415" s="1930"/>
      <c r="AW415" s="1930"/>
      <c r="AX415" s="1930"/>
      <c r="AY415" s="1930"/>
      <c r="AZ415" s="1930"/>
      <c r="BA415" s="1930"/>
      <c r="BC415" s="1930"/>
      <c r="BD415" s="1930"/>
      <c r="BE415" s="1930"/>
    </row>
    <row r="416" spans="2:57" hidden="1" outlineLevel="1" x14ac:dyDescent="0.25">
      <c r="B416" s="1752"/>
      <c r="C416" s="1753"/>
      <c r="D416" s="3089" t="s">
        <v>615</v>
      </c>
      <c r="E416" s="3089" t="s">
        <v>616</v>
      </c>
      <c r="F416" s="1040">
        <v>1</v>
      </c>
      <c r="G416" s="3867" t="s">
        <v>600</v>
      </c>
      <c r="H416" s="3867"/>
      <c r="I416" s="3785" t="s">
        <v>2516</v>
      </c>
      <c r="J416" s="3785"/>
      <c r="K416" s="3785"/>
      <c r="L416" s="1752"/>
      <c r="V416" s="3212" t="str">
        <f>D416</f>
        <v>%Electric DHW</v>
      </c>
      <c r="W416" s="489">
        <v>1</v>
      </c>
      <c r="X416" s="489">
        <v>1</v>
      </c>
      <c r="Y416" s="489">
        <v>1</v>
      </c>
      <c r="Z416" s="489">
        <v>1</v>
      </c>
      <c r="AA416" s="489">
        <v>1</v>
      </c>
      <c r="AB416" s="489">
        <v>1</v>
      </c>
      <c r="AC416" s="1040">
        <v>1</v>
      </c>
      <c r="AD416" s="489"/>
      <c r="AE416" s="489"/>
      <c r="AF416" s="489"/>
      <c r="AG416" s="489"/>
      <c r="AH416" s="1930"/>
      <c r="AI416" s="1930"/>
      <c r="AJ416" s="1930"/>
      <c r="AK416" s="1930"/>
      <c r="AL416" s="1930"/>
      <c r="AM416" s="1930"/>
      <c r="AN416" s="1930"/>
      <c r="AO416" s="1930"/>
      <c r="AP416" s="1930"/>
      <c r="AQ416" s="1930"/>
      <c r="AR416" s="1930"/>
      <c r="AS416" s="1930"/>
      <c r="AT416" s="1930"/>
      <c r="AU416" s="1930"/>
      <c r="AV416" s="1930"/>
      <c r="AW416" s="1930"/>
      <c r="AX416" s="1930"/>
      <c r="AY416" s="1930"/>
      <c r="AZ416" s="1930"/>
      <c r="BA416" s="1930"/>
      <c r="BC416" s="1930"/>
      <c r="BD416" s="1930"/>
      <c r="BE416" s="1930"/>
    </row>
    <row r="417" spans="1:57" ht="27.75" hidden="1" customHeight="1" outlineLevel="1" x14ac:dyDescent="0.25">
      <c r="B417" s="1752"/>
      <c r="C417" s="1753"/>
      <c r="D417" s="3089" t="s">
        <v>621</v>
      </c>
      <c r="E417" s="3089" t="s">
        <v>622</v>
      </c>
      <c r="F417" s="3227">
        <v>2.2000000000000002</v>
      </c>
      <c r="G417" s="3776" t="s">
        <v>623</v>
      </c>
      <c r="H417" s="3776"/>
      <c r="I417" s="3785" t="s">
        <v>2517</v>
      </c>
      <c r="J417" s="3785"/>
      <c r="K417" s="3785"/>
      <c r="L417" s="1752"/>
      <c r="V417" s="3212" t="str">
        <f t="shared" ref="V417:V432" si="95">D417</f>
        <v>GPM_base</v>
      </c>
      <c r="W417" s="481">
        <v>2.2000000000000002</v>
      </c>
      <c r="X417" s="481">
        <v>2.2000000000000002</v>
      </c>
      <c r="Y417" s="481">
        <v>2.2000000000000002</v>
      </c>
      <c r="Z417" s="481">
        <v>2.2000000000000002</v>
      </c>
      <c r="AA417" s="481">
        <v>2.2000000000000002</v>
      </c>
      <c r="AB417" s="481">
        <v>2.2000000000000002</v>
      </c>
      <c r="AC417" s="3227">
        <v>2.2000000000000002</v>
      </c>
      <c r="AD417" s="481"/>
      <c r="AE417" s="481"/>
      <c r="AF417" s="481"/>
      <c r="AG417" s="481"/>
      <c r="AH417" s="1930"/>
      <c r="AI417" s="1930"/>
      <c r="AJ417" s="1930"/>
      <c r="AK417" s="1930"/>
      <c r="AL417" s="1930"/>
      <c r="AM417" s="1930"/>
      <c r="AN417" s="1930"/>
      <c r="AO417" s="1930"/>
      <c r="AP417" s="1930"/>
      <c r="AQ417" s="1930"/>
      <c r="AR417" s="1930"/>
      <c r="AS417" s="1930"/>
      <c r="AT417" s="1930"/>
      <c r="AU417" s="1930"/>
      <c r="AV417" s="1930"/>
      <c r="AW417" s="1930"/>
      <c r="AX417" s="1930"/>
      <c r="AY417" s="1930"/>
      <c r="AZ417" s="1930"/>
      <c r="BA417" s="1930"/>
      <c r="BC417" s="1930"/>
      <c r="BD417" s="1930"/>
      <c r="BE417" s="1930"/>
    </row>
    <row r="418" spans="1:57" ht="69.75" hidden="1" customHeight="1" outlineLevel="1" x14ac:dyDescent="0.25">
      <c r="B418" s="1752"/>
      <c r="C418" s="1753"/>
      <c r="D418" s="3089" t="s">
        <v>624</v>
      </c>
      <c r="E418" s="3127" t="s">
        <v>625</v>
      </c>
      <c r="F418" s="3227">
        <v>1.6</v>
      </c>
      <c r="G418" s="3776" t="s">
        <v>673</v>
      </c>
      <c r="H418" s="3776"/>
      <c r="I418" s="3785" t="s">
        <v>2517</v>
      </c>
      <c r="J418" s="3785"/>
      <c r="K418" s="3785"/>
      <c r="L418" s="1752"/>
      <c r="V418" s="3212" t="str">
        <f t="shared" si="95"/>
        <v>L_base</v>
      </c>
      <c r="W418" s="481">
        <v>1.6</v>
      </c>
      <c r="X418" s="481">
        <v>1.6</v>
      </c>
      <c r="Y418" s="481">
        <v>1.6</v>
      </c>
      <c r="Z418" s="481">
        <v>1.6</v>
      </c>
      <c r="AA418" s="481">
        <v>1.6</v>
      </c>
      <c r="AB418" s="481">
        <v>1.6</v>
      </c>
      <c r="AC418" s="3227">
        <v>1.6</v>
      </c>
      <c r="AD418" s="481"/>
      <c r="AE418" s="481"/>
      <c r="AF418" s="481"/>
      <c r="AG418" s="481"/>
      <c r="AH418" s="1930"/>
      <c r="AI418" s="1930"/>
      <c r="AJ418" s="1930"/>
      <c r="AK418" s="1930"/>
      <c r="AL418" s="1930"/>
      <c r="AM418" s="1930"/>
      <c r="AN418" s="1930"/>
      <c r="AO418" s="1930"/>
      <c r="AP418" s="1930"/>
      <c r="AQ418" s="1930"/>
      <c r="AR418" s="1930"/>
      <c r="AS418" s="1930"/>
      <c r="AT418" s="1930"/>
      <c r="AU418" s="1930"/>
      <c r="AV418" s="1930"/>
      <c r="AW418" s="1930"/>
      <c r="AX418" s="1930"/>
      <c r="AY418" s="1930"/>
      <c r="AZ418" s="1930"/>
      <c r="BA418" s="1930"/>
      <c r="BC418" s="1930"/>
      <c r="BD418" s="1930"/>
      <c r="BE418" s="1930"/>
    </row>
    <row r="419" spans="1:57" hidden="1" outlineLevel="1" x14ac:dyDescent="0.25">
      <c r="B419" s="1752"/>
      <c r="C419" s="1753"/>
      <c r="D419" s="3089" t="s">
        <v>629</v>
      </c>
      <c r="E419" s="3089" t="s">
        <v>630</v>
      </c>
      <c r="F419" s="463">
        <v>1.5</v>
      </c>
      <c r="G419" s="3776" t="s">
        <v>631</v>
      </c>
      <c r="H419" s="3776"/>
      <c r="I419" s="3785" t="s">
        <v>2517</v>
      </c>
      <c r="J419" s="3785"/>
      <c r="K419" s="3785"/>
      <c r="L419" s="1752"/>
      <c r="V419" s="3212" t="str">
        <f t="shared" si="95"/>
        <v>GPM_low</v>
      </c>
      <c r="W419" s="464">
        <v>1.5</v>
      </c>
      <c r="X419" s="464">
        <v>1.5</v>
      </c>
      <c r="Y419" s="464">
        <v>1.5</v>
      </c>
      <c r="Z419" s="464">
        <v>1.5</v>
      </c>
      <c r="AA419" s="464">
        <v>1.5</v>
      </c>
      <c r="AB419" s="464">
        <v>1.5</v>
      </c>
      <c r="AC419" s="463">
        <v>1.5</v>
      </c>
      <c r="AD419" s="464"/>
      <c r="AE419" s="464"/>
      <c r="AF419" s="464"/>
      <c r="AG419" s="464"/>
      <c r="AH419" s="1930"/>
      <c r="AI419" s="1930"/>
      <c r="AJ419" s="1930"/>
      <c r="AK419" s="1930"/>
      <c r="AL419" s="1930"/>
      <c r="AM419" s="1930"/>
      <c r="AN419" s="1930"/>
      <c r="AO419" s="1930"/>
      <c r="AP419" s="1930"/>
      <c r="AQ419" s="1930"/>
      <c r="AR419" s="1930"/>
      <c r="AS419" s="1930"/>
      <c r="AT419" s="1930"/>
      <c r="AU419" s="1930"/>
      <c r="AV419" s="1930"/>
      <c r="AW419" s="1930"/>
      <c r="AX419" s="1930"/>
      <c r="AY419" s="1930"/>
      <c r="AZ419" s="1930"/>
      <c r="BA419" s="1930"/>
      <c r="BC419" s="1930"/>
      <c r="BD419" s="1930"/>
      <c r="BE419" s="1930"/>
    </row>
    <row r="420" spans="1:57" ht="72.75" hidden="1" customHeight="1" outlineLevel="1" x14ac:dyDescent="0.25">
      <c r="B420" s="1752"/>
      <c r="C420" s="1753"/>
      <c r="D420" s="3089" t="s">
        <v>632</v>
      </c>
      <c r="E420" s="3127" t="s">
        <v>633</v>
      </c>
      <c r="F420" s="3227">
        <v>1.6</v>
      </c>
      <c r="G420" s="3776" t="s">
        <v>673</v>
      </c>
      <c r="H420" s="3776"/>
      <c r="I420" s="3785" t="s">
        <v>2517</v>
      </c>
      <c r="J420" s="3785"/>
      <c r="K420" s="3785"/>
      <c r="L420" s="1752"/>
      <c r="V420" s="3212" t="str">
        <f t="shared" si="95"/>
        <v>L_low</v>
      </c>
      <c r="W420" s="481">
        <v>1.6</v>
      </c>
      <c r="X420" s="481">
        <v>1.6</v>
      </c>
      <c r="Y420" s="481">
        <v>1.6</v>
      </c>
      <c r="Z420" s="481">
        <v>1.6</v>
      </c>
      <c r="AA420" s="481">
        <v>1.6</v>
      </c>
      <c r="AB420" s="481">
        <v>1.6</v>
      </c>
      <c r="AC420" s="3227">
        <v>1.6</v>
      </c>
      <c r="AD420" s="481"/>
      <c r="AE420" s="481"/>
      <c r="AF420" s="481"/>
      <c r="AG420" s="481"/>
      <c r="AH420" s="1930"/>
      <c r="AI420" s="1930"/>
      <c r="AJ420" s="1930"/>
      <c r="AK420" s="1930"/>
      <c r="AL420" s="1930"/>
      <c r="AM420" s="1930"/>
      <c r="AN420" s="1930"/>
      <c r="AO420" s="1930"/>
      <c r="AP420" s="1930"/>
      <c r="AQ420" s="1930"/>
      <c r="AR420" s="1930"/>
      <c r="AS420" s="1930"/>
      <c r="AT420" s="1930"/>
      <c r="AU420" s="1930"/>
      <c r="AV420" s="1930"/>
      <c r="AW420" s="1930"/>
      <c r="AX420" s="1930"/>
      <c r="AY420" s="1930"/>
      <c r="AZ420" s="1930"/>
      <c r="BA420" s="1930"/>
      <c r="BC420" s="1930"/>
      <c r="BD420" s="1930"/>
      <c r="BE420" s="1930"/>
    </row>
    <row r="421" spans="1:57" ht="45" hidden="1" customHeight="1" outlineLevel="1" x14ac:dyDescent="0.25">
      <c r="B421" s="1752"/>
      <c r="C421" s="1753"/>
      <c r="D421" s="3089" t="s">
        <v>200</v>
      </c>
      <c r="E421" s="3121" t="s">
        <v>634</v>
      </c>
      <c r="F421" s="3227">
        <v>2.0699999999999998</v>
      </c>
      <c r="G421" s="3776" t="s">
        <v>2518</v>
      </c>
      <c r="H421" s="3776"/>
      <c r="I421" s="3785" t="s">
        <v>2517</v>
      </c>
      <c r="J421" s="3785"/>
      <c r="K421" s="3785"/>
      <c r="L421" s="1752"/>
      <c r="V421" s="3212" t="str">
        <f t="shared" si="95"/>
        <v>Household</v>
      </c>
      <c r="W421" s="481">
        <v>2.0699999999999998</v>
      </c>
      <c r="X421" s="481">
        <v>2.0699999999999998</v>
      </c>
      <c r="Y421" s="481">
        <v>2.0699999999999998</v>
      </c>
      <c r="Z421" s="481">
        <v>2.0699999999999998</v>
      </c>
      <c r="AA421" s="481">
        <v>2.0699999999999998</v>
      </c>
      <c r="AB421" s="481">
        <v>2.0699999999999998</v>
      </c>
      <c r="AC421" s="3227">
        <v>2.0699999999999998</v>
      </c>
      <c r="AD421" s="481"/>
      <c r="AE421" s="481"/>
      <c r="AF421" s="481"/>
      <c r="AG421" s="481"/>
      <c r="AH421" s="1930"/>
      <c r="AI421" s="1930"/>
      <c r="AJ421" s="1930"/>
      <c r="AK421" s="1930"/>
      <c r="AL421" s="1930"/>
      <c r="AM421" s="1930"/>
      <c r="AN421" s="1930"/>
      <c r="AO421" s="1930"/>
      <c r="AP421" s="1930"/>
      <c r="AQ421" s="1930"/>
      <c r="AR421" s="1930"/>
      <c r="AS421" s="1930"/>
      <c r="AT421" s="1930"/>
      <c r="AU421" s="1930"/>
      <c r="AV421" s="1930"/>
      <c r="AW421" s="1930"/>
      <c r="AX421" s="1930"/>
      <c r="AY421" s="1930"/>
      <c r="AZ421" s="1930"/>
      <c r="BA421" s="1930"/>
      <c r="BC421" s="1930"/>
      <c r="BD421" s="1930"/>
      <c r="BE421" s="1930"/>
    </row>
    <row r="422" spans="1:57" ht="82.5" hidden="1" customHeight="1" outlineLevel="1" x14ac:dyDescent="0.25">
      <c r="B422" s="1752"/>
      <c r="C422" s="1753"/>
      <c r="D422" s="447" t="s">
        <v>638</v>
      </c>
      <c r="E422" s="3237" t="s">
        <v>639</v>
      </c>
      <c r="F422" s="104">
        <v>0.9</v>
      </c>
      <c r="G422" s="3910" t="s">
        <v>641</v>
      </c>
      <c r="H422" s="3910"/>
      <c r="I422" s="3785" t="s">
        <v>2517</v>
      </c>
      <c r="J422" s="3785"/>
      <c r="K422" s="3785"/>
      <c r="L422" s="1752"/>
      <c r="V422" s="3212" t="str">
        <f t="shared" si="95"/>
        <v>DF</v>
      </c>
      <c r="W422" s="499">
        <v>0.9</v>
      </c>
      <c r="X422" s="499">
        <v>0.9</v>
      </c>
      <c r="Y422" s="499">
        <v>0.9</v>
      </c>
      <c r="Z422" s="499">
        <v>0.9</v>
      </c>
      <c r="AA422" s="499">
        <v>0.9</v>
      </c>
      <c r="AB422" s="499">
        <v>0.9</v>
      </c>
      <c r="AC422" s="104">
        <v>0.9</v>
      </c>
      <c r="AD422" s="499"/>
      <c r="AE422" s="499"/>
      <c r="AF422" s="499"/>
      <c r="AG422" s="499"/>
      <c r="AH422" s="1930"/>
      <c r="AI422" s="1930"/>
      <c r="AJ422" s="1930"/>
      <c r="AK422" s="1930"/>
      <c r="AL422" s="1930"/>
      <c r="AM422" s="1930"/>
      <c r="AN422" s="1930"/>
      <c r="AO422" s="1930"/>
      <c r="AP422" s="1930"/>
      <c r="AQ422" s="1930"/>
      <c r="AR422" s="1930"/>
      <c r="AS422" s="1930"/>
      <c r="AT422" s="1930"/>
      <c r="AU422" s="1930"/>
      <c r="AV422" s="1930"/>
      <c r="AW422" s="1930"/>
      <c r="AX422" s="1930"/>
      <c r="AY422" s="1930"/>
      <c r="AZ422" s="1930"/>
      <c r="BA422" s="1930"/>
      <c r="BC422" s="1930"/>
      <c r="BD422" s="1930"/>
      <c r="BE422" s="1930"/>
    </row>
    <row r="423" spans="1:57" s="456" customFormat="1" hidden="1" outlineLevel="1" x14ac:dyDescent="0.25">
      <c r="A423" s="3220"/>
      <c r="B423" s="1766"/>
      <c r="C423" s="1767"/>
      <c r="D423" s="447">
        <v>365.25</v>
      </c>
      <c r="E423" s="3121" t="s">
        <v>586</v>
      </c>
      <c r="F423" s="99">
        <v>365.25</v>
      </c>
      <c r="G423" s="3896"/>
      <c r="H423" s="3896"/>
      <c r="I423" s="3785" t="s">
        <v>2517</v>
      </c>
      <c r="J423" s="3785"/>
      <c r="K423" s="3785"/>
      <c r="L423" s="1766"/>
      <c r="M423" s="3220"/>
      <c r="N423" s="3220"/>
      <c r="O423" s="3220"/>
      <c r="P423" s="3220"/>
      <c r="Q423" s="3220"/>
      <c r="R423" s="3220"/>
      <c r="S423" s="3220"/>
      <c r="T423" s="3220"/>
      <c r="U423" s="3220"/>
      <c r="V423" s="3212">
        <f t="shared" si="95"/>
        <v>365.25</v>
      </c>
      <c r="W423" s="491">
        <v>365</v>
      </c>
      <c r="X423" s="491">
        <v>365</v>
      </c>
      <c r="Y423" s="491">
        <v>365</v>
      </c>
      <c r="Z423" s="491">
        <v>365</v>
      </c>
      <c r="AA423" s="491">
        <v>365</v>
      </c>
      <c r="AB423" s="491">
        <v>365</v>
      </c>
      <c r="AC423" s="99">
        <v>365.25</v>
      </c>
      <c r="AD423" s="491"/>
      <c r="AE423" s="491"/>
      <c r="AF423" s="491"/>
      <c r="AG423" s="491"/>
      <c r="AH423" s="1930"/>
      <c r="AI423" s="1930"/>
      <c r="AJ423" s="1930"/>
      <c r="BB423" s="1232"/>
    </row>
    <row r="424" spans="1:57" s="456" customFormat="1" ht="30" hidden="1" customHeight="1" outlineLevel="1" x14ac:dyDescent="0.25">
      <c r="A424" s="3220"/>
      <c r="B424" s="1766"/>
      <c r="C424" s="1767"/>
      <c r="D424" s="447" t="s">
        <v>642</v>
      </c>
      <c r="E424" s="3089" t="s">
        <v>643</v>
      </c>
      <c r="F424" s="1764">
        <v>1.4</v>
      </c>
      <c r="G424" s="3867" t="s">
        <v>645</v>
      </c>
      <c r="H424" s="3867"/>
      <c r="I424" s="3785" t="s">
        <v>2517</v>
      </c>
      <c r="J424" s="3785"/>
      <c r="K424" s="3785"/>
      <c r="L424" s="1766"/>
      <c r="M424" s="3220"/>
      <c r="N424" s="3220"/>
      <c r="O424" s="3220"/>
      <c r="P424" s="3220"/>
      <c r="Q424" s="3220"/>
      <c r="R424" s="3220"/>
      <c r="S424" s="3220"/>
      <c r="T424" s="3220"/>
      <c r="U424" s="3220"/>
      <c r="V424" s="3212" t="str">
        <f t="shared" si="95"/>
        <v>FPH</v>
      </c>
      <c r="W424" s="505">
        <v>1.4</v>
      </c>
      <c r="X424" s="505">
        <v>1.4</v>
      </c>
      <c r="Y424" s="505">
        <v>1.4</v>
      </c>
      <c r="Z424" s="505">
        <v>1.4</v>
      </c>
      <c r="AA424" s="505">
        <v>1.4</v>
      </c>
      <c r="AB424" s="505">
        <v>1.4</v>
      </c>
      <c r="AC424" s="1764">
        <v>1.4</v>
      </c>
      <c r="AD424" s="505"/>
      <c r="AE424" s="505"/>
      <c r="AF424" s="505"/>
      <c r="AG424" s="505"/>
      <c r="AH424" s="1930"/>
      <c r="AI424" s="1930"/>
      <c r="AJ424" s="1930"/>
      <c r="BB424" s="1232"/>
    </row>
    <row r="425" spans="1:57" s="456" customFormat="1" hidden="1" outlineLevel="1" x14ac:dyDescent="0.25">
      <c r="A425" s="3220"/>
      <c r="B425" s="1766"/>
      <c r="C425" s="1767"/>
      <c r="D425" s="447">
        <v>8.33</v>
      </c>
      <c r="E425" s="3237" t="s">
        <v>647</v>
      </c>
      <c r="F425" s="104">
        <v>8.33</v>
      </c>
      <c r="G425" s="4420" t="s">
        <v>648</v>
      </c>
      <c r="H425" s="4420"/>
      <c r="I425" s="3785" t="s">
        <v>2517</v>
      </c>
      <c r="J425" s="3785"/>
      <c r="K425" s="3785"/>
      <c r="L425" s="1766"/>
      <c r="M425" s="3220"/>
      <c r="N425" s="3220"/>
      <c r="O425" s="3220"/>
      <c r="P425" s="3220"/>
      <c r="Q425" s="3220"/>
      <c r="R425" s="3220"/>
      <c r="S425" s="3220"/>
      <c r="T425" s="3220"/>
      <c r="U425" s="3220"/>
      <c r="V425" s="3212">
        <f t="shared" si="95"/>
        <v>8.33</v>
      </c>
      <c r="W425" s="499">
        <v>8.33</v>
      </c>
      <c r="X425" s="499">
        <v>8.33</v>
      </c>
      <c r="Y425" s="499">
        <v>8.33</v>
      </c>
      <c r="Z425" s="499">
        <v>8.33</v>
      </c>
      <c r="AA425" s="499">
        <v>8.33</v>
      </c>
      <c r="AB425" s="499">
        <v>8.33</v>
      </c>
      <c r="AC425" s="104">
        <v>8.33</v>
      </c>
      <c r="AD425" s="499"/>
      <c r="AE425" s="499"/>
      <c r="AF425" s="499"/>
      <c r="AG425" s="499"/>
      <c r="AH425" s="1930"/>
      <c r="AI425" s="1930"/>
      <c r="AJ425" s="1930"/>
      <c r="BB425" s="1232"/>
    </row>
    <row r="426" spans="1:57" s="456" customFormat="1" ht="30" hidden="1" customHeight="1" outlineLevel="1" x14ac:dyDescent="0.25">
      <c r="A426" s="3220"/>
      <c r="B426" s="1766"/>
      <c r="C426" s="1767"/>
      <c r="D426" s="447">
        <v>1</v>
      </c>
      <c r="E426" s="3127" t="s">
        <v>649</v>
      </c>
      <c r="F426" s="104">
        <v>1</v>
      </c>
      <c r="G426" s="3910" t="s">
        <v>650</v>
      </c>
      <c r="H426" s="3910"/>
      <c r="I426" s="3785" t="s">
        <v>2517</v>
      </c>
      <c r="J426" s="3785"/>
      <c r="K426" s="3785"/>
      <c r="L426" s="1766"/>
      <c r="M426" s="3220"/>
      <c r="N426" s="3220"/>
      <c r="O426" s="3220"/>
      <c r="P426" s="3220"/>
      <c r="Q426" s="3220"/>
      <c r="R426" s="3220"/>
      <c r="S426" s="3220"/>
      <c r="T426" s="3220"/>
      <c r="U426" s="3220"/>
      <c r="V426" s="3212">
        <f t="shared" si="95"/>
        <v>1</v>
      </c>
      <c r="W426" s="499">
        <v>1</v>
      </c>
      <c r="X426" s="499">
        <v>1</v>
      </c>
      <c r="Y426" s="499">
        <v>1</v>
      </c>
      <c r="Z426" s="499">
        <v>1</v>
      </c>
      <c r="AA426" s="499">
        <v>1</v>
      </c>
      <c r="AB426" s="499">
        <v>1</v>
      </c>
      <c r="AC426" s="104">
        <v>1</v>
      </c>
      <c r="AD426" s="499"/>
      <c r="AE426" s="499"/>
      <c r="AF426" s="499"/>
      <c r="AG426" s="499"/>
      <c r="AH426" s="1930"/>
      <c r="AI426" s="1930"/>
      <c r="AJ426" s="1930"/>
      <c r="BB426" s="1232"/>
    </row>
    <row r="427" spans="1:57" s="456" customFormat="1" ht="75.75" hidden="1" customHeight="1" outlineLevel="1" x14ac:dyDescent="0.25">
      <c r="A427" s="3220"/>
      <c r="B427" s="1766"/>
      <c r="C427" s="1767"/>
      <c r="D427" s="3089" t="s">
        <v>651</v>
      </c>
      <c r="E427" s="3121" t="s">
        <v>652</v>
      </c>
      <c r="F427" s="141">
        <v>86</v>
      </c>
      <c r="G427" s="3896" t="s">
        <v>653</v>
      </c>
      <c r="H427" s="3896"/>
      <c r="I427" s="3785" t="s">
        <v>2517</v>
      </c>
      <c r="J427" s="3785"/>
      <c r="K427" s="3785"/>
      <c r="L427" s="1766"/>
      <c r="M427" s="3220"/>
      <c r="N427" s="3220"/>
      <c r="O427" s="3220"/>
      <c r="P427" s="3220"/>
      <c r="Q427" s="3220"/>
      <c r="R427" s="3220"/>
      <c r="S427" s="3220"/>
      <c r="T427" s="3220"/>
      <c r="U427" s="3220"/>
      <c r="V427" s="3212" t="str">
        <f t="shared" si="95"/>
        <v>WaterTemp</v>
      </c>
      <c r="W427" s="801">
        <v>86</v>
      </c>
      <c r="X427" s="801">
        <v>86</v>
      </c>
      <c r="Y427" s="801">
        <v>86</v>
      </c>
      <c r="Z427" s="801">
        <v>86</v>
      </c>
      <c r="AA427" s="801">
        <v>86</v>
      </c>
      <c r="AB427" s="801">
        <v>86</v>
      </c>
      <c r="AC427" s="141">
        <v>86</v>
      </c>
      <c r="AD427" s="801"/>
      <c r="AE427" s="801"/>
      <c r="AF427" s="801"/>
      <c r="AG427" s="801"/>
      <c r="AH427" s="1930"/>
      <c r="AI427" s="1930"/>
      <c r="AJ427" s="1930"/>
      <c r="BB427" s="1232"/>
    </row>
    <row r="428" spans="1:57" s="456" customFormat="1" ht="66.75" hidden="1" customHeight="1" outlineLevel="1" x14ac:dyDescent="0.25">
      <c r="A428" s="3220"/>
      <c r="B428" s="1766"/>
      <c r="C428" s="1767"/>
      <c r="D428" s="3089" t="s">
        <v>654</v>
      </c>
      <c r="E428" s="3121" t="s">
        <v>655</v>
      </c>
      <c r="F428" s="556">
        <v>61.3</v>
      </c>
      <c r="G428" s="4421" t="s">
        <v>656</v>
      </c>
      <c r="H428" s="4421"/>
      <c r="I428" s="3785" t="s">
        <v>2517</v>
      </c>
      <c r="J428" s="3785"/>
      <c r="K428" s="3785"/>
      <c r="L428" s="1766"/>
      <c r="M428" s="3220"/>
      <c r="N428" s="3220"/>
      <c r="O428" s="3220"/>
      <c r="P428" s="3220"/>
      <c r="Q428" s="3220"/>
      <c r="R428" s="3220"/>
      <c r="S428" s="3220"/>
      <c r="T428" s="3220"/>
      <c r="U428" s="3220"/>
      <c r="V428" s="3212" t="str">
        <f t="shared" si="95"/>
        <v>SupplyTemp</v>
      </c>
      <c r="W428" s="1236">
        <v>61.3</v>
      </c>
      <c r="X428" s="1236">
        <v>61.3</v>
      </c>
      <c r="Y428" s="1236">
        <v>61.3</v>
      </c>
      <c r="Z428" s="1236">
        <v>61.3</v>
      </c>
      <c r="AA428" s="1236">
        <v>61.3</v>
      </c>
      <c r="AB428" s="1236">
        <v>61.3</v>
      </c>
      <c r="AC428" s="556">
        <v>61.3</v>
      </c>
      <c r="AD428" s="1236"/>
      <c r="AE428" s="1236"/>
      <c r="AF428" s="1236"/>
      <c r="AG428" s="1236"/>
      <c r="AH428" s="1930"/>
      <c r="AI428" s="1930"/>
      <c r="AJ428" s="1930"/>
      <c r="BB428" s="1232"/>
    </row>
    <row r="429" spans="1:57" s="456" customFormat="1" ht="66.75" hidden="1" customHeight="1" outlineLevel="1" x14ac:dyDescent="0.25">
      <c r="A429" s="3220"/>
      <c r="B429" s="1766"/>
      <c r="C429" s="1767"/>
      <c r="D429" s="3089" t="s">
        <v>657</v>
      </c>
      <c r="E429" s="3127" t="s">
        <v>658</v>
      </c>
      <c r="F429" s="104">
        <v>0.98</v>
      </c>
      <c r="G429" s="4420" t="s">
        <v>659</v>
      </c>
      <c r="H429" s="4420"/>
      <c r="I429" s="3785" t="s">
        <v>2517</v>
      </c>
      <c r="J429" s="3785"/>
      <c r="K429" s="3785"/>
      <c r="L429" s="1766"/>
      <c r="M429" s="3220"/>
      <c r="N429" s="3220"/>
      <c r="O429" s="3220"/>
      <c r="P429" s="3220"/>
      <c r="Q429" s="3220"/>
      <c r="R429" s="3220"/>
      <c r="S429" s="3220"/>
      <c r="T429" s="3220"/>
      <c r="U429" s="3220"/>
      <c r="V429" s="3212" t="str">
        <f t="shared" si="95"/>
        <v>RE_electric</v>
      </c>
      <c r="W429" s="499">
        <v>0.98</v>
      </c>
      <c r="X429" s="499">
        <v>0.98</v>
      </c>
      <c r="Y429" s="499">
        <v>0.98</v>
      </c>
      <c r="Z429" s="499">
        <v>0.98</v>
      </c>
      <c r="AA429" s="499">
        <v>0.98</v>
      </c>
      <c r="AB429" s="499">
        <v>0.98</v>
      </c>
      <c r="AC429" s="104">
        <v>0.98</v>
      </c>
      <c r="AD429" s="499"/>
      <c r="AE429" s="499"/>
      <c r="AF429" s="499"/>
      <c r="AG429" s="499"/>
      <c r="AH429" s="1930"/>
      <c r="AI429" s="1930"/>
      <c r="AJ429" s="1930"/>
      <c r="BB429" s="1232"/>
    </row>
    <row r="430" spans="1:57" s="456" customFormat="1" ht="30" hidden="1" customHeight="1" outlineLevel="1" x14ac:dyDescent="0.25">
      <c r="A430" s="3220"/>
      <c r="B430" s="1766"/>
      <c r="C430" s="1767"/>
      <c r="D430" s="3089">
        <v>3412</v>
      </c>
      <c r="E430" s="3237" t="s">
        <v>660</v>
      </c>
      <c r="F430" s="384">
        <v>3412</v>
      </c>
      <c r="G430" s="4420" t="s">
        <v>218</v>
      </c>
      <c r="H430" s="4420"/>
      <c r="I430" s="3785" t="s">
        <v>2517</v>
      </c>
      <c r="J430" s="3785"/>
      <c r="K430" s="3785"/>
      <c r="L430" s="1766"/>
      <c r="M430" s="3220"/>
      <c r="N430" s="3220"/>
      <c r="O430" s="3220"/>
      <c r="P430" s="3220"/>
      <c r="Q430" s="3220"/>
      <c r="R430" s="3220"/>
      <c r="S430" s="3220"/>
      <c r="T430" s="3220"/>
      <c r="U430" s="3220"/>
      <c r="V430" s="3212">
        <f t="shared" si="95"/>
        <v>3412</v>
      </c>
      <c r="W430" s="508">
        <v>3412</v>
      </c>
      <c r="X430" s="508">
        <v>3412</v>
      </c>
      <c r="Y430" s="508">
        <v>3412</v>
      </c>
      <c r="Z430" s="508">
        <v>3412</v>
      </c>
      <c r="AA430" s="508">
        <v>3412</v>
      </c>
      <c r="AB430" s="508">
        <v>3412</v>
      </c>
      <c r="AC430" s="384">
        <v>3412</v>
      </c>
      <c r="AD430" s="508"/>
      <c r="AE430" s="508"/>
      <c r="AF430" s="508"/>
      <c r="AG430" s="508"/>
      <c r="AH430" s="1930"/>
      <c r="AI430" s="1930"/>
      <c r="AJ430" s="1930"/>
      <c r="BB430" s="1232"/>
    </row>
    <row r="431" spans="1:57" s="456" customFormat="1" hidden="1" outlineLevel="1" x14ac:dyDescent="0.25">
      <c r="A431" s="3220"/>
      <c r="B431" s="1766"/>
      <c r="C431" s="1767"/>
      <c r="D431" s="3089" t="s">
        <v>531</v>
      </c>
      <c r="E431" s="3089" t="s">
        <v>595</v>
      </c>
      <c r="F431" s="1040">
        <v>1</v>
      </c>
      <c r="G431" s="3867" t="s">
        <v>600</v>
      </c>
      <c r="H431" s="3867"/>
      <c r="I431" s="3785" t="s">
        <v>2516</v>
      </c>
      <c r="J431" s="3785"/>
      <c r="K431" s="3785"/>
      <c r="L431" s="1766"/>
      <c r="M431" s="3220"/>
      <c r="N431" s="3220"/>
      <c r="O431" s="3220"/>
      <c r="P431" s="3220"/>
      <c r="Q431" s="3220"/>
      <c r="R431" s="3220"/>
      <c r="S431" s="3220"/>
      <c r="T431" s="3220"/>
      <c r="U431" s="3220"/>
      <c r="V431" s="3212" t="str">
        <f t="shared" si="95"/>
        <v>Utility Adjustment</v>
      </c>
      <c r="W431" s="489">
        <v>1</v>
      </c>
      <c r="X431" s="489">
        <v>1</v>
      </c>
      <c r="Y431" s="489">
        <v>1</v>
      </c>
      <c r="Z431" s="489">
        <v>1</v>
      </c>
      <c r="AA431" s="489">
        <v>1</v>
      </c>
      <c r="AB431" s="489">
        <v>1</v>
      </c>
      <c r="AC431" s="1040">
        <v>1</v>
      </c>
      <c r="AD431" s="489"/>
      <c r="AE431" s="489"/>
      <c r="AF431" s="489"/>
      <c r="AG431" s="489"/>
      <c r="AH431" s="1930"/>
      <c r="AI431" s="1930"/>
      <c r="AJ431" s="1930"/>
      <c r="BB431" s="1232"/>
    </row>
    <row r="432" spans="1:57" s="456" customFormat="1" hidden="1" outlineLevel="1" x14ac:dyDescent="0.25">
      <c r="A432" s="3220"/>
      <c r="B432" s="1766"/>
      <c r="C432" s="1767"/>
      <c r="D432" s="3089" t="s">
        <v>133</v>
      </c>
      <c r="E432" s="3089" t="s">
        <v>252</v>
      </c>
      <c r="F432" s="1040">
        <v>1</v>
      </c>
      <c r="G432" s="3867" t="s">
        <v>2519</v>
      </c>
      <c r="H432" s="3867"/>
      <c r="I432" s="3785" t="s">
        <v>2517</v>
      </c>
      <c r="J432" s="3785"/>
      <c r="K432" s="3785"/>
      <c r="L432" s="1766"/>
      <c r="M432" s="3220"/>
      <c r="N432" s="3220"/>
      <c r="O432" s="3220"/>
      <c r="P432" s="3220"/>
      <c r="Q432" s="3220"/>
      <c r="R432" s="3220"/>
      <c r="S432" s="3220"/>
      <c r="T432" s="3220"/>
      <c r="U432" s="3220"/>
      <c r="V432" s="3212" t="str">
        <f t="shared" si="95"/>
        <v>ISR</v>
      </c>
      <c r="W432" s="489">
        <v>1</v>
      </c>
      <c r="X432" s="489">
        <v>1</v>
      </c>
      <c r="Y432" s="489">
        <v>1</v>
      </c>
      <c r="Z432" s="489">
        <v>1</v>
      </c>
      <c r="AA432" s="489">
        <v>1</v>
      </c>
      <c r="AB432" s="489">
        <v>1</v>
      </c>
      <c r="AC432" s="1040">
        <v>1</v>
      </c>
      <c r="AD432" s="489"/>
      <c r="AE432" s="489"/>
      <c r="AF432" s="489"/>
      <c r="AG432" s="489"/>
      <c r="AH432" s="1930"/>
      <c r="AI432" s="1930"/>
      <c r="AJ432" s="1930"/>
      <c r="BB432" s="1232"/>
    </row>
    <row r="433" spans="1:57" s="249" customFormat="1" ht="15" hidden="1" customHeight="1" outlineLevel="1" x14ac:dyDescent="0.25">
      <c r="B433" s="1233"/>
      <c r="C433" s="905"/>
      <c r="D433" s="1798" t="str">
        <f>$D$34</f>
        <v>EUL</v>
      </c>
      <c r="E433" s="3089" t="s">
        <v>135</v>
      </c>
      <c r="F433" s="1032">
        <v>10</v>
      </c>
      <c r="G433" s="3867"/>
      <c r="H433" s="3867"/>
      <c r="I433" s="3785"/>
      <c r="J433" s="3785"/>
      <c r="K433" s="3785"/>
      <c r="V433" s="3192" t="str">
        <f>D433</f>
        <v>EUL</v>
      </c>
      <c r="W433" s="1032">
        <v>10</v>
      </c>
      <c r="X433" s="1032">
        <v>10</v>
      </c>
      <c r="Y433" s="1032">
        <v>10</v>
      </c>
      <c r="Z433" s="1032">
        <v>10</v>
      </c>
      <c r="AA433" s="1032">
        <v>10</v>
      </c>
      <c r="AB433" s="1032">
        <v>10</v>
      </c>
      <c r="AC433" s="1032">
        <v>10</v>
      </c>
      <c r="AD433" s="1164"/>
      <c r="AE433" s="1164"/>
      <c r="AF433" s="1164"/>
      <c r="AG433" s="1164"/>
      <c r="AK433" s="1234"/>
      <c r="BB433" s="1235"/>
    </row>
    <row r="434" spans="1:57" s="249" customFormat="1" ht="15" hidden="1" customHeight="1" outlineLevel="1" x14ac:dyDescent="0.25">
      <c r="B434" s="1233"/>
      <c r="C434" s="905"/>
      <c r="D434" s="1798" t="str">
        <f>$D$35</f>
        <v>Inc. Cost</v>
      </c>
      <c r="E434" s="3089" t="s">
        <v>430</v>
      </c>
      <c r="F434" s="1054">
        <v>8</v>
      </c>
      <c r="G434" s="3867"/>
      <c r="H434" s="3867"/>
      <c r="I434" s="3785"/>
      <c r="J434" s="3785"/>
      <c r="K434" s="3785"/>
      <c r="V434" s="3192" t="str">
        <f>D434</f>
        <v>Inc. Cost</v>
      </c>
      <c r="W434" s="1054">
        <v>8</v>
      </c>
      <c r="X434" s="1054">
        <v>8</v>
      </c>
      <c r="Y434" s="1054">
        <v>8</v>
      </c>
      <c r="Z434" s="1054">
        <v>8</v>
      </c>
      <c r="AA434" s="1054">
        <v>8</v>
      </c>
      <c r="AB434" s="1054">
        <v>8</v>
      </c>
      <c r="AC434" s="1054">
        <v>8</v>
      </c>
      <c r="AD434" s="1164"/>
      <c r="AE434" s="1164"/>
      <c r="AF434" s="1164"/>
      <c r="AG434" s="1164"/>
      <c r="AK434" s="1234"/>
      <c r="BB434" s="1235"/>
    </row>
    <row r="435" spans="1:57" s="456" customFormat="1" collapsed="1" x14ac:dyDescent="0.25">
      <c r="A435" s="3220"/>
      <c r="B435" s="1766"/>
      <c r="C435" s="1767"/>
      <c r="D435" s="1237"/>
      <c r="E435" s="1237"/>
      <c r="F435" s="1039"/>
      <c r="G435" s="1768"/>
      <c r="H435" s="1752"/>
      <c r="I435" s="1752"/>
      <c r="J435" s="1769"/>
      <c r="K435" s="1769"/>
      <c r="L435" s="1766"/>
      <c r="M435" s="3220"/>
      <c r="N435" s="3220"/>
      <c r="O435" s="3220"/>
      <c r="P435" s="3220"/>
      <c r="Q435" s="3220"/>
      <c r="R435" s="3220"/>
      <c r="S435" s="3220"/>
      <c r="T435" s="3220"/>
      <c r="U435" s="3220"/>
      <c r="V435" s="1930"/>
      <c r="W435" s="1930"/>
      <c r="X435" s="1930"/>
      <c r="Y435" s="1930"/>
      <c r="Z435" s="1930"/>
      <c r="AA435" s="1930"/>
      <c r="AB435" s="1930"/>
      <c r="AC435" s="1930"/>
      <c r="AD435" s="1930"/>
      <c r="AE435" s="1930"/>
      <c r="AF435" s="1930"/>
      <c r="AG435" s="1930"/>
      <c r="AH435" s="1930"/>
      <c r="AI435" s="1930"/>
      <c r="AJ435" s="1930"/>
      <c r="BB435" s="1232"/>
    </row>
    <row r="436" spans="1:57" x14ac:dyDescent="0.25">
      <c r="B436" s="1752"/>
      <c r="C436" s="1753"/>
      <c r="D436" s="1198"/>
      <c r="E436" s="1198"/>
      <c r="F436" s="1752"/>
      <c r="G436" s="1752"/>
      <c r="H436" s="1752"/>
      <c r="I436" s="1752"/>
      <c r="J436" s="1752"/>
      <c r="K436" s="1752"/>
      <c r="L436" s="1752"/>
      <c r="V436" s="1930"/>
      <c r="W436" s="1930"/>
      <c r="X436" s="1930"/>
      <c r="Y436" s="1930"/>
      <c r="Z436" s="1930"/>
      <c r="AA436" s="1930"/>
      <c r="AB436" s="1930"/>
      <c r="AC436" s="1930"/>
      <c r="AD436" s="1930"/>
      <c r="AE436" s="1930"/>
      <c r="AF436" s="1930"/>
      <c r="AG436" s="1930"/>
      <c r="AH436" s="1930"/>
      <c r="AI436" s="1930"/>
      <c r="AJ436" s="1930"/>
      <c r="AK436" s="1930"/>
      <c r="AL436" s="1930"/>
      <c r="AM436" s="1930"/>
      <c r="AN436" s="1930"/>
      <c r="AO436" s="1930"/>
      <c r="AP436" s="1930"/>
      <c r="AQ436" s="1930"/>
      <c r="AR436" s="1930"/>
      <c r="AS436" s="1930"/>
      <c r="AT436" s="1930"/>
      <c r="AU436" s="1930"/>
      <c r="AV436" s="1930"/>
      <c r="AW436" s="1930"/>
      <c r="AX436" s="1930"/>
      <c r="AY436" s="1930"/>
      <c r="AZ436" s="1930"/>
      <c r="BA436" s="1930"/>
      <c r="BC436" s="1930"/>
      <c r="BD436" s="1930"/>
      <c r="BE436" s="1930"/>
    </row>
    <row r="437" spans="1:57" s="147" customFormat="1" x14ac:dyDescent="0.25">
      <c r="B437" s="3750" t="s">
        <v>2525</v>
      </c>
      <c r="C437" s="3751"/>
      <c r="D437" s="3751"/>
      <c r="E437" s="3751"/>
      <c r="F437" s="3751"/>
      <c r="G437" s="3751"/>
      <c r="H437" s="3751"/>
      <c r="I437" s="3744"/>
      <c r="J437" s="3744"/>
      <c r="K437" s="3744"/>
      <c r="L437" s="3744"/>
      <c r="M437" s="3744"/>
      <c r="N437" s="3744"/>
      <c r="O437" s="3744"/>
      <c r="P437" s="3744"/>
      <c r="Q437" s="3745"/>
      <c r="V437" s="3750" t="str">
        <f>B437</f>
        <v>Low Flow Showerhead</v>
      </c>
      <c r="W437" s="3751"/>
      <c r="X437" s="3751"/>
      <c r="Y437" s="3751"/>
      <c r="Z437" s="3751"/>
      <c r="AA437" s="3751"/>
      <c r="AB437" s="3751"/>
      <c r="AC437" s="3752"/>
      <c r="AD437" s="3752"/>
      <c r="AE437" s="3752"/>
      <c r="AF437" s="3752"/>
      <c r="AG437" s="3752"/>
      <c r="AH437" s="3752"/>
      <c r="AI437" s="3753"/>
      <c r="AJ437" s="1930"/>
      <c r="BB437" s="844"/>
    </row>
    <row r="439" spans="1:57" ht="30" x14ac:dyDescent="0.25">
      <c r="C439" s="3086" t="s">
        <v>28</v>
      </c>
      <c r="D439" s="3086" t="s">
        <v>175</v>
      </c>
      <c r="E439" s="3086" t="s">
        <v>30</v>
      </c>
      <c r="F439" s="3086" t="s">
        <v>31</v>
      </c>
      <c r="G439" s="3086" t="s">
        <v>176</v>
      </c>
      <c r="H439" s="3086" t="s">
        <v>177</v>
      </c>
      <c r="I439" s="3086" t="s">
        <v>606</v>
      </c>
      <c r="J439" s="3086" t="s">
        <v>32</v>
      </c>
      <c r="K439" s="3086" t="s">
        <v>181</v>
      </c>
      <c r="L439" s="3086" t="s">
        <v>170</v>
      </c>
      <c r="M439" s="3086" t="s">
        <v>44</v>
      </c>
      <c r="O439" s="228"/>
      <c r="P439" s="228"/>
      <c r="V439" s="1936" t="s">
        <v>45</v>
      </c>
      <c r="W439" s="1937">
        <f>W$6</f>
        <v>43252</v>
      </c>
      <c r="X439" s="1937">
        <f t="shared" ref="X439:AG439" si="96">X$6</f>
        <v>43465</v>
      </c>
      <c r="Y439" s="1937">
        <f t="shared" si="96"/>
        <v>43800</v>
      </c>
      <c r="Z439" s="1937">
        <f t="shared" si="96"/>
        <v>43862</v>
      </c>
      <c r="AA439" s="1937">
        <f t="shared" si="96"/>
        <v>44013</v>
      </c>
      <c r="AB439" s="1937">
        <f t="shared" si="96"/>
        <v>44166</v>
      </c>
      <c r="AC439" s="1937">
        <f t="shared" si="96"/>
        <v>44531</v>
      </c>
      <c r="AD439" s="1937" t="str">
        <f t="shared" si="96"/>
        <v>-</v>
      </c>
      <c r="AE439" s="1937" t="str">
        <f t="shared" si="96"/>
        <v>-</v>
      </c>
      <c r="AF439" s="1937" t="str">
        <f t="shared" si="96"/>
        <v>-</v>
      </c>
      <c r="AG439" s="1937" t="str">
        <f t="shared" si="96"/>
        <v>-</v>
      </c>
      <c r="AH439" s="1930"/>
      <c r="AI439" s="1930"/>
      <c r="AJ439" s="1930"/>
      <c r="AK439" s="1930"/>
      <c r="AL439" s="1930"/>
      <c r="AM439" s="1930"/>
      <c r="AN439" s="1930"/>
      <c r="AO439" s="1930"/>
      <c r="AP439" s="1930"/>
      <c r="AQ439" s="1930"/>
      <c r="AR439" s="1930"/>
      <c r="AS439" s="1930"/>
      <c r="AT439" s="1930"/>
      <c r="AU439" s="1930"/>
      <c r="AV439" s="1930"/>
      <c r="AW439" s="1930"/>
      <c r="AX439" s="1930"/>
      <c r="AY439" s="1930"/>
      <c r="AZ439" s="1930"/>
      <c r="BA439" s="1930"/>
      <c r="BB439" s="1938" t="str">
        <f>$BB$6</f>
        <v>TRC (2020)</v>
      </c>
      <c r="BC439" s="1953" t="str">
        <f>$BC$6</f>
        <v>Benefit Lookup</v>
      </c>
      <c r="BD439" s="665" t="str">
        <f>$BD$6</f>
        <v>Benefits (2019 $)</v>
      </c>
      <c r="BE439" s="230" t="str">
        <f>$BE$6</f>
        <v>Incremental Cost (2019 $)</v>
      </c>
    </row>
    <row r="440" spans="1:57" x14ac:dyDescent="0.25">
      <c r="C440" s="1975" t="s">
        <v>2526</v>
      </c>
      <c r="D440" s="2667" t="s">
        <v>2406</v>
      </c>
      <c r="E440" s="3121" t="s">
        <v>2527</v>
      </c>
      <c r="F440" s="115">
        <f>ROUND(F450*(F451*F452-F453*F454)*F455*F456*F457/F458*I440*F466*F465,2)</f>
        <v>382.24</v>
      </c>
      <c r="G440" s="3227" t="s">
        <v>184</v>
      </c>
      <c r="H440" s="155">
        <f>VLOOKUP(G440,'CP FACTORS'!$A$3:$B$38, 2, FALSE)</f>
        <v>8.8731800000000003E-5</v>
      </c>
      <c r="I440" s="526">
        <f>F459*F460*(F461-F462)/(F463*F464)</f>
        <v>0.10886576787807739</v>
      </c>
      <c r="J440" s="106">
        <f>ROUND(F440*H440,6)</f>
        <v>3.3917000000000003E-2</v>
      </c>
      <c r="K440" s="2718">
        <f>F467</f>
        <v>10</v>
      </c>
      <c r="L440" s="1199">
        <f>F469</f>
        <v>7</v>
      </c>
      <c r="M440" s="2666" t="s">
        <v>185</v>
      </c>
      <c r="O440" s="228"/>
      <c r="P440" s="228"/>
      <c r="V440" s="160" t="str">
        <f>F439</f>
        <v>kWh Annual Savings</v>
      </c>
      <c r="W440" s="421">
        <v>204.74086651832664</v>
      </c>
      <c r="X440" s="1200">
        <v>204.74086651832664</v>
      </c>
      <c r="Y440" s="550">
        <v>204.74</v>
      </c>
      <c r="Z440" s="550">
        <v>204.74</v>
      </c>
      <c r="AA440" s="550">
        <v>204.74</v>
      </c>
      <c r="AB440" s="1975">
        <v>381.98</v>
      </c>
      <c r="AC440" s="115">
        <v>382.24</v>
      </c>
      <c r="AD440" s="160"/>
      <c r="AE440" s="160"/>
      <c r="AF440" s="160"/>
      <c r="AG440" s="160"/>
      <c r="AH440" s="1930"/>
      <c r="AI440" s="1930"/>
      <c r="AJ440" s="1930"/>
      <c r="AK440" s="1930"/>
      <c r="AL440" s="1930"/>
      <c r="AM440" s="1930"/>
      <c r="AN440" s="1930"/>
      <c r="AO440" s="1930"/>
      <c r="AP440" s="1930"/>
      <c r="AQ440" s="1930"/>
      <c r="AR440" s="1930"/>
      <c r="AS440" s="1930"/>
      <c r="AT440" s="1930"/>
      <c r="AU440" s="1930"/>
      <c r="AV440" s="1930"/>
      <c r="AW440" s="1930"/>
      <c r="AX440" s="1930"/>
      <c r="AY440" s="1930"/>
      <c r="AZ440" s="1930"/>
      <c r="BA440" s="1930"/>
      <c r="BB440" s="1954">
        <f>(BD440)/(BE440)</f>
        <v>19.513334241291442</v>
      </c>
      <c r="BC440" s="3166" t="str">
        <f>CONCATENATE(G440," ",K440," Year EUL")</f>
        <v>Water Heating RES 10 Year EUL</v>
      </c>
      <c r="BD440" s="166">
        <f>(INDEX('Avoided Cost Benefits'!$C$4:$C$857,MATCH(BC440,'Avoided Cost Benefits'!$A$4:$A$857,0)))*F440</f>
        <v>128.92245369423321</v>
      </c>
      <c r="BE440" s="1956">
        <f>L440/(1.0595^(2020-2019))</f>
        <v>6.6068900424728643</v>
      </c>
    </row>
    <row r="441" spans="1:57" hidden="1" outlineLevel="1" x14ac:dyDescent="0.25">
      <c r="B441" s="1752"/>
      <c r="C441" s="1753"/>
      <c r="D441" s="1238"/>
      <c r="E441" s="1238"/>
      <c r="F441" s="1770"/>
      <c r="G441" s="1771"/>
      <c r="H441" s="1770"/>
      <c r="I441" s="1772"/>
      <c r="J441" s="1772"/>
      <c r="K441" s="1772"/>
      <c r="L441" s="1773"/>
      <c r="O441" s="228"/>
      <c r="P441" s="228"/>
      <c r="V441" s="1930"/>
      <c r="W441" s="1930"/>
      <c r="X441" s="1930"/>
      <c r="Y441" s="1930"/>
      <c r="Z441" s="1930"/>
      <c r="AA441" s="1930"/>
      <c r="AB441" s="1930"/>
      <c r="AC441" s="1930"/>
      <c r="AD441" s="1930"/>
      <c r="AE441" s="1930"/>
      <c r="AF441" s="1930"/>
      <c r="AG441" s="1930"/>
      <c r="AH441" s="1930"/>
      <c r="AI441" s="1930"/>
      <c r="AJ441" s="1930"/>
      <c r="AK441" s="1930"/>
      <c r="AL441" s="1930"/>
      <c r="AM441" s="1930"/>
      <c r="AN441" s="1930"/>
      <c r="AO441" s="1930"/>
      <c r="AP441" s="1930"/>
      <c r="AQ441" s="1930"/>
      <c r="AR441" s="1930"/>
      <c r="AS441" s="1930"/>
      <c r="AT441" s="1930"/>
      <c r="AU441" s="1930"/>
      <c r="AV441" s="1930"/>
      <c r="AW441" s="1930"/>
      <c r="AX441" s="1930"/>
      <c r="AY441" s="1930"/>
      <c r="AZ441" s="1930"/>
      <c r="BA441" s="1930"/>
      <c r="BC441" s="1930"/>
      <c r="BD441" s="1930"/>
      <c r="BE441" s="1930"/>
    </row>
    <row r="442" spans="1:57" hidden="1" outlineLevel="1" x14ac:dyDescent="0.25">
      <c r="B442" s="1752"/>
      <c r="C442" s="1753"/>
      <c r="D442" s="174" t="s">
        <v>108</v>
      </c>
      <c r="E442" s="1198"/>
      <c r="F442" s="1752"/>
      <c r="G442" s="1752"/>
      <c r="H442" s="1752"/>
      <c r="I442" s="1752"/>
      <c r="J442" s="1752"/>
      <c r="K442" s="1752"/>
      <c r="L442" s="1752"/>
      <c r="O442" s="228"/>
      <c r="P442" s="228"/>
      <c r="V442" s="1930"/>
      <c r="W442" s="1930"/>
      <c r="X442" s="1930"/>
      <c r="Y442" s="1930"/>
      <c r="Z442" s="1930"/>
      <c r="AA442" s="1930"/>
      <c r="AB442" s="1930"/>
      <c r="AC442" s="1930"/>
      <c r="AD442" s="1930"/>
      <c r="AE442" s="1930"/>
      <c r="AF442" s="1930"/>
      <c r="AG442" s="1930"/>
      <c r="AH442" s="1930"/>
      <c r="AI442" s="1930"/>
      <c r="AJ442" s="1930"/>
      <c r="AK442" s="1930"/>
      <c r="AL442" s="1930"/>
      <c r="AM442" s="1930"/>
      <c r="AN442" s="1930"/>
      <c r="AO442" s="1930"/>
      <c r="AP442" s="1930"/>
      <c r="AQ442" s="1930"/>
      <c r="AR442" s="1930"/>
      <c r="AS442" s="1930"/>
      <c r="AT442" s="1930"/>
      <c r="AU442" s="1930"/>
      <c r="AV442" s="1930"/>
      <c r="AW442" s="1930"/>
      <c r="AX442" s="1930"/>
      <c r="AY442" s="1930"/>
      <c r="AZ442" s="1930"/>
      <c r="BA442" s="1930"/>
      <c r="BC442" s="1930"/>
      <c r="BD442" s="1930"/>
      <c r="BE442" s="1930"/>
    </row>
    <row r="443" spans="1:57" hidden="1" outlineLevel="1" x14ac:dyDescent="0.25">
      <c r="B443" s="1752"/>
      <c r="C443" s="1753"/>
      <c r="D443" s="1198"/>
      <c r="E443" s="1198"/>
      <c r="F443" s="1752"/>
      <c r="G443" s="1752"/>
      <c r="H443" s="1752"/>
      <c r="I443" s="1752"/>
      <c r="J443" s="1752"/>
      <c r="K443" s="1752"/>
      <c r="L443" s="1752"/>
      <c r="V443" s="1930"/>
      <c r="W443" s="1930"/>
      <c r="X443" s="1930"/>
      <c r="Y443" s="1930"/>
      <c r="Z443" s="1930"/>
      <c r="AA443" s="1930"/>
      <c r="AB443" s="1930"/>
      <c r="AC443" s="1930"/>
      <c r="AD443" s="1930"/>
      <c r="AE443" s="1930"/>
      <c r="AF443" s="1930"/>
      <c r="AG443" s="1930"/>
      <c r="AH443" s="1930"/>
      <c r="AI443" s="1930"/>
      <c r="AJ443" s="1930"/>
      <c r="AK443" s="1930"/>
      <c r="AL443" s="1930"/>
      <c r="AM443" s="1930"/>
      <c r="AN443" s="1930"/>
      <c r="AO443" s="1930"/>
      <c r="AP443" s="1930"/>
      <c r="AQ443" s="1930"/>
      <c r="AR443" s="1930"/>
      <c r="AS443" s="1930"/>
      <c r="AT443" s="1930"/>
      <c r="AU443" s="1930"/>
      <c r="AV443" s="1930"/>
      <c r="AW443" s="1930"/>
      <c r="AX443" s="1930"/>
      <c r="AY443" s="1930"/>
      <c r="AZ443" s="1930"/>
      <c r="BA443" s="1930"/>
      <c r="BC443" s="1930"/>
      <c r="BD443" s="1930"/>
      <c r="BE443" s="1930"/>
    </row>
    <row r="444" spans="1:57" hidden="1" outlineLevel="1" x14ac:dyDescent="0.25">
      <c r="B444" s="1752"/>
      <c r="C444" s="1753"/>
      <c r="D444" s="1198"/>
      <c r="E444" s="1198"/>
      <c r="F444" s="1752"/>
      <c r="G444" s="1752"/>
      <c r="H444" s="1752"/>
      <c r="I444" s="1752"/>
      <c r="J444" s="1752"/>
      <c r="K444" s="1752"/>
      <c r="L444" s="1752"/>
      <c r="V444" s="1930"/>
      <c r="W444" s="1930"/>
      <c r="X444" s="1930"/>
      <c r="Y444" s="1930"/>
      <c r="Z444" s="1930"/>
      <c r="AA444" s="1930"/>
      <c r="AB444" s="1930"/>
      <c r="AC444" s="1930"/>
      <c r="AD444" s="1930"/>
      <c r="AE444" s="1930"/>
      <c r="AF444" s="1930"/>
      <c r="AG444" s="1930"/>
      <c r="AH444" s="1930"/>
      <c r="AI444" s="1930"/>
      <c r="AJ444" s="1930"/>
      <c r="AK444" s="1930"/>
      <c r="AL444" s="1930"/>
      <c r="AM444" s="1930"/>
      <c r="AN444" s="1930"/>
      <c r="AO444" s="1930"/>
      <c r="AP444" s="1930"/>
      <c r="AQ444" s="1930"/>
      <c r="AR444" s="1930"/>
      <c r="AS444" s="1930"/>
      <c r="AT444" s="1930"/>
      <c r="AU444" s="1930"/>
      <c r="AV444" s="1930"/>
      <c r="AW444" s="1930"/>
      <c r="AX444" s="1930"/>
      <c r="AY444" s="1930"/>
      <c r="AZ444" s="1930"/>
      <c r="BA444" s="1930"/>
      <c r="BC444" s="1930"/>
      <c r="BD444" s="1930"/>
      <c r="BE444" s="1930"/>
    </row>
    <row r="445" spans="1:57" hidden="1" outlineLevel="1" x14ac:dyDescent="0.25">
      <c r="B445" s="1752"/>
      <c r="C445" s="1753"/>
      <c r="D445" s="1198"/>
      <c r="E445" s="1198"/>
      <c r="F445" s="1752"/>
      <c r="G445" s="1752"/>
      <c r="H445" s="1752"/>
      <c r="I445" s="1752"/>
      <c r="J445" s="1752"/>
      <c r="K445" s="1752"/>
      <c r="L445" s="1752"/>
      <c r="V445" s="1930"/>
      <c r="W445" s="1930"/>
      <c r="X445" s="1930"/>
      <c r="Y445" s="1930"/>
      <c r="Z445" s="1930"/>
      <c r="AA445" s="1930"/>
      <c r="AB445" s="1930"/>
      <c r="AC445" s="1930"/>
      <c r="AD445" s="1930"/>
      <c r="AE445" s="1930"/>
      <c r="AF445" s="1930"/>
      <c r="AG445" s="1930"/>
      <c r="AH445" s="1930"/>
      <c r="AI445" s="1930"/>
      <c r="AJ445" s="1930"/>
      <c r="AK445" s="1930"/>
      <c r="AL445" s="1930"/>
      <c r="AM445" s="1930"/>
      <c r="AN445" s="1930"/>
      <c r="AO445" s="1930"/>
      <c r="AP445" s="1930"/>
      <c r="AQ445" s="1930"/>
      <c r="AR445" s="1930"/>
      <c r="AS445" s="1930"/>
      <c r="AT445" s="1930"/>
      <c r="AU445" s="1930"/>
      <c r="AV445" s="1930"/>
      <c r="AW445" s="1930"/>
      <c r="AX445" s="1930"/>
      <c r="AY445" s="1930"/>
      <c r="AZ445" s="1930"/>
      <c r="BA445" s="1930"/>
      <c r="BC445" s="1930"/>
      <c r="BD445" s="1930"/>
      <c r="BE445" s="1930"/>
    </row>
    <row r="446" spans="1:57" hidden="1" outlineLevel="1" x14ac:dyDescent="0.25">
      <c r="B446" s="1752"/>
      <c r="C446" s="1753"/>
      <c r="D446" s="1198"/>
      <c r="E446" s="1198"/>
      <c r="F446" s="1752"/>
      <c r="G446" s="1752"/>
      <c r="H446" s="1752"/>
      <c r="I446" s="1752"/>
      <c r="J446" s="1752"/>
      <c r="K446" s="1752"/>
      <c r="L446" s="1752"/>
      <c r="V446" s="1930"/>
      <c r="W446" s="1930"/>
      <c r="X446" s="1930"/>
      <c r="Y446" s="1930"/>
      <c r="Z446" s="1930"/>
      <c r="AA446" s="1930"/>
      <c r="AB446" s="1930"/>
      <c r="AC446" s="1930"/>
      <c r="AD446" s="1930"/>
      <c r="AE446" s="1930"/>
      <c r="AF446" s="1930"/>
      <c r="AG446" s="1930"/>
      <c r="AH446" s="1930"/>
      <c r="AI446" s="1930"/>
      <c r="AJ446" s="1930"/>
      <c r="AK446" s="1930"/>
      <c r="AL446" s="1930"/>
      <c r="AM446" s="1930"/>
      <c r="AN446" s="1930"/>
      <c r="AO446" s="1930"/>
      <c r="AP446" s="1930"/>
      <c r="AQ446" s="1930"/>
      <c r="AR446" s="1930"/>
      <c r="AS446" s="1930"/>
      <c r="AT446" s="1930"/>
      <c r="AU446" s="1930"/>
      <c r="AV446" s="1930"/>
      <c r="AW446" s="1930"/>
      <c r="AX446" s="1930"/>
      <c r="AY446" s="1930"/>
      <c r="AZ446" s="1930"/>
      <c r="BA446" s="1930"/>
      <c r="BC446" s="1930"/>
      <c r="BD446" s="1930"/>
      <c r="BE446" s="1930"/>
    </row>
    <row r="447" spans="1:57" hidden="1" outlineLevel="1" x14ac:dyDescent="0.25">
      <c r="B447" s="1752"/>
      <c r="C447" s="1753"/>
      <c r="D447" s="1198"/>
      <c r="E447" s="1198"/>
      <c r="F447" s="1752"/>
      <c r="G447" s="1752"/>
      <c r="H447" s="1752"/>
      <c r="I447" s="1752"/>
      <c r="J447" s="1752"/>
      <c r="K447" s="1752"/>
      <c r="L447" s="1752"/>
      <c r="M447" s="147"/>
      <c r="N447" s="147"/>
      <c r="O447" s="147"/>
      <c r="P447" s="147"/>
      <c r="Q447" s="147"/>
      <c r="R447" s="147"/>
      <c r="S447" s="147"/>
      <c r="T447" s="147"/>
      <c r="U447" s="147"/>
      <c r="V447" s="1930"/>
      <c r="W447" s="1930"/>
      <c r="X447" s="1930"/>
      <c r="Y447" s="1930"/>
      <c r="Z447" s="1930"/>
      <c r="AA447" s="1930"/>
      <c r="AB447" s="1930"/>
      <c r="AC447" s="1930"/>
      <c r="AD447" s="1930"/>
      <c r="AE447" s="1930"/>
      <c r="AF447" s="1930"/>
      <c r="AG447" s="1930"/>
      <c r="AH447" s="1930"/>
      <c r="AI447" s="1930"/>
      <c r="AJ447" s="1930"/>
      <c r="AK447" s="1930"/>
      <c r="AL447" s="1930"/>
      <c r="AM447" s="1930"/>
      <c r="AN447" s="1930"/>
      <c r="AO447" s="1930"/>
      <c r="AP447" s="1930"/>
      <c r="AQ447" s="1930"/>
      <c r="AR447" s="1930"/>
      <c r="AS447" s="1930"/>
      <c r="AT447" s="1930"/>
      <c r="AU447" s="1930"/>
      <c r="AV447" s="1930"/>
      <c r="AW447" s="1930"/>
      <c r="AX447" s="1930"/>
      <c r="AY447" s="1930"/>
      <c r="AZ447" s="1930"/>
      <c r="BA447" s="1930"/>
      <c r="BC447" s="1930"/>
      <c r="BD447" s="1930"/>
      <c r="BE447" s="1930"/>
    </row>
    <row r="448" spans="1:57" hidden="1" outlineLevel="1" x14ac:dyDescent="0.25">
      <c r="B448" s="1752"/>
      <c r="C448" s="1753"/>
      <c r="D448" s="1198"/>
      <c r="E448" s="1198"/>
      <c r="F448" s="1752"/>
      <c r="G448" s="1752"/>
      <c r="H448" s="1752"/>
      <c r="I448" s="1752"/>
      <c r="J448" s="1752"/>
      <c r="K448" s="1752"/>
      <c r="L448" s="1752"/>
      <c r="M448" s="147"/>
      <c r="N448" s="147"/>
      <c r="O448" s="147"/>
      <c r="P448" s="147"/>
      <c r="Q448" s="147"/>
      <c r="R448" s="147"/>
      <c r="S448" s="147"/>
      <c r="T448" s="147"/>
      <c r="U448" s="147"/>
      <c r="V448" s="1930"/>
      <c r="W448" s="1930"/>
      <c r="X448" s="1930"/>
      <c r="Y448" s="1930"/>
      <c r="Z448" s="1930"/>
      <c r="AA448" s="1930"/>
      <c r="AB448" s="1930"/>
      <c r="AC448" s="1930"/>
      <c r="AD448" s="1930"/>
      <c r="AE448" s="1930"/>
      <c r="AF448" s="1930"/>
      <c r="AG448" s="1930"/>
      <c r="AH448" s="1930"/>
      <c r="AI448" s="1930"/>
      <c r="AJ448" s="1930"/>
      <c r="AK448" s="1930"/>
      <c r="AL448" s="1930"/>
      <c r="AM448" s="1930"/>
      <c r="AN448" s="1930"/>
      <c r="AO448" s="1930"/>
      <c r="AP448" s="1930"/>
      <c r="AQ448" s="1930"/>
      <c r="AR448" s="1930"/>
      <c r="AS448" s="1930"/>
      <c r="AT448" s="1930"/>
      <c r="AU448" s="1930"/>
      <c r="AV448" s="1930"/>
      <c r="AW448" s="1930"/>
      <c r="AX448" s="1930"/>
      <c r="AY448" s="1930"/>
      <c r="AZ448" s="1930"/>
      <c r="BA448" s="1930"/>
      <c r="BC448" s="1930"/>
      <c r="BD448" s="1930"/>
      <c r="BE448" s="1930"/>
    </row>
    <row r="449" spans="1:57" ht="15" hidden="1" customHeight="1" outlineLevel="1" x14ac:dyDescent="0.25">
      <c r="B449" s="1752"/>
      <c r="C449" s="1753"/>
      <c r="D449" s="3236" t="s">
        <v>109</v>
      </c>
      <c r="E449" s="3236" t="s">
        <v>110</v>
      </c>
      <c r="F449" s="3086" t="s">
        <v>112</v>
      </c>
      <c r="G449" s="3773" t="s">
        <v>187</v>
      </c>
      <c r="H449" s="3773"/>
      <c r="I449" s="3923" t="s">
        <v>113</v>
      </c>
      <c r="J449" s="4037"/>
      <c r="K449" s="3931"/>
      <c r="L449" s="1752"/>
      <c r="M449" s="147"/>
      <c r="N449" s="147"/>
      <c r="O449" s="147"/>
      <c r="P449" s="147"/>
      <c r="Q449" s="147"/>
      <c r="R449" s="147"/>
      <c r="S449" s="147"/>
      <c r="T449" s="147"/>
      <c r="U449" s="147"/>
      <c r="V449" s="1936" t="s">
        <v>45</v>
      </c>
      <c r="W449" s="1937">
        <f>W$6</f>
        <v>43252</v>
      </c>
      <c r="X449" s="1937">
        <f t="shared" ref="X449:AG449" si="97">X$6</f>
        <v>43465</v>
      </c>
      <c r="Y449" s="1937">
        <f t="shared" si="97"/>
        <v>43800</v>
      </c>
      <c r="Z449" s="1937">
        <f t="shared" si="97"/>
        <v>43862</v>
      </c>
      <c r="AA449" s="1937">
        <f t="shared" si="97"/>
        <v>44013</v>
      </c>
      <c r="AB449" s="1937">
        <f t="shared" si="97"/>
        <v>44166</v>
      </c>
      <c r="AC449" s="1937">
        <f t="shared" si="97"/>
        <v>44531</v>
      </c>
      <c r="AD449" s="1937" t="str">
        <f t="shared" si="97"/>
        <v>-</v>
      </c>
      <c r="AE449" s="1937" t="str">
        <f t="shared" si="97"/>
        <v>-</v>
      </c>
      <c r="AF449" s="1937" t="str">
        <f t="shared" si="97"/>
        <v>-</v>
      </c>
      <c r="AG449" s="1937" t="str">
        <f t="shared" si="97"/>
        <v>-</v>
      </c>
      <c r="AH449" s="1930"/>
      <c r="AI449" s="1930"/>
      <c r="AJ449" s="1930"/>
      <c r="AK449" s="1930"/>
      <c r="AL449" s="1930"/>
      <c r="AM449" s="1930"/>
      <c r="AN449" s="1930"/>
      <c r="AO449" s="1930"/>
      <c r="AP449" s="1930"/>
      <c r="AQ449" s="1930"/>
      <c r="AR449" s="1930"/>
      <c r="AS449" s="1930"/>
      <c r="AT449" s="1930"/>
      <c r="AU449" s="1930"/>
      <c r="AV449" s="1930"/>
      <c r="AW449" s="1930"/>
      <c r="AX449" s="1930"/>
      <c r="AY449" s="1930"/>
      <c r="AZ449" s="1930"/>
      <c r="BA449" s="1930"/>
      <c r="BC449" s="1930"/>
      <c r="BD449" s="1930"/>
      <c r="BE449" s="1930"/>
    </row>
    <row r="450" spans="1:57" hidden="1" outlineLevel="1" x14ac:dyDescent="0.25">
      <c r="B450" s="1752"/>
      <c r="C450" s="1753"/>
      <c r="D450" s="3089" t="s">
        <v>615</v>
      </c>
      <c r="E450" s="3089" t="s">
        <v>616</v>
      </c>
      <c r="F450" s="487">
        <v>1</v>
      </c>
      <c r="G450" s="3867" t="s">
        <v>600</v>
      </c>
      <c r="H450" s="3867"/>
      <c r="I450" s="4412" t="s">
        <v>2516</v>
      </c>
      <c r="J450" s="4412"/>
      <c r="K450" s="4412"/>
      <c r="L450" s="1752"/>
      <c r="M450" s="1039"/>
      <c r="N450" s="1039"/>
      <c r="O450" s="147"/>
      <c r="P450" s="147"/>
      <c r="Q450" s="147"/>
      <c r="R450" s="147"/>
      <c r="S450" s="147"/>
      <c r="T450" s="147"/>
      <c r="U450" s="1039"/>
      <c r="V450" s="3217" t="str">
        <f>D450</f>
        <v>%Electric DHW</v>
      </c>
      <c r="W450" s="488">
        <v>1</v>
      </c>
      <c r="X450" s="488">
        <v>1</v>
      </c>
      <c r="Y450" s="488">
        <v>1</v>
      </c>
      <c r="Z450" s="488">
        <v>1</v>
      </c>
      <c r="AA450" s="488">
        <v>1</v>
      </c>
      <c r="AB450" s="487">
        <v>1</v>
      </c>
      <c r="AC450" s="487">
        <v>1</v>
      </c>
      <c r="AD450" s="488"/>
      <c r="AE450" s="488"/>
      <c r="AF450" s="488"/>
      <c r="AG450" s="488"/>
      <c r="AH450" s="1930"/>
      <c r="AI450" s="1930"/>
      <c r="AJ450" s="1930"/>
      <c r="AK450" s="1930"/>
      <c r="AL450" s="1930"/>
      <c r="AM450" s="1930"/>
      <c r="AN450" s="1930"/>
      <c r="AO450" s="1930"/>
      <c r="AP450" s="1930"/>
      <c r="AQ450" s="1930"/>
      <c r="AR450" s="1930"/>
      <c r="AS450" s="1930"/>
      <c r="AT450" s="1930"/>
      <c r="AU450" s="1930"/>
      <c r="AV450" s="1930"/>
      <c r="AW450" s="1930"/>
      <c r="AX450" s="1930"/>
      <c r="AY450" s="1930"/>
      <c r="AZ450" s="1930"/>
      <c r="BA450" s="1930"/>
      <c r="BC450" s="1930"/>
      <c r="BD450" s="1930"/>
      <c r="BE450" s="1930"/>
    </row>
    <row r="451" spans="1:57" hidden="1" outlineLevel="1" x14ac:dyDescent="0.25">
      <c r="B451" s="1752"/>
      <c r="C451" s="1753"/>
      <c r="D451" s="3089" t="s">
        <v>621</v>
      </c>
      <c r="E451" s="3089" t="s">
        <v>692</v>
      </c>
      <c r="F451" s="3227">
        <v>2.5</v>
      </c>
      <c r="G451" s="3904" t="s">
        <v>2528</v>
      </c>
      <c r="H451" s="3906"/>
      <c r="I451" s="4273" t="s">
        <v>1017</v>
      </c>
      <c r="J451" s="4274"/>
      <c r="K451" s="4275"/>
      <c r="L451" s="1752"/>
      <c r="M451" s="3159"/>
      <c r="N451" s="3159"/>
      <c r="O451" s="147"/>
      <c r="P451" s="147"/>
      <c r="Q451" s="147"/>
      <c r="R451" s="147"/>
      <c r="S451" s="147"/>
      <c r="T451" s="147"/>
      <c r="U451" s="3159"/>
      <c r="V451" s="3217" t="str">
        <f t="shared" ref="V451:V466" si="98">D451</f>
        <v>GPM_base</v>
      </c>
      <c r="W451" s="491">
        <v>2.67</v>
      </c>
      <c r="X451" s="491">
        <v>2.67</v>
      </c>
      <c r="Y451" s="491">
        <v>2.67</v>
      </c>
      <c r="Z451" s="491">
        <v>2.67</v>
      </c>
      <c r="AA451" s="491">
        <v>2.67</v>
      </c>
      <c r="AB451" s="538">
        <v>2.5</v>
      </c>
      <c r="AC451" s="3227">
        <v>2.5</v>
      </c>
      <c r="AD451" s="491"/>
      <c r="AE451" s="491"/>
      <c r="AF451" s="491"/>
      <c r="AG451" s="491"/>
      <c r="AH451" s="1930"/>
      <c r="AI451" s="1930"/>
      <c r="AJ451" s="1930"/>
      <c r="AK451" s="1930"/>
      <c r="AL451" s="1930"/>
      <c r="AM451" s="1930"/>
      <c r="AN451" s="1930"/>
      <c r="AO451" s="1930"/>
      <c r="AP451" s="1930"/>
      <c r="AQ451" s="1930"/>
      <c r="AR451" s="1930"/>
      <c r="AS451" s="1930"/>
      <c r="AT451" s="1930"/>
      <c r="AU451" s="1930"/>
      <c r="AV451" s="1930"/>
      <c r="AW451" s="1930"/>
      <c r="AX451" s="1930"/>
      <c r="AY451" s="1930"/>
      <c r="AZ451" s="1930"/>
      <c r="BA451" s="1930"/>
      <c r="BC451" s="1930"/>
      <c r="BD451" s="1930"/>
      <c r="BE451" s="1930"/>
    </row>
    <row r="452" spans="1:57" hidden="1" outlineLevel="1" x14ac:dyDescent="0.25">
      <c r="B452" s="1752"/>
      <c r="C452" s="1753"/>
      <c r="D452" s="3089" t="s">
        <v>624</v>
      </c>
      <c r="E452" s="3089" t="s">
        <v>696</v>
      </c>
      <c r="F452" s="3226">
        <v>8.66</v>
      </c>
      <c r="G452" s="3904" t="s">
        <v>2529</v>
      </c>
      <c r="H452" s="3906"/>
      <c r="I452" s="4273" t="s">
        <v>2530</v>
      </c>
      <c r="J452" s="4274"/>
      <c r="K452" s="4275"/>
      <c r="L452" s="1752"/>
      <c r="M452" s="3159"/>
      <c r="N452" s="3159"/>
      <c r="O452" s="147"/>
      <c r="P452" s="147"/>
      <c r="Q452" s="147"/>
      <c r="R452" s="147"/>
      <c r="S452" s="147"/>
      <c r="T452" s="147"/>
      <c r="U452" s="3159"/>
      <c r="V452" s="3217" t="str">
        <f t="shared" si="98"/>
        <v>L_base</v>
      </c>
      <c r="W452" s="491">
        <v>8.66</v>
      </c>
      <c r="X452" s="491">
        <v>8.66</v>
      </c>
      <c r="Y452" s="491">
        <v>8.66</v>
      </c>
      <c r="Z452" s="491">
        <v>8.66</v>
      </c>
      <c r="AA452" s="491">
        <v>8.66</v>
      </c>
      <c r="AB452" s="3226">
        <v>8.66</v>
      </c>
      <c r="AC452" s="3226">
        <v>8.66</v>
      </c>
      <c r="AD452" s="491"/>
      <c r="AE452" s="491"/>
      <c r="AF452" s="491"/>
      <c r="AG452" s="491"/>
      <c r="AH452" s="1930"/>
      <c r="AI452" s="1930"/>
      <c r="AJ452" s="1930"/>
      <c r="AK452" s="1930"/>
      <c r="AL452" s="1930"/>
      <c r="AM452" s="1930"/>
      <c r="AN452" s="1930"/>
      <c r="AO452" s="1930"/>
      <c r="AP452" s="1930"/>
      <c r="AQ452" s="1930"/>
      <c r="AR452" s="1930"/>
      <c r="AS452" s="1930"/>
      <c r="AT452" s="1930"/>
      <c r="AU452" s="1930"/>
      <c r="AV452" s="1930"/>
      <c r="AW452" s="1930"/>
      <c r="AX452" s="1930"/>
      <c r="AY452" s="1930"/>
      <c r="AZ452" s="1930"/>
      <c r="BA452" s="1930"/>
      <c r="BC452" s="1930"/>
      <c r="BD452" s="1930"/>
      <c r="BE452" s="1930"/>
    </row>
    <row r="453" spans="1:57" s="456" customFormat="1" hidden="1" outlineLevel="1" x14ac:dyDescent="0.25">
      <c r="A453" s="3220"/>
      <c r="B453" s="1766"/>
      <c r="C453" s="1767"/>
      <c r="D453" s="3089" t="s">
        <v>629</v>
      </c>
      <c r="E453" s="3089" t="s">
        <v>699</v>
      </c>
      <c r="F453" s="531">
        <v>1.25</v>
      </c>
      <c r="G453" s="3904" t="s">
        <v>2531</v>
      </c>
      <c r="H453" s="3906"/>
      <c r="I453" s="4273" t="s">
        <v>1017</v>
      </c>
      <c r="J453" s="4274"/>
      <c r="K453" s="4275"/>
      <c r="L453" s="1752"/>
      <c r="M453" s="1724"/>
      <c r="N453" s="1724"/>
      <c r="O453" s="3162"/>
      <c r="P453" s="3162"/>
      <c r="Q453" s="3162"/>
      <c r="R453" s="3162"/>
      <c r="S453" s="3162"/>
      <c r="T453" s="3162"/>
      <c r="U453" s="1724"/>
      <c r="V453" s="3217" t="str">
        <f t="shared" si="98"/>
        <v>GPM_low</v>
      </c>
      <c r="W453" s="801">
        <v>2</v>
      </c>
      <c r="X453" s="801">
        <v>2</v>
      </c>
      <c r="Y453" s="801">
        <v>2</v>
      </c>
      <c r="Z453" s="801">
        <v>2</v>
      </c>
      <c r="AA453" s="801">
        <v>2</v>
      </c>
      <c r="AB453" s="527">
        <v>1.25</v>
      </c>
      <c r="AC453" s="531">
        <v>1.25</v>
      </c>
      <c r="AD453" s="801"/>
      <c r="AE453" s="801"/>
      <c r="AF453" s="801"/>
      <c r="AG453" s="801"/>
      <c r="AH453" s="1930"/>
      <c r="AI453" s="1930"/>
      <c r="AJ453" s="1930"/>
      <c r="BB453" s="1232"/>
    </row>
    <row r="454" spans="1:57" ht="60.6" hidden="1" customHeight="1" outlineLevel="1" x14ac:dyDescent="0.25">
      <c r="B454" s="1752"/>
      <c r="C454" s="1753"/>
      <c r="D454" s="3089" t="s">
        <v>632</v>
      </c>
      <c r="E454" s="3089" t="s">
        <v>700</v>
      </c>
      <c r="F454" s="3226">
        <v>8.66</v>
      </c>
      <c r="G454" s="3904" t="s">
        <v>2529</v>
      </c>
      <c r="H454" s="3906"/>
      <c r="I454" s="4273" t="s">
        <v>2530</v>
      </c>
      <c r="J454" s="4274"/>
      <c r="K454" s="4275"/>
      <c r="L454" s="1752"/>
      <c r="M454" s="3159"/>
      <c r="N454" s="3159"/>
      <c r="O454" s="147"/>
      <c r="P454" s="147"/>
      <c r="Q454" s="147"/>
      <c r="R454" s="147"/>
      <c r="S454" s="147"/>
      <c r="T454" s="147"/>
      <c r="U454" s="3159"/>
      <c r="V454" s="3217" t="str">
        <f t="shared" si="98"/>
        <v>L_low</v>
      </c>
      <c r="W454" s="491">
        <v>8.66</v>
      </c>
      <c r="X454" s="491">
        <v>8.66</v>
      </c>
      <c r="Y454" s="491">
        <v>8.66</v>
      </c>
      <c r="Z454" s="491">
        <v>8.66</v>
      </c>
      <c r="AA454" s="491">
        <v>8.66</v>
      </c>
      <c r="AB454" s="3226">
        <v>8.66</v>
      </c>
      <c r="AC454" s="3226">
        <v>8.66</v>
      </c>
      <c r="AD454" s="491"/>
      <c r="AE454" s="491"/>
      <c r="AF454" s="491"/>
      <c r="AG454" s="491"/>
      <c r="AH454" s="1930"/>
      <c r="AI454" s="1930"/>
      <c r="AJ454" s="1930"/>
      <c r="AK454" s="1930"/>
      <c r="AL454" s="1930"/>
      <c r="AM454" s="1930"/>
      <c r="AN454" s="1930"/>
      <c r="AO454" s="1930"/>
      <c r="AP454" s="1930"/>
      <c r="AQ454" s="1930"/>
      <c r="AR454" s="1930"/>
      <c r="AS454" s="1930"/>
      <c r="AT454" s="1930"/>
      <c r="AU454" s="1930"/>
      <c r="AV454" s="1930"/>
      <c r="AW454" s="1930"/>
      <c r="AX454" s="1930"/>
      <c r="AY454" s="1930"/>
      <c r="AZ454" s="1930"/>
      <c r="BA454" s="1930"/>
      <c r="BC454" s="1930"/>
      <c r="BD454" s="1930"/>
      <c r="BE454" s="1930"/>
    </row>
    <row r="455" spans="1:57" ht="27" hidden="1" customHeight="1" outlineLevel="1" x14ac:dyDescent="0.25">
      <c r="B455" s="1752"/>
      <c r="C455" s="1753"/>
      <c r="D455" s="3089" t="s">
        <v>200</v>
      </c>
      <c r="E455" s="3089" t="s">
        <v>701</v>
      </c>
      <c r="F455" s="3226">
        <v>2.0699999999999998</v>
      </c>
      <c r="G455" s="3904" t="s">
        <v>1011</v>
      </c>
      <c r="H455" s="3906"/>
      <c r="I455" s="4273" t="s">
        <v>2530</v>
      </c>
      <c r="J455" s="4274"/>
      <c r="K455" s="4275"/>
      <c r="L455" s="1752"/>
      <c r="M455" s="3159"/>
      <c r="N455" s="3159"/>
      <c r="O455" s="147"/>
      <c r="P455" s="147"/>
      <c r="Q455" s="147"/>
      <c r="R455" s="147"/>
      <c r="S455" s="147"/>
      <c r="T455" s="147"/>
      <c r="U455" s="3159"/>
      <c r="V455" s="3217" t="str">
        <f t="shared" si="98"/>
        <v>Household</v>
      </c>
      <c r="W455" s="491">
        <v>2.0699999999999998</v>
      </c>
      <c r="X455" s="491">
        <v>2.0699999999999998</v>
      </c>
      <c r="Y455" s="491">
        <v>2.0699999999999998</v>
      </c>
      <c r="Z455" s="491">
        <v>2.0699999999999998</v>
      </c>
      <c r="AA455" s="491">
        <v>2.0699999999999998</v>
      </c>
      <c r="AB455" s="3226">
        <v>2.0699999999999998</v>
      </c>
      <c r="AC455" s="3226">
        <v>2.0699999999999998</v>
      </c>
      <c r="AD455" s="491"/>
      <c r="AE455" s="491"/>
      <c r="AF455" s="491"/>
      <c r="AG455" s="491"/>
      <c r="AH455" s="1930"/>
      <c r="AI455" s="1930"/>
      <c r="AJ455" s="1930"/>
      <c r="AK455" s="1930"/>
      <c r="AL455" s="1930"/>
      <c r="AM455" s="1930"/>
      <c r="AN455" s="1930"/>
      <c r="AO455" s="1930"/>
      <c r="AP455" s="1930"/>
      <c r="AQ455" s="1930"/>
      <c r="AR455" s="1930"/>
      <c r="AS455" s="1930"/>
      <c r="AT455" s="1930"/>
      <c r="AU455" s="1930"/>
      <c r="AV455" s="1930"/>
      <c r="AW455" s="1930"/>
      <c r="AX455" s="1930"/>
      <c r="AY455" s="1930"/>
      <c r="AZ455" s="1930"/>
      <c r="BA455" s="1930"/>
      <c r="BC455" s="1930"/>
      <c r="BD455" s="1930"/>
      <c r="BE455" s="1930"/>
    </row>
    <row r="456" spans="1:57" ht="58.9" hidden="1" customHeight="1" outlineLevel="1" x14ac:dyDescent="0.25">
      <c r="B456" s="1752"/>
      <c r="C456" s="1753"/>
      <c r="D456" s="3089" t="s">
        <v>705</v>
      </c>
      <c r="E456" s="3089" t="s">
        <v>706</v>
      </c>
      <c r="F456" s="3226">
        <v>0.66</v>
      </c>
      <c r="G456" s="3904" t="s">
        <v>2529</v>
      </c>
      <c r="H456" s="3906"/>
      <c r="I456" s="4273" t="s">
        <v>2530</v>
      </c>
      <c r="J456" s="4274"/>
      <c r="K456" s="4275"/>
      <c r="L456" s="1752"/>
      <c r="M456" s="3159"/>
      <c r="N456" s="3159"/>
      <c r="O456" s="147"/>
      <c r="P456" s="147"/>
      <c r="Q456" s="147"/>
      <c r="R456" s="147"/>
      <c r="S456" s="147"/>
      <c r="T456" s="147"/>
      <c r="U456" s="3159"/>
      <c r="V456" s="3217" t="str">
        <f t="shared" si="98"/>
        <v>SPDC</v>
      </c>
      <c r="W456" s="491">
        <v>0.66</v>
      </c>
      <c r="X456" s="491">
        <v>0.66</v>
      </c>
      <c r="Y456" s="491">
        <v>0.66</v>
      </c>
      <c r="Z456" s="491">
        <v>0.66</v>
      </c>
      <c r="AA456" s="491">
        <v>0.66</v>
      </c>
      <c r="AB456" s="3226">
        <v>0.66</v>
      </c>
      <c r="AC456" s="3226">
        <v>0.66</v>
      </c>
      <c r="AD456" s="491"/>
      <c r="AE456" s="491"/>
      <c r="AF456" s="491"/>
      <c r="AG456" s="491"/>
      <c r="AH456" s="1930"/>
      <c r="AI456" s="1930"/>
      <c r="AJ456" s="1930"/>
      <c r="AK456" s="1930"/>
      <c r="AL456" s="1930"/>
      <c r="AM456" s="1930"/>
      <c r="AN456" s="1930"/>
      <c r="AO456" s="1930"/>
      <c r="AP456" s="1930"/>
      <c r="AQ456" s="1930"/>
      <c r="AR456" s="1930"/>
      <c r="AS456" s="1930"/>
      <c r="AT456" s="1930"/>
      <c r="AU456" s="1930"/>
      <c r="AV456" s="1930"/>
      <c r="AW456" s="1930"/>
      <c r="AX456" s="1930"/>
      <c r="AY456" s="1930"/>
      <c r="AZ456" s="1930"/>
      <c r="BA456" s="1930"/>
      <c r="BC456" s="1930"/>
      <c r="BD456" s="1930"/>
      <c r="BE456" s="1930"/>
    </row>
    <row r="457" spans="1:57" ht="30" hidden="1" customHeight="1" outlineLevel="1" x14ac:dyDescent="0.25">
      <c r="B457" s="1752"/>
      <c r="C457" s="1753"/>
      <c r="D457" s="3089">
        <v>365.25</v>
      </c>
      <c r="E457" s="3089" t="s">
        <v>707</v>
      </c>
      <c r="F457" s="99">
        <v>365.25</v>
      </c>
      <c r="G457" s="3904" t="s">
        <v>587</v>
      </c>
      <c r="H457" s="3906"/>
      <c r="I457" s="4273" t="s">
        <v>2530</v>
      </c>
      <c r="J457" s="4274"/>
      <c r="K457" s="4275"/>
      <c r="L457" s="1752"/>
      <c r="M457" s="3159"/>
      <c r="N457" s="3159"/>
      <c r="O457" s="147"/>
      <c r="P457" s="147"/>
      <c r="Q457" s="147"/>
      <c r="R457" s="147"/>
      <c r="S457" s="147"/>
      <c r="T457" s="147"/>
      <c r="U457" s="3159"/>
      <c r="V457" s="3217">
        <f t="shared" si="98"/>
        <v>365.25</v>
      </c>
      <c r="W457" s="491">
        <v>365</v>
      </c>
      <c r="X457" s="491">
        <v>365</v>
      </c>
      <c r="Y457" s="491">
        <v>365</v>
      </c>
      <c r="Z457" s="491">
        <v>365</v>
      </c>
      <c r="AA457" s="491">
        <v>365</v>
      </c>
      <c r="AB457" s="3226">
        <v>365</v>
      </c>
      <c r="AC457" s="99">
        <v>365.25</v>
      </c>
      <c r="AD457" s="491"/>
      <c r="AE457" s="491"/>
      <c r="AF457" s="491"/>
      <c r="AG457" s="491"/>
      <c r="AH457" s="1930"/>
      <c r="AI457" s="1930"/>
      <c r="AJ457" s="1930"/>
      <c r="AK457" s="1930"/>
      <c r="AL457" s="1930"/>
      <c r="AM457" s="1930"/>
      <c r="AN457" s="1930"/>
      <c r="AO457" s="1930"/>
      <c r="AP457" s="1930"/>
      <c r="AQ457" s="1930"/>
      <c r="AR457" s="1930"/>
      <c r="AS457" s="1930"/>
      <c r="AT457" s="1930"/>
      <c r="AU457" s="1930"/>
      <c r="AV457" s="1930"/>
      <c r="AW457" s="1930"/>
      <c r="AX457" s="1930"/>
      <c r="AY457" s="1930"/>
      <c r="AZ457" s="1930"/>
      <c r="BA457" s="1930"/>
      <c r="BC457" s="1930"/>
      <c r="BD457" s="1930"/>
      <c r="BE457" s="1930"/>
    </row>
    <row r="458" spans="1:57" ht="33.75" hidden="1" customHeight="1" outlineLevel="1" x14ac:dyDescent="0.25">
      <c r="B458" s="1752"/>
      <c r="C458" s="1753"/>
      <c r="D458" s="3089" t="s">
        <v>708</v>
      </c>
      <c r="E458" s="3089" t="s">
        <v>709</v>
      </c>
      <c r="F458" s="141">
        <v>1.4</v>
      </c>
      <c r="G458" s="3904" t="s">
        <v>1011</v>
      </c>
      <c r="H458" s="3906"/>
      <c r="I458" s="4273" t="s">
        <v>2530</v>
      </c>
      <c r="J458" s="4274"/>
      <c r="K458" s="4275"/>
      <c r="L458" s="1752"/>
      <c r="M458" s="1724"/>
      <c r="N458" s="1724"/>
      <c r="O458" s="147"/>
      <c r="P458" s="147"/>
      <c r="Q458" s="147"/>
      <c r="R458" s="147"/>
      <c r="S458" s="147"/>
      <c r="T458" s="147"/>
      <c r="U458" s="1724"/>
      <c r="V458" s="3217" t="str">
        <f t="shared" si="98"/>
        <v>SPH</v>
      </c>
      <c r="W458" s="801">
        <v>1.4</v>
      </c>
      <c r="X458" s="801">
        <v>1.4</v>
      </c>
      <c r="Y458" s="801">
        <v>1.4</v>
      </c>
      <c r="Z458" s="801">
        <v>1.4</v>
      </c>
      <c r="AA458" s="801">
        <v>1.4</v>
      </c>
      <c r="AB458" s="141">
        <v>1.4</v>
      </c>
      <c r="AC458" s="141">
        <v>1.4</v>
      </c>
      <c r="AD458" s="801"/>
      <c r="AE458" s="801"/>
      <c r="AF458" s="801"/>
      <c r="AG458" s="801"/>
      <c r="AH458" s="1930"/>
      <c r="AI458" s="1930"/>
      <c r="AJ458" s="1930"/>
      <c r="AK458" s="1930"/>
      <c r="AL458" s="1930"/>
      <c r="AM458" s="1930"/>
      <c r="AN458" s="1930"/>
      <c r="AO458" s="1930"/>
      <c r="AP458" s="1930"/>
      <c r="AQ458" s="1930"/>
      <c r="AR458" s="1930"/>
      <c r="AS458" s="1930"/>
      <c r="AT458" s="1930"/>
      <c r="AU458" s="1930"/>
      <c r="AV458" s="1930"/>
      <c r="AW458" s="1930"/>
      <c r="AX458" s="1930"/>
      <c r="AY458" s="1930"/>
      <c r="AZ458" s="1930"/>
      <c r="BA458" s="1930"/>
      <c r="BC458" s="1930"/>
      <c r="BD458" s="1930"/>
      <c r="BE458" s="1930"/>
    </row>
    <row r="459" spans="1:57" ht="15" hidden="1" customHeight="1" outlineLevel="1" x14ac:dyDescent="0.25">
      <c r="B459" s="1752"/>
      <c r="C459" s="1753"/>
      <c r="D459" s="3089">
        <v>8.33</v>
      </c>
      <c r="E459" s="3105" t="s">
        <v>647</v>
      </c>
      <c r="F459" s="3226">
        <v>8.33</v>
      </c>
      <c r="G459" s="3927" t="s">
        <v>648</v>
      </c>
      <c r="H459" s="3928"/>
      <c r="I459" s="4273" t="s">
        <v>2530</v>
      </c>
      <c r="J459" s="4274"/>
      <c r="K459" s="4275"/>
      <c r="L459" s="1752"/>
      <c r="M459" s="3159"/>
      <c r="N459" s="3159"/>
      <c r="O459" s="147"/>
      <c r="P459" s="147"/>
      <c r="Q459" s="147"/>
      <c r="R459" s="147"/>
      <c r="S459" s="147"/>
      <c r="T459" s="147"/>
      <c r="U459" s="3159"/>
      <c r="V459" s="3217">
        <f t="shared" si="98"/>
        <v>8.33</v>
      </c>
      <c r="W459" s="491">
        <v>8.33</v>
      </c>
      <c r="X459" s="491">
        <v>8.33</v>
      </c>
      <c r="Y459" s="491">
        <v>8.33</v>
      </c>
      <c r="Z459" s="491">
        <v>8.33</v>
      </c>
      <c r="AA459" s="491">
        <v>8.33</v>
      </c>
      <c r="AB459" s="3226">
        <v>8.33</v>
      </c>
      <c r="AC459" s="3226">
        <v>8.33</v>
      </c>
      <c r="AD459" s="491"/>
      <c r="AE459" s="491"/>
      <c r="AF459" s="491"/>
      <c r="AG459" s="491"/>
      <c r="AH459" s="1930"/>
      <c r="AI459" s="1930"/>
      <c r="AJ459" s="1930"/>
      <c r="AK459" s="1930"/>
      <c r="AL459" s="1930"/>
      <c r="AM459" s="1930"/>
      <c r="AN459" s="1930"/>
      <c r="AO459" s="1930"/>
      <c r="AP459" s="1930"/>
      <c r="AQ459" s="1930"/>
      <c r="AR459" s="1930"/>
      <c r="AS459" s="1930"/>
      <c r="AT459" s="1930"/>
      <c r="AU459" s="1930"/>
      <c r="AV459" s="1930"/>
      <c r="AW459" s="1930"/>
      <c r="AX459" s="1930"/>
      <c r="AY459" s="1930"/>
      <c r="AZ459" s="1930"/>
      <c r="BA459" s="1930"/>
      <c r="BC459" s="1930"/>
      <c r="BD459" s="1930"/>
      <c r="BE459" s="1930"/>
    </row>
    <row r="460" spans="1:57" ht="30" hidden="1" customHeight="1" outlineLevel="1" x14ac:dyDescent="0.25">
      <c r="B460" s="1752"/>
      <c r="C460" s="1753"/>
      <c r="D460" s="3089">
        <v>1</v>
      </c>
      <c r="E460" s="3089" t="s">
        <v>649</v>
      </c>
      <c r="F460" s="3226">
        <v>1</v>
      </c>
      <c r="G460" s="3904" t="s">
        <v>650</v>
      </c>
      <c r="H460" s="3906"/>
      <c r="I460" s="4273" t="s">
        <v>2530</v>
      </c>
      <c r="J460" s="4274"/>
      <c r="K460" s="4275"/>
      <c r="L460" s="1752"/>
      <c r="M460" s="3159"/>
      <c r="N460" s="3159"/>
      <c r="O460" s="147"/>
      <c r="P460" s="147"/>
      <c r="Q460" s="147"/>
      <c r="R460" s="147"/>
      <c r="S460" s="147"/>
      <c r="T460" s="147"/>
      <c r="U460" s="3159"/>
      <c r="V460" s="3217">
        <f t="shared" si="98"/>
        <v>1</v>
      </c>
      <c r="W460" s="491">
        <v>1</v>
      </c>
      <c r="X460" s="491">
        <v>1</v>
      </c>
      <c r="Y460" s="491">
        <v>1</v>
      </c>
      <c r="Z460" s="491">
        <v>1</v>
      </c>
      <c r="AA460" s="491">
        <v>1</v>
      </c>
      <c r="AB460" s="3226">
        <v>1</v>
      </c>
      <c r="AC460" s="3226">
        <v>1</v>
      </c>
      <c r="AD460" s="491"/>
      <c r="AE460" s="491"/>
      <c r="AF460" s="491"/>
      <c r="AG460" s="491"/>
      <c r="AH460" s="1930"/>
      <c r="AI460" s="1930"/>
      <c r="AJ460" s="1930"/>
      <c r="AK460" s="1930"/>
      <c r="AL460" s="1930"/>
      <c r="AM460" s="1930"/>
      <c r="AN460" s="1930"/>
      <c r="AO460" s="1930"/>
      <c r="AP460" s="1930"/>
      <c r="AQ460" s="1930"/>
      <c r="AR460" s="1930"/>
      <c r="AS460" s="1930"/>
      <c r="AT460" s="1930"/>
      <c r="AU460" s="1930"/>
      <c r="AV460" s="1930"/>
      <c r="AW460" s="1930"/>
      <c r="AX460" s="1930"/>
      <c r="AY460" s="1930"/>
      <c r="AZ460" s="1930"/>
      <c r="BA460" s="1930"/>
      <c r="BC460" s="1930"/>
      <c r="BD460" s="1930"/>
      <c r="BE460" s="1930"/>
    </row>
    <row r="461" spans="1:57" ht="90.75" hidden="1" customHeight="1" outlineLevel="1" x14ac:dyDescent="0.25">
      <c r="B461" s="1752"/>
      <c r="C461" s="1753"/>
      <c r="D461" s="3089" t="s">
        <v>710</v>
      </c>
      <c r="E461" s="3089" t="s">
        <v>711</v>
      </c>
      <c r="F461" s="3226">
        <v>105</v>
      </c>
      <c r="G461" s="3904" t="s">
        <v>712</v>
      </c>
      <c r="H461" s="3906"/>
      <c r="I461" s="4273" t="s">
        <v>2530</v>
      </c>
      <c r="J461" s="4274"/>
      <c r="K461" s="4275"/>
      <c r="L461" s="1752"/>
      <c r="M461" s="3159"/>
      <c r="N461" s="3159"/>
      <c r="O461" s="147"/>
      <c r="P461" s="147"/>
      <c r="Q461" s="147"/>
      <c r="R461" s="147"/>
      <c r="S461" s="147"/>
      <c r="T461" s="147"/>
      <c r="U461" s="3159"/>
      <c r="V461" s="3217" t="str">
        <f t="shared" si="98"/>
        <v>ShowerTemp</v>
      </c>
      <c r="W461" s="491">
        <v>105</v>
      </c>
      <c r="X461" s="491">
        <v>105</v>
      </c>
      <c r="Y461" s="491">
        <v>105</v>
      </c>
      <c r="Z461" s="491">
        <v>105</v>
      </c>
      <c r="AA461" s="491">
        <v>105</v>
      </c>
      <c r="AB461" s="3226">
        <v>105</v>
      </c>
      <c r="AC461" s="3226">
        <v>105</v>
      </c>
      <c r="AD461" s="491"/>
      <c r="AE461" s="491"/>
      <c r="AF461" s="491"/>
      <c r="AG461" s="491"/>
      <c r="AH461" s="1930"/>
      <c r="AI461" s="1930"/>
      <c r="AJ461" s="1930"/>
      <c r="AK461" s="1930"/>
      <c r="AL461" s="1930"/>
      <c r="AM461" s="1930"/>
      <c r="AN461" s="1930"/>
      <c r="AO461" s="1930"/>
      <c r="AP461" s="1930"/>
      <c r="AQ461" s="1930"/>
      <c r="AR461" s="1930"/>
      <c r="AS461" s="1930"/>
      <c r="AT461" s="1930"/>
      <c r="AU461" s="1930"/>
      <c r="AV461" s="1930"/>
      <c r="AW461" s="1930"/>
      <c r="AX461" s="1930"/>
      <c r="AY461" s="1930"/>
      <c r="AZ461" s="1930"/>
      <c r="BA461" s="1930"/>
      <c r="BC461" s="1930"/>
      <c r="BD461" s="1930"/>
      <c r="BE461" s="1930"/>
    </row>
    <row r="462" spans="1:57" s="456" customFormat="1" ht="67.5" hidden="1" customHeight="1" outlineLevel="1" x14ac:dyDescent="0.25">
      <c r="A462" s="3220"/>
      <c r="B462" s="1766"/>
      <c r="C462" s="1767"/>
      <c r="D462" s="3089" t="s">
        <v>654</v>
      </c>
      <c r="E462" s="3089" t="s">
        <v>655</v>
      </c>
      <c r="F462" s="3226">
        <v>61.3</v>
      </c>
      <c r="G462" s="3904" t="s">
        <v>656</v>
      </c>
      <c r="H462" s="3906"/>
      <c r="I462" s="4273" t="s">
        <v>2530</v>
      </c>
      <c r="J462" s="4274"/>
      <c r="K462" s="4275"/>
      <c r="L462" s="1752"/>
      <c r="M462" s="3159"/>
      <c r="N462" s="3159"/>
      <c r="O462" s="3162"/>
      <c r="P462" s="3162"/>
      <c r="Q462" s="3162"/>
      <c r="R462" s="3162"/>
      <c r="S462" s="3162"/>
      <c r="T462" s="3162"/>
      <c r="U462" s="3159"/>
      <c r="V462" s="3217" t="str">
        <f t="shared" si="98"/>
        <v>SupplyTemp</v>
      </c>
      <c r="W462" s="491">
        <v>61.3</v>
      </c>
      <c r="X462" s="491">
        <v>61.3</v>
      </c>
      <c r="Y462" s="491">
        <v>61.3</v>
      </c>
      <c r="Z462" s="491">
        <v>61.3</v>
      </c>
      <c r="AA462" s="491">
        <v>61.3</v>
      </c>
      <c r="AB462" s="3226">
        <v>61.3</v>
      </c>
      <c r="AC462" s="3226">
        <v>61.3</v>
      </c>
      <c r="AD462" s="491"/>
      <c r="AE462" s="491"/>
      <c r="AF462" s="491"/>
      <c r="AG462" s="491"/>
      <c r="AH462" s="1930"/>
      <c r="AI462" s="1930"/>
      <c r="AJ462" s="1930"/>
      <c r="BB462" s="1232"/>
    </row>
    <row r="463" spans="1:57" s="456" customFormat="1" ht="62.25" hidden="1" customHeight="1" outlineLevel="1" x14ac:dyDescent="0.25">
      <c r="A463" s="3220"/>
      <c r="B463" s="1766"/>
      <c r="C463" s="1767"/>
      <c r="D463" s="3089" t="s">
        <v>657</v>
      </c>
      <c r="E463" s="3089" t="s">
        <v>658</v>
      </c>
      <c r="F463" s="3226">
        <v>0.98</v>
      </c>
      <c r="G463" s="3927" t="s">
        <v>659</v>
      </c>
      <c r="H463" s="3928"/>
      <c r="I463" s="4273" t="s">
        <v>2530</v>
      </c>
      <c r="J463" s="4274"/>
      <c r="K463" s="4275"/>
      <c r="L463" s="1752"/>
      <c r="M463" s="3159"/>
      <c r="N463" s="3159"/>
      <c r="O463" s="3162"/>
      <c r="P463" s="3162"/>
      <c r="Q463" s="3162"/>
      <c r="R463" s="3162"/>
      <c r="S463" s="3162"/>
      <c r="T463" s="3162"/>
      <c r="U463" s="3159"/>
      <c r="V463" s="3217" t="str">
        <f t="shared" si="98"/>
        <v>RE_electric</v>
      </c>
      <c r="W463" s="491">
        <v>0.98</v>
      </c>
      <c r="X463" s="491">
        <v>0.98</v>
      </c>
      <c r="Y463" s="491">
        <v>0.98</v>
      </c>
      <c r="Z463" s="491">
        <v>0.98</v>
      </c>
      <c r="AA463" s="491">
        <v>0.98</v>
      </c>
      <c r="AB463" s="3226">
        <v>0.98</v>
      </c>
      <c r="AC463" s="3226">
        <v>0.98</v>
      </c>
      <c r="AD463" s="491"/>
      <c r="AE463" s="491"/>
      <c r="AF463" s="491"/>
      <c r="AG463" s="491"/>
      <c r="AH463" s="1930"/>
      <c r="AI463" s="1930"/>
      <c r="AJ463" s="1930"/>
      <c r="BB463" s="1232"/>
    </row>
    <row r="464" spans="1:57" s="456" customFormat="1" ht="30" hidden="1" customHeight="1" outlineLevel="1" x14ac:dyDescent="0.25">
      <c r="A464" s="3220"/>
      <c r="B464" s="1766"/>
      <c r="C464" s="1767"/>
      <c r="D464" s="3089">
        <v>3412</v>
      </c>
      <c r="E464" s="3105" t="s">
        <v>660</v>
      </c>
      <c r="F464" s="506">
        <v>3412</v>
      </c>
      <c r="G464" s="3927" t="s">
        <v>218</v>
      </c>
      <c r="H464" s="3928"/>
      <c r="I464" s="4273" t="s">
        <v>2530</v>
      </c>
      <c r="J464" s="4274"/>
      <c r="K464" s="4275"/>
      <c r="L464" s="1752"/>
      <c r="M464" s="1774"/>
      <c r="N464" s="1774"/>
      <c r="O464" s="3162"/>
      <c r="P464" s="3162"/>
      <c r="Q464" s="3162"/>
      <c r="R464" s="3162"/>
      <c r="S464" s="3162"/>
      <c r="T464" s="3162"/>
      <c r="U464" s="1774"/>
      <c r="V464" s="3217">
        <f t="shared" si="98"/>
        <v>3412</v>
      </c>
      <c r="W464" s="509">
        <v>3412</v>
      </c>
      <c r="X464" s="509">
        <v>3412</v>
      </c>
      <c r="Y464" s="509">
        <v>3412</v>
      </c>
      <c r="Z464" s="509">
        <v>3412</v>
      </c>
      <c r="AA464" s="509">
        <v>3412</v>
      </c>
      <c r="AB464" s="506">
        <v>3412</v>
      </c>
      <c r="AC464" s="506">
        <v>3412</v>
      </c>
      <c r="AD464" s="509"/>
      <c r="AE464" s="509"/>
      <c r="AF464" s="509"/>
      <c r="AG464" s="509"/>
      <c r="AH464" s="1930"/>
      <c r="AI464" s="1930"/>
      <c r="AJ464" s="1930"/>
      <c r="BB464" s="1232"/>
    </row>
    <row r="465" spans="2:57" ht="15" hidden="1" customHeight="1" outlineLevel="1" x14ac:dyDescent="0.25">
      <c r="B465" s="1752"/>
      <c r="C465" s="1753"/>
      <c r="D465" s="3089" t="s">
        <v>531</v>
      </c>
      <c r="E465" s="3089" t="s">
        <v>595</v>
      </c>
      <c r="F465" s="487">
        <v>1</v>
      </c>
      <c r="G465" s="3904" t="s">
        <v>600</v>
      </c>
      <c r="H465" s="3906"/>
      <c r="I465" s="4273" t="s">
        <v>2516</v>
      </c>
      <c r="J465" s="4274"/>
      <c r="K465" s="4275"/>
      <c r="L465" s="1752"/>
      <c r="M465" s="1039"/>
      <c r="N465" s="1039"/>
      <c r="O465" s="147"/>
      <c r="P465" s="147"/>
      <c r="Q465" s="147"/>
      <c r="R465" s="147"/>
      <c r="S465" s="147"/>
      <c r="T465" s="147"/>
      <c r="U465" s="1039"/>
      <c r="V465" s="3217" t="str">
        <f t="shared" si="98"/>
        <v>Utility Adjustment</v>
      </c>
      <c r="W465" s="488">
        <v>1</v>
      </c>
      <c r="X465" s="488">
        <v>1</v>
      </c>
      <c r="Y465" s="488">
        <v>1</v>
      </c>
      <c r="Z465" s="488">
        <v>1</v>
      </c>
      <c r="AA465" s="488">
        <v>1</v>
      </c>
      <c r="AB465" s="487">
        <v>1</v>
      </c>
      <c r="AC465" s="487">
        <v>1</v>
      </c>
      <c r="AD465" s="488"/>
      <c r="AE465" s="488"/>
      <c r="AF465" s="488"/>
      <c r="AG465" s="488"/>
      <c r="AH465" s="1930"/>
      <c r="AI465" s="1930"/>
      <c r="AJ465" s="1930"/>
      <c r="AK465" s="1930"/>
      <c r="AL465" s="1930"/>
      <c r="AM465" s="1930"/>
      <c r="AN465" s="1930"/>
      <c r="AO465" s="1930"/>
      <c r="AP465" s="1930"/>
      <c r="AQ465" s="1930"/>
      <c r="AR465" s="1930"/>
      <c r="AS465" s="1930"/>
      <c r="AT465" s="1930"/>
      <c r="AU465" s="1930"/>
      <c r="AV465" s="1930"/>
      <c r="AW465" s="1930"/>
      <c r="AX465" s="1930"/>
      <c r="AY465" s="1930"/>
      <c r="AZ465" s="1930"/>
      <c r="BA465" s="1930"/>
      <c r="BC465" s="1930"/>
      <c r="BD465" s="1930"/>
      <c r="BE465" s="1930"/>
    </row>
    <row r="466" spans="2:57" ht="33.75" hidden="1" customHeight="1" outlineLevel="1" x14ac:dyDescent="0.25">
      <c r="B466" s="1752"/>
      <c r="C466" s="1753"/>
      <c r="D466" s="3089" t="s">
        <v>133</v>
      </c>
      <c r="E466" s="3089" t="s">
        <v>252</v>
      </c>
      <c r="F466" s="487">
        <v>0.91</v>
      </c>
      <c r="G466" s="3904" t="s">
        <v>2057</v>
      </c>
      <c r="H466" s="3906"/>
      <c r="I466" s="4273" t="s">
        <v>2530</v>
      </c>
      <c r="J466" s="4274"/>
      <c r="K466" s="4275"/>
      <c r="L466" s="1752"/>
      <c r="M466" s="1039"/>
      <c r="N466" s="1039"/>
      <c r="O466" s="147"/>
      <c r="P466" s="147"/>
      <c r="Q466" s="147"/>
      <c r="R466" s="147"/>
      <c r="S466" s="147"/>
      <c r="T466" s="147"/>
      <c r="U466" s="1039"/>
      <c r="V466" s="3099" t="str">
        <f t="shared" si="98"/>
        <v>ISR</v>
      </c>
      <c r="W466" s="488">
        <v>0.91</v>
      </c>
      <c r="X466" s="488">
        <v>0.91</v>
      </c>
      <c r="Y466" s="488">
        <v>0.91</v>
      </c>
      <c r="Z466" s="488">
        <v>0.91</v>
      </c>
      <c r="AA466" s="488">
        <v>0.91</v>
      </c>
      <c r="AB466" s="487">
        <v>0.91</v>
      </c>
      <c r="AC466" s="487">
        <v>0.91</v>
      </c>
      <c r="AD466" s="488"/>
      <c r="AE466" s="488"/>
      <c r="AF466" s="488"/>
      <c r="AG466" s="488"/>
      <c r="AH466" s="1930"/>
      <c r="AI466" s="1930"/>
      <c r="AJ466" s="1930"/>
      <c r="AK466" s="1930"/>
      <c r="AL466" s="1930"/>
      <c r="AM466" s="1930"/>
      <c r="AN466" s="1930"/>
      <c r="AO466" s="1930"/>
      <c r="AP466" s="1930"/>
      <c r="AQ466" s="1930"/>
      <c r="AR466" s="1930"/>
      <c r="AS466" s="1930"/>
      <c r="AT466" s="1930"/>
      <c r="AU466" s="1930"/>
      <c r="AV466" s="1930"/>
      <c r="AW466" s="1930"/>
      <c r="AX466" s="1930"/>
      <c r="AY466" s="1930"/>
      <c r="AZ466" s="1930"/>
      <c r="BA466" s="1930"/>
      <c r="BC466" s="1930"/>
      <c r="BD466" s="1930"/>
      <c r="BE466" s="1930"/>
    </row>
    <row r="467" spans="2:57" s="249" customFormat="1" ht="15" hidden="1" customHeight="1" outlineLevel="1" x14ac:dyDescent="0.25">
      <c r="B467" s="1233"/>
      <c r="C467" s="905"/>
      <c r="D467" s="1798" t="str">
        <f>$D$34</f>
        <v>EUL</v>
      </c>
      <c r="E467" s="3089" t="s">
        <v>135</v>
      </c>
      <c r="F467" s="1032">
        <v>10</v>
      </c>
      <c r="G467" s="3867"/>
      <c r="H467" s="3867"/>
      <c r="I467" s="4412"/>
      <c r="J467" s="4412"/>
      <c r="K467" s="4412"/>
      <c r="V467" s="3192" t="str">
        <f>D467</f>
        <v>EUL</v>
      </c>
      <c r="W467" s="1032">
        <v>10</v>
      </c>
      <c r="X467" s="1032">
        <v>10</v>
      </c>
      <c r="Y467" s="1032">
        <v>10</v>
      </c>
      <c r="Z467" s="1032">
        <v>10</v>
      </c>
      <c r="AA467" s="1032">
        <v>10</v>
      </c>
      <c r="AB467" s="1032">
        <v>10</v>
      </c>
      <c r="AC467" s="1032">
        <v>10</v>
      </c>
      <c r="AD467" s="1032"/>
      <c r="AE467" s="1032"/>
      <c r="AF467" s="1032"/>
      <c r="AG467" s="1032"/>
      <c r="AK467" s="1234"/>
      <c r="BB467" s="1235"/>
    </row>
    <row r="468" spans="2:57" s="249" customFormat="1" ht="15" hidden="1" customHeight="1" outlineLevel="1" x14ac:dyDescent="0.25">
      <c r="B468" s="1233"/>
      <c r="C468" s="905"/>
      <c r="D468" s="1798" t="str">
        <f>$D$35</f>
        <v>Inc. Cost</v>
      </c>
      <c r="E468" s="3089" t="s">
        <v>2532</v>
      </c>
      <c r="F468" s="1054">
        <v>15.33</v>
      </c>
      <c r="G468" s="3867"/>
      <c r="H468" s="3867"/>
      <c r="I468" s="4412"/>
      <c r="J468" s="4412"/>
      <c r="K468" s="4412"/>
      <c r="V468" s="3192" t="str">
        <f>CONCATENATE(D468,"_",E468)</f>
        <v>Inc. Cost_Direct Install</v>
      </c>
      <c r="W468" s="1054">
        <v>15.33</v>
      </c>
      <c r="X468" s="1054">
        <v>15.33</v>
      </c>
      <c r="Y468" s="1054">
        <v>15.33</v>
      </c>
      <c r="Z468" s="1054">
        <v>15.33</v>
      </c>
      <c r="AA468" s="1054">
        <v>15.33</v>
      </c>
      <c r="AB468" s="1054">
        <v>15.33</v>
      </c>
      <c r="AC468" s="1054">
        <v>15.33</v>
      </c>
      <c r="AD468" s="1054"/>
      <c r="AE468" s="1054"/>
      <c r="AF468" s="1054"/>
      <c r="AG468" s="1054"/>
      <c r="AK468" s="1234"/>
      <c r="BB468" s="1235"/>
    </row>
    <row r="469" spans="2:57" s="249" customFormat="1" ht="15" hidden="1" customHeight="1" outlineLevel="1" x14ac:dyDescent="0.25">
      <c r="B469" s="1233"/>
      <c r="C469" s="905"/>
      <c r="D469" s="1798" t="str">
        <f>$D$35</f>
        <v>Inc. Cost</v>
      </c>
      <c r="E469" s="3089" t="s">
        <v>2533</v>
      </c>
      <c r="F469" s="1054">
        <v>7</v>
      </c>
      <c r="G469" s="3867"/>
      <c r="H469" s="3867"/>
      <c r="I469" s="3785"/>
      <c r="J469" s="3785"/>
      <c r="K469" s="3785"/>
      <c r="V469" s="3192" t="str">
        <f>CONCATENATE(D469,"_",E469)</f>
        <v>Inc. Cost_Time of Sale</v>
      </c>
      <c r="W469" s="1054">
        <v>7</v>
      </c>
      <c r="X469" s="1054">
        <v>7</v>
      </c>
      <c r="Y469" s="1054">
        <v>7</v>
      </c>
      <c r="Z469" s="1054">
        <v>7</v>
      </c>
      <c r="AA469" s="1054">
        <v>7</v>
      </c>
      <c r="AB469" s="1054">
        <v>7</v>
      </c>
      <c r="AC469" s="1054">
        <v>7</v>
      </c>
      <c r="AD469" s="1054"/>
      <c r="AE469" s="1054"/>
      <c r="AF469" s="1054"/>
      <c r="AG469" s="1054"/>
      <c r="AK469" s="1234"/>
      <c r="BB469" s="1235"/>
    </row>
    <row r="470" spans="2:57" collapsed="1" x14ac:dyDescent="0.25">
      <c r="B470" s="1752"/>
      <c r="C470" s="1753"/>
      <c r="D470" s="1198"/>
      <c r="E470" s="1198"/>
      <c r="F470" s="1752"/>
      <c r="G470" s="1752"/>
      <c r="H470" s="1752"/>
      <c r="I470" s="1752"/>
      <c r="J470" s="1752"/>
      <c r="K470" s="1752"/>
      <c r="L470" s="1752"/>
      <c r="V470" s="1930"/>
      <c r="W470" s="1930"/>
      <c r="X470" s="1930"/>
      <c r="Y470" s="1930"/>
      <c r="Z470" s="1930"/>
      <c r="AA470" s="1930"/>
      <c r="AB470" s="1930"/>
      <c r="AC470" s="1930"/>
      <c r="AD470" s="1930"/>
      <c r="AE470" s="1930"/>
      <c r="AF470" s="1930"/>
      <c r="AG470" s="1930"/>
      <c r="AH470" s="1930"/>
      <c r="AI470" s="1930"/>
      <c r="AJ470" s="1930"/>
      <c r="AK470" s="1930"/>
      <c r="AL470" s="1930"/>
      <c r="AM470" s="1930"/>
      <c r="AN470" s="1930"/>
      <c r="AO470" s="1930"/>
      <c r="AP470" s="1930"/>
      <c r="AQ470" s="1930"/>
      <c r="AR470" s="1930"/>
      <c r="AS470" s="1930"/>
      <c r="AT470" s="1930"/>
      <c r="AU470" s="1930"/>
      <c r="AV470" s="1930"/>
      <c r="AW470" s="1930"/>
      <c r="AX470" s="1930"/>
      <c r="AY470" s="1930"/>
      <c r="AZ470" s="1930"/>
      <c r="BA470" s="1930"/>
      <c r="BC470" s="1930"/>
      <c r="BD470" s="1930"/>
      <c r="BE470" s="1930"/>
    </row>
    <row r="471" spans="2:57" x14ac:dyDescent="0.25">
      <c r="B471" s="1752"/>
      <c r="C471" s="1753"/>
      <c r="D471" s="1198"/>
      <c r="E471" s="1198"/>
      <c r="F471" s="1752"/>
      <c r="G471" s="1752"/>
      <c r="H471" s="1752"/>
      <c r="I471" s="1752"/>
      <c r="J471" s="1752"/>
      <c r="K471" s="1752"/>
      <c r="L471" s="1752"/>
      <c r="V471" s="1930"/>
      <c r="W471" s="1930"/>
      <c r="X471" s="1930"/>
      <c r="Y471" s="1930"/>
      <c r="Z471" s="1930"/>
      <c r="AA471" s="1930"/>
      <c r="AB471" s="1930"/>
      <c r="AC471" s="1930"/>
      <c r="AD471" s="1930"/>
      <c r="AE471" s="1930"/>
      <c r="AF471" s="1930"/>
      <c r="AG471" s="1930"/>
      <c r="AH471" s="1930"/>
      <c r="AI471" s="1930"/>
      <c r="AJ471" s="1930"/>
      <c r="AK471" s="1930"/>
      <c r="AL471" s="1930"/>
      <c r="AM471" s="1930"/>
      <c r="AN471" s="1930"/>
      <c r="AO471" s="1930"/>
      <c r="AP471" s="1930"/>
      <c r="AQ471" s="1930"/>
      <c r="AR471" s="1930"/>
      <c r="AS471" s="1930"/>
      <c r="AT471" s="1930"/>
      <c r="AU471" s="1930"/>
      <c r="AV471" s="1930"/>
      <c r="AW471" s="1930"/>
      <c r="AX471" s="1930"/>
      <c r="AY471" s="1930"/>
      <c r="AZ471" s="1930"/>
      <c r="BA471" s="1930"/>
      <c r="BC471" s="1930"/>
      <c r="BD471" s="1930"/>
      <c r="BE471" s="1930"/>
    </row>
    <row r="472" spans="2:57" x14ac:dyDescent="0.25">
      <c r="B472" s="3750" t="s">
        <v>761</v>
      </c>
      <c r="C472" s="3751"/>
      <c r="D472" s="3751"/>
      <c r="E472" s="3751"/>
      <c r="F472" s="3751"/>
      <c r="G472" s="3751"/>
      <c r="H472" s="3751"/>
      <c r="I472" s="3744"/>
      <c r="J472" s="3744"/>
      <c r="K472" s="3744"/>
      <c r="L472" s="3744"/>
      <c r="M472" s="3744"/>
      <c r="N472" s="3744"/>
      <c r="O472" s="3744"/>
      <c r="P472" s="3744"/>
      <c r="Q472" s="3745"/>
      <c r="V472" s="3750" t="str">
        <f>B472</f>
        <v>Advanced Power Strips Tier 1  / Load Sensing</v>
      </c>
      <c r="W472" s="3751"/>
      <c r="X472" s="3751"/>
      <c r="Y472" s="3751"/>
      <c r="Z472" s="3751"/>
      <c r="AA472" s="3751"/>
      <c r="AB472" s="3751"/>
      <c r="AC472" s="3752"/>
      <c r="AD472" s="3752"/>
      <c r="AE472" s="3752"/>
      <c r="AF472" s="3752"/>
      <c r="AG472" s="3752"/>
      <c r="AH472" s="3752"/>
      <c r="AI472" s="3753"/>
      <c r="AJ472" s="1930"/>
      <c r="AK472" s="1930"/>
      <c r="AL472" s="1930"/>
      <c r="AM472" s="1930"/>
      <c r="AN472" s="1930"/>
      <c r="AO472" s="1930"/>
      <c r="AP472" s="1930"/>
      <c r="AQ472" s="1930"/>
      <c r="AR472" s="1930"/>
      <c r="AS472" s="1930"/>
      <c r="AT472" s="1930"/>
      <c r="AU472" s="1930"/>
      <c r="AV472" s="1930"/>
      <c r="AW472" s="1930"/>
      <c r="AX472" s="1930"/>
      <c r="AY472" s="1930"/>
      <c r="AZ472" s="1930"/>
      <c r="BA472" s="1930"/>
      <c r="BC472" s="1930"/>
      <c r="BD472" s="1930"/>
      <c r="BE472" s="1930"/>
    </row>
    <row r="474" spans="2:57" ht="30" x14ac:dyDescent="0.25">
      <c r="C474" s="3086" t="s">
        <v>28</v>
      </c>
      <c r="D474" s="3086" t="s">
        <v>175</v>
      </c>
      <c r="E474" s="3086" t="s">
        <v>30</v>
      </c>
      <c r="F474" s="3086" t="s">
        <v>31</v>
      </c>
      <c r="G474" s="3086" t="s">
        <v>176</v>
      </c>
      <c r="H474" s="3086" t="s">
        <v>177</v>
      </c>
      <c r="I474" s="3086" t="s">
        <v>32</v>
      </c>
      <c r="J474" s="3086" t="s">
        <v>181</v>
      </c>
      <c r="K474" s="3086" t="s">
        <v>170</v>
      </c>
      <c r="L474" s="3086" t="s">
        <v>44</v>
      </c>
      <c r="V474" s="1936" t="s">
        <v>45</v>
      </c>
      <c r="W474" s="1937">
        <f>W$6</f>
        <v>43252</v>
      </c>
      <c r="X474" s="1937">
        <f t="shared" ref="X474:AG474" si="99">X$6</f>
        <v>43465</v>
      </c>
      <c r="Y474" s="1937">
        <f t="shared" si="99"/>
        <v>43800</v>
      </c>
      <c r="Z474" s="1937">
        <f t="shared" si="99"/>
        <v>43862</v>
      </c>
      <c r="AA474" s="1937">
        <f t="shared" si="99"/>
        <v>44013</v>
      </c>
      <c r="AB474" s="1937">
        <f t="shared" si="99"/>
        <v>44166</v>
      </c>
      <c r="AC474" s="1937">
        <f t="shared" si="99"/>
        <v>44531</v>
      </c>
      <c r="AD474" s="1937" t="str">
        <f t="shared" si="99"/>
        <v>-</v>
      </c>
      <c r="AE474" s="1937" t="str">
        <f t="shared" si="99"/>
        <v>-</v>
      </c>
      <c r="AF474" s="1937" t="str">
        <f t="shared" si="99"/>
        <v>-</v>
      </c>
      <c r="AG474" s="1937" t="str">
        <f t="shared" si="99"/>
        <v>-</v>
      </c>
      <c r="AH474" s="1930"/>
      <c r="AI474" s="1930"/>
      <c r="AJ474" s="1930"/>
      <c r="AK474" s="1930"/>
      <c r="AL474" s="1930"/>
      <c r="AM474" s="1930"/>
      <c r="AN474" s="1930"/>
      <c r="AO474" s="1930"/>
      <c r="AP474" s="1930"/>
      <c r="AQ474" s="1930"/>
      <c r="AR474" s="1930"/>
      <c r="AS474" s="1930"/>
      <c r="AT474" s="1930"/>
      <c r="AU474" s="1930"/>
      <c r="AV474" s="1930"/>
      <c r="AW474" s="1930"/>
      <c r="AX474" s="1930"/>
      <c r="AY474" s="1930"/>
      <c r="AZ474" s="1930"/>
      <c r="BA474" s="1930"/>
      <c r="BB474" s="1938" t="str">
        <f>$BB$6</f>
        <v>TRC (2020)</v>
      </c>
      <c r="BC474" s="1953" t="str">
        <f>$BC$6</f>
        <v>Benefit Lookup</v>
      </c>
      <c r="BD474" s="665" t="str">
        <f>$BD$6</f>
        <v>Benefits (2019 $)</v>
      </c>
      <c r="BE474" s="230" t="str">
        <f>$BE$6</f>
        <v>Incremental Cost (2019 $)</v>
      </c>
    </row>
    <row r="475" spans="2:57" x14ac:dyDescent="0.25">
      <c r="C475" s="63" t="s">
        <v>2534</v>
      </c>
      <c r="D475" s="2667" t="s">
        <v>2406</v>
      </c>
      <c r="E475" s="3121" t="s">
        <v>2535</v>
      </c>
      <c r="F475" s="531">
        <f>ROUND((G488*G494+G489*G495)*G498,2)</f>
        <v>29.45</v>
      </c>
      <c r="G475" s="331" t="s">
        <v>388</v>
      </c>
      <c r="H475" s="155">
        <f>VLOOKUP(G475,'CP FACTORS'!$A$3:$B$38, 2, FALSE)</f>
        <v>1.148238E-4</v>
      </c>
      <c r="I475" s="1531">
        <f t="shared" ref="I475:I480" si="100">ROUND(F475*H475,6)</f>
        <v>3.382E-3</v>
      </c>
      <c r="J475" s="108">
        <f t="shared" ref="J475:J480" si="101">$G$500</f>
        <v>10</v>
      </c>
      <c r="K475" s="1199">
        <f t="shared" ref="K475:K480" si="102">$G$501</f>
        <v>20</v>
      </c>
      <c r="L475" s="2666" t="s">
        <v>185</v>
      </c>
      <c r="V475" s="160" t="str">
        <f>F474</f>
        <v>kWh Annual Savings</v>
      </c>
      <c r="W475" s="518">
        <v>31</v>
      </c>
      <c r="X475" s="518">
        <v>31</v>
      </c>
      <c r="Y475" s="480">
        <v>31</v>
      </c>
      <c r="Z475" s="480">
        <v>31</v>
      </c>
      <c r="AA475" s="480">
        <v>31</v>
      </c>
      <c r="AB475" s="527">
        <v>29.45</v>
      </c>
      <c r="AC475" s="531">
        <v>29.45</v>
      </c>
      <c r="AD475" s="518"/>
      <c r="AE475" s="518"/>
      <c r="AF475" s="518"/>
      <c r="AG475" s="518"/>
      <c r="AH475" s="1930"/>
      <c r="AI475" s="1930"/>
      <c r="AJ475" s="1930"/>
      <c r="AK475" s="1930"/>
      <c r="AL475" s="1930"/>
      <c r="AM475" s="1930"/>
      <c r="AN475" s="1930"/>
      <c r="AO475" s="1930"/>
      <c r="AP475" s="1930"/>
      <c r="AQ475" s="1930"/>
      <c r="AR475" s="1930"/>
      <c r="AS475" s="1930"/>
      <c r="AT475" s="1930"/>
      <c r="AU475" s="1930"/>
      <c r="AV475" s="1930"/>
      <c r="AW475" s="1930"/>
      <c r="AX475" s="1930"/>
      <c r="AY475" s="1930"/>
      <c r="AZ475" s="1930"/>
      <c r="BA475" s="1930"/>
      <c r="BB475" s="1945">
        <f t="shared" ref="BB475:BB480" si="103">(BD475)/(BE475)</f>
        <v>0.53798242483706482</v>
      </c>
      <c r="BC475" s="3166" t="str">
        <f t="shared" ref="BC475:BC480" si="104">CONCATENATE(G475," ",J475," Year EUL")</f>
        <v>Miscellaneous RES 10 Year EUL</v>
      </c>
      <c r="BD475" s="111">
        <f>(INDEX('Avoided Cost Benefits'!$C$4:$C$857,MATCH(BC475,'Avoided Cost Benefits'!$A$4:$A$857,0)))*F475</f>
        <v>10.155402073375456</v>
      </c>
      <c r="BE475" s="1946">
        <f t="shared" ref="BE475:BE480" si="105">K475/(1.0595^(2020-2019))</f>
        <v>18.876828692779611</v>
      </c>
    </row>
    <row r="476" spans="2:57" x14ac:dyDescent="0.25">
      <c r="C476" s="63" t="s">
        <v>2536</v>
      </c>
      <c r="D476" s="2667" t="s">
        <v>2406</v>
      </c>
      <c r="E476" s="3121" t="s">
        <v>2184</v>
      </c>
      <c r="F476" s="531">
        <f>ROUND((G488*G494+G489*G495)*G499,2)</f>
        <v>29.08</v>
      </c>
      <c r="G476" s="331" t="s">
        <v>388</v>
      </c>
      <c r="H476" s="155">
        <f>VLOOKUP(G476,'CP FACTORS'!$A$3:$B$38, 2, FALSE)</f>
        <v>1.148238E-4</v>
      </c>
      <c r="I476" s="1531">
        <f t="shared" si="100"/>
        <v>3.339E-3</v>
      </c>
      <c r="J476" s="108">
        <f t="shared" si="101"/>
        <v>10</v>
      </c>
      <c r="K476" s="1199">
        <f t="shared" si="102"/>
        <v>20</v>
      </c>
      <c r="L476" s="2666" t="s">
        <v>185</v>
      </c>
      <c r="V476" s="160" t="str">
        <f>V475</f>
        <v>kWh Annual Savings</v>
      </c>
      <c r="W476" s="518">
        <v>24.18</v>
      </c>
      <c r="X476" s="518">
        <v>24.18</v>
      </c>
      <c r="Y476" s="480">
        <v>24.18</v>
      </c>
      <c r="Z476" s="480">
        <v>24.18</v>
      </c>
      <c r="AA476" s="480">
        <v>24.18</v>
      </c>
      <c r="AB476" s="527">
        <v>29.08</v>
      </c>
      <c r="AC476" s="531">
        <v>29.08</v>
      </c>
      <c r="AD476" s="518"/>
      <c r="AE476" s="518"/>
      <c r="AF476" s="518"/>
      <c r="AG476" s="518"/>
      <c r="AH476" s="1930"/>
      <c r="AI476" s="1930"/>
      <c r="AJ476" s="1930"/>
      <c r="AK476" s="1930"/>
      <c r="AL476" s="1930"/>
      <c r="AM476" s="1930"/>
      <c r="AN476" s="1930"/>
      <c r="AO476" s="1930"/>
      <c r="AP476" s="1930"/>
      <c r="AQ476" s="1930"/>
      <c r="AR476" s="1930"/>
      <c r="AS476" s="1930"/>
      <c r="AT476" s="1930"/>
      <c r="AU476" s="1930"/>
      <c r="AV476" s="1930"/>
      <c r="AW476" s="1930"/>
      <c r="AX476" s="1930"/>
      <c r="AY476" s="1930"/>
      <c r="AZ476" s="1930"/>
      <c r="BA476" s="1930"/>
      <c r="BB476" s="52">
        <f t="shared" si="103"/>
        <v>0.53122339267442598</v>
      </c>
      <c r="BC476" s="1948" t="str">
        <f t="shared" si="104"/>
        <v>Miscellaneous RES 10 Year EUL</v>
      </c>
      <c r="BD476" s="114">
        <f>(INDEX('Avoided Cost Benefits'!$C$4:$C$857,MATCH(BC476,'Avoided Cost Benefits'!$A$4:$A$857,0)))*F476</f>
        <v>10.027812981112334</v>
      </c>
      <c r="BE476" s="1949">
        <f t="shared" si="105"/>
        <v>18.876828692779611</v>
      </c>
    </row>
    <row r="477" spans="2:57" x14ac:dyDescent="0.25">
      <c r="C477" s="1471" t="s">
        <v>2537</v>
      </c>
      <c r="D477" s="2667" t="s">
        <v>2406</v>
      </c>
      <c r="E477" s="3121" t="s">
        <v>2538</v>
      </c>
      <c r="F477" s="531">
        <f>ROUND((G488*G490+G489*G491)*G498,2)</f>
        <v>71.349999999999994</v>
      </c>
      <c r="G477" s="331" t="s">
        <v>388</v>
      </c>
      <c r="H477" s="155">
        <f>VLOOKUP(G477,'CP FACTORS'!$A$3:$B$38, 2, FALSE)</f>
        <v>1.148238E-4</v>
      </c>
      <c r="I477" s="1531">
        <f t="shared" si="100"/>
        <v>8.1930000000000006E-3</v>
      </c>
      <c r="J477" s="108">
        <f t="shared" si="101"/>
        <v>10</v>
      </c>
      <c r="K477" s="1199">
        <f t="shared" si="102"/>
        <v>20</v>
      </c>
      <c r="L477" s="2666" t="s">
        <v>185</v>
      </c>
      <c r="V477" s="160" t="str">
        <f>V476</f>
        <v>kWh Annual Savings</v>
      </c>
      <c r="W477" s="518">
        <v>75.099999999999994</v>
      </c>
      <c r="X477" s="518">
        <v>75.099999999999994</v>
      </c>
      <c r="Y477" s="480">
        <v>75.099999999999994</v>
      </c>
      <c r="Z477" s="480">
        <v>75.099999999999994</v>
      </c>
      <c r="AA477" s="480">
        <v>75.099999999999994</v>
      </c>
      <c r="AB477" s="527">
        <v>71.349999999999994</v>
      </c>
      <c r="AC477" s="531">
        <v>71.349999999999994</v>
      </c>
      <c r="AD477" s="518"/>
      <c r="AE477" s="518"/>
      <c r="AF477" s="518"/>
      <c r="AG477" s="518"/>
      <c r="AH477" s="1930"/>
      <c r="AI477" s="1930"/>
      <c r="AJ477" s="1930"/>
      <c r="AK477" s="1930"/>
      <c r="AL477" s="1930"/>
      <c r="AM477" s="1930"/>
      <c r="AN477" s="1930"/>
      <c r="AO477" s="1930"/>
      <c r="AP477" s="1930"/>
      <c r="AQ477" s="1930"/>
      <c r="AR477" s="1930"/>
      <c r="AS477" s="1930"/>
      <c r="AT477" s="1930"/>
      <c r="AU477" s="1930"/>
      <c r="AV477" s="1930"/>
      <c r="AW477" s="1930"/>
      <c r="AX477" s="1930"/>
      <c r="AY477" s="1930"/>
      <c r="AZ477" s="1930"/>
      <c r="BA477" s="1930"/>
      <c r="BB477" s="52">
        <f t="shared" si="103"/>
        <v>1.3033971481196798</v>
      </c>
      <c r="BC477" s="1948" t="str">
        <f t="shared" si="104"/>
        <v>Miscellaneous RES 10 Year EUL</v>
      </c>
      <c r="BD477" s="114">
        <f>(INDEX('Avoided Cost Benefits'!$C$4:$C$857,MATCH(BC477,'Avoided Cost Benefits'!$A$4:$A$857,0)))*F477</f>
        <v>24.604004683712688</v>
      </c>
      <c r="BE477" s="1949">
        <f t="shared" si="105"/>
        <v>18.876828692779611</v>
      </c>
    </row>
    <row r="478" spans="2:57" x14ac:dyDescent="0.25">
      <c r="C478" s="63" t="s">
        <v>2539</v>
      </c>
      <c r="D478" s="2667" t="s">
        <v>2406</v>
      </c>
      <c r="E478" s="3121" t="s">
        <v>2190</v>
      </c>
      <c r="F478" s="531">
        <f>ROUND((G488*G490+G489*G491)*G499,2)</f>
        <v>70.44</v>
      </c>
      <c r="G478" s="331" t="s">
        <v>388</v>
      </c>
      <c r="H478" s="155">
        <f>VLOOKUP(G478,'CP FACTORS'!$A$3:$B$38, 2, FALSE)</f>
        <v>1.148238E-4</v>
      </c>
      <c r="I478" s="1531">
        <f t="shared" si="100"/>
        <v>8.0879999999999997E-3</v>
      </c>
      <c r="J478" s="108">
        <f t="shared" si="101"/>
        <v>10</v>
      </c>
      <c r="K478" s="1199">
        <f t="shared" si="102"/>
        <v>20</v>
      </c>
      <c r="L478" s="2666" t="s">
        <v>185</v>
      </c>
      <c r="V478" s="160" t="str">
        <f>V477</f>
        <v>kWh Annual Savings</v>
      </c>
      <c r="W478" s="518">
        <v>58.577999999999996</v>
      </c>
      <c r="X478" s="518">
        <v>58.577999999999996</v>
      </c>
      <c r="Y478" s="480">
        <v>58.58</v>
      </c>
      <c r="Z478" s="480">
        <v>58.58</v>
      </c>
      <c r="AA478" s="480">
        <v>58.58</v>
      </c>
      <c r="AB478" s="527">
        <v>70.44</v>
      </c>
      <c r="AC478" s="531">
        <v>70.44</v>
      </c>
      <c r="AD478" s="518"/>
      <c r="AE478" s="518"/>
      <c r="AF478" s="518"/>
      <c r="AG478" s="518"/>
      <c r="AH478" s="1930"/>
      <c r="AI478" s="1930"/>
      <c r="AJ478" s="1930"/>
      <c r="AK478" s="1930"/>
      <c r="AL478" s="1930"/>
      <c r="AM478" s="1930"/>
      <c r="AN478" s="1930"/>
      <c r="AO478" s="1930"/>
      <c r="AP478" s="1930"/>
      <c r="AQ478" s="1930"/>
      <c r="AR478" s="1930"/>
      <c r="AS478" s="1930"/>
      <c r="AT478" s="1930"/>
      <c r="AU478" s="1930"/>
      <c r="AV478" s="1930"/>
      <c r="AW478" s="1930"/>
      <c r="AX478" s="1930"/>
      <c r="AY478" s="1930"/>
      <c r="AZ478" s="1930"/>
      <c r="BA478" s="1930"/>
      <c r="BB478" s="52">
        <f t="shared" si="103"/>
        <v>1.2867735825304871</v>
      </c>
      <c r="BC478" s="1948" t="str">
        <f t="shared" si="104"/>
        <v>Miscellaneous RES 10 Year EUL</v>
      </c>
      <c r="BD478" s="114">
        <f>(INDEX('Avoided Cost Benefits'!$C$4:$C$857,MATCH(BC478,'Avoided Cost Benefits'!$A$4:$A$857,0)))*F478</f>
        <v>24.290204483822311</v>
      </c>
      <c r="BE478" s="1949">
        <f t="shared" si="105"/>
        <v>18.876828692779611</v>
      </c>
    </row>
    <row r="479" spans="2:57" x14ac:dyDescent="0.25">
      <c r="C479" s="63" t="s">
        <v>2540</v>
      </c>
      <c r="D479" s="2667" t="s">
        <v>2406</v>
      </c>
      <c r="E479" s="3121" t="s">
        <v>2541</v>
      </c>
      <c r="F479" s="531">
        <f>ROUND((G488*G496+G489*G492)*G498,2)</f>
        <v>56.26</v>
      </c>
      <c r="G479" s="331" t="s">
        <v>388</v>
      </c>
      <c r="H479" s="155">
        <f>VLOOKUP(G479,'CP FACTORS'!$A$3:$B$38, 2, FALSE)</f>
        <v>1.148238E-4</v>
      </c>
      <c r="I479" s="1531">
        <f t="shared" si="100"/>
        <v>6.4599999999999996E-3</v>
      </c>
      <c r="J479" s="108">
        <f t="shared" si="101"/>
        <v>10</v>
      </c>
      <c r="K479" s="1199">
        <f t="shared" si="102"/>
        <v>20</v>
      </c>
      <c r="L479" s="2666" t="s">
        <v>185</v>
      </c>
      <c r="V479" s="160" t="str">
        <f>V478</f>
        <v>kWh Annual Savings</v>
      </c>
      <c r="W479" s="518">
        <v>59.224000000000004</v>
      </c>
      <c r="X479" s="518">
        <v>59.224000000000004</v>
      </c>
      <c r="Y479" s="480">
        <v>59.22</v>
      </c>
      <c r="Z479" s="480">
        <v>59.22</v>
      </c>
      <c r="AA479" s="480">
        <v>59.22</v>
      </c>
      <c r="AB479" s="527">
        <v>56.26</v>
      </c>
      <c r="AC479" s="531">
        <v>56.26</v>
      </c>
      <c r="AD479" s="518"/>
      <c r="AE479" s="518"/>
      <c r="AF479" s="518"/>
      <c r="AG479" s="518"/>
      <c r="AH479" s="1930"/>
      <c r="AI479" s="1930"/>
      <c r="AJ479" s="1930"/>
      <c r="AK479" s="1930"/>
      <c r="AL479" s="1930"/>
      <c r="AM479" s="1930"/>
      <c r="AN479" s="1930"/>
      <c r="AO479" s="1930"/>
      <c r="AP479" s="1930"/>
      <c r="AQ479" s="1930"/>
      <c r="AR479" s="1930"/>
      <c r="AS479" s="1930"/>
      <c r="AT479" s="1930"/>
      <c r="AU479" s="1930"/>
      <c r="AV479" s="1930"/>
      <c r="AW479" s="1930"/>
      <c r="AX479" s="1930"/>
      <c r="AY479" s="1930"/>
      <c r="AZ479" s="1930"/>
      <c r="BA479" s="1930"/>
      <c r="BB479" s="52">
        <f t="shared" si="103"/>
        <v>1.0277382418109766</v>
      </c>
      <c r="BC479" s="1948" t="str">
        <f t="shared" si="104"/>
        <v>Miscellaneous RES 10 Year EUL</v>
      </c>
      <c r="BD479" s="114">
        <f>(INDEX('Avoided Cost Benefits'!$C$4:$C$857,MATCH(BC479,'Avoided Cost Benefits'!$A$4:$A$857,0)))*F479</f>
        <v>19.400438731684314</v>
      </c>
      <c r="BE479" s="1949">
        <f t="shared" si="105"/>
        <v>18.876828692779611</v>
      </c>
    </row>
    <row r="480" spans="2:57" x14ac:dyDescent="0.25">
      <c r="C480" s="63" t="s">
        <v>2542</v>
      </c>
      <c r="D480" s="2667" t="s">
        <v>2406</v>
      </c>
      <c r="E480" s="3121" t="s">
        <v>2196</v>
      </c>
      <c r="F480" s="531">
        <f>ROUND((G488*G497+G489*G493)*G499,2)</f>
        <v>50.59</v>
      </c>
      <c r="G480" s="331" t="s">
        <v>388</v>
      </c>
      <c r="H480" s="155">
        <f>VLOOKUP(G480,'CP FACTORS'!$A$3:$B$38, 2, FALSE)</f>
        <v>1.148238E-4</v>
      </c>
      <c r="I480" s="1531">
        <f t="shared" si="100"/>
        <v>5.8089999999999999E-3</v>
      </c>
      <c r="J480" s="108">
        <f t="shared" si="101"/>
        <v>10</v>
      </c>
      <c r="K480" s="1199">
        <f t="shared" si="102"/>
        <v>20</v>
      </c>
      <c r="L480" s="2666" t="s">
        <v>185</v>
      </c>
      <c r="V480" s="160" t="str">
        <f>V479</f>
        <v>kWh Annual Savings</v>
      </c>
      <c r="W480" s="518">
        <v>42.066960000000002</v>
      </c>
      <c r="X480" s="518">
        <v>42.066960000000002</v>
      </c>
      <c r="Y480" s="480">
        <v>42.07</v>
      </c>
      <c r="Z480" s="480">
        <v>42.07</v>
      </c>
      <c r="AA480" s="480">
        <v>42.07</v>
      </c>
      <c r="AB480" s="527">
        <v>50.59</v>
      </c>
      <c r="AC480" s="531">
        <v>50.59</v>
      </c>
      <c r="AD480" s="518"/>
      <c r="AE480" s="518"/>
      <c r="AF480" s="518"/>
      <c r="AG480" s="518"/>
      <c r="AH480" s="1930"/>
      <c r="AI480" s="1930"/>
      <c r="AJ480" s="1930"/>
      <c r="AK480" s="1930"/>
      <c r="AL480" s="1930"/>
      <c r="AM480" s="1930"/>
      <c r="AN480" s="1930"/>
      <c r="AO480" s="1930"/>
      <c r="AP480" s="1930"/>
      <c r="AQ480" s="1930"/>
      <c r="AR480" s="1930"/>
      <c r="AS480" s="1930"/>
      <c r="AT480" s="1930"/>
      <c r="AU480" s="1930"/>
      <c r="AV480" s="1930"/>
      <c r="AW480" s="1930"/>
      <c r="AX480" s="1930"/>
      <c r="AY480" s="1930"/>
      <c r="AZ480" s="1930"/>
      <c r="BA480" s="1930"/>
      <c r="BB480" s="53">
        <f t="shared" si="103"/>
        <v>0.92416064083215987</v>
      </c>
      <c r="BC480" s="1948" t="str">
        <f t="shared" si="104"/>
        <v>Miscellaneous RES 10 Year EUL</v>
      </c>
      <c r="BD480" s="119">
        <f>(INDEX('Avoided Cost Benefits'!$C$4:$C$857,MATCH(BC480,'Avoided Cost Benefits'!$A$4:$A$857,0)))*F480</f>
        <v>17.445222101598109</v>
      </c>
      <c r="BE480" s="1950">
        <f t="shared" si="105"/>
        <v>18.876828692779611</v>
      </c>
    </row>
    <row r="481" spans="1:57" hidden="1" outlineLevel="1" x14ac:dyDescent="0.25">
      <c r="E481" s="828"/>
      <c r="V481" s="1930"/>
      <c r="W481" s="1930"/>
      <c r="X481" s="1930"/>
      <c r="Y481" s="1930"/>
      <c r="Z481" s="1930"/>
      <c r="AA481" s="1930"/>
      <c r="AB481" s="1930"/>
      <c r="AC481" s="1930"/>
      <c r="AD481" s="1930"/>
      <c r="AE481" s="1930"/>
      <c r="AF481" s="1930"/>
      <c r="AG481" s="1930"/>
      <c r="AH481" s="1930"/>
      <c r="AI481" s="1930"/>
      <c r="AJ481" s="1930"/>
      <c r="AK481" s="1930"/>
      <c r="AL481" s="1930"/>
      <c r="AM481" s="1930"/>
      <c r="AN481" s="1930"/>
      <c r="AO481" s="1930"/>
      <c r="AP481" s="1930"/>
      <c r="AQ481" s="1930"/>
      <c r="AR481" s="1930"/>
      <c r="AS481" s="1930"/>
      <c r="AT481" s="1930"/>
      <c r="AU481" s="1930"/>
      <c r="AV481" s="1930"/>
      <c r="AW481" s="1930"/>
      <c r="AX481" s="1930"/>
      <c r="AY481" s="1930"/>
      <c r="AZ481" s="1930"/>
      <c r="BA481" s="1930"/>
      <c r="BC481" s="1930"/>
      <c r="BD481" s="1930"/>
      <c r="BE481" s="1930"/>
    </row>
    <row r="482" spans="1:57" hidden="1" outlineLevel="1" x14ac:dyDescent="0.25">
      <c r="D482" s="174" t="s">
        <v>108</v>
      </c>
      <c r="E482" s="828"/>
      <c r="V482" s="1930"/>
      <c r="W482" s="1930"/>
      <c r="X482" s="1930"/>
      <c r="Y482" s="1930"/>
      <c r="Z482" s="1930"/>
      <c r="AA482" s="1930"/>
      <c r="AB482" s="1930"/>
      <c r="AC482" s="1930"/>
      <c r="AD482" s="1930"/>
      <c r="AE482" s="1930"/>
      <c r="AF482" s="1930"/>
      <c r="AG482" s="1930"/>
      <c r="AH482" s="1930"/>
      <c r="AI482" s="1930"/>
      <c r="AJ482" s="1930"/>
      <c r="AK482" s="1930"/>
      <c r="AL482" s="1930"/>
      <c r="AM482" s="1930"/>
      <c r="AN482" s="1930"/>
      <c r="AO482" s="1930"/>
      <c r="AP482" s="1930"/>
      <c r="AQ482" s="1930"/>
      <c r="AR482" s="1930"/>
      <c r="AS482" s="1930"/>
      <c r="AT482" s="1930"/>
      <c r="AU482" s="1930"/>
      <c r="AV482" s="1930"/>
      <c r="AW482" s="1930"/>
      <c r="AX482" s="1930"/>
      <c r="AY482" s="1930"/>
      <c r="AZ482" s="1930"/>
      <c r="BA482" s="1930"/>
      <c r="BC482" s="1930"/>
      <c r="BD482" s="1930"/>
      <c r="BE482" s="1930"/>
    </row>
    <row r="483" spans="1:57" hidden="1" outlineLevel="1" x14ac:dyDescent="0.25">
      <c r="E483" s="828"/>
      <c r="V483" s="1930"/>
      <c r="W483" s="1930"/>
      <c r="X483" s="1930"/>
      <c r="Y483" s="1930"/>
      <c r="Z483" s="1930"/>
      <c r="AA483" s="1930"/>
      <c r="AB483" s="1930"/>
      <c r="AC483" s="1930"/>
      <c r="AD483" s="1930"/>
      <c r="AE483" s="1930"/>
      <c r="AF483" s="1930"/>
      <c r="AG483" s="1930"/>
      <c r="AH483" s="1930"/>
      <c r="AI483" s="1930"/>
      <c r="AJ483" s="1930"/>
      <c r="AK483" s="1930"/>
      <c r="AL483" s="1930"/>
      <c r="AM483" s="1930"/>
      <c r="AN483" s="1930"/>
      <c r="AO483" s="1930"/>
      <c r="AP483" s="1930"/>
      <c r="AQ483" s="1930"/>
      <c r="AR483" s="1930"/>
      <c r="AS483" s="1930"/>
      <c r="AT483" s="1930"/>
      <c r="AU483" s="1930"/>
      <c r="AV483" s="1930"/>
      <c r="AW483" s="1930"/>
      <c r="AX483" s="1930"/>
      <c r="AY483" s="1930"/>
      <c r="AZ483" s="1930"/>
      <c r="BA483" s="1930"/>
      <c r="BC483" s="1930"/>
      <c r="BD483" s="1930"/>
      <c r="BE483" s="1930"/>
    </row>
    <row r="484" spans="1:57" hidden="1" outlineLevel="1" x14ac:dyDescent="0.25">
      <c r="E484" s="828"/>
      <c r="V484" s="1930"/>
      <c r="W484" s="1930"/>
      <c r="X484" s="1930"/>
      <c r="Y484" s="1930"/>
      <c r="Z484" s="1930"/>
      <c r="AA484" s="1930"/>
      <c r="AB484" s="1930"/>
      <c r="AC484" s="1930"/>
      <c r="AD484" s="1930"/>
      <c r="AE484" s="1930"/>
      <c r="AF484" s="1930"/>
      <c r="AG484" s="1930"/>
      <c r="AH484" s="1930"/>
      <c r="AI484" s="1930"/>
      <c r="AJ484" s="1930"/>
      <c r="AK484" s="1930"/>
      <c r="AL484" s="1930"/>
      <c r="AM484" s="1930"/>
      <c r="AN484" s="1930"/>
      <c r="AO484" s="1930"/>
      <c r="AP484" s="1930"/>
      <c r="AQ484" s="1930"/>
      <c r="AR484" s="1930"/>
      <c r="AS484" s="1930"/>
      <c r="AT484" s="1930"/>
      <c r="AU484" s="1930"/>
      <c r="AV484" s="1930"/>
      <c r="AW484" s="1930"/>
      <c r="AX484" s="1930"/>
      <c r="AY484" s="1930"/>
      <c r="AZ484" s="1930"/>
      <c r="BA484" s="1930"/>
      <c r="BC484" s="1930"/>
      <c r="BD484" s="1930"/>
      <c r="BE484" s="1930"/>
    </row>
    <row r="485" spans="1:57" hidden="1" outlineLevel="1" x14ac:dyDescent="0.25">
      <c r="E485" s="828"/>
      <c r="V485" s="1930"/>
      <c r="W485" s="1930"/>
      <c r="X485" s="1930"/>
      <c r="Y485" s="1930"/>
      <c r="Z485" s="1930"/>
      <c r="AA485" s="1930"/>
      <c r="AB485" s="1930"/>
      <c r="AC485" s="1930"/>
      <c r="AD485" s="1930"/>
      <c r="AE485" s="1930"/>
      <c r="AF485" s="1930"/>
      <c r="AG485" s="1930"/>
      <c r="AH485" s="1930"/>
      <c r="AI485" s="1930"/>
      <c r="AJ485" s="1930"/>
      <c r="AK485" s="1930"/>
      <c r="AL485" s="1930"/>
      <c r="AM485" s="1930"/>
      <c r="AN485" s="1930"/>
      <c r="AO485" s="1930"/>
      <c r="AP485" s="1930"/>
      <c r="AQ485" s="1930"/>
      <c r="AR485" s="1930"/>
      <c r="AS485" s="1930"/>
      <c r="AT485" s="1930"/>
      <c r="AU485" s="1930"/>
      <c r="AV485" s="1930"/>
      <c r="AW485" s="1930"/>
      <c r="AX485" s="1930"/>
      <c r="AY485" s="1930"/>
      <c r="AZ485" s="1930"/>
      <c r="BA485" s="1930"/>
      <c r="BC485" s="1930"/>
      <c r="BD485" s="1930"/>
      <c r="BE485" s="1930"/>
    </row>
    <row r="486" spans="1:57" hidden="1" outlineLevel="1" x14ac:dyDescent="0.25">
      <c r="E486" s="828"/>
      <c r="V486" s="1930"/>
      <c r="W486" s="1930"/>
      <c r="X486" s="1930"/>
      <c r="Y486" s="1930"/>
      <c r="Z486" s="1930"/>
      <c r="AA486" s="1930"/>
      <c r="AB486" s="1930"/>
      <c r="AC486" s="1930"/>
      <c r="AD486" s="1930"/>
      <c r="AE486" s="1930"/>
      <c r="AF486" s="1930"/>
      <c r="AG486" s="1930"/>
      <c r="AH486" s="1930"/>
      <c r="AI486" s="1930"/>
      <c r="AJ486" s="1930"/>
      <c r="AK486" s="1930"/>
      <c r="AL486" s="1930"/>
      <c r="AM486" s="1930"/>
      <c r="AN486" s="1930"/>
      <c r="AO486" s="1930"/>
      <c r="AP486" s="1930"/>
      <c r="AQ486" s="1930"/>
      <c r="AR486" s="1930"/>
      <c r="AS486" s="1930"/>
      <c r="AT486" s="1930"/>
      <c r="AU486" s="1930"/>
      <c r="AV486" s="1930"/>
      <c r="AW486" s="1930"/>
      <c r="AX486" s="1930"/>
      <c r="AY486" s="1930"/>
      <c r="AZ486" s="1930"/>
      <c r="BA486" s="1930"/>
      <c r="BC486" s="1930"/>
      <c r="BD486" s="1930"/>
      <c r="BE486" s="1930"/>
    </row>
    <row r="487" spans="1:57" hidden="1" outlineLevel="1" x14ac:dyDescent="0.25">
      <c r="D487" s="380" t="s">
        <v>109</v>
      </c>
      <c r="E487" s="380" t="s">
        <v>110</v>
      </c>
      <c r="F487" s="380" t="s">
        <v>2543</v>
      </c>
      <c r="G487" s="380" t="s">
        <v>112</v>
      </c>
      <c r="H487" s="3923" t="s">
        <v>410</v>
      </c>
      <c r="I487" s="3924"/>
      <c r="V487" s="1936" t="s">
        <v>45</v>
      </c>
      <c r="W487" s="1937">
        <f>$W$6</f>
        <v>43252</v>
      </c>
      <c r="X487" s="1937">
        <f>$X$6</f>
        <v>43465</v>
      </c>
      <c r="Y487" s="1937">
        <f>$Y$6</f>
        <v>43800</v>
      </c>
      <c r="Z487" s="1937">
        <f>$Z$6</f>
        <v>43862</v>
      </c>
      <c r="AA487" s="1937">
        <f>$AA$6</f>
        <v>44013</v>
      </c>
      <c r="AB487" s="1937">
        <f>$AB$6</f>
        <v>44166</v>
      </c>
      <c r="AC487" s="1937">
        <f>$AC$6</f>
        <v>44531</v>
      </c>
      <c r="AD487" s="1937" t="str">
        <f>$AD$6</f>
        <v>-</v>
      </c>
      <c r="AE487" s="1937" t="str">
        <f>$AE$6</f>
        <v>-</v>
      </c>
      <c r="AF487" s="1937" t="str">
        <f>$AF$6</f>
        <v>-</v>
      </c>
      <c r="AG487" s="1937" t="str">
        <f>$AG$6</f>
        <v>-</v>
      </c>
      <c r="AH487" s="485"/>
      <c r="AI487" s="1930"/>
      <c r="AJ487" s="1930"/>
      <c r="AK487" s="1930"/>
      <c r="AL487" s="1930"/>
      <c r="AM487" s="1930"/>
      <c r="AN487" s="1930"/>
      <c r="AO487" s="1930"/>
      <c r="AP487" s="1930"/>
      <c r="AQ487" s="1930"/>
      <c r="AR487" s="1930"/>
      <c r="AS487" s="1930"/>
      <c r="AT487" s="1930"/>
      <c r="AU487" s="1930"/>
      <c r="AV487" s="1930"/>
      <c r="AW487" s="1930"/>
      <c r="AX487" s="1930"/>
      <c r="AY487" s="1930"/>
      <c r="AZ487" s="1930"/>
      <c r="BA487" s="1930"/>
      <c r="BB487" s="2378"/>
      <c r="BC487" s="1930"/>
      <c r="BD487" s="1930"/>
      <c r="BE487" s="1930"/>
    </row>
    <row r="488" spans="1:57" hidden="1" outlineLevel="1" x14ac:dyDescent="0.25">
      <c r="D488" s="3887" t="s">
        <v>783</v>
      </c>
      <c r="E488" s="3887" t="s">
        <v>784</v>
      </c>
      <c r="F488" s="3127" t="s">
        <v>785</v>
      </c>
      <c r="G488" s="3226">
        <v>31</v>
      </c>
      <c r="H488" s="2671"/>
      <c r="I488" s="2672"/>
      <c r="V488" s="3887" t="s">
        <v>784</v>
      </c>
      <c r="W488" s="566">
        <v>31</v>
      </c>
      <c r="X488" s="566">
        <v>31</v>
      </c>
      <c r="Y488" s="566">
        <v>31</v>
      </c>
      <c r="Z488" s="566">
        <v>31</v>
      </c>
      <c r="AA488" s="566">
        <v>31</v>
      </c>
      <c r="AB488" s="3226">
        <v>31</v>
      </c>
      <c r="AC488" s="3226">
        <v>31</v>
      </c>
      <c r="AD488" s="566"/>
      <c r="AE488" s="566"/>
      <c r="AF488" s="566"/>
      <c r="AG488" s="566"/>
      <c r="AH488" s="1930"/>
      <c r="AI488" s="1930"/>
      <c r="AJ488" s="1930"/>
      <c r="AK488" s="1930"/>
      <c r="AL488" s="1930"/>
      <c r="AM488" s="1930"/>
      <c r="AN488" s="1930"/>
      <c r="AO488" s="1930"/>
      <c r="AP488" s="1930"/>
      <c r="AQ488" s="1930"/>
      <c r="AR488" s="1930"/>
      <c r="AS488" s="1930"/>
      <c r="AT488" s="1930"/>
      <c r="AU488" s="1930"/>
      <c r="AV488" s="1930"/>
      <c r="AW488" s="1930"/>
      <c r="AX488" s="1930"/>
      <c r="AY488" s="1930"/>
      <c r="AZ488" s="1930"/>
      <c r="BA488" s="1930"/>
      <c r="BB488" s="2378"/>
      <c r="BC488" s="1930"/>
      <c r="BD488" s="1930"/>
      <c r="BE488" s="1930"/>
    </row>
    <row r="489" spans="1:57" s="1930" customFormat="1" ht="30" hidden="1" outlineLevel="1" x14ac:dyDescent="0.25">
      <c r="A489" s="123"/>
      <c r="B489" s="123"/>
      <c r="C489" s="328"/>
      <c r="D489" s="3888"/>
      <c r="E489" s="3888"/>
      <c r="F489" s="3127" t="s">
        <v>786</v>
      </c>
      <c r="G489" s="3226">
        <v>75.099999999999994</v>
      </c>
      <c r="H489" s="2671"/>
      <c r="I489" s="2672"/>
      <c r="J489" s="123"/>
      <c r="K489" s="123"/>
      <c r="L489" s="123"/>
      <c r="M489" s="123"/>
      <c r="N489" s="123"/>
      <c r="O489" s="123"/>
      <c r="P489" s="123"/>
      <c r="Q489" s="123"/>
      <c r="R489" s="123"/>
      <c r="S489" s="123"/>
      <c r="T489" s="123"/>
      <c r="U489" s="123"/>
      <c r="V489" s="3888"/>
      <c r="W489" s="566"/>
      <c r="X489" s="566"/>
      <c r="Y489" s="566"/>
      <c r="Z489" s="566"/>
      <c r="AA489" s="566"/>
      <c r="AB489" s="3226">
        <v>75.099999999999994</v>
      </c>
      <c r="AC489" s="3226">
        <v>75.099999999999994</v>
      </c>
      <c r="AD489" s="566"/>
      <c r="AE489" s="566"/>
      <c r="AF489" s="566"/>
      <c r="AG489" s="566"/>
      <c r="BB489" s="2378"/>
    </row>
    <row r="490" spans="1:57" hidden="1" outlineLevel="1" x14ac:dyDescent="0.25">
      <c r="D490" s="3887" t="s">
        <v>787</v>
      </c>
      <c r="E490" s="3887" t="s">
        <v>788</v>
      </c>
      <c r="F490" s="3127" t="s">
        <v>785</v>
      </c>
      <c r="G490" s="1775">
        <v>0</v>
      </c>
      <c r="H490" s="2671"/>
      <c r="I490" s="2672"/>
      <c r="V490" s="3889" t="s">
        <v>788</v>
      </c>
      <c r="W490" s="567">
        <v>0</v>
      </c>
      <c r="X490" s="567">
        <v>0</v>
      </c>
      <c r="Y490" s="567">
        <v>0</v>
      </c>
      <c r="Z490" s="567">
        <v>0</v>
      </c>
      <c r="AA490" s="567">
        <v>0</v>
      </c>
      <c r="AB490" s="1775">
        <v>0</v>
      </c>
      <c r="AC490" s="1775">
        <v>0</v>
      </c>
      <c r="AD490" s="567"/>
      <c r="AE490" s="567"/>
      <c r="AF490" s="567"/>
      <c r="AG490" s="567"/>
      <c r="AH490" s="1930"/>
      <c r="AI490" s="1930"/>
      <c r="AJ490" s="1930"/>
      <c r="AK490" s="1930"/>
      <c r="AL490" s="1930"/>
      <c r="AM490" s="1930"/>
      <c r="AN490" s="1930"/>
      <c r="AO490" s="1930"/>
      <c r="AP490" s="1930"/>
      <c r="AQ490" s="1930"/>
      <c r="AR490" s="1930"/>
      <c r="AS490" s="1930"/>
      <c r="AT490" s="1930"/>
      <c r="AU490" s="1930"/>
      <c r="AV490" s="1930"/>
      <c r="AW490" s="1930"/>
      <c r="AX490" s="1930"/>
      <c r="AY490" s="1930"/>
      <c r="AZ490" s="1930"/>
      <c r="BA490" s="1930"/>
      <c r="BB490" s="2378"/>
      <c r="BC490" s="1930"/>
      <c r="BD490" s="1930"/>
      <c r="BE490" s="1930"/>
    </row>
    <row r="491" spans="1:57" s="1930" customFormat="1" ht="30" hidden="1" outlineLevel="1" x14ac:dyDescent="0.25">
      <c r="A491" s="123"/>
      <c r="B491" s="123"/>
      <c r="C491" s="328"/>
      <c r="D491" s="3913"/>
      <c r="E491" s="3913"/>
      <c r="F491" s="3127" t="s">
        <v>786</v>
      </c>
      <c r="G491" s="214">
        <v>1</v>
      </c>
      <c r="H491" s="2671"/>
      <c r="I491" s="2672"/>
      <c r="J491" s="123"/>
      <c r="K491" s="123"/>
      <c r="L491" s="123"/>
      <c r="M491" s="123"/>
      <c r="N491" s="123"/>
      <c r="O491" s="123"/>
      <c r="P491" s="123"/>
      <c r="Q491" s="123"/>
      <c r="R491" s="123"/>
      <c r="S491" s="123"/>
      <c r="T491" s="123"/>
      <c r="U491" s="123"/>
      <c r="V491" s="3890"/>
      <c r="W491" s="567"/>
      <c r="X491" s="567"/>
      <c r="Y491" s="567"/>
      <c r="Z491" s="567"/>
      <c r="AA491" s="567"/>
      <c r="AB491" s="214">
        <v>1</v>
      </c>
      <c r="AC491" s="214">
        <v>1</v>
      </c>
      <c r="AD491" s="567"/>
      <c r="AE491" s="567"/>
      <c r="AF491" s="567"/>
      <c r="AG491" s="567"/>
      <c r="BB491" s="2378"/>
    </row>
    <row r="492" spans="1:57" s="1930" customFormat="1" ht="45" hidden="1" outlineLevel="1" x14ac:dyDescent="0.25">
      <c r="A492" s="123"/>
      <c r="B492" s="123"/>
      <c r="C492" s="328"/>
      <c r="D492" s="3913"/>
      <c r="E492" s="3913"/>
      <c r="F492" s="3127" t="s">
        <v>789</v>
      </c>
      <c r="G492" s="214">
        <f>1-G496</f>
        <v>0.64</v>
      </c>
      <c r="H492" s="2671"/>
      <c r="I492" s="2672"/>
      <c r="J492" s="123"/>
      <c r="K492" s="123"/>
      <c r="L492" s="123"/>
      <c r="M492" s="123"/>
      <c r="N492" s="123"/>
      <c r="O492" s="123"/>
      <c r="P492" s="123"/>
      <c r="Q492" s="123"/>
      <c r="R492" s="123"/>
      <c r="S492" s="123"/>
      <c r="T492" s="123"/>
      <c r="U492" s="123"/>
      <c r="V492" s="3890"/>
      <c r="W492" s="567"/>
      <c r="X492" s="567"/>
      <c r="Y492" s="567"/>
      <c r="Z492" s="567"/>
      <c r="AA492" s="567"/>
      <c r="AB492" s="214">
        <v>0.64</v>
      </c>
      <c r="AC492" s="214">
        <f>1-AC496</f>
        <v>0.64</v>
      </c>
      <c r="AD492" s="567"/>
      <c r="AE492" s="567"/>
      <c r="AF492" s="567"/>
      <c r="AG492" s="567"/>
      <c r="BB492" s="2378"/>
    </row>
    <row r="493" spans="1:57" s="1930" customFormat="1" ht="30" hidden="1" outlineLevel="1" x14ac:dyDescent="0.25">
      <c r="A493" s="123"/>
      <c r="B493" s="123"/>
      <c r="C493" s="328"/>
      <c r="D493" s="3888"/>
      <c r="E493" s="3888"/>
      <c r="F493" s="3127" t="s">
        <v>790</v>
      </c>
      <c r="G493" s="214">
        <f>1-G497</f>
        <v>0.52</v>
      </c>
      <c r="H493" s="2671"/>
      <c r="I493" s="2672"/>
      <c r="J493" s="123"/>
      <c r="K493" s="123"/>
      <c r="L493" s="123"/>
      <c r="M493" s="123"/>
      <c r="N493" s="123"/>
      <c r="O493" s="123"/>
      <c r="P493" s="123"/>
      <c r="Q493" s="123"/>
      <c r="R493" s="123"/>
      <c r="S493" s="123"/>
      <c r="T493" s="123"/>
      <c r="U493" s="123"/>
      <c r="V493" s="3891"/>
      <c r="W493" s="567"/>
      <c r="X493" s="567"/>
      <c r="Y493" s="567"/>
      <c r="Z493" s="567"/>
      <c r="AA493" s="567"/>
      <c r="AB493" s="214">
        <v>0.52</v>
      </c>
      <c r="AC493" s="214">
        <f>1-AC497</f>
        <v>0.52</v>
      </c>
      <c r="AD493" s="567"/>
      <c r="AE493" s="567"/>
      <c r="AF493" s="567"/>
      <c r="AG493" s="567"/>
      <c r="BB493" s="2378"/>
    </row>
    <row r="494" spans="1:57" hidden="1" outlineLevel="1" x14ac:dyDescent="0.25">
      <c r="D494" s="3887" t="s">
        <v>791</v>
      </c>
      <c r="E494" s="3887" t="s">
        <v>792</v>
      </c>
      <c r="F494" s="3127" t="s">
        <v>785</v>
      </c>
      <c r="G494" s="214">
        <v>1</v>
      </c>
      <c r="H494" s="2671"/>
      <c r="I494" s="2672"/>
      <c r="V494" s="3889" t="s">
        <v>792</v>
      </c>
      <c r="W494" s="568">
        <v>1</v>
      </c>
      <c r="X494" s="568">
        <v>1</v>
      </c>
      <c r="Y494" s="568">
        <v>1</v>
      </c>
      <c r="Z494" s="568">
        <v>1</v>
      </c>
      <c r="AA494" s="568">
        <v>1</v>
      </c>
      <c r="AB494" s="214">
        <v>1</v>
      </c>
      <c r="AC494" s="214">
        <v>1</v>
      </c>
      <c r="AD494" s="568"/>
      <c r="AE494" s="568"/>
      <c r="AF494" s="568"/>
      <c r="AG494" s="568"/>
      <c r="AH494" s="1930"/>
      <c r="AI494" s="1930"/>
      <c r="AJ494" s="1930"/>
      <c r="AK494" s="1930"/>
      <c r="AL494" s="1930"/>
      <c r="AM494" s="1930"/>
      <c r="AN494" s="1930"/>
      <c r="AO494" s="1930"/>
      <c r="AP494" s="1930"/>
      <c r="AQ494" s="1930"/>
      <c r="AR494" s="1930"/>
      <c r="AS494" s="1930"/>
      <c r="AT494" s="1930"/>
      <c r="AU494" s="1930"/>
      <c r="AV494" s="1930"/>
      <c r="AW494" s="1930"/>
      <c r="AX494" s="1930"/>
      <c r="AY494" s="1930"/>
      <c r="AZ494" s="1930"/>
      <c r="BA494" s="1930"/>
      <c r="BB494" s="2378"/>
      <c r="BC494" s="1930"/>
      <c r="BD494" s="1930"/>
      <c r="BE494" s="1930"/>
    </row>
    <row r="495" spans="1:57" s="1930" customFormat="1" ht="30" hidden="1" outlineLevel="1" x14ac:dyDescent="0.25">
      <c r="A495" s="123"/>
      <c r="B495" s="123"/>
      <c r="C495" s="328"/>
      <c r="D495" s="3913"/>
      <c r="E495" s="3913"/>
      <c r="F495" s="3127" t="s">
        <v>786</v>
      </c>
      <c r="G495" s="214">
        <v>0</v>
      </c>
      <c r="H495" s="2671"/>
      <c r="I495" s="2672"/>
      <c r="J495" s="123"/>
      <c r="K495" s="123"/>
      <c r="L495" s="123"/>
      <c r="M495" s="123"/>
      <c r="N495" s="123"/>
      <c r="O495" s="123"/>
      <c r="P495" s="123"/>
      <c r="Q495" s="123"/>
      <c r="R495" s="123"/>
      <c r="S495" s="123"/>
      <c r="T495" s="123"/>
      <c r="U495" s="123"/>
      <c r="V495" s="3890"/>
      <c r="W495" s="568"/>
      <c r="X495" s="568"/>
      <c r="Y495" s="568"/>
      <c r="Z495" s="568"/>
      <c r="AA495" s="568"/>
      <c r="AB495" s="214">
        <v>0</v>
      </c>
      <c r="AC495" s="214">
        <v>0</v>
      </c>
      <c r="AD495" s="568"/>
      <c r="AE495" s="568"/>
      <c r="AF495" s="568"/>
      <c r="AG495" s="568"/>
      <c r="BB495" s="2378"/>
    </row>
    <row r="496" spans="1:57" s="1930" customFormat="1" ht="45" hidden="1" outlineLevel="1" x14ac:dyDescent="0.25">
      <c r="A496" s="123"/>
      <c r="B496" s="123"/>
      <c r="C496" s="328"/>
      <c r="D496" s="3913"/>
      <c r="E496" s="3913"/>
      <c r="F496" s="3127" t="s">
        <v>789</v>
      </c>
      <c r="G496" s="214">
        <v>0.36</v>
      </c>
      <c r="H496" s="2671"/>
      <c r="I496" s="2672"/>
      <c r="J496" s="123"/>
      <c r="K496" s="123"/>
      <c r="L496" s="123"/>
      <c r="M496" s="123"/>
      <c r="N496" s="123"/>
      <c r="O496" s="123"/>
      <c r="P496" s="123"/>
      <c r="Q496" s="123"/>
      <c r="R496" s="123"/>
      <c r="S496" s="123"/>
      <c r="T496" s="123"/>
      <c r="U496" s="123"/>
      <c r="V496" s="3890"/>
      <c r="W496" s="568"/>
      <c r="X496" s="568"/>
      <c r="Y496" s="568"/>
      <c r="Z496" s="568"/>
      <c r="AA496" s="568"/>
      <c r="AB496" s="214">
        <v>0.36</v>
      </c>
      <c r="AC496" s="214">
        <v>0.36</v>
      </c>
      <c r="AD496" s="568"/>
      <c r="AE496" s="568"/>
      <c r="AF496" s="568"/>
      <c r="AG496" s="568"/>
      <c r="BB496" s="2378"/>
    </row>
    <row r="497" spans="1:57" s="1930" customFormat="1" ht="30" hidden="1" outlineLevel="1" x14ac:dyDescent="0.25">
      <c r="A497" s="123"/>
      <c r="B497" s="123"/>
      <c r="C497" s="328"/>
      <c r="D497" s="3888"/>
      <c r="E497" s="3888"/>
      <c r="F497" s="3122" t="s">
        <v>790</v>
      </c>
      <c r="G497" s="214">
        <v>0.48</v>
      </c>
      <c r="H497" s="2671"/>
      <c r="I497" s="2672"/>
      <c r="J497" s="123"/>
      <c r="K497" s="123"/>
      <c r="L497" s="123"/>
      <c r="M497" s="123"/>
      <c r="N497" s="123"/>
      <c r="O497" s="123"/>
      <c r="P497" s="123"/>
      <c r="Q497" s="123"/>
      <c r="R497" s="123"/>
      <c r="S497" s="123"/>
      <c r="T497" s="123"/>
      <c r="U497" s="123"/>
      <c r="V497" s="3891"/>
      <c r="W497" s="568"/>
      <c r="X497" s="568"/>
      <c r="Y497" s="568"/>
      <c r="Z497" s="568"/>
      <c r="AA497" s="568"/>
      <c r="AB497" s="214">
        <v>0.48</v>
      </c>
      <c r="AC497" s="214">
        <v>0.48</v>
      </c>
      <c r="AD497" s="568"/>
      <c r="AE497" s="568"/>
      <c r="AF497" s="568"/>
      <c r="AG497" s="568"/>
      <c r="BB497" s="2378"/>
    </row>
    <row r="498" spans="1:57" hidden="1" outlineLevel="1" x14ac:dyDescent="0.25">
      <c r="D498" s="3887" t="s">
        <v>133</v>
      </c>
      <c r="E498" s="3887" t="s">
        <v>860</v>
      </c>
      <c r="F498" s="3122" t="s">
        <v>793</v>
      </c>
      <c r="G498" s="1040">
        <v>0.95</v>
      </c>
      <c r="H498" s="2671" t="s">
        <v>794</v>
      </c>
      <c r="I498" s="2672"/>
      <c r="V498" s="3089" t="s">
        <v>133</v>
      </c>
      <c r="W498" s="569"/>
      <c r="X498" s="569"/>
      <c r="Y498" s="569"/>
      <c r="Z498" s="569"/>
      <c r="AA498" s="569"/>
      <c r="AB498" s="537">
        <v>0.95</v>
      </c>
      <c r="AC498" s="1040">
        <v>0.95</v>
      </c>
      <c r="AD498" s="569"/>
      <c r="AE498" s="569"/>
      <c r="AF498" s="569"/>
      <c r="AG498" s="569"/>
      <c r="AH498" s="1930"/>
      <c r="AI498" s="1930"/>
      <c r="AJ498" s="1930"/>
      <c r="AK498" s="1930"/>
      <c r="AL498" s="1930"/>
      <c r="AM498" s="1930"/>
      <c r="AN498" s="1930"/>
      <c r="AO498" s="1930"/>
      <c r="AP498" s="1930"/>
      <c r="AQ498" s="1930"/>
      <c r="AR498" s="1930"/>
      <c r="AS498" s="1930"/>
      <c r="AT498" s="1930"/>
      <c r="AU498" s="1930"/>
      <c r="AV498" s="1930"/>
      <c r="AW498" s="1930"/>
      <c r="AX498" s="1930"/>
      <c r="AY498" s="1930"/>
      <c r="AZ498" s="1930"/>
      <c r="BA498" s="1930"/>
      <c r="BB498" s="2378"/>
      <c r="BC498" s="1930"/>
      <c r="BD498" s="1930"/>
      <c r="BE498" s="1930"/>
    </row>
    <row r="499" spans="1:57" hidden="1" outlineLevel="1" x14ac:dyDescent="0.25">
      <c r="D499" s="3888"/>
      <c r="E499" s="3888"/>
      <c r="F499" s="3122" t="s">
        <v>795</v>
      </c>
      <c r="G499" s="1040">
        <v>0.93799999999999994</v>
      </c>
      <c r="H499" s="4410" t="s">
        <v>796</v>
      </c>
      <c r="I499" s="4411"/>
      <c r="V499" s="3089" t="s">
        <v>252</v>
      </c>
      <c r="W499" s="489">
        <v>0.47315310825962376</v>
      </c>
      <c r="X499" s="489">
        <v>0.47315310825962376</v>
      </c>
      <c r="Y499" s="489">
        <v>0.47315310825962376</v>
      </c>
      <c r="Z499" s="489">
        <v>0.47315310825962376</v>
      </c>
      <c r="AA499" s="489">
        <v>0.47315310825962376</v>
      </c>
      <c r="AB499" s="537">
        <v>0.93799999999999994</v>
      </c>
      <c r="AC499" s="1040">
        <v>0.93799999999999994</v>
      </c>
      <c r="AD499" s="512"/>
      <c r="AE499" s="512"/>
      <c r="AF499" s="512"/>
      <c r="AG499" s="512"/>
      <c r="AH499" s="1930"/>
      <c r="AI499" s="1930"/>
      <c r="AJ499" s="1930"/>
      <c r="AK499" s="1930"/>
      <c r="AL499" s="1930"/>
      <c r="AM499" s="1930"/>
      <c r="AN499" s="1930"/>
      <c r="AO499" s="1930"/>
      <c r="AP499" s="1930"/>
      <c r="AQ499" s="1930"/>
      <c r="AR499" s="1930"/>
      <c r="AS499" s="1930"/>
      <c r="AT499" s="1930"/>
      <c r="AU499" s="1930"/>
      <c r="AV499" s="1930"/>
      <c r="AW499" s="1930"/>
      <c r="AX499" s="1930"/>
      <c r="AY499" s="1930"/>
      <c r="AZ499" s="1930"/>
      <c r="BA499" s="1930"/>
      <c r="BB499" s="2378"/>
      <c r="BC499" s="1930"/>
      <c r="BD499" s="1930"/>
      <c r="BE499" s="1930"/>
    </row>
    <row r="500" spans="1:57" hidden="1" outlineLevel="1" x14ac:dyDescent="0.25">
      <c r="D500" s="2051" t="s">
        <v>542</v>
      </c>
      <c r="E500" s="2051" t="s">
        <v>167</v>
      </c>
      <c r="F500" s="2639" t="s">
        <v>135</v>
      </c>
      <c r="G500" s="2298">
        <v>10</v>
      </c>
      <c r="H500" s="2671"/>
      <c r="I500" s="2672"/>
      <c r="V500" s="3240" t="s">
        <v>542</v>
      </c>
      <c r="W500" s="441">
        <v>10</v>
      </c>
      <c r="X500" s="441">
        <v>10</v>
      </c>
      <c r="Y500" s="441">
        <v>10</v>
      </c>
      <c r="Z500" s="441">
        <v>10</v>
      </c>
      <c r="AA500" s="441">
        <v>10</v>
      </c>
      <c r="AB500" s="2298">
        <v>10</v>
      </c>
      <c r="AC500" s="2298">
        <v>10</v>
      </c>
      <c r="AD500" s="441"/>
      <c r="AE500" s="441"/>
      <c r="AF500" s="441"/>
      <c r="AG500" s="441"/>
      <c r="AH500" s="1930"/>
      <c r="AI500" s="1930"/>
      <c r="AJ500" s="1930"/>
      <c r="AK500" s="1930"/>
      <c r="AL500" s="1930"/>
      <c r="AM500" s="1930"/>
      <c r="AN500" s="1930"/>
      <c r="AO500" s="1930"/>
      <c r="AP500" s="1930"/>
      <c r="AQ500" s="1930"/>
      <c r="AR500" s="1930"/>
      <c r="AS500" s="1930"/>
      <c r="AT500" s="1930"/>
      <c r="AU500" s="1930"/>
      <c r="AV500" s="1930"/>
      <c r="AW500" s="1930"/>
      <c r="AX500" s="1930"/>
      <c r="AY500" s="1930"/>
      <c r="AZ500" s="1930"/>
      <c r="BA500" s="1930"/>
      <c r="BC500" s="1930"/>
      <c r="BD500" s="1930"/>
      <c r="BE500" s="1930"/>
    </row>
    <row r="501" spans="1:57" hidden="1" outlineLevel="1" x14ac:dyDescent="0.25">
      <c r="D501" s="3802" t="s">
        <v>170</v>
      </c>
      <c r="E501" s="4413" t="s">
        <v>171</v>
      </c>
      <c r="F501" s="2640" t="s">
        <v>429</v>
      </c>
      <c r="G501" s="2297">
        <v>20</v>
      </c>
      <c r="H501" s="2671"/>
      <c r="I501" s="2672"/>
      <c r="V501" s="4415" t="s">
        <v>170</v>
      </c>
      <c r="W501" s="442">
        <v>20</v>
      </c>
      <c r="X501" s="442">
        <v>20</v>
      </c>
      <c r="Y501" s="442">
        <v>20</v>
      </c>
      <c r="Z501" s="442">
        <v>20</v>
      </c>
      <c r="AA501" s="442">
        <v>20</v>
      </c>
      <c r="AB501" s="2297">
        <v>20</v>
      </c>
      <c r="AC501" s="2297">
        <v>20</v>
      </c>
      <c r="AD501" s="442"/>
      <c r="AE501" s="442"/>
      <c r="AF501" s="442"/>
      <c r="AG501" s="442"/>
      <c r="AH501" s="1930"/>
      <c r="AI501" s="1930"/>
      <c r="AJ501" s="1930"/>
      <c r="AK501" s="1930"/>
      <c r="AL501" s="1930"/>
      <c r="AM501" s="1930"/>
      <c r="AN501" s="1930"/>
      <c r="AO501" s="1930"/>
      <c r="AP501" s="1930"/>
      <c r="AQ501" s="1930"/>
      <c r="AR501" s="1930"/>
      <c r="AS501" s="1930"/>
      <c r="AT501" s="1930"/>
      <c r="AU501" s="1930"/>
      <c r="AV501" s="1930"/>
      <c r="AW501" s="1930"/>
      <c r="AX501" s="1930"/>
      <c r="AY501" s="1930"/>
      <c r="AZ501" s="1930"/>
      <c r="BA501" s="1930"/>
      <c r="BC501" s="1930"/>
      <c r="BD501" s="1930"/>
      <c r="BE501" s="1930"/>
    </row>
    <row r="502" spans="1:57" s="1930" customFormat="1" hidden="1" outlineLevel="1" x14ac:dyDescent="0.25">
      <c r="A502" s="123"/>
      <c r="B502" s="123"/>
      <c r="C502" s="328"/>
      <c r="D502" s="3816"/>
      <c r="E502" s="4414"/>
      <c r="F502" s="2640" t="s">
        <v>797</v>
      </c>
      <c r="G502" s="2641">
        <v>30</v>
      </c>
      <c r="H502" s="2671"/>
      <c r="I502" s="2672"/>
      <c r="J502" s="123"/>
      <c r="K502" s="123"/>
      <c r="L502" s="123"/>
      <c r="M502" s="123"/>
      <c r="N502" s="123"/>
      <c r="O502" s="123"/>
      <c r="P502" s="123"/>
      <c r="Q502" s="123"/>
      <c r="R502" s="123"/>
      <c r="S502" s="123"/>
      <c r="T502" s="123"/>
      <c r="U502" s="123"/>
      <c r="V502" s="4416"/>
      <c r="W502" s="442"/>
      <c r="X502" s="442"/>
      <c r="Y502" s="442"/>
      <c r="Z502" s="442"/>
      <c r="AA502" s="442"/>
      <c r="AB502" s="2377">
        <v>30</v>
      </c>
      <c r="AC502" s="2641">
        <v>30</v>
      </c>
      <c r="AD502" s="442"/>
      <c r="AE502" s="442"/>
      <c r="AF502" s="442"/>
      <c r="AG502" s="442"/>
      <c r="BB502" s="950"/>
    </row>
    <row r="503" spans="1:57" collapsed="1" x14ac:dyDescent="0.25">
      <c r="V503" s="1930"/>
      <c r="W503" s="1930"/>
      <c r="X503" s="1930"/>
      <c r="Y503" s="1930"/>
      <c r="Z503" s="1930"/>
      <c r="AA503" s="1930"/>
      <c r="AB503" s="1930"/>
      <c r="AC503" s="1930"/>
      <c r="AD503" s="1930"/>
      <c r="AE503" s="1930"/>
      <c r="AF503" s="1930"/>
      <c r="AG503" s="1930"/>
      <c r="AH503" s="1930"/>
      <c r="AI503" s="1930"/>
      <c r="AJ503" s="1930"/>
      <c r="AK503" s="1930"/>
      <c r="AL503" s="1930"/>
      <c r="AM503" s="1930"/>
      <c r="AN503" s="1930"/>
      <c r="AO503" s="1930"/>
      <c r="AP503" s="1930"/>
      <c r="AQ503" s="1930"/>
      <c r="AR503" s="1930"/>
      <c r="AS503" s="1930"/>
      <c r="AT503" s="1930"/>
      <c r="AU503" s="1930"/>
      <c r="AV503" s="1930"/>
      <c r="AW503" s="1930"/>
      <c r="AX503" s="1930"/>
      <c r="AY503" s="1930"/>
      <c r="AZ503" s="1930"/>
      <c r="BA503" s="1930"/>
      <c r="BC503" s="1930"/>
      <c r="BD503" s="1930"/>
      <c r="BE503" s="1930"/>
    </row>
    <row r="505" spans="1:57" ht="13.5" customHeight="1" x14ac:dyDescent="0.25">
      <c r="B505" s="3750" t="s">
        <v>385</v>
      </c>
      <c r="C505" s="3751"/>
      <c r="D505" s="3751"/>
      <c r="E505" s="3751"/>
      <c r="F505" s="3751"/>
      <c r="G505" s="3751"/>
      <c r="H505" s="3751"/>
      <c r="I505" s="3744"/>
      <c r="J505" s="3744"/>
      <c r="K505" s="3744"/>
      <c r="L505" s="3744"/>
      <c r="M505" s="3744"/>
      <c r="N505" s="3744"/>
      <c r="O505" s="3744"/>
      <c r="P505" s="3744"/>
      <c r="Q505" s="3745"/>
      <c r="V505" s="3750" t="str">
        <f>B505</f>
        <v>Advanced Power Strips Tier 2  /  Advanced Control Stategies</v>
      </c>
      <c r="W505" s="3751"/>
      <c r="X505" s="3751"/>
      <c r="Y505" s="3751"/>
      <c r="Z505" s="3751"/>
      <c r="AA505" s="3751"/>
      <c r="AB505" s="3751"/>
      <c r="AC505" s="3752"/>
      <c r="AD505" s="3752"/>
      <c r="AE505" s="3752"/>
      <c r="AF505" s="3752"/>
      <c r="AG505" s="3752"/>
      <c r="AH505" s="3752"/>
      <c r="AI505" s="3753"/>
      <c r="AJ505" s="1930"/>
      <c r="AK505" s="1930"/>
      <c r="AL505" s="1930"/>
      <c r="AM505" s="1930"/>
      <c r="AN505" s="1930"/>
      <c r="AO505" s="1930"/>
      <c r="AP505" s="1930"/>
      <c r="AQ505" s="1930"/>
      <c r="AR505" s="1930"/>
      <c r="AS505" s="1930"/>
      <c r="AT505" s="1930"/>
      <c r="AU505" s="1930"/>
      <c r="AV505" s="1930"/>
      <c r="AW505" s="1930"/>
      <c r="AX505" s="1930"/>
      <c r="AY505" s="1930"/>
      <c r="AZ505" s="1930"/>
      <c r="BA505" s="1930"/>
      <c r="BC505" s="1930"/>
      <c r="BD505" s="1930"/>
      <c r="BE505" s="1930"/>
    </row>
    <row r="507" spans="1:57" ht="30" x14ac:dyDescent="0.25">
      <c r="C507" s="3086" t="s">
        <v>28</v>
      </c>
      <c r="D507" s="3086" t="s">
        <v>175</v>
      </c>
      <c r="E507" s="3086" t="s">
        <v>30</v>
      </c>
      <c r="F507" s="3086" t="s">
        <v>31</v>
      </c>
      <c r="G507" s="3086" t="s">
        <v>176</v>
      </c>
      <c r="H507" s="3086" t="s">
        <v>177</v>
      </c>
      <c r="I507" s="3086" t="s">
        <v>32</v>
      </c>
      <c r="J507" s="3086" t="s">
        <v>181</v>
      </c>
      <c r="K507" s="3086" t="s">
        <v>170</v>
      </c>
      <c r="L507" s="3086" t="s">
        <v>44</v>
      </c>
      <c r="V507" s="1936" t="s">
        <v>45</v>
      </c>
      <c r="W507" s="1937">
        <f>W$6</f>
        <v>43252</v>
      </c>
      <c r="X507" s="1937">
        <f t="shared" ref="X507:AG507" si="106">X$6</f>
        <v>43465</v>
      </c>
      <c r="Y507" s="1937">
        <f t="shared" si="106"/>
        <v>43800</v>
      </c>
      <c r="Z507" s="1937">
        <f t="shared" si="106"/>
        <v>43862</v>
      </c>
      <c r="AA507" s="1937">
        <f t="shared" si="106"/>
        <v>44013</v>
      </c>
      <c r="AB507" s="1937">
        <f t="shared" si="106"/>
        <v>44166</v>
      </c>
      <c r="AC507" s="1937">
        <f t="shared" si="106"/>
        <v>44531</v>
      </c>
      <c r="AD507" s="1937" t="str">
        <f t="shared" si="106"/>
        <v>-</v>
      </c>
      <c r="AE507" s="1937" t="str">
        <f t="shared" si="106"/>
        <v>-</v>
      </c>
      <c r="AF507" s="1937" t="str">
        <f t="shared" si="106"/>
        <v>-</v>
      </c>
      <c r="AG507" s="1937" t="str">
        <f t="shared" si="106"/>
        <v>-</v>
      </c>
      <c r="AH507" s="1930"/>
      <c r="AI507" s="1930"/>
      <c r="AJ507" s="1930"/>
      <c r="AK507" s="1930"/>
      <c r="AL507" s="1930"/>
      <c r="AM507" s="1930"/>
      <c r="AN507" s="1930"/>
      <c r="AO507" s="1930"/>
      <c r="AP507" s="1930"/>
      <c r="AQ507" s="1930"/>
      <c r="AR507" s="1930"/>
      <c r="AS507" s="1930"/>
      <c r="AT507" s="1930"/>
      <c r="AU507" s="1930"/>
      <c r="AV507" s="1930"/>
      <c r="AW507" s="1930"/>
      <c r="AX507" s="1930"/>
      <c r="AY507" s="1930"/>
      <c r="AZ507" s="1930"/>
      <c r="BA507" s="1930"/>
      <c r="BB507" s="1938" t="str">
        <f>$BB$6</f>
        <v>TRC (2020)</v>
      </c>
      <c r="BC507" s="1953" t="str">
        <f>$BC$6</f>
        <v>Benefit Lookup</v>
      </c>
      <c r="BD507" s="665" t="str">
        <f>$BD$6</f>
        <v>Benefits (2019 $)</v>
      </c>
      <c r="BE507" s="230" t="str">
        <f>$BE$6</f>
        <v>Incremental Cost (2019 $)</v>
      </c>
    </row>
    <row r="508" spans="1:57" x14ac:dyDescent="0.25">
      <c r="C508" s="104" t="s">
        <v>2544</v>
      </c>
      <c r="D508" s="2667" t="s">
        <v>2406</v>
      </c>
      <c r="E508" s="3121" t="str">
        <f>'Efficient Products Deemed Table'!E220</f>
        <v>Advanced Tier 2 Power Strips  -  A</v>
      </c>
      <c r="F508" s="105">
        <f>ROUND(G524*$G$523,2)</f>
        <v>237.6</v>
      </c>
      <c r="G508" s="1145" t="str">
        <f>'Efficient Products Deemed Table'!G220</f>
        <v>Miscellaneous RES</v>
      </c>
      <c r="H508" s="155">
        <f>'Efficient Products Deemed Table'!H220</f>
        <v>1.148238E-4</v>
      </c>
      <c r="I508" s="1531">
        <f t="shared" ref="I508:I516" si="107">ROUND(F508*H508,6)</f>
        <v>2.7282000000000001E-2</v>
      </c>
      <c r="J508" s="141">
        <f>$G$534</f>
        <v>10</v>
      </c>
      <c r="K508" s="1199">
        <f>$G$535</f>
        <v>30</v>
      </c>
      <c r="L508" s="2666" t="s">
        <v>185</v>
      </c>
      <c r="V508" s="160" t="str">
        <f>F507</f>
        <v>kWh Annual Savings</v>
      </c>
      <c r="W508" s="801">
        <f>'Efficient Products Deemed Table'!W220</f>
        <v>237.60000000000002</v>
      </c>
      <c r="X508" s="801">
        <f>'Efficient Products Deemed Table'!X220</f>
        <v>237.60000000000002</v>
      </c>
      <c r="Y508" s="566">
        <v>237.6</v>
      </c>
      <c r="Z508" s="566">
        <v>237.6</v>
      </c>
      <c r="AA508" s="566">
        <v>237.6</v>
      </c>
      <c r="AB508" s="2231">
        <v>237.6</v>
      </c>
      <c r="AC508" s="2231">
        <v>237.6</v>
      </c>
      <c r="AD508" s="801"/>
      <c r="AE508" s="801"/>
      <c r="AF508" s="801"/>
      <c r="AG508" s="801"/>
      <c r="AH508" s="1930"/>
      <c r="AI508" s="1930"/>
      <c r="AJ508" s="1930"/>
      <c r="AK508" s="1930"/>
      <c r="AL508" s="1930"/>
      <c r="AM508" s="1930"/>
      <c r="AN508" s="1930"/>
      <c r="AO508" s="1930"/>
      <c r="AP508" s="1930"/>
      <c r="AQ508" s="1930"/>
      <c r="AR508" s="1930"/>
      <c r="AS508" s="1930"/>
      <c r="AT508" s="1930"/>
      <c r="AU508" s="1930"/>
      <c r="AV508" s="1930"/>
      <c r="AW508" s="1930"/>
      <c r="AX508" s="1930"/>
      <c r="AY508" s="1930"/>
      <c r="AZ508" s="1930"/>
      <c r="BA508" s="1930"/>
      <c r="BB508" s="1945">
        <f t="shared" ref="BB508:BB516" si="108">(BD508)/(BE508)</f>
        <v>2.8935964717891705</v>
      </c>
      <c r="BC508" s="3166" t="str">
        <f>CONCATENATE(G508," ",J508," Year EUL")</f>
        <v>Miscellaneous RES 10 Year EUL</v>
      </c>
      <c r="BD508" s="111">
        <f>(INDEX('Avoided Cost Benefits'!$C$4:$C$857,MATCH(BC508,'Avoided Cost Benefits'!$A$4:$A$857,0)))*F508</f>
        <v>81.932887355993486</v>
      </c>
      <c r="BE508" s="1946">
        <f>K508/(1.0595^(2020-2019))</f>
        <v>28.315243039169417</v>
      </c>
    </row>
    <row r="509" spans="1:57" x14ac:dyDescent="0.25">
      <c r="C509" s="104" t="s">
        <v>2545</v>
      </c>
      <c r="D509" s="2667" t="s">
        <v>2406</v>
      </c>
      <c r="E509" s="3121" t="str">
        <f>'Efficient Products Deemed Table'!E221</f>
        <v>Advanced Tier 2 Power Strips -  B</v>
      </c>
      <c r="F509" s="105">
        <f t="shared" ref="F509:F515" si="109">ROUND(G525*$G$523,2)</f>
        <v>216</v>
      </c>
      <c r="G509" s="1145" t="str">
        <f>'Efficient Products Deemed Table'!G221</f>
        <v>Miscellaneous RES</v>
      </c>
      <c r="H509" s="155">
        <f>'Efficient Products Deemed Table'!H221</f>
        <v>1.148238E-4</v>
      </c>
      <c r="I509" s="1531">
        <f t="shared" si="107"/>
        <v>2.4802000000000001E-2</v>
      </c>
      <c r="J509" s="141">
        <f t="shared" ref="J509:J516" si="110">$G$534</f>
        <v>10</v>
      </c>
      <c r="K509" s="1199">
        <f t="shared" ref="K509:K516" si="111">$G$535</f>
        <v>30</v>
      </c>
      <c r="L509" s="1230" t="str">
        <f>'Efficient Products Deemed Table'!L221</f>
        <v>per measure</v>
      </c>
      <c r="V509" s="160" t="str">
        <f>V508</f>
        <v>kWh Annual Savings</v>
      </c>
      <c r="W509" s="801">
        <f>'Efficient Products Deemed Table'!W221</f>
        <v>216</v>
      </c>
      <c r="X509" s="801">
        <f>'Efficient Products Deemed Table'!X221</f>
        <v>216</v>
      </c>
      <c r="Y509" s="566">
        <v>216</v>
      </c>
      <c r="Z509" s="566">
        <v>216</v>
      </c>
      <c r="AA509" s="566">
        <v>216</v>
      </c>
      <c r="AB509" s="2231">
        <v>216</v>
      </c>
      <c r="AC509" s="2231">
        <v>216</v>
      </c>
      <c r="AD509" s="801"/>
      <c r="AE509" s="801"/>
      <c r="AF509" s="801"/>
      <c r="AG509" s="801"/>
      <c r="AH509" s="1930"/>
      <c r="AI509" s="1930"/>
      <c r="AJ509" s="1930"/>
      <c r="AK509" s="1930"/>
      <c r="AL509" s="1930"/>
      <c r="AM509" s="1930"/>
      <c r="AN509" s="1930"/>
      <c r="AO509" s="1930"/>
      <c r="AP509" s="1930"/>
      <c r="AQ509" s="1930"/>
      <c r="AR509" s="1930"/>
      <c r="AS509" s="1930"/>
      <c r="AT509" s="1930"/>
      <c r="AU509" s="1930"/>
      <c r="AV509" s="1930"/>
      <c r="AW509" s="1930"/>
      <c r="AX509" s="1930"/>
      <c r="AY509" s="1930"/>
      <c r="AZ509" s="1930"/>
      <c r="BA509" s="1930"/>
      <c r="BB509" s="52">
        <f t="shared" si="108"/>
        <v>2.6305422470810638</v>
      </c>
      <c r="BC509" s="1948" t="str">
        <f t="shared" ref="BC509:BC516" si="112">CONCATENATE(G509," ",J509," Year EUL")</f>
        <v>Miscellaneous RES 10 Year EUL</v>
      </c>
      <c r="BD509" s="114">
        <f>(INDEX('Avoided Cost Benefits'!$C$4:$C$857,MATCH(BC509,'Avoided Cost Benefits'!$A$4:$A$857,0)))*F509</f>
        <v>74.484443050903167</v>
      </c>
      <c r="BE509" s="1949">
        <f t="shared" ref="BE509:BE516" si="113">K509/(1.0595^(2020-2019))</f>
        <v>28.315243039169417</v>
      </c>
    </row>
    <row r="510" spans="1:57" x14ac:dyDescent="0.25">
      <c r="C510" s="104" t="s">
        <v>2546</v>
      </c>
      <c r="D510" s="2667" t="s">
        <v>2406</v>
      </c>
      <c r="E510" s="3121" t="str">
        <f>'Efficient Products Deemed Table'!E222</f>
        <v>Advanced Tier 2 Power Strips -  C</v>
      </c>
      <c r="F510" s="105">
        <f t="shared" si="109"/>
        <v>194.4</v>
      </c>
      <c r="G510" s="1145" t="str">
        <f>'Efficient Products Deemed Table'!G222</f>
        <v>Miscellaneous RES</v>
      </c>
      <c r="H510" s="155">
        <f>'Efficient Products Deemed Table'!H222</f>
        <v>1.148238E-4</v>
      </c>
      <c r="I510" s="1531">
        <f t="shared" si="107"/>
        <v>2.2322000000000002E-2</v>
      </c>
      <c r="J510" s="141">
        <f t="shared" si="110"/>
        <v>10</v>
      </c>
      <c r="K510" s="1199">
        <f t="shared" si="111"/>
        <v>30</v>
      </c>
      <c r="L510" s="1230" t="str">
        <f>'Efficient Products Deemed Table'!L222</f>
        <v>per measure</v>
      </c>
      <c r="V510" s="160" t="str">
        <f t="shared" ref="V510:V516" si="114">V509</f>
        <v>kWh Annual Savings</v>
      </c>
      <c r="W510" s="801">
        <f>'Efficient Products Deemed Table'!W222</f>
        <v>194.4</v>
      </c>
      <c r="X510" s="801">
        <f>'Efficient Products Deemed Table'!X222</f>
        <v>194.4</v>
      </c>
      <c r="Y510" s="566">
        <v>194.4</v>
      </c>
      <c r="Z510" s="566">
        <v>194.4</v>
      </c>
      <c r="AA510" s="566">
        <v>194.4</v>
      </c>
      <c r="AB510" s="2231">
        <v>194.4</v>
      </c>
      <c r="AC510" s="2231">
        <v>194.4</v>
      </c>
      <c r="AD510" s="801"/>
      <c r="AE510" s="801"/>
      <c r="AF510" s="801"/>
      <c r="AG510" s="801"/>
      <c r="AH510" s="1930"/>
      <c r="AI510" s="1930"/>
      <c r="AJ510" s="1930"/>
      <c r="AK510" s="1930"/>
      <c r="AL510" s="1930"/>
      <c r="AM510" s="1930"/>
      <c r="AN510" s="1930"/>
      <c r="AO510" s="1930"/>
      <c r="AP510" s="1930"/>
      <c r="AQ510" s="1930"/>
      <c r="AR510" s="1930"/>
      <c r="AS510" s="1930"/>
      <c r="AT510" s="1930"/>
      <c r="AU510" s="1930"/>
      <c r="AV510" s="1930"/>
      <c r="AW510" s="1930"/>
      <c r="AX510" s="1930"/>
      <c r="AY510" s="1930"/>
      <c r="AZ510" s="1930"/>
      <c r="BA510" s="1930"/>
      <c r="BB510" s="52">
        <f t="shared" si="108"/>
        <v>2.3674880223729571</v>
      </c>
      <c r="BC510" s="1948" t="str">
        <f t="shared" si="112"/>
        <v>Miscellaneous RES 10 Year EUL</v>
      </c>
      <c r="BD510" s="114">
        <f>(INDEX('Avoided Cost Benefits'!$C$4:$C$857,MATCH(BC510,'Avoided Cost Benefits'!$A$4:$A$857,0)))*F510</f>
        <v>67.035998745812847</v>
      </c>
      <c r="BE510" s="1949">
        <f t="shared" si="113"/>
        <v>28.315243039169417</v>
      </c>
    </row>
    <row r="511" spans="1:57" x14ac:dyDescent="0.25">
      <c r="C511" s="104" t="s">
        <v>2547</v>
      </c>
      <c r="D511" s="2667" t="s">
        <v>2406</v>
      </c>
      <c r="E511" s="3121" t="str">
        <f>'Efficient Products Deemed Table'!E223</f>
        <v>Advanced Tier 2 Power Strips -  D</v>
      </c>
      <c r="F511" s="105">
        <f t="shared" si="109"/>
        <v>172.8</v>
      </c>
      <c r="G511" s="1145" t="str">
        <f>'Efficient Products Deemed Table'!G223</f>
        <v>Miscellaneous RES</v>
      </c>
      <c r="H511" s="155">
        <f>'Efficient Products Deemed Table'!H223</f>
        <v>1.148238E-4</v>
      </c>
      <c r="I511" s="1531">
        <f t="shared" si="107"/>
        <v>1.9841999999999999E-2</v>
      </c>
      <c r="J511" s="141">
        <f t="shared" si="110"/>
        <v>10</v>
      </c>
      <c r="K511" s="1199">
        <f t="shared" si="111"/>
        <v>30</v>
      </c>
      <c r="L511" s="1230" t="str">
        <f>'Efficient Products Deemed Table'!L223</f>
        <v>per measure</v>
      </c>
      <c r="V511" s="160" t="str">
        <f t="shared" si="114"/>
        <v>kWh Annual Savings</v>
      </c>
      <c r="W511" s="801">
        <f>'Efficient Products Deemed Table'!W223</f>
        <v>172.8</v>
      </c>
      <c r="X511" s="801">
        <f>'Efficient Products Deemed Table'!X223</f>
        <v>172.8</v>
      </c>
      <c r="Y511" s="566">
        <v>172.8</v>
      </c>
      <c r="Z511" s="566">
        <v>172.8</v>
      </c>
      <c r="AA511" s="566">
        <v>172.8</v>
      </c>
      <c r="AB511" s="2231">
        <v>172.8</v>
      </c>
      <c r="AC511" s="2231">
        <v>172.8</v>
      </c>
      <c r="AD511" s="801"/>
      <c r="AE511" s="801"/>
      <c r="AF511" s="801"/>
      <c r="AG511" s="801"/>
      <c r="AH511" s="1930"/>
      <c r="AI511" s="1930"/>
      <c r="AJ511" s="1930"/>
      <c r="AK511" s="1930"/>
      <c r="AL511" s="1930"/>
      <c r="AM511" s="1930"/>
      <c r="AN511" s="1930"/>
      <c r="AO511" s="1930"/>
      <c r="AP511" s="1930"/>
      <c r="AQ511" s="1930"/>
      <c r="AR511" s="1930"/>
      <c r="AS511" s="1930"/>
      <c r="AT511" s="1930"/>
      <c r="AU511" s="1930"/>
      <c r="AV511" s="1930"/>
      <c r="AW511" s="1930"/>
      <c r="AX511" s="1930"/>
      <c r="AY511" s="1930"/>
      <c r="AZ511" s="1930"/>
      <c r="BA511" s="1930"/>
      <c r="BB511" s="52">
        <f t="shared" si="108"/>
        <v>2.1044337976648513</v>
      </c>
      <c r="BC511" s="1948" t="str">
        <f t="shared" si="112"/>
        <v>Miscellaneous RES 10 Year EUL</v>
      </c>
      <c r="BD511" s="114">
        <f>(INDEX('Avoided Cost Benefits'!$C$4:$C$857,MATCH(BC511,'Avoided Cost Benefits'!$A$4:$A$857,0)))*F511</f>
        <v>59.587554440722535</v>
      </c>
      <c r="BE511" s="1949">
        <f t="shared" si="113"/>
        <v>28.315243039169417</v>
      </c>
    </row>
    <row r="512" spans="1:57" x14ac:dyDescent="0.25">
      <c r="C512" s="104" t="s">
        <v>2548</v>
      </c>
      <c r="D512" s="2667" t="s">
        <v>2406</v>
      </c>
      <c r="E512" s="3121" t="str">
        <f>'Efficient Products Deemed Table'!E224</f>
        <v>Advanced Tier 2 Power Strips -  E</v>
      </c>
      <c r="F512" s="105">
        <f t="shared" si="109"/>
        <v>151.19999999999999</v>
      </c>
      <c r="G512" s="1145" t="str">
        <f>'Efficient Products Deemed Table'!G224</f>
        <v>Miscellaneous RES</v>
      </c>
      <c r="H512" s="155">
        <f>'Efficient Products Deemed Table'!H224</f>
        <v>1.148238E-4</v>
      </c>
      <c r="I512" s="1531">
        <f t="shared" si="107"/>
        <v>1.7361000000000001E-2</v>
      </c>
      <c r="J512" s="141">
        <f t="shared" si="110"/>
        <v>10</v>
      </c>
      <c r="K512" s="1199">
        <f t="shared" si="111"/>
        <v>30</v>
      </c>
      <c r="L512" s="1230" t="str">
        <f>'Efficient Products Deemed Table'!L224</f>
        <v>per measure</v>
      </c>
      <c r="V512" s="160" t="str">
        <f t="shared" si="114"/>
        <v>kWh Annual Savings</v>
      </c>
      <c r="W512" s="801">
        <f>'Efficient Products Deemed Table'!W224</f>
        <v>151.19999999999999</v>
      </c>
      <c r="X512" s="801">
        <f>'Efficient Products Deemed Table'!X224</f>
        <v>151.19999999999999</v>
      </c>
      <c r="Y512" s="566">
        <v>151.19999999999999</v>
      </c>
      <c r="Z512" s="566">
        <v>151.19999999999999</v>
      </c>
      <c r="AA512" s="566">
        <v>151.19999999999999</v>
      </c>
      <c r="AB512" s="2231">
        <v>151.19999999999999</v>
      </c>
      <c r="AC512" s="2231">
        <v>151.19999999999999</v>
      </c>
      <c r="AD512" s="801"/>
      <c r="AE512" s="801"/>
      <c r="AF512" s="801"/>
      <c r="AG512" s="801"/>
      <c r="AH512" s="1930"/>
      <c r="AI512" s="1930"/>
      <c r="AJ512" s="1930"/>
      <c r="AK512" s="1930"/>
      <c r="AL512" s="1930"/>
      <c r="AM512" s="1930"/>
      <c r="AN512" s="1930"/>
      <c r="AO512" s="1930"/>
      <c r="AP512" s="1930"/>
      <c r="AQ512" s="1930"/>
      <c r="AR512" s="1930"/>
      <c r="AS512" s="1930"/>
      <c r="AT512" s="1930"/>
      <c r="AU512" s="1930"/>
      <c r="AV512" s="1930"/>
      <c r="AW512" s="1930"/>
      <c r="AX512" s="1930"/>
      <c r="AY512" s="1930"/>
      <c r="AZ512" s="1930"/>
      <c r="BA512" s="1930"/>
      <c r="BB512" s="52">
        <f t="shared" si="108"/>
        <v>1.8413795729567446</v>
      </c>
      <c r="BC512" s="1948" t="str">
        <f t="shared" si="112"/>
        <v>Miscellaneous RES 10 Year EUL</v>
      </c>
      <c r="BD512" s="114">
        <f>(INDEX('Avoided Cost Benefits'!$C$4:$C$857,MATCH(BC512,'Avoided Cost Benefits'!$A$4:$A$857,0)))*F512</f>
        <v>52.139110135632215</v>
      </c>
      <c r="BE512" s="1949">
        <f t="shared" si="113"/>
        <v>28.315243039169417</v>
      </c>
    </row>
    <row r="513" spans="1:57" x14ac:dyDescent="0.25">
      <c r="C513" s="104" t="s">
        <v>2549</v>
      </c>
      <c r="D513" s="2667" t="s">
        <v>2406</v>
      </c>
      <c r="E513" s="3121" t="str">
        <f>'Efficient Products Deemed Table'!E225</f>
        <v>Advanced Tier 2 Power Strips -  F</v>
      </c>
      <c r="F513" s="105">
        <f t="shared" si="109"/>
        <v>129.6</v>
      </c>
      <c r="G513" s="1145" t="str">
        <f>'Efficient Products Deemed Table'!G225</f>
        <v>Miscellaneous RES</v>
      </c>
      <c r="H513" s="155">
        <f>'Efficient Products Deemed Table'!H225</f>
        <v>1.148238E-4</v>
      </c>
      <c r="I513" s="1531">
        <f t="shared" si="107"/>
        <v>1.4881E-2</v>
      </c>
      <c r="J513" s="141">
        <f t="shared" si="110"/>
        <v>10</v>
      </c>
      <c r="K513" s="1199">
        <f t="shared" si="111"/>
        <v>30</v>
      </c>
      <c r="L513" s="1230" t="str">
        <f>'Efficient Products Deemed Table'!L225</f>
        <v>per measure</v>
      </c>
      <c r="V513" s="160" t="str">
        <f t="shared" si="114"/>
        <v>kWh Annual Savings</v>
      </c>
      <c r="W513" s="801">
        <f>'Efficient Products Deemed Table'!W225</f>
        <v>129.6</v>
      </c>
      <c r="X513" s="801">
        <f>'Efficient Products Deemed Table'!X225</f>
        <v>129.6</v>
      </c>
      <c r="Y513" s="566">
        <v>129.6</v>
      </c>
      <c r="Z513" s="566">
        <v>129.6</v>
      </c>
      <c r="AA513" s="566">
        <v>129.6</v>
      </c>
      <c r="AB513" s="2231">
        <v>129.6</v>
      </c>
      <c r="AC513" s="2231">
        <v>129.6</v>
      </c>
      <c r="AD513" s="801"/>
      <c r="AE513" s="801"/>
      <c r="AF513" s="801"/>
      <c r="AG513" s="801"/>
      <c r="AH513" s="1930"/>
      <c r="AI513" s="1930"/>
      <c r="AJ513" s="1930"/>
      <c r="AK513" s="1930"/>
      <c r="AL513" s="1930"/>
      <c r="AM513" s="1930"/>
      <c r="AN513" s="1930"/>
      <c r="AO513" s="1930"/>
      <c r="AP513" s="1930"/>
      <c r="AQ513" s="1930"/>
      <c r="AR513" s="1930"/>
      <c r="AS513" s="1930"/>
      <c r="AT513" s="1930"/>
      <c r="AU513" s="1930"/>
      <c r="AV513" s="1930"/>
      <c r="AW513" s="1930"/>
      <c r="AX513" s="1930"/>
      <c r="AY513" s="1930"/>
      <c r="AZ513" s="1930"/>
      <c r="BA513" s="1930"/>
      <c r="BB513" s="52">
        <f t="shared" si="108"/>
        <v>1.5783253482486381</v>
      </c>
      <c r="BC513" s="1948" t="str">
        <f t="shared" si="112"/>
        <v>Miscellaneous RES 10 Year EUL</v>
      </c>
      <c r="BD513" s="114">
        <f>(INDEX('Avoided Cost Benefits'!$C$4:$C$857,MATCH(BC513,'Avoided Cost Benefits'!$A$4:$A$857,0)))*F513</f>
        <v>44.690665830541896</v>
      </c>
      <c r="BE513" s="1949">
        <f t="shared" si="113"/>
        <v>28.315243039169417</v>
      </c>
    </row>
    <row r="514" spans="1:57" x14ac:dyDescent="0.25">
      <c r="C514" s="104" t="s">
        <v>2550</v>
      </c>
      <c r="D514" s="2667" t="s">
        <v>2406</v>
      </c>
      <c r="E514" s="3121" t="str">
        <f>'Efficient Products Deemed Table'!E226</f>
        <v>Advanced Tier 2 Power Strips -  G</v>
      </c>
      <c r="F514" s="105">
        <f t="shared" si="109"/>
        <v>108</v>
      </c>
      <c r="G514" s="1145" t="str">
        <f>'Efficient Products Deemed Table'!G226</f>
        <v>Miscellaneous RES</v>
      </c>
      <c r="H514" s="155">
        <f>'Efficient Products Deemed Table'!H226</f>
        <v>1.148238E-4</v>
      </c>
      <c r="I514" s="1531">
        <f t="shared" si="107"/>
        <v>1.2401000000000001E-2</v>
      </c>
      <c r="J514" s="141">
        <f t="shared" si="110"/>
        <v>10</v>
      </c>
      <c r="K514" s="1199">
        <f t="shared" si="111"/>
        <v>30</v>
      </c>
      <c r="L514" s="1230" t="str">
        <f>'Efficient Products Deemed Table'!L226</f>
        <v>per measure</v>
      </c>
      <c r="V514" s="160" t="str">
        <f t="shared" si="114"/>
        <v>kWh Annual Savings</v>
      </c>
      <c r="W514" s="801">
        <f>'Efficient Products Deemed Table'!W226</f>
        <v>108</v>
      </c>
      <c r="X514" s="801">
        <f>'Efficient Products Deemed Table'!X226</f>
        <v>108</v>
      </c>
      <c r="Y514" s="566">
        <v>108</v>
      </c>
      <c r="Z514" s="566">
        <v>108</v>
      </c>
      <c r="AA514" s="566">
        <v>108</v>
      </c>
      <c r="AB514" s="2231">
        <v>108</v>
      </c>
      <c r="AC514" s="2231">
        <v>108</v>
      </c>
      <c r="AD514" s="801"/>
      <c r="AE514" s="801"/>
      <c r="AF514" s="801"/>
      <c r="AG514" s="801"/>
      <c r="AH514" s="1930"/>
      <c r="AI514" s="1930"/>
      <c r="AJ514" s="1930"/>
      <c r="AK514" s="1930"/>
      <c r="AL514" s="1930"/>
      <c r="AM514" s="1930"/>
      <c r="AN514" s="1930"/>
      <c r="AO514" s="1930"/>
      <c r="AP514" s="1930"/>
      <c r="AQ514" s="1930"/>
      <c r="AR514" s="1930"/>
      <c r="AS514" s="1930"/>
      <c r="AT514" s="1930"/>
      <c r="AU514" s="1930"/>
      <c r="AV514" s="1930"/>
      <c r="AW514" s="1930"/>
      <c r="AX514" s="1930"/>
      <c r="AY514" s="1930"/>
      <c r="AZ514" s="1930"/>
      <c r="BA514" s="1930"/>
      <c r="BB514" s="52">
        <f t="shared" si="108"/>
        <v>1.3152711235405319</v>
      </c>
      <c r="BC514" s="1948" t="str">
        <f t="shared" si="112"/>
        <v>Miscellaneous RES 10 Year EUL</v>
      </c>
      <c r="BD514" s="114">
        <f>(INDEX('Avoided Cost Benefits'!$C$4:$C$857,MATCH(BC514,'Avoided Cost Benefits'!$A$4:$A$857,0)))*F514</f>
        <v>37.242221525451583</v>
      </c>
      <c r="BE514" s="1949">
        <f t="shared" si="113"/>
        <v>28.315243039169417</v>
      </c>
    </row>
    <row r="515" spans="1:57" x14ac:dyDescent="0.25">
      <c r="C515" s="104" t="s">
        <v>2551</v>
      </c>
      <c r="D515" s="2667" t="s">
        <v>2406</v>
      </c>
      <c r="E515" s="3121" t="str">
        <f>'Efficient Products Deemed Table'!E227</f>
        <v>Advanced Tier 2 Power Strips -  H</v>
      </c>
      <c r="F515" s="105">
        <f t="shared" si="109"/>
        <v>86.4</v>
      </c>
      <c r="G515" s="1145" t="str">
        <f>'Efficient Products Deemed Table'!G227</f>
        <v>Miscellaneous RES</v>
      </c>
      <c r="H515" s="155">
        <f>'Efficient Products Deemed Table'!H227</f>
        <v>1.148238E-4</v>
      </c>
      <c r="I515" s="1531">
        <f t="shared" si="107"/>
        <v>9.9209999999999993E-3</v>
      </c>
      <c r="J515" s="141">
        <f t="shared" si="110"/>
        <v>10</v>
      </c>
      <c r="K515" s="1199">
        <f t="shared" si="111"/>
        <v>30</v>
      </c>
      <c r="L515" s="1230" t="str">
        <f>'Efficient Products Deemed Table'!L227</f>
        <v>per measure</v>
      </c>
      <c r="V515" s="160" t="str">
        <f t="shared" si="114"/>
        <v>kWh Annual Savings</v>
      </c>
      <c r="W515" s="801">
        <f>'Efficient Products Deemed Table'!W227</f>
        <v>86.4</v>
      </c>
      <c r="X515" s="801">
        <f>'Efficient Products Deemed Table'!X227</f>
        <v>86.4</v>
      </c>
      <c r="Y515" s="566">
        <v>86.4</v>
      </c>
      <c r="Z515" s="566">
        <v>86.4</v>
      </c>
      <c r="AA515" s="566">
        <v>86.4</v>
      </c>
      <c r="AB515" s="2231">
        <v>86.4</v>
      </c>
      <c r="AC515" s="2231">
        <v>86.4</v>
      </c>
      <c r="AD515" s="801"/>
      <c r="AE515" s="801"/>
      <c r="AF515" s="801"/>
      <c r="AG515" s="801"/>
      <c r="AH515" s="1930"/>
      <c r="AI515" s="1930"/>
      <c r="AJ515" s="1930"/>
      <c r="AK515" s="1930"/>
      <c r="AL515" s="1930"/>
      <c r="AM515" s="1930"/>
      <c r="AN515" s="1930"/>
      <c r="AO515" s="1930"/>
      <c r="AP515" s="1930"/>
      <c r="AQ515" s="1930"/>
      <c r="AR515" s="1930"/>
      <c r="AS515" s="1930"/>
      <c r="AT515" s="1930"/>
      <c r="AU515" s="1930"/>
      <c r="AV515" s="1930"/>
      <c r="AW515" s="1930"/>
      <c r="AX515" s="1930"/>
      <c r="AY515" s="1930"/>
      <c r="AZ515" s="1930"/>
      <c r="BA515" s="1930"/>
      <c r="BB515" s="52">
        <f t="shared" si="108"/>
        <v>1.0522168988324256</v>
      </c>
      <c r="BC515" s="1948" t="str">
        <f t="shared" si="112"/>
        <v>Miscellaneous RES 10 Year EUL</v>
      </c>
      <c r="BD515" s="114">
        <f>(INDEX('Avoided Cost Benefits'!$C$4:$C$857,MATCH(BC515,'Avoided Cost Benefits'!$A$4:$A$857,0)))*F515</f>
        <v>29.793777220361267</v>
      </c>
      <c r="BE515" s="1949">
        <f t="shared" si="113"/>
        <v>28.315243039169417</v>
      </c>
    </row>
    <row r="516" spans="1:57" x14ac:dyDescent="0.25">
      <c r="C516" s="104" t="s">
        <v>2552</v>
      </c>
      <c r="D516" s="2667" t="s">
        <v>2406</v>
      </c>
      <c r="E516" s="3121" t="str">
        <f>'Efficient Products Deemed Table'!E228</f>
        <v>Advanced Tier 2 Power Strips / TOS/NC / Average</v>
      </c>
      <c r="F516" s="105">
        <f>ROUND(G532*$G$523*G533,2)</f>
        <v>162</v>
      </c>
      <c r="G516" s="1145" t="str">
        <f>'Efficient Products Deemed Table'!G228</f>
        <v>Miscellaneous RES</v>
      </c>
      <c r="H516" s="155">
        <f>'Efficient Products Deemed Table'!H228</f>
        <v>1.148238E-4</v>
      </c>
      <c r="I516" s="1531">
        <f t="shared" si="107"/>
        <v>1.8600999999999999E-2</v>
      </c>
      <c r="J516" s="141">
        <f t="shared" si="110"/>
        <v>10</v>
      </c>
      <c r="K516" s="1199">
        <f t="shared" si="111"/>
        <v>30</v>
      </c>
      <c r="L516" s="1230" t="str">
        <f>'Efficient Products Deemed Table'!L228</f>
        <v>per measure</v>
      </c>
      <c r="V516" s="160" t="str">
        <f t="shared" si="114"/>
        <v>kWh Annual Savings</v>
      </c>
      <c r="W516" s="801">
        <f>'Efficient Products Deemed Table'!W228</f>
        <v>162</v>
      </c>
      <c r="X516" s="801">
        <f>'Efficient Products Deemed Table'!X228</f>
        <v>162</v>
      </c>
      <c r="Y516" s="566">
        <v>162</v>
      </c>
      <c r="Z516" s="566">
        <v>162</v>
      </c>
      <c r="AA516" s="566">
        <v>162</v>
      </c>
      <c r="AB516" s="2231">
        <v>162</v>
      </c>
      <c r="AC516" s="2231">
        <v>162</v>
      </c>
      <c r="AD516" s="801"/>
      <c r="AE516" s="801"/>
      <c r="AF516" s="801"/>
      <c r="AG516" s="801"/>
      <c r="AH516" s="1930"/>
      <c r="AI516" s="1930"/>
      <c r="AJ516" s="1930"/>
      <c r="AK516" s="1930"/>
      <c r="AL516" s="1930"/>
      <c r="AM516" s="1930"/>
      <c r="AN516" s="1930"/>
      <c r="AO516" s="1930"/>
      <c r="AP516" s="1930"/>
      <c r="AQ516" s="1930"/>
      <c r="AR516" s="1930"/>
      <c r="AS516" s="1930"/>
      <c r="AT516" s="1930"/>
      <c r="AU516" s="1930"/>
      <c r="AV516" s="1930"/>
      <c r="AW516" s="1930"/>
      <c r="AX516" s="1930"/>
      <c r="AY516" s="1930"/>
      <c r="AZ516" s="1930"/>
      <c r="BA516" s="1930"/>
      <c r="BB516" s="53">
        <f t="shared" si="108"/>
        <v>1.9729066853107977</v>
      </c>
      <c r="BC516" s="1948" t="str">
        <f t="shared" si="112"/>
        <v>Miscellaneous RES 10 Year EUL</v>
      </c>
      <c r="BD516" s="119">
        <f>(INDEX('Avoided Cost Benefits'!$C$4:$C$857,MATCH(BC516,'Avoided Cost Benefits'!$A$4:$A$857,0)))*F516</f>
        <v>55.863332288177375</v>
      </c>
      <c r="BE516" s="1950">
        <f t="shared" si="113"/>
        <v>28.315243039169417</v>
      </c>
    </row>
    <row r="517" spans="1:57" hidden="1" outlineLevel="1" x14ac:dyDescent="0.25">
      <c r="H517" s="123" t="s">
        <v>2553</v>
      </c>
      <c r="I517" s="151"/>
      <c r="V517" s="1930"/>
      <c r="W517" s="1930"/>
      <c r="X517" s="1930"/>
      <c r="Y517" s="1930"/>
      <c r="Z517" s="1930"/>
      <c r="AA517" s="1930"/>
      <c r="AB517" s="1930"/>
      <c r="AC517" s="1930"/>
      <c r="AD517" s="1930"/>
      <c r="AE517" s="1930"/>
      <c r="AF517" s="1930"/>
      <c r="AG517" s="1930"/>
      <c r="AH517" s="1930"/>
      <c r="AI517" s="1930"/>
      <c r="AJ517" s="1930"/>
      <c r="AK517" s="1930"/>
      <c r="AL517" s="1930"/>
      <c r="AM517" s="1930"/>
      <c r="AN517" s="1930"/>
      <c r="AO517" s="1930"/>
      <c r="AP517" s="1930"/>
      <c r="AQ517" s="1930"/>
      <c r="AR517" s="1930"/>
      <c r="AS517" s="1930"/>
      <c r="AT517" s="1930"/>
      <c r="AU517" s="1930"/>
      <c r="AV517" s="1930"/>
      <c r="AW517" s="1930"/>
      <c r="AX517" s="1930"/>
      <c r="AY517" s="1930"/>
      <c r="AZ517" s="1930"/>
      <c r="BA517" s="1930"/>
      <c r="BC517" s="1930"/>
      <c r="BD517" s="1930"/>
      <c r="BE517" s="1930"/>
    </row>
    <row r="518" spans="1:57" hidden="1" outlineLevel="1" x14ac:dyDescent="0.25">
      <c r="D518" s="174" t="s">
        <v>108</v>
      </c>
      <c r="V518" s="1930"/>
      <c r="W518" s="1930"/>
      <c r="X518" s="1930"/>
      <c r="Y518" s="1930"/>
      <c r="Z518" s="1930"/>
      <c r="AA518" s="1930"/>
      <c r="AB518" s="1930"/>
      <c r="AC518" s="1930"/>
      <c r="AD518" s="1930"/>
      <c r="AE518" s="1930"/>
      <c r="AF518" s="1930"/>
      <c r="AG518" s="1930"/>
      <c r="AH518" s="1930"/>
      <c r="AI518" s="1930"/>
      <c r="AJ518" s="1930"/>
      <c r="AK518" s="1930"/>
      <c r="AL518" s="1930"/>
      <c r="AM518" s="1930"/>
      <c r="AN518" s="1930"/>
      <c r="AO518" s="1930"/>
      <c r="AP518" s="1930"/>
      <c r="AQ518" s="1930"/>
      <c r="AR518" s="1930"/>
      <c r="AS518" s="1930"/>
      <c r="AT518" s="1930"/>
      <c r="AU518" s="1930"/>
      <c r="AV518" s="1930"/>
      <c r="AW518" s="1930"/>
      <c r="AX518" s="1930"/>
      <c r="AY518" s="1930"/>
      <c r="AZ518" s="1930"/>
      <c r="BA518" s="1930"/>
      <c r="BC518" s="1930"/>
      <c r="BD518" s="1930"/>
      <c r="BE518" s="1930"/>
    </row>
    <row r="519" spans="1:57" hidden="1" outlineLevel="1" x14ac:dyDescent="0.25">
      <c r="V519" s="1930"/>
      <c r="W519" s="1930"/>
      <c r="X519" s="1930"/>
      <c r="Y519" s="1930"/>
      <c r="Z519" s="1930"/>
      <c r="AA519" s="1930"/>
      <c r="AB519" s="1930"/>
      <c r="AC519" s="1930"/>
      <c r="AD519" s="1930"/>
      <c r="AE519" s="1930"/>
      <c r="AF519" s="1930"/>
      <c r="AG519" s="1930"/>
      <c r="AH519" s="1930"/>
      <c r="AI519" s="1930"/>
      <c r="AJ519" s="1930"/>
      <c r="AK519" s="1930"/>
      <c r="AL519" s="1930"/>
      <c r="AM519" s="1930"/>
      <c r="AN519" s="1930"/>
      <c r="AO519" s="1930"/>
      <c r="AP519" s="1930"/>
      <c r="AQ519" s="1930"/>
      <c r="AR519" s="1930"/>
      <c r="AS519" s="1930"/>
      <c r="AT519" s="1930"/>
      <c r="AU519" s="1930"/>
      <c r="AV519" s="1930"/>
      <c r="AW519" s="1930"/>
      <c r="AX519" s="1930"/>
      <c r="AY519" s="1930"/>
      <c r="AZ519" s="1930"/>
      <c r="BA519" s="1930"/>
      <c r="BC519" s="1930"/>
      <c r="BD519" s="1930"/>
      <c r="BE519" s="1930"/>
    </row>
    <row r="520" spans="1:57" hidden="1" outlineLevel="1" x14ac:dyDescent="0.25">
      <c r="V520" s="1930"/>
      <c r="W520" s="1930"/>
      <c r="X520" s="1930"/>
      <c r="Y520" s="1930"/>
      <c r="Z520" s="1930"/>
      <c r="AA520" s="1930"/>
      <c r="AB520" s="1930"/>
      <c r="AC520" s="1930"/>
      <c r="AD520" s="1930"/>
      <c r="AE520" s="1930"/>
      <c r="AF520" s="1930"/>
      <c r="AG520" s="1930"/>
      <c r="AH520" s="1930"/>
      <c r="AI520" s="1930"/>
      <c r="AJ520" s="1930"/>
      <c r="AK520" s="1930"/>
      <c r="AL520" s="1930"/>
      <c r="AM520" s="1930"/>
      <c r="AN520" s="1930"/>
      <c r="AO520" s="1930"/>
      <c r="AP520" s="1930"/>
      <c r="AQ520" s="1930"/>
      <c r="AR520" s="1930"/>
      <c r="AS520" s="1930"/>
      <c r="AT520" s="1930"/>
      <c r="AU520" s="1930"/>
      <c r="AV520" s="1930"/>
      <c r="AW520" s="1930"/>
      <c r="AX520" s="1930"/>
      <c r="AY520" s="1930"/>
      <c r="AZ520" s="1930"/>
      <c r="BA520" s="1930"/>
      <c r="BC520" s="1930"/>
      <c r="BD520" s="1930"/>
      <c r="BE520" s="1930"/>
    </row>
    <row r="521" spans="1:57" hidden="1" outlineLevel="1" x14ac:dyDescent="0.25">
      <c r="V521" s="1930"/>
      <c r="W521" s="1930"/>
      <c r="X521" s="1930"/>
      <c r="Y521" s="1930"/>
      <c r="Z521" s="1930"/>
      <c r="AA521" s="1930"/>
      <c r="AB521" s="1930"/>
      <c r="AC521" s="1930"/>
      <c r="AD521" s="1930"/>
      <c r="AE521" s="1930"/>
      <c r="AF521" s="1930"/>
      <c r="AG521" s="1930"/>
      <c r="AH521" s="1930"/>
      <c r="AI521" s="1930"/>
      <c r="AJ521" s="1930"/>
      <c r="AK521" s="1930"/>
      <c r="AL521" s="1930"/>
      <c r="AM521" s="1930"/>
      <c r="AN521" s="1930"/>
      <c r="AO521" s="1930"/>
      <c r="AP521" s="1930"/>
      <c r="AQ521" s="1930"/>
      <c r="AR521" s="1930"/>
      <c r="AS521" s="1930"/>
      <c r="AT521" s="1930"/>
      <c r="AU521" s="1930"/>
      <c r="AV521" s="1930"/>
      <c r="AW521" s="1930"/>
      <c r="AX521" s="1930"/>
      <c r="AY521" s="1930"/>
      <c r="AZ521" s="1930"/>
      <c r="BA521" s="1930"/>
      <c r="BC521" s="1930"/>
      <c r="BD521" s="1930"/>
      <c r="BE521" s="1930"/>
    </row>
    <row r="522" spans="1:57" hidden="1" outlineLevel="1" x14ac:dyDescent="0.25">
      <c r="D522" s="3236" t="s">
        <v>109</v>
      </c>
      <c r="E522" s="3236" t="s">
        <v>110</v>
      </c>
      <c r="F522" s="3236" t="s">
        <v>186</v>
      </c>
      <c r="G522" s="3086" t="s">
        <v>112</v>
      </c>
      <c r="H522" s="3086" t="s">
        <v>187</v>
      </c>
      <c r="V522" s="1936" t="s">
        <v>45</v>
      </c>
      <c r="W522" s="1937">
        <v>43252</v>
      </c>
      <c r="X522" s="1937">
        <f>$X$6</f>
        <v>43465</v>
      </c>
      <c r="Y522" s="1937">
        <f>$Y$6</f>
        <v>43800</v>
      </c>
      <c r="Z522" s="1937">
        <f>$Z$6</f>
        <v>43862</v>
      </c>
      <c r="AA522" s="1937">
        <f>$AA$6</f>
        <v>44013</v>
      </c>
      <c r="AB522" s="1937">
        <f>$AB$6</f>
        <v>44166</v>
      </c>
      <c r="AC522" s="1937">
        <f>$AC$6</f>
        <v>44531</v>
      </c>
      <c r="AD522" s="1937" t="str">
        <f>$AD$6</f>
        <v>-</v>
      </c>
      <c r="AE522" s="1937" t="str">
        <f>$AE$6</f>
        <v>-</v>
      </c>
      <c r="AF522" s="1937" t="str">
        <f>$AF$6</f>
        <v>-</v>
      </c>
      <c r="AG522" s="1937" t="str">
        <f>$AG$6</f>
        <v>-</v>
      </c>
      <c r="AH522" s="97"/>
      <c r="AI522" s="1930"/>
      <c r="AJ522" s="1930"/>
      <c r="AK522" s="1930"/>
      <c r="AL522" s="1930"/>
      <c r="AM522" s="1930"/>
      <c r="AN522" s="1930"/>
      <c r="AO522" s="1930"/>
      <c r="AP522" s="1930"/>
      <c r="AQ522" s="1930"/>
      <c r="AR522" s="1930"/>
      <c r="AS522" s="1930"/>
      <c r="AT522" s="1930"/>
      <c r="AU522" s="1930"/>
      <c r="AV522" s="1930"/>
      <c r="AW522" s="1930"/>
      <c r="AX522" s="1930"/>
      <c r="AY522" s="1930"/>
      <c r="AZ522" s="1930"/>
      <c r="BA522" s="1930"/>
      <c r="BC522" s="1930"/>
      <c r="BD522" s="1930"/>
      <c r="BE522" s="1930"/>
    </row>
    <row r="523" spans="1:57" hidden="1" outlineLevel="1" x14ac:dyDescent="0.25">
      <c r="D523" s="3124" t="s">
        <v>411</v>
      </c>
      <c r="E523" s="3114" t="s">
        <v>412</v>
      </c>
      <c r="F523" s="3089" t="s">
        <v>135</v>
      </c>
      <c r="G523" s="1174">
        <v>432</v>
      </c>
      <c r="H523" s="3227"/>
      <c r="V523" s="3124" t="s">
        <v>411</v>
      </c>
      <c r="W523" s="1174">
        <v>432</v>
      </c>
      <c r="X523" s="1174">
        <v>432</v>
      </c>
      <c r="Y523" s="1174">
        <v>432</v>
      </c>
      <c r="Z523" s="1174">
        <v>432</v>
      </c>
      <c r="AA523" s="1174">
        <v>432</v>
      </c>
      <c r="AB523" s="1174">
        <v>432</v>
      </c>
      <c r="AC523" s="1174">
        <v>432</v>
      </c>
      <c r="AD523" s="2383"/>
      <c r="AE523" s="2383"/>
      <c r="AF523" s="2383"/>
      <c r="AG523" s="2383"/>
      <c r="AH523" s="97"/>
      <c r="AI523" s="1930"/>
      <c r="AJ523" s="1930"/>
      <c r="AK523" s="1930"/>
      <c r="AL523" s="1930"/>
      <c r="AM523" s="1930"/>
      <c r="AN523" s="1930"/>
      <c r="AO523" s="1930"/>
      <c r="AP523" s="1930"/>
      <c r="AQ523" s="1930"/>
      <c r="AR523" s="1930"/>
      <c r="AS523" s="1930"/>
      <c r="AT523" s="1930"/>
      <c r="AU523" s="1930"/>
      <c r="AV523" s="1930"/>
      <c r="AW523" s="1930"/>
      <c r="AX523" s="1930"/>
      <c r="AY523" s="1930"/>
      <c r="AZ523" s="1930"/>
      <c r="BA523" s="1930"/>
      <c r="BC523" s="1930"/>
      <c r="BD523" s="1930"/>
      <c r="BE523" s="1930"/>
    </row>
    <row r="524" spans="1:57" hidden="1" outlineLevel="1" x14ac:dyDescent="0.25">
      <c r="A524" s="151"/>
      <c r="B524" s="151"/>
      <c r="C524" s="149"/>
      <c r="D524" s="4393" t="s">
        <v>414</v>
      </c>
      <c r="E524" s="4393" t="s">
        <v>415</v>
      </c>
      <c r="F524" s="343" t="s">
        <v>416</v>
      </c>
      <c r="G524" s="2379">
        <v>0.55000000000000004</v>
      </c>
      <c r="H524" s="343" t="s">
        <v>417</v>
      </c>
      <c r="I524" s="151"/>
      <c r="J524" s="151"/>
      <c r="K524" s="151"/>
      <c r="L524" s="151"/>
      <c r="V524" s="4393" t="s">
        <v>414</v>
      </c>
      <c r="W524" s="2379">
        <v>0.55000000000000004</v>
      </c>
      <c r="X524" s="2379">
        <v>0.55000000000000004</v>
      </c>
      <c r="Y524" s="2379">
        <v>0.55000000000000004</v>
      </c>
      <c r="Z524" s="2379">
        <v>0.55000000000000004</v>
      </c>
      <c r="AA524" s="2379">
        <v>0.55000000000000004</v>
      </c>
      <c r="AB524" s="2379">
        <v>0.55000000000000004</v>
      </c>
      <c r="AC524" s="2379">
        <v>0.55000000000000004</v>
      </c>
      <c r="AD524" s="340"/>
      <c r="AE524" s="340"/>
      <c r="AF524" s="340"/>
      <c r="AG524" s="340"/>
      <c r="AH524" s="97"/>
      <c r="AI524" s="1930"/>
      <c r="AJ524" s="1930"/>
      <c r="AK524" s="1930"/>
      <c r="AL524" s="1930"/>
      <c r="AM524" s="1930"/>
      <c r="AN524" s="1930"/>
      <c r="AO524" s="1930"/>
      <c r="AP524" s="1930"/>
      <c r="AQ524" s="1930"/>
      <c r="AR524" s="1930"/>
      <c r="AS524" s="1930"/>
      <c r="AT524" s="1930"/>
      <c r="AU524" s="1930"/>
      <c r="AV524" s="1930"/>
      <c r="AW524" s="1930"/>
      <c r="AX524" s="1930"/>
      <c r="AY524" s="1930"/>
      <c r="AZ524" s="1930"/>
      <c r="BA524" s="1930"/>
      <c r="BC524" s="1930"/>
      <c r="BD524" s="1930"/>
      <c r="BE524" s="1930"/>
    </row>
    <row r="525" spans="1:57" hidden="1" outlineLevel="1" x14ac:dyDescent="0.25">
      <c r="A525" s="151"/>
      <c r="B525" s="151"/>
      <c r="C525" s="149"/>
      <c r="D525" s="4393"/>
      <c r="E525" s="4393"/>
      <c r="F525" s="343" t="s">
        <v>418</v>
      </c>
      <c r="G525" s="2379">
        <v>0.5</v>
      </c>
      <c r="H525" s="343" t="s">
        <v>417</v>
      </c>
      <c r="I525" s="151"/>
      <c r="J525" s="151"/>
      <c r="K525" s="151"/>
      <c r="L525" s="151"/>
      <c r="V525" s="4393"/>
      <c r="W525" s="2379">
        <v>0.5</v>
      </c>
      <c r="X525" s="2379">
        <v>0.5</v>
      </c>
      <c r="Y525" s="2379">
        <v>0.5</v>
      </c>
      <c r="Z525" s="2379">
        <v>0.5</v>
      </c>
      <c r="AA525" s="2379">
        <v>0.5</v>
      </c>
      <c r="AB525" s="2379">
        <v>0.5</v>
      </c>
      <c r="AC525" s="2379">
        <v>0.5</v>
      </c>
      <c r="AD525" s="340"/>
      <c r="AE525" s="340"/>
      <c r="AF525" s="340"/>
      <c r="AG525" s="340"/>
      <c r="AH525" s="97"/>
      <c r="AI525" s="1930"/>
      <c r="AJ525" s="1930"/>
      <c r="AK525" s="1930"/>
      <c r="AL525" s="1930"/>
      <c r="AM525" s="1930"/>
      <c r="AN525" s="1930"/>
      <c r="AO525" s="1930"/>
      <c r="AP525" s="1930"/>
      <c r="AQ525" s="1930"/>
      <c r="AR525" s="1930"/>
      <c r="AS525" s="1930"/>
      <c r="AT525" s="1930"/>
      <c r="AU525" s="1930"/>
      <c r="AV525" s="1930"/>
      <c r="AW525" s="1930"/>
      <c r="AX525" s="1930"/>
      <c r="AY525" s="1930"/>
      <c r="AZ525" s="1930"/>
      <c r="BA525" s="1930"/>
      <c r="BC525" s="1930"/>
      <c r="BD525" s="1930"/>
      <c r="BE525" s="1930"/>
    </row>
    <row r="526" spans="1:57" hidden="1" outlineLevel="1" x14ac:dyDescent="0.25">
      <c r="A526" s="151"/>
      <c r="B526" s="151"/>
      <c r="C526" s="149"/>
      <c r="D526" s="4393"/>
      <c r="E526" s="4393"/>
      <c r="F526" s="343" t="s">
        <v>420</v>
      </c>
      <c r="G526" s="2379">
        <v>0.45</v>
      </c>
      <c r="H526" s="343" t="s">
        <v>417</v>
      </c>
      <c r="I526" s="151"/>
      <c r="J526" s="151"/>
      <c r="K526" s="151"/>
      <c r="L526" s="151"/>
      <c r="V526" s="4393"/>
      <c r="W526" s="2379">
        <v>0.45</v>
      </c>
      <c r="X526" s="2379">
        <v>0.45</v>
      </c>
      <c r="Y526" s="2379">
        <v>0.45</v>
      </c>
      <c r="Z526" s="2379">
        <v>0.45</v>
      </c>
      <c r="AA526" s="2379">
        <v>0.45</v>
      </c>
      <c r="AB526" s="2379">
        <v>0.45</v>
      </c>
      <c r="AC526" s="2379">
        <v>0.45</v>
      </c>
      <c r="AD526" s="340"/>
      <c r="AE526" s="340"/>
      <c r="AF526" s="340"/>
      <c r="AG526" s="340"/>
      <c r="AH526" s="97"/>
      <c r="AI526" s="1930"/>
      <c r="AJ526" s="1930"/>
      <c r="AK526" s="1930"/>
      <c r="AL526" s="1930"/>
      <c r="AM526" s="1930"/>
      <c r="AN526" s="1930"/>
      <c r="AO526" s="1930"/>
      <c r="AP526" s="1930"/>
      <c r="AQ526" s="1930"/>
      <c r="AR526" s="1930"/>
      <c r="AS526" s="1930"/>
      <c r="AT526" s="1930"/>
      <c r="AU526" s="1930"/>
      <c r="AV526" s="1930"/>
      <c r="AW526" s="1930"/>
      <c r="AX526" s="1930"/>
      <c r="AY526" s="1930"/>
      <c r="AZ526" s="1930"/>
      <c r="BA526" s="1930"/>
      <c r="BC526" s="1930"/>
      <c r="BD526" s="1930"/>
      <c r="BE526" s="1930"/>
    </row>
    <row r="527" spans="1:57" hidden="1" outlineLevel="1" x14ac:dyDescent="0.25">
      <c r="A527" s="151"/>
      <c r="B527" s="151"/>
      <c r="C527" s="149"/>
      <c r="D527" s="4393"/>
      <c r="E527" s="4393"/>
      <c r="F527" s="343" t="s">
        <v>421</v>
      </c>
      <c r="G527" s="2379">
        <v>0.4</v>
      </c>
      <c r="H527" s="343" t="s">
        <v>417</v>
      </c>
      <c r="I527" s="151"/>
      <c r="J527" s="151"/>
      <c r="K527" s="151"/>
      <c r="L527" s="151"/>
      <c r="V527" s="4393"/>
      <c r="W527" s="2379">
        <v>0.4</v>
      </c>
      <c r="X527" s="2379">
        <v>0.4</v>
      </c>
      <c r="Y527" s="2379">
        <v>0.4</v>
      </c>
      <c r="Z527" s="2379">
        <v>0.4</v>
      </c>
      <c r="AA527" s="2379">
        <v>0.4</v>
      </c>
      <c r="AB527" s="2379">
        <v>0.4</v>
      </c>
      <c r="AC527" s="2379">
        <v>0.4</v>
      </c>
      <c r="AD527" s="340"/>
      <c r="AE527" s="340"/>
      <c r="AF527" s="340"/>
      <c r="AG527" s="340"/>
      <c r="AH527" s="97"/>
      <c r="AI527" s="1930"/>
      <c r="AJ527" s="1930"/>
      <c r="AK527" s="1930"/>
      <c r="AL527" s="1930"/>
      <c r="AM527" s="1930"/>
      <c r="AN527" s="1930"/>
      <c r="AO527" s="1930"/>
      <c r="AP527" s="1930"/>
      <c r="AQ527" s="1930"/>
      <c r="AR527" s="1930"/>
      <c r="AS527" s="1930"/>
      <c r="AT527" s="1930"/>
      <c r="AU527" s="1930"/>
      <c r="AV527" s="1930"/>
      <c r="AW527" s="1930"/>
      <c r="AX527" s="1930"/>
      <c r="AY527" s="1930"/>
      <c r="AZ527" s="1930"/>
      <c r="BA527" s="1930"/>
      <c r="BC527" s="1930"/>
      <c r="BD527" s="1930"/>
      <c r="BE527" s="1930"/>
    </row>
    <row r="528" spans="1:57" hidden="1" outlineLevel="1" x14ac:dyDescent="0.25">
      <c r="A528" s="151"/>
      <c r="B528" s="151"/>
      <c r="C528" s="149"/>
      <c r="D528" s="4393"/>
      <c r="E528" s="4393"/>
      <c r="F528" s="343" t="s">
        <v>422</v>
      </c>
      <c r="G528" s="2379">
        <v>0.35</v>
      </c>
      <c r="H528" s="343" t="s">
        <v>417</v>
      </c>
      <c r="I528" s="151"/>
      <c r="J528" s="151"/>
      <c r="K528" s="151"/>
      <c r="L528" s="151"/>
      <c r="V528" s="4393"/>
      <c r="W528" s="2379">
        <v>0.35</v>
      </c>
      <c r="X528" s="2379">
        <v>0.35</v>
      </c>
      <c r="Y528" s="2379">
        <v>0.35</v>
      </c>
      <c r="Z528" s="2379">
        <v>0.35</v>
      </c>
      <c r="AA528" s="2379">
        <v>0.35</v>
      </c>
      <c r="AB528" s="2379">
        <v>0.35</v>
      </c>
      <c r="AC528" s="2379">
        <v>0.35</v>
      </c>
      <c r="AD528" s="340"/>
      <c r="AE528" s="340"/>
      <c r="AF528" s="340"/>
      <c r="AG528" s="340"/>
      <c r="AH528" s="97"/>
      <c r="AI528" s="1930"/>
      <c r="AJ528" s="1930"/>
      <c r="AK528" s="1930"/>
      <c r="AL528" s="1930"/>
      <c r="AM528" s="1930"/>
      <c r="AN528" s="1930"/>
      <c r="AO528" s="1930"/>
      <c r="AP528" s="1930"/>
      <c r="AQ528" s="1930"/>
      <c r="AR528" s="1930"/>
      <c r="AS528" s="1930"/>
      <c r="AT528" s="1930"/>
      <c r="AU528" s="1930"/>
      <c r="AV528" s="1930"/>
      <c r="AW528" s="1930"/>
      <c r="AX528" s="1930"/>
      <c r="AY528" s="1930"/>
      <c r="AZ528" s="1930"/>
      <c r="BA528" s="1930"/>
      <c r="BC528" s="1930"/>
      <c r="BD528" s="1930"/>
      <c r="BE528" s="1930"/>
    </row>
    <row r="529" spans="1:57" hidden="1" outlineLevel="1" x14ac:dyDescent="0.25">
      <c r="A529" s="151"/>
      <c r="B529" s="151"/>
      <c r="C529" s="149"/>
      <c r="D529" s="4393"/>
      <c r="E529" s="4393"/>
      <c r="F529" s="343" t="s">
        <v>423</v>
      </c>
      <c r="G529" s="2379">
        <v>0.3</v>
      </c>
      <c r="H529" s="343" t="s">
        <v>417</v>
      </c>
      <c r="I529" s="151"/>
      <c r="J529" s="151"/>
      <c r="K529" s="151"/>
      <c r="L529" s="151"/>
      <c r="V529" s="4393"/>
      <c r="W529" s="2379">
        <v>0.3</v>
      </c>
      <c r="X529" s="2379">
        <v>0.3</v>
      </c>
      <c r="Y529" s="2379">
        <v>0.3</v>
      </c>
      <c r="Z529" s="2379">
        <v>0.3</v>
      </c>
      <c r="AA529" s="2379">
        <v>0.3</v>
      </c>
      <c r="AB529" s="2379">
        <v>0.3</v>
      </c>
      <c r="AC529" s="2379">
        <v>0.3</v>
      </c>
      <c r="AD529" s="340"/>
      <c r="AE529" s="340"/>
      <c r="AF529" s="340"/>
      <c r="AG529" s="340"/>
      <c r="AH529" s="97"/>
      <c r="AI529" s="1930"/>
      <c r="AJ529" s="1930"/>
      <c r="AK529" s="1930"/>
      <c r="AL529" s="1930"/>
      <c r="AM529" s="1930"/>
      <c r="AN529" s="1930"/>
      <c r="AO529" s="1930"/>
      <c r="AP529" s="1930"/>
      <c r="AQ529" s="1930"/>
      <c r="AR529" s="1930"/>
      <c r="AS529" s="1930"/>
      <c r="AT529" s="1930"/>
      <c r="AU529" s="1930"/>
      <c r="AV529" s="1930"/>
      <c r="AW529" s="1930"/>
      <c r="AX529" s="1930"/>
      <c r="AY529" s="1930"/>
      <c r="AZ529" s="1930"/>
      <c r="BA529" s="1930"/>
      <c r="BC529" s="1930"/>
      <c r="BD529" s="1930"/>
      <c r="BE529" s="1930"/>
    </row>
    <row r="530" spans="1:57" s="1930" customFormat="1" hidden="1" outlineLevel="1" x14ac:dyDescent="0.25">
      <c r="A530" s="151"/>
      <c r="B530" s="151"/>
      <c r="C530" s="149"/>
      <c r="D530" s="4393"/>
      <c r="E530" s="4393"/>
      <c r="F530" s="343" t="s">
        <v>424</v>
      </c>
      <c r="G530" s="2379">
        <v>0.25</v>
      </c>
      <c r="H530" s="343" t="s">
        <v>417</v>
      </c>
      <c r="I530" s="151"/>
      <c r="J530" s="151"/>
      <c r="K530" s="151"/>
      <c r="L530" s="151"/>
      <c r="M530" s="123"/>
      <c r="N530" s="123"/>
      <c r="O530" s="123"/>
      <c r="P530" s="123"/>
      <c r="Q530" s="123"/>
      <c r="R530" s="123"/>
      <c r="S530" s="123"/>
      <c r="T530" s="123"/>
      <c r="U530" s="123"/>
      <c r="V530" s="4393"/>
      <c r="W530" s="2379">
        <v>0.25</v>
      </c>
      <c r="X530" s="2379">
        <v>0.25</v>
      </c>
      <c r="Y530" s="2379">
        <v>0.25</v>
      </c>
      <c r="Z530" s="2379">
        <v>0.25</v>
      </c>
      <c r="AA530" s="2379">
        <v>0.25</v>
      </c>
      <c r="AB530" s="2379">
        <v>0.25</v>
      </c>
      <c r="AC530" s="2379">
        <v>0.25</v>
      </c>
      <c r="AD530" s="340"/>
      <c r="AE530" s="340"/>
      <c r="AF530" s="340"/>
      <c r="AG530" s="340"/>
      <c r="AH530" s="97"/>
      <c r="BB530" s="950"/>
    </row>
    <row r="531" spans="1:57" s="1930" customFormat="1" hidden="1" outlineLevel="1" x14ac:dyDescent="0.25">
      <c r="A531" s="151"/>
      <c r="B531" s="151"/>
      <c r="C531" s="149"/>
      <c r="D531" s="4393"/>
      <c r="E531" s="4393"/>
      <c r="F531" s="343" t="s">
        <v>425</v>
      </c>
      <c r="G531" s="2379">
        <v>0.2</v>
      </c>
      <c r="H531" s="343" t="s">
        <v>417</v>
      </c>
      <c r="I531" s="151"/>
      <c r="J531" s="151"/>
      <c r="K531" s="151"/>
      <c r="L531" s="151"/>
      <c r="M531" s="123"/>
      <c r="N531" s="123"/>
      <c r="O531" s="123"/>
      <c r="P531" s="123"/>
      <c r="Q531" s="123"/>
      <c r="R531" s="123"/>
      <c r="S531" s="123"/>
      <c r="T531" s="123"/>
      <c r="U531" s="123"/>
      <c r="V531" s="4393"/>
      <c r="W531" s="2379">
        <v>0.2</v>
      </c>
      <c r="X531" s="2379">
        <v>0.2</v>
      </c>
      <c r="Y531" s="2379">
        <v>0.2</v>
      </c>
      <c r="Z531" s="2379">
        <v>0.2</v>
      </c>
      <c r="AA531" s="2379">
        <v>0.2</v>
      </c>
      <c r="AB531" s="2379">
        <v>0.2</v>
      </c>
      <c r="AC531" s="2379">
        <v>0.2</v>
      </c>
      <c r="AD531" s="340"/>
      <c r="AE531" s="340"/>
      <c r="AF531" s="340"/>
      <c r="AG531" s="340"/>
      <c r="AH531" s="97"/>
      <c r="BB531" s="950"/>
    </row>
    <row r="532" spans="1:57" s="1930" customFormat="1" hidden="1" outlineLevel="1" x14ac:dyDescent="0.25">
      <c r="A532" s="151"/>
      <c r="B532" s="151"/>
      <c r="C532" s="149"/>
      <c r="D532" s="4393"/>
      <c r="E532" s="4393"/>
      <c r="F532" s="343" t="s">
        <v>426</v>
      </c>
      <c r="G532" s="2380">
        <f>AVERAGE(G525,G530)</f>
        <v>0.375</v>
      </c>
      <c r="H532" s="2381" t="s">
        <v>427</v>
      </c>
      <c r="I532" s="151"/>
      <c r="J532" s="151"/>
      <c r="K532" s="151"/>
      <c r="L532" s="151"/>
      <c r="M532" s="123"/>
      <c r="N532" s="123"/>
      <c r="O532" s="123"/>
      <c r="P532" s="123"/>
      <c r="Q532" s="123"/>
      <c r="R532" s="123"/>
      <c r="S532" s="123"/>
      <c r="T532" s="123"/>
      <c r="U532" s="123"/>
      <c r="V532" s="4393"/>
      <c r="W532" s="2380">
        <f t="shared" ref="W532:AA532" si="115">AVERAGE(W525,W530)</f>
        <v>0.375</v>
      </c>
      <c r="X532" s="2380">
        <f t="shared" si="115"/>
        <v>0.375</v>
      </c>
      <c r="Y532" s="2380">
        <f t="shared" si="115"/>
        <v>0.375</v>
      </c>
      <c r="Z532" s="2380">
        <f t="shared" si="115"/>
        <v>0.375</v>
      </c>
      <c r="AA532" s="2380">
        <f t="shared" si="115"/>
        <v>0.375</v>
      </c>
      <c r="AB532" s="2380">
        <v>0.375</v>
      </c>
      <c r="AC532" s="2380">
        <v>0.375</v>
      </c>
      <c r="AD532" s="340"/>
      <c r="AE532" s="340"/>
      <c r="AF532" s="340"/>
      <c r="AG532" s="340"/>
      <c r="AH532" s="97"/>
      <c r="BB532" s="950"/>
    </row>
    <row r="533" spans="1:57" s="1930" customFormat="1" hidden="1" outlineLevel="1" x14ac:dyDescent="0.25">
      <c r="A533" s="151"/>
      <c r="B533" s="151"/>
      <c r="C533" s="149"/>
      <c r="D533" s="2642" t="s">
        <v>133</v>
      </c>
      <c r="E533" s="2642" t="s">
        <v>428</v>
      </c>
      <c r="F533" s="343" t="s">
        <v>135</v>
      </c>
      <c r="G533" s="323">
        <v>1</v>
      </c>
      <c r="H533" s="2381"/>
      <c r="I533" s="151"/>
      <c r="J533" s="151"/>
      <c r="K533" s="151"/>
      <c r="L533" s="151"/>
      <c r="M533" s="123"/>
      <c r="N533" s="123"/>
      <c r="O533" s="123"/>
      <c r="P533" s="123"/>
      <c r="Q533" s="123"/>
      <c r="R533" s="123"/>
      <c r="S533" s="123"/>
      <c r="T533" s="123"/>
      <c r="U533" s="123"/>
      <c r="V533" s="2642" t="s">
        <v>133</v>
      </c>
      <c r="W533" s="323">
        <v>1</v>
      </c>
      <c r="X533" s="323">
        <v>1</v>
      </c>
      <c r="Y533" s="323">
        <v>1</v>
      </c>
      <c r="Z533" s="323">
        <v>1</v>
      </c>
      <c r="AA533" s="323">
        <v>1</v>
      </c>
      <c r="AB533" s="323">
        <v>1</v>
      </c>
      <c r="AC533" s="323">
        <v>1</v>
      </c>
      <c r="AD533" s="340"/>
      <c r="AE533" s="340"/>
      <c r="AF533" s="340"/>
      <c r="AG533" s="340"/>
      <c r="AH533" s="97"/>
      <c r="BB533" s="950"/>
    </row>
    <row r="534" spans="1:57" hidden="1" outlineLevel="1" x14ac:dyDescent="0.25">
      <c r="A534" s="151"/>
      <c r="B534" s="151"/>
      <c r="C534" s="149"/>
      <c r="D534" s="2643" t="s">
        <v>181</v>
      </c>
      <c r="E534" s="2643" t="s">
        <v>167</v>
      </c>
      <c r="F534" s="343" t="s">
        <v>135</v>
      </c>
      <c r="G534" s="1399">
        <v>10</v>
      </c>
      <c r="H534" s="2381"/>
      <c r="I534" s="151"/>
      <c r="J534" s="151"/>
      <c r="K534" s="151"/>
      <c r="L534" s="151"/>
      <c r="V534" s="2643" t="s">
        <v>181</v>
      </c>
      <c r="W534" s="1399">
        <v>10</v>
      </c>
      <c r="X534" s="1399">
        <v>10</v>
      </c>
      <c r="Y534" s="1399">
        <v>10</v>
      </c>
      <c r="Z534" s="1399">
        <v>10</v>
      </c>
      <c r="AA534" s="1399">
        <v>10</v>
      </c>
      <c r="AB534" s="1399">
        <v>10</v>
      </c>
      <c r="AC534" s="1399">
        <v>10</v>
      </c>
      <c r="AD534" s="341"/>
      <c r="AE534" s="341"/>
      <c r="AF534" s="341"/>
      <c r="AG534" s="341"/>
      <c r="AH534" s="97"/>
      <c r="AI534" s="342"/>
      <c r="AJ534" s="342"/>
      <c r="AK534" s="320"/>
      <c r="AL534" s="320"/>
      <c r="AM534" s="320"/>
      <c r="AN534" s="320"/>
      <c r="AO534" s="320"/>
      <c r="AP534" s="320"/>
      <c r="AQ534" s="320"/>
      <c r="AR534" s="320"/>
      <c r="AS534" s="320"/>
      <c r="AT534" s="1930"/>
      <c r="AU534" s="1930"/>
      <c r="AV534" s="1930"/>
      <c r="AW534" s="1930"/>
      <c r="AX534" s="1930"/>
      <c r="AY534" s="1930"/>
      <c r="AZ534" s="1930"/>
      <c r="BA534" s="1930"/>
      <c r="BC534" s="1930"/>
      <c r="BD534" s="1930"/>
      <c r="BE534" s="1930"/>
    </row>
    <row r="535" spans="1:57" hidden="1" outlineLevel="1" x14ac:dyDescent="0.25">
      <c r="A535" s="151"/>
      <c r="B535" s="151"/>
      <c r="C535" s="149"/>
      <c r="D535" s="2644" t="s">
        <v>170</v>
      </c>
      <c r="E535" s="2645" t="s">
        <v>171</v>
      </c>
      <c r="F535" s="343" t="s">
        <v>135</v>
      </c>
      <c r="G535" s="2342">
        <v>30</v>
      </c>
      <c r="H535" s="2382" t="s">
        <v>2554</v>
      </c>
      <c r="I535" s="151"/>
      <c r="J535" s="151"/>
      <c r="K535" s="151"/>
      <c r="L535" s="151"/>
      <c r="V535" s="2644" t="s">
        <v>170</v>
      </c>
      <c r="W535" s="2342">
        <v>30</v>
      </c>
      <c r="X535" s="2342">
        <v>30</v>
      </c>
      <c r="Y535" s="2342">
        <v>30</v>
      </c>
      <c r="Z535" s="2342">
        <v>30</v>
      </c>
      <c r="AA535" s="2342">
        <v>30</v>
      </c>
      <c r="AB535" s="2342">
        <v>30</v>
      </c>
      <c r="AC535" s="2342">
        <v>30</v>
      </c>
      <c r="AD535" s="344"/>
      <c r="AE535" s="344"/>
      <c r="AF535" s="344"/>
      <c r="AG535" s="344"/>
      <c r="AH535" s="97"/>
      <c r="AI535" s="342"/>
      <c r="AJ535" s="342"/>
      <c r="AK535" s="320"/>
      <c r="AL535" s="320"/>
      <c r="AM535" s="320"/>
      <c r="AN535" s="320"/>
      <c r="AO535" s="320"/>
      <c r="AP535" s="320"/>
      <c r="AQ535" s="320"/>
      <c r="AR535" s="320"/>
      <c r="AS535" s="320"/>
      <c r="AT535" s="1930"/>
      <c r="AU535" s="1930"/>
      <c r="AV535" s="1930"/>
      <c r="AW535" s="1930"/>
      <c r="AX535" s="1930"/>
      <c r="AY535" s="1930"/>
      <c r="AZ535" s="1930"/>
      <c r="BA535" s="1930"/>
      <c r="BC535" s="1930"/>
      <c r="BD535" s="1930"/>
      <c r="BE535" s="1930"/>
    </row>
    <row r="536" spans="1:57" collapsed="1" x14ac:dyDescent="0.25">
      <c r="A536" s="223"/>
      <c r="B536" s="223"/>
      <c r="C536" s="181"/>
      <c r="D536" s="222"/>
      <c r="E536" s="222"/>
      <c r="F536" s="223"/>
      <c r="G536" s="223"/>
      <c r="H536" s="223"/>
      <c r="I536" s="223"/>
      <c r="J536" s="223"/>
      <c r="K536" s="223"/>
      <c r="L536" s="223"/>
      <c r="V536" s="1930"/>
      <c r="W536" s="1930"/>
      <c r="X536" s="1930"/>
      <c r="Y536" s="1930"/>
      <c r="Z536" s="1930"/>
      <c r="AA536" s="1930"/>
      <c r="AB536" s="1930"/>
      <c r="AC536" s="1930"/>
      <c r="AD536" s="1930"/>
      <c r="AE536" s="1930"/>
      <c r="AF536" s="1930"/>
      <c r="AG536" s="1930"/>
      <c r="AH536" s="1930"/>
      <c r="AI536" s="1930"/>
      <c r="AJ536" s="1930"/>
      <c r="AK536" s="1930"/>
      <c r="AL536" s="1930"/>
      <c r="AM536" s="1930"/>
      <c r="AN536" s="1930"/>
      <c r="AO536" s="1930"/>
      <c r="AP536" s="1930"/>
      <c r="AQ536" s="1930"/>
      <c r="AR536" s="1930"/>
      <c r="AS536" s="1930"/>
      <c r="AT536" s="1930"/>
      <c r="AU536" s="1930"/>
      <c r="AV536" s="1930"/>
      <c r="AW536" s="1930"/>
      <c r="AX536" s="1930"/>
      <c r="AY536" s="1930"/>
      <c r="AZ536" s="1930"/>
      <c r="BA536" s="1930"/>
      <c r="BC536" s="1930"/>
      <c r="BD536" s="1930"/>
      <c r="BE536" s="1930"/>
    </row>
    <row r="537" spans="1:57" x14ac:dyDescent="0.25">
      <c r="A537" s="223"/>
      <c r="B537" s="223"/>
      <c r="C537" s="181"/>
      <c r="D537" s="222"/>
      <c r="E537" s="222"/>
      <c r="F537" s="223"/>
      <c r="G537" s="223"/>
      <c r="H537" s="223"/>
      <c r="I537" s="223"/>
      <c r="J537" s="223"/>
      <c r="K537" s="223"/>
      <c r="L537" s="223"/>
      <c r="V537" s="1930"/>
      <c r="W537" s="1930"/>
      <c r="X537" s="1930"/>
      <c r="Y537" s="1930"/>
      <c r="Z537" s="1930"/>
      <c r="AA537" s="1930"/>
      <c r="AB537" s="1930"/>
      <c r="AC537" s="1930"/>
      <c r="AD537" s="1930"/>
      <c r="AE537" s="1930"/>
      <c r="AF537" s="1930"/>
      <c r="AG537" s="1930"/>
      <c r="AH537" s="1930"/>
      <c r="AI537" s="1930"/>
      <c r="AJ537" s="1930"/>
      <c r="AK537" s="1930"/>
      <c r="AL537" s="1930"/>
      <c r="AM537" s="1930"/>
      <c r="AN537" s="1930"/>
      <c r="AO537" s="1930"/>
      <c r="AP537" s="1930"/>
      <c r="AQ537" s="1930"/>
      <c r="AR537" s="1930"/>
      <c r="AS537" s="1930"/>
      <c r="AT537" s="1930"/>
      <c r="AU537" s="1930"/>
      <c r="AV537" s="1930"/>
      <c r="AW537" s="1930"/>
      <c r="AX537" s="1930"/>
      <c r="AY537" s="1930"/>
      <c r="AZ537" s="1930"/>
      <c r="BA537" s="1930"/>
      <c r="BC537" s="1930"/>
      <c r="BD537" s="1930"/>
      <c r="BE537" s="1930"/>
    </row>
    <row r="538" spans="1:57" s="147" customFormat="1" x14ac:dyDescent="0.25">
      <c r="B538" s="3750" t="s">
        <v>2555</v>
      </c>
      <c r="C538" s="3751"/>
      <c r="D538" s="3751"/>
      <c r="E538" s="3751"/>
      <c r="F538" s="3751"/>
      <c r="G538" s="3751"/>
      <c r="H538" s="3751"/>
      <c r="I538" s="3744"/>
      <c r="J538" s="3744"/>
      <c r="K538" s="3744"/>
      <c r="L538" s="3744"/>
      <c r="M538" s="3744"/>
      <c r="N538" s="3744"/>
      <c r="O538" s="3744"/>
      <c r="P538" s="3744"/>
      <c r="Q538" s="3745"/>
      <c r="V538" s="3750" t="str">
        <f>B538</f>
        <v>High Efficienty Pool Pump</v>
      </c>
      <c r="W538" s="3751"/>
      <c r="X538" s="3751"/>
      <c r="Y538" s="3751"/>
      <c r="Z538" s="3751"/>
      <c r="AA538" s="3751"/>
      <c r="AB538" s="3751"/>
      <c r="AC538" s="3751"/>
      <c r="AD538" s="3751"/>
      <c r="AE538" s="3751"/>
      <c r="AF538" s="3751"/>
      <c r="AG538" s="3751"/>
      <c r="AH538" s="3751"/>
      <c r="AI538" s="4120"/>
      <c r="AJ538" s="1930"/>
      <c r="BB538" s="844"/>
    </row>
    <row r="539" spans="1:57" ht="15" customHeight="1" x14ac:dyDescent="0.25">
      <c r="B539" s="1752"/>
      <c r="C539" s="1753"/>
      <c r="D539" s="1198"/>
      <c r="E539" s="1198"/>
      <c r="F539" s="1752"/>
      <c r="G539" s="1752"/>
      <c r="H539" s="1752"/>
      <c r="I539" s="1752"/>
      <c r="J539" s="1752"/>
      <c r="K539" s="1752"/>
      <c r="L539" s="1752"/>
      <c r="V539" s="1930"/>
      <c r="W539" s="1930"/>
      <c r="X539" s="1930"/>
      <c r="Y539" s="1930"/>
      <c r="Z539" s="1930"/>
      <c r="AA539" s="1930"/>
      <c r="AB539" s="1930"/>
      <c r="AC539" s="1930"/>
      <c r="AD539" s="1930"/>
      <c r="AE539" s="1930"/>
      <c r="AF539" s="1930"/>
      <c r="AG539" s="1930"/>
      <c r="AH539" s="1930"/>
      <c r="AI539" s="1930"/>
      <c r="AJ539" s="1930"/>
      <c r="AK539" s="1930"/>
      <c r="AL539" s="1930"/>
      <c r="AM539" s="1930"/>
      <c r="AN539" s="1930"/>
      <c r="AO539" s="1930"/>
      <c r="AP539" s="1930"/>
      <c r="AQ539" s="1930"/>
      <c r="AR539" s="1930"/>
      <c r="AS539" s="1930"/>
      <c r="AT539" s="1930"/>
      <c r="AU539" s="1930"/>
      <c r="AV539" s="1930"/>
      <c r="AW539" s="1930"/>
      <c r="AX539" s="1930"/>
      <c r="AY539" s="1930"/>
      <c r="AZ539" s="1930"/>
      <c r="BA539" s="1930"/>
      <c r="BC539" s="1930"/>
      <c r="BD539" s="1930"/>
      <c r="BE539" s="1930"/>
    </row>
    <row r="540" spans="1:57" ht="30" x14ac:dyDescent="0.25">
      <c r="B540" s="1752"/>
      <c r="C540" s="3086" t="s">
        <v>28</v>
      </c>
      <c r="D540" s="3086" t="s">
        <v>175</v>
      </c>
      <c r="E540" s="3086" t="s">
        <v>30</v>
      </c>
      <c r="F540" s="3086" t="s">
        <v>31</v>
      </c>
      <c r="G540" s="3086" t="s">
        <v>176</v>
      </c>
      <c r="H540" s="3086" t="s">
        <v>177</v>
      </c>
      <c r="I540" s="3086" t="s">
        <v>2556</v>
      </c>
      <c r="J540" s="3086" t="s">
        <v>2557</v>
      </c>
      <c r="K540" s="3086" t="s">
        <v>2558</v>
      </c>
      <c r="L540" s="3086" t="s">
        <v>32</v>
      </c>
      <c r="M540" s="3086" t="s">
        <v>181</v>
      </c>
      <c r="N540" s="3086" t="s">
        <v>170</v>
      </c>
      <c r="O540" s="3086" t="s">
        <v>44</v>
      </c>
      <c r="V540" s="1936" t="s">
        <v>45</v>
      </c>
      <c r="W540" s="1937">
        <f>W$6</f>
        <v>43252</v>
      </c>
      <c r="X540" s="1937">
        <f t="shared" ref="X540:AG540" si="116">X$6</f>
        <v>43465</v>
      </c>
      <c r="Y540" s="1937">
        <f t="shared" si="116"/>
        <v>43800</v>
      </c>
      <c r="Z540" s="1937">
        <f t="shared" si="116"/>
        <v>43862</v>
      </c>
      <c r="AA540" s="1937">
        <f t="shared" si="116"/>
        <v>44013</v>
      </c>
      <c r="AB540" s="1937">
        <f t="shared" si="116"/>
        <v>44166</v>
      </c>
      <c r="AC540" s="1937">
        <f t="shared" si="116"/>
        <v>44531</v>
      </c>
      <c r="AD540" s="1937" t="str">
        <f t="shared" si="116"/>
        <v>-</v>
      </c>
      <c r="AE540" s="1937" t="str">
        <f t="shared" si="116"/>
        <v>-</v>
      </c>
      <c r="AF540" s="1937" t="str">
        <f t="shared" si="116"/>
        <v>-</v>
      </c>
      <c r="AG540" s="1937" t="str">
        <f t="shared" si="116"/>
        <v>-</v>
      </c>
      <c r="AH540" s="1930"/>
      <c r="AI540" s="1930"/>
      <c r="AJ540" s="1930"/>
      <c r="AK540" s="1930"/>
      <c r="AL540" s="1930"/>
      <c r="AM540" s="1930"/>
      <c r="AN540" s="1930"/>
      <c r="AO540" s="1930"/>
      <c r="AP540" s="1930"/>
      <c r="AQ540" s="1930"/>
      <c r="AR540" s="1930"/>
      <c r="AS540" s="1930"/>
      <c r="AT540" s="1930"/>
      <c r="AU540" s="1930"/>
      <c r="AV540" s="1930"/>
      <c r="AW540" s="1930"/>
      <c r="AX540" s="1930"/>
      <c r="AY540" s="1930"/>
      <c r="AZ540" s="1930"/>
      <c r="BA540" s="1930"/>
      <c r="BB540" s="1938" t="str">
        <f>$BB$6</f>
        <v>TRC (2020)</v>
      </c>
      <c r="BC540" s="1953" t="str">
        <f>$BC$6</f>
        <v>Benefit Lookup</v>
      </c>
      <c r="BD540" s="665" t="str">
        <f>$BD$6</f>
        <v>Benefits (2019 $)</v>
      </c>
      <c r="BE540" s="230" t="str">
        <f>$BE$6</f>
        <v>Incremental Cost (2019 $)</v>
      </c>
    </row>
    <row r="541" spans="1:57" x14ac:dyDescent="0.25">
      <c r="B541" s="1752"/>
      <c r="C541" s="1975" t="s">
        <v>4283</v>
      </c>
      <c r="D541" s="2667" t="s">
        <v>2406</v>
      </c>
      <c r="E541" s="3127" t="s">
        <v>4282</v>
      </c>
      <c r="F541" s="527">
        <f>ROUND(($F$565*$F$566*(1/$F$567-1/$F$568)*$F$570)/$F$581,2)</f>
        <v>315.20999999999998</v>
      </c>
      <c r="G541" s="3227" t="s">
        <v>338</v>
      </c>
      <c r="H541" s="155">
        <f>VLOOKUP(G541,'CP FACTORS'!$A$3:$B$38, 2, FALSE)</f>
        <v>2.3544589999999999E-4</v>
      </c>
      <c r="I541" s="1776">
        <f>(F571*F572*F577)/(F578*F581)</f>
        <v>20.976000000000003</v>
      </c>
      <c r="J541" s="62">
        <f>(F573*F574*F577)/(F579*F581)</f>
        <v>1.5789473684210527</v>
      </c>
      <c r="K541" s="62">
        <f>(F575*F576*F577)/(F580*F581)</f>
        <v>2.515068493150685</v>
      </c>
      <c r="L541" s="106">
        <f>ROUND(F541*H541,6)</f>
        <v>7.4215000000000003E-2</v>
      </c>
      <c r="M541" s="108">
        <f>F582</f>
        <v>10</v>
      </c>
      <c r="N541" s="1199">
        <f>F583</f>
        <v>314</v>
      </c>
      <c r="O541" s="2666" t="s">
        <v>185</v>
      </c>
      <c r="V541" s="160" t="str">
        <f>F540</f>
        <v>kWh Annual Savings</v>
      </c>
      <c r="W541" s="649">
        <v>2052.8492712328771</v>
      </c>
      <c r="X541" s="1239">
        <v>2052.8492712328771</v>
      </c>
      <c r="Y541" s="1200">
        <v>2052.85</v>
      </c>
      <c r="Z541" s="1200">
        <v>2052.85</v>
      </c>
      <c r="AA541" s="1200">
        <v>2052.85</v>
      </c>
      <c r="AB541" s="1200">
        <v>2052.85</v>
      </c>
      <c r="AC541" s="527">
        <v>315.20999999999998</v>
      </c>
      <c r="AD541" s="160"/>
      <c r="AE541" s="160"/>
      <c r="AF541" s="160"/>
      <c r="AG541" s="160"/>
      <c r="AH541" s="1930"/>
      <c r="AI541" s="1930"/>
      <c r="AJ541" s="1930"/>
      <c r="AK541" s="1930"/>
      <c r="AL541" s="1930"/>
      <c r="AM541" s="1930"/>
      <c r="AN541" s="1930"/>
      <c r="AO541" s="1930"/>
      <c r="AP541" s="1930"/>
      <c r="AQ541" s="1930"/>
      <c r="AR541" s="1930"/>
      <c r="AS541" s="1930"/>
      <c r="AT541" s="1930"/>
      <c r="AU541" s="1930"/>
      <c r="AV541" s="1930"/>
      <c r="AW541" s="1930"/>
      <c r="AX541" s="1930"/>
      <c r="AY541" s="1930"/>
      <c r="AZ541" s="1930"/>
      <c r="BA541" s="1930"/>
      <c r="BB541" s="1954">
        <f>(BD541)/(BE541)</f>
        <v>0.44392548917598218</v>
      </c>
      <c r="BC541" s="3166" t="str">
        <f>CONCATENATE(G541," ",M541," Year EUL")</f>
        <v>Pool Spa RES 10 Year EUL</v>
      </c>
      <c r="BD541" s="166">
        <f>(INDEX('Avoided Cost Benefits'!$C$4:$C$857,MATCH(BC541,'Avoided Cost Benefits'!$A$4:$A$857,0)))*F541</f>
        <v>131.56451496107445</v>
      </c>
      <c r="BE541" s="1956">
        <f>N541/(1.0595^(2020-2019))</f>
        <v>296.36621047663988</v>
      </c>
    </row>
    <row r="542" spans="1:57" s="1930" customFormat="1" x14ac:dyDescent="0.25">
      <c r="A542" s="123"/>
      <c r="B542" s="1752"/>
      <c r="C542" s="1975" t="s">
        <v>4284</v>
      </c>
      <c r="D542" s="2734" t="s">
        <v>2406</v>
      </c>
      <c r="E542" s="2922" t="s">
        <v>4281</v>
      </c>
      <c r="F542" s="527">
        <f>ROUND(($F$565*$F$566*(1/$F$569-1/$F$568)*$F$570)/$F$581,2)</f>
        <v>1478.34</v>
      </c>
      <c r="G542" s="538" t="s">
        <v>338</v>
      </c>
      <c r="H542" s="2867">
        <f>VLOOKUP(G542,'CP FACTORS'!$A$3:$B$38, 2, FALSE)</f>
        <v>2.3544589999999999E-4</v>
      </c>
      <c r="I542" s="3276">
        <f>(F572*F573*F578)/(F579*F582)</f>
        <v>7.1178947368421062</v>
      </c>
      <c r="J542" s="1951">
        <f>(F574*F575*F578)/(F580*F582)</f>
        <v>14.383561643835616</v>
      </c>
      <c r="K542" s="1951">
        <f>(F576*F577*F578)/(F581*F582)</f>
        <v>0.38556000000000001</v>
      </c>
      <c r="L542" s="2869">
        <f>ROUND(F542*H542,6)</f>
        <v>0.34806900000000002</v>
      </c>
      <c r="M542" s="116">
        <f>F582</f>
        <v>10</v>
      </c>
      <c r="N542" s="1796">
        <f>F584</f>
        <v>549</v>
      </c>
      <c r="O542" s="2032" t="s">
        <v>185</v>
      </c>
      <c r="P542" s="123"/>
      <c r="Q542" s="123"/>
      <c r="R542" s="123"/>
      <c r="S542" s="123"/>
      <c r="T542" s="123"/>
      <c r="U542" s="123"/>
      <c r="V542" s="1958" t="s">
        <v>31</v>
      </c>
      <c r="W542" s="3567"/>
      <c r="X542" s="3568"/>
      <c r="Y542" s="3461"/>
      <c r="Z542" s="3461"/>
      <c r="AA542" s="3461"/>
      <c r="AB542" s="3461"/>
      <c r="AC542" s="527">
        <v>1478.34</v>
      </c>
      <c r="AD542" s="160"/>
      <c r="AE542" s="160"/>
      <c r="AF542" s="160"/>
      <c r="AG542" s="160"/>
      <c r="BB542" s="3569">
        <f>(BD542)/(BE542)</f>
        <v>1.1908079530400344</v>
      </c>
      <c r="BC542" s="3570" t="str">
        <f>CONCATENATE(G542," ",M542," Year EUL")</f>
        <v>Pool Spa RES 10 Year EUL</v>
      </c>
      <c r="BD542" s="3571">
        <f>(INDEX('Avoided Cost Benefits'!$C$4:$C$857,MATCH(BC542,'Avoided Cost Benefits'!$A$4:$A$857,0)))*F542</f>
        <v>617.03970384047079</v>
      </c>
      <c r="BE542" s="3572">
        <f>N542/(1.0595^(2020-2019))</f>
        <v>518.16894761680032</v>
      </c>
    </row>
    <row r="543" spans="1:57" hidden="1" outlineLevel="1" x14ac:dyDescent="0.25">
      <c r="B543" s="1752"/>
      <c r="C543" s="1753"/>
      <c r="D543" s="1198"/>
      <c r="E543" s="1198"/>
      <c r="F543" s="1752"/>
      <c r="G543" s="1752"/>
      <c r="H543" s="1752"/>
      <c r="I543" s="1752"/>
      <c r="J543" s="1752"/>
      <c r="K543" s="1752"/>
      <c r="L543" s="1752"/>
      <c r="V543" s="1930"/>
      <c r="W543" s="1930"/>
      <c r="X543" s="1930"/>
      <c r="Y543" s="1930"/>
      <c r="Z543" s="1930"/>
      <c r="AA543" s="1930"/>
      <c r="AB543" s="1930"/>
      <c r="AC543" s="1930"/>
      <c r="AD543" s="1930"/>
      <c r="AE543" s="1930"/>
      <c r="AF543" s="1930"/>
      <c r="AG543" s="1930"/>
      <c r="AH543" s="1930"/>
      <c r="AI543" s="1930"/>
      <c r="AJ543" s="1930"/>
      <c r="AK543" s="1930"/>
      <c r="AL543" s="1930"/>
      <c r="AM543" s="1930"/>
      <c r="AN543" s="1930"/>
      <c r="AO543" s="1930"/>
      <c r="AP543" s="1930"/>
      <c r="AQ543" s="1930"/>
      <c r="AR543" s="1930"/>
      <c r="AS543" s="1930"/>
      <c r="AT543" s="1930"/>
      <c r="AU543" s="1930"/>
      <c r="AV543" s="1930"/>
      <c r="AW543" s="1930"/>
      <c r="AX543" s="1930"/>
      <c r="AY543" s="1930"/>
      <c r="AZ543" s="1930"/>
      <c r="BA543" s="1930"/>
      <c r="BC543" s="1930"/>
      <c r="BD543" s="1930"/>
      <c r="BE543" s="1930"/>
    </row>
    <row r="544" spans="1:57" hidden="1" outlineLevel="1" x14ac:dyDescent="0.25">
      <c r="B544" s="1752"/>
      <c r="C544" s="1753"/>
      <c r="D544" s="174" t="s">
        <v>108</v>
      </c>
      <c r="E544" s="1198"/>
      <c r="F544" s="1752"/>
      <c r="G544" s="1752"/>
      <c r="H544" s="1752"/>
      <c r="I544" s="1752"/>
      <c r="J544" s="1752"/>
      <c r="K544" s="1752"/>
      <c r="L544" s="1752"/>
      <c r="V544" s="1930"/>
      <c r="W544" s="1930"/>
      <c r="X544" s="1930"/>
      <c r="Y544" s="1930"/>
      <c r="Z544" s="1930"/>
      <c r="AA544" s="1930"/>
      <c r="AB544" s="1930"/>
      <c r="AC544" s="1930"/>
      <c r="AD544" s="1930"/>
      <c r="AE544" s="1930"/>
      <c r="AF544" s="1930"/>
      <c r="AG544" s="1930"/>
      <c r="AH544" s="1930"/>
      <c r="AI544" s="1930"/>
      <c r="AJ544" s="1930"/>
      <c r="AK544" s="1930"/>
      <c r="AL544" s="1930"/>
      <c r="AM544" s="1930"/>
      <c r="AN544" s="1930"/>
      <c r="AO544" s="1930"/>
      <c r="AP544" s="1930"/>
      <c r="AQ544" s="1930"/>
      <c r="AR544" s="1930"/>
      <c r="AS544" s="1930"/>
      <c r="AT544" s="1930"/>
      <c r="AU544" s="1930"/>
      <c r="AV544" s="1930"/>
      <c r="AW544" s="1930"/>
      <c r="AX544" s="1930"/>
      <c r="AY544" s="1930"/>
      <c r="AZ544" s="1930"/>
      <c r="BA544" s="1930"/>
      <c r="BC544" s="1930"/>
      <c r="BD544" s="1930"/>
      <c r="BE544" s="1930"/>
    </row>
    <row r="545" spans="1:57" hidden="1" outlineLevel="1" x14ac:dyDescent="0.25">
      <c r="B545" s="1752"/>
      <c r="C545" s="1753"/>
      <c r="D545" s="1198"/>
      <c r="E545" s="1198"/>
      <c r="F545" s="1752"/>
      <c r="G545" s="1752"/>
      <c r="H545" s="1752"/>
      <c r="I545" s="1752"/>
      <c r="J545" s="1752"/>
      <c r="K545" s="1752"/>
      <c r="L545" s="1752"/>
      <c r="V545" s="1930"/>
      <c r="W545" s="1930"/>
      <c r="X545" s="1930"/>
      <c r="Y545" s="1930"/>
      <c r="Z545" s="1930"/>
      <c r="AA545" s="1930"/>
      <c r="AB545" s="1930"/>
      <c r="AC545" s="1930"/>
      <c r="AD545" s="1930"/>
      <c r="AE545" s="1930"/>
      <c r="AF545" s="1930"/>
      <c r="AG545" s="1930"/>
      <c r="AH545" s="1930"/>
      <c r="AI545" s="1930"/>
      <c r="AJ545" s="1930"/>
      <c r="AK545" s="1930"/>
      <c r="AL545" s="1930"/>
      <c r="AM545" s="1930"/>
      <c r="AN545" s="1930"/>
      <c r="AO545" s="1930"/>
      <c r="AP545" s="1930"/>
      <c r="AQ545" s="1930"/>
      <c r="AR545" s="1930"/>
      <c r="AS545" s="1930"/>
      <c r="AT545" s="1930"/>
      <c r="AU545" s="1930"/>
      <c r="AV545" s="1930"/>
      <c r="AW545" s="1930"/>
      <c r="AX545" s="1930"/>
      <c r="AY545" s="1930"/>
      <c r="AZ545" s="1930"/>
      <c r="BA545" s="1930"/>
      <c r="BC545" s="1930"/>
      <c r="BD545" s="1930"/>
      <c r="BE545" s="1930"/>
    </row>
    <row r="546" spans="1:57" hidden="1" outlineLevel="1" x14ac:dyDescent="0.25">
      <c r="B546" s="1752"/>
      <c r="C546" s="1753"/>
      <c r="D546" s="1198"/>
      <c r="E546" s="1198"/>
      <c r="F546" s="1752"/>
      <c r="G546" s="1752"/>
      <c r="H546" s="1752"/>
      <c r="I546" s="1752"/>
      <c r="J546" s="1752"/>
      <c r="K546" s="1752"/>
      <c r="L546" s="1752"/>
      <c r="V546" s="1930"/>
      <c r="W546" s="1930"/>
      <c r="X546" s="1930"/>
      <c r="Y546" s="1930"/>
      <c r="Z546" s="1930"/>
      <c r="AA546" s="1930"/>
      <c r="AB546" s="1930"/>
      <c r="AC546" s="1930"/>
      <c r="AD546" s="1930"/>
      <c r="AE546" s="1930"/>
      <c r="AF546" s="1930"/>
      <c r="AG546" s="1930"/>
      <c r="AH546" s="1930"/>
      <c r="AI546" s="1930"/>
      <c r="AJ546" s="1930"/>
      <c r="AK546" s="1930"/>
      <c r="AL546" s="1930"/>
      <c r="AM546" s="1930"/>
      <c r="AN546" s="1930"/>
      <c r="AO546" s="1930"/>
      <c r="AP546" s="1930"/>
      <c r="AQ546" s="1930"/>
      <c r="AR546" s="1930"/>
      <c r="AS546" s="1930"/>
      <c r="AT546" s="1930"/>
      <c r="AU546" s="1930"/>
      <c r="AV546" s="1930"/>
      <c r="AW546" s="1930"/>
      <c r="AX546" s="1930"/>
      <c r="AY546" s="1930"/>
      <c r="AZ546" s="1930"/>
      <c r="BA546" s="1930"/>
      <c r="BC546" s="1930"/>
      <c r="BD546" s="1930"/>
      <c r="BE546" s="1930"/>
    </row>
    <row r="547" spans="1:57" hidden="1" outlineLevel="1" x14ac:dyDescent="0.25">
      <c r="B547" s="1752"/>
      <c r="C547" s="1753"/>
      <c r="D547" s="1198"/>
      <c r="E547" s="1198"/>
      <c r="F547" s="1752"/>
      <c r="G547" s="1752"/>
      <c r="H547" s="1752"/>
      <c r="I547" s="1752"/>
      <c r="J547" s="1752"/>
      <c r="K547" s="1752"/>
      <c r="L547" s="1752"/>
      <c r="V547" s="1930"/>
      <c r="W547" s="1930"/>
      <c r="X547" s="1930"/>
      <c r="Y547" s="1930"/>
      <c r="Z547" s="1930"/>
      <c r="AA547" s="1930"/>
      <c r="AB547" s="1930"/>
      <c r="AC547" s="1930"/>
      <c r="AD547" s="1930"/>
      <c r="AE547" s="1930"/>
      <c r="AF547" s="1930"/>
      <c r="AG547" s="1930"/>
      <c r="AH547" s="1930"/>
      <c r="AI547" s="1930"/>
      <c r="AJ547" s="1930"/>
      <c r="AK547" s="1930"/>
      <c r="AL547" s="1930"/>
      <c r="AM547" s="1930"/>
      <c r="AN547" s="1930"/>
      <c r="AO547" s="1930"/>
      <c r="AP547" s="1930"/>
      <c r="AQ547" s="1930"/>
      <c r="AR547" s="1930"/>
      <c r="AS547" s="1930"/>
      <c r="AT547" s="1930"/>
      <c r="AU547" s="1930"/>
      <c r="AV547" s="1930"/>
      <c r="AW547" s="1930"/>
      <c r="AX547" s="1930"/>
      <c r="AY547" s="1930"/>
      <c r="AZ547" s="1930"/>
      <c r="BA547" s="1930"/>
      <c r="BC547" s="1930"/>
      <c r="BD547" s="1930"/>
      <c r="BE547" s="1930"/>
    </row>
    <row r="548" spans="1:57" hidden="1" outlineLevel="1" x14ac:dyDescent="0.25">
      <c r="B548" s="1752"/>
      <c r="C548" s="1753"/>
      <c r="D548" s="1198"/>
      <c r="E548" s="1198"/>
      <c r="F548" s="1752"/>
      <c r="G548" s="1752"/>
      <c r="H548" s="1752"/>
      <c r="I548" s="1752"/>
      <c r="J548" s="1752"/>
      <c r="K548" s="1752"/>
      <c r="L548" s="1752"/>
      <c r="V548" s="1930"/>
      <c r="W548" s="1930"/>
      <c r="X548" s="1930"/>
      <c r="Y548" s="1930"/>
      <c r="Z548" s="1930"/>
      <c r="AA548" s="1930"/>
      <c r="AB548" s="1930"/>
      <c r="AC548" s="1930"/>
      <c r="AD548" s="1930"/>
      <c r="AE548" s="1930"/>
      <c r="AF548" s="1930"/>
      <c r="AG548" s="1930"/>
      <c r="AH548" s="1930"/>
      <c r="AI548" s="1930"/>
      <c r="AJ548" s="1930"/>
      <c r="AK548" s="1930"/>
      <c r="AL548" s="1930"/>
      <c r="AM548" s="1930"/>
      <c r="AN548" s="1930"/>
      <c r="AO548" s="1930"/>
      <c r="AP548" s="1930"/>
      <c r="AQ548" s="1930"/>
      <c r="AR548" s="1930"/>
      <c r="AS548" s="1930"/>
      <c r="AT548" s="1930"/>
      <c r="AU548" s="1930"/>
      <c r="AV548" s="1930"/>
      <c r="AW548" s="1930"/>
      <c r="AX548" s="1930"/>
      <c r="AY548" s="1930"/>
      <c r="AZ548" s="1930"/>
      <c r="BA548" s="1930"/>
      <c r="BC548" s="1930"/>
      <c r="BD548" s="1930"/>
      <c r="BE548" s="1930"/>
    </row>
    <row r="549" spans="1:57" hidden="1" outlineLevel="1" x14ac:dyDescent="0.25">
      <c r="B549" s="1752"/>
      <c r="C549" s="1753"/>
      <c r="D549" s="1198"/>
      <c r="E549" s="1198"/>
      <c r="F549" s="1752"/>
      <c r="G549" s="1752"/>
      <c r="H549" s="1752"/>
      <c r="I549" s="1752"/>
      <c r="J549" s="1752"/>
      <c r="K549" s="1752"/>
      <c r="L549" s="1752"/>
      <c r="V549" s="1930"/>
      <c r="W549" s="1930"/>
      <c r="X549" s="1930"/>
      <c r="Y549" s="1930"/>
      <c r="Z549" s="1930"/>
      <c r="AA549" s="1930"/>
      <c r="AB549" s="1930"/>
      <c r="AC549" s="1930"/>
      <c r="AD549" s="1930"/>
      <c r="AE549" s="1930"/>
      <c r="AF549" s="1930"/>
      <c r="AG549" s="1930"/>
      <c r="AH549" s="1930"/>
      <c r="AI549" s="1930"/>
      <c r="AJ549" s="1930"/>
      <c r="AK549" s="1930"/>
      <c r="AL549" s="1930"/>
      <c r="AM549" s="1930"/>
      <c r="AN549" s="1930"/>
      <c r="AO549" s="1930"/>
      <c r="AP549" s="1930"/>
      <c r="AQ549" s="1930"/>
      <c r="AR549" s="1930"/>
      <c r="AS549" s="1930"/>
      <c r="AT549" s="1930"/>
      <c r="AU549" s="1930"/>
      <c r="AV549" s="1930"/>
      <c r="AW549" s="1930"/>
      <c r="AX549" s="1930"/>
      <c r="AY549" s="1930"/>
      <c r="AZ549" s="1930"/>
      <c r="BA549" s="1930"/>
      <c r="BC549" s="1930"/>
      <c r="BD549" s="1930"/>
      <c r="BE549" s="1930"/>
    </row>
    <row r="550" spans="1:57" hidden="1" outlineLevel="1" x14ac:dyDescent="0.25">
      <c r="B550" s="1752"/>
      <c r="C550" s="1753"/>
      <c r="D550" s="1198"/>
      <c r="E550" s="1198"/>
      <c r="F550" s="1752"/>
      <c r="G550" s="1752"/>
      <c r="H550" s="1752"/>
      <c r="I550" s="1752"/>
      <c r="J550" s="1752"/>
      <c r="K550" s="1752"/>
      <c r="L550" s="1752"/>
      <c r="V550" s="1930"/>
      <c r="W550" s="1930"/>
      <c r="X550" s="1930"/>
      <c r="Y550" s="1930"/>
      <c r="Z550" s="1930"/>
      <c r="AA550" s="1930"/>
      <c r="AB550" s="1930"/>
      <c r="AC550" s="1930"/>
      <c r="AD550" s="1930"/>
      <c r="AE550" s="1930"/>
      <c r="AF550" s="1930"/>
      <c r="AG550" s="1930"/>
      <c r="AH550" s="1930"/>
      <c r="AI550" s="1930"/>
      <c r="AJ550" s="1930"/>
      <c r="AK550" s="1930"/>
      <c r="AL550" s="1930"/>
      <c r="AM550" s="1930"/>
      <c r="AN550" s="1930"/>
      <c r="AO550" s="1930"/>
      <c r="AP550" s="1930"/>
      <c r="AQ550" s="1930"/>
      <c r="AR550" s="1930"/>
      <c r="AS550" s="1930"/>
      <c r="AT550" s="1930"/>
      <c r="AU550" s="1930"/>
      <c r="AV550" s="1930"/>
      <c r="AW550" s="1930"/>
      <c r="AX550" s="1930"/>
      <c r="AY550" s="1930"/>
      <c r="AZ550" s="1930"/>
      <c r="BA550" s="1930"/>
      <c r="BC550" s="1930"/>
      <c r="BD550" s="1930"/>
      <c r="BE550" s="1930"/>
    </row>
    <row r="551" spans="1:57" hidden="1" outlineLevel="1" x14ac:dyDescent="0.25">
      <c r="B551" s="1752"/>
      <c r="C551" s="1753"/>
      <c r="D551" s="1198"/>
      <c r="E551" s="1198"/>
      <c r="F551" s="1752"/>
      <c r="G551" s="1752"/>
      <c r="H551" s="1752"/>
      <c r="I551" s="1752"/>
      <c r="J551" s="1752"/>
      <c r="K551" s="1752"/>
      <c r="L551" s="1752"/>
      <c r="V551" s="1930"/>
      <c r="W551" s="1930"/>
      <c r="X551" s="1930"/>
      <c r="Y551" s="1930"/>
      <c r="Z551" s="1930"/>
      <c r="AA551" s="1930"/>
      <c r="AB551" s="1930"/>
      <c r="AC551" s="1930"/>
      <c r="AD551" s="1930"/>
      <c r="AE551" s="1930"/>
      <c r="AF551" s="1930"/>
      <c r="AG551" s="1930"/>
      <c r="AH551" s="1930"/>
      <c r="AI551" s="1930"/>
      <c r="AJ551" s="1930"/>
      <c r="AK551" s="1930"/>
      <c r="AL551" s="1930"/>
      <c r="AM551" s="1930"/>
      <c r="AN551" s="1930"/>
      <c r="AO551" s="1930"/>
      <c r="AP551" s="1930"/>
      <c r="AQ551" s="1930"/>
      <c r="AR551" s="1930"/>
      <c r="AS551" s="1930"/>
      <c r="AT551" s="1930"/>
      <c r="AU551" s="1930"/>
      <c r="AV551" s="1930"/>
      <c r="AW551" s="1930"/>
      <c r="AX551" s="1930"/>
      <c r="AY551" s="1930"/>
      <c r="AZ551" s="1930"/>
      <c r="BA551" s="1930"/>
      <c r="BC551" s="1930"/>
      <c r="BD551" s="1930"/>
      <c r="BE551" s="1930"/>
    </row>
    <row r="552" spans="1:57" hidden="1" outlineLevel="1" x14ac:dyDescent="0.25">
      <c r="B552" s="1752"/>
      <c r="C552" s="1753"/>
      <c r="D552" s="1198"/>
      <c r="E552" s="1198"/>
      <c r="F552" s="1752"/>
      <c r="G552" s="1752"/>
      <c r="H552" s="1752"/>
      <c r="I552" s="1752"/>
      <c r="J552" s="1752"/>
      <c r="K552" s="1752"/>
      <c r="L552" s="1752"/>
      <c r="V552" s="1930"/>
      <c r="W552" s="1930"/>
      <c r="X552" s="1930"/>
      <c r="Y552" s="1930"/>
      <c r="Z552" s="1930"/>
      <c r="AA552" s="1930"/>
      <c r="AB552" s="1930"/>
      <c r="AC552" s="1930"/>
      <c r="AD552" s="1930"/>
      <c r="AE552" s="1930"/>
      <c r="AF552" s="1930"/>
      <c r="AG552" s="1930"/>
      <c r="AH552" s="1930"/>
      <c r="AI552" s="1930"/>
      <c r="AJ552" s="1930"/>
      <c r="AK552" s="1930"/>
      <c r="AL552" s="1930"/>
      <c r="AM552" s="1930"/>
      <c r="AN552" s="1930"/>
      <c r="AO552" s="1930"/>
      <c r="AP552" s="1930"/>
      <c r="AQ552" s="1930"/>
      <c r="AR552" s="1930"/>
      <c r="AS552" s="1930"/>
      <c r="AT552" s="1930"/>
      <c r="AU552" s="1930"/>
      <c r="AV552" s="1930"/>
      <c r="AW552" s="1930"/>
      <c r="AX552" s="1930"/>
      <c r="AY552" s="1930"/>
      <c r="AZ552" s="1930"/>
      <c r="BA552" s="1930"/>
      <c r="BC552" s="1930"/>
      <c r="BD552" s="1930"/>
      <c r="BE552" s="1930"/>
    </row>
    <row r="553" spans="1:57" hidden="1" outlineLevel="1" x14ac:dyDescent="0.25">
      <c r="B553" s="1752"/>
      <c r="C553" s="1753"/>
      <c r="D553" s="1198"/>
      <c r="E553" s="1198"/>
      <c r="F553" s="1752"/>
      <c r="G553" s="1752"/>
      <c r="H553" s="1752"/>
      <c r="I553" s="1752"/>
      <c r="J553" s="1752"/>
      <c r="K553" s="1752"/>
      <c r="L553" s="1752"/>
      <c r="V553" s="1930"/>
      <c r="W553" s="1930"/>
      <c r="X553" s="1930"/>
      <c r="Y553" s="1930"/>
      <c r="Z553" s="1930"/>
      <c r="AA553" s="1930"/>
      <c r="AB553" s="1930"/>
      <c r="AC553" s="1930"/>
      <c r="AD553" s="1930"/>
      <c r="AE553" s="1930"/>
      <c r="AF553" s="1930"/>
      <c r="AG553" s="1930"/>
      <c r="AH553" s="1930"/>
      <c r="AI553" s="1930"/>
      <c r="AJ553" s="1930"/>
      <c r="AK553" s="1930"/>
      <c r="AL553" s="1930"/>
      <c r="AM553" s="1930"/>
      <c r="AN553" s="1930"/>
      <c r="AO553" s="1930"/>
      <c r="AP553" s="1930"/>
      <c r="AQ553" s="1930"/>
      <c r="AR553" s="1930"/>
      <c r="AS553" s="1930"/>
      <c r="AT553" s="1930"/>
      <c r="AU553" s="1930"/>
      <c r="AV553" s="1930"/>
      <c r="AW553" s="1930"/>
      <c r="AX553" s="1930"/>
      <c r="AY553" s="1930"/>
      <c r="AZ553" s="1930"/>
      <c r="BA553" s="1930"/>
      <c r="BC553" s="1930"/>
      <c r="BD553" s="1930"/>
      <c r="BE553" s="1930"/>
    </row>
    <row r="554" spans="1:57" hidden="1" outlineLevel="1" x14ac:dyDescent="0.25">
      <c r="B554" s="1752"/>
      <c r="C554" s="1753"/>
      <c r="D554" s="1198"/>
      <c r="E554" s="1198"/>
      <c r="F554" s="1752"/>
      <c r="G554" s="1752"/>
      <c r="H554" s="1752"/>
      <c r="I554" s="1752"/>
      <c r="J554" s="1752"/>
      <c r="K554" s="1752"/>
      <c r="L554" s="1752"/>
      <c r="V554" s="1930"/>
      <c r="W554" s="1930"/>
      <c r="X554" s="1930"/>
      <c r="Y554" s="1930"/>
      <c r="Z554" s="1930"/>
      <c r="AA554" s="1930"/>
      <c r="AB554" s="1930"/>
      <c r="AC554" s="1930"/>
      <c r="AD554" s="1930"/>
      <c r="AE554" s="1930"/>
      <c r="AF554" s="1930"/>
      <c r="AG554" s="1930"/>
      <c r="AH554" s="1930"/>
      <c r="AI554" s="1930"/>
      <c r="AJ554" s="1930"/>
      <c r="AK554" s="1930"/>
      <c r="AL554" s="1930"/>
      <c r="AM554" s="1930"/>
      <c r="AN554" s="1930"/>
      <c r="AO554" s="1930"/>
      <c r="AP554" s="1930"/>
      <c r="AQ554" s="1930"/>
      <c r="AR554" s="1930"/>
      <c r="AS554" s="1930"/>
      <c r="AT554" s="1930"/>
      <c r="AU554" s="1930"/>
      <c r="AV554" s="1930"/>
      <c r="AW554" s="1930"/>
      <c r="AX554" s="1930"/>
      <c r="AY554" s="1930"/>
      <c r="AZ554" s="1930"/>
      <c r="BA554" s="1930"/>
      <c r="BC554" s="1930"/>
      <c r="BD554" s="1930"/>
      <c r="BE554" s="1930"/>
    </row>
    <row r="555" spans="1:57" hidden="1" outlineLevel="1" x14ac:dyDescent="0.25">
      <c r="B555" s="1752"/>
      <c r="C555" s="1753"/>
      <c r="D555" s="2986" t="s">
        <v>343</v>
      </c>
      <c r="E555" s="180"/>
      <c r="G555" s="2987" t="s">
        <v>344</v>
      </c>
      <c r="H555" s="1752"/>
      <c r="I555" s="1752"/>
      <c r="J555" s="1752"/>
      <c r="K555" s="1752"/>
      <c r="L555" s="1752"/>
      <c r="V555" s="1930"/>
      <c r="W555" s="1930"/>
      <c r="X555" s="1930"/>
      <c r="Y555" s="1930"/>
      <c r="Z555" s="1930"/>
      <c r="AA555" s="1930"/>
      <c r="AB555" s="1930"/>
      <c r="AC555" s="1930"/>
      <c r="AD555" s="1930"/>
      <c r="AE555" s="1930"/>
      <c r="AF555" s="1930"/>
      <c r="AG555" s="1930"/>
      <c r="AH555" s="1930"/>
      <c r="AI555" s="1930"/>
      <c r="AJ555" s="1930"/>
      <c r="AK555" s="1930"/>
      <c r="AL555" s="1930"/>
      <c r="AM555" s="1930"/>
      <c r="AN555" s="1930"/>
      <c r="AO555" s="1930"/>
      <c r="AP555" s="1930"/>
      <c r="AQ555" s="1930"/>
      <c r="AR555" s="1930"/>
      <c r="AS555" s="1930"/>
      <c r="AT555" s="1930"/>
      <c r="AU555" s="1930"/>
      <c r="AV555" s="1930"/>
      <c r="AW555" s="1930"/>
      <c r="AX555" s="1930"/>
      <c r="AY555" s="1930"/>
      <c r="AZ555" s="1930"/>
      <c r="BA555" s="1930"/>
      <c r="BC555" s="1930"/>
      <c r="BD555" s="1930"/>
      <c r="BE555" s="1930"/>
    </row>
    <row r="556" spans="1:57" hidden="1" outlineLevel="1" x14ac:dyDescent="0.25">
      <c r="B556" s="1752"/>
      <c r="C556" s="1753"/>
      <c r="D556" s="1198"/>
      <c r="E556" s="1198"/>
      <c r="F556" s="1752" t="s">
        <v>2054</v>
      </c>
      <c r="G556" s="1752"/>
      <c r="H556" s="1752"/>
      <c r="I556" s="1752"/>
      <c r="J556" s="1752"/>
      <c r="K556" s="1752"/>
      <c r="L556" s="1752"/>
      <c r="V556" s="1930"/>
      <c r="W556" s="1930"/>
      <c r="X556" s="1930"/>
      <c r="Y556" s="1930"/>
      <c r="Z556" s="1930"/>
      <c r="AA556" s="1930"/>
      <c r="AB556" s="1930"/>
      <c r="AC556" s="1930"/>
      <c r="AD556" s="1930"/>
      <c r="AE556" s="1930"/>
      <c r="AF556" s="1930"/>
      <c r="AG556" s="1930"/>
      <c r="AH556" s="1930"/>
      <c r="AI556" s="1930"/>
      <c r="AJ556" s="1930"/>
      <c r="AK556" s="1930"/>
      <c r="AL556" s="1930"/>
      <c r="AM556" s="1930"/>
      <c r="AN556" s="1930"/>
      <c r="AO556" s="1930"/>
      <c r="AP556" s="1930"/>
      <c r="AQ556" s="1930"/>
      <c r="AR556" s="1930"/>
      <c r="AS556" s="1930"/>
      <c r="AT556" s="1930"/>
      <c r="AU556" s="1930"/>
      <c r="AV556" s="1930"/>
      <c r="AW556" s="1930"/>
      <c r="AX556" s="1930"/>
      <c r="AY556" s="1930"/>
      <c r="AZ556" s="1930"/>
      <c r="BA556" s="1930"/>
      <c r="BC556" s="1930"/>
      <c r="BD556" s="1930"/>
      <c r="BE556" s="1930"/>
    </row>
    <row r="557" spans="1:57" s="1930" customFormat="1" hidden="1" outlineLevel="1" x14ac:dyDescent="0.25">
      <c r="A557" s="123"/>
      <c r="B557" s="1752"/>
      <c r="C557" s="1753"/>
      <c r="D557" s="1198"/>
      <c r="E557" s="1198"/>
      <c r="F557" s="1752"/>
      <c r="G557" s="1752"/>
      <c r="H557" s="1752"/>
      <c r="I557" s="1752"/>
      <c r="J557" s="1752"/>
      <c r="K557" s="1752"/>
      <c r="L557" s="1752"/>
      <c r="M557" s="123"/>
      <c r="N557" s="123"/>
      <c r="O557" s="123"/>
      <c r="P557" s="123"/>
      <c r="Q557" s="123"/>
      <c r="R557" s="123"/>
      <c r="S557" s="123"/>
      <c r="T557" s="123"/>
      <c r="U557" s="123"/>
      <c r="BB557" s="950"/>
    </row>
    <row r="558" spans="1:57" s="1930" customFormat="1" hidden="1" outlineLevel="1" x14ac:dyDescent="0.25">
      <c r="A558" s="123"/>
      <c r="B558" s="1752"/>
      <c r="C558" s="1753"/>
      <c r="D558" s="1198"/>
      <c r="E558" s="1198"/>
      <c r="F558" s="1752"/>
      <c r="G558" s="1752"/>
      <c r="H558" s="1752"/>
      <c r="I558" s="1752"/>
      <c r="J558" s="1752"/>
      <c r="K558" s="1752"/>
      <c r="L558" s="1752"/>
      <c r="M558" s="123"/>
      <c r="N558" s="123"/>
      <c r="O558" s="123"/>
      <c r="P558" s="123"/>
      <c r="Q558" s="123"/>
      <c r="R558" s="123"/>
      <c r="S558" s="123"/>
      <c r="T558" s="123"/>
      <c r="U558" s="123"/>
      <c r="BB558" s="950"/>
    </row>
    <row r="559" spans="1:57" s="1930" customFormat="1" hidden="1" outlineLevel="1" x14ac:dyDescent="0.25">
      <c r="A559" s="123"/>
      <c r="B559" s="1752"/>
      <c r="C559" s="1753"/>
      <c r="D559" s="1198"/>
      <c r="E559" s="1198"/>
      <c r="F559" s="1752"/>
      <c r="G559" s="1752"/>
      <c r="H559" s="1752"/>
      <c r="I559" s="1752"/>
      <c r="J559" s="1752"/>
      <c r="K559" s="1752"/>
      <c r="L559" s="1752"/>
      <c r="M559" s="123"/>
      <c r="N559" s="123"/>
      <c r="O559" s="123"/>
      <c r="P559" s="123"/>
      <c r="Q559" s="123"/>
      <c r="R559" s="123"/>
      <c r="S559" s="123"/>
      <c r="T559" s="123"/>
      <c r="U559" s="123"/>
      <c r="BB559" s="950"/>
    </row>
    <row r="560" spans="1:57" s="1930" customFormat="1" hidden="1" outlineLevel="1" x14ac:dyDescent="0.25">
      <c r="A560" s="123"/>
      <c r="B560" s="1752"/>
      <c r="C560" s="1753"/>
      <c r="D560" s="1198"/>
      <c r="E560" s="1198"/>
      <c r="F560" s="1752"/>
      <c r="G560" s="1752"/>
      <c r="H560" s="1752"/>
      <c r="I560" s="1752"/>
      <c r="J560" s="1752"/>
      <c r="K560" s="1752"/>
      <c r="L560" s="1752"/>
      <c r="M560" s="123"/>
      <c r="N560" s="123"/>
      <c r="O560" s="123"/>
      <c r="P560" s="123"/>
      <c r="Q560" s="123"/>
      <c r="R560" s="123"/>
      <c r="S560" s="123"/>
      <c r="T560" s="123"/>
      <c r="U560" s="123"/>
      <c r="BB560" s="950"/>
    </row>
    <row r="561" spans="1:57" s="1930" customFormat="1" hidden="1" outlineLevel="1" x14ac:dyDescent="0.25">
      <c r="A561" s="123"/>
      <c r="B561" s="1752"/>
      <c r="C561" s="1753"/>
      <c r="D561" s="1198"/>
      <c r="E561" s="1198"/>
      <c r="F561" s="1752"/>
      <c r="G561" s="1752"/>
      <c r="H561" s="1752"/>
      <c r="I561" s="1752"/>
      <c r="J561" s="1752"/>
      <c r="K561" s="1752"/>
      <c r="L561" s="1752"/>
      <c r="M561" s="123"/>
      <c r="N561" s="123"/>
      <c r="O561" s="123"/>
      <c r="P561" s="123"/>
      <c r="Q561" s="123"/>
      <c r="R561" s="123"/>
      <c r="S561" s="123"/>
      <c r="T561" s="123"/>
      <c r="U561" s="123"/>
      <c r="BB561" s="950"/>
    </row>
    <row r="562" spans="1:57" s="1930" customFormat="1" hidden="1" outlineLevel="1" x14ac:dyDescent="0.25">
      <c r="A562" s="123"/>
      <c r="B562" s="1752"/>
      <c r="C562" s="1753"/>
      <c r="D562" s="1198"/>
      <c r="E562" s="1198"/>
      <c r="F562" s="1752"/>
      <c r="G562" s="1752"/>
      <c r="H562" s="1752"/>
      <c r="I562" s="1752"/>
      <c r="J562" s="1752"/>
      <c r="K562" s="1752"/>
      <c r="L562" s="1752"/>
      <c r="M562" s="123"/>
      <c r="N562" s="123"/>
      <c r="O562" s="123"/>
      <c r="P562" s="123"/>
      <c r="Q562" s="123"/>
      <c r="R562" s="123"/>
      <c r="S562" s="123"/>
      <c r="T562" s="123"/>
      <c r="U562" s="123"/>
      <c r="BB562" s="950"/>
    </row>
    <row r="563" spans="1:57" ht="10.5" hidden="1" customHeight="1" outlineLevel="1" x14ac:dyDescent="0.25">
      <c r="B563" s="1752"/>
      <c r="C563" s="1753"/>
      <c r="D563" s="1198"/>
      <c r="E563" s="1198"/>
      <c r="F563" s="1752"/>
      <c r="G563" s="1752"/>
      <c r="H563" s="1752"/>
      <c r="I563" s="1752"/>
      <c r="J563" s="1752"/>
      <c r="K563" s="1752"/>
      <c r="L563" s="1752"/>
      <c r="V563" s="1930"/>
      <c r="W563" s="1930"/>
      <c r="X563" s="1930"/>
      <c r="Y563" s="1930"/>
      <c r="Z563" s="1930"/>
      <c r="AA563" s="1930"/>
      <c r="AB563" s="1930"/>
      <c r="AC563" s="1930"/>
      <c r="AD563" s="1930"/>
      <c r="AE563" s="1930"/>
      <c r="AF563" s="1930"/>
      <c r="AG563" s="1930"/>
      <c r="AH563" s="1930"/>
      <c r="AI563" s="1930"/>
      <c r="AJ563" s="1930"/>
      <c r="AK563" s="1930"/>
      <c r="AL563" s="1930"/>
      <c r="AM563" s="1930"/>
      <c r="AN563" s="1930"/>
      <c r="AO563" s="1930"/>
      <c r="AP563" s="1930"/>
      <c r="AQ563" s="1930"/>
      <c r="AR563" s="1930"/>
      <c r="AS563" s="1930"/>
      <c r="AT563" s="1930"/>
      <c r="AU563" s="1930"/>
      <c r="AV563" s="1930"/>
      <c r="AW563" s="1930"/>
      <c r="AX563" s="1930"/>
      <c r="AY563" s="1930"/>
      <c r="AZ563" s="1930"/>
      <c r="BA563" s="1930"/>
      <c r="BC563" s="1930"/>
      <c r="BD563" s="1930"/>
      <c r="BE563" s="1930"/>
    </row>
    <row r="564" spans="1:57" ht="15" hidden="1" customHeight="1" outlineLevel="1" x14ac:dyDescent="0.25">
      <c r="B564" s="1752"/>
      <c r="C564" s="1753"/>
      <c r="D564" s="3236" t="s">
        <v>109</v>
      </c>
      <c r="E564" s="3236" t="s">
        <v>110</v>
      </c>
      <c r="F564" s="3086" t="s">
        <v>112</v>
      </c>
      <c r="G564" s="4394" t="s">
        <v>187</v>
      </c>
      <c r="H564" s="4395"/>
      <c r="I564" s="1752"/>
      <c r="J564" s="1752"/>
      <c r="K564" s="1752"/>
      <c r="L564" s="1752"/>
      <c r="V564" s="1936" t="s">
        <v>45</v>
      </c>
      <c r="W564" s="1937">
        <f>W$6</f>
        <v>43252</v>
      </c>
      <c r="X564" s="1937">
        <f t="shared" ref="X564:AG564" si="117">X$6</f>
        <v>43465</v>
      </c>
      <c r="Y564" s="1937">
        <f t="shared" si="117"/>
        <v>43800</v>
      </c>
      <c r="Z564" s="1937">
        <f t="shared" si="117"/>
        <v>43862</v>
      </c>
      <c r="AA564" s="1937">
        <f t="shared" si="117"/>
        <v>44013</v>
      </c>
      <c r="AB564" s="1937">
        <f t="shared" si="117"/>
        <v>44166</v>
      </c>
      <c r="AC564" s="1937">
        <f t="shared" si="117"/>
        <v>44531</v>
      </c>
      <c r="AD564" s="1937" t="str">
        <f t="shared" si="117"/>
        <v>-</v>
      </c>
      <c r="AE564" s="1937" t="str">
        <f t="shared" si="117"/>
        <v>-</v>
      </c>
      <c r="AF564" s="1937" t="str">
        <f t="shared" si="117"/>
        <v>-</v>
      </c>
      <c r="AG564" s="1937" t="str">
        <f t="shared" si="117"/>
        <v>-</v>
      </c>
      <c r="AH564" s="1930"/>
      <c r="AI564" s="1930"/>
      <c r="AJ564" s="1930"/>
      <c r="AK564" s="1930"/>
      <c r="AL564" s="1930"/>
      <c r="AM564" s="1930"/>
      <c r="AN564" s="1930"/>
      <c r="AO564" s="1930"/>
      <c r="AP564" s="1930"/>
      <c r="AQ564" s="1930"/>
      <c r="AR564" s="1930"/>
      <c r="AS564" s="1930"/>
      <c r="AT564" s="1930"/>
      <c r="AU564" s="1930"/>
      <c r="AV564" s="1930"/>
      <c r="AW564" s="1930"/>
      <c r="AX564" s="1930"/>
      <c r="AY564" s="1930"/>
      <c r="AZ564" s="1930"/>
      <c r="BA564" s="1930"/>
      <c r="BC564" s="1930"/>
      <c r="BD564" s="1930"/>
      <c r="BE564" s="1930"/>
    </row>
    <row r="565" spans="1:57" s="1930" customFormat="1" ht="15" hidden="1" customHeight="1" outlineLevel="1" x14ac:dyDescent="0.25">
      <c r="A565" s="123"/>
      <c r="B565" s="1752"/>
      <c r="C565" s="1753"/>
      <c r="D565" s="3262" t="s">
        <v>348</v>
      </c>
      <c r="E565" s="3262" t="s">
        <v>349</v>
      </c>
      <c r="F565" s="2997">
        <v>22000</v>
      </c>
      <c r="G565" s="3789" t="s">
        <v>350</v>
      </c>
      <c r="H565" s="3789"/>
      <c r="I565" s="1752"/>
      <c r="J565" s="1752"/>
      <c r="K565" s="1752"/>
      <c r="L565" s="1752"/>
      <c r="M565" s="123"/>
      <c r="N565" s="123"/>
      <c r="O565" s="123"/>
      <c r="P565" s="123"/>
      <c r="Q565" s="123"/>
      <c r="R565" s="123"/>
      <c r="S565" s="123"/>
      <c r="T565" s="123"/>
      <c r="U565" s="123"/>
      <c r="V565" s="3262" t="s">
        <v>348</v>
      </c>
      <c r="W565" s="3567"/>
      <c r="X565" s="3568"/>
      <c r="Y565" s="3461"/>
      <c r="Z565" s="3461"/>
      <c r="AA565" s="3461"/>
      <c r="AB565" s="3461"/>
      <c r="AC565" s="2997">
        <v>22000</v>
      </c>
      <c r="AD565" s="499"/>
      <c r="AE565" s="499"/>
      <c r="AF565" s="499"/>
      <c r="AG565" s="499"/>
      <c r="BB565" s="950"/>
    </row>
    <row r="566" spans="1:57" s="1930" customFormat="1" ht="15" hidden="1" customHeight="1" outlineLevel="1" x14ac:dyDescent="0.25">
      <c r="A566" s="123"/>
      <c r="B566" s="1752"/>
      <c r="C566" s="1753"/>
      <c r="D566" s="3262" t="s">
        <v>351</v>
      </c>
      <c r="E566" s="3262" t="s">
        <v>352</v>
      </c>
      <c r="F566" s="2997">
        <v>2</v>
      </c>
      <c r="G566" s="3789" t="s">
        <v>350</v>
      </c>
      <c r="H566" s="3789"/>
      <c r="I566" s="1752"/>
      <c r="J566" s="1752"/>
      <c r="K566" s="1752"/>
      <c r="L566" s="1752"/>
      <c r="M566" s="123"/>
      <c r="N566" s="123"/>
      <c r="O566" s="123"/>
      <c r="P566" s="123"/>
      <c r="Q566" s="123"/>
      <c r="R566" s="123"/>
      <c r="S566" s="123"/>
      <c r="T566" s="123"/>
      <c r="U566" s="123"/>
      <c r="V566" s="3262" t="s">
        <v>351</v>
      </c>
      <c r="W566" s="3567"/>
      <c r="X566" s="3568"/>
      <c r="Y566" s="3461"/>
      <c r="Z566" s="3461"/>
      <c r="AA566" s="3461"/>
      <c r="AB566" s="3461"/>
      <c r="AC566" s="2997">
        <v>2</v>
      </c>
      <c r="AD566" s="499"/>
      <c r="AE566" s="499"/>
      <c r="AF566" s="499"/>
      <c r="AG566" s="499"/>
      <c r="BB566" s="950"/>
    </row>
    <row r="567" spans="1:57" s="1930" customFormat="1" ht="15" hidden="1" customHeight="1" outlineLevel="1" x14ac:dyDescent="0.25">
      <c r="A567" s="123"/>
      <c r="B567" s="1752"/>
      <c r="C567" s="1753"/>
      <c r="D567" s="3262" t="s">
        <v>353</v>
      </c>
      <c r="E567" s="3262" t="s">
        <v>354</v>
      </c>
      <c r="F567" s="2998">
        <v>4.5999999999999996</v>
      </c>
      <c r="G567" s="3789" t="s">
        <v>355</v>
      </c>
      <c r="H567" s="3789"/>
      <c r="I567" s="1752"/>
      <c r="J567" s="1752"/>
      <c r="K567" s="1752"/>
      <c r="L567" s="1752"/>
      <c r="M567" s="123"/>
      <c r="N567" s="123"/>
      <c r="O567" s="123"/>
      <c r="P567" s="123"/>
      <c r="Q567" s="123"/>
      <c r="R567" s="123"/>
      <c r="S567" s="123"/>
      <c r="T567" s="123"/>
      <c r="U567" s="123"/>
      <c r="V567" s="3262" t="s">
        <v>353</v>
      </c>
      <c r="W567" s="3567"/>
      <c r="X567" s="3568"/>
      <c r="Y567" s="3461"/>
      <c r="Z567" s="3461"/>
      <c r="AA567" s="3461"/>
      <c r="AB567" s="3461"/>
      <c r="AC567" s="2998">
        <v>4.5999999999999996</v>
      </c>
      <c r="AD567" s="499"/>
      <c r="AE567" s="499"/>
      <c r="AF567" s="499"/>
      <c r="AG567" s="499"/>
      <c r="BB567" s="950"/>
    </row>
    <row r="568" spans="1:57" s="1930" customFormat="1" ht="15" hidden="1" customHeight="1" outlineLevel="1" x14ac:dyDescent="0.25">
      <c r="A568" s="123"/>
      <c r="B568" s="1752"/>
      <c r="C568" s="1753"/>
      <c r="D568" s="3262" t="s">
        <v>356</v>
      </c>
      <c r="E568" s="3262" t="s">
        <v>357</v>
      </c>
      <c r="F568" s="2998">
        <v>6.31</v>
      </c>
      <c r="G568" s="3789" t="s">
        <v>358</v>
      </c>
      <c r="H568" s="3789"/>
      <c r="I568" s="1752"/>
      <c r="J568" s="1752"/>
      <c r="K568" s="1752"/>
      <c r="L568" s="1752"/>
      <c r="M568" s="123"/>
      <c r="N568" s="123"/>
      <c r="O568" s="123"/>
      <c r="P568" s="123"/>
      <c r="Q568" s="123"/>
      <c r="R568" s="123"/>
      <c r="S568" s="123"/>
      <c r="T568" s="123"/>
      <c r="U568" s="123"/>
      <c r="V568" s="3262" t="s">
        <v>356</v>
      </c>
      <c r="W568" s="3567"/>
      <c r="X568" s="3568"/>
      <c r="Y568" s="3461"/>
      <c r="Z568" s="3461"/>
      <c r="AA568" s="3461"/>
      <c r="AB568" s="3461"/>
      <c r="AC568" s="2998">
        <v>6.31</v>
      </c>
      <c r="AD568" s="499"/>
      <c r="AE568" s="499"/>
      <c r="AF568" s="499"/>
      <c r="AG568" s="499"/>
      <c r="BB568" s="950"/>
    </row>
    <row r="569" spans="1:57" s="1930" customFormat="1" ht="15" hidden="1" customHeight="1" outlineLevel="1" x14ac:dyDescent="0.25">
      <c r="A569" s="123"/>
      <c r="B569" s="1752"/>
      <c r="C569" s="1753"/>
      <c r="D569" s="3262" t="s">
        <v>359</v>
      </c>
      <c r="E569" s="3262" t="s">
        <v>360</v>
      </c>
      <c r="F569" s="2998">
        <v>2.2999999999999998</v>
      </c>
      <c r="G569" s="3789" t="s">
        <v>361</v>
      </c>
      <c r="H569" s="3789"/>
      <c r="I569" s="1752"/>
      <c r="J569" s="1752"/>
      <c r="K569" s="1752"/>
      <c r="L569" s="1752"/>
      <c r="M569" s="123"/>
      <c r="N569" s="123"/>
      <c r="O569" s="123"/>
      <c r="P569" s="123"/>
      <c r="Q569" s="123"/>
      <c r="R569" s="123"/>
      <c r="S569" s="123"/>
      <c r="T569" s="123"/>
      <c r="U569" s="123"/>
      <c r="V569" s="3262" t="s">
        <v>359</v>
      </c>
      <c r="W569" s="3567"/>
      <c r="X569" s="3568"/>
      <c r="Y569" s="3461"/>
      <c r="Z569" s="3461"/>
      <c r="AA569" s="3461"/>
      <c r="AB569" s="3461"/>
      <c r="AC569" s="2998">
        <v>2.2999999999999998</v>
      </c>
      <c r="AD569" s="499"/>
      <c r="AE569" s="499"/>
      <c r="AF569" s="499"/>
      <c r="AG569" s="499"/>
      <c r="BB569" s="950"/>
    </row>
    <row r="570" spans="1:57" s="456" customFormat="1" ht="18" hidden="1" outlineLevel="1" x14ac:dyDescent="0.25">
      <c r="A570" s="3220"/>
      <c r="B570" s="1766"/>
      <c r="C570" s="1767"/>
      <c r="D570" s="3121" t="s">
        <v>362</v>
      </c>
      <c r="E570" s="3121" t="s">
        <v>2560</v>
      </c>
      <c r="F570" s="3226">
        <v>121.6</v>
      </c>
      <c r="G570" s="3910" t="s">
        <v>2561</v>
      </c>
      <c r="H570" s="3910"/>
      <c r="I570" s="1766"/>
      <c r="J570" s="1766"/>
      <c r="K570" s="1766"/>
      <c r="L570" s="1766"/>
      <c r="M570" s="3220"/>
      <c r="N570" s="3220"/>
      <c r="O570" s="3220"/>
      <c r="P570" s="3220"/>
      <c r="Q570" s="3220"/>
      <c r="R570" s="3220"/>
      <c r="S570" s="3220"/>
      <c r="T570" s="3220"/>
      <c r="U570" s="3220"/>
      <c r="V570" s="3217" t="str">
        <f>D570</f>
        <v>Daysoper</v>
      </c>
      <c r="W570" s="491">
        <v>121.6</v>
      </c>
      <c r="X570" s="491">
        <v>121.6</v>
      </c>
      <c r="Y570" s="491">
        <v>121.6</v>
      </c>
      <c r="Z570" s="491">
        <v>121.6</v>
      </c>
      <c r="AA570" s="491">
        <v>121.6</v>
      </c>
      <c r="AB570" s="491">
        <v>121.6</v>
      </c>
      <c r="AC570" s="3263">
        <v>121.6</v>
      </c>
      <c r="AD570" s="491"/>
      <c r="AE570" s="491"/>
      <c r="AF570" s="491"/>
      <c r="AG570" s="491"/>
      <c r="AH570" s="1930"/>
      <c r="AI570" s="1930"/>
      <c r="AJ570" s="1930"/>
      <c r="BB570" s="1232"/>
    </row>
    <row r="571" spans="1:57" s="456" customFormat="1" ht="31.5" hidden="1" customHeight="1" outlineLevel="1" x14ac:dyDescent="0.25">
      <c r="A571" s="3220"/>
      <c r="B571" s="1766"/>
      <c r="C571" s="1767"/>
      <c r="D571" s="3277" t="s">
        <v>365</v>
      </c>
      <c r="E571" s="3278" t="s">
        <v>366</v>
      </c>
      <c r="F571" s="3279">
        <v>11.4</v>
      </c>
      <c r="G571" s="4387" t="s">
        <v>2561</v>
      </c>
      <c r="H571" s="4387"/>
      <c r="I571" s="1766"/>
      <c r="J571" s="1766"/>
      <c r="K571" s="1766"/>
      <c r="L571" s="1766"/>
      <c r="M571" s="3220"/>
      <c r="N571" s="3220"/>
      <c r="O571" s="3220"/>
      <c r="P571" s="3220"/>
      <c r="Q571" s="3220"/>
      <c r="R571" s="3220"/>
      <c r="S571" s="3220"/>
      <c r="T571" s="3220"/>
      <c r="U571" s="3220"/>
      <c r="V571" s="3217" t="str">
        <f t="shared" ref="V571:V583" si="118">D571</f>
        <v>RTss</v>
      </c>
      <c r="W571" s="499">
        <v>11.4</v>
      </c>
      <c r="X571" s="499">
        <v>11.4</v>
      </c>
      <c r="Y571" s="499">
        <v>11.4</v>
      </c>
      <c r="Z571" s="499">
        <v>11.4</v>
      </c>
      <c r="AA571" s="499">
        <v>11.4</v>
      </c>
      <c r="AB571" s="499">
        <v>11.4</v>
      </c>
      <c r="AC571" s="3279"/>
      <c r="AD571" s="499"/>
      <c r="AE571" s="499"/>
      <c r="AF571" s="499"/>
      <c r="AG571" s="499"/>
      <c r="AH571" s="1930"/>
      <c r="AI571" s="1930"/>
      <c r="AJ571" s="1930"/>
      <c r="BB571" s="1232"/>
    </row>
    <row r="572" spans="1:57" s="456" customFormat="1" ht="31.5" hidden="1" customHeight="1" outlineLevel="1" x14ac:dyDescent="0.25">
      <c r="A572" s="3220"/>
      <c r="B572" s="1766"/>
      <c r="C572" s="1767"/>
      <c r="D572" s="3277" t="s">
        <v>372</v>
      </c>
      <c r="E572" s="3280" t="s">
        <v>373</v>
      </c>
      <c r="F572" s="3281">
        <v>64.400000000000006</v>
      </c>
      <c r="G572" s="4387" t="s">
        <v>2561</v>
      </c>
      <c r="H572" s="4387"/>
      <c r="I572" s="1766"/>
      <c r="J572" s="1766"/>
      <c r="K572" s="1766"/>
      <c r="L572" s="1766"/>
      <c r="M572" s="3220"/>
      <c r="N572" s="3220"/>
      <c r="O572" s="3220"/>
      <c r="P572" s="3220"/>
      <c r="Q572" s="3220"/>
      <c r="R572" s="3220"/>
      <c r="S572" s="3220"/>
      <c r="T572" s="3220"/>
      <c r="U572" s="3220"/>
      <c r="V572" s="3217" t="str">
        <f t="shared" si="118"/>
        <v>GPMss</v>
      </c>
      <c r="W572" s="481">
        <v>64.400000000000006</v>
      </c>
      <c r="X572" s="481">
        <v>64.400000000000006</v>
      </c>
      <c r="Y572" s="481">
        <v>64.400000000000006</v>
      </c>
      <c r="Z572" s="481">
        <v>64.400000000000006</v>
      </c>
      <c r="AA572" s="481">
        <v>64.400000000000006</v>
      </c>
      <c r="AB572" s="481">
        <v>64.400000000000006</v>
      </c>
      <c r="AC572" s="3281"/>
      <c r="AD572" s="481"/>
      <c r="AE572" s="481"/>
      <c r="AF572" s="481"/>
      <c r="AG572" s="481"/>
      <c r="AH572" s="1930"/>
      <c r="AI572" s="1930"/>
      <c r="AJ572" s="1930"/>
      <c r="BB572" s="1232"/>
    </row>
    <row r="573" spans="1:57" s="456" customFormat="1" ht="36" hidden="1" customHeight="1" outlineLevel="1" x14ac:dyDescent="0.25">
      <c r="A573" s="3220"/>
      <c r="B573" s="1766"/>
      <c r="C573" s="1767"/>
      <c r="D573" s="3277" t="s">
        <v>370</v>
      </c>
      <c r="E573" s="3278" t="s">
        <v>2562</v>
      </c>
      <c r="F573" s="3282">
        <v>2</v>
      </c>
      <c r="G573" s="4387" t="s">
        <v>2561</v>
      </c>
      <c r="H573" s="4387"/>
      <c r="I573" s="1766"/>
      <c r="J573" s="1766"/>
      <c r="K573" s="1766"/>
      <c r="L573" s="1766"/>
      <c r="M573" s="3220"/>
      <c r="N573" s="3220"/>
      <c r="O573" s="3220"/>
      <c r="P573" s="3220"/>
      <c r="Q573" s="3220"/>
      <c r="R573" s="3220"/>
      <c r="S573" s="3220"/>
      <c r="T573" s="3220"/>
      <c r="U573" s="3220"/>
      <c r="V573" s="3217" t="str">
        <f t="shared" si="118"/>
        <v>RThs</v>
      </c>
      <c r="W573" s="332">
        <v>2</v>
      </c>
      <c r="X573" s="332">
        <v>2</v>
      </c>
      <c r="Y573" s="332">
        <v>2</v>
      </c>
      <c r="Z573" s="332">
        <v>2</v>
      </c>
      <c r="AA573" s="332">
        <v>2</v>
      </c>
      <c r="AB573" s="332">
        <v>2</v>
      </c>
      <c r="AC573" s="3282"/>
      <c r="AD573" s="332"/>
      <c r="AE573" s="332"/>
      <c r="AF573" s="332"/>
      <c r="AG573" s="332"/>
      <c r="AH573" s="1930"/>
      <c r="AI573" s="1930"/>
      <c r="AJ573" s="1930"/>
      <c r="BB573" s="1232"/>
    </row>
    <row r="574" spans="1:57" s="456" customFormat="1" ht="18" hidden="1" outlineLevel="1" x14ac:dyDescent="0.25">
      <c r="A574" s="3220"/>
      <c r="B574" s="1766"/>
      <c r="C574" s="1767"/>
      <c r="D574" s="3277" t="s">
        <v>376</v>
      </c>
      <c r="E574" s="3278" t="s">
        <v>2563</v>
      </c>
      <c r="F574" s="3282">
        <v>50</v>
      </c>
      <c r="G574" s="4387" t="s">
        <v>2561</v>
      </c>
      <c r="H574" s="4387"/>
      <c r="I574" s="1766"/>
      <c r="J574" s="1766"/>
      <c r="K574" s="1766"/>
      <c r="L574" s="1766"/>
      <c r="M574" s="3220"/>
      <c r="N574" s="3220"/>
      <c r="O574" s="3220"/>
      <c r="P574" s="3220"/>
      <c r="Q574" s="3220"/>
      <c r="R574" s="3220"/>
      <c r="S574" s="3220"/>
      <c r="T574" s="3220"/>
      <c r="U574" s="3220"/>
      <c r="V574" s="3217" t="str">
        <f t="shared" si="118"/>
        <v>GPMhs</v>
      </c>
      <c r="W574" s="332">
        <v>50</v>
      </c>
      <c r="X574" s="332">
        <v>50</v>
      </c>
      <c r="Y574" s="332">
        <v>50</v>
      </c>
      <c r="Z574" s="332">
        <v>50</v>
      </c>
      <c r="AA574" s="332">
        <v>50</v>
      </c>
      <c r="AB574" s="332">
        <v>50</v>
      </c>
      <c r="AC574" s="3282"/>
      <c r="AD574" s="332"/>
      <c r="AE574" s="332"/>
      <c r="AF574" s="332"/>
      <c r="AG574" s="332"/>
      <c r="AH574" s="1930"/>
      <c r="AI574" s="1930"/>
      <c r="AJ574" s="1930"/>
      <c r="BB574" s="1232"/>
    </row>
    <row r="575" spans="1:57" s="456" customFormat="1" ht="18" hidden="1" outlineLevel="1" x14ac:dyDescent="0.25">
      <c r="A575" s="3220"/>
      <c r="B575" s="1766"/>
      <c r="C575" s="1767"/>
      <c r="D575" s="3277" t="s">
        <v>368</v>
      </c>
      <c r="E575" s="3278" t="s">
        <v>2564</v>
      </c>
      <c r="F575" s="3282">
        <v>10</v>
      </c>
      <c r="G575" s="4387" t="s">
        <v>2561</v>
      </c>
      <c r="H575" s="4387"/>
      <c r="I575" s="1766"/>
      <c r="J575" s="1766"/>
      <c r="K575" s="1766"/>
      <c r="L575" s="1766"/>
      <c r="M575" s="3220"/>
      <c r="N575" s="3220"/>
      <c r="O575" s="3220"/>
      <c r="P575" s="3220"/>
      <c r="Q575" s="3220"/>
      <c r="R575" s="3220"/>
      <c r="S575" s="3220"/>
      <c r="T575" s="3220"/>
      <c r="U575" s="3220"/>
      <c r="V575" s="3217" t="str">
        <f t="shared" si="118"/>
        <v>RTls</v>
      </c>
      <c r="W575" s="332">
        <v>10</v>
      </c>
      <c r="X575" s="332">
        <v>10</v>
      </c>
      <c r="Y575" s="332">
        <v>10</v>
      </c>
      <c r="Z575" s="332">
        <v>10</v>
      </c>
      <c r="AA575" s="332">
        <v>10</v>
      </c>
      <c r="AB575" s="332">
        <v>10</v>
      </c>
      <c r="AC575" s="3282"/>
      <c r="AD575" s="332"/>
      <c r="AE575" s="332"/>
      <c r="AF575" s="332"/>
      <c r="AG575" s="332"/>
      <c r="AH575" s="1930"/>
      <c r="AI575" s="1930"/>
      <c r="AJ575" s="1930"/>
      <c r="BB575" s="1232"/>
    </row>
    <row r="576" spans="1:57" s="456" customFormat="1" ht="18" hidden="1" outlineLevel="1" x14ac:dyDescent="0.25">
      <c r="A576" s="3220"/>
      <c r="B576" s="1766"/>
      <c r="C576" s="1767"/>
      <c r="D576" s="3277" t="s">
        <v>374</v>
      </c>
      <c r="E576" s="3278" t="s">
        <v>2565</v>
      </c>
      <c r="F576" s="3282">
        <v>30.6</v>
      </c>
      <c r="G576" s="4387" t="s">
        <v>2561</v>
      </c>
      <c r="H576" s="4387"/>
      <c r="I576" s="1766"/>
      <c r="J576" s="1766"/>
      <c r="K576" s="1766"/>
      <c r="L576" s="1766"/>
      <c r="M576" s="3220"/>
      <c r="N576" s="3220"/>
      <c r="O576" s="3220"/>
      <c r="P576" s="3220"/>
      <c r="Q576" s="3220"/>
      <c r="R576" s="3220"/>
      <c r="S576" s="3220"/>
      <c r="T576" s="3220"/>
      <c r="U576" s="3220"/>
      <c r="V576" s="3217" t="str">
        <f t="shared" si="118"/>
        <v>GPMls</v>
      </c>
      <c r="W576" s="332">
        <v>30.6</v>
      </c>
      <c r="X576" s="332">
        <v>30.6</v>
      </c>
      <c r="Y576" s="332">
        <v>30.6</v>
      </c>
      <c r="Z576" s="332">
        <v>30.6</v>
      </c>
      <c r="AA576" s="332">
        <v>30.6</v>
      </c>
      <c r="AB576" s="332">
        <v>30.6</v>
      </c>
      <c r="AC576" s="3282"/>
      <c r="AD576" s="332"/>
      <c r="AE576" s="332"/>
      <c r="AF576" s="332"/>
      <c r="AG576" s="332"/>
      <c r="AH576" s="1930"/>
      <c r="AI576" s="1930"/>
      <c r="AJ576" s="1930"/>
      <c r="BB576" s="1232"/>
    </row>
    <row r="577" spans="1:57" s="456" customFormat="1" hidden="1" outlineLevel="1" x14ac:dyDescent="0.25">
      <c r="A577" s="3220"/>
      <c r="B577" s="1766"/>
      <c r="C577" s="1767"/>
      <c r="D577" s="3277">
        <v>60</v>
      </c>
      <c r="E577" s="3280" t="s">
        <v>2566</v>
      </c>
      <c r="F577" s="3283">
        <v>60</v>
      </c>
      <c r="G577" s="4387" t="s">
        <v>2561</v>
      </c>
      <c r="H577" s="4387"/>
      <c r="I577" s="1766"/>
      <c r="J577" s="1766"/>
      <c r="K577" s="1766"/>
      <c r="L577" s="1766"/>
      <c r="M577" s="3220"/>
      <c r="N577" s="3220"/>
      <c r="O577" s="3220"/>
      <c r="P577" s="3220"/>
      <c r="Q577" s="3220"/>
      <c r="R577" s="3220"/>
      <c r="S577" s="3220"/>
      <c r="T577" s="3220"/>
      <c r="U577" s="3220"/>
      <c r="V577" s="3217">
        <f t="shared" si="118"/>
        <v>60</v>
      </c>
      <c r="W577" s="508">
        <v>60</v>
      </c>
      <c r="X577" s="508">
        <v>60</v>
      </c>
      <c r="Y577" s="508">
        <v>60</v>
      </c>
      <c r="Z577" s="508">
        <v>60</v>
      </c>
      <c r="AA577" s="508">
        <v>60</v>
      </c>
      <c r="AB577" s="508">
        <v>60</v>
      </c>
      <c r="AC577" s="3283"/>
      <c r="AD577" s="508"/>
      <c r="AE577" s="508"/>
      <c r="AF577" s="508"/>
      <c r="AG577" s="508"/>
      <c r="AH577" s="1930"/>
      <c r="AI577" s="1930"/>
      <c r="AJ577" s="1930"/>
      <c r="BB577" s="1232"/>
    </row>
    <row r="578" spans="1:57" s="456" customFormat="1" ht="18" hidden="1" outlineLevel="1" x14ac:dyDescent="0.25">
      <c r="A578" s="3220"/>
      <c r="B578" s="1766"/>
      <c r="C578" s="1767"/>
      <c r="D578" s="3277" t="s">
        <v>4285</v>
      </c>
      <c r="E578" s="3284" t="s">
        <v>379</v>
      </c>
      <c r="F578" s="3282">
        <v>2.1</v>
      </c>
      <c r="G578" s="4387" t="s">
        <v>2561</v>
      </c>
      <c r="H578" s="4387"/>
      <c r="I578" s="1766"/>
      <c r="J578" s="1766"/>
      <c r="K578" s="1766"/>
      <c r="L578" s="1766"/>
      <c r="M578" s="3220"/>
      <c r="N578" s="3220"/>
      <c r="O578" s="3220"/>
      <c r="P578" s="3220"/>
      <c r="Q578" s="3220"/>
      <c r="R578" s="3220"/>
      <c r="S578" s="3220"/>
      <c r="T578" s="3220"/>
      <c r="U578" s="3220"/>
      <c r="V578" s="3217" t="str">
        <f t="shared" si="118"/>
        <v>EFss</v>
      </c>
      <c r="W578" s="332">
        <v>2.1</v>
      </c>
      <c r="X578" s="332">
        <v>2.1</v>
      </c>
      <c r="Y578" s="332">
        <v>2.1</v>
      </c>
      <c r="Z578" s="332">
        <v>2.1</v>
      </c>
      <c r="AA578" s="332">
        <v>2.1</v>
      </c>
      <c r="AB578" s="332">
        <v>2.1</v>
      </c>
      <c r="AC578" s="3282"/>
      <c r="AD578" s="332"/>
      <c r="AE578" s="332"/>
      <c r="AF578" s="332"/>
      <c r="AG578" s="332"/>
      <c r="AH578" s="1930"/>
      <c r="AI578" s="1930"/>
      <c r="AJ578" s="1930"/>
      <c r="BB578" s="1232"/>
    </row>
    <row r="579" spans="1:57" s="456" customFormat="1" ht="30" hidden="1" outlineLevel="1" x14ac:dyDescent="0.25">
      <c r="A579" s="3220"/>
      <c r="B579" s="1766"/>
      <c r="C579" s="1767"/>
      <c r="D579" s="3277" t="s">
        <v>4286</v>
      </c>
      <c r="E579" s="3278" t="s">
        <v>2567</v>
      </c>
      <c r="F579" s="3282">
        <v>3.8</v>
      </c>
      <c r="G579" s="4387" t="s">
        <v>2561</v>
      </c>
      <c r="H579" s="4387"/>
      <c r="I579" s="1766"/>
      <c r="J579" s="1766"/>
      <c r="K579" s="1766"/>
      <c r="L579" s="1766"/>
      <c r="M579" s="3220"/>
      <c r="N579" s="3220"/>
      <c r="O579" s="3220"/>
      <c r="P579" s="3220"/>
      <c r="Q579" s="3220"/>
      <c r="R579" s="3220"/>
      <c r="S579" s="3220"/>
      <c r="T579" s="3220"/>
      <c r="U579" s="3220"/>
      <c r="V579" s="3217" t="str">
        <f t="shared" si="118"/>
        <v>EFhs</v>
      </c>
      <c r="W579" s="332">
        <v>3.8</v>
      </c>
      <c r="X579" s="332">
        <v>3.8</v>
      </c>
      <c r="Y579" s="332">
        <v>3.8</v>
      </c>
      <c r="Z579" s="332">
        <v>3.8</v>
      </c>
      <c r="AA579" s="332">
        <v>3.8</v>
      </c>
      <c r="AB579" s="332">
        <v>3.8</v>
      </c>
      <c r="AC579" s="3282"/>
      <c r="AD579" s="332"/>
      <c r="AE579" s="332"/>
      <c r="AF579" s="332"/>
      <c r="AG579" s="332"/>
      <c r="AH579" s="1930"/>
      <c r="AI579" s="1930"/>
      <c r="AJ579" s="1930"/>
      <c r="BB579" s="1232"/>
    </row>
    <row r="580" spans="1:57" s="456" customFormat="1" ht="30" hidden="1" outlineLevel="1" x14ac:dyDescent="0.25">
      <c r="A580" s="3220"/>
      <c r="B580" s="1766"/>
      <c r="C580" s="1767"/>
      <c r="D580" s="3277" t="s">
        <v>4287</v>
      </c>
      <c r="E580" s="3278" t="s">
        <v>2568</v>
      </c>
      <c r="F580" s="3282">
        <v>7.3</v>
      </c>
      <c r="G580" s="4387" t="s">
        <v>2561</v>
      </c>
      <c r="H580" s="4387"/>
      <c r="I580" s="1766"/>
      <c r="J580" s="1766"/>
      <c r="K580" s="1766"/>
      <c r="L580" s="1766"/>
      <c r="M580" s="3220"/>
      <c r="N580" s="3220"/>
      <c r="O580" s="3220"/>
      <c r="P580" s="3220"/>
      <c r="Q580" s="3220"/>
      <c r="R580" s="3220"/>
      <c r="S580" s="3220"/>
      <c r="T580" s="3220"/>
      <c r="U580" s="3220"/>
      <c r="V580" s="3217" t="str">
        <f t="shared" si="118"/>
        <v>EFls</v>
      </c>
      <c r="W580" s="332">
        <v>7.3</v>
      </c>
      <c r="X580" s="332">
        <v>7.3</v>
      </c>
      <c r="Y580" s="332">
        <v>7.3</v>
      </c>
      <c r="Z580" s="332">
        <v>7.3</v>
      </c>
      <c r="AA580" s="332">
        <v>7.3</v>
      </c>
      <c r="AB580" s="332">
        <v>7.3</v>
      </c>
      <c r="AC580" s="3282"/>
      <c r="AD580" s="332"/>
      <c r="AE580" s="332"/>
      <c r="AF580" s="332"/>
      <c r="AG580" s="332"/>
      <c r="AH580" s="1930"/>
      <c r="AI580" s="1930"/>
      <c r="AJ580" s="1930"/>
      <c r="BB580" s="1232"/>
    </row>
    <row r="581" spans="1:57" s="456" customFormat="1" ht="28.9" hidden="1" customHeight="1" outlineLevel="1" x14ac:dyDescent="0.25">
      <c r="A581" s="3220"/>
      <c r="B581" s="1766"/>
      <c r="C581" s="1767"/>
      <c r="D581" s="3121">
        <v>1000</v>
      </c>
      <c r="E581" s="3127" t="s">
        <v>1609</v>
      </c>
      <c r="F581" s="108">
        <v>1000</v>
      </c>
      <c r="G581" s="3776" t="s">
        <v>1610</v>
      </c>
      <c r="H581" s="3776"/>
      <c r="I581" s="1766"/>
      <c r="J581" s="1766"/>
      <c r="K581" s="1766"/>
      <c r="L581" s="1766"/>
      <c r="M581" s="3220"/>
      <c r="N581" s="3220"/>
      <c r="O581" s="3220"/>
      <c r="P581" s="3220"/>
      <c r="Q581" s="3220"/>
      <c r="R581" s="3220"/>
      <c r="S581" s="3220"/>
      <c r="T581" s="3220"/>
      <c r="U581" s="3220"/>
      <c r="V581" s="3217">
        <f t="shared" si="118"/>
        <v>1000</v>
      </c>
      <c r="W581" s="332">
        <v>1000</v>
      </c>
      <c r="X581" s="332">
        <v>1000</v>
      </c>
      <c r="Y581" s="332">
        <v>1000</v>
      </c>
      <c r="Z581" s="332">
        <v>1000</v>
      </c>
      <c r="AA581" s="332">
        <v>1000</v>
      </c>
      <c r="AB581" s="332">
        <v>1000</v>
      </c>
      <c r="AC581" s="108">
        <v>1000</v>
      </c>
      <c r="AD581" s="332"/>
      <c r="AE581" s="332"/>
      <c r="AF581" s="332"/>
      <c r="AG581" s="332"/>
      <c r="AH581" s="1930"/>
      <c r="AI581" s="1930"/>
      <c r="AJ581" s="1930"/>
      <c r="BB581" s="1232"/>
    </row>
    <row r="582" spans="1:57" s="97" customFormat="1" ht="15" hidden="1" customHeight="1" outlineLevel="1" x14ac:dyDescent="0.25">
      <c r="A582" s="346"/>
      <c r="B582" s="346"/>
      <c r="C582" s="149"/>
      <c r="D582" s="304" t="str">
        <f>$D$34</f>
        <v>EUL</v>
      </c>
      <c r="E582" s="304" t="str">
        <f>$E$34</f>
        <v>End of Useful Life</v>
      </c>
      <c r="F582" s="361">
        <v>10</v>
      </c>
      <c r="G582" s="4417"/>
      <c r="H582" s="4417"/>
      <c r="I582" s="346"/>
      <c r="J582" s="346"/>
      <c r="K582" s="346"/>
      <c r="L582" s="346"/>
      <c r="M582" s="223"/>
      <c r="N582" s="223"/>
      <c r="O582" s="223"/>
      <c r="P582" s="223"/>
      <c r="Q582" s="223"/>
      <c r="R582" s="223"/>
      <c r="S582" s="223"/>
      <c r="T582" s="223"/>
      <c r="U582" s="223"/>
      <c r="V582" s="3091" t="str">
        <f t="shared" si="118"/>
        <v>EUL</v>
      </c>
      <c r="W582" s="361">
        <v>10</v>
      </c>
      <c r="X582" s="361">
        <v>10</v>
      </c>
      <c r="Y582" s="361">
        <v>10</v>
      </c>
      <c r="Z582" s="361">
        <v>10</v>
      </c>
      <c r="AA582" s="361">
        <v>10</v>
      </c>
      <c r="AB582" s="361">
        <v>10</v>
      </c>
      <c r="AC582" s="361">
        <v>10</v>
      </c>
      <c r="AD582" s="363"/>
      <c r="AE582" s="363"/>
      <c r="AF582" s="363"/>
      <c r="AG582" s="363"/>
      <c r="AU582" s="164"/>
      <c r="BB582" s="1002"/>
    </row>
    <row r="583" spans="1:57" s="97" customFormat="1" ht="15" hidden="1" customHeight="1" outlineLevel="1" x14ac:dyDescent="0.25">
      <c r="A583" s="346"/>
      <c r="B583" s="346"/>
      <c r="C583" s="149"/>
      <c r="D583" s="3796" t="str">
        <f>$D$35</f>
        <v>Inc. Cost</v>
      </c>
      <c r="E583" s="3796" t="str">
        <f>$E$35</f>
        <v>Incremental Cost ($)</v>
      </c>
      <c r="F583" s="2145">
        <v>314</v>
      </c>
      <c r="G583" s="3789" t="s">
        <v>384</v>
      </c>
      <c r="H583" s="3789"/>
      <c r="I583" s="346"/>
      <c r="J583" s="346"/>
      <c r="K583" s="346"/>
      <c r="L583" s="346"/>
      <c r="M583" s="223"/>
      <c r="N583" s="223"/>
      <c r="O583" s="223"/>
      <c r="P583" s="223"/>
      <c r="Q583" s="223"/>
      <c r="R583" s="223"/>
      <c r="S583" s="223"/>
      <c r="T583" s="223"/>
      <c r="U583" s="223"/>
      <c r="V583" s="3091" t="str">
        <f t="shared" si="118"/>
        <v>Inc. Cost</v>
      </c>
      <c r="W583" s="370">
        <v>549</v>
      </c>
      <c r="X583" s="1169">
        <v>549</v>
      </c>
      <c r="Y583" s="1169">
        <v>549</v>
      </c>
      <c r="Z583" s="1169">
        <v>549</v>
      </c>
      <c r="AA583" s="1169">
        <v>549</v>
      </c>
      <c r="AB583" s="1169">
        <v>549</v>
      </c>
      <c r="AC583" s="2145">
        <v>314</v>
      </c>
      <c r="AD583" s="350"/>
      <c r="AE583" s="350"/>
      <c r="AF583" s="350"/>
      <c r="AG583" s="350"/>
      <c r="AU583" s="164"/>
      <c r="BB583" s="1002"/>
    </row>
    <row r="584" spans="1:57" s="456" customFormat="1" hidden="1" outlineLevel="1" x14ac:dyDescent="0.25">
      <c r="A584" s="3220"/>
      <c r="B584" s="1766"/>
      <c r="C584" s="1767"/>
      <c r="D584" s="3797"/>
      <c r="E584" s="3797"/>
      <c r="F584" s="2145">
        <v>549</v>
      </c>
      <c r="G584" s="3789" t="s">
        <v>4382</v>
      </c>
      <c r="H584" s="3789"/>
      <c r="I584" s="1766"/>
      <c r="J584" s="1766"/>
      <c r="K584" s="1766"/>
      <c r="L584" s="1766"/>
      <c r="M584" s="3220"/>
      <c r="N584" s="3220"/>
      <c r="O584" s="3220"/>
      <c r="P584" s="3220"/>
      <c r="Q584" s="3220"/>
      <c r="R584" s="3220"/>
      <c r="S584" s="3220"/>
      <c r="T584" s="3220"/>
      <c r="U584" s="3220"/>
      <c r="V584" s="1930"/>
      <c r="W584" s="1930"/>
      <c r="X584" s="1930"/>
      <c r="Y584" s="1930"/>
      <c r="Z584" s="1930"/>
      <c r="AA584" s="1930"/>
      <c r="AB584" s="1930"/>
      <c r="AC584" s="1930"/>
      <c r="AD584" s="1930"/>
      <c r="AE584" s="1930"/>
      <c r="AF584" s="1930"/>
      <c r="AG584" s="1930"/>
      <c r="AH584" s="1930"/>
      <c r="AI584" s="1930"/>
      <c r="AJ584" s="1930"/>
      <c r="BB584" s="1232"/>
    </row>
    <row r="585" spans="1:57" s="456" customFormat="1" hidden="1" outlineLevel="1" x14ac:dyDescent="0.25">
      <c r="A585" s="3566"/>
      <c r="B585" s="1766"/>
      <c r="C585" s="1767"/>
      <c r="D585" s="3653"/>
      <c r="E585" s="3653"/>
      <c r="F585" s="3654"/>
      <c r="G585" s="3655"/>
      <c r="H585" s="3655"/>
      <c r="I585" s="1766"/>
      <c r="J585" s="1766"/>
      <c r="K585" s="1766"/>
      <c r="L585" s="1766"/>
      <c r="M585" s="3566"/>
      <c r="N585" s="3566"/>
      <c r="O585" s="3566"/>
      <c r="P585" s="3566"/>
      <c r="Q585" s="3566"/>
      <c r="R585" s="3566"/>
      <c r="S585" s="3566"/>
      <c r="T585" s="3566"/>
      <c r="U585" s="3566"/>
      <c r="V585" s="1930"/>
      <c r="W585" s="1930"/>
      <c r="X585" s="1930"/>
      <c r="Y585" s="1930"/>
      <c r="Z585" s="1930"/>
      <c r="AA585" s="1930"/>
      <c r="AB585" s="1930"/>
      <c r="AC585" s="1930"/>
      <c r="AD585" s="1930"/>
      <c r="AE585" s="1930"/>
      <c r="AF585" s="1930"/>
      <c r="AG585" s="1930"/>
      <c r="AH585" s="1930"/>
      <c r="AI585" s="1930"/>
      <c r="AJ585" s="1930"/>
      <c r="BB585" s="1232"/>
    </row>
    <row r="586" spans="1:57" s="456" customFormat="1" collapsed="1" x14ac:dyDescent="0.25">
      <c r="A586" s="3220"/>
      <c r="B586" s="1766"/>
      <c r="C586" s="1767"/>
      <c r="D586" s="1116"/>
      <c r="E586" s="1777"/>
      <c r="F586" s="1778"/>
      <c r="G586" s="1777"/>
      <c r="H586" s="1766"/>
      <c r="I586" s="1766"/>
      <c r="J586" s="1766"/>
      <c r="K586" s="1766"/>
      <c r="L586" s="1766"/>
      <c r="M586" s="3220"/>
      <c r="N586" s="3220"/>
      <c r="O586" s="3220"/>
      <c r="P586" s="3220"/>
      <c r="Q586" s="3220"/>
      <c r="R586" s="3220"/>
      <c r="S586" s="3220"/>
      <c r="T586" s="3220"/>
      <c r="U586" s="3220"/>
      <c r="V586" s="1930"/>
      <c r="W586" s="1930"/>
      <c r="X586" s="1930"/>
      <c r="Y586" s="1930"/>
      <c r="Z586" s="1930"/>
      <c r="AA586" s="1930"/>
      <c r="AB586" s="1930"/>
      <c r="AC586" s="1930"/>
      <c r="AD586" s="1930"/>
      <c r="AE586" s="1930"/>
      <c r="AF586" s="1930"/>
      <c r="AG586" s="1930"/>
      <c r="AH586" s="1930"/>
      <c r="AI586" s="1930"/>
      <c r="AJ586" s="1930"/>
      <c r="BB586" s="1232"/>
    </row>
    <row r="587" spans="1:57" x14ac:dyDescent="0.25">
      <c r="B587" s="3750" t="s">
        <v>2214</v>
      </c>
      <c r="C587" s="3751"/>
      <c r="D587" s="3751"/>
      <c r="E587" s="3751"/>
      <c r="F587" s="3751"/>
      <c r="G587" s="3751"/>
      <c r="H587" s="3751"/>
      <c r="I587" s="3744"/>
      <c r="J587" s="3744"/>
      <c r="K587" s="3744"/>
      <c r="L587" s="3744"/>
      <c r="M587" s="3744"/>
      <c r="N587" s="3744"/>
      <c r="O587" s="3744"/>
      <c r="P587" s="3744"/>
      <c r="Q587" s="3745"/>
      <c r="R587" s="249"/>
      <c r="V587" s="3750" t="str">
        <f>B587</f>
        <v>Refrigerator</v>
      </c>
      <c r="W587" s="3751"/>
      <c r="X587" s="3751"/>
      <c r="Y587" s="3751"/>
      <c r="Z587" s="3751"/>
      <c r="AA587" s="3751"/>
      <c r="AB587" s="3751"/>
      <c r="AC587" s="3752"/>
      <c r="AD587" s="3752"/>
      <c r="AE587" s="3752"/>
      <c r="AF587" s="3752"/>
      <c r="AG587" s="3752"/>
      <c r="AH587" s="3752"/>
      <c r="AI587" s="3753"/>
      <c r="AJ587" s="1930"/>
      <c r="AK587" s="1930"/>
      <c r="AL587" s="1930"/>
      <c r="AM587" s="1930"/>
      <c r="AN587" s="1930"/>
      <c r="AO587" s="1930"/>
      <c r="AP587" s="1930"/>
      <c r="AQ587" s="1930"/>
      <c r="AR587" s="1930"/>
      <c r="AS587" s="1930"/>
      <c r="AT587" s="1930"/>
      <c r="AU587" s="1930"/>
      <c r="AV587" s="1930"/>
      <c r="AW587" s="1930"/>
      <c r="AX587" s="1930"/>
      <c r="AY587" s="1930"/>
      <c r="AZ587" s="1930"/>
      <c r="BA587" s="1930"/>
      <c r="BC587" s="1930"/>
      <c r="BD587" s="1930"/>
      <c r="BE587" s="1930"/>
    </row>
    <row r="588" spans="1:57" x14ac:dyDescent="0.25">
      <c r="O588" s="249"/>
      <c r="P588" s="249"/>
      <c r="Q588" s="249"/>
      <c r="R588" s="249"/>
      <c r="V588" s="1930"/>
      <c r="W588" s="1930"/>
      <c r="X588" s="1930"/>
      <c r="Y588" s="1930"/>
      <c r="Z588" s="1930"/>
      <c r="AA588" s="1930"/>
      <c r="AB588" s="1930"/>
      <c r="AC588" s="1930"/>
      <c r="AD588" s="1930"/>
      <c r="AE588" s="1930"/>
      <c r="AF588" s="1930"/>
      <c r="AG588" s="1930"/>
      <c r="AH588" s="1930"/>
      <c r="AI588" s="1930"/>
      <c r="AJ588" s="1930"/>
      <c r="AK588" s="1930"/>
      <c r="AL588" s="1930"/>
      <c r="AM588" s="1930"/>
      <c r="AN588" s="1930"/>
      <c r="AO588" s="1930"/>
      <c r="AP588" s="1930"/>
      <c r="AQ588" s="1930"/>
      <c r="AR588" s="1930"/>
      <c r="AS588" s="1930"/>
      <c r="AT588" s="1930"/>
      <c r="AU588" s="1930"/>
      <c r="AV588" s="1930"/>
      <c r="AW588" s="1930"/>
      <c r="AX588" s="1930"/>
      <c r="AY588" s="1930"/>
      <c r="AZ588" s="1930"/>
      <c r="BA588" s="1930"/>
      <c r="BC588" s="1930"/>
      <c r="BD588" s="1930"/>
      <c r="BE588" s="1930"/>
    </row>
    <row r="589" spans="1:57" ht="30" x14ac:dyDescent="0.25">
      <c r="A589" s="249"/>
      <c r="B589" s="249"/>
      <c r="C589" s="3086" t="s">
        <v>28</v>
      </c>
      <c r="D589" s="3086" t="s">
        <v>175</v>
      </c>
      <c r="E589" s="3086" t="s">
        <v>30</v>
      </c>
      <c r="F589" s="3086" t="s">
        <v>31</v>
      </c>
      <c r="G589" s="3086" t="s">
        <v>176</v>
      </c>
      <c r="H589" s="3086" t="s">
        <v>177</v>
      </c>
      <c r="I589" s="3086" t="s">
        <v>32</v>
      </c>
      <c r="J589" s="3086" t="s">
        <v>181</v>
      </c>
      <c r="K589" s="3086" t="s">
        <v>170</v>
      </c>
      <c r="L589" s="3086" t="s">
        <v>44</v>
      </c>
      <c r="O589" s="249"/>
      <c r="P589" s="249"/>
      <c r="Q589" s="249"/>
      <c r="R589" s="249"/>
      <c r="V589" s="1936" t="s">
        <v>45</v>
      </c>
      <c r="W589" s="1937">
        <f>W$6</f>
        <v>43252</v>
      </c>
      <c r="X589" s="1937">
        <f t="shared" ref="X589:AG589" si="119">X$6</f>
        <v>43465</v>
      </c>
      <c r="Y589" s="1937">
        <f t="shared" si="119"/>
        <v>43800</v>
      </c>
      <c r="Z589" s="1937">
        <f t="shared" si="119"/>
        <v>43862</v>
      </c>
      <c r="AA589" s="1937">
        <f t="shared" si="119"/>
        <v>44013</v>
      </c>
      <c r="AB589" s="1937">
        <f t="shared" si="119"/>
        <v>44166</v>
      </c>
      <c r="AC589" s="1937">
        <f t="shared" si="119"/>
        <v>44531</v>
      </c>
      <c r="AD589" s="1937" t="str">
        <f t="shared" si="119"/>
        <v>-</v>
      </c>
      <c r="AE589" s="1937" t="str">
        <f t="shared" si="119"/>
        <v>-</v>
      </c>
      <c r="AF589" s="1937" t="str">
        <f t="shared" si="119"/>
        <v>-</v>
      </c>
      <c r="AG589" s="1937" t="str">
        <f t="shared" si="119"/>
        <v>-</v>
      </c>
      <c r="AH589" s="1930"/>
      <c r="AI589" s="1930"/>
      <c r="AJ589" s="1930"/>
      <c r="AK589" s="1930"/>
      <c r="AL589" s="1930"/>
      <c r="AM589" s="1930"/>
      <c r="AN589" s="1930"/>
      <c r="AO589" s="1930"/>
      <c r="AP589" s="1930"/>
      <c r="AQ589" s="1930"/>
      <c r="AR589" s="1930"/>
      <c r="AS589" s="1930"/>
      <c r="AT589" s="1930"/>
      <c r="AU589" s="1930"/>
      <c r="AV589" s="1930"/>
      <c r="AW589" s="1930"/>
      <c r="AX589" s="1930"/>
      <c r="AY589" s="1930"/>
      <c r="AZ589" s="1930"/>
      <c r="BA589" s="1930"/>
      <c r="BB589" s="1938" t="str">
        <f>$BB$6</f>
        <v>TRC (2020)</v>
      </c>
      <c r="BC589" s="1953" t="str">
        <f>$BC$6</f>
        <v>Benefit Lookup</v>
      </c>
      <c r="BD589" s="665" t="str">
        <f>$BD$6</f>
        <v>Benefits (2019 $)</v>
      </c>
      <c r="BE589" s="230" t="str">
        <f>$BE$6</f>
        <v>Incremental Cost (2019 $)</v>
      </c>
    </row>
    <row r="590" spans="1:57" x14ac:dyDescent="0.25">
      <c r="A590" s="249"/>
      <c r="B590" s="249"/>
      <c r="C590" s="63" t="s">
        <v>2569</v>
      </c>
      <c r="D590" s="2667" t="s">
        <v>2406</v>
      </c>
      <c r="E590" s="3563" t="s">
        <v>2570</v>
      </c>
      <c r="F590" s="1733">
        <f>ROUND(F597-(F598*(1-F599)),2)</f>
        <v>564.66</v>
      </c>
      <c r="G590" s="141" t="s">
        <v>2217</v>
      </c>
      <c r="H590" s="155">
        <f>VLOOKUP(G590,'CP FACTORS'!$A$3:$B$38, 2, FALSE)</f>
        <v>1.286107E-4</v>
      </c>
      <c r="I590" s="1531">
        <f>ROUND(F590*H590,6)</f>
        <v>7.2621000000000005E-2</v>
      </c>
      <c r="J590" s="141">
        <f>F612</f>
        <v>6</v>
      </c>
      <c r="K590" s="1199">
        <f>F614</f>
        <v>753</v>
      </c>
      <c r="L590" s="1212" t="s">
        <v>185</v>
      </c>
      <c r="O590" s="3220"/>
      <c r="P590" s="3220"/>
      <c r="Q590" s="3220"/>
      <c r="R590" s="3220"/>
      <c r="V590" s="160" t="str">
        <f>F589</f>
        <v>kWh Annual Savings</v>
      </c>
      <c r="W590" s="1206">
        <v>564.66038920276219</v>
      </c>
      <c r="X590" s="1206">
        <v>564.66038920276219</v>
      </c>
      <c r="Y590" s="1158">
        <v>564.66</v>
      </c>
      <c r="Z590" s="1158">
        <v>564.66</v>
      </c>
      <c r="AA590" s="1158">
        <v>564.66</v>
      </c>
      <c r="AB590" s="1158">
        <v>564.66</v>
      </c>
      <c r="AC590" s="1158">
        <v>564.66</v>
      </c>
      <c r="AD590" s="1206"/>
      <c r="AE590" s="1206"/>
      <c r="AF590" s="1206"/>
      <c r="AG590" s="1206"/>
      <c r="AH590" s="1930"/>
      <c r="AI590" s="1930"/>
      <c r="AJ590" s="1930"/>
      <c r="AK590" s="1930"/>
      <c r="AL590" s="1930"/>
      <c r="AM590" s="1930"/>
      <c r="AN590" s="1930"/>
      <c r="AO590" s="1930"/>
      <c r="AP590" s="1930"/>
      <c r="AQ590" s="1930"/>
      <c r="AR590" s="1930"/>
      <c r="AS590" s="1930"/>
      <c r="AT590" s="1930"/>
      <c r="AU590" s="1930"/>
      <c r="AV590" s="1930"/>
      <c r="AW590" s="1930"/>
      <c r="AX590" s="1930"/>
      <c r="AY590" s="1930"/>
      <c r="AZ590" s="1930"/>
      <c r="BA590" s="1930"/>
      <c r="BB590" s="1945">
        <f>(BD590+BD591)/(BE590+BE591)</f>
        <v>0.18847747808723556</v>
      </c>
      <c r="BC590" s="3166" t="str">
        <f>CONCATENATE(G590," ",J590," Year EUL")</f>
        <v>Refrigeration RES 6 Year EUL</v>
      </c>
      <c r="BD590" s="111">
        <f>(INDEX('Avoided Cost Benefits'!$C$4:$C$857,MATCH(BC590,'Avoided Cost Benefits'!$A$4:$A$857,0)))*F590</f>
        <v>117.12499089042501</v>
      </c>
      <c r="BE590" s="1946">
        <f>K590/(1.0595^(2020-2019))</f>
        <v>710.71260028315237</v>
      </c>
    </row>
    <row r="591" spans="1:57" ht="15" customHeight="1" x14ac:dyDescent="0.25">
      <c r="A591" s="249"/>
      <c r="B591" s="249"/>
      <c r="C591" s="63" t="s">
        <v>2569</v>
      </c>
      <c r="D591" s="2667" t="s">
        <v>2406</v>
      </c>
      <c r="E591" s="3564" t="s">
        <v>2571</v>
      </c>
      <c r="F591" s="1779">
        <f>ROUND(F600-(F598*(1-F599)),2)</f>
        <v>46.72</v>
      </c>
      <c r="G591" s="141" t="s">
        <v>2219</v>
      </c>
      <c r="H591" s="155">
        <f>VLOOKUP(G591,'CP FACTORS'!$A$3:$B$38, 2, FALSE)</f>
        <v>1.286107E-4</v>
      </c>
      <c r="I591" s="1531">
        <f>ROUND(F591*H591,6)</f>
        <v>6.0089999999999996E-3</v>
      </c>
      <c r="J591" s="141">
        <f>F613</f>
        <v>11</v>
      </c>
      <c r="K591" s="1199">
        <v>0</v>
      </c>
      <c r="L591" s="1212" t="s">
        <v>185</v>
      </c>
      <c r="O591" s="249"/>
      <c r="P591" s="249"/>
      <c r="Q591" s="249"/>
      <c r="R591" s="249"/>
      <c r="V591" s="160" t="str">
        <f>V590</f>
        <v>kWh Annual Savings</v>
      </c>
      <c r="W591" s="423">
        <v>46.722222222222229</v>
      </c>
      <c r="X591" s="423">
        <v>46.722222222222229</v>
      </c>
      <c r="Y591" s="1240">
        <v>46.72</v>
      </c>
      <c r="Z591" s="1240">
        <v>46.72</v>
      </c>
      <c r="AA591" s="1240">
        <v>46.72</v>
      </c>
      <c r="AB591" s="1240">
        <v>46.72</v>
      </c>
      <c r="AC591" s="1240">
        <v>46.72</v>
      </c>
      <c r="AD591" s="423"/>
      <c r="AE591" s="423"/>
      <c r="AF591" s="423"/>
      <c r="AG591" s="423"/>
      <c r="AH591" s="1930"/>
      <c r="AI591" s="1930"/>
      <c r="AJ591" s="1930"/>
      <c r="AK591" s="1930"/>
      <c r="AL591" s="1930"/>
      <c r="AM591" s="1930"/>
      <c r="AN591" s="1930"/>
      <c r="AO591" s="1930"/>
      <c r="AP591" s="1930"/>
      <c r="AQ591" s="1930"/>
      <c r="AR591" s="1930"/>
      <c r="AS591" s="1930"/>
      <c r="AT591" s="1930"/>
      <c r="AU591" s="1930"/>
      <c r="AV591" s="1930"/>
      <c r="AW591" s="1930"/>
      <c r="AX591" s="1930"/>
      <c r="AY591" s="1930"/>
      <c r="AZ591" s="1930"/>
      <c r="BA591" s="1930"/>
      <c r="BB591" s="980"/>
      <c r="BC591" s="1948" t="str">
        <f>CONCATENATE(G591," ",J591," Year EUL")</f>
        <v>Refrigeration RES ER2 11 Year EUL</v>
      </c>
      <c r="BD591" s="119">
        <f>(INDEX('Avoided Cost Benefits'!$C$4:$C$857,MATCH(BC591,'Avoided Cost Benefits'!$A$4:$A$857,0)))*F591</f>
        <v>16.828327655765037</v>
      </c>
      <c r="BE591" s="1950">
        <f>K591/(1.0595^(2020-2019))</f>
        <v>0</v>
      </c>
    </row>
    <row r="592" spans="1:57" hidden="1" outlineLevel="1" x14ac:dyDescent="0.25">
      <c r="A592" s="249"/>
      <c r="B592" s="249"/>
      <c r="C592" s="120"/>
      <c r="D592" s="1113"/>
      <c r="E592" s="1113"/>
      <c r="F592" s="918"/>
      <c r="G592" s="1115"/>
      <c r="H592" s="910"/>
      <c r="I592" s="1118"/>
      <c r="J592" s="1725"/>
      <c r="K592" s="685"/>
      <c r="M592" s="910"/>
      <c r="N592" s="249"/>
      <c r="O592" s="249"/>
      <c r="P592" s="249"/>
      <c r="Q592" s="249"/>
      <c r="R592" s="249"/>
      <c r="V592" s="1930"/>
      <c r="W592" s="1930"/>
      <c r="X592" s="1930"/>
      <c r="Y592" s="1930"/>
      <c r="Z592" s="1930"/>
      <c r="AA592" s="1930"/>
      <c r="AB592" s="1930"/>
      <c r="AC592" s="1930"/>
      <c r="AD592" s="1930"/>
      <c r="AE592" s="1930"/>
      <c r="AF592" s="1930"/>
      <c r="AG592" s="1930"/>
      <c r="AH592" s="1930"/>
      <c r="AI592" s="1930"/>
      <c r="AJ592" s="1930"/>
      <c r="AK592" s="1930"/>
      <c r="AL592" s="1930"/>
      <c r="AM592" s="1930"/>
      <c r="AN592" s="1930"/>
      <c r="AO592" s="1930"/>
      <c r="AP592" s="1930"/>
      <c r="AQ592" s="1930"/>
      <c r="AR592" s="1930"/>
      <c r="AS592" s="1930"/>
      <c r="AT592" s="1930"/>
      <c r="AU592" s="1930"/>
      <c r="AV592" s="1930"/>
      <c r="AW592" s="1930"/>
      <c r="AX592" s="1930"/>
      <c r="AY592" s="1930"/>
      <c r="AZ592" s="1930"/>
      <c r="BA592" s="1930"/>
      <c r="BC592" s="1930"/>
      <c r="BD592" s="1930"/>
      <c r="BE592" s="1930"/>
    </row>
    <row r="593" spans="1:57" hidden="1" outlineLevel="1" x14ac:dyDescent="0.25">
      <c r="A593" s="249"/>
      <c r="B593" s="249"/>
      <c r="C593" s="120"/>
      <c r="D593" s="174" t="s">
        <v>108</v>
      </c>
      <c r="E593" s="1113"/>
      <c r="F593" s="918"/>
      <c r="G593" s="1115"/>
      <c r="H593" s="910"/>
      <c r="I593" s="1118"/>
      <c r="J593" s="1725"/>
      <c r="K593" s="1118"/>
      <c r="L593" s="685"/>
      <c r="M593" s="910"/>
      <c r="N593" s="249"/>
      <c r="O593" s="249"/>
      <c r="P593" s="249"/>
      <c r="Q593" s="249"/>
      <c r="R593" s="249"/>
      <c r="V593" s="1930"/>
      <c r="W593" s="1930"/>
      <c r="X593" s="1930"/>
      <c r="Y593" s="1930"/>
      <c r="Z593" s="1930"/>
      <c r="AA593" s="1930"/>
      <c r="AB593" s="1930"/>
      <c r="AC593" s="1930"/>
      <c r="AD593" s="1930"/>
      <c r="AE593" s="1930"/>
      <c r="AF593" s="1930"/>
      <c r="AG593" s="1930"/>
      <c r="AH593" s="1930"/>
      <c r="AI593" s="1930"/>
      <c r="AJ593" s="1930"/>
      <c r="AK593" s="1930"/>
      <c r="AL593" s="1930"/>
      <c r="AM593" s="1930"/>
      <c r="AN593" s="1930"/>
      <c r="AO593" s="1930"/>
      <c r="AP593" s="1930"/>
      <c r="AQ593" s="1930"/>
      <c r="AR593" s="1930"/>
      <c r="AS593" s="1930"/>
      <c r="AT593" s="1930"/>
      <c r="AU593" s="1930"/>
      <c r="AV593" s="1930"/>
      <c r="AW593" s="1930"/>
      <c r="AX593" s="1930"/>
      <c r="AY593" s="1930"/>
      <c r="AZ593" s="1930"/>
      <c r="BA593" s="1930"/>
      <c r="BC593" s="1930"/>
      <c r="BD593" s="1930"/>
      <c r="BE593" s="1930"/>
    </row>
    <row r="594" spans="1:57" hidden="1" outlineLevel="1" x14ac:dyDescent="0.25">
      <c r="A594" s="249"/>
      <c r="B594" s="249"/>
      <c r="C594" s="120"/>
      <c r="D594" s="1113"/>
      <c r="E594" s="1113"/>
      <c r="F594" s="918"/>
      <c r="G594" s="1115"/>
      <c r="H594" s="910"/>
      <c r="I594" s="1118"/>
      <c r="J594" s="1725"/>
      <c r="K594" s="1118"/>
      <c r="L594" s="685"/>
      <c r="M594" s="910"/>
      <c r="N594" s="249"/>
      <c r="O594" s="249"/>
      <c r="P594" s="249"/>
      <c r="Q594" s="249"/>
      <c r="R594" s="249"/>
      <c r="V594" s="1930"/>
      <c r="W594" s="1930"/>
      <c r="X594" s="1930"/>
      <c r="Y594" s="1930"/>
      <c r="Z594" s="1930"/>
      <c r="AA594" s="1930"/>
      <c r="AB594" s="1930"/>
      <c r="AC594" s="1930"/>
      <c r="AD594" s="1930"/>
      <c r="AE594" s="1930"/>
      <c r="AF594" s="1930"/>
      <c r="AG594" s="1930"/>
      <c r="AH594" s="1930"/>
      <c r="AI594" s="1930"/>
      <c r="AJ594" s="1930"/>
      <c r="AK594" s="1930"/>
      <c r="AL594" s="1930"/>
      <c r="AM594" s="1930"/>
      <c r="AN594" s="1930"/>
      <c r="AO594" s="1930"/>
      <c r="AP594" s="1930"/>
      <c r="AQ594" s="1930"/>
      <c r="AR594" s="1930"/>
      <c r="AS594" s="1930"/>
      <c r="AT594" s="1930"/>
      <c r="AU594" s="1930"/>
      <c r="AV594" s="1930"/>
      <c r="AW594" s="1930"/>
      <c r="AX594" s="1930"/>
      <c r="AY594" s="1930"/>
      <c r="AZ594" s="1930"/>
      <c r="BA594" s="1930"/>
      <c r="BC594" s="1930"/>
      <c r="BD594" s="1930"/>
      <c r="BE594" s="1930"/>
    </row>
    <row r="595" spans="1:57" hidden="1" outlineLevel="1" x14ac:dyDescent="0.25">
      <c r="A595" s="249"/>
      <c r="B595" s="249"/>
      <c r="C595" s="120"/>
      <c r="D595" s="1113"/>
      <c r="E595" s="1113"/>
      <c r="F595" s="1038"/>
      <c r="G595" s="1115"/>
      <c r="H595" s="249"/>
      <c r="I595" s="1118"/>
      <c r="J595" s="1725"/>
      <c r="K595" s="1118"/>
      <c r="L595" s="685"/>
      <c r="M595" s="249"/>
      <c r="N595" s="249"/>
      <c r="O595" s="249"/>
      <c r="P595" s="249"/>
      <c r="Q595" s="249"/>
      <c r="R595" s="249"/>
      <c r="V595" s="1930"/>
      <c r="W595" s="1930"/>
      <c r="X595" s="1930"/>
      <c r="Y595" s="1930"/>
      <c r="Z595" s="1930"/>
      <c r="AA595" s="1930"/>
      <c r="AB595" s="1930"/>
      <c r="AC595" s="1930"/>
      <c r="AD595" s="1930"/>
      <c r="AE595" s="1930"/>
      <c r="AF595" s="1930"/>
      <c r="AG595" s="1930"/>
      <c r="AH595" s="1930"/>
      <c r="AI595" s="1930"/>
      <c r="AJ595" s="1930"/>
      <c r="AK595" s="1930"/>
      <c r="AL595" s="1930"/>
      <c r="AM595" s="1930"/>
      <c r="AN595" s="1930"/>
      <c r="AO595" s="1930"/>
      <c r="AP595" s="1930"/>
      <c r="AQ595" s="1930"/>
      <c r="AR595" s="1930"/>
      <c r="AS595" s="1930"/>
      <c r="AT595" s="1930"/>
      <c r="AU595" s="1930"/>
      <c r="AV595" s="1930"/>
      <c r="AW595" s="1930"/>
      <c r="AX595" s="1930"/>
      <c r="AY595" s="1930"/>
      <c r="AZ595" s="1930"/>
      <c r="BA595" s="1930"/>
      <c r="BC595" s="1930"/>
      <c r="BD595" s="1930"/>
      <c r="BE595" s="1930"/>
    </row>
    <row r="596" spans="1:57" hidden="1" outlineLevel="1" x14ac:dyDescent="0.25">
      <c r="A596" s="249"/>
      <c r="B596" s="249"/>
      <c r="C596" s="905"/>
      <c r="D596" s="3236" t="s">
        <v>109</v>
      </c>
      <c r="E596" s="3236" t="s">
        <v>110</v>
      </c>
      <c r="F596" s="3086" t="s">
        <v>112</v>
      </c>
      <c r="G596" s="3773" t="s">
        <v>187</v>
      </c>
      <c r="H596" s="3773"/>
      <c r="I596" s="1241"/>
      <c r="L596" s="1657"/>
      <c r="M596" s="1657"/>
      <c r="N596" s="1657"/>
      <c r="O596" s="1657"/>
      <c r="P596" s="1657"/>
      <c r="Q596" s="1657"/>
      <c r="R596" s="1657"/>
      <c r="S596" s="1657"/>
      <c r="V596" s="1936" t="s">
        <v>45</v>
      </c>
      <c r="W596" s="1937">
        <f>W$6</f>
        <v>43252</v>
      </c>
      <c r="X596" s="1937">
        <f t="shared" ref="X596:AG596" si="120">X$6</f>
        <v>43465</v>
      </c>
      <c r="Y596" s="1937">
        <f t="shared" si="120"/>
        <v>43800</v>
      </c>
      <c r="Z596" s="1937">
        <f t="shared" si="120"/>
        <v>43862</v>
      </c>
      <c r="AA596" s="1937">
        <f t="shared" si="120"/>
        <v>44013</v>
      </c>
      <c r="AB596" s="1937">
        <f t="shared" si="120"/>
        <v>44166</v>
      </c>
      <c r="AC596" s="1937">
        <f t="shared" si="120"/>
        <v>44531</v>
      </c>
      <c r="AD596" s="1937" t="str">
        <f t="shared" si="120"/>
        <v>-</v>
      </c>
      <c r="AE596" s="1937" t="str">
        <f t="shared" si="120"/>
        <v>-</v>
      </c>
      <c r="AF596" s="1937" t="str">
        <f t="shared" si="120"/>
        <v>-</v>
      </c>
      <c r="AG596" s="1937" t="str">
        <f t="shared" si="120"/>
        <v>-</v>
      </c>
      <c r="AH596" s="1930"/>
      <c r="AI596" s="1930"/>
      <c r="AJ596" s="1930"/>
      <c r="AK596" s="1930"/>
      <c r="AL596" s="1930"/>
      <c r="AM596" s="1930"/>
      <c r="AN596" s="1930"/>
      <c r="AO596" s="1930"/>
      <c r="AP596" s="1930"/>
      <c r="AQ596" s="1930"/>
      <c r="AR596" s="1930"/>
      <c r="AS596" s="1930"/>
      <c r="AT596" s="1930"/>
      <c r="AU596" s="1930"/>
      <c r="AV596" s="1930"/>
      <c r="AW596" s="1930"/>
      <c r="AX596" s="1930"/>
      <c r="AY596" s="1930"/>
      <c r="AZ596" s="1930"/>
      <c r="BA596" s="1930"/>
      <c r="BC596" s="1930"/>
      <c r="BD596" s="1930"/>
      <c r="BE596" s="1930"/>
    </row>
    <row r="597" spans="1:57" ht="18" hidden="1" outlineLevel="1" x14ac:dyDescent="0.35">
      <c r="A597" s="249"/>
      <c r="B597" s="249"/>
      <c r="C597" s="905"/>
      <c r="D597" s="1008" t="s">
        <v>2223</v>
      </c>
      <c r="E597" s="981" t="s">
        <v>2224</v>
      </c>
      <c r="F597" s="559">
        <f>SUMPRODUCT(F600:F605, F606:F611)/SUM(F606:F611)</f>
        <v>985.16038920276219</v>
      </c>
      <c r="G597" s="4151"/>
      <c r="H597" s="4151"/>
      <c r="I597" s="1241"/>
      <c r="L597" s="1657"/>
      <c r="M597" s="1657"/>
      <c r="N597" s="1657"/>
      <c r="O597" s="1657"/>
      <c r="P597" s="1657"/>
      <c r="Q597" s="1657"/>
      <c r="R597" s="1657"/>
      <c r="S597" s="1657"/>
      <c r="V597" s="1008" t="str">
        <f>D597</f>
        <v>kWhBase</v>
      </c>
      <c r="W597" s="559">
        <v>985.16038920276219</v>
      </c>
      <c r="X597" s="559">
        <v>985.16038920276219</v>
      </c>
      <c r="Y597" s="559">
        <v>985.16038920276219</v>
      </c>
      <c r="Z597" s="559">
        <v>985.16038920276219</v>
      </c>
      <c r="AA597" s="559">
        <v>985.16038920276219</v>
      </c>
      <c r="AB597" s="559">
        <v>985.16038920276219</v>
      </c>
      <c r="AC597" s="559">
        <v>985.16038920276219</v>
      </c>
      <c r="AD597" s="1242"/>
      <c r="AE597" s="1242"/>
      <c r="AF597" s="1242"/>
      <c r="AG597" s="1242"/>
      <c r="AH597" s="1930"/>
      <c r="AI597" s="1930"/>
      <c r="AJ597" s="1930"/>
      <c r="AK597" s="1930"/>
      <c r="AL597" s="1930"/>
      <c r="AM597" s="1930"/>
      <c r="AN597" s="1930"/>
      <c r="AO597" s="1930"/>
      <c r="AP597" s="1930"/>
      <c r="AQ597" s="1930"/>
      <c r="AR597" s="1930"/>
      <c r="AS597" s="1930"/>
      <c r="AT597" s="1930"/>
      <c r="AU597" s="1930"/>
      <c r="AV597" s="1930"/>
      <c r="AW597" s="1930"/>
      <c r="AX597" s="1930"/>
      <c r="AY597" s="1930"/>
      <c r="AZ597" s="1930"/>
      <c r="BA597" s="1930"/>
      <c r="BC597" s="1930"/>
      <c r="BD597" s="1930"/>
      <c r="BE597" s="1930"/>
    </row>
    <row r="598" spans="1:57" ht="18" hidden="1" outlineLevel="1" x14ac:dyDescent="0.35">
      <c r="A598" s="249"/>
      <c r="B598" s="249"/>
      <c r="C598" s="905"/>
      <c r="D598" s="1008" t="s">
        <v>2227</v>
      </c>
      <c r="E598" s="981" t="s">
        <v>2228</v>
      </c>
      <c r="F598" s="559">
        <f>F600</f>
        <v>467.22222222222223</v>
      </c>
      <c r="G598" s="4151"/>
      <c r="H598" s="4151"/>
      <c r="I598" s="1241"/>
      <c r="L598" s="1657"/>
      <c r="M598" s="1657"/>
      <c r="N598" s="1657"/>
      <c r="O598" s="1657"/>
      <c r="P598" s="1657"/>
      <c r="Q598" s="1657"/>
      <c r="R598" s="1657"/>
      <c r="S598" s="1657"/>
      <c r="V598" s="1008" t="str">
        <f t="shared" ref="V598:V611" si="121">D598</f>
        <v>kWhnew</v>
      </c>
      <c r="W598" s="559">
        <v>467.22222222222223</v>
      </c>
      <c r="X598" s="559">
        <v>467.22222222222223</v>
      </c>
      <c r="Y598" s="559">
        <v>467.22222222222223</v>
      </c>
      <c r="Z598" s="559">
        <v>467.22222222222223</v>
      </c>
      <c r="AA598" s="559">
        <v>467.22222222222223</v>
      </c>
      <c r="AB598" s="559">
        <v>467.22222222222223</v>
      </c>
      <c r="AC598" s="559">
        <v>467.22222222222223</v>
      </c>
      <c r="AD598" s="1242"/>
      <c r="AE598" s="1242"/>
      <c r="AF598" s="1242"/>
      <c r="AG598" s="1242"/>
      <c r="AH598" s="1930"/>
      <c r="AI598" s="1930"/>
      <c r="AJ598" s="1930"/>
      <c r="AK598" s="1930"/>
      <c r="AL598" s="1930"/>
      <c r="AM598" s="1930"/>
      <c r="AN598" s="1930"/>
      <c r="AO598" s="1930"/>
      <c r="AP598" s="1930"/>
      <c r="AQ598" s="1930"/>
      <c r="AR598" s="1930"/>
      <c r="AS598" s="1930"/>
      <c r="AT598" s="1930"/>
      <c r="AU598" s="1930"/>
      <c r="AV598" s="1930"/>
      <c r="AW598" s="1930"/>
      <c r="AX598" s="1930"/>
      <c r="AY598" s="1930"/>
      <c r="AZ598" s="1930"/>
      <c r="BA598" s="1930"/>
      <c r="BC598" s="1930"/>
      <c r="BD598" s="1930"/>
      <c r="BE598" s="1930"/>
    </row>
    <row r="599" spans="1:57" ht="15" hidden="1" customHeight="1" outlineLevel="1" x14ac:dyDescent="0.25">
      <c r="A599" s="249"/>
      <c r="B599" s="249"/>
      <c r="C599" s="905"/>
      <c r="D599" s="1008" t="s">
        <v>2233</v>
      </c>
      <c r="E599" s="981" t="s">
        <v>2234</v>
      </c>
      <c r="F599" s="323">
        <v>0.1</v>
      </c>
      <c r="G599" s="4151" t="s">
        <v>1011</v>
      </c>
      <c r="H599" s="4151"/>
      <c r="I599" s="1780"/>
      <c r="J599" s="4418" t="s">
        <v>2572</v>
      </c>
      <c r="K599" s="4419"/>
      <c r="L599" s="4419"/>
      <c r="M599" s="4419"/>
      <c r="N599" s="4419"/>
      <c r="O599" s="4419"/>
      <c r="P599" s="4419"/>
      <c r="Q599" s="4419"/>
      <c r="R599" s="4419"/>
      <c r="S599" s="4419"/>
      <c r="V599" s="1008" t="str">
        <f t="shared" si="121"/>
        <v>% Savings</v>
      </c>
      <c r="W599" s="732">
        <v>0.1</v>
      </c>
      <c r="X599" s="732">
        <v>0.1</v>
      </c>
      <c r="Y599" s="732">
        <v>0.1</v>
      </c>
      <c r="Z599" s="732">
        <v>0.1</v>
      </c>
      <c r="AA599" s="732">
        <v>0.1</v>
      </c>
      <c r="AB599" s="732">
        <v>0.1</v>
      </c>
      <c r="AC599" s="323">
        <v>0.1</v>
      </c>
      <c r="AD599" s="732"/>
      <c r="AE599" s="732"/>
      <c r="AF599" s="732"/>
      <c r="AG599" s="732"/>
      <c r="AH599" s="1930"/>
      <c r="AI599" s="1930"/>
      <c r="AJ599" s="1930"/>
      <c r="AK599" s="1930"/>
      <c r="AL599" s="1930"/>
      <c r="AM599" s="1930"/>
      <c r="AN599" s="1930"/>
      <c r="AO599" s="1930"/>
      <c r="AP599" s="1930"/>
      <c r="AQ599" s="1930"/>
      <c r="AR599" s="1930"/>
      <c r="AS599" s="1930"/>
      <c r="AT599" s="1930"/>
      <c r="AU599" s="1930"/>
      <c r="AV599" s="1930"/>
      <c r="AW599" s="1930"/>
      <c r="AX599" s="1930"/>
      <c r="AY599" s="1930"/>
      <c r="AZ599" s="1930"/>
      <c r="BA599" s="1930"/>
      <c r="BC599" s="1930"/>
      <c r="BD599" s="1930"/>
      <c r="BE599" s="1930"/>
    </row>
    <row r="600" spans="1:57" ht="18" hidden="1" customHeight="1" outlineLevel="1" x14ac:dyDescent="0.35">
      <c r="A600" s="249"/>
      <c r="B600" s="249"/>
      <c r="C600" s="905"/>
      <c r="D600" s="1008" t="s">
        <v>2240</v>
      </c>
      <c r="E600" s="1008" t="s">
        <v>2241</v>
      </c>
      <c r="F600" s="1160">
        <f t="shared" ref="F600:F605" si="122">AVERAGE(K600:S600)</f>
        <v>467.22222222222223</v>
      </c>
      <c r="G600" s="4151" t="s">
        <v>2573</v>
      </c>
      <c r="H600" s="4151"/>
      <c r="I600" s="1780"/>
      <c r="J600" s="1244" t="s">
        <v>2242</v>
      </c>
      <c r="K600" s="3201">
        <v>483</v>
      </c>
      <c r="L600" s="3201">
        <v>592</v>
      </c>
      <c r="M600" s="3201">
        <v>592</v>
      </c>
      <c r="N600" s="3201">
        <v>592</v>
      </c>
      <c r="O600" s="3201">
        <v>374</v>
      </c>
      <c r="P600" s="3201">
        <v>374</v>
      </c>
      <c r="Q600" s="3201">
        <v>374</v>
      </c>
      <c r="R600" s="3201">
        <v>412</v>
      </c>
      <c r="S600" s="3201">
        <v>412</v>
      </c>
      <c r="V600" s="1008" t="str">
        <f t="shared" si="121"/>
        <v>kWh2011-2015</v>
      </c>
      <c r="W600" s="1243">
        <v>467.22222222222223</v>
      </c>
      <c r="X600" s="1243">
        <v>467.22222222222223</v>
      </c>
      <c r="Y600" s="1243">
        <v>467.22222222222223</v>
      </c>
      <c r="Z600" s="1243">
        <v>467.22222222222223</v>
      </c>
      <c r="AA600" s="1243">
        <v>467.22222222222223</v>
      </c>
      <c r="AB600" s="1243">
        <v>467.22222222222223</v>
      </c>
      <c r="AC600" s="1160">
        <v>467.22222222222223</v>
      </c>
      <c r="AD600" s="1243"/>
      <c r="AE600" s="1243"/>
      <c r="AF600" s="1243"/>
      <c r="AG600" s="1243"/>
      <c r="AH600" s="1930"/>
      <c r="AI600" s="1930"/>
      <c r="AJ600" s="1930"/>
      <c r="AK600" s="1930"/>
      <c r="AL600" s="1930"/>
      <c r="AM600" s="1930"/>
      <c r="AN600" s="1930"/>
      <c r="AO600" s="1930"/>
      <c r="AP600" s="1930"/>
      <c r="AQ600" s="1930"/>
      <c r="AR600" s="1930"/>
      <c r="AS600" s="1930"/>
      <c r="AT600" s="1930"/>
      <c r="AU600" s="1930"/>
      <c r="AV600" s="1930"/>
      <c r="AW600" s="1930"/>
      <c r="AX600" s="1930"/>
      <c r="AY600" s="1930"/>
      <c r="AZ600" s="1930"/>
      <c r="BA600" s="1930"/>
      <c r="BC600" s="1930"/>
      <c r="BD600" s="1930"/>
      <c r="BE600" s="1930"/>
    </row>
    <row r="601" spans="1:57" ht="31.5" hidden="1" customHeight="1" outlineLevel="1" x14ac:dyDescent="0.35">
      <c r="A601" s="249"/>
      <c r="B601" s="249"/>
      <c r="C601" s="905"/>
      <c r="D601" s="1008" t="s">
        <v>2243</v>
      </c>
      <c r="E601" s="1008" t="s">
        <v>2244</v>
      </c>
      <c r="F601" s="1160">
        <f t="shared" si="122"/>
        <v>651</v>
      </c>
      <c r="G601" s="4151" t="s">
        <v>2573</v>
      </c>
      <c r="H601" s="4151"/>
      <c r="I601" s="1780"/>
      <c r="J601" s="1244" t="s">
        <v>2245</v>
      </c>
      <c r="K601" s="3201">
        <v>724</v>
      </c>
      <c r="L601" s="3201">
        <v>747</v>
      </c>
      <c r="M601" s="3201">
        <v>747</v>
      </c>
      <c r="N601" s="3201">
        <v>747</v>
      </c>
      <c r="O601" s="3201">
        <v>556</v>
      </c>
      <c r="P601" s="3201">
        <v>556</v>
      </c>
      <c r="Q601" s="3201">
        <v>556</v>
      </c>
      <c r="R601" s="3201">
        <v>613</v>
      </c>
      <c r="S601" s="3201">
        <v>613</v>
      </c>
      <c r="V601" s="1008" t="str">
        <f t="shared" si="121"/>
        <v>kWh2001(after July)-2010</v>
      </c>
      <c r="W601" s="1243">
        <v>651</v>
      </c>
      <c r="X601" s="1243">
        <v>651</v>
      </c>
      <c r="Y601" s="1243">
        <v>651</v>
      </c>
      <c r="Z601" s="1243">
        <v>651</v>
      </c>
      <c r="AA601" s="1243">
        <v>651</v>
      </c>
      <c r="AB601" s="1243">
        <v>651</v>
      </c>
      <c r="AC601" s="1160">
        <v>651</v>
      </c>
      <c r="AD601" s="1243"/>
      <c r="AE601" s="1243"/>
      <c r="AF601" s="1243"/>
      <c r="AG601" s="1243"/>
      <c r="AH601" s="1930"/>
      <c r="AI601" s="1930"/>
      <c r="AJ601" s="1930"/>
      <c r="AK601" s="1930"/>
      <c r="AL601" s="1930"/>
      <c r="AM601" s="1930"/>
      <c r="AN601" s="1930"/>
      <c r="AO601" s="1930"/>
      <c r="AP601" s="1930"/>
      <c r="AQ601" s="1930"/>
      <c r="AR601" s="1930"/>
      <c r="AS601" s="1930"/>
      <c r="AT601" s="1930"/>
      <c r="AU601" s="1930"/>
      <c r="AV601" s="1930"/>
      <c r="AW601" s="1930"/>
      <c r="AX601" s="1930"/>
      <c r="AY601" s="1930"/>
      <c r="AZ601" s="1930"/>
      <c r="BA601" s="1930"/>
      <c r="BC601" s="1930"/>
      <c r="BD601" s="1930"/>
      <c r="BE601" s="1930"/>
    </row>
    <row r="602" spans="1:57" ht="31.5" hidden="1" customHeight="1" outlineLevel="1" x14ac:dyDescent="0.35">
      <c r="A602" s="249"/>
      <c r="B602" s="249"/>
      <c r="C602" s="905"/>
      <c r="D602" s="1008" t="s">
        <v>2246</v>
      </c>
      <c r="E602" s="1008" t="s">
        <v>2247</v>
      </c>
      <c r="F602" s="1160">
        <f t="shared" si="122"/>
        <v>987.33333333333337</v>
      </c>
      <c r="G602" s="4151" t="s">
        <v>2573</v>
      </c>
      <c r="H602" s="4151"/>
      <c r="I602" s="1780"/>
      <c r="J602" s="1244" t="s">
        <v>2248</v>
      </c>
      <c r="K602" s="3201">
        <v>962</v>
      </c>
      <c r="L602" s="3201">
        <v>1139</v>
      </c>
      <c r="M602" s="3201">
        <v>1139</v>
      </c>
      <c r="N602" s="3201">
        <v>1139</v>
      </c>
      <c r="O602" s="3201">
        <v>861</v>
      </c>
      <c r="P602" s="3201">
        <v>861</v>
      </c>
      <c r="Q602" s="3201">
        <v>861</v>
      </c>
      <c r="R602" s="3201">
        <v>962</v>
      </c>
      <c r="S602" s="3201">
        <v>962</v>
      </c>
      <c r="V602" s="1008" t="str">
        <f t="shared" si="121"/>
        <v>kWh1993-2001(before June)</v>
      </c>
      <c r="W602" s="1243">
        <v>987.33333333333337</v>
      </c>
      <c r="X602" s="1243">
        <v>987.33333333333337</v>
      </c>
      <c r="Y602" s="1243">
        <v>987.33333333333337</v>
      </c>
      <c r="Z602" s="1243">
        <v>987.33333333333337</v>
      </c>
      <c r="AA602" s="1243">
        <v>987.33333333333337</v>
      </c>
      <c r="AB602" s="1243">
        <v>987.33333333333337</v>
      </c>
      <c r="AC602" s="1160">
        <v>987.33333333333337</v>
      </c>
      <c r="AD602" s="1243"/>
      <c r="AE602" s="1243"/>
      <c r="AF602" s="1243"/>
      <c r="AG602" s="1243"/>
      <c r="AH602" s="1930"/>
      <c r="AI602" s="1930"/>
      <c r="AJ602" s="1930"/>
      <c r="AK602" s="1930"/>
      <c r="AL602" s="1930"/>
      <c r="AM602" s="1930"/>
      <c r="AN602" s="1930"/>
      <c r="AO602" s="1930"/>
      <c r="AP602" s="1930"/>
      <c r="AQ602" s="1930"/>
      <c r="AR602" s="1930"/>
      <c r="AS602" s="1930"/>
      <c r="AT602" s="1930"/>
      <c r="AU602" s="1930"/>
      <c r="AV602" s="1930"/>
      <c r="AW602" s="1930"/>
      <c r="AX602" s="1930"/>
      <c r="AY602" s="1930"/>
      <c r="AZ602" s="1930"/>
      <c r="BA602" s="1930"/>
      <c r="BC602" s="1930"/>
      <c r="BD602" s="1930"/>
      <c r="BE602" s="1930"/>
    </row>
    <row r="603" spans="1:57" ht="18" hidden="1" customHeight="1" outlineLevel="1" x14ac:dyDescent="0.35">
      <c r="A603" s="249"/>
      <c r="B603" s="249"/>
      <c r="C603" s="905"/>
      <c r="D603" s="1008" t="s">
        <v>2249</v>
      </c>
      <c r="E603" s="1008" t="s">
        <v>2250</v>
      </c>
      <c r="F603" s="1160">
        <f t="shared" si="122"/>
        <v>1450</v>
      </c>
      <c r="G603" s="4151" t="s">
        <v>2573</v>
      </c>
      <c r="H603" s="4151"/>
      <c r="I603" s="1780"/>
      <c r="J603" s="1244" t="s">
        <v>2251</v>
      </c>
      <c r="K603" s="1204">
        <v>1519</v>
      </c>
      <c r="L603" s="1204">
        <v>1617</v>
      </c>
      <c r="M603" s="1204">
        <v>1617</v>
      </c>
      <c r="N603" s="1204">
        <v>1617</v>
      </c>
      <c r="O603" s="1204">
        <v>1272</v>
      </c>
      <c r="P603" s="1204">
        <v>1272</v>
      </c>
      <c r="Q603" s="1204">
        <v>1272</v>
      </c>
      <c r="R603" s="1204">
        <v>1432</v>
      </c>
      <c r="S603" s="1204">
        <v>1432</v>
      </c>
      <c r="V603" s="1008" t="str">
        <f t="shared" si="121"/>
        <v>kWh1990-1992</v>
      </c>
      <c r="W603" s="1243">
        <v>1450</v>
      </c>
      <c r="X603" s="1243">
        <v>1450</v>
      </c>
      <c r="Y603" s="1243">
        <v>1450</v>
      </c>
      <c r="Z603" s="1243">
        <v>1450</v>
      </c>
      <c r="AA603" s="1243">
        <v>1450</v>
      </c>
      <c r="AB603" s="1243">
        <v>1450</v>
      </c>
      <c r="AC603" s="1160">
        <v>1450</v>
      </c>
      <c r="AD603" s="1243"/>
      <c r="AE603" s="1243"/>
      <c r="AF603" s="1243"/>
      <c r="AG603" s="1243"/>
      <c r="AH603" s="1930"/>
      <c r="AI603" s="1930"/>
      <c r="AJ603" s="1930"/>
      <c r="AK603" s="1930"/>
      <c r="AL603" s="1930"/>
      <c r="AM603" s="1930"/>
      <c r="AN603" s="1930"/>
      <c r="AO603" s="1930"/>
      <c r="AP603" s="1930"/>
      <c r="AQ603" s="1930"/>
      <c r="AR603" s="1930"/>
      <c r="AS603" s="1930"/>
      <c r="AT603" s="1930"/>
      <c r="AU603" s="1930"/>
      <c r="AV603" s="1930"/>
      <c r="AW603" s="1930"/>
      <c r="AX603" s="1930"/>
      <c r="AY603" s="1930"/>
      <c r="AZ603" s="1930"/>
      <c r="BA603" s="1930"/>
      <c r="BC603" s="1930"/>
      <c r="BD603" s="1930"/>
      <c r="BE603" s="1930"/>
    </row>
    <row r="604" spans="1:57" ht="18" hidden="1" customHeight="1" outlineLevel="1" x14ac:dyDescent="0.35">
      <c r="A604" s="249"/>
      <c r="B604" s="249"/>
      <c r="C604" s="905"/>
      <c r="D604" s="1008" t="s">
        <v>2252</v>
      </c>
      <c r="E604" s="1008" t="s">
        <v>2253</v>
      </c>
      <c r="F604" s="1160">
        <f t="shared" si="122"/>
        <v>1900.7777777777778</v>
      </c>
      <c r="G604" s="4151" t="s">
        <v>2573</v>
      </c>
      <c r="H604" s="4151"/>
      <c r="I604" s="1780"/>
      <c r="J604" s="1244" t="s">
        <v>2254</v>
      </c>
      <c r="K604" s="3201">
        <v>1992</v>
      </c>
      <c r="L604" s="3201">
        <v>2119</v>
      </c>
      <c r="M604" s="3201">
        <v>2119</v>
      </c>
      <c r="N604" s="3201">
        <v>2119</v>
      </c>
      <c r="O604" s="3201">
        <v>1668</v>
      </c>
      <c r="P604" s="3201">
        <v>1668</v>
      </c>
      <c r="Q604" s="3201">
        <v>1668</v>
      </c>
      <c r="R604" s="3201">
        <v>1877</v>
      </c>
      <c r="S604" s="3201">
        <v>1877</v>
      </c>
      <c r="V604" s="1008" t="str">
        <f t="shared" si="121"/>
        <v>kWh1980-1989</v>
      </c>
      <c r="W604" s="1243">
        <v>1900.7777777777778</v>
      </c>
      <c r="X604" s="1243">
        <v>1900.7777777777778</v>
      </c>
      <c r="Y604" s="1243">
        <v>1900.7777777777778</v>
      </c>
      <c r="Z604" s="1243">
        <v>1900.7777777777778</v>
      </c>
      <c r="AA604" s="1243">
        <v>1900.7777777777778</v>
      </c>
      <c r="AB604" s="1243">
        <v>1900.7777777777778</v>
      </c>
      <c r="AC604" s="1160">
        <v>1900.7777777777778</v>
      </c>
      <c r="AD604" s="1243"/>
      <c r="AE604" s="1243"/>
      <c r="AF604" s="1243"/>
      <c r="AG604" s="1243"/>
      <c r="AH604" s="1930"/>
      <c r="AI604" s="1930"/>
      <c r="AJ604" s="1930"/>
      <c r="AK604" s="1930"/>
      <c r="AL604" s="1930"/>
      <c r="AM604" s="1930"/>
      <c r="AN604" s="1930"/>
      <c r="AO604" s="1930"/>
      <c r="AP604" s="1930"/>
      <c r="AQ604" s="1930"/>
      <c r="AR604" s="1930"/>
      <c r="AS604" s="1930"/>
      <c r="AT604" s="1930"/>
      <c r="AU604" s="1930"/>
      <c r="AV604" s="1930"/>
      <c r="AW604" s="1930"/>
      <c r="AX604" s="1930"/>
      <c r="AY604" s="1930"/>
      <c r="AZ604" s="1930"/>
      <c r="BA604" s="1930"/>
      <c r="BC604" s="1930"/>
      <c r="BD604" s="1930"/>
      <c r="BE604" s="1930"/>
    </row>
    <row r="605" spans="1:57" ht="18" hidden="1" customHeight="1" outlineLevel="1" x14ac:dyDescent="0.35">
      <c r="A605" s="249"/>
      <c r="B605" s="249"/>
      <c r="C605" s="905"/>
      <c r="D605" s="1008" t="s">
        <v>2255</v>
      </c>
      <c r="E605" s="1008" t="s">
        <v>2256</v>
      </c>
      <c r="F605" s="1160">
        <f t="shared" si="122"/>
        <v>2444.125</v>
      </c>
      <c r="G605" s="4151" t="s">
        <v>2573</v>
      </c>
      <c r="H605" s="4151"/>
      <c r="I605" s="1780"/>
      <c r="J605" s="1244" t="s">
        <v>2257</v>
      </c>
      <c r="K605" s="1204">
        <v>2523</v>
      </c>
      <c r="L605" s="1204">
        <v>2684</v>
      </c>
      <c r="M605" s="1204">
        <v>2684</v>
      </c>
      <c r="N605" s="1204">
        <v>2684</v>
      </c>
      <c r="O605" s="1204"/>
      <c r="P605" s="1204">
        <v>2112</v>
      </c>
      <c r="Q605" s="1204">
        <v>2112</v>
      </c>
      <c r="R605" s="1204">
        <v>2377</v>
      </c>
      <c r="S605" s="1204">
        <v>2377</v>
      </c>
      <c r="V605" s="1008" t="str">
        <f t="shared" si="121"/>
        <v>kWhbefore 1980</v>
      </c>
      <c r="W605" s="1243">
        <v>2444.125</v>
      </c>
      <c r="X605" s="1243">
        <v>2444.125</v>
      </c>
      <c r="Y605" s="1243">
        <v>2444.125</v>
      </c>
      <c r="Z605" s="1243">
        <v>2444.125</v>
      </c>
      <c r="AA605" s="1243">
        <v>2444.125</v>
      </c>
      <c r="AB605" s="1243">
        <v>2444.125</v>
      </c>
      <c r="AC605" s="1160">
        <v>2444.125</v>
      </c>
      <c r="AD605" s="1243"/>
      <c r="AE605" s="1243"/>
      <c r="AF605" s="1243"/>
      <c r="AG605" s="1243"/>
      <c r="AH605" s="1930"/>
      <c r="AI605" s="1930"/>
      <c r="AJ605" s="1930"/>
      <c r="AK605" s="1930"/>
      <c r="AL605" s="1930"/>
      <c r="AM605" s="1930"/>
      <c r="AN605" s="1930"/>
      <c r="AO605" s="1930"/>
      <c r="AP605" s="1930"/>
      <c r="AQ605" s="1930"/>
      <c r="AR605" s="1930"/>
      <c r="AS605" s="1930"/>
      <c r="AT605" s="1930"/>
      <c r="AU605" s="1930"/>
      <c r="AV605" s="1930"/>
      <c r="AW605" s="1930"/>
      <c r="AX605" s="1930"/>
      <c r="AY605" s="1930"/>
      <c r="AZ605" s="1930"/>
      <c r="BA605" s="1930"/>
      <c r="BC605" s="1930"/>
      <c r="BD605" s="1930"/>
      <c r="BE605" s="1930"/>
    </row>
    <row r="606" spans="1:57" ht="18" hidden="1" customHeight="1" outlineLevel="1" x14ac:dyDescent="0.35">
      <c r="A606" s="249"/>
      <c r="B606" s="249"/>
      <c r="C606" s="905"/>
      <c r="D606" s="1008" t="s">
        <v>2258</v>
      </c>
      <c r="E606" s="1008" t="s">
        <v>2259</v>
      </c>
      <c r="F606" s="1165">
        <v>0</v>
      </c>
      <c r="G606" s="4151" t="s">
        <v>2573</v>
      </c>
      <c r="H606" s="4151"/>
      <c r="I606" s="1781"/>
      <c r="J606" s="1781"/>
      <c r="K606" s="1781"/>
      <c r="L606" s="1781"/>
      <c r="M606" s="1781"/>
      <c r="N606" s="1781"/>
      <c r="O606" s="1781"/>
      <c r="P606" s="1781"/>
      <c r="Q606" s="1781"/>
      <c r="R606" s="1781"/>
      <c r="S606" s="1657"/>
      <c r="T606" s="1657"/>
      <c r="U606" s="1657"/>
      <c r="V606" s="1008" t="str">
        <f t="shared" si="121"/>
        <v>Number of Units2011-2015</v>
      </c>
      <c r="W606" s="1245">
        <v>0</v>
      </c>
      <c r="X606" s="1245">
        <v>0</v>
      </c>
      <c r="Y606" s="1245">
        <v>0</v>
      </c>
      <c r="Z606" s="1245">
        <v>0</v>
      </c>
      <c r="AA606" s="1245">
        <v>0</v>
      </c>
      <c r="AB606" s="1245">
        <v>0</v>
      </c>
      <c r="AC606" s="1165">
        <v>0</v>
      </c>
      <c r="AD606" s="1245"/>
      <c r="AE606" s="1245"/>
      <c r="AF606" s="1245"/>
      <c r="AG606" s="1245"/>
      <c r="AH606" s="1930"/>
      <c r="AI606" s="1930"/>
      <c r="AJ606" s="1930"/>
      <c r="AK606" s="1930"/>
      <c r="AL606" s="1930"/>
      <c r="AM606" s="1930"/>
      <c r="AN606" s="1930"/>
      <c r="AO606" s="1930"/>
      <c r="AP606" s="1930"/>
      <c r="AQ606" s="1930"/>
      <c r="AR606" s="1930"/>
      <c r="AS606" s="1930"/>
      <c r="AT606" s="1930"/>
      <c r="AU606" s="1930"/>
      <c r="AV606" s="1930"/>
      <c r="AW606" s="1930"/>
      <c r="AX606" s="1930"/>
      <c r="AY606" s="1930"/>
      <c r="AZ606" s="1930"/>
      <c r="BA606" s="1930"/>
      <c r="BC606" s="1930"/>
      <c r="BD606" s="1930"/>
      <c r="BE606" s="1930"/>
    </row>
    <row r="607" spans="1:57" ht="33" hidden="1" outlineLevel="1" x14ac:dyDescent="0.35">
      <c r="A607" s="249"/>
      <c r="B607" s="249"/>
      <c r="C607" s="905"/>
      <c r="D607" s="1008" t="s">
        <v>2260</v>
      </c>
      <c r="E607" s="1008" t="s">
        <v>2261</v>
      </c>
      <c r="F607" s="1165">
        <v>65</v>
      </c>
      <c r="G607" s="4151" t="s">
        <v>2573</v>
      </c>
      <c r="H607" s="4151"/>
      <c r="I607" s="1657"/>
      <c r="J607" s="1657"/>
      <c r="K607" s="1657"/>
      <c r="L607" s="1657"/>
      <c r="M607" s="1657"/>
      <c r="N607" s="1657"/>
      <c r="O607" s="1657"/>
      <c r="P607" s="1657"/>
      <c r="Q607" s="1657"/>
      <c r="R607" s="1657"/>
      <c r="V607" s="1008" t="str">
        <f t="shared" si="121"/>
        <v>Number of Units2001(after July)-2010</v>
      </c>
      <c r="W607" s="1245">
        <v>65</v>
      </c>
      <c r="X607" s="1245">
        <v>65</v>
      </c>
      <c r="Y607" s="1245">
        <v>65</v>
      </c>
      <c r="Z607" s="1245">
        <v>65</v>
      </c>
      <c r="AA607" s="1245">
        <v>65</v>
      </c>
      <c r="AB607" s="1245">
        <v>65</v>
      </c>
      <c r="AC607" s="1165">
        <v>65</v>
      </c>
      <c r="AD607" s="1245"/>
      <c r="AE607" s="1245"/>
      <c r="AF607" s="1245"/>
      <c r="AG607" s="1245"/>
      <c r="AH607" s="1930"/>
      <c r="AI607" s="1930"/>
      <c r="AJ607" s="1930"/>
      <c r="AK607" s="1930"/>
      <c r="AL607" s="1930"/>
      <c r="AM607" s="1930"/>
      <c r="AN607" s="1930"/>
      <c r="AO607" s="1930"/>
      <c r="AP607" s="1930"/>
      <c r="AQ607" s="1930"/>
      <c r="AR607" s="1930"/>
      <c r="AS607" s="1930"/>
      <c r="AT607" s="1930"/>
      <c r="AU607" s="1930"/>
      <c r="AV607" s="1930"/>
      <c r="AW607" s="1930"/>
      <c r="AX607" s="1930"/>
      <c r="AY607" s="1930"/>
      <c r="AZ607" s="1930"/>
      <c r="BA607" s="1930"/>
      <c r="BC607" s="1930"/>
      <c r="BD607" s="1930"/>
      <c r="BE607" s="1930"/>
    </row>
    <row r="608" spans="1:57" ht="36" hidden="1" outlineLevel="1" x14ac:dyDescent="0.35">
      <c r="A608" s="249"/>
      <c r="B608" s="249"/>
      <c r="C608" s="905"/>
      <c r="D608" s="1008" t="s">
        <v>2262</v>
      </c>
      <c r="E608" s="1008" t="s">
        <v>2263</v>
      </c>
      <c r="F608" s="1165">
        <v>259</v>
      </c>
      <c r="G608" s="4151" t="s">
        <v>2573</v>
      </c>
      <c r="H608" s="4151"/>
      <c r="I608" s="1657"/>
      <c r="J608" s="1657"/>
      <c r="K608" s="1657"/>
      <c r="L608" s="1657"/>
      <c r="M608" s="1657"/>
      <c r="N608" s="1657"/>
      <c r="O608" s="1657"/>
      <c r="P608" s="1657"/>
      <c r="Q608" s="1657"/>
      <c r="R608" s="1657"/>
      <c r="V608" s="1008" t="str">
        <f t="shared" si="121"/>
        <v>Number of Units1993-2001(before June)</v>
      </c>
      <c r="W608" s="1245">
        <v>259</v>
      </c>
      <c r="X608" s="1245">
        <v>259</v>
      </c>
      <c r="Y608" s="1245">
        <v>259</v>
      </c>
      <c r="Z608" s="1245">
        <v>259</v>
      </c>
      <c r="AA608" s="1245">
        <v>259</v>
      </c>
      <c r="AB608" s="1245">
        <v>259</v>
      </c>
      <c r="AC608" s="1165">
        <v>259</v>
      </c>
      <c r="AD608" s="1245"/>
      <c r="AE608" s="1245"/>
      <c r="AF608" s="1245"/>
      <c r="AG608" s="1245"/>
      <c r="AH608" s="1930"/>
      <c r="AI608" s="1930"/>
      <c r="AJ608" s="1930"/>
      <c r="AK608" s="1930"/>
      <c r="AL608" s="1930"/>
      <c r="AM608" s="1930"/>
      <c r="AN608" s="1930"/>
      <c r="AO608" s="1930"/>
      <c r="AP608" s="1930"/>
      <c r="AQ608" s="1930"/>
      <c r="AR608" s="1930"/>
      <c r="AS608" s="1930"/>
      <c r="AT608" s="1930"/>
      <c r="AU608" s="1930"/>
      <c r="AV608" s="1930"/>
      <c r="AW608" s="1930"/>
      <c r="AX608" s="1930"/>
      <c r="AY608" s="1930"/>
      <c r="AZ608" s="1930"/>
      <c r="BA608" s="1930"/>
      <c r="BC608" s="1930"/>
      <c r="BD608" s="1930"/>
      <c r="BE608" s="1930"/>
    </row>
    <row r="609" spans="1:57" ht="18" hidden="1" customHeight="1" outlineLevel="1" x14ac:dyDescent="0.35">
      <c r="A609" s="249"/>
      <c r="B609" s="249"/>
      <c r="C609" s="905"/>
      <c r="D609" s="1008" t="s">
        <v>2264</v>
      </c>
      <c r="E609" s="1008" t="s">
        <v>2265</v>
      </c>
      <c r="F609" s="1165">
        <v>14</v>
      </c>
      <c r="G609" s="4151" t="s">
        <v>2573</v>
      </c>
      <c r="H609" s="4151"/>
      <c r="I609" s="1657"/>
      <c r="J609" s="1657"/>
      <c r="K609" s="1657"/>
      <c r="L609" s="1657"/>
      <c r="M609" s="1657"/>
      <c r="N609" s="1657"/>
      <c r="O609" s="1657"/>
      <c r="P609" s="1657"/>
      <c r="Q609" s="1657"/>
      <c r="R609" s="1657"/>
      <c r="V609" s="1008" t="str">
        <f t="shared" si="121"/>
        <v>Number of Units1990-1992</v>
      </c>
      <c r="W609" s="1245">
        <v>14</v>
      </c>
      <c r="X609" s="1245">
        <v>14</v>
      </c>
      <c r="Y609" s="1245">
        <v>14</v>
      </c>
      <c r="Z609" s="1245">
        <v>14</v>
      </c>
      <c r="AA609" s="1245">
        <v>14</v>
      </c>
      <c r="AB609" s="1245">
        <v>14</v>
      </c>
      <c r="AC609" s="1165">
        <v>14</v>
      </c>
      <c r="AD609" s="1245"/>
      <c r="AE609" s="1245"/>
      <c r="AF609" s="1245"/>
      <c r="AG609" s="1245"/>
      <c r="AH609" s="1930"/>
      <c r="AI609" s="1930"/>
      <c r="AJ609" s="1930"/>
      <c r="AK609" s="1930"/>
      <c r="AL609" s="1930"/>
      <c r="AM609" s="1930"/>
      <c r="AN609" s="1930"/>
      <c r="AO609" s="1930"/>
      <c r="AP609" s="1930"/>
      <c r="AQ609" s="1930"/>
      <c r="AR609" s="1930"/>
      <c r="AS609" s="1930"/>
      <c r="AT609" s="1930"/>
      <c r="AU609" s="1930"/>
      <c r="AV609" s="1930"/>
      <c r="AW609" s="1930"/>
      <c r="AX609" s="1930"/>
      <c r="AY609" s="1930"/>
      <c r="AZ609" s="1930"/>
      <c r="BA609" s="1930"/>
      <c r="BC609" s="1930"/>
      <c r="BD609" s="1930"/>
      <c r="BE609" s="1930"/>
    </row>
    <row r="610" spans="1:57" ht="18" hidden="1" customHeight="1" outlineLevel="1" x14ac:dyDescent="0.35">
      <c r="A610" s="249"/>
      <c r="B610" s="249"/>
      <c r="C610" s="905"/>
      <c r="D610" s="1008" t="s">
        <v>2266</v>
      </c>
      <c r="E610" s="1008" t="s">
        <v>2267</v>
      </c>
      <c r="F610" s="1165">
        <v>16</v>
      </c>
      <c r="G610" s="4151" t="s">
        <v>2573</v>
      </c>
      <c r="H610" s="4151"/>
      <c r="I610" s="1657"/>
      <c r="J610" s="1657"/>
      <c r="K610" s="1657"/>
      <c r="L610" s="1657"/>
      <c r="M610" s="1657"/>
      <c r="N610" s="1657"/>
      <c r="O610" s="1657"/>
      <c r="P610" s="1657"/>
      <c r="Q610" s="1657"/>
      <c r="R610" s="1657"/>
      <c r="V610" s="1008" t="str">
        <f t="shared" si="121"/>
        <v>Number of Units1980-1989</v>
      </c>
      <c r="W610" s="1245">
        <v>16</v>
      </c>
      <c r="X610" s="1245">
        <v>16</v>
      </c>
      <c r="Y610" s="1245">
        <v>16</v>
      </c>
      <c r="Z610" s="1245">
        <v>16</v>
      </c>
      <c r="AA610" s="1245">
        <v>16</v>
      </c>
      <c r="AB610" s="1245">
        <v>16</v>
      </c>
      <c r="AC610" s="1165">
        <v>16</v>
      </c>
      <c r="AD610" s="1245"/>
      <c r="AE610" s="1245"/>
      <c r="AF610" s="1245"/>
      <c r="AG610" s="1245"/>
      <c r="AH610" s="1930"/>
      <c r="AI610" s="1930"/>
      <c r="AJ610" s="1930"/>
      <c r="AK610" s="1930"/>
      <c r="AL610" s="1930"/>
      <c r="AM610" s="1930"/>
      <c r="AN610" s="1930"/>
      <c r="AO610" s="1930"/>
      <c r="AP610" s="1930"/>
      <c r="AQ610" s="1930"/>
      <c r="AR610" s="1930"/>
      <c r="AS610" s="1930"/>
      <c r="AT610" s="1930"/>
      <c r="AU610" s="1930"/>
      <c r="AV610" s="1930"/>
      <c r="AW610" s="1930"/>
      <c r="AX610" s="1930"/>
      <c r="AY610" s="1930"/>
      <c r="AZ610" s="1930"/>
      <c r="BA610" s="1930"/>
      <c r="BC610" s="1930"/>
      <c r="BD610" s="1930"/>
      <c r="BE610" s="1930"/>
    </row>
    <row r="611" spans="1:57" ht="18" hidden="1" customHeight="1" outlineLevel="1" x14ac:dyDescent="0.35">
      <c r="A611" s="249"/>
      <c r="B611" s="249"/>
      <c r="C611" s="905"/>
      <c r="D611" s="1008" t="s">
        <v>2268</v>
      </c>
      <c r="E611" s="1008" t="s">
        <v>2269</v>
      </c>
      <c r="F611" s="1165">
        <v>0</v>
      </c>
      <c r="G611" s="4151" t="s">
        <v>2573</v>
      </c>
      <c r="H611" s="4151"/>
      <c r="I611" s="1657"/>
      <c r="J611" s="1657"/>
      <c r="K611" s="1657"/>
      <c r="L611" s="1657"/>
      <c r="M611" s="1657"/>
      <c r="N611" s="1657"/>
      <c r="O611" s="1657"/>
      <c r="P611" s="1657"/>
      <c r="Q611" s="1657"/>
      <c r="R611" s="1657"/>
      <c r="V611" s="1008" t="str">
        <f t="shared" si="121"/>
        <v>Number of Unitsbefore 1980</v>
      </c>
      <c r="W611" s="1245">
        <v>0</v>
      </c>
      <c r="X611" s="1245">
        <v>0</v>
      </c>
      <c r="Y611" s="1245">
        <v>0</v>
      </c>
      <c r="Z611" s="1245">
        <v>0</v>
      </c>
      <c r="AA611" s="1245">
        <v>0</v>
      </c>
      <c r="AB611" s="1245">
        <v>0</v>
      </c>
      <c r="AC611" s="1165">
        <v>0</v>
      </c>
      <c r="AD611" s="1245"/>
      <c r="AE611" s="1245"/>
      <c r="AF611" s="1245"/>
      <c r="AG611" s="1245"/>
      <c r="AH611" s="1930"/>
      <c r="AI611" s="1930"/>
      <c r="AJ611" s="1930"/>
      <c r="AK611" s="1930"/>
      <c r="AL611" s="1930"/>
      <c r="AM611" s="1930"/>
      <c r="AN611" s="1930"/>
      <c r="AO611" s="1930"/>
      <c r="AP611" s="1930"/>
      <c r="AQ611" s="1930"/>
      <c r="AR611" s="1930"/>
      <c r="AS611" s="1930"/>
      <c r="AT611" s="1930"/>
      <c r="AU611" s="1930"/>
      <c r="AV611" s="1930"/>
      <c r="AW611" s="1930"/>
      <c r="AX611" s="1930"/>
      <c r="AY611" s="1930"/>
      <c r="AZ611" s="1930"/>
      <c r="BA611" s="1930"/>
      <c r="BC611" s="1930"/>
      <c r="BD611" s="1930"/>
      <c r="BE611" s="1930"/>
    </row>
    <row r="612" spans="1:57" s="224" customFormat="1" hidden="1" outlineLevel="1" x14ac:dyDescent="0.25">
      <c r="A612" s="249"/>
      <c r="B612" s="1233"/>
      <c r="C612" s="3159"/>
      <c r="D612" s="4156" t="str">
        <f>D34</f>
        <v>EUL</v>
      </c>
      <c r="E612" s="4156" t="str">
        <f>E34</f>
        <v>End of Useful Life</v>
      </c>
      <c r="F612" s="1165">
        <v>6</v>
      </c>
      <c r="G612" s="4151"/>
      <c r="H612" s="4151"/>
      <c r="I612" s="1159"/>
      <c r="J612" s="249"/>
      <c r="K612" s="249"/>
      <c r="L612" s="249"/>
      <c r="M612" s="249"/>
      <c r="N612" s="249"/>
      <c r="O612" s="249"/>
      <c r="P612" s="249"/>
      <c r="Q612" s="249"/>
      <c r="R612" s="249"/>
      <c r="S612" s="249"/>
      <c r="T612" s="249"/>
      <c r="U612" s="249"/>
      <c r="V612" s="4156" t="str">
        <f>V34</f>
        <v>EUL</v>
      </c>
      <c r="W612" s="1165">
        <v>6</v>
      </c>
      <c r="X612" s="1165">
        <v>6</v>
      </c>
      <c r="Y612" s="1165">
        <v>6</v>
      </c>
      <c r="Z612" s="1165">
        <v>6</v>
      </c>
      <c r="AA612" s="1165">
        <v>6</v>
      </c>
      <c r="AB612" s="1165">
        <v>6</v>
      </c>
      <c r="AC612" s="1165">
        <v>6</v>
      </c>
      <c r="AD612" s="1166"/>
      <c r="AE612" s="1166"/>
      <c r="AF612" s="1166"/>
      <c r="AG612" s="1166"/>
      <c r="AK612" s="883"/>
      <c r="BB612" s="876"/>
    </row>
    <row r="613" spans="1:57" s="224" customFormat="1" hidden="1" outlineLevel="1" x14ac:dyDescent="0.25">
      <c r="A613" s="249"/>
      <c r="B613" s="1233"/>
      <c r="C613" s="3159"/>
      <c r="D613" s="4157"/>
      <c r="E613" s="4157"/>
      <c r="F613" s="1165">
        <v>11</v>
      </c>
      <c r="G613" s="4151"/>
      <c r="H613" s="4151"/>
      <c r="I613" s="1159"/>
      <c r="J613" s="249"/>
      <c r="K613" s="249"/>
      <c r="L613" s="249"/>
      <c r="M613" s="249"/>
      <c r="N613" s="249"/>
      <c r="O613" s="249"/>
      <c r="P613" s="249"/>
      <c r="Q613" s="249"/>
      <c r="R613" s="249"/>
      <c r="S613" s="249"/>
      <c r="T613" s="249"/>
      <c r="U613" s="249"/>
      <c r="V613" s="4157"/>
      <c r="W613" s="1165">
        <v>11</v>
      </c>
      <c r="X613" s="1165">
        <v>11</v>
      </c>
      <c r="Y613" s="1165">
        <v>11</v>
      </c>
      <c r="Z613" s="1165">
        <v>11</v>
      </c>
      <c r="AA613" s="1165">
        <v>11</v>
      </c>
      <c r="AB613" s="1165">
        <v>11</v>
      </c>
      <c r="AC613" s="1165">
        <v>11</v>
      </c>
      <c r="AD613" s="1166"/>
      <c r="AE613" s="1166"/>
      <c r="AF613" s="1166"/>
      <c r="AG613" s="1166"/>
      <c r="AK613" s="883"/>
      <c r="BB613" s="876"/>
    </row>
    <row r="614" spans="1:57" s="224" customFormat="1" hidden="1" outlineLevel="1" x14ac:dyDescent="0.25">
      <c r="A614" s="249"/>
      <c r="B614" s="1233"/>
      <c r="C614" s="3159"/>
      <c r="D614" s="3192" t="str">
        <f>D35</f>
        <v>Inc. Cost</v>
      </c>
      <c r="E614" s="3192" t="str">
        <f>E35</f>
        <v>Incremental Cost ($)</v>
      </c>
      <c r="F614" s="519">
        <v>753</v>
      </c>
      <c r="G614" s="4151"/>
      <c r="H614" s="4151"/>
      <c r="I614" s="1159"/>
      <c r="J614" s="249"/>
      <c r="K614" s="249"/>
      <c r="L614" s="249"/>
      <c r="M614" s="249"/>
      <c r="N614" s="249"/>
      <c r="O614" s="249"/>
      <c r="P614" s="249"/>
      <c r="Q614" s="249"/>
      <c r="R614" s="249"/>
      <c r="S614" s="249"/>
      <c r="T614" s="249"/>
      <c r="U614" s="249"/>
      <c r="V614" s="3192" t="str">
        <f>V35</f>
        <v>Inc. Cost</v>
      </c>
      <c r="W614" s="519">
        <v>753</v>
      </c>
      <c r="X614" s="519">
        <v>753</v>
      </c>
      <c r="Y614" s="519">
        <v>753</v>
      </c>
      <c r="Z614" s="519">
        <v>753</v>
      </c>
      <c r="AA614" s="519">
        <v>753</v>
      </c>
      <c r="AB614" s="519">
        <v>753</v>
      </c>
      <c r="AC614" s="519">
        <v>753</v>
      </c>
      <c r="AD614" s="1167"/>
      <c r="AE614" s="1167"/>
      <c r="AF614" s="1167"/>
      <c r="AG614" s="1167"/>
      <c r="AK614" s="883"/>
      <c r="BB614" s="876"/>
    </row>
    <row r="615" spans="1:57" collapsed="1" x14ac:dyDescent="0.25">
      <c r="A615" s="249"/>
      <c r="B615" s="249"/>
      <c r="C615" s="905"/>
      <c r="V615" s="1930"/>
      <c r="W615" s="1930"/>
      <c r="X615" s="1930"/>
      <c r="Y615" s="1930"/>
      <c r="Z615" s="1930"/>
      <c r="AA615" s="1930"/>
      <c r="AB615" s="1930"/>
      <c r="AC615" s="1930"/>
      <c r="AD615" s="1930"/>
      <c r="AE615" s="1930"/>
      <c r="AF615" s="1930"/>
      <c r="AG615" s="1930"/>
      <c r="AH615" s="1930"/>
      <c r="AI615" s="1930"/>
      <c r="AJ615" s="1930"/>
      <c r="AK615" s="1930"/>
      <c r="AL615" s="1930"/>
      <c r="AM615" s="1930"/>
      <c r="AN615" s="1930"/>
      <c r="AO615" s="1930"/>
      <c r="AP615" s="1930"/>
      <c r="AQ615" s="1930"/>
      <c r="AR615" s="1930"/>
      <c r="AS615" s="1930"/>
      <c r="AT615" s="1930"/>
      <c r="AU615" s="1930"/>
      <c r="AV615" s="1930"/>
      <c r="AW615" s="1930"/>
      <c r="AX615" s="1930"/>
      <c r="AY615" s="1930"/>
      <c r="AZ615" s="1930"/>
      <c r="BA615" s="1930"/>
      <c r="BC615" s="1930"/>
      <c r="BD615" s="1930"/>
      <c r="BE615" s="1930"/>
    </row>
    <row r="616" spans="1:57" x14ac:dyDescent="0.25">
      <c r="A616" s="249"/>
      <c r="B616" s="249"/>
      <c r="C616" s="905"/>
      <c r="V616" s="1930"/>
      <c r="W616" s="1930"/>
      <c r="X616" s="1930"/>
      <c r="Y616" s="1930"/>
      <c r="Z616" s="1930"/>
      <c r="AA616" s="1930"/>
      <c r="AB616" s="1930"/>
      <c r="AC616" s="1930"/>
      <c r="AD616" s="1930"/>
      <c r="AE616" s="1930"/>
      <c r="AF616" s="1930"/>
      <c r="AG616" s="1930"/>
      <c r="AH616" s="1930"/>
      <c r="AI616" s="1930"/>
      <c r="AJ616" s="1930"/>
      <c r="AK616" s="1930"/>
      <c r="AL616" s="1930"/>
      <c r="AM616" s="1930"/>
      <c r="AN616" s="1930"/>
      <c r="AO616" s="1930"/>
      <c r="AP616" s="1930"/>
      <c r="AQ616" s="1930"/>
      <c r="AR616" s="1930"/>
      <c r="AS616" s="1930"/>
      <c r="AT616" s="1930"/>
      <c r="AU616" s="1930"/>
      <c r="AV616" s="1930"/>
      <c r="AW616" s="1930"/>
      <c r="AX616" s="1930"/>
      <c r="AY616" s="1930"/>
      <c r="AZ616" s="1930"/>
      <c r="BA616" s="1930"/>
      <c r="BC616" s="1930"/>
      <c r="BD616" s="1930"/>
      <c r="BE616" s="1930"/>
    </row>
  </sheetData>
  <mergeCells count="412">
    <mergeCell ref="G336:H336"/>
    <mergeCell ref="D343:D344"/>
    <mergeCell ref="D340:D341"/>
    <mergeCell ref="G341:H341"/>
    <mergeCell ref="G344:H344"/>
    <mergeCell ref="V343:V344"/>
    <mergeCell ref="V340:V341"/>
    <mergeCell ref="V347:V348"/>
    <mergeCell ref="D347:D348"/>
    <mergeCell ref="G348:H348"/>
    <mergeCell ref="G338:H338"/>
    <mergeCell ref="G339:H339"/>
    <mergeCell ref="G340:H340"/>
    <mergeCell ref="G342:H342"/>
    <mergeCell ref="G343:H343"/>
    <mergeCell ref="G321:H321"/>
    <mergeCell ref="G322:H322"/>
    <mergeCell ref="G323:H323"/>
    <mergeCell ref="V24:V25"/>
    <mergeCell ref="I25:L25"/>
    <mergeCell ref="I26:L26"/>
    <mergeCell ref="B71:Q71"/>
    <mergeCell ref="V71:AI71"/>
    <mergeCell ref="D88:L91"/>
    <mergeCell ref="D94:D103"/>
    <mergeCell ref="V94:V103"/>
    <mergeCell ref="D104:D113"/>
    <mergeCell ref="V104:V113"/>
    <mergeCell ref="I33:L33"/>
    <mergeCell ref="I34:L34"/>
    <mergeCell ref="I35:L35"/>
    <mergeCell ref="I36:L36"/>
    <mergeCell ref="I37:L37"/>
    <mergeCell ref="I38:L38"/>
    <mergeCell ref="D147:D156"/>
    <mergeCell ref="V147:V156"/>
    <mergeCell ref="I30:L30"/>
    <mergeCell ref="I31:L31"/>
    <mergeCell ref="D24:D25"/>
    <mergeCell ref="E24:E25"/>
    <mergeCell ref="I24:L24"/>
    <mergeCell ref="D28:D32"/>
    <mergeCell ref="E28:E32"/>
    <mergeCell ref="I32:L32"/>
    <mergeCell ref="V28:V32"/>
    <mergeCell ref="A1:O1"/>
    <mergeCell ref="P1:R1"/>
    <mergeCell ref="D2:J2"/>
    <mergeCell ref="B4:Q4"/>
    <mergeCell ref="V4:AI4"/>
    <mergeCell ref="I23:L23"/>
    <mergeCell ref="I27:L27"/>
    <mergeCell ref="I28:L28"/>
    <mergeCell ref="I29:L29"/>
    <mergeCell ref="D160:D169"/>
    <mergeCell ref="V160:V169"/>
    <mergeCell ref="D170:D179"/>
    <mergeCell ref="V170:V179"/>
    <mergeCell ref="D114:D123"/>
    <mergeCell ref="V114:V123"/>
    <mergeCell ref="D124:D133"/>
    <mergeCell ref="V124:V133"/>
    <mergeCell ref="D137:D146"/>
    <mergeCell ref="V137:V146"/>
    <mergeCell ref="H137:H146"/>
    <mergeCell ref="H170:H179"/>
    <mergeCell ref="D217:D218"/>
    <mergeCell ref="V217:V218"/>
    <mergeCell ref="B224:Q224"/>
    <mergeCell ref="V224:AI224"/>
    <mergeCell ref="F247:H247"/>
    <mergeCell ref="D181:D190"/>
    <mergeCell ref="V181:V190"/>
    <mergeCell ref="B193:Q193"/>
    <mergeCell ref="V193:AI193"/>
    <mergeCell ref="D211:D212"/>
    <mergeCell ref="V211:V212"/>
    <mergeCell ref="G181:G190"/>
    <mergeCell ref="C229:L230"/>
    <mergeCell ref="V253:V254"/>
    <mergeCell ref="F254:H254"/>
    <mergeCell ref="D248:D249"/>
    <mergeCell ref="E248:E249"/>
    <mergeCell ref="F248:H248"/>
    <mergeCell ref="V248:V249"/>
    <mergeCell ref="F249:H249"/>
    <mergeCell ref="F250:H250"/>
    <mergeCell ref="J250:K250"/>
    <mergeCell ref="O255:P255"/>
    <mergeCell ref="F256:H256"/>
    <mergeCell ref="F257:H257"/>
    <mergeCell ref="O257:P257"/>
    <mergeCell ref="F251:H251"/>
    <mergeCell ref="F252:H252"/>
    <mergeCell ref="D253:D254"/>
    <mergeCell ref="E253:E254"/>
    <mergeCell ref="F253:H253"/>
    <mergeCell ref="F258:H258"/>
    <mergeCell ref="J258:K259"/>
    <mergeCell ref="F259:H259"/>
    <mergeCell ref="D260:D261"/>
    <mergeCell ref="E260:E261"/>
    <mergeCell ref="F260:H260"/>
    <mergeCell ref="J260:K260"/>
    <mergeCell ref="F255:H255"/>
    <mergeCell ref="J255:K255"/>
    <mergeCell ref="D263:D264"/>
    <mergeCell ref="E263:E264"/>
    <mergeCell ref="F263:H263"/>
    <mergeCell ref="O263:P263"/>
    <mergeCell ref="V263:V264"/>
    <mergeCell ref="F264:H264"/>
    <mergeCell ref="O264:P264"/>
    <mergeCell ref="V260:V261"/>
    <mergeCell ref="F261:H261"/>
    <mergeCell ref="J261:K261"/>
    <mergeCell ref="O261:Q261"/>
    <mergeCell ref="F262:H262"/>
    <mergeCell ref="J262:K263"/>
    <mergeCell ref="O262:P262"/>
    <mergeCell ref="V268:V269"/>
    <mergeCell ref="F269:H269"/>
    <mergeCell ref="B272:Q272"/>
    <mergeCell ref="V272:AI272"/>
    <mergeCell ref="D266:D267"/>
    <mergeCell ref="E266:E267"/>
    <mergeCell ref="F266:H266"/>
    <mergeCell ref="V266:V267"/>
    <mergeCell ref="F267:H267"/>
    <mergeCell ref="G303:H303"/>
    <mergeCell ref="G304:H304"/>
    <mergeCell ref="G305:H305"/>
    <mergeCell ref="G306:H306"/>
    <mergeCell ref="G307:H307"/>
    <mergeCell ref="G317:H317"/>
    <mergeCell ref="D268:D269"/>
    <mergeCell ref="E268:E269"/>
    <mergeCell ref="F268:H268"/>
    <mergeCell ref="G314:H314"/>
    <mergeCell ref="G315:H315"/>
    <mergeCell ref="G316:H316"/>
    <mergeCell ref="D304:D320"/>
    <mergeCell ref="G320:H320"/>
    <mergeCell ref="G318:H318"/>
    <mergeCell ref="G313:H313"/>
    <mergeCell ref="G311:H311"/>
    <mergeCell ref="G309:H309"/>
    <mergeCell ref="G324:H324"/>
    <mergeCell ref="G334:H334"/>
    <mergeCell ref="G331:H331"/>
    <mergeCell ref="G332:H332"/>
    <mergeCell ref="G345:H345"/>
    <mergeCell ref="G346:H346"/>
    <mergeCell ref="G347:H347"/>
    <mergeCell ref="D349:D365"/>
    <mergeCell ref="G349:H349"/>
    <mergeCell ref="G361:H361"/>
    <mergeCell ref="G362:H362"/>
    <mergeCell ref="G365:H365"/>
    <mergeCell ref="D321:D337"/>
    <mergeCell ref="G359:H359"/>
    <mergeCell ref="G360:H360"/>
    <mergeCell ref="G363:H363"/>
    <mergeCell ref="G326:H326"/>
    <mergeCell ref="G328:H328"/>
    <mergeCell ref="G330:H330"/>
    <mergeCell ref="G333:H333"/>
    <mergeCell ref="G335:H335"/>
    <mergeCell ref="G329:H329"/>
    <mergeCell ref="G327:H327"/>
    <mergeCell ref="G337:H337"/>
    <mergeCell ref="B368:Q368"/>
    <mergeCell ref="V368:AI368"/>
    <mergeCell ref="G381:H381"/>
    <mergeCell ref="I381:K381"/>
    <mergeCell ref="G382:H382"/>
    <mergeCell ref="I382:K382"/>
    <mergeCell ref="V349:V365"/>
    <mergeCell ref="G350:H350"/>
    <mergeCell ref="G351:H351"/>
    <mergeCell ref="G352:H352"/>
    <mergeCell ref="G353:H353"/>
    <mergeCell ref="G354:H354"/>
    <mergeCell ref="G355:H355"/>
    <mergeCell ref="G356:H356"/>
    <mergeCell ref="G357:H357"/>
    <mergeCell ref="G358:H358"/>
    <mergeCell ref="G364:H364"/>
    <mergeCell ref="G386:H386"/>
    <mergeCell ref="I386:K386"/>
    <mergeCell ref="G387:H387"/>
    <mergeCell ref="I387:K387"/>
    <mergeCell ref="G388:H388"/>
    <mergeCell ref="I388:K388"/>
    <mergeCell ref="G383:H383"/>
    <mergeCell ref="I383:K383"/>
    <mergeCell ref="G384:H384"/>
    <mergeCell ref="I384:K384"/>
    <mergeCell ref="G385:H385"/>
    <mergeCell ref="I385:K385"/>
    <mergeCell ref="G392:H392"/>
    <mergeCell ref="I392:K392"/>
    <mergeCell ref="G393:H393"/>
    <mergeCell ref="I393:K393"/>
    <mergeCell ref="G394:H394"/>
    <mergeCell ref="I394:K394"/>
    <mergeCell ref="G389:H389"/>
    <mergeCell ref="I389:K389"/>
    <mergeCell ref="G390:H390"/>
    <mergeCell ref="I390:K390"/>
    <mergeCell ref="G391:H391"/>
    <mergeCell ref="I391:K391"/>
    <mergeCell ref="G398:H398"/>
    <mergeCell ref="I398:K398"/>
    <mergeCell ref="G399:H399"/>
    <mergeCell ref="I399:K399"/>
    <mergeCell ref="G400:H400"/>
    <mergeCell ref="I400:K400"/>
    <mergeCell ref="G395:H395"/>
    <mergeCell ref="I395:K395"/>
    <mergeCell ref="G396:H396"/>
    <mergeCell ref="I396:K396"/>
    <mergeCell ref="G397:H397"/>
    <mergeCell ref="I397:K397"/>
    <mergeCell ref="G417:H417"/>
    <mergeCell ref="I417:K417"/>
    <mergeCell ref="G418:H418"/>
    <mergeCell ref="I418:K418"/>
    <mergeCell ref="G419:H419"/>
    <mergeCell ref="I419:K419"/>
    <mergeCell ref="B403:Q403"/>
    <mergeCell ref="V403:AI403"/>
    <mergeCell ref="G415:H415"/>
    <mergeCell ref="I415:J415"/>
    <mergeCell ref="G416:H416"/>
    <mergeCell ref="I416:K416"/>
    <mergeCell ref="G423:H423"/>
    <mergeCell ref="I423:K423"/>
    <mergeCell ref="G424:H424"/>
    <mergeCell ref="I424:K424"/>
    <mergeCell ref="G425:H425"/>
    <mergeCell ref="I425:K425"/>
    <mergeCell ref="G420:H420"/>
    <mergeCell ref="I420:K420"/>
    <mergeCell ref="G421:H421"/>
    <mergeCell ref="I421:K421"/>
    <mergeCell ref="G422:H422"/>
    <mergeCell ref="I422:K422"/>
    <mergeCell ref="G429:H429"/>
    <mergeCell ref="I429:K429"/>
    <mergeCell ref="G430:H430"/>
    <mergeCell ref="I430:K430"/>
    <mergeCell ref="G431:H431"/>
    <mergeCell ref="I431:K431"/>
    <mergeCell ref="G426:H426"/>
    <mergeCell ref="I426:K426"/>
    <mergeCell ref="G427:H427"/>
    <mergeCell ref="I427:K427"/>
    <mergeCell ref="G428:H428"/>
    <mergeCell ref="I428:K428"/>
    <mergeCell ref="B437:Q437"/>
    <mergeCell ref="V437:AI437"/>
    <mergeCell ref="G449:H449"/>
    <mergeCell ref="I449:K449"/>
    <mergeCell ref="G450:H450"/>
    <mergeCell ref="I450:K450"/>
    <mergeCell ref="G432:H432"/>
    <mergeCell ref="I432:K432"/>
    <mergeCell ref="G433:H433"/>
    <mergeCell ref="I433:K433"/>
    <mergeCell ref="G434:H434"/>
    <mergeCell ref="I434:K434"/>
    <mergeCell ref="G454:H454"/>
    <mergeCell ref="I454:K454"/>
    <mergeCell ref="G455:H455"/>
    <mergeCell ref="I455:K455"/>
    <mergeCell ref="G456:H456"/>
    <mergeCell ref="I456:K456"/>
    <mergeCell ref="G451:H451"/>
    <mergeCell ref="I451:K451"/>
    <mergeCell ref="G452:H452"/>
    <mergeCell ref="I452:K452"/>
    <mergeCell ref="G453:H453"/>
    <mergeCell ref="I453:K453"/>
    <mergeCell ref="G463:H463"/>
    <mergeCell ref="I463:K463"/>
    <mergeCell ref="G464:H464"/>
    <mergeCell ref="I464:K464"/>
    <mergeCell ref="G465:H465"/>
    <mergeCell ref="I465:K465"/>
    <mergeCell ref="G457:H457"/>
    <mergeCell ref="I457:K457"/>
    <mergeCell ref="G458:H458"/>
    <mergeCell ref="I458:K458"/>
    <mergeCell ref="G459:H459"/>
    <mergeCell ref="I459:K459"/>
    <mergeCell ref="G460:H460"/>
    <mergeCell ref="I460:K460"/>
    <mergeCell ref="G461:H461"/>
    <mergeCell ref="I461:K461"/>
    <mergeCell ref="G462:H462"/>
    <mergeCell ref="I462:K462"/>
    <mergeCell ref="D612:D613"/>
    <mergeCell ref="E612:E613"/>
    <mergeCell ref="G612:H612"/>
    <mergeCell ref="G603:H603"/>
    <mergeCell ref="G604:H604"/>
    <mergeCell ref="G605:H605"/>
    <mergeCell ref="G606:H606"/>
    <mergeCell ref="G607:H607"/>
    <mergeCell ref="G608:H608"/>
    <mergeCell ref="V612:V613"/>
    <mergeCell ref="G613:H613"/>
    <mergeCell ref="G614:H614"/>
    <mergeCell ref="G609:H609"/>
    <mergeCell ref="G610:H610"/>
    <mergeCell ref="G611:H611"/>
    <mergeCell ref="G598:H598"/>
    <mergeCell ref="G599:H599"/>
    <mergeCell ref="J599:S599"/>
    <mergeCell ref="G600:H600"/>
    <mergeCell ref="G601:H601"/>
    <mergeCell ref="G602:H602"/>
    <mergeCell ref="G596:H596"/>
    <mergeCell ref="G597:H597"/>
    <mergeCell ref="G579:H579"/>
    <mergeCell ref="G580:H580"/>
    <mergeCell ref="G582:H582"/>
    <mergeCell ref="G583:H583"/>
    <mergeCell ref="G581:H581"/>
    <mergeCell ref="G575:H575"/>
    <mergeCell ref="G576:H576"/>
    <mergeCell ref="G577:H577"/>
    <mergeCell ref="G578:H578"/>
    <mergeCell ref="G584:H584"/>
    <mergeCell ref="B505:Q505"/>
    <mergeCell ref="V505:AI505"/>
    <mergeCell ref="E501:E502"/>
    <mergeCell ref="D501:D502"/>
    <mergeCell ref="V501:V502"/>
    <mergeCell ref="B538:Q538"/>
    <mergeCell ref="V538:AI538"/>
    <mergeCell ref="B587:Q587"/>
    <mergeCell ref="V587:AI587"/>
    <mergeCell ref="G568:H568"/>
    <mergeCell ref="G569:H569"/>
    <mergeCell ref="G570:H570"/>
    <mergeCell ref="G571:H571"/>
    <mergeCell ref="G572:H572"/>
    <mergeCell ref="G573:H573"/>
    <mergeCell ref="D583:D584"/>
    <mergeCell ref="E583:E584"/>
    <mergeCell ref="E498:E499"/>
    <mergeCell ref="D498:D499"/>
    <mergeCell ref="H499:I499"/>
    <mergeCell ref="V472:AI472"/>
    <mergeCell ref="H487:I487"/>
    <mergeCell ref="G466:H466"/>
    <mergeCell ref="I466:K466"/>
    <mergeCell ref="G467:H467"/>
    <mergeCell ref="I467:K467"/>
    <mergeCell ref="G468:H468"/>
    <mergeCell ref="I468:K468"/>
    <mergeCell ref="H61:L61"/>
    <mergeCell ref="H60:L60"/>
    <mergeCell ref="H58:L58"/>
    <mergeCell ref="H59:L59"/>
    <mergeCell ref="I39:L39"/>
    <mergeCell ref="E35:E39"/>
    <mergeCell ref="D35:D39"/>
    <mergeCell ref="B42:Q42"/>
    <mergeCell ref="V42:AI42"/>
    <mergeCell ref="D56:D57"/>
    <mergeCell ref="E56:E57"/>
    <mergeCell ref="V56:V57"/>
    <mergeCell ref="V35:V39"/>
    <mergeCell ref="H56:L56"/>
    <mergeCell ref="H57:L57"/>
    <mergeCell ref="H55:L55"/>
    <mergeCell ref="V62:V63"/>
    <mergeCell ref="D62:D63"/>
    <mergeCell ref="E62:E63"/>
    <mergeCell ref="H65:L65"/>
    <mergeCell ref="H67:L67"/>
    <mergeCell ref="H66:L66"/>
    <mergeCell ref="H64:L64"/>
    <mergeCell ref="H62:L62"/>
    <mergeCell ref="H63:L63"/>
    <mergeCell ref="H68:L68"/>
    <mergeCell ref="G574:H574"/>
    <mergeCell ref="F265:H265"/>
    <mergeCell ref="V304:V320"/>
    <mergeCell ref="V321:V337"/>
    <mergeCell ref="E488:E489"/>
    <mergeCell ref="D488:D489"/>
    <mergeCell ref="E490:E493"/>
    <mergeCell ref="D490:D493"/>
    <mergeCell ref="E494:E497"/>
    <mergeCell ref="D494:D497"/>
    <mergeCell ref="V488:V489"/>
    <mergeCell ref="D524:D532"/>
    <mergeCell ref="E524:E532"/>
    <mergeCell ref="V524:V532"/>
    <mergeCell ref="G565:H565"/>
    <mergeCell ref="G566:H566"/>
    <mergeCell ref="G567:H567"/>
    <mergeCell ref="V490:V493"/>
    <mergeCell ref="V494:V497"/>
    <mergeCell ref="G469:H469"/>
    <mergeCell ref="I469:K469"/>
    <mergeCell ref="B472:Q472"/>
    <mergeCell ref="G564:H564"/>
  </mergeCells>
  <conditionalFormatting sqref="E94:E103">
    <cfRule type="duplicateValues" dxfId="228" priority="30"/>
  </conditionalFormatting>
  <conditionalFormatting sqref="E104:E113">
    <cfRule type="duplicateValues" dxfId="227" priority="31"/>
  </conditionalFormatting>
  <conditionalFormatting sqref="E114:E123">
    <cfRule type="duplicateValues" dxfId="226" priority="32"/>
  </conditionalFormatting>
  <conditionalFormatting sqref="E125:E133">
    <cfRule type="duplicateValues" dxfId="225" priority="33"/>
  </conditionalFormatting>
  <conditionalFormatting sqref="E137:E146">
    <cfRule type="duplicateValues" dxfId="224" priority="34"/>
  </conditionalFormatting>
  <conditionalFormatting sqref="E147:E156">
    <cfRule type="duplicateValues" dxfId="223" priority="35"/>
  </conditionalFormatting>
  <conditionalFormatting sqref="E160:E169">
    <cfRule type="duplicateValues" dxfId="222" priority="36"/>
  </conditionalFormatting>
  <conditionalFormatting sqref="E170:E179">
    <cfRule type="duplicateValues" dxfId="221" priority="37"/>
  </conditionalFormatting>
  <conditionalFormatting sqref="E74:E83">
    <cfRule type="duplicateValues" dxfId="220" priority="29"/>
  </conditionalFormatting>
  <conditionalFormatting sqref="F292">
    <cfRule type="duplicateValues" dxfId="219" priority="28"/>
  </conditionalFormatting>
  <conditionalFormatting sqref="E337">
    <cfRule type="duplicateValues" dxfId="218" priority="27"/>
  </conditionalFormatting>
  <conditionalFormatting sqref="C274:C290 E291">
    <cfRule type="duplicateValues" dxfId="217" priority="26"/>
  </conditionalFormatting>
  <conditionalFormatting sqref="E181:E190">
    <cfRule type="duplicateValues" dxfId="216" priority="25"/>
  </conditionalFormatting>
  <conditionalFormatting sqref="E8 D555:E555 G555 E45:E48">
    <cfRule type="cellIs" dxfId="215" priority="24" operator="equal">
      <formula>"x"</formula>
    </cfRule>
  </conditionalFormatting>
  <conditionalFormatting sqref="E14:E16 E12 E10">
    <cfRule type="cellIs" dxfId="214" priority="23" operator="equal">
      <formula>"x"</formula>
    </cfRule>
  </conditionalFormatting>
  <conditionalFormatting sqref="E197">
    <cfRule type="cellIs" dxfId="213" priority="22" operator="equal">
      <formula>"x"</formula>
    </cfRule>
  </conditionalFormatting>
  <conditionalFormatting sqref="B1:B2 B4:B1048576">
    <cfRule type="cellIs" dxfId="212" priority="21" operator="equal">
      <formula>"x"</formula>
    </cfRule>
  </conditionalFormatting>
  <conditionalFormatting sqref="D522:E523 D524 G522:H523 F523 D533 H524:H531 D534:E534 G524:G532 H533 H535 G534:H534">
    <cfRule type="cellIs" dxfId="211" priority="20" operator="equal">
      <formula>"x"</formula>
    </cfRule>
  </conditionalFormatting>
  <conditionalFormatting sqref="F522">
    <cfRule type="cellIs" dxfId="210" priority="19" operator="equal">
      <formula>"x"</formula>
    </cfRule>
  </conditionalFormatting>
  <conditionalFormatting sqref="F524:F532">
    <cfRule type="cellIs" dxfId="209" priority="18" operator="equal">
      <formula>"x"</formula>
    </cfRule>
  </conditionalFormatting>
  <conditionalFormatting sqref="H532">
    <cfRule type="cellIs" dxfId="208" priority="17" operator="equal">
      <formula>"x"</formula>
    </cfRule>
  </conditionalFormatting>
  <conditionalFormatting sqref="V523:V524 V533:V534">
    <cfRule type="cellIs" dxfId="207" priority="16" operator="equal">
      <formula>"x"</formula>
    </cfRule>
  </conditionalFormatting>
  <conditionalFormatting sqref="W523:AB532 W534:AB534">
    <cfRule type="cellIs" dxfId="206" priority="15" operator="equal">
      <formula>"x"</formula>
    </cfRule>
  </conditionalFormatting>
  <conditionalFormatting sqref="F533:F535">
    <cfRule type="cellIs" dxfId="205" priority="14" operator="equal">
      <formula>"x"</formula>
    </cfRule>
  </conditionalFormatting>
  <conditionalFormatting sqref="AC523:AC532 AC534">
    <cfRule type="cellIs" dxfId="204" priority="13" operator="equal">
      <formula>"x"</formula>
    </cfRule>
  </conditionalFormatting>
  <conditionalFormatting sqref="D565:E569">
    <cfRule type="cellIs" dxfId="203" priority="11" operator="equal">
      <formula>"x"</formula>
    </cfRule>
  </conditionalFormatting>
  <conditionalFormatting sqref="F565:H569">
    <cfRule type="cellIs" dxfId="202" priority="10" operator="equal">
      <formula>"x"</formula>
    </cfRule>
  </conditionalFormatting>
  <conditionalFormatting sqref="F583:H585">
    <cfRule type="cellIs" dxfId="201" priority="9" operator="equal">
      <formula>"x"</formula>
    </cfRule>
  </conditionalFormatting>
  <conditionalFormatting sqref="V565:V569">
    <cfRule type="cellIs" dxfId="200" priority="8" operator="equal">
      <formula>"x"</formula>
    </cfRule>
  </conditionalFormatting>
  <conditionalFormatting sqref="AC565:AC569">
    <cfRule type="cellIs" dxfId="199" priority="7" operator="equal">
      <formula>"x"</formula>
    </cfRule>
  </conditionalFormatting>
  <conditionalFormatting sqref="AC583">
    <cfRule type="cellIs" dxfId="198" priority="6" operator="equal">
      <formula>"x"</formula>
    </cfRule>
  </conditionalFormatting>
  <conditionalFormatting sqref="AC7:AC16">
    <cfRule type="cellIs" dxfId="197" priority="1" operator="notEqual">
      <formula>AB7</formula>
    </cfRule>
  </conditionalFormatting>
  <hyperlinks>
    <hyperlink ref="G388" r:id="rId1" display="http://ilsagfiles.org/SAG_files/Technical_Reference_Manual/Version_5/Final/IL-TRM_Version_5.0_dated_February-11-2016_Final_Compiled_Volumes_1-4.pdf"/>
    <hyperlink ref="G428" r:id="rId2" display="https://www.efis.psc.mo.gov/mpsc/commoncomponents/viewdocument.asp?DocId=935658483"/>
    <hyperlink ref="G422" r:id="rId3" display="http://ilsagfiles.org/SAG_files/Technical_Reference_Manual/Version_5/Final/IL-TRM_Version_5.0_dated_February-11-2016_Final_Compiled_Volumes_1-4.pdf"/>
    <hyperlink ref="G462" r:id="rId4" display="https://www.efis.psc.mo.gov/mpsc/commoncomponents/viewdocument.asp?DocId=935658483"/>
    <hyperlink ref="G463" r:id="rId5" display="http://www.nrel.gov/docs/fy10osti/47246.pdf"/>
  </hyperlinks>
  <pageMargins left="0.7" right="0.7" top="0.75" bottom="0.75" header="0.3" footer="0.3"/>
  <pageSetup scale="12" fitToHeight="0" orientation="landscape" r:id="rId6"/>
  <rowBreaks count="2" manualBreakCount="2">
    <brk id="402" max="57" man="1"/>
    <brk id="585" max="57" man="1"/>
  </rowBreaks>
  <drawing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FF5E259E1FEC4E8F4FEBC71574AA28" ma:contentTypeVersion="" ma:contentTypeDescription="Create a new document." ma:contentTypeScope="" ma:versionID="1bfb817a03a4311ca75f8bcc8ba77ad0">
  <xsd:schema xmlns:xsd="http://www.w3.org/2001/XMLSchema" xmlns:xs="http://www.w3.org/2001/XMLSchema" xmlns:p="http://schemas.microsoft.com/office/2006/metadata/properties" xmlns:ns2="$ListId:Library;" xmlns:ns3="54a73875-1022-43df-9ba7-c54dc9c5cabe" targetNamespace="http://schemas.microsoft.com/office/2006/metadata/properties" ma:root="true" ma:fieldsID="28548d211a4ea3ffcd11464a26f3eddd" ns2:_="" ns3:_="">
    <xsd:import namespace="$ListId:Library;"/>
    <xsd:import namespace="54a73875-1022-43df-9ba7-c54dc9c5cabe"/>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a73875-1022-43df-9ba7-c54dc9c5cabe"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242377B2-9514-401E-86F1-6160C9099329}"/>
</file>

<file path=customXml/itemProps2.xml><?xml version="1.0" encoding="utf-8"?>
<ds:datastoreItem xmlns:ds="http://schemas.openxmlformats.org/officeDocument/2006/customXml" ds:itemID="{DF1FE3F3-A784-4DA7-B3C4-4F020B1F83C5}"/>
</file>

<file path=customXml/itemProps3.xml><?xml version="1.0" encoding="utf-8"?>
<ds:datastoreItem xmlns:ds="http://schemas.openxmlformats.org/officeDocument/2006/customXml" ds:itemID="{25920639-5EAA-4E1A-A8C4-ED311FBD75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47</vt:i4>
      </vt:variant>
    </vt:vector>
  </HeadingPairs>
  <TitlesOfParts>
    <vt:vector size="64" baseType="lpstr">
      <vt:lpstr>ReadME</vt:lpstr>
      <vt:lpstr>Deemed Savings Tbl Revision Log</vt:lpstr>
      <vt:lpstr>Lighting Deemed Table</vt:lpstr>
      <vt:lpstr>Efficient Products Deemed Table</vt:lpstr>
      <vt:lpstr>Energy Effic. Kits Deemed Table</vt:lpstr>
      <vt:lpstr>HVAC Deemed Table</vt:lpstr>
      <vt:lpstr>Income Eligible Deemed Table</vt:lpstr>
      <vt:lpstr>Home Energy Report Deemed Table</vt:lpstr>
      <vt:lpstr>MFMR Deemed Table </vt:lpstr>
      <vt:lpstr>Appliance Recycle Deemed Table</vt:lpstr>
      <vt:lpstr>Demand Response Deemed Table</vt:lpstr>
      <vt:lpstr>BUS Deemed Savings Table</vt:lpstr>
      <vt:lpstr> Measure INDEX</vt:lpstr>
      <vt:lpstr>Avoided Cost Benefits</vt:lpstr>
      <vt:lpstr>CP FACTORS</vt:lpstr>
      <vt:lpstr>index check</vt:lpstr>
      <vt:lpstr>2020_02_Updates_CleanUp_Items</vt:lpstr>
      <vt:lpstr>'BUS Deemed Savings Table'!_ftn1</vt:lpstr>
      <vt:lpstr>'Efficient Products Deemed Table'!_ftn1</vt:lpstr>
      <vt:lpstr>'BUS Deemed Savings Table'!_ftn10</vt:lpstr>
      <vt:lpstr>'BUS Deemed Savings Table'!_ftn11</vt:lpstr>
      <vt:lpstr>'BUS Deemed Savings Table'!_ftn12</vt:lpstr>
      <vt:lpstr>'BUS Deemed Savings Table'!_ftn2</vt:lpstr>
      <vt:lpstr>'Efficient Products Deemed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'Efficient Products Deemed Table'!_ftnref1</vt:lpstr>
      <vt:lpstr>'BUS Deemed Savings Table'!_ftnref10</vt:lpstr>
      <vt:lpstr>'BUS Deemed Savings Table'!_ftnref11</vt:lpstr>
      <vt:lpstr>'Efficient Products Deemed Table'!_ftnref2</vt:lpstr>
      <vt:lpstr>'BUS Deemed Savings Table'!_ftnref3</vt:lpstr>
      <vt:lpstr>'BUS Deemed Savings Table'!_ftnref4</vt:lpstr>
      <vt:lpstr>'BUS Deemed Savings Table'!_ftnref5</vt:lpstr>
      <vt:lpstr>'BUS Deemed Savings Table'!_ftnref6</vt:lpstr>
      <vt:lpstr>'BUS Deemed Savings Table'!_ftnref7</vt:lpstr>
      <vt:lpstr>'BUS Deemed Savings Table'!_ftnref9</vt:lpstr>
      <vt:lpstr>'BUS Deemed Savings Table'!_Toc477945843</vt:lpstr>
      <vt:lpstr>'Appliance Recycle Deemed Table'!Print_Area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Eligible Deemed Table'!Print_Area</vt:lpstr>
      <vt:lpstr>'Lighting Deemed Table'!Print_Area</vt:lpstr>
      <vt:lpstr>'MFMR Deemed Table '!Print_Area</vt:lpstr>
      <vt:lpstr>'Appliance Recycle Deemed Table'!Print_Titles</vt:lpstr>
      <vt:lpstr>'BUS Deemed Savings Table'!Print_Titles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Eligible Deemed Table'!Print_Titles</vt:lpstr>
      <vt:lpstr>'Lighting Deemed Table'!Print_Titles</vt:lpstr>
      <vt:lpstr>'MFMR Deemed Table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2021-09-02T13:51:04Z</dcterms:created>
  <dcterms:modified xsi:type="dcterms:W3CDTF">2021-09-02T14:08:01Z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0x0101000CFF5E259E1FEC4E8F4FEBC71574AA28</vt:lpwstr>
  </property>
</Properties>
</file>